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codeName="ЭтаКнига" defaultThemeVersion="124226"/>
  <mc:AlternateContent xmlns:mc="http://schemas.openxmlformats.org/markup-compatibility/2006">
    <mc:Choice Requires="x15">
      <x15ac:absPath xmlns:x15ac="http://schemas.microsoft.com/office/spreadsheetml/2010/11/ac" url="C:\Users\Jonathan Livingston\Desktop\"/>
    </mc:Choice>
  </mc:AlternateContent>
  <xr:revisionPtr revIDLastSave="0" documentId="8_{371D5F1E-181C-4A13-8159-8984EE045DE6}" xr6:coauthVersionLast="47" xr6:coauthVersionMax="47" xr10:uidLastSave="{00000000-0000-0000-0000-000000000000}"/>
  <bookViews>
    <workbookView xWindow="3468" yWindow="276" windowWidth="17280" windowHeight="9372" tabRatio="839" xr2:uid="{00000000-000D-0000-FFFF-FFFF00000000}"/>
  </bookViews>
  <sheets>
    <sheet name="Таблица" sheetId="1" r:id="rId1"/>
    <sheet name="Конфигурация TREI" sheetId="117" r:id="rId2"/>
    <sheet name="Результат(INFINITY)" sheetId="4" r:id="rId3"/>
    <sheet name="Результат(INFINITY-HISTORY)" sheetId="31" r:id="rId4"/>
    <sheet name="Результат(INFINITY-TRENDS)" sheetId="166" r:id="rId5"/>
    <sheet name="Результат(TREI)" sheetId="8" r:id="rId6"/>
    <sheet name="Результат(ST-TREI)" sheetId="119" r:id="rId7"/>
    <sheet name="Результат(XML)" sheetId="188" r:id="rId8"/>
    <sheet name="Справка" sheetId="6" r:id="rId9"/>
    <sheet name="Настройки" sheetId="32" state="hidden" r:id="rId10"/>
    <sheet name="FB_AI_S(INFINITY)" sheetId="3" state="hidden" r:id="rId11"/>
    <sheet name="FB_DI_S(INFINITY)" sheetId="19" state="hidden" r:id="rId12"/>
    <sheet name="FB_DO_S(INFINITY)" sheetId="92" state="hidden" r:id="rId13"/>
    <sheet name="FB_IMv_S(INFINITY)" sheetId="55" state="hidden" r:id="rId14"/>
    <sheet name="FB_IMp_S(INFINITY)" sheetId="56" state="hidden" r:id="rId15"/>
    <sheet name="FB_REG_S(INFINITY)" sheetId="22" state="hidden" r:id="rId16"/>
    <sheet name="FB_IM_ADES_S(INFINITY)" sheetId="91" state="hidden" r:id="rId17"/>
    <sheet name="FB_IMstp_S(INFINITY)" sheetId="13" state="hidden" r:id="rId18"/>
    <sheet name="FB_IMs_S(INFINITY)" sheetId="34" state="hidden" r:id="rId19"/>
    <sheet name="FB_IMsp_S(INFINITY)" sheetId="51" state="hidden" r:id="rId20"/>
    <sheet name="FB_IMst_MON_S(INFINITY)" sheetId="11" state="hidden" r:id="rId21"/>
    <sheet name="FB_IMsp_MON_S(INFINITY)" sheetId="14" state="hidden" r:id="rId22"/>
    <sheet name="FB_IMt_MON_S(INFINITY)" sheetId="18" state="hidden" r:id="rId23"/>
    <sheet name="FB_IMtp_MON_S(INFINITY)" sheetId="15" state="hidden" r:id="rId24"/>
    <sheet name="FB_IMs_MON_S(INFINITY)" sheetId="63" state="hidden" r:id="rId25"/>
    <sheet name="FB_IMp_MON_S(INFINITY)" sheetId="64" state="hidden" r:id="rId26"/>
    <sheet name="FB_IMv_MON_S(INFINITY)" sheetId="62" state="hidden" r:id="rId27"/>
    <sheet name="DI(INFINITY)" sheetId="37" state="hidden" r:id="rId28"/>
    <sheet name="DI_DIAG(INFINITY)" sheetId="69" state="hidden" r:id="rId29"/>
    <sheet name="DO_DIAG(INFINITY)" sheetId="149" state="hidden" r:id="rId30"/>
    <sheet name="DO(INFINITY)" sheetId="53" state="hidden" r:id="rId31"/>
    <sheet name="AO(INFINITY)" sheetId="157" state="hidden" r:id="rId32"/>
    <sheet name="AI(INFINITY)" sheetId="39" state="hidden" r:id="rId33"/>
    <sheet name="AI_SLIM(INFINITY)" sheetId="189" state="hidden" r:id="rId34"/>
    <sheet name="IMp(INFINITY)" sheetId="248" state="hidden" r:id="rId35"/>
    <sheet name="IMv(INFINITY)" sheetId="247" state="hidden" r:id="rId36"/>
    <sheet name="IMp_MON(INFINITY)" sheetId="250" state="hidden" r:id="rId37"/>
    <sheet name="IMv_MON(INFINITY)" sheetId="251" state="hidden" r:id="rId38"/>
    <sheet name="IM_ADES(INFINITY)" sheetId="246" state="hidden" r:id="rId39"/>
    <sheet name="IMstp(INFINITY)" sheetId="255" state="hidden" r:id="rId40"/>
    <sheet name="IMsp(INFINITY)" sheetId="249" state="hidden" r:id="rId41"/>
    <sheet name="IMs_MON(INFINITY)" sheetId="252" state="hidden" r:id="rId42"/>
    <sheet name="IMsp_MON(INFINITY)" sheetId="253" state="hidden" r:id="rId43"/>
    <sheet name="IMt_MON(INFINITY)" sheetId="254" state="hidden" r:id="rId44"/>
    <sheet name="SEPAM_OL(INFINITY)" sheetId="161" state="hidden" r:id="rId45"/>
    <sheet name="SEPAM_SV(INFINITY)" sheetId="163" state="hidden" r:id="rId46"/>
    <sheet name="SEPAM_VV(INFINITY)" sheetId="164" state="hidden" r:id="rId47"/>
    <sheet name="SEPAM_TN(INFINITY)" sheetId="165" state="hidden" r:id="rId48"/>
    <sheet name="SEPAM_VG(INFINITY)" sheetId="230" state="hidden" r:id="rId49"/>
    <sheet name="SEPAM_TZN(INFINITY)" sheetId="231" state="hidden" r:id="rId50"/>
    <sheet name="TOR_OL(INFINITY)" sheetId="271" state="hidden" r:id="rId51"/>
    <sheet name="TOR_VV(INFINITY)" sheetId="272" state="hidden" r:id="rId52"/>
    <sheet name="TOR_SV(INFINITY)" sheetId="273" state="hidden" r:id="rId53"/>
    <sheet name="TOR_TN(INFINITY)" sheetId="274" state="hidden" r:id="rId54"/>
    <sheet name="TOR_BK(INFINITY)" sheetId="260" state="hidden" r:id="rId55"/>
    <sheet name="BMCS (INFINITY)" sheetId="181" state="hidden" r:id="rId56"/>
    <sheet name="BMRZ_VV(INFINITY)" sheetId="42" state="hidden" r:id="rId57"/>
    <sheet name="BMRZ_AV(INFINITY)" sheetId="180" state="hidden" r:id="rId58"/>
    <sheet name="BMPA(INFINITY)" sheetId="41" state="hidden" r:id="rId59"/>
    <sheet name="IMv_SIM(INFINITY)" sheetId="49" state="hidden" r:id="rId60"/>
    <sheet name="SW_S301(INFINITY)" sheetId="97" state="hidden" r:id="rId61"/>
    <sheet name="SW_MAYAK(INFINITY)" sheetId="110" state="hidden" r:id="rId62"/>
    <sheet name="SW_AR550(INFINITY)" sheetId="155" state="hidden" r:id="rId63"/>
    <sheet name="SW_MES3508(INFINITY)" sheetId="276" state="hidden" r:id="rId64"/>
    <sheet name="SW_MES3348F(INFINITY)" sheetId="277" state="hidden" r:id="rId65"/>
    <sheet name="SYS_DIAG(INFINITY)" sheetId="102" state="hidden" r:id="rId66"/>
    <sheet name="FB_AI_BUF_S(INFINITY)" sheetId="196" state="hidden" r:id="rId67"/>
    <sheet name="AI_BUF(INFINITY)" sheetId="209" state="hidden" r:id="rId68"/>
    <sheet name="AI_SLIM_BUF(INFINITY)" sheetId="215" state="hidden" r:id="rId69"/>
    <sheet name="FB_DI_BUF_S(INFINITY)" sheetId="197" state="hidden" r:id="rId70"/>
    <sheet name="DI_BUF(INFINITY)" sheetId="206" state="hidden" r:id="rId71"/>
    <sheet name="DI_DIAG_BUF(INFINITY)" sheetId="207" state="hidden" r:id="rId72"/>
    <sheet name="FB_DO_BUF_S(INFINITY)" sheetId="204" state="hidden" r:id="rId73"/>
    <sheet name="DO_BUF(INFINITY)" sheetId="208" state="hidden" r:id="rId74"/>
    <sheet name="FB_REG_BUF_S(INFINITY)" sheetId="203" state="hidden" r:id="rId75"/>
    <sheet name="FB_IMv_BUF_S(INFINITY)" sheetId="226" state="hidden" r:id="rId76"/>
    <sheet name="FB_dREG_BUF_S(INFINITY)" sheetId="218" state="hidden" r:id="rId77"/>
    <sheet name="FB_MPS_S(INFINITY)" sheetId="138" state="hidden" r:id="rId78"/>
    <sheet name="FB_SHPS_S(INFINITY)" sheetId="65" state="hidden" r:id="rId79"/>
    <sheet name="FB_BTF_S(INFINITY)" sheetId="79" state="hidden" r:id="rId80"/>
    <sheet name="FB_SHOP_S(INFINITY)" sheetId="66" state="hidden" r:id="rId81"/>
    <sheet name="FB_QSA_S(INFINITY)" sheetId="73" state="hidden" r:id="rId82"/>
    <sheet name="FB_UPP_S(INFINITY)" sheetId="80" state="hidden" r:id="rId83"/>
    <sheet name="FB_UPG_S(INFINITY)" sheetId="89" state="hidden" r:id="rId84"/>
    <sheet name="FB_KL_UPT_S(INFINITY)" sheetId="81" state="hidden" r:id="rId85"/>
    <sheet name="FB_OZK_KD_S(INFINITY)" sheetId="82" state="hidden" r:id="rId86"/>
    <sheet name="FB_SH_ALL(INFINITY)" sheetId="105" state="hidden" r:id="rId87"/>
    <sheet name="FB_SHOP_ALL(INFINITY)" sheetId="106" state="hidden" r:id="rId88"/>
    <sheet name="FB_QSA_ALL(INFINITY)" sheetId="104" state="hidden" r:id="rId89"/>
    <sheet name="FB_DO_STB_S(INFINITY)" sheetId="112" state="hidden" r:id="rId90"/>
    <sheet name="FB_HA_UPI_S(INFINITY)" sheetId="228" state="hidden" r:id="rId91"/>
    <sheet name="ENUM(INFINITY)" sheetId="99" state="hidden" r:id="rId92"/>
    <sheet name="PING(INFINITY)" sheetId="76" state="hidden" r:id="rId93"/>
    <sheet name="TREI_DIAG (INFINITY)" sheetId="156" state="hidden" r:id="rId94"/>
    <sheet name="Разное(INFINITY)" sheetId="35" state="hidden" r:id="rId95"/>
    <sheet name="FB_AI_S(TREI)" sheetId="9" state="hidden" r:id="rId96"/>
    <sheet name="FB_DI_S(TREI)" sheetId="20" state="hidden" r:id="rId97"/>
    <sheet name="FB_DO_S(TREI)" sheetId="93" state="hidden" r:id="rId98"/>
    <sheet name="FB_IMv_S(TREI)" sheetId="57" state="hidden" r:id="rId99"/>
    <sheet name="FB_IMp_S(TREI)" sheetId="58" r:id="rId100"/>
    <sheet name="FB_REG_S(TREI)" sheetId="24" state="hidden" r:id="rId101"/>
    <sheet name="FB_IMstp_S(TREI)" sheetId="12" state="hidden" r:id="rId102"/>
    <sheet name="FB_IMsp_S(TREI)" sheetId="52" state="hidden" r:id="rId103"/>
    <sheet name="FB_IMs_S(TREI)" sheetId="33" state="hidden" r:id="rId104"/>
    <sheet name="FB_IMst_MON_S(TREI)" sheetId="10" state="hidden" r:id="rId105"/>
    <sheet name="FB_IMsp_MON_S(TREI)" sheetId="25" state="hidden" r:id="rId106"/>
    <sheet name="FB_IMt_MON_S(TREI)" sheetId="28" state="hidden" r:id="rId107"/>
    <sheet name="FB_IMtp_MON_S(TREI)" sheetId="26" state="hidden" r:id="rId108"/>
    <sheet name="FB_IMs_MON_S(TREI)" sheetId="61" state="hidden" r:id="rId109"/>
    <sheet name="FB_IMp_MON_S(TREI)" sheetId="60" state="hidden" r:id="rId110"/>
    <sheet name="FB_IM_ADES_S(TREI)" sheetId="90" state="hidden" r:id="rId111"/>
    <sheet name="FB_IMv_MON_S(TREI)" sheetId="59" state="hidden" r:id="rId112"/>
    <sheet name="DI(TREI)" sheetId="38" state="hidden" r:id="rId113"/>
    <sheet name="DI_DIAG(TREI)" sheetId="70" state="hidden" r:id="rId114"/>
    <sheet name="DO_DIAG(TREI)" sheetId="150" state="hidden" r:id="rId115"/>
    <sheet name="DO(TREI)" sheetId="54" state="hidden" r:id="rId116"/>
    <sheet name="AO(TREI)" sheetId="158" state="hidden" r:id="rId117"/>
    <sheet name="AI(TREI)" sheetId="43" state="hidden" r:id="rId118"/>
    <sheet name="AI_SLIM(TREI)" sheetId="190" state="hidden" r:id="rId119"/>
    <sheet name="FB_RIM_S(TREI)" sheetId="151" state="hidden" r:id="rId120"/>
    <sheet name="FB_AI_BUF_S(TREI)" sheetId="193" state="hidden" r:id="rId121"/>
    <sheet name="AI_BUF(TREI)" sheetId="212" state="hidden" r:id="rId122"/>
    <sheet name="AI_SLIM_BUF(TREI)" sheetId="216" state="hidden" r:id="rId123"/>
    <sheet name="FB_DI_BUF_S(TREI)" sheetId="198" state="hidden" r:id="rId124"/>
    <sheet name="DI_DIAG_BUF(TREI)" sheetId="213" state="hidden" r:id="rId125"/>
    <sheet name="DI_BUF(TREI)" sheetId="210" state="hidden" r:id="rId126"/>
    <sheet name="FB_DO_BUF_S(TREI)" sheetId="202" state="hidden" r:id="rId127"/>
    <sheet name="DO_BUF(TREI)" sheetId="211" state="hidden" r:id="rId128"/>
    <sheet name="FB_REG_BUF_S(TREI)" sheetId="201" state="hidden" r:id="rId129"/>
    <sheet name="FB_dREG_BUF_S(TREI)" sheetId="219" state="hidden" r:id="rId130"/>
    <sheet name="FB_IMv_BUF_S(TREI)" sheetId="199" state="hidden" r:id="rId131"/>
    <sheet name="FB_SHPS_S(TREI)" sheetId="67" state="hidden" r:id="rId132"/>
    <sheet name="FB_BTF_S(TREI)" sheetId="83" state="hidden" r:id="rId133"/>
    <sheet name="FB_UPP_S(TREI)" sheetId="88" state="hidden" r:id="rId134"/>
    <sheet name="FB_UPG_S(TREI)" sheetId="87" state="hidden" r:id="rId135"/>
    <sheet name="FB_KL_UPT_S(TREI)" sheetId="85" r:id="rId136"/>
    <sheet name="FB_OZK_KD_S(TREI)" sheetId="86" state="hidden" r:id="rId137"/>
    <sheet name="FB_SHOP_S(TREI)" sheetId="68" state="hidden" r:id="rId138"/>
    <sheet name="FB_QSA_S(TREI)" sheetId="74" state="hidden" r:id="rId139"/>
    <sheet name="FB_SH_ALL(TREI)" sheetId="107" state="hidden" r:id="rId140"/>
    <sheet name="FB_SHOP_ALL(TREI)" sheetId="108" state="hidden" r:id="rId141"/>
    <sheet name="FB_QSA_ALL(TREI)" sheetId="109" state="hidden" r:id="rId142"/>
    <sheet name="FB_DO_STB_S(TREI)" sheetId="113" state="hidden" r:id="rId143"/>
    <sheet name="FB_MPS_S (TREI)" sheetId="139" state="hidden" r:id="rId144"/>
    <sheet name="FB_HA_UPI_S(TREI)" sheetId="229" state="hidden" r:id="rId145"/>
    <sheet name="ENUM(TREI)" sheetId="100" state="hidden" r:id="rId146"/>
    <sheet name="Разное(TREI)" sheetId="36" state="hidden" r:id="rId147"/>
    <sheet name="Диагностика(TREI)" sheetId="128" state="hidden" r:id="rId148"/>
    <sheet name="FB_AI_S(ST-TREI)" sheetId="120" state="hidden" r:id="rId149"/>
    <sheet name="FB_DI_S(ST-TREI)" sheetId="121" state="hidden" r:id="rId150"/>
    <sheet name="DI_DIAG(ST-TREI)" sheetId="147" state="hidden" r:id="rId151"/>
    <sheet name="DO_DIAG(ST-TREI)" sheetId="148" state="hidden" r:id="rId152"/>
    <sheet name="FB_IMp_S(ST-TREI)" sheetId="123" state="hidden" r:id="rId153"/>
    <sheet name="FB_DO_S(ST-TREI)" sheetId="154" state="hidden" r:id="rId154"/>
    <sheet name="FB_IMv_S(ST-TREI)" sheetId="125" state="hidden" r:id="rId155"/>
    <sheet name="FB_IM_ADES_S(ST-TREI)" sheetId="124" state="hidden" r:id="rId156"/>
    <sheet name="FB_REG_S(ST-TREI)" sheetId="126" state="hidden" r:id="rId157"/>
    <sheet name="FB_dREG_S(ST-TREI)" sheetId="221" state="hidden" r:id="rId158"/>
    <sheet name="FB_IMstp_S(ST-TREI)" sheetId="116" state="hidden" r:id="rId159"/>
    <sheet name="FB_IMsp_S(ST-TREI)" sheetId="129" state="hidden" r:id="rId160"/>
    <sheet name="FB_IMs_S(ST-TREI)" sheetId="130" state="hidden" r:id="rId161"/>
    <sheet name="FB_IMst_MON_S(ST-TREI)" sheetId="131" state="hidden" r:id="rId162"/>
    <sheet name="FB_IMt_MON_S(ST-TREI)" sheetId="132" state="hidden" r:id="rId163"/>
    <sheet name="FB_IMsp_MON_S(ST-TREI)" sheetId="133" state="hidden" r:id="rId164"/>
    <sheet name="FB_IMs_MON_S(ST-TREI)" sheetId="134" state="hidden" r:id="rId165"/>
    <sheet name="FB_IMp_MON_S(ST-TREI)" sheetId="136" state="hidden" r:id="rId166"/>
    <sheet name="FB_IMv_MON_S(ST-TREI)" sheetId="137" state="hidden" r:id="rId167"/>
    <sheet name="FB_QSA_S(ST-TREI)" sheetId="153" state="hidden" r:id="rId168"/>
    <sheet name="FB_SHOP_S(ST-TREI)" sheetId="142" state="hidden" r:id="rId169"/>
    <sheet name="FB_SHPS_S(ST-TREI)" sheetId="143" state="hidden" r:id="rId170"/>
    <sheet name="FB_BTF_S(ST-TREI)" sheetId="144" state="hidden" r:id="rId171"/>
    <sheet name="FB_KL_UPT_S(ST-TREI)" sheetId="145" state="hidden" r:id="rId172"/>
    <sheet name="FB_OZK_KD_S(ST-TREI)" sheetId="146" state="hidden" r:id="rId173"/>
    <sheet name="FB_DO_STB_S(ST-TREI)" sheetId="227" state="hidden" r:id="rId174"/>
    <sheet name="FB_AI_S(INFINITY-TR)" sheetId="167" state="hidden" r:id="rId175"/>
    <sheet name="FB_AI_BUF_S(INFINITY-TR)" sheetId="222" state="hidden" r:id="rId176"/>
    <sheet name="AI(INFINITY-TR)" sheetId="168" state="hidden" r:id="rId177"/>
    <sheet name="AI_BUF(INFINITY-TR)" sheetId="235" state="hidden" r:id="rId178"/>
    <sheet name="AI_SLIM(INFINITY-TR)" sheetId="191" state="hidden" r:id="rId179"/>
    <sheet name="AI_SLIM_BUF(INFINITY-TR)" sheetId="236" state="hidden" r:id="rId180"/>
    <sheet name="FB_REG_S(INFINITY-TR)" sheetId="170" state="hidden" r:id="rId181"/>
    <sheet name="FB_REG_BUF_S(INFINITY-TR)" sheetId="275" state="hidden" r:id="rId182"/>
    <sheet name="FB_dREG_BUF_S(INFINITY-TR)" sheetId="237" state="hidden" r:id="rId183"/>
    <sheet name="FB_QSA_S(INFINITY-TR)" sheetId="171" state="hidden" r:id="rId184"/>
    <sheet name="SEPAM_OL(INFINITY-TR)" sheetId="173" state="hidden" r:id="rId185"/>
    <sheet name="SEPAM_VV(INFINITY-TR)" sheetId="177" state="hidden" r:id="rId186"/>
    <sheet name="SEPAM_SV(INFINITY-TR)" sheetId="178" state="hidden" r:id="rId187"/>
    <sheet name="SEPAM_TN(INFINITY-TR)" sheetId="179" state="hidden" r:id="rId188"/>
    <sheet name="TOR_OL(INFINITY-TR)" sheetId="261" state="hidden" r:id="rId189"/>
    <sheet name="TOR_VV(INFINITY-TR)" sheetId="262" state="hidden" r:id="rId190"/>
    <sheet name="TOR_SV(INFINITY-TR)" sheetId="263" state="hidden" r:id="rId191"/>
    <sheet name="TOR_TN(INFINITY-TR)" sheetId="264" state="hidden" r:id="rId192"/>
    <sheet name="TOR_BK(INFINITY-TR)" sheetId="265" state="hidden" r:id="rId193"/>
    <sheet name="BMRZ(INFINITY-TR)" sheetId="224" state="hidden" r:id="rId194"/>
    <sheet name="FB_AI_S(INFINITY-HIS)" sheetId="29" state="hidden" r:id="rId195"/>
    <sheet name="FB_AI_BUF_S(INFINITY-HIS)" sheetId="195" state="hidden" r:id="rId196"/>
    <sheet name="FB_REG_S(INFINITY-HIS)" sheetId="30" state="hidden" r:id="rId197"/>
    <sheet name="FB_REG_BUF_S(INFINITY-HIS)" sheetId="205" state="hidden" r:id="rId198"/>
    <sheet name="FB_dREG_BUF_S(INFINITY-HIS)" sheetId="220" state="hidden" r:id="rId199"/>
    <sheet name="AI(INFINITY-HIS)" sheetId="47" state="hidden" r:id="rId200"/>
    <sheet name="AI_BUF(INFINITY-HIS)" sheetId="214" state="hidden" r:id="rId201"/>
    <sheet name="AI_SLIM(INFINITY-HIS)" sheetId="192" state="hidden" r:id="rId202"/>
    <sheet name="AI_SLIM_BUF(INFINITY-HIS)" sheetId="217" state="hidden" r:id="rId203"/>
    <sheet name="FB_QSA_S(INFINITY-HIS)" sheetId="75" state="hidden" r:id="rId204"/>
    <sheet name="SEPAM_OL(INFINITY-HIS)" sheetId="172" state="hidden" r:id="rId205"/>
    <sheet name="SEPAM_VV(INFINITY-HIS)" sheetId="174" state="hidden" r:id="rId206"/>
    <sheet name="SEPAM_SV(INFINITY-HIS)" sheetId="175" state="hidden" r:id="rId207"/>
    <sheet name="SEPAM_TN(INFINITY-HIS)" sheetId="176" state="hidden" r:id="rId208"/>
    <sheet name="TOR_OL(INFINITY-HIS)" sheetId="266" state="hidden" r:id="rId209"/>
    <sheet name="TOR_VV(INFINITY-HIS)" sheetId="267" state="hidden" r:id="rId210"/>
    <sheet name="TOR_SV(INFINITY-HIS)" sheetId="268" state="hidden" r:id="rId211"/>
    <sheet name="TOR_TN(INFINITY-HIS)" sheetId="269" state="hidden" r:id="rId212"/>
    <sheet name="TOR_BK(INFINITY-HIS)" sheetId="270" state="hidden" r:id="rId213"/>
    <sheet name="BMRZ(INFINITY-HIS)" sheetId="225" state="hidden" r:id="rId214"/>
    <sheet name="TIME_STAMPS(TREI)" sheetId="184" state="hidden" r:id="rId215"/>
    <sheet name="TIME_STAMPS(INFINITY)" sheetId="183" state="hidden" r:id="rId216"/>
    <sheet name="Упаковка Modbus" sheetId="159" state="hidden" r:id="rId217"/>
    <sheet name="CRC" sheetId="234" state="hidden" r:id="rId218"/>
    <sheet name="CRC (Project)" sheetId="233" state="hidden" r:id="rId219"/>
    <sheet name="История изменений" sheetId="48" state="hidden" r:id="rId220"/>
  </sheets>
  <definedNames>
    <definedName name="_1.txt" localSheetId="10">'FB_AI_S(INFINITY)'!#REF!</definedName>
    <definedName name="_xlnm._FilterDatabase" localSheetId="32" hidden="1">'AI(INFINITY)'!$B$1:$B$94</definedName>
    <definedName name="_xlnm._FilterDatabase" localSheetId="58" hidden="1">'BMPA(INFINITY)'!$B$1:$B$229</definedName>
    <definedName name="_xlnm._FilterDatabase" localSheetId="56" hidden="1">'BMRZ_VV(INFINITY)'!$B$1:$B$288</definedName>
    <definedName name="_xlnm._FilterDatabase" localSheetId="27" hidden="1">'DI(INFINITY)'!$B$1:$B$35</definedName>
    <definedName name="_xlnm._FilterDatabase" localSheetId="28" hidden="1">'DI_DIAG(INFINITY)'!$B$1:$B$50</definedName>
    <definedName name="_xlnm._FilterDatabase" localSheetId="10" hidden="1">'FB_AI_S(INFINITY)'!$B$1:$B$492</definedName>
    <definedName name="_xlnm._FilterDatabase" localSheetId="79" hidden="1">'FB_BTF_S(INFINITY)'!$B$1:$B$243</definedName>
    <definedName name="_xlnm._FilterDatabase" localSheetId="11" hidden="1">'FB_DI_S(INFINITY)'!$B$1:$B$142</definedName>
    <definedName name="_xlnm._FilterDatabase" localSheetId="12" hidden="1">'FB_DO_S(INFINITY)'!$B$1:$B$296</definedName>
    <definedName name="_xlnm._FilterDatabase" localSheetId="89" hidden="1">'FB_DO_STB_S(INFINITY)'!$B$1:$B$87</definedName>
    <definedName name="_xlnm._FilterDatabase" localSheetId="16" hidden="1">'FB_IM_ADES_S(INFINITY)'!$B$1:$B$602</definedName>
    <definedName name="_xlnm._FilterDatabase" localSheetId="25" hidden="1">'FB_IMp_MON_S(INFINITY)'!$B$1:$B$197</definedName>
    <definedName name="_xlnm._FilterDatabase" localSheetId="14" hidden="1">'FB_IMp_S(INFINITY)'!$B$1:$B$539</definedName>
    <definedName name="_xlnm._FilterDatabase" localSheetId="24" hidden="1">'FB_IMs_MON_S(INFINITY)'!$B$1:$B$180</definedName>
    <definedName name="_xlnm._FilterDatabase" localSheetId="18" hidden="1">'FB_IMs_S(INFINITY)'!$B$1:$B$595</definedName>
    <definedName name="_xlnm._FilterDatabase" localSheetId="21" hidden="1">'FB_IMsp_MON_S(INFINITY)'!$B$1:$B$270</definedName>
    <definedName name="_xlnm._FilterDatabase" localSheetId="19" hidden="1">'FB_IMsp_S(INFINITY)'!$B$1:$B$677</definedName>
    <definedName name="_xlnm._FilterDatabase" localSheetId="20" hidden="1">'FB_IMst_MON_S(INFINITY)'!$B$1:$B$259</definedName>
    <definedName name="_xlnm._FilterDatabase" localSheetId="17" hidden="1">'FB_IMstp_S(INFINITY)'!$B$1:$B$749</definedName>
    <definedName name="_xlnm._FilterDatabase" localSheetId="22" hidden="1">'FB_IMt_MON_S(INFINITY)'!$B$1:$B$186</definedName>
    <definedName name="_xlnm._FilterDatabase" localSheetId="23" hidden="1">'FB_IMtp_MON_S(INFINITY)'!$B$1:$B$280</definedName>
    <definedName name="_xlnm._FilterDatabase" localSheetId="26" hidden="1">'FB_IMv_MON_S(INFINITY)'!$B$1:$B$180</definedName>
    <definedName name="_xlnm._FilterDatabase" localSheetId="13" hidden="1">'FB_IMv_S(INFINITY)'!$B$1:$B$555</definedName>
    <definedName name="_xlnm._FilterDatabase" localSheetId="84" hidden="1">'FB_KL_UPT_S(INFINITY)'!$B$1:$B$114</definedName>
    <definedName name="_xlnm._FilterDatabase" localSheetId="85" hidden="1">'FB_OZK_KD_S(INFINITY)'!$B$1:$B$336</definedName>
    <definedName name="_xlnm._FilterDatabase" localSheetId="88" hidden="1">'FB_QSA_ALL(INFINITY)'!$B$1:$B$65</definedName>
    <definedName name="_xlnm._FilterDatabase" localSheetId="81" hidden="1">'FB_QSA_S(INFINITY)'!$B$1:$B$376</definedName>
    <definedName name="_xlnm._FilterDatabase" localSheetId="15" hidden="1">'FB_REG_S(INFINITY)'!$B$1:$B$504</definedName>
    <definedName name="_xlnm._FilterDatabase" localSheetId="86" hidden="1">'FB_SH_ALL(INFINITY)'!$B$1:$B$98</definedName>
    <definedName name="_xlnm._FilterDatabase" localSheetId="87" hidden="1">'FB_SHOP_ALL(INFINITY)'!$B$1:$B$72</definedName>
    <definedName name="_xlnm._FilterDatabase" localSheetId="80" hidden="1">'FB_SHOP_S(INFINITY)'!$B$1:$B$129</definedName>
    <definedName name="_xlnm._FilterDatabase" localSheetId="78" hidden="1">'FB_SHPS_S(INFINITY)'!$B$1:$B$163</definedName>
    <definedName name="_xlnm._FilterDatabase" localSheetId="83" hidden="1">'FB_UPG_S(INFINITY)'!$B$1:$B$459</definedName>
    <definedName name="_xlnm._FilterDatabase" localSheetId="82" hidden="1">'FB_UPP_S(INFINITY)'!$B$1:$B$442</definedName>
    <definedName name="_xlnm._FilterDatabase" localSheetId="38" hidden="1">'IM_ADES(INFINITY)'!$B$1:$B$24</definedName>
    <definedName name="_xlnm._FilterDatabase" localSheetId="34" hidden="1">'IMp(INFINITY)'!$B$1:$B$192</definedName>
    <definedName name="_xlnm._FilterDatabase" localSheetId="36" hidden="1">'IMp_MON(INFINITY)'!$B$1:$B$131</definedName>
    <definedName name="_xlnm._FilterDatabase" localSheetId="41" hidden="1">'IMs_MON(INFINITY)'!$B$1:$B$115</definedName>
    <definedName name="_xlnm._FilterDatabase" localSheetId="40" hidden="1">'IMsp(INFINITY)'!$B$1:$B$216</definedName>
    <definedName name="_xlnm._FilterDatabase" localSheetId="42" hidden="1">'IMsp_MON(INFINITY)'!$B$1:$B$19</definedName>
    <definedName name="_xlnm._FilterDatabase" localSheetId="39" hidden="1">'IMstp(INFINITY)'!$B$1:$B$19</definedName>
    <definedName name="_xlnm._FilterDatabase" localSheetId="43" hidden="1">'IMt_MON(INFINITY)'!$B$1:$B$19</definedName>
    <definedName name="_xlnm._FilterDatabase" localSheetId="35" hidden="1">'IMv(INFINITY)'!$B$1:$B$193</definedName>
    <definedName name="_xlnm._FilterDatabase" localSheetId="37" hidden="1">'IMv_MON(INFINITY)'!$B$1:$B$19</definedName>
    <definedName name="_xlnm._FilterDatabase" localSheetId="59" hidden="1">'IMv_SIM(INFINITY)'!$B$1:$B$36</definedName>
    <definedName name="_xlnm._FilterDatabase" localSheetId="65" hidden="1">'SYS_DIAG(INFINITY)'!$B$1:$B$129</definedName>
    <definedName name="_xlnm._FilterDatabase" localSheetId="50" hidden="1">'TOR_OL(INFINITY)'!$B$1:$B$554</definedName>
    <definedName name="_xlnm._FilterDatabase" localSheetId="52" hidden="1">'TOR_SV(INFINITY)'!$B$1:$B$434</definedName>
    <definedName name="_xlnm._FilterDatabase" localSheetId="53" hidden="1">'TOR_TN(INFINITY)'!$B$1:$B$417</definedName>
    <definedName name="_xlnm._FilterDatabase" localSheetId="51" hidden="1">'TOR_VV(INFINITY)'!$B$1:$B$434</definedName>
    <definedName name="_xlnm._FilterDatabase" localSheetId="94" hidden="1">'Разное(INFINITY)'!$B$1:$B$59</definedName>
    <definedName name="_xlnm._FilterDatabase" localSheetId="2" hidden="1">'Результат(INFINITY)'!#REF!</definedName>
    <definedName name="_xlnm._FilterDatabase" localSheetId="6" hidden="1">'Результат(ST-TREI)'!#REF!</definedName>
    <definedName name="_xlnm._FilterDatabase" localSheetId="0" hidden="1">Таблица!$B$1:$AQ$507</definedName>
    <definedName name="IM_sp_MON" localSheetId="25">'FB_IMp_MON_S(INFINITY)'!$A$20:$D$150</definedName>
    <definedName name="IM_sp_MON" localSheetId="24">'FB_IMs_MON_S(INFINITY)'!$A$20:$D$180</definedName>
    <definedName name="IM_sp_MON" localSheetId="21">'FB_IMsp_MON_S(INFINITY)'!$A$20:$D$270</definedName>
    <definedName name="IM_sp_MON" localSheetId="22">'FB_IMt_MON_S(INFINITY)'!$A$20:$D$168</definedName>
    <definedName name="IM_sp_MON" localSheetId="23">'FB_IMtp_MON_S(INFINITY)'!$A$20:$D$280</definedName>
    <definedName name="IM_sp_MON" localSheetId="26">'FB_IMv_MON_S(INFINITY)'!$A$20:$D$162</definedName>
    <definedName name="IM_sp_MON" localSheetId="36">'IMp_MON(INFINITY)'!$A$20:$D$114</definedName>
    <definedName name="IM_sp_MON" localSheetId="41">'IMs_MON(INFINITY)'!#REF!</definedName>
    <definedName name="IM_sp_MON" localSheetId="42">'IMsp_MON(INFINITY)'!#REF!</definedName>
    <definedName name="IM_sp_MON" localSheetId="43">'IMt_MON(INFINITY)'!#REF!</definedName>
    <definedName name="IM_sp_MON" localSheetId="37">'IMv_MON(INFINITY)'!#REF!</definedName>
    <definedName name="IM_sp_MON" localSheetId="59">'IMv_SIM(INFINITY)'!$A$20:$D$22</definedName>
    <definedName name="IM_sp_MON_1" localSheetId="41">'IMs_MON(INFINITY)'!#REF!</definedName>
    <definedName name="IM_sp_MON_1" localSheetId="42">'IMsp_MON(INFINITY)'!#REF!</definedName>
    <definedName name="IM_sp_MON_1" localSheetId="43">'IMt_MON(INFINITY)'!#REF!</definedName>
    <definedName name="IM_sp_MON_1" localSheetId="37">'IMv_MON(INFINITY)'!#REF!</definedName>
    <definedName name="IM_sp_MON_2" localSheetId="41">'IMs_MON(INFINITY)'!$A$21:$D$104</definedName>
    <definedName name="IM_sp_MON_2" localSheetId="42">'IMsp_MON(INFINITY)'!$A$21:$D$131</definedName>
    <definedName name="IM_sp_MON_2" localSheetId="43">'IMt_MON(INFINITY)'!$A$21:$D$110</definedName>
    <definedName name="IM_sp_MON_2" localSheetId="37">'IMv_MON(INFINITY)'!$A$21:$D$115</definedName>
    <definedName name="IM_st_MON_1" localSheetId="21">'FB_IMsp_MON_S(INFINITY)'!#REF!</definedName>
    <definedName name="IM_st_MON_1" localSheetId="20">'FB_IMst_MON_S(INFINITY)'!$A$22:$D$241</definedName>
    <definedName name="IM_st_MON_1" localSheetId="22">'FB_IMt_MON_S(INFINITY)'!#REF!</definedName>
    <definedName name="IM_st_MON_1" localSheetId="23">'FB_IMtp_MON_S(INFINITY)'!#REF!</definedName>
    <definedName name="IM_st_MON_1" localSheetId="42">'IMsp_MON(INFINITY)'!#REF!</definedName>
    <definedName name="IM_st_MON_1" localSheetId="43">'IMt_MON(INFINITY)'!#REF!</definedName>
    <definedName name="Тип_блока">Настройки!$I$25:$I$35</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4" i="58" l="1"/>
  <c r="A12" i="85" l="1"/>
  <c r="A11" i="85"/>
  <c r="A69" i="58"/>
  <c r="A68" i="58"/>
  <c r="A61" i="87" l="1"/>
  <c r="A53" i="88"/>
  <c r="A56" i="86" l="1"/>
  <c r="A55" i="86"/>
  <c r="A43" i="58"/>
  <c r="A42" i="58"/>
  <c r="A4" i="145" l="1"/>
  <c r="A7" i="85"/>
  <c r="A15" i="74" l="1"/>
  <c r="A52" i="88" l="1"/>
  <c r="A4" i="144" l="1"/>
  <c r="A60" i="87"/>
  <c r="A4" i="142"/>
  <c r="A1115" i="156" l="1"/>
  <c r="A1114" i="156"/>
  <c r="A1113" i="156"/>
  <c r="A1112" i="156"/>
  <c r="A1111" i="156"/>
  <c r="D1110" i="156"/>
  <c r="A1110" i="156"/>
  <c r="A1109" i="156"/>
  <c r="D1108" i="156"/>
  <c r="A1108" i="156"/>
  <c r="A1107" i="156"/>
  <c r="A1106" i="156"/>
  <c r="A1105" i="156"/>
  <c r="A1104" i="156"/>
  <c r="D1103" i="156"/>
  <c r="A1103" i="156"/>
  <c r="A1102" i="156"/>
  <c r="A1101" i="156"/>
  <c r="A1100" i="156"/>
  <c r="A1099" i="156"/>
  <c r="A1098" i="156"/>
  <c r="A1097" i="156"/>
  <c r="D1096" i="156"/>
  <c r="A1096" i="156"/>
  <c r="A1095" i="156"/>
  <c r="A1094" i="156"/>
  <c r="A1093" i="156"/>
  <c r="A1092" i="156"/>
  <c r="A1091" i="156"/>
  <c r="A1090" i="156"/>
  <c r="D1089" i="156"/>
  <c r="A1089" i="156"/>
  <c r="A1088" i="156"/>
  <c r="A1087" i="156"/>
  <c r="A1086" i="156"/>
  <c r="A1085" i="156"/>
  <c r="A1084" i="156"/>
  <c r="A1083" i="156"/>
  <c r="D1082" i="156"/>
  <c r="A1082" i="156"/>
  <c r="A1081" i="156"/>
  <c r="A1080" i="156"/>
  <c r="A1079" i="156"/>
  <c r="A1078" i="156"/>
  <c r="A1077" i="156"/>
  <c r="D1076" i="156"/>
  <c r="A1076" i="156"/>
  <c r="A1075" i="156"/>
  <c r="A1074" i="156"/>
  <c r="A1073" i="156"/>
  <c r="A1072" i="156"/>
  <c r="A1071" i="156"/>
  <c r="A1070" i="156"/>
  <c r="A1069" i="156"/>
  <c r="A1068" i="156"/>
  <c r="A1067" i="156"/>
  <c r="A1066" i="156"/>
  <c r="A1065" i="156"/>
  <c r="A1064" i="156"/>
  <c r="A1063" i="156"/>
  <c r="A1062" i="156"/>
  <c r="A1061" i="156"/>
  <c r="A1060" i="156"/>
  <c r="A1059" i="156"/>
  <c r="A1058" i="156"/>
  <c r="A1057" i="156"/>
  <c r="A1056" i="156"/>
  <c r="A1055" i="156"/>
  <c r="A1054" i="156"/>
  <c r="A1053" i="156"/>
  <c r="A1052" i="156"/>
  <c r="A1051" i="156"/>
  <c r="A1050" i="156"/>
  <c r="A1049" i="156"/>
  <c r="A1048" i="156"/>
  <c r="A1047" i="156"/>
  <c r="A1046" i="156"/>
  <c r="A1045" i="156"/>
  <c r="A1044" i="156"/>
  <c r="A1043" i="156"/>
  <c r="A1042" i="156"/>
  <c r="A1041" i="156"/>
  <c r="A1040" i="156"/>
  <c r="A1039" i="156"/>
  <c r="A1038" i="156"/>
  <c r="A1037" i="156"/>
  <c r="A1036" i="156"/>
  <c r="A1035" i="156"/>
  <c r="A1034" i="156"/>
  <c r="A1033" i="156"/>
  <c r="A1032" i="156"/>
  <c r="A1031" i="156"/>
  <c r="A1030" i="156"/>
  <c r="A1029" i="156"/>
  <c r="A1028" i="156"/>
  <c r="A1027" i="156"/>
  <c r="A1026" i="156"/>
  <c r="A1025" i="156"/>
  <c r="A1024" i="156"/>
  <c r="A1023" i="156"/>
  <c r="A1022" i="156"/>
  <c r="A1021" i="156"/>
  <c r="A1020" i="156"/>
  <c r="A1019" i="156"/>
  <c r="A1018" i="156"/>
  <c r="A1017" i="156"/>
  <c r="A1016" i="156"/>
  <c r="A1015" i="156"/>
  <c r="A1014" i="156"/>
  <c r="A1013" i="156"/>
  <c r="A1012" i="156"/>
  <c r="A1011" i="156"/>
  <c r="A1010" i="156"/>
  <c r="A1009" i="156"/>
  <c r="A1008" i="156"/>
  <c r="A1007" i="156"/>
  <c r="A1006" i="156"/>
  <c r="A1005" i="156"/>
  <c r="A1004" i="156"/>
  <c r="A1003" i="156"/>
  <c r="A1002" i="156"/>
  <c r="A1001" i="156"/>
  <c r="A1000" i="156"/>
  <c r="A999" i="156"/>
  <c r="A998" i="156"/>
  <c r="A997" i="156"/>
  <c r="A996" i="156"/>
  <c r="A995" i="156"/>
  <c r="A994" i="156"/>
  <c r="A993" i="156"/>
  <c r="A992" i="156"/>
  <c r="A991" i="156"/>
  <c r="A990" i="156"/>
  <c r="A989" i="156"/>
  <c r="A988" i="156"/>
  <c r="A987" i="156"/>
  <c r="A986" i="156"/>
  <c r="A985" i="156"/>
  <c r="A984" i="156"/>
  <c r="A983" i="156"/>
  <c r="A982" i="156"/>
  <c r="A981" i="156"/>
  <c r="A980" i="156"/>
  <c r="A979" i="156"/>
  <c r="A978" i="156"/>
  <c r="A977" i="156"/>
  <c r="A976" i="156"/>
  <c r="A975" i="156"/>
  <c r="A974" i="156"/>
  <c r="A973" i="156"/>
  <c r="A972" i="156"/>
  <c r="A971" i="156"/>
  <c r="A970" i="156"/>
  <c r="A969" i="156"/>
  <c r="A968" i="156"/>
  <c r="A967" i="156"/>
  <c r="A966" i="156"/>
  <c r="A965" i="156"/>
  <c r="A964" i="156"/>
  <c r="A963" i="156"/>
  <c r="A962" i="156"/>
  <c r="A961" i="156"/>
  <c r="A960" i="156"/>
  <c r="A959" i="156"/>
  <c r="A958" i="156"/>
  <c r="A957" i="156"/>
  <c r="A956" i="156"/>
  <c r="A955" i="156"/>
  <c r="A954" i="156"/>
  <c r="A953" i="156"/>
  <c r="A952" i="156"/>
  <c r="A951" i="156"/>
  <c r="A950" i="156"/>
  <c r="A949" i="156"/>
  <c r="A948" i="156"/>
  <c r="A947" i="156"/>
  <c r="A946" i="156"/>
  <c r="A945" i="156"/>
  <c r="A944" i="156"/>
  <c r="A943" i="156"/>
  <c r="A942" i="156"/>
  <c r="A941" i="156"/>
  <c r="A940" i="156"/>
  <c r="A939" i="156"/>
  <c r="A938" i="156"/>
  <c r="A937" i="156"/>
  <c r="A936" i="156"/>
  <c r="A935" i="156"/>
  <c r="A934" i="156"/>
  <c r="A933" i="156"/>
  <c r="A932" i="156"/>
  <c r="A931" i="156"/>
  <c r="A930" i="156"/>
  <c r="A929" i="156"/>
  <c r="A928" i="156"/>
  <c r="A927" i="156"/>
  <c r="A926" i="156"/>
  <c r="A925" i="156"/>
  <c r="A924" i="156"/>
  <c r="A923" i="156"/>
  <c r="A922" i="156"/>
  <c r="A921" i="156"/>
  <c r="A920" i="156"/>
  <c r="A919" i="156"/>
  <c r="A918" i="156"/>
  <c r="A917" i="156"/>
  <c r="A916" i="156"/>
  <c r="A915" i="156"/>
  <c r="A914" i="156"/>
  <c r="A913" i="156"/>
  <c r="A912" i="156"/>
  <c r="A911" i="156"/>
  <c r="A910" i="156"/>
  <c r="A909" i="156"/>
  <c r="A908" i="156"/>
  <c r="A907" i="156"/>
  <c r="A906" i="156"/>
  <c r="A905" i="156"/>
  <c r="A904" i="156"/>
  <c r="A903" i="156"/>
  <c r="A902" i="156"/>
  <c r="A901" i="156"/>
  <c r="A900" i="156"/>
  <c r="A899" i="156"/>
  <c r="A898" i="156"/>
  <c r="A897" i="156"/>
  <c r="A896" i="156"/>
  <c r="A895" i="156"/>
  <c r="A894" i="156"/>
  <c r="D889" i="156"/>
  <c r="A893" i="156"/>
  <c r="A892" i="156"/>
  <c r="A891" i="156"/>
  <c r="A890" i="156"/>
  <c r="A889" i="156"/>
  <c r="D1065" i="156"/>
  <c r="D1064" i="156"/>
  <c r="D1055" i="156"/>
  <c r="D1054" i="156"/>
  <c r="D1045" i="156"/>
  <c r="D1044" i="156"/>
  <c r="D1035" i="156"/>
  <c r="D1034" i="156"/>
  <c r="D1025" i="156"/>
  <c r="D1024" i="156"/>
  <c r="D1015" i="156"/>
  <c r="D1014" i="156"/>
  <c r="D1005" i="156"/>
  <c r="D1004" i="156"/>
  <c r="D995" i="156"/>
  <c r="D994" i="156"/>
  <c r="D985" i="156"/>
  <c r="D984" i="156"/>
  <c r="D975" i="156"/>
  <c r="D974" i="156"/>
  <c r="D965" i="156"/>
  <c r="D964" i="156"/>
  <c r="D955" i="156"/>
  <c r="D954" i="156"/>
  <c r="D945" i="156"/>
  <c r="D944" i="156"/>
  <c r="D935" i="156"/>
  <c r="D934" i="156"/>
  <c r="D925" i="156"/>
  <c r="D924" i="156"/>
  <c r="D915" i="156"/>
  <c r="D914" i="156"/>
  <c r="D905" i="156"/>
  <c r="D904" i="156"/>
  <c r="D895" i="156"/>
  <c r="D894" i="156"/>
  <c r="D893" i="156"/>
  <c r="D890" i="156"/>
  <c r="A888" i="156"/>
  <c r="A887" i="156"/>
  <c r="A886" i="156"/>
  <c r="A885" i="156"/>
  <c r="A884" i="156"/>
  <c r="A883" i="156"/>
  <c r="A882" i="156"/>
  <c r="A881" i="156"/>
  <c r="A880" i="156"/>
  <c r="A879" i="156"/>
  <c r="A878" i="156"/>
  <c r="A877" i="156"/>
  <c r="A876" i="156"/>
  <c r="A875" i="156"/>
  <c r="A874" i="156"/>
  <c r="A873" i="156"/>
  <c r="A872" i="156"/>
  <c r="A871" i="156"/>
  <c r="A870" i="156"/>
  <c r="A869" i="156"/>
  <c r="A868" i="156"/>
  <c r="A867" i="156"/>
  <c r="A866" i="156"/>
  <c r="A865" i="156"/>
  <c r="A864" i="156"/>
  <c r="A863" i="156"/>
  <c r="A862" i="156"/>
  <c r="A861" i="156"/>
  <c r="A860" i="156"/>
  <c r="A859" i="156"/>
  <c r="A858" i="156"/>
  <c r="A857" i="156"/>
  <c r="A856" i="156"/>
  <c r="A855" i="156"/>
  <c r="A854" i="156"/>
  <c r="A853" i="156"/>
  <c r="A852" i="156"/>
  <c r="A851" i="156"/>
  <c r="A850" i="156"/>
  <c r="A849" i="156"/>
  <c r="A848" i="156"/>
  <c r="A847" i="156"/>
  <c r="A846" i="156"/>
  <c r="A845" i="156"/>
  <c r="A844" i="156"/>
  <c r="A843" i="156"/>
  <c r="A842" i="156"/>
  <c r="A841" i="156"/>
  <c r="A840" i="156"/>
  <c r="A839" i="156"/>
  <c r="A838" i="156"/>
  <c r="A837" i="156"/>
  <c r="A836" i="156"/>
  <c r="A835" i="156"/>
  <c r="A834" i="156"/>
  <c r="A833" i="156"/>
  <c r="A832" i="156"/>
  <c r="A831" i="156"/>
  <c r="A830" i="156"/>
  <c r="A829" i="156"/>
  <c r="A828" i="156"/>
  <c r="A827" i="156"/>
  <c r="A826" i="156"/>
  <c r="A825" i="156"/>
  <c r="A824" i="156"/>
  <c r="A823" i="156"/>
  <c r="A822" i="156"/>
  <c r="A821" i="156"/>
  <c r="A820" i="156"/>
  <c r="A819" i="156"/>
  <c r="A818" i="156"/>
  <c r="A817" i="156"/>
  <c r="A816" i="156"/>
  <c r="A815" i="156"/>
  <c r="A814" i="156"/>
  <c r="A813" i="156"/>
  <c r="A812" i="156"/>
  <c r="A811" i="156"/>
  <c r="A810" i="156"/>
  <c r="A809" i="156"/>
  <c r="A808" i="156"/>
  <c r="A807" i="156"/>
  <c r="A806" i="156"/>
  <c r="A805" i="156"/>
  <c r="A804" i="156"/>
  <c r="A803" i="156"/>
  <c r="A802" i="156"/>
  <c r="A801" i="156"/>
  <c r="A800" i="156"/>
  <c r="A799" i="156"/>
  <c r="A798" i="156"/>
  <c r="A797" i="156"/>
  <c r="A796" i="156"/>
  <c r="A795" i="156"/>
  <c r="A794" i="156"/>
  <c r="A793" i="156"/>
  <c r="A792" i="156"/>
  <c r="A791" i="156"/>
  <c r="A790" i="156"/>
  <c r="A789" i="156"/>
  <c r="A788" i="156"/>
  <c r="A787" i="156"/>
  <c r="A786" i="156"/>
  <c r="A785" i="156"/>
  <c r="A784" i="156"/>
  <c r="A783" i="156"/>
  <c r="A782" i="156"/>
  <c r="A781" i="156"/>
  <c r="A780" i="156"/>
  <c r="A779" i="156"/>
  <c r="A778" i="156"/>
  <c r="A777" i="156"/>
  <c r="A776" i="156"/>
  <c r="A775" i="156"/>
  <c r="A774" i="156"/>
  <c r="A773" i="156"/>
  <c r="A772" i="156"/>
  <c r="A771" i="156"/>
  <c r="A770" i="156"/>
  <c r="A769" i="156"/>
  <c r="A768" i="156"/>
  <c r="A767" i="156"/>
  <c r="A766" i="156"/>
  <c r="A765" i="156"/>
  <c r="A764" i="156"/>
  <c r="A763" i="156"/>
  <c r="A762" i="156"/>
  <c r="A761" i="156"/>
  <c r="A760" i="156"/>
  <c r="A759" i="156"/>
  <c r="A758" i="156"/>
  <c r="A757" i="156"/>
  <c r="A756" i="156"/>
  <c r="A755" i="156"/>
  <c r="A754" i="156"/>
  <c r="A753" i="156"/>
  <c r="A752" i="156"/>
  <c r="A751" i="156"/>
  <c r="A750" i="156"/>
  <c r="A749" i="156"/>
  <c r="A748" i="156"/>
  <c r="A747" i="156"/>
  <c r="A746" i="156"/>
  <c r="A745" i="156"/>
  <c r="A744" i="156"/>
  <c r="A743" i="156"/>
  <c r="A742" i="156"/>
  <c r="A741" i="156"/>
  <c r="A740" i="156"/>
  <c r="A739" i="156"/>
  <c r="A738" i="156"/>
  <c r="A737" i="156"/>
  <c r="A736" i="156"/>
  <c r="A735" i="156"/>
  <c r="A734" i="156"/>
  <c r="A733" i="156"/>
  <c r="A732" i="156"/>
  <c r="A731" i="156"/>
  <c r="A730" i="156"/>
  <c r="A729" i="156"/>
  <c r="A728" i="156"/>
  <c r="A727" i="156"/>
  <c r="A726" i="156"/>
  <c r="A725" i="156"/>
  <c r="A724" i="156"/>
  <c r="A723" i="156"/>
  <c r="A722" i="156"/>
  <c r="A721" i="156"/>
  <c r="A720" i="156"/>
  <c r="A719" i="156"/>
  <c r="A718" i="156"/>
  <c r="A717" i="156"/>
  <c r="A716" i="156"/>
  <c r="A715" i="156"/>
  <c r="A714" i="156"/>
  <c r="A713" i="156"/>
  <c r="A712" i="156"/>
  <c r="A711" i="156"/>
  <c r="A710" i="156"/>
  <c r="A709" i="156"/>
  <c r="A708" i="156"/>
  <c r="A707" i="156"/>
  <c r="A706" i="156"/>
  <c r="A705" i="156"/>
  <c r="A704" i="156"/>
  <c r="A1122" i="156"/>
  <c r="D708" i="156"/>
  <c r="D705" i="156"/>
  <c r="D704" i="156"/>
  <c r="D880" i="156"/>
  <c r="D879" i="156"/>
  <c r="D870" i="156"/>
  <c r="D869" i="156"/>
  <c r="D860" i="156"/>
  <c r="D859" i="156"/>
  <c r="D850" i="156"/>
  <c r="D849" i="156"/>
  <c r="D840" i="156"/>
  <c r="D839" i="156"/>
  <c r="D830" i="156"/>
  <c r="D829" i="156"/>
  <c r="D820" i="156"/>
  <c r="D819" i="156"/>
  <c r="D810" i="156"/>
  <c r="D809" i="156"/>
  <c r="D800" i="156"/>
  <c r="D799" i="156"/>
  <c r="D790" i="156"/>
  <c r="D789" i="156"/>
  <c r="D780" i="156"/>
  <c r="D779" i="156"/>
  <c r="D770" i="156"/>
  <c r="D769" i="156"/>
  <c r="D760" i="156"/>
  <c r="D759" i="156"/>
  <c r="D750" i="156"/>
  <c r="D749" i="156"/>
  <c r="D740" i="156"/>
  <c r="D739" i="156"/>
  <c r="D730" i="156"/>
  <c r="D729" i="156"/>
  <c r="D720" i="156"/>
  <c r="D719" i="156"/>
  <c r="D710" i="156"/>
  <c r="D709" i="156"/>
  <c r="A644" i="156"/>
  <c r="A645" i="156"/>
  <c r="A646" i="156"/>
  <c r="A647" i="156"/>
  <c r="A648" i="156"/>
  <c r="A649" i="156"/>
  <c r="A650" i="156"/>
  <c r="A651" i="156"/>
  <c r="A652" i="156"/>
  <c r="A643" i="156"/>
  <c r="D644" i="156"/>
  <c r="D643" i="156"/>
  <c r="A624" i="156"/>
  <c r="A625" i="156"/>
  <c r="A626" i="156"/>
  <c r="A627" i="156"/>
  <c r="A628" i="156"/>
  <c r="A629" i="156"/>
  <c r="A630" i="156"/>
  <c r="A631" i="156"/>
  <c r="A632" i="156"/>
  <c r="A623" i="156"/>
  <c r="D624" i="156"/>
  <c r="D623" i="156"/>
  <c r="A604" i="156"/>
  <c r="A605" i="156"/>
  <c r="A606" i="156"/>
  <c r="A607" i="156"/>
  <c r="A608" i="156"/>
  <c r="A609" i="156"/>
  <c r="A610" i="156"/>
  <c r="A611" i="156"/>
  <c r="A612" i="156"/>
  <c r="A603" i="156"/>
  <c r="D604" i="156"/>
  <c r="D603" i="156"/>
  <c r="A544" i="156"/>
  <c r="A545" i="156"/>
  <c r="A546" i="156"/>
  <c r="A547" i="156"/>
  <c r="A548" i="156"/>
  <c r="A549" i="156"/>
  <c r="A550" i="156"/>
  <c r="A551" i="156"/>
  <c r="A552" i="156"/>
  <c r="A543" i="156"/>
  <c r="D544" i="156"/>
  <c r="D543" i="156"/>
  <c r="A702" i="156"/>
  <c r="A701" i="156"/>
  <c r="A700" i="156"/>
  <c r="A699" i="156"/>
  <c r="A698" i="156"/>
  <c r="A697" i="156"/>
  <c r="A696" i="156"/>
  <c r="A695" i="156"/>
  <c r="D694" i="156"/>
  <c r="A694" i="156"/>
  <c r="D693" i="156"/>
  <c r="A693" i="156"/>
  <c r="A692" i="156"/>
  <c r="A691" i="156"/>
  <c r="A690" i="156"/>
  <c r="A689" i="156"/>
  <c r="A688" i="156"/>
  <c r="A687" i="156"/>
  <c r="A686" i="156"/>
  <c r="A685" i="156"/>
  <c r="D684" i="156"/>
  <c r="A684" i="156"/>
  <c r="D683" i="156"/>
  <c r="A683" i="156"/>
  <c r="A682" i="156"/>
  <c r="A681" i="156"/>
  <c r="A680" i="156"/>
  <c r="A679" i="156"/>
  <c r="A678" i="156"/>
  <c r="A677" i="156"/>
  <c r="A676" i="156"/>
  <c r="A675" i="156"/>
  <c r="D674" i="156"/>
  <c r="A674" i="156"/>
  <c r="D673" i="156"/>
  <c r="A673" i="156"/>
  <c r="A672" i="156"/>
  <c r="A671" i="156"/>
  <c r="A670" i="156"/>
  <c r="A669" i="156"/>
  <c r="A668" i="156"/>
  <c r="A667" i="156"/>
  <c r="A666" i="156"/>
  <c r="A665" i="156"/>
  <c r="D664" i="156"/>
  <c r="A664" i="156"/>
  <c r="D663" i="156"/>
  <c r="A663" i="156"/>
  <c r="A662" i="156"/>
  <c r="A661" i="156"/>
  <c r="A660" i="156"/>
  <c r="A659" i="156"/>
  <c r="A658" i="156"/>
  <c r="A657" i="156"/>
  <c r="A656" i="156"/>
  <c r="A655" i="156"/>
  <c r="D654" i="156"/>
  <c r="A654" i="156"/>
  <c r="D653" i="156"/>
  <c r="A653" i="156"/>
  <c r="A642" i="156"/>
  <c r="A641" i="156"/>
  <c r="A640" i="156"/>
  <c r="A639" i="156"/>
  <c r="A638" i="156"/>
  <c r="A637" i="156"/>
  <c r="A636" i="156"/>
  <c r="A635" i="156"/>
  <c r="D634" i="156"/>
  <c r="A634" i="156"/>
  <c r="D633" i="156"/>
  <c r="A633" i="156"/>
  <c r="A622" i="156"/>
  <c r="A621" i="156"/>
  <c r="A620" i="156"/>
  <c r="A619" i="156"/>
  <c r="A618" i="156"/>
  <c r="A617" i="156"/>
  <c r="A616" i="156"/>
  <c r="A615" i="156"/>
  <c r="D614" i="156"/>
  <c r="A614" i="156"/>
  <c r="D613" i="156"/>
  <c r="A613" i="156"/>
  <c r="A602" i="156"/>
  <c r="A601" i="156"/>
  <c r="A600" i="156"/>
  <c r="A599" i="156"/>
  <c r="A598" i="156"/>
  <c r="A597" i="156"/>
  <c r="A596" i="156"/>
  <c r="A595" i="156"/>
  <c r="D594" i="156"/>
  <c r="A594" i="156"/>
  <c r="D593" i="156"/>
  <c r="A593" i="156"/>
  <c r="A592" i="156"/>
  <c r="A591" i="156"/>
  <c r="A590" i="156"/>
  <c r="A589" i="156"/>
  <c r="A588" i="156"/>
  <c r="A587" i="156"/>
  <c r="A586" i="156"/>
  <c r="A585" i="156"/>
  <c r="D584" i="156"/>
  <c r="A584" i="156"/>
  <c r="D583" i="156"/>
  <c r="A583" i="156"/>
  <c r="A582" i="156"/>
  <c r="A581" i="156"/>
  <c r="A580" i="156"/>
  <c r="A579" i="156"/>
  <c r="A578" i="156"/>
  <c r="A577" i="156"/>
  <c r="A576" i="156"/>
  <c r="A575" i="156"/>
  <c r="D574" i="156"/>
  <c r="A574" i="156"/>
  <c r="D573" i="156"/>
  <c r="A573" i="156"/>
  <c r="A572" i="156"/>
  <c r="A571" i="156"/>
  <c r="A570" i="156"/>
  <c r="A569" i="156"/>
  <c r="A568" i="156"/>
  <c r="A567" i="156"/>
  <c r="A566" i="156"/>
  <c r="A565" i="156"/>
  <c r="D564" i="156"/>
  <c r="A564" i="156"/>
  <c r="D563" i="156"/>
  <c r="A563" i="156"/>
  <c r="A562" i="156"/>
  <c r="A561" i="156"/>
  <c r="A560" i="156"/>
  <c r="A559" i="156"/>
  <c r="A558" i="156"/>
  <c r="A557" i="156"/>
  <c r="A556" i="156"/>
  <c r="A555" i="156"/>
  <c r="D554" i="156"/>
  <c r="A554" i="156"/>
  <c r="D553" i="156"/>
  <c r="A553" i="156"/>
  <c r="A542" i="156"/>
  <c r="A541" i="156"/>
  <c r="A540" i="156"/>
  <c r="A539" i="156"/>
  <c r="A538" i="156"/>
  <c r="A537" i="156"/>
  <c r="A536" i="156"/>
  <c r="A535" i="156"/>
  <c r="D534" i="156"/>
  <c r="A534" i="156"/>
  <c r="D533" i="156"/>
  <c r="A533" i="156"/>
  <c r="A532" i="156"/>
  <c r="A531" i="156"/>
  <c r="A530" i="156"/>
  <c r="A529" i="156"/>
  <c r="A528" i="156"/>
  <c r="A527" i="156"/>
  <c r="A526" i="156"/>
  <c r="A525" i="156"/>
  <c r="D524" i="156"/>
  <c r="A524" i="156"/>
  <c r="D523" i="156"/>
  <c r="A523" i="156"/>
  <c r="D522" i="156"/>
  <c r="A522" i="156"/>
  <c r="A521" i="156"/>
  <c r="A520" i="156"/>
  <c r="D519" i="156"/>
  <c r="A519" i="156"/>
  <c r="D518" i="156"/>
  <c r="A518" i="156"/>
  <c r="A4" i="143"/>
  <c r="E4" i="143"/>
  <c r="D49" i="110"/>
  <c r="A182" i="277"/>
  <c r="A181" i="277"/>
  <c r="A180" i="277"/>
  <c r="A179" i="277"/>
  <c r="A178" i="277"/>
  <c r="A177" i="277"/>
  <c r="A176" i="277"/>
  <c r="A175" i="277"/>
  <c r="A174" i="277"/>
  <c r="A173" i="277"/>
  <c r="A172" i="277"/>
  <c r="A171" i="277"/>
  <c r="A170" i="277"/>
  <c r="A169" i="277"/>
  <c r="A168" i="277"/>
  <c r="A167" i="277"/>
  <c r="A166" i="277"/>
  <c r="A165" i="277"/>
  <c r="A164" i="277"/>
  <c r="A163" i="277"/>
  <c r="A162" i="277"/>
  <c r="A161" i="277"/>
  <c r="A160" i="277"/>
  <c r="A159" i="277"/>
  <c r="A158" i="277"/>
  <c r="A157" i="277"/>
  <c r="A156" i="277"/>
  <c r="D182" i="277"/>
  <c r="D179" i="277"/>
  <c r="D176" i="277"/>
  <c r="D173" i="277"/>
  <c r="D170" i="277"/>
  <c r="D167" i="277"/>
  <c r="D164" i="277"/>
  <c r="D161" i="277"/>
  <c r="D158" i="277"/>
  <c r="A128" i="277"/>
  <c r="A127" i="277"/>
  <c r="A126" i="277"/>
  <c r="D128" i="277"/>
  <c r="A97" i="277"/>
  <c r="A98" i="277"/>
  <c r="A96" i="277"/>
  <c r="D98" i="277"/>
  <c r="A155" i="277"/>
  <c r="A154" i="277"/>
  <c r="A153" i="277"/>
  <c r="A152" i="277"/>
  <c r="A151" i="277"/>
  <c r="A150" i="277"/>
  <c r="A149" i="277"/>
  <c r="A148" i="277"/>
  <c r="A147" i="277"/>
  <c r="A146" i="277"/>
  <c r="A145" i="277"/>
  <c r="A144" i="277"/>
  <c r="A143" i="277"/>
  <c r="A142" i="277"/>
  <c r="A141" i="277"/>
  <c r="A140" i="277"/>
  <c r="A139" i="277"/>
  <c r="A138" i="277"/>
  <c r="A137" i="277"/>
  <c r="A136" i="277"/>
  <c r="A135" i="277"/>
  <c r="A134" i="277"/>
  <c r="A133" i="277"/>
  <c r="A132" i="277"/>
  <c r="A131" i="277"/>
  <c r="A130" i="277"/>
  <c r="A129" i="277"/>
  <c r="A125" i="277"/>
  <c r="A124" i="277"/>
  <c r="A123" i="277"/>
  <c r="A122" i="277"/>
  <c r="A121" i="277"/>
  <c r="A120" i="277"/>
  <c r="A119" i="277"/>
  <c r="A118" i="277"/>
  <c r="A117" i="277"/>
  <c r="A116" i="277"/>
  <c r="A115" i="277"/>
  <c r="A114" i="277"/>
  <c r="A113" i="277"/>
  <c r="A112" i="277"/>
  <c r="A111" i="277"/>
  <c r="A110" i="277"/>
  <c r="A109" i="277"/>
  <c r="A108" i="277"/>
  <c r="A107" i="277"/>
  <c r="A106" i="277"/>
  <c r="A105" i="277"/>
  <c r="A104" i="277"/>
  <c r="A103" i="277"/>
  <c r="A102" i="277"/>
  <c r="A101" i="277"/>
  <c r="A100" i="277"/>
  <c r="A99" i="277"/>
  <c r="A95" i="277"/>
  <c r="A94" i="277"/>
  <c r="A93" i="277"/>
  <c r="A92" i="277"/>
  <c r="A91" i="277"/>
  <c r="A90" i="277"/>
  <c r="A89" i="277"/>
  <c r="A88" i="277"/>
  <c r="A87" i="277"/>
  <c r="A86" i="277"/>
  <c r="A85" i="277"/>
  <c r="A84" i="277"/>
  <c r="A83" i="277"/>
  <c r="A82" i="277"/>
  <c r="A81" i="277"/>
  <c r="A80" i="277"/>
  <c r="A79" i="277"/>
  <c r="A78" i="277"/>
  <c r="A77" i="277"/>
  <c r="A76" i="277"/>
  <c r="A75" i="277"/>
  <c r="A74" i="277"/>
  <c r="A73" i="277"/>
  <c r="A72" i="277"/>
  <c r="A71" i="277"/>
  <c r="A70" i="277"/>
  <c r="A69" i="277"/>
  <c r="D155" i="277"/>
  <c r="D152" i="277"/>
  <c r="D149" i="277"/>
  <c r="D146" i="277"/>
  <c r="D143" i="277"/>
  <c r="D140" i="277"/>
  <c r="D137" i="277"/>
  <c r="D134" i="277"/>
  <c r="D131" i="277"/>
  <c r="D125" i="277"/>
  <c r="D122" i="277"/>
  <c r="D119" i="277"/>
  <c r="D116" i="277"/>
  <c r="D113" i="277"/>
  <c r="D110" i="277"/>
  <c r="D107" i="277"/>
  <c r="D104" i="277"/>
  <c r="D101" i="277"/>
  <c r="D95" i="277"/>
  <c r="D92" i="277"/>
  <c r="D89" i="277"/>
  <c r="D86" i="277"/>
  <c r="D83" i="277"/>
  <c r="D80" i="277"/>
  <c r="D77" i="277"/>
  <c r="D74" i="277"/>
  <c r="D71" i="277"/>
  <c r="D68" i="277"/>
  <c r="A68" i="277"/>
  <c r="A67" i="277"/>
  <c r="A66" i="277"/>
  <c r="D65" i="277"/>
  <c r="A65" i="277"/>
  <c r="A64" i="277"/>
  <c r="A63" i="277"/>
  <c r="D62" i="277"/>
  <c r="A62" i="277"/>
  <c r="A61" i="277"/>
  <c r="A60" i="277"/>
  <c r="D59" i="277"/>
  <c r="A59" i="277"/>
  <c r="A58" i="277"/>
  <c r="A57" i="277"/>
  <c r="D56" i="277"/>
  <c r="A56" i="277"/>
  <c r="A55" i="277"/>
  <c r="A54" i="277"/>
  <c r="D53" i="277"/>
  <c r="A53" i="277"/>
  <c r="A52" i="277"/>
  <c r="A51" i="277"/>
  <c r="D50" i="277"/>
  <c r="A50" i="277"/>
  <c r="A49" i="277"/>
  <c r="A48" i="277"/>
  <c r="D47" i="277"/>
  <c r="A47" i="277"/>
  <c r="A46" i="277"/>
  <c r="A45" i="277"/>
  <c r="D44" i="277"/>
  <c r="A44" i="277"/>
  <c r="A43" i="277"/>
  <c r="A42" i="277"/>
  <c r="D41" i="277"/>
  <c r="A41" i="277"/>
  <c r="A40" i="277"/>
  <c r="A39" i="277"/>
  <c r="D38" i="277"/>
  <c r="A38" i="277"/>
  <c r="A37" i="277"/>
  <c r="D36" i="277"/>
  <c r="A36" i="277"/>
  <c r="D35" i="277"/>
  <c r="A35" i="277"/>
  <c r="D34" i="277"/>
  <c r="A34" i="277"/>
  <c r="D33" i="277"/>
  <c r="A33" i="277"/>
  <c r="D32" i="277"/>
  <c r="A32" i="277"/>
  <c r="D31" i="277"/>
  <c r="A31" i="277"/>
  <c r="D30" i="277"/>
  <c r="A30" i="277"/>
  <c r="D29" i="277"/>
  <c r="A29" i="277"/>
  <c r="D28" i="277"/>
  <c r="A28" i="277"/>
  <c r="D27" i="277"/>
  <c r="A27" i="277"/>
  <c r="D26" i="277"/>
  <c r="A26" i="277"/>
  <c r="D25" i="277"/>
  <c r="A25" i="277"/>
  <c r="D24" i="277"/>
  <c r="A24" i="277"/>
  <c r="D23" i="277"/>
  <c r="A23" i="277"/>
  <c r="D22" i="277"/>
  <c r="A22" i="277"/>
  <c r="D21" i="277"/>
  <c r="A21" i="277"/>
  <c r="A20" i="277"/>
  <c r="R19" i="277"/>
  <c r="Q19" i="277"/>
  <c r="P19" i="277"/>
  <c r="R18" i="277"/>
  <c r="Q18" i="277"/>
  <c r="P18" i="277"/>
  <c r="R17" i="277"/>
  <c r="Q17" i="277"/>
  <c r="P17" i="277"/>
  <c r="R16" i="277"/>
  <c r="Q16" i="277"/>
  <c r="P16" i="277"/>
  <c r="R15" i="277"/>
  <c r="Q15" i="277"/>
  <c r="P15" i="277"/>
  <c r="R14" i="277"/>
  <c r="Q14" i="277"/>
  <c r="P14" i="277"/>
  <c r="R13" i="277"/>
  <c r="Q13" i="277"/>
  <c r="P13" i="277"/>
  <c r="R12" i="277"/>
  <c r="Q12" i="277"/>
  <c r="P12" i="277"/>
  <c r="R11" i="277"/>
  <c r="Q11" i="277"/>
  <c r="P11" i="277"/>
  <c r="R10" i="277"/>
  <c r="Q10" i="277"/>
  <c r="P10" i="277"/>
  <c r="R9" i="277"/>
  <c r="Q9" i="277"/>
  <c r="P9" i="277"/>
  <c r="R8" i="277"/>
  <c r="Q8" i="277"/>
  <c r="P8" i="277"/>
  <c r="T7" i="277"/>
  <c r="R7" i="277"/>
  <c r="Q7" i="277"/>
  <c r="P7" i="277"/>
  <c r="T6" i="277"/>
  <c r="R6" i="277"/>
  <c r="Q6" i="277"/>
  <c r="P6" i="277"/>
  <c r="T5" i="277"/>
  <c r="R5" i="277"/>
  <c r="Q5" i="277"/>
  <c r="P5" i="277"/>
  <c r="T4" i="277"/>
  <c r="R4" i="277"/>
  <c r="Q4" i="277"/>
  <c r="P4" i="277"/>
  <c r="BA1" i="277"/>
  <c r="AZ1" i="277"/>
  <c r="AY1" i="277"/>
  <c r="AX1" i="277"/>
  <c r="AW1" i="277"/>
  <c r="AV1" i="277"/>
  <c r="AU1" i="277"/>
  <c r="AT1" i="277"/>
  <c r="AS1" i="277"/>
  <c r="AR1" i="277"/>
  <c r="AQ1" i="277"/>
  <c r="AP1" i="277"/>
  <c r="AO1" i="277"/>
  <c r="AN1" i="277"/>
  <c r="AM1" i="277"/>
  <c r="AL1" i="277"/>
  <c r="AK1" i="277"/>
  <c r="AJ1" i="277"/>
  <c r="AI1" i="277"/>
  <c r="AH1" i="277"/>
  <c r="AG1" i="277"/>
  <c r="AF1" i="277"/>
  <c r="AE1" i="277"/>
  <c r="AD1" i="277"/>
  <c r="AC1" i="277"/>
  <c r="AB1" i="277"/>
  <c r="AA1" i="277"/>
  <c r="Z1" i="277"/>
  <c r="Y1" i="277"/>
  <c r="X1" i="277"/>
  <c r="W1" i="277"/>
  <c r="V1" i="277"/>
  <c r="U1" i="277"/>
  <c r="T1" i="277"/>
  <c r="S1" i="277"/>
  <c r="R1" i="277"/>
  <c r="Q1" i="277"/>
  <c r="P1" i="277"/>
  <c r="D82" i="276"/>
  <c r="A82" i="276"/>
  <c r="A81" i="276"/>
  <c r="A80" i="276"/>
  <c r="A79" i="276"/>
  <c r="A78" i="276"/>
  <c r="D77" i="276"/>
  <c r="A77" i="276"/>
  <c r="A76" i="276"/>
  <c r="A75" i="276"/>
  <c r="D74" i="276"/>
  <c r="A74" i="276"/>
  <c r="A73" i="276"/>
  <c r="A72" i="276"/>
  <c r="A71" i="276"/>
  <c r="A70" i="276"/>
  <c r="D69" i="276"/>
  <c r="A69" i="276"/>
  <c r="A68" i="276"/>
  <c r="A67" i="276"/>
  <c r="D66" i="276"/>
  <c r="A66" i="276"/>
  <c r="A65" i="276"/>
  <c r="A64" i="276"/>
  <c r="D63" i="276"/>
  <c r="A63" i="276"/>
  <c r="A62" i="276"/>
  <c r="A61" i="276"/>
  <c r="D60" i="276"/>
  <c r="A60" i="276"/>
  <c r="A59" i="276"/>
  <c r="A58" i="276"/>
  <c r="D57" i="276"/>
  <c r="A57" i="276"/>
  <c r="A56" i="276"/>
  <c r="A55" i="276"/>
  <c r="D54" i="276"/>
  <c r="A54" i="276"/>
  <c r="A53" i="276"/>
  <c r="A52" i="276"/>
  <c r="D51" i="276"/>
  <c r="A51" i="276"/>
  <c r="A50" i="276"/>
  <c r="A49" i="276"/>
  <c r="D48" i="276"/>
  <c r="A48" i="276"/>
  <c r="A47" i="276"/>
  <c r="A46" i="276"/>
  <c r="D45" i="276"/>
  <c r="A45" i="276"/>
  <c r="A44" i="276"/>
  <c r="A43" i="276"/>
  <c r="D42" i="276"/>
  <c r="A42" i="276"/>
  <c r="A41" i="276"/>
  <c r="A40" i="276"/>
  <c r="D39" i="276"/>
  <c r="A39" i="276"/>
  <c r="A38" i="276"/>
  <c r="A37" i="276"/>
  <c r="D36" i="276"/>
  <c r="A36" i="276"/>
  <c r="A35" i="276"/>
  <c r="D34" i="276"/>
  <c r="A34" i="276"/>
  <c r="D33" i="276"/>
  <c r="A33" i="276"/>
  <c r="D32" i="276"/>
  <c r="A32" i="276"/>
  <c r="D31" i="276"/>
  <c r="A31" i="276"/>
  <c r="D30" i="276"/>
  <c r="A30" i="276"/>
  <c r="D29" i="276"/>
  <c r="A29" i="276"/>
  <c r="D28" i="276"/>
  <c r="A28" i="276"/>
  <c r="D27" i="276"/>
  <c r="A27" i="276"/>
  <c r="D26" i="276"/>
  <c r="A26" i="276"/>
  <c r="D25" i="276"/>
  <c r="A25" i="276"/>
  <c r="D24" i="276"/>
  <c r="A24" i="276"/>
  <c r="D23" i="276"/>
  <c r="A23" i="276"/>
  <c r="D22" i="276"/>
  <c r="A22" i="276"/>
  <c r="D21" i="276"/>
  <c r="A21" i="276"/>
  <c r="A20" i="276"/>
  <c r="R19" i="276"/>
  <c r="Q19" i="276"/>
  <c r="P19" i="276"/>
  <c r="R18" i="276"/>
  <c r="Q18" i="276"/>
  <c r="P18" i="276"/>
  <c r="R17" i="276"/>
  <c r="Q17" i="276"/>
  <c r="P17" i="276"/>
  <c r="R16" i="276"/>
  <c r="Q16" i="276"/>
  <c r="P16" i="276"/>
  <c r="R15" i="276"/>
  <c r="Q15" i="276"/>
  <c r="P15" i="276"/>
  <c r="R14" i="276"/>
  <c r="Q14" i="276"/>
  <c r="P14" i="276"/>
  <c r="R13" i="276"/>
  <c r="Q13" i="276"/>
  <c r="P13" i="276"/>
  <c r="R12" i="276"/>
  <c r="Q12" i="276"/>
  <c r="P12" i="276"/>
  <c r="R11" i="276"/>
  <c r="Q11" i="276"/>
  <c r="P11" i="276"/>
  <c r="R10" i="276"/>
  <c r="Q10" i="276"/>
  <c r="P10" i="276"/>
  <c r="R9" i="276"/>
  <c r="Q9" i="276"/>
  <c r="P9" i="276"/>
  <c r="R8" i="276"/>
  <c r="Q8" i="276"/>
  <c r="P8" i="276"/>
  <c r="T7" i="276"/>
  <c r="R7" i="276"/>
  <c r="D68" i="276" s="1"/>
  <c r="Q7" i="276"/>
  <c r="P7" i="276"/>
  <c r="T6" i="276"/>
  <c r="R6" i="276"/>
  <c r="Q6" i="276"/>
  <c r="P6" i="276"/>
  <c r="T5" i="276"/>
  <c r="R5" i="276"/>
  <c r="Q5" i="276"/>
  <c r="P5" i="276"/>
  <c r="T4" i="276"/>
  <c r="R4" i="276"/>
  <c r="Q4" i="276"/>
  <c r="P4" i="276"/>
  <c r="BA1" i="276"/>
  <c r="AZ1" i="276"/>
  <c r="AY1" i="276"/>
  <c r="AX1" i="276"/>
  <c r="AW1" i="276"/>
  <c r="AV1" i="276"/>
  <c r="AU1" i="276"/>
  <c r="AT1" i="276"/>
  <c r="AS1" i="276"/>
  <c r="AR1" i="276"/>
  <c r="AQ1" i="276"/>
  <c r="AP1" i="276"/>
  <c r="AO1" i="276"/>
  <c r="AN1" i="276"/>
  <c r="AM1" i="276"/>
  <c r="AL1" i="276"/>
  <c r="AK1" i="276"/>
  <c r="AJ1" i="276"/>
  <c r="AI1" i="276"/>
  <c r="AH1" i="276"/>
  <c r="AG1" i="276"/>
  <c r="AF1" i="276"/>
  <c r="AE1" i="276"/>
  <c r="AD1" i="276"/>
  <c r="AC1" i="276"/>
  <c r="AB1" i="276"/>
  <c r="AA1" i="276"/>
  <c r="Z1" i="276"/>
  <c r="Y1" i="276"/>
  <c r="X1" i="276"/>
  <c r="W1" i="276"/>
  <c r="V1" i="276"/>
  <c r="U1" i="276"/>
  <c r="T1" i="276"/>
  <c r="S1" i="276"/>
  <c r="R1" i="276"/>
  <c r="Q1" i="276"/>
  <c r="P1" i="276"/>
  <c r="A91" i="155"/>
  <c r="A92" i="155"/>
  <c r="A93" i="155"/>
  <c r="D93" i="155"/>
  <c r="A94" i="155"/>
  <c r="A95" i="155"/>
  <c r="A96" i="155"/>
  <c r="A97" i="155"/>
  <c r="A98" i="155"/>
  <c r="D98" i="155"/>
  <c r="A99" i="155"/>
  <c r="A100" i="155"/>
  <c r="A101" i="155"/>
  <c r="D101" i="155"/>
  <c r="A102" i="155"/>
  <c r="A103" i="155"/>
  <c r="A104" i="155"/>
  <c r="A105" i="155"/>
  <c r="A106" i="155"/>
  <c r="D106" i="155"/>
  <c r="D24" i="156"/>
  <c r="D1376" i="156"/>
  <c r="D1899" i="156"/>
  <c r="A1899" i="156"/>
  <c r="A1376" i="156"/>
  <c r="D1121" i="156"/>
  <c r="A1121" i="156"/>
  <c r="D1674" i="156"/>
  <c r="D1675" i="156"/>
  <c r="A1674" i="156"/>
  <c r="D2154" i="156"/>
  <c r="D1661" i="156"/>
  <c r="A2161" i="156"/>
  <c r="A2160" i="156"/>
  <c r="A2159" i="156"/>
  <c r="A2158" i="156"/>
  <c r="A2157" i="156"/>
  <c r="A2156" i="156"/>
  <c r="A2155" i="156"/>
  <c r="A2154" i="156"/>
  <c r="A2153" i="156"/>
  <c r="A2152" i="156"/>
  <c r="A2151" i="156"/>
  <c r="A2150" i="156"/>
  <c r="A2149" i="156"/>
  <c r="A2148" i="156"/>
  <c r="A2147" i="156"/>
  <c r="A2146" i="156"/>
  <c r="A2145" i="156"/>
  <c r="A2144" i="156"/>
  <c r="A2143" i="156"/>
  <c r="A2142" i="156"/>
  <c r="A2141" i="156"/>
  <c r="A2140" i="156"/>
  <c r="A2139" i="156"/>
  <c r="A2138" i="156"/>
  <c r="A2137" i="156"/>
  <c r="A2136" i="156"/>
  <c r="A2135" i="156"/>
  <c r="A2134" i="156"/>
  <c r="A2133" i="156"/>
  <c r="A2132" i="156"/>
  <c r="A2131" i="156"/>
  <c r="A2130" i="156"/>
  <c r="A2129" i="156"/>
  <c r="A2128" i="156"/>
  <c r="A2127" i="156"/>
  <c r="A2126" i="156"/>
  <c r="A2125" i="156"/>
  <c r="A2124" i="156"/>
  <c r="A2123" i="156"/>
  <c r="A2122" i="156"/>
  <c r="A2121" i="156"/>
  <c r="A2120" i="156"/>
  <c r="A1663" i="156"/>
  <c r="A1664" i="156"/>
  <c r="A1665" i="156"/>
  <c r="A1666" i="156"/>
  <c r="A1667" i="156"/>
  <c r="A1668" i="156"/>
  <c r="A1662" i="156"/>
  <c r="A1657" i="156"/>
  <c r="A1658" i="156"/>
  <c r="A1659" i="156"/>
  <c r="A1660" i="156"/>
  <c r="A1661" i="156"/>
  <c r="A1656" i="156"/>
  <c r="A1649" i="156"/>
  <c r="A1650" i="156"/>
  <c r="A1651" i="156"/>
  <c r="A1652" i="156"/>
  <c r="A1653" i="156"/>
  <c r="A1654" i="156"/>
  <c r="A1655" i="156"/>
  <c r="A1648" i="156"/>
  <c r="A1642" i="156"/>
  <c r="A1643" i="156"/>
  <c r="A1644" i="156"/>
  <c r="A1645" i="156"/>
  <c r="A1646" i="156"/>
  <c r="A1647" i="156"/>
  <c r="A1641" i="156"/>
  <c r="A1635" i="156"/>
  <c r="A1636" i="156"/>
  <c r="A1637" i="156"/>
  <c r="A1638" i="156"/>
  <c r="A1639" i="156"/>
  <c r="A1640" i="156"/>
  <c r="A1634" i="156"/>
  <c r="A1632" i="156"/>
  <c r="A1628" i="156"/>
  <c r="A1629" i="156"/>
  <c r="A1630" i="156"/>
  <c r="A1631" i="156"/>
  <c r="A1633" i="156"/>
  <c r="A1627" i="156"/>
  <c r="D2156" i="156"/>
  <c r="D2149" i="156"/>
  <c r="D2142" i="156"/>
  <c r="D2135" i="156"/>
  <c r="D2128" i="156"/>
  <c r="D2122" i="156"/>
  <c r="D1663" i="156"/>
  <c r="D1656" i="156"/>
  <c r="D1649" i="156"/>
  <c r="D1642" i="156"/>
  <c r="D1635" i="156"/>
  <c r="D1629" i="156"/>
  <c r="D13" i="159"/>
  <c r="D24" i="159"/>
  <c r="D66" i="159"/>
  <c r="D63" i="159"/>
  <c r="A22" i="59"/>
  <c r="A21" i="59"/>
  <c r="D59" i="159"/>
  <c r="D56" i="159"/>
  <c r="A447" i="89"/>
  <c r="A446" i="89"/>
  <c r="A445" i="89"/>
  <c r="A444" i="89"/>
  <c r="A443" i="89"/>
  <c r="D442" i="89"/>
  <c r="A442" i="89"/>
  <c r="A426" i="80"/>
  <c r="A427" i="80"/>
  <c r="A428" i="80"/>
  <c r="A429" i="80"/>
  <c r="A430" i="80"/>
  <c r="D425" i="80"/>
  <c r="A425" i="80"/>
  <c r="A23" i="67"/>
  <c r="D44" i="66"/>
  <c r="A41" i="66"/>
  <c r="A42" i="66"/>
  <c r="A43" i="66"/>
  <c r="A44" i="66"/>
  <c r="A45" i="66"/>
  <c r="A46" i="66"/>
  <c r="A47" i="66"/>
  <c r="A48" i="66"/>
  <c r="A49" i="66"/>
  <c r="A40" i="66"/>
  <c r="D34" i="66"/>
  <c r="A31" i="66"/>
  <c r="A32" i="66"/>
  <c r="A33" i="66"/>
  <c r="A34" i="66"/>
  <c r="A35" i="66"/>
  <c r="A36" i="66"/>
  <c r="A37" i="66"/>
  <c r="A38" i="66"/>
  <c r="A39" i="66"/>
  <c r="A30" i="66"/>
  <c r="D27" i="65"/>
  <c r="A27" i="65"/>
  <c r="D84" i="65"/>
  <c r="A81" i="65"/>
  <c r="A82" i="65"/>
  <c r="A83" i="65"/>
  <c r="A84" i="65"/>
  <c r="A85" i="65"/>
  <c r="A86" i="65"/>
  <c r="A87" i="65"/>
  <c r="A88" i="65"/>
  <c r="A89" i="65"/>
  <c r="A80" i="65"/>
  <c r="F12" i="68"/>
  <c r="A19" i="68"/>
  <c r="A18" i="68"/>
  <c r="A8" i="68"/>
  <c r="A7" i="68"/>
  <c r="A30" i="83"/>
  <c r="F22" i="67"/>
  <c r="A22" i="67"/>
  <c r="A21" i="67"/>
  <c r="D67" i="276" l="1"/>
  <c r="D75" i="276"/>
  <c r="D76" i="276"/>
  <c r="A20" i="67"/>
  <c r="A42" i="39"/>
  <c r="A51" i="39"/>
  <c r="A60" i="39"/>
  <c r="A69" i="39"/>
  <c r="D283" i="82" l="1"/>
  <c r="D50" i="110"/>
  <c r="D146" i="110" s="1"/>
  <c r="D138" i="110"/>
  <c r="A50" i="110"/>
  <c r="A49" i="110"/>
  <c r="D77" i="97"/>
  <c r="D82" i="97"/>
  <c r="D90" i="155"/>
  <c r="D85" i="155"/>
  <c r="A90" i="155"/>
  <c r="A89" i="155"/>
  <c r="A88" i="155"/>
  <c r="A87" i="155"/>
  <c r="A86" i="155"/>
  <c r="A85" i="155"/>
  <c r="A84" i="155"/>
  <c r="A83" i="155"/>
  <c r="D82" i="155"/>
  <c r="A82" i="155"/>
  <c r="A81" i="155"/>
  <c r="A80" i="155"/>
  <c r="A79" i="155"/>
  <c r="A78" i="155"/>
  <c r="D77" i="155"/>
  <c r="A77" i="155"/>
  <c r="A76" i="155"/>
  <c r="A75" i="155"/>
  <c r="A140" i="110"/>
  <c r="A141" i="110"/>
  <c r="A142" i="110"/>
  <c r="A143" i="110"/>
  <c r="A144" i="110"/>
  <c r="A145" i="110"/>
  <c r="A146" i="110"/>
  <c r="A139" i="110"/>
  <c r="A132" i="110"/>
  <c r="A133" i="110"/>
  <c r="A134" i="110"/>
  <c r="A135" i="110"/>
  <c r="A136" i="110"/>
  <c r="A137" i="110"/>
  <c r="A138" i="110"/>
  <c r="A131" i="110"/>
  <c r="D69" i="97"/>
  <c r="A76" i="97"/>
  <c r="A77" i="97"/>
  <c r="A78" i="97"/>
  <c r="A79" i="97"/>
  <c r="A80" i="97"/>
  <c r="A81" i="97"/>
  <c r="A82" i="97"/>
  <c r="A75" i="97"/>
  <c r="D74" i="97"/>
  <c r="A74" i="97"/>
  <c r="A68" i="97"/>
  <c r="A69" i="97"/>
  <c r="A70" i="97"/>
  <c r="A71" i="97"/>
  <c r="A72" i="97"/>
  <c r="A73" i="97"/>
  <c r="A67" i="97"/>
  <c r="A66" i="97"/>
  <c r="K3" i="190"/>
  <c r="F3" i="190"/>
  <c r="B3" i="190"/>
  <c r="K3" i="43"/>
  <c r="F3" i="43"/>
  <c r="B3" i="43"/>
  <c r="U2" i="100"/>
  <c r="R3" i="100" s="1"/>
  <c r="U1" i="100"/>
  <c r="U2" i="229"/>
  <c r="R13" i="229" s="1"/>
  <c r="U1" i="229"/>
  <c r="U2" i="139"/>
  <c r="U1" i="139"/>
  <c r="U2" i="113"/>
  <c r="R7" i="113" s="1"/>
  <c r="U1" i="113"/>
  <c r="U2" i="109"/>
  <c r="U1" i="109"/>
  <c r="U2" i="108"/>
  <c r="U1" i="108"/>
  <c r="U2" i="107"/>
  <c r="U1" i="107"/>
  <c r="U2" i="74"/>
  <c r="U1" i="74"/>
  <c r="U2" i="68"/>
  <c r="U1" i="68"/>
  <c r="U2" i="86"/>
  <c r="R56" i="86" s="1"/>
  <c r="U1" i="86"/>
  <c r="U2" i="85"/>
  <c r="R12" i="85" s="1"/>
  <c r="U1" i="85"/>
  <c r="U2" i="87"/>
  <c r="R61" i="87" s="1"/>
  <c r="U1" i="87"/>
  <c r="U2" i="88"/>
  <c r="R53" i="88" s="1"/>
  <c r="U1" i="88"/>
  <c r="U2" i="83"/>
  <c r="U1" i="83"/>
  <c r="U2" i="67"/>
  <c r="U1" i="67"/>
  <c r="U2" i="199"/>
  <c r="R62" i="199" s="1"/>
  <c r="U1" i="199"/>
  <c r="U2" i="219"/>
  <c r="R22" i="219" s="1"/>
  <c r="U1" i="219"/>
  <c r="U2" i="201"/>
  <c r="R53" i="201" s="1"/>
  <c r="U1" i="201"/>
  <c r="U2" i="211"/>
  <c r="R3" i="211" s="1"/>
  <c r="U1" i="211"/>
  <c r="U2" i="202"/>
  <c r="R31" i="202" s="1"/>
  <c r="U1" i="202"/>
  <c r="U2" i="210"/>
  <c r="R3" i="210" s="1"/>
  <c r="U1" i="210"/>
  <c r="U2" i="213"/>
  <c r="U1" i="213"/>
  <c r="U2" i="198"/>
  <c r="U1" i="198"/>
  <c r="U2" i="216"/>
  <c r="R3" i="216" s="1"/>
  <c r="U1" i="216"/>
  <c r="U2" i="212"/>
  <c r="R3" i="212" s="1"/>
  <c r="U1" i="212"/>
  <c r="U2" i="193"/>
  <c r="R26" i="193" s="1"/>
  <c r="U1" i="193"/>
  <c r="U2" i="151"/>
  <c r="R21" i="151" s="1"/>
  <c r="U1" i="151"/>
  <c r="U2" i="190"/>
  <c r="R3" i="190" s="1"/>
  <c r="U1" i="190"/>
  <c r="U2" i="43"/>
  <c r="R3" i="43" s="1"/>
  <c r="U1" i="43"/>
  <c r="U2" i="158"/>
  <c r="R3" i="158" s="1"/>
  <c r="U1" i="158"/>
  <c r="U2" i="54"/>
  <c r="R3" i="54" s="1"/>
  <c r="U1" i="54"/>
  <c r="U2" i="150"/>
  <c r="U1" i="150"/>
  <c r="U2" i="70"/>
  <c r="R4" i="70" s="1"/>
  <c r="U1" i="70"/>
  <c r="U2" i="38"/>
  <c r="R3" i="38" s="1"/>
  <c r="U1" i="38"/>
  <c r="U2" i="59"/>
  <c r="R9" i="59" s="1"/>
  <c r="U1" i="59"/>
  <c r="U2" i="90"/>
  <c r="R63" i="90" s="1"/>
  <c r="U1" i="90"/>
  <c r="U2" i="60"/>
  <c r="R9" i="60" s="1"/>
  <c r="U1" i="60"/>
  <c r="U2" i="61"/>
  <c r="R3" i="61" s="1"/>
  <c r="U1" i="61"/>
  <c r="U2" i="26"/>
  <c r="R15" i="26" s="1"/>
  <c r="U1" i="26"/>
  <c r="U2" i="28"/>
  <c r="R10" i="28" s="1"/>
  <c r="U1" i="28"/>
  <c r="U2" i="25"/>
  <c r="R14" i="25" s="1"/>
  <c r="U1" i="25"/>
  <c r="U2" i="10"/>
  <c r="R16" i="10" s="1"/>
  <c r="U1" i="10"/>
  <c r="U2" i="33"/>
  <c r="R62" i="33" s="1"/>
  <c r="U1" i="33"/>
  <c r="U2" i="52"/>
  <c r="R65" i="52" s="1"/>
  <c r="U1" i="52"/>
  <c r="U2" i="12"/>
  <c r="R86" i="12" s="1"/>
  <c r="U1" i="12"/>
  <c r="U2" i="24"/>
  <c r="R57" i="24" s="1"/>
  <c r="U1" i="24"/>
  <c r="U2" i="58"/>
  <c r="R44" i="58" s="1"/>
  <c r="U1" i="58"/>
  <c r="U2" i="57"/>
  <c r="R62" i="57" s="1"/>
  <c r="U1" i="57"/>
  <c r="U2" i="93"/>
  <c r="R31" i="93" s="1"/>
  <c r="U1" i="93"/>
  <c r="U2" i="9"/>
  <c r="R49" i="9" s="1"/>
  <c r="U2" i="20"/>
  <c r="R13" i="20" s="1"/>
  <c r="U1" i="20"/>
  <c r="U1" i="9"/>
  <c r="A59" i="201"/>
  <c r="A58" i="201"/>
  <c r="A59" i="24"/>
  <c r="A58" i="24"/>
  <c r="E2" i="144"/>
  <c r="A5" i="144"/>
  <c r="G3" i="144"/>
  <c r="E4" i="144" s="1"/>
  <c r="R69" i="58" l="1"/>
  <c r="R68" i="58"/>
  <c r="R7" i="85"/>
  <c r="R11" i="85"/>
  <c r="R43" i="58"/>
  <c r="R60" i="87"/>
  <c r="R52" i="88"/>
  <c r="R55" i="86"/>
  <c r="R42" i="58"/>
  <c r="R66" i="58"/>
  <c r="R18" i="193"/>
  <c r="R6" i="10"/>
  <c r="R46" i="74"/>
  <c r="R11" i="74"/>
  <c r="R22" i="10"/>
  <c r="R5" i="229"/>
  <c r="R20" i="67"/>
  <c r="R7" i="67"/>
  <c r="R7" i="83"/>
  <c r="R30" i="83"/>
  <c r="R8" i="83"/>
  <c r="D133" i="110"/>
  <c r="D141" i="110"/>
  <c r="R18" i="68"/>
  <c r="R6" i="68"/>
  <c r="R3" i="10"/>
  <c r="R19" i="10"/>
  <c r="R4" i="28"/>
  <c r="R3" i="60"/>
  <c r="R49" i="90"/>
  <c r="R22" i="74"/>
  <c r="R10" i="85"/>
  <c r="R6" i="85"/>
  <c r="R12" i="28"/>
  <c r="R11" i="60"/>
  <c r="R57" i="90"/>
  <c r="R7" i="10"/>
  <c r="R23" i="10"/>
  <c r="R20" i="28"/>
  <c r="R19" i="60"/>
  <c r="R65" i="90"/>
  <c r="R15" i="202"/>
  <c r="R10" i="10"/>
  <c r="R26" i="10"/>
  <c r="R5" i="61"/>
  <c r="R9" i="90"/>
  <c r="R45" i="201"/>
  <c r="R22" i="67"/>
  <c r="R21" i="67"/>
  <c r="R23" i="67"/>
  <c r="R35" i="86"/>
  <c r="R18" i="86"/>
  <c r="R17" i="86"/>
  <c r="R16" i="86"/>
  <c r="R14" i="86"/>
  <c r="R15" i="86"/>
  <c r="R11" i="10"/>
  <c r="R27" i="10"/>
  <c r="R6" i="61"/>
  <c r="R17" i="90"/>
  <c r="R54" i="219"/>
  <c r="R14" i="10"/>
  <c r="R8" i="25"/>
  <c r="R9" i="61"/>
  <c r="R25" i="90"/>
  <c r="R12" i="68"/>
  <c r="R19" i="68"/>
  <c r="R32" i="93"/>
  <c r="R15" i="10"/>
  <c r="R16" i="25"/>
  <c r="R10" i="61"/>
  <c r="R33" i="90"/>
  <c r="R6" i="88"/>
  <c r="R50" i="24"/>
  <c r="R18" i="10"/>
  <c r="R24" i="25"/>
  <c r="R13" i="61"/>
  <c r="R41" i="90"/>
  <c r="R27" i="86"/>
  <c r="R21" i="83"/>
  <c r="R7" i="68"/>
  <c r="R8" i="68"/>
  <c r="R29" i="83"/>
  <c r="R15" i="198"/>
  <c r="R7" i="198"/>
  <c r="R14" i="198"/>
  <c r="R6" i="198"/>
  <c r="R13" i="198"/>
  <c r="R5" i="198"/>
  <c r="R12" i="198"/>
  <c r="R4" i="198"/>
  <c r="R11" i="198"/>
  <c r="R3" i="198"/>
  <c r="R10" i="198"/>
  <c r="R9" i="198"/>
  <c r="R8" i="107"/>
  <c r="R7" i="107"/>
  <c r="R14" i="107"/>
  <c r="R6" i="107"/>
  <c r="R13" i="107"/>
  <c r="R5" i="107"/>
  <c r="R12" i="107"/>
  <c r="R4" i="107"/>
  <c r="R11" i="107"/>
  <c r="R3" i="107"/>
  <c r="R10" i="107"/>
  <c r="R28" i="33"/>
  <c r="R56" i="33"/>
  <c r="R45" i="88"/>
  <c r="R37" i="88"/>
  <c r="R29" i="88"/>
  <c r="R21" i="88"/>
  <c r="R13" i="88"/>
  <c r="R5" i="88"/>
  <c r="R44" i="88"/>
  <c r="R36" i="88"/>
  <c r="R28" i="88"/>
  <c r="R20" i="88"/>
  <c r="R12" i="88"/>
  <c r="R4" i="88"/>
  <c r="R51" i="88"/>
  <c r="R43" i="88"/>
  <c r="R35" i="88"/>
  <c r="R27" i="88"/>
  <c r="R19" i="88"/>
  <c r="R11" i="88"/>
  <c r="R3" i="88"/>
  <c r="R50" i="88"/>
  <c r="R42" i="88"/>
  <c r="R34" i="88"/>
  <c r="R26" i="88"/>
  <c r="R18" i="88"/>
  <c r="R10" i="88"/>
  <c r="R49" i="88"/>
  <c r="R41" i="88"/>
  <c r="R33" i="88"/>
  <c r="R25" i="88"/>
  <c r="R17" i="88"/>
  <c r="R9" i="88"/>
  <c r="R48" i="88"/>
  <c r="R40" i="88"/>
  <c r="R32" i="88"/>
  <c r="R24" i="88"/>
  <c r="R16" i="88"/>
  <c r="R8" i="88"/>
  <c r="R47" i="88"/>
  <c r="R39" i="88"/>
  <c r="R31" i="88"/>
  <c r="R23" i="88"/>
  <c r="R15" i="88"/>
  <c r="R7" i="88"/>
  <c r="R10" i="93"/>
  <c r="R17" i="12"/>
  <c r="R17" i="33"/>
  <c r="R25" i="33"/>
  <c r="R49" i="33"/>
  <c r="R52" i="33"/>
  <c r="R4" i="150"/>
  <c r="R3" i="150"/>
  <c r="R61" i="199"/>
  <c r="R53" i="199"/>
  <c r="R45" i="199"/>
  <c r="R37" i="199"/>
  <c r="R29" i="199"/>
  <c r="R21" i="199"/>
  <c r="R13" i="199"/>
  <c r="R5" i="199"/>
  <c r="R60" i="199"/>
  <c r="R52" i="199"/>
  <c r="R44" i="199"/>
  <c r="R36" i="199"/>
  <c r="R28" i="199"/>
  <c r="R20" i="199"/>
  <c r="R12" i="199"/>
  <c r="R4" i="199"/>
  <c r="R59" i="199"/>
  <c r="R51" i="199"/>
  <c r="R43" i="199"/>
  <c r="R35" i="199"/>
  <c r="R27" i="199"/>
  <c r="R19" i="199"/>
  <c r="R11" i="199"/>
  <c r="R3" i="199"/>
  <c r="R58" i="199"/>
  <c r="R50" i="199"/>
  <c r="R42" i="199"/>
  <c r="R34" i="199"/>
  <c r="R26" i="199"/>
  <c r="R18" i="199"/>
  <c r="R10" i="199"/>
  <c r="R65" i="199"/>
  <c r="R57" i="199"/>
  <c r="R49" i="199"/>
  <c r="R41" i="199"/>
  <c r="R33" i="199"/>
  <c r="R25" i="199"/>
  <c r="R17" i="199"/>
  <c r="R9" i="199"/>
  <c r="R64" i="199"/>
  <c r="R56" i="199"/>
  <c r="R48" i="199"/>
  <c r="R40" i="199"/>
  <c r="R32" i="199"/>
  <c r="R24" i="199"/>
  <c r="R16" i="199"/>
  <c r="R8" i="199"/>
  <c r="R63" i="199"/>
  <c r="R55" i="199"/>
  <c r="R47" i="199"/>
  <c r="R39" i="199"/>
  <c r="R31" i="199"/>
  <c r="R23" i="199"/>
  <c r="R15" i="199"/>
  <c r="R7" i="199"/>
  <c r="R54" i="87"/>
  <c r="R46" i="87"/>
  <c r="R38" i="87"/>
  <c r="R30" i="87"/>
  <c r="R22" i="87"/>
  <c r="R14" i="87"/>
  <c r="R6" i="87"/>
  <c r="R53" i="87"/>
  <c r="R45" i="87"/>
  <c r="R37" i="87"/>
  <c r="R29" i="87"/>
  <c r="R21" i="87"/>
  <c r="R13" i="87"/>
  <c r="R5" i="87"/>
  <c r="R52" i="87"/>
  <c r="R44" i="87"/>
  <c r="R36" i="87"/>
  <c r="R28" i="87"/>
  <c r="R20" i="87"/>
  <c r="R12" i="87"/>
  <c r="R4" i="87"/>
  <c r="R59" i="87"/>
  <c r="R51" i="87"/>
  <c r="R43" i="87"/>
  <c r="R35" i="87"/>
  <c r="R27" i="87"/>
  <c r="R19" i="87"/>
  <c r="R11" i="87"/>
  <c r="R3" i="87"/>
  <c r="R58" i="87"/>
  <c r="R50" i="87"/>
  <c r="R42" i="87"/>
  <c r="R34" i="87"/>
  <c r="R26" i="87"/>
  <c r="R18" i="87"/>
  <c r="R10" i="87"/>
  <c r="R57" i="87"/>
  <c r="R49" i="87"/>
  <c r="R41" i="87"/>
  <c r="R33" i="87"/>
  <c r="R25" i="87"/>
  <c r="R17" i="87"/>
  <c r="R9" i="87"/>
  <c r="R56" i="87"/>
  <c r="R48" i="87"/>
  <c r="R40" i="87"/>
  <c r="R32" i="87"/>
  <c r="R24" i="87"/>
  <c r="R16" i="87"/>
  <c r="R8" i="87"/>
  <c r="R3" i="113"/>
  <c r="R9" i="113"/>
  <c r="R8" i="113"/>
  <c r="R6" i="113"/>
  <c r="R5" i="113"/>
  <c r="R37" i="12"/>
  <c r="R10" i="33"/>
  <c r="R26" i="33"/>
  <c r="R42" i="33"/>
  <c r="R50" i="33"/>
  <c r="R53" i="33"/>
  <c r="R8" i="10"/>
  <c r="R24" i="10"/>
  <c r="R6" i="25"/>
  <c r="R22" i="25"/>
  <c r="R30" i="25"/>
  <c r="R18" i="28"/>
  <c r="R8" i="26"/>
  <c r="R11" i="61"/>
  <c r="R19" i="61"/>
  <c r="R17" i="60"/>
  <c r="R15" i="90"/>
  <c r="R23" i="90"/>
  <c r="R31" i="90"/>
  <c r="R47" i="90"/>
  <c r="R55" i="90"/>
  <c r="R71" i="90"/>
  <c r="R47" i="87"/>
  <c r="R16" i="93"/>
  <c r="R3" i="33"/>
  <c r="R11" i="33"/>
  <c r="R19" i="33"/>
  <c r="R27" i="33"/>
  <c r="R35" i="33"/>
  <c r="R43" i="33"/>
  <c r="R51" i="33"/>
  <c r="R63" i="33"/>
  <c r="R54" i="33"/>
  <c r="R9" i="10"/>
  <c r="R17" i="10"/>
  <c r="R25" i="10"/>
  <c r="R7" i="25"/>
  <c r="R15" i="25"/>
  <c r="R23" i="25"/>
  <c r="R3" i="28"/>
  <c r="R11" i="28"/>
  <c r="R19" i="28"/>
  <c r="R9" i="26"/>
  <c r="R4" i="61"/>
  <c r="R12" i="61"/>
  <c r="R20" i="61"/>
  <c r="R10" i="60"/>
  <c r="R18" i="60"/>
  <c r="R8" i="90"/>
  <c r="R16" i="90"/>
  <c r="R24" i="90"/>
  <c r="R32" i="90"/>
  <c r="R40" i="90"/>
  <c r="R48" i="90"/>
  <c r="R56" i="90"/>
  <c r="R64" i="90"/>
  <c r="R5" i="59"/>
  <c r="R15" i="59"/>
  <c r="R10" i="193"/>
  <c r="R7" i="202"/>
  <c r="R37" i="201"/>
  <c r="R46" i="219"/>
  <c r="R54" i="199"/>
  <c r="R55" i="87"/>
  <c r="R13" i="83"/>
  <c r="R19" i="86"/>
  <c r="R14" i="74"/>
  <c r="R4" i="113"/>
  <c r="R12" i="33"/>
  <c r="R5" i="151"/>
  <c r="R34" i="93"/>
  <c r="R13" i="33"/>
  <c r="R45" i="33"/>
  <c r="R25" i="25"/>
  <c r="R13" i="28"/>
  <c r="R14" i="61"/>
  <c r="R4" i="60"/>
  <c r="R12" i="60"/>
  <c r="R20" i="60"/>
  <c r="R10" i="90"/>
  <c r="R18" i="90"/>
  <c r="R26" i="90"/>
  <c r="R34" i="90"/>
  <c r="R42" i="90"/>
  <c r="R50" i="90"/>
  <c r="R58" i="90"/>
  <c r="R66" i="90"/>
  <c r="R7" i="59"/>
  <c r="R3" i="70"/>
  <c r="R13" i="151"/>
  <c r="R23" i="202"/>
  <c r="R6" i="199"/>
  <c r="R7" i="87"/>
  <c r="R14" i="88"/>
  <c r="R30" i="74"/>
  <c r="R17" i="67"/>
  <c r="R9" i="67"/>
  <c r="R16" i="67"/>
  <c r="R8" i="67"/>
  <c r="R15" i="67"/>
  <c r="R14" i="67"/>
  <c r="R6" i="67"/>
  <c r="R13" i="67"/>
  <c r="R5" i="67"/>
  <c r="R12" i="67"/>
  <c r="R4" i="67"/>
  <c r="R19" i="67"/>
  <c r="R11" i="67"/>
  <c r="R3" i="67"/>
  <c r="R20" i="33"/>
  <c r="R10" i="26"/>
  <c r="R21" i="33"/>
  <c r="R17" i="25"/>
  <c r="R3" i="26"/>
  <c r="R49" i="193"/>
  <c r="R41" i="193"/>
  <c r="R33" i="193"/>
  <c r="R25" i="193"/>
  <c r="R17" i="193"/>
  <c r="R9" i="193"/>
  <c r="R48" i="193"/>
  <c r="R40" i="193"/>
  <c r="R32" i="193"/>
  <c r="R24" i="193"/>
  <c r="R16" i="193"/>
  <c r="R8" i="193"/>
  <c r="R47" i="193"/>
  <c r="R39" i="193"/>
  <c r="R31" i="193"/>
  <c r="R23" i="193"/>
  <c r="R15" i="193"/>
  <c r="R7" i="193"/>
  <c r="R46" i="193"/>
  <c r="R38" i="193"/>
  <c r="R30" i="193"/>
  <c r="R22" i="193"/>
  <c r="R14" i="193"/>
  <c r="R6" i="193"/>
  <c r="R45" i="193"/>
  <c r="R37" i="193"/>
  <c r="R29" i="193"/>
  <c r="R21" i="193"/>
  <c r="R13" i="193"/>
  <c r="R5" i="193"/>
  <c r="R44" i="193"/>
  <c r="R36" i="193"/>
  <c r="R28" i="193"/>
  <c r="R20" i="193"/>
  <c r="R12" i="193"/>
  <c r="R4" i="193"/>
  <c r="R43" i="193"/>
  <c r="R35" i="193"/>
  <c r="R27" i="193"/>
  <c r="R19" i="193"/>
  <c r="R11" i="193"/>
  <c r="R3" i="193"/>
  <c r="R52" i="201"/>
  <c r="R44" i="201"/>
  <c r="R36" i="201"/>
  <c r="R28" i="201"/>
  <c r="R20" i="201"/>
  <c r="R12" i="201"/>
  <c r="R4" i="201"/>
  <c r="R51" i="201"/>
  <c r="R43" i="201"/>
  <c r="R35" i="201"/>
  <c r="R27" i="201"/>
  <c r="R19" i="201"/>
  <c r="R11" i="201"/>
  <c r="R3" i="201"/>
  <c r="R50" i="201"/>
  <c r="R42" i="201"/>
  <c r="R34" i="201"/>
  <c r="R26" i="201"/>
  <c r="R18" i="201"/>
  <c r="R10" i="201"/>
  <c r="R57" i="201"/>
  <c r="R49" i="201"/>
  <c r="R41" i="201"/>
  <c r="R33" i="201"/>
  <c r="R25" i="201"/>
  <c r="R17" i="201"/>
  <c r="R9" i="201"/>
  <c r="R56" i="201"/>
  <c r="R48" i="201"/>
  <c r="R40" i="201"/>
  <c r="R32" i="201"/>
  <c r="R24" i="201"/>
  <c r="R16" i="201"/>
  <c r="R8" i="201"/>
  <c r="R55" i="201"/>
  <c r="R47" i="201"/>
  <c r="R39" i="201"/>
  <c r="R31" i="201"/>
  <c r="R23" i="201"/>
  <c r="R15" i="201"/>
  <c r="R7" i="201"/>
  <c r="R54" i="201"/>
  <c r="R46" i="201"/>
  <c r="R38" i="201"/>
  <c r="R30" i="201"/>
  <c r="R22" i="201"/>
  <c r="R14" i="201"/>
  <c r="R6" i="201"/>
  <c r="R50" i="86"/>
  <c r="R42" i="86"/>
  <c r="R34" i="86"/>
  <c r="R26" i="86"/>
  <c r="R10" i="86"/>
  <c r="R49" i="86"/>
  <c r="R41" i="86"/>
  <c r="R33" i="86"/>
  <c r="R25" i="86"/>
  <c r="R9" i="86"/>
  <c r="R48" i="86"/>
  <c r="R40" i="86"/>
  <c r="R32" i="86"/>
  <c r="R24" i="86"/>
  <c r="R8" i="86"/>
  <c r="R47" i="86"/>
  <c r="R39" i="86"/>
  <c r="R31" i="86"/>
  <c r="R23" i="86"/>
  <c r="R7" i="86"/>
  <c r="R54" i="86"/>
  <c r="R46" i="86"/>
  <c r="R38" i="86"/>
  <c r="R30" i="86"/>
  <c r="R22" i="86"/>
  <c r="R6" i="86"/>
  <c r="R53" i="86"/>
  <c r="R45" i="86"/>
  <c r="R37" i="86"/>
  <c r="R29" i="86"/>
  <c r="R21" i="86"/>
  <c r="R13" i="86"/>
  <c r="R5" i="86"/>
  <c r="R52" i="86"/>
  <c r="R44" i="86"/>
  <c r="R36" i="86"/>
  <c r="R28" i="86"/>
  <c r="R20" i="86"/>
  <c r="R12" i="86"/>
  <c r="R4" i="86"/>
  <c r="R12" i="229"/>
  <c r="R4" i="229"/>
  <c r="R11" i="229"/>
  <c r="R3" i="229"/>
  <c r="R10" i="229"/>
  <c r="R9" i="229"/>
  <c r="R8" i="229"/>
  <c r="R7" i="229"/>
  <c r="R14" i="229"/>
  <c r="R6" i="229"/>
  <c r="R8" i="24"/>
  <c r="R6" i="33"/>
  <c r="R14" i="33"/>
  <c r="R22" i="33"/>
  <c r="R30" i="33"/>
  <c r="R38" i="33"/>
  <c r="R46" i="33"/>
  <c r="R58" i="33"/>
  <c r="R66" i="33"/>
  <c r="R4" i="10"/>
  <c r="R12" i="10"/>
  <c r="R20" i="10"/>
  <c r="R28" i="10"/>
  <c r="R10" i="25"/>
  <c r="R18" i="25"/>
  <c r="R26" i="25"/>
  <c r="R6" i="28"/>
  <c r="R14" i="28"/>
  <c r="R4" i="26"/>
  <c r="R12" i="26"/>
  <c r="R7" i="61"/>
  <c r="R15" i="61"/>
  <c r="R5" i="60"/>
  <c r="R13" i="60"/>
  <c r="R3" i="90"/>
  <c r="R11" i="90"/>
  <c r="R19" i="90"/>
  <c r="R27" i="90"/>
  <c r="R35" i="90"/>
  <c r="R43" i="90"/>
  <c r="R51" i="90"/>
  <c r="R59" i="90"/>
  <c r="R67" i="90"/>
  <c r="R8" i="59"/>
  <c r="R34" i="193"/>
  <c r="R6" i="219"/>
  <c r="R14" i="199"/>
  <c r="R15" i="87"/>
  <c r="R22" i="88"/>
  <c r="R10" i="67"/>
  <c r="R43" i="86"/>
  <c r="R38" i="74"/>
  <c r="R52" i="151"/>
  <c r="R44" i="151"/>
  <c r="R36" i="151"/>
  <c r="R28" i="151"/>
  <c r="R20" i="151"/>
  <c r="R12" i="151"/>
  <c r="R4" i="151"/>
  <c r="R51" i="151"/>
  <c r="R43" i="151"/>
  <c r="R35" i="151"/>
  <c r="R27" i="151"/>
  <c r="R19" i="151"/>
  <c r="R11" i="151"/>
  <c r="R3" i="151"/>
  <c r="R50" i="151"/>
  <c r="R42" i="151"/>
  <c r="R34" i="151"/>
  <c r="R26" i="151"/>
  <c r="R18" i="151"/>
  <c r="R10" i="151"/>
  <c r="R49" i="151"/>
  <c r="R41" i="151"/>
  <c r="R33" i="151"/>
  <c r="R25" i="151"/>
  <c r="R17" i="151"/>
  <c r="R9" i="151"/>
  <c r="R48" i="151"/>
  <c r="R40" i="151"/>
  <c r="R32" i="151"/>
  <c r="R24" i="151"/>
  <c r="R16" i="151"/>
  <c r="R8" i="151"/>
  <c r="R47" i="151"/>
  <c r="R39" i="151"/>
  <c r="R31" i="151"/>
  <c r="R23" i="151"/>
  <c r="R15" i="151"/>
  <c r="R7" i="151"/>
  <c r="R46" i="151"/>
  <c r="R38" i="151"/>
  <c r="R30" i="151"/>
  <c r="R22" i="151"/>
  <c r="R14" i="151"/>
  <c r="R6" i="151"/>
  <c r="R36" i="33"/>
  <c r="R64" i="33"/>
  <c r="R18" i="59"/>
  <c r="R5" i="33"/>
  <c r="R29" i="33"/>
  <c r="R37" i="33"/>
  <c r="R57" i="33"/>
  <c r="R65" i="33"/>
  <c r="R9" i="25"/>
  <c r="R5" i="28"/>
  <c r="R11" i="26"/>
  <c r="R4" i="213"/>
  <c r="R3" i="213"/>
  <c r="R28" i="83"/>
  <c r="R20" i="83"/>
  <c r="R12" i="83"/>
  <c r="R4" i="83"/>
  <c r="R27" i="83"/>
  <c r="R19" i="83"/>
  <c r="R11" i="83"/>
  <c r="R3" i="83"/>
  <c r="R26" i="83"/>
  <c r="R18" i="83"/>
  <c r="R10" i="83"/>
  <c r="R25" i="83"/>
  <c r="R17" i="83"/>
  <c r="R9" i="83"/>
  <c r="R24" i="83"/>
  <c r="R16" i="83"/>
  <c r="R23" i="83"/>
  <c r="R15" i="83"/>
  <c r="R22" i="83"/>
  <c r="R14" i="83"/>
  <c r="R6" i="83"/>
  <c r="R4" i="108"/>
  <c r="R11" i="108"/>
  <c r="R3" i="108"/>
  <c r="R10" i="108"/>
  <c r="R9" i="108"/>
  <c r="R8" i="108"/>
  <c r="R7" i="108"/>
  <c r="R6" i="108"/>
  <c r="R28" i="24"/>
  <c r="R7" i="33"/>
  <c r="R15" i="33"/>
  <c r="R23" i="33"/>
  <c r="R31" i="33"/>
  <c r="R39" i="33"/>
  <c r="R47" i="33"/>
  <c r="R59" i="33"/>
  <c r="R67" i="33"/>
  <c r="R5" i="10"/>
  <c r="R13" i="10"/>
  <c r="R21" i="10"/>
  <c r="R3" i="25"/>
  <c r="R11" i="25"/>
  <c r="R19" i="25"/>
  <c r="R27" i="25"/>
  <c r="R7" i="28"/>
  <c r="R15" i="28"/>
  <c r="R5" i="26"/>
  <c r="R13" i="26"/>
  <c r="R8" i="61"/>
  <c r="R16" i="61"/>
  <c r="R6" i="60"/>
  <c r="R14" i="60"/>
  <c r="R4" i="90"/>
  <c r="R12" i="90"/>
  <c r="R20" i="90"/>
  <c r="R28" i="90"/>
  <c r="R36" i="90"/>
  <c r="R44" i="90"/>
  <c r="R52" i="90"/>
  <c r="R60" i="90"/>
  <c r="R68" i="90"/>
  <c r="R29" i="151"/>
  <c r="R42" i="193"/>
  <c r="R5" i="201"/>
  <c r="R14" i="219"/>
  <c r="R22" i="199"/>
  <c r="R23" i="87"/>
  <c r="R30" i="88"/>
  <c r="R18" i="67"/>
  <c r="R51" i="86"/>
  <c r="R20" i="59"/>
  <c r="R3" i="59"/>
  <c r="R19" i="59"/>
  <c r="R13" i="59"/>
  <c r="R4" i="59"/>
  <c r="R12" i="59"/>
  <c r="R17" i="59"/>
  <c r="R16" i="59"/>
  <c r="R6" i="59"/>
  <c r="R11" i="68"/>
  <c r="R5" i="68"/>
  <c r="R10" i="68"/>
  <c r="R4" i="68"/>
  <c r="R17" i="68"/>
  <c r="R9" i="68"/>
  <c r="R3" i="68"/>
  <c r="R16" i="68"/>
  <c r="R15" i="68"/>
  <c r="R14" i="68"/>
  <c r="R8" i="33"/>
  <c r="R16" i="33"/>
  <c r="R24" i="33"/>
  <c r="R32" i="33"/>
  <c r="R40" i="33"/>
  <c r="R48" i="33"/>
  <c r="R60" i="33"/>
  <c r="R68" i="33"/>
  <c r="R4" i="25"/>
  <c r="R12" i="25"/>
  <c r="R20" i="25"/>
  <c r="R28" i="25"/>
  <c r="R8" i="28"/>
  <c r="R16" i="28"/>
  <c r="R6" i="26"/>
  <c r="R14" i="26"/>
  <c r="R17" i="61"/>
  <c r="R7" i="60"/>
  <c r="R15" i="60"/>
  <c r="R5" i="90"/>
  <c r="R13" i="90"/>
  <c r="R21" i="90"/>
  <c r="R29" i="90"/>
  <c r="R37" i="90"/>
  <c r="R45" i="90"/>
  <c r="R53" i="90"/>
  <c r="R61" i="90"/>
  <c r="R69" i="90"/>
  <c r="R10" i="59"/>
  <c r="R37" i="151"/>
  <c r="R50" i="193"/>
  <c r="R13" i="201"/>
  <c r="R30" i="199"/>
  <c r="R31" i="87"/>
  <c r="R38" i="88"/>
  <c r="R9" i="107"/>
  <c r="R18" i="85"/>
  <c r="R9" i="85"/>
  <c r="R17" i="85"/>
  <c r="R8" i="85"/>
  <c r="R16" i="85"/>
  <c r="R15" i="85"/>
  <c r="R5" i="85"/>
  <c r="R14" i="85"/>
  <c r="R4" i="85"/>
  <c r="R13" i="85"/>
  <c r="R3" i="85"/>
  <c r="R4" i="33"/>
  <c r="R44" i="33"/>
  <c r="R55" i="33"/>
  <c r="R53" i="219"/>
  <c r="R45" i="219"/>
  <c r="R37" i="219"/>
  <c r="R29" i="219"/>
  <c r="R21" i="219"/>
  <c r="R13" i="219"/>
  <c r="R5" i="219"/>
  <c r="R52" i="219"/>
  <c r="R44" i="219"/>
  <c r="R36" i="219"/>
  <c r="R28" i="219"/>
  <c r="R20" i="219"/>
  <c r="R12" i="219"/>
  <c r="R4" i="219"/>
  <c r="R51" i="219"/>
  <c r="R43" i="219"/>
  <c r="R35" i="219"/>
  <c r="R27" i="219"/>
  <c r="R19" i="219"/>
  <c r="R11" i="219"/>
  <c r="R3" i="219"/>
  <c r="R58" i="219"/>
  <c r="R50" i="219"/>
  <c r="R42" i="219"/>
  <c r="R34" i="219"/>
  <c r="R26" i="219"/>
  <c r="R18" i="219"/>
  <c r="R10" i="219"/>
  <c r="R57" i="219"/>
  <c r="R49" i="219"/>
  <c r="R41" i="219"/>
  <c r="R33" i="219"/>
  <c r="R25" i="219"/>
  <c r="R17" i="219"/>
  <c r="R9" i="219"/>
  <c r="R56" i="219"/>
  <c r="R48" i="219"/>
  <c r="R40" i="219"/>
  <c r="R32" i="219"/>
  <c r="R24" i="219"/>
  <c r="R16" i="219"/>
  <c r="R8" i="219"/>
  <c r="R55" i="219"/>
  <c r="R47" i="219"/>
  <c r="R39" i="219"/>
  <c r="R31" i="219"/>
  <c r="R23" i="219"/>
  <c r="R15" i="219"/>
  <c r="R7" i="219"/>
  <c r="R3" i="109"/>
  <c r="R7" i="109"/>
  <c r="R10" i="109"/>
  <c r="R9" i="109"/>
  <c r="R8" i="109"/>
  <c r="R6" i="109"/>
  <c r="R5" i="109"/>
  <c r="R9" i="33"/>
  <c r="R41" i="33"/>
  <c r="R5" i="25"/>
  <c r="R13" i="25"/>
  <c r="R21" i="25"/>
  <c r="R29" i="25"/>
  <c r="R9" i="28"/>
  <c r="R17" i="28"/>
  <c r="R7" i="26"/>
  <c r="R18" i="61"/>
  <c r="R8" i="60"/>
  <c r="R16" i="60"/>
  <c r="R6" i="90"/>
  <c r="R14" i="90"/>
  <c r="R22" i="90"/>
  <c r="R30" i="90"/>
  <c r="R38" i="90"/>
  <c r="R46" i="90"/>
  <c r="R54" i="90"/>
  <c r="R62" i="90"/>
  <c r="R70" i="90"/>
  <c r="R11" i="59"/>
  <c r="R45" i="151"/>
  <c r="R8" i="198"/>
  <c r="R21" i="201"/>
  <c r="R30" i="219"/>
  <c r="R38" i="199"/>
  <c r="R39" i="87"/>
  <c r="R46" i="88"/>
  <c r="R3" i="86"/>
  <c r="R13" i="68"/>
  <c r="R5" i="108"/>
  <c r="R33" i="33"/>
  <c r="R61" i="33"/>
  <c r="R30" i="202"/>
  <c r="R22" i="202"/>
  <c r="R14" i="202"/>
  <c r="R6" i="202"/>
  <c r="R29" i="202"/>
  <c r="R21" i="202"/>
  <c r="R13" i="202"/>
  <c r="R5" i="202"/>
  <c r="R28" i="202"/>
  <c r="R20" i="202"/>
  <c r="R12" i="202"/>
  <c r="R4" i="202"/>
  <c r="R35" i="202"/>
  <c r="R27" i="202"/>
  <c r="R19" i="202"/>
  <c r="R11" i="202"/>
  <c r="R3" i="202"/>
  <c r="R34" i="202"/>
  <c r="R26" i="202"/>
  <c r="R18" i="202"/>
  <c r="R10" i="202"/>
  <c r="R33" i="202"/>
  <c r="R25" i="202"/>
  <c r="R17" i="202"/>
  <c r="R9" i="202"/>
  <c r="R32" i="202"/>
  <c r="R24" i="202"/>
  <c r="R16" i="202"/>
  <c r="R8" i="202"/>
  <c r="R45" i="74"/>
  <c r="R37" i="74"/>
  <c r="R29" i="74"/>
  <c r="R21" i="74"/>
  <c r="R13" i="74"/>
  <c r="R5" i="74"/>
  <c r="R44" i="74"/>
  <c r="R36" i="74"/>
  <c r="R28" i="74"/>
  <c r="R20" i="74"/>
  <c r="R12" i="74"/>
  <c r="R4" i="74"/>
  <c r="R43" i="74"/>
  <c r="R35" i="74"/>
  <c r="R27" i="74"/>
  <c r="R19" i="74"/>
  <c r="R3" i="74"/>
  <c r="R42" i="74"/>
  <c r="R34" i="74"/>
  <c r="R26" i="74"/>
  <c r="R18" i="74"/>
  <c r="R10" i="74"/>
  <c r="R41" i="74"/>
  <c r="R33" i="74"/>
  <c r="R25" i="74"/>
  <c r="R17" i="74"/>
  <c r="R9" i="74"/>
  <c r="R40" i="74"/>
  <c r="R32" i="74"/>
  <c r="R24" i="74"/>
  <c r="R16" i="74"/>
  <c r="R8" i="74"/>
  <c r="R47" i="74"/>
  <c r="R39" i="74"/>
  <c r="R31" i="74"/>
  <c r="R23" i="74"/>
  <c r="R15" i="74"/>
  <c r="R7" i="74"/>
  <c r="R14" i="93"/>
  <c r="R18" i="33"/>
  <c r="R34" i="33"/>
  <c r="R7" i="90"/>
  <c r="R39" i="90"/>
  <c r="R14" i="59"/>
  <c r="R53" i="151"/>
  <c r="R16" i="198"/>
  <c r="R29" i="201"/>
  <c r="R38" i="219"/>
  <c r="R46" i="199"/>
  <c r="R5" i="83"/>
  <c r="R11" i="86"/>
  <c r="R6" i="74"/>
  <c r="R4" i="109"/>
  <c r="R5" i="57"/>
  <c r="R47" i="57"/>
  <c r="R26" i="58"/>
  <c r="R17" i="52"/>
  <c r="R18" i="93"/>
  <c r="R7" i="57"/>
  <c r="R29" i="57"/>
  <c r="R49" i="57"/>
  <c r="R8" i="58"/>
  <c r="R30" i="58"/>
  <c r="R53" i="58"/>
  <c r="R10" i="24"/>
  <c r="R32" i="24"/>
  <c r="R52" i="24"/>
  <c r="R19" i="12"/>
  <c r="R45" i="12"/>
  <c r="R25" i="52"/>
  <c r="R22" i="93"/>
  <c r="R9" i="57"/>
  <c r="R31" i="57"/>
  <c r="R53" i="57"/>
  <c r="R10" i="58"/>
  <c r="R32" i="58"/>
  <c r="R57" i="58"/>
  <c r="R12" i="24"/>
  <c r="R34" i="24"/>
  <c r="R56" i="24"/>
  <c r="R21" i="12"/>
  <c r="R53" i="12"/>
  <c r="R33" i="52"/>
  <c r="R24" i="93"/>
  <c r="R13" i="57"/>
  <c r="R33" i="57"/>
  <c r="R55" i="57"/>
  <c r="R14" i="58"/>
  <c r="R34" i="58"/>
  <c r="R59" i="58"/>
  <c r="R16" i="24"/>
  <c r="R36" i="24"/>
  <c r="R3" i="12"/>
  <c r="R25" i="12"/>
  <c r="R61" i="12"/>
  <c r="R41" i="52"/>
  <c r="R6" i="93"/>
  <c r="R26" i="93"/>
  <c r="R15" i="57"/>
  <c r="R37" i="57"/>
  <c r="R57" i="57"/>
  <c r="R16" i="58"/>
  <c r="R38" i="58"/>
  <c r="R61" i="58"/>
  <c r="R18" i="24"/>
  <c r="R40" i="24"/>
  <c r="R5" i="12"/>
  <c r="R27" i="12"/>
  <c r="R69" i="12"/>
  <c r="R49" i="52"/>
  <c r="R25" i="57"/>
  <c r="R6" i="58"/>
  <c r="R51" i="58"/>
  <c r="R8" i="93"/>
  <c r="R30" i="93"/>
  <c r="R17" i="57"/>
  <c r="R39" i="57"/>
  <c r="R61" i="57"/>
  <c r="R18" i="58"/>
  <c r="R40" i="58"/>
  <c r="R65" i="58"/>
  <c r="R20" i="24"/>
  <c r="R42" i="24"/>
  <c r="R9" i="12"/>
  <c r="R29" i="12"/>
  <c r="R80" i="12"/>
  <c r="R57" i="52"/>
  <c r="R21" i="57"/>
  <c r="R41" i="57"/>
  <c r="R63" i="57"/>
  <c r="R22" i="58"/>
  <c r="R45" i="58"/>
  <c r="R67" i="58"/>
  <c r="R24" i="24"/>
  <c r="R44" i="24"/>
  <c r="R11" i="12"/>
  <c r="R33" i="12"/>
  <c r="R72" i="12"/>
  <c r="R69" i="52"/>
  <c r="R23" i="57"/>
  <c r="R45" i="57"/>
  <c r="R65" i="57"/>
  <c r="R24" i="58"/>
  <c r="R49" i="58"/>
  <c r="R4" i="24"/>
  <c r="R26" i="24"/>
  <c r="R48" i="24"/>
  <c r="R13" i="12"/>
  <c r="R35" i="12"/>
  <c r="R9" i="52"/>
  <c r="R77" i="52"/>
  <c r="R5" i="20"/>
  <c r="R6" i="20"/>
  <c r="R14" i="20"/>
  <c r="R9" i="93"/>
  <c r="R17" i="93"/>
  <c r="R25" i="93"/>
  <c r="R33" i="93"/>
  <c r="R8" i="57"/>
  <c r="R16" i="57"/>
  <c r="R24" i="57"/>
  <c r="R32" i="57"/>
  <c r="R40" i="57"/>
  <c r="R48" i="57"/>
  <c r="R56" i="57"/>
  <c r="R64" i="57"/>
  <c r="R9" i="58"/>
  <c r="R17" i="58"/>
  <c r="R25" i="58"/>
  <c r="R33" i="58"/>
  <c r="R41" i="58"/>
  <c r="R52" i="58"/>
  <c r="R60" i="58"/>
  <c r="R3" i="24"/>
  <c r="R11" i="24"/>
  <c r="R19" i="24"/>
  <c r="R27" i="24"/>
  <c r="R35" i="24"/>
  <c r="R43" i="24"/>
  <c r="R51" i="24"/>
  <c r="R4" i="12"/>
  <c r="R12" i="12"/>
  <c r="R20" i="12"/>
  <c r="R28" i="12"/>
  <c r="R36" i="12"/>
  <c r="R44" i="12"/>
  <c r="R52" i="12"/>
  <c r="R60" i="12"/>
  <c r="R68" i="12"/>
  <c r="R79" i="12"/>
  <c r="R71" i="12"/>
  <c r="R8" i="52"/>
  <c r="R16" i="52"/>
  <c r="R24" i="52"/>
  <c r="R32" i="52"/>
  <c r="R40" i="52"/>
  <c r="R48" i="52"/>
  <c r="R56" i="52"/>
  <c r="R68" i="52"/>
  <c r="R76" i="52"/>
  <c r="R7" i="20"/>
  <c r="R8" i="20"/>
  <c r="R16" i="20"/>
  <c r="R3" i="93"/>
  <c r="R11" i="93"/>
  <c r="R19" i="93"/>
  <c r="R27" i="93"/>
  <c r="R35" i="93"/>
  <c r="R10" i="57"/>
  <c r="R18" i="57"/>
  <c r="R26" i="57"/>
  <c r="R34" i="57"/>
  <c r="R42" i="57"/>
  <c r="R50" i="57"/>
  <c r="R58" i="57"/>
  <c r="R3" i="58"/>
  <c r="R11" i="58"/>
  <c r="R19" i="58"/>
  <c r="R27" i="58"/>
  <c r="R35" i="58"/>
  <c r="R46" i="58"/>
  <c r="R54" i="58"/>
  <c r="R62" i="58"/>
  <c r="R5" i="24"/>
  <c r="R13" i="24"/>
  <c r="R21" i="24"/>
  <c r="R29" i="24"/>
  <c r="R37" i="24"/>
  <c r="R45" i="24"/>
  <c r="R53" i="24"/>
  <c r="R6" i="12"/>
  <c r="R14" i="12"/>
  <c r="R22" i="12"/>
  <c r="R30" i="12"/>
  <c r="R38" i="12"/>
  <c r="R46" i="12"/>
  <c r="R54" i="12"/>
  <c r="R62" i="12"/>
  <c r="R70" i="12"/>
  <c r="R81" i="12"/>
  <c r="R73" i="12"/>
  <c r="R10" i="52"/>
  <c r="R18" i="52"/>
  <c r="R26" i="52"/>
  <c r="R34" i="52"/>
  <c r="R42" i="52"/>
  <c r="R50" i="52"/>
  <c r="R58" i="52"/>
  <c r="R70" i="52"/>
  <c r="R78" i="52"/>
  <c r="R15" i="20"/>
  <c r="R9" i="20"/>
  <c r="R4" i="93"/>
  <c r="R12" i="93"/>
  <c r="R20" i="93"/>
  <c r="R28" i="93"/>
  <c r="R3" i="57"/>
  <c r="R11" i="57"/>
  <c r="R19" i="57"/>
  <c r="R27" i="57"/>
  <c r="R35" i="57"/>
  <c r="R43" i="57"/>
  <c r="R51" i="57"/>
  <c r="R59" i="57"/>
  <c r="R4" i="58"/>
  <c r="R12" i="58"/>
  <c r="R20" i="58"/>
  <c r="R28" i="58"/>
  <c r="R36" i="58"/>
  <c r="R47" i="58"/>
  <c r="R55" i="58"/>
  <c r="R63" i="58"/>
  <c r="R6" i="24"/>
  <c r="R14" i="24"/>
  <c r="R22" i="24"/>
  <c r="R30" i="24"/>
  <c r="R38" i="24"/>
  <c r="R46" i="24"/>
  <c r="R54" i="24"/>
  <c r="R7" i="12"/>
  <c r="R15" i="12"/>
  <c r="R23" i="12"/>
  <c r="R31" i="12"/>
  <c r="R39" i="12"/>
  <c r="R47" i="12"/>
  <c r="R55" i="12"/>
  <c r="R63" i="12"/>
  <c r="R74" i="12"/>
  <c r="R82" i="12"/>
  <c r="R3" i="52"/>
  <c r="R11" i="52"/>
  <c r="R19" i="52"/>
  <c r="R27" i="52"/>
  <c r="R35" i="52"/>
  <c r="R43" i="52"/>
  <c r="R51" i="52"/>
  <c r="R59" i="52"/>
  <c r="R71" i="52"/>
  <c r="R79" i="52"/>
  <c r="R10" i="20"/>
  <c r="R5" i="93"/>
  <c r="R13" i="93"/>
  <c r="R21" i="93"/>
  <c r="R29" i="93"/>
  <c r="R4" i="57"/>
  <c r="R12" i="57"/>
  <c r="R20" i="57"/>
  <c r="R28" i="57"/>
  <c r="R36" i="57"/>
  <c r="R44" i="57"/>
  <c r="R52" i="57"/>
  <c r="R60" i="57"/>
  <c r="R5" i="58"/>
  <c r="R13" i="58"/>
  <c r="R21" i="58"/>
  <c r="R29" i="58"/>
  <c r="R37" i="58"/>
  <c r="R48" i="58"/>
  <c r="R56" i="58"/>
  <c r="R64" i="58"/>
  <c r="R7" i="24"/>
  <c r="R15" i="24"/>
  <c r="R23" i="24"/>
  <c r="R31" i="24"/>
  <c r="R39" i="24"/>
  <c r="R47" i="24"/>
  <c r="R55" i="24"/>
  <c r="R8" i="12"/>
  <c r="R16" i="12"/>
  <c r="R24" i="12"/>
  <c r="R32" i="12"/>
  <c r="R40" i="12"/>
  <c r="R48" i="12"/>
  <c r="R56" i="12"/>
  <c r="R64" i="12"/>
  <c r="R75" i="12"/>
  <c r="R83" i="12"/>
  <c r="R4" i="52"/>
  <c r="R12" i="52"/>
  <c r="R20" i="52"/>
  <c r="R28" i="52"/>
  <c r="R36" i="52"/>
  <c r="R44" i="52"/>
  <c r="R52" i="52"/>
  <c r="R60" i="52"/>
  <c r="R72" i="52"/>
  <c r="R62" i="52"/>
  <c r="R11" i="20"/>
  <c r="R41" i="12"/>
  <c r="R49" i="12"/>
  <c r="R57" i="12"/>
  <c r="R65" i="12"/>
  <c r="R76" i="12"/>
  <c r="R84" i="12"/>
  <c r="R5" i="52"/>
  <c r="R13" i="52"/>
  <c r="R21" i="52"/>
  <c r="R29" i="52"/>
  <c r="R37" i="52"/>
  <c r="R45" i="52"/>
  <c r="R53" i="52"/>
  <c r="R61" i="52"/>
  <c r="R73" i="52"/>
  <c r="R63" i="52"/>
  <c r="R3" i="20"/>
  <c r="R4" i="20"/>
  <c r="R12" i="20"/>
  <c r="R7" i="93"/>
  <c r="R15" i="93"/>
  <c r="R23" i="93"/>
  <c r="R6" i="57"/>
  <c r="R14" i="57"/>
  <c r="R22" i="57"/>
  <c r="R30" i="57"/>
  <c r="R38" i="57"/>
  <c r="R46" i="57"/>
  <c r="R54" i="57"/>
  <c r="R7" i="58"/>
  <c r="R15" i="58"/>
  <c r="R23" i="58"/>
  <c r="R31" i="58"/>
  <c r="R39" i="58"/>
  <c r="R50" i="58"/>
  <c r="R58" i="58"/>
  <c r="R9" i="24"/>
  <c r="R17" i="24"/>
  <c r="R25" i="24"/>
  <c r="R33" i="24"/>
  <c r="R41" i="24"/>
  <c r="R49" i="24"/>
  <c r="R10" i="12"/>
  <c r="R18" i="12"/>
  <c r="R26" i="12"/>
  <c r="R34" i="12"/>
  <c r="R42" i="12"/>
  <c r="R50" i="12"/>
  <c r="R58" i="12"/>
  <c r="R66" i="12"/>
  <c r="R77" i="12"/>
  <c r="R85" i="12"/>
  <c r="R6" i="52"/>
  <c r="R14" i="52"/>
  <c r="R22" i="52"/>
  <c r="R30" i="52"/>
  <c r="R38" i="52"/>
  <c r="R46" i="52"/>
  <c r="R54" i="52"/>
  <c r="R66" i="52"/>
  <c r="R74" i="52"/>
  <c r="R64" i="52"/>
  <c r="R43" i="12"/>
  <c r="R51" i="12"/>
  <c r="R59" i="12"/>
  <c r="R67" i="12"/>
  <c r="R78" i="12"/>
  <c r="R7" i="52"/>
  <c r="R15" i="52"/>
  <c r="R23" i="52"/>
  <c r="R31" i="52"/>
  <c r="R39" i="52"/>
  <c r="R47" i="52"/>
  <c r="R55" i="52"/>
  <c r="R67" i="52"/>
  <c r="R75" i="52"/>
  <c r="R25" i="9"/>
  <c r="R10" i="9"/>
  <c r="R18" i="9"/>
  <c r="R26" i="9"/>
  <c r="R34" i="9"/>
  <c r="R42" i="9"/>
  <c r="R50" i="9"/>
  <c r="R3" i="9"/>
  <c r="R11" i="9"/>
  <c r="R19" i="9"/>
  <c r="R27" i="9"/>
  <c r="R35" i="9"/>
  <c r="R43" i="9"/>
  <c r="R41" i="9"/>
  <c r="R4" i="9"/>
  <c r="R44" i="9"/>
  <c r="R5" i="9"/>
  <c r="R13" i="9"/>
  <c r="R21" i="9"/>
  <c r="R29" i="9"/>
  <c r="R37" i="9"/>
  <c r="R45" i="9"/>
  <c r="R17" i="9"/>
  <c r="R12" i="9"/>
  <c r="R36" i="9"/>
  <c r="R6" i="9"/>
  <c r="R14" i="9"/>
  <c r="R22" i="9"/>
  <c r="R30" i="9"/>
  <c r="R38" i="9"/>
  <c r="R46" i="9"/>
  <c r="R9" i="9"/>
  <c r="R20" i="9"/>
  <c r="R28" i="9"/>
  <c r="R7" i="9"/>
  <c r="R15" i="9"/>
  <c r="R23" i="9"/>
  <c r="R31" i="9"/>
  <c r="R39" i="9"/>
  <c r="R47" i="9"/>
  <c r="R33" i="9"/>
  <c r="R8" i="9"/>
  <c r="R16" i="9"/>
  <c r="R24" i="9"/>
  <c r="R32" i="9"/>
  <c r="R40" i="9"/>
  <c r="R48" i="9"/>
  <c r="W3" i="144"/>
  <c r="C5" i="144" s="1"/>
  <c r="G5" i="144" s="1"/>
  <c r="G3" i="143"/>
  <c r="M3" i="144"/>
  <c r="N3" i="144"/>
  <c r="M4" i="144"/>
  <c r="N4" i="144"/>
  <c r="B5" i="144" l="1"/>
  <c r="H5" i="144"/>
  <c r="D4" i="144"/>
  <c r="C4" i="144"/>
  <c r="F3" i="144"/>
  <c r="D3" i="144"/>
  <c r="A3" i="144"/>
  <c r="A73" i="39" l="1"/>
  <c r="A63" i="39"/>
  <c r="A53" i="39"/>
  <c r="A43" i="39"/>
  <c r="A24" i="215" l="1"/>
  <c r="A24" i="189"/>
  <c r="A27" i="30" l="1"/>
  <c r="D26" i="30"/>
  <c r="A26" i="30"/>
  <c r="D25" i="30"/>
  <c r="A25" i="30"/>
  <c r="A24" i="30"/>
  <c r="A23" i="30"/>
  <c r="A22" i="30"/>
  <c r="A21" i="30"/>
  <c r="D20" i="30"/>
  <c r="A20" i="30"/>
  <c r="D19" i="30"/>
  <c r="A19" i="30"/>
  <c r="A18" i="30"/>
  <c r="A17" i="30"/>
  <c r="A16" i="30"/>
  <c r="A15" i="30"/>
  <c r="A14" i="30"/>
  <c r="D13" i="30"/>
  <c r="A13" i="30"/>
  <c r="A12" i="30"/>
  <c r="A11" i="30"/>
  <c r="A10" i="30"/>
  <c r="A9" i="30"/>
  <c r="D8" i="30"/>
  <c r="A8" i="30"/>
  <c r="A7" i="30"/>
  <c r="A6" i="30"/>
  <c r="A5" i="30"/>
  <c r="A4" i="30"/>
  <c r="D3" i="30"/>
  <c r="A3" i="30"/>
  <c r="K2" i="30"/>
  <c r="A51" i="205"/>
  <c r="D50" i="205"/>
  <c r="A50" i="205"/>
  <c r="D49" i="205"/>
  <c r="A49" i="205"/>
  <c r="A48" i="205"/>
  <c r="A47" i="205"/>
  <c r="A46" i="205"/>
  <c r="A45" i="205"/>
  <c r="D44" i="205"/>
  <c r="A44" i="205"/>
  <c r="D43" i="205"/>
  <c r="A43" i="205"/>
  <c r="A42" i="205"/>
  <c r="A41" i="205"/>
  <c r="A40" i="205"/>
  <c r="A39" i="205"/>
  <c r="A38" i="205"/>
  <c r="D37" i="205"/>
  <c r="A37" i="205"/>
  <c r="A36" i="205"/>
  <c r="A35" i="205"/>
  <c r="A34" i="205"/>
  <c r="A33" i="205"/>
  <c r="D32" i="205"/>
  <c r="A32" i="205"/>
  <c r="A31" i="205"/>
  <c r="A30" i="205"/>
  <c r="A29" i="205"/>
  <c r="A28" i="205"/>
  <c r="A27" i="205"/>
  <c r="D26" i="205"/>
  <c r="A26" i="205"/>
  <c r="D25" i="205"/>
  <c r="A25" i="205"/>
  <c r="A24" i="205"/>
  <c r="A23" i="205"/>
  <c r="A22" i="205"/>
  <c r="A21" i="205"/>
  <c r="D20" i="205"/>
  <c r="A20" i="205"/>
  <c r="D19" i="205"/>
  <c r="A19" i="205"/>
  <c r="A18" i="205"/>
  <c r="A17" i="205"/>
  <c r="A16" i="205"/>
  <c r="A15" i="205"/>
  <c r="A14" i="205"/>
  <c r="D13" i="205"/>
  <c r="A13" i="205"/>
  <c r="A12" i="205"/>
  <c r="A11" i="205"/>
  <c r="A10" i="205"/>
  <c r="A9" i="205"/>
  <c r="D8" i="205"/>
  <c r="A8" i="205"/>
  <c r="A7" i="205"/>
  <c r="A6" i="205"/>
  <c r="A5" i="205"/>
  <c r="A4" i="205"/>
  <c r="D3" i="205"/>
  <c r="A3" i="205"/>
  <c r="K2" i="205"/>
  <c r="D45" i="205" s="1"/>
  <c r="D49" i="220"/>
  <c r="D43" i="220"/>
  <c r="D25" i="220"/>
  <c r="D19" i="220"/>
  <c r="D20" i="220"/>
  <c r="D26" i="220"/>
  <c r="A17" i="220"/>
  <c r="A18" i="220"/>
  <c r="A19" i="220"/>
  <c r="A20" i="220"/>
  <c r="A21" i="220"/>
  <c r="A23" i="220"/>
  <c r="A24" i="220"/>
  <c r="A25" i="220"/>
  <c r="A26" i="220"/>
  <c r="A27" i="220"/>
  <c r="A22" i="220"/>
  <c r="A16" i="220"/>
  <c r="E10" i="275"/>
  <c r="D10" i="275"/>
  <c r="C10" i="275"/>
  <c r="B10" i="275"/>
  <c r="A10" i="275"/>
  <c r="E9" i="275"/>
  <c r="D9" i="275"/>
  <c r="C9" i="275"/>
  <c r="B9" i="275"/>
  <c r="A9" i="275"/>
  <c r="D8" i="275"/>
  <c r="C8" i="275"/>
  <c r="B8" i="275"/>
  <c r="A8" i="275"/>
  <c r="D7" i="275"/>
  <c r="C7" i="275"/>
  <c r="B7" i="275"/>
  <c r="A7" i="275"/>
  <c r="E6" i="275"/>
  <c r="D6" i="275"/>
  <c r="C6" i="275"/>
  <c r="B6" i="275"/>
  <c r="A6" i="275"/>
  <c r="E5" i="275"/>
  <c r="D5" i="275"/>
  <c r="C5" i="275"/>
  <c r="B5" i="275"/>
  <c r="A5" i="275"/>
  <c r="D4" i="275"/>
  <c r="C4" i="275"/>
  <c r="B4" i="275"/>
  <c r="A4" i="275"/>
  <c r="D3" i="275"/>
  <c r="C3" i="275"/>
  <c r="B3" i="275"/>
  <c r="A3" i="275"/>
  <c r="A6" i="237"/>
  <c r="A5" i="237"/>
  <c r="D6" i="237"/>
  <c r="D5" i="237"/>
  <c r="E6" i="237"/>
  <c r="C6" i="237"/>
  <c r="B6" i="237"/>
  <c r="E5" i="237"/>
  <c r="C5" i="237"/>
  <c r="B5" i="237"/>
  <c r="E10" i="237"/>
  <c r="E9" i="237"/>
  <c r="D21" i="205" l="1"/>
  <c r="D9" i="205"/>
  <c r="D15" i="205"/>
  <c r="D51" i="205"/>
  <c r="D9" i="30"/>
  <c r="D15" i="30"/>
  <c r="D21" i="30"/>
  <c r="D27" i="30"/>
  <c r="D27" i="205"/>
  <c r="D33" i="205"/>
  <c r="D39" i="205"/>
  <c r="E6" i="170"/>
  <c r="E5" i="170"/>
  <c r="D6" i="170" l="1"/>
  <c r="D4" i="170" l="1"/>
  <c r="A4" i="170"/>
  <c r="A6" i="170"/>
  <c r="B6" i="170"/>
  <c r="C6" i="170"/>
  <c r="A5" i="170"/>
  <c r="D5" i="170"/>
  <c r="B5" i="170"/>
  <c r="C5" i="170"/>
  <c r="D456" i="22"/>
  <c r="A452" i="22"/>
  <c r="A453" i="22"/>
  <c r="A454" i="22"/>
  <c r="A455" i="22"/>
  <c r="A456" i="22"/>
  <c r="A451" i="22"/>
  <c r="D450" i="22"/>
  <c r="A446" i="22"/>
  <c r="A447" i="22"/>
  <c r="A448" i="22"/>
  <c r="A449" i="22"/>
  <c r="A450" i="22"/>
  <c r="A445" i="22"/>
  <c r="D444" i="22"/>
  <c r="A440" i="22"/>
  <c r="A441" i="22"/>
  <c r="A442" i="22"/>
  <c r="A443" i="22"/>
  <c r="A444" i="22"/>
  <c r="A439" i="22"/>
  <c r="D438" i="22"/>
  <c r="A434" i="22"/>
  <c r="A435" i="22"/>
  <c r="A436" i="22"/>
  <c r="A437" i="22"/>
  <c r="A438" i="22"/>
  <c r="A433" i="22"/>
  <c r="A3" i="170" l="1"/>
  <c r="D52" i="159"/>
  <c r="D48" i="159"/>
  <c r="D47" i="159"/>
  <c r="O3" i="201"/>
  <c r="O4" i="201"/>
  <c r="O5" i="201"/>
  <c r="O6" i="201"/>
  <c r="O7" i="201"/>
  <c r="O8" i="201"/>
  <c r="O9" i="201"/>
  <c r="O10" i="201"/>
  <c r="O11" i="201"/>
  <c r="O12" i="201"/>
  <c r="O13" i="201"/>
  <c r="O14" i="201"/>
  <c r="O15" i="201"/>
  <c r="O16" i="201"/>
  <c r="O17" i="201"/>
  <c r="O18" i="201"/>
  <c r="O19" i="201"/>
  <c r="O21" i="201"/>
  <c r="O22" i="201"/>
  <c r="O23" i="201"/>
  <c r="O24" i="201"/>
  <c r="O31" i="201"/>
  <c r="A57" i="201"/>
  <c r="A56" i="201"/>
  <c r="A55" i="201"/>
  <c r="A54" i="201"/>
  <c r="A53" i="201"/>
  <c r="A52" i="201"/>
  <c r="A51" i="201"/>
  <c r="A50" i="201"/>
  <c r="A49" i="201"/>
  <c r="A48" i="201"/>
  <c r="A47" i="201"/>
  <c r="A46" i="201"/>
  <c r="A45" i="201"/>
  <c r="A44" i="201"/>
  <c r="A43" i="201"/>
  <c r="A42" i="201"/>
  <c r="A41" i="201"/>
  <c r="A40" i="201"/>
  <c r="A39" i="201"/>
  <c r="A38" i="201"/>
  <c r="A37" i="201"/>
  <c r="A36" i="201"/>
  <c r="A35" i="201"/>
  <c r="A34" i="201"/>
  <c r="A33" i="201"/>
  <c r="A32" i="201"/>
  <c r="A31" i="201"/>
  <c r="A30" i="201"/>
  <c r="A29" i="201"/>
  <c r="A28" i="201"/>
  <c r="A27" i="201"/>
  <c r="A26" i="201"/>
  <c r="A25" i="201"/>
  <c r="A24" i="201"/>
  <c r="A23" i="201"/>
  <c r="A22" i="201"/>
  <c r="A21" i="201"/>
  <c r="A20" i="201"/>
  <c r="A19" i="201"/>
  <c r="A18" i="201"/>
  <c r="A17" i="201"/>
  <c r="A16" i="201"/>
  <c r="A15" i="201"/>
  <c r="A14" i="201"/>
  <c r="A13" i="201"/>
  <c r="A12" i="201"/>
  <c r="A11" i="201"/>
  <c r="A10" i="201"/>
  <c r="A9" i="201"/>
  <c r="A8" i="201"/>
  <c r="A7" i="201"/>
  <c r="A6" i="201"/>
  <c r="A5" i="201"/>
  <c r="A4" i="201"/>
  <c r="A3" i="201"/>
  <c r="A34" i="24"/>
  <c r="A33" i="24"/>
  <c r="A32" i="24"/>
  <c r="A31" i="24"/>
  <c r="A30" i="24"/>
  <c r="A29" i="24"/>
  <c r="A28" i="24"/>
  <c r="A27" i="24"/>
  <c r="A26" i="24"/>
  <c r="A25" i="24"/>
  <c r="A24" i="24"/>
  <c r="A23" i="24"/>
  <c r="A22" i="24"/>
  <c r="A21" i="24"/>
  <c r="A20" i="24"/>
  <c r="A19" i="24"/>
  <c r="A18" i="24"/>
  <c r="A17" i="24"/>
  <c r="A16" i="24"/>
  <c r="A15" i="24"/>
  <c r="A14" i="24"/>
  <c r="A13" i="24"/>
  <c r="A12" i="24"/>
  <c r="A11" i="24"/>
  <c r="A10" i="24"/>
  <c r="A9" i="24"/>
  <c r="A8" i="24"/>
  <c r="A7" i="24"/>
  <c r="A6" i="24"/>
  <c r="A5" i="24"/>
  <c r="A4" i="24"/>
  <c r="A3" i="24"/>
  <c r="A672" i="203"/>
  <c r="A671" i="203"/>
  <c r="A670" i="203"/>
  <c r="D669" i="203"/>
  <c r="A669" i="203"/>
  <c r="A668" i="203"/>
  <c r="A667" i="203"/>
  <c r="A666" i="203"/>
  <c r="A665" i="203"/>
  <c r="D664" i="203"/>
  <c r="A664" i="203"/>
  <c r="A663" i="203"/>
  <c r="A662" i="203"/>
  <c r="A661" i="203"/>
  <c r="A660" i="203"/>
  <c r="D659" i="203"/>
  <c r="A659" i="203"/>
  <c r="A658" i="203"/>
  <c r="A657" i="203"/>
  <c r="A656" i="203"/>
  <c r="A655" i="203"/>
  <c r="D654" i="203"/>
  <c r="A654" i="203"/>
  <c r="A653" i="203"/>
  <c r="A652" i="203"/>
  <c r="A651" i="203"/>
  <c r="A650" i="203"/>
  <c r="D649" i="203"/>
  <c r="A649" i="203"/>
  <c r="A648" i="203"/>
  <c r="A647" i="203"/>
  <c r="A646" i="203"/>
  <c r="A645" i="203"/>
  <c r="D644" i="203"/>
  <c r="A644" i="203"/>
  <c r="A643" i="203"/>
  <c r="A642" i="203"/>
  <c r="A641" i="203"/>
  <c r="A640" i="203"/>
  <c r="D639" i="203"/>
  <c r="A639" i="203"/>
  <c r="A638" i="203"/>
  <c r="A637" i="203"/>
  <c r="A636" i="203"/>
  <c r="A635" i="203"/>
  <c r="D634" i="203"/>
  <c r="A634" i="203"/>
  <c r="A633" i="203"/>
  <c r="A632" i="203"/>
  <c r="A631" i="203"/>
  <c r="D630" i="203"/>
  <c r="A630" i="203"/>
  <c r="A629" i="203"/>
  <c r="A628" i="203"/>
  <c r="A627" i="203"/>
  <c r="A626" i="203"/>
  <c r="D625" i="203"/>
  <c r="A625" i="203"/>
  <c r="A624" i="203"/>
  <c r="A623" i="203"/>
  <c r="A622" i="203"/>
  <c r="D621" i="203"/>
  <c r="A621" i="203"/>
  <c r="A620" i="203"/>
  <c r="A619" i="203"/>
  <c r="A618" i="203"/>
  <c r="A617" i="203"/>
  <c r="D616" i="203"/>
  <c r="A616" i="203"/>
  <c r="A615" i="203"/>
  <c r="A614" i="203"/>
  <c r="A613" i="203"/>
  <c r="D612" i="203"/>
  <c r="A612" i="203"/>
  <c r="A611" i="203"/>
  <c r="A610" i="203"/>
  <c r="A609" i="203"/>
  <c r="A608" i="203"/>
  <c r="D607" i="203"/>
  <c r="A607" i="203"/>
  <c r="A606" i="203"/>
  <c r="A605" i="203"/>
  <c r="A604" i="203"/>
  <c r="D603" i="203"/>
  <c r="A603" i="203"/>
  <c r="A602" i="203"/>
  <c r="A601" i="203"/>
  <c r="A600" i="203"/>
  <c r="A599" i="203"/>
  <c r="D598" i="203"/>
  <c r="A598" i="203"/>
  <c r="A597" i="203"/>
  <c r="A596" i="203"/>
  <c r="A595" i="203"/>
  <c r="D594" i="203"/>
  <c r="A594" i="203"/>
  <c r="A593" i="203"/>
  <c r="A592" i="203"/>
  <c r="A591" i="203"/>
  <c r="A590" i="203"/>
  <c r="D589" i="203"/>
  <c r="A589" i="203"/>
  <c r="A588" i="203"/>
  <c r="A587" i="203"/>
  <c r="A586" i="203"/>
  <c r="D585" i="203"/>
  <c r="A585" i="203"/>
  <c r="A584" i="203"/>
  <c r="A583" i="203"/>
  <c r="A582" i="203"/>
  <c r="A581" i="203"/>
  <c r="D580" i="203"/>
  <c r="A580" i="203"/>
  <c r="A579" i="203"/>
  <c r="A578" i="203"/>
  <c r="A577" i="203"/>
  <c r="D576" i="203"/>
  <c r="A576" i="203"/>
  <c r="A575" i="203"/>
  <c r="A574" i="203"/>
  <c r="A573" i="203"/>
  <c r="A572" i="203"/>
  <c r="D571" i="203"/>
  <c r="A571" i="203"/>
  <c r="A570" i="203"/>
  <c r="A569" i="203"/>
  <c r="A568" i="203"/>
  <c r="D567" i="203"/>
  <c r="A567" i="203"/>
  <c r="A566" i="203"/>
  <c r="A565" i="203"/>
  <c r="A564" i="203"/>
  <c r="A563" i="203"/>
  <c r="D562" i="203"/>
  <c r="A562" i="203"/>
  <c r="A561" i="203"/>
  <c r="A560" i="203"/>
  <c r="A559" i="203"/>
  <c r="D558" i="203"/>
  <c r="A558" i="203"/>
  <c r="A557" i="203"/>
  <c r="A556" i="203"/>
  <c r="A555" i="203"/>
  <c r="A554" i="203"/>
  <c r="D553" i="203"/>
  <c r="A553" i="203"/>
  <c r="A552" i="203"/>
  <c r="A551" i="203"/>
  <c r="A550" i="203"/>
  <c r="D549" i="203"/>
  <c r="A549" i="203"/>
  <c r="A548" i="203"/>
  <c r="A547" i="203"/>
  <c r="A546" i="203"/>
  <c r="A545" i="203"/>
  <c r="D544" i="203"/>
  <c r="A544" i="203"/>
  <c r="A543" i="203"/>
  <c r="A542" i="203"/>
  <c r="A541" i="203"/>
  <c r="D540" i="203"/>
  <c r="A540" i="203"/>
  <c r="A539" i="203"/>
  <c r="A538" i="203"/>
  <c r="A537" i="203"/>
  <c r="A536" i="203"/>
  <c r="D535" i="203"/>
  <c r="A535" i="203"/>
  <c r="A534" i="203"/>
  <c r="A533" i="203"/>
  <c r="A532" i="203"/>
  <c r="D531" i="203"/>
  <c r="A531" i="203"/>
  <c r="A530" i="203"/>
  <c r="A529" i="203"/>
  <c r="A528" i="203"/>
  <c r="A527" i="203"/>
  <c r="D526" i="203"/>
  <c r="A526" i="203"/>
  <c r="A525" i="203"/>
  <c r="A524" i="203"/>
  <c r="A523" i="203"/>
  <c r="D522" i="203"/>
  <c r="A522" i="203"/>
  <c r="A521" i="203"/>
  <c r="A520" i="203"/>
  <c r="A519" i="203"/>
  <c r="A518" i="203"/>
  <c r="D517" i="203"/>
  <c r="A517" i="203"/>
  <c r="A516" i="203"/>
  <c r="A515" i="203"/>
  <c r="A514" i="203"/>
  <c r="D513" i="203"/>
  <c r="A513" i="203"/>
  <c r="A512" i="203"/>
  <c r="A511" i="203"/>
  <c r="A510" i="203"/>
  <c r="A509" i="203"/>
  <c r="D508" i="203"/>
  <c r="A508" i="203"/>
  <c r="A507" i="203"/>
  <c r="A506" i="203"/>
  <c r="A505" i="203"/>
  <c r="D504" i="203"/>
  <c r="A504" i="203"/>
  <c r="A503" i="203"/>
  <c r="A502" i="203"/>
  <c r="A501" i="203"/>
  <c r="A500" i="203"/>
  <c r="D499" i="203"/>
  <c r="A499" i="203"/>
  <c r="A57" i="24"/>
  <c r="A56" i="24"/>
  <c r="A54" i="24"/>
  <c r="A47" i="24"/>
  <c r="D325" i="22"/>
  <c r="A326" i="22"/>
  <c r="A327" i="22"/>
  <c r="A328" i="22"/>
  <c r="A329" i="22"/>
  <c r="A330" i="22"/>
  <c r="A325" i="22"/>
  <c r="D498" i="203"/>
  <c r="A498" i="203"/>
  <c r="A497" i="203"/>
  <c r="A496" i="203"/>
  <c r="A495" i="203"/>
  <c r="A494" i="203"/>
  <c r="A493" i="203"/>
  <c r="D492" i="203"/>
  <c r="A492" i="203"/>
  <c r="A491" i="203"/>
  <c r="A490" i="203"/>
  <c r="A489" i="203"/>
  <c r="A488" i="203"/>
  <c r="A487" i="203"/>
  <c r="D486" i="203"/>
  <c r="A486" i="203"/>
  <c r="A485" i="203"/>
  <c r="A484" i="203"/>
  <c r="A483" i="203"/>
  <c r="A482" i="203"/>
  <c r="A481" i="203"/>
  <c r="D480" i="203"/>
  <c r="A480" i="203"/>
  <c r="A479" i="203"/>
  <c r="A478" i="203"/>
  <c r="A477" i="203"/>
  <c r="A476" i="203"/>
  <c r="A475" i="203"/>
  <c r="D474" i="203"/>
  <c r="A474" i="203"/>
  <c r="A473" i="203"/>
  <c r="A472" i="203"/>
  <c r="A471" i="203"/>
  <c r="A470" i="203"/>
  <c r="A469" i="203"/>
  <c r="D468" i="203"/>
  <c r="A468" i="203"/>
  <c r="A467" i="203"/>
  <c r="A466" i="203"/>
  <c r="A465" i="203"/>
  <c r="A464" i="203"/>
  <c r="A463" i="203"/>
  <c r="D462" i="203"/>
  <c r="A462" i="203"/>
  <c r="A461" i="203"/>
  <c r="A460" i="203"/>
  <c r="A459" i="203"/>
  <c r="A458" i="203"/>
  <c r="A457" i="203"/>
  <c r="D456" i="203"/>
  <c r="A456" i="203"/>
  <c r="A455" i="203"/>
  <c r="A454" i="203"/>
  <c r="A453" i="203"/>
  <c r="A452" i="203"/>
  <c r="A451" i="203"/>
  <c r="D450" i="203"/>
  <c r="A450" i="203"/>
  <c r="A449" i="203"/>
  <c r="A448" i="203"/>
  <c r="A447" i="203"/>
  <c r="A446" i="203"/>
  <c r="A445" i="203"/>
  <c r="D444" i="203"/>
  <c r="A444" i="203"/>
  <c r="A443" i="203"/>
  <c r="A442" i="203"/>
  <c r="A441" i="203"/>
  <c r="A440" i="203"/>
  <c r="A439" i="203"/>
  <c r="D438" i="203"/>
  <c r="A438" i="203"/>
  <c r="A437" i="203"/>
  <c r="A436" i="203"/>
  <c r="A435" i="203"/>
  <c r="A434" i="203"/>
  <c r="A433" i="203"/>
  <c r="D432" i="203"/>
  <c r="A432" i="203"/>
  <c r="A431" i="203"/>
  <c r="A430" i="203"/>
  <c r="A429" i="203"/>
  <c r="A428" i="203"/>
  <c r="A427" i="203"/>
  <c r="D426" i="203"/>
  <c r="A426" i="203"/>
  <c r="A425" i="203"/>
  <c r="A424" i="203"/>
  <c r="A423" i="203"/>
  <c r="A422" i="203"/>
  <c r="A421" i="203"/>
  <c r="D420" i="203"/>
  <c r="A420" i="203"/>
  <c r="A419" i="203"/>
  <c r="A418" i="203"/>
  <c r="A417" i="203"/>
  <c r="A416" i="203"/>
  <c r="A415" i="203"/>
  <c r="D414" i="203"/>
  <c r="A414" i="203"/>
  <c r="A413" i="203"/>
  <c r="A412" i="203"/>
  <c r="A411" i="203"/>
  <c r="A410" i="203"/>
  <c r="A409" i="203"/>
  <c r="D408" i="203"/>
  <c r="A408" i="203"/>
  <c r="A407" i="203"/>
  <c r="A406" i="203"/>
  <c r="A405" i="203"/>
  <c r="A404" i="203"/>
  <c r="A403" i="203"/>
  <c r="D402" i="203"/>
  <c r="A402" i="203"/>
  <c r="A401" i="203"/>
  <c r="A400" i="203"/>
  <c r="A399" i="203"/>
  <c r="A398" i="203"/>
  <c r="A397" i="203"/>
  <c r="D396" i="203"/>
  <c r="A396" i="203"/>
  <c r="A395" i="203"/>
  <c r="A394" i="203"/>
  <c r="A393" i="203"/>
  <c r="A392" i="203"/>
  <c r="A391" i="203"/>
  <c r="D390" i="203"/>
  <c r="A390" i="203"/>
  <c r="A389" i="203"/>
  <c r="A388" i="203"/>
  <c r="A387" i="203"/>
  <c r="A386" i="203"/>
  <c r="A385" i="203"/>
  <c r="D384" i="203"/>
  <c r="A384" i="203"/>
  <c r="A383" i="203"/>
  <c r="A382" i="203"/>
  <c r="A381" i="203"/>
  <c r="A380" i="203"/>
  <c r="A379" i="203"/>
  <c r="D378" i="203"/>
  <c r="A378" i="203"/>
  <c r="A377" i="203"/>
  <c r="A376" i="203"/>
  <c r="A375" i="203"/>
  <c r="A374" i="203"/>
  <c r="A373" i="203"/>
  <c r="D372" i="203"/>
  <c r="A372" i="203"/>
  <c r="A371" i="203"/>
  <c r="A370" i="203"/>
  <c r="A369" i="203"/>
  <c r="A368" i="203"/>
  <c r="A367" i="203"/>
  <c r="D366" i="203"/>
  <c r="A366" i="203"/>
  <c r="A365" i="203"/>
  <c r="A364" i="203"/>
  <c r="A363" i="203"/>
  <c r="A362" i="203"/>
  <c r="A361" i="203"/>
  <c r="A360" i="203"/>
  <c r="A359" i="203"/>
  <c r="A358" i="203"/>
  <c r="A357" i="203"/>
  <c r="A356" i="203"/>
  <c r="D355" i="203"/>
  <c r="A355" i="203"/>
  <c r="A354" i="203"/>
  <c r="A353" i="203"/>
  <c r="A352" i="203"/>
  <c r="A351" i="203"/>
  <c r="A350" i="203"/>
  <c r="D349" i="203"/>
  <c r="A349" i="203"/>
  <c r="A348" i="203"/>
  <c r="A347" i="203"/>
  <c r="A346" i="203"/>
  <c r="A345" i="203"/>
  <c r="A344" i="203"/>
  <c r="D343" i="203"/>
  <c r="A343" i="203"/>
  <c r="A342" i="203"/>
  <c r="A341" i="203"/>
  <c r="A340" i="203"/>
  <c r="A339" i="203"/>
  <c r="A338" i="203"/>
  <c r="D337" i="203"/>
  <c r="A337" i="203"/>
  <c r="A336" i="203"/>
  <c r="A335" i="203"/>
  <c r="A334" i="203"/>
  <c r="A333" i="203"/>
  <c r="A332" i="203"/>
  <c r="D331" i="203"/>
  <c r="A331" i="203"/>
  <c r="A330" i="203"/>
  <c r="A329" i="203"/>
  <c r="A328" i="203"/>
  <c r="A327" i="203"/>
  <c r="A326" i="203"/>
  <c r="D325" i="203"/>
  <c r="A325" i="203"/>
  <c r="A324" i="203"/>
  <c r="A323" i="203"/>
  <c r="A322" i="203"/>
  <c r="A321" i="203"/>
  <c r="A320" i="203"/>
  <c r="A319" i="203"/>
  <c r="A318" i="203"/>
  <c r="A317" i="203"/>
  <c r="A316" i="203"/>
  <c r="A315" i="203"/>
  <c r="A314" i="203"/>
  <c r="A313" i="203"/>
  <c r="A312" i="203"/>
  <c r="A311" i="203"/>
  <c r="A310" i="203"/>
  <c r="A309" i="203"/>
  <c r="A308" i="203"/>
  <c r="A307" i="203"/>
  <c r="A306" i="203"/>
  <c r="A305" i="203"/>
  <c r="A304" i="203"/>
  <c r="A303" i="203"/>
  <c r="A302" i="203"/>
  <c r="A301" i="203"/>
  <c r="A300" i="203"/>
  <c r="A299" i="203"/>
  <c r="A298" i="203"/>
  <c r="A297" i="203"/>
  <c r="A296" i="203"/>
  <c r="A295" i="203"/>
  <c r="A294" i="203"/>
  <c r="A293" i="203"/>
  <c r="A292" i="203"/>
  <c r="A291" i="203"/>
  <c r="A290" i="203"/>
  <c r="A289" i="203"/>
  <c r="A288" i="203"/>
  <c r="A287" i="203"/>
  <c r="A286" i="203"/>
  <c r="A285" i="203"/>
  <c r="A284" i="203"/>
  <c r="A283" i="203"/>
  <c r="A282" i="203"/>
  <c r="A281" i="203"/>
  <c r="A280" i="203"/>
  <c r="A279" i="203"/>
  <c r="A278" i="203"/>
  <c r="A277" i="203"/>
  <c r="A276" i="203"/>
  <c r="A275" i="203"/>
  <c r="A274" i="203"/>
  <c r="A273" i="203"/>
  <c r="A272" i="203"/>
  <c r="A271" i="203"/>
  <c r="A270" i="203"/>
  <c r="A269" i="203"/>
  <c r="A268" i="203"/>
  <c r="A267" i="203"/>
  <c r="A266" i="203"/>
  <c r="A265" i="203"/>
  <c r="A264" i="203"/>
  <c r="A263" i="203"/>
  <c r="A262" i="203"/>
  <c r="A261" i="203"/>
  <c r="A260" i="203"/>
  <c r="A259" i="203"/>
  <c r="A258" i="203"/>
  <c r="A257" i="203"/>
  <c r="A256" i="203"/>
  <c r="A255" i="203"/>
  <c r="A254" i="203"/>
  <c r="A253" i="203"/>
  <c r="A252" i="203"/>
  <c r="A251" i="203"/>
  <c r="A250" i="203"/>
  <c r="A249" i="203"/>
  <c r="A248" i="203"/>
  <c r="A247" i="203"/>
  <c r="A246" i="203"/>
  <c r="A245" i="203"/>
  <c r="A244" i="203"/>
  <c r="A243" i="203"/>
  <c r="A242" i="203"/>
  <c r="A241" i="203"/>
  <c r="A240" i="203"/>
  <c r="A239" i="203"/>
  <c r="A238" i="203"/>
  <c r="A237" i="203"/>
  <c r="A236" i="203"/>
  <c r="A235" i="203"/>
  <c r="A234" i="203"/>
  <c r="A233" i="203"/>
  <c r="A232" i="203"/>
  <c r="D231" i="203"/>
  <c r="A231" i="203"/>
  <c r="A230" i="203"/>
  <c r="A229" i="203"/>
  <c r="A228" i="203"/>
  <c r="A227" i="203"/>
  <c r="A226" i="203"/>
  <c r="A225" i="203"/>
  <c r="A224" i="203"/>
  <c r="A223" i="203"/>
  <c r="A222" i="203"/>
  <c r="D221" i="203"/>
  <c r="A221" i="203"/>
  <c r="A220" i="203"/>
  <c r="A219" i="203"/>
  <c r="A218" i="203"/>
  <c r="A217" i="203"/>
  <c r="A216" i="203"/>
  <c r="A215" i="203"/>
  <c r="A214" i="203"/>
  <c r="A213" i="203"/>
  <c r="A212" i="203"/>
  <c r="D211" i="203"/>
  <c r="A211" i="203"/>
  <c r="A210" i="203"/>
  <c r="A209" i="203"/>
  <c r="A208" i="203"/>
  <c r="A207" i="203"/>
  <c r="A206" i="203"/>
  <c r="A205" i="203"/>
  <c r="A204" i="203"/>
  <c r="A203" i="203"/>
  <c r="A202" i="203"/>
  <c r="D201" i="203"/>
  <c r="A201" i="203"/>
  <c r="A200" i="203"/>
  <c r="A199" i="203"/>
  <c r="A198" i="203"/>
  <c r="A197" i="203"/>
  <c r="A196" i="203"/>
  <c r="A195" i="203"/>
  <c r="A194" i="203"/>
  <c r="A193" i="203"/>
  <c r="A192" i="203"/>
  <c r="A191" i="203"/>
  <c r="A190" i="203"/>
  <c r="D189" i="203"/>
  <c r="A189" i="203"/>
  <c r="A188" i="203"/>
  <c r="A187" i="203"/>
  <c r="A186" i="203"/>
  <c r="A185" i="203"/>
  <c r="A184" i="203"/>
  <c r="A183" i="203"/>
  <c r="A182" i="203"/>
  <c r="A181" i="203"/>
  <c r="A180" i="203"/>
  <c r="D179" i="203"/>
  <c r="A179" i="203"/>
  <c r="A178" i="203"/>
  <c r="A177" i="203"/>
  <c r="A176" i="203"/>
  <c r="A175" i="203"/>
  <c r="A174" i="203"/>
  <c r="A173" i="203"/>
  <c r="A172" i="203"/>
  <c r="A171" i="203"/>
  <c r="A170" i="203"/>
  <c r="D169" i="203"/>
  <c r="A169" i="203"/>
  <c r="A168" i="203"/>
  <c r="A167" i="203"/>
  <c r="A166" i="203"/>
  <c r="A165" i="203"/>
  <c r="A164" i="203"/>
  <c r="A163" i="203"/>
  <c r="A162" i="203"/>
  <c r="A161" i="203"/>
  <c r="A160" i="203"/>
  <c r="D159" i="203"/>
  <c r="A159" i="203"/>
  <c r="A158" i="203"/>
  <c r="A157" i="203"/>
  <c r="A156" i="203"/>
  <c r="A155" i="203"/>
  <c r="A154" i="203"/>
  <c r="A153" i="203"/>
  <c r="A152" i="203"/>
  <c r="A151" i="203"/>
  <c r="A150" i="203"/>
  <c r="D149" i="203"/>
  <c r="A149" i="203"/>
  <c r="A148" i="203"/>
  <c r="A147" i="203"/>
  <c r="A146" i="203"/>
  <c r="A145" i="203"/>
  <c r="A144" i="203"/>
  <c r="A143" i="203"/>
  <c r="A142" i="203"/>
  <c r="A141" i="203"/>
  <c r="A140" i="203"/>
  <c r="D139" i="203"/>
  <c r="A139" i="203"/>
  <c r="A138" i="203"/>
  <c r="A137" i="203"/>
  <c r="A136" i="203"/>
  <c r="A135" i="203"/>
  <c r="A134" i="203"/>
  <c r="A133" i="203"/>
  <c r="A132" i="203"/>
  <c r="A131" i="203"/>
  <c r="A130" i="203"/>
  <c r="D129" i="203"/>
  <c r="A129" i="203"/>
  <c r="A128" i="203"/>
  <c r="A127" i="203"/>
  <c r="A126" i="203"/>
  <c r="A125" i="203"/>
  <c r="A124" i="203"/>
  <c r="A123" i="203"/>
  <c r="A122" i="203"/>
  <c r="A121" i="203"/>
  <c r="A120" i="203"/>
  <c r="D119" i="203"/>
  <c r="A119" i="203"/>
  <c r="A118" i="203"/>
  <c r="A117" i="203"/>
  <c r="A116" i="203"/>
  <c r="A115" i="203"/>
  <c r="A114" i="203"/>
  <c r="A113" i="203"/>
  <c r="A112" i="203"/>
  <c r="A111" i="203"/>
  <c r="A110" i="203"/>
  <c r="D109" i="203"/>
  <c r="A109" i="203"/>
  <c r="A108" i="203"/>
  <c r="A107" i="203"/>
  <c r="A106" i="203"/>
  <c r="A105" i="203"/>
  <c r="A104" i="203"/>
  <c r="A103" i="203"/>
  <c r="A102" i="203"/>
  <c r="A101" i="203"/>
  <c r="A100" i="203"/>
  <c r="D99" i="203"/>
  <c r="A99" i="203"/>
  <c r="A98" i="203"/>
  <c r="A97" i="203"/>
  <c r="A96" i="203"/>
  <c r="A95" i="203"/>
  <c r="A94" i="203"/>
  <c r="A93" i="203"/>
  <c r="A92" i="203"/>
  <c r="A91" i="203"/>
  <c r="A90" i="203"/>
  <c r="D89" i="203"/>
  <c r="A89" i="203"/>
  <c r="A88" i="203"/>
  <c r="A87" i="203"/>
  <c r="A86" i="203"/>
  <c r="A85" i="203"/>
  <c r="A84" i="203"/>
  <c r="A83" i="203"/>
  <c r="A82" i="203"/>
  <c r="A81" i="203"/>
  <c r="A80" i="203"/>
  <c r="D79" i="203"/>
  <c r="A79" i="203"/>
  <c r="A78" i="203"/>
  <c r="A77" i="203"/>
  <c r="A76" i="203"/>
  <c r="A75" i="203"/>
  <c r="A74" i="203"/>
  <c r="A73" i="203"/>
  <c r="A72" i="203"/>
  <c r="A71" i="203"/>
  <c r="A70" i="203"/>
  <c r="D69" i="203"/>
  <c r="A69" i="203"/>
  <c r="A68" i="203"/>
  <c r="A67" i="203"/>
  <c r="A66" i="203"/>
  <c r="A65" i="203"/>
  <c r="A64" i="203"/>
  <c r="A63" i="203"/>
  <c r="A62" i="203"/>
  <c r="A61" i="203"/>
  <c r="A60" i="203"/>
  <c r="D59" i="203"/>
  <c r="A59" i="203"/>
  <c r="A58" i="203"/>
  <c r="A57" i="203"/>
  <c r="A56" i="203"/>
  <c r="A55" i="203"/>
  <c r="A54" i="203"/>
  <c r="A53" i="203"/>
  <c r="A52" i="203"/>
  <c r="A51" i="203"/>
  <c r="A50" i="203"/>
  <c r="D49" i="203"/>
  <c r="A49" i="203"/>
  <c r="A48" i="203"/>
  <c r="A47" i="203"/>
  <c r="A46" i="203"/>
  <c r="A45" i="203"/>
  <c r="A44" i="203"/>
  <c r="A43" i="203"/>
  <c r="A42" i="203"/>
  <c r="A41" i="203"/>
  <c r="A40" i="203"/>
  <c r="D39" i="203"/>
  <c r="A39" i="203"/>
  <c r="A38" i="203"/>
  <c r="A37" i="203"/>
  <c r="A36" i="203"/>
  <c r="A35" i="203"/>
  <c r="A34" i="203"/>
  <c r="A33" i="203"/>
  <c r="D32" i="203"/>
  <c r="A32" i="203"/>
  <c r="A31" i="203"/>
  <c r="D30" i="203"/>
  <c r="A30" i="203"/>
  <c r="D29" i="203"/>
  <c r="A29" i="203"/>
  <c r="D28" i="203"/>
  <c r="A28" i="203"/>
  <c r="D27" i="203"/>
  <c r="A27" i="203"/>
  <c r="D26" i="203"/>
  <c r="A26" i="203"/>
  <c r="D25" i="203"/>
  <c r="A25" i="203"/>
  <c r="D24" i="203"/>
  <c r="A24" i="203"/>
  <c r="A23" i="203"/>
  <c r="A22" i="203"/>
  <c r="D21" i="203"/>
  <c r="A21" i="203"/>
  <c r="D20" i="203"/>
  <c r="A20" i="203"/>
  <c r="R19" i="203"/>
  <c r="Q19" i="203"/>
  <c r="P19" i="203"/>
  <c r="R18" i="203"/>
  <c r="Q18" i="203"/>
  <c r="P18" i="203"/>
  <c r="R17" i="203"/>
  <c r="Q17" i="203"/>
  <c r="P17" i="203"/>
  <c r="R16" i="203"/>
  <c r="Q16" i="203"/>
  <c r="P16" i="203"/>
  <c r="R15" i="203"/>
  <c r="Q15" i="203"/>
  <c r="P15" i="203"/>
  <c r="R14" i="203"/>
  <c r="Q14" i="203"/>
  <c r="P14" i="203"/>
  <c r="R13" i="203"/>
  <c r="Q13" i="203"/>
  <c r="P13" i="203"/>
  <c r="R12" i="203"/>
  <c r="Q12" i="203"/>
  <c r="P12" i="203"/>
  <c r="R11" i="203"/>
  <c r="D187" i="203" s="1"/>
  <c r="Q11" i="203"/>
  <c r="D185" i="203" s="1"/>
  <c r="P11" i="203"/>
  <c r="R10" i="203"/>
  <c r="Q10" i="203"/>
  <c r="P10" i="203"/>
  <c r="R9" i="203"/>
  <c r="D137" i="203" s="1"/>
  <c r="Q9" i="203"/>
  <c r="D155" i="203" s="1"/>
  <c r="P9" i="203"/>
  <c r="R8" i="203"/>
  <c r="D199" i="203" s="1"/>
  <c r="Q8" i="203"/>
  <c r="D217" i="203" s="1"/>
  <c r="P8" i="203"/>
  <c r="T7" i="203"/>
  <c r="D23" i="203" s="1"/>
  <c r="R7" i="203"/>
  <c r="D87" i="203" s="1"/>
  <c r="Q7" i="203"/>
  <c r="D125" i="203" s="1"/>
  <c r="P7" i="203"/>
  <c r="T6" i="203"/>
  <c r="R6" i="203"/>
  <c r="D57" i="203" s="1"/>
  <c r="Q6" i="203"/>
  <c r="D45" i="203" s="1"/>
  <c r="P6" i="203"/>
  <c r="T5" i="203"/>
  <c r="D288" i="203" s="1"/>
  <c r="R5" i="203"/>
  <c r="Q5" i="203"/>
  <c r="P5" i="203"/>
  <c r="T4" i="203"/>
  <c r="R4" i="203"/>
  <c r="Q4" i="203"/>
  <c r="P4" i="203"/>
  <c r="BA1" i="203"/>
  <c r="AZ1" i="203"/>
  <c r="AY1" i="203"/>
  <c r="AX1" i="203"/>
  <c r="AW1" i="203"/>
  <c r="AV1" i="203"/>
  <c r="AU1" i="203"/>
  <c r="AT1" i="203"/>
  <c r="AS1" i="203"/>
  <c r="AR1" i="203"/>
  <c r="AQ1" i="203"/>
  <c r="AP1" i="203"/>
  <c r="AO1" i="203"/>
  <c r="AN1" i="203"/>
  <c r="AM1" i="203"/>
  <c r="AL1" i="203"/>
  <c r="AK1" i="203"/>
  <c r="AJ1" i="203"/>
  <c r="AI1" i="203"/>
  <c r="AH1" i="203"/>
  <c r="AG1" i="203"/>
  <c r="AF1" i="203"/>
  <c r="AE1" i="203"/>
  <c r="AD1" i="203"/>
  <c r="AC1" i="203"/>
  <c r="AB1" i="203"/>
  <c r="AA1" i="203"/>
  <c r="Z1" i="203"/>
  <c r="Y1" i="203"/>
  <c r="X1" i="203"/>
  <c r="W1" i="203"/>
  <c r="V1" i="203"/>
  <c r="U1" i="203"/>
  <c r="T1" i="203"/>
  <c r="S1" i="203"/>
  <c r="R1" i="203"/>
  <c r="Q1" i="203"/>
  <c r="P1" i="203"/>
  <c r="A322" i="22"/>
  <c r="A323" i="22"/>
  <c r="A324" i="22"/>
  <c r="A321" i="22"/>
  <c r="D231" i="22"/>
  <c r="A228" i="22"/>
  <c r="A229" i="22"/>
  <c r="A230" i="22"/>
  <c r="A231" i="22"/>
  <c r="A232" i="22"/>
  <c r="A233" i="22"/>
  <c r="A234" i="22"/>
  <c r="A235" i="22"/>
  <c r="A236" i="22"/>
  <c r="A227" i="22"/>
  <c r="A488" i="22"/>
  <c r="A489" i="22"/>
  <c r="A490" i="22"/>
  <c r="A491" i="22"/>
  <c r="A492" i="22"/>
  <c r="D492" i="22"/>
  <c r="A487" i="22"/>
  <c r="A458" i="22"/>
  <c r="A459" i="22"/>
  <c r="A460" i="22"/>
  <c r="A461" i="22"/>
  <c r="A462" i="22"/>
  <c r="D462" i="22"/>
  <c r="A457" i="22"/>
  <c r="A398" i="22"/>
  <c r="A399" i="22"/>
  <c r="A400" i="22"/>
  <c r="A401" i="22"/>
  <c r="A402" i="22"/>
  <c r="D402" i="22"/>
  <c r="A397" i="22"/>
  <c r="A392" i="22"/>
  <c r="A393" i="22"/>
  <c r="A394" i="22"/>
  <c r="A395" i="22"/>
  <c r="A396" i="22"/>
  <c r="D396" i="22"/>
  <c r="A391" i="22"/>
  <c r="D390" i="22"/>
  <c r="A386" i="22"/>
  <c r="A387" i="22"/>
  <c r="A388" i="22"/>
  <c r="A389" i="22"/>
  <c r="A390" i="22"/>
  <c r="A385" i="22"/>
  <c r="A298" i="22"/>
  <c r="A299" i="22"/>
  <c r="A300" i="22"/>
  <c r="A297" i="22"/>
  <c r="A278" i="22"/>
  <c r="A279" i="22"/>
  <c r="A280" i="22"/>
  <c r="A277" i="22"/>
  <c r="A274" i="22"/>
  <c r="A275" i="22"/>
  <c r="A276" i="22"/>
  <c r="A270" i="22"/>
  <c r="A271" i="22"/>
  <c r="A272" i="22"/>
  <c r="A273" i="22"/>
  <c r="A269" i="22"/>
  <c r="A266" i="22"/>
  <c r="A267" i="22"/>
  <c r="A268" i="22"/>
  <c r="A262" i="22"/>
  <c r="A263" i="22"/>
  <c r="A264" i="22"/>
  <c r="A265" i="22"/>
  <c r="A261" i="22"/>
  <c r="D331" i="22"/>
  <c r="A331" i="22"/>
  <c r="A332" i="22"/>
  <c r="A333" i="22"/>
  <c r="A334" i="22"/>
  <c r="A335" i="22"/>
  <c r="A336" i="22"/>
  <c r="D179" i="22"/>
  <c r="A176" i="22"/>
  <c r="A177" i="22"/>
  <c r="A178" i="22"/>
  <c r="A179" i="22"/>
  <c r="A180" i="22"/>
  <c r="A181" i="22"/>
  <c r="A182" i="22"/>
  <c r="A183" i="22"/>
  <c r="A184" i="22"/>
  <c r="A175" i="22"/>
  <c r="D157" i="203" l="1"/>
  <c r="D207" i="203"/>
  <c r="D564" i="203"/>
  <c r="D546" i="203"/>
  <c r="D528" i="203"/>
  <c r="D510" i="203"/>
  <c r="D501" i="203"/>
  <c r="D519" i="203"/>
  <c r="D537" i="203"/>
  <c r="D555" i="203"/>
  <c r="D573" i="203"/>
  <c r="D591" i="203"/>
  <c r="D609" i="203"/>
  <c r="D627" i="203"/>
  <c r="D666" i="203"/>
  <c r="D600" i="203"/>
  <c r="D618" i="203"/>
  <c r="D219" i="203"/>
  <c r="D65" i="203"/>
  <c r="D145" i="203"/>
  <c r="D582" i="203"/>
  <c r="D296" i="203"/>
  <c r="D264" i="203"/>
  <c r="D95" i="203"/>
  <c r="D107" i="203"/>
  <c r="D175" i="203"/>
  <c r="D244" i="203"/>
  <c r="D276" i="203"/>
  <c r="D308" i="203"/>
  <c r="D314" i="203"/>
  <c r="D35" i="203"/>
  <c r="D47" i="203"/>
  <c r="D115" i="203"/>
  <c r="D127" i="203"/>
  <c r="D252" i="203"/>
  <c r="D284" i="203"/>
  <c r="D322" i="203"/>
  <c r="D77" i="203"/>
  <c r="D85" i="203"/>
  <c r="D97" i="203"/>
  <c r="D165" i="203"/>
  <c r="D177" i="203"/>
  <c r="D227" i="203"/>
  <c r="D240" i="203"/>
  <c r="D272" i="203"/>
  <c r="D304" i="203"/>
  <c r="D310" i="203"/>
  <c r="D55" i="203"/>
  <c r="D67" i="203"/>
  <c r="D135" i="203"/>
  <c r="D147" i="203"/>
  <c r="D197" i="203"/>
  <c r="D209" i="203"/>
  <c r="D260" i="203"/>
  <c r="D292" i="203"/>
  <c r="D37" i="203"/>
  <c r="D105" i="203"/>
  <c r="D117" i="203"/>
  <c r="D248" i="203"/>
  <c r="D280" i="203"/>
  <c r="D318" i="203"/>
  <c r="D75" i="203"/>
  <c r="D167" i="203"/>
  <c r="D229" i="203"/>
  <c r="D268" i="203"/>
  <c r="D300" i="203"/>
  <c r="D256" i="203"/>
  <c r="C573" i="234"/>
  <c r="C572" i="234"/>
  <c r="C571" i="234"/>
  <c r="C570" i="234"/>
  <c r="C569" i="234"/>
  <c r="C718" i="234" l="1"/>
  <c r="C719" i="234"/>
  <c r="C720" i="234"/>
  <c r="C721" i="234"/>
  <c r="C722" i="234"/>
  <c r="C723" i="234"/>
  <c r="C724" i="234"/>
  <c r="C725" i="234"/>
  <c r="C726" i="234"/>
  <c r="C727" i="234"/>
  <c r="C728" i="234"/>
  <c r="C742" i="234" l="1"/>
  <c r="C741" i="234"/>
  <c r="C740" i="234"/>
  <c r="C739" i="234"/>
  <c r="C738" i="234"/>
  <c r="C737" i="234"/>
  <c r="C736" i="234"/>
  <c r="C735" i="234"/>
  <c r="C734" i="234"/>
  <c r="C733" i="234"/>
  <c r="C732" i="234"/>
  <c r="C731" i="234"/>
  <c r="C730" i="234"/>
  <c r="C717" i="234"/>
  <c r="C716" i="234"/>
  <c r="C715" i="234"/>
  <c r="C714" i="234"/>
  <c r="C713" i="234"/>
  <c r="C712" i="234"/>
  <c r="C711" i="234"/>
  <c r="C710" i="234"/>
  <c r="C709" i="234"/>
  <c r="C708" i="234"/>
  <c r="C707" i="234"/>
  <c r="C706" i="234"/>
  <c r="C705" i="234"/>
  <c r="C704" i="234"/>
  <c r="C703" i="234"/>
  <c r="C702" i="234"/>
  <c r="C701" i="234"/>
  <c r="C700" i="234"/>
  <c r="C699" i="234"/>
  <c r="C698" i="234"/>
  <c r="C697" i="234"/>
  <c r="C696" i="234"/>
  <c r="C695" i="234"/>
  <c r="C694" i="234"/>
  <c r="C693" i="234"/>
  <c r="C692" i="234"/>
  <c r="C691" i="234"/>
  <c r="C690" i="234"/>
  <c r="C689" i="234"/>
  <c r="C688" i="234"/>
  <c r="C687" i="234"/>
  <c r="C686" i="234"/>
  <c r="C685" i="234"/>
  <c r="C684" i="234"/>
  <c r="C683" i="234"/>
  <c r="C682" i="234"/>
  <c r="C681" i="234"/>
  <c r="C680" i="234"/>
  <c r="C679" i="234"/>
  <c r="C678" i="234"/>
  <c r="C677" i="234"/>
  <c r="C676" i="234"/>
  <c r="C675" i="234"/>
  <c r="C674" i="234"/>
  <c r="C673" i="234"/>
  <c r="C672" i="234"/>
  <c r="C671" i="234"/>
  <c r="C670" i="234"/>
  <c r="C669" i="234"/>
  <c r="C668" i="234"/>
  <c r="C667" i="234"/>
  <c r="C666" i="234"/>
  <c r="C665" i="234"/>
  <c r="C664" i="234"/>
  <c r="C663" i="234"/>
  <c r="C662" i="234"/>
  <c r="C661" i="234"/>
  <c r="C660" i="234"/>
  <c r="C659" i="234"/>
  <c r="C658" i="234"/>
  <c r="C657" i="234"/>
  <c r="C656" i="234"/>
  <c r="C655" i="234"/>
  <c r="C654" i="234"/>
  <c r="C653" i="234"/>
  <c r="C652" i="234"/>
  <c r="C651" i="234"/>
  <c r="C650" i="234"/>
  <c r="C649" i="234"/>
  <c r="C648" i="234"/>
  <c r="C647" i="234"/>
  <c r="C646" i="234"/>
  <c r="C645" i="234"/>
  <c r="C644" i="234"/>
  <c r="C643" i="234"/>
  <c r="C642" i="234"/>
  <c r="C641" i="234"/>
  <c r="C640" i="234"/>
  <c r="C639" i="234"/>
  <c r="C638" i="234"/>
  <c r="C637" i="234"/>
  <c r="C636" i="234"/>
  <c r="C635" i="234"/>
  <c r="C634" i="234"/>
  <c r="C633" i="234"/>
  <c r="C632" i="234"/>
  <c r="C631" i="234"/>
  <c r="C630" i="234"/>
  <c r="C629" i="234"/>
  <c r="C628" i="234"/>
  <c r="C627" i="234"/>
  <c r="C626" i="234"/>
  <c r="C625" i="234"/>
  <c r="C624" i="234"/>
  <c r="C623" i="234"/>
  <c r="C622" i="234"/>
  <c r="C621" i="234"/>
  <c r="C620" i="234"/>
  <c r="C619" i="234"/>
  <c r="C618" i="234"/>
  <c r="C617" i="234"/>
  <c r="C616" i="234"/>
  <c r="C615" i="234"/>
  <c r="C614" i="234"/>
  <c r="C613" i="234"/>
  <c r="C612" i="234"/>
  <c r="C611" i="234"/>
  <c r="C610" i="234"/>
  <c r="C609" i="234"/>
  <c r="C608" i="234"/>
  <c r="C607" i="234"/>
  <c r="C606" i="234"/>
  <c r="C605" i="234"/>
  <c r="C604" i="234"/>
  <c r="C603" i="234"/>
  <c r="C602" i="234"/>
  <c r="C601" i="234"/>
  <c r="C600" i="234"/>
  <c r="C599" i="234"/>
  <c r="C598" i="234"/>
  <c r="C597" i="234"/>
  <c r="C596" i="234"/>
  <c r="C595" i="234"/>
  <c r="C594" i="234"/>
  <c r="C593" i="234"/>
  <c r="C592" i="234"/>
  <c r="C591" i="234"/>
  <c r="C590" i="234"/>
  <c r="C589" i="234"/>
  <c r="C588" i="234"/>
  <c r="C587" i="234"/>
  <c r="C586" i="234"/>
  <c r="C585" i="234"/>
  <c r="C584" i="234"/>
  <c r="C583" i="234"/>
  <c r="C582" i="234"/>
  <c r="C581" i="234"/>
  <c r="C580" i="234"/>
  <c r="C579" i="234"/>
  <c r="C578" i="234"/>
  <c r="C577" i="234"/>
  <c r="C576" i="234"/>
  <c r="C575" i="234"/>
  <c r="C568" i="234"/>
  <c r="C567" i="234"/>
  <c r="C566" i="234"/>
  <c r="C565" i="234"/>
  <c r="C564" i="234"/>
  <c r="C563" i="234"/>
  <c r="C562" i="234"/>
  <c r="C561" i="234"/>
  <c r="C560" i="234"/>
  <c r="C559" i="234"/>
  <c r="C558" i="234"/>
  <c r="C557" i="234"/>
  <c r="C556" i="234"/>
  <c r="C555" i="234"/>
  <c r="C554" i="234"/>
  <c r="C553" i="234"/>
  <c r="C552" i="234"/>
  <c r="C551" i="234"/>
  <c r="C550" i="234"/>
  <c r="C549" i="234"/>
  <c r="C548" i="234"/>
  <c r="C547" i="234"/>
  <c r="C546" i="234"/>
  <c r="C545" i="234"/>
  <c r="C544" i="234"/>
  <c r="C543" i="234"/>
  <c r="C542" i="234"/>
  <c r="C541" i="234"/>
  <c r="C540" i="234"/>
  <c r="C539" i="234"/>
  <c r="C538" i="234"/>
  <c r="C537" i="234"/>
  <c r="C536" i="234"/>
  <c r="C535" i="234"/>
  <c r="C534" i="234"/>
  <c r="C533" i="234"/>
  <c r="C532" i="234"/>
  <c r="C531" i="234"/>
  <c r="C530" i="234"/>
  <c r="C529" i="234"/>
  <c r="C528" i="234"/>
  <c r="C527" i="234"/>
  <c r="C526" i="234"/>
  <c r="C525" i="234"/>
  <c r="C524" i="234"/>
  <c r="C523" i="234"/>
  <c r="C522" i="234"/>
  <c r="C521" i="234"/>
  <c r="C520" i="234"/>
  <c r="C519" i="234"/>
  <c r="C518" i="234"/>
  <c r="C517" i="234"/>
  <c r="C516" i="234"/>
  <c r="C515" i="234"/>
  <c r="C514" i="234"/>
  <c r="C513" i="234"/>
  <c r="C512" i="234"/>
  <c r="C511" i="234"/>
  <c r="C510" i="234"/>
  <c r="C509" i="234"/>
  <c r="C508" i="234"/>
  <c r="C507" i="234"/>
  <c r="C506" i="234"/>
  <c r="C505" i="234"/>
  <c r="C504" i="234"/>
  <c r="C503" i="234"/>
  <c r="C502" i="234"/>
  <c r="C501" i="234"/>
  <c r="C500" i="234"/>
  <c r="C499" i="234"/>
  <c r="C498" i="234"/>
  <c r="C497" i="234"/>
  <c r="C496" i="234"/>
  <c r="C495" i="234"/>
  <c r="C494" i="234"/>
  <c r="C493" i="234"/>
  <c r="C492" i="234"/>
  <c r="C491" i="234"/>
  <c r="C490" i="234"/>
  <c r="C489" i="234"/>
  <c r="C488" i="234"/>
  <c r="C487" i="234"/>
  <c r="C486" i="234"/>
  <c r="C485" i="234"/>
  <c r="C484" i="234"/>
  <c r="C483" i="234"/>
  <c r="C482" i="234"/>
  <c r="C481" i="234"/>
  <c r="C480" i="234"/>
  <c r="C479" i="234"/>
  <c r="C478" i="234"/>
  <c r="C477" i="234"/>
  <c r="C476" i="234"/>
  <c r="C475" i="234"/>
  <c r="C474" i="234"/>
  <c r="C473" i="234"/>
  <c r="C472" i="234"/>
  <c r="C471" i="234"/>
  <c r="C470" i="234"/>
  <c r="C469" i="234"/>
  <c r="C468" i="234"/>
  <c r="C467" i="234"/>
  <c r="C466" i="234"/>
  <c r="C465" i="234"/>
  <c r="C464" i="234"/>
  <c r="C463" i="234"/>
  <c r="C462" i="234"/>
  <c r="C461" i="234"/>
  <c r="C460" i="234"/>
  <c r="C459" i="234"/>
  <c r="C458" i="234"/>
  <c r="C457" i="234"/>
  <c r="C456" i="234"/>
  <c r="C455" i="234"/>
  <c r="C454" i="234"/>
  <c r="C453" i="234"/>
  <c r="C452" i="234"/>
  <c r="C451" i="234"/>
  <c r="C450" i="234"/>
  <c r="C449" i="234"/>
  <c r="C448" i="234"/>
  <c r="C447" i="234"/>
  <c r="C446" i="234"/>
  <c r="C445" i="234"/>
  <c r="C444" i="234"/>
  <c r="C443" i="234"/>
  <c r="C442" i="234"/>
  <c r="C441" i="234"/>
  <c r="C440" i="234"/>
  <c r="C439" i="234"/>
  <c r="C438" i="234"/>
  <c r="C437" i="234"/>
  <c r="C436" i="234"/>
  <c r="C435" i="234"/>
  <c r="C428" i="234"/>
  <c r="C427" i="234"/>
  <c r="C426" i="234"/>
  <c r="C425" i="234"/>
  <c r="C424" i="234"/>
  <c r="C423" i="234"/>
  <c r="C422" i="234"/>
  <c r="C421" i="234"/>
  <c r="C420" i="234"/>
  <c r="C419" i="234"/>
  <c r="C418" i="234"/>
  <c r="C417" i="234"/>
  <c r="C416" i="234"/>
  <c r="C415" i="234"/>
  <c r="C414" i="234"/>
  <c r="C413" i="234"/>
  <c r="C412" i="234"/>
  <c r="C411" i="234"/>
  <c r="C410" i="234"/>
  <c r="C409" i="234"/>
  <c r="C408" i="234"/>
  <c r="C407" i="234"/>
  <c r="C406" i="234"/>
  <c r="C405" i="234"/>
  <c r="C404" i="234"/>
  <c r="C403" i="234"/>
  <c r="C402" i="234"/>
  <c r="C401" i="234"/>
  <c r="C400" i="234"/>
  <c r="C399" i="234"/>
  <c r="C398" i="234"/>
  <c r="C397" i="234"/>
  <c r="C396" i="234"/>
  <c r="C395" i="234"/>
  <c r="C394" i="234"/>
  <c r="C393" i="234"/>
  <c r="C392" i="234"/>
  <c r="C391" i="234"/>
  <c r="C390" i="234"/>
  <c r="C389" i="234"/>
  <c r="C388" i="234"/>
  <c r="C387" i="234"/>
  <c r="C386" i="234"/>
  <c r="C385" i="234"/>
  <c r="C384" i="234"/>
  <c r="C383" i="234"/>
  <c r="C382" i="234"/>
  <c r="C381" i="234"/>
  <c r="C380" i="234"/>
  <c r="C379" i="234"/>
  <c r="C378" i="234"/>
  <c r="C377" i="234"/>
  <c r="C376" i="234"/>
  <c r="C375" i="234"/>
  <c r="C374" i="234"/>
  <c r="C373" i="234"/>
  <c r="C372" i="234"/>
  <c r="C371" i="234"/>
  <c r="C370" i="234"/>
  <c r="C369" i="234"/>
  <c r="C368" i="234"/>
  <c r="C367" i="234"/>
  <c r="C366" i="234"/>
  <c r="C365" i="234"/>
  <c r="C364" i="234"/>
  <c r="C363" i="234"/>
  <c r="C362" i="234"/>
  <c r="C361" i="234"/>
  <c r="C360" i="234"/>
  <c r="C359" i="234"/>
  <c r="C358" i="234"/>
  <c r="C357" i="234"/>
  <c r="C356" i="234"/>
  <c r="C355" i="234"/>
  <c r="C354" i="234"/>
  <c r="C353" i="234"/>
  <c r="C352" i="234"/>
  <c r="C351" i="234"/>
  <c r="C350" i="234"/>
  <c r="C349" i="234"/>
  <c r="C348" i="234"/>
  <c r="C347" i="234"/>
  <c r="C346" i="234"/>
  <c r="C345" i="234"/>
  <c r="C344" i="234"/>
  <c r="C343" i="234"/>
  <c r="C342" i="234"/>
  <c r="C341" i="234"/>
  <c r="C340" i="234"/>
  <c r="C339" i="234"/>
  <c r="C338" i="234"/>
  <c r="C337" i="234"/>
  <c r="C336" i="234"/>
  <c r="C335" i="234"/>
  <c r="C334" i="234"/>
  <c r="C333" i="234"/>
  <c r="C332" i="234"/>
  <c r="C331" i="234"/>
  <c r="C330" i="234"/>
  <c r="C329" i="234"/>
  <c r="C328" i="234"/>
  <c r="C327" i="234"/>
  <c r="C326" i="234"/>
  <c r="C325" i="234"/>
  <c r="C324" i="234"/>
  <c r="C323" i="234"/>
  <c r="C322" i="234"/>
  <c r="C321" i="234"/>
  <c r="C320" i="234"/>
  <c r="C319" i="234"/>
  <c r="C318" i="234"/>
  <c r="C317" i="234"/>
  <c r="C316" i="234"/>
  <c r="C315" i="234"/>
  <c r="C314" i="234"/>
  <c r="C313" i="234"/>
  <c r="C312" i="234"/>
  <c r="C311" i="234"/>
  <c r="C310" i="234"/>
  <c r="C309" i="234"/>
  <c r="C308" i="234"/>
  <c r="C307" i="234"/>
  <c r="C306" i="234"/>
  <c r="C304" i="234"/>
  <c r="C303" i="234"/>
  <c r="C302" i="234"/>
  <c r="C301" i="234"/>
  <c r="C300" i="234"/>
  <c r="C299" i="234"/>
  <c r="C298" i="234"/>
  <c r="C297" i="234"/>
  <c r="C296" i="234"/>
  <c r="C295" i="234"/>
  <c r="C294" i="234"/>
  <c r="C293" i="234"/>
  <c r="C292" i="234"/>
  <c r="C291" i="234"/>
  <c r="C290" i="234"/>
  <c r="C289" i="234"/>
  <c r="C288" i="234"/>
  <c r="C287" i="234"/>
  <c r="C286" i="234"/>
  <c r="C285" i="234"/>
  <c r="C284" i="234"/>
  <c r="C283" i="234"/>
  <c r="C282" i="234"/>
  <c r="C281" i="234"/>
  <c r="C280" i="234"/>
  <c r="C278" i="234"/>
  <c r="C277" i="234"/>
  <c r="C276" i="234"/>
  <c r="C275" i="234"/>
  <c r="C274" i="234"/>
  <c r="C273" i="234"/>
  <c r="C272" i="234"/>
  <c r="C271" i="234"/>
  <c r="C270" i="234"/>
  <c r="C269" i="234"/>
  <c r="C267" i="234"/>
  <c r="C266" i="234"/>
  <c r="C265" i="234"/>
  <c r="C264" i="234"/>
  <c r="C263" i="234"/>
  <c r="C262" i="234"/>
  <c r="C261" i="234"/>
  <c r="C260" i="234"/>
  <c r="C259" i="234"/>
  <c r="C258" i="234"/>
  <c r="C257" i="234"/>
  <c r="C256" i="234"/>
  <c r="C255" i="234"/>
  <c r="C254" i="234"/>
  <c r="C253" i="234"/>
  <c r="C252" i="234"/>
  <c r="C251" i="234"/>
  <c r="C250" i="234"/>
  <c r="C249" i="234"/>
  <c r="C248" i="234"/>
  <c r="C247" i="234"/>
  <c r="C246" i="234"/>
  <c r="C245" i="234"/>
  <c r="C244" i="234"/>
  <c r="C243" i="234"/>
  <c r="C242" i="234"/>
  <c r="C241" i="234"/>
  <c r="C240" i="234"/>
  <c r="C239" i="234"/>
  <c r="C238" i="234"/>
  <c r="C237" i="234"/>
  <c r="C236" i="234"/>
  <c r="C235" i="234"/>
  <c r="C234" i="234"/>
  <c r="C233" i="234"/>
  <c r="C232" i="234"/>
  <c r="C231" i="234"/>
  <c r="C230" i="234"/>
  <c r="C229" i="234"/>
  <c r="C228" i="234"/>
  <c r="C227" i="234"/>
  <c r="C226" i="234"/>
  <c r="C225" i="234"/>
  <c r="C224" i="234"/>
  <c r="C223" i="234"/>
  <c r="C222" i="234"/>
  <c r="C221" i="234"/>
  <c r="C220" i="234"/>
  <c r="C219" i="234"/>
  <c r="C218" i="234"/>
  <c r="C217" i="234"/>
  <c r="C216" i="234"/>
  <c r="C215" i="234"/>
  <c r="C214" i="234"/>
  <c r="C213" i="234"/>
  <c r="C212" i="234"/>
  <c r="C211" i="234"/>
  <c r="C210" i="234"/>
  <c r="C208" i="234"/>
  <c r="C207" i="234"/>
  <c r="C206" i="234"/>
  <c r="C205" i="234"/>
  <c r="C204" i="234"/>
  <c r="C203" i="234"/>
  <c r="C202" i="234"/>
  <c r="C201" i="234"/>
  <c r="C200" i="234"/>
  <c r="C199" i="234"/>
  <c r="C198" i="234"/>
  <c r="C197" i="234"/>
  <c r="C196" i="234"/>
  <c r="C195" i="234"/>
  <c r="C194" i="234"/>
  <c r="C193" i="234"/>
  <c r="C192" i="234"/>
  <c r="C191" i="234"/>
  <c r="C190" i="234"/>
  <c r="C189" i="234"/>
  <c r="C188" i="234"/>
  <c r="C187" i="234"/>
  <c r="C186" i="234"/>
  <c r="C185" i="234"/>
  <c r="C184" i="234"/>
  <c r="C183" i="234"/>
  <c r="C182" i="234"/>
  <c r="C181" i="234"/>
  <c r="C180" i="234"/>
  <c r="C179" i="234"/>
  <c r="C178" i="234"/>
  <c r="C177" i="234"/>
  <c r="C176" i="234"/>
  <c r="C175" i="234"/>
  <c r="C174" i="234"/>
  <c r="C173" i="234"/>
  <c r="C172" i="234"/>
  <c r="C171" i="234"/>
  <c r="C170" i="234"/>
  <c r="C169" i="234"/>
  <c r="C168" i="234"/>
  <c r="C167" i="234"/>
  <c r="C166" i="234"/>
  <c r="C165" i="234"/>
  <c r="C164" i="234"/>
  <c r="C163" i="234"/>
  <c r="C162" i="234"/>
  <c r="C161" i="234"/>
  <c r="C160" i="234"/>
  <c r="C159" i="234"/>
  <c r="C158" i="234"/>
  <c r="C157" i="234"/>
  <c r="C156" i="234"/>
  <c r="C155" i="234"/>
  <c r="C154" i="234"/>
  <c r="C153" i="234"/>
  <c r="C152" i="234"/>
  <c r="C151" i="234"/>
  <c r="C150" i="234"/>
  <c r="C149" i="234"/>
  <c r="C148" i="234"/>
  <c r="C147" i="234"/>
  <c r="C146" i="234"/>
  <c r="C145" i="234"/>
  <c r="C144" i="234"/>
  <c r="C143" i="234"/>
  <c r="C142" i="234"/>
  <c r="C141" i="234"/>
  <c r="C140" i="234"/>
  <c r="C139" i="234"/>
  <c r="C138" i="234"/>
  <c r="C137" i="234"/>
  <c r="C136" i="234"/>
  <c r="C135" i="234"/>
  <c r="C134" i="234"/>
  <c r="C133" i="234"/>
  <c r="C132" i="234"/>
  <c r="C131" i="234"/>
  <c r="C130" i="234"/>
  <c r="C129" i="234"/>
  <c r="C127" i="234"/>
  <c r="C126" i="234"/>
  <c r="C125" i="234"/>
  <c r="C124" i="234"/>
  <c r="C123" i="234"/>
  <c r="C122" i="234"/>
  <c r="C121" i="234"/>
  <c r="C120" i="234"/>
  <c r="C119" i="234"/>
  <c r="C118" i="234"/>
  <c r="C117" i="234"/>
  <c r="C116" i="234"/>
  <c r="C115" i="234"/>
  <c r="C114" i="234"/>
  <c r="C113" i="234"/>
  <c r="C112" i="234"/>
  <c r="C111" i="234"/>
  <c r="C110" i="234"/>
  <c r="C109" i="234"/>
  <c r="C108" i="234"/>
  <c r="C107" i="234"/>
  <c r="C106" i="234"/>
  <c r="C105" i="234"/>
  <c r="C104" i="234"/>
  <c r="C103" i="234"/>
  <c r="C102" i="234"/>
  <c r="C101" i="234"/>
  <c r="C100" i="234"/>
  <c r="C99" i="234"/>
  <c r="C98" i="234"/>
  <c r="C97" i="234"/>
  <c r="C96" i="234"/>
  <c r="C95" i="234"/>
  <c r="C94" i="234"/>
  <c r="C93" i="234"/>
  <c r="C92" i="234"/>
  <c r="C91" i="234"/>
  <c r="C90" i="234"/>
  <c r="C89" i="234"/>
  <c r="C88" i="234"/>
  <c r="C87" i="234"/>
  <c r="C86" i="234"/>
  <c r="C85" i="234"/>
  <c r="C84" i="234"/>
  <c r="C83" i="234"/>
  <c r="C82" i="234"/>
  <c r="C81" i="234"/>
  <c r="C80" i="234"/>
  <c r="C79" i="234"/>
  <c r="C78" i="234"/>
  <c r="C77" i="234"/>
  <c r="C76" i="234"/>
  <c r="C75" i="234"/>
  <c r="C74" i="234"/>
  <c r="C73" i="234"/>
  <c r="C72" i="234"/>
  <c r="C71" i="234"/>
  <c r="C70" i="234"/>
  <c r="C69" i="234"/>
  <c r="C68" i="234"/>
  <c r="C67" i="234"/>
  <c r="C66" i="234"/>
  <c r="C65" i="234"/>
  <c r="C64" i="234"/>
  <c r="C57" i="234"/>
  <c r="C56" i="234"/>
  <c r="C55" i="234"/>
  <c r="C54" i="234"/>
  <c r="C53" i="234"/>
  <c r="C52" i="234"/>
  <c r="C51" i="234"/>
  <c r="C50" i="234"/>
  <c r="C49" i="234"/>
  <c r="C48" i="234"/>
  <c r="C47" i="234"/>
  <c r="C46" i="234"/>
  <c r="C43" i="234"/>
  <c r="C42" i="234"/>
  <c r="C41" i="234"/>
  <c r="C40" i="234"/>
  <c r="C39" i="234"/>
  <c r="C38" i="234"/>
  <c r="C37" i="234"/>
  <c r="C36" i="234"/>
  <c r="C35" i="234"/>
  <c r="C34" i="234"/>
  <c r="C33" i="234"/>
  <c r="C32" i="234"/>
  <c r="C31" i="234"/>
  <c r="C30" i="234"/>
  <c r="C29" i="234"/>
  <c r="C28" i="234"/>
  <c r="C27" i="234"/>
  <c r="C26" i="234"/>
  <c r="C25" i="234"/>
  <c r="C24" i="234"/>
  <c r="C23" i="234"/>
  <c r="C433" i="234"/>
  <c r="C22" i="234"/>
  <c r="C432" i="234"/>
  <c r="C21" i="234"/>
  <c r="C20" i="234"/>
  <c r="C19" i="234"/>
  <c r="C18" i="234"/>
  <c r="C17" i="234"/>
  <c r="C16" i="234"/>
  <c r="C14" i="234"/>
  <c r="C13" i="234"/>
  <c r="C12" i="234"/>
  <c r="C11" i="234"/>
  <c r="C10" i="234"/>
  <c r="C9" i="234"/>
  <c r="C8" i="234"/>
  <c r="C7" i="234"/>
  <c r="C6" i="234"/>
  <c r="C5" i="234"/>
  <c r="C4" i="234"/>
  <c r="C3" i="234"/>
  <c r="C2" i="234"/>
  <c r="L1" i="234"/>
  <c r="C744" i="234"/>
  <c r="C745" i="234"/>
  <c r="A26" i="76" l="1"/>
  <c r="D26" i="76"/>
  <c r="D29" i="76"/>
  <c r="A427" i="274" l="1"/>
  <c r="A426" i="274"/>
  <c r="A425" i="274"/>
  <c r="A424" i="274"/>
  <c r="A423" i="274"/>
  <c r="D422" i="274"/>
  <c r="A422" i="274"/>
  <c r="A421" i="274"/>
  <c r="A420" i="274"/>
  <c r="A419" i="274"/>
  <c r="A418" i="274"/>
  <c r="A417" i="274"/>
  <c r="D416" i="274"/>
  <c r="A416" i="274"/>
  <c r="A415" i="274"/>
  <c r="A414" i="274"/>
  <c r="A413" i="274"/>
  <c r="A412" i="274"/>
  <c r="A411" i="274"/>
  <c r="D410" i="274"/>
  <c r="A410" i="274"/>
  <c r="A409" i="274"/>
  <c r="A408" i="274"/>
  <c r="A407" i="274"/>
  <c r="A406" i="274"/>
  <c r="A405" i="274"/>
  <c r="D404" i="274"/>
  <c r="A404" i="274"/>
  <c r="A403" i="274"/>
  <c r="A402" i="274"/>
  <c r="D401" i="274"/>
  <c r="A401" i="274"/>
  <c r="A400" i="274"/>
  <c r="A399" i="274"/>
  <c r="A398" i="274"/>
  <c r="A397" i="274"/>
  <c r="A396" i="274"/>
  <c r="A395" i="274"/>
  <c r="A394" i="274"/>
  <c r="A393" i="274"/>
  <c r="A392" i="274"/>
  <c r="A391" i="274"/>
  <c r="A390" i="274"/>
  <c r="A389" i="274"/>
  <c r="A388" i="274"/>
  <c r="A387" i="274"/>
  <c r="A386" i="274"/>
  <c r="D385" i="274"/>
  <c r="A385" i="274"/>
  <c r="A384" i="274"/>
  <c r="A383" i="274"/>
  <c r="A382" i="274"/>
  <c r="A381" i="274"/>
  <c r="A380" i="274"/>
  <c r="A379" i="274"/>
  <c r="A378" i="274"/>
  <c r="A377" i="274"/>
  <c r="A376" i="274"/>
  <c r="D375" i="274"/>
  <c r="A375" i="274"/>
  <c r="A374" i="274"/>
  <c r="A373" i="274"/>
  <c r="A372" i="274"/>
  <c r="A371" i="274"/>
  <c r="A370" i="274"/>
  <c r="A369" i="274"/>
  <c r="A368" i="274"/>
  <c r="A367" i="274"/>
  <c r="A366" i="274"/>
  <c r="A365" i="274"/>
  <c r="A364" i="274"/>
  <c r="D363" i="274"/>
  <c r="A363" i="274"/>
  <c r="A362" i="274"/>
  <c r="A361" i="274"/>
  <c r="A360" i="274"/>
  <c r="A359" i="274"/>
  <c r="A358" i="274"/>
  <c r="A357" i="274"/>
  <c r="A356" i="274"/>
  <c r="A355" i="274"/>
  <c r="A354" i="274"/>
  <c r="A353" i="274"/>
  <c r="A352" i="274"/>
  <c r="D351" i="274"/>
  <c r="A351" i="274"/>
  <c r="A350" i="274"/>
  <c r="A349" i="274"/>
  <c r="A348" i="274"/>
  <c r="A347" i="274"/>
  <c r="A346" i="274"/>
  <c r="A345" i="274"/>
  <c r="A344" i="274"/>
  <c r="A343" i="274"/>
  <c r="A342" i="274"/>
  <c r="D341" i="274"/>
  <c r="A341" i="274"/>
  <c r="A340" i="274"/>
  <c r="A339" i="274"/>
  <c r="A338" i="274"/>
  <c r="A337" i="274"/>
  <c r="A336" i="274"/>
  <c r="A335" i="274"/>
  <c r="A334" i="274"/>
  <c r="A333" i="274"/>
  <c r="A332" i="274"/>
  <c r="D331" i="274"/>
  <c r="A331" i="274"/>
  <c r="A330" i="274"/>
  <c r="A329" i="274"/>
  <c r="A328" i="274"/>
  <c r="A327" i="274"/>
  <c r="A326" i="274"/>
  <c r="A325" i="274"/>
  <c r="A324" i="274"/>
  <c r="A323" i="274"/>
  <c r="A322" i="274"/>
  <c r="D321" i="274"/>
  <c r="A321" i="274"/>
  <c r="A320" i="274"/>
  <c r="A319" i="274"/>
  <c r="A318" i="274"/>
  <c r="A317" i="274"/>
  <c r="A316" i="274"/>
  <c r="A315" i="274"/>
  <c r="A314" i="274"/>
  <c r="A313" i="274"/>
  <c r="A312" i="274"/>
  <c r="D311" i="274"/>
  <c r="A311" i="274"/>
  <c r="A310" i="274"/>
  <c r="A309" i="274"/>
  <c r="A308" i="274"/>
  <c r="A307" i="274"/>
  <c r="A306" i="274"/>
  <c r="A305" i="274"/>
  <c r="A304" i="274"/>
  <c r="A303" i="274"/>
  <c r="A302" i="274"/>
  <c r="D301" i="274"/>
  <c r="A301" i="274"/>
  <c r="A300" i="274"/>
  <c r="A299" i="274"/>
  <c r="A298" i="274"/>
  <c r="A297" i="274"/>
  <c r="A296" i="274"/>
  <c r="A295" i="274"/>
  <c r="A294" i="274"/>
  <c r="A293" i="274"/>
  <c r="A292" i="274"/>
  <c r="D291" i="274"/>
  <c r="A291" i="274"/>
  <c r="A290" i="274"/>
  <c r="A289" i="274"/>
  <c r="A288" i="274"/>
  <c r="A287" i="274"/>
  <c r="A286" i="274"/>
  <c r="A285" i="274"/>
  <c r="A284" i="274"/>
  <c r="A283" i="274"/>
  <c r="A282" i="274"/>
  <c r="D281" i="274"/>
  <c r="A281" i="274"/>
  <c r="A280" i="274"/>
  <c r="A279" i="274"/>
  <c r="A278" i="274"/>
  <c r="A277" i="274"/>
  <c r="A276" i="274"/>
  <c r="A275" i="274"/>
  <c r="A274" i="274"/>
  <c r="A273" i="274"/>
  <c r="A272" i="274"/>
  <c r="D271" i="274"/>
  <c r="A271" i="274"/>
  <c r="A270" i="274"/>
  <c r="A269" i="274"/>
  <c r="A268" i="274"/>
  <c r="A267" i="274"/>
  <c r="A266" i="274"/>
  <c r="A265" i="274"/>
  <c r="A264" i="274"/>
  <c r="A263" i="274"/>
  <c r="A262" i="274"/>
  <c r="D261" i="274"/>
  <c r="A261" i="274"/>
  <c r="A260" i="274"/>
  <c r="A259" i="274"/>
  <c r="A258" i="274"/>
  <c r="A257" i="274"/>
  <c r="A256" i="274"/>
  <c r="A255" i="274"/>
  <c r="A254" i="274"/>
  <c r="A253" i="274"/>
  <c r="A252" i="274"/>
  <c r="D251" i="274"/>
  <c r="A251" i="274"/>
  <c r="A250" i="274"/>
  <c r="A249" i="274"/>
  <c r="A248" i="274"/>
  <c r="A247" i="274"/>
  <c r="A246" i="274"/>
  <c r="A245" i="274"/>
  <c r="A244" i="274"/>
  <c r="A243" i="274"/>
  <c r="A242" i="274"/>
  <c r="D241" i="274"/>
  <c r="A241" i="274"/>
  <c r="A240" i="274"/>
  <c r="A239" i="274"/>
  <c r="A238" i="274"/>
  <c r="A237" i="274"/>
  <c r="A236" i="274"/>
  <c r="A235" i="274"/>
  <c r="A234" i="274"/>
  <c r="A233" i="274"/>
  <c r="A232" i="274"/>
  <c r="D231" i="274"/>
  <c r="A231" i="274"/>
  <c r="A230" i="274"/>
  <c r="A229" i="274"/>
  <c r="A228" i="274"/>
  <c r="A227" i="274"/>
  <c r="A226" i="274"/>
  <c r="A225" i="274"/>
  <c r="A224" i="274"/>
  <c r="A223" i="274"/>
  <c r="A222" i="274"/>
  <c r="D221" i="274"/>
  <c r="A221" i="274"/>
  <c r="A220" i="274"/>
  <c r="A219" i="274"/>
  <c r="A218" i="274"/>
  <c r="A217" i="274"/>
  <c r="A216" i="274"/>
  <c r="A215" i="274"/>
  <c r="A214" i="274"/>
  <c r="A213" i="274"/>
  <c r="A212" i="274"/>
  <c r="D211" i="274"/>
  <c r="A211" i="274"/>
  <c r="A210" i="274"/>
  <c r="A209" i="274"/>
  <c r="A208" i="274"/>
  <c r="A207" i="274"/>
  <c r="A206" i="274"/>
  <c r="A205" i="274"/>
  <c r="A204" i="274"/>
  <c r="A203" i="274"/>
  <c r="A202" i="274"/>
  <c r="D201" i="274"/>
  <c r="A201" i="274"/>
  <c r="A200" i="274"/>
  <c r="A199" i="274"/>
  <c r="A198" i="274"/>
  <c r="A197" i="274"/>
  <c r="A196" i="274"/>
  <c r="A195" i="274"/>
  <c r="A194" i="274"/>
  <c r="A193" i="274"/>
  <c r="A192" i="274"/>
  <c r="D191" i="274"/>
  <c r="A191" i="274"/>
  <c r="A190" i="274"/>
  <c r="A189" i="274"/>
  <c r="A188" i="274"/>
  <c r="A187" i="274"/>
  <c r="A186" i="274"/>
  <c r="A185" i="274"/>
  <c r="A184" i="274"/>
  <c r="A183" i="274"/>
  <c r="A182" i="274"/>
  <c r="D181" i="274"/>
  <c r="A181" i="274"/>
  <c r="A180" i="274"/>
  <c r="A179" i="274"/>
  <c r="A178" i="274"/>
  <c r="A177" i="274"/>
  <c r="A176" i="274"/>
  <c r="A175" i="274"/>
  <c r="A174" i="274"/>
  <c r="A173" i="274"/>
  <c r="A172" i="274"/>
  <c r="A171" i="274"/>
  <c r="A170" i="274"/>
  <c r="A169" i="274"/>
  <c r="A168" i="274"/>
  <c r="A167" i="274"/>
  <c r="A166" i="274"/>
  <c r="A165" i="274"/>
  <c r="A164" i="274"/>
  <c r="A163" i="274"/>
  <c r="A162" i="274"/>
  <c r="A161" i="274"/>
  <c r="A160" i="274"/>
  <c r="A159" i="274"/>
  <c r="A158" i="274"/>
  <c r="D157" i="274"/>
  <c r="A157" i="274"/>
  <c r="A156" i="274"/>
  <c r="A155" i="274"/>
  <c r="A154" i="274"/>
  <c r="A153" i="274"/>
  <c r="A152" i="274"/>
  <c r="A151" i="274"/>
  <c r="A150" i="274"/>
  <c r="A149" i="274"/>
  <c r="A148" i="274"/>
  <c r="D147" i="274"/>
  <c r="A147" i="274"/>
  <c r="A146" i="274"/>
  <c r="A145" i="274"/>
  <c r="A144" i="274"/>
  <c r="A143" i="274"/>
  <c r="A142" i="274"/>
  <c r="A141" i="274"/>
  <c r="A140" i="274"/>
  <c r="A139" i="274"/>
  <c r="A138" i="274"/>
  <c r="D137" i="274"/>
  <c r="A137" i="274"/>
  <c r="A136" i="274"/>
  <c r="A135" i="274"/>
  <c r="A134" i="274"/>
  <c r="A133" i="274"/>
  <c r="A132" i="274"/>
  <c r="A131" i="274"/>
  <c r="A130" i="274"/>
  <c r="A129" i="274"/>
  <c r="A128" i="274"/>
  <c r="D127" i="274"/>
  <c r="A127" i="274"/>
  <c r="A126" i="274"/>
  <c r="A125" i="274"/>
  <c r="A124" i="274"/>
  <c r="A123" i="274"/>
  <c r="A122" i="274"/>
  <c r="A121" i="274"/>
  <c r="A120" i="274"/>
  <c r="A119" i="274"/>
  <c r="A118" i="274"/>
  <c r="D117" i="274"/>
  <c r="A117" i="274"/>
  <c r="A116" i="274"/>
  <c r="A115" i="274"/>
  <c r="A114" i="274"/>
  <c r="A113" i="274"/>
  <c r="A112" i="274"/>
  <c r="A111" i="274"/>
  <c r="A110" i="274"/>
  <c r="A109" i="274"/>
  <c r="A108" i="274"/>
  <c r="D107" i="274"/>
  <c r="A107" i="274"/>
  <c r="A106" i="274"/>
  <c r="A105" i="274"/>
  <c r="A104" i="274"/>
  <c r="A103" i="274"/>
  <c r="A102" i="274"/>
  <c r="A101" i="274"/>
  <c r="A100" i="274"/>
  <c r="A99" i="274"/>
  <c r="A98" i="274"/>
  <c r="D97" i="274"/>
  <c r="A97" i="274"/>
  <c r="A96" i="274"/>
  <c r="A95" i="274"/>
  <c r="A94" i="274"/>
  <c r="A93" i="274"/>
  <c r="A92" i="274"/>
  <c r="A91" i="274"/>
  <c r="A90" i="274"/>
  <c r="A89" i="274"/>
  <c r="A88" i="274"/>
  <c r="D87" i="274"/>
  <c r="A87" i="274"/>
  <c r="A86" i="274"/>
  <c r="A85" i="274"/>
  <c r="A84" i="274"/>
  <c r="A83" i="274"/>
  <c r="A82" i="274"/>
  <c r="A81" i="274"/>
  <c r="A80" i="274"/>
  <c r="A79" i="274"/>
  <c r="A78" i="274"/>
  <c r="D77" i="274"/>
  <c r="A77" i="274"/>
  <c r="A76" i="274"/>
  <c r="A75" i="274"/>
  <c r="A74" i="274"/>
  <c r="A73" i="274"/>
  <c r="A72" i="274"/>
  <c r="A71" i="274"/>
  <c r="A70" i="274"/>
  <c r="A69" i="274"/>
  <c r="A68" i="274"/>
  <c r="D67" i="274"/>
  <c r="A67" i="274"/>
  <c r="A66" i="274"/>
  <c r="A65" i="274"/>
  <c r="A64" i="274"/>
  <c r="A63" i="274"/>
  <c r="A62" i="274"/>
  <c r="A61" i="274"/>
  <c r="A60" i="274"/>
  <c r="A59" i="274"/>
  <c r="A58" i="274"/>
  <c r="D57" i="274"/>
  <c r="A57" i="274"/>
  <c r="A56" i="274"/>
  <c r="A55" i="274"/>
  <c r="A54" i="274"/>
  <c r="A53" i="274"/>
  <c r="A52" i="274"/>
  <c r="A51" i="274"/>
  <c r="A50" i="274"/>
  <c r="A49" i="274"/>
  <c r="A48" i="274"/>
  <c r="D47" i="274"/>
  <c r="A47" i="274"/>
  <c r="A46" i="274"/>
  <c r="A45" i="274"/>
  <c r="A44" i="274"/>
  <c r="A43" i="274"/>
  <c r="A42" i="274"/>
  <c r="A41" i="274"/>
  <c r="A40" i="274"/>
  <c r="A39" i="274"/>
  <c r="A38" i="274"/>
  <c r="A37" i="274"/>
  <c r="A36" i="274"/>
  <c r="A35" i="274"/>
  <c r="A34" i="274"/>
  <c r="A33" i="274"/>
  <c r="A32" i="274"/>
  <c r="D31" i="274"/>
  <c r="A31" i="274"/>
  <c r="A30" i="274"/>
  <c r="D29" i="274"/>
  <c r="A29" i="274"/>
  <c r="A28" i="274"/>
  <c r="D27" i="274"/>
  <c r="A27" i="274"/>
  <c r="D26" i="274"/>
  <c r="A26" i="274"/>
  <c r="A25" i="274"/>
  <c r="A24" i="274"/>
  <c r="A23" i="274"/>
  <c r="D22" i="274"/>
  <c r="A22" i="274"/>
  <c r="D21" i="274"/>
  <c r="A21" i="274"/>
  <c r="A20" i="274"/>
  <c r="A457" i="273"/>
  <c r="A456" i="273"/>
  <c r="A455" i="273"/>
  <c r="A454" i="273"/>
  <c r="A453" i="273"/>
  <c r="D452" i="273"/>
  <c r="A452" i="273"/>
  <c r="A451" i="273"/>
  <c r="A450" i="273"/>
  <c r="A449" i="273"/>
  <c r="A448" i="273"/>
  <c r="A447" i="273"/>
  <c r="D446" i="273"/>
  <c r="A446" i="273"/>
  <c r="A445" i="273"/>
  <c r="A444" i="273"/>
  <c r="A443" i="273"/>
  <c r="A442" i="273"/>
  <c r="A441" i="273"/>
  <c r="D440" i="273"/>
  <c r="A440" i="273"/>
  <c r="A439" i="273"/>
  <c r="A438" i="273"/>
  <c r="A437" i="273"/>
  <c r="A436" i="273"/>
  <c r="A435" i="273"/>
  <c r="D434" i="273"/>
  <c r="A434" i="273"/>
  <c r="A433" i="273"/>
  <c r="A432" i="273"/>
  <c r="A431" i="273"/>
  <c r="A430" i="273"/>
  <c r="A429" i="273"/>
  <c r="D428" i="273"/>
  <c r="A428" i="273"/>
  <c r="A427" i="273"/>
  <c r="A426" i="273"/>
  <c r="D425" i="273"/>
  <c r="A425" i="273"/>
  <c r="A424" i="273"/>
  <c r="A423" i="273"/>
  <c r="A422" i="273"/>
  <c r="A421" i="273"/>
  <c r="D420" i="273"/>
  <c r="A420" i="273"/>
  <c r="A419" i="273"/>
  <c r="A418" i="273"/>
  <c r="A417" i="273"/>
  <c r="A416" i="273"/>
  <c r="A415" i="273"/>
  <c r="D414" i="273"/>
  <c r="A414" i="273"/>
  <c r="A413" i="273"/>
  <c r="A412" i="273"/>
  <c r="A411" i="273"/>
  <c r="D410" i="273"/>
  <c r="A410" i="273"/>
  <c r="A409" i="273"/>
  <c r="A408" i="273"/>
  <c r="A407" i="273"/>
  <c r="D406" i="273"/>
  <c r="A406" i="273"/>
  <c r="A405" i="273"/>
  <c r="A404" i="273"/>
  <c r="A403" i="273"/>
  <c r="A402" i="273"/>
  <c r="A401" i="273"/>
  <c r="D400" i="273"/>
  <c r="A400" i="273"/>
  <c r="A399" i="273"/>
  <c r="A398" i="273"/>
  <c r="A397" i="273"/>
  <c r="A396" i="273"/>
  <c r="A395" i="273"/>
  <c r="A394" i="273"/>
  <c r="A393" i="273"/>
  <c r="A392" i="273"/>
  <c r="A391" i="273"/>
  <c r="A390" i="273"/>
  <c r="A389" i="273"/>
  <c r="A388" i="273"/>
  <c r="A387" i="273"/>
  <c r="A386" i="273"/>
  <c r="A385" i="273"/>
  <c r="A384" i="273"/>
  <c r="D383" i="273"/>
  <c r="A383" i="273"/>
  <c r="A382" i="273"/>
  <c r="A381" i="273"/>
  <c r="A380" i="273"/>
  <c r="A379" i="273"/>
  <c r="A378" i="273"/>
  <c r="A377" i="273"/>
  <c r="A376" i="273"/>
  <c r="A375" i="273"/>
  <c r="A374" i="273"/>
  <c r="D373" i="273"/>
  <c r="A373" i="273"/>
  <c r="A372" i="273"/>
  <c r="A371" i="273"/>
  <c r="A370" i="273"/>
  <c r="A369" i="273"/>
  <c r="A368" i="273"/>
  <c r="A367" i="273"/>
  <c r="A366" i="273"/>
  <c r="A365" i="273"/>
  <c r="A364" i="273"/>
  <c r="D363" i="273"/>
  <c r="A363" i="273"/>
  <c r="A362" i="273"/>
  <c r="A361" i="273"/>
  <c r="A360" i="273"/>
  <c r="A359" i="273"/>
  <c r="A358" i="273"/>
  <c r="A357" i="273"/>
  <c r="A356" i="273"/>
  <c r="A355" i="273"/>
  <c r="A354" i="273"/>
  <c r="A353" i="273"/>
  <c r="A352" i="273"/>
  <c r="D351" i="273"/>
  <c r="A351" i="273"/>
  <c r="A350" i="273"/>
  <c r="A349" i="273"/>
  <c r="A348" i="273"/>
  <c r="A347" i="273"/>
  <c r="A346" i="273"/>
  <c r="A345" i="273"/>
  <c r="A344" i="273"/>
  <c r="A343" i="273"/>
  <c r="A342" i="273"/>
  <c r="D341" i="273"/>
  <c r="A341" i="273"/>
  <c r="A340" i="273"/>
  <c r="A339" i="273"/>
  <c r="A338" i="273"/>
  <c r="A337" i="273"/>
  <c r="A336" i="273"/>
  <c r="A335" i="273"/>
  <c r="A334" i="273"/>
  <c r="A333" i="273"/>
  <c r="A332" i="273"/>
  <c r="D331" i="273"/>
  <c r="A331" i="273"/>
  <c r="A330" i="273"/>
  <c r="A329" i="273"/>
  <c r="A328" i="273"/>
  <c r="A327" i="273"/>
  <c r="A326" i="273"/>
  <c r="A325" i="273"/>
  <c r="A324" i="273"/>
  <c r="A323" i="273"/>
  <c r="A322" i="273"/>
  <c r="D321" i="273"/>
  <c r="A321" i="273"/>
  <c r="A320" i="273"/>
  <c r="A319" i="273"/>
  <c r="A318" i="273"/>
  <c r="A317" i="273"/>
  <c r="A316" i="273"/>
  <c r="A315" i="273"/>
  <c r="A314" i="273"/>
  <c r="A313" i="273"/>
  <c r="A312" i="273"/>
  <c r="D311" i="273"/>
  <c r="A311" i="273"/>
  <c r="A310" i="273"/>
  <c r="A309" i="273"/>
  <c r="A308" i="273"/>
  <c r="A307" i="273"/>
  <c r="A306" i="273"/>
  <c r="A305" i="273"/>
  <c r="A304" i="273"/>
  <c r="A303" i="273"/>
  <c r="A302" i="273"/>
  <c r="D301" i="273"/>
  <c r="A301" i="273"/>
  <c r="A300" i="273"/>
  <c r="A299" i="273"/>
  <c r="A298" i="273"/>
  <c r="A297" i="273"/>
  <c r="A296" i="273"/>
  <c r="A295" i="273"/>
  <c r="A294" i="273"/>
  <c r="A293" i="273"/>
  <c r="A292" i="273"/>
  <c r="D291" i="273"/>
  <c r="A291" i="273"/>
  <c r="A290" i="273"/>
  <c r="A289" i="273"/>
  <c r="A288" i="273"/>
  <c r="A287" i="273"/>
  <c r="A286" i="273"/>
  <c r="A285" i="273"/>
  <c r="A284" i="273"/>
  <c r="A283" i="273"/>
  <c r="A282" i="273"/>
  <c r="D281" i="273"/>
  <c r="A281" i="273"/>
  <c r="A280" i="273"/>
  <c r="A279" i="273"/>
  <c r="A278" i="273"/>
  <c r="A277" i="273"/>
  <c r="A276" i="273"/>
  <c r="A275" i="273"/>
  <c r="A274" i="273"/>
  <c r="A273" i="273"/>
  <c r="A272" i="273"/>
  <c r="D271" i="273"/>
  <c r="A271" i="273"/>
  <c r="A270" i="273"/>
  <c r="A269" i="273"/>
  <c r="A268" i="273"/>
  <c r="A267" i="273"/>
  <c r="A266" i="273"/>
  <c r="A265" i="273"/>
  <c r="A264" i="273"/>
  <c r="A263" i="273"/>
  <c r="A262" i="273"/>
  <c r="D261" i="273"/>
  <c r="A261" i="273"/>
  <c r="A260" i="273"/>
  <c r="A259" i="273"/>
  <c r="A258" i="273"/>
  <c r="A257" i="273"/>
  <c r="A256" i="273"/>
  <c r="A255" i="273"/>
  <c r="A254" i="273"/>
  <c r="A253" i="273"/>
  <c r="A252" i="273"/>
  <c r="D251" i="273"/>
  <c r="A251" i="273"/>
  <c r="A250" i="273"/>
  <c r="A249" i="273"/>
  <c r="A248" i="273"/>
  <c r="A247" i="273"/>
  <c r="A246" i="273"/>
  <c r="A245" i="273"/>
  <c r="A244" i="273"/>
  <c r="A243" i="273"/>
  <c r="A242" i="273"/>
  <c r="D241" i="273"/>
  <c r="A241" i="273"/>
  <c r="A240" i="273"/>
  <c r="A239" i="273"/>
  <c r="A238" i="273"/>
  <c r="A237" i="273"/>
  <c r="A236" i="273"/>
  <c r="A235" i="273"/>
  <c r="A234" i="273"/>
  <c r="A233" i="273"/>
  <c r="A232" i="273"/>
  <c r="D231" i="273"/>
  <c r="A231" i="273"/>
  <c r="A230" i="273"/>
  <c r="A229" i="273"/>
  <c r="A228" i="273"/>
  <c r="A227" i="273"/>
  <c r="A226" i="273"/>
  <c r="A225" i="273"/>
  <c r="A224" i="273"/>
  <c r="A223" i="273"/>
  <c r="A222" i="273"/>
  <c r="A221" i="273"/>
  <c r="A220" i="273"/>
  <c r="D219" i="273"/>
  <c r="A219" i="273"/>
  <c r="A218" i="273"/>
  <c r="A217" i="273"/>
  <c r="A216" i="273"/>
  <c r="A215" i="273"/>
  <c r="A214" i="273"/>
  <c r="A213" i="273"/>
  <c r="A212" i="273"/>
  <c r="A211" i="273"/>
  <c r="A210" i="273"/>
  <c r="A209" i="273"/>
  <c r="A208" i="273"/>
  <c r="A207" i="273"/>
  <c r="A206" i="273"/>
  <c r="A205" i="273"/>
  <c r="A204" i="273"/>
  <c r="A203" i="273"/>
  <c r="A202" i="273"/>
  <c r="A201" i="273"/>
  <c r="A200" i="273"/>
  <c r="A199" i="273"/>
  <c r="A198" i="273"/>
  <c r="A197" i="273"/>
  <c r="A196" i="273"/>
  <c r="A195" i="273"/>
  <c r="A194" i="273"/>
  <c r="A193" i="273"/>
  <c r="A192" i="273"/>
  <c r="A191" i="273"/>
  <c r="A190" i="273"/>
  <c r="A189" i="273"/>
  <c r="A188" i="273"/>
  <c r="A187" i="273"/>
  <c r="A186" i="273"/>
  <c r="A185" i="273"/>
  <c r="A184" i="273"/>
  <c r="A183" i="273"/>
  <c r="A182" i="273"/>
  <c r="A181" i="273"/>
  <c r="A180" i="273"/>
  <c r="A179" i="273"/>
  <c r="A178" i="273"/>
  <c r="D177" i="273"/>
  <c r="A177" i="273"/>
  <c r="A176" i="273"/>
  <c r="A175" i="273"/>
  <c r="A174" i="273"/>
  <c r="A173" i="273"/>
  <c r="A172" i="273"/>
  <c r="A171" i="273"/>
  <c r="A170" i="273"/>
  <c r="A169" i="273"/>
  <c r="A168" i="273"/>
  <c r="D167" i="273"/>
  <c r="A167" i="273"/>
  <c r="A166" i="273"/>
  <c r="A165" i="273"/>
  <c r="A164" i="273"/>
  <c r="A163" i="273"/>
  <c r="A162" i="273"/>
  <c r="A161" i="273"/>
  <c r="A160" i="273"/>
  <c r="A159" i="273"/>
  <c r="A158" i="273"/>
  <c r="D157" i="273"/>
  <c r="A157" i="273"/>
  <c r="A156" i="273"/>
  <c r="A155" i="273"/>
  <c r="A154" i="273"/>
  <c r="A153" i="273"/>
  <c r="A152" i="273"/>
  <c r="A151" i="273"/>
  <c r="A150" i="273"/>
  <c r="A149" i="273"/>
  <c r="A148" i="273"/>
  <c r="D147" i="273"/>
  <c r="A147" i="273"/>
  <c r="A146" i="273"/>
  <c r="A145" i="273"/>
  <c r="A144" i="273"/>
  <c r="A143" i="273"/>
  <c r="A142" i="273"/>
  <c r="A141" i="273"/>
  <c r="A140" i="273"/>
  <c r="A139" i="273"/>
  <c r="A138" i="273"/>
  <c r="D137" i="273"/>
  <c r="A137" i="273"/>
  <c r="A136" i="273"/>
  <c r="A135" i="273"/>
  <c r="A134" i="273"/>
  <c r="A133" i="273"/>
  <c r="A132" i="273"/>
  <c r="A131" i="273"/>
  <c r="A130" i="273"/>
  <c r="A129" i="273"/>
  <c r="A128" i="273"/>
  <c r="D127" i="273"/>
  <c r="A127" i="273"/>
  <c r="A126" i="273"/>
  <c r="A125" i="273"/>
  <c r="A124" i="273"/>
  <c r="A123" i="273"/>
  <c r="A122" i="273"/>
  <c r="A121" i="273"/>
  <c r="A120" i="273"/>
  <c r="A119" i="273"/>
  <c r="A118" i="273"/>
  <c r="D117" i="273"/>
  <c r="A117" i="273"/>
  <c r="A116" i="273"/>
  <c r="A115" i="273"/>
  <c r="A114" i="273"/>
  <c r="A113" i="273"/>
  <c r="A112" i="273"/>
  <c r="A111" i="273"/>
  <c r="A110" i="273"/>
  <c r="A109" i="273"/>
  <c r="A108" i="273"/>
  <c r="D107" i="273"/>
  <c r="A107" i="273"/>
  <c r="A106" i="273"/>
  <c r="A105" i="273"/>
  <c r="A104" i="273"/>
  <c r="A103" i="273"/>
  <c r="A102" i="273"/>
  <c r="A101" i="273"/>
  <c r="A100" i="273"/>
  <c r="A99" i="273"/>
  <c r="A98" i="273"/>
  <c r="D97" i="273"/>
  <c r="A97" i="273"/>
  <c r="A96" i="273"/>
  <c r="A95" i="273"/>
  <c r="A94" i="273"/>
  <c r="A93" i="273"/>
  <c r="A92" i="273"/>
  <c r="A91" i="273"/>
  <c r="A90" i="273"/>
  <c r="A89" i="273"/>
  <c r="A88" i="273"/>
  <c r="D87" i="273"/>
  <c r="A87" i="273"/>
  <c r="A86" i="273"/>
  <c r="A85" i="273"/>
  <c r="A84" i="273"/>
  <c r="A83" i="273"/>
  <c r="A82" i="273"/>
  <c r="A81" i="273"/>
  <c r="A80" i="273"/>
  <c r="A79" i="273"/>
  <c r="A78" i="273"/>
  <c r="D77" i="273"/>
  <c r="A77" i="273"/>
  <c r="A76" i="273"/>
  <c r="A75" i="273"/>
  <c r="A74" i="273"/>
  <c r="A73" i="273"/>
  <c r="A72" i="273"/>
  <c r="A71" i="273"/>
  <c r="A70" i="273"/>
  <c r="A69" i="273"/>
  <c r="A68" i="273"/>
  <c r="D67" i="273"/>
  <c r="A67" i="273"/>
  <c r="A66" i="273"/>
  <c r="A65" i="273"/>
  <c r="A64" i="273"/>
  <c r="A63" i="273"/>
  <c r="A62" i="273"/>
  <c r="A61" i="273"/>
  <c r="A60" i="273"/>
  <c r="A59" i="273"/>
  <c r="A58" i="273"/>
  <c r="D57" i="273"/>
  <c r="A57" i="273"/>
  <c r="A56" i="273"/>
  <c r="A55" i="273"/>
  <c r="A54" i="273"/>
  <c r="A53" i="273"/>
  <c r="A52" i="273"/>
  <c r="A51" i="273"/>
  <c r="A50" i="273"/>
  <c r="A49" i="273"/>
  <c r="A48" i="273"/>
  <c r="D47" i="273"/>
  <c r="A47" i="273"/>
  <c r="A46" i="273"/>
  <c r="A45" i="273"/>
  <c r="A44" i="273"/>
  <c r="A43" i="273"/>
  <c r="A42" i="273"/>
  <c r="A41" i="273"/>
  <c r="A40" i="273"/>
  <c r="A39" i="273"/>
  <c r="A38" i="273"/>
  <c r="A37" i="273"/>
  <c r="A36" i="273"/>
  <c r="A35" i="273"/>
  <c r="A34" i="273"/>
  <c r="A33" i="273"/>
  <c r="A32" i="273"/>
  <c r="D31" i="273"/>
  <c r="A31" i="273"/>
  <c r="A30" i="273"/>
  <c r="D29" i="273"/>
  <c r="A29" i="273"/>
  <c r="A28" i="273"/>
  <c r="D27" i="273"/>
  <c r="A27" i="273"/>
  <c r="D26" i="273"/>
  <c r="A26" i="273"/>
  <c r="A25" i="273"/>
  <c r="A24" i="273"/>
  <c r="A23" i="273"/>
  <c r="D22" i="273"/>
  <c r="A22" i="273"/>
  <c r="D21" i="273"/>
  <c r="A21" i="273"/>
  <c r="A20" i="273"/>
  <c r="A465" i="272"/>
  <c r="A464" i="272"/>
  <c r="A463" i="272"/>
  <c r="A462" i="272"/>
  <c r="A461" i="272"/>
  <c r="D460" i="272"/>
  <c r="A460" i="272"/>
  <c r="A459" i="272"/>
  <c r="A458" i="272"/>
  <c r="A457" i="272"/>
  <c r="A456" i="272"/>
  <c r="A455" i="272"/>
  <c r="D454" i="272"/>
  <c r="A454" i="272"/>
  <c r="A453" i="272"/>
  <c r="A452" i="272"/>
  <c r="A451" i="272"/>
  <c r="A450" i="272"/>
  <c r="A449" i="272"/>
  <c r="D448" i="272"/>
  <c r="A448" i="272"/>
  <c r="A447" i="272"/>
  <c r="A446" i="272"/>
  <c r="A445" i="272"/>
  <c r="A444" i="272"/>
  <c r="A443" i="272"/>
  <c r="D442" i="272"/>
  <c r="A442" i="272"/>
  <c r="A441" i="272"/>
  <c r="A440" i="272"/>
  <c r="A439" i="272"/>
  <c r="A438" i="272"/>
  <c r="A437" i="272"/>
  <c r="D436" i="272"/>
  <c r="A436" i="272"/>
  <c r="A435" i="272"/>
  <c r="A434" i="272"/>
  <c r="A433" i="272"/>
  <c r="A432" i="272"/>
  <c r="A431" i="272"/>
  <c r="D430" i="272"/>
  <c r="A430" i="272"/>
  <c r="A429" i="272"/>
  <c r="A428" i="272"/>
  <c r="A427" i="272"/>
  <c r="A426" i="272"/>
  <c r="A425" i="272"/>
  <c r="D424" i="272"/>
  <c r="A424" i="272"/>
  <c r="A423" i="272"/>
  <c r="A422" i="272"/>
  <c r="A421" i="272"/>
  <c r="A420" i="272"/>
  <c r="A419" i="272"/>
  <c r="D418" i="272"/>
  <c r="A418" i="272"/>
  <c r="A417" i="272"/>
  <c r="A416" i="272"/>
  <c r="A415" i="272"/>
  <c r="A414" i="272"/>
  <c r="A413" i="272"/>
  <c r="D412" i="272"/>
  <c r="A412" i="272"/>
  <c r="A411" i="272"/>
  <c r="A410" i="272"/>
  <c r="A409" i="272"/>
  <c r="A408" i="272"/>
  <c r="A407" i="272"/>
  <c r="D406" i="272"/>
  <c r="A406" i="272"/>
  <c r="A405" i="272"/>
  <c r="A404" i="272"/>
  <c r="A403" i="272"/>
  <c r="A402" i="272"/>
  <c r="A401" i="272"/>
  <c r="D400" i="272"/>
  <c r="A400" i="272"/>
  <c r="A399" i="272"/>
  <c r="A398" i="272"/>
  <c r="A397" i="272"/>
  <c r="A396" i="272"/>
  <c r="A395" i="272"/>
  <c r="D394" i="272"/>
  <c r="A394" i="272"/>
  <c r="A393" i="272"/>
  <c r="A392" i="272"/>
  <c r="A391" i="272"/>
  <c r="A390" i="272"/>
  <c r="A389" i="272"/>
  <c r="D388" i="272"/>
  <c r="A388" i="272"/>
  <c r="A387" i="272"/>
  <c r="A386" i="272"/>
  <c r="D385" i="272"/>
  <c r="A385" i="272"/>
  <c r="A384" i="272"/>
  <c r="A383" i="272"/>
  <c r="A382" i="272"/>
  <c r="A381" i="272"/>
  <c r="D380" i="272"/>
  <c r="A380" i="272"/>
  <c r="A379" i="272"/>
  <c r="A378" i="272"/>
  <c r="A377" i="272"/>
  <c r="A376" i="272"/>
  <c r="A375" i="272"/>
  <c r="D374" i="272"/>
  <c r="A374" i="272"/>
  <c r="A373" i="272"/>
  <c r="A372" i="272"/>
  <c r="A371" i="272"/>
  <c r="A370" i="272"/>
  <c r="A369" i="272"/>
  <c r="D368" i="272"/>
  <c r="A368" i="272"/>
  <c r="A367" i="272"/>
  <c r="A366" i="272"/>
  <c r="A365" i="272"/>
  <c r="A364" i="272"/>
  <c r="A363" i="272"/>
  <c r="A362" i="272"/>
  <c r="A361" i="272"/>
  <c r="A360" i="272"/>
  <c r="A359" i="272"/>
  <c r="A358" i="272"/>
  <c r="A357" i="272"/>
  <c r="A356" i="272"/>
  <c r="A355" i="272"/>
  <c r="A354" i="272"/>
  <c r="A353" i="272"/>
  <c r="A352" i="272"/>
  <c r="D351" i="272"/>
  <c r="A351" i="272"/>
  <c r="A350" i="272"/>
  <c r="A349" i="272"/>
  <c r="A348" i="272"/>
  <c r="A347" i="272"/>
  <c r="A346" i="272"/>
  <c r="A345" i="272"/>
  <c r="A344" i="272"/>
  <c r="A343" i="272"/>
  <c r="A342" i="272"/>
  <c r="D341" i="272"/>
  <c r="A341" i="272"/>
  <c r="A340" i="272"/>
  <c r="A339" i="272"/>
  <c r="A338" i="272"/>
  <c r="A337" i="272"/>
  <c r="A336" i="272"/>
  <c r="A335" i="272"/>
  <c r="A334" i="272"/>
  <c r="A333" i="272"/>
  <c r="A332" i="272"/>
  <c r="D331" i="272"/>
  <c r="A331" i="272"/>
  <c r="A330" i="272"/>
  <c r="A329" i="272"/>
  <c r="A328" i="272"/>
  <c r="A327" i="272"/>
  <c r="A326" i="272"/>
  <c r="A325" i="272"/>
  <c r="A324" i="272"/>
  <c r="A323" i="272"/>
  <c r="A322" i="272"/>
  <c r="D321" i="272"/>
  <c r="A321" i="272"/>
  <c r="A320" i="272"/>
  <c r="A319" i="272"/>
  <c r="A318" i="272"/>
  <c r="A317" i="272"/>
  <c r="A316" i="272"/>
  <c r="A315" i="272"/>
  <c r="A314" i="272"/>
  <c r="A313" i="272"/>
  <c r="A312" i="272"/>
  <c r="D311" i="272"/>
  <c r="A311" i="272"/>
  <c r="A310" i="272"/>
  <c r="A309" i="272"/>
  <c r="A308" i="272"/>
  <c r="A307" i="272"/>
  <c r="A306" i="272"/>
  <c r="A305" i="272"/>
  <c r="A304" i="272"/>
  <c r="A303" i="272"/>
  <c r="A302" i="272"/>
  <c r="D301" i="272"/>
  <c r="A301" i="272"/>
  <c r="A300" i="272"/>
  <c r="A299" i="272"/>
  <c r="A298" i="272"/>
  <c r="A297" i="272"/>
  <c r="A296" i="272"/>
  <c r="A295" i="272"/>
  <c r="A294" i="272"/>
  <c r="A293" i="272"/>
  <c r="A292" i="272"/>
  <c r="D291" i="272"/>
  <c r="A291" i="272"/>
  <c r="A290" i="272"/>
  <c r="A289" i="272"/>
  <c r="A288" i="272"/>
  <c r="A287" i="272"/>
  <c r="A286" i="272"/>
  <c r="A285" i="272"/>
  <c r="A284" i="272"/>
  <c r="A283" i="272"/>
  <c r="A282" i="272"/>
  <c r="D281" i="272"/>
  <c r="A281" i="272"/>
  <c r="A280" i="272"/>
  <c r="A279" i="272"/>
  <c r="A278" i="272"/>
  <c r="A277" i="272"/>
  <c r="A276" i="272"/>
  <c r="A275" i="272"/>
  <c r="A274" i="272"/>
  <c r="A273" i="272"/>
  <c r="A272" i="272"/>
  <c r="D271" i="272"/>
  <c r="A271" i="272"/>
  <c r="A270" i="272"/>
  <c r="A269" i="272"/>
  <c r="A268" i="272"/>
  <c r="A267" i="272"/>
  <c r="A266" i="272"/>
  <c r="A265" i="272"/>
  <c r="A264" i="272"/>
  <c r="A263" i="272"/>
  <c r="A262" i="272"/>
  <c r="D261" i="272"/>
  <c r="A261" i="272"/>
  <c r="A260" i="272"/>
  <c r="A259" i="272"/>
  <c r="A258" i="272"/>
  <c r="A257" i="272"/>
  <c r="A256" i="272"/>
  <c r="A255" i="272"/>
  <c r="A254" i="272"/>
  <c r="A253" i="272"/>
  <c r="A252" i="272"/>
  <c r="D251" i="272"/>
  <c r="A251" i="272"/>
  <c r="A250" i="272"/>
  <c r="A249" i="272"/>
  <c r="A248" i="272"/>
  <c r="A247" i="272"/>
  <c r="A246" i="272"/>
  <c r="A245" i="272"/>
  <c r="A244" i="272"/>
  <c r="A243" i="272"/>
  <c r="A242" i="272"/>
  <c r="A241" i="272"/>
  <c r="A240" i="272"/>
  <c r="D239" i="272"/>
  <c r="A239" i="272"/>
  <c r="A238" i="272"/>
  <c r="A237" i="272"/>
  <c r="A236" i="272"/>
  <c r="A235" i="272"/>
  <c r="A234" i="272"/>
  <c r="A233" i="272"/>
  <c r="A232" i="272"/>
  <c r="A231" i="272"/>
  <c r="A230" i="272"/>
  <c r="A229" i="272"/>
  <c r="A228" i="272"/>
  <c r="A227" i="272"/>
  <c r="A226" i="272"/>
  <c r="A225" i="272"/>
  <c r="A224" i="272"/>
  <c r="A223" i="272"/>
  <c r="A222" i="272"/>
  <c r="A221" i="272"/>
  <c r="A220" i="272"/>
  <c r="A219" i="272"/>
  <c r="A218" i="272"/>
  <c r="A217" i="272"/>
  <c r="A216" i="272"/>
  <c r="A215" i="272"/>
  <c r="A214" i="272"/>
  <c r="A213" i="272"/>
  <c r="A212" i="272"/>
  <c r="A211" i="272"/>
  <c r="A210" i="272"/>
  <c r="A209" i="272"/>
  <c r="A208" i="272"/>
  <c r="A207" i="272"/>
  <c r="A206" i="272"/>
  <c r="A205" i="272"/>
  <c r="A204" i="272"/>
  <c r="A203" i="272"/>
  <c r="A202" i="272"/>
  <c r="A201" i="272"/>
  <c r="A200" i="272"/>
  <c r="A199" i="272"/>
  <c r="A198" i="272"/>
  <c r="D197" i="272"/>
  <c r="A197" i="272"/>
  <c r="A196" i="272"/>
  <c r="A195" i="272"/>
  <c r="A194" i="272"/>
  <c r="A193" i="272"/>
  <c r="A192" i="272"/>
  <c r="A191" i="272"/>
  <c r="A190" i="272"/>
  <c r="A189" i="272"/>
  <c r="A188" i="272"/>
  <c r="D187" i="272"/>
  <c r="A187" i="272"/>
  <c r="A186" i="272"/>
  <c r="A185" i="272"/>
  <c r="A184" i="272"/>
  <c r="A183" i="272"/>
  <c r="A182" i="272"/>
  <c r="A181" i="272"/>
  <c r="A180" i="272"/>
  <c r="A179" i="272"/>
  <c r="A178" i="272"/>
  <c r="D177" i="272"/>
  <c r="A177" i="272"/>
  <c r="A176" i="272"/>
  <c r="A175" i="272"/>
  <c r="A174" i="272"/>
  <c r="A173" i="272"/>
  <c r="A172" i="272"/>
  <c r="A171" i="272"/>
  <c r="A170" i="272"/>
  <c r="A169" i="272"/>
  <c r="A168" i="272"/>
  <c r="D167" i="272"/>
  <c r="A167" i="272"/>
  <c r="A166" i="272"/>
  <c r="A165" i="272"/>
  <c r="A164" i="272"/>
  <c r="A163" i="272"/>
  <c r="A162" i="272"/>
  <c r="A161" i="272"/>
  <c r="A160" i="272"/>
  <c r="A159" i="272"/>
  <c r="A158" i="272"/>
  <c r="D157" i="272"/>
  <c r="A157" i="272"/>
  <c r="A156" i="272"/>
  <c r="A155" i="272"/>
  <c r="A154" i="272"/>
  <c r="A153" i="272"/>
  <c r="A152" i="272"/>
  <c r="A151" i="272"/>
  <c r="A150" i="272"/>
  <c r="A149" i="272"/>
  <c r="A148" i="272"/>
  <c r="D147" i="272"/>
  <c r="A147" i="272"/>
  <c r="A146" i="272"/>
  <c r="A145" i="272"/>
  <c r="A144" i="272"/>
  <c r="A143" i="272"/>
  <c r="A142" i="272"/>
  <c r="A141" i="272"/>
  <c r="A140" i="272"/>
  <c r="A139" i="272"/>
  <c r="A138" i="272"/>
  <c r="D137" i="272"/>
  <c r="A137" i="272"/>
  <c r="A136" i="272"/>
  <c r="A135" i="272"/>
  <c r="A134" i="272"/>
  <c r="A133" i="272"/>
  <c r="A132" i="272"/>
  <c r="A131" i="272"/>
  <c r="A130" i="272"/>
  <c r="A129" i="272"/>
  <c r="A128" i="272"/>
  <c r="D127" i="272"/>
  <c r="A127" i="272"/>
  <c r="A126" i="272"/>
  <c r="A125" i="272"/>
  <c r="A124" i="272"/>
  <c r="A123" i="272"/>
  <c r="A122" i="272"/>
  <c r="A121" i="272"/>
  <c r="A120" i="272"/>
  <c r="A119" i="272"/>
  <c r="A118" i="272"/>
  <c r="D117" i="272"/>
  <c r="A117" i="272"/>
  <c r="A116" i="272"/>
  <c r="A115" i="272"/>
  <c r="A114" i="272"/>
  <c r="A113" i="272"/>
  <c r="A112" i="272"/>
  <c r="A111" i="272"/>
  <c r="A110" i="272"/>
  <c r="A109" i="272"/>
  <c r="A108" i="272"/>
  <c r="D107" i="272"/>
  <c r="A107" i="272"/>
  <c r="A106" i="272"/>
  <c r="A105" i="272"/>
  <c r="A104" i="272"/>
  <c r="A103" i="272"/>
  <c r="A102" i="272"/>
  <c r="A101" i="272"/>
  <c r="A100" i="272"/>
  <c r="A99" i="272"/>
  <c r="A98" i="272"/>
  <c r="D97" i="272"/>
  <c r="A97" i="272"/>
  <c r="A96" i="272"/>
  <c r="A95" i="272"/>
  <c r="A94" i="272"/>
  <c r="A93" i="272"/>
  <c r="A92" i="272"/>
  <c r="A91" i="272"/>
  <c r="A90" i="272"/>
  <c r="A89" i="272"/>
  <c r="A88" i="272"/>
  <c r="D87" i="272"/>
  <c r="A87" i="272"/>
  <c r="A86" i="272"/>
  <c r="A85" i="272"/>
  <c r="A84" i="272"/>
  <c r="A83" i="272"/>
  <c r="A82" i="272"/>
  <c r="A81" i="272"/>
  <c r="A80" i="272"/>
  <c r="A79" i="272"/>
  <c r="A78" i="272"/>
  <c r="D77" i="272"/>
  <c r="A77" i="272"/>
  <c r="A76" i="272"/>
  <c r="A75" i="272"/>
  <c r="A74" i="272"/>
  <c r="A73" i="272"/>
  <c r="A72" i="272"/>
  <c r="A71" i="272"/>
  <c r="A70" i="272"/>
  <c r="A69" i="272"/>
  <c r="A68" i="272"/>
  <c r="D67" i="272"/>
  <c r="A67" i="272"/>
  <c r="A66" i="272"/>
  <c r="A65" i="272"/>
  <c r="A64" i="272"/>
  <c r="A63" i="272"/>
  <c r="A62" i="272"/>
  <c r="A61" i="272"/>
  <c r="A60" i="272"/>
  <c r="A59" i="272"/>
  <c r="A58" i="272"/>
  <c r="D57" i="272"/>
  <c r="A57" i="272"/>
  <c r="A56" i="272"/>
  <c r="A55" i="272"/>
  <c r="A54" i="272"/>
  <c r="A53" i="272"/>
  <c r="A52" i="272"/>
  <c r="A51" i="272"/>
  <c r="A50" i="272"/>
  <c r="A49" i="272"/>
  <c r="A48" i="272"/>
  <c r="D47" i="272"/>
  <c r="A47" i="272"/>
  <c r="A46" i="272"/>
  <c r="A45" i="272"/>
  <c r="A44" i="272"/>
  <c r="A43" i="272"/>
  <c r="A42" i="272"/>
  <c r="A41" i="272"/>
  <c r="A40" i="272"/>
  <c r="A39" i="272"/>
  <c r="A38" i="272"/>
  <c r="A37" i="272"/>
  <c r="A36" i="272"/>
  <c r="A35" i="272"/>
  <c r="A34" i="272"/>
  <c r="A33" i="272"/>
  <c r="A32" i="272"/>
  <c r="D31" i="272"/>
  <c r="A31" i="272"/>
  <c r="A30" i="272"/>
  <c r="D29" i="272"/>
  <c r="A29" i="272"/>
  <c r="A28" i="272"/>
  <c r="D27" i="272"/>
  <c r="A27" i="272"/>
  <c r="D26" i="272"/>
  <c r="A26" i="272"/>
  <c r="A25" i="272"/>
  <c r="A24" i="272"/>
  <c r="A23" i="272"/>
  <c r="D22" i="272"/>
  <c r="A22" i="272"/>
  <c r="D21" i="272"/>
  <c r="A21" i="272"/>
  <c r="A20" i="272"/>
  <c r="A577" i="271"/>
  <c r="A576" i="271"/>
  <c r="A575" i="271"/>
  <c r="A574" i="271"/>
  <c r="A573" i="271"/>
  <c r="D572" i="271"/>
  <c r="A572" i="271"/>
  <c r="A571" i="271"/>
  <c r="A570" i="271"/>
  <c r="A569" i="271"/>
  <c r="A568" i="271"/>
  <c r="A567" i="271"/>
  <c r="D566" i="271"/>
  <c r="A566" i="271"/>
  <c r="A565" i="271"/>
  <c r="A564" i="271"/>
  <c r="A563" i="271"/>
  <c r="A562" i="271"/>
  <c r="A561" i="271"/>
  <c r="D560" i="271"/>
  <c r="A560" i="271"/>
  <c r="A559" i="271"/>
  <c r="A558" i="271"/>
  <c r="A557" i="271"/>
  <c r="A556" i="271"/>
  <c r="A555" i="271"/>
  <c r="D554" i="271"/>
  <c r="A554" i="271"/>
  <c r="A553" i="271"/>
  <c r="A552" i="271"/>
  <c r="A551" i="271"/>
  <c r="A550" i="271"/>
  <c r="A549" i="271"/>
  <c r="D548" i="271"/>
  <c r="A548" i="271"/>
  <c r="A547" i="271"/>
  <c r="A546" i="271"/>
  <c r="A545" i="271"/>
  <c r="A544" i="271"/>
  <c r="A543" i="271"/>
  <c r="D542" i="271"/>
  <c r="A542" i="271"/>
  <c r="A541" i="271"/>
  <c r="A540" i="271"/>
  <c r="A539" i="271"/>
  <c r="A538" i="271"/>
  <c r="A537" i="271"/>
  <c r="D536" i="271"/>
  <c r="A536" i="271"/>
  <c r="A535" i="271"/>
  <c r="A534" i="271"/>
  <c r="A533" i="271"/>
  <c r="A532" i="271"/>
  <c r="A531" i="271"/>
  <c r="D530" i="271"/>
  <c r="A530" i="271"/>
  <c r="A529" i="271"/>
  <c r="A528" i="271"/>
  <c r="A527" i="271"/>
  <c r="A526" i="271"/>
  <c r="A525" i="271"/>
  <c r="D524" i="271"/>
  <c r="A524" i="271"/>
  <c r="A523" i="271"/>
  <c r="A522" i="271"/>
  <c r="A521" i="271"/>
  <c r="A520" i="271"/>
  <c r="A519" i="271"/>
  <c r="D518" i="271"/>
  <c r="A518" i="271"/>
  <c r="A517" i="271"/>
  <c r="A516" i="271"/>
  <c r="A515" i="271"/>
  <c r="A514" i="271"/>
  <c r="A513" i="271"/>
  <c r="D512" i="271"/>
  <c r="A512" i="271"/>
  <c r="A511" i="271"/>
  <c r="A510" i="271"/>
  <c r="A509" i="271"/>
  <c r="A508" i="271"/>
  <c r="A507" i="271"/>
  <c r="D506" i="271"/>
  <c r="A506" i="271"/>
  <c r="A505" i="271"/>
  <c r="A504" i="271"/>
  <c r="A503" i="271"/>
  <c r="A502" i="271"/>
  <c r="A501" i="271"/>
  <c r="D500" i="271"/>
  <c r="A500" i="271"/>
  <c r="A499" i="271"/>
  <c r="A498" i="271"/>
  <c r="D497" i="271"/>
  <c r="A497" i="271"/>
  <c r="A496" i="271"/>
  <c r="A495" i="271"/>
  <c r="A494" i="271"/>
  <c r="A493" i="271"/>
  <c r="D492" i="271"/>
  <c r="A492" i="271"/>
  <c r="A491" i="271"/>
  <c r="A490" i="271"/>
  <c r="A489" i="271"/>
  <c r="A488" i="271"/>
  <c r="A487" i="271"/>
  <c r="D486" i="271"/>
  <c r="A486" i="271"/>
  <c r="A485" i="271"/>
  <c r="A484" i="271"/>
  <c r="A483" i="271"/>
  <c r="A482" i="271"/>
  <c r="A481" i="271"/>
  <c r="D480" i="271"/>
  <c r="A480" i="271"/>
  <c r="A479" i="271"/>
  <c r="A478" i="271"/>
  <c r="A477" i="271"/>
  <c r="A476" i="271"/>
  <c r="A475" i="271"/>
  <c r="A474" i="271"/>
  <c r="A473" i="271"/>
  <c r="A472" i="271"/>
  <c r="A471" i="271"/>
  <c r="A470" i="271"/>
  <c r="A469" i="271"/>
  <c r="A468" i="271"/>
  <c r="A467" i="271"/>
  <c r="A466" i="271"/>
  <c r="A465" i="271"/>
  <c r="A464" i="271"/>
  <c r="D463" i="271"/>
  <c r="A463" i="271"/>
  <c r="A462" i="271"/>
  <c r="A461" i="271"/>
  <c r="A460" i="271"/>
  <c r="A459" i="271"/>
  <c r="A458" i="271"/>
  <c r="A457" i="271"/>
  <c r="A456" i="271"/>
  <c r="A455" i="271"/>
  <c r="A454" i="271"/>
  <c r="D453" i="271"/>
  <c r="A453" i="271"/>
  <c r="A452" i="271"/>
  <c r="A451" i="271"/>
  <c r="A450" i="271"/>
  <c r="A449" i="271"/>
  <c r="A448" i="271"/>
  <c r="A447" i="271"/>
  <c r="A446" i="271"/>
  <c r="A445" i="271"/>
  <c r="A444" i="271"/>
  <c r="D443" i="271"/>
  <c r="A443" i="271"/>
  <c r="A442" i="271"/>
  <c r="A441" i="271"/>
  <c r="A440" i="271"/>
  <c r="A439" i="271"/>
  <c r="A438" i="271"/>
  <c r="A437" i="271"/>
  <c r="A436" i="271"/>
  <c r="A435" i="271"/>
  <c r="A434" i="271"/>
  <c r="A433" i="271"/>
  <c r="A432" i="271"/>
  <c r="D431" i="271"/>
  <c r="A431" i="271"/>
  <c r="A430" i="271"/>
  <c r="A429" i="271"/>
  <c r="A428" i="271"/>
  <c r="A427" i="271"/>
  <c r="A426" i="271"/>
  <c r="A425" i="271"/>
  <c r="A424" i="271"/>
  <c r="A423" i="271"/>
  <c r="A422" i="271"/>
  <c r="D421" i="271"/>
  <c r="A421" i="271"/>
  <c r="A420" i="271"/>
  <c r="A419" i="271"/>
  <c r="A418" i="271"/>
  <c r="A417" i="271"/>
  <c r="A416" i="271"/>
  <c r="A415" i="271"/>
  <c r="A414" i="271"/>
  <c r="A413" i="271"/>
  <c r="A412" i="271"/>
  <c r="D411" i="271"/>
  <c r="A411" i="271"/>
  <c r="A410" i="271"/>
  <c r="A409" i="271"/>
  <c r="A408" i="271"/>
  <c r="A407" i="271"/>
  <c r="A406" i="271"/>
  <c r="A405" i="271"/>
  <c r="A404" i="271"/>
  <c r="A403" i="271"/>
  <c r="A402" i="271"/>
  <c r="D401" i="271"/>
  <c r="A401" i="271"/>
  <c r="A400" i="271"/>
  <c r="A399" i="271"/>
  <c r="A398" i="271"/>
  <c r="A397" i="271"/>
  <c r="A396" i="271"/>
  <c r="A395" i="271"/>
  <c r="A394" i="271"/>
  <c r="A393" i="271"/>
  <c r="A392" i="271"/>
  <c r="D391" i="271"/>
  <c r="A391" i="271"/>
  <c r="A390" i="271"/>
  <c r="A389" i="271"/>
  <c r="A388" i="271"/>
  <c r="A387" i="271"/>
  <c r="A386" i="271"/>
  <c r="A385" i="271"/>
  <c r="A384" i="271"/>
  <c r="A383" i="271"/>
  <c r="D382" i="271"/>
  <c r="A382" i="271"/>
  <c r="A381" i="271"/>
  <c r="A380" i="271"/>
  <c r="A379" i="271"/>
  <c r="A378" i="271"/>
  <c r="A377" i="271"/>
  <c r="A376" i="271"/>
  <c r="A375" i="271"/>
  <c r="A374" i="271"/>
  <c r="A373" i="271"/>
  <c r="A372" i="271"/>
  <c r="D371" i="271"/>
  <c r="A371" i="271"/>
  <c r="A370" i="271"/>
  <c r="A369" i="271"/>
  <c r="A368" i="271"/>
  <c r="A367" i="271"/>
  <c r="A366" i="271"/>
  <c r="A365" i="271"/>
  <c r="A364" i="271"/>
  <c r="A363" i="271"/>
  <c r="A362" i="271"/>
  <c r="D361" i="271"/>
  <c r="A361" i="271"/>
  <c r="A360" i="271"/>
  <c r="A359" i="271"/>
  <c r="A358" i="271"/>
  <c r="A357" i="271"/>
  <c r="A356" i="271"/>
  <c r="A355" i="271"/>
  <c r="A354" i="271"/>
  <c r="A353" i="271"/>
  <c r="A352" i="271"/>
  <c r="D351" i="271"/>
  <c r="A351" i="271"/>
  <c r="A350" i="271"/>
  <c r="A349" i="271"/>
  <c r="A348" i="271"/>
  <c r="A347" i="271"/>
  <c r="A346" i="271"/>
  <c r="A345" i="271"/>
  <c r="A344" i="271"/>
  <c r="A343" i="271"/>
  <c r="A342" i="271"/>
  <c r="A341" i="271"/>
  <c r="A340" i="271"/>
  <c r="D339" i="271"/>
  <c r="A339" i="271"/>
  <c r="A338" i="271"/>
  <c r="A337" i="271"/>
  <c r="A336" i="271"/>
  <c r="A335" i="271"/>
  <c r="A334" i="271"/>
  <c r="A333" i="271"/>
  <c r="A332" i="271"/>
  <c r="A331" i="271"/>
  <c r="A330" i="271"/>
  <c r="A329" i="271"/>
  <c r="A328" i="271"/>
  <c r="A327" i="271"/>
  <c r="A326" i="271"/>
  <c r="A325" i="271"/>
  <c r="A324" i="271"/>
  <c r="A323" i="271"/>
  <c r="A322" i="271"/>
  <c r="A321" i="271"/>
  <c r="A320" i="271"/>
  <c r="A319" i="271"/>
  <c r="A318" i="271"/>
  <c r="A317" i="271"/>
  <c r="A316" i="271"/>
  <c r="A315" i="271"/>
  <c r="A314" i="271"/>
  <c r="A313" i="271"/>
  <c r="A312" i="271"/>
  <c r="A311" i="271"/>
  <c r="A310" i="271"/>
  <c r="A309" i="271"/>
  <c r="A308" i="271"/>
  <c r="A307" i="271"/>
  <c r="A306" i="271"/>
  <c r="A305" i="271"/>
  <c r="A304" i="271"/>
  <c r="A303" i="271"/>
  <c r="A302" i="271"/>
  <c r="A301" i="271"/>
  <c r="A300" i="271"/>
  <c r="A299" i="271"/>
  <c r="A298" i="271"/>
  <c r="D297" i="271"/>
  <c r="A297" i="271"/>
  <c r="A296" i="271"/>
  <c r="A295" i="271"/>
  <c r="A294" i="271"/>
  <c r="A293" i="271"/>
  <c r="A292" i="271"/>
  <c r="A291" i="271"/>
  <c r="A290" i="271"/>
  <c r="A289" i="271"/>
  <c r="A288" i="271"/>
  <c r="D287" i="271"/>
  <c r="A287" i="271"/>
  <c r="A286" i="271"/>
  <c r="A285" i="271"/>
  <c r="A284" i="271"/>
  <c r="A283" i="271"/>
  <c r="A282" i="271"/>
  <c r="A281" i="271"/>
  <c r="A280" i="271"/>
  <c r="A279" i="271"/>
  <c r="A278" i="271"/>
  <c r="D277" i="271"/>
  <c r="A277" i="271"/>
  <c r="A276" i="271"/>
  <c r="A275" i="271"/>
  <c r="A274" i="271"/>
  <c r="A273" i="271"/>
  <c r="A272" i="271"/>
  <c r="A271" i="271"/>
  <c r="A270" i="271"/>
  <c r="A269" i="271"/>
  <c r="A268" i="271"/>
  <c r="D267" i="271"/>
  <c r="A267" i="271"/>
  <c r="A266" i="271"/>
  <c r="A265" i="271"/>
  <c r="A264" i="271"/>
  <c r="A263" i="271"/>
  <c r="A262" i="271"/>
  <c r="A261" i="271"/>
  <c r="A260" i="271"/>
  <c r="A259" i="271"/>
  <c r="A258" i="271"/>
  <c r="D257" i="271"/>
  <c r="A257" i="271"/>
  <c r="A256" i="271"/>
  <c r="A255" i="271"/>
  <c r="A254" i="271"/>
  <c r="A253" i="271"/>
  <c r="A252" i="271"/>
  <c r="A251" i="271"/>
  <c r="A250" i="271"/>
  <c r="A249" i="271"/>
  <c r="A248" i="271"/>
  <c r="D247" i="271"/>
  <c r="A247" i="271"/>
  <c r="A246" i="271"/>
  <c r="A245" i="271"/>
  <c r="A244" i="271"/>
  <c r="A243" i="271"/>
  <c r="A242" i="271"/>
  <c r="A241" i="271"/>
  <c r="A240" i="271"/>
  <c r="A239" i="271"/>
  <c r="A238" i="271"/>
  <c r="D237" i="271"/>
  <c r="A237" i="271"/>
  <c r="A236" i="271"/>
  <c r="A235" i="271"/>
  <c r="A234" i="271"/>
  <c r="A233" i="271"/>
  <c r="A232" i="271"/>
  <c r="A231" i="271"/>
  <c r="A230" i="271"/>
  <c r="A229" i="271"/>
  <c r="A228" i="271"/>
  <c r="D227" i="271"/>
  <c r="A227" i="271"/>
  <c r="A226" i="271"/>
  <c r="A225" i="271"/>
  <c r="A224" i="271"/>
  <c r="A223" i="271"/>
  <c r="A222" i="271"/>
  <c r="A221" i="271"/>
  <c r="A220" i="271"/>
  <c r="A219" i="271"/>
  <c r="A218" i="271"/>
  <c r="D217" i="271"/>
  <c r="A217" i="271"/>
  <c r="A216" i="271"/>
  <c r="A215" i="271"/>
  <c r="A214" i="271"/>
  <c r="A213" i="271"/>
  <c r="A212" i="271"/>
  <c r="A211" i="271"/>
  <c r="A210" i="271"/>
  <c r="A209" i="271"/>
  <c r="A208" i="271"/>
  <c r="D207" i="271"/>
  <c r="A207" i="271"/>
  <c r="A206" i="271"/>
  <c r="A205" i="271"/>
  <c r="A204" i="271"/>
  <c r="A203" i="271"/>
  <c r="A202" i="271"/>
  <c r="A201" i="271"/>
  <c r="A200" i="271"/>
  <c r="A199" i="271"/>
  <c r="A198" i="271"/>
  <c r="D197" i="271"/>
  <c r="A197" i="271"/>
  <c r="A196" i="271"/>
  <c r="A195" i="271"/>
  <c r="A194" i="271"/>
  <c r="A193" i="271"/>
  <c r="A192" i="271"/>
  <c r="A191" i="271"/>
  <c r="A190" i="271"/>
  <c r="A189" i="271"/>
  <c r="A188" i="271"/>
  <c r="D187" i="271"/>
  <c r="A187" i="271"/>
  <c r="A186" i="271"/>
  <c r="A185" i="271"/>
  <c r="A184" i="271"/>
  <c r="A183" i="271"/>
  <c r="A182" i="271"/>
  <c r="A181" i="271"/>
  <c r="A180" i="271"/>
  <c r="A179" i="271"/>
  <c r="A178" i="271"/>
  <c r="D177" i="271"/>
  <c r="A177" i="271"/>
  <c r="A176" i="271"/>
  <c r="A175" i="271"/>
  <c r="A174" i="271"/>
  <c r="A173" i="271"/>
  <c r="A172" i="271"/>
  <c r="A171" i="271"/>
  <c r="A170" i="271"/>
  <c r="A169" i="271"/>
  <c r="A168" i="271"/>
  <c r="D167" i="271"/>
  <c r="A167" i="271"/>
  <c r="A166" i="271"/>
  <c r="A165" i="271"/>
  <c r="A164" i="271"/>
  <c r="A163" i="271"/>
  <c r="A162" i="271"/>
  <c r="A161" i="271"/>
  <c r="A160" i="271"/>
  <c r="A159" i="271"/>
  <c r="A158" i="271"/>
  <c r="D157" i="271"/>
  <c r="A157" i="271"/>
  <c r="A156" i="271"/>
  <c r="A155" i="271"/>
  <c r="A154" i="271"/>
  <c r="A153" i="271"/>
  <c r="A152" i="271"/>
  <c r="A151" i="271"/>
  <c r="A150" i="271"/>
  <c r="A149" i="271"/>
  <c r="A148" i="271"/>
  <c r="D147" i="271"/>
  <c r="A147" i="271"/>
  <c r="A146" i="271"/>
  <c r="A145" i="271"/>
  <c r="A144" i="271"/>
  <c r="A143" i="271"/>
  <c r="A142" i="271"/>
  <c r="A141" i="271"/>
  <c r="A140" i="271"/>
  <c r="A139" i="271"/>
  <c r="A138" i="271"/>
  <c r="D137" i="271"/>
  <c r="A137" i="271"/>
  <c r="A136" i="271"/>
  <c r="A135" i="271"/>
  <c r="A134" i="271"/>
  <c r="A133" i="271"/>
  <c r="A132" i="271"/>
  <c r="A131" i="271"/>
  <c r="A130" i="271"/>
  <c r="A129" i="271"/>
  <c r="A128" i="271"/>
  <c r="D127" i="271"/>
  <c r="A127" i="271"/>
  <c r="A126" i="271"/>
  <c r="A125" i="271"/>
  <c r="A124" i="271"/>
  <c r="A123" i="271"/>
  <c r="A122" i="271"/>
  <c r="A121" i="271"/>
  <c r="A120" i="271"/>
  <c r="A119" i="271"/>
  <c r="A118" i="271"/>
  <c r="D117" i="271"/>
  <c r="A117" i="271"/>
  <c r="A116" i="271"/>
  <c r="A115" i="271"/>
  <c r="A114" i="271"/>
  <c r="A113" i="271"/>
  <c r="A112" i="271"/>
  <c r="A111" i="271"/>
  <c r="A110" i="271"/>
  <c r="A109" i="271"/>
  <c r="A108" i="271"/>
  <c r="D107" i="271"/>
  <c r="A107" i="271"/>
  <c r="A106" i="271"/>
  <c r="A105" i="271"/>
  <c r="A104" i="271"/>
  <c r="A103" i="271"/>
  <c r="A102" i="271"/>
  <c r="A101" i="271"/>
  <c r="A100" i="271"/>
  <c r="A99" i="271"/>
  <c r="A98" i="271"/>
  <c r="D97" i="271"/>
  <c r="A97" i="271"/>
  <c r="A96" i="271"/>
  <c r="A95" i="271"/>
  <c r="A94" i="271"/>
  <c r="A93" i="271"/>
  <c r="A92" i="271"/>
  <c r="A91" i="271"/>
  <c r="A90" i="271"/>
  <c r="A89" i="271"/>
  <c r="A88" i="271"/>
  <c r="D87" i="271"/>
  <c r="A87" i="271"/>
  <c r="A86" i="271"/>
  <c r="A85" i="271"/>
  <c r="A84" i="271"/>
  <c r="A83" i="271"/>
  <c r="A82" i="271"/>
  <c r="A81" i="271"/>
  <c r="A80" i="271"/>
  <c r="A79" i="271"/>
  <c r="A78" i="271"/>
  <c r="D77" i="271"/>
  <c r="A77" i="271"/>
  <c r="A76" i="271"/>
  <c r="A75" i="271"/>
  <c r="A74" i="271"/>
  <c r="A73" i="271"/>
  <c r="A72" i="271"/>
  <c r="A71" i="271"/>
  <c r="A70" i="271"/>
  <c r="A69" i="271"/>
  <c r="A68" i="271"/>
  <c r="D67" i="271"/>
  <c r="A67" i="271"/>
  <c r="A66" i="271"/>
  <c r="A65" i="271"/>
  <c r="A64" i="271"/>
  <c r="A63" i="271"/>
  <c r="A62" i="271"/>
  <c r="A61" i="271"/>
  <c r="A60" i="271"/>
  <c r="A59" i="271"/>
  <c r="A58" i="271"/>
  <c r="D57" i="271"/>
  <c r="A57" i="271"/>
  <c r="A56" i="271"/>
  <c r="A55" i="271"/>
  <c r="A54" i="271"/>
  <c r="A53" i="271"/>
  <c r="A52" i="271"/>
  <c r="A51" i="271"/>
  <c r="A50" i="271"/>
  <c r="A49" i="271"/>
  <c r="A48" i="271"/>
  <c r="D47" i="271"/>
  <c r="A47" i="271"/>
  <c r="A46" i="271"/>
  <c r="A45" i="271"/>
  <c r="A44" i="271"/>
  <c r="A43" i="271"/>
  <c r="A42" i="271"/>
  <c r="A41" i="271"/>
  <c r="A40" i="271"/>
  <c r="A39" i="271"/>
  <c r="A38" i="271"/>
  <c r="A37" i="271"/>
  <c r="A36" i="271"/>
  <c r="A35" i="271"/>
  <c r="A34" i="271"/>
  <c r="A33" i="271"/>
  <c r="A32" i="271"/>
  <c r="D31" i="271"/>
  <c r="A31" i="271"/>
  <c r="A30" i="271"/>
  <c r="D29" i="271"/>
  <c r="A29" i="271"/>
  <c r="A28" i="271"/>
  <c r="D27" i="271"/>
  <c r="A27" i="271"/>
  <c r="D26" i="271"/>
  <c r="A26" i="271"/>
  <c r="A25" i="271"/>
  <c r="A24" i="271"/>
  <c r="A23" i="271"/>
  <c r="D22" i="271"/>
  <c r="A22" i="271"/>
  <c r="D21" i="271"/>
  <c r="A21" i="271"/>
  <c r="A20" i="271"/>
  <c r="A75" i="267" l="1"/>
  <c r="A74" i="267"/>
  <c r="D73" i="267"/>
  <c r="A73" i="267"/>
  <c r="A72" i="267"/>
  <c r="A71" i="267"/>
  <c r="A70" i="267"/>
  <c r="A69" i="267"/>
  <c r="A68" i="267"/>
  <c r="D67" i="267"/>
  <c r="A67" i="267"/>
  <c r="A66" i="267"/>
  <c r="A65" i="267"/>
  <c r="A64" i="267"/>
  <c r="A63" i="267"/>
  <c r="A62" i="267"/>
  <c r="D61" i="267"/>
  <c r="A61" i="267"/>
  <c r="A60" i="267"/>
  <c r="A59" i="267"/>
  <c r="A58" i="267"/>
  <c r="A57" i="267"/>
  <c r="A56" i="267"/>
  <c r="D55" i="267"/>
  <c r="A55" i="267"/>
  <c r="A54" i="267"/>
  <c r="A53" i="267"/>
  <c r="A52" i="267"/>
  <c r="A51" i="267"/>
  <c r="A50" i="267"/>
  <c r="D49" i="267"/>
  <c r="A49" i="267"/>
  <c r="A48" i="267"/>
  <c r="A47" i="267"/>
  <c r="A46" i="267"/>
  <c r="A45" i="267"/>
  <c r="A44" i="267"/>
  <c r="D43" i="267"/>
  <c r="A43" i="267"/>
  <c r="A42" i="267"/>
  <c r="A41" i="267"/>
  <c r="A40" i="267"/>
  <c r="A39" i="267"/>
  <c r="A38" i="267"/>
  <c r="D37" i="267"/>
  <c r="A37" i="267"/>
  <c r="A36" i="267"/>
  <c r="A35" i="267"/>
  <c r="A34" i="267"/>
  <c r="A33" i="267"/>
  <c r="A32" i="267"/>
  <c r="D31" i="267"/>
  <c r="A31" i="267"/>
  <c r="A30" i="267"/>
  <c r="A29" i="267"/>
  <c r="A28" i="267"/>
  <c r="A27" i="267"/>
  <c r="A26" i="267"/>
  <c r="D25" i="267"/>
  <c r="A25" i="267"/>
  <c r="A24" i="267"/>
  <c r="A23" i="267"/>
  <c r="A22" i="267"/>
  <c r="A21" i="267"/>
  <c r="A20" i="267"/>
  <c r="D19" i="267"/>
  <c r="A19" i="267"/>
  <c r="A18" i="267"/>
  <c r="A17" i="267"/>
  <c r="A16" i="267"/>
  <c r="A15" i="267"/>
  <c r="A14" i="267"/>
  <c r="D13" i="267"/>
  <c r="A13" i="267"/>
  <c r="A12" i="267"/>
  <c r="A11" i="267"/>
  <c r="A10" i="267"/>
  <c r="A9" i="267"/>
  <c r="A8" i="267"/>
  <c r="D7" i="267"/>
  <c r="A7" i="267"/>
  <c r="A6" i="267"/>
  <c r="A5" i="267"/>
  <c r="A4" i="267"/>
  <c r="D3" i="267"/>
  <c r="A3" i="267"/>
  <c r="K2" i="267"/>
  <c r="D75" i="267" s="1"/>
  <c r="D73" i="266"/>
  <c r="D67" i="266"/>
  <c r="D61" i="266"/>
  <c r="A71" i="266"/>
  <c r="A72" i="266"/>
  <c r="A73" i="266"/>
  <c r="A74" i="266"/>
  <c r="A75" i="266"/>
  <c r="A65" i="266"/>
  <c r="A66" i="266"/>
  <c r="A67" i="266"/>
  <c r="A68" i="266"/>
  <c r="A69" i="266"/>
  <c r="A59" i="266"/>
  <c r="A60" i="266"/>
  <c r="A61" i="266"/>
  <c r="A62" i="266"/>
  <c r="A63" i="266"/>
  <c r="A70" i="266"/>
  <c r="A64" i="266"/>
  <c r="A58" i="266"/>
  <c r="A57" i="266"/>
  <c r="A56" i="266"/>
  <c r="D55" i="266"/>
  <c r="A55" i="266"/>
  <c r="A54" i="266"/>
  <c r="A53" i="266"/>
  <c r="A52" i="266"/>
  <c r="A51" i="266"/>
  <c r="A50" i="266"/>
  <c r="D49" i="266"/>
  <c r="A49" i="266"/>
  <c r="A48" i="266"/>
  <c r="A47" i="266"/>
  <c r="A46" i="266"/>
  <c r="A45" i="266"/>
  <c r="A44" i="266"/>
  <c r="D43" i="266"/>
  <c r="A43" i="266"/>
  <c r="A42" i="266"/>
  <c r="A41" i="266"/>
  <c r="A40" i="266"/>
  <c r="A39" i="266"/>
  <c r="A38" i="266"/>
  <c r="D37" i="266"/>
  <c r="A37" i="266"/>
  <c r="A36" i="266"/>
  <c r="A35" i="266"/>
  <c r="A34" i="266"/>
  <c r="A33" i="266"/>
  <c r="A32" i="266"/>
  <c r="D31" i="266"/>
  <c r="A31" i="266"/>
  <c r="A30" i="266"/>
  <c r="A29" i="266"/>
  <c r="A28" i="266"/>
  <c r="A27" i="266"/>
  <c r="A26" i="266"/>
  <c r="D25" i="266"/>
  <c r="A25" i="266"/>
  <c r="A24" i="266"/>
  <c r="A23" i="266"/>
  <c r="A22" i="266"/>
  <c r="A21" i="266"/>
  <c r="A20" i="266"/>
  <c r="D19" i="266"/>
  <c r="A19" i="266"/>
  <c r="A18" i="266"/>
  <c r="A17" i="266"/>
  <c r="A16" i="266"/>
  <c r="A15" i="266"/>
  <c r="A14" i="266"/>
  <c r="D13" i="266"/>
  <c r="A13" i="266"/>
  <c r="A12" i="266"/>
  <c r="A11" i="266"/>
  <c r="A10" i="266"/>
  <c r="A9" i="266"/>
  <c r="A8" i="266"/>
  <c r="D7" i="266"/>
  <c r="A7" i="266"/>
  <c r="A6" i="266"/>
  <c r="A5" i="266"/>
  <c r="A4" i="266"/>
  <c r="D3" i="266"/>
  <c r="A3" i="266"/>
  <c r="K2" i="266"/>
  <c r="D33" i="266" s="1"/>
  <c r="D13" i="268"/>
  <c r="A11" i="268"/>
  <c r="A12" i="268"/>
  <c r="A13" i="268"/>
  <c r="A14" i="268"/>
  <c r="A15" i="268"/>
  <c r="A10" i="268"/>
  <c r="D7" i="268"/>
  <c r="A5" i="268"/>
  <c r="A6" i="268"/>
  <c r="A7" i="268"/>
  <c r="A8" i="268"/>
  <c r="A9" i="268"/>
  <c r="A4" i="268"/>
  <c r="D31" i="268"/>
  <c r="D25" i="268"/>
  <c r="D19" i="268"/>
  <c r="A17" i="268"/>
  <c r="A18" i="268"/>
  <c r="A19" i="268"/>
  <c r="A20" i="268"/>
  <c r="A21" i="268"/>
  <c r="A23" i="268"/>
  <c r="A24" i="268"/>
  <c r="A25" i="268"/>
  <c r="A26" i="268"/>
  <c r="A27" i="268"/>
  <c r="A29" i="268"/>
  <c r="A30" i="268"/>
  <c r="A31" i="268"/>
  <c r="A32" i="268"/>
  <c r="A33" i="268"/>
  <c r="A28" i="268"/>
  <c r="A22" i="268"/>
  <c r="A16" i="268"/>
  <c r="D3" i="268"/>
  <c r="A3" i="268"/>
  <c r="K2" i="268"/>
  <c r="D15" i="268" s="1"/>
  <c r="A17" i="269"/>
  <c r="A18" i="269"/>
  <c r="A19" i="269"/>
  <c r="A20" i="269"/>
  <c r="A21" i="269"/>
  <c r="A23" i="269"/>
  <c r="A24" i="269"/>
  <c r="A25" i="269"/>
  <c r="A26" i="269"/>
  <c r="A27" i="269"/>
  <c r="D25" i="269"/>
  <c r="D19" i="269"/>
  <c r="D13" i="269"/>
  <c r="A11" i="269"/>
  <c r="A12" i="269"/>
  <c r="A13" i="269"/>
  <c r="A14" i="269"/>
  <c r="A15" i="269"/>
  <c r="A22" i="269"/>
  <c r="A16" i="269"/>
  <c r="A10" i="269"/>
  <c r="A9" i="269"/>
  <c r="A8" i="269"/>
  <c r="D7" i="269"/>
  <c r="A7" i="269"/>
  <c r="A6" i="269"/>
  <c r="A5" i="269"/>
  <c r="A4" i="269"/>
  <c r="D3" i="269"/>
  <c r="A3" i="269"/>
  <c r="K2" i="269"/>
  <c r="D27" i="269" s="1"/>
  <c r="D15" i="262"/>
  <c r="C15" i="262"/>
  <c r="B15" i="262"/>
  <c r="A15" i="262"/>
  <c r="D14" i="262"/>
  <c r="C14" i="262"/>
  <c r="B14" i="262"/>
  <c r="A14" i="262"/>
  <c r="D13" i="262"/>
  <c r="C13" i="262"/>
  <c r="B13" i="262"/>
  <c r="A13" i="262"/>
  <c r="D12" i="262"/>
  <c r="C12" i="262"/>
  <c r="B12" i="262"/>
  <c r="A12" i="262"/>
  <c r="D11" i="262"/>
  <c r="C11" i="262"/>
  <c r="B11" i="262"/>
  <c r="A11" i="262"/>
  <c r="D10" i="262"/>
  <c r="C10" i="262"/>
  <c r="B10" i="262"/>
  <c r="A10" i="262"/>
  <c r="D9" i="262"/>
  <c r="C9" i="262"/>
  <c r="B9" i="262"/>
  <c r="A9" i="262"/>
  <c r="D8" i="262"/>
  <c r="C8" i="262"/>
  <c r="B8" i="262"/>
  <c r="A8" i="262"/>
  <c r="D7" i="262"/>
  <c r="C7" i="262"/>
  <c r="B7" i="262"/>
  <c r="A7" i="262"/>
  <c r="D6" i="262"/>
  <c r="C6" i="262"/>
  <c r="B6" i="262"/>
  <c r="A6" i="262"/>
  <c r="D5" i="262"/>
  <c r="C5" i="262"/>
  <c r="B5" i="262"/>
  <c r="A5" i="262"/>
  <c r="D4" i="262"/>
  <c r="C4" i="262"/>
  <c r="B4" i="262"/>
  <c r="A4" i="262"/>
  <c r="D3" i="262"/>
  <c r="C3" i="262"/>
  <c r="B3" i="262"/>
  <c r="A3" i="262"/>
  <c r="D15" i="261"/>
  <c r="C15" i="261"/>
  <c r="B15" i="261"/>
  <c r="A15" i="261"/>
  <c r="D14" i="261"/>
  <c r="C14" i="261"/>
  <c r="B14" i="261"/>
  <c r="A14" i="261"/>
  <c r="A13" i="261"/>
  <c r="D13" i="261"/>
  <c r="C13" i="261"/>
  <c r="B13" i="261"/>
  <c r="A12" i="261"/>
  <c r="A11" i="261"/>
  <c r="A10" i="261"/>
  <c r="D12" i="261"/>
  <c r="D11" i="261"/>
  <c r="D10" i="261"/>
  <c r="C12" i="261"/>
  <c r="B12" i="261"/>
  <c r="C11" i="261"/>
  <c r="B11" i="261"/>
  <c r="C10" i="261"/>
  <c r="B10" i="261"/>
  <c r="D9" i="261"/>
  <c r="C9" i="261"/>
  <c r="B9" i="261"/>
  <c r="A9" i="261"/>
  <c r="D8" i="261"/>
  <c r="C8" i="261"/>
  <c r="B8" i="261"/>
  <c r="A8" i="261"/>
  <c r="D7" i="261"/>
  <c r="C7" i="261"/>
  <c r="B7" i="261"/>
  <c r="A7" i="261"/>
  <c r="D6" i="261"/>
  <c r="C6" i="261"/>
  <c r="B6" i="261"/>
  <c r="A6" i="261"/>
  <c r="D5" i="261"/>
  <c r="C5" i="261"/>
  <c r="B5" i="261"/>
  <c r="A5" i="261"/>
  <c r="D4" i="261"/>
  <c r="C4" i="261"/>
  <c r="B4" i="261"/>
  <c r="A4" i="261"/>
  <c r="D3" i="261"/>
  <c r="C3" i="261"/>
  <c r="B3" i="261"/>
  <c r="A3" i="261"/>
  <c r="A7" i="263"/>
  <c r="A6" i="263"/>
  <c r="D7" i="263"/>
  <c r="D6" i="263"/>
  <c r="B6" i="263"/>
  <c r="C6" i="263"/>
  <c r="B7" i="263"/>
  <c r="C7" i="263"/>
  <c r="A5" i="263"/>
  <c r="A4" i="263"/>
  <c r="A3" i="263"/>
  <c r="D5" i="263"/>
  <c r="D4" i="263"/>
  <c r="D3" i="263"/>
  <c r="C5" i="263"/>
  <c r="B5" i="263"/>
  <c r="C4" i="263"/>
  <c r="B4" i="263"/>
  <c r="C3" i="263"/>
  <c r="B3" i="263"/>
  <c r="D6" i="264"/>
  <c r="D5" i="264"/>
  <c r="D4" i="264"/>
  <c r="A6" i="264"/>
  <c r="A5" i="264"/>
  <c r="A4" i="264"/>
  <c r="C6" i="264"/>
  <c r="B6" i="264"/>
  <c r="C5" i="264"/>
  <c r="B5" i="264"/>
  <c r="C4" i="264"/>
  <c r="B4" i="264"/>
  <c r="D3" i="264"/>
  <c r="C3" i="264"/>
  <c r="B3" i="264"/>
  <c r="A3" i="264"/>
  <c r="D9" i="269" l="1"/>
  <c r="D69" i="266"/>
  <c r="D15" i="269"/>
  <c r="D21" i="268"/>
  <c r="D9" i="267"/>
  <c r="D15" i="267"/>
  <c r="D21" i="267"/>
  <c r="D27" i="267"/>
  <c r="D33" i="267"/>
  <c r="D39" i="267"/>
  <c r="D45" i="267"/>
  <c r="D51" i="267"/>
  <c r="D57" i="267"/>
  <c r="D63" i="267"/>
  <c r="D69" i="267"/>
  <c r="D63" i="266"/>
  <c r="D75" i="266"/>
  <c r="D39" i="266"/>
  <c r="D45" i="266"/>
  <c r="D51" i="266"/>
  <c r="D57" i="266"/>
  <c r="D9" i="266"/>
  <c r="D15" i="266"/>
  <c r="D21" i="266"/>
  <c r="D27" i="266"/>
  <c r="D9" i="268"/>
  <c r="D27" i="268"/>
  <c r="D33" i="268"/>
  <c r="D21" i="269"/>
  <c r="R19" i="274"/>
  <c r="Q19" i="274"/>
  <c r="P19" i="274"/>
  <c r="R18" i="274"/>
  <c r="Q18" i="274"/>
  <c r="P18" i="274"/>
  <c r="R17" i="274"/>
  <c r="Q17" i="274"/>
  <c r="P17" i="274"/>
  <c r="R16" i="274"/>
  <c r="Q16" i="274"/>
  <c r="P16" i="274"/>
  <c r="R15" i="274"/>
  <c r="Q15" i="274"/>
  <c r="P15" i="274"/>
  <c r="R14" i="274"/>
  <c r="Q14" i="274"/>
  <c r="P14" i="274"/>
  <c r="R13" i="274"/>
  <c r="Q13" i="274"/>
  <c r="P13" i="274"/>
  <c r="R12" i="274"/>
  <c r="Q12" i="274"/>
  <c r="P12" i="274"/>
  <c r="R11" i="274"/>
  <c r="D392" i="274" s="1"/>
  <c r="Q11" i="274"/>
  <c r="D393" i="274" s="1"/>
  <c r="P11" i="274"/>
  <c r="R10" i="274"/>
  <c r="Q10" i="274"/>
  <c r="P10" i="274"/>
  <c r="R9" i="274"/>
  <c r="Q9" i="274"/>
  <c r="P9" i="274"/>
  <c r="R8" i="274"/>
  <c r="Q8" i="274"/>
  <c r="P8" i="274"/>
  <c r="T7" i="274"/>
  <c r="D23" i="274" s="1"/>
  <c r="R7" i="274"/>
  <c r="Q7" i="274"/>
  <c r="P7" i="274"/>
  <c r="T6" i="274"/>
  <c r="R6" i="274"/>
  <c r="Q6" i="274"/>
  <c r="P6" i="274"/>
  <c r="T5" i="274"/>
  <c r="R5" i="274"/>
  <c r="Q5" i="274"/>
  <c r="P5" i="274"/>
  <c r="T4" i="274"/>
  <c r="R4" i="274"/>
  <c r="Q4" i="274"/>
  <c r="P4" i="274"/>
  <c r="R19" i="273"/>
  <c r="Q19" i="273"/>
  <c r="P19" i="273"/>
  <c r="R18" i="273"/>
  <c r="Q18" i="273"/>
  <c r="P18" i="273"/>
  <c r="R17" i="273"/>
  <c r="Q17" i="273"/>
  <c r="P17" i="273"/>
  <c r="R16" i="273"/>
  <c r="Q16" i="273"/>
  <c r="P16" i="273"/>
  <c r="R15" i="273"/>
  <c r="Q15" i="273"/>
  <c r="P15" i="273"/>
  <c r="R14" i="273"/>
  <c r="Q14" i="273"/>
  <c r="P14" i="273"/>
  <c r="R13" i="273"/>
  <c r="Q13" i="273"/>
  <c r="P13" i="273"/>
  <c r="R12" i="273"/>
  <c r="Q12" i="273"/>
  <c r="P12" i="273"/>
  <c r="R11" i="273"/>
  <c r="D390" i="273" s="1"/>
  <c r="Q11" i="273"/>
  <c r="D391" i="273" s="1"/>
  <c r="P11" i="273"/>
  <c r="R10" i="273"/>
  <c r="Q10" i="273"/>
  <c r="P10" i="273"/>
  <c r="R9" i="273"/>
  <c r="Q9" i="273"/>
  <c r="P9" i="273"/>
  <c r="R8" i="273"/>
  <c r="Q8" i="273"/>
  <c r="P8" i="273"/>
  <c r="T7" i="273"/>
  <c r="D23" i="273" s="1"/>
  <c r="R7" i="273"/>
  <c r="Q7" i="273"/>
  <c r="P7" i="273"/>
  <c r="T6" i="273"/>
  <c r="R6" i="273"/>
  <c r="Q6" i="273"/>
  <c r="P6" i="273"/>
  <c r="T5" i="273"/>
  <c r="R5" i="273"/>
  <c r="Q5" i="273"/>
  <c r="P5" i="273"/>
  <c r="T4" i="273"/>
  <c r="R4" i="273"/>
  <c r="Q4" i="273"/>
  <c r="P4" i="273"/>
  <c r="R19" i="272"/>
  <c r="Q19" i="272"/>
  <c r="P19" i="272"/>
  <c r="R18" i="272"/>
  <c r="Q18" i="272"/>
  <c r="P18" i="272"/>
  <c r="R17" i="272"/>
  <c r="Q17" i="272"/>
  <c r="P17" i="272"/>
  <c r="R16" i="272"/>
  <c r="Q16" i="272"/>
  <c r="P16" i="272"/>
  <c r="R15" i="272"/>
  <c r="Q15" i="272"/>
  <c r="P15" i="272"/>
  <c r="R14" i="272"/>
  <c r="Q14" i="272"/>
  <c r="P14" i="272"/>
  <c r="R13" i="272"/>
  <c r="Q13" i="272"/>
  <c r="P13" i="272"/>
  <c r="R12" i="272"/>
  <c r="Q12" i="272"/>
  <c r="P12" i="272"/>
  <c r="R11" i="272"/>
  <c r="D358" i="272" s="1"/>
  <c r="Q11" i="272"/>
  <c r="D359" i="272" s="1"/>
  <c r="P11" i="272"/>
  <c r="R10" i="272"/>
  <c r="Q10" i="272"/>
  <c r="P10" i="272"/>
  <c r="R9" i="272"/>
  <c r="Q9" i="272"/>
  <c r="P9" i="272"/>
  <c r="R8" i="272"/>
  <c r="Q8" i="272"/>
  <c r="P8" i="272"/>
  <c r="T7" i="272"/>
  <c r="D23" i="272" s="1"/>
  <c r="R7" i="272"/>
  <c r="Q7" i="272"/>
  <c r="P7" i="272"/>
  <c r="T6" i="272"/>
  <c r="R6" i="272"/>
  <c r="Q6" i="272"/>
  <c r="P6" i="272"/>
  <c r="T5" i="272"/>
  <c r="R5" i="272"/>
  <c r="Q5" i="272"/>
  <c r="P5" i="272"/>
  <c r="T4" i="272"/>
  <c r="R4" i="272"/>
  <c r="Q4" i="272"/>
  <c r="P4" i="272"/>
  <c r="R19" i="271"/>
  <c r="Q19" i="271"/>
  <c r="P19" i="271"/>
  <c r="R18" i="271"/>
  <c r="Q18" i="271"/>
  <c r="P18" i="271"/>
  <c r="R17" i="271"/>
  <c r="Q17" i="271"/>
  <c r="P17" i="271"/>
  <c r="R16" i="271"/>
  <c r="Q16" i="271"/>
  <c r="P16" i="271"/>
  <c r="R15" i="271"/>
  <c r="Q15" i="271"/>
  <c r="P15" i="271"/>
  <c r="R14" i="271"/>
  <c r="Q14" i="271"/>
  <c r="P14" i="271"/>
  <c r="R13" i="271"/>
  <c r="Q13" i="271"/>
  <c r="P13" i="271"/>
  <c r="R12" i="271"/>
  <c r="Q12" i="271"/>
  <c r="P12" i="271"/>
  <c r="R11" i="271"/>
  <c r="D470" i="271" s="1"/>
  <c r="Q11" i="271"/>
  <c r="D471" i="271" s="1"/>
  <c r="P11" i="271"/>
  <c r="R10" i="271"/>
  <c r="Q10" i="271"/>
  <c r="P10" i="271"/>
  <c r="R9" i="271"/>
  <c r="Q9" i="271"/>
  <c r="P9" i="271"/>
  <c r="R8" i="271"/>
  <c r="Q8" i="271"/>
  <c r="P8" i="271"/>
  <c r="T7" i="271"/>
  <c r="D23" i="271" s="1"/>
  <c r="R7" i="271"/>
  <c r="Q7" i="271"/>
  <c r="P7" i="271"/>
  <c r="T6" i="271"/>
  <c r="R6" i="271"/>
  <c r="Q6" i="271"/>
  <c r="P6" i="271"/>
  <c r="T5" i="271"/>
  <c r="R5" i="271"/>
  <c r="Q5" i="271"/>
  <c r="P5" i="271"/>
  <c r="T4" i="271"/>
  <c r="R4" i="271"/>
  <c r="Q4" i="271"/>
  <c r="P4" i="271"/>
  <c r="BA1" i="274"/>
  <c r="AZ1" i="274"/>
  <c r="AY1" i="274"/>
  <c r="AX1" i="274"/>
  <c r="AW1" i="274"/>
  <c r="AV1" i="274"/>
  <c r="AU1" i="274"/>
  <c r="AT1" i="274"/>
  <c r="AS1" i="274"/>
  <c r="AR1" i="274"/>
  <c r="AQ1" i="274"/>
  <c r="AP1" i="274"/>
  <c r="AO1" i="274"/>
  <c r="AN1" i="274"/>
  <c r="AM1" i="274"/>
  <c r="AL1" i="274"/>
  <c r="AK1" i="274"/>
  <c r="AJ1" i="274"/>
  <c r="AI1" i="274"/>
  <c r="AH1" i="274"/>
  <c r="AG1" i="274"/>
  <c r="AF1" i="274"/>
  <c r="AE1" i="274"/>
  <c r="AD1" i="274"/>
  <c r="AC1" i="274"/>
  <c r="AB1" i="274"/>
  <c r="AA1" i="274"/>
  <c r="Z1" i="274"/>
  <c r="Y1" i="274"/>
  <c r="X1" i="274"/>
  <c r="W1" i="274"/>
  <c r="V1" i="274"/>
  <c r="U1" i="274"/>
  <c r="T1" i="274"/>
  <c r="S1" i="274"/>
  <c r="R1" i="274"/>
  <c r="Q1" i="274"/>
  <c r="P1" i="274"/>
  <c r="BA1" i="273"/>
  <c r="AZ1" i="273"/>
  <c r="AY1" i="273"/>
  <c r="AX1" i="273"/>
  <c r="AW1" i="273"/>
  <c r="AV1" i="273"/>
  <c r="AU1" i="273"/>
  <c r="AT1" i="273"/>
  <c r="AS1" i="273"/>
  <c r="AR1" i="273"/>
  <c r="AQ1" i="273"/>
  <c r="AP1" i="273"/>
  <c r="AO1" i="273"/>
  <c r="AN1" i="273"/>
  <c r="AM1" i="273"/>
  <c r="AL1" i="273"/>
  <c r="AK1" i="273"/>
  <c r="AJ1" i="273"/>
  <c r="AI1" i="273"/>
  <c r="AH1" i="273"/>
  <c r="AG1" i="273"/>
  <c r="AF1" i="273"/>
  <c r="AE1" i="273"/>
  <c r="AD1" i="273"/>
  <c r="AC1" i="273"/>
  <c r="AB1" i="273"/>
  <c r="AA1" i="273"/>
  <c r="Z1" i="273"/>
  <c r="Y1" i="273"/>
  <c r="X1" i="273"/>
  <c r="W1" i="273"/>
  <c r="V1" i="273"/>
  <c r="U1" i="273"/>
  <c r="T1" i="273"/>
  <c r="S1" i="273"/>
  <c r="R1" i="273"/>
  <c r="Q1" i="273"/>
  <c r="P1" i="273"/>
  <c r="BA1" i="272"/>
  <c r="AZ1" i="272"/>
  <c r="AY1" i="272"/>
  <c r="AX1" i="272"/>
  <c r="AW1" i="272"/>
  <c r="AV1" i="272"/>
  <c r="AU1" i="272"/>
  <c r="AT1" i="272"/>
  <c r="AS1" i="272"/>
  <c r="AR1" i="272"/>
  <c r="AQ1" i="272"/>
  <c r="AP1" i="272"/>
  <c r="AO1" i="272"/>
  <c r="AN1" i="272"/>
  <c r="AM1" i="272"/>
  <c r="AL1" i="272"/>
  <c r="AK1" i="272"/>
  <c r="AJ1" i="272"/>
  <c r="AI1" i="272"/>
  <c r="AH1" i="272"/>
  <c r="AG1" i="272"/>
  <c r="AF1" i="272"/>
  <c r="AE1" i="272"/>
  <c r="AD1" i="272"/>
  <c r="AC1" i="272"/>
  <c r="AB1" i="272"/>
  <c r="AA1" i="272"/>
  <c r="Z1" i="272"/>
  <c r="Y1" i="272"/>
  <c r="X1" i="272"/>
  <c r="W1" i="272"/>
  <c r="V1" i="272"/>
  <c r="U1" i="272"/>
  <c r="T1" i="272"/>
  <c r="S1" i="272"/>
  <c r="R1" i="272"/>
  <c r="Q1" i="272"/>
  <c r="P1" i="272"/>
  <c r="BA1" i="271"/>
  <c r="AZ1" i="271"/>
  <c r="AY1" i="271"/>
  <c r="AX1" i="271"/>
  <c r="AW1" i="271"/>
  <c r="AV1" i="271"/>
  <c r="AU1" i="271"/>
  <c r="AT1" i="271"/>
  <c r="AS1" i="271"/>
  <c r="AR1" i="271"/>
  <c r="AQ1" i="271"/>
  <c r="AP1" i="271"/>
  <c r="AO1" i="271"/>
  <c r="AN1" i="271"/>
  <c r="AM1" i="271"/>
  <c r="AL1" i="271"/>
  <c r="AK1" i="271"/>
  <c r="AJ1" i="271"/>
  <c r="AI1" i="271"/>
  <c r="AH1" i="271"/>
  <c r="AG1" i="271"/>
  <c r="AF1" i="271"/>
  <c r="AE1" i="271"/>
  <c r="AD1" i="271"/>
  <c r="AC1" i="271"/>
  <c r="AB1" i="271"/>
  <c r="AA1" i="271"/>
  <c r="Z1" i="271"/>
  <c r="Y1" i="271"/>
  <c r="X1" i="271"/>
  <c r="W1" i="271"/>
  <c r="V1" i="271"/>
  <c r="U1" i="271"/>
  <c r="T1" i="271"/>
  <c r="S1" i="271"/>
  <c r="R1" i="271"/>
  <c r="Q1" i="271"/>
  <c r="P1" i="271"/>
  <c r="D163" i="271" l="1"/>
  <c r="D83" i="271"/>
  <c r="D63" i="271"/>
  <c r="D173" i="271"/>
  <c r="D93" i="271"/>
  <c r="D73" i="271"/>
  <c r="D143" i="271"/>
  <c r="D123" i="271"/>
  <c r="D43" i="271"/>
  <c r="D153" i="271"/>
  <c r="D113" i="271"/>
  <c r="D103" i="271"/>
  <c r="D133" i="271"/>
  <c r="D53" i="271"/>
  <c r="D311" i="271"/>
  <c r="D303" i="271"/>
  <c r="D326" i="271"/>
  <c r="D319" i="271"/>
  <c r="D293" i="271"/>
  <c r="D133" i="272"/>
  <c r="D153" i="272"/>
  <c r="D257" i="272"/>
  <c r="D163" i="272"/>
  <c r="D183" i="272"/>
  <c r="D143" i="272"/>
  <c r="D173" i="272"/>
  <c r="D297" i="272"/>
  <c r="D235" i="272"/>
  <c r="D247" i="272"/>
  <c r="D277" i="272"/>
  <c r="D307" i="272"/>
  <c r="D337" i="272"/>
  <c r="D287" i="272"/>
  <c r="D317" i="272"/>
  <c r="D327" i="272"/>
  <c r="D347" i="272"/>
  <c r="D267" i="272"/>
  <c r="D83" i="273"/>
  <c r="D93" i="273"/>
  <c r="D43" i="273"/>
  <c r="D73" i="273"/>
  <c r="D103" i="273"/>
  <c r="D63" i="273"/>
  <c r="D53" i="273"/>
  <c r="D206" i="273"/>
  <c r="D173" i="273"/>
  <c r="D191" i="273"/>
  <c r="D183" i="273"/>
  <c r="D199" i="273"/>
  <c r="D133" i="274"/>
  <c r="D113" i="274"/>
  <c r="D143" i="274"/>
  <c r="D123" i="274"/>
  <c r="D103" i="274"/>
  <c r="D287" i="274"/>
  <c r="D207" i="274"/>
  <c r="D237" i="274"/>
  <c r="D359" i="274"/>
  <c r="D297" i="274"/>
  <c r="D217" i="274"/>
  <c r="D347" i="274"/>
  <c r="D371" i="274"/>
  <c r="D327" i="274"/>
  <c r="D247" i="274"/>
  <c r="D277" i="274"/>
  <c r="D197" i="274"/>
  <c r="D187" i="274"/>
  <c r="D307" i="274"/>
  <c r="D227" i="274"/>
  <c r="D267" i="274"/>
  <c r="D381" i="274"/>
  <c r="D337" i="274"/>
  <c r="D257" i="274"/>
  <c r="D177" i="274"/>
  <c r="D317" i="274"/>
  <c r="D309" i="272"/>
  <c r="D319" i="272"/>
  <c r="D349" i="272"/>
  <c r="D269" i="272"/>
  <c r="D339" i="272"/>
  <c r="D299" i="272"/>
  <c r="D237" i="272"/>
  <c r="D289" i="272"/>
  <c r="D258" i="272"/>
  <c r="D329" i="272"/>
  <c r="D249" i="272"/>
  <c r="D279" i="272"/>
  <c r="D200" i="273"/>
  <c r="D192" i="273"/>
  <c r="D184" i="273"/>
  <c r="D174" i="273"/>
  <c r="D207" i="273"/>
  <c r="D361" i="274"/>
  <c r="D299" i="274"/>
  <c r="D219" i="274"/>
  <c r="D329" i="274"/>
  <c r="D279" i="274"/>
  <c r="D199" i="274"/>
  <c r="D309" i="274"/>
  <c r="D229" i="274"/>
  <c r="D383" i="274"/>
  <c r="D339" i="274"/>
  <c r="D259" i="274"/>
  <c r="D179" i="274"/>
  <c r="D289" i="274"/>
  <c r="D209" i="274"/>
  <c r="D319" i="274"/>
  <c r="D239" i="274"/>
  <c r="D349" i="274"/>
  <c r="D269" i="274"/>
  <c r="D189" i="274"/>
  <c r="D373" i="274"/>
  <c r="D249" i="274"/>
  <c r="D243" i="271"/>
  <c r="D253" i="271"/>
  <c r="D283" i="271"/>
  <c r="D203" i="271"/>
  <c r="D233" i="271"/>
  <c r="D193" i="271"/>
  <c r="D357" i="271"/>
  <c r="D263" i="271"/>
  <c r="D183" i="271"/>
  <c r="D367" i="271"/>
  <c r="D273" i="271"/>
  <c r="D223" i="271"/>
  <c r="D213" i="271"/>
  <c r="D449" i="271"/>
  <c r="D459" i="271"/>
  <c r="D397" i="271"/>
  <c r="D378" i="271"/>
  <c r="D347" i="271"/>
  <c r="D427" i="271"/>
  <c r="D417" i="271"/>
  <c r="D439" i="271"/>
  <c r="D407" i="271"/>
  <c r="D335" i="271"/>
  <c r="D123" i="272"/>
  <c r="D43" i="272"/>
  <c r="D53" i="272"/>
  <c r="D73" i="272"/>
  <c r="D83" i="272"/>
  <c r="D103" i="272"/>
  <c r="D113" i="272"/>
  <c r="D63" i="272"/>
  <c r="D93" i="272"/>
  <c r="D203" i="272"/>
  <c r="D226" i="272"/>
  <c r="D219" i="272"/>
  <c r="D193" i="272"/>
  <c r="D211" i="272"/>
  <c r="D163" i="273"/>
  <c r="D123" i="273"/>
  <c r="D247" i="273"/>
  <c r="D153" i="273"/>
  <c r="D143" i="273"/>
  <c r="D113" i="273"/>
  <c r="D133" i="273"/>
  <c r="D337" i="273"/>
  <c r="D257" i="273"/>
  <c r="D347" i="273"/>
  <c r="D267" i="273"/>
  <c r="D237" i="273"/>
  <c r="D359" i="273"/>
  <c r="D297" i="273"/>
  <c r="D287" i="273"/>
  <c r="D327" i="273"/>
  <c r="D277" i="273"/>
  <c r="D215" i="273"/>
  <c r="D317" i="273"/>
  <c r="D369" i="273"/>
  <c r="D307" i="273"/>
  <c r="D227" i="273"/>
  <c r="D379" i="273"/>
  <c r="D53" i="274"/>
  <c r="D83" i="274"/>
  <c r="D63" i="274"/>
  <c r="D93" i="274"/>
  <c r="D43" i="274"/>
  <c r="D73" i="274"/>
  <c r="D170" i="274"/>
  <c r="D163" i="274"/>
  <c r="D153" i="274"/>
  <c r="D95" i="273"/>
  <c r="D105" i="273"/>
  <c r="D75" i="273"/>
  <c r="D55" i="273"/>
  <c r="D85" i="273"/>
  <c r="D45" i="273"/>
  <c r="D65" i="273"/>
  <c r="D224" i="271"/>
  <c r="D254" i="271"/>
  <c r="D234" i="271"/>
  <c r="D204" i="271"/>
  <c r="D264" i="271"/>
  <c r="D184" i="271"/>
  <c r="D214" i="271"/>
  <c r="D244" i="271"/>
  <c r="D274" i="271"/>
  <c r="D194" i="271"/>
  <c r="D284" i="271"/>
  <c r="D461" i="271"/>
  <c r="D399" i="271"/>
  <c r="D380" i="271"/>
  <c r="D349" i="271"/>
  <c r="D409" i="271"/>
  <c r="D358" i="271"/>
  <c r="D451" i="271"/>
  <c r="D389" i="271"/>
  <c r="D419" i="271"/>
  <c r="D441" i="271"/>
  <c r="D368" i="271"/>
  <c r="D337" i="271"/>
  <c r="D429" i="271"/>
  <c r="D55" i="272"/>
  <c r="D65" i="272"/>
  <c r="D115" i="272"/>
  <c r="D95" i="272"/>
  <c r="D125" i="272"/>
  <c r="D45" i="272"/>
  <c r="D75" i="272"/>
  <c r="D105" i="272"/>
  <c r="D85" i="272"/>
  <c r="D194" i="272"/>
  <c r="D212" i="272"/>
  <c r="D220" i="272"/>
  <c r="D204" i="272"/>
  <c r="D227" i="272"/>
  <c r="D144" i="273"/>
  <c r="D154" i="273"/>
  <c r="D134" i="273"/>
  <c r="D164" i="273"/>
  <c r="D124" i="273"/>
  <c r="D114" i="273"/>
  <c r="D349" i="273"/>
  <c r="D269" i="273"/>
  <c r="D279" i="273"/>
  <c r="D248" i="273"/>
  <c r="D217" i="273"/>
  <c r="D299" i="273"/>
  <c r="D371" i="273"/>
  <c r="D309" i="273"/>
  <c r="D229" i="273"/>
  <c r="D339" i="273"/>
  <c r="D259" i="273"/>
  <c r="D289" i="273"/>
  <c r="D361" i="273"/>
  <c r="D381" i="273"/>
  <c r="D319" i="273"/>
  <c r="D239" i="273"/>
  <c r="D329" i="273"/>
  <c r="D65" i="274"/>
  <c r="D75" i="274"/>
  <c r="D45" i="274"/>
  <c r="D55" i="274"/>
  <c r="D85" i="274"/>
  <c r="D95" i="274"/>
  <c r="D154" i="274"/>
  <c r="D171" i="274"/>
  <c r="D164" i="274"/>
  <c r="D175" i="271"/>
  <c r="D95" i="271"/>
  <c r="D105" i="271"/>
  <c r="D135" i="271"/>
  <c r="D55" i="271"/>
  <c r="D165" i="271"/>
  <c r="D85" i="271"/>
  <c r="D155" i="271"/>
  <c r="D75" i="271"/>
  <c r="D115" i="271"/>
  <c r="D145" i="271"/>
  <c r="D65" i="271"/>
  <c r="D125" i="271"/>
  <c r="D45" i="271"/>
  <c r="D184" i="272"/>
  <c r="D134" i="272"/>
  <c r="D164" i="272"/>
  <c r="D144" i="272"/>
  <c r="D174" i="272"/>
  <c r="D154" i="272"/>
  <c r="D304" i="271"/>
  <c r="D327" i="271"/>
  <c r="D320" i="271"/>
  <c r="D294" i="271"/>
  <c r="D312" i="271"/>
  <c r="D114" i="274"/>
  <c r="D124" i="274"/>
  <c r="D104" i="274"/>
  <c r="D144" i="274"/>
  <c r="D134" i="274"/>
  <c r="D24" i="79"/>
  <c r="A50" i="219" l="1"/>
  <c r="A48" i="219"/>
  <c r="A512" i="218"/>
  <c r="A513" i="218"/>
  <c r="A514" i="218"/>
  <c r="A515" i="218"/>
  <c r="A516" i="218"/>
  <c r="A511" i="218"/>
  <c r="D516" i="218"/>
  <c r="A494" i="218"/>
  <c r="A495" i="218"/>
  <c r="A496" i="218"/>
  <c r="A497" i="218"/>
  <c r="A498" i="218"/>
  <c r="D498" i="218"/>
  <c r="A493" i="218"/>
  <c r="A330" i="218"/>
  <c r="A331" i="218"/>
  <c r="A332" i="218"/>
  <c r="A329" i="218"/>
  <c r="A320" i="218"/>
  <c r="A319" i="218"/>
  <c r="A318" i="218"/>
  <c r="A317" i="218"/>
  <c r="A346" i="218"/>
  <c r="A347" i="218"/>
  <c r="A348" i="218"/>
  <c r="A345" i="218"/>
  <c r="A41" i="219"/>
  <c r="A58" i="219"/>
  <c r="A248" i="218"/>
  <c r="A249" i="218"/>
  <c r="A250" i="218"/>
  <c r="A251" i="218"/>
  <c r="A252" i="218"/>
  <c r="A253" i="218"/>
  <c r="A254" i="218"/>
  <c r="A255" i="218"/>
  <c r="A256" i="218"/>
  <c r="D251" i="218"/>
  <c r="A247" i="218"/>
  <c r="D682" i="218"/>
  <c r="A35" i="219"/>
  <c r="D486" i="218"/>
  <c r="A486" i="218"/>
  <c r="A485" i="218"/>
  <c r="A484" i="218"/>
  <c r="A483" i="218"/>
  <c r="A482" i="218"/>
  <c r="A481" i="218"/>
  <c r="A312" i="218"/>
  <c r="A311" i="218"/>
  <c r="A310" i="218"/>
  <c r="A309" i="218"/>
  <c r="D480" i="218"/>
  <c r="A480" i="218"/>
  <c r="A479" i="218"/>
  <c r="A478" i="218"/>
  <c r="A477" i="218"/>
  <c r="A476" i="218"/>
  <c r="A475" i="218"/>
  <c r="A308" i="218"/>
  <c r="A307" i="218"/>
  <c r="A306" i="218"/>
  <c r="A305" i="218"/>
  <c r="A33" i="219"/>
  <c r="A31" i="219"/>
  <c r="D474" i="218"/>
  <c r="A474" i="218"/>
  <c r="A473" i="218"/>
  <c r="A472" i="218"/>
  <c r="A471" i="218"/>
  <c r="A470" i="218"/>
  <c r="A469" i="218"/>
  <c r="A304" i="218"/>
  <c r="A303" i="218"/>
  <c r="A302" i="218"/>
  <c r="A301" i="218"/>
  <c r="A34" i="219"/>
  <c r="D468" i="218"/>
  <c r="A468" i="218"/>
  <c r="A467" i="218"/>
  <c r="A466" i="218"/>
  <c r="A465" i="218"/>
  <c r="A464" i="218"/>
  <c r="A463" i="218"/>
  <c r="A300" i="218"/>
  <c r="A299" i="218"/>
  <c r="A298" i="218"/>
  <c r="A297" i="218"/>
  <c r="A32" i="219"/>
  <c r="D462" i="218"/>
  <c r="A462" i="218"/>
  <c r="A461" i="218"/>
  <c r="A460" i="218"/>
  <c r="A459" i="218"/>
  <c r="A458" i="218"/>
  <c r="A457" i="218"/>
  <c r="A296" i="218"/>
  <c r="A295" i="218"/>
  <c r="A294" i="218"/>
  <c r="A293" i="218"/>
  <c r="A30" i="219"/>
  <c r="D456" i="218"/>
  <c r="A456" i="218"/>
  <c r="A455" i="218"/>
  <c r="A454" i="218"/>
  <c r="A453" i="218"/>
  <c r="A452" i="218"/>
  <c r="A451" i="218"/>
  <c r="A292" i="218"/>
  <c r="A291" i="218"/>
  <c r="A290" i="218"/>
  <c r="A289" i="218"/>
  <c r="A27" i="219"/>
  <c r="D432" i="218"/>
  <c r="A432" i="218"/>
  <c r="A431" i="218"/>
  <c r="A430" i="218"/>
  <c r="A429" i="218"/>
  <c r="A428" i="218"/>
  <c r="A427" i="218"/>
  <c r="A276" i="218"/>
  <c r="A275" i="218"/>
  <c r="A274" i="218"/>
  <c r="A273" i="218"/>
  <c r="D414" i="218"/>
  <c r="A410" i="218"/>
  <c r="A411" i="218"/>
  <c r="A412" i="218"/>
  <c r="A413" i="218"/>
  <c r="A414" i="218"/>
  <c r="A409" i="218"/>
  <c r="D408" i="218"/>
  <c r="A404" i="218"/>
  <c r="A405" i="218"/>
  <c r="A406" i="218"/>
  <c r="A407" i="218"/>
  <c r="A408" i="218"/>
  <c r="A403" i="218"/>
  <c r="A262" i="218"/>
  <c r="A263" i="218"/>
  <c r="A264" i="218"/>
  <c r="A261" i="218"/>
  <c r="A258" i="218"/>
  <c r="A259" i="218"/>
  <c r="A260" i="218"/>
  <c r="A257" i="218"/>
  <c r="A25" i="219"/>
  <c r="A26" i="219"/>
  <c r="A28" i="219"/>
  <c r="D426" i="218"/>
  <c r="A426" i="218"/>
  <c r="A425" i="218"/>
  <c r="A424" i="218"/>
  <c r="A423" i="218"/>
  <c r="A422" i="218"/>
  <c r="A421" i="218"/>
  <c r="A272" i="218"/>
  <c r="A271" i="218"/>
  <c r="A270" i="218"/>
  <c r="A269" i="218"/>
  <c r="A29" i="219"/>
  <c r="D420" i="218"/>
  <c r="A420" i="218"/>
  <c r="A419" i="218"/>
  <c r="A418" i="218"/>
  <c r="A417" i="218"/>
  <c r="A416" i="218"/>
  <c r="A415" i="218"/>
  <c r="A268" i="218"/>
  <c r="A267" i="218"/>
  <c r="A266" i="218"/>
  <c r="A265" i="218"/>
  <c r="A51" i="220"/>
  <c r="A50" i="220"/>
  <c r="A49" i="220"/>
  <c r="A48" i="220"/>
  <c r="A47" i="220"/>
  <c r="A46" i="220"/>
  <c r="D10" i="237"/>
  <c r="A681" i="218"/>
  <c r="A680" i="218"/>
  <c r="A679" i="218"/>
  <c r="A678" i="218"/>
  <c r="A677" i="218"/>
  <c r="D492" i="218"/>
  <c r="A492" i="218"/>
  <c r="A491" i="218"/>
  <c r="A490" i="218"/>
  <c r="A489" i="218"/>
  <c r="A488" i="218"/>
  <c r="A487" i="218"/>
  <c r="A316" i="218"/>
  <c r="A315" i="218"/>
  <c r="A314" i="218"/>
  <c r="A313" i="218"/>
  <c r="A24" i="219"/>
  <c r="D571" i="218"/>
  <c r="A7" i="219"/>
  <c r="D189" i="218"/>
  <c r="A186" i="218"/>
  <c r="A187" i="218"/>
  <c r="A188" i="218"/>
  <c r="A189" i="218"/>
  <c r="A190" i="218"/>
  <c r="A191" i="218"/>
  <c r="A192" i="218"/>
  <c r="A193" i="218"/>
  <c r="A194" i="218"/>
  <c r="A185" i="218"/>
  <c r="A554" i="218"/>
  <c r="A555" i="218"/>
  <c r="A556" i="218"/>
  <c r="A557" i="218"/>
  <c r="A558" i="218"/>
  <c r="A559" i="218"/>
  <c r="A560" i="218"/>
  <c r="A561" i="218"/>
  <c r="A553" i="218"/>
  <c r="A43" i="219"/>
  <c r="D355" i="218"/>
  <c r="A355" i="218"/>
  <c r="A356" i="218"/>
  <c r="A357" i="218"/>
  <c r="A358" i="218"/>
  <c r="A359" i="218"/>
  <c r="A360" i="218"/>
  <c r="A8" i="237"/>
  <c r="A4" i="237"/>
  <c r="D37" i="220"/>
  <c r="D13" i="220"/>
  <c r="A35" i="220"/>
  <c r="A36" i="220"/>
  <c r="A37" i="220"/>
  <c r="A38" i="220"/>
  <c r="A39" i="220"/>
  <c r="A34" i="220"/>
  <c r="A11" i="220"/>
  <c r="A12" i="220"/>
  <c r="A13" i="220"/>
  <c r="A14" i="220"/>
  <c r="A15" i="220"/>
  <c r="A10" i="220"/>
  <c r="A4" i="220"/>
  <c r="D8" i="237"/>
  <c r="D4" i="237"/>
  <c r="A21" i="219"/>
  <c r="A663" i="218"/>
  <c r="A664" i="218"/>
  <c r="A665" i="218"/>
  <c r="A666" i="218"/>
  <c r="A662" i="218"/>
  <c r="D396" i="218"/>
  <c r="A392" i="218"/>
  <c r="A393" i="218"/>
  <c r="A394" i="218"/>
  <c r="A395" i="218"/>
  <c r="A396" i="218"/>
  <c r="A391" i="218"/>
  <c r="A20" i="219"/>
  <c r="D390" i="218"/>
  <c r="A386" i="218"/>
  <c r="A387" i="218"/>
  <c r="A388" i="218"/>
  <c r="A389" i="218"/>
  <c r="A390" i="218"/>
  <c r="A385" i="218"/>
  <c r="A45" i="220"/>
  <c r="A44" i="220"/>
  <c r="A43" i="220"/>
  <c r="A42" i="220"/>
  <c r="A41" i="220"/>
  <c r="A40" i="220"/>
  <c r="D9" i="237"/>
  <c r="A23" i="219"/>
  <c r="A673" i="218"/>
  <c r="A674" i="218"/>
  <c r="A675" i="218"/>
  <c r="A676" i="218"/>
  <c r="A672" i="218"/>
  <c r="D384" i="218"/>
  <c r="A380" i="218"/>
  <c r="A381" i="218"/>
  <c r="A382" i="218"/>
  <c r="A383" i="218"/>
  <c r="A384" i="218"/>
  <c r="A379" i="218"/>
  <c r="D102" i="252" l="1"/>
  <c r="D91" i="252"/>
  <c r="D62" i="252"/>
  <c r="D101" i="252"/>
  <c r="D90" i="252"/>
  <c r="D61" i="252"/>
  <c r="A102" i="252"/>
  <c r="A91" i="252"/>
  <c r="A62" i="252"/>
  <c r="C44" i="234" l="1"/>
  <c r="C431" i="234" l="1"/>
  <c r="C430" i="234"/>
  <c r="C429" i="234"/>
  <c r="C62" i="234"/>
  <c r="C61" i="234"/>
  <c r="C60" i="234"/>
  <c r="C59" i="234"/>
  <c r="C58" i="234"/>
  <c r="D180" i="247" l="1"/>
  <c r="D175" i="247"/>
  <c r="D170" i="247"/>
  <c r="D162" i="247"/>
  <c r="D151" i="247"/>
  <c r="D139" i="247"/>
  <c r="D129" i="247"/>
  <c r="D72" i="247"/>
  <c r="D52" i="247"/>
  <c r="A26" i="51" l="1"/>
  <c r="A26" i="34"/>
  <c r="A28" i="13"/>
  <c r="A33" i="209"/>
  <c r="A511" i="231"/>
  <c r="A510" i="231"/>
  <c r="A509" i="231"/>
  <c r="A508" i="231"/>
  <c r="A507" i="231"/>
  <c r="D506" i="231"/>
  <c r="A506" i="231"/>
  <c r="A505" i="231"/>
  <c r="A504" i="231"/>
  <c r="A503" i="231"/>
  <c r="A502" i="231"/>
  <c r="A501" i="231"/>
  <c r="D500" i="231"/>
  <c r="A500" i="231"/>
  <c r="A499" i="231"/>
  <c r="A498" i="231"/>
  <c r="A497" i="231"/>
  <c r="A496" i="231"/>
  <c r="A495" i="231"/>
  <c r="D494" i="231"/>
  <c r="A494" i="231"/>
  <c r="A493" i="231"/>
  <c r="A492" i="231"/>
  <c r="A491" i="231"/>
  <c r="A490" i="231"/>
  <c r="A489" i="231"/>
  <c r="D488" i="231"/>
  <c r="A488" i="231"/>
  <c r="A487" i="231"/>
  <c r="A486" i="231"/>
  <c r="A485" i="231"/>
  <c r="A484" i="231"/>
  <c r="A483" i="231"/>
  <c r="A482" i="231"/>
  <c r="A481" i="231"/>
  <c r="A480" i="231"/>
  <c r="A479" i="231"/>
  <c r="A478" i="231"/>
  <c r="A477" i="231"/>
  <c r="A476" i="231"/>
  <c r="A475" i="231"/>
  <c r="A474" i="231"/>
  <c r="A473" i="231"/>
  <c r="A472" i="231"/>
  <c r="A471" i="231"/>
  <c r="A470" i="231"/>
  <c r="A469" i="231"/>
  <c r="A468" i="231"/>
  <c r="D467" i="231"/>
  <c r="A467" i="231"/>
  <c r="A466" i="231"/>
  <c r="A465" i="231"/>
  <c r="A464" i="231"/>
  <c r="A463" i="231"/>
  <c r="A462" i="231"/>
  <c r="D461" i="231"/>
  <c r="A461" i="231"/>
  <c r="A460" i="231"/>
  <c r="A459" i="231"/>
  <c r="A458" i="231"/>
  <c r="A457" i="231"/>
  <c r="A456" i="231"/>
  <c r="D455" i="231"/>
  <c r="A455" i="231"/>
  <c r="A454" i="231"/>
  <c r="A453" i="231"/>
  <c r="A452" i="231"/>
  <c r="A451" i="231"/>
  <c r="A450" i="231"/>
  <c r="A449" i="231"/>
  <c r="A448" i="231"/>
  <c r="A447" i="231"/>
  <c r="A446" i="231"/>
  <c r="A445" i="231"/>
  <c r="A444" i="231"/>
  <c r="D443" i="231"/>
  <c r="A443" i="231"/>
  <c r="A442" i="231"/>
  <c r="A441" i="231"/>
  <c r="A440" i="231"/>
  <c r="A439" i="231"/>
  <c r="A438" i="231"/>
  <c r="D437" i="231"/>
  <c r="A437" i="231"/>
  <c r="A436" i="231"/>
  <c r="A435" i="231"/>
  <c r="A434" i="231"/>
  <c r="A433" i="231"/>
  <c r="A432" i="231"/>
  <c r="A431" i="231"/>
  <c r="D430" i="231"/>
  <c r="A430" i="231"/>
  <c r="A429" i="231"/>
  <c r="A428" i="231"/>
  <c r="A427" i="231"/>
  <c r="D426" i="231"/>
  <c r="A426" i="231"/>
  <c r="A425" i="231"/>
  <c r="A424" i="231"/>
  <c r="A423" i="231"/>
  <c r="D422" i="231"/>
  <c r="A422" i="231"/>
  <c r="A421" i="231"/>
  <c r="A420" i="231"/>
  <c r="A419" i="231"/>
  <c r="A418" i="231"/>
  <c r="A417" i="231"/>
  <c r="A416" i="231"/>
  <c r="A415" i="231"/>
  <c r="A414" i="231"/>
  <c r="A413" i="231"/>
  <c r="A412" i="231"/>
  <c r="A411" i="231"/>
  <c r="A410" i="231"/>
  <c r="A409" i="231"/>
  <c r="D408" i="231"/>
  <c r="A408" i="231"/>
  <c r="A407" i="231"/>
  <c r="A406" i="231"/>
  <c r="A405" i="231"/>
  <c r="A404" i="231"/>
  <c r="A403" i="231"/>
  <c r="D402" i="231"/>
  <c r="A402" i="231"/>
  <c r="A401" i="231"/>
  <c r="A400" i="231"/>
  <c r="A399" i="231"/>
  <c r="A398" i="231"/>
  <c r="A397" i="231"/>
  <c r="A396" i="231"/>
  <c r="A395" i="231"/>
  <c r="A394" i="231"/>
  <c r="A393" i="231"/>
  <c r="D392" i="231"/>
  <c r="A392" i="231"/>
  <c r="A391" i="231"/>
  <c r="A390" i="231"/>
  <c r="A389" i="231"/>
  <c r="A388" i="231"/>
  <c r="A387" i="231"/>
  <c r="A386" i="231"/>
  <c r="A385" i="231"/>
  <c r="A384" i="231"/>
  <c r="A383" i="231"/>
  <c r="D382" i="231"/>
  <c r="A382" i="231"/>
  <c r="A381" i="231"/>
  <c r="A380" i="231"/>
  <c r="A379" i="231"/>
  <c r="A378" i="231"/>
  <c r="A377" i="231"/>
  <c r="A376" i="231"/>
  <c r="A375" i="231"/>
  <c r="A374" i="231"/>
  <c r="A373" i="231"/>
  <c r="D372" i="231"/>
  <c r="A372" i="231"/>
  <c r="A371" i="231"/>
  <c r="A370" i="231"/>
  <c r="A369" i="231"/>
  <c r="A368" i="231"/>
  <c r="A367" i="231"/>
  <c r="A366" i="231"/>
  <c r="A365" i="231"/>
  <c r="A364" i="231"/>
  <c r="A363" i="231"/>
  <c r="D362" i="231"/>
  <c r="A362" i="231"/>
  <c r="A361" i="231"/>
  <c r="A360" i="231"/>
  <c r="A359" i="231"/>
  <c r="A358" i="231"/>
  <c r="A357" i="231"/>
  <c r="A356" i="231"/>
  <c r="A355" i="231"/>
  <c r="A354" i="231"/>
  <c r="A353" i="231"/>
  <c r="D352" i="231"/>
  <c r="A352" i="231"/>
  <c r="A351" i="231"/>
  <c r="A350" i="231"/>
  <c r="A349" i="231"/>
  <c r="A348" i="231"/>
  <c r="A347" i="231"/>
  <c r="A346" i="231"/>
  <c r="A345" i="231"/>
  <c r="A344" i="231"/>
  <c r="A343" i="231"/>
  <c r="D342" i="231"/>
  <c r="A342" i="231"/>
  <c r="A341" i="231"/>
  <c r="A340" i="231"/>
  <c r="A339" i="231"/>
  <c r="A338" i="231"/>
  <c r="A337" i="231"/>
  <c r="A336" i="231"/>
  <c r="A335" i="231"/>
  <c r="A334" i="231"/>
  <c r="A333" i="231"/>
  <c r="A332" i="231"/>
  <c r="A331" i="231"/>
  <c r="D330" i="231"/>
  <c r="A330" i="231"/>
  <c r="A329" i="231"/>
  <c r="A328" i="231"/>
  <c r="A327" i="231"/>
  <c r="A326" i="231"/>
  <c r="A325" i="231"/>
  <c r="A324" i="231"/>
  <c r="A323" i="231"/>
  <c r="A322" i="231"/>
  <c r="A321" i="231"/>
  <c r="A320" i="231"/>
  <c r="A319" i="231"/>
  <c r="D318" i="231"/>
  <c r="A318" i="231"/>
  <c r="A317" i="231"/>
  <c r="A316" i="231"/>
  <c r="A315" i="231"/>
  <c r="A314" i="231"/>
  <c r="A313" i="231"/>
  <c r="A312" i="231"/>
  <c r="A311" i="231"/>
  <c r="A310" i="231"/>
  <c r="A309" i="231"/>
  <c r="D308" i="231"/>
  <c r="A308" i="231"/>
  <c r="A307" i="231"/>
  <c r="A306" i="231"/>
  <c r="A305" i="231"/>
  <c r="A304" i="231"/>
  <c r="A303" i="231"/>
  <c r="A302" i="231"/>
  <c r="A301" i="231"/>
  <c r="A300" i="231"/>
  <c r="A299" i="231"/>
  <c r="D298" i="231"/>
  <c r="A298" i="231"/>
  <c r="A297" i="231"/>
  <c r="A296" i="231"/>
  <c r="A295" i="231"/>
  <c r="A294" i="231"/>
  <c r="A293" i="231"/>
  <c r="A292" i="231"/>
  <c r="A291" i="231"/>
  <c r="A290" i="231"/>
  <c r="A289" i="231"/>
  <c r="D288" i="231"/>
  <c r="A288" i="231"/>
  <c r="A287" i="231"/>
  <c r="A286" i="231"/>
  <c r="A285" i="231"/>
  <c r="A284" i="231"/>
  <c r="A283" i="231"/>
  <c r="A282" i="231"/>
  <c r="A281" i="231"/>
  <c r="A280" i="231"/>
  <c r="A279" i="231"/>
  <c r="D278" i="231"/>
  <c r="A278" i="231"/>
  <c r="A277" i="231"/>
  <c r="A276" i="231"/>
  <c r="A275" i="231"/>
  <c r="A274" i="231"/>
  <c r="A273" i="231"/>
  <c r="A272" i="231"/>
  <c r="A271" i="231"/>
  <c r="A270" i="231"/>
  <c r="A269" i="231"/>
  <c r="D268" i="231"/>
  <c r="A268" i="231"/>
  <c r="A267" i="231"/>
  <c r="A266" i="231"/>
  <c r="A265" i="231"/>
  <c r="A264" i="231"/>
  <c r="A263" i="231"/>
  <c r="A262" i="231"/>
  <c r="A261" i="231"/>
  <c r="A260" i="231"/>
  <c r="A259" i="231"/>
  <c r="D258" i="231"/>
  <c r="A258" i="231"/>
  <c r="A257" i="231"/>
  <c r="A256" i="231"/>
  <c r="A255" i="231"/>
  <c r="A254" i="231"/>
  <c r="A253" i="231"/>
  <c r="A252" i="231"/>
  <c r="A251" i="231"/>
  <c r="A250" i="231"/>
  <c r="A249" i="231"/>
  <c r="A248" i="231"/>
  <c r="A247" i="231"/>
  <c r="A246" i="231"/>
  <c r="A245" i="231"/>
  <c r="A244" i="231"/>
  <c r="A243" i="231"/>
  <c r="A242" i="231"/>
  <c r="A241" i="231"/>
  <c r="A240" i="231"/>
  <c r="A239" i="231"/>
  <c r="A238" i="231"/>
  <c r="A237" i="231"/>
  <c r="A236" i="231"/>
  <c r="A235" i="231"/>
  <c r="D234" i="231"/>
  <c r="A234" i="231"/>
  <c r="A233" i="231"/>
  <c r="A232" i="231"/>
  <c r="A231" i="231"/>
  <c r="A230" i="231"/>
  <c r="A229" i="231"/>
  <c r="A228" i="231"/>
  <c r="A227" i="231"/>
  <c r="A226" i="231"/>
  <c r="A225" i="231"/>
  <c r="D224" i="231"/>
  <c r="A224" i="231"/>
  <c r="A223" i="231"/>
  <c r="A222" i="231"/>
  <c r="A221" i="231"/>
  <c r="A220" i="231"/>
  <c r="A219" i="231"/>
  <c r="A218" i="231"/>
  <c r="A217" i="231"/>
  <c r="A216" i="231"/>
  <c r="A215" i="231"/>
  <c r="D214" i="231"/>
  <c r="A214" i="231"/>
  <c r="A213" i="231"/>
  <c r="A212" i="231"/>
  <c r="A211" i="231"/>
  <c r="A210" i="231"/>
  <c r="A209" i="231"/>
  <c r="A208" i="231"/>
  <c r="A207" i="231"/>
  <c r="A206" i="231"/>
  <c r="A205" i="231"/>
  <c r="D204" i="231"/>
  <c r="A204" i="231"/>
  <c r="A203" i="231"/>
  <c r="A202" i="231"/>
  <c r="A201" i="231"/>
  <c r="A200" i="231"/>
  <c r="A199" i="231"/>
  <c r="A198" i="231"/>
  <c r="A197" i="231"/>
  <c r="A196" i="231"/>
  <c r="A195" i="231"/>
  <c r="D194" i="231"/>
  <c r="A194" i="231"/>
  <c r="A193" i="231"/>
  <c r="A192" i="231"/>
  <c r="A191" i="231"/>
  <c r="A190" i="231"/>
  <c r="A189" i="231"/>
  <c r="A188" i="231"/>
  <c r="A187" i="231"/>
  <c r="A186" i="231"/>
  <c r="A185" i="231"/>
  <c r="A184" i="231"/>
  <c r="D183" i="231"/>
  <c r="A183" i="231"/>
  <c r="A182" i="231"/>
  <c r="A181" i="231"/>
  <c r="A180" i="231"/>
  <c r="A179" i="231"/>
  <c r="A178" i="231"/>
  <c r="A177" i="231"/>
  <c r="A176" i="231"/>
  <c r="A175" i="231"/>
  <c r="A174" i="231"/>
  <c r="D173" i="231"/>
  <c r="A173" i="231"/>
  <c r="A172" i="231"/>
  <c r="A171" i="231"/>
  <c r="A170" i="231"/>
  <c r="A169" i="231"/>
  <c r="A168" i="231"/>
  <c r="A167" i="231"/>
  <c r="A166" i="231"/>
  <c r="A165" i="231"/>
  <c r="A164" i="231"/>
  <c r="A163" i="231"/>
  <c r="A162" i="231"/>
  <c r="A161" i="231"/>
  <c r="A160" i="231"/>
  <c r="A159" i="231"/>
  <c r="A158" i="231"/>
  <c r="A157" i="231"/>
  <c r="A156" i="231"/>
  <c r="A155" i="231"/>
  <c r="A154" i="231"/>
  <c r="A153" i="231"/>
  <c r="A152" i="231"/>
  <c r="A151" i="231"/>
  <c r="A150" i="231"/>
  <c r="A149" i="231"/>
  <c r="A148" i="231"/>
  <c r="A147" i="231"/>
  <c r="A146" i="231"/>
  <c r="A145" i="231"/>
  <c r="A144" i="231"/>
  <c r="A143" i="231"/>
  <c r="A142" i="231"/>
  <c r="A141" i="231"/>
  <c r="A140" i="231"/>
  <c r="D139" i="231"/>
  <c r="A139" i="231"/>
  <c r="A138" i="231"/>
  <c r="A137" i="231"/>
  <c r="A136" i="231"/>
  <c r="A135" i="231"/>
  <c r="A134" i="231"/>
  <c r="A133" i="231"/>
  <c r="A132" i="231"/>
  <c r="A131" i="231"/>
  <c r="A130" i="231"/>
  <c r="D129" i="231"/>
  <c r="A129" i="231"/>
  <c r="A128" i="231"/>
  <c r="A127" i="231"/>
  <c r="A126" i="231"/>
  <c r="A125" i="231"/>
  <c r="A124" i="231"/>
  <c r="A123" i="231"/>
  <c r="A122" i="231"/>
  <c r="A121" i="231"/>
  <c r="A120" i="231"/>
  <c r="D119" i="231"/>
  <c r="A119" i="231"/>
  <c r="A118" i="231"/>
  <c r="A117" i="231"/>
  <c r="A116" i="231"/>
  <c r="A115" i="231"/>
  <c r="A114" i="231"/>
  <c r="A113" i="231"/>
  <c r="A112" i="231"/>
  <c r="A111" i="231"/>
  <c r="A110" i="231"/>
  <c r="D109" i="231"/>
  <c r="A109" i="231"/>
  <c r="A108" i="231"/>
  <c r="A107" i="231"/>
  <c r="A106" i="231"/>
  <c r="A105" i="231"/>
  <c r="A104" i="231"/>
  <c r="A103" i="231"/>
  <c r="A102" i="231"/>
  <c r="A101" i="231"/>
  <c r="A100" i="231"/>
  <c r="D99" i="231"/>
  <c r="A99" i="231"/>
  <c r="A98" i="231"/>
  <c r="A97" i="231"/>
  <c r="A96" i="231"/>
  <c r="A95" i="231"/>
  <c r="A94" i="231"/>
  <c r="A93" i="231"/>
  <c r="A92" i="231"/>
  <c r="A91" i="231"/>
  <c r="A90" i="231"/>
  <c r="D89" i="231"/>
  <c r="A89" i="231"/>
  <c r="A88" i="231"/>
  <c r="A87" i="231"/>
  <c r="A86" i="231"/>
  <c r="A85" i="231"/>
  <c r="A84" i="231"/>
  <c r="A83" i="231"/>
  <c r="A82" i="231"/>
  <c r="A81" i="231"/>
  <c r="A80" i="231"/>
  <c r="D79" i="231"/>
  <c r="A79" i="231"/>
  <c r="A78" i="231"/>
  <c r="A77" i="231"/>
  <c r="A76" i="231"/>
  <c r="A75" i="231"/>
  <c r="A74" i="231"/>
  <c r="A73" i="231"/>
  <c r="A72" i="231"/>
  <c r="A71" i="231"/>
  <c r="A70" i="231"/>
  <c r="D69" i="231"/>
  <c r="A69" i="231"/>
  <c r="A68" i="231"/>
  <c r="A67" i="231"/>
  <c r="A66" i="231"/>
  <c r="A65" i="231"/>
  <c r="A64" i="231"/>
  <c r="A63" i="231"/>
  <c r="A62" i="231"/>
  <c r="A61" i="231"/>
  <c r="A60" i="231"/>
  <c r="D59" i="231"/>
  <c r="A59" i="231"/>
  <c r="A58" i="231"/>
  <c r="A57" i="231"/>
  <c r="A56" i="231"/>
  <c r="A55" i="231"/>
  <c r="A54" i="231"/>
  <c r="A53" i="231"/>
  <c r="A52" i="231"/>
  <c r="A51" i="231"/>
  <c r="A50" i="231"/>
  <c r="D49" i="231"/>
  <c r="A49" i="231"/>
  <c r="A48" i="231"/>
  <c r="A47" i="231"/>
  <c r="A46" i="231"/>
  <c r="A45" i="231"/>
  <c r="A44" i="231"/>
  <c r="A43" i="231"/>
  <c r="A42" i="231"/>
  <c r="A41" i="231"/>
  <c r="A40" i="231"/>
  <c r="D39" i="231"/>
  <c r="A39" i="231"/>
  <c r="A38" i="231"/>
  <c r="A37" i="231"/>
  <c r="A36" i="231"/>
  <c r="A35" i="231"/>
  <c r="A34" i="231"/>
  <c r="A33" i="231"/>
  <c r="A32" i="231"/>
  <c r="A31" i="231"/>
  <c r="A30" i="231"/>
  <c r="A29" i="231"/>
  <c r="A28" i="231"/>
  <c r="A27" i="231"/>
  <c r="A26" i="231"/>
  <c r="D25" i="231"/>
  <c r="A25" i="231"/>
  <c r="A24" i="231"/>
  <c r="A23" i="231"/>
  <c r="A22" i="231"/>
  <c r="D21" i="231"/>
  <c r="A21" i="231"/>
  <c r="A20" i="231"/>
  <c r="A1025" i="230"/>
  <c r="A1024" i="230"/>
  <c r="A1023" i="230"/>
  <c r="A1022" i="230"/>
  <c r="A1021" i="230"/>
  <c r="D1020" i="230"/>
  <c r="A1020" i="230"/>
  <c r="A1019" i="230"/>
  <c r="A1018" i="230"/>
  <c r="A1017" i="230"/>
  <c r="A1016" i="230"/>
  <c r="A1015" i="230"/>
  <c r="D1014" i="230"/>
  <c r="A1014" i="230"/>
  <c r="A1013" i="230"/>
  <c r="A1012" i="230"/>
  <c r="A1011" i="230"/>
  <c r="A1010" i="230"/>
  <c r="A1009" i="230"/>
  <c r="D1008" i="230"/>
  <c r="A1008" i="230"/>
  <c r="A1007" i="230"/>
  <c r="A1006" i="230"/>
  <c r="A1005" i="230"/>
  <c r="A1004" i="230"/>
  <c r="A1003" i="230"/>
  <c r="D1002" i="230"/>
  <c r="A1002" i="230"/>
  <c r="A1001" i="230"/>
  <c r="A1000" i="230"/>
  <c r="A999" i="230"/>
  <c r="A998" i="230"/>
  <c r="A997" i="230"/>
  <c r="D996" i="230"/>
  <c r="A996" i="230"/>
  <c r="A995" i="230"/>
  <c r="A994" i="230"/>
  <c r="A993" i="230"/>
  <c r="A992" i="230"/>
  <c r="A991" i="230"/>
  <c r="D990" i="230"/>
  <c r="A990" i="230"/>
  <c r="A989" i="230"/>
  <c r="A988" i="230"/>
  <c r="A987" i="230"/>
  <c r="A986" i="230"/>
  <c r="A985" i="230"/>
  <c r="D984" i="230"/>
  <c r="A984" i="230"/>
  <c r="A983" i="230"/>
  <c r="A982" i="230"/>
  <c r="A981" i="230"/>
  <c r="A980" i="230"/>
  <c r="A979" i="230"/>
  <c r="D978" i="230"/>
  <c r="A978" i="230"/>
  <c r="A977" i="230"/>
  <c r="A976" i="230"/>
  <c r="A975" i="230"/>
  <c r="A974" i="230"/>
  <c r="A973" i="230"/>
  <c r="D972" i="230"/>
  <c r="A972" i="230"/>
  <c r="A971" i="230"/>
  <c r="A970" i="230"/>
  <c r="A969" i="230"/>
  <c r="A968" i="230"/>
  <c r="A967" i="230"/>
  <c r="D966" i="230"/>
  <c r="A966" i="230"/>
  <c r="A965" i="230"/>
  <c r="A964" i="230"/>
  <c r="A963" i="230"/>
  <c r="A962" i="230"/>
  <c r="A961" i="230"/>
  <c r="D960" i="230"/>
  <c r="A960" i="230"/>
  <c r="A959" i="230"/>
  <c r="A958" i="230"/>
  <c r="A957" i="230"/>
  <c r="A956" i="230"/>
  <c r="A955" i="230"/>
  <c r="D954" i="230"/>
  <c r="A954" i="230"/>
  <c r="A953" i="230"/>
  <c r="A952" i="230"/>
  <c r="A951" i="230"/>
  <c r="A950" i="230"/>
  <c r="A949" i="230"/>
  <c r="D948" i="230"/>
  <c r="A948" i="230"/>
  <c r="A947" i="230"/>
  <c r="A946" i="230"/>
  <c r="A945" i="230"/>
  <c r="A944" i="230"/>
  <c r="A943" i="230"/>
  <c r="D942" i="230"/>
  <c r="A942" i="230"/>
  <c r="A941" i="230"/>
  <c r="A940" i="230"/>
  <c r="A939" i="230"/>
  <c r="A938" i="230"/>
  <c r="A937" i="230"/>
  <c r="D936" i="230"/>
  <c r="A936" i="230"/>
  <c r="A935" i="230"/>
  <c r="A934" i="230"/>
  <c r="A933" i="230"/>
  <c r="A932" i="230"/>
  <c r="A931" i="230"/>
  <c r="D930" i="230"/>
  <c r="A930" i="230"/>
  <c r="A929" i="230"/>
  <c r="A928" i="230"/>
  <c r="A927" i="230"/>
  <c r="A926" i="230"/>
  <c r="A925" i="230"/>
  <c r="D924" i="230"/>
  <c r="A924" i="230"/>
  <c r="A923" i="230"/>
  <c r="A922" i="230"/>
  <c r="A921" i="230"/>
  <c r="A920" i="230"/>
  <c r="A919" i="230"/>
  <c r="D918" i="230"/>
  <c r="A918" i="230"/>
  <c r="A917" i="230"/>
  <c r="A916" i="230"/>
  <c r="A915" i="230"/>
  <c r="A914" i="230"/>
  <c r="A913" i="230"/>
  <c r="D912" i="230"/>
  <c r="A912" i="230"/>
  <c r="A911" i="230"/>
  <c r="A910" i="230"/>
  <c r="A909" i="230"/>
  <c r="A908" i="230"/>
  <c r="A907" i="230"/>
  <c r="D906" i="230"/>
  <c r="A906" i="230"/>
  <c r="A905" i="230"/>
  <c r="A904" i="230"/>
  <c r="A903" i="230"/>
  <c r="A902" i="230"/>
  <c r="A901" i="230"/>
  <c r="D900" i="230"/>
  <c r="A900" i="230"/>
  <c r="A899" i="230"/>
  <c r="A898" i="230"/>
  <c r="A897" i="230"/>
  <c r="A896" i="230"/>
  <c r="A895" i="230"/>
  <c r="D894" i="230"/>
  <c r="A894" i="230"/>
  <c r="A893" i="230"/>
  <c r="A892" i="230"/>
  <c r="A891" i="230"/>
  <c r="A890" i="230"/>
  <c r="A889" i="230"/>
  <c r="D888" i="230"/>
  <c r="A888" i="230"/>
  <c r="A887" i="230"/>
  <c r="A886" i="230"/>
  <c r="A885" i="230"/>
  <c r="A884" i="230"/>
  <c r="A883" i="230"/>
  <c r="D882" i="230"/>
  <c r="A882" i="230"/>
  <c r="A881" i="230"/>
  <c r="A880" i="230"/>
  <c r="A879" i="230"/>
  <c r="A878" i="230"/>
  <c r="A877" i="230"/>
  <c r="D876" i="230"/>
  <c r="A876" i="230"/>
  <c r="A875" i="230"/>
  <c r="A874" i="230"/>
  <c r="A873" i="230"/>
  <c r="A872" i="230"/>
  <c r="A871" i="230"/>
  <c r="D870" i="230"/>
  <c r="A870" i="230"/>
  <c r="A869" i="230"/>
  <c r="A868" i="230"/>
  <c r="A867" i="230"/>
  <c r="A866" i="230"/>
  <c r="A865" i="230"/>
  <c r="A864" i="230"/>
  <c r="A863" i="230"/>
  <c r="A862" i="230"/>
  <c r="A861" i="230"/>
  <c r="A860" i="230"/>
  <c r="A859" i="230"/>
  <c r="A858" i="230"/>
  <c r="A857" i="230"/>
  <c r="A856" i="230"/>
  <c r="A855" i="230"/>
  <c r="A854" i="230"/>
  <c r="A853" i="230"/>
  <c r="A852" i="230"/>
  <c r="A851" i="230"/>
  <c r="A850" i="230"/>
  <c r="D849" i="230"/>
  <c r="A849" i="230"/>
  <c r="A848" i="230"/>
  <c r="A847" i="230"/>
  <c r="A846" i="230"/>
  <c r="A845" i="230"/>
  <c r="A844" i="230"/>
  <c r="D843" i="230"/>
  <c r="A843" i="230"/>
  <c r="A842" i="230"/>
  <c r="A841" i="230"/>
  <c r="A840" i="230"/>
  <c r="A839" i="230"/>
  <c r="A838" i="230"/>
  <c r="D837" i="230"/>
  <c r="A837" i="230"/>
  <c r="A836" i="230"/>
  <c r="A835" i="230"/>
  <c r="A834" i="230"/>
  <c r="A833" i="230"/>
  <c r="A832" i="230"/>
  <c r="D831" i="230"/>
  <c r="A831" i="230"/>
  <c r="A830" i="230"/>
  <c r="A829" i="230"/>
  <c r="A828" i="230"/>
  <c r="A827" i="230"/>
  <c r="A826" i="230"/>
  <c r="D825" i="230"/>
  <c r="A825" i="230"/>
  <c r="A824" i="230"/>
  <c r="A823" i="230"/>
  <c r="A822" i="230"/>
  <c r="A821" i="230"/>
  <c r="A820" i="230"/>
  <c r="D819" i="230"/>
  <c r="A819" i="230"/>
  <c r="A818" i="230"/>
  <c r="A817" i="230"/>
  <c r="A816" i="230"/>
  <c r="A815" i="230"/>
  <c r="A814" i="230"/>
  <c r="D813" i="230"/>
  <c r="A813" i="230"/>
  <c r="A812" i="230"/>
  <c r="A811" i="230"/>
  <c r="A810" i="230"/>
  <c r="A809" i="230"/>
  <c r="A808" i="230"/>
  <c r="A807" i="230"/>
  <c r="A806" i="230"/>
  <c r="A805" i="230"/>
  <c r="A804" i="230"/>
  <c r="A803" i="230"/>
  <c r="A802" i="230"/>
  <c r="D801" i="230"/>
  <c r="A801" i="230"/>
  <c r="A800" i="230"/>
  <c r="A799" i="230"/>
  <c r="A798" i="230"/>
  <c r="A797" i="230"/>
  <c r="A796" i="230"/>
  <c r="D795" i="230"/>
  <c r="A795" i="230"/>
  <c r="A794" i="230"/>
  <c r="A793" i="230"/>
  <c r="A792" i="230"/>
  <c r="A791" i="230"/>
  <c r="A790" i="230"/>
  <c r="D789" i="230"/>
  <c r="A789" i="230"/>
  <c r="A788" i="230"/>
  <c r="A787" i="230"/>
  <c r="A786" i="230"/>
  <c r="A785" i="230"/>
  <c r="A784" i="230"/>
  <c r="D783" i="230"/>
  <c r="A783" i="230"/>
  <c r="A782" i="230"/>
  <c r="A781" i="230"/>
  <c r="A780" i="230"/>
  <c r="A779" i="230"/>
  <c r="A778" i="230"/>
  <c r="D777" i="230"/>
  <c r="A777" i="230"/>
  <c r="A776" i="230"/>
  <c r="A775" i="230"/>
  <c r="A774" i="230"/>
  <c r="A773" i="230"/>
  <c r="A772" i="230"/>
  <c r="A771" i="230"/>
  <c r="D770" i="230"/>
  <c r="A770" i="230"/>
  <c r="A769" i="230"/>
  <c r="A768" i="230"/>
  <c r="A767" i="230"/>
  <c r="D766" i="230"/>
  <c r="A766" i="230"/>
  <c r="A765" i="230"/>
  <c r="A764" i="230"/>
  <c r="A763" i="230"/>
  <c r="D762" i="230"/>
  <c r="A762" i="230"/>
  <c r="A761" i="230"/>
  <c r="A760" i="230"/>
  <c r="A759" i="230"/>
  <c r="D758" i="230"/>
  <c r="A758" i="230"/>
  <c r="A757" i="230"/>
  <c r="A756" i="230"/>
  <c r="D755" i="230"/>
  <c r="A755" i="230"/>
  <c r="A754" i="230"/>
  <c r="A753" i="230"/>
  <c r="A752" i="230"/>
  <c r="A751" i="230"/>
  <c r="A750" i="230"/>
  <c r="A749" i="230"/>
  <c r="A748" i="230"/>
  <c r="A747" i="230"/>
  <c r="A746" i="230"/>
  <c r="A745" i="230"/>
  <c r="A744" i="230"/>
  <c r="A743" i="230"/>
  <c r="A742" i="230"/>
  <c r="A741" i="230"/>
  <c r="D740" i="230"/>
  <c r="A740" i="230"/>
  <c r="A739" i="230"/>
  <c r="A738" i="230"/>
  <c r="A737" i="230"/>
  <c r="A736" i="230"/>
  <c r="A735" i="230"/>
  <c r="D734" i="230"/>
  <c r="A734" i="230"/>
  <c r="A733" i="230"/>
  <c r="A732" i="230"/>
  <c r="A731" i="230"/>
  <c r="A730" i="230"/>
  <c r="A729" i="230"/>
  <c r="A728" i="230"/>
  <c r="A727" i="230"/>
  <c r="A726" i="230"/>
  <c r="A725" i="230"/>
  <c r="D724" i="230"/>
  <c r="A724" i="230"/>
  <c r="A723" i="230"/>
  <c r="A722" i="230"/>
  <c r="A721" i="230"/>
  <c r="A720" i="230"/>
  <c r="A719" i="230"/>
  <c r="A718" i="230"/>
  <c r="A717" i="230"/>
  <c r="A716" i="230"/>
  <c r="A715" i="230"/>
  <c r="D714" i="230"/>
  <c r="A714" i="230"/>
  <c r="A713" i="230"/>
  <c r="A712" i="230"/>
  <c r="A711" i="230"/>
  <c r="A710" i="230"/>
  <c r="A709" i="230"/>
  <c r="A708" i="230"/>
  <c r="A707" i="230"/>
  <c r="A706" i="230"/>
  <c r="A705" i="230"/>
  <c r="D704" i="230"/>
  <c r="A704" i="230"/>
  <c r="A703" i="230"/>
  <c r="A702" i="230"/>
  <c r="A701" i="230"/>
  <c r="A700" i="230"/>
  <c r="A699" i="230"/>
  <c r="A698" i="230"/>
  <c r="A697" i="230"/>
  <c r="A696" i="230"/>
  <c r="A695" i="230"/>
  <c r="D694" i="230"/>
  <c r="A694" i="230"/>
  <c r="A693" i="230"/>
  <c r="A692" i="230"/>
  <c r="A691" i="230"/>
  <c r="A690" i="230"/>
  <c r="A689" i="230"/>
  <c r="A688" i="230"/>
  <c r="A687" i="230"/>
  <c r="A686" i="230"/>
  <c r="A685" i="230"/>
  <c r="D684" i="230"/>
  <c r="A684" i="230"/>
  <c r="A683" i="230"/>
  <c r="A682" i="230"/>
  <c r="A681" i="230"/>
  <c r="A680" i="230"/>
  <c r="A679" i="230"/>
  <c r="A678" i="230"/>
  <c r="A677" i="230"/>
  <c r="A676" i="230"/>
  <c r="A675" i="230"/>
  <c r="D674" i="230"/>
  <c r="A674" i="230"/>
  <c r="A673" i="230"/>
  <c r="A672" i="230"/>
  <c r="A671" i="230"/>
  <c r="A670" i="230"/>
  <c r="A669" i="230"/>
  <c r="A668" i="230"/>
  <c r="A667" i="230"/>
  <c r="A666" i="230"/>
  <c r="A665" i="230"/>
  <c r="A664" i="230"/>
  <c r="A663" i="230"/>
  <c r="D662" i="230"/>
  <c r="A662" i="230"/>
  <c r="A661" i="230"/>
  <c r="A660" i="230"/>
  <c r="A659" i="230"/>
  <c r="A658" i="230"/>
  <c r="A657" i="230"/>
  <c r="A656" i="230"/>
  <c r="A655" i="230"/>
  <c r="A654" i="230"/>
  <c r="A653" i="230"/>
  <c r="A652" i="230"/>
  <c r="A651" i="230"/>
  <c r="D650" i="230"/>
  <c r="A650" i="230"/>
  <c r="A649" i="230"/>
  <c r="A648" i="230"/>
  <c r="A647" i="230"/>
  <c r="A646" i="230"/>
  <c r="A645" i="230"/>
  <c r="A644" i="230"/>
  <c r="A643" i="230"/>
  <c r="A642" i="230"/>
  <c r="A641" i="230"/>
  <c r="D640" i="230"/>
  <c r="A640" i="230"/>
  <c r="A639" i="230"/>
  <c r="A638" i="230"/>
  <c r="A637" i="230"/>
  <c r="A636" i="230"/>
  <c r="A635" i="230"/>
  <c r="A634" i="230"/>
  <c r="A633" i="230"/>
  <c r="A632" i="230"/>
  <c r="A631" i="230"/>
  <c r="D630" i="230"/>
  <c r="A630" i="230"/>
  <c r="A629" i="230"/>
  <c r="A628" i="230"/>
  <c r="A627" i="230"/>
  <c r="A626" i="230"/>
  <c r="A625" i="230"/>
  <c r="A624" i="230"/>
  <c r="A623" i="230"/>
  <c r="A622" i="230"/>
  <c r="A621" i="230"/>
  <c r="D620" i="230"/>
  <c r="A620" i="230"/>
  <c r="A619" i="230"/>
  <c r="A618" i="230"/>
  <c r="A617" i="230"/>
  <c r="A616" i="230"/>
  <c r="A615" i="230"/>
  <c r="A614" i="230"/>
  <c r="A613" i="230"/>
  <c r="A612" i="230"/>
  <c r="A611" i="230"/>
  <c r="D610" i="230"/>
  <c r="A610" i="230"/>
  <c r="A609" i="230"/>
  <c r="A608" i="230"/>
  <c r="A607" i="230"/>
  <c r="A606" i="230"/>
  <c r="A605" i="230"/>
  <c r="A604" i="230"/>
  <c r="A603" i="230"/>
  <c r="A602" i="230"/>
  <c r="A601" i="230"/>
  <c r="D600" i="230"/>
  <c r="A600" i="230"/>
  <c r="A599" i="230"/>
  <c r="A598" i="230"/>
  <c r="A597" i="230"/>
  <c r="A596" i="230"/>
  <c r="A595" i="230"/>
  <c r="A594" i="230"/>
  <c r="A593" i="230"/>
  <c r="A592" i="230"/>
  <c r="A591" i="230"/>
  <c r="D590" i="230"/>
  <c r="A590" i="230"/>
  <c r="A589" i="230"/>
  <c r="A588" i="230"/>
  <c r="A587" i="230"/>
  <c r="A586" i="230"/>
  <c r="A585" i="230"/>
  <c r="A584" i="230"/>
  <c r="A583" i="230"/>
  <c r="A582" i="230"/>
  <c r="A581" i="230"/>
  <c r="D580" i="230"/>
  <c r="A580" i="230"/>
  <c r="A579" i="230"/>
  <c r="A578" i="230"/>
  <c r="A577" i="230"/>
  <c r="A576" i="230"/>
  <c r="A575" i="230"/>
  <c r="A574" i="230"/>
  <c r="A573" i="230"/>
  <c r="A572" i="230"/>
  <c r="A571" i="230"/>
  <c r="A570" i="230"/>
  <c r="A569" i="230"/>
  <c r="A568" i="230"/>
  <c r="A567" i="230"/>
  <c r="A566" i="230"/>
  <c r="A565" i="230"/>
  <c r="A564" i="230"/>
  <c r="A563" i="230"/>
  <c r="A562" i="230"/>
  <c r="A561" i="230"/>
  <c r="A560" i="230"/>
  <c r="A559" i="230"/>
  <c r="A558" i="230"/>
  <c r="A557" i="230"/>
  <c r="D556" i="230"/>
  <c r="A556" i="230"/>
  <c r="A555" i="230"/>
  <c r="A554" i="230"/>
  <c r="A553" i="230"/>
  <c r="A552" i="230"/>
  <c r="A551" i="230"/>
  <c r="A550" i="230"/>
  <c r="A549" i="230"/>
  <c r="A548" i="230"/>
  <c r="A547" i="230"/>
  <c r="D546" i="230"/>
  <c r="A546" i="230"/>
  <c r="A545" i="230"/>
  <c r="A544" i="230"/>
  <c r="A543" i="230"/>
  <c r="A542" i="230"/>
  <c r="A541" i="230"/>
  <c r="A540" i="230"/>
  <c r="A539" i="230"/>
  <c r="A538" i="230"/>
  <c r="A537" i="230"/>
  <c r="D536" i="230"/>
  <c r="A536" i="230"/>
  <c r="A535" i="230"/>
  <c r="A534" i="230"/>
  <c r="A533" i="230"/>
  <c r="A532" i="230"/>
  <c r="A531" i="230"/>
  <c r="A530" i="230"/>
  <c r="A529" i="230"/>
  <c r="A528" i="230"/>
  <c r="A527" i="230"/>
  <c r="D526" i="230"/>
  <c r="A526" i="230"/>
  <c r="A525" i="230"/>
  <c r="A524" i="230"/>
  <c r="A523" i="230"/>
  <c r="A522" i="230"/>
  <c r="A521" i="230"/>
  <c r="A520" i="230"/>
  <c r="A519" i="230"/>
  <c r="A518" i="230"/>
  <c r="A517" i="230"/>
  <c r="D516" i="230"/>
  <c r="A516" i="230"/>
  <c r="A515" i="230"/>
  <c r="A514" i="230"/>
  <c r="A513" i="230"/>
  <c r="A512" i="230"/>
  <c r="A511" i="230"/>
  <c r="A510" i="230"/>
  <c r="A509" i="230"/>
  <c r="A508" i="230"/>
  <c r="A507" i="230"/>
  <c r="D506" i="230"/>
  <c r="A506" i="230"/>
  <c r="A505" i="230"/>
  <c r="A504" i="230"/>
  <c r="A503" i="230"/>
  <c r="A502" i="230"/>
  <c r="A501" i="230"/>
  <c r="A500" i="230"/>
  <c r="A499" i="230"/>
  <c r="A498" i="230"/>
  <c r="A497" i="230"/>
  <c r="D496" i="230"/>
  <c r="A496" i="230"/>
  <c r="A495" i="230"/>
  <c r="A494" i="230"/>
  <c r="A493" i="230"/>
  <c r="A492" i="230"/>
  <c r="A491" i="230"/>
  <c r="A490" i="230"/>
  <c r="A489" i="230"/>
  <c r="A488" i="230"/>
  <c r="A487" i="230"/>
  <c r="D486" i="230"/>
  <c r="A486" i="230"/>
  <c r="A485" i="230"/>
  <c r="A484" i="230"/>
  <c r="A483" i="230"/>
  <c r="A482" i="230"/>
  <c r="A481" i="230"/>
  <c r="A480" i="230"/>
  <c r="A479" i="230"/>
  <c r="A478" i="230"/>
  <c r="A477" i="230"/>
  <c r="D476" i="230"/>
  <c r="A476" i="230"/>
  <c r="A475" i="230"/>
  <c r="A474" i="230"/>
  <c r="A473" i="230"/>
  <c r="A472" i="230"/>
  <c r="A471" i="230"/>
  <c r="A470" i="230"/>
  <c r="A469" i="230"/>
  <c r="A468" i="230"/>
  <c r="A467" i="230"/>
  <c r="D466" i="230"/>
  <c r="A466" i="230"/>
  <c r="A465" i="230"/>
  <c r="A464" i="230"/>
  <c r="A463" i="230"/>
  <c r="A462" i="230"/>
  <c r="A461" i="230"/>
  <c r="A460" i="230"/>
  <c r="A459" i="230"/>
  <c r="A458" i="230"/>
  <c r="A457" i="230"/>
  <c r="D456" i="230"/>
  <c r="A456" i="230"/>
  <c r="A455" i="230"/>
  <c r="A454" i="230"/>
  <c r="A453" i="230"/>
  <c r="A452" i="230"/>
  <c r="A451" i="230"/>
  <c r="A450" i="230"/>
  <c r="A449" i="230"/>
  <c r="A448" i="230"/>
  <c r="A447" i="230"/>
  <c r="D446" i="230"/>
  <c r="A446" i="230"/>
  <c r="A445" i="230"/>
  <c r="A444" i="230"/>
  <c r="A443" i="230"/>
  <c r="A442" i="230"/>
  <c r="A441" i="230"/>
  <c r="A440" i="230"/>
  <c r="A439" i="230"/>
  <c r="A438" i="230"/>
  <c r="A437" i="230"/>
  <c r="D436" i="230"/>
  <c r="A436" i="230"/>
  <c r="A435" i="230"/>
  <c r="A434" i="230"/>
  <c r="A433" i="230"/>
  <c r="A432" i="230"/>
  <c r="A431" i="230"/>
  <c r="A430" i="230"/>
  <c r="A429" i="230"/>
  <c r="A428" i="230"/>
  <c r="A427" i="230"/>
  <c r="D426" i="230"/>
  <c r="A426" i="230"/>
  <c r="A425" i="230"/>
  <c r="A424" i="230"/>
  <c r="A423" i="230"/>
  <c r="A422" i="230"/>
  <c r="A421" i="230"/>
  <c r="A420" i="230"/>
  <c r="A419" i="230"/>
  <c r="A418" i="230"/>
  <c r="A417" i="230"/>
  <c r="D416" i="230"/>
  <c r="A416" i="230"/>
  <c r="A415" i="230"/>
  <c r="A414" i="230"/>
  <c r="A413" i="230"/>
  <c r="A412" i="230"/>
  <c r="A411" i="230"/>
  <c r="A410" i="230"/>
  <c r="A409" i="230"/>
  <c r="A408" i="230"/>
  <c r="A407" i="230"/>
  <c r="A406" i="230"/>
  <c r="D405" i="230"/>
  <c r="A405" i="230"/>
  <c r="A404" i="230"/>
  <c r="A403" i="230"/>
  <c r="A402" i="230"/>
  <c r="A401" i="230"/>
  <c r="A400" i="230"/>
  <c r="A399" i="230"/>
  <c r="A398" i="230"/>
  <c r="A397" i="230"/>
  <c r="A396" i="230"/>
  <c r="A395" i="230"/>
  <c r="A394" i="230"/>
  <c r="A393" i="230"/>
  <c r="A392" i="230"/>
  <c r="A391" i="230"/>
  <c r="A390" i="230"/>
  <c r="A389" i="230"/>
  <c r="A388" i="230"/>
  <c r="A387" i="230"/>
  <c r="A386" i="230"/>
  <c r="A385" i="230"/>
  <c r="A384" i="230"/>
  <c r="A383" i="230"/>
  <c r="A382" i="230"/>
  <c r="A381" i="230"/>
  <c r="A380" i="230"/>
  <c r="A379" i="230"/>
  <c r="A378" i="230"/>
  <c r="A377" i="230"/>
  <c r="A376" i="230"/>
  <c r="A375" i="230"/>
  <c r="A374" i="230"/>
  <c r="A373" i="230"/>
  <c r="A372" i="230"/>
  <c r="D371" i="230"/>
  <c r="A371" i="230"/>
  <c r="A370" i="230"/>
  <c r="A369" i="230"/>
  <c r="A368" i="230"/>
  <c r="A367" i="230"/>
  <c r="A366" i="230"/>
  <c r="A365" i="230"/>
  <c r="A364" i="230"/>
  <c r="A363" i="230"/>
  <c r="A362" i="230"/>
  <c r="D361" i="230"/>
  <c r="A361" i="230"/>
  <c r="A360" i="230"/>
  <c r="A359" i="230"/>
  <c r="A358" i="230"/>
  <c r="A357" i="230"/>
  <c r="A356" i="230"/>
  <c r="A355" i="230"/>
  <c r="A354" i="230"/>
  <c r="A353" i="230"/>
  <c r="A352" i="230"/>
  <c r="D351" i="230"/>
  <c r="A351" i="230"/>
  <c r="A350" i="230"/>
  <c r="A349" i="230"/>
  <c r="A348" i="230"/>
  <c r="A347" i="230"/>
  <c r="A346" i="230"/>
  <c r="A345" i="230"/>
  <c r="A344" i="230"/>
  <c r="A343" i="230"/>
  <c r="A342" i="230"/>
  <c r="D341" i="230"/>
  <c r="A341" i="230"/>
  <c r="A340" i="230"/>
  <c r="A339" i="230"/>
  <c r="A338" i="230"/>
  <c r="A337" i="230"/>
  <c r="A336" i="230"/>
  <c r="A335" i="230"/>
  <c r="A334" i="230"/>
  <c r="A333" i="230"/>
  <c r="A332" i="230"/>
  <c r="D331" i="230"/>
  <c r="A331" i="230"/>
  <c r="A330" i="230"/>
  <c r="A329" i="230"/>
  <c r="A328" i="230"/>
  <c r="A327" i="230"/>
  <c r="A326" i="230"/>
  <c r="A325" i="230"/>
  <c r="A324" i="230"/>
  <c r="A323" i="230"/>
  <c r="A322" i="230"/>
  <c r="D321" i="230"/>
  <c r="A321" i="230"/>
  <c r="A320" i="230"/>
  <c r="A319" i="230"/>
  <c r="A318" i="230"/>
  <c r="A317" i="230"/>
  <c r="A316" i="230"/>
  <c r="A315" i="230"/>
  <c r="A314" i="230"/>
  <c r="A313" i="230"/>
  <c r="A312" i="230"/>
  <c r="D311" i="230"/>
  <c r="A311" i="230"/>
  <c r="A310" i="230"/>
  <c r="A309" i="230"/>
  <c r="A308" i="230"/>
  <c r="A307" i="230"/>
  <c r="A306" i="230"/>
  <c r="A305" i="230"/>
  <c r="A304" i="230"/>
  <c r="A303" i="230"/>
  <c r="A302" i="230"/>
  <c r="D301" i="230"/>
  <c r="A301" i="230"/>
  <c r="A300" i="230"/>
  <c r="A299" i="230"/>
  <c r="A298" i="230"/>
  <c r="A297" i="230"/>
  <c r="A296" i="230"/>
  <c r="A295" i="230"/>
  <c r="A294" i="230"/>
  <c r="A293" i="230"/>
  <c r="A292" i="230"/>
  <c r="D291" i="230"/>
  <c r="A291" i="230"/>
  <c r="A290" i="230"/>
  <c r="A289" i="230"/>
  <c r="A288" i="230"/>
  <c r="A287" i="230"/>
  <c r="A286" i="230"/>
  <c r="A285" i="230"/>
  <c r="A284" i="230"/>
  <c r="A283" i="230"/>
  <c r="A282" i="230"/>
  <c r="D281" i="230"/>
  <c r="A281" i="230"/>
  <c r="A280" i="230"/>
  <c r="A279" i="230"/>
  <c r="A278" i="230"/>
  <c r="A277" i="230"/>
  <c r="A276" i="230"/>
  <c r="A275" i="230"/>
  <c r="A274" i="230"/>
  <c r="A273" i="230"/>
  <c r="A272" i="230"/>
  <c r="D271" i="230"/>
  <c r="A271" i="230"/>
  <c r="A270" i="230"/>
  <c r="A269" i="230"/>
  <c r="A268" i="230"/>
  <c r="A267" i="230"/>
  <c r="A266" i="230"/>
  <c r="A265" i="230"/>
  <c r="A264" i="230"/>
  <c r="A263" i="230"/>
  <c r="A262" i="230"/>
  <c r="D261" i="230"/>
  <c r="A261" i="230"/>
  <c r="A260" i="230"/>
  <c r="A259" i="230"/>
  <c r="A258" i="230"/>
  <c r="A257" i="230"/>
  <c r="A256" i="230"/>
  <c r="A255" i="230"/>
  <c r="A254" i="230"/>
  <c r="A253" i="230"/>
  <c r="A252" i="230"/>
  <c r="D251" i="230"/>
  <c r="A251" i="230"/>
  <c r="A250" i="230"/>
  <c r="A249" i="230"/>
  <c r="A248" i="230"/>
  <c r="A247" i="230"/>
  <c r="A246" i="230"/>
  <c r="A245" i="230"/>
  <c r="A244" i="230"/>
  <c r="A243" i="230"/>
  <c r="A242" i="230"/>
  <c r="D241" i="230"/>
  <c r="A241" i="230"/>
  <c r="A240" i="230"/>
  <c r="A239" i="230"/>
  <c r="A238" i="230"/>
  <c r="A237" i="230"/>
  <c r="A236" i="230"/>
  <c r="A235" i="230"/>
  <c r="A234" i="230"/>
  <c r="A233" i="230"/>
  <c r="A232" i="230"/>
  <c r="D231" i="230"/>
  <c r="A231" i="230"/>
  <c r="A230" i="230"/>
  <c r="A229" i="230"/>
  <c r="A228" i="230"/>
  <c r="A227" i="230"/>
  <c r="A226" i="230"/>
  <c r="A225" i="230"/>
  <c r="A224" i="230"/>
  <c r="A223" i="230"/>
  <c r="A222" i="230"/>
  <c r="D221" i="230"/>
  <c r="A221" i="230"/>
  <c r="A220" i="230"/>
  <c r="A219" i="230"/>
  <c r="A218" i="230"/>
  <c r="A217" i="230"/>
  <c r="A216" i="230"/>
  <c r="A215" i="230"/>
  <c r="A214" i="230"/>
  <c r="A213" i="230"/>
  <c r="A212" i="230"/>
  <c r="D211" i="230"/>
  <c r="A211" i="230"/>
  <c r="A210" i="230"/>
  <c r="A209" i="230"/>
  <c r="A208" i="230"/>
  <c r="A207" i="230"/>
  <c r="A206" i="230"/>
  <c r="A205" i="230"/>
  <c r="A204" i="230"/>
  <c r="A203" i="230"/>
  <c r="A202" i="230"/>
  <c r="D201" i="230"/>
  <c r="A201" i="230"/>
  <c r="A200" i="230"/>
  <c r="A199" i="230"/>
  <c r="A198" i="230"/>
  <c r="A197" i="230"/>
  <c r="A196" i="230"/>
  <c r="A195" i="230"/>
  <c r="A194" i="230"/>
  <c r="A193" i="230"/>
  <c r="A192" i="230"/>
  <c r="D191" i="230"/>
  <c r="A191" i="230"/>
  <c r="A190" i="230"/>
  <c r="A189" i="230"/>
  <c r="A188" i="230"/>
  <c r="A187" i="230"/>
  <c r="A186" i="230"/>
  <c r="A185" i="230"/>
  <c r="A184" i="230"/>
  <c r="A183" i="230"/>
  <c r="A182" i="230"/>
  <c r="D181" i="230"/>
  <c r="A181" i="230"/>
  <c r="A180" i="230"/>
  <c r="A179" i="230"/>
  <c r="A178" i="230"/>
  <c r="A177" i="230"/>
  <c r="A176" i="230"/>
  <c r="A175" i="230"/>
  <c r="A174" i="230"/>
  <c r="A173" i="230"/>
  <c r="A172" i="230"/>
  <c r="D171" i="230"/>
  <c r="A171" i="230"/>
  <c r="A170" i="230"/>
  <c r="A169" i="230"/>
  <c r="A168" i="230"/>
  <c r="A167" i="230"/>
  <c r="A166" i="230"/>
  <c r="A165" i="230"/>
  <c r="A164" i="230"/>
  <c r="A163" i="230"/>
  <c r="A162" i="230"/>
  <c r="D161" i="230"/>
  <c r="A161" i="230"/>
  <c r="A160" i="230"/>
  <c r="A159" i="230"/>
  <c r="A158" i="230"/>
  <c r="A157" i="230"/>
  <c r="A156" i="230"/>
  <c r="A155" i="230"/>
  <c r="A154" i="230"/>
  <c r="A153" i="230"/>
  <c r="A152" i="230"/>
  <c r="D151" i="230"/>
  <c r="A151" i="230"/>
  <c r="A150" i="230"/>
  <c r="A149" i="230"/>
  <c r="A148" i="230"/>
  <c r="A147" i="230"/>
  <c r="A146" i="230"/>
  <c r="A145" i="230"/>
  <c r="A144" i="230"/>
  <c r="A143" i="230"/>
  <c r="A142" i="230"/>
  <c r="D141" i="230"/>
  <c r="A141" i="230"/>
  <c r="A140" i="230"/>
  <c r="A139" i="230"/>
  <c r="A138" i="230"/>
  <c r="A137" i="230"/>
  <c r="A136" i="230"/>
  <c r="A135" i="230"/>
  <c r="A134" i="230"/>
  <c r="A133" i="230"/>
  <c r="A132" i="230"/>
  <c r="D131" i="230"/>
  <c r="A131" i="230"/>
  <c r="A130" i="230"/>
  <c r="A129" i="230"/>
  <c r="A128" i="230"/>
  <c r="A127" i="230"/>
  <c r="A126" i="230"/>
  <c r="A125" i="230"/>
  <c r="A124" i="230"/>
  <c r="A123" i="230"/>
  <c r="A122" i="230"/>
  <c r="D121" i="230"/>
  <c r="A121" i="230"/>
  <c r="A120" i="230"/>
  <c r="A119" i="230"/>
  <c r="A118" i="230"/>
  <c r="A117" i="230"/>
  <c r="A116" i="230"/>
  <c r="A115" i="230"/>
  <c r="A114" i="230"/>
  <c r="A113" i="230"/>
  <c r="A112" i="230"/>
  <c r="D111" i="230"/>
  <c r="A111" i="230"/>
  <c r="A110" i="230"/>
  <c r="A109" i="230"/>
  <c r="A108" i="230"/>
  <c r="A107" i="230"/>
  <c r="A106" i="230"/>
  <c r="A105" i="230"/>
  <c r="A104" i="230"/>
  <c r="A103" i="230"/>
  <c r="A102" i="230"/>
  <c r="D101" i="230"/>
  <c r="A101" i="230"/>
  <c r="A100" i="230"/>
  <c r="A99" i="230"/>
  <c r="A98" i="230"/>
  <c r="A97" i="230"/>
  <c r="A96" i="230"/>
  <c r="A95" i="230"/>
  <c r="A94" i="230"/>
  <c r="A93" i="230"/>
  <c r="A92" i="230"/>
  <c r="D91" i="230"/>
  <c r="A91" i="230"/>
  <c r="A90" i="230"/>
  <c r="A89" i="230"/>
  <c r="A88" i="230"/>
  <c r="A87" i="230"/>
  <c r="A86" i="230"/>
  <c r="A85" i="230"/>
  <c r="A84" i="230"/>
  <c r="A83" i="230"/>
  <c r="A82" i="230"/>
  <c r="D81" i="230"/>
  <c r="A81" i="230"/>
  <c r="A80" i="230"/>
  <c r="A79" i="230"/>
  <c r="A78" i="230"/>
  <c r="A77" i="230"/>
  <c r="A76" i="230"/>
  <c r="A75" i="230"/>
  <c r="A74" i="230"/>
  <c r="A73" i="230"/>
  <c r="A72" i="230"/>
  <c r="D71" i="230"/>
  <c r="A71" i="230"/>
  <c r="A70" i="230"/>
  <c r="A69" i="230"/>
  <c r="A68" i="230"/>
  <c r="A67" i="230"/>
  <c r="A66" i="230"/>
  <c r="A65" i="230"/>
  <c r="A64" i="230"/>
  <c r="A63" i="230"/>
  <c r="A62" i="230"/>
  <c r="D61" i="230"/>
  <c r="A61" i="230"/>
  <c r="A60" i="230"/>
  <c r="A59" i="230"/>
  <c r="A58" i="230"/>
  <c r="A57" i="230"/>
  <c r="A56" i="230"/>
  <c r="A55" i="230"/>
  <c r="A54" i="230"/>
  <c r="A53" i="230"/>
  <c r="A52" i="230"/>
  <c r="D51" i="230"/>
  <c r="A51" i="230"/>
  <c r="A50" i="230"/>
  <c r="A49" i="230"/>
  <c r="A48" i="230"/>
  <c r="A47" i="230"/>
  <c r="A46" i="230"/>
  <c r="A45" i="230"/>
  <c r="A44" i="230"/>
  <c r="A43" i="230"/>
  <c r="A42" i="230"/>
  <c r="D41" i="230"/>
  <c r="A41" i="230"/>
  <c r="A40" i="230"/>
  <c r="A39" i="230"/>
  <c r="A38" i="230"/>
  <c r="A37" i="230"/>
  <c r="A36" i="230"/>
  <c r="A35" i="230"/>
  <c r="A34" i="230"/>
  <c r="A33" i="230"/>
  <c r="A32" i="230"/>
  <c r="A31" i="230"/>
  <c r="A30" i="230"/>
  <c r="D29" i="230"/>
  <c r="A29" i="230"/>
  <c r="A28" i="230"/>
  <c r="A27" i="230"/>
  <c r="A26" i="230"/>
  <c r="D25" i="230"/>
  <c r="A25" i="230"/>
  <c r="A24" i="230"/>
  <c r="A23" i="230"/>
  <c r="A22" i="230"/>
  <c r="D21" i="230"/>
  <c r="A21" i="230"/>
  <c r="A20" i="230"/>
  <c r="A24" i="41" l="1"/>
  <c r="A37" i="41"/>
  <c r="A37" i="180"/>
  <c r="A24" i="180"/>
  <c r="A37" i="42"/>
  <c r="A24" i="42"/>
  <c r="A23" i="164"/>
  <c r="A23" i="163"/>
  <c r="A22" i="161"/>
  <c r="A23" i="165"/>
  <c r="A29" i="165"/>
  <c r="A29" i="164"/>
  <c r="A29" i="163"/>
  <c r="A28" i="161"/>
  <c r="A39" i="246" l="1"/>
  <c r="A23" i="246"/>
  <c r="A38" i="250"/>
  <c r="A21" i="250"/>
  <c r="A23" i="248"/>
  <c r="A38" i="248"/>
  <c r="A33" i="39"/>
  <c r="A34" i="39"/>
  <c r="A121" i="254" l="1"/>
  <c r="A120" i="254"/>
  <c r="A119" i="254"/>
  <c r="A118" i="254"/>
  <c r="A117" i="254"/>
  <c r="A116" i="254"/>
  <c r="A115" i="254"/>
  <c r="A114" i="254"/>
  <c r="A113" i="254"/>
  <c r="A112" i="254"/>
  <c r="A111" i="254"/>
  <c r="A110" i="254"/>
  <c r="A109" i="254"/>
  <c r="A108" i="254"/>
  <c r="A107" i="254"/>
  <c r="A106" i="254"/>
  <c r="A105" i="254"/>
  <c r="A104" i="254"/>
  <c r="D103" i="254"/>
  <c r="A103" i="254"/>
  <c r="A102" i="254"/>
  <c r="A101" i="254"/>
  <c r="A100" i="254"/>
  <c r="A99" i="254"/>
  <c r="A98" i="254"/>
  <c r="A97" i="254"/>
  <c r="A96" i="254"/>
  <c r="A95" i="254"/>
  <c r="A94" i="254"/>
  <c r="A93" i="254"/>
  <c r="A92" i="254"/>
  <c r="A91" i="254"/>
  <c r="D90" i="254"/>
  <c r="A90" i="254"/>
  <c r="A89" i="254"/>
  <c r="A88" i="254"/>
  <c r="A87" i="254"/>
  <c r="A86" i="254"/>
  <c r="A85" i="254"/>
  <c r="A84" i="254"/>
  <c r="A83" i="254"/>
  <c r="A82" i="254"/>
  <c r="A81" i="254"/>
  <c r="A80" i="254"/>
  <c r="A79" i="254"/>
  <c r="A78" i="254"/>
  <c r="A77" i="254"/>
  <c r="A76" i="254"/>
  <c r="A75" i="254"/>
  <c r="A74" i="254"/>
  <c r="A73" i="254"/>
  <c r="A72" i="254"/>
  <c r="A71" i="254"/>
  <c r="A70" i="254"/>
  <c r="A69" i="254"/>
  <c r="D68" i="254"/>
  <c r="A68" i="254"/>
  <c r="A67" i="254"/>
  <c r="A66" i="254"/>
  <c r="A65" i="254"/>
  <c r="A64" i="254"/>
  <c r="A63" i="254"/>
  <c r="A62" i="254"/>
  <c r="A61" i="254"/>
  <c r="A60" i="254"/>
  <c r="A59" i="254"/>
  <c r="A58" i="254"/>
  <c r="A57" i="254"/>
  <c r="A56" i="254"/>
  <c r="A55" i="254"/>
  <c r="A54" i="254"/>
  <c r="A53" i="254"/>
  <c r="A52" i="254"/>
  <c r="A51" i="254"/>
  <c r="A50" i="254"/>
  <c r="A49" i="254"/>
  <c r="A48" i="254"/>
  <c r="A47" i="254"/>
  <c r="A46" i="254"/>
  <c r="A45" i="254"/>
  <c r="A44" i="254"/>
  <c r="D43" i="254"/>
  <c r="A43" i="254"/>
  <c r="A42" i="254"/>
  <c r="D41" i="254"/>
  <c r="A41" i="254"/>
  <c r="A40" i="254"/>
  <c r="A39" i="254"/>
  <c r="A38" i="254"/>
  <c r="A37" i="254"/>
  <c r="A36" i="254"/>
  <c r="A35" i="254"/>
  <c r="A34" i="254"/>
  <c r="A33" i="254"/>
  <c r="A32" i="254"/>
  <c r="A31" i="254"/>
  <c r="A30" i="254"/>
  <c r="A29" i="254"/>
  <c r="A28" i="254"/>
  <c r="D27" i="254"/>
  <c r="A27" i="254"/>
  <c r="A26" i="254"/>
  <c r="D25" i="254"/>
  <c r="A25" i="254"/>
  <c r="D24" i="254"/>
  <c r="A24" i="254"/>
  <c r="D23" i="254"/>
  <c r="A23" i="254"/>
  <c r="D22" i="254"/>
  <c r="A22" i="254"/>
  <c r="A21" i="254"/>
  <c r="A20" i="254"/>
  <c r="A142" i="253"/>
  <c r="A141" i="253"/>
  <c r="A140" i="253"/>
  <c r="A139" i="253"/>
  <c r="A138" i="253"/>
  <c r="A137" i="253"/>
  <c r="A136" i="253"/>
  <c r="A135" i="253"/>
  <c r="A134" i="253"/>
  <c r="A133" i="253"/>
  <c r="A132" i="253"/>
  <c r="A131" i="253"/>
  <c r="A130" i="253"/>
  <c r="D129" i="253"/>
  <c r="A129" i="253"/>
  <c r="A128" i="253"/>
  <c r="A127" i="253"/>
  <c r="A126" i="253"/>
  <c r="A125" i="253"/>
  <c r="A124" i="253"/>
  <c r="A123" i="253"/>
  <c r="A122" i="253"/>
  <c r="A121" i="253"/>
  <c r="A120" i="253"/>
  <c r="A119" i="253"/>
  <c r="D118" i="253"/>
  <c r="A118" i="253"/>
  <c r="A117" i="253"/>
  <c r="A116" i="253"/>
  <c r="A115" i="253"/>
  <c r="A114" i="253"/>
  <c r="A113" i="253"/>
  <c r="A112" i="253"/>
  <c r="A111" i="253"/>
  <c r="A110" i="253"/>
  <c r="A109" i="253"/>
  <c r="A108" i="253"/>
  <c r="A107" i="253"/>
  <c r="A106" i="253"/>
  <c r="A105" i="253"/>
  <c r="A104" i="253"/>
  <c r="A103" i="253"/>
  <c r="A102" i="253"/>
  <c r="A101" i="253"/>
  <c r="A100" i="253"/>
  <c r="A99" i="253"/>
  <c r="A98" i="253"/>
  <c r="A97" i="253"/>
  <c r="A96" i="253"/>
  <c r="A95" i="253"/>
  <c r="A94" i="253"/>
  <c r="A93" i="253"/>
  <c r="A92" i="253"/>
  <c r="A91" i="253"/>
  <c r="A90" i="253"/>
  <c r="D89" i="253"/>
  <c r="A89" i="253"/>
  <c r="A88" i="253"/>
  <c r="A87" i="253"/>
  <c r="A86" i="253"/>
  <c r="A85" i="253"/>
  <c r="A84" i="253"/>
  <c r="A83" i="253"/>
  <c r="A82" i="253"/>
  <c r="A81" i="253"/>
  <c r="A80" i="253"/>
  <c r="A79" i="253"/>
  <c r="A78" i="253"/>
  <c r="A77" i="253"/>
  <c r="A76" i="253"/>
  <c r="A75" i="253"/>
  <c r="A74" i="253"/>
  <c r="A73" i="253"/>
  <c r="A72" i="253"/>
  <c r="A71" i="253"/>
  <c r="A70" i="253"/>
  <c r="A69" i="253"/>
  <c r="A68" i="253"/>
  <c r="A67" i="253"/>
  <c r="A66" i="253"/>
  <c r="A65" i="253"/>
  <c r="A64" i="253"/>
  <c r="A63" i="253"/>
  <c r="A62" i="253"/>
  <c r="A61" i="253"/>
  <c r="A60" i="253"/>
  <c r="A59" i="253"/>
  <c r="A58" i="253"/>
  <c r="A57" i="253"/>
  <c r="A56" i="253"/>
  <c r="D55" i="253"/>
  <c r="A55" i="253"/>
  <c r="A54" i="253"/>
  <c r="A53" i="253"/>
  <c r="A52" i="253"/>
  <c r="A51" i="253"/>
  <c r="A50" i="253"/>
  <c r="A49" i="253"/>
  <c r="A48" i="253"/>
  <c r="A47" i="253"/>
  <c r="A46" i="253"/>
  <c r="A45" i="253"/>
  <c r="A44" i="253"/>
  <c r="A43" i="253"/>
  <c r="A42" i="253"/>
  <c r="A41" i="253"/>
  <c r="A40" i="253"/>
  <c r="A39" i="253"/>
  <c r="A38" i="253"/>
  <c r="A37" i="253"/>
  <c r="A36" i="253"/>
  <c r="A35" i="253"/>
  <c r="A34" i="253"/>
  <c r="A33" i="253"/>
  <c r="A32" i="253"/>
  <c r="A31" i="253"/>
  <c r="A30" i="253"/>
  <c r="A29" i="253"/>
  <c r="A28" i="253"/>
  <c r="A27" i="253"/>
  <c r="A26" i="253"/>
  <c r="D25" i="253"/>
  <c r="A25" i="253"/>
  <c r="A24" i="253"/>
  <c r="D23" i="253"/>
  <c r="A23" i="253"/>
  <c r="D22" i="253"/>
  <c r="A22" i="253"/>
  <c r="A21" i="253"/>
  <c r="A20" i="253"/>
  <c r="A115" i="252"/>
  <c r="A114" i="252"/>
  <c r="A113" i="252"/>
  <c r="A112" i="252"/>
  <c r="A111" i="252"/>
  <c r="A110" i="252"/>
  <c r="A109" i="252"/>
  <c r="A108" i="252"/>
  <c r="A107" i="252"/>
  <c r="A106" i="252"/>
  <c r="A105" i="252"/>
  <c r="A104" i="252"/>
  <c r="A103" i="252"/>
  <c r="A101" i="252"/>
  <c r="A100" i="252"/>
  <c r="A99" i="252"/>
  <c r="A98" i="252"/>
  <c r="A97" i="252"/>
  <c r="A96" i="252"/>
  <c r="A95" i="252"/>
  <c r="A94" i="252"/>
  <c r="A93" i="252"/>
  <c r="A92" i="252"/>
  <c r="A90" i="252"/>
  <c r="A89" i="252"/>
  <c r="A88" i="252"/>
  <c r="A87" i="252"/>
  <c r="A86" i="252"/>
  <c r="A85" i="252"/>
  <c r="A84" i="252"/>
  <c r="A83" i="252"/>
  <c r="A82" i="252"/>
  <c r="A81" i="252"/>
  <c r="A80" i="252"/>
  <c r="A79" i="252"/>
  <c r="A78" i="252"/>
  <c r="A77" i="252"/>
  <c r="A76" i="252"/>
  <c r="A75" i="252"/>
  <c r="A74" i="252"/>
  <c r="A73" i="252"/>
  <c r="A72" i="252"/>
  <c r="A71" i="252"/>
  <c r="A70" i="252"/>
  <c r="A69" i="252"/>
  <c r="A68" i="252"/>
  <c r="A67" i="252"/>
  <c r="A66" i="252"/>
  <c r="A65" i="252"/>
  <c r="A64" i="252"/>
  <c r="A63" i="252"/>
  <c r="A61" i="252"/>
  <c r="A60" i="252"/>
  <c r="A59" i="252"/>
  <c r="A58" i="252"/>
  <c r="A57" i="252"/>
  <c r="A56" i="252"/>
  <c r="A55" i="252"/>
  <c r="A54" i="252"/>
  <c r="A53" i="252"/>
  <c r="A52" i="252"/>
  <c r="A51" i="252"/>
  <c r="A50" i="252"/>
  <c r="A49" i="252"/>
  <c r="A48" i="252"/>
  <c r="A47" i="252"/>
  <c r="A46" i="252"/>
  <c r="A45" i="252"/>
  <c r="A44" i="252"/>
  <c r="A43" i="252"/>
  <c r="A42" i="252"/>
  <c r="A41" i="252"/>
  <c r="A40" i="252"/>
  <c r="A39" i="252"/>
  <c r="A38" i="252"/>
  <c r="A37" i="252"/>
  <c r="A36" i="252"/>
  <c r="A35" i="252"/>
  <c r="A34" i="252"/>
  <c r="A33" i="252"/>
  <c r="A32" i="252"/>
  <c r="A31" i="252"/>
  <c r="A30" i="252"/>
  <c r="A29" i="252"/>
  <c r="A28" i="252"/>
  <c r="A27" i="252"/>
  <c r="A26" i="252"/>
  <c r="D25" i="252"/>
  <c r="A25" i="252"/>
  <c r="A24" i="252"/>
  <c r="D23" i="252"/>
  <c r="A23" i="252"/>
  <c r="D22" i="252"/>
  <c r="A22" i="252"/>
  <c r="A21" i="252"/>
  <c r="A20" i="252"/>
  <c r="A212" i="249"/>
  <c r="A211" i="249"/>
  <c r="A210" i="249"/>
  <c r="A209" i="249"/>
  <c r="A208" i="249"/>
  <c r="A207" i="249"/>
  <c r="A206" i="249"/>
  <c r="A205" i="249"/>
  <c r="A204" i="249"/>
  <c r="A203" i="249"/>
  <c r="A202" i="249"/>
  <c r="A201" i="249"/>
  <c r="A200" i="249"/>
  <c r="A199" i="249"/>
  <c r="A198" i="249"/>
  <c r="D197" i="249"/>
  <c r="A197" i="249"/>
  <c r="A196" i="249"/>
  <c r="A195" i="249"/>
  <c r="A194" i="249"/>
  <c r="A193" i="249"/>
  <c r="D192" i="249"/>
  <c r="A192" i="249"/>
  <c r="A191" i="249"/>
  <c r="A190" i="249"/>
  <c r="A189" i="249"/>
  <c r="A188" i="249"/>
  <c r="A187" i="249"/>
  <c r="A186" i="249"/>
  <c r="D185" i="249"/>
  <c r="A185" i="249"/>
  <c r="A184" i="249"/>
  <c r="A183" i="249"/>
  <c r="A182" i="249"/>
  <c r="A181" i="249"/>
  <c r="A180" i="249"/>
  <c r="A179" i="249"/>
  <c r="A178" i="249"/>
  <c r="A177" i="249"/>
  <c r="A176" i="249"/>
  <c r="A175" i="249"/>
  <c r="D174" i="249"/>
  <c r="A174" i="249"/>
  <c r="A173" i="249"/>
  <c r="A172" i="249"/>
  <c r="A171" i="249"/>
  <c r="A170" i="249"/>
  <c r="A169" i="249"/>
  <c r="A168" i="249"/>
  <c r="A167" i="249"/>
  <c r="A166" i="249"/>
  <c r="A165" i="249"/>
  <c r="A164" i="249"/>
  <c r="D163" i="249"/>
  <c r="A163" i="249"/>
  <c r="A162" i="249"/>
  <c r="A161" i="249"/>
  <c r="A160" i="249"/>
  <c r="A159" i="249"/>
  <c r="A158" i="249"/>
  <c r="A157" i="249"/>
  <c r="A156" i="249"/>
  <c r="A155" i="249"/>
  <c r="A154" i="249"/>
  <c r="A153" i="249"/>
  <c r="A152" i="249"/>
  <c r="D151" i="249"/>
  <c r="A151" i="249"/>
  <c r="A150" i="249"/>
  <c r="A149" i="249"/>
  <c r="A148" i="249"/>
  <c r="A147" i="249"/>
  <c r="A146" i="249"/>
  <c r="A145" i="249"/>
  <c r="A144" i="249"/>
  <c r="A143" i="249"/>
  <c r="A142" i="249"/>
  <c r="A141" i="249"/>
  <c r="A140" i="249"/>
  <c r="A139" i="249"/>
  <c r="A138" i="249"/>
  <c r="A137" i="249"/>
  <c r="A136" i="249"/>
  <c r="A135" i="249"/>
  <c r="A134" i="249"/>
  <c r="A133" i="249"/>
  <c r="A132" i="249"/>
  <c r="A131" i="249"/>
  <c r="A130" i="249"/>
  <c r="A129" i="249"/>
  <c r="A128" i="249"/>
  <c r="A127" i="249"/>
  <c r="A126" i="249"/>
  <c r="A125" i="249"/>
  <c r="A124" i="249"/>
  <c r="A123" i="249"/>
  <c r="A122" i="249"/>
  <c r="A121" i="249"/>
  <c r="A120" i="249"/>
  <c r="A119" i="249"/>
  <c r="A118" i="249"/>
  <c r="A117" i="249"/>
  <c r="A116" i="249"/>
  <c r="A115" i="249"/>
  <c r="A114" i="249"/>
  <c r="A113" i="249"/>
  <c r="A112" i="249"/>
  <c r="A111" i="249"/>
  <c r="A110" i="249"/>
  <c r="A109" i="249"/>
  <c r="A108" i="249"/>
  <c r="A107" i="249"/>
  <c r="A106" i="249"/>
  <c r="A105" i="249"/>
  <c r="A104" i="249"/>
  <c r="A103" i="249"/>
  <c r="A102" i="249"/>
  <c r="A101" i="249"/>
  <c r="A100" i="249"/>
  <c r="A99" i="249"/>
  <c r="A98" i="249"/>
  <c r="A97" i="249"/>
  <c r="A96" i="249"/>
  <c r="A95" i="249"/>
  <c r="A94" i="249"/>
  <c r="D93" i="249"/>
  <c r="A93" i="249"/>
  <c r="A92" i="249"/>
  <c r="A91" i="249"/>
  <c r="A90" i="249"/>
  <c r="A89" i="249"/>
  <c r="A88" i="249"/>
  <c r="A87" i="249"/>
  <c r="A86" i="249"/>
  <c r="A85" i="249"/>
  <c r="A84" i="249"/>
  <c r="A83" i="249"/>
  <c r="A82" i="249"/>
  <c r="A81" i="249"/>
  <c r="A80" i="249"/>
  <c r="A79" i="249"/>
  <c r="A78" i="249"/>
  <c r="A77" i="249"/>
  <c r="A76" i="249"/>
  <c r="A75" i="249"/>
  <c r="A74" i="249"/>
  <c r="A73" i="249"/>
  <c r="A72" i="249"/>
  <c r="A71" i="249"/>
  <c r="A70" i="249"/>
  <c r="A69" i="249"/>
  <c r="A68" i="249"/>
  <c r="A67" i="249"/>
  <c r="A66" i="249"/>
  <c r="A65" i="249"/>
  <c r="D64" i="249"/>
  <c r="A64" i="249"/>
  <c r="A63" i="249"/>
  <c r="A62" i="249"/>
  <c r="A61" i="249"/>
  <c r="A60" i="249"/>
  <c r="A59" i="249"/>
  <c r="A58" i="249"/>
  <c r="A57" i="249"/>
  <c r="A56" i="249"/>
  <c r="A55" i="249"/>
  <c r="D54" i="249"/>
  <c r="A54" i="249"/>
  <c r="A53" i="249"/>
  <c r="A52" i="249"/>
  <c r="A51" i="249"/>
  <c r="A50" i="249"/>
  <c r="A49" i="249"/>
  <c r="A48" i="249"/>
  <c r="A47" i="249"/>
  <c r="A46" i="249"/>
  <c r="A45" i="249"/>
  <c r="A44" i="249"/>
  <c r="A43" i="249"/>
  <c r="A42" i="249"/>
  <c r="A41" i="249"/>
  <c r="A40" i="249"/>
  <c r="A39" i="249"/>
  <c r="A38" i="249"/>
  <c r="A37" i="249"/>
  <c r="A36" i="249"/>
  <c r="A35" i="249"/>
  <c r="A34" i="249"/>
  <c r="A33" i="249"/>
  <c r="A32" i="249"/>
  <c r="A31" i="249"/>
  <c r="A30" i="249"/>
  <c r="A29" i="249"/>
  <c r="A28" i="249"/>
  <c r="A27" i="249"/>
  <c r="D26" i="249"/>
  <c r="A26" i="249"/>
  <c r="A25" i="249"/>
  <c r="D24" i="249"/>
  <c r="A24" i="249"/>
  <c r="D23" i="249"/>
  <c r="A23" i="249"/>
  <c r="A22" i="249"/>
  <c r="D21" i="249"/>
  <c r="A21" i="249"/>
  <c r="A20" i="249"/>
  <c r="A264" i="255"/>
  <c r="A263" i="255"/>
  <c r="A262" i="255"/>
  <c r="A261" i="255"/>
  <c r="A260" i="255"/>
  <c r="A259" i="255"/>
  <c r="A258" i="255"/>
  <c r="A257" i="255"/>
  <c r="A256" i="255"/>
  <c r="A255" i="255"/>
  <c r="A254" i="255"/>
  <c r="A253" i="255"/>
  <c r="A252" i="255"/>
  <c r="A251" i="255"/>
  <c r="A250" i="255"/>
  <c r="A249" i="255"/>
  <c r="A248" i="255"/>
  <c r="A247" i="255"/>
  <c r="A246" i="255"/>
  <c r="A245" i="255"/>
  <c r="A244" i="255"/>
  <c r="A243" i="255"/>
  <c r="A242" i="255"/>
  <c r="A241" i="255"/>
  <c r="A240" i="255"/>
  <c r="A239" i="255"/>
  <c r="A238" i="255"/>
  <c r="A237" i="255"/>
  <c r="A236" i="255"/>
  <c r="D235" i="255"/>
  <c r="A235" i="255"/>
  <c r="A234" i="255"/>
  <c r="A233" i="255"/>
  <c r="A232" i="255"/>
  <c r="A231" i="255"/>
  <c r="A230" i="255"/>
  <c r="A229" i="255"/>
  <c r="A228" i="255"/>
  <c r="A227" i="255"/>
  <c r="A226" i="255"/>
  <c r="A225" i="255"/>
  <c r="A224" i="255"/>
  <c r="D223" i="255"/>
  <c r="A223" i="255"/>
  <c r="A222" i="255"/>
  <c r="A221" i="255"/>
  <c r="A220" i="255"/>
  <c r="A219" i="255"/>
  <c r="A218" i="255"/>
  <c r="A217" i="255"/>
  <c r="A216" i="255"/>
  <c r="A215" i="255"/>
  <c r="A214" i="255"/>
  <c r="A213" i="255"/>
  <c r="A212" i="255"/>
  <c r="D211" i="255"/>
  <c r="A211" i="255"/>
  <c r="A210" i="255"/>
  <c r="A209" i="255"/>
  <c r="A208" i="255"/>
  <c r="A207" i="255"/>
  <c r="A206" i="255"/>
  <c r="A205" i="255"/>
  <c r="A204" i="255"/>
  <c r="A203" i="255"/>
  <c r="A202" i="255"/>
  <c r="A201" i="255"/>
  <c r="A200" i="255"/>
  <c r="A199" i="255"/>
  <c r="D198" i="255"/>
  <c r="A198" i="255"/>
  <c r="A197" i="255"/>
  <c r="A196" i="255"/>
  <c r="A195" i="255"/>
  <c r="A194" i="255"/>
  <c r="A193" i="255"/>
  <c r="A192" i="255"/>
  <c r="A191" i="255"/>
  <c r="A190" i="255"/>
  <c r="A189" i="255"/>
  <c r="A188" i="255"/>
  <c r="A187" i="255"/>
  <c r="A186" i="255"/>
  <c r="D185" i="255"/>
  <c r="A185" i="255"/>
  <c r="A184" i="255"/>
  <c r="A183" i="255"/>
  <c r="A182" i="255"/>
  <c r="A181" i="255"/>
  <c r="A180" i="255"/>
  <c r="A179" i="255"/>
  <c r="A178" i="255"/>
  <c r="A177" i="255"/>
  <c r="A176" i="255"/>
  <c r="A175" i="255"/>
  <c r="A174" i="255"/>
  <c r="D173" i="255"/>
  <c r="A173" i="255"/>
  <c r="A172" i="255"/>
  <c r="A171" i="255"/>
  <c r="A170" i="255"/>
  <c r="A169" i="255"/>
  <c r="A168" i="255"/>
  <c r="A167" i="255"/>
  <c r="A166" i="255"/>
  <c r="A165" i="255"/>
  <c r="A164" i="255"/>
  <c r="A163" i="255"/>
  <c r="A162" i="255"/>
  <c r="A161" i="255"/>
  <c r="A160" i="255"/>
  <c r="A159" i="255"/>
  <c r="A158" i="255"/>
  <c r="A157" i="255"/>
  <c r="A156" i="255"/>
  <c r="A155" i="255"/>
  <c r="A154" i="255"/>
  <c r="A153" i="255"/>
  <c r="A152" i="255"/>
  <c r="A151" i="255"/>
  <c r="A150" i="255"/>
  <c r="A149" i="255"/>
  <c r="A148" i="255"/>
  <c r="A147" i="255"/>
  <c r="A146" i="255"/>
  <c r="A145" i="255"/>
  <c r="A144" i="255"/>
  <c r="A143" i="255"/>
  <c r="A142" i="255"/>
  <c r="A141" i="255"/>
  <c r="A140" i="255"/>
  <c r="A139" i="255"/>
  <c r="A138" i="255"/>
  <c r="A137" i="255"/>
  <c r="A136" i="255"/>
  <c r="A135" i="255"/>
  <c r="A134" i="255"/>
  <c r="A133" i="255"/>
  <c r="A132" i="255"/>
  <c r="A131" i="255"/>
  <c r="A130" i="255"/>
  <c r="A129" i="255"/>
  <c r="A128" i="255"/>
  <c r="A127" i="255"/>
  <c r="A126" i="255"/>
  <c r="A125" i="255"/>
  <c r="A124" i="255"/>
  <c r="A123" i="255"/>
  <c r="A122" i="255"/>
  <c r="A121" i="255"/>
  <c r="A120" i="255"/>
  <c r="A119" i="255"/>
  <c r="A118" i="255"/>
  <c r="A117" i="255"/>
  <c r="A116" i="255"/>
  <c r="A115" i="255"/>
  <c r="A114" i="255"/>
  <c r="A113" i="255"/>
  <c r="A112" i="255"/>
  <c r="A111" i="255"/>
  <c r="A110" i="255"/>
  <c r="A109" i="255"/>
  <c r="A108" i="255"/>
  <c r="A107" i="255"/>
  <c r="A106" i="255"/>
  <c r="A105" i="255"/>
  <c r="A104" i="255"/>
  <c r="A103" i="255"/>
  <c r="A102" i="255"/>
  <c r="A101" i="255"/>
  <c r="A100" i="255"/>
  <c r="D99" i="255"/>
  <c r="A99" i="255"/>
  <c r="A98" i="255"/>
  <c r="A97" i="255"/>
  <c r="A96" i="255"/>
  <c r="A95" i="255"/>
  <c r="A94" i="255"/>
  <c r="A93" i="255"/>
  <c r="A92" i="255"/>
  <c r="A91" i="255"/>
  <c r="A90" i="255"/>
  <c r="A89" i="255"/>
  <c r="A88" i="255"/>
  <c r="A87" i="255"/>
  <c r="A86" i="255"/>
  <c r="A85" i="255"/>
  <c r="A84" i="255"/>
  <c r="A83" i="255"/>
  <c r="A82" i="255"/>
  <c r="A81" i="255"/>
  <c r="A80" i="255"/>
  <c r="A79" i="255"/>
  <c r="A78" i="255"/>
  <c r="A77" i="255"/>
  <c r="A76" i="255"/>
  <c r="A75" i="255"/>
  <c r="A74" i="255"/>
  <c r="A73" i="255"/>
  <c r="A72" i="255"/>
  <c r="A71" i="255"/>
  <c r="A70" i="255"/>
  <c r="D69" i="255"/>
  <c r="A69" i="255"/>
  <c r="A68" i="255"/>
  <c r="A67" i="255"/>
  <c r="A66" i="255"/>
  <c r="A65" i="255"/>
  <c r="A64" i="255"/>
  <c r="A63" i="255"/>
  <c r="A62" i="255"/>
  <c r="A61" i="255"/>
  <c r="A60" i="255"/>
  <c r="A59" i="255"/>
  <c r="D58" i="255"/>
  <c r="A58" i="255"/>
  <c r="A57" i="255"/>
  <c r="A56" i="255"/>
  <c r="A55" i="255"/>
  <c r="A54" i="255"/>
  <c r="A53" i="255"/>
  <c r="A52" i="255"/>
  <c r="A51" i="255"/>
  <c r="A50" i="255"/>
  <c r="A49" i="255"/>
  <c r="A48" i="255"/>
  <c r="A47" i="255"/>
  <c r="D46" i="255"/>
  <c r="A46" i="255"/>
  <c r="A45" i="255"/>
  <c r="D44" i="255"/>
  <c r="A44" i="255"/>
  <c r="A43" i="255"/>
  <c r="A42" i="255"/>
  <c r="A41" i="255"/>
  <c r="A40" i="255"/>
  <c r="A39" i="255"/>
  <c r="A38" i="255"/>
  <c r="A37" i="255"/>
  <c r="A36" i="255"/>
  <c r="A35" i="255"/>
  <c r="A34" i="255"/>
  <c r="A33" i="255"/>
  <c r="A32" i="255"/>
  <c r="A31" i="255"/>
  <c r="A30" i="255"/>
  <c r="A29" i="255"/>
  <c r="A28" i="255"/>
  <c r="A27" i="255"/>
  <c r="D26" i="255"/>
  <c r="A26" i="255"/>
  <c r="A25" i="255"/>
  <c r="D24" i="255"/>
  <c r="A24" i="255"/>
  <c r="D23" i="255"/>
  <c r="A23" i="255"/>
  <c r="D22" i="255"/>
  <c r="A22" i="255"/>
  <c r="A21" i="255"/>
  <c r="A20" i="255"/>
  <c r="A115" i="251"/>
  <c r="A114" i="251"/>
  <c r="A113" i="251"/>
  <c r="A112" i="251"/>
  <c r="A111" i="251"/>
  <c r="A110" i="251"/>
  <c r="A109" i="251"/>
  <c r="A108" i="251"/>
  <c r="A107" i="251"/>
  <c r="A106" i="251"/>
  <c r="A105" i="251"/>
  <c r="A104" i="251"/>
  <c r="A103" i="251"/>
  <c r="A102" i="251"/>
  <c r="D101" i="251"/>
  <c r="A101" i="251"/>
  <c r="A100" i="251"/>
  <c r="A99" i="251"/>
  <c r="A98" i="251"/>
  <c r="A97" i="251"/>
  <c r="A96" i="251"/>
  <c r="A95" i="251"/>
  <c r="A94" i="251"/>
  <c r="A93" i="251"/>
  <c r="A92" i="251"/>
  <c r="A91" i="251"/>
  <c r="A90" i="251"/>
  <c r="D89" i="251"/>
  <c r="A89" i="251"/>
  <c r="A88" i="251"/>
  <c r="A87" i="251"/>
  <c r="A86" i="251"/>
  <c r="A85" i="251"/>
  <c r="A84" i="251"/>
  <c r="A83" i="251"/>
  <c r="A82" i="251"/>
  <c r="A81" i="251"/>
  <c r="A80" i="251"/>
  <c r="A79" i="251"/>
  <c r="A78" i="251"/>
  <c r="A77" i="251"/>
  <c r="A76" i="251"/>
  <c r="A75" i="251"/>
  <c r="A74" i="251"/>
  <c r="A73" i="251"/>
  <c r="A72" i="251"/>
  <c r="A71" i="251"/>
  <c r="A70" i="251"/>
  <c r="A69" i="251"/>
  <c r="A68" i="251"/>
  <c r="A67" i="251"/>
  <c r="A66" i="251"/>
  <c r="A65" i="251"/>
  <c r="A64" i="251"/>
  <c r="A63" i="251"/>
  <c r="D62" i="251"/>
  <c r="A62" i="251"/>
  <c r="A61" i="251"/>
  <c r="A60" i="251"/>
  <c r="A59" i="251"/>
  <c r="A58" i="251"/>
  <c r="A57" i="251"/>
  <c r="A56" i="251"/>
  <c r="A55" i="251"/>
  <c r="A54" i="251"/>
  <c r="A53" i="251"/>
  <c r="A52" i="251"/>
  <c r="A51" i="251"/>
  <c r="A50" i="251"/>
  <c r="A49" i="251"/>
  <c r="A48" i="251"/>
  <c r="A47" i="251"/>
  <c r="A46" i="251"/>
  <c r="A45" i="251"/>
  <c r="A44" i="251"/>
  <c r="A43" i="251"/>
  <c r="A42" i="251"/>
  <c r="A41" i="251"/>
  <c r="A40" i="251"/>
  <c r="A39" i="251"/>
  <c r="A38" i="251"/>
  <c r="A37" i="251"/>
  <c r="A36" i="251"/>
  <c r="A35" i="251"/>
  <c r="A34" i="251"/>
  <c r="A33" i="251"/>
  <c r="A32" i="251"/>
  <c r="A31" i="251"/>
  <c r="A30" i="251"/>
  <c r="A29" i="251"/>
  <c r="A28" i="251"/>
  <c r="A27" i="251"/>
  <c r="A26" i="251"/>
  <c r="D25" i="251"/>
  <c r="A25" i="251"/>
  <c r="A24" i="251"/>
  <c r="D23" i="251"/>
  <c r="A23" i="251"/>
  <c r="D22" i="251"/>
  <c r="A22" i="251"/>
  <c r="A21" i="251"/>
  <c r="A20" i="251"/>
  <c r="A192" i="247"/>
  <c r="A191" i="247"/>
  <c r="A190" i="247"/>
  <c r="A189" i="247"/>
  <c r="A188" i="247"/>
  <c r="A187" i="247"/>
  <c r="A186" i="247"/>
  <c r="A185" i="247"/>
  <c r="A184" i="247"/>
  <c r="A183" i="247"/>
  <c r="A182" i="247"/>
  <c r="A181" i="247"/>
  <c r="A180" i="247"/>
  <c r="A179" i="247"/>
  <c r="A178" i="247"/>
  <c r="A177" i="247"/>
  <c r="A176" i="247"/>
  <c r="A175" i="247"/>
  <c r="D174" i="247"/>
  <c r="A174" i="247"/>
  <c r="A173" i="247"/>
  <c r="A172" i="247"/>
  <c r="A171" i="247"/>
  <c r="A170" i="247"/>
  <c r="D169" i="247"/>
  <c r="A169" i="247"/>
  <c r="A168" i="247"/>
  <c r="A167" i="247"/>
  <c r="A166" i="247"/>
  <c r="A165" i="247"/>
  <c r="A164" i="247"/>
  <c r="A163" i="247"/>
  <c r="A162" i="247"/>
  <c r="A161" i="247"/>
  <c r="A160" i="247"/>
  <c r="A159" i="247"/>
  <c r="A158" i="247"/>
  <c r="A157" i="247"/>
  <c r="A156" i="247"/>
  <c r="A155" i="247"/>
  <c r="A154" i="247"/>
  <c r="A153" i="247"/>
  <c r="D152" i="247"/>
  <c r="A152" i="247"/>
  <c r="A151" i="247"/>
  <c r="A150" i="247"/>
  <c r="A149" i="247"/>
  <c r="A148" i="247"/>
  <c r="A147" i="247"/>
  <c r="A146" i="247"/>
  <c r="A145" i="247"/>
  <c r="A144" i="247"/>
  <c r="A143" i="247"/>
  <c r="A142" i="247"/>
  <c r="A141" i="247"/>
  <c r="D140" i="247"/>
  <c r="A140" i="247"/>
  <c r="A139" i="247"/>
  <c r="A138" i="247"/>
  <c r="A137" i="247"/>
  <c r="A136" i="247"/>
  <c r="A135" i="247"/>
  <c r="A134" i="247"/>
  <c r="A133" i="247"/>
  <c r="A132" i="247"/>
  <c r="A131" i="247"/>
  <c r="A130" i="247"/>
  <c r="A129" i="247"/>
  <c r="A128" i="247"/>
  <c r="A127" i="247"/>
  <c r="A126" i="247"/>
  <c r="A125" i="247"/>
  <c r="A124" i="247"/>
  <c r="A123" i="247"/>
  <c r="A122" i="247"/>
  <c r="A121" i="247"/>
  <c r="A120" i="247"/>
  <c r="A119" i="247"/>
  <c r="A118" i="247"/>
  <c r="A117" i="247"/>
  <c r="A116" i="247"/>
  <c r="A115" i="247"/>
  <c r="A114" i="247"/>
  <c r="A113" i="247"/>
  <c r="A112" i="247"/>
  <c r="A111" i="247"/>
  <c r="A110" i="247"/>
  <c r="A109" i="247"/>
  <c r="A108" i="247"/>
  <c r="A107" i="247"/>
  <c r="A106" i="247"/>
  <c r="A105" i="247"/>
  <c r="A104" i="247"/>
  <c r="A103" i="247"/>
  <c r="A102" i="247"/>
  <c r="A101" i="247"/>
  <c r="A100" i="247"/>
  <c r="A99" i="247"/>
  <c r="A98" i="247"/>
  <c r="A97" i="247"/>
  <c r="A96" i="247"/>
  <c r="A95" i="247"/>
  <c r="A94" i="247"/>
  <c r="A93" i="247"/>
  <c r="A92" i="247"/>
  <c r="A91" i="247"/>
  <c r="A90" i="247"/>
  <c r="D89" i="247"/>
  <c r="A89" i="247"/>
  <c r="A88" i="247"/>
  <c r="A87" i="247"/>
  <c r="D86" i="247"/>
  <c r="A86" i="247"/>
  <c r="A85" i="247"/>
  <c r="A84" i="247"/>
  <c r="A83" i="247"/>
  <c r="A82" i="247"/>
  <c r="D81" i="247"/>
  <c r="A81" i="247"/>
  <c r="A80" i="247"/>
  <c r="A79" i="247"/>
  <c r="D78" i="247"/>
  <c r="A78" i="247"/>
  <c r="A77" i="247"/>
  <c r="A76" i="247"/>
  <c r="A75" i="247"/>
  <c r="A74" i="247"/>
  <c r="A73" i="247"/>
  <c r="A72" i="247"/>
  <c r="A71" i="247"/>
  <c r="A70" i="247"/>
  <c r="A69" i="247"/>
  <c r="A68" i="247"/>
  <c r="A67" i="247"/>
  <c r="A66" i="247"/>
  <c r="A65" i="247"/>
  <c r="A64" i="247"/>
  <c r="A63" i="247"/>
  <c r="A62" i="247"/>
  <c r="A61" i="247"/>
  <c r="A60" i="247"/>
  <c r="A59" i="247"/>
  <c r="A58" i="247"/>
  <c r="A57" i="247"/>
  <c r="A56" i="247"/>
  <c r="A55" i="247"/>
  <c r="A54" i="247"/>
  <c r="A53" i="247"/>
  <c r="A52" i="247"/>
  <c r="A51" i="247"/>
  <c r="A50" i="247"/>
  <c r="A49" i="247"/>
  <c r="A48" i="247"/>
  <c r="D47" i="247"/>
  <c r="A47" i="247"/>
  <c r="A46" i="247"/>
  <c r="A45" i="247"/>
  <c r="A44" i="247"/>
  <c r="A43" i="247"/>
  <c r="A42" i="247"/>
  <c r="A41" i="247"/>
  <c r="A40" i="247"/>
  <c r="A39" i="247"/>
  <c r="A38" i="247"/>
  <c r="A37" i="247"/>
  <c r="A36" i="247"/>
  <c r="A35" i="247"/>
  <c r="A34" i="247"/>
  <c r="A33" i="247"/>
  <c r="A32" i="247"/>
  <c r="A31" i="247"/>
  <c r="A30" i="247"/>
  <c r="A29" i="247"/>
  <c r="A28" i="247"/>
  <c r="A27" i="247"/>
  <c r="A26" i="247"/>
  <c r="D25" i="247"/>
  <c r="A25" i="247"/>
  <c r="A24" i="247"/>
  <c r="A23" i="247"/>
  <c r="D22" i="247"/>
  <c r="A22" i="247"/>
  <c r="D21" i="247"/>
  <c r="A21" i="247"/>
  <c r="A20" i="247"/>
  <c r="A38" i="41" l="1"/>
  <c r="D35" i="41"/>
  <c r="A35" i="41"/>
  <c r="A34" i="41"/>
  <c r="D33" i="41"/>
  <c r="A33" i="41"/>
  <c r="A32" i="41"/>
  <c r="A38" i="180"/>
  <c r="A38" i="42"/>
  <c r="D35" i="180"/>
  <c r="A35" i="180"/>
  <c r="A34" i="180"/>
  <c r="D33" i="180"/>
  <c r="A33" i="180"/>
  <c r="A32" i="180"/>
  <c r="D31" i="42"/>
  <c r="A31" i="42"/>
  <c r="A30" i="42"/>
  <c r="D29" i="42"/>
  <c r="A29" i="42"/>
  <c r="A28" i="42"/>
  <c r="A30" i="165"/>
  <c r="A30" i="164"/>
  <c r="A30" i="163"/>
  <c r="A29" i="161"/>
  <c r="D26" i="65" l="1"/>
  <c r="A26" i="65"/>
  <c r="A3285" i="156" l="1"/>
  <c r="A3284" i="156"/>
  <c r="A3283" i="156"/>
  <c r="A3282" i="156"/>
  <c r="A3281" i="156"/>
  <c r="D3280" i="156"/>
  <c r="A3280" i="156"/>
  <c r="A3279" i="156"/>
  <c r="A3278" i="156"/>
  <c r="D3277" i="156"/>
  <c r="A3277" i="156"/>
  <c r="D3276" i="156"/>
  <c r="A3276" i="156"/>
  <c r="A3275" i="156"/>
  <c r="A3274" i="156"/>
  <c r="A3273" i="156"/>
  <c r="A3272" i="156"/>
  <c r="A3271" i="156"/>
  <c r="D3270" i="156"/>
  <c r="A3270" i="156"/>
  <c r="A3269" i="156"/>
  <c r="A3268" i="156"/>
  <c r="D3267" i="156"/>
  <c r="A3267" i="156"/>
  <c r="D3266" i="156"/>
  <c r="A3266" i="156"/>
  <c r="A3265" i="156"/>
  <c r="A3264" i="156"/>
  <c r="A3263" i="156"/>
  <c r="A3262" i="156"/>
  <c r="A3261" i="156"/>
  <c r="D3260" i="156"/>
  <c r="A3260" i="156"/>
  <c r="A3259" i="156"/>
  <c r="A3258" i="156"/>
  <c r="D3257" i="156"/>
  <c r="A3257" i="156"/>
  <c r="D3256" i="156"/>
  <c r="A3256" i="156"/>
  <c r="A3255" i="156"/>
  <c r="A3254" i="156"/>
  <c r="A3253" i="156"/>
  <c r="A3252" i="156"/>
  <c r="A3251" i="156"/>
  <c r="D3250" i="156"/>
  <c r="A3250" i="156"/>
  <c r="A3249" i="156"/>
  <c r="A3248" i="156"/>
  <c r="D3247" i="156"/>
  <c r="A3247" i="156"/>
  <c r="D3246" i="156"/>
  <c r="A3246" i="156"/>
  <c r="D3090" i="156"/>
  <c r="A3087" i="156"/>
  <c r="A3088" i="156"/>
  <c r="A3089" i="156"/>
  <c r="A3090" i="156"/>
  <c r="A3091" i="156"/>
  <c r="A3092" i="156"/>
  <c r="A3093" i="156"/>
  <c r="A3094" i="156"/>
  <c r="A3095" i="156"/>
  <c r="A3086" i="156"/>
  <c r="D3070" i="156"/>
  <c r="A3067" i="156"/>
  <c r="A3068" i="156"/>
  <c r="A3069" i="156"/>
  <c r="A3070" i="156"/>
  <c r="A3071" i="156"/>
  <c r="A3072" i="156"/>
  <c r="A3073" i="156"/>
  <c r="A3074" i="156"/>
  <c r="A3075" i="156"/>
  <c r="A3066" i="156"/>
  <c r="D3080" i="156"/>
  <c r="A3077" i="156"/>
  <c r="A3078" i="156"/>
  <c r="A3079" i="156"/>
  <c r="A3080" i="156"/>
  <c r="A3081" i="156"/>
  <c r="A3082" i="156"/>
  <c r="A3083" i="156"/>
  <c r="A3084" i="156"/>
  <c r="A3085" i="156"/>
  <c r="A3076" i="156"/>
  <c r="D3087" i="156"/>
  <c r="D3086" i="156"/>
  <c r="D3077" i="156"/>
  <c r="D3076" i="156"/>
  <c r="D3067" i="156"/>
  <c r="D3066" i="156"/>
  <c r="D3060" i="156"/>
  <c r="A3057" i="156"/>
  <c r="A3058" i="156"/>
  <c r="A3059" i="156"/>
  <c r="A3060" i="156"/>
  <c r="A3061" i="156"/>
  <c r="A3062" i="156"/>
  <c r="A3063" i="156"/>
  <c r="A3064" i="156"/>
  <c r="A3065" i="156"/>
  <c r="A3056" i="156"/>
  <c r="A3333" i="156"/>
  <c r="A3332" i="156"/>
  <c r="A3331" i="156"/>
  <c r="A3330" i="156"/>
  <c r="A3329" i="156"/>
  <c r="D3328" i="156"/>
  <c r="A3328" i="156"/>
  <c r="A3327" i="156"/>
  <c r="A3326" i="156"/>
  <c r="A3325" i="156"/>
  <c r="A3324" i="156"/>
  <c r="A3323" i="156"/>
  <c r="D3322" i="156"/>
  <c r="A3322" i="156"/>
  <c r="A3321" i="156"/>
  <c r="A3320" i="156"/>
  <c r="A3319" i="156"/>
  <c r="A3318" i="156"/>
  <c r="A3317" i="156"/>
  <c r="D3316" i="156"/>
  <c r="A3316" i="156"/>
  <c r="A3315" i="156"/>
  <c r="A3314" i="156"/>
  <c r="A3313" i="156"/>
  <c r="A3312" i="156"/>
  <c r="A3311" i="156"/>
  <c r="D3310" i="156"/>
  <c r="A3310" i="156"/>
  <c r="A3309" i="156"/>
  <c r="A3308" i="156"/>
  <c r="A3307" i="156"/>
  <c r="A3306" i="156"/>
  <c r="A3305" i="156"/>
  <c r="D3304" i="156"/>
  <c r="A3304" i="156"/>
  <c r="A3303" i="156"/>
  <c r="A3302" i="156"/>
  <c r="A3301" i="156"/>
  <c r="A3300" i="156"/>
  <c r="A3299" i="156"/>
  <c r="D3298" i="156"/>
  <c r="A3298" i="156"/>
  <c r="A3297" i="156"/>
  <c r="A3296" i="156"/>
  <c r="A3295" i="156"/>
  <c r="A3294" i="156"/>
  <c r="A3293" i="156"/>
  <c r="D3292" i="156"/>
  <c r="A3292" i="156"/>
  <c r="A3291" i="156"/>
  <c r="A3290" i="156"/>
  <c r="A3289" i="156"/>
  <c r="A3288" i="156"/>
  <c r="A3287" i="156"/>
  <c r="D3286" i="156"/>
  <c r="A3286" i="156"/>
  <c r="A3245" i="156"/>
  <c r="A3244" i="156"/>
  <c r="A3243" i="156"/>
  <c r="A3242" i="156"/>
  <c r="A3241" i="156"/>
  <c r="D3240" i="156"/>
  <c r="A3240" i="156"/>
  <c r="A3239" i="156"/>
  <c r="A3238" i="156"/>
  <c r="D3237" i="156"/>
  <c r="A3237" i="156"/>
  <c r="D3236" i="156"/>
  <c r="A3236" i="156"/>
  <c r="A3235" i="156"/>
  <c r="A3234" i="156"/>
  <c r="A3233" i="156"/>
  <c r="A3232" i="156"/>
  <c r="A3231" i="156"/>
  <c r="D3230" i="156"/>
  <c r="A3230" i="156"/>
  <c r="A3229" i="156"/>
  <c r="A3228" i="156"/>
  <c r="D3227" i="156"/>
  <c r="A3227" i="156"/>
  <c r="D3226" i="156"/>
  <c r="A3226" i="156"/>
  <c r="A3225" i="156"/>
  <c r="A3224" i="156"/>
  <c r="A3223" i="156"/>
  <c r="A3222" i="156"/>
  <c r="A3221" i="156"/>
  <c r="D3220" i="156"/>
  <c r="A3220" i="156"/>
  <c r="A3219" i="156"/>
  <c r="A3218" i="156"/>
  <c r="D3217" i="156"/>
  <c r="A3217" i="156"/>
  <c r="D3216" i="156"/>
  <c r="A3216" i="156"/>
  <c r="A3215" i="156"/>
  <c r="A3214" i="156"/>
  <c r="A3213" i="156"/>
  <c r="A3212" i="156"/>
  <c r="A3211" i="156"/>
  <c r="D3210" i="156"/>
  <c r="A3210" i="156"/>
  <c r="A3209" i="156"/>
  <c r="A3208" i="156"/>
  <c r="D3207" i="156"/>
  <c r="A3207" i="156"/>
  <c r="D3206" i="156"/>
  <c r="A3206" i="156"/>
  <c r="A3205" i="156"/>
  <c r="A3204" i="156"/>
  <c r="A3203" i="156"/>
  <c r="A3202" i="156"/>
  <c r="A3201" i="156"/>
  <c r="D3200" i="156"/>
  <c r="A3200" i="156"/>
  <c r="A3199" i="156"/>
  <c r="A3198" i="156"/>
  <c r="D3197" i="156"/>
  <c r="A3197" i="156"/>
  <c r="D3196" i="156"/>
  <c r="A3196" i="156"/>
  <c r="D3057" i="156"/>
  <c r="D3056" i="156"/>
  <c r="A3055" i="156"/>
  <c r="A3054" i="156"/>
  <c r="A3053" i="156"/>
  <c r="A3052" i="156"/>
  <c r="A3051" i="156"/>
  <c r="D3050" i="156"/>
  <c r="A3050" i="156"/>
  <c r="A3049" i="156"/>
  <c r="A3048" i="156"/>
  <c r="D3047" i="156"/>
  <c r="A3047" i="156"/>
  <c r="D3046" i="156"/>
  <c r="A3046" i="156"/>
  <c r="A3045" i="156"/>
  <c r="A3044" i="156"/>
  <c r="A3043" i="156"/>
  <c r="A3042" i="156"/>
  <c r="A3041" i="156"/>
  <c r="D3040" i="156"/>
  <c r="A3040" i="156"/>
  <c r="A3039" i="156"/>
  <c r="A3038" i="156"/>
  <c r="D3037" i="156"/>
  <c r="A3037" i="156"/>
  <c r="D3036" i="156"/>
  <c r="A3036" i="156"/>
  <c r="A3035" i="156"/>
  <c r="A3034" i="156"/>
  <c r="A3033" i="156"/>
  <c r="A3032" i="156"/>
  <c r="A3031" i="156"/>
  <c r="D3030" i="156"/>
  <c r="A3030" i="156"/>
  <c r="A3029" i="156"/>
  <c r="A3028" i="156"/>
  <c r="D3027" i="156"/>
  <c r="A3027" i="156"/>
  <c r="D3026" i="156"/>
  <c r="A3026" i="156"/>
  <c r="A3025" i="156"/>
  <c r="A3024" i="156"/>
  <c r="A3023" i="156"/>
  <c r="A3022" i="156"/>
  <c r="A3021" i="156"/>
  <c r="D3020" i="156"/>
  <c r="A3020" i="156"/>
  <c r="A3019" i="156"/>
  <c r="A3018" i="156"/>
  <c r="D3017" i="156"/>
  <c r="A3017" i="156"/>
  <c r="D3016" i="156"/>
  <c r="A3016" i="156"/>
  <c r="A3015" i="156"/>
  <c r="A3014" i="156"/>
  <c r="A3013" i="156"/>
  <c r="A3012" i="156"/>
  <c r="A3011" i="156"/>
  <c r="D3010" i="156"/>
  <c r="A3010" i="156"/>
  <c r="A3009" i="156"/>
  <c r="A3008" i="156"/>
  <c r="D3007" i="156"/>
  <c r="A3007" i="156"/>
  <c r="D3006" i="156"/>
  <c r="A3006" i="156"/>
  <c r="A3005" i="156"/>
  <c r="A3004" i="156"/>
  <c r="A3003" i="156"/>
  <c r="A3002" i="156"/>
  <c r="A3001" i="156"/>
  <c r="D3000" i="156"/>
  <c r="A3000" i="156"/>
  <c r="A2999" i="156"/>
  <c r="A2998" i="156"/>
  <c r="D2997" i="156"/>
  <c r="A2997" i="156"/>
  <c r="D2996" i="156"/>
  <c r="A2996" i="156"/>
  <c r="A2389" i="156"/>
  <c r="A2616" i="156"/>
  <c r="A2831" i="156"/>
  <c r="A2830" i="156"/>
  <c r="A2829" i="156"/>
  <c r="A2828" i="156"/>
  <c r="A2827" i="156"/>
  <c r="D2826" i="156"/>
  <c r="A2826" i="156"/>
  <c r="A2825" i="156"/>
  <c r="A2824" i="156"/>
  <c r="A2823" i="156"/>
  <c r="A2822" i="156"/>
  <c r="A2821" i="156"/>
  <c r="D2820" i="156"/>
  <c r="A2820" i="156"/>
  <c r="A2819" i="156"/>
  <c r="A2818" i="156"/>
  <c r="A2817" i="156"/>
  <c r="A2816" i="156"/>
  <c r="A2815" i="156"/>
  <c r="D2814" i="156"/>
  <c r="A2814" i="156"/>
  <c r="A2813" i="156"/>
  <c r="A2812" i="156"/>
  <c r="A2811" i="156"/>
  <c r="A2810" i="156"/>
  <c r="A2809" i="156"/>
  <c r="D2808" i="156"/>
  <c r="A2808" i="156"/>
  <c r="A2807" i="156"/>
  <c r="A2806" i="156"/>
  <c r="A2805" i="156"/>
  <c r="A2804" i="156"/>
  <c r="A2803" i="156"/>
  <c r="D2802" i="156"/>
  <c r="A2802" i="156"/>
  <c r="A2801" i="156"/>
  <c r="A2800" i="156"/>
  <c r="A2799" i="156"/>
  <c r="A2798" i="156"/>
  <c r="A2797" i="156"/>
  <c r="D2796" i="156"/>
  <c r="A2796" i="156"/>
  <c r="A2795" i="156"/>
  <c r="A2794" i="156"/>
  <c r="A2793" i="156"/>
  <c r="A2792" i="156"/>
  <c r="A2791" i="156"/>
  <c r="D2790" i="156"/>
  <c r="A2790" i="156"/>
  <c r="A2789" i="156"/>
  <c r="A2788" i="156"/>
  <c r="A2787" i="156"/>
  <c r="A2786" i="156"/>
  <c r="A2785" i="156"/>
  <c r="D2784" i="156"/>
  <c r="A2784" i="156"/>
  <c r="A2783" i="156"/>
  <c r="A2782" i="156"/>
  <c r="A2781" i="156"/>
  <c r="A2780" i="156"/>
  <c r="A2779" i="156"/>
  <c r="D2778" i="156"/>
  <c r="A2778" i="156"/>
  <c r="A2777" i="156"/>
  <c r="A2776" i="156"/>
  <c r="A2775" i="156"/>
  <c r="A2774" i="156"/>
  <c r="A2773" i="156"/>
  <c r="D2772" i="156"/>
  <c r="A2772" i="156"/>
  <c r="A2771" i="156"/>
  <c r="A2770" i="156"/>
  <c r="A2769" i="156"/>
  <c r="A2768" i="156"/>
  <c r="A2767" i="156"/>
  <c r="D2766" i="156"/>
  <c r="A2766" i="156"/>
  <c r="A2765" i="156"/>
  <c r="A2764" i="156"/>
  <c r="A2763" i="156"/>
  <c r="A2762" i="156"/>
  <c r="A2761" i="156"/>
  <c r="D2760" i="156"/>
  <c r="A2760" i="156"/>
  <c r="A2759" i="156"/>
  <c r="A2758" i="156"/>
  <c r="A2757" i="156"/>
  <c r="A2756" i="156"/>
  <c r="A2755" i="156"/>
  <c r="D2754" i="156"/>
  <c r="A2754" i="156"/>
  <c r="A2753" i="156"/>
  <c r="A2752" i="156"/>
  <c r="A2751" i="156"/>
  <c r="A2750" i="156"/>
  <c r="A2749" i="156"/>
  <c r="D2748" i="156"/>
  <c r="A2748" i="156"/>
  <c r="A2747" i="156"/>
  <c r="A2746" i="156"/>
  <c r="A2745" i="156"/>
  <c r="A2744" i="156"/>
  <c r="A2743" i="156"/>
  <c r="D2742" i="156"/>
  <c r="A2742" i="156"/>
  <c r="A2741" i="156"/>
  <c r="A2740" i="156"/>
  <c r="A2739" i="156"/>
  <c r="A2738" i="156"/>
  <c r="A2737" i="156"/>
  <c r="D2736" i="156"/>
  <c r="A2736" i="156"/>
  <c r="A2735" i="156"/>
  <c r="A2734" i="156"/>
  <c r="A2733" i="156"/>
  <c r="A2732" i="156"/>
  <c r="A2731" i="156"/>
  <c r="D2730" i="156"/>
  <c r="A2730" i="156"/>
  <c r="A2729" i="156"/>
  <c r="A2728" i="156"/>
  <c r="D2727" i="156"/>
  <c r="A2727" i="156"/>
  <c r="D2726" i="156"/>
  <c r="A2726" i="156"/>
  <c r="A2725" i="156"/>
  <c r="A2724" i="156"/>
  <c r="A2723" i="156"/>
  <c r="A2722" i="156"/>
  <c r="A2721" i="156"/>
  <c r="D2720" i="156"/>
  <c r="A2720" i="156"/>
  <c r="A2719" i="156"/>
  <c r="A2718" i="156"/>
  <c r="D2717" i="156"/>
  <c r="A2717" i="156"/>
  <c r="D2716" i="156"/>
  <c r="A2716" i="156"/>
  <c r="A2715" i="156"/>
  <c r="A2714" i="156"/>
  <c r="A2713" i="156"/>
  <c r="A2712" i="156"/>
  <c r="A2711" i="156"/>
  <c r="D2710" i="156"/>
  <c r="A2710" i="156"/>
  <c r="A2709" i="156"/>
  <c r="A2708" i="156"/>
  <c r="D2707" i="156"/>
  <c r="A2707" i="156"/>
  <c r="D2706" i="156"/>
  <c r="A2706" i="156"/>
  <c r="A2705" i="156"/>
  <c r="A2704" i="156"/>
  <c r="A2703" i="156"/>
  <c r="A2702" i="156"/>
  <c r="A2701" i="156"/>
  <c r="D2700" i="156"/>
  <c r="A2700" i="156"/>
  <c r="A2699" i="156"/>
  <c r="A2698" i="156"/>
  <c r="D2697" i="156"/>
  <c r="A2697" i="156"/>
  <c r="D2696" i="156"/>
  <c r="A2696" i="156"/>
  <c r="A2695" i="156"/>
  <c r="A2694" i="156"/>
  <c r="A2693" i="156"/>
  <c r="A2692" i="156"/>
  <c r="A2691" i="156"/>
  <c r="D2690" i="156"/>
  <c r="A2690" i="156"/>
  <c r="A2689" i="156"/>
  <c r="A2688" i="156"/>
  <c r="D2687" i="156"/>
  <c r="A2687" i="156"/>
  <c r="D2686" i="156"/>
  <c r="A2686" i="156"/>
  <c r="A2685" i="156"/>
  <c r="A2684" i="156"/>
  <c r="A2683" i="156"/>
  <c r="A2682" i="156"/>
  <c r="A2681" i="156"/>
  <c r="D2680" i="156"/>
  <c r="A2680" i="156"/>
  <c r="A2679" i="156"/>
  <c r="A2678" i="156"/>
  <c r="D2677" i="156"/>
  <c r="A2677" i="156"/>
  <c r="D2676" i="156"/>
  <c r="A2676" i="156"/>
  <c r="A2675" i="156"/>
  <c r="A2674" i="156"/>
  <c r="A2673" i="156"/>
  <c r="A2672" i="156"/>
  <c r="A2671" i="156"/>
  <c r="D2670" i="156"/>
  <c r="A2670" i="156"/>
  <c r="A2669" i="156"/>
  <c r="A2668" i="156"/>
  <c r="D2667" i="156"/>
  <c r="A2667" i="156"/>
  <c r="D2666" i="156"/>
  <c r="A2666" i="156"/>
  <c r="A2665" i="156"/>
  <c r="A2664" i="156"/>
  <c r="A2663" i="156"/>
  <c r="A2662" i="156"/>
  <c r="A2661" i="156"/>
  <c r="D2660" i="156"/>
  <c r="A2660" i="156"/>
  <c r="A2659" i="156"/>
  <c r="A2658" i="156"/>
  <c r="D2657" i="156"/>
  <c r="A2657" i="156"/>
  <c r="D2656" i="156"/>
  <c r="A2656" i="156"/>
  <c r="A2655" i="156"/>
  <c r="A2654" i="156"/>
  <c r="A2653" i="156"/>
  <c r="A2652" i="156"/>
  <c r="A2651" i="156"/>
  <c r="D2650" i="156"/>
  <c r="A2650" i="156"/>
  <c r="A2649" i="156"/>
  <c r="D2648" i="156"/>
  <c r="A2648" i="156"/>
  <c r="A2647" i="156"/>
  <c r="D2646" i="156"/>
  <c r="A2646" i="156"/>
  <c r="A2645" i="156"/>
  <c r="A2644" i="156"/>
  <c r="A2643" i="156"/>
  <c r="A2642" i="156"/>
  <c r="A2641" i="156"/>
  <c r="D2640" i="156"/>
  <c r="A2640" i="156"/>
  <c r="A2639" i="156"/>
  <c r="D2638" i="156"/>
  <c r="A2638" i="156"/>
  <c r="A2637" i="156"/>
  <c r="D2636" i="156"/>
  <c r="A2636" i="156"/>
  <c r="A2635" i="156"/>
  <c r="A2634" i="156"/>
  <c r="A2633" i="156"/>
  <c r="A2632" i="156"/>
  <c r="A2631" i="156"/>
  <c r="D2630" i="156"/>
  <c r="A2630" i="156"/>
  <c r="A2629" i="156"/>
  <c r="D2628" i="156"/>
  <c r="A2628" i="156"/>
  <c r="A2627" i="156"/>
  <c r="D2626" i="156"/>
  <c r="A2626" i="156"/>
  <c r="A2625" i="156"/>
  <c r="A2624" i="156"/>
  <c r="A2623" i="156"/>
  <c r="A2622" i="156"/>
  <c r="A2621" i="156"/>
  <c r="D2620" i="156"/>
  <c r="A2620" i="156"/>
  <c r="A2619" i="156"/>
  <c r="D2618" i="156"/>
  <c r="A2618" i="156"/>
  <c r="A2617" i="156"/>
  <c r="D2616" i="156"/>
  <c r="A2615" i="156"/>
  <c r="A2614" i="156"/>
  <c r="A2613" i="156"/>
  <c r="A2612" i="156"/>
  <c r="A2611" i="156"/>
  <c r="D2610" i="156"/>
  <c r="A2610" i="156"/>
  <c r="A2609" i="156"/>
  <c r="A2608" i="156"/>
  <c r="D2607" i="156"/>
  <c r="A2607" i="156"/>
  <c r="D2606" i="156"/>
  <c r="A2606" i="156"/>
  <c r="D2918" i="156"/>
  <c r="A2915" i="156"/>
  <c r="A2916" i="156"/>
  <c r="A2917" i="156"/>
  <c r="A2918" i="156"/>
  <c r="A2919" i="156"/>
  <c r="A2920" i="156"/>
  <c r="A2921" i="156"/>
  <c r="A2922" i="156"/>
  <c r="A2923" i="156"/>
  <c r="A2914" i="156"/>
  <c r="D2915" i="156"/>
  <c r="D2914" i="156"/>
  <c r="A2913" i="156"/>
  <c r="A2912" i="156"/>
  <c r="A2911" i="156"/>
  <c r="A2910" i="156"/>
  <c r="A2909" i="156"/>
  <c r="D2908" i="156"/>
  <c r="A2908" i="156"/>
  <c r="A2907" i="156"/>
  <c r="A2906" i="156"/>
  <c r="D2905" i="156"/>
  <c r="A2905" i="156"/>
  <c r="D2904" i="156"/>
  <c r="A2904" i="156"/>
  <c r="A2903" i="156"/>
  <c r="A2902" i="156"/>
  <c r="A2901" i="156"/>
  <c r="A2900" i="156"/>
  <c r="A2899" i="156"/>
  <c r="D2898" i="156"/>
  <c r="A2898" i="156"/>
  <c r="A2897" i="156"/>
  <c r="A2896" i="156"/>
  <c r="D2895" i="156"/>
  <c r="A2895" i="156"/>
  <c r="D2894" i="156"/>
  <c r="A2894" i="156"/>
  <c r="A2893" i="156"/>
  <c r="A2892" i="156"/>
  <c r="A2891" i="156"/>
  <c r="A2890" i="156"/>
  <c r="A2889" i="156"/>
  <c r="D2888" i="156"/>
  <c r="A2888" i="156"/>
  <c r="A2887" i="156"/>
  <c r="A2886" i="156"/>
  <c r="D2885" i="156"/>
  <c r="A2885" i="156"/>
  <c r="D2884" i="156"/>
  <c r="A2884" i="156"/>
  <c r="A2883" i="156"/>
  <c r="A2882" i="156"/>
  <c r="A2881" i="156"/>
  <c r="A2880" i="156"/>
  <c r="A2879" i="156"/>
  <c r="D2878" i="156"/>
  <c r="A2878" i="156"/>
  <c r="A2877" i="156"/>
  <c r="A2876" i="156"/>
  <c r="D2875" i="156"/>
  <c r="A2875" i="156"/>
  <c r="D2874" i="156"/>
  <c r="A2874" i="156"/>
  <c r="D32" i="73" l="1"/>
  <c r="A32" i="73"/>
  <c r="D26" i="66" l="1"/>
  <c r="A470" i="165" l="1"/>
  <c r="A469" i="165"/>
  <c r="A468" i="165"/>
  <c r="A467" i="165"/>
  <c r="A466" i="165"/>
  <c r="D465" i="165"/>
  <c r="A465" i="165"/>
  <c r="A464" i="165"/>
  <c r="A463" i="165"/>
  <c r="A462" i="165"/>
  <c r="A461" i="165"/>
  <c r="A460" i="165"/>
  <c r="D459" i="165"/>
  <c r="A459" i="165"/>
  <c r="A458" i="165"/>
  <c r="A457" i="165"/>
  <c r="A456" i="165"/>
  <c r="A455" i="165"/>
  <c r="A454" i="165"/>
  <c r="D453" i="165"/>
  <c r="A453" i="165"/>
  <c r="A452" i="165"/>
  <c r="A451" i="165"/>
  <c r="A450" i="165"/>
  <c r="A449" i="165"/>
  <c r="A448" i="165"/>
  <c r="D447" i="165"/>
  <c r="A447" i="165"/>
  <c r="A446" i="165"/>
  <c r="A445" i="165"/>
  <c r="A444" i="165"/>
  <c r="A443" i="165"/>
  <c r="A442" i="165"/>
  <c r="A441" i="165"/>
  <c r="A440" i="165"/>
  <c r="A439" i="165"/>
  <c r="A438" i="165"/>
  <c r="A437" i="165"/>
  <c r="A436" i="165"/>
  <c r="A435" i="165"/>
  <c r="A434" i="165"/>
  <c r="A433" i="165"/>
  <c r="A432" i="165"/>
  <c r="A431" i="165"/>
  <c r="A430" i="165"/>
  <c r="A429" i="165"/>
  <c r="A428" i="165"/>
  <c r="A427" i="165"/>
  <c r="D426" i="165"/>
  <c r="A426" i="165"/>
  <c r="A425" i="165"/>
  <c r="A424" i="165"/>
  <c r="A423" i="165"/>
  <c r="A422" i="165"/>
  <c r="A421" i="165"/>
  <c r="D420" i="165"/>
  <c r="A420" i="165"/>
  <c r="A419" i="165"/>
  <c r="A418" i="165"/>
  <c r="A417" i="165"/>
  <c r="A416" i="165"/>
  <c r="A415" i="165"/>
  <c r="D414" i="165"/>
  <c r="A414" i="165"/>
  <c r="A413" i="165"/>
  <c r="A412" i="165"/>
  <c r="A411" i="165"/>
  <c r="A410" i="165"/>
  <c r="A409" i="165"/>
  <c r="A408" i="165"/>
  <c r="A407" i="165"/>
  <c r="A406" i="165"/>
  <c r="A405" i="165"/>
  <c r="A404" i="165"/>
  <c r="A403" i="165"/>
  <c r="D402" i="165"/>
  <c r="A402" i="165"/>
  <c r="A401" i="165"/>
  <c r="A400" i="165"/>
  <c r="A399" i="165"/>
  <c r="A398" i="165"/>
  <c r="A397" i="165"/>
  <c r="D396" i="165"/>
  <c r="A396" i="165"/>
  <c r="A395" i="165"/>
  <c r="A394" i="165"/>
  <c r="A393" i="165"/>
  <c r="A392" i="165"/>
  <c r="A391" i="165"/>
  <c r="A390" i="165"/>
  <c r="D389" i="165"/>
  <c r="A389" i="165"/>
  <c r="A388" i="165"/>
  <c r="A387" i="165"/>
  <c r="A386" i="165"/>
  <c r="D385" i="165"/>
  <c r="A385" i="165"/>
  <c r="A384" i="165"/>
  <c r="A383" i="165"/>
  <c r="A382" i="165"/>
  <c r="D381" i="165"/>
  <c r="A381" i="165"/>
  <c r="A380" i="165"/>
  <c r="A379" i="165"/>
  <c r="A378" i="165"/>
  <c r="A377" i="165"/>
  <c r="A376" i="165"/>
  <c r="A375" i="165"/>
  <c r="A374" i="165"/>
  <c r="A373" i="165"/>
  <c r="A372" i="165"/>
  <c r="A371" i="165"/>
  <c r="A370" i="165"/>
  <c r="A369" i="165"/>
  <c r="A368" i="165"/>
  <c r="D367" i="165"/>
  <c r="A367" i="165"/>
  <c r="A366" i="165"/>
  <c r="A365" i="165"/>
  <c r="A364" i="165"/>
  <c r="A363" i="165"/>
  <c r="A362" i="165"/>
  <c r="D361" i="165"/>
  <c r="A361" i="165"/>
  <c r="A360" i="165"/>
  <c r="A359" i="165"/>
  <c r="A358" i="165"/>
  <c r="A357" i="165"/>
  <c r="A356" i="165"/>
  <c r="A355" i="165"/>
  <c r="A354" i="165"/>
  <c r="A353" i="165"/>
  <c r="A352" i="165"/>
  <c r="D351" i="165"/>
  <c r="A351" i="165"/>
  <c r="A350" i="165"/>
  <c r="A349" i="165"/>
  <c r="A348" i="165"/>
  <c r="A347" i="165"/>
  <c r="A346" i="165"/>
  <c r="A345" i="165"/>
  <c r="A344" i="165"/>
  <c r="A343" i="165"/>
  <c r="A342" i="165"/>
  <c r="D341" i="165"/>
  <c r="A341" i="165"/>
  <c r="A340" i="165"/>
  <c r="A339" i="165"/>
  <c r="A338" i="165"/>
  <c r="A337" i="165"/>
  <c r="A336" i="165"/>
  <c r="A335" i="165"/>
  <c r="A334" i="165"/>
  <c r="A333" i="165"/>
  <c r="A332" i="165"/>
  <c r="D331" i="165"/>
  <c r="A331" i="165"/>
  <c r="A330" i="165"/>
  <c r="A329" i="165"/>
  <c r="A328" i="165"/>
  <c r="A327" i="165"/>
  <c r="A326" i="165"/>
  <c r="A325" i="165"/>
  <c r="A324" i="165"/>
  <c r="A323" i="165"/>
  <c r="A322" i="165"/>
  <c r="D321" i="165"/>
  <c r="A321" i="165"/>
  <c r="A320" i="165"/>
  <c r="A319" i="165"/>
  <c r="A318" i="165"/>
  <c r="A317" i="165"/>
  <c r="A316" i="165"/>
  <c r="A315" i="165"/>
  <c r="A314" i="165"/>
  <c r="A313" i="165"/>
  <c r="A312" i="165"/>
  <c r="A311" i="165"/>
  <c r="A310" i="165"/>
  <c r="D309" i="165"/>
  <c r="A309" i="165"/>
  <c r="A308" i="165"/>
  <c r="A307" i="165"/>
  <c r="A306" i="165"/>
  <c r="A305" i="165"/>
  <c r="A304" i="165"/>
  <c r="A303" i="165"/>
  <c r="A302" i="165"/>
  <c r="A301" i="165"/>
  <c r="A300" i="165"/>
  <c r="A299" i="165"/>
  <c r="A298" i="165"/>
  <c r="D297" i="165"/>
  <c r="A297" i="165"/>
  <c r="A296" i="165"/>
  <c r="A295" i="165"/>
  <c r="A294" i="165"/>
  <c r="A293" i="165"/>
  <c r="A292" i="165"/>
  <c r="A291" i="165"/>
  <c r="A290" i="165"/>
  <c r="A289" i="165"/>
  <c r="A288" i="165"/>
  <c r="D287" i="165"/>
  <c r="A287" i="165"/>
  <c r="A286" i="165"/>
  <c r="A285" i="165"/>
  <c r="A284" i="165"/>
  <c r="A283" i="165"/>
  <c r="A282" i="165"/>
  <c r="A281" i="165"/>
  <c r="A280" i="165"/>
  <c r="A279" i="165"/>
  <c r="A278" i="165"/>
  <c r="D277" i="165"/>
  <c r="A277" i="165"/>
  <c r="A276" i="165"/>
  <c r="A275" i="165"/>
  <c r="A274" i="165"/>
  <c r="A273" i="165"/>
  <c r="A272" i="165"/>
  <c r="A271" i="165"/>
  <c r="A270" i="165"/>
  <c r="A269" i="165"/>
  <c r="A268" i="165"/>
  <c r="D267" i="165"/>
  <c r="A267" i="165"/>
  <c r="A266" i="165"/>
  <c r="A265" i="165"/>
  <c r="A264" i="165"/>
  <c r="A263" i="165"/>
  <c r="A262" i="165"/>
  <c r="A261" i="165"/>
  <c r="A260" i="165"/>
  <c r="A259" i="165"/>
  <c r="A258" i="165"/>
  <c r="D257" i="165"/>
  <c r="A257" i="165"/>
  <c r="A256" i="165"/>
  <c r="A255" i="165"/>
  <c r="A254" i="165"/>
  <c r="A253" i="165"/>
  <c r="A252" i="165"/>
  <c r="A251" i="165"/>
  <c r="A250" i="165"/>
  <c r="A249" i="165"/>
  <c r="A248" i="165"/>
  <c r="A247" i="165"/>
  <c r="A246" i="165"/>
  <c r="A245" i="165"/>
  <c r="A244" i="165"/>
  <c r="A243" i="165"/>
  <c r="A242" i="165"/>
  <c r="A241" i="165"/>
  <c r="A240" i="165"/>
  <c r="A239" i="165"/>
  <c r="A238" i="165"/>
  <c r="A237" i="165"/>
  <c r="A236" i="165"/>
  <c r="A235" i="165"/>
  <c r="A234" i="165"/>
  <c r="D233" i="165"/>
  <c r="A233" i="165"/>
  <c r="A232" i="165"/>
  <c r="A231" i="165"/>
  <c r="A230" i="165"/>
  <c r="A229" i="165"/>
  <c r="A228" i="165"/>
  <c r="A227" i="165"/>
  <c r="A226" i="165"/>
  <c r="A225" i="165"/>
  <c r="A224" i="165"/>
  <c r="D223" i="165"/>
  <c r="A223" i="165"/>
  <c r="A222" i="165"/>
  <c r="A221" i="165"/>
  <c r="A220" i="165"/>
  <c r="A219" i="165"/>
  <c r="A218" i="165"/>
  <c r="A217" i="165"/>
  <c r="A216" i="165"/>
  <c r="A215" i="165"/>
  <c r="A214" i="165"/>
  <c r="D213" i="165"/>
  <c r="A213" i="165"/>
  <c r="A212" i="165"/>
  <c r="A211" i="165"/>
  <c r="A210" i="165"/>
  <c r="A209" i="165"/>
  <c r="A208" i="165"/>
  <c r="A207" i="165"/>
  <c r="A206" i="165"/>
  <c r="A205" i="165"/>
  <c r="A204" i="165"/>
  <c r="D203" i="165"/>
  <c r="A203" i="165"/>
  <c r="A202" i="165"/>
  <c r="A201" i="165"/>
  <c r="A200" i="165"/>
  <c r="A199" i="165"/>
  <c r="A198" i="165"/>
  <c r="A197" i="165"/>
  <c r="A196" i="165"/>
  <c r="A195" i="165"/>
  <c r="A194" i="165"/>
  <c r="D193" i="165"/>
  <c r="A193" i="165"/>
  <c r="A192" i="165"/>
  <c r="A191" i="165"/>
  <c r="A190" i="165"/>
  <c r="A189" i="165"/>
  <c r="A188" i="165"/>
  <c r="A187" i="165"/>
  <c r="A186" i="165"/>
  <c r="A185" i="165"/>
  <c r="A184" i="165"/>
  <c r="D183" i="165"/>
  <c r="A183" i="165"/>
  <c r="A182" i="165"/>
  <c r="A181" i="165"/>
  <c r="A180" i="165"/>
  <c r="A179" i="165"/>
  <c r="A178" i="165"/>
  <c r="A177" i="165"/>
  <c r="A176" i="165"/>
  <c r="A175" i="165"/>
  <c r="A174" i="165"/>
  <c r="D173" i="165"/>
  <c r="A173" i="165"/>
  <c r="A172" i="165"/>
  <c r="A171" i="165"/>
  <c r="A170" i="165"/>
  <c r="A169" i="165"/>
  <c r="A168" i="165"/>
  <c r="A167" i="165"/>
  <c r="A166" i="165"/>
  <c r="A165" i="165"/>
  <c r="A164" i="165"/>
  <c r="D163" i="165"/>
  <c r="A163" i="165"/>
  <c r="A162" i="165"/>
  <c r="A161" i="165"/>
  <c r="A160" i="165"/>
  <c r="A159" i="165"/>
  <c r="A158" i="165"/>
  <c r="A157" i="165"/>
  <c r="A156" i="165"/>
  <c r="A155" i="165"/>
  <c r="A154" i="165"/>
  <c r="D153" i="165"/>
  <c r="A153" i="165"/>
  <c r="A152" i="165"/>
  <c r="A151" i="165"/>
  <c r="A150" i="165"/>
  <c r="A149" i="165"/>
  <c r="A148" i="165"/>
  <c r="A147" i="165"/>
  <c r="A146" i="165"/>
  <c r="A145" i="165"/>
  <c r="A144" i="165"/>
  <c r="A143" i="165"/>
  <c r="A142" i="165"/>
  <c r="A141" i="165"/>
  <c r="A140" i="165"/>
  <c r="A139" i="165"/>
  <c r="A138" i="165"/>
  <c r="A137" i="165"/>
  <c r="A136" i="165"/>
  <c r="A135" i="165"/>
  <c r="A134" i="165"/>
  <c r="A133" i="165"/>
  <c r="A132" i="165"/>
  <c r="A131" i="165"/>
  <c r="A130" i="165"/>
  <c r="A129" i="165"/>
  <c r="A128" i="165"/>
  <c r="A127" i="165"/>
  <c r="A126" i="165"/>
  <c r="A125" i="165"/>
  <c r="A124" i="165"/>
  <c r="A123" i="165"/>
  <c r="A122" i="165"/>
  <c r="A121" i="165"/>
  <c r="A120" i="165"/>
  <c r="D119" i="165"/>
  <c r="A119" i="165"/>
  <c r="A118" i="165"/>
  <c r="A117" i="165"/>
  <c r="A116" i="165"/>
  <c r="A115" i="165"/>
  <c r="A114" i="165"/>
  <c r="A113" i="165"/>
  <c r="A112" i="165"/>
  <c r="A111" i="165"/>
  <c r="A110" i="165"/>
  <c r="D109" i="165"/>
  <c r="A109" i="165"/>
  <c r="A108" i="165"/>
  <c r="A107" i="165"/>
  <c r="A106" i="165"/>
  <c r="A105" i="165"/>
  <c r="A104" i="165"/>
  <c r="A103" i="165"/>
  <c r="A102" i="165"/>
  <c r="A101" i="165"/>
  <c r="A100" i="165"/>
  <c r="D99" i="165"/>
  <c r="A99" i="165"/>
  <c r="A98" i="165"/>
  <c r="A97" i="165"/>
  <c r="A96" i="165"/>
  <c r="A95" i="165"/>
  <c r="A94" i="165"/>
  <c r="A93" i="165"/>
  <c r="A92" i="165"/>
  <c r="A91" i="165"/>
  <c r="A90" i="165"/>
  <c r="D89" i="165"/>
  <c r="A89" i="165"/>
  <c r="A88" i="165"/>
  <c r="A87" i="165"/>
  <c r="A86" i="165"/>
  <c r="A85" i="165"/>
  <c r="A84" i="165"/>
  <c r="A83" i="165"/>
  <c r="A82" i="165"/>
  <c r="A81" i="165"/>
  <c r="A80" i="165"/>
  <c r="D79" i="165"/>
  <c r="A79" i="165"/>
  <c r="A78" i="165"/>
  <c r="A77" i="165"/>
  <c r="A76" i="165"/>
  <c r="A75" i="165"/>
  <c r="A74" i="165"/>
  <c r="A73" i="165"/>
  <c r="A72" i="165"/>
  <c r="A71" i="165"/>
  <c r="A70" i="165"/>
  <c r="D69" i="165"/>
  <c r="A69" i="165"/>
  <c r="A68" i="165"/>
  <c r="A67" i="165"/>
  <c r="A66" i="165"/>
  <c r="A65" i="165"/>
  <c r="A64" i="165"/>
  <c r="A63" i="165"/>
  <c r="A62" i="165"/>
  <c r="A61" i="165"/>
  <c r="A60" i="165"/>
  <c r="D59" i="165"/>
  <c r="A59" i="165"/>
  <c r="A58" i="165"/>
  <c r="A57" i="165"/>
  <c r="A56" i="165"/>
  <c r="A55" i="165"/>
  <c r="A54" i="165"/>
  <c r="A53" i="165"/>
  <c r="A52" i="165"/>
  <c r="A51" i="165"/>
  <c r="A50" i="165"/>
  <c r="D49" i="165"/>
  <c r="A49" i="165"/>
  <c r="A48" i="165"/>
  <c r="A47" i="165"/>
  <c r="A46" i="165"/>
  <c r="A45" i="165"/>
  <c r="A44" i="165"/>
  <c r="A43" i="165"/>
  <c r="A42" i="165"/>
  <c r="A41" i="165"/>
  <c r="A40" i="165"/>
  <c r="D39" i="165"/>
  <c r="A39" i="165"/>
  <c r="A38" i="165"/>
  <c r="A37" i="165"/>
  <c r="A36" i="165"/>
  <c r="A35" i="165"/>
  <c r="A34" i="165"/>
  <c r="A33" i="165"/>
  <c r="A32" i="165"/>
  <c r="A31" i="165"/>
  <c r="A28" i="165"/>
  <c r="A27" i="165"/>
  <c r="A26" i="165"/>
  <c r="D25" i="165"/>
  <c r="A25" i="165"/>
  <c r="A24" i="165"/>
  <c r="A22" i="165"/>
  <c r="D21" i="165"/>
  <c r="A21" i="165"/>
  <c r="A20" i="165"/>
  <c r="A749" i="164"/>
  <c r="A748" i="164"/>
  <c r="A747" i="164"/>
  <c r="A746" i="164"/>
  <c r="A745" i="164"/>
  <c r="D744" i="164"/>
  <c r="A744" i="164"/>
  <c r="A743" i="164"/>
  <c r="A742" i="164"/>
  <c r="A741" i="164"/>
  <c r="A740" i="164"/>
  <c r="A739" i="164"/>
  <c r="D738" i="164"/>
  <c r="A738" i="164"/>
  <c r="A737" i="164"/>
  <c r="A736" i="164"/>
  <c r="A735" i="164"/>
  <c r="A734" i="164"/>
  <c r="A733" i="164"/>
  <c r="D732" i="164"/>
  <c r="A732" i="164"/>
  <c r="A731" i="164"/>
  <c r="A730" i="164"/>
  <c r="A729" i="164"/>
  <c r="A728" i="164"/>
  <c r="A727" i="164"/>
  <c r="D726" i="164"/>
  <c r="A726" i="164"/>
  <c r="A725" i="164"/>
  <c r="A724" i="164"/>
  <c r="A723" i="164"/>
  <c r="A722" i="164"/>
  <c r="A721" i="164"/>
  <c r="D720" i="164"/>
  <c r="A720" i="164"/>
  <c r="A719" i="164"/>
  <c r="A718" i="164"/>
  <c r="A717" i="164"/>
  <c r="A716" i="164"/>
  <c r="A715" i="164"/>
  <c r="D714" i="164"/>
  <c r="A714" i="164"/>
  <c r="A713" i="164"/>
  <c r="A712" i="164"/>
  <c r="A711" i="164"/>
  <c r="A710" i="164"/>
  <c r="A709" i="164"/>
  <c r="D708" i="164"/>
  <c r="A708" i="164"/>
  <c r="A707" i="164"/>
  <c r="A706" i="164"/>
  <c r="A705" i="164"/>
  <c r="A704" i="164"/>
  <c r="A703" i="164"/>
  <c r="D702" i="164"/>
  <c r="A702" i="164"/>
  <c r="A701" i="164"/>
  <c r="A700" i="164"/>
  <c r="A699" i="164"/>
  <c r="A698" i="164"/>
  <c r="A697" i="164"/>
  <c r="D696" i="164"/>
  <c r="A696" i="164"/>
  <c r="A695" i="164"/>
  <c r="A694" i="164"/>
  <c r="A693" i="164"/>
  <c r="A692" i="164"/>
  <c r="A691" i="164"/>
  <c r="D690" i="164"/>
  <c r="A690" i="164"/>
  <c r="A689" i="164"/>
  <c r="A688" i="164"/>
  <c r="A687" i="164"/>
  <c r="A686" i="164"/>
  <c r="A685" i="164"/>
  <c r="D684" i="164"/>
  <c r="A684" i="164"/>
  <c r="A683" i="164"/>
  <c r="A682" i="164"/>
  <c r="A681" i="164"/>
  <c r="A680" i="164"/>
  <c r="A679" i="164"/>
  <c r="D678" i="164"/>
  <c r="A678" i="164"/>
  <c r="A677" i="164"/>
  <c r="A676" i="164"/>
  <c r="A675" i="164"/>
  <c r="A674" i="164"/>
  <c r="A673" i="164"/>
  <c r="D672" i="164"/>
  <c r="A672" i="164"/>
  <c r="A671" i="164"/>
  <c r="A670" i="164"/>
  <c r="A669" i="164"/>
  <c r="A668" i="164"/>
  <c r="A667" i="164"/>
  <c r="D666" i="164"/>
  <c r="A666" i="164"/>
  <c r="A665" i="164"/>
  <c r="A664" i="164"/>
  <c r="A663" i="164"/>
  <c r="A662" i="164"/>
  <c r="A661" i="164"/>
  <c r="D660" i="164"/>
  <c r="A660" i="164"/>
  <c r="A659" i="164"/>
  <c r="A658" i="164"/>
  <c r="A657" i="164"/>
  <c r="A656" i="164"/>
  <c r="A655" i="164"/>
  <c r="D654" i="164"/>
  <c r="A654" i="164"/>
  <c r="A653" i="164"/>
  <c r="A652" i="164"/>
  <c r="A651" i="164"/>
  <c r="A650" i="164"/>
  <c r="A649" i="164"/>
  <c r="D648" i="164"/>
  <c r="A648" i="164"/>
  <c r="A647" i="164"/>
  <c r="A646" i="164"/>
  <c r="A645" i="164"/>
  <c r="A644" i="164"/>
  <c r="A643" i="164"/>
  <c r="D642" i="164"/>
  <c r="A642" i="164"/>
  <c r="A641" i="164"/>
  <c r="A640" i="164"/>
  <c r="A639" i="164"/>
  <c r="A638" i="164"/>
  <c r="A637" i="164"/>
  <c r="D636" i="164"/>
  <c r="A636" i="164"/>
  <c r="A635" i="164"/>
  <c r="A634" i="164"/>
  <c r="A633" i="164"/>
  <c r="A632" i="164"/>
  <c r="A631" i="164"/>
  <c r="D630" i="164"/>
  <c r="A630" i="164"/>
  <c r="A629" i="164"/>
  <c r="A628" i="164"/>
  <c r="A627" i="164"/>
  <c r="A626" i="164"/>
  <c r="A625" i="164"/>
  <c r="D624" i="164"/>
  <c r="A624" i="164"/>
  <c r="A623" i="164"/>
  <c r="A622" i="164"/>
  <c r="A621" i="164"/>
  <c r="A620" i="164"/>
  <c r="A619" i="164"/>
  <c r="D618" i="164"/>
  <c r="A618" i="164"/>
  <c r="A617" i="164"/>
  <c r="A616" i="164"/>
  <c r="A615" i="164"/>
  <c r="A614" i="164"/>
  <c r="A613" i="164"/>
  <c r="D612" i="164"/>
  <c r="A612" i="164"/>
  <c r="A611" i="164"/>
  <c r="A610" i="164"/>
  <c r="A609" i="164"/>
  <c r="A608" i="164"/>
  <c r="A607" i="164"/>
  <c r="D606" i="164"/>
  <c r="A606" i="164"/>
  <c r="A605" i="164"/>
  <c r="A604" i="164"/>
  <c r="A603" i="164"/>
  <c r="A602" i="164"/>
  <c r="A601" i="164"/>
  <c r="D600" i="164"/>
  <c r="A600" i="164"/>
  <c r="A599" i="164"/>
  <c r="A598" i="164"/>
  <c r="A597" i="164"/>
  <c r="A596" i="164"/>
  <c r="A595" i="164"/>
  <c r="D594" i="164"/>
  <c r="A594" i="164"/>
  <c r="A593" i="164"/>
  <c r="A592" i="164"/>
  <c r="A591" i="164"/>
  <c r="A590" i="164"/>
  <c r="A589" i="164"/>
  <c r="A588" i="164"/>
  <c r="A587" i="164"/>
  <c r="A586" i="164"/>
  <c r="A585" i="164"/>
  <c r="A584" i="164"/>
  <c r="A583" i="164"/>
  <c r="A582" i="164"/>
  <c r="A581" i="164"/>
  <c r="A580" i="164"/>
  <c r="A579" i="164"/>
  <c r="A578" i="164"/>
  <c r="A577" i="164"/>
  <c r="A576" i="164"/>
  <c r="A575" i="164"/>
  <c r="A574" i="164"/>
  <c r="D573" i="164"/>
  <c r="A573" i="164"/>
  <c r="A572" i="164"/>
  <c r="A571" i="164"/>
  <c r="A570" i="164"/>
  <c r="A569" i="164"/>
  <c r="A568" i="164"/>
  <c r="D567" i="164"/>
  <c r="A567" i="164"/>
  <c r="A566" i="164"/>
  <c r="A565" i="164"/>
  <c r="A564" i="164"/>
  <c r="A563" i="164"/>
  <c r="A562" i="164"/>
  <c r="D561" i="164"/>
  <c r="A561" i="164"/>
  <c r="A560" i="164"/>
  <c r="A559" i="164"/>
  <c r="A558" i="164"/>
  <c r="A557" i="164"/>
  <c r="A556" i="164"/>
  <c r="D555" i="164"/>
  <c r="A555" i="164"/>
  <c r="A554" i="164"/>
  <c r="A553" i="164"/>
  <c r="A552" i="164"/>
  <c r="A551" i="164"/>
  <c r="A550" i="164"/>
  <c r="D549" i="164"/>
  <c r="A549" i="164"/>
  <c r="A548" i="164"/>
  <c r="A547" i="164"/>
  <c r="A546" i="164"/>
  <c r="A545" i="164"/>
  <c r="A544" i="164"/>
  <c r="D543" i="164"/>
  <c r="A543" i="164"/>
  <c r="A542" i="164"/>
  <c r="A541" i="164"/>
  <c r="A540" i="164"/>
  <c r="A539" i="164"/>
  <c r="A538" i="164"/>
  <c r="D537" i="164"/>
  <c r="A537" i="164"/>
  <c r="A536" i="164"/>
  <c r="A535" i="164"/>
  <c r="A534" i="164"/>
  <c r="A533" i="164"/>
  <c r="A532" i="164"/>
  <c r="A531" i="164"/>
  <c r="A530" i="164"/>
  <c r="A529" i="164"/>
  <c r="A528" i="164"/>
  <c r="A527" i="164"/>
  <c r="A526" i="164"/>
  <c r="D525" i="164"/>
  <c r="A525" i="164"/>
  <c r="A524" i="164"/>
  <c r="A523" i="164"/>
  <c r="A522" i="164"/>
  <c r="A521" i="164"/>
  <c r="A520" i="164"/>
  <c r="D519" i="164"/>
  <c r="A519" i="164"/>
  <c r="A518" i="164"/>
  <c r="A517" i="164"/>
  <c r="A516" i="164"/>
  <c r="A515" i="164"/>
  <c r="A514" i="164"/>
  <c r="D513" i="164"/>
  <c r="A513" i="164"/>
  <c r="A512" i="164"/>
  <c r="A511" i="164"/>
  <c r="A510" i="164"/>
  <c r="A509" i="164"/>
  <c r="A508" i="164"/>
  <c r="D507" i="164"/>
  <c r="A507" i="164"/>
  <c r="A506" i="164"/>
  <c r="A505" i="164"/>
  <c r="A504" i="164"/>
  <c r="A503" i="164"/>
  <c r="A502" i="164"/>
  <c r="D501" i="164"/>
  <c r="A501" i="164"/>
  <c r="A500" i="164"/>
  <c r="A499" i="164"/>
  <c r="A498" i="164"/>
  <c r="A497" i="164"/>
  <c r="A496" i="164"/>
  <c r="A495" i="164"/>
  <c r="D494" i="164"/>
  <c r="A494" i="164"/>
  <c r="A493" i="164"/>
  <c r="A492" i="164"/>
  <c r="A491" i="164"/>
  <c r="D490" i="164"/>
  <c r="A490" i="164"/>
  <c r="A489" i="164"/>
  <c r="A488" i="164"/>
  <c r="A487" i="164"/>
  <c r="D486" i="164"/>
  <c r="A486" i="164"/>
  <c r="A485" i="164"/>
  <c r="A484" i="164"/>
  <c r="A483" i="164"/>
  <c r="D482" i="164"/>
  <c r="A482" i="164"/>
  <c r="A481" i="164"/>
  <c r="A480" i="164"/>
  <c r="D479" i="164"/>
  <c r="A479" i="164"/>
  <c r="A478" i="164"/>
  <c r="A477" i="164"/>
  <c r="A476" i="164"/>
  <c r="A475" i="164"/>
  <c r="A474" i="164"/>
  <c r="A473" i="164"/>
  <c r="A472" i="164"/>
  <c r="A471" i="164"/>
  <c r="A470" i="164"/>
  <c r="A469" i="164"/>
  <c r="A468" i="164"/>
  <c r="A467" i="164"/>
  <c r="A466" i="164"/>
  <c r="A465" i="164"/>
  <c r="D464" i="164"/>
  <c r="A464" i="164"/>
  <c r="A463" i="164"/>
  <c r="A462" i="164"/>
  <c r="A461" i="164"/>
  <c r="A460" i="164"/>
  <c r="A459" i="164"/>
  <c r="D458" i="164"/>
  <c r="A458" i="164"/>
  <c r="A457" i="164"/>
  <c r="A456" i="164"/>
  <c r="A455" i="164"/>
  <c r="A454" i="164"/>
  <c r="A453" i="164"/>
  <c r="A452" i="164"/>
  <c r="A451" i="164"/>
  <c r="A450" i="164"/>
  <c r="A449" i="164"/>
  <c r="D448" i="164"/>
  <c r="A448" i="164"/>
  <c r="A447" i="164"/>
  <c r="A446" i="164"/>
  <c r="A445" i="164"/>
  <c r="A444" i="164"/>
  <c r="A443" i="164"/>
  <c r="A442" i="164"/>
  <c r="A441" i="164"/>
  <c r="A440" i="164"/>
  <c r="A439" i="164"/>
  <c r="D438" i="164"/>
  <c r="A438" i="164"/>
  <c r="A437" i="164"/>
  <c r="A436" i="164"/>
  <c r="A435" i="164"/>
  <c r="A434" i="164"/>
  <c r="A433" i="164"/>
  <c r="A432" i="164"/>
  <c r="A431" i="164"/>
  <c r="A430" i="164"/>
  <c r="A429" i="164"/>
  <c r="D428" i="164"/>
  <c r="A428" i="164"/>
  <c r="A427" i="164"/>
  <c r="A426" i="164"/>
  <c r="A425" i="164"/>
  <c r="A424" i="164"/>
  <c r="A423" i="164"/>
  <c r="A422" i="164"/>
  <c r="A421" i="164"/>
  <c r="A420" i="164"/>
  <c r="A419" i="164"/>
  <c r="A418" i="164"/>
  <c r="A417" i="164"/>
  <c r="D416" i="164"/>
  <c r="A416" i="164"/>
  <c r="A415" i="164"/>
  <c r="A414" i="164"/>
  <c r="A413" i="164"/>
  <c r="A412" i="164"/>
  <c r="A411" i="164"/>
  <c r="A410" i="164"/>
  <c r="A409" i="164"/>
  <c r="A408" i="164"/>
  <c r="A407" i="164"/>
  <c r="A406" i="164"/>
  <c r="A405" i="164"/>
  <c r="D404" i="164"/>
  <c r="A404" i="164"/>
  <c r="A403" i="164"/>
  <c r="A402" i="164"/>
  <c r="A401" i="164"/>
  <c r="A400" i="164"/>
  <c r="A399" i="164"/>
  <c r="A398" i="164"/>
  <c r="A397" i="164"/>
  <c r="A396" i="164"/>
  <c r="A395" i="164"/>
  <c r="D394" i="164"/>
  <c r="A394" i="164"/>
  <c r="A393" i="164"/>
  <c r="A392" i="164"/>
  <c r="A391" i="164"/>
  <c r="A390" i="164"/>
  <c r="A389" i="164"/>
  <c r="A388" i="164"/>
  <c r="A387" i="164"/>
  <c r="A386" i="164"/>
  <c r="A385" i="164"/>
  <c r="D384" i="164"/>
  <c r="A384" i="164"/>
  <c r="A383" i="164"/>
  <c r="A382" i="164"/>
  <c r="A381" i="164"/>
  <c r="A380" i="164"/>
  <c r="A379" i="164"/>
  <c r="A378" i="164"/>
  <c r="A377" i="164"/>
  <c r="A376" i="164"/>
  <c r="A375" i="164"/>
  <c r="D374" i="164"/>
  <c r="A374" i="164"/>
  <c r="A373" i="164"/>
  <c r="A372" i="164"/>
  <c r="A371" i="164"/>
  <c r="A370" i="164"/>
  <c r="A369" i="164"/>
  <c r="A368" i="164"/>
  <c r="A367" i="164"/>
  <c r="A366" i="164"/>
  <c r="A365" i="164"/>
  <c r="D364" i="164"/>
  <c r="A364" i="164"/>
  <c r="A363" i="164"/>
  <c r="A362" i="164"/>
  <c r="A361" i="164"/>
  <c r="A360" i="164"/>
  <c r="A359" i="164"/>
  <c r="A358" i="164"/>
  <c r="A357" i="164"/>
  <c r="A356" i="164"/>
  <c r="A355" i="164"/>
  <c r="D354" i="164"/>
  <c r="A354" i="164"/>
  <c r="A353" i="164"/>
  <c r="A352" i="164"/>
  <c r="A351" i="164"/>
  <c r="A350" i="164"/>
  <c r="A349" i="164"/>
  <c r="A348" i="164"/>
  <c r="A347" i="164"/>
  <c r="A346" i="164"/>
  <c r="A345" i="164"/>
  <c r="D344" i="164"/>
  <c r="A344" i="164"/>
  <c r="A343" i="164"/>
  <c r="A342" i="164"/>
  <c r="A341" i="164"/>
  <c r="A340" i="164"/>
  <c r="A339" i="164"/>
  <c r="A338" i="164"/>
  <c r="A337" i="164"/>
  <c r="A336" i="164"/>
  <c r="A335" i="164"/>
  <c r="D334" i="164"/>
  <c r="A334" i="164"/>
  <c r="A333" i="164"/>
  <c r="A332" i="164"/>
  <c r="A331" i="164"/>
  <c r="A330" i="164"/>
  <c r="A329" i="164"/>
  <c r="A328" i="164"/>
  <c r="A327" i="164"/>
  <c r="A326" i="164"/>
  <c r="A325" i="164"/>
  <c r="A324" i="164"/>
  <c r="A323" i="164"/>
  <c r="A322" i="164"/>
  <c r="A321" i="164"/>
  <c r="A320" i="164"/>
  <c r="A319" i="164"/>
  <c r="A318" i="164"/>
  <c r="A317" i="164"/>
  <c r="A316" i="164"/>
  <c r="A315" i="164"/>
  <c r="A314" i="164"/>
  <c r="A313" i="164"/>
  <c r="A312" i="164"/>
  <c r="A311" i="164"/>
  <c r="A310" i="164"/>
  <c r="A309" i="164"/>
  <c r="A308" i="164"/>
  <c r="A307" i="164"/>
  <c r="A306" i="164"/>
  <c r="A305" i="164"/>
  <c r="A304" i="164"/>
  <c r="A303" i="164"/>
  <c r="A302" i="164"/>
  <c r="A301" i="164"/>
  <c r="A300" i="164"/>
  <c r="A299" i="164"/>
  <c r="A298" i="164"/>
  <c r="A297" i="164"/>
  <c r="A296" i="164"/>
  <c r="A295" i="164"/>
  <c r="D294" i="164"/>
  <c r="A294" i="164"/>
  <c r="A293" i="164"/>
  <c r="A292" i="164"/>
  <c r="A291" i="164"/>
  <c r="A290" i="164"/>
  <c r="A289" i="164"/>
  <c r="A288" i="164"/>
  <c r="A287" i="164"/>
  <c r="A286" i="164"/>
  <c r="A285" i="164"/>
  <c r="D284" i="164"/>
  <c r="A284" i="164"/>
  <c r="A283" i="164"/>
  <c r="A282" i="164"/>
  <c r="A281" i="164"/>
  <c r="A280" i="164"/>
  <c r="A279" i="164"/>
  <c r="A278" i="164"/>
  <c r="A277" i="164"/>
  <c r="A276" i="164"/>
  <c r="A275" i="164"/>
  <c r="D274" i="164"/>
  <c r="A274" i="164"/>
  <c r="A273" i="164"/>
  <c r="A272" i="164"/>
  <c r="A271" i="164"/>
  <c r="A270" i="164"/>
  <c r="A269" i="164"/>
  <c r="A268" i="164"/>
  <c r="A267" i="164"/>
  <c r="A266" i="164"/>
  <c r="A265" i="164"/>
  <c r="D264" i="164"/>
  <c r="A264" i="164"/>
  <c r="A263" i="164"/>
  <c r="A262" i="164"/>
  <c r="A261" i="164"/>
  <c r="A260" i="164"/>
  <c r="A259" i="164"/>
  <c r="A258" i="164"/>
  <c r="A257" i="164"/>
  <c r="A256" i="164"/>
  <c r="A255" i="164"/>
  <c r="D254" i="164"/>
  <c r="A254" i="164"/>
  <c r="A253" i="164"/>
  <c r="A252" i="164"/>
  <c r="A251" i="164"/>
  <c r="A250" i="164"/>
  <c r="A249" i="164"/>
  <c r="A248" i="164"/>
  <c r="A247" i="164"/>
  <c r="A246" i="164"/>
  <c r="A245" i="164"/>
  <c r="D244" i="164"/>
  <c r="A244" i="164"/>
  <c r="A243" i="164"/>
  <c r="A242" i="164"/>
  <c r="A241" i="164"/>
  <c r="A240" i="164"/>
  <c r="A239" i="164"/>
  <c r="A238" i="164"/>
  <c r="A237" i="164"/>
  <c r="A236" i="164"/>
  <c r="A235" i="164"/>
  <c r="D234" i="164"/>
  <c r="A234" i="164"/>
  <c r="A233" i="164"/>
  <c r="A232" i="164"/>
  <c r="A231" i="164"/>
  <c r="A230" i="164"/>
  <c r="A229" i="164"/>
  <c r="A228" i="164"/>
  <c r="A227" i="164"/>
  <c r="A226" i="164"/>
  <c r="A225" i="164"/>
  <c r="D224" i="164"/>
  <c r="A224" i="164"/>
  <c r="A223" i="164"/>
  <c r="A222" i="164"/>
  <c r="A221" i="164"/>
  <c r="A220" i="164"/>
  <c r="A219" i="164"/>
  <c r="A218" i="164"/>
  <c r="A217" i="164"/>
  <c r="A216" i="164"/>
  <c r="A215" i="164"/>
  <c r="D214" i="164"/>
  <c r="A214" i="164"/>
  <c r="A213" i="164"/>
  <c r="A212" i="164"/>
  <c r="A211" i="164"/>
  <c r="A210" i="164"/>
  <c r="A209" i="164"/>
  <c r="A208" i="164"/>
  <c r="A207" i="164"/>
  <c r="A206" i="164"/>
  <c r="A205" i="164"/>
  <c r="A204" i="164"/>
  <c r="D203" i="164"/>
  <c r="A203" i="164"/>
  <c r="A202" i="164"/>
  <c r="A201" i="164"/>
  <c r="A200" i="164"/>
  <c r="A199" i="164"/>
  <c r="A198" i="164"/>
  <c r="A197" i="164"/>
  <c r="A196" i="164"/>
  <c r="A195" i="164"/>
  <c r="A194" i="164"/>
  <c r="A193" i="164"/>
  <c r="A192" i="164"/>
  <c r="A191" i="164"/>
  <c r="A190" i="164"/>
  <c r="A189" i="164"/>
  <c r="A188" i="164"/>
  <c r="A187" i="164"/>
  <c r="A186" i="164"/>
  <c r="A185" i="164"/>
  <c r="A184" i="164"/>
  <c r="A183" i="164"/>
  <c r="A182" i="164"/>
  <c r="A181" i="164"/>
  <c r="A180" i="164"/>
  <c r="A179" i="164"/>
  <c r="A178" i="164"/>
  <c r="A177" i="164"/>
  <c r="A176" i="164"/>
  <c r="A175" i="164"/>
  <c r="A174" i="164"/>
  <c r="A173" i="164"/>
  <c r="A172" i="164"/>
  <c r="A171" i="164"/>
  <c r="A170" i="164"/>
  <c r="D169" i="164"/>
  <c r="A169" i="164"/>
  <c r="A168" i="164"/>
  <c r="A167" i="164"/>
  <c r="A166" i="164"/>
  <c r="A165" i="164"/>
  <c r="A164" i="164"/>
  <c r="A163" i="164"/>
  <c r="A162" i="164"/>
  <c r="A161" i="164"/>
  <c r="A160" i="164"/>
  <c r="D159" i="164"/>
  <c r="A159" i="164"/>
  <c r="A158" i="164"/>
  <c r="A157" i="164"/>
  <c r="A156" i="164"/>
  <c r="A155" i="164"/>
  <c r="A154" i="164"/>
  <c r="A153" i="164"/>
  <c r="A152" i="164"/>
  <c r="A151" i="164"/>
  <c r="A150" i="164"/>
  <c r="D149" i="164"/>
  <c r="A149" i="164"/>
  <c r="A148" i="164"/>
  <c r="A147" i="164"/>
  <c r="A146" i="164"/>
  <c r="A145" i="164"/>
  <c r="A144" i="164"/>
  <c r="A143" i="164"/>
  <c r="A142" i="164"/>
  <c r="A141" i="164"/>
  <c r="A140" i="164"/>
  <c r="D139" i="164"/>
  <c r="A139" i="164"/>
  <c r="A138" i="164"/>
  <c r="A137" i="164"/>
  <c r="A136" i="164"/>
  <c r="A135" i="164"/>
  <c r="A134" i="164"/>
  <c r="A133" i="164"/>
  <c r="A132" i="164"/>
  <c r="A131" i="164"/>
  <c r="A130" i="164"/>
  <c r="D129" i="164"/>
  <c r="A129" i="164"/>
  <c r="A128" i="164"/>
  <c r="A127" i="164"/>
  <c r="A126" i="164"/>
  <c r="A125" i="164"/>
  <c r="A124" i="164"/>
  <c r="A123" i="164"/>
  <c r="A122" i="164"/>
  <c r="A121" i="164"/>
  <c r="A120" i="164"/>
  <c r="D119" i="164"/>
  <c r="A119" i="164"/>
  <c r="A118" i="164"/>
  <c r="A117" i="164"/>
  <c r="A116" i="164"/>
  <c r="A115" i="164"/>
  <c r="A114" i="164"/>
  <c r="A113" i="164"/>
  <c r="A112" i="164"/>
  <c r="A111" i="164"/>
  <c r="A110" i="164"/>
  <c r="D109" i="164"/>
  <c r="A109" i="164"/>
  <c r="A108" i="164"/>
  <c r="A107" i="164"/>
  <c r="A106" i="164"/>
  <c r="A105" i="164"/>
  <c r="A104" i="164"/>
  <c r="A103" i="164"/>
  <c r="A102" i="164"/>
  <c r="A101" i="164"/>
  <c r="A100" i="164"/>
  <c r="D99" i="164"/>
  <c r="A99" i="164"/>
  <c r="A98" i="164"/>
  <c r="A97" i="164"/>
  <c r="A96" i="164"/>
  <c r="A95" i="164"/>
  <c r="A94" i="164"/>
  <c r="A93" i="164"/>
  <c r="A92" i="164"/>
  <c r="A91" i="164"/>
  <c r="A90" i="164"/>
  <c r="D89" i="164"/>
  <c r="A89" i="164"/>
  <c r="A88" i="164"/>
  <c r="A87" i="164"/>
  <c r="A86" i="164"/>
  <c r="A85" i="164"/>
  <c r="A84" i="164"/>
  <c r="A83" i="164"/>
  <c r="A82" i="164"/>
  <c r="A81" i="164"/>
  <c r="A80" i="164"/>
  <c r="D79" i="164"/>
  <c r="A79" i="164"/>
  <c r="A78" i="164"/>
  <c r="A77" i="164"/>
  <c r="A76" i="164"/>
  <c r="A75" i="164"/>
  <c r="A74" i="164"/>
  <c r="A73" i="164"/>
  <c r="A72" i="164"/>
  <c r="A71" i="164"/>
  <c r="A70" i="164"/>
  <c r="D69" i="164"/>
  <c r="A69" i="164"/>
  <c r="A68" i="164"/>
  <c r="A67" i="164"/>
  <c r="A66" i="164"/>
  <c r="A65" i="164"/>
  <c r="A64" i="164"/>
  <c r="A63" i="164"/>
  <c r="A62" i="164"/>
  <c r="A61" i="164"/>
  <c r="A60" i="164"/>
  <c r="D59" i="164"/>
  <c r="A59" i="164"/>
  <c r="A58" i="164"/>
  <c r="A57" i="164"/>
  <c r="A56" i="164"/>
  <c r="A55" i="164"/>
  <c r="A54" i="164"/>
  <c r="A53" i="164"/>
  <c r="A52" i="164"/>
  <c r="A51" i="164"/>
  <c r="A50" i="164"/>
  <c r="D49" i="164"/>
  <c r="A49" i="164"/>
  <c r="A48" i="164"/>
  <c r="A47" i="164"/>
  <c r="A46" i="164"/>
  <c r="A45" i="164"/>
  <c r="A44" i="164"/>
  <c r="A43" i="164"/>
  <c r="A42" i="164"/>
  <c r="A41" i="164"/>
  <c r="A40" i="164"/>
  <c r="D39" i="164"/>
  <c r="A39" i="164"/>
  <c r="A38" i="164"/>
  <c r="A37" i="164"/>
  <c r="A36" i="164"/>
  <c r="A35" i="164"/>
  <c r="A34" i="164"/>
  <c r="A33" i="164"/>
  <c r="A32" i="164"/>
  <c r="A31" i="164"/>
  <c r="A28" i="164"/>
  <c r="A27" i="164"/>
  <c r="A26" i="164"/>
  <c r="D25" i="164"/>
  <c r="A25" i="164"/>
  <c r="A24" i="164"/>
  <c r="A22" i="164"/>
  <c r="D21" i="164"/>
  <c r="A21" i="164"/>
  <c r="A20" i="164"/>
  <c r="A727" i="163"/>
  <c r="A726" i="163"/>
  <c r="A725" i="163"/>
  <c r="A724" i="163"/>
  <c r="A723" i="163"/>
  <c r="D722" i="163"/>
  <c r="A722" i="163"/>
  <c r="A721" i="163"/>
  <c r="A720" i="163"/>
  <c r="A719" i="163"/>
  <c r="A718" i="163"/>
  <c r="A717" i="163"/>
  <c r="D716" i="163"/>
  <c r="A716" i="163"/>
  <c r="A715" i="163"/>
  <c r="A714" i="163"/>
  <c r="A713" i="163"/>
  <c r="A712" i="163"/>
  <c r="A711" i="163"/>
  <c r="D710" i="163"/>
  <c r="A710" i="163"/>
  <c r="A709" i="163"/>
  <c r="A708" i="163"/>
  <c r="A707" i="163"/>
  <c r="A706" i="163"/>
  <c r="A705" i="163"/>
  <c r="D704" i="163"/>
  <c r="A704" i="163"/>
  <c r="A703" i="163"/>
  <c r="A702" i="163"/>
  <c r="A701" i="163"/>
  <c r="A700" i="163"/>
  <c r="A699" i="163"/>
  <c r="D698" i="163"/>
  <c r="A698" i="163"/>
  <c r="A697" i="163"/>
  <c r="A696" i="163"/>
  <c r="A695" i="163"/>
  <c r="A694" i="163"/>
  <c r="A693" i="163"/>
  <c r="D692" i="163"/>
  <c r="A692" i="163"/>
  <c r="A691" i="163"/>
  <c r="A690" i="163"/>
  <c r="A689" i="163"/>
  <c r="A688" i="163"/>
  <c r="A687" i="163"/>
  <c r="D686" i="163"/>
  <c r="A686" i="163"/>
  <c r="A685" i="163"/>
  <c r="A684" i="163"/>
  <c r="A683" i="163"/>
  <c r="A682" i="163"/>
  <c r="A681" i="163"/>
  <c r="D680" i="163"/>
  <c r="A680" i="163"/>
  <c r="A679" i="163"/>
  <c r="A678" i="163"/>
  <c r="A677" i="163"/>
  <c r="A676" i="163"/>
  <c r="A675" i="163"/>
  <c r="D674" i="163"/>
  <c r="A674" i="163"/>
  <c r="A673" i="163"/>
  <c r="A672" i="163"/>
  <c r="A671" i="163"/>
  <c r="A670" i="163"/>
  <c r="A669" i="163"/>
  <c r="D668" i="163"/>
  <c r="A668" i="163"/>
  <c r="A667" i="163"/>
  <c r="A666" i="163"/>
  <c r="A665" i="163"/>
  <c r="A664" i="163"/>
  <c r="A663" i="163"/>
  <c r="D662" i="163"/>
  <c r="A662" i="163"/>
  <c r="A661" i="163"/>
  <c r="A660" i="163"/>
  <c r="A659" i="163"/>
  <c r="A658" i="163"/>
  <c r="A657" i="163"/>
  <c r="D656" i="163"/>
  <c r="A656" i="163"/>
  <c r="A655" i="163"/>
  <c r="A654" i="163"/>
  <c r="A653" i="163"/>
  <c r="A652" i="163"/>
  <c r="A651" i="163"/>
  <c r="D650" i="163"/>
  <c r="A650" i="163"/>
  <c r="A649" i="163"/>
  <c r="A648" i="163"/>
  <c r="A647" i="163"/>
  <c r="A646" i="163"/>
  <c r="A645" i="163"/>
  <c r="D644" i="163"/>
  <c r="A644" i="163"/>
  <c r="A643" i="163"/>
  <c r="A642" i="163"/>
  <c r="A641" i="163"/>
  <c r="A640" i="163"/>
  <c r="A639" i="163"/>
  <c r="D638" i="163"/>
  <c r="A638" i="163"/>
  <c r="A637" i="163"/>
  <c r="A636" i="163"/>
  <c r="A635" i="163"/>
  <c r="A634" i="163"/>
  <c r="A633" i="163"/>
  <c r="D632" i="163"/>
  <c r="A632" i="163"/>
  <c r="A631" i="163"/>
  <c r="A630" i="163"/>
  <c r="A629" i="163"/>
  <c r="A628" i="163"/>
  <c r="A627" i="163"/>
  <c r="D626" i="163"/>
  <c r="A626" i="163"/>
  <c r="A625" i="163"/>
  <c r="A624" i="163"/>
  <c r="A623" i="163"/>
  <c r="A622" i="163"/>
  <c r="A621" i="163"/>
  <c r="D620" i="163"/>
  <c r="A620" i="163"/>
  <c r="A619" i="163"/>
  <c r="A618" i="163"/>
  <c r="A617" i="163"/>
  <c r="A616" i="163"/>
  <c r="A615" i="163"/>
  <c r="D614" i="163"/>
  <c r="A614" i="163"/>
  <c r="A613" i="163"/>
  <c r="A612" i="163"/>
  <c r="A611" i="163"/>
  <c r="A610" i="163"/>
  <c r="A609" i="163"/>
  <c r="D608" i="163"/>
  <c r="A608" i="163"/>
  <c r="A607" i="163"/>
  <c r="A606" i="163"/>
  <c r="A605" i="163"/>
  <c r="A604" i="163"/>
  <c r="A603" i="163"/>
  <c r="D602" i="163"/>
  <c r="A602" i="163"/>
  <c r="A601" i="163"/>
  <c r="A600" i="163"/>
  <c r="A599" i="163"/>
  <c r="A598" i="163"/>
  <c r="A597" i="163"/>
  <c r="D596" i="163"/>
  <c r="A596" i="163"/>
  <c r="A595" i="163"/>
  <c r="A594" i="163"/>
  <c r="A593" i="163"/>
  <c r="A592" i="163"/>
  <c r="A591" i="163"/>
  <c r="D590" i="163"/>
  <c r="A590" i="163"/>
  <c r="A589" i="163"/>
  <c r="A588" i="163"/>
  <c r="A587" i="163"/>
  <c r="A586" i="163"/>
  <c r="A585" i="163"/>
  <c r="D584" i="163"/>
  <c r="A584" i="163"/>
  <c r="A583" i="163"/>
  <c r="A582" i="163"/>
  <c r="A581" i="163"/>
  <c r="A580" i="163"/>
  <c r="A579" i="163"/>
  <c r="D578" i="163"/>
  <c r="A578" i="163"/>
  <c r="A577" i="163"/>
  <c r="A576" i="163"/>
  <c r="A575" i="163"/>
  <c r="A574" i="163"/>
  <c r="A573" i="163"/>
  <c r="D572" i="163"/>
  <c r="A572" i="163"/>
  <c r="A571" i="163"/>
  <c r="A570" i="163"/>
  <c r="A569" i="163"/>
  <c r="A568" i="163"/>
  <c r="A567" i="163"/>
  <c r="A566" i="163"/>
  <c r="A565" i="163"/>
  <c r="A564" i="163"/>
  <c r="A563" i="163"/>
  <c r="A562" i="163"/>
  <c r="A561" i="163"/>
  <c r="A560" i="163"/>
  <c r="A559" i="163"/>
  <c r="A558" i="163"/>
  <c r="A557" i="163"/>
  <c r="A556" i="163"/>
  <c r="A555" i="163"/>
  <c r="A554" i="163"/>
  <c r="A553" i="163"/>
  <c r="A552" i="163"/>
  <c r="D551" i="163"/>
  <c r="A551" i="163"/>
  <c r="A550" i="163"/>
  <c r="A549" i="163"/>
  <c r="A548" i="163"/>
  <c r="A547" i="163"/>
  <c r="A546" i="163"/>
  <c r="D545" i="163"/>
  <c r="A545" i="163"/>
  <c r="A544" i="163"/>
  <c r="A543" i="163"/>
  <c r="A542" i="163"/>
  <c r="A541" i="163"/>
  <c r="A540" i="163"/>
  <c r="D539" i="163"/>
  <c r="A539" i="163"/>
  <c r="A538" i="163"/>
  <c r="A537" i="163"/>
  <c r="A536" i="163"/>
  <c r="A535" i="163"/>
  <c r="A534" i="163"/>
  <c r="D533" i="163"/>
  <c r="A533" i="163"/>
  <c r="A532" i="163"/>
  <c r="A531" i="163"/>
  <c r="A530" i="163"/>
  <c r="A529" i="163"/>
  <c r="A528" i="163"/>
  <c r="D527" i="163"/>
  <c r="A527" i="163"/>
  <c r="A526" i="163"/>
  <c r="A525" i="163"/>
  <c r="A524" i="163"/>
  <c r="A523" i="163"/>
  <c r="A522" i="163"/>
  <c r="D521" i="163"/>
  <c r="A521" i="163"/>
  <c r="A520" i="163"/>
  <c r="A519" i="163"/>
  <c r="A518" i="163"/>
  <c r="A517" i="163"/>
  <c r="A516" i="163"/>
  <c r="D515" i="163"/>
  <c r="A515" i="163"/>
  <c r="A514" i="163"/>
  <c r="A513" i="163"/>
  <c r="A512" i="163"/>
  <c r="A511" i="163"/>
  <c r="A510" i="163"/>
  <c r="A509" i="163"/>
  <c r="A508" i="163"/>
  <c r="A507" i="163"/>
  <c r="A506" i="163"/>
  <c r="A505" i="163"/>
  <c r="A504" i="163"/>
  <c r="D503" i="163"/>
  <c r="A503" i="163"/>
  <c r="A502" i="163"/>
  <c r="A501" i="163"/>
  <c r="A500" i="163"/>
  <c r="A499" i="163"/>
  <c r="A498" i="163"/>
  <c r="D497" i="163"/>
  <c r="A497" i="163"/>
  <c r="A496" i="163"/>
  <c r="A495" i="163"/>
  <c r="A494" i="163"/>
  <c r="D493" i="163"/>
  <c r="A493" i="163"/>
  <c r="A492" i="163"/>
  <c r="A491" i="163"/>
  <c r="A490" i="163"/>
  <c r="D489" i="163"/>
  <c r="A489" i="163"/>
  <c r="A488" i="163"/>
  <c r="A487" i="163"/>
  <c r="A486" i="163"/>
  <c r="A485" i="163"/>
  <c r="A484" i="163"/>
  <c r="D483" i="163"/>
  <c r="A483" i="163"/>
  <c r="A482" i="163"/>
  <c r="A481" i="163"/>
  <c r="A480" i="163"/>
  <c r="A479" i="163"/>
  <c r="A478" i="163"/>
  <c r="D477" i="163"/>
  <c r="A477" i="163"/>
  <c r="A476" i="163"/>
  <c r="A475" i="163"/>
  <c r="A474" i="163"/>
  <c r="A473" i="163"/>
  <c r="A472" i="163"/>
  <c r="D471" i="163"/>
  <c r="A471" i="163"/>
  <c r="A470" i="163"/>
  <c r="A469" i="163"/>
  <c r="A468" i="163"/>
  <c r="A467" i="163"/>
  <c r="A466" i="163"/>
  <c r="A465" i="163"/>
  <c r="D464" i="163"/>
  <c r="A464" i="163"/>
  <c r="A463" i="163"/>
  <c r="A462" i="163"/>
  <c r="A461" i="163"/>
  <c r="D460" i="163"/>
  <c r="A460" i="163"/>
  <c r="A459" i="163"/>
  <c r="A458" i="163"/>
  <c r="A457" i="163"/>
  <c r="D456" i="163"/>
  <c r="A456" i="163"/>
  <c r="A455" i="163"/>
  <c r="A454" i="163"/>
  <c r="A453" i="163"/>
  <c r="D452" i="163"/>
  <c r="A452" i="163"/>
  <c r="A451" i="163"/>
  <c r="A450" i="163"/>
  <c r="D449" i="163"/>
  <c r="A449" i="163"/>
  <c r="A448" i="163"/>
  <c r="A447" i="163"/>
  <c r="A446" i="163"/>
  <c r="A445" i="163"/>
  <c r="A444" i="163"/>
  <c r="A443" i="163"/>
  <c r="A442" i="163"/>
  <c r="A441" i="163"/>
  <c r="A440" i="163"/>
  <c r="A439" i="163"/>
  <c r="A438" i="163"/>
  <c r="A437" i="163"/>
  <c r="A436" i="163"/>
  <c r="A435" i="163"/>
  <c r="D434" i="163"/>
  <c r="A434" i="163"/>
  <c r="A433" i="163"/>
  <c r="A432" i="163"/>
  <c r="A431" i="163"/>
  <c r="A430" i="163"/>
  <c r="A429" i="163"/>
  <c r="D428" i="163"/>
  <c r="A428" i="163"/>
  <c r="A427" i="163"/>
  <c r="A426" i="163"/>
  <c r="A425" i="163"/>
  <c r="A424" i="163"/>
  <c r="A423" i="163"/>
  <c r="A422" i="163"/>
  <c r="A421" i="163"/>
  <c r="A420" i="163"/>
  <c r="A419" i="163"/>
  <c r="D418" i="163"/>
  <c r="A418" i="163"/>
  <c r="A417" i="163"/>
  <c r="A416" i="163"/>
  <c r="A415" i="163"/>
  <c r="A414" i="163"/>
  <c r="A413" i="163"/>
  <c r="A412" i="163"/>
  <c r="A411" i="163"/>
  <c r="A410" i="163"/>
  <c r="A409" i="163"/>
  <c r="D408" i="163"/>
  <c r="A408" i="163"/>
  <c r="A407" i="163"/>
  <c r="A406" i="163"/>
  <c r="A405" i="163"/>
  <c r="A404" i="163"/>
  <c r="A403" i="163"/>
  <c r="A402" i="163"/>
  <c r="A401" i="163"/>
  <c r="A400" i="163"/>
  <c r="A399" i="163"/>
  <c r="D398" i="163"/>
  <c r="A398" i="163"/>
  <c r="A397" i="163"/>
  <c r="A396" i="163"/>
  <c r="A395" i="163"/>
  <c r="A394" i="163"/>
  <c r="A393" i="163"/>
  <c r="A392" i="163"/>
  <c r="A391" i="163"/>
  <c r="A390" i="163"/>
  <c r="A389" i="163"/>
  <c r="D388" i="163"/>
  <c r="A388" i="163"/>
  <c r="A387" i="163"/>
  <c r="A386" i="163"/>
  <c r="A385" i="163"/>
  <c r="A384" i="163"/>
  <c r="A383" i="163"/>
  <c r="A382" i="163"/>
  <c r="A381" i="163"/>
  <c r="A380" i="163"/>
  <c r="A379" i="163"/>
  <c r="D378" i="163"/>
  <c r="A378" i="163"/>
  <c r="A377" i="163"/>
  <c r="A376" i="163"/>
  <c r="A375" i="163"/>
  <c r="A374" i="163"/>
  <c r="A373" i="163"/>
  <c r="A372" i="163"/>
  <c r="A371" i="163"/>
  <c r="A370" i="163"/>
  <c r="A369" i="163"/>
  <c r="A368" i="163"/>
  <c r="A367" i="163"/>
  <c r="D366" i="163"/>
  <c r="A366" i="163"/>
  <c r="A365" i="163"/>
  <c r="A364" i="163"/>
  <c r="A363" i="163"/>
  <c r="A362" i="163"/>
  <c r="A361" i="163"/>
  <c r="A360" i="163"/>
  <c r="A359" i="163"/>
  <c r="A358" i="163"/>
  <c r="A357" i="163"/>
  <c r="A356" i="163"/>
  <c r="A355" i="163"/>
  <c r="D354" i="163"/>
  <c r="A354" i="163"/>
  <c r="A353" i="163"/>
  <c r="A352" i="163"/>
  <c r="A351" i="163"/>
  <c r="A350" i="163"/>
  <c r="A349" i="163"/>
  <c r="A348" i="163"/>
  <c r="A347" i="163"/>
  <c r="A346" i="163"/>
  <c r="A345" i="163"/>
  <c r="D344" i="163"/>
  <c r="A344" i="163"/>
  <c r="A343" i="163"/>
  <c r="A342" i="163"/>
  <c r="A341" i="163"/>
  <c r="A340" i="163"/>
  <c r="A339" i="163"/>
  <c r="A338" i="163"/>
  <c r="A337" i="163"/>
  <c r="A336" i="163"/>
  <c r="A335" i="163"/>
  <c r="D334" i="163"/>
  <c r="A334" i="163"/>
  <c r="A333" i="163"/>
  <c r="A332" i="163"/>
  <c r="A331" i="163"/>
  <c r="A330" i="163"/>
  <c r="A329" i="163"/>
  <c r="A328" i="163"/>
  <c r="A327" i="163"/>
  <c r="A326" i="163"/>
  <c r="A325" i="163"/>
  <c r="D324" i="163"/>
  <c r="A324" i="163"/>
  <c r="A323" i="163"/>
  <c r="A322" i="163"/>
  <c r="A321" i="163"/>
  <c r="A320" i="163"/>
  <c r="A319" i="163"/>
  <c r="A318" i="163"/>
  <c r="A317" i="163"/>
  <c r="A316" i="163"/>
  <c r="A315" i="163"/>
  <c r="D314" i="163"/>
  <c r="A314" i="163"/>
  <c r="A313" i="163"/>
  <c r="A312" i="163"/>
  <c r="A311" i="163"/>
  <c r="A310" i="163"/>
  <c r="A309" i="163"/>
  <c r="A308" i="163"/>
  <c r="A307" i="163"/>
  <c r="A306" i="163"/>
  <c r="A305" i="163"/>
  <c r="D304" i="163"/>
  <c r="A304" i="163"/>
  <c r="A303" i="163"/>
  <c r="A302" i="163"/>
  <c r="A301" i="163"/>
  <c r="A300" i="163"/>
  <c r="A299" i="163"/>
  <c r="A298" i="163"/>
  <c r="A297" i="163"/>
  <c r="A296" i="163"/>
  <c r="A295" i="163"/>
  <c r="D294" i="163"/>
  <c r="A294" i="163"/>
  <c r="A293" i="163"/>
  <c r="A292" i="163"/>
  <c r="A291" i="163"/>
  <c r="A290" i="163"/>
  <c r="A289" i="163"/>
  <c r="A288" i="163"/>
  <c r="A287" i="163"/>
  <c r="A286" i="163"/>
  <c r="A285" i="163"/>
  <c r="A284" i="163"/>
  <c r="A283" i="163"/>
  <c r="A282" i="163"/>
  <c r="A281" i="163"/>
  <c r="A280" i="163"/>
  <c r="A279" i="163"/>
  <c r="A278" i="163"/>
  <c r="A277" i="163"/>
  <c r="A276" i="163"/>
  <c r="A275" i="163"/>
  <c r="A274" i="163"/>
  <c r="A273" i="163"/>
  <c r="A272" i="163"/>
  <c r="A271" i="163"/>
  <c r="A270" i="163"/>
  <c r="A269" i="163"/>
  <c r="A268" i="163"/>
  <c r="A267" i="163"/>
  <c r="A266" i="163"/>
  <c r="A265" i="163"/>
  <c r="A264" i="163"/>
  <c r="A263" i="163"/>
  <c r="A262" i="163"/>
  <c r="A261" i="163"/>
  <c r="A260" i="163"/>
  <c r="A259" i="163"/>
  <c r="A258" i="163"/>
  <c r="A257" i="163"/>
  <c r="A256" i="163"/>
  <c r="A255" i="163"/>
  <c r="D254" i="163"/>
  <c r="A254" i="163"/>
  <c r="A253" i="163"/>
  <c r="A252" i="163"/>
  <c r="A251" i="163"/>
  <c r="A250" i="163"/>
  <c r="A249" i="163"/>
  <c r="A248" i="163"/>
  <c r="A247" i="163"/>
  <c r="A246" i="163"/>
  <c r="A245" i="163"/>
  <c r="D244" i="163"/>
  <c r="A244" i="163"/>
  <c r="A243" i="163"/>
  <c r="A242" i="163"/>
  <c r="A241" i="163"/>
  <c r="A240" i="163"/>
  <c r="A239" i="163"/>
  <c r="A238" i="163"/>
  <c r="A237" i="163"/>
  <c r="A236" i="163"/>
  <c r="A235" i="163"/>
  <c r="D234" i="163"/>
  <c r="A234" i="163"/>
  <c r="A233" i="163"/>
  <c r="A232" i="163"/>
  <c r="A231" i="163"/>
  <c r="A230" i="163"/>
  <c r="A229" i="163"/>
  <c r="A228" i="163"/>
  <c r="A227" i="163"/>
  <c r="A226" i="163"/>
  <c r="A225" i="163"/>
  <c r="D224" i="163"/>
  <c r="A224" i="163"/>
  <c r="A223" i="163"/>
  <c r="A222" i="163"/>
  <c r="A221" i="163"/>
  <c r="A220" i="163"/>
  <c r="A219" i="163"/>
  <c r="A218" i="163"/>
  <c r="A217" i="163"/>
  <c r="A216" i="163"/>
  <c r="A215" i="163"/>
  <c r="D214" i="163"/>
  <c r="A214" i="163"/>
  <c r="A213" i="163"/>
  <c r="A212" i="163"/>
  <c r="A211" i="163"/>
  <c r="A210" i="163"/>
  <c r="A209" i="163"/>
  <c r="A208" i="163"/>
  <c r="A207" i="163"/>
  <c r="A206" i="163"/>
  <c r="A205" i="163"/>
  <c r="D204" i="163"/>
  <c r="A204" i="163"/>
  <c r="A203" i="163"/>
  <c r="A202" i="163"/>
  <c r="A201" i="163"/>
  <c r="A200" i="163"/>
  <c r="A199" i="163"/>
  <c r="A198" i="163"/>
  <c r="A197" i="163"/>
  <c r="A196" i="163"/>
  <c r="A195" i="163"/>
  <c r="D194" i="163"/>
  <c r="A194" i="163"/>
  <c r="A193" i="163"/>
  <c r="A192" i="163"/>
  <c r="A191" i="163"/>
  <c r="A190" i="163"/>
  <c r="A189" i="163"/>
  <c r="A188" i="163"/>
  <c r="A187" i="163"/>
  <c r="A186" i="163"/>
  <c r="A185" i="163"/>
  <c r="D184" i="163"/>
  <c r="A184" i="163"/>
  <c r="A183" i="163"/>
  <c r="A182" i="163"/>
  <c r="A181" i="163"/>
  <c r="A180" i="163"/>
  <c r="A179" i="163"/>
  <c r="A178" i="163"/>
  <c r="A177" i="163"/>
  <c r="A176" i="163"/>
  <c r="A175" i="163"/>
  <c r="D174" i="163"/>
  <c r="A174" i="163"/>
  <c r="A173" i="163"/>
  <c r="A172" i="163"/>
  <c r="A171" i="163"/>
  <c r="A170" i="163"/>
  <c r="A169" i="163"/>
  <c r="A168" i="163"/>
  <c r="A167" i="163"/>
  <c r="A166" i="163"/>
  <c r="A165" i="163"/>
  <c r="A164" i="163"/>
  <c r="D163" i="163"/>
  <c r="A163" i="163"/>
  <c r="A162" i="163"/>
  <c r="A161" i="163"/>
  <c r="A160" i="163"/>
  <c r="A159" i="163"/>
  <c r="A158" i="163"/>
  <c r="A157" i="163"/>
  <c r="A156" i="163"/>
  <c r="A155" i="163"/>
  <c r="A154" i="163"/>
  <c r="A153" i="163"/>
  <c r="A152" i="163"/>
  <c r="A151" i="163"/>
  <c r="A150" i="163"/>
  <c r="A149" i="163"/>
  <c r="A148" i="163"/>
  <c r="A147" i="163"/>
  <c r="A146" i="163"/>
  <c r="A145" i="163"/>
  <c r="A144" i="163"/>
  <c r="A143" i="163"/>
  <c r="A142" i="163"/>
  <c r="A141" i="163"/>
  <c r="A140" i="163"/>
  <c r="A139" i="163"/>
  <c r="A138" i="163"/>
  <c r="A137" i="163"/>
  <c r="A136" i="163"/>
  <c r="A135" i="163"/>
  <c r="A134" i="163"/>
  <c r="A133" i="163"/>
  <c r="A132" i="163"/>
  <c r="A131" i="163"/>
  <c r="A130" i="163"/>
  <c r="D129" i="163"/>
  <c r="A129" i="163"/>
  <c r="A128" i="163"/>
  <c r="A127" i="163"/>
  <c r="A126" i="163"/>
  <c r="A125" i="163"/>
  <c r="A124" i="163"/>
  <c r="A123" i="163"/>
  <c r="A122" i="163"/>
  <c r="A121" i="163"/>
  <c r="A120" i="163"/>
  <c r="D119" i="163"/>
  <c r="A119" i="163"/>
  <c r="A118" i="163"/>
  <c r="A117" i="163"/>
  <c r="A116" i="163"/>
  <c r="A115" i="163"/>
  <c r="A114" i="163"/>
  <c r="A113" i="163"/>
  <c r="A112" i="163"/>
  <c r="A111" i="163"/>
  <c r="A110" i="163"/>
  <c r="D109" i="163"/>
  <c r="A109" i="163"/>
  <c r="A108" i="163"/>
  <c r="A107" i="163"/>
  <c r="A106" i="163"/>
  <c r="A105" i="163"/>
  <c r="A104" i="163"/>
  <c r="A103" i="163"/>
  <c r="A102" i="163"/>
  <c r="A101" i="163"/>
  <c r="A100" i="163"/>
  <c r="D99" i="163"/>
  <c r="A99" i="163"/>
  <c r="A98" i="163"/>
  <c r="A97" i="163"/>
  <c r="A96" i="163"/>
  <c r="A95" i="163"/>
  <c r="A94" i="163"/>
  <c r="A93" i="163"/>
  <c r="A92" i="163"/>
  <c r="A91" i="163"/>
  <c r="A90" i="163"/>
  <c r="D89" i="163"/>
  <c r="A89" i="163"/>
  <c r="A88" i="163"/>
  <c r="A87" i="163"/>
  <c r="A86" i="163"/>
  <c r="A85" i="163"/>
  <c r="A84" i="163"/>
  <c r="A83" i="163"/>
  <c r="A82" i="163"/>
  <c r="A81" i="163"/>
  <c r="A80" i="163"/>
  <c r="D79" i="163"/>
  <c r="A79" i="163"/>
  <c r="A78" i="163"/>
  <c r="A77" i="163"/>
  <c r="A76" i="163"/>
  <c r="A75" i="163"/>
  <c r="A74" i="163"/>
  <c r="A73" i="163"/>
  <c r="A72" i="163"/>
  <c r="A71" i="163"/>
  <c r="A70" i="163"/>
  <c r="D69" i="163"/>
  <c r="A69" i="163"/>
  <c r="A68" i="163"/>
  <c r="A67" i="163"/>
  <c r="A66" i="163"/>
  <c r="A65" i="163"/>
  <c r="A64" i="163"/>
  <c r="A63" i="163"/>
  <c r="A62" i="163"/>
  <c r="A61" i="163"/>
  <c r="A60" i="163"/>
  <c r="D59" i="163"/>
  <c r="A59" i="163"/>
  <c r="A58" i="163"/>
  <c r="A57" i="163"/>
  <c r="A56" i="163"/>
  <c r="A55" i="163"/>
  <c r="A54" i="163"/>
  <c r="A53" i="163"/>
  <c r="A52" i="163"/>
  <c r="A51" i="163"/>
  <c r="A50" i="163"/>
  <c r="D49" i="163"/>
  <c r="A49" i="163"/>
  <c r="A48" i="163"/>
  <c r="A47" i="163"/>
  <c r="A46" i="163"/>
  <c r="A45" i="163"/>
  <c r="A44" i="163"/>
  <c r="A43" i="163"/>
  <c r="A42" i="163"/>
  <c r="A41" i="163"/>
  <c r="A40" i="163"/>
  <c r="D39" i="163"/>
  <c r="A39" i="163"/>
  <c r="A38" i="163"/>
  <c r="A37" i="163"/>
  <c r="A36" i="163"/>
  <c r="A35" i="163"/>
  <c r="A34" i="163"/>
  <c r="A33" i="163"/>
  <c r="A32" i="163"/>
  <c r="A31" i="163"/>
  <c r="A28" i="163"/>
  <c r="A27" i="163"/>
  <c r="A26" i="163"/>
  <c r="D25" i="163"/>
  <c r="A25" i="163"/>
  <c r="A24" i="163"/>
  <c r="A22" i="163"/>
  <c r="D21" i="163"/>
  <c r="A21" i="163"/>
  <c r="A20" i="163"/>
  <c r="A818" i="161"/>
  <c r="A817" i="161"/>
  <c r="A816" i="161"/>
  <c r="A815" i="161"/>
  <c r="A814" i="161"/>
  <c r="D813" i="161"/>
  <c r="A813" i="161"/>
  <c r="A812" i="161"/>
  <c r="A811" i="161"/>
  <c r="A810" i="161"/>
  <c r="A809" i="161"/>
  <c r="A808" i="161"/>
  <c r="D807" i="161"/>
  <c r="A807" i="161"/>
  <c r="A806" i="161"/>
  <c r="A805" i="161"/>
  <c r="A804" i="161"/>
  <c r="A803" i="161"/>
  <c r="A802" i="161"/>
  <c r="D801" i="161"/>
  <c r="A801" i="161"/>
  <c r="A800" i="161"/>
  <c r="A799" i="161"/>
  <c r="A798" i="161"/>
  <c r="A797" i="161"/>
  <c r="A796" i="161"/>
  <c r="D795" i="161"/>
  <c r="A795" i="161"/>
  <c r="A794" i="161"/>
  <c r="A793" i="161"/>
  <c r="A792" i="161"/>
  <c r="A791" i="161"/>
  <c r="A790" i="161"/>
  <c r="D789" i="161"/>
  <c r="A789" i="161"/>
  <c r="A788" i="161"/>
  <c r="A787" i="161"/>
  <c r="A786" i="161"/>
  <c r="A785" i="161"/>
  <c r="A784" i="161"/>
  <c r="D783" i="161"/>
  <c r="A783" i="161"/>
  <c r="A782" i="161"/>
  <c r="A781" i="161"/>
  <c r="A780" i="161"/>
  <c r="A779" i="161"/>
  <c r="A778" i="161"/>
  <c r="D777" i="161"/>
  <c r="A777" i="161"/>
  <c r="A776" i="161"/>
  <c r="A775" i="161"/>
  <c r="A774" i="161"/>
  <c r="A773" i="161"/>
  <c r="A772" i="161"/>
  <c r="D771" i="161"/>
  <c r="A771" i="161"/>
  <c r="A770" i="161"/>
  <c r="A769" i="161"/>
  <c r="A768" i="161"/>
  <c r="A767" i="161"/>
  <c r="A766" i="161"/>
  <c r="D765" i="161"/>
  <c r="A765" i="161"/>
  <c r="A764" i="161"/>
  <c r="A763" i="161"/>
  <c r="A762" i="161"/>
  <c r="A761" i="161"/>
  <c r="A760" i="161"/>
  <c r="D759" i="161"/>
  <c r="A759" i="161"/>
  <c r="A758" i="161"/>
  <c r="A757" i="161"/>
  <c r="A756" i="161"/>
  <c r="A755" i="161"/>
  <c r="A754" i="161"/>
  <c r="D753" i="161"/>
  <c r="A753" i="161"/>
  <c r="A752" i="161"/>
  <c r="A751" i="161"/>
  <c r="A750" i="161"/>
  <c r="A749" i="161"/>
  <c r="A748" i="161"/>
  <c r="D747" i="161"/>
  <c r="A747" i="161"/>
  <c r="A746" i="161"/>
  <c r="A745" i="161"/>
  <c r="A744" i="161"/>
  <c r="A743" i="161"/>
  <c r="A742" i="161"/>
  <c r="D741" i="161"/>
  <c r="A741" i="161"/>
  <c r="A740" i="161"/>
  <c r="A739" i="161"/>
  <c r="A738" i="161"/>
  <c r="A737" i="161"/>
  <c r="A736" i="161"/>
  <c r="D735" i="161"/>
  <c r="A735" i="161"/>
  <c r="A734" i="161"/>
  <c r="A733" i="161"/>
  <c r="A732" i="161"/>
  <c r="A731" i="161"/>
  <c r="A730" i="161"/>
  <c r="D729" i="161"/>
  <c r="A729" i="161"/>
  <c r="A728" i="161"/>
  <c r="A727" i="161"/>
  <c r="A726" i="161"/>
  <c r="A725" i="161"/>
  <c r="A724" i="161"/>
  <c r="D723" i="161"/>
  <c r="A723" i="161"/>
  <c r="A722" i="161"/>
  <c r="A721" i="161"/>
  <c r="A720" i="161"/>
  <c r="A719" i="161"/>
  <c r="A718" i="161"/>
  <c r="D717" i="161"/>
  <c r="A717" i="161"/>
  <c r="A716" i="161"/>
  <c r="A715" i="161"/>
  <c r="A714" i="161"/>
  <c r="A713" i="161"/>
  <c r="A712" i="161"/>
  <c r="D711" i="161"/>
  <c r="A711" i="161"/>
  <c r="A710" i="161"/>
  <c r="A709" i="161"/>
  <c r="A708" i="161"/>
  <c r="A707" i="161"/>
  <c r="A706" i="161"/>
  <c r="D705" i="161"/>
  <c r="A705" i="161"/>
  <c r="A704" i="161"/>
  <c r="A703" i="161"/>
  <c r="A702" i="161"/>
  <c r="A701" i="161"/>
  <c r="A700" i="161"/>
  <c r="D699" i="161"/>
  <c r="A699" i="161"/>
  <c r="A698" i="161"/>
  <c r="A697" i="161"/>
  <c r="A696" i="161"/>
  <c r="A695" i="161"/>
  <c r="A694" i="161"/>
  <c r="D693" i="161"/>
  <c r="A693" i="161"/>
  <c r="A692" i="161"/>
  <c r="A691" i="161"/>
  <c r="A690" i="161"/>
  <c r="A689" i="161"/>
  <c r="A688" i="161"/>
  <c r="D687" i="161"/>
  <c r="A687" i="161"/>
  <c r="A686" i="161"/>
  <c r="A685" i="161"/>
  <c r="A684" i="161"/>
  <c r="A683" i="161"/>
  <c r="A682" i="161"/>
  <c r="D681" i="161"/>
  <c r="A681" i="161"/>
  <c r="A680" i="161"/>
  <c r="A679" i="161"/>
  <c r="A678" i="161"/>
  <c r="A677" i="161"/>
  <c r="A676" i="161"/>
  <c r="D675" i="161"/>
  <c r="A675" i="161"/>
  <c r="A674" i="161"/>
  <c r="A673" i="161"/>
  <c r="A672" i="161"/>
  <c r="A671" i="161"/>
  <c r="A670" i="161"/>
  <c r="D669" i="161"/>
  <c r="A669" i="161"/>
  <c r="A668" i="161"/>
  <c r="A667" i="161"/>
  <c r="A666" i="161"/>
  <c r="A665" i="161"/>
  <c r="A664" i="161"/>
  <c r="D663" i="161"/>
  <c r="A663" i="161"/>
  <c r="A662" i="161"/>
  <c r="A661" i="161"/>
  <c r="A660" i="161"/>
  <c r="A659" i="161"/>
  <c r="A658" i="161"/>
  <c r="A657" i="161"/>
  <c r="A656" i="161"/>
  <c r="A655" i="161"/>
  <c r="A654" i="161"/>
  <c r="A653" i="161"/>
  <c r="A652" i="161"/>
  <c r="A651" i="161"/>
  <c r="A650" i="161"/>
  <c r="A649" i="161"/>
  <c r="A648" i="161"/>
  <c r="A647" i="161"/>
  <c r="A646" i="161"/>
  <c r="A645" i="161"/>
  <c r="A644" i="161"/>
  <c r="A643" i="161"/>
  <c r="D642" i="161"/>
  <c r="A642" i="161"/>
  <c r="A641" i="161"/>
  <c r="A640" i="161"/>
  <c r="A639" i="161"/>
  <c r="A638" i="161"/>
  <c r="A637" i="161"/>
  <c r="D636" i="161"/>
  <c r="A636" i="161"/>
  <c r="A635" i="161"/>
  <c r="A634" i="161"/>
  <c r="A633" i="161"/>
  <c r="A632" i="161"/>
  <c r="A631" i="161"/>
  <c r="D630" i="161"/>
  <c r="A630" i="161"/>
  <c r="A629" i="161"/>
  <c r="A628" i="161"/>
  <c r="A627" i="161"/>
  <c r="A626" i="161"/>
  <c r="A625" i="161"/>
  <c r="D624" i="161"/>
  <c r="A624" i="161"/>
  <c r="A623" i="161"/>
  <c r="A622" i="161"/>
  <c r="A621" i="161"/>
  <c r="A620" i="161"/>
  <c r="A619" i="161"/>
  <c r="D618" i="161"/>
  <c r="A618" i="161"/>
  <c r="A617" i="161"/>
  <c r="A616" i="161"/>
  <c r="A615" i="161"/>
  <c r="A614" i="161"/>
  <c r="A613" i="161"/>
  <c r="D612" i="161"/>
  <c r="A612" i="161"/>
  <c r="A611" i="161"/>
  <c r="A610" i="161"/>
  <c r="A609" i="161"/>
  <c r="A608" i="161"/>
  <c r="A607" i="161"/>
  <c r="D606" i="161"/>
  <c r="A606" i="161"/>
  <c r="A605" i="161"/>
  <c r="A604" i="161"/>
  <c r="A603" i="161"/>
  <c r="A602" i="161"/>
  <c r="A601" i="161"/>
  <c r="A600" i="161"/>
  <c r="A599" i="161"/>
  <c r="A598" i="161"/>
  <c r="A597" i="161"/>
  <c r="A596" i="161"/>
  <c r="A595" i="161"/>
  <c r="D594" i="161"/>
  <c r="A594" i="161"/>
  <c r="A593" i="161"/>
  <c r="A592" i="161"/>
  <c r="A591" i="161"/>
  <c r="A590" i="161"/>
  <c r="A589" i="161"/>
  <c r="D588" i="161"/>
  <c r="A588" i="161"/>
  <c r="A587" i="161"/>
  <c r="A586" i="161"/>
  <c r="A585" i="161"/>
  <c r="A584" i="161"/>
  <c r="A583" i="161"/>
  <c r="D582" i="161"/>
  <c r="A582" i="161"/>
  <c r="A581" i="161"/>
  <c r="A580" i="161"/>
  <c r="A579" i="161"/>
  <c r="A578" i="161"/>
  <c r="A577" i="161"/>
  <c r="D576" i="161"/>
  <c r="A576" i="161"/>
  <c r="A575" i="161"/>
  <c r="A574" i="161"/>
  <c r="A573" i="161"/>
  <c r="A572" i="161"/>
  <c r="A571" i="161"/>
  <c r="D570" i="161"/>
  <c r="A570" i="161"/>
  <c r="A569" i="161"/>
  <c r="A568" i="161"/>
  <c r="A567" i="161"/>
  <c r="A566" i="161"/>
  <c r="A565" i="161"/>
  <c r="A564" i="161"/>
  <c r="D563" i="161"/>
  <c r="A563" i="161"/>
  <c r="A562" i="161"/>
  <c r="A561" i="161"/>
  <c r="A560" i="161"/>
  <c r="D559" i="161"/>
  <c r="A559" i="161"/>
  <c r="A558" i="161"/>
  <c r="A557" i="161"/>
  <c r="A556" i="161"/>
  <c r="D555" i="161"/>
  <c r="A555" i="161"/>
  <c r="A554" i="161"/>
  <c r="A553" i="161"/>
  <c r="A552" i="161"/>
  <c r="D551" i="161"/>
  <c r="A551" i="161"/>
  <c r="A550" i="161"/>
  <c r="A549" i="161"/>
  <c r="D548" i="161"/>
  <c r="A548" i="161"/>
  <c r="A547" i="161"/>
  <c r="A546" i="161"/>
  <c r="A545" i="161"/>
  <c r="A544" i="161"/>
  <c r="A543" i="161"/>
  <c r="A542" i="161"/>
  <c r="A541" i="161"/>
  <c r="A540" i="161"/>
  <c r="A539" i="161"/>
  <c r="A538" i="161"/>
  <c r="A537" i="161"/>
  <c r="A536" i="161"/>
  <c r="A535" i="161"/>
  <c r="A534" i="161"/>
  <c r="D533" i="161"/>
  <c r="A533" i="161"/>
  <c r="A532" i="161"/>
  <c r="A531" i="161"/>
  <c r="A530" i="161"/>
  <c r="A529" i="161"/>
  <c r="A528" i="161"/>
  <c r="D527" i="161"/>
  <c r="A527" i="161"/>
  <c r="A526" i="161"/>
  <c r="A525" i="161"/>
  <c r="A524" i="161"/>
  <c r="A523" i="161"/>
  <c r="A522" i="161"/>
  <c r="A521" i="161"/>
  <c r="A520" i="161"/>
  <c r="A519" i="161"/>
  <c r="A518" i="161"/>
  <c r="D517" i="161"/>
  <c r="A517" i="161"/>
  <c r="A516" i="161"/>
  <c r="A515" i="161"/>
  <c r="A514" i="161"/>
  <c r="A513" i="161"/>
  <c r="A512" i="161"/>
  <c r="A511" i="161"/>
  <c r="A510" i="161"/>
  <c r="A509" i="161"/>
  <c r="A508" i="161"/>
  <c r="D507" i="161"/>
  <c r="A507" i="161"/>
  <c r="A506" i="161"/>
  <c r="A505" i="161"/>
  <c r="A504" i="161"/>
  <c r="A503" i="161"/>
  <c r="A502" i="161"/>
  <c r="A501" i="161"/>
  <c r="A500" i="161"/>
  <c r="A499" i="161"/>
  <c r="A498" i="161"/>
  <c r="D497" i="161"/>
  <c r="A497" i="161"/>
  <c r="A496" i="161"/>
  <c r="A495" i="161"/>
  <c r="A494" i="161"/>
  <c r="A493" i="161"/>
  <c r="A492" i="161"/>
  <c r="A491" i="161"/>
  <c r="A490" i="161"/>
  <c r="A489" i="161"/>
  <c r="A488" i="161"/>
  <c r="D487" i="161"/>
  <c r="A487" i="161"/>
  <c r="A486" i="161"/>
  <c r="A485" i="161"/>
  <c r="A484" i="161"/>
  <c r="A483" i="161"/>
  <c r="A482" i="161"/>
  <c r="A481" i="161"/>
  <c r="A480" i="161"/>
  <c r="A479" i="161"/>
  <c r="A478" i="161"/>
  <c r="D477" i="161"/>
  <c r="A477" i="161"/>
  <c r="A476" i="161"/>
  <c r="A475" i="161"/>
  <c r="A474" i="161"/>
  <c r="A473" i="161"/>
  <c r="A472" i="161"/>
  <c r="A471" i="161"/>
  <c r="A470" i="161"/>
  <c r="A469" i="161"/>
  <c r="A468" i="161"/>
  <c r="D467" i="161"/>
  <c r="A467" i="161"/>
  <c r="A466" i="161"/>
  <c r="A465" i="161"/>
  <c r="A464" i="161"/>
  <c r="A463" i="161"/>
  <c r="A462" i="161"/>
  <c r="A461" i="161"/>
  <c r="A460" i="161"/>
  <c r="A459" i="161"/>
  <c r="A458" i="161"/>
  <c r="A457" i="161"/>
  <c r="A456" i="161"/>
  <c r="D455" i="161"/>
  <c r="A455" i="161"/>
  <c r="A454" i="161"/>
  <c r="A453" i="161"/>
  <c r="A452" i="161"/>
  <c r="A451" i="161"/>
  <c r="A450" i="161"/>
  <c r="A449" i="161"/>
  <c r="A448" i="161"/>
  <c r="A447" i="161"/>
  <c r="A446" i="161"/>
  <c r="A445" i="161"/>
  <c r="A444" i="161"/>
  <c r="D443" i="161"/>
  <c r="A443" i="161"/>
  <c r="A442" i="161"/>
  <c r="A441" i="161"/>
  <c r="A440" i="161"/>
  <c r="A439" i="161"/>
  <c r="A438" i="161"/>
  <c r="A437" i="161"/>
  <c r="A436" i="161"/>
  <c r="A435" i="161"/>
  <c r="A434" i="161"/>
  <c r="D433" i="161"/>
  <c r="A433" i="161"/>
  <c r="A432" i="161"/>
  <c r="A431" i="161"/>
  <c r="A430" i="161"/>
  <c r="A429" i="161"/>
  <c r="A428" i="161"/>
  <c r="A427" i="161"/>
  <c r="A426" i="161"/>
  <c r="A425" i="161"/>
  <c r="A424" i="161"/>
  <c r="D423" i="161"/>
  <c r="A423" i="161"/>
  <c r="A422" i="161"/>
  <c r="A421" i="161"/>
  <c r="A420" i="161"/>
  <c r="A419" i="161"/>
  <c r="A418" i="161"/>
  <c r="A417" i="161"/>
  <c r="A416" i="161"/>
  <c r="A415" i="161"/>
  <c r="A414" i="161"/>
  <c r="D413" i="161"/>
  <c r="A413" i="161"/>
  <c r="A412" i="161"/>
  <c r="A411" i="161"/>
  <c r="A410" i="161"/>
  <c r="A409" i="161"/>
  <c r="A408" i="161"/>
  <c r="A407" i="161"/>
  <c r="A406" i="161"/>
  <c r="A405" i="161"/>
  <c r="A404" i="161"/>
  <c r="D403" i="161"/>
  <c r="A403" i="161"/>
  <c r="A402" i="161"/>
  <c r="A401" i="161"/>
  <c r="A400" i="161"/>
  <c r="A399" i="161"/>
  <c r="A398" i="161"/>
  <c r="A397" i="161"/>
  <c r="A396" i="161"/>
  <c r="A395" i="161"/>
  <c r="A394" i="161"/>
  <c r="D393" i="161"/>
  <c r="A393" i="161"/>
  <c r="A392" i="161"/>
  <c r="A391" i="161"/>
  <c r="A390" i="161"/>
  <c r="A389" i="161"/>
  <c r="A388" i="161"/>
  <c r="A387" i="161"/>
  <c r="A386" i="161"/>
  <c r="A385" i="161"/>
  <c r="A384" i="161"/>
  <c r="D383" i="161"/>
  <c r="A383" i="161"/>
  <c r="A382" i="161"/>
  <c r="A381" i="161"/>
  <c r="A380" i="161"/>
  <c r="A379" i="161"/>
  <c r="A378" i="161"/>
  <c r="A377" i="161"/>
  <c r="A376" i="161"/>
  <c r="A375" i="161"/>
  <c r="A374" i="161"/>
  <c r="D373" i="161"/>
  <c r="A373" i="161"/>
  <c r="A372" i="161"/>
  <c r="A371" i="161"/>
  <c r="A370" i="161"/>
  <c r="A369" i="161"/>
  <c r="A368" i="161"/>
  <c r="A367" i="161"/>
  <c r="A366" i="161"/>
  <c r="A365" i="161"/>
  <c r="A364" i="161"/>
  <c r="D363" i="161"/>
  <c r="A363" i="161"/>
  <c r="A362" i="161"/>
  <c r="A361" i="161"/>
  <c r="A360" i="161"/>
  <c r="A359" i="161"/>
  <c r="A358" i="161"/>
  <c r="A357" i="161"/>
  <c r="A356" i="161"/>
  <c r="A355" i="161"/>
  <c r="A354" i="161"/>
  <c r="D353" i="161"/>
  <c r="A353" i="161"/>
  <c r="A352" i="161"/>
  <c r="A351" i="161"/>
  <c r="A350" i="161"/>
  <c r="A349" i="161"/>
  <c r="A348" i="161"/>
  <c r="A347" i="161"/>
  <c r="A346" i="161"/>
  <c r="A345" i="161"/>
  <c r="A344" i="161"/>
  <c r="A343" i="161"/>
  <c r="A342" i="161"/>
  <c r="A341" i="161"/>
  <c r="A340" i="161"/>
  <c r="A339" i="161"/>
  <c r="A338" i="161"/>
  <c r="A337" i="161"/>
  <c r="A336" i="161"/>
  <c r="A335" i="161"/>
  <c r="A334" i="161"/>
  <c r="A333" i="161"/>
  <c r="A332" i="161"/>
  <c r="A331" i="161"/>
  <c r="A330" i="161"/>
  <c r="A329" i="161"/>
  <c r="A328" i="161"/>
  <c r="A327" i="161"/>
  <c r="A326" i="161"/>
  <c r="A325" i="161"/>
  <c r="A324" i="161"/>
  <c r="A323" i="161"/>
  <c r="A322" i="161"/>
  <c r="A321" i="161"/>
  <c r="A320" i="161"/>
  <c r="A319" i="161"/>
  <c r="A318" i="161"/>
  <c r="A317" i="161"/>
  <c r="A316" i="161"/>
  <c r="A315" i="161"/>
  <c r="A314" i="161"/>
  <c r="D313" i="161"/>
  <c r="A313" i="161"/>
  <c r="A312" i="161"/>
  <c r="A311" i="161"/>
  <c r="A310" i="161"/>
  <c r="A309" i="161"/>
  <c r="A308" i="161"/>
  <c r="A307" i="161"/>
  <c r="A306" i="161"/>
  <c r="A305" i="161"/>
  <c r="A304" i="161"/>
  <c r="D303" i="161"/>
  <c r="A303" i="161"/>
  <c r="A302" i="161"/>
  <c r="A301" i="161"/>
  <c r="A300" i="161"/>
  <c r="A299" i="161"/>
  <c r="A298" i="161"/>
  <c r="A297" i="161"/>
  <c r="A296" i="161"/>
  <c r="A295" i="161"/>
  <c r="A294" i="161"/>
  <c r="D293" i="161"/>
  <c r="A293" i="161"/>
  <c r="A292" i="161"/>
  <c r="A291" i="161"/>
  <c r="A290" i="161"/>
  <c r="A289" i="161"/>
  <c r="A288" i="161"/>
  <c r="A287" i="161"/>
  <c r="A286" i="161"/>
  <c r="A285" i="161"/>
  <c r="A284" i="161"/>
  <c r="D283" i="161"/>
  <c r="A283" i="161"/>
  <c r="A282" i="161"/>
  <c r="A281" i="161"/>
  <c r="A280" i="161"/>
  <c r="A279" i="161"/>
  <c r="A278" i="161"/>
  <c r="A277" i="161"/>
  <c r="A276" i="161"/>
  <c r="A275" i="161"/>
  <c r="A274" i="161"/>
  <c r="D273" i="161"/>
  <c r="A273" i="161"/>
  <c r="A272" i="161"/>
  <c r="A271" i="161"/>
  <c r="A270" i="161"/>
  <c r="A269" i="161"/>
  <c r="A268" i="161"/>
  <c r="A267" i="161"/>
  <c r="A266" i="161"/>
  <c r="A265" i="161"/>
  <c r="A264" i="161"/>
  <c r="D263" i="161"/>
  <c r="A263" i="161"/>
  <c r="A262" i="161"/>
  <c r="A261" i="161"/>
  <c r="A260" i="161"/>
  <c r="A259" i="161"/>
  <c r="A258" i="161"/>
  <c r="A257" i="161"/>
  <c r="A256" i="161"/>
  <c r="A255" i="161"/>
  <c r="A254" i="161"/>
  <c r="D253" i="161"/>
  <c r="A253" i="161"/>
  <c r="A252" i="161"/>
  <c r="A251" i="161"/>
  <c r="A250" i="161"/>
  <c r="A249" i="161"/>
  <c r="A248" i="161"/>
  <c r="A247" i="161"/>
  <c r="A246" i="161"/>
  <c r="A245" i="161"/>
  <c r="A244" i="161"/>
  <c r="D243" i="161"/>
  <c r="A243" i="161"/>
  <c r="A242" i="161"/>
  <c r="A241" i="161"/>
  <c r="A240" i="161"/>
  <c r="A239" i="161"/>
  <c r="A238" i="161"/>
  <c r="A237" i="161"/>
  <c r="A236" i="161"/>
  <c r="A235" i="161"/>
  <c r="A234" i="161"/>
  <c r="D233" i="161"/>
  <c r="A233" i="161"/>
  <c r="A232" i="161"/>
  <c r="A231" i="161"/>
  <c r="A230" i="161"/>
  <c r="A229" i="161"/>
  <c r="A228" i="161"/>
  <c r="A227" i="161"/>
  <c r="A226" i="161"/>
  <c r="A225" i="161"/>
  <c r="A224" i="161"/>
  <c r="D223" i="161"/>
  <c r="A223" i="161"/>
  <c r="A222" i="161"/>
  <c r="A221" i="161"/>
  <c r="A220" i="161"/>
  <c r="A219" i="161"/>
  <c r="A218" i="161"/>
  <c r="A217" i="161"/>
  <c r="A216" i="161"/>
  <c r="A215" i="161"/>
  <c r="A214" i="161"/>
  <c r="D213" i="161"/>
  <c r="A213" i="161"/>
  <c r="A212" i="161"/>
  <c r="A211" i="161"/>
  <c r="A210" i="161"/>
  <c r="A209" i="161"/>
  <c r="A208" i="161"/>
  <c r="A207" i="161"/>
  <c r="A206" i="161"/>
  <c r="A205" i="161"/>
  <c r="A204" i="161"/>
  <c r="D203" i="161"/>
  <c r="A203" i="161"/>
  <c r="A202" i="161"/>
  <c r="A201" i="161"/>
  <c r="A200" i="161"/>
  <c r="A199" i="161"/>
  <c r="A198" i="161"/>
  <c r="A197" i="161"/>
  <c r="A196" i="161"/>
  <c r="A195" i="161"/>
  <c r="A194" i="161"/>
  <c r="A193" i="161"/>
  <c r="D192" i="161"/>
  <c r="A192" i="161"/>
  <c r="A191" i="161"/>
  <c r="A190" i="161"/>
  <c r="A189" i="161"/>
  <c r="A188" i="161"/>
  <c r="A187" i="161"/>
  <c r="A186" i="161"/>
  <c r="A185" i="161"/>
  <c r="A184" i="161"/>
  <c r="A183" i="161"/>
  <c r="A182" i="161"/>
  <c r="A181" i="161"/>
  <c r="A180" i="161"/>
  <c r="A179" i="161"/>
  <c r="A178" i="161"/>
  <c r="A177" i="161"/>
  <c r="A176" i="161"/>
  <c r="A175" i="161"/>
  <c r="A174" i="161"/>
  <c r="A173" i="161"/>
  <c r="A172" i="161"/>
  <c r="A171" i="161"/>
  <c r="A170" i="161"/>
  <c r="A169" i="161"/>
  <c r="A168" i="161"/>
  <c r="A167" i="161"/>
  <c r="A166" i="161"/>
  <c r="A165" i="161"/>
  <c r="A164" i="161"/>
  <c r="A163" i="161"/>
  <c r="A162" i="161"/>
  <c r="A161" i="161"/>
  <c r="A160" i="161"/>
  <c r="A159" i="161"/>
  <c r="D158" i="161"/>
  <c r="A158" i="161"/>
  <c r="A157" i="161"/>
  <c r="A156" i="161"/>
  <c r="A155" i="161"/>
  <c r="A154" i="161"/>
  <c r="A153" i="161"/>
  <c r="A152" i="161"/>
  <c r="A151" i="161"/>
  <c r="A150" i="161"/>
  <c r="A149" i="161"/>
  <c r="D148" i="161"/>
  <c r="A148" i="161"/>
  <c r="A147" i="161"/>
  <c r="A146" i="161"/>
  <c r="A145" i="161"/>
  <c r="A144" i="161"/>
  <c r="A143" i="161"/>
  <c r="A142" i="161"/>
  <c r="A141" i="161"/>
  <c r="A140" i="161"/>
  <c r="A139" i="161"/>
  <c r="D138" i="161"/>
  <c r="A138" i="161"/>
  <c r="A137" i="161"/>
  <c r="A136" i="161"/>
  <c r="A135" i="161"/>
  <c r="A134" i="161"/>
  <c r="A133" i="161"/>
  <c r="A132" i="161"/>
  <c r="A131" i="161"/>
  <c r="A130" i="161"/>
  <c r="A129" i="161"/>
  <c r="D128" i="161"/>
  <c r="A128" i="161"/>
  <c r="A127" i="161"/>
  <c r="A126" i="161"/>
  <c r="A125" i="161"/>
  <c r="A124" i="161"/>
  <c r="A123" i="161"/>
  <c r="A122" i="161"/>
  <c r="A121" i="161"/>
  <c r="A120" i="161"/>
  <c r="A119" i="161"/>
  <c r="D118" i="161"/>
  <c r="A118" i="161"/>
  <c r="A117" i="161"/>
  <c r="A116" i="161"/>
  <c r="A115" i="161"/>
  <c r="A114" i="161"/>
  <c r="A113" i="161"/>
  <c r="A112" i="161"/>
  <c r="A111" i="161"/>
  <c r="A110" i="161"/>
  <c r="A109" i="161"/>
  <c r="D108" i="161"/>
  <c r="A108" i="161"/>
  <c r="A107" i="161"/>
  <c r="A106" i="161"/>
  <c r="A105" i="161"/>
  <c r="A104" i="161"/>
  <c r="A103" i="161"/>
  <c r="A102" i="161"/>
  <c r="A101" i="161"/>
  <c r="A100" i="161"/>
  <c r="A99" i="161"/>
  <c r="D98" i="161"/>
  <c r="A98" i="161"/>
  <c r="A97" i="161"/>
  <c r="A96" i="161"/>
  <c r="A95" i="161"/>
  <c r="A94" i="161"/>
  <c r="A93" i="161"/>
  <c r="A92" i="161"/>
  <c r="A91" i="161"/>
  <c r="A90" i="161"/>
  <c r="A89" i="161"/>
  <c r="D88" i="161"/>
  <c r="A88" i="161"/>
  <c r="A87" i="161"/>
  <c r="A86" i="161"/>
  <c r="A85" i="161"/>
  <c r="A84" i="161"/>
  <c r="A83" i="161"/>
  <c r="A82" i="161"/>
  <c r="A81" i="161"/>
  <c r="A80" i="161"/>
  <c r="A79" i="161"/>
  <c r="D78" i="161"/>
  <c r="A78" i="161"/>
  <c r="A77" i="161"/>
  <c r="A76" i="161"/>
  <c r="A75" i="161"/>
  <c r="A74" i="161"/>
  <c r="A73" i="161"/>
  <c r="A72" i="161"/>
  <c r="A71" i="161"/>
  <c r="A70" i="161"/>
  <c r="A69" i="161"/>
  <c r="D68" i="161"/>
  <c r="A68" i="161"/>
  <c r="A67" i="161"/>
  <c r="A66" i="161"/>
  <c r="A65" i="161"/>
  <c r="A64" i="161"/>
  <c r="A63" i="161"/>
  <c r="A62" i="161"/>
  <c r="A61" i="161"/>
  <c r="A60" i="161"/>
  <c r="A59" i="161"/>
  <c r="D58" i="161"/>
  <c r="A58" i="161"/>
  <c r="A57" i="161"/>
  <c r="A56" i="161"/>
  <c r="A55" i="161"/>
  <c r="A54" i="161"/>
  <c r="A53" i="161"/>
  <c r="A52" i="161"/>
  <c r="A51" i="161"/>
  <c r="A50" i="161"/>
  <c r="A49" i="161"/>
  <c r="D48" i="161"/>
  <c r="A48" i="161"/>
  <c r="A47" i="161"/>
  <c r="A46" i="161"/>
  <c r="A45" i="161"/>
  <c r="A44" i="161"/>
  <c r="A43" i="161"/>
  <c r="A42" i="161"/>
  <c r="A41" i="161"/>
  <c r="A40" i="161"/>
  <c r="A39" i="161"/>
  <c r="D38" i="161"/>
  <c r="A38" i="161"/>
  <c r="A37" i="161"/>
  <c r="A36" i="161"/>
  <c r="A35" i="161"/>
  <c r="A34" i="161"/>
  <c r="A33" i="161"/>
  <c r="A32" i="161"/>
  <c r="A31" i="161"/>
  <c r="A30" i="161"/>
  <c r="A27" i="161"/>
  <c r="A26" i="161"/>
  <c r="D25" i="161"/>
  <c r="A25" i="161"/>
  <c r="A24" i="161"/>
  <c r="A23" i="161"/>
  <c r="D21" i="161"/>
  <c r="A21" i="161"/>
  <c r="A20" i="161"/>
  <c r="D43" i="206" l="1"/>
  <c r="D40" i="206"/>
  <c r="A39" i="206"/>
  <c r="A40" i="206"/>
  <c r="A41" i="206"/>
  <c r="A42" i="206"/>
  <c r="A43" i="206"/>
  <c r="A44" i="206"/>
  <c r="A45" i="206"/>
  <c r="A46" i="206"/>
  <c r="A47" i="206"/>
  <c r="A48" i="206"/>
  <c r="A38" i="206"/>
  <c r="D37" i="206"/>
  <c r="A37" i="206"/>
  <c r="A36" i="206"/>
  <c r="A35" i="206"/>
  <c r="A34" i="206"/>
  <c r="D33" i="206"/>
  <c r="A33" i="206"/>
  <c r="A32" i="206"/>
  <c r="D31" i="206"/>
  <c r="A31" i="206"/>
  <c r="A30" i="206"/>
  <c r="A29" i="206"/>
  <c r="D28" i="206"/>
  <c r="A28" i="206"/>
  <c r="A27" i="206"/>
  <c r="A26" i="206"/>
  <c r="A25" i="206"/>
  <c r="D24" i="206"/>
  <c r="A24" i="206"/>
  <c r="A23" i="206"/>
  <c r="D22" i="206"/>
  <c r="A22" i="206"/>
  <c r="A21" i="206"/>
  <c r="D20" i="206"/>
  <c r="A20" i="206"/>
  <c r="A32" i="208"/>
  <c r="A31" i="208"/>
  <c r="A30" i="208"/>
  <c r="D29" i="208"/>
  <c r="A29" i="208"/>
  <c r="A28" i="208"/>
  <c r="A27" i="208"/>
  <c r="A26" i="208"/>
  <c r="A25" i="208"/>
  <c r="D24" i="208"/>
  <c r="A24" i="208"/>
  <c r="A23" i="208"/>
  <c r="A22" i="208"/>
  <c r="D21" i="208"/>
  <c r="A21" i="208"/>
  <c r="D20" i="208"/>
  <c r="A20" i="208"/>
  <c r="D25" i="53"/>
  <c r="D20" i="53"/>
  <c r="A21" i="53"/>
  <c r="A22" i="53"/>
  <c r="A23" i="53"/>
  <c r="A24" i="53"/>
  <c r="A25" i="53"/>
  <c r="A26" i="53"/>
  <c r="A27" i="53"/>
  <c r="A28" i="53"/>
  <c r="A20" i="53"/>
  <c r="A35" i="32"/>
  <c r="A33" i="32"/>
  <c r="A31" i="32"/>
  <c r="A29" i="32"/>
  <c r="D33" i="37" l="1"/>
  <c r="D28" i="37"/>
  <c r="A20" i="37"/>
  <c r="A21" i="37"/>
  <c r="A22" i="37"/>
  <c r="A23" i="37"/>
  <c r="A24" i="37"/>
  <c r="A25" i="37"/>
  <c r="A26" i="37"/>
  <c r="A27" i="37"/>
  <c r="A28" i="37"/>
  <c r="A29" i="37"/>
  <c r="A30" i="37"/>
  <c r="A31" i="37"/>
  <c r="A32" i="37"/>
  <c r="A33" i="37"/>
  <c r="A34" i="37"/>
  <c r="A35" i="37"/>
  <c r="A36" i="37"/>
  <c r="A37" i="37"/>
  <c r="D26" i="18" l="1"/>
  <c r="A26" i="18"/>
  <c r="A25" i="18"/>
  <c r="D24" i="18"/>
  <c r="A24" i="18"/>
  <c r="A23" i="18"/>
  <c r="D26" i="11"/>
  <c r="A26" i="11"/>
  <c r="A25" i="11"/>
  <c r="D24" i="11"/>
  <c r="A24" i="11"/>
  <c r="A23" i="11"/>
  <c r="D24" i="51"/>
  <c r="A24" i="51"/>
  <c r="A23" i="51"/>
  <c r="D24" i="34"/>
  <c r="A24" i="34"/>
  <c r="A23" i="34"/>
  <c r="D26" i="13"/>
  <c r="A26" i="13"/>
  <c r="A25" i="13"/>
  <c r="D24" i="13"/>
  <c r="A24" i="13"/>
  <c r="A23" i="13"/>
  <c r="D47" i="246"/>
  <c r="D46" i="248" l="1"/>
  <c r="R19" i="254"/>
  <c r="Q19" i="254"/>
  <c r="P19" i="254"/>
  <c r="R18" i="254"/>
  <c r="Q18" i="254"/>
  <c r="P18" i="254"/>
  <c r="R17" i="254"/>
  <c r="Q17" i="254"/>
  <c r="P17" i="254"/>
  <c r="R16" i="254"/>
  <c r="Q16" i="254"/>
  <c r="P16" i="254"/>
  <c r="R15" i="254"/>
  <c r="Q15" i="254"/>
  <c r="P15" i="254"/>
  <c r="R14" i="254"/>
  <c r="Q14" i="254"/>
  <c r="P14" i="254"/>
  <c r="R13" i="254"/>
  <c r="Q13" i="254"/>
  <c r="P13" i="254"/>
  <c r="R12" i="254"/>
  <c r="Q12" i="254"/>
  <c r="P12" i="254"/>
  <c r="R11" i="254"/>
  <c r="D118" i="254" s="1"/>
  <c r="Q11" i="254"/>
  <c r="D119" i="254" s="1"/>
  <c r="P11" i="254"/>
  <c r="R10" i="254"/>
  <c r="Q10" i="254"/>
  <c r="P10" i="254"/>
  <c r="R9" i="254"/>
  <c r="Q9" i="254"/>
  <c r="P9" i="254"/>
  <c r="R8" i="254"/>
  <c r="Q8" i="254"/>
  <c r="P8" i="254"/>
  <c r="T7" i="254"/>
  <c r="R7" i="254"/>
  <c r="Q7" i="254"/>
  <c r="P7" i="254"/>
  <c r="T6" i="254"/>
  <c r="R6" i="254"/>
  <c r="D51" i="254" s="1"/>
  <c r="Q6" i="254"/>
  <c r="D50" i="254" s="1"/>
  <c r="P6" i="254"/>
  <c r="T5" i="254"/>
  <c r="R5" i="254"/>
  <c r="Q5" i="254"/>
  <c r="P5" i="254"/>
  <c r="T4" i="254"/>
  <c r="R4" i="254"/>
  <c r="Q4" i="254"/>
  <c r="P4" i="254"/>
  <c r="R19" i="253"/>
  <c r="Q19" i="253"/>
  <c r="P19" i="253"/>
  <c r="R18" i="253"/>
  <c r="Q18" i="253"/>
  <c r="P18" i="253"/>
  <c r="R17" i="253"/>
  <c r="Q17" i="253"/>
  <c r="P17" i="253"/>
  <c r="R16" i="253"/>
  <c r="Q16" i="253"/>
  <c r="P16" i="253"/>
  <c r="R15" i="253"/>
  <c r="Q15" i="253"/>
  <c r="P15" i="253"/>
  <c r="R14" i="253"/>
  <c r="Q14" i="253"/>
  <c r="P14" i="253"/>
  <c r="R13" i="253"/>
  <c r="Q13" i="253"/>
  <c r="P13" i="253"/>
  <c r="R12" i="253"/>
  <c r="Q12" i="253"/>
  <c r="P12" i="253"/>
  <c r="R11" i="253"/>
  <c r="D139" i="253" s="1"/>
  <c r="Q11" i="253"/>
  <c r="D140" i="253" s="1"/>
  <c r="P11" i="253"/>
  <c r="R10" i="253"/>
  <c r="Q10" i="253"/>
  <c r="P10" i="253"/>
  <c r="R9" i="253"/>
  <c r="Q9" i="253"/>
  <c r="P9" i="253"/>
  <c r="R8" i="253"/>
  <c r="Q8" i="253"/>
  <c r="P8" i="253"/>
  <c r="T7" i="253"/>
  <c r="R7" i="253"/>
  <c r="Q7" i="253"/>
  <c r="P7" i="253"/>
  <c r="T6" i="253"/>
  <c r="R6" i="253"/>
  <c r="Q6" i="253"/>
  <c r="P6" i="253"/>
  <c r="T5" i="253"/>
  <c r="R5" i="253"/>
  <c r="D57" i="253" s="1"/>
  <c r="Q5" i="253"/>
  <c r="D56" i="253" s="1"/>
  <c r="P5" i="253"/>
  <c r="T4" i="253"/>
  <c r="R4" i="253"/>
  <c r="Q4" i="253"/>
  <c r="P4" i="253"/>
  <c r="R19" i="252"/>
  <c r="Q19" i="252"/>
  <c r="P19" i="252"/>
  <c r="R18" i="252"/>
  <c r="Q18" i="252"/>
  <c r="P18" i="252"/>
  <c r="R17" i="252"/>
  <c r="Q17" i="252"/>
  <c r="P17" i="252"/>
  <c r="R16" i="252"/>
  <c r="Q16" i="252"/>
  <c r="P16" i="252"/>
  <c r="R15" i="252"/>
  <c r="Q15" i="252"/>
  <c r="P15" i="252"/>
  <c r="R14" i="252"/>
  <c r="Q14" i="252"/>
  <c r="P14" i="252"/>
  <c r="R13" i="252"/>
  <c r="Q13" i="252"/>
  <c r="P13" i="252"/>
  <c r="R12" i="252"/>
  <c r="Q12" i="252"/>
  <c r="P12" i="252"/>
  <c r="R11" i="252"/>
  <c r="D112" i="252" s="1"/>
  <c r="Q11" i="252"/>
  <c r="D113" i="252" s="1"/>
  <c r="P11" i="252"/>
  <c r="R10" i="252"/>
  <c r="Q10" i="252"/>
  <c r="P10" i="252"/>
  <c r="R9" i="252"/>
  <c r="Q9" i="252"/>
  <c r="P9" i="252"/>
  <c r="R8" i="252"/>
  <c r="Q8" i="252"/>
  <c r="P8" i="252"/>
  <c r="T7" i="252"/>
  <c r="R7" i="252"/>
  <c r="Q7" i="252"/>
  <c r="P7" i="252"/>
  <c r="T6" i="252"/>
  <c r="R6" i="252"/>
  <c r="D45" i="252" s="1"/>
  <c r="Q6" i="252"/>
  <c r="D44" i="252" s="1"/>
  <c r="P6" i="252"/>
  <c r="T5" i="252"/>
  <c r="R5" i="252"/>
  <c r="Q5" i="252"/>
  <c r="P5" i="252"/>
  <c r="T4" i="252"/>
  <c r="R4" i="252"/>
  <c r="Q4" i="252"/>
  <c r="P4" i="252"/>
  <c r="R19" i="249"/>
  <c r="Q19" i="249"/>
  <c r="P19" i="249"/>
  <c r="R18" i="249"/>
  <c r="Q18" i="249"/>
  <c r="P18" i="249"/>
  <c r="R17" i="249"/>
  <c r="Q17" i="249"/>
  <c r="P17" i="249"/>
  <c r="R16" i="249"/>
  <c r="Q16" i="249"/>
  <c r="P16" i="249"/>
  <c r="R15" i="249"/>
  <c r="Q15" i="249"/>
  <c r="P15" i="249"/>
  <c r="R14" i="249"/>
  <c r="Q14" i="249"/>
  <c r="P14" i="249"/>
  <c r="R13" i="249"/>
  <c r="Q13" i="249"/>
  <c r="P13" i="249"/>
  <c r="R12" i="249"/>
  <c r="Q12" i="249"/>
  <c r="P12" i="249"/>
  <c r="R11" i="249"/>
  <c r="D208" i="249" s="1"/>
  <c r="Q11" i="249"/>
  <c r="D207" i="249" s="1"/>
  <c r="P11" i="249"/>
  <c r="R10" i="249"/>
  <c r="Q10" i="249"/>
  <c r="P10" i="249"/>
  <c r="R9" i="249"/>
  <c r="Q9" i="249"/>
  <c r="P9" i="249"/>
  <c r="R8" i="249"/>
  <c r="Q8" i="249"/>
  <c r="P8" i="249"/>
  <c r="T7" i="249"/>
  <c r="R7" i="249"/>
  <c r="Q7" i="249"/>
  <c r="P7" i="249"/>
  <c r="T6" i="249"/>
  <c r="R6" i="249"/>
  <c r="Q6" i="249"/>
  <c r="P6" i="249"/>
  <c r="T5" i="249"/>
  <c r="R5" i="249"/>
  <c r="D66" i="249" s="1"/>
  <c r="Q5" i="249"/>
  <c r="D65" i="249" s="1"/>
  <c r="P5" i="249"/>
  <c r="T4" i="249"/>
  <c r="R4" i="249"/>
  <c r="Q4" i="249"/>
  <c r="P4" i="249"/>
  <c r="R19" i="255"/>
  <c r="Q19" i="255"/>
  <c r="P19" i="255"/>
  <c r="R18" i="255"/>
  <c r="Q18" i="255"/>
  <c r="P18" i="255"/>
  <c r="R17" i="255"/>
  <c r="Q17" i="255"/>
  <c r="P17" i="255"/>
  <c r="R16" i="255"/>
  <c r="Q16" i="255"/>
  <c r="P16" i="255"/>
  <c r="R15" i="255"/>
  <c r="Q15" i="255"/>
  <c r="P15" i="255"/>
  <c r="R14" i="255"/>
  <c r="Q14" i="255"/>
  <c r="P14" i="255"/>
  <c r="R13" i="255"/>
  <c r="Q13" i="255"/>
  <c r="P13" i="255"/>
  <c r="R12" i="255"/>
  <c r="Q12" i="255"/>
  <c r="P12" i="255"/>
  <c r="R11" i="255"/>
  <c r="D260" i="255" s="1"/>
  <c r="Q11" i="255"/>
  <c r="D259" i="255" s="1"/>
  <c r="P11" i="255"/>
  <c r="R10" i="255"/>
  <c r="Q10" i="255"/>
  <c r="P10" i="255"/>
  <c r="R9" i="255"/>
  <c r="Q9" i="255"/>
  <c r="P9" i="255"/>
  <c r="R8" i="255"/>
  <c r="Q8" i="255"/>
  <c r="P8" i="255"/>
  <c r="T7" i="255"/>
  <c r="R7" i="255"/>
  <c r="Q7" i="255"/>
  <c r="P7" i="255"/>
  <c r="T6" i="255"/>
  <c r="R6" i="255"/>
  <c r="Q6" i="255"/>
  <c r="P6" i="255"/>
  <c r="T5" i="255"/>
  <c r="R5" i="255"/>
  <c r="D71" i="255" s="1"/>
  <c r="Q5" i="255"/>
  <c r="D70" i="255" s="1"/>
  <c r="P5" i="255"/>
  <c r="T4" i="255"/>
  <c r="R4" i="255"/>
  <c r="Q4" i="255"/>
  <c r="P4" i="255"/>
  <c r="R19" i="246"/>
  <c r="Q19" i="246"/>
  <c r="P19" i="246"/>
  <c r="R18" i="246"/>
  <c r="Q18" i="246"/>
  <c r="P18" i="246"/>
  <c r="R17" i="246"/>
  <c r="Q17" i="246"/>
  <c r="P17" i="246"/>
  <c r="R16" i="246"/>
  <c r="Q16" i="246"/>
  <c r="P16" i="246"/>
  <c r="R15" i="246"/>
  <c r="Q15" i="246"/>
  <c r="P15" i="246"/>
  <c r="R14" i="246"/>
  <c r="Q14" i="246"/>
  <c r="P14" i="246"/>
  <c r="R13" i="246"/>
  <c r="Q13" i="246"/>
  <c r="P13" i="246"/>
  <c r="R12" i="246"/>
  <c r="Q12" i="246"/>
  <c r="P12" i="246"/>
  <c r="R11" i="246"/>
  <c r="D200" i="246" s="1"/>
  <c r="Q11" i="246"/>
  <c r="D198" i="246" s="1"/>
  <c r="P11" i="246"/>
  <c r="R10" i="246"/>
  <c r="Q10" i="246"/>
  <c r="P10" i="246"/>
  <c r="R9" i="246"/>
  <c r="Q9" i="246"/>
  <c r="P9" i="246"/>
  <c r="R8" i="246"/>
  <c r="D177" i="246" s="1"/>
  <c r="Q8" i="246"/>
  <c r="D175" i="246" s="1"/>
  <c r="P8" i="246"/>
  <c r="T7" i="246"/>
  <c r="R7" i="246"/>
  <c r="Q7" i="246"/>
  <c r="P7" i="246"/>
  <c r="T6" i="246"/>
  <c r="R6" i="246"/>
  <c r="D62" i="246" s="1"/>
  <c r="Q6" i="246"/>
  <c r="D48" i="246" s="1"/>
  <c r="P6" i="246"/>
  <c r="T5" i="246"/>
  <c r="R5" i="246"/>
  <c r="Q5" i="246"/>
  <c r="P5" i="246"/>
  <c r="T4" i="246"/>
  <c r="R4" i="246"/>
  <c r="Q4" i="246"/>
  <c r="P4" i="246"/>
  <c r="R19" i="251"/>
  <c r="Q19" i="251"/>
  <c r="P19" i="251"/>
  <c r="R18" i="251"/>
  <c r="Q18" i="251"/>
  <c r="P18" i="251"/>
  <c r="R17" i="251"/>
  <c r="Q17" i="251"/>
  <c r="P17" i="251"/>
  <c r="R16" i="251"/>
  <c r="Q16" i="251"/>
  <c r="P16" i="251"/>
  <c r="R15" i="251"/>
  <c r="Q15" i="251"/>
  <c r="P15" i="251"/>
  <c r="R14" i="251"/>
  <c r="Q14" i="251"/>
  <c r="P14" i="251"/>
  <c r="R13" i="251"/>
  <c r="Q13" i="251"/>
  <c r="P13" i="251"/>
  <c r="R12" i="251"/>
  <c r="Q12" i="251"/>
  <c r="P12" i="251"/>
  <c r="R11" i="251"/>
  <c r="D112" i="251" s="1"/>
  <c r="Q11" i="251"/>
  <c r="D113" i="251" s="1"/>
  <c r="P11" i="251"/>
  <c r="R10" i="251"/>
  <c r="Q10" i="251"/>
  <c r="P10" i="251"/>
  <c r="R9" i="251"/>
  <c r="Q9" i="251"/>
  <c r="P9" i="251"/>
  <c r="R8" i="251"/>
  <c r="Q8" i="251"/>
  <c r="P8" i="251"/>
  <c r="T7" i="251"/>
  <c r="R7" i="251"/>
  <c r="Q7" i="251"/>
  <c r="P7" i="251"/>
  <c r="T6" i="251"/>
  <c r="R6" i="251"/>
  <c r="D45" i="251" s="1"/>
  <c r="Q6" i="251"/>
  <c r="D44" i="251" s="1"/>
  <c r="P6" i="251"/>
  <c r="T5" i="251"/>
  <c r="R5" i="251"/>
  <c r="Q5" i="251"/>
  <c r="P5" i="251"/>
  <c r="T4" i="251"/>
  <c r="R4" i="251"/>
  <c r="Q4" i="251"/>
  <c r="P4" i="251"/>
  <c r="R19" i="250"/>
  <c r="Q19" i="250"/>
  <c r="P19" i="250"/>
  <c r="R18" i="250"/>
  <c r="Q18" i="250"/>
  <c r="P18" i="250"/>
  <c r="R17" i="250"/>
  <c r="Q17" i="250"/>
  <c r="P17" i="250"/>
  <c r="R16" i="250"/>
  <c r="Q16" i="250"/>
  <c r="P16" i="250"/>
  <c r="R15" i="250"/>
  <c r="Q15" i="250"/>
  <c r="P15" i="250"/>
  <c r="R14" i="250"/>
  <c r="Q14" i="250"/>
  <c r="P14" i="250"/>
  <c r="R13" i="250"/>
  <c r="Q13" i="250"/>
  <c r="P13" i="250"/>
  <c r="R12" i="250"/>
  <c r="Q12" i="250"/>
  <c r="P12" i="250"/>
  <c r="R11" i="250"/>
  <c r="Q11" i="250"/>
  <c r="D112" i="250" s="1"/>
  <c r="P11" i="250"/>
  <c r="R10" i="250"/>
  <c r="Q10" i="250"/>
  <c r="P10" i="250"/>
  <c r="R9" i="250"/>
  <c r="Q9" i="250"/>
  <c r="P9" i="250"/>
  <c r="R8" i="250"/>
  <c r="D84" i="250" s="1"/>
  <c r="Q8" i="250"/>
  <c r="D85" i="250" s="1"/>
  <c r="P8" i="250"/>
  <c r="T7" i="250"/>
  <c r="R7" i="250"/>
  <c r="Q7" i="250"/>
  <c r="P7" i="250"/>
  <c r="T6" i="250"/>
  <c r="R6" i="250"/>
  <c r="D45" i="250" s="1"/>
  <c r="Q6" i="250"/>
  <c r="D43" i="250" s="1"/>
  <c r="P6" i="250"/>
  <c r="T5" i="250"/>
  <c r="R5" i="250"/>
  <c r="Q5" i="250"/>
  <c r="P5" i="250"/>
  <c r="T4" i="250"/>
  <c r="R4" i="250"/>
  <c r="Q4" i="250"/>
  <c r="P4" i="250"/>
  <c r="R19" i="247"/>
  <c r="Q19" i="247"/>
  <c r="P19" i="247"/>
  <c r="R18" i="247"/>
  <c r="Q18" i="247"/>
  <c r="P18" i="247"/>
  <c r="R17" i="247"/>
  <c r="Q17" i="247"/>
  <c r="P17" i="247"/>
  <c r="R16" i="247"/>
  <c r="Q16" i="247"/>
  <c r="P16" i="247"/>
  <c r="R15" i="247"/>
  <c r="Q15" i="247"/>
  <c r="P15" i="247"/>
  <c r="R14" i="247"/>
  <c r="Q14" i="247"/>
  <c r="P14" i="247"/>
  <c r="R13" i="247"/>
  <c r="Q13" i="247"/>
  <c r="P13" i="247"/>
  <c r="R12" i="247"/>
  <c r="Q12" i="247"/>
  <c r="P12" i="247"/>
  <c r="R11" i="247"/>
  <c r="D185" i="247" s="1"/>
  <c r="Q11" i="247"/>
  <c r="D183" i="247" s="1"/>
  <c r="P11" i="247"/>
  <c r="R10" i="247"/>
  <c r="Q10" i="247"/>
  <c r="P10" i="247"/>
  <c r="R9" i="247"/>
  <c r="Q9" i="247"/>
  <c r="P9" i="247"/>
  <c r="R8" i="247"/>
  <c r="Q8" i="247"/>
  <c r="P8" i="247"/>
  <c r="T7" i="247"/>
  <c r="R7" i="247"/>
  <c r="Q7" i="247"/>
  <c r="P7" i="247"/>
  <c r="T6" i="247"/>
  <c r="R6" i="247"/>
  <c r="Q6" i="247"/>
  <c r="D59" i="247" s="1"/>
  <c r="P6" i="247"/>
  <c r="T5" i="247"/>
  <c r="R5" i="247"/>
  <c r="Q5" i="247"/>
  <c r="P5" i="247"/>
  <c r="T4" i="247"/>
  <c r="R4" i="247"/>
  <c r="Q4" i="247"/>
  <c r="P4" i="247"/>
  <c r="R19" i="248"/>
  <c r="Q19" i="248"/>
  <c r="P19" i="248"/>
  <c r="R18" i="248"/>
  <c r="Q18" i="248"/>
  <c r="P18" i="248"/>
  <c r="R17" i="248"/>
  <c r="Q17" i="248"/>
  <c r="P17" i="248"/>
  <c r="R16" i="248"/>
  <c r="Q16" i="248"/>
  <c r="P16" i="248"/>
  <c r="R15" i="248"/>
  <c r="Q15" i="248"/>
  <c r="P15" i="248"/>
  <c r="R14" i="248"/>
  <c r="Q14" i="248"/>
  <c r="P14" i="248"/>
  <c r="R13" i="248"/>
  <c r="Q13" i="248"/>
  <c r="P13" i="248"/>
  <c r="R12" i="248"/>
  <c r="Q12" i="248"/>
  <c r="P12" i="248"/>
  <c r="R11" i="248"/>
  <c r="Q11" i="248"/>
  <c r="D182" i="248" s="1"/>
  <c r="P11" i="248"/>
  <c r="R10" i="248"/>
  <c r="Q10" i="248"/>
  <c r="P10" i="248"/>
  <c r="R9" i="248"/>
  <c r="Q9" i="248"/>
  <c r="P9" i="248"/>
  <c r="R8" i="248"/>
  <c r="D159" i="248" s="1"/>
  <c r="Q8" i="248"/>
  <c r="D133" i="248" s="1"/>
  <c r="P8" i="248"/>
  <c r="T7" i="248"/>
  <c r="R7" i="248"/>
  <c r="D94" i="248" s="1"/>
  <c r="Q7" i="248"/>
  <c r="D100" i="248" s="1"/>
  <c r="P7" i="248"/>
  <c r="T6" i="248"/>
  <c r="R6" i="248"/>
  <c r="D49" i="248" s="1"/>
  <c r="Q6" i="248"/>
  <c r="D58" i="248" s="1"/>
  <c r="P6" i="248"/>
  <c r="T5" i="248"/>
  <c r="R5" i="248"/>
  <c r="Q5" i="248"/>
  <c r="P5" i="248"/>
  <c r="T4" i="248"/>
  <c r="R4" i="248"/>
  <c r="Q4" i="248"/>
  <c r="P4" i="248"/>
  <c r="BA1" i="254"/>
  <c r="AZ1" i="254"/>
  <c r="AY1" i="254"/>
  <c r="AX1" i="254"/>
  <c r="AW1" i="254"/>
  <c r="AV1" i="254"/>
  <c r="AU1" i="254"/>
  <c r="AT1" i="254"/>
  <c r="AS1" i="254"/>
  <c r="AR1" i="254"/>
  <c r="AQ1" i="254"/>
  <c r="AP1" i="254"/>
  <c r="AO1" i="254"/>
  <c r="AN1" i="254"/>
  <c r="AM1" i="254"/>
  <c r="AL1" i="254"/>
  <c r="AK1" i="254"/>
  <c r="AJ1" i="254"/>
  <c r="AI1" i="254"/>
  <c r="AH1" i="254"/>
  <c r="AG1" i="254"/>
  <c r="AF1" i="254"/>
  <c r="AE1" i="254"/>
  <c r="AD1" i="254"/>
  <c r="AC1" i="254"/>
  <c r="AB1" i="254"/>
  <c r="AA1" i="254"/>
  <c r="Z1" i="254"/>
  <c r="Y1" i="254"/>
  <c r="X1" i="254"/>
  <c r="W1" i="254"/>
  <c r="V1" i="254"/>
  <c r="U1" i="254"/>
  <c r="T1" i="254"/>
  <c r="S1" i="254"/>
  <c r="R1" i="254"/>
  <c r="Q1" i="254"/>
  <c r="P1" i="254"/>
  <c r="BA1" i="253"/>
  <c r="AZ1" i="253"/>
  <c r="AY1" i="253"/>
  <c r="AX1" i="253"/>
  <c r="AW1" i="253"/>
  <c r="AV1" i="253"/>
  <c r="AU1" i="253"/>
  <c r="AT1" i="253"/>
  <c r="AS1" i="253"/>
  <c r="AR1" i="253"/>
  <c r="AQ1" i="253"/>
  <c r="AP1" i="253"/>
  <c r="AO1" i="253"/>
  <c r="AN1" i="253"/>
  <c r="AM1" i="253"/>
  <c r="AL1" i="253"/>
  <c r="AK1" i="253"/>
  <c r="AJ1" i="253"/>
  <c r="AI1" i="253"/>
  <c r="AH1" i="253"/>
  <c r="AG1" i="253"/>
  <c r="AF1" i="253"/>
  <c r="AE1" i="253"/>
  <c r="AD1" i="253"/>
  <c r="AC1" i="253"/>
  <c r="AB1" i="253"/>
  <c r="AA1" i="253"/>
  <c r="Z1" i="253"/>
  <c r="Y1" i="253"/>
  <c r="X1" i="253"/>
  <c r="W1" i="253"/>
  <c r="V1" i="253"/>
  <c r="U1" i="253"/>
  <c r="T1" i="253"/>
  <c r="S1" i="253"/>
  <c r="R1" i="253"/>
  <c r="Q1" i="253"/>
  <c r="P1" i="253"/>
  <c r="BA1" i="252"/>
  <c r="AZ1" i="252"/>
  <c r="AY1" i="252"/>
  <c r="AX1" i="252"/>
  <c r="AW1" i="252"/>
  <c r="AV1" i="252"/>
  <c r="AU1" i="252"/>
  <c r="AT1" i="252"/>
  <c r="AS1" i="252"/>
  <c r="AR1" i="252"/>
  <c r="AQ1" i="252"/>
  <c r="AP1" i="252"/>
  <c r="AO1" i="252"/>
  <c r="AN1" i="252"/>
  <c r="AM1" i="252"/>
  <c r="AL1" i="252"/>
  <c r="AK1" i="252"/>
  <c r="AJ1" i="252"/>
  <c r="AI1" i="252"/>
  <c r="AH1" i="252"/>
  <c r="AG1" i="252"/>
  <c r="AF1" i="252"/>
  <c r="AE1" i="252"/>
  <c r="AD1" i="252"/>
  <c r="AC1" i="252"/>
  <c r="AB1" i="252"/>
  <c r="AA1" i="252"/>
  <c r="Z1" i="252"/>
  <c r="Y1" i="252"/>
  <c r="X1" i="252"/>
  <c r="W1" i="252"/>
  <c r="V1" i="252"/>
  <c r="U1" i="252"/>
  <c r="T1" i="252"/>
  <c r="S1" i="252"/>
  <c r="R1" i="252"/>
  <c r="Q1" i="252"/>
  <c r="P1" i="252"/>
  <c r="BA1" i="249"/>
  <c r="AZ1" i="249"/>
  <c r="AY1" i="249"/>
  <c r="AX1" i="249"/>
  <c r="AW1" i="249"/>
  <c r="AV1" i="249"/>
  <c r="AU1" i="249"/>
  <c r="AT1" i="249"/>
  <c r="AS1" i="249"/>
  <c r="AR1" i="249"/>
  <c r="AQ1" i="249"/>
  <c r="AP1" i="249"/>
  <c r="AO1" i="249"/>
  <c r="AN1" i="249"/>
  <c r="AM1" i="249"/>
  <c r="AL1" i="249"/>
  <c r="AK1" i="249"/>
  <c r="AJ1" i="249"/>
  <c r="AI1" i="249"/>
  <c r="AH1" i="249"/>
  <c r="AG1" i="249"/>
  <c r="AF1" i="249"/>
  <c r="AE1" i="249"/>
  <c r="AD1" i="249"/>
  <c r="AC1" i="249"/>
  <c r="AB1" i="249"/>
  <c r="AA1" i="249"/>
  <c r="Z1" i="249"/>
  <c r="Y1" i="249"/>
  <c r="X1" i="249"/>
  <c r="W1" i="249"/>
  <c r="V1" i="249"/>
  <c r="U1" i="249"/>
  <c r="T1" i="249"/>
  <c r="S1" i="249"/>
  <c r="R1" i="249"/>
  <c r="Q1" i="249"/>
  <c r="P1" i="249"/>
  <c r="BA1" i="255"/>
  <c r="AZ1" i="255"/>
  <c r="AY1" i="255"/>
  <c r="AX1" i="255"/>
  <c r="AW1" i="255"/>
  <c r="AV1" i="255"/>
  <c r="AU1" i="255"/>
  <c r="AT1" i="255"/>
  <c r="AS1" i="255"/>
  <c r="AR1" i="255"/>
  <c r="AQ1" i="255"/>
  <c r="AP1" i="255"/>
  <c r="AO1" i="255"/>
  <c r="AN1" i="255"/>
  <c r="AM1" i="255"/>
  <c r="AL1" i="255"/>
  <c r="AK1" i="255"/>
  <c r="AJ1" i="255"/>
  <c r="AI1" i="255"/>
  <c r="AH1" i="255"/>
  <c r="AG1" i="255"/>
  <c r="AF1" i="255"/>
  <c r="AE1" i="255"/>
  <c r="AD1" i="255"/>
  <c r="AC1" i="255"/>
  <c r="AB1" i="255"/>
  <c r="AA1" i="255"/>
  <c r="Z1" i="255"/>
  <c r="Y1" i="255"/>
  <c r="X1" i="255"/>
  <c r="W1" i="255"/>
  <c r="V1" i="255"/>
  <c r="U1" i="255"/>
  <c r="T1" i="255"/>
  <c r="S1" i="255"/>
  <c r="R1" i="255"/>
  <c r="Q1" i="255"/>
  <c r="P1" i="255"/>
  <c r="BA1" i="246"/>
  <c r="AZ1" i="246"/>
  <c r="AY1" i="246"/>
  <c r="AX1" i="246"/>
  <c r="AW1" i="246"/>
  <c r="AV1" i="246"/>
  <c r="AU1" i="246"/>
  <c r="AT1" i="246"/>
  <c r="AS1" i="246"/>
  <c r="AR1" i="246"/>
  <c r="AQ1" i="246"/>
  <c r="AP1" i="246"/>
  <c r="AO1" i="246"/>
  <c r="AN1" i="246"/>
  <c r="AM1" i="246"/>
  <c r="AL1" i="246"/>
  <c r="AK1" i="246"/>
  <c r="AJ1" i="246"/>
  <c r="AI1" i="246"/>
  <c r="AH1" i="246"/>
  <c r="AG1" i="246"/>
  <c r="AF1" i="246"/>
  <c r="AE1" i="246"/>
  <c r="AD1" i="246"/>
  <c r="AC1" i="246"/>
  <c r="AB1" i="246"/>
  <c r="AA1" i="246"/>
  <c r="Z1" i="246"/>
  <c r="Y1" i="246"/>
  <c r="X1" i="246"/>
  <c r="W1" i="246"/>
  <c r="V1" i="246"/>
  <c r="U1" i="246"/>
  <c r="T1" i="246"/>
  <c r="S1" i="246"/>
  <c r="R1" i="246"/>
  <c r="Q1" i="246"/>
  <c r="P1" i="246"/>
  <c r="BA1" i="251"/>
  <c r="AZ1" i="251"/>
  <c r="AY1" i="251"/>
  <c r="AX1" i="251"/>
  <c r="AW1" i="251"/>
  <c r="AV1" i="251"/>
  <c r="AU1" i="251"/>
  <c r="AT1" i="251"/>
  <c r="AS1" i="251"/>
  <c r="AR1" i="251"/>
  <c r="AQ1" i="251"/>
  <c r="AP1" i="251"/>
  <c r="AO1" i="251"/>
  <c r="AN1" i="251"/>
  <c r="AM1" i="251"/>
  <c r="AL1" i="251"/>
  <c r="AK1" i="251"/>
  <c r="AJ1" i="251"/>
  <c r="AI1" i="251"/>
  <c r="AH1" i="251"/>
  <c r="AG1" i="251"/>
  <c r="AF1" i="251"/>
  <c r="AE1" i="251"/>
  <c r="AD1" i="251"/>
  <c r="AC1" i="251"/>
  <c r="AB1" i="251"/>
  <c r="AA1" i="251"/>
  <c r="Z1" i="251"/>
  <c r="Y1" i="251"/>
  <c r="X1" i="251"/>
  <c r="W1" i="251"/>
  <c r="V1" i="251"/>
  <c r="U1" i="251"/>
  <c r="T1" i="251"/>
  <c r="S1" i="251"/>
  <c r="R1" i="251"/>
  <c r="Q1" i="251"/>
  <c r="P1" i="251"/>
  <c r="BA1" i="250"/>
  <c r="AZ1" i="250"/>
  <c r="AY1" i="250"/>
  <c r="AX1" i="250"/>
  <c r="AW1" i="250"/>
  <c r="AV1" i="250"/>
  <c r="AU1" i="250"/>
  <c r="AT1" i="250"/>
  <c r="AS1" i="250"/>
  <c r="AR1" i="250"/>
  <c r="AQ1" i="250"/>
  <c r="AP1" i="250"/>
  <c r="AO1" i="250"/>
  <c r="AN1" i="250"/>
  <c r="AM1" i="250"/>
  <c r="AL1" i="250"/>
  <c r="AK1" i="250"/>
  <c r="AJ1" i="250"/>
  <c r="AI1" i="250"/>
  <c r="AH1" i="250"/>
  <c r="AG1" i="250"/>
  <c r="AF1" i="250"/>
  <c r="AE1" i="250"/>
  <c r="AD1" i="250"/>
  <c r="AC1" i="250"/>
  <c r="AB1" i="250"/>
  <c r="AA1" i="250"/>
  <c r="Z1" i="250"/>
  <c r="Y1" i="250"/>
  <c r="X1" i="250"/>
  <c r="W1" i="250"/>
  <c r="V1" i="250"/>
  <c r="U1" i="250"/>
  <c r="T1" i="250"/>
  <c r="S1" i="250"/>
  <c r="R1" i="250"/>
  <c r="Q1" i="250"/>
  <c r="P1" i="250"/>
  <c r="BA1" i="247"/>
  <c r="AZ1" i="247"/>
  <c r="AY1" i="247"/>
  <c r="AX1" i="247"/>
  <c r="AW1" i="247"/>
  <c r="AV1" i="247"/>
  <c r="AU1" i="247"/>
  <c r="AT1" i="247"/>
  <c r="AS1" i="247"/>
  <c r="AR1" i="247"/>
  <c r="AQ1" i="247"/>
  <c r="AP1" i="247"/>
  <c r="AO1" i="247"/>
  <c r="AN1" i="247"/>
  <c r="AM1" i="247"/>
  <c r="AL1" i="247"/>
  <c r="AK1" i="247"/>
  <c r="AJ1" i="247"/>
  <c r="AI1" i="247"/>
  <c r="AH1" i="247"/>
  <c r="AG1" i="247"/>
  <c r="AF1" i="247"/>
  <c r="AE1" i="247"/>
  <c r="AD1" i="247"/>
  <c r="AC1" i="247"/>
  <c r="AB1" i="247"/>
  <c r="AA1" i="247"/>
  <c r="Z1" i="247"/>
  <c r="Y1" i="247"/>
  <c r="X1" i="247"/>
  <c r="W1" i="247"/>
  <c r="V1" i="247"/>
  <c r="U1" i="247"/>
  <c r="T1" i="247"/>
  <c r="S1" i="247"/>
  <c r="R1" i="247"/>
  <c r="Q1" i="247"/>
  <c r="P1" i="247"/>
  <c r="BA1" i="248"/>
  <c r="AZ1" i="248"/>
  <c r="AY1" i="248"/>
  <c r="AX1" i="248"/>
  <c r="AW1" i="248"/>
  <c r="AV1" i="248"/>
  <c r="AU1" i="248"/>
  <c r="AT1" i="248"/>
  <c r="AS1" i="248"/>
  <c r="AR1" i="248"/>
  <c r="AQ1" i="248"/>
  <c r="AP1" i="248"/>
  <c r="AO1" i="248"/>
  <c r="AN1" i="248"/>
  <c r="AM1" i="248"/>
  <c r="AL1" i="248"/>
  <c r="AK1" i="248"/>
  <c r="AJ1" i="248"/>
  <c r="AI1" i="248"/>
  <c r="AH1" i="248"/>
  <c r="AG1" i="248"/>
  <c r="AF1" i="248"/>
  <c r="AE1" i="248"/>
  <c r="AD1" i="248"/>
  <c r="AC1" i="248"/>
  <c r="AB1" i="248"/>
  <c r="AA1" i="248"/>
  <c r="Z1" i="248"/>
  <c r="Y1" i="248"/>
  <c r="X1" i="248"/>
  <c r="W1" i="248"/>
  <c r="V1" i="248"/>
  <c r="U1" i="248"/>
  <c r="T1" i="248"/>
  <c r="S1" i="248"/>
  <c r="R1" i="248"/>
  <c r="Q1" i="248"/>
  <c r="P1" i="248"/>
  <c r="D111" i="250"/>
  <c r="A20" i="250"/>
  <c r="A22" i="250"/>
  <c r="D22" i="250"/>
  <c r="A23" i="250"/>
  <c r="D23" i="250"/>
  <c r="A24" i="250"/>
  <c r="A25" i="250"/>
  <c r="D25" i="250"/>
  <c r="A26" i="250"/>
  <c r="A27" i="250"/>
  <c r="A28" i="250"/>
  <c r="A29" i="250"/>
  <c r="A30" i="250"/>
  <c r="A31" i="250"/>
  <c r="A32" i="250"/>
  <c r="A33" i="250"/>
  <c r="A34" i="250"/>
  <c r="A35" i="250"/>
  <c r="A36" i="250"/>
  <c r="A37" i="250"/>
  <c r="A39" i="250"/>
  <c r="A40" i="250"/>
  <c r="A41" i="250"/>
  <c r="A42" i="250"/>
  <c r="A43" i="250"/>
  <c r="A44" i="250"/>
  <c r="A45" i="250"/>
  <c r="A46" i="250"/>
  <c r="A47" i="250"/>
  <c r="A48" i="250"/>
  <c r="A49" i="250"/>
  <c r="A50" i="250"/>
  <c r="A51" i="250"/>
  <c r="A52" i="250"/>
  <c r="A53" i="250"/>
  <c r="A54" i="250"/>
  <c r="A55" i="250"/>
  <c r="D55" i="250"/>
  <c r="A56" i="250"/>
  <c r="A57" i="250"/>
  <c r="A58" i="250"/>
  <c r="D58" i="250"/>
  <c r="A59" i="250"/>
  <c r="A60" i="250"/>
  <c r="A61" i="250"/>
  <c r="D61" i="250"/>
  <c r="A62" i="250"/>
  <c r="D62" i="250"/>
  <c r="A63" i="250"/>
  <c r="D63" i="250"/>
  <c r="A64" i="250"/>
  <c r="A65" i="250"/>
  <c r="A66" i="250"/>
  <c r="A67" i="250"/>
  <c r="A68" i="250"/>
  <c r="A69" i="250"/>
  <c r="A70" i="250"/>
  <c r="A71" i="250"/>
  <c r="A72" i="250"/>
  <c r="A73" i="250"/>
  <c r="A74" i="250"/>
  <c r="A75" i="250"/>
  <c r="A76" i="250"/>
  <c r="D76" i="250"/>
  <c r="A77" i="250"/>
  <c r="D77" i="250"/>
  <c r="A78" i="250"/>
  <c r="A79" i="250"/>
  <c r="A80" i="250"/>
  <c r="A81" i="250"/>
  <c r="A82" i="250"/>
  <c r="A83" i="250"/>
  <c r="A84" i="250"/>
  <c r="A85" i="250"/>
  <c r="A86" i="250"/>
  <c r="A87" i="250"/>
  <c r="D87" i="250"/>
  <c r="A88" i="250"/>
  <c r="A89" i="250"/>
  <c r="A90" i="250"/>
  <c r="A91" i="250"/>
  <c r="A92" i="250"/>
  <c r="A93" i="250"/>
  <c r="A94" i="250"/>
  <c r="A95" i="250"/>
  <c r="A96" i="250"/>
  <c r="A97" i="250"/>
  <c r="A98" i="250"/>
  <c r="A99" i="250"/>
  <c r="A100" i="250"/>
  <c r="D100" i="250"/>
  <c r="A101" i="250"/>
  <c r="A102" i="250"/>
  <c r="A103" i="250"/>
  <c r="A104" i="250"/>
  <c r="A105" i="250"/>
  <c r="A106" i="250"/>
  <c r="A107" i="250"/>
  <c r="A108" i="250"/>
  <c r="A109" i="250"/>
  <c r="A110" i="250"/>
  <c r="A111" i="250"/>
  <c r="A112" i="250"/>
  <c r="A113" i="250"/>
  <c r="A114" i="250"/>
  <c r="D47" i="248"/>
  <c r="A20" i="248"/>
  <c r="D20" i="248"/>
  <c r="A21" i="248"/>
  <c r="D21" i="248"/>
  <c r="A22" i="248"/>
  <c r="A24" i="248"/>
  <c r="A25" i="248"/>
  <c r="D25" i="248"/>
  <c r="A26" i="248"/>
  <c r="A27" i="248"/>
  <c r="A28" i="248"/>
  <c r="A29" i="248"/>
  <c r="A30" i="248"/>
  <c r="A31" i="248"/>
  <c r="A32" i="248"/>
  <c r="A33" i="248"/>
  <c r="A34" i="248"/>
  <c r="A35" i="248"/>
  <c r="A36" i="248"/>
  <c r="A37" i="248"/>
  <c r="A39" i="248"/>
  <c r="A40" i="248"/>
  <c r="A41" i="248"/>
  <c r="A42" i="248"/>
  <c r="A43" i="248"/>
  <c r="A44" i="248"/>
  <c r="A45" i="248"/>
  <c r="A46" i="248"/>
  <c r="A47" i="248"/>
  <c r="A48" i="248"/>
  <c r="A49" i="248"/>
  <c r="A50" i="248"/>
  <c r="A51" i="248"/>
  <c r="D51" i="248"/>
  <c r="A52" i="248"/>
  <c r="A53" i="248"/>
  <c r="A54" i="248"/>
  <c r="A55" i="248"/>
  <c r="A56" i="248"/>
  <c r="A57" i="248"/>
  <c r="A58" i="248"/>
  <c r="A59" i="248"/>
  <c r="A60" i="248"/>
  <c r="A61" i="248"/>
  <c r="A62" i="248"/>
  <c r="A63" i="248"/>
  <c r="A64" i="248"/>
  <c r="A65" i="248"/>
  <c r="A66" i="248"/>
  <c r="A67" i="248"/>
  <c r="D67" i="248"/>
  <c r="A68" i="248"/>
  <c r="A69" i="248"/>
  <c r="A70" i="248"/>
  <c r="A71" i="248"/>
  <c r="D71" i="248"/>
  <c r="A72" i="248"/>
  <c r="A73" i="248"/>
  <c r="A74" i="248"/>
  <c r="A75" i="248"/>
  <c r="A76" i="248"/>
  <c r="A77" i="248"/>
  <c r="D77" i="248"/>
  <c r="A78" i="248"/>
  <c r="D78" i="248"/>
  <c r="A79" i="248"/>
  <c r="A80" i="248"/>
  <c r="D80" i="248"/>
  <c r="A81" i="248"/>
  <c r="A82" i="248"/>
  <c r="A83" i="248"/>
  <c r="A84" i="248"/>
  <c r="D84" i="248"/>
  <c r="A85" i="248"/>
  <c r="D85" i="248"/>
  <c r="A86" i="248"/>
  <c r="D86" i="248"/>
  <c r="A87" i="248"/>
  <c r="A88" i="248"/>
  <c r="D88" i="248"/>
  <c r="A89" i="248"/>
  <c r="A90" i="248"/>
  <c r="A91" i="248"/>
  <c r="A92" i="248"/>
  <c r="D92" i="248"/>
  <c r="A93" i="248"/>
  <c r="A94" i="248"/>
  <c r="A95" i="248"/>
  <c r="A96" i="248"/>
  <c r="A97" i="248"/>
  <c r="A98" i="248"/>
  <c r="A99" i="248"/>
  <c r="A100" i="248"/>
  <c r="A101" i="248"/>
  <c r="A102" i="248"/>
  <c r="D102" i="248"/>
  <c r="A103" i="248"/>
  <c r="A104" i="248"/>
  <c r="A105" i="248"/>
  <c r="A106" i="248"/>
  <c r="A107" i="248"/>
  <c r="A108" i="248"/>
  <c r="D108" i="248"/>
  <c r="A109" i="248"/>
  <c r="A110" i="248"/>
  <c r="D110" i="248"/>
  <c r="A111" i="248"/>
  <c r="A112" i="248"/>
  <c r="A113" i="248"/>
  <c r="A114" i="248"/>
  <c r="A115" i="248"/>
  <c r="A116" i="248"/>
  <c r="A117" i="248"/>
  <c r="A118" i="248"/>
  <c r="A119" i="248"/>
  <c r="A120" i="248"/>
  <c r="A121" i="248"/>
  <c r="A122" i="248"/>
  <c r="A123" i="248"/>
  <c r="A124" i="248"/>
  <c r="A125" i="248"/>
  <c r="A126" i="248"/>
  <c r="A127" i="248"/>
  <c r="A128" i="248"/>
  <c r="D128" i="248"/>
  <c r="A129" i="248"/>
  <c r="A130" i="248"/>
  <c r="A131" i="248"/>
  <c r="A132" i="248"/>
  <c r="A133" i="248"/>
  <c r="A134" i="248"/>
  <c r="A135" i="248"/>
  <c r="A136" i="248"/>
  <c r="A137" i="248"/>
  <c r="D137" i="248"/>
  <c r="A138" i="248"/>
  <c r="A139" i="248"/>
  <c r="A140" i="248"/>
  <c r="A141" i="248"/>
  <c r="A142" i="248"/>
  <c r="A143" i="248"/>
  <c r="A144" i="248"/>
  <c r="A145" i="248"/>
  <c r="A146" i="248"/>
  <c r="A147" i="248"/>
  <c r="A148" i="248"/>
  <c r="A149" i="248"/>
  <c r="A150" i="248"/>
  <c r="D150" i="248"/>
  <c r="A151" i="248"/>
  <c r="A152" i="248"/>
  <c r="A153" i="248"/>
  <c r="A154" i="248"/>
  <c r="A155" i="248"/>
  <c r="A156" i="248"/>
  <c r="A157" i="248"/>
  <c r="A158" i="248"/>
  <c r="A159" i="248"/>
  <c r="A160" i="248"/>
  <c r="A161" i="248"/>
  <c r="D161" i="248"/>
  <c r="A162" i="248"/>
  <c r="A163" i="248"/>
  <c r="A164" i="248"/>
  <c r="A165" i="248"/>
  <c r="A166" i="248"/>
  <c r="A167" i="248"/>
  <c r="A168" i="248"/>
  <c r="D168" i="248"/>
  <c r="A169" i="248"/>
  <c r="D169" i="248"/>
  <c r="A170" i="248"/>
  <c r="A171" i="248"/>
  <c r="A172" i="248"/>
  <c r="A173" i="248"/>
  <c r="D173" i="248"/>
  <c r="A174" i="248"/>
  <c r="D174" i="248"/>
  <c r="A175" i="248"/>
  <c r="A176" i="248"/>
  <c r="A177" i="248"/>
  <c r="A178" i="248"/>
  <c r="A179" i="248"/>
  <c r="D179" i="248"/>
  <c r="A180" i="248"/>
  <c r="A181" i="248"/>
  <c r="A182" i="248"/>
  <c r="A183" i="248"/>
  <c r="A184" i="248"/>
  <c r="D184" i="248"/>
  <c r="A185" i="248"/>
  <c r="A186" i="248"/>
  <c r="A187" i="248"/>
  <c r="A188" i="248"/>
  <c r="A189" i="248"/>
  <c r="A190" i="248"/>
  <c r="A191" i="248"/>
  <c r="A20" i="246"/>
  <c r="D20" i="246"/>
  <c r="A21" i="246"/>
  <c r="D21" i="246"/>
  <c r="A22" i="246"/>
  <c r="A24" i="246"/>
  <c r="D24" i="246"/>
  <c r="A25" i="246"/>
  <c r="A26" i="246"/>
  <c r="D26" i="246"/>
  <c r="A27" i="246"/>
  <c r="A28" i="246"/>
  <c r="A29" i="246"/>
  <c r="A30" i="246"/>
  <c r="A31" i="246"/>
  <c r="A32" i="246"/>
  <c r="A33" i="246"/>
  <c r="A34" i="246"/>
  <c r="A35" i="246"/>
  <c r="A36" i="246"/>
  <c r="A37" i="246"/>
  <c r="A38" i="246"/>
  <c r="A40" i="246"/>
  <c r="A41" i="246"/>
  <c r="A42" i="246"/>
  <c r="A43" i="246"/>
  <c r="A44" i="246"/>
  <c r="A45" i="246"/>
  <c r="A46" i="246"/>
  <c r="A47" i="246"/>
  <c r="A48" i="246"/>
  <c r="A49" i="246"/>
  <c r="A50" i="246"/>
  <c r="A51" i="246"/>
  <c r="A52" i="246"/>
  <c r="D52" i="246"/>
  <c r="A53" i="246"/>
  <c r="A54" i="246"/>
  <c r="A55" i="246"/>
  <c r="A56" i="246"/>
  <c r="A57" i="246"/>
  <c r="A58" i="246"/>
  <c r="A59" i="246"/>
  <c r="A60" i="246"/>
  <c r="A61" i="246"/>
  <c r="A62" i="246"/>
  <c r="A63" i="246"/>
  <c r="A64" i="246"/>
  <c r="A65" i="246"/>
  <c r="A66" i="246"/>
  <c r="A67" i="246"/>
  <c r="A68" i="246"/>
  <c r="A69" i="246"/>
  <c r="D69" i="246"/>
  <c r="A70" i="246"/>
  <c r="A71" i="246"/>
  <c r="D71" i="246"/>
  <c r="A72" i="246"/>
  <c r="A73" i="246"/>
  <c r="D73" i="246"/>
  <c r="A74" i="246"/>
  <c r="A75" i="246"/>
  <c r="A76" i="246"/>
  <c r="A77" i="246"/>
  <c r="A78" i="246"/>
  <c r="A79" i="246"/>
  <c r="D79" i="246"/>
  <c r="A80" i="246"/>
  <c r="A81" i="246"/>
  <c r="D81" i="246"/>
  <c r="A82" i="246"/>
  <c r="A83" i="246"/>
  <c r="D83" i="246"/>
  <c r="A84" i="246"/>
  <c r="A85" i="246"/>
  <c r="A86" i="246"/>
  <c r="A87" i="246"/>
  <c r="A88" i="246"/>
  <c r="A89" i="246"/>
  <c r="D89" i="246"/>
  <c r="A90" i="246"/>
  <c r="D90" i="246"/>
  <c r="A91" i="246"/>
  <c r="D91" i="246"/>
  <c r="A92" i="246"/>
  <c r="A93" i="246"/>
  <c r="D93" i="246"/>
  <c r="A94" i="246"/>
  <c r="A95" i="246"/>
  <c r="A96" i="246"/>
  <c r="A97" i="246"/>
  <c r="D97" i="246"/>
  <c r="A98" i="246"/>
  <c r="D98" i="246"/>
  <c r="A99" i="246"/>
  <c r="D99" i="246"/>
  <c r="A100" i="246"/>
  <c r="A101" i="246"/>
  <c r="D101" i="246"/>
  <c r="A102" i="246"/>
  <c r="A103" i="246"/>
  <c r="A104" i="246"/>
  <c r="A105" i="246"/>
  <c r="D105" i="246"/>
  <c r="A106" i="246"/>
  <c r="A107" i="246"/>
  <c r="D107" i="246"/>
  <c r="A108" i="246"/>
  <c r="A109" i="246"/>
  <c r="A110" i="246"/>
  <c r="A111" i="246"/>
  <c r="A112" i="246"/>
  <c r="A113" i="246"/>
  <c r="D113" i="246"/>
  <c r="A114" i="246"/>
  <c r="A115" i="246"/>
  <c r="D115" i="246"/>
  <c r="A116" i="246"/>
  <c r="A117" i="246"/>
  <c r="A118" i="246"/>
  <c r="A119" i="246"/>
  <c r="A120" i="246"/>
  <c r="A121" i="246"/>
  <c r="D121" i="246"/>
  <c r="A122" i="246"/>
  <c r="A123" i="246"/>
  <c r="D123" i="246"/>
  <c r="A124" i="246"/>
  <c r="A125" i="246"/>
  <c r="A126" i="246"/>
  <c r="A127" i="246"/>
  <c r="A128" i="246"/>
  <c r="A129" i="246"/>
  <c r="D129" i="246"/>
  <c r="A130" i="246"/>
  <c r="A131" i="246"/>
  <c r="D131" i="246"/>
  <c r="A132" i="246"/>
  <c r="A133" i="246"/>
  <c r="A134" i="246"/>
  <c r="A135" i="246"/>
  <c r="A136" i="246"/>
  <c r="A137" i="246"/>
  <c r="A138" i="246"/>
  <c r="A139" i="246"/>
  <c r="A140" i="246"/>
  <c r="A141" i="246"/>
  <c r="D141" i="246"/>
  <c r="A142" i="246"/>
  <c r="A143" i="246"/>
  <c r="A144" i="246"/>
  <c r="A145" i="246"/>
  <c r="A146" i="246"/>
  <c r="A147" i="246"/>
  <c r="A148" i="246"/>
  <c r="A149" i="246"/>
  <c r="A150" i="246"/>
  <c r="A151" i="246"/>
  <c r="A152" i="246"/>
  <c r="A153" i="246"/>
  <c r="A154" i="246"/>
  <c r="A155" i="246"/>
  <c r="D155" i="246"/>
  <c r="A156" i="246"/>
  <c r="A157" i="246"/>
  <c r="A158" i="246"/>
  <c r="A159" i="246"/>
  <c r="A160" i="246"/>
  <c r="A161" i="246"/>
  <c r="A162" i="246"/>
  <c r="A163" i="246"/>
  <c r="A164" i="246"/>
  <c r="A165" i="246"/>
  <c r="A166" i="246"/>
  <c r="A167" i="246"/>
  <c r="D167" i="246"/>
  <c r="A168" i="246"/>
  <c r="A169" i="246"/>
  <c r="A170" i="246"/>
  <c r="A171" i="246"/>
  <c r="A172" i="246"/>
  <c r="A173" i="246"/>
  <c r="A174" i="246"/>
  <c r="A175" i="246"/>
  <c r="A176" i="246"/>
  <c r="A177" i="246"/>
  <c r="A178" i="246"/>
  <c r="A179" i="246"/>
  <c r="D179" i="246"/>
  <c r="A180" i="246"/>
  <c r="A181" i="246"/>
  <c r="A182" i="246"/>
  <c r="A183" i="246"/>
  <c r="A184" i="246"/>
  <c r="A185" i="246"/>
  <c r="D185" i="246"/>
  <c r="A186" i="246"/>
  <c r="D186" i="246"/>
  <c r="A187" i="246"/>
  <c r="A188" i="246"/>
  <c r="A189" i="246"/>
  <c r="A190" i="246"/>
  <c r="A191" i="246"/>
  <c r="D191" i="246"/>
  <c r="A192" i="246"/>
  <c r="D192" i="246"/>
  <c r="A193" i="246"/>
  <c r="A194" i="246"/>
  <c r="A195" i="246"/>
  <c r="A196" i="246"/>
  <c r="A197" i="246"/>
  <c r="A198" i="246"/>
  <c r="A199" i="246"/>
  <c r="A200" i="246"/>
  <c r="A201" i="246"/>
  <c r="A202" i="246"/>
  <c r="A203" i="246"/>
  <c r="A204" i="246"/>
  <c r="A205" i="246"/>
  <c r="A206" i="246"/>
  <c r="A207" i="246"/>
  <c r="D60" i="246" l="1"/>
  <c r="D118" i="248"/>
  <c r="D76" i="248"/>
  <c r="D69" i="248"/>
  <c r="D116" i="248"/>
  <c r="D153" i="246"/>
  <c r="D139" i="246"/>
  <c r="D165" i="246"/>
  <c r="D148" i="248"/>
  <c r="D60" i="248"/>
  <c r="D62" i="254"/>
  <c r="D70" i="254"/>
  <c r="D83" i="254"/>
  <c r="D84" i="254"/>
  <c r="D65" i="254"/>
  <c r="D69" i="254"/>
  <c r="D110" i="254"/>
  <c r="D97" i="254"/>
  <c r="D109" i="254"/>
  <c r="D96" i="254"/>
  <c r="D63" i="253"/>
  <c r="D76" i="253"/>
  <c r="D62" i="253"/>
  <c r="D75" i="253"/>
  <c r="D126" i="253"/>
  <c r="D113" i="253"/>
  <c r="D105" i="253"/>
  <c r="D86" i="253"/>
  <c r="D90" i="253"/>
  <c r="D91" i="253"/>
  <c r="D104" i="253"/>
  <c r="D83" i="253"/>
  <c r="D127" i="253"/>
  <c r="D114" i="253"/>
  <c r="D63" i="252"/>
  <c r="D78" i="252"/>
  <c r="D59" i="252"/>
  <c r="D56" i="252"/>
  <c r="D64" i="252"/>
  <c r="D77" i="252"/>
  <c r="D100" i="252"/>
  <c r="D87" i="252"/>
  <c r="D99" i="252"/>
  <c r="D86" i="252"/>
  <c r="D76" i="249"/>
  <c r="D189" i="249"/>
  <c r="D85" i="249"/>
  <c r="D84" i="249"/>
  <c r="D75" i="249"/>
  <c r="D186" i="249"/>
  <c r="D134" i="249"/>
  <c r="D102" i="249"/>
  <c r="D126" i="249"/>
  <c r="D94" i="249"/>
  <c r="D118" i="249"/>
  <c r="D142" i="249"/>
  <c r="D110" i="249"/>
  <c r="D127" i="249"/>
  <c r="D103" i="249"/>
  <c r="D119" i="249"/>
  <c r="D135" i="249"/>
  <c r="D97" i="249"/>
  <c r="D143" i="249"/>
  <c r="D111" i="249"/>
  <c r="D153" i="249"/>
  <c r="D165" i="249"/>
  <c r="D176" i="249"/>
  <c r="D152" i="249"/>
  <c r="D164" i="249"/>
  <c r="D175" i="249"/>
  <c r="D242" i="255"/>
  <c r="D248" i="255"/>
  <c r="D165" i="255"/>
  <c r="D133" i="255"/>
  <c r="D103" i="255"/>
  <c r="D157" i="255"/>
  <c r="D125" i="255"/>
  <c r="D141" i="255"/>
  <c r="D149" i="255"/>
  <c r="D117" i="255"/>
  <c r="D109" i="255"/>
  <c r="D224" i="255"/>
  <c r="D89" i="255"/>
  <c r="D80" i="255"/>
  <c r="D236" i="255"/>
  <c r="D212" i="255"/>
  <c r="D199" i="255"/>
  <c r="D174" i="255"/>
  <c r="D186" i="255"/>
  <c r="D140" i="255"/>
  <c r="D108" i="255"/>
  <c r="D148" i="255"/>
  <c r="D164" i="255"/>
  <c r="D132" i="255"/>
  <c r="D100" i="255"/>
  <c r="D156" i="255"/>
  <c r="D124" i="255"/>
  <c r="D116" i="255"/>
  <c r="D81" i="255"/>
  <c r="D227" i="255"/>
  <c r="D90" i="255"/>
  <c r="D175" i="255"/>
  <c r="D213" i="255"/>
  <c r="D200" i="255"/>
  <c r="D187" i="255"/>
  <c r="D237" i="255"/>
  <c r="D78" i="251"/>
  <c r="D59" i="251"/>
  <c r="D63" i="251"/>
  <c r="D56" i="251"/>
  <c r="D64" i="251"/>
  <c r="D77" i="251"/>
  <c r="D100" i="251"/>
  <c r="D87" i="251"/>
  <c r="D99" i="251"/>
  <c r="D86" i="251"/>
  <c r="D117" i="247"/>
  <c r="D109" i="247"/>
  <c r="D85" i="247"/>
  <c r="D68" i="247"/>
  <c r="D93" i="247"/>
  <c r="D77" i="247"/>
  <c r="D101" i="247"/>
  <c r="D70" i="247"/>
  <c r="D103" i="247"/>
  <c r="D79" i="247"/>
  <c r="D87" i="247"/>
  <c r="D95" i="247"/>
  <c r="D119" i="247"/>
  <c r="D111" i="247"/>
  <c r="D50" i="247"/>
  <c r="D61" i="247"/>
  <c r="D127" i="247"/>
  <c r="D160" i="247"/>
  <c r="D149" i="247"/>
  <c r="D137" i="247"/>
  <c r="D135" i="247"/>
  <c r="D125" i="247"/>
  <c r="D158" i="247"/>
  <c r="D147" i="247"/>
  <c r="D135" i="248"/>
  <c r="D98" i="250"/>
  <c r="D50" i="246"/>
  <c r="D126" i="248"/>
  <c r="D151" i="246"/>
  <c r="D163" i="246"/>
  <c r="D137" i="246"/>
  <c r="D157" i="248"/>
  <c r="D99" i="250"/>
  <c r="D124" i="248"/>
  <c r="D146" i="248"/>
  <c r="A41" i="209" l="1"/>
  <c r="A40" i="209"/>
  <c r="A39" i="209"/>
  <c r="A38" i="209"/>
  <c r="A37" i="209"/>
  <c r="A36" i="209"/>
  <c r="A35" i="209"/>
  <c r="A34" i="209"/>
  <c r="A32" i="209"/>
  <c r="A35" i="39" l="1"/>
  <c r="A36" i="39"/>
  <c r="A37" i="39"/>
  <c r="A38" i="39"/>
  <c r="A39" i="39"/>
  <c r="A40" i="39"/>
  <c r="A41" i="39"/>
  <c r="A32" i="39"/>
  <c r="D517" i="51"/>
  <c r="A517" i="51"/>
  <c r="A516" i="51"/>
  <c r="A515" i="51"/>
  <c r="A514" i="51"/>
  <c r="A513" i="51"/>
  <c r="A512" i="51"/>
  <c r="D511" i="51"/>
  <c r="A511" i="51"/>
  <c r="A510" i="51"/>
  <c r="A509" i="51"/>
  <c r="A508" i="51"/>
  <c r="A507" i="51"/>
  <c r="A506" i="51"/>
  <c r="D505" i="51"/>
  <c r="A505" i="51"/>
  <c r="A504" i="51"/>
  <c r="A503" i="51"/>
  <c r="A502" i="51"/>
  <c r="A501" i="51"/>
  <c r="A500" i="51"/>
  <c r="D499" i="51"/>
  <c r="A499" i="51"/>
  <c r="A498" i="51"/>
  <c r="A497" i="51"/>
  <c r="A496" i="51"/>
  <c r="A495" i="51"/>
  <c r="A494" i="51"/>
  <c r="D451" i="34"/>
  <c r="A451" i="34"/>
  <c r="A450" i="34"/>
  <c r="A449" i="34"/>
  <c r="A448" i="34"/>
  <c r="A447" i="34"/>
  <c r="A446" i="34"/>
  <c r="D445" i="34"/>
  <c r="A445" i="34"/>
  <c r="A444" i="34"/>
  <c r="A443" i="34"/>
  <c r="A442" i="34"/>
  <c r="A441" i="34"/>
  <c r="A440" i="34"/>
  <c r="D439" i="34"/>
  <c r="A439" i="34"/>
  <c r="A438" i="34"/>
  <c r="A437" i="34"/>
  <c r="A436" i="34"/>
  <c r="A435" i="34"/>
  <c r="A434" i="34"/>
  <c r="D433" i="34"/>
  <c r="A433" i="34"/>
  <c r="A432" i="34"/>
  <c r="A431" i="34"/>
  <c r="A430" i="34"/>
  <c r="A429" i="34"/>
  <c r="A428" i="34"/>
  <c r="A42" i="41" l="1"/>
  <c r="A41" i="41"/>
  <c r="A40" i="41"/>
  <c r="A39" i="41"/>
  <c r="A36" i="41"/>
  <c r="A42" i="180"/>
  <c r="A41" i="180"/>
  <c r="A40" i="180"/>
  <c r="A39" i="180"/>
  <c r="A36" i="180"/>
  <c r="A42" i="42"/>
  <c r="A41" i="42"/>
  <c r="A40" i="42"/>
  <c r="A39" i="42"/>
  <c r="A36" i="42"/>
  <c r="A25" i="41" l="1"/>
  <c r="A25" i="180"/>
  <c r="A25" i="42"/>
  <c r="A27" i="51"/>
  <c r="A27" i="34"/>
  <c r="A29" i="13"/>
  <c r="D9" i="217" l="1"/>
  <c r="D13" i="214"/>
  <c r="D32" i="220"/>
  <c r="D50" i="220"/>
  <c r="D44" i="220"/>
  <c r="D3" i="195"/>
  <c r="D7" i="195"/>
  <c r="D13" i="195"/>
  <c r="A10" i="237"/>
  <c r="A9" i="237"/>
  <c r="B9" i="237"/>
  <c r="C9" i="237"/>
  <c r="B10" i="237"/>
  <c r="C10" i="237"/>
  <c r="D7" i="237"/>
  <c r="A7" i="237"/>
  <c r="B7" i="237"/>
  <c r="C7" i="237"/>
  <c r="B8" i="237"/>
  <c r="C8" i="237"/>
  <c r="D4" i="236"/>
  <c r="E4" i="236"/>
  <c r="C4" i="236"/>
  <c r="B4" i="236"/>
  <c r="A4" i="236"/>
  <c r="D4" i="235"/>
  <c r="A4" i="235"/>
  <c r="E4" i="235"/>
  <c r="C4" i="235"/>
  <c r="B4" i="235"/>
  <c r="A4" i="222"/>
  <c r="C4" i="237" l="1"/>
  <c r="B4" i="237"/>
  <c r="D3" i="237"/>
  <c r="C3" i="237"/>
  <c r="B3" i="237"/>
  <c r="A3" i="237"/>
  <c r="E3" i="236"/>
  <c r="D3" i="236"/>
  <c r="C3" i="236"/>
  <c r="B3" i="236"/>
  <c r="A3" i="236"/>
  <c r="E3" i="235"/>
  <c r="D3" i="235"/>
  <c r="C3" i="235"/>
  <c r="B3" i="235"/>
  <c r="A3" i="235"/>
  <c r="A102" i="209" l="1"/>
  <c r="A101" i="209"/>
  <c r="A100" i="209"/>
  <c r="A99" i="209"/>
  <c r="A98" i="209"/>
  <c r="A97" i="209"/>
  <c r="A96" i="209"/>
  <c r="A95" i="209"/>
  <c r="A94" i="209"/>
  <c r="A93" i="209"/>
  <c r="D92" i="209"/>
  <c r="A92" i="209"/>
  <c r="C91" i="209"/>
  <c r="A91" i="209"/>
  <c r="A90" i="209"/>
  <c r="D89" i="209"/>
  <c r="A89" i="209"/>
  <c r="A88" i="209"/>
  <c r="D87" i="209"/>
  <c r="A87" i="209"/>
  <c r="A86" i="209"/>
  <c r="A85" i="209"/>
  <c r="A84" i="209"/>
  <c r="A83" i="209"/>
  <c r="A82" i="209"/>
  <c r="A81" i="209"/>
  <c r="A80" i="209"/>
  <c r="A79" i="209"/>
  <c r="A78" i="209"/>
  <c r="A77" i="209"/>
  <c r="A76" i="209"/>
  <c r="A75" i="209"/>
  <c r="A74" i="209"/>
  <c r="A73" i="209"/>
  <c r="A72" i="209"/>
  <c r="A71" i="209"/>
  <c r="A70" i="209"/>
  <c r="A69" i="209"/>
  <c r="A68" i="209"/>
  <c r="A67" i="209"/>
  <c r="A66" i="209"/>
  <c r="A65" i="209"/>
  <c r="A64" i="209"/>
  <c r="A63" i="209"/>
  <c r="A62" i="209"/>
  <c r="A61" i="209"/>
  <c r="A60" i="209"/>
  <c r="A59" i="209"/>
  <c r="A58" i="209"/>
  <c r="A57" i="209"/>
  <c r="A56" i="209"/>
  <c r="A55" i="209"/>
  <c r="A54" i="209"/>
  <c r="A53" i="209"/>
  <c r="A52" i="209"/>
  <c r="A51" i="209"/>
  <c r="A50" i="209"/>
  <c r="A49" i="209"/>
  <c r="A48" i="209"/>
  <c r="A47" i="209"/>
  <c r="A46" i="209"/>
  <c r="A45" i="209"/>
  <c r="A44" i="209"/>
  <c r="A43" i="209"/>
  <c r="A42" i="209"/>
  <c r="A31" i="209"/>
  <c r="A30" i="209"/>
  <c r="D29" i="209"/>
  <c r="A29" i="209"/>
  <c r="A28" i="209"/>
  <c r="D27" i="209"/>
  <c r="A27" i="209"/>
  <c r="D26" i="209"/>
  <c r="A26" i="209"/>
  <c r="D25" i="209"/>
  <c r="A25" i="209"/>
  <c r="D24" i="209"/>
  <c r="A24" i="209"/>
  <c r="A23" i="209"/>
  <c r="A22" i="209"/>
  <c r="D21" i="209"/>
  <c r="A21" i="209"/>
  <c r="D20" i="209"/>
  <c r="A20" i="209"/>
  <c r="A97" i="79" l="1"/>
  <c r="A96" i="79"/>
  <c r="A95" i="79"/>
  <c r="A94" i="79"/>
  <c r="D93" i="79"/>
  <c r="A93" i="79"/>
  <c r="A92" i="79"/>
  <c r="A91" i="79"/>
  <c r="A90" i="79"/>
  <c r="A89" i="79"/>
  <c r="A88" i="79"/>
  <c r="M60" i="227" l="1"/>
  <c r="N60" i="227"/>
  <c r="M61" i="227"/>
  <c r="N61" i="227"/>
  <c r="M55" i="227"/>
  <c r="N55" i="227"/>
  <c r="M56" i="227"/>
  <c r="N56" i="227"/>
  <c r="M57" i="227"/>
  <c r="N57" i="227"/>
  <c r="M58" i="227"/>
  <c r="N58" i="227"/>
  <c r="M59" i="227"/>
  <c r="N59" i="227"/>
  <c r="M42" i="227"/>
  <c r="N42" i="227"/>
  <c r="M43" i="227"/>
  <c r="N43" i="227"/>
  <c r="M44" i="227"/>
  <c r="N44" i="227"/>
  <c r="M45" i="227"/>
  <c r="N45" i="227"/>
  <c r="M46" i="227"/>
  <c r="N46" i="227"/>
  <c r="M47" i="227"/>
  <c r="N47" i="227"/>
  <c r="M48" i="227"/>
  <c r="N48" i="227"/>
  <c r="M49" i="227"/>
  <c r="N49" i="227"/>
  <c r="M50" i="227"/>
  <c r="N50" i="227"/>
  <c r="M51" i="227"/>
  <c r="N51" i="227"/>
  <c r="M52" i="227"/>
  <c r="N52" i="227"/>
  <c r="M53" i="227"/>
  <c r="N53" i="227"/>
  <c r="M54" i="227"/>
  <c r="N54" i="227"/>
  <c r="M61" i="146"/>
  <c r="N61" i="146"/>
  <c r="M57" i="146"/>
  <c r="N57" i="146"/>
  <c r="M58" i="146"/>
  <c r="N58" i="146"/>
  <c r="M59" i="146"/>
  <c r="N59" i="146"/>
  <c r="M60" i="146"/>
  <c r="N60" i="146"/>
  <c r="M42" i="146"/>
  <c r="N42" i="146"/>
  <c r="M43" i="146"/>
  <c r="N43" i="146"/>
  <c r="M44" i="146"/>
  <c r="N44" i="146"/>
  <c r="M45" i="146"/>
  <c r="N45" i="146"/>
  <c r="M46" i="146"/>
  <c r="N46" i="146"/>
  <c r="M47" i="146"/>
  <c r="N47" i="146"/>
  <c r="M48" i="146"/>
  <c r="N48" i="146"/>
  <c r="M49" i="146"/>
  <c r="N49" i="146"/>
  <c r="M50" i="146"/>
  <c r="N50" i="146"/>
  <c r="M51" i="146"/>
  <c r="N51" i="146"/>
  <c r="M52" i="146"/>
  <c r="N52" i="146"/>
  <c r="M53" i="146"/>
  <c r="N53" i="146"/>
  <c r="M54" i="146"/>
  <c r="N54" i="146"/>
  <c r="M55" i="146"/>
  <c r="N55" i="146"/>
  <c r="M56" i="146"/>
  <c r="N56" i="146"/>
  <c r="M61" i="145"/>
  <c r="N61" i="145"/>
  <c r="M56" i="145"/>
  <c r="N56" i="145"/>
  <c r="M57" i="145"/>
  <c r="N57" i="145"/>
  <c r="M58" i="145"/>
  <c r="N58" i="145"/>
  <c r="M59" i="145"/>
  <c r="N59" i="145"/>
  <c r="M60" i="145"/>
  <c r="N60" i="145"/>
  <c r="M42" i="145"/>
  <c r="N42" i="145"/>
  <c r="M43" i="145"/>
  <c r="N43" i="145"/>
  <c r="M44" i="145"/>
  <c r="N44" i="145"/>
  <c r="M45" i="145"/>
  <c r="N45" i="145"/>
  <c r="M46" i="145"/>
  <c r="N46" i="145"/>
  <c r="M47" i="145"/>
  <c r="N47" i="145"/>
  <c r="M48" i="145"/>
  <c r="N48" i="145"/>
  <c r="M49" i="145"/>
  <c r="N49" i="145"/>
  <c r="M50" i="145"/>
  <c r="N50" i="145"/>
  <c r="M51" i="145"/>
  <c r="N51" i="145"/>
  <c r="M52" i="145"/>
  <c r="N52" i="145"/>
  <c r="M53" i="145"/>
  <c r="N53" i="145"/>
  <c r="M54" i="145"/>
  <c r="N54" i="145"/>
  <c r="M55" i="145"/>
  <c r="N55" i="145"/>
  <c r="M61" i="144"/>
  <c r="N61" i="144"/>
  <c r="M55" i="144"/>
  <c r="N55" i="144"/>
  <c r="M56" i="144"/>
  <c r="N56" i="144"/>
  <c r="M57" i="144"/>
  <c r="N57" i="144"/>
  <c r="M58" i="144"/>
  <c r="N58" i="144"/>
  <c r="M59" i="144"/>
  <c r="N59" i="144"/>
  <c r="M60" i="144"/>
  <c r="N60" i="144"/>
  <c r="M42" i="144"/>
  <c r="N42" i="144"/>
  <c r="M43" i="144"/>
  <c r="N43" i="144"/>
  <c r="M44" i="144"/>
  <c r="N44" i="144"/>
  <c r="M45" i="144"/>
  <c r="N45" i="144"/>
  <c r="M46" i="144"/>
  <c r="N46" i="144"/>
  <c r="M47" i="144"/>
  <c r="N47" i="144"/>
  <c r="M48" i="144"/>
  <c r="N48" i="144"/>
  <c r="M49" i="144"/>
  <c r="N49" i="144"/>
  <c r="M50" i="144"/>
  <c r="N50" i="144"/>
  <c r="M51" i="144"/>
  <c r="N51" i="144"/>
  <c r="M52" i="144"/>
  <c r="N52" i="144"/>
  <c r="M53" i="144"/>
  <c r="N53" i="144"/>
  <c r="M54" i="144"/>
  <c r="N54" i="144"/>
  <c r="M61" i="143"/>
  <c r="N61" i="143"/>
  <c r="M42" i="143"/>
  <c r="N42" i="143"/>
  <c r="M43" i="143"/>
  <c r="N43" i="143"/>
  <c r="M44" i="143"/>
  <c r="N44" i="143"/>
  <c r="M45" i="143"/>
  <c r="N45" i="143"/>
  <c r="M46" i="143"/>
  <c r="N46" i="143"/>
  <c r="M47" i="143"/>
  <c r="N47" i="143"/>
  <c r="M48" i="143"/>
  <c r="N48" i="143"/>
  <c r="M49" i="143"/>
  <c r="N49" i="143"/>
  <c r="M50" i="143"/>
  <c r="N50" i="143"/>
  <c r="M51" i="143"/>
  <c r="N51" i="143"/>
  <c r="M52" i="143"/>
  <c r="N52" i="143"/>
  <c r="M53" i="143"/>
  <c r="N53" i="143"/>
  <c r="M54" i="143"/>
  <c r="N54" i="143"/>
  <c r="M55" i="143"/>
  <c r="N55" i="143"/>
  <c r="M56" i="143"/>
  <c r="N56" i="143"/>
  <c r="M57" i="143"/>
  <c r="N57" i="143"/>
  <c r="M58" i="143"/>
  <c r="N58" i="143"/>
  <c r="M59" i="143"/>
  <c r="N59" i="143"/>
  <c r="M60" i="143"/>
  <c r="N60" i="143"/>
  <c r="M57" i="142"/>
  <c r="N57" i="142"/>
  <c r="M58" i="142"/>
  <c r="N58" i="142"/>
  <c r="M59" i="142"/>
  <c r="N59" i="142"/>
  <c r="M60" i="142"/>
  <c r="N60" i="142"/>
  <c r="M61" i="142"/>
  <c r="N61" i="142"/>
  <c r="M42" i="142"/>
  <c r="N42" i="142"/>
  <c r="M43" i="142"/>
  <c r="N43" i="142"/>
  <c r="M44" i="142"/>
  <c r="N44" i="142"/>
  <c r="M45" i="142"/>
  <c r="N45" i="142"/>
  <c r="M46" i="142"/>
  <c r="N46" i="142"/>
  <c r="M47" i="142"/>
  <c r="N47" i="142"/>
  <c r="M48" i="142"/>
  <c r="N48" i="142"/>
  <c r="M49" i="142"/>
  <c r="N49" i="142"/>
  <c r="M50" i="142"/>
  <c r="N50" i="142"/>
  <c r="M51" i="142"/>
  <c r="N51" i="142"/>
  <c r="M52" i="142"/>
  <c r="N52" i="142"/>
  <c r="M53" i="142"/>
  <c r="N53" i="142"/>
  <c r="M54" i="142"/>
  <c r="N54" i="142"/>
  <c r="M55" i="142"/>
  <c r="N55" i="142"/>
  <c r="M56" i="142"/>
  <c r="N56" i="142"/>
  <c r="M42" i="153"/>
  <c r="N42" i="153"/>
  <c r="M43" i="153"/>
  <c r="N43" i="153"/>
  <c r="M44" i="153"/>
  <c r="N44" i="153"/>
  <c r="M45" i="153"/>
  <c r="N45" i="153"/>
  <c r="M46" i="153"/>
  <c r="N46" i="153"/>
  <c r="M47" i="153"/>
  <c r="N47" i="153"/>
  <c r="M48" i="153"/>
  <c r="N48" i="153"/>
  <c r="M49" i="153"/>
  <c r="N49" i="153"/>
  <c r="M50" i="153"/>
  <c r="N50" i="153"/>
  <c r="M51" i="153"/>
  <c r="N51" i="153"/>
  <c r="M52" i="153"/>
  <c r="N52" i="153"/>
  <c r="M53" i="153"/>
  <c r="N53" i="153"/>
  <c r="M54" i="153"/>
  <c r="N54" i="153"/>
  <c r="M55" i="153"/>
  <c r="N55" i="153"/>
  <c r="M56" i="153"/>
  <c r="N56" i="153"/>
  <c r="M57" i="153"/>
  <c r="N57" i="153"/>
  <c r="M58" i="153"/>
  <c r="N58" i="153"/>
  <c r="M59" i="153"/>
  <c r="N59" i="153"/>
  <c r="M60" i="153"/>
  <c r="N60" i="153"/>
  <c r="M61" i="153"/>
  <c r="N61" i="153"/>
  <c r="M60" i="137"/>
  <c r="N60" i="137"/>
  <c r="M61" i="137"/>
  <c r="N61" i="137"/>
  <c r="M42" i="137"/>
  <c r="N42" i="137"/>
  <c r="M43" i="137"/>
  <c r="N43" i="137"/>
  <c r="M44" i="137"/>
  <c r="N44" i="137"/>
  <c r="M45" i="137"/>
  <c r="N45" i="137"/>
  <c r="M46" i="137"/>
  <c r="N46" i="137"/>
  <c r="M47" i="137"/>
  <c r="N47" i="137"/>
  <c r="M48" i="137"/>
  <c r="N48" i="137"/>
  <c r="M49" i="137"/>
  <c r="N49" i="137"/>
  <c r="M50" i="137"/>
  <c r="N50" i="137"/>
  <c r="M51" i="137"/>
  <c r="N51" i="137"/>
  <c r="M52" i="137"/>
  <c r="N52" i="137"/>
  <c r="M53" i="137"/>
  <c r="N53" i="137"/>
  <c r="M54" i="137"/>
  <c r="N54" i="137"/>
  <c r="M55" i="137"/>
  <c r="N55" i="137"/>
  <c r="M56" i="137"/>
  <c r="N56" i="137"/>
  <c r="M57" i="137"/>
  <c r="N57" i="137"/>
  <c r="M58" i="137"/>
  <c r="N58" i="137"/>
  <c r="M59" i="137"/>
  <c r="N59" i="137"/>
  <c r="M56" i="133"/>
  <c r="N56" i="133"/>
  <c r="M57" i="133"/>
  <c r="N57" i="133"/>
  <c r="M58" i="133"/>
  <c r="N58" i="133"/>
  <c r="M59" i="133"/>
  <c r="N59" i="133"/>
  <c r="M60" i="133"/>
  <c r="N60" i="133"/>
  <c r="M61" i="133"/>
  <c r="N61" i="133"/>
  <c r="M42" i="133"/>
  <c r="N42" i="133"/>
  <c r="M43" i="133"/>
  <c r="N43" i="133"/>
  <c r="M44" i="133"/>
  <c r="N44" i="133"/>
  <c r="M45" i="133"/>
  <c r="N45" i="133"/>
  <c r="M46" i="133"/>
  <c r="N46" i="133"/>
  <c r="M47" i="133"/>
  <c r="N47" i="133"/>
  <c r="M48" i="133"/>
  <c r="N48" i="133"/>
  <c r="M49" i="133"/>
  <c r="N49" i="133"/>
  <c r="M50" i="133"/>
  <c r="N50" i="133"/>
  <c r="M51" i="133"/>
  <c r="N51" i="133"/>
  <c r="M52" i="133"/>
  <c r="N52" i="133"/>
  <c r="M53" i="133"/>
  <c r="N53" i="133"/>
  <c r="M54" i="133"/>
  <c r="N54" i="133"/>
  <c r="M55" i="133"/>
  <c r="N55" i="133"/>
  <c r="M61" i="134"/>
  <c r="N61" i="134"/>
  <c r="M56" i="134"/>
  <c r="N56" i="134"/>
  <c r="M57" i="134"/>
  <c r="N57" i="134"/>
  <c r="M58" i="134"/>
  <c r="N58" i="134"/>
  <c r="M59" i="134"/>
  <c r="N59" i="134"/>
  <c r="M60" i="134"/>
  <c r="N60" i="134"/>
  <c r="M42" i="134"/>
  <c r="N42" i="134"/>
  <c r="M43" i="134"/>
  <c r="N43" i="134"/>
  <c r="M44" i="134"/>
  <c r="N44" i="134"/>
  <c r="M45" i="134"/>
  <c r="N45" i="134"/>
  <c r="M46" i="134"/>
  <c r="N46" i="134"/>
  <c r="M47" i="134"/>
  <c r="N47" i="134"/>
  <c r="M48" i="134"/>
  <c r="N48" i="134"/>
  <c r="M49" i="134"/>
  <c r="N49" i="134"/>
  <c r="M50" i="134"/>
  <c r="N50" i="134"/>
  <c r="M51" i="134"/>
  <c r="N51" i="134"/>
  <c r="M52" i="134"/>
  <c r="N52" i="134"/>
  <c r="M53" i="134"/>
  <c r="N53" i="134"/>
  <c r="M54" i="134"/>
  <c r="N54" i="134"/>
  <c r="M55" i="134"/>
  <c r="N55" i="134"/>
  <c r="M61" i="136"/>
  <c r="N61" i="136"/>
  <c r="M57" i="136"/>
  <c r="N57" i="136"/>
  <c r="M58" i="136"/>
  <c r="N58" i="136"/>
  <c r="M59" i="136"/>
  <c r="N59" i="136"/>
  <c r="M60" i="136"/>
  <c r="N60" i="136"/>
  <c r="M42" i="136"/>
  <c r="N42" i="136"/>
  <c r="M43" i="136"/>
  <c r="N43" i="136"/>
  <c r="M44" i="136"/>
  <c r="N44" i="136"/>
  <c r="M45" i="136"/>
  <c r="N45" i="136"/>
  <c r="M46" i="136"/>
  <c r="N46" i="136"/>
  <c r="M47" i="136"/>
  <c r="N47" i="136"/>
  <c r="M48" i="136"/>
  <c r="N48" i="136"/>
  <c r="M49" i="136"/>
  <c r="N49" i="136"/>
  <c r="M50" i="136"/>
  <c r="N50" i="136"/>
  <c r="M51" i="136"/>
  <c r="N51" i="136"/>
  <c r="M52" i="136"/>
  <c r="N52" i="136"/>
  <c r="M53" i="136"/>
  <c r="N53" i="136"/>
  <c r="M54" i="136"/>
  <c r="N54" i="136"/>
  <c r="M55" i="136"/>
  <c r="N55" i="136"/>
  <c r="M56" i="136"/>
  <c r="N56" i="136"/>
  <c r="M61" i="132"/>
  <c r="N61" i="132"/>
  <c r="M42" i="132"/>
  <c r="N42" i="132"/>
  <c r="M43" i="132"/>
  <c r="N43" i="132"/>
  <c r="M44" i="132"/>
  <c r="N44" i="132"/>
  <c r="M45" i="132"/>
  <c r="N45" i="132"/>
  <c r="M46" i="132"/>
  <c r="N46" i="132"/>
  <c r="M47" i="132"/>
  <c r="N47" i="132"/>
  <c r="M48" i="132"/>
  <c r="N48" i="132"/>
  <c r="M49" i="132"/>
  <c r="N49" i="132"/>
  <c r="M50" i="132"/>
  <c r="N50" i="132"/>
  <c r="M51" i="132"/>
  <c r="N51" i="132"/>
  <c r="M52" i="132"/>
  <c r="N52" i="132"/>
  <c r="M53" i="132"/>
  <c r="N53" i="132"/>
  <c r="M54" i="132"/>
  <c r="N54" i="132"/>
  <c r="M55" i="132"/>
  <c r="N55" i="132"/>
  <c r="M56" i="132"/>
  <c r="N56" i="132"/>
  <c r="M57" i="132"/>
  <c r="N57" i="132"/>
  <c r="M58" i="132"/>
  <c r="N58" i="132"/>
  <c r="M59" i="132"/>
  <c r="N59" i="132"/>
  <c r="M60" i="132"/>
  <c r="N60" i="132"/>
  <c r="M58" i="131"/>
  <c r="N58" i="131"/>
  <c r="M59" i="131"/>
  <c r="N59" i="131"/>
  <c r="M60" i="131"/>
  <c r="N60" i="131"/>
  <c r="M61" i="131"/>
  <c r="N61" i="131"/>
  <c r="M42" i="131"/>
  <c r="N42" i="131"/>
  <c r="M43" i="131"/>
  <c r="N43" i="131"/>
  <c r="M44" i="131"/>
  <c r="N44" i="131"/>
  <c r="M45" i="131"/>
  <c r="N45" i="131"/>
  <c r="M46" i="131"/>
  <c r="N46" i="131"/>
  <c r="M47" i="131"/>
  <c r="N47" i="131"/>
  <c r="M48" i="131"/>
  <c r="N48" i="131"/>
  <c r="M49" i="131"/>
  <c r="N49" i="131"/>
  <c r="M50" i="131"/>
  <c r="N50" i="131"/>
  <c r="M51" i="131"/>
  <c r="N51" i="131"/>
  <c r="M52" i="131"/>
  <c r="N52" i="131"/>
  <c r="M53" i="131"/>
  <c r="N53" i="131"/>
  <c r="M54" i="131"/>
  <c r="N54" i="131"/>
  <c r="M55" i="131"/>
  <c r="N55" i="131"/>
  <c r="M56" i="131"/>
  <c r="N56" i="131"/>
  <c r="M57" i="131"/>
  <c r="N57" i="131"/>
  <c r="M61" i="130"/>
  <c r="N61" i="130"/>
  <c r="M42" i="130"/>
  <c r="N42" i="130"/>
  <c r="M43" i="130"/>
  <c r="N43" i="130"/>
  <c r="M44" i="130"/>
  <c r="N44" i="130"/>
  <c r="M45" i="130"/>
  <c r="N45" i="130"/>
  <c r="M46" i="130"/>
  <c r="N46" i="130"/>
  <c r="M47" i="130"/>
  <c r="N47" i="130"/>
  <c r="M48" i="130"/>
  <c r="N48" i="130"/>
  <c r="M49" i="130"/>
  <c r="N49" i="130"/>
  <c r="M50" i="130"/>
  <c r="N50" i="130"/>
  <c r="M51" i="130"/>
  <c r="N51" i="130"/>
  <c r="M52" i="130"/>
  <c r="N52" i="130"/>
  <c r="M53" i="130"/>
  <c r="N53" i="130"/>
  <c r="M54" i="130"/>
  <c r="N54" i="130"/>
  <c r="M55" i="130"/>
  <c r="N55" i="130"/>
  <c r="M56" i="130"/>
  <c r="N56" i="130"/>
  <c r="M57" i="130"/>
  <c r="N57" i="130"/>
  <c r="M58" i="130"/>
  <c r="N58" i="130"/>
  <c r="M59" i="130"/>
  <c r="N59" i="130"/>
  <c r="M60" i="130"/>
  <c r="N60" i="130"/>
  <c r="M61" i="129"/>
  <c r="N61" i="129"/>
  <c r="M42" i="129"/>
  <c r="N42" i="129"/>
  <c r="M43" i="129"/>
  <c r="N43" i="129"/>
  <c r="M44" i="129"/>
  <c r="N44" i="129"/>
  <c r="M45" i="129"/>
  <c r="N45" i="129"/>
  <c r="M46" i="129"/>
  <c r="N46" i="129"/>
  <c r="M47" i="129"/>
  <c r="N47" i="129"/>
  <c r="M48" i="129"/>
  <c r="N48" i="129"/>
  <c r="M49" i="129"/>
  <c r="N49" i="129"/>
  <c r="M50" i="129"/>
  <c r="N50" i="129"/>
  <c r="M51" i="129"/>
  <c r="N51" i="129"/>
  <c r="M52" i="129"/>
  <c r="N52" i="129"/>
  <c r="M53" i="129"/>
  <c r="N53" i="129"/>
  <c r="M54" i="129"/>
  <c r="N54" i="129"/>
  <c r="M55" i="129"/>
  <c r="N55" i="129"/>
  <c r="M56" i="129"/>
  <c r="N56" i="129"/>
  <c r="M57" i="129"/>
  <c r="N57" i="129"/>
  <c r="M58" i="129"/>
  <c r="N58" i="129"/>
  <c r="M59" i="129"/>
  <c r="N59" i="129"/>
  <c r="M60" i="129"/>
  <c r="N60" i="129"/>
  <c r="M60" i="116"/>
  <c r="N60" i="116"/>
  <c r="M61" i="116"/>
  <c r="N61" i="116"/>
  <c r="M42" i="116"/>
  <c r="N42" i="116"/>
  <c r="M43" i="116"/>
  <c r="N43" i="116"/>
  <c r="M44" i="116"/>
  <c r="N44" i="116"/>
  <c r="M45" i="116"/>
  <c r="N45" i="116"/>
  <c r="M46" i="116"/>
  <c r="N46" i="116"/>
  <c r="M47" i="116"/>
  <c r="N47" i="116"/>
  <c r="M48" i="116"/>
  <c r="N48" i="116"/>
  <c r="M49" i="116"/>
  <c r="N49" i="116"/>
  <c r="M50" i="116"/>
  <c r="N50" i="116"/>
  <c r="M51" i="116"/>
  <c r="N51" i="116"/>
  <c r="M52" i="116"/>
  <c r="N52" i="116"/>
  <c r="M53" i="116"/>
  <c r="N53" i="116"/>
  <c r="M54" i="116"/>
  <c r="N54" i="116"/>
  <c r="M55" i="116"/>
  <c r="N55" i="116"/>
  <c r="M56" i="116"/>
  <c r="N56" i="116"/>
  <c r="M57" i="116"/>
  <c r="N57" i="116"/>
  <c r="M58" i="116"/>
  <c r="N58" i="116"/>
  <c r="M59" i="116"/>
  <c r="N59" i="116"/>
  <c r="M60" i="221"/>
  <c r="N60" i="221"/>
  <c r="M61" i="221"/>
  <c r="N61" i="221"/>
  <c r="M56" i="221"/>
  <c r="N56" i="221"/>
  <c r="M57" i="221"/>
  <c r="N57" i="221"/>
  <c r="M58" i="221"/>
  <c r="N58" i="221"/>
  <c r="M59" i="221"/>
  <c r="N59" i="221"/>
  <c r="M42" i="221"/>
  <c r="N42" i="221"/>
  <c r="M43" i="221"/>
  <c r="N43" i="221"/>
  <c r="M44" i="221"/>
  <c r="N44" i="221"/>
  <c r="M45" i="221"/>
  <c r="N45" i="221"/>
  <c r="M46" i="221"/>
  <c r="N46" i="221"/>
  <c r="M47" i="221"/>
  <c r="N47" i="221"/>
  <c r="M48" i="221"/>
  <c r="N48" i="221"/>
  <c r="M49" i="221"/>
  <c r="N49" i="221"/>
  <c r="M50" i="221"/>
  <c r="N50" i="221"/>
  <c r="M51" i="221"/>
  <c r="N51" i="221"/>
  <c r="M52" i="221"/>
  <c r="N52" i="221"/>
  <c r="M53" i="221"/>
  <c r="N53" i="221"/>
  <c r="M54" i="221"/>
  <c r="N54" i="221"/>
  <c r="M55" i="221"/>
  <c r="N55" i="221"/>
  <c r="M60" i="126"/>
  <c r="N60" i="126"/>
  <c r="M61" i="126"/>
  <c r="N61" i="126"/>
  <c r="M55" i="126"/>
  <c r="N55" i="126"/>
  <c r="M56" i="126"/>
  <c r="N56" i="126"/>
  <c r="M57" i="126"/>
  <c r="N57" i="126"/>
  <c r="M58" i="126"/>
  <c r="N58" i="126"/>
  <c r="M59" i="126"/>
  <c r="N59" i="126"/>
  <c r="M42" i="126"/>
  <c r="N42" i="126"/>
  <c r="M43" i="126"/>
  <c r="N43" i="126"/>
  <c r="M44" i="126"/>
  <c r="N44" i="126"/>
  <c r="M45" i="126"/>
  <c r="N45" i="126"/>
  <c r="M46" i="126"/>
  <c r="N46" i="126"/>
  <c r="M47" i="126"/>
  <c r="N47" i="126"/>
  <c r="M48" i="126"/>
  <c r="N48" i="126"/>
  <c r="M49" i="126"/>
  <c r="N49" i="126"/>
  <c r="M50" i="126"/>
  <c r="N50" i="126"/>
  <c r="M51" i="126"/>
  <c r="N51" i="126"/>
  <c r="M52" i="126"/>
  <c r="N52" i="126"/>
  <c r="M53" i="126"/>
  <c r="N53" i="126"/>
  <c r="M54" i="126"/>
  <c r="N54" i="126"/>
  <c r="M60" i="124"/>
  <c r="N60" i="124"/>
  <c r="M61" i="124"/>
  <c r="N61" i="124"/>
  <c r="M42" i="124"/>
  <c r="N42" i="124"/>
  <c r="M43" i="124"/>
  <c r="N43" i="124"/>
  <c r="M44" i="124"/>
  <c r="N44" i="124"/>
  <c r="M45" i="124"/>
  <c r="N45" i="124"/>
  <c r="M46" i="124"/>
  <c r="N46" i="124"/>
  <c r="M47" i="124"/>
  <c r="N47" i="124"/>
  <c r="M48" i="124"/>
  <c r="N48" i="124"/>
  <c r="M49" i="124"/>
  <c r="N49" i="124"/>
  <c r="M50" i="124"/>
  <c r="N50" i="124"/>
  <c r="M51" i="124"/>
  <c r="N51" i="124"/>
  <c r="M52" i="124"/>
  <c r="N52" i="124"/>
  <c r="M53" i="124"/>
  <c r="N53" i="124"/>
  <c r="M54" i="124"/>
  <c r="N54" i="124"/>
  <c r="M55" i="124"/>
  <c r="N55" i="124"/>
  <c r="M56" i="124"/>
  <c r="N56" i="124"/>
  <c r="M57" i="124"/>
  <c r="N57" i="124"/>
  <c r="M58" i="124"/>
  <c r="N58" i="124"/>
  <c r="M59" i="124"/>
  <c r="N59" i="124"/>
  <c r="M61" i="125"/>
  <c r="N61" i="125"/>
  <c r="M42" i="125"/>
  <c r="N42" i="125"/>
  <c r="M43" i="125"/>
  <c r="N43" i="125"/>
  <c r="M44" i="125"/>
  <c r="N44" i="125"/>
  <c r="M45" i="125"/>
  <c r="N45" i="125"/>
  <c r="M46" i="125"/>
  <c r="N46" i="125"/>
  <c r="M47" i="125"/>
  <c r="N47" i="125"/>
  <c r="M48" i="125"/>
  <c r="N48" i="125"/>
  <c r="M49" i="125"/>
  <c r="N49" i="125"/>
  <c r="M50" i="125"/>
  <c r="N50" i="125"/>
  <c r="M51" i="125"/>
  <c r="N51" i="125"/>
  <c r="M52" i="125"/>
  <c r="N52" i="125"/>
  <c r="M53" i="125"/>
  <c r="N53" i="125"/>
  <c r="M54" i="125"/>
  <c r="N54" i="125"/>
  <c r="M55" i="125"/>
  <c r="N55" i="125"/>
  <c r="M56" i="125"/>
  <c r="N56" i="125"/>
  <c r="M57" i="125"/>
  <c r="N57" i="125"/>
  <c r="M58" i="125"/>
  <c r="N58" i="125"/>
  <c r="M59" i="125"/>
  <c r="N59" i="125"/>
  <c r="M60" i="125"/>
  <c r="N60" i="125"/>
  <c r="M60" i="154"/>
  <c r="N60" i="154"/>
  <c r="M61" i="154"/>
  <c r="N61" i="154"/>
  <c r="M42" i="154"/>
  <c r="N42" i="154"/>
  <c r="M43" i="154"/>
  <c r="N43" i="154"/>
  <c r="M44" i="154"/>
  <c r="N44" i="154"/>
  <c r="M45" i="154"/>
  <c r="N45" i="154"/>
  <c r="M46" i="154"/>
  <c r="N46" i="154"/>
  <c r="M47" i="154"/>
  <c r="N47" i="154"/>
  <c r="M48" i="154"/>
  <c r="N48" i="154"/>
  <c r="M49" i="154"/>
  <c r="N49" i="154"/>
  <c r="M50" i="154"/>
  <c r="N50" i="154"/>
  <c r="M51" i="154"/>
  <c r="N51" i="154"/>
  <c r="M52" i="154"/>
  <c r="N52" i="154"/>
  <c r="M53" i="154"/>
  <c r="N53" i="154"/>
  <c r="M54" i="154"/>
  <c r="N54" i="154"/>
  <c r="M55" i="154"/>
  <c r="N55" i="154"/>
  <c r="M56" i="154"/>
  <c r="N56" i="154"/>
  <c r="M57" i="154"/>
  <c r="N57" i="154"/>
  <c r="M58" i="154"/>
  <c r="N58" i="154"/>
  <c r="M59" i="154"/>
  <c r="N59" i="154"/>
  <c r="M60" i="123"/>
  <c r="N60" i="123"/>
  <c r="M61" i="123"/>
  <c r="N61" i="123"/>
  <c r="M42" i="123"/>
  <c r="N42" i="123"/>
  <c r="M43" i="123"/>
  <c r="N43" i="123"/>
  <c r="M44" i="123"/>
  <c r="N44" i="123"/>
  <c r="M45" i="123"/>
  <c r="N45" i="123"/>
  <c r="M46" i="123"/>
  <c r="N46" i="123"/>
  <c r="M47" i="123"/>
  <c r="N47" i="123"/>
  <c r="M48" i="123"/>
  <c r="N48" i="123"/>
  <c r="M49" i="123"/>
  <c r="N49" i="123"/>
  <c r="M50" i="123"/>
  <c r="N50" i="123"/>
  <c r="M51" i="123"/>
  <c r="N51" i="123"/>
  <c r="M52" i="123"/>
  <c r="N52" i="123"/>
  <c r="M53" i="123"/>
  <c r="N53" i="123"/>
  <c r="M54" i="123"/>
  <c r="N54" i="123"/>
  <c r="M55" i="123"/>
  <c r="N55" i="123"/>
  <c r="M56" i="123"/>
  <c r="N56" i="123"/>
  <c r="M57" i="123"/>
  <c r="N57" i="123"/>
  <c r="M58" i="123"/>
  <c r="N58" i="123"/>
  <c r="M59" i="123"/>
  <c r="N59" i="123"/>
  <c r="M58" i="148"/>
  <c r="N58" i="148"/>
  <c r="M59" i="148"/>
  <c r="N59" i="148"/>
  <c r="M60" i="148"/>
  <c r="N60" i="148"/>
  <c r="M61" i="148"/>
  <c r="N61" i="148"/>
  <c r="M42" i="148"/>
  <c r="N42" i="148"/>
  <c r="M43" i="148"/>
  <c r="N43" i="148"/>
  <c r="M44" i="148"/>
  <c r="N44" i="148"/>
  <c r="M45" i="148"/>
  <c r="N45" i="148"/>
  <c r="M46" i="148"/>
  <c r="N46" i="148"/>
  <c r="M47" i="148"/>
  <c r="N47" i="148"/>
  <c r="M48" i="148"/>
  <c r="N48" i="148"/>
  <c r="M49" i="148"/>
  <c r="N49" i="148"/>
  <c r="M50" i="148"/>
  <c r="N50" i="148"/>
  <c r="M51" i="148"/>
  <c r="N51" i="148"/>
  <c r="M52" i="148"/>
  <c r="N52" i="148"/>
  <c r="M53" i="148"/>
  <c r="N53" i="148"/>
  <c r="M54" i="148"/>
  <c r="N54" i="148"/>
  <c r="M55" i="148"/>
  <c r="N55" i="148"/>
  <c r="M56" i="148"/>
  <c r="N56" i="148"/>
  <c r="M57" i="148"/>
  <c r="N57" i="148"/>
  <c r="N61" i="147"/>
  <c r="M61" i="147"/>
  <c r="N60" i="147"/>
  <c r="M60" i="147"/>
  <c r="N59" i="147"/>
  <c r="M59" i="147"/>
  <c r="N58" i="147"/>
  <c r="M58" i="147"/>
  <c r="N57" i="147"/>
  <c r="M57" i="147"/>
  <c r="N56" i="147"/>
  <c r="M56" i="147"/>
  <c r="N55" i="147"/>
  <c r="M55" i="147"/>
  <c r="N54" i="147"/>
  <c r="M54" i="147"/>
  <c r="N53" i="147"/>
  <c r="M53" i="147"/>
  <c r="N52" i="147"/>
  <c r="M52" i="147"/>
  <c r="N51" i="147"/>
  <c r="M51" i="147"/>
  <c r="N50" i="147"/>
  <c r="M50" i="147"/>
  <c r="N49" i="147"/>
  <c r="M49" i="147"/>
  <c r="N48" i="147"/>
  <c r="M48" i="147"/>
  <c r="N47" i="147"/>
  <c r="M47" i="147"/>
  <c r="N46" i="147"/>
  <c r="M46" i="147"/>
  <c r="N45" i="147"/>
  <c r="M45" i="147"/>
  <c r="N44" i="147"/>
  <c r="M44" i="147"/>
  <c r="N43" i="147"/>
  <c r="M43" i="147"/>
  <c r="N42" i="147"/>
  <c r="M42" i="147"/>
  <c r="M42" i="121"/>
  <c r="N42" i="121"/>
  <c r="M43" i="121"/>
  <c r="N43" i="121"/>
  <c r="M44" i="121"/>
  <c r="N44" i="121"/>
  <c r="M45" i="121"/>
  <c r="N45" i="121"/>
  <c r="M46" i="121"/>
  <c r="N46" i="121"/>
  <c r="M47" i="121"/>
  <c r="N47" i="121"/>
  <c r="M48" i="121"/>
  <c r="N48" i="121"/>
  <c r="M49" i="121"/>
  <c r="N49" i="121"/>
  <c r="M50" i="121"/>
  <c r="N50" i="121"/>
  <c r="M51" i="121"/>
  <c r="N51" i="121"/>
  <c r="M52" i="121"/>
  <c r="N52" i="121"/>
  <c r="M53" i="121"/>
  <c r="N53" i="121"/>
  <c r="M54" i="121"/>
  <c r="N54" i="121"/>
  <c r="M55" i="121"/>
  <c r="N55" i="121"/>
  <c r="M56" i="121"/>
  <c r="N56" i="121"/>
  <c r="M57" i="121"/>
  <c r="N57" i="121"/>
  <c r="M58" i="121"/>
  <c r="N58" i="121"/>
  <c r="M59" i="121"/>
  <c r="N59" i="121"/>
  <c r="M60" i="121"/>
  <c r="N60" i="121"/>
  <c r="M61" i="121"/>
  <c r="N61" i="121"/>
  <c r="M42" i="120"/>
  <c r="N42" i="120"/>
  <c r="M43" i="120"/>
  <c r="N43" i="120"/>
  <c r="M44" i="120"/>
  <c r="N44" i="120"/>
  <c r="M45" i="120"/>
  <c r="N45" i="120"/>
  <c r="M46" i="120"/>
  <c r="N46" i="120"/>
  <c r="M47" i="120"/>
  <c r="N47" i="120"/>
  <c r="M48" i="120"/>
  <c r="N48" i="120"/>
  <c r="M49" i="120"/>
  <c r="N49" i="120"/>
  <c r="M50" i="120"/>
  <c r="N50" i="120"/>
  <c r="M51" i="120"/>
  <c r="N51" i="120"/>
  <c r="M52" i="120"/>
  <c r="N52" i="120"/>
  <c r="M53" i="120"/>
  <c r="N53" i="120"/>
  <c r="M54" i="120"/>
  <c r="N54" i="120"/>
  <c r="M55" i="120"/>
  <c r="N55" i="120"/>
  <c r="M56" i="120"/>
  <c r="N56" i="120"/>
  <c r="M57" i="120"/>
  <c r="N57" i="120"/>
  <c r="M58" i="120"/>
  <c r="N58" i="120"/>
  <c r="M59" i="120"/>
  <c r="N59" i="120"/>
  <c r="M60" i="120"/>
  <c r="N60" i="120"/>
  <c r="M61" i="120"/>
  <c r="N61" i="120"/>
  <c r="D29" i="3" l="1"/>
  <c r="A29" i="3"/>
  <c r="R19" i="231" l="1"/>
  <c r="Q19" i="231"/>
  <c r="P19" i="231"/>
  <c r="R18" i="231"/>
  <c r="Q18" i="231"/>
  <c r="P18" i="231"/>
  <c r="R17" i="231"/>
  <c r="Q17" i="231"/>
  <c r="P17" i="231"/>
  <c r="R16" i="231"/>
  <c r="Q16" i="231"/>
  <c r="P16" i="231"/>
  <c r="R15" i="231"/>
  <c r="Q15" i="231"/>
  <c r="P15" i="231"/>
  <c r="R14" i="231"/>
  <c r="Q14" i="231"/>
  <c r="P14" i="231"/>
  <c r="R13" i="231"/>
  <c r="Q13" i="231"/>
  <c r="P13" i="231"/>
  <c r="R12" i="231"/>
  <c r="Q12" i="231"/>
  <c r="P12" i="231"/>
  <c r="R11" i="231"/>
  <c r="D415" i="231" s="1"/>
  <c r="Q11" i="231"/>
  <c r="D416" i="231" s="1"/>
  <c r="P11" i="231"/>
  <c r="R10" i="231"/>
  <c r="Q10" i="231"/>
  <c r="P10" i="231"/>
  <c r="R9" i="231"/>
  <c r="Q9" i="231"/>
  <c r="P9" i="231"/>
  <c r="R8" i="231"/>
  <c r="Q8" i="231"/>
  <c r="P8" i="231"/>
  <c r="T7" i="231"/>
  <c r="D20" i="231" s="1"/>
  <c r="R7" i="231"/>
  <c r="Q7" i="231"/>
  <c r="P7" i="231"/>
  <c r="T6" i="231"/>
  <c r="R6" i="231"/>
  <c r="Q6" i="231"/>
  <c r="P6" i="231"/>
  <c r="T5" i="231"/>
  <c r="R5" i="231"/>
  <c r="Q5" i="231"/>
  <c r="P5" i="231"/>
  <c r="T4" i="231"/>
  <c r="R4" i="231"/>
  <c r="Q4" i="231"/>
  <c r="P4" i="231"/>
  <c r="BA1" i="231"/>
  <c r="AZ1" i="231"/>
  <c r="AY1" i="231"/>
  <c r="AX1" i="231"/>
  <c r="AW1" i="231"/>
  <c r="AV1" i="231"/>
  <c r="AU1" i="231"/>
  <c r="AT1" i="231"/>
  <c r="AS1" i="231"/>
  <c r="AR1" i="231"/>
  <c r="AQ1" i="231"/>
  <c r="AP1" i="231"/>
  <c r="AO1" i="231"/>
  <c r="AN1" i="231"/>
  <c r="AM1" i="231"/>
  <c r="AL1" i="231"/>
  <c r="AK1" i="231"/>
  <c r="AJ1" i="231"/>
  <c r="AI1" i="231"/>
  <c r="AH1" i="231"/>
  <c r="AG1" i="231"/>
  <c r="AF1" i="231"/>
  <c r="AE1" i="231"/>
  <c r="AD1" i="231"/>
  <c r="AC1" i="231"/>
  <c r="AB1" i="231"/>
  <c r="AA1" i="231"/>
  <c r="Z1" i="231"/>
  <c r="Y1" i="231"/>
  <c r="X1" i="231"/>
  <c r="W1" i="231"/>
  <c r="V1" i="231"/>
  <c r="U1" i="231"/>
  <c r="T1" i="231"/>
  <c r="S1" i="231"/>
  <c r="R1" i="231"/>
  <c r="Q1" i="231"/>
  <c r="P1" i="231"/>
  <c r="R19" i="230"/>
  <c r="Q19" i="230"/>
  <c r="P19" i="230"/>
  <c r="R18" i="230"/>
  <c r="Q18" i="230"/>
  <c r="P18" i="230"/>
  <c r="R17" i="230"/>
  <c r="Q17" i="230"/>
  <c r="P17" i="230"/>
  <c r="R16" i="230"/>
  <c r="Q16" i="230"/>
  <c r="P16" i="230"/>
  <c r="R15" i="230"/>
  <c r="Q15" i="230"/>
  <c r="P15" i="230"/>
  <c r="R14" i="230"/>
  <c r="Q14" i="230"/>
  <c r="P14" i="230"/>
  <c r="R13" i="230"/>
  <c r="Q13" i="230"/>
  <c r="P13" i="230"/>
  <c r="R12" i="230"/>
  <c r="Q12" i="230"/>
  <c r="P12" i="230"/>
  <c r="R11" i="230"/>
  <c r="D747" i="230" s="1"/>
  <c r="Q11" i="230"/>
  <c r="D748" i="230" s="1"/>
  <c r="P11" i="230"/>
  <c r="R10" i="230"/>
  <c r="Q10" i="230"/>
  <c r="P10" i="230"/>
  <c r="R9" i="230"/>
  <c r="Q9" i="230"/>
  <c r="P9" i="230"/>
  <c r="R8" i="230"/>
  <c r="Q8" i="230"/>
  <c r="P8" i="230"/>
  <c r="T7" i="230"/>
  <c r="D20" i="230" s="1"/>
  <c r="R7" i="230"/>
  <c r="Q7" i="230"/>
  <c r="P7" i="230"/>
  <c r="T6" i="230"/>
  <c r="R6" i="230"/>
  <c r="Q6" i="230"/>
  <c r="P6" i="230"/>
  <c r="T5" i="230"/>
  <c r="R5" i="230"/>
  <c r="Q5" i="230"/>
  <c r="P5" i="230"/>
  <c r="T4" i="230"/>
  <c r="R4" i="230"/>
  <c r="Q4" i="230"/>
  <c r="P4" i="230"/>
  <c r="BA1" i="230"/>
  <c r="AZ1" i="230"/>
  <c r="AY1" i="230"/>
  <c r="AX1" i="230"/>
  <c r="AW1" i="230"/>
  <c r="AV1" i="230"/>
  <c r="AU1" i="230"/>
  <c r="AT1" i="230"/>
  <c r="AS1" i="230"/>
  <c r="AR1" i="230"/>
  <c r="AQ1" i="230"/>
  <c r="AP1" i="230"/>
  <c r="AO1" i="230"/>
  <c r="AN1" i="230"/>
  <c r="AM1" i="230"/>
  <c r="AL1" i="230"/>
  <c r="AK1" i="230"/>
  <c r="AJ1" i="230"/>
  <c r="AI1" i="230"/>
  <c r="AH1" i="230"/>
  <c r="AG1" i="230"/>
  <c r="AF1" i="230"/>
  <c r="AE1" i="230"/>
  <c r="AD1" i="230"/>
  <c r="AC1" i="230"/>
  <c r="AB1" i="230"/>
  <c r="AA1" i="230"/>
  <c r="Z1" i="230"/>
  <c r="Y1" i="230"/>
  <c r="X1" i="230"/>
  <c r="W1" i="230"/>
  <c r="V1" i="230"/>
  <c r="U1" i="230"/>
  <c r="T1" i="230"/>
  <c r="S1" i="230"/>
  <c r="R1" i="230"/>
  <c r="Q1" i="230"/>
  <c r="P1" i="230"/>
  <c r="A3445" i="156"/>
  <c r="A3446" i="156"/>
  <c r="A3447" i="156"/>
  <c r="A3448" i="156"/>
  <c r="A3449" i="156"/>
  <c r="A3450" i="156"/>
  <c r="A3451" i="156"/>
  <c r="A3452" i="156"/>
  <c r="A3453" i="156"/>
  <c r="A3454" i="156"/>
  <c r="D3449" i="156"/>
  <c r="D3439" i="156"/>
  <c r="A3436" i="156"/>
  <c r="A3437" i="156"/>
  <c r="A3438" i="156"/>
  <c r="A3439" i="156"/>
  <c r="A3440" i="156"/>
  <c r="A3441" i="156"/>
  <c r="A3442" i="156"/>
  <c r="A3443" i="156"/>
  <c r="A3444" i="156"/>
  <c r="A3435" i="156"/>
  <c r="D3446" i="156"/>
  <c r="D3445" i="156"/>
  <c r="D3436" i="156"/>
  <c r="D3435" i="156"/>
  <c r="D3429" i="156"/>
  <c r="A3426" i="156"/>
  <c r="A3427" i="156"/>
  <c r="A3428" i="156"/>
  <c r="A3429" i="156"/>
  <c r="A3430" i="156"/>
  <c r="A3431" i="156"/>
  <c r="A3432" i="156"/>
  <c r="A3433" i="156"/>
  <c r="A3434" i="156"/>
  <c r="A3425" i="156"/>
  <c r="D3426" i="156"/>
  <c r="D3425" i="156"/>
  <c r="D3379" i="156"/>
  <c r="D3369" i="156"/>
  <c r="A3376" i="156"/>
  <c r="A3377" i="156"/>
  <c r="A3378" i="156"/>
  <c r="A3379" i="156"/>
  <c r="A3380" i="156"/>
  <c r="A3381" i="156"/>
  <c r="A3382" i="156"/>
  <c r="A3383" i="156"/>
  <c r="A3384" i="156"/>
  <c r="A3375" i="156"/>
  <c r="A3366" i="156"/>
  <c r="A3367" i="156"/>
  <c r="A3368" i="156"/>
  <c r="A3369" i="156"/>
  <c r="A3370" i="156"/>
  <c r="A3371" i="156"/>
  <c r="A3372" i="156"/>
  <c r="A3373" i="156"/>
  <c r="A3374" i="156"/>
  <c r="A3365" i="156"/>
  <c r="A3356" i="156"/>
  <c r="A3357" i="156"/>
  <c r="A3358" i="156"/>
  <c r="A3359" i="156"/>
  <c r="A3360" i="156"/>
  <c r="A3361" i="156"/>
  <c r="A3362" i="156"/>
  <c r="A3363" i="156"/>
  <c r="A3364" i="156"/>
  <c r="D3359" i="156"/>
  <c r="A3355" i="156"/>
  <c r="A3346" i="156"/>
  <c r="A3347" i="156"/>
  <c r="A3348" i="156"/>
  <c r="A3349" i="156"/>
  <c r="A3350" i="156"/>
  <c r="A3351" i="156"/>
  <c r="A3352" i="156"/>
  <c r="A3353" i="156"/>
  <c r="A3354" i="156"/>
  <c r="D3349" i="156"/>
  <c r="A3345" i="156"/>
  <c r="D3339" i="156"/>
  <c r="A3336" i="156"/>
  <c r="A3337" i="156"/>
  <c r="A3338" i="156"/>
  <c r="A3339" i="156"/>
  <c r="A3340" i="156"/>
  <c r="A3341" i="156"/>
  <c r="A3342" i="156"/>
  <c r="A3343" i="156"/>
  <c r="A3344" i="156"/>
  <c r="A3335" i="156"/>
  <c r="A3424" i="156"/>
  <c r="A3423" i="156"/>
  <c r="A3422" i="156"/>
  <c r="A3421" i="156"/>
  <c r="A3420" i="156"/>
  <c r="D3419" i="156"/>
  <c r="A3419" i="156"/>
  <c r="A3418" i="156"/>
  <c r="A3417" i="156"/>
  <c r="D3416" i="156"/>
  <c r="A3416" i="156"/>
  <c r="D3415" i="156"/>
  <c r="A3415" i="156"/>
  <c r="A3414" i="156"/>
  <c r="A3413" i="156"/>
  <c r="A3412" i="156"/>
  <c r="A3411" i="156"/>
  <c r="A3410" i="156"/>
  <c r="D3409" i="156"/>
  <c r="A3409" i="156"/>
  <c r="A3408" i="156"/>
  <c r="A3407" i="156"/>
  <c r="D3406" i="156"/>
  <c r="A3406" i="156"/>
  <c r="D3405" i="156"/>
  <c r="A3405" i="156"/>
  <c r="A3404" i="156"/>
  <c r="A3403" i="156"/>
  <c r="A3402" i="156"/>
  <c r="A3401" i="156"/>
  <c r="A3400" i="156"/>
  <c r="D3399" i="156"/>
  <c r="A3399" i="156"/>
  <c r="A3398" i="156"/>
  <c r="A3397" i="156"/>
  <c r="D3396" i="156"/>
  <c r="A3396" i="156"/>
  <c r="D3395" i="156"/>
  <c r="A3395" i="156"/>
  <c r="A3394" i="156"/>
  <c r="A3393" i="156"/>
  <c r="A3392" i="156"/>
  <c r="A3391" i="156"/>
  <c r="A3390" i="156"/>
  <c r="D3389" i="156"/>
  <c r="A3389" i="156"/>
  <c r="A3388" i="156"/>
  <c r="A3387" i="156"/>
  <c r="D3386" i="156"/>
  <c r="A3386" i="156"/>
  <c r="D3385" i="156"/>
  <c r="A3385" i="156"/>
  <c r="D3376" i="156"/>
  <c r="D3375" i="156"/>
  <c r="D3367" i="156"/>
  <c r="D3365" i="156"/>
  <c r="D3357" i="156"/>
  <c r="D3355" i="156"/>
  <c r="D3347" i="156"/>
  <c r="D3345" i="156"/>
  <c r="D3337" i="156"/>
  <c r="D3335" i="156"/>
  <c r="D105" i="231" l="1"/>
  <c r="D135" i="231"/>
  <c r="D55" i="231"/>
  <c r="D85" i="231"/>
  <c r="D125" i="231"/>
  <c r="D45" i="231"/>
  <c r="D115" i="231"/>
  <c r="D35" i="231"/>
  <c r="D75" i="231"/>
  <c r="D65" i="231"/>
  <c r="D95" i="231"/>
  <c r="D254" i="231"/>
  <c r="D230" i="231"/>
  <c r="D284" i="231"/>
  <c r="D247" i="231"/>
  <c r="D314" i="231"/>
  <c r="D240" i="231"/>
  <c r="D264" i="231"/>
  <c r="D294" i="231"/>
  <c r="D274" i="231"/>
  <c r="D304" i="231"/>
  <c r="D117" i="231"/>
  <c r="D37" i="231"/>
  <c r="D67" i="231"/>
  <c r="D97" i="231"/>
  <c r="D137" i="231"/>
  <c r="D127" i="231"/>
  <c r="D47" i="231"/>
  <c r="D77" i="231"/>
  <c r="D57" i="231"/>
  <c r="D87" i="231"/>
  <c r="D107" i="231"/>
  <c r="D315" i="231"/>
  <c r="D241" i="231"/>
  <c r="D255" i="231"/>
  <c r="D285" i="231"/>
  <c r="D265" i="231"/>
  <c r="D295" i="231"/>
  <c r="D275" i="231"/>
  <c r="D305" i="231"/>
  <c r="D231" i="231"/>
  <c r="D248" i="231"/>
  <c r="D200" i="231"/>
  <c r="D162" i="231"/>
  <c r="D210" i="231"/>
  <c r="D179" i="231"/>
  <c r="D154" i="231"/>
  <c r="D190" i="231"/>
  <c r="D146" i="231"/>
  <c r="D220" i="231"/>
  <c r="D169" i="231"/>
  <c r="D378" i="231"/>
  <c r="D398" i="231"/>
  <c r="D358" i="231"/>
  <c r="D388" i="231"/>
  <c r="D326" i="231"/>
  <c r="D348" i="231"/>
  <c r="D338" i="231"/>
  <c r="D368" i="231"/>
  <c r="D211" i="231"/>
  <c r="D191" i="231"/>
  <c r="D147" i="231"/>
  <c r="D221" i="231"/>
  <c r="D155" i="231"/>
  <c r="D201" i="231"/>
  <c r="D170" i="231"/>
  <c r="D163" i="231"/>
  <c r="D180" i="231"/>
  <c r="D359" i="231"/>
  <c r="D328" i="231"/>
  <c r="D389" i="231"/>
  <c r="D340" i="231"/>
  <c r="D379" i="231"/>
  <c r="D400" i="231"/>
  <c r="D369" i="231"/>
  <c r="D349" i="231"/>
  <c r="D339" i="230"/>
  <c r="D259" i="230"/>
  <c r="D179" i="230"/>
  <c r="D99" i="230"/>
  <c r="D369" i="230"/>
  <c r="D289" i="230"/>
  <c r="D209" i="230"/>
  <c r="D129" i="230"/>
  <c r="D49" i="230"/>
  <c r="D319" i="230"/>
  <c r="D239" i="230"/>
  <c r="D159" i="230"/>
  <c r="D79" i="230"/>
  <c r="D109" i="230"/>
  <c r="D149" i="230"/>
  <c r="D349" i="230"/>
  <c r="D269" i="230"/>
  <c r="D189" i="230"/>
  <c r="D59" i="230"/>
  <c r="D299" i="230"/>
  <c r="D219" i="230"/>
  <c r="D139" i="230"/>
  <c r="D89" i="230"/>
  <c r="D329" i="230"/>
  <c r="D249" i="230"/>
  <c r="D169" i="230"/>
  <c r="D309" i="230"/>
  <c r="D229" i="230"/>
  <c r="D69" i="230"/>
  <c r="D359" i="230"/>
  <c r="D279" i="230"/>
  <c r="D199" i="230"/>
  <c r="D119" i="230"/>
  <c r="D39" i="230"/>
  <c r="D617" i="230"/>
  <c r="D647" i="230"/>
  <c r="D597" i="230"/>
  <c r="D627" i="230"/>
  <c r="D553" i="230"/>
  <c r="D577" i="230"/>
  <c r="D607" i="230"/>
  <c r="D570" i="230"/>
  <c r="D637" i="230"/>
  <c r="D563" i="230"/>
  <c r="D587" i="230"/>
  <c r="D482" i="230"/>
  <c r="D512" i="230"/>
  <c r="D432" i="230"/>
  <c r="D401" i="230"/>
  <c r="D542" i="230"/>
  <c r="D462" i="230"/>
  <c r="D394" i="230"/>
  <c r="D492" i="230"/>
  <c r="D412" i="230"/>
  <c r="D532" i="230"/>
  <c r="D452" i="230"/>
  <c r="D522" i="230"/>
  <c r="D442" i="230"/>
  <c r="D386" i="230"/>
  <c r="D472" i="230"/>
  <c r="D502" i="230"/>
  <c r="D422" i="230"/>
  <c r="D378" i="230"/>
  <c r="D680" i="230"/>
  <c r="D710" i="230"/>
  <c r="D730" i="230"/>
  <c r="D690" i="230"/>
  <c r="D720" i="230"/>
  <c r="D658" i="230"/>
  <c r="D670" i="230"/>
  <c r="D700" i="230"/>
  <c r="D543" i="230"/>
  <c r="D463" i="230"/>
  <c r="D395" i="230"/>
  <c r="D433" i="230"/>
  <c r="D493" i="230"/>
  <c r="D444" i="230"/>
  <c r="D413" i="230"/>
  <c r="D523" i="230"/>
  <c r="D387" i="230"/>
  <c r="D473" i="230"/>
  <c r="D513" i="230"/>
  <c r="D503" i="230"/>
  <c r="D423" i="230"/>
  <c r="D379" i="230"/>
  <c r="D533" i="230"/>
  <c r="D453" i="230"/>
  <c r="D402" i="230"/>
  <c r="D483" i="230"/>
  <c r="D722" i="230"/>
  <c r="D691" i="230"/>
  <c r="D660" i="230"/>
  <c r="D672" i="230"/>
  <c r="D732" i="230"/>
  <c r="D701" i="230"/>
  <c r="D682" i="230"/>
  <c r="D712" i="230"/>
  <c r="D327" i="230"/>
  <c r="D247" i="230"/>
  <c r="D167" i="230"/>
  <c r="D87" i="230"/>
  <c r="D137" i="230"/>
  <c r="D357" i="230"/>
  <c r="D277" i="230"/>
  <c r="D197" i="230"/>
  <c r="D117" i="230"/>
  <c r="D37" i="230"/>
  <c r="D307" i="230"/>
  <c r="D227" i="230"/>
  <c r="D147" i="230"/>
  <c r="D67" i="230"/>
  <c r="D97" i="230"/>
  <c r="D47" i="230"/>
  <c r="D57" i="230"/>
  <c r="D337" i="230"/>
  <c r="D257" i="230"/>
  <c r="D177" i="230"/>
  <c r="D77" i="230"/>
  <c r="D297" i="230"/>
  <c r="D367" i="230"/>
  <c r="D287" i="230"/>
  <c r="D207" i="230"/>
  <c r="D127" i="230"/>
  <c r="D217" i="230"/>
  <c r="D317" i="230"/>
  <c r="D237" i="230"/>
  <c r="D157" i="230"/>
  <c r="D347" i="230"/>
  <c r="D267" i="230"/>
  <c r="D187" i="230"/>
  <c r="D107" i="230"/>
  <c r="D636" i="230"/>
  <c r="D562" i="230"/>
  <c r="D586" i="230"/>
  <c r="D616" i="230"/>
  <c r="D646" i="230"/>
  <c r="D606" i="230"/>
  <c r="D569" i="230"/>
  <c r="D596" i="230"/>
  <c r="D626" i="230"/>
  <c r="D552" i="230"/>
  <c r="D576" i="230"/>
  <c r="A205" i="180"/>
  <c r="D205" i="180"/>
  <c r="A206" i="180"/>
  <c r="A207" i="180"/>
  <c r="A208" i="180"/>
  <c r="A209" i="180"/>
  <c r="A210" i="180"/>
  <c r="A211" i="180"/>
  <c r="D211" i="180"/>
  <c r="A212" i="180"/>
  <c r="A213" i="180"/>
  <c r="A214" i="180"/>
  <c r="A215" i="180"/>
  <c r="A216" i="180"/>
  <c r="A217" i="180"/>
  <c r="D217" i="180"/>
  <c r="A218" i="180"/>
  <c r="A219" i="180"/>
  <c r="A220" i="180"/>
  <c r="A221" i="180"/>
  <c r="A222" i="180"/>
  <c r="A223" i="180"/>
  <c r="D223" i="180"/>
  <c r="A224" i="180"/>
  <c r="A225" i="180"/>
  <c r="A226" i="180"/>
  <c r="A227" i="180"/>
  <c r="A228" i="180"/>
  <c r="A229" i="180"/>
  <c r="D229" i="180"/>
  <c r="A230" i="180"/>
  <c r="A231" i="180"/>
  <c r="A232" i="180"/>
  <c r="A233" i="180"/>
  <c r="A234" i="180"/>
  <c r="A235" i="180"/>
  <c r="D235" i="180"/>
  <c r="A236" i="180"/>
  <c r="A237" i="180"/>
  <c r="A238" i="180"/>
  <c r="A239" i="180"/>
  <c r="A240" i="180"/>
  <c r="A241" i="180"/>
  <c r="D241" i="180"/>
  <c r="A242" i="180"/>
  <c r="A243" i="180"/>
  <c r="A244" i="180"/>
  <c r="A245" i="180"/>
  <c r="A246" i="180"/>
  <c r="A247" i="180"/>
  <c r="D247" i="180"/>
  <c r="A248" i="180"/>
  <c r="A249" i="180"/>
  <c r="A250" i="180"/>
  <c r="A251" i="180"/>
  <c r="A252" i="180"/>
  <c r="A253" i="180"/>
  <c r="D253" i="180"/>
  <c r="A254" i="180"/>
  <c r="A255" i="180"/>
  <c r="A256" i="180"/>
  <c r="A257" i="180"/>
  <c r="A258" i="180"/>
  <c r="A259" i="180"/>
  <c r="D259" i="180"/>
  <c r="A260" i="180"/>
  <c r="A261" i="180"/>
  <c r="A262" i="180"/>
  <c r="A263" i="180"/>
  <c r="A264" i="180"/>
  <c r="A265" i="180"/>
  <c r="D265" i="180"/>
  <c r="A266" i="180"/>
  <c r="A267" i="180"/>
  <c r="A268" i="180"/>
  <c r="A269" i="180"/>
  <c r="A270" i="180"/>
  <c r="A271" i="180"/>
  <c r="D271" i="180"/>
  <c r="A272" i="180"/>
  <c r="A273" i="180"/>
  <c r="A274" i="180"/>
  <c r="A275" i="180"/>
  <c r="A276" i="180"/>
  <c r="A277" i="180"/>
  <c r="D277" i="180"/>
  <c r="A278" i="180"/>
  <c r="A279" i="180"/>
  <c r="A280" i="180"/>
  <c r="A281" i="180"/>
  <c r="A282" i="180"/>
  <c r="A283" i="180"/>
  <c r="D283" i="180"/>
  <c r="A284" i="180"/>
  <c r="A285" i="180"/>
  <c r="A286" i="180"/>
  <c r="A287" i="180"/>
  <c r="A288" i="180"/>
  <c r="A289" i="180"/>
  <c r="D289" i="180"/>
  <c r="A290" i="180"/>
  <c r="A291" i="180"/>
  <c r="A292" i="180"/>
  <c r="A293" i="180"/>
  <c r="A294" i="180"/>
  <c r="A295" i="180"/>
  <c r="D295" i="180"/>
  <c r="A296" i="180"/>
  <c r="A297" i="180"/>
  <c r="A298" i="180"/>
  <c r="A299" i="180"/>
  <c r="A300" i="180"/>
  <c r="A301" i="180"/>
  <c r="D301" i="180"/>
  <c r="A302" i="180"/>
  <c r="A303" i="180"/>
  <c r="A304" i="180"/>
  <c r="A305" i="180"/>
  <c r="A306" i="180"/>
  <c r="A31" i="41"/>
  <c r="A30" i="41"/>
  <c r="D29" i="41"/>
  <c r="A29" i="41"/>
  <c r="A28" i="41"/>
  <c r="D27" i="41"/>
  <c r="A27" i="41"/>
  <c r="D26" i="41"/>
  <c r="A26" i="41"/>
  <c r="A23" i="41"/>
  <c r="D22" i="41"/>
  <c r="A22" i="41"/>
  <c r="D21" i="41"/>
  <c r="A21" i="41"/>
  <c r="A20" i="41"/>
  <c r="A195" i="41"/>
  <c r="A194" i="41"/>
  <c r="A193" i="41"/>
  <c r="A192" i="41"/>
  <c r="A191" i="41"/>
  <c r="D190" i="41"/>
  <c r="A190" i="41"/>
  <c r="A189" i="41"/>
  <c r="A188" i="41"/>
  <c r="A187" i="41"/>
  <c r="A186" i="41"/>
  <c r="A185" i="41"/>
  <c r="A184" i="41"/>
  <c r="A183" i="41"/>
  <c r="A182" i="41"/>
  <c r="A181" i="41"/>
  <c r="A180" i="41"/>
  <c r="A179" i="41"/>
  <c r="A178" i="41"/>
  <c r="A177" i="41"/>
  <c r="A31" i="180"/>
  <c r="A30" i="180"/>
  <c r="D29" i="180"/>
  <c r="A29" i="180"/>
  <c r="A28" i="180"/>
  <c r="D27" i="180"/>
  <c r="A27" i="180"/>
  <c r="D26" i="180"/>
  <c r="A26" i="180"/>
  <c r="A23" i="180"/>
  <c r="D22" i="180"/>
  <c r="A22" i="180"/>
  <c r="D21" i="180"/>
  <c r="A21" i="180"/>
  <c r="A20" i="180"/>
  <c r="A43" i="180"/>
  <c r="A44" i="180"/>
  <c r="A45" i="180"/>
  <c r="A46" i="180"/>
  <c r="A47" i="180"/>
  <c r="D47" i="180"/>
  <c r="A48" i="180"/>
  <c r="A49" i="180"/>
  <c r="A50" i="180"/>
  <c r="A51" i="180"/>
  <c r="A52" i="180"/>
  <c r="A53" i="180"/>
  <c r="A54" i="180"/>
  <c r="A55" i="180"/>
  <c r="A56" i="180"/>
  <c r="A166" i="180"/>
  <c r="A165" i="180"/>
  <c r="A164" i="180"/>
  <c r="A163" i="180"/>
  <c r="A162" i="180"/>
  <c r="D161" i="180"/>
  <c r="A161" i="180"/>
  <c r="A160" i="180"/>
  <c r="A159" i="180"/>
  <c r="A158" i="180"/>
  <c r="A157" i="180"/>
  <c r="A156" i="180"/>
  <c r="A155" i="180"/>
  <c r="A154" i="180"/>
  <c r="A153" i="180"/>
  <c r="A152" i="180"/>
  <c r="A151" i="180"/>
  <c r="A150" i="180"/>
  <c r="A149" i="180"/>
  <c r="A148" i="180"/>
  <c r="A142" i="42"/>
  <c r="D151" i="42"/>
  <c r="A148" i="42"/>
  <c r="A149" i="42"/>
  <c r="A150" i="42"/>
  <c r="A151" i="42"/>
  <c r="A152" i="42"/>
  <c r="A153" i="42"/>
  <c r="A154" i="42"/>
  <c r="A155" i="42"/>
  <c r="A156" i="42"/>
  <c r="A147" i="42"/>
  <c r="A138" i="42"/>
  <c r="A139" i="42"/>
  <c r="A140" i="42"/>
  <c r="A141" i="42"/>
  <c r="A143" i="42"/>
  <c r="A144" i="42"/>
  <c r="A145" i="42"/>
  <c r="A146" i="42"/>
  <c r="D27" i="42"/>
  <c r="A27" i="42"/>
  <c r="D22" i="42"/>
  <c r="A22" i="42"/>
  <c r="D21" i="42"/>
  <c r="A21" i="42"/>
  <c r="A20" i="42"/>
  <c r="R19" i="206" l="1"/>
  <c r="Q19" i="206"/>
  <c r="P19" i="206"/>
  <c r="R18" i="206"/>
  <c r="Q18" i="206"/>
  <c r="P18" i="206"/>
  <c r="R17" i="206"/>
  <c r="Q17" i="206"/>
  <c r="P17" i="206"/>
  <c r="R16" i="206"/>
  <c r="Q16" i="206"/>
  <c r="P16" i="206"/>
  <c r="R15" i="206"/>
  <c r="Q15" i="206"/>
  <c r="P15" i="206"/>
  <c r="R14" i="206"/>
  <c r="Q14" i="206"/>
  <c r="P14" i="206"/>
  <c r="R13" i="206"/>
  <c r="Q13" i="206"/>
  <c r="P13" i="206"/>
  <c r="R12" i="206"/>
  <c r="Q12" i="206"/>
  <c r="P12" i="206"/>
  <c r="T11" i="206"/>
  <c r="R11" i="206"/>
  <c r="Q11" i="206"/>
  <c r="P11" i="206"/>
  <c r="T10" i="206"/>
  <c r="R10" i="206"/>
  <c r="Q10" i="206"/>
  <c r="P10" i="206"/>
  <c r="T9" i="206"/>
  <c r="D44" i="206" s="1"/>
  <c r="R9" i="206"/>
  <c r="Q9" i="206"/>
  <c r="P9" i="206"/>
  <c r="T8" i="206"/>
  <c r="R8" i="206"/>
  <c r="Q8" i="206"/>
  <c r="P8" i="206"/>
  <c r="T7" i="206"/>
  <c r="D21" i="206" s="1"/>
  <c r="R7" i="206"/>
  <c r="Q7" i="206"/>
  <c r="P7" i="206"/>
  <c r="T6" i="206"/>
  <c r="R6" i="206"/>
  <c r="Q6" i="206"/>
  <c r="P6" i="206"/>
  <c r="T5" i="206"/>
  <c r="R5" i="206"/>
  <c r="Q5" i="206"/>
  <c r="P5" i="206"/>
  <c r="T4" i="206"/>
  <c r="R4" i="206"/>
  <c r="Q4" i="206"/>
  <c r="P4" i="206"/>
  <c r="BA1" i="206"/>
  <c r="AZ1" i="206"/>
  <c r="AY1" i="206"/>
  <c r="AX1" i="206"/>
  <c r="AW1" i="206"/>
  <c r="AV1" i="206"/>
  <c r="AU1" i="206"/>
  <c r="AT1" i="206"/>
  <c r="AS1" i="206"/>
  <c r="AR1" i="206"/>
  <c r="AQ1" i="206"/>
  <c r="AP1" i="206"/>
  <c r="AO1" i="206"/>
  <c r="AN1" i="206"/>
  <c r="AM1" i="206"/>
  <c r="AL1" i="206"/>
  <c r="AK1" i="206"/>
  <c r="AJ1" i="206"/>
  <c r="AI1" i="206"/>
  <c r="AH1" i="206"/>
  <c r="AG1" i="206"/>
  <c r="AF1" i="206"/>
  <c r="AE1" i="206"/>
  <c r="AD1" i="206"/>
  <c r="AC1" i="206"/>
  <c r="AB1" i="206"/>
  <c r="AA1" i="206"/>
  <c r="Z1" i="206"/>
  <c r="Y1" i="206"/>
  <c r="X1" i="206"/>
  <c r="W1" i="206"/>
  <c r="V1" i="206"/>
  <c r="U1" i="206"/>
  <c r="T1" i="206"/>
  <c r="S1" i="206"/>
  <c r="R1" i="206"/>
  <c r="Q1" i="206"/>
  <c r="P1" i="206"/>
  <c r="R19" i="37"/>
  <c r="Q19" i="37"/>
  <c r="P19" i="37"/>
  <c r="R18" i="37"/>
  <c r="Q18" i="37"/>
  <c r="P18" i="37"/>
  <c r="R17" i="37"/>
  <c r="Q17" i="37"/>
  <c r="P17" i="37"/>
  <c r="R16" i="37"/>
  <c r="Q16" i="37"/>
  <c r="P16" i="37"/>
  <c r="R15" i="37"/>
  <c r="Q15" i="37"/>
  <c r="P15" i="37"/>
  <c r="R14" i="37"/>
  <c r="Q14" i="37"/>
  <c r="P14" i="37"/>
  <c r="R13" i="37"/>
  <c r="Q13" i="37"/>
  <c r="P13" i="37"/>
  <c r="R12" i="37"/>
  <c r="Q12" i="37"/>
  <c r="P12" i="37"/>
  <c r="R11" i="37"/>
  <c r="Q11" i="37"/>
  <c r="P11" i="37"/>
  <c r="R10" i="37"/>
  <c r="Q10" i="37"/>
  <c r="P10" i="37"/>
  <c r="R9" i="37"/>
  <c r="Q9" i="37"/>
  <c r="P9" i="37"/>
  <c r="R8" i="37"/>
  <c r="Q8" i="37"/>
  <c r="P8" i="37"/>
  <c r="T7" i="37"/>
  <c r="R7" i="37"/>
  <c r="Q7" i="37"/>
  <c r="P7" i="37"/>
  <c r="T6" i="37"/>
  <c r="R6" i="37"/>
  <c r="Q6" i="37"/>
  <c r="P6" i="37"/>
  <c r="T5" i="37"/>
  <c r="R5" i="37"/>
  <c r="Q5" i="37"/>
  <c r="P5" i="37"/>
  <c r="T4" i="37"/>
  <c r="R4" i="37"/>
  <c r="Q4" i="37"/>
  <c r="P4" i="37"/>
  <c r="BA1" i="37"/>
  <c r="AZ1" i="37"/>
  <c r="AY1" i="37"/>
  <c r="AX1" i="37"/>
  <c r="AW1" i="37"/>
  <c r="AV1" i="37"/>
  <c r="AU1" i="37"/>
  <c r="AT1" i="37"/>
  <c r="AS1" i="37"/>
  <c r="AR1" i="37"/>
  <c r="AQ1" i="37"/>
  <c r="AP1" i="37"/>
  <c r="AO1" i="37"/>
  <c r="AN1" i="37"/>
  <c r="AM1" i="37"/>
  <c r="AL1" i="37"/>
  <c r="AK1" i="37"/>
  <c r="AJ1" i="37"/>
  <c r="AI1" i="37"/>
  <c r="AH1" i="37"/>
  <c r="AG1" i="37"/>
  <c r="AF1" i="37"/>
  <c r="AE1" i="37"/>
  <c r="AD1" i="37"/>
  <c r="AC1" i="37"/>
  <c r="AB1" i="37"/>
  <c r="AA1" i="37"/>
  <c r="Z1" i="37"/>
  <c r="Y1" i="37"/>
  <c r="X1" i="37"/>
  <c r="W1" i="37"/>
  <c r="V1" i="37"/>
  <c r="U1" i="37"/>
  <c r="T1" i="37"/>
  <c r="S1" i="37"/>
  <c r="R1" i="37"/>
  <c r="Q1" i="37"/>
  <c r="P1" i="37"/>
  <c r="D29" i="206" l="1"/>
  <c r="D27" i="206"/>
  <c r="A61" i="228"/>
  <c r="A62" i="228"/>
  <c r="A63" i="228"/>
  <c r="D42" i="228"/>
  <c r="A39" i="228"/>
  <c r="D52" i="228"/>
  <c r="D65" i="228"/>
  <c r="A59" i="228"/>
  <c r="A60" i="228"/>
  <c r="A64" i="228"/>
  <c r="A65" i="228"/>
  <c r="A66" i="228"/>
  <c r="A67" i="228"/>
  <c r="A68" i="228"/>
  <c r="A69" i="228"/>
  <c r="A70" i="228"/>
  <c r="A58" i="228"/>
  <c r="A49" i="228"/>
  <c r="A50" i="228"/>
  <c r="A51" i="228"/>
  <c r="A52" i="228"/>
  <c r="A53" i="228"/>
  <c r="A54" i="228"/>
  <c r="A55" i="228"/>
  <c r="A56" i="228"/>
  <c r="A57" i="228"/>
  <c r="A48" i="228"/>
  <c r="A40" i="228"/>
  <c r="A41" i="228"/>
  <c r="A42" i="228"/>
  <c r="A43" i="228"/>
  <c r="A44" i="228"/>
  <c r="A45" i="228"/>
  <c r="A46" i="228"/>
  <c r="A47" i="228"/>
  <c r="A38" i="228"/>
  <c r="A32" i="228"/>
  <c r="A33" i="228"/>
  <c r="A34" i="228"/>
  <c r="A35" i="228"/>
  <c r="A36" i="228"/>
  <c r="A37" i="228"/>
  <c r="A31" i="228"/>
  <c r="E35" i="228"/>
  <c r="H34" i="228"/>
  <c r="E34" i="228"/>
  <c r="E33" i="228"/>
  <c r="E32" i="228"/>
  <c r="D31" i="228"/>
  <c r="A30" i="228"/>
  <c r="A29" i="228"/>
  <c r="E28" i="228"/>
  <c r="A28" i="228"/>
  <c r="H27" i="228"/>
  <c r="E27" i="228"/>
  <c r="A27" i="228"/>
  <c r="E26" i="228"/>
  <c r="A26" i="228"/>
  <c r="E25" i="228"/>
  <c r="A25" i="228"/>
  <c r="D24" i="228"/>
  <c r="A24" i="228"/>
  <c r="A23" i="228"/>
  <c r="A22" i="228"/>
  <c r="D21" i="228"/>
  <c r="A21" i="228"/>
  <c r="D20" i="228"/>
  <c r="A20" i="228"/>
  <c r="R19" i="228"/>
  <c r="D40" i="228" s="1"/>
  <c r="Q19" i="228"/>
  <c r="D38" i="228" s="1"/>
  <c r="P19" i="228"/>
  <c r="R18" i="228"/>
  <c r="Q18" i="228"/>
  <c r="P18" i="228"/>
  <c r="R17" i="228"/>
  <c r="Q17" i="228"/>
  <c r="P17" i="228"/>
  <c r="R16" i="228"/>
  <c r="Q16" i="228"/>
  <c r="P16" i="228"/>
  <c r="R15" i="228"/>
  <c r="Q15" i="228"/>
  <c r="P15" i="228"/>
  <c r="R14" i="228"/>
  <c r="Q14" i="228"/>
  <c r="P14" i="228"/>
  <c r="R13" i="228"/>
  <c r="Q13" i="228"/>
  <c r="P13" i="228"/>
  <c r="R12" i="228"/>
  <c r="Q12" i="228"/>
  <c r="P12" i="228"/>
  <c r="R11" i="228"/>
  <c r="Q11" i="228"/>
  <c r="P11" i="228"/>
  <c r="R10" i="228"/>
  <c r="Q10" i="228"/>
  <c r="P10" i="228"/>
  <c r="R9" i="228"/>
  <c r="Q9" i="228"/>
  <c r="H25" i="228" s="1"/>
  <c r="P9" i="228"/>
  <c r="R8" i="228"/>
  <c r="Q8" i="228"/>
  <c r="P8" i="228"/>
  <c r="T7" i="228"/>
  <c r="D23" i="228" s="1"/>
  <c r="R7" i="228"/>
  <c r="Q7" i="228"/>
  <c r="P7" i="228"/>
  <c r="T6" i="228"/>
  <c r="R6" i="228"/>
  <c r="Q6" i="228"/>
  <c r="P6" i="228"/>
  <c r="T5" i="228"/>
  <c r="D28" i="228" s="1"/>
  <c r="R5" i="228"/>
  <c r="Q5" i="228"/>
  <c r="P5" i="228"/>
  <c r="T4" i="228"/>
  <c r="R4" i="228"/>
  <c r="Q4" i="228"/>
  <c r="P4" i="228"/>
  <c r="BA1" i="228"/>
  <c r="AZ1" i="228"/>
  <c r="AY1" i="228"/>
  <c r="AX1" i="228"/>
  <c r="AW1" i="228"/>
  <c r="AV1" i="228"/>
  <c r="AU1" i="228"/>
  <c r="AT1" i="228"/>
  <c r="AS1" i="228"/>
  <c r="AR1" i="228"/>
  <c r="AQ1" i="228"/>
  <c r="AP1" i="228"/>
  <c r="AO1" i="228"/>
  <c r="AN1" i="228"/>
  <c r="AM1" i="228"/>
  <c r="AL1" i="228"/>
  <c r="AK1" i="228"/>
  <c r="AJ1" i="228"/>
  <c r="AI1" i="228"/>
  <c r="AH1" i="228"/>
  <c r="AG1" i="228"/>
  <c r="AF1" i="228"/>
  <c r="AE1" i="228"/>
  <c r="AD1" i="228"/>
  <c r="AC1" i="228"/>
  <c r="AB1" i="228"/>
  <c r="AA1" i="228"/>
  <c r="Z1" i="228"/>
  <c r="Y1" i="228"/>
  <c r="X1" i="228"/>
  <c r="W1" i="228"/>
  <c r="V1" i="228"/>
  <c r="U1" i="228"/>
  <c r="T1" i="228"/>
  <c r="S1" i="228"/>
  <c r="R1" i="228"/>
  <c r="Q1" i="228"/>
  <c r="P1" i="228"/>
  <c r="A14" i="229"/>
  <c r="A13" i="229"/>
  <c r="A12" i="229"/>
  <c r="A11" i="229"/>
  <c r="A10" i="229"/>
  <c r="A9" i="229"/>
  <c r="A8" i="229"/>
  <c r="A7" i="229"/>
  <c r="A6" i="229"/>
  <c r="A5" i="229"/>
  <c r="A4" i="229"/>
  <c r="A3" i="229"/>
  <c r="D61" i="228" l="1"/>
  <c r="D63" i="228"/>
  <c r="D48" i="228"/>
  <c r="D58" i="228"/>
  <c r="D50" i="228"/>
  <c r="D60" i="228"/>
  <c r="D35" i="228"/>
  <c r="H32" i="228"/>
  <c r="K53" i="227"/>
  <c r="J53" i="227"/>
  <c r="K52" i="227"/>
  <c r="J52" i="227"/>
  <c r="K51" i="227"/>
  <c r="J51" i="227"/>
  <c r="X3" i="227"/>
  <c r="L53" i="227" s="1"/>
  <c r="S3" i="227"/>
  <c r="T3" i="227"/>
  <c r="U3" i="227"/>
  <c r="V3" i="227"/>
  <c r="W3" i="227"/>
  <c r="F52" i="227"/>
  <c r="A50" i="227"/>
  <c r="N41" i="227"/>
  <c r="M41" i="227"/>
  <c r="N40" i="227"/>
  <c r="M40" i="227"/>
  <c r="N39" i="227"/>
  <c r="M39" i="227"/>
  <c r="N38" i="227"/>
  <c r="M38" i="227"/>
  <c r="N37" i="227"/>
  <c r="M37" i="227"/>
  <c r="N36" i="227"/>
  <c r="M36" i="227"/>
  <c r="N35" i="227"/>
  <c r="M35" i="227"/>
  <c r="N34" i="227"/>
  <c r="M34" i="227"/>
  <c r="BE33" i="227"/>
  <c r="BD33" i="227"/>
  <c r="BC33" i="227"/>
  <c r="BB33" i="227"/>
  <c r="BA33" i="227"/>
  <c r="AZ33" i="227"/>
  <c r="AY33" i="227"/>
  <c r="AX33" i="227"/>
  <c r="AW33" i="227"/>
  <c r="AV33" i="227"/>
  <c r="AU33" i="227"/>
  <c r="AT33" i="227"/>
  <c r="AS33" i="227"/>
  <c r="AR33" i="227"/>
  <c r="AQ33" i="227"/>
  <c r="AP33" i="227"/>
  <c r="AO33" i="227"/>
  <c r="AN33" i="227"/>
  <c r="AM33" i="227"/>
  <c r="AL33" i="227"/>
  <c r="AK33" i="227"/>
  <c r="AJ33" i="227"/>
  <c r="AI33" i="227"/>
  <c r="AH33" i="227"/>
  <c r="AG33" i="227"/>
  <c r="AF33" i="227"/>
  <c r="AE33" i="227"/>
  <c r="N33" i="227"/>
  <c r="M33" i="227"/>
  <c r="BE32" i="227"/>
  <c r="BD32" i="227"/>
  <c r="BC32" i="227"/>
  <c r="BB32" i="227"/>
  <c r="BA32" i="227"/>
  <c r="AZ32" i="227"/>
  <c r="AY32" i="227"/>
  <c r="AX32" i="227"/>
  <c r="AW32" i="227"/>
  <c r="AV32" i="227"/>
  <c r="AU32" i="227"/>
  <c r="AT32" i="227"/>
  <c r="AS32" i="227"/>
  <c r="AR32" i="227"/>
  <c r="AQ32" i="227"/>
  <c r="AP32" i="227"/>
  <c r="AO32" i="227"/>
  <c r="AN32" i="227"/>
  <c r="AM32" i="227"/>
  <c r="AL32" i="227"/>
  <c r="AK32" i="227"/>
  <c r="AJ32" i="227"/>
  <c r="AI32" i="227"/>
  <c r="AH32" i="227"/>
  <c r="AG32" i="227"/>
  <c r="AF32" i="227"/>
  <c r="AE32" i="227"/>
  <c r="N32" i="227"/>
  <c r="M32" i="227"/>
  <c r="BE31" i="227"/>
  <c r="BD31" i="227"/>
  <c r="BC31" i="227"/>
  <c r="BB31" i="227"/>
  <c r="BA31" i="227"/>
  <c r="AZ31" i="227"/>
  <c r="AY31" i="227"/>
  <c r="AX31" i="227"/>
  <c r="AW31" i="227"/>
  <c r="AV31" i="227"/>
  <c r="AU31" i="227"/>
  <c r="AT31" i="227"/>
  <c r="AS31" i="227"/>
  <c r="AR31" i="227"/>
  <c r="AQ31" i="227"/>
  <c r="AP31" i="227"/>
  <c r="AO31" i="227"/>
  <c r="AN31" i="227"/>
  <c r="AM31" i="227"/>
  <c r="AL31" i="227"/>
  <c r="AK31" i="227"/>
  <c r="AJ31" i="227"/>
  <c r="AI31" i="227"/>
  <c r="AH31" i="227"/>
  <c r="AG31" i="227"/>
  <c r="AF31" i="227"/>
  <c r="AE31" i="227"/>
  <c r="N31" i="227"/>
  <c r="M31" i="227"/>
  <c r="BE30" i="227"/>
  <c r="BD30" i="227"/>
  <c r="BC30" i="227"/>
  <c r="BB30" i="227"/>
  <c r="BA30" i="227"/>
  <c r="AZ30" i="227"/>
  <c r="AY30" i="227"/>
  <c r="AX30" i="227"/>
  <c r="AW30" i="227"/>
  <c r="AV30" i="227"/>
  <c r="AU30" i="227"/>
  <c r="AT30" i="227"/>
  <c r="AS30" i="227"/>
  <c r="AR30" i="227"/>
  <c r="AQ30" i="227"/>
  <c r="AP30" i="227"/>
  <c r="AO30" i="227"/>
  <c r="AN30" i="227"/>
  <c r="AM30" i="227"/>
  <c r="AL30" i="227"/>
  <c r="AK30" i="227"/>
  <c r="AJ30" i="227"/>
  <c r="AI30" i="227"/>
  <c r="AH30" i="227"/>
  <c r="AG30" i="227"/>
  <c r="AF30" i="227"/>
  <c r="AE30" i="227"/>
  <c r="N30" i="227"/>
  <c r="M30" i="227"/>
  <c r="BE29" i="227"/>
  <c r="BD29" i="227"/>
  <c r="BC29" i="227"/>
  <c r="BB29" i="227"/>
  <c r="BA29" i="227"/>
  <c r="AZ29" i="227"/>
  <c r="AY29" i="227"/>
  <c r="AX29" i="227"/>
  <c r="AW29" i="227"/>
  <c r="AV29" i="227"/>
  <c r="AU29" i="227"/>
  <c r="AT29" i="227"/>
  <c r="AS29" i="227"/>
  <c r="AR29" i="227"/>
  <c r="AQ29" i="227"/>
  <c r="AP29" i="227"/>
  <c r="AO29" i="227"/>
  <c r="AN29" i="227"/>
  <c r="AM29" i="227"/>
  <c r="AL29" i="227"/>
  <c r="AK29" i="227"/>
  <c r="AJ29" i="227"/>
  <c r="AI29" i="227"/>
  <c r="AH29" i="227"/>
  <c r="AG29" i="227"/>
  <c r="AF29" i="227"/>
  <c r="AE29" i="227"/>
  <c r="N29" i="227"/>
  <c r="M29" i="227"/>
  <c r="BE28" i="227"/>
  <c r="BD28" i="227"/>
  <c r="BC28" i="227"/>
  <c r="BB28" i="227"/>
  <c r="BA28" i="227"/>
  <c r="AZ28" i="227"/>
  <c r="AY28" i="227"/>
  <c r="AX28" i="227"/>
  <c r="AW28" i="227"/>
  <c r="AV28" i="227"/>
  <c r="AU28" i="227"/>
  <c r="AT28" i="227"/>
  <c r="AS28" i="227"/>
  <c r="AR28" i="227"/>
  <c r="AQ28" i="227"/>
  <c r="AP28" i="227"/>
  <c r="AO28" i="227"/>
  <c r="AN28" i="227"/>
  <c r="AM28" i="227"/>
  <c r="AL28" i="227"/>
  <c r="AK28" i="227"/>
  <c r="AJ28" i="227"/>
  <c r="AI28" i="227"/>
  <c r="AH28" i="227"/>
  <c r="AG28" i="227"/>
  <c r="AF28" i="227"/>
  <c r="AE28" i="227"/>
  <c r="N28" i="227"/>
  <c r="M28" i="227"/>
  <c r="BE27" i="227"/>
  <c r="BD27" i="227"/>
  <c r="BC27" i="227"/>
  <c r="BB27" i="227"/>
  <c r="BA27" i="227"/>
  <c r="AZ27" i="227"/>
  <c r="AY27" i="227"/>
  <c r="AX27" i="227"/>
  <c r="AW27" i="227"/>
  <c r="AV27" i="227"/>
  <c r="AU27" i="227"/>
  <c r="AT27" i="227"/>
  <c r="AS27" i="227"/>
  <c r="AR27" i="227"/>
  <c r="AQ27" i="227"/>
  <c r="AP27" i="227"/>
  <c r="AO27" i="227"/>
  <c r="AN27" i="227"/>
  <c r="AM27" i="227"/>
  <c r="AL27" i="227"/>
  <c r="AK27" i="227"/>
  <c r="AJ27" i="227"/>
  <c r="AI27" i="227"/>
  <c r="AH27" i="227"/>
  <c r="AG27" i="227"/>
  <c r="AF27" i="227"/>
  <c r="AE27" i="227"/>
  <c r="N27" i="227"/>
  <c r="M27" i="227"/>
  <c r="BE26" i="227"/>
  <c r="BD26" i="227"/>
  <c r="BC26" i="227"/>
  <c r="BB26" i="227"/>
  <c r="BA26" i="227"/>
  <c r="AZ26" i="227"/>
  <c r="AY26" i="227"/>
  <c r="AX26" i="227"/>
  <c r="AW26" i="227"/>
  <c r="AV26" i="227"/>
  <c r="AU26" i="227"/>
  <c r="AT26" i="227"/>
  <c r="AS26" i="227"/>
  <c r="AR26" i="227"/>
  <c r="AQ26" i="227"/>
  <c r="AP26" i="227"/>
  <c r="AO26" i="227"/>
  <c r="AN26" i="227"/>
  <c r="AM26" i="227"/>
  <c r="AL26" i="227"/>
  <c r="AK26" i="227"/>
  <c r="AJ26" i="227"/>
  <c r="AI26" i="227"/>
  <c r="AH26" i="227"/>
  <c r="AG26" i="227"/>
  <c r="AF26" i="227"/>
  <c r="AE26" i="227"/>
  <c r="N26" i="227"/>
  <c r="M26" i="227"/>
  <c r="BE25" i="227"/>
  <c r="BD25" i="227"/>
  <c r="BC25" i="227"/>
  <c r="BB25" i="227"/>
  <c r="BA25" i="227"/>
  <c r="AZ25" i="227"/>
  <c r="AY25" i="227"/>
  <c r="AX25" i="227"/>
  <c r="AW25" i="227"/>
  <c r="AV25" i="227"/>
  <c r="AU25" i="227"/>
  <c r="AT25" i="227"/>
  <c r="AS25" i="227"/>
  <c r="AR25" i="227"/>
  <c r="AQ25" i="227"/>
  <c r="AP25" i="227"/>
  <c r="AO25" i="227"/>
  <c r="AN25" i="227"/>
  <c r="AM25" i="227"/>
  <c r="AL25" i="227"/>
  <c r="AK25" i="227"/>
  <c r="AJ25" i="227"/>
  <c r="AI25" i="227"/>
  <c r="AH25" i="227"/>
  <c r="AG25" i="227"/>
  <c r="AF25" i="227"/>
  <c r="AE25" i="227"/>
  <c r="N25" i="227"/>
  <c r="M25" i="227"/>
  <c r="BE24" i="227"/>
  <c r="BD24" i="227"/>
  <c r="BC24" i="227"/>
  <c r="BB24" i="227"/>
  <c r="BA24" i="227"/>
  <c r="AZ24" i="227"/>
  <c r="AY24" i="227"/>
  <c r="AX24" i="227"/>
  <c r="AW24" i="227"/>
  <c r="AV24" i="227"/>
  <c r="AU24" i="227"/>
  <c r="AT24" i="227"/>
  <c r="AS24" i="227"/>
  <c r="AR24" i="227"/>
  <c r="AQ24" i="227"/>
  <c r="AP24" i="227"/>
  <c r="AO24" i="227"/>
  <c r="AN24" i="227"/>
  <c r="AM24" i="227"/>
  <c r="AL24" i="227"/>
  <c r="AK24" i="227"/>
  <c r="AJ24" i="227"/>
  <c r="AI24" i="227"/>
  <c r="AH24" i="227"/>
  <c r="AG24" i="227"/>
  <c r="AF24" i="227"/>
  <c r="AE24" i="227"/>
  <c r="N24" i="227"/>
  <c r="M24" i="227"/>
  <c r="BE23" i="227"/>
  <c r="BD23" i="227"/>
  <c r="BC23" i="227"/>
  <c r="BB23" i="227"/>
  <c r="BA23" i="227"/>
  <c r="AZ23" i="227"/>
  <c r="AY23" i="227"/>
  <c r="AX23" i="227"/>
  <c r="AW23" i="227"/>
  <c r="AV23" i="227"/>
  <c r="AU23" i="227"/>
  <c r="AT23" i="227"/>
  <c r="AS23" i="227"/>
  <c r="AR23" i="227"/>
  <c r="AQ23" i="227"/>
  <c r="AP23" i="227"/>
  <c r="AO23" i="227"/>
  <c r="AN23" i="227"/>
  <c r="AM23" i="227"/>
  <c r="AL23" i="227"/>
  <c r="AK23" i="227"/>
  <c r="AJ23" i="227"/>
  <c r="AI23" i="227"/>
  <c r="AH23" i="227"/>
  <c r="AG23" i="227"/>
  <c r="AF23" i="227"/>
  <c r="AE23" i="227"/>
  <c r="N23" i="227"/>
  <c r="M23" i="227"/>
  <c r="BE22" i="227"/>
  <c r="BD22" i="227"/>
  <c r="BC22" i="227"/>
  <c r="BB22" i="227"/>
  <c r="BA22" i="227"/>
  <c r="AZ22" i="227"/>
  <c r="AY22" i="227"/>
  <c r="AX22" i="227"/>
  <c r="AW22" i="227"/>
  <c r="AV22" i="227"/>
  <c r="AU22" i="227"/>
  <c r="AT22" i="227"/>
  <c r="AS22" i="227"/>
  <c r="AR22" i="227"/>
  <c r="AQ22" i="227"/>
  <c r="AP22" i="227"/>
  <c r="AO22" i="227"/>
  <c r="AN22" i="227"/>
  <c r="AM22" i="227"/>
  <c r="AL22" i="227"/>
  <c r="AK22" i="227"/>
  <c r="AJ22" i="227"/>
  <c r="AI22" i="227"/>
  <c r="AH22" i="227"/>
  <c r="AG22" i="227"/>
  <c r="AF22" i="227"/>
  <c r="AE22" i="227"/>
  <c r="N22" i="227"/>
  <c r="M22" i="227"/>
  <c r="BE21" i="227"/>
  <c r="BD21" i="227"/>
  <c r="BC21" i="227"/>
  <c r="BB21" i="227"/>
  <c r="BA21" i="227"/>
  <c r="AZ21" i="227"/>
  <c r="AY21" i="227"/>
  <c r="AX21" i="227"/>
  <c r="AW21" i="227"/>
  <c r="AV21" i="227"/>
  <c r="AU21" i="227"/>
  <c r="AT21" i="227"/>
  <c r="AS21" i="227"/>
  <c r="AR21" i="227"/>
  <c r="AQ21" i="227"/>
  <c r="AP21" i="227"/>
  <c r="AO21" i="227"/>
  <c r="AN21" i="227"/>
  <c r="AM21" i="227"/>
  <c r="AL21" i="227"/>
  <c r="AK21" i="227"/>
  <c r="AJ21" i="227"/>
  <c r="AI21" i="227"/>
  <c r="AH21" i="227"/>
  <c r="AG21" i="227"/>
  <c r="AF21" i="227"/>
  <c r="AE21" i="227"/>
  <c r="N21" i="227"/>
  <c r="M21" i="227"/>
  <c r="BE20" i="227"/>
  <c r="BD20" i="227"/>
  <c r="BC20" i="227"/>
  <c r="BB20" i="227"/>
  <c r="BA20" i="227"/>
  <c r="AZ20" i="227"/>
  <c r="AY20" i="227"/>
  <c r="AX20" i="227"/>
  <c r="AW20" i="227"/>
  <c r="AV20" i="227"/>
  <c r="AU20" i="227"/>
  <c r="AT20" i="227"/>
  <c r="AS20" i="227"/>
  <c r="AR20" i="227"/>
  <c r="AQ20" i="227"/>
  <c r="AP20" i="227"/>
  <c r="AO20" i="227"/>
  <c r="AN20" i="227"/>
  <c r="AM20" i="227"/>
  <c r="AL20" i="227"/>
  <c r="AK20" i="227"/>
  <c r="AJ20" i="227"/>
  <c r="AI20" i="227"/>
  <c r="AH20" i="227"/>
  <c r="AG20" i="227"/>
  <c r="AF20" i="227"/>
  <c r="AE20" i="227"/>
  <c r="N20" i="227"/>
  <c r="M20" i="227"/>
  <c r="BE19" i="227"/>
  <c r="BD19" i="227"/>
  <c r="BC19" i="227"/>
  <c r="BB19" i="227"/>
  <c r="BA19" i="227"/>
  <c r="AZ19" i="227"/>
  <c r="AY19" i="227"/>
  <c r="AX19" i="227"/>
  <c r="AW19" i="227"/>
  <c r="AV19" i="227"/>
  <c r="AU19" i="227"/>
  <c r="AT19" i="227"/>
  <c r="AS19" i="227"/>
  <c r="AR19" i="227"/>
  <c r="AQ19" i="227"/>
  <c r="AP19" i="227"/>
  <c r="AO19" i="227"/>
  <c r="AN19" i="227"/>
  <c r="AM19" i="227"/>
  <c r="AL19" i="227"/>
  <c r="AK19" i="227"/>
  <c r="AJ19" i="227"/>
  <c r="AI19" i="227"/>
  <c r="AH19" i="227"/>
  <c r="AG19" i="227"/>
  <c r="AF19" i="227"/>
  <c r="AE19" i="227"/>
  <c r="N19" i="227"/>
  <c r="M19" i="227"/>
  <c r="BE18" i="227"/>
  <c r="BD18" i="227"/>
  <c r="BC18" i="227"/>
  <c r="BB18" i="227"/>
  <c r="BA18" i="227"/>
  <c r="AZ18" i="227"/>
  <c r="AY18" i="227"/>
  <c r="AX18" i="227"/>
  <c r="AW18" i="227"/>
  <c r="AV18" i="227"/>
  <c r="AU18" i="227"/>
  <c r="AT18" i="227"/>
  <c r="AS18" i="227"/>
  <c r="AR18" i="227"/>
  <c r="AQ18" i="227"/>
  <c r="AP18" i="227"/>
  <c r="AO18" i="227"/>
  <c r="AN18" i="227"/>
  <c r="AM18" i="227"/>
  <c r="AL18" i="227"/>
  <c r="AK18" i="227"/>
  <c r="AJ18" i="227"/>
  <c r="AI18" i="227"/>
  <c r="AH18" i="227"/>
  <c r="AG18" i="227"/>
  <c r="AF18" i="227"/>
  <c r="AE18" i="227"/>
  <c r="N18" i="227"/>
  <c r="M18" i="227"/>
  <c r="BE17" i="227"/>
  <c r="BD17" i="227"/>
  <c r="BC17" i="227"/>
  <c r="BB17" i="227"/>
  <c r="BA17" i="227"/>
  <c r="AZ17" i="227"/>
  <c r="AY17" i="227"/>
  <c r="AX17" i="227"/>
  <c r="AW17" i="227"/>
  <c r="AV17" i="227"/>
  <c r="AU17" i="227"/>
  <c r="AT17" i="227"/>
  <c r="AS17" i="227"/>
  <c r="AR17" i="227"/>
  <c r="AQ17" i="227"/>
  <c r="AP17" i="227"/>
  <c r="AO17" i="227"/>
  <c r="AN17" i="227"/>
  <c r="AM17" i="227"/>
  <c r="AL17" i="227"/>
  <c r="AK17" i="227"/>
  <c r="AJ17" i="227"/>
  <c r="AI17" i="227"/>
  <c r="AH17" i="227"/>
  <c r="AG17" i="227"/>
  <c r="AF17" i="227"/>
  <c r="AE17" i="227"/>
  <c r="N17" i="227"/>
  <c r="M17" i="227"/>
  <c r="BE16" i="227"/>
  <c r="BD16" i="227"/>
  <c r="BC16" i="227"/>
  <c r="BB16" i="227"/>
  <c r="BA16" i="227"/>
  <c r="AZ16" i="227"/>
  <c r="AY16" i="227"/>
  <c r="AX16" i="227"/>
  <c r="AW16" i="227"/>
  <c r="AV16" i="227"/>
  <c r="AU16" i="227"/>
  <c r="AT16" i="227"/>
  <c r="AS16" i="227"/>
  <c r="AR16" i="227"/>
  <c r="AQ16" i="227"/>
  <c r="AP16" i="227"/>
  <c r="AO16" i="227"/>
  <c r="AN16" i="227"/>
  <c r="AM16" i="227"/>
  <c r="AL16" i="227"/>
  <c r="AK16" i="227"/>
  <c r="AJ16" i="227"/>
  <c r="AI16" i="227"/>
  <c r="AH16" i="227"/>
  <c r="AG16" i="227"/>
  <c r="AF16" i="227"/>
  <c r="AE16" i="227"/>
  <c r="N16" i="227"/>
  <c r="M16" i="227"/>
  <c r="BE15" i="227"/>
  <c r="BD15" i="227"/>
  <c r="BC15" i="227"/>
  <c r="BB15" i="227"/>
  <c r="BA15" i="227"/>
  <c r="AZ15" i="227"/>
  <c r="AY15" i="227"/>
  <c r="AX15" i="227"/>
  <c r="AW15" i="227"/>
  <c r="AV15" i="227"/>
  <c r="AU15" i="227"/>
  <c r="AT15" i="227"/>
  <c r="AS15" i="227"/>
  <c r="AR15" i="227"/>
  <c r="AQ15" i="227"/>
  <c r="AP15" i="227"/>
  <c r="AO15" i="227"/>
  <c r="AN15" i="227"/>
  <c r="AM15" i="227"/>
  <c r="AL15" i="227"/>
  <c r="AK15" i="227"/>
  <c r="AJ15" i="227"/>
  <c r="AI15" i="227"/>
  <c r="AH15" i="227"/>
  <c r="AG15" i="227"/>
  <c r="AF15" i="227"/>
  <c r="AE15" i="227"/>
  <c r="N15" i="227"/>
  <c r="M15" i="227"/>
  <c r="BE14" i="227"/>
  <c r="BD14" i="227"/>
  <c r="BC14" i="227"/>
  <c r="BB14" i="227"/>
  <c r="BA14" i="227"/>
  <c r="AZ14" i="227"/>
  <c r="AY14" i="227"/>
  <c r="AX14" i="227"/>
  <c r="AW14" i="227"/>
  <c r="AV14" i="227"/>
  <c r="AU14" i="227"/>
  <c r="AT14" i="227"/>
  <c r="AS14" i="227"/>
  <c r="AR14" i="227"/>
  <c r="AQ14" i="227"/>
  <c r="AP14" i="227"/>
  <c r="AO14" i="227"/>
  <c r="AN14" i="227"/>
  <c r="AM14" i="227"/>
  <c r="AL14" i="227"/>
  <c r="AK14" i="227"/>
  <c r="AJ14" i="227"/>
  <c r="AI14" i="227"/>
  <c r="AH14" i="227"/>
  <c r="AG14" i="227"/>
  <c r="AF14" i="227"/>
  <c r="AE14" i="227"/>
  <c r="N14" i="227"/>
  <c r="M14" i="227"/>
  <c r="BE13" i="227"/>
  <c r="BD13" i="227"/>
  <c r="BC13" i="227"/>
  <c r="BB13" i="227"/>
  <c r="BA13" i="227"/>
  <c r="AZ13" i="227"/>
  <c r="AY13" i="227"/>
  <c r="AX13" i="227"/>
  <c r="AW13" i="227"/>
  <c r="AV13" i="227"/>
  <c r="AU13" i="227"/>
  <c r="AT13" i="227"/>
  <c r="AS13" i="227"/>
  <c r="AR13" i="227"/>
  <c r="AQ13" i="227"/>
  <c r="AP13" i="227"/>
  <c r="AO13" i="227"/>
  <c r="AN13" i="227"/>
  <c r="AM13" i="227"/>
  <c r="AL13" i="227"/>
  <c r="AK13" i="227"/>
  <c r="AJ13" i="227"/>
  <c r="AI13" i="227"/>
  <c r="AH13" i="227"/>
  <c r="AG13" i="227"/>
  <c r="AF13" i="227"/>
  <c r="AE13" i="227"/>
  <c r="N13" i="227"/>
  <c r="M13" i="227"/>
  <c r="BE12" i="227"/>
  <c r="BD12" i="227"/>
  <c r="BC12" i="227"/>
  <c r="BB12" i="227"/>
  <c r="BA12" i="227"/>
  <c r="AZ12" i="227"/>
  <c r="AY12" i="227"/>
  <c r="AX12" i="227"/>
  <c r="AW12" i="227"/>
  <c r="AV12" i="227"/>
  <c r="AU12" i="227"/>
  <c r="AT12" i="227"/>
  <c r="AS12" i="227"/>
  <c r="AR12" i="227"/>
  <c r="AQ12" i="227"/>
  <c r="AP12" i="227"/>
  <c r="AO12" i="227"/>
  <c r="AN12" i="227"/>
  <c r="AM12" i="227"/>
  <c r="AL12" i="227"/>
  <c r="AK12" i="227"/>
  <c r="AJ12" i="227"/>
  <c r="AI12" i="227"/>
  <c r="AH12" i="227"/>
  <c r="AG12" i="227"/>
  <c r="AF12" i="227"/>
  <c r="AE12" i="227"/>
  <c r="N12" i="227"/>
  <c r="M12" i="227"/>
  <c r="BE11" i="227"/>
  <c r="BD11" i="227"/>
  <c r="BC11" i="227"/>
  <c r="BB11" i="227"/>
  <c r="BA11" i="227"/>
  <c r="AZ11" i="227"/>
  <c r="AY11" i="227"/>
  <c r="AX11" i="227"/>
  <c r="AW11" i="227"/>
  <c r="AV11" i="227"/>
  <c r="AU11" i="227"/>
  <c r="AT11" i="227"/>
  <c r="AS11" i="227"/>
  <c r="AR11" i="227"/>
  <c r="AQ11" i="227"/>
  <c r="AP11" i="227"/>
  <c r="AO11" i="227"/>
  <c r="AN11" i="227"/>
  <c r="AM11" i="227"/>
  <c r="AL11" i="227"/>
  <c r="AK11" i="227"/>
  <c r="AJ11" i="227"/>
  <c r="AI11" i="227"/>
  <c r="AH11" i="227"/>
  <c r="AG11" i="227"/>
  <c r="AF11" i="227"/>
  <c r="AE11" i="227"/>
  <c r="N11" i="227"/>
  <c r="M11" i="227"/>
  <c r="BE10" i="227"/>
  <c r="BD10" i="227"/>
  <c r="BC10" i="227"/>
  <c r="BB10" i="227"/>
  <c r="BA10" i="227"/>
  <c r="AZ10" i="227"/>
  <c r="AY10" i="227"/>
  <c r="AX10" i="227"/>
  <c r="AW10" i="227"/>
  <c r="AV10" i="227"/>
  <c r="AU10" i="227"/>
  <c r="AT10" i="227"/>
  <c r="AS10" i="227"/>
  <c r="AR10" i="227"/>
  <c r="AQ10" i="227"/>
  <c r="AP10" i="227"/>
  <c r="AO10" i="227"/>
  <c r="AN10" i="227"/>
  <c r="AM10" i="227"/>
  <c r="AL10" i="227"/>
  <c r="AK10" i="227"/>
  <c r="AJ10" i="227"/>
  <c r="AI10" i="227"/>
  <c r="AH10" i="227"/>
  <c r="AG10" i="227"/>
  <c r="AF10" i="227"/>
  <c r="AE10" i="227"/>
  <c r="N10" i="227"/>
  <c r="M10" i="227"/>
  <c r="BE9" i="227"/>
  <c r="BD9" i="227"/>
  <c r="BC9" i="227"/>
  <c r="BB9" i="227"/>
  <c r="BA9" i="227"/>
  <c r="AZ9" i="227"/>
  <c r="AY9" i="227"/>
  <c r="AX9" i="227"/>
  <c r="AW9" i="227"/>
  <c r="AV9" i="227"/>
  <c r="AU9" i="227"/>
  <c r="AT9" i="227"/>
  <c r="AS9" i="227"/>
  <c r="AR9" i="227"/>
  <c r="AQ9" i="227"/>
  <c r="AP9" i="227"/>
  <c r="AO9" i="227"/>
  <c r="AN9" i="227"/>
  <c r="AM9" i="227"/>
  <c r="AL9" i="227"/>
  <c r="AK9" i="227"/>
  <c r="AJ9" i="227"/>
  <c r="AI9" i="227"/>
  <c r="AH9" i="227"/>
  <c r="AG9" i="227"/>
  <c r="AF9" i="227"/>
  <c r="AE9" i="227"/>
  <c r="N9" i="227"/>
  <c r="M9" i="227"/>
  <c r="BE8" i="227"/>
  <c r="BD8" i="227"/>
  <c r="BC8" i="227"/>
  <c r="BB8" i="227"/>
  <c r="BA8" i="227"/>
  <c r="AZ8" i="227"/>
  <c r="AY8" i="227"/>
  <c r="AX8" i="227"/>
  <c r="AW8" i="227"/>
  <c r="AV8" i="227"/>
  <c r="AU8" i="227"/>
  <c r="AT8" i="227"/>
  <c r="AS8" i="227"/>
  <c r="AR8" i="227"/>
  <c r="AQ8" i="227"/>
  <c r="AP8" i="227"/>
  <c r="AO8" i="227"/>
  <c r="AN8" i="227"/>
  <c r="AM8" i="227"/>
  <c r="AL8" i="227"/>
  <c r="AK8" i="227"/>
  <c r="AJ8" i="227"/>
  <c r="AI8" i="227"/>
  <c r="AH8" i="227"/>
  <c r="AG8" i="227"/>
  <c r="AF8" i="227"/>
  <c r="AE8" i="227"/>
  <c r="N8" i="227"/>
  <c r="M8" i="227"/>
  <c r="BE7" i="227"/>
  <c r="BD7" i="227"/>
  <c r="BC7" i="227"/>
  <c r="BB7" i="227"/>
  <c r="BA7" i="227"/>
  <c r="AZ7" i="227"/>
  <c r="AY7" i="227"/>
  <c r="AX7" i="227"/>
  <c r="AW7" i="227"/>
  <c r="AV7" i="227"/>
  <c r="AU7" i="227"/>
  <c r="AT7" i="227"/>
  <c r="AS7" i="227"/>
  <c r="AR7" i="227"/>
  <c r="AQ7" i="227"/>
  <c r="AP7" i="227"/>
  <c r="AO7" i="227"/>
  <c r="AN7" i="227"/>
  <c r="AM7" i="227"/>
  <c r="AL7" i="227"/>
  <c r="AK7" i="227"/>
  <c r="AJ7" i="227"/>
  <c r="AI7" i="227"/>
  <c r="AH7" i="227"/>
  <c r="AG7" i="227"/>
  <c r="AF7" i="227"/>
  <c r="AE7" i="227"/>
  <c r="N7" i="227"/>
  <c r="M7" i="227"/>
  <c r="BE6" i="227"/>
  <c r="BD6" i="227"/>
  <c r="BC6" i="227"/>
  <c r="BB6" i="227"/>
  <c r="BA6" i="227"/>
  <c r="AZ6" i="227"/>
  <c r="AY6" i="227"/>
  <c r="AX6" i="227"/>
  <c r="AW6" i="227"/>
  <c r="AV6" i="227"/>
  <c r="AU6" i="227"/>
  <c r="AT6" i="227"/>
  <c r="AS6" i="227"/>
  <c r="AR6" i="227"/>
  <c r="AQ6" i="227"/>
  <c r="AP6" i="227"/>
  <c r="AO6" i="227"/>
  <c r="AN6" i="227"/>
  <c r="AM6" i="227"/>
  <c r="AL6" i="227"/>
  <c r="AK6" i="227"/>
  <c r="AJ6" i="227"/>
  <c r="AI6" i="227"/>
  <c r="AH6" i="227"/>
  <c r="AG6" i="227"/>
  <c r="AF6" i="227"/>
  <c r="AE6" i="227"/>
  <c r="N6" i="227"/>
  <c r="M6" i="227"/>
  <c r="BE5" i="227"/>
  <c r="BD5" i="227"/>
  <c r="BC5" i="227"/>
  <c r="BB5" i="227"/>
  <c r="BA5" i="227"/>
  <c r="AZ5" i="227"/>
  <c r="AY5" i="227"/>
  <c r="AX5" i="227"/>
  <c r="AW5" i="227"/>
  <c r="AV5" i="227"/>
  <c r="AU5" i="227"/>
  <c r="AT5" i="227"/>
  <c r="AS5" i="227"/>
  <c r="AR5" i="227"/>
  <c r="AQ5" i="227"/>
  <c r="AP5" i="227"/>
  <c r="AO5" i="227"/>
  <c r="AN5" i="227"/>
  <c r="AM5" i="227"/>
  <c r="AL5" i="227"/>
  <c r="AK5" i="227"/>
  <c r="AJ5" i="227"/>
  <c r="AI5" i="227"/>
  <c r="AH5" i="227"/>
  <c r="AG5" i="227"/>
  <c r="AF5" i="227"/>
  <c r="AE5" i="227"/>
  <c r="N5" i="227"/>
  <c r="M5" i="227"/>
  <c r="BE4" i="227"/>
  <c r="BD4" i="227"/>
  <c r="BC4" i="227"/>
  <c r="BB4" i="227"/>
  <c r="BA4" i="227"/>
  <c r="AZ4" i="227"/>
  <c r="AY4" i="227"/>
  <c r="AX4" i="227"/>
  <c r="AW4" i="227"/>
  <c r="AV4" i="227"/>
  <c r="AU4" i="227"/>
  <c r="AT4" i="227"/>
  <c r="AS4" i="227"/>
  <c r="AR4" i="227"/>
  <c r="AQ4" i="227"/>
  <c r="AP4" i="227"/>
  <c r="AO4" i="227"/>
  <c r="AN4" i="227"/>
  <c r="AM4" i="227"/>
  <c r="AL4" i="227"/>
  <c r="AK4" i="227"/>
  <c r="AJ4" i="227"/>
  <c r="AI4" i="227"/>
  <c r="AH4" i="227"/>
  <c r="AG4" i="227"/>
  <c r="AF4" i="227"/>
  <c r="AE4" i="227"/>
  <c r="N4" i="227"/>
  <c r="M4" i="227"/>
  <c r="BE3" i="227"/>
  <c r="BD3" i="227"/>
  <c r="BC3" i="227"/>
  <c r="BB3" i="227"/>
  <c r="BA3" i="227"/>
  <c r="AZ3" i="227"/>
  <c r="AY3" i="227"/>
  <c r="AX3" i="227"/>
  <c r="AW3" i="227"/>
  <c r="AV3" i="227"/>
  <c r="AU3" i="227"/>
  <c r="AT3" i="227"/>
  <c r="AS3" i="227"/>
  <c r="AR3" i="227"/>
  <c r="AQ3" i="227"/>
  <c r="AP3" i="227"/>
  <c r="AO3" i="227"/>
  <c r="AN3" i="227"/>
  <c r="AM3" i="227"/>
  <c r="AL3" i="227"/>
  <c r="AK3" i="227"/>
  <c r="AJ3" i="227"/>
  <c r="AI3" i="227"/>
  <c r="AH3" i="227"/>
  <c r="AG3" i="227"/>
  <c r="AF3" i="227"/>
  <c r="AE3" i="227"/>
  <c r="R3" i="227"/>
  <c r="P3" i="227"/>
  <c r="N3" i="227"/>
  <c r="M3" i="227"/>
  <c r="BE2" i="227"/>
  <c r="BD2" i="227"/>
  <c r="BC2" i="227"/>
  <c r="BB2" i="227"/>
  <c r="BA2" i="227"/>
  <c r="AZ2" i="227"/>
  <c r="AY2" i="227"/>
  <c r="AX2" i="227"/>
  <c r="AW2" i="227"/>
  <c r="AV2" i="227"/>
  <c r="AU2" i="227"/>
  <c r="AT2" i="227"/>
  <c r="AS2" i="227"/>
  <c r="AR2" i="227"/>
  <c r="AQ2" i="227"/>
  <c r="AP2" i="227"/>
  <c r="AO2" i="227"/>
  <c r="AN2" i="227"/>
  <c r="AM2" i="227"/>
  <c r="AL2" i="227"/>
  <c r="AK2" i="227"/>
  <c r="AJ2" i="227"/>
  <c r="AI2" i="227"/>
  <c r="AH2" i="227"/>
  <c r="AG2" i="227"/>
  <c r="AF2" i="227"/>
  <c r="AE2" i="227"/>
  <c r="N2" i="227"/>
  <c r="M2" i="227"/>
  <c r="BE1" i="227"/>
  <c r="BD1" i="227"/>
  <c r="BC1" i="227"/>
  <c r="BB1" i="227"/>
  <c r="BA1" i="227"/>
  <c r="AZ1" i="227"/>
  <c r="AY1" i="227"/>
  <c r="AX1" i="227"/>
  <c r="AW1" i="227"/>
  <c r="AV1" i="227"/>
  <c r="AU1" i="227"/>
  <c r="AT1" i="227"/>
  <c r="AS1" i="227"/>
  <c r="AR1" i="227"/>
  <c r="AQ1" i="227"/>
  <c r="AP1" i="227"/>
  <c r="AO1" i="227"/>
  <c r="AN1" i="227"/>
  <c r="AM1" i="227"/>
  <c r="AL1" i="227"/>
  <c r="AK1" i="227"/>
  <c r="AJ1" i="227"/>
  <c r="AI1" i="227"/>
  <c r="AH1" i="227"/>
  <c r="AG1" i="227"/>
  <c r="AF1" i="227"/>
  <c r="Q1" i="227"/>
  <c r="P1" i="227"/>
  <c r="N1" i="227"/>
  <c r="M1" i="227"/>
  <c r="D24" i="112"/>
  <c r="A24" i="112"/>
  <c r="E4" i="142"/>
  <c r="E4" i="145"/>
  <c r="F53" i="146"/>
  <c r="G57" i="146"/>
  <c r="E57" i="146" s="1"/>
  <c r="E51" i="145"/>
  <c r="E51" i="142"/>
  <c r="A356" i="73"/>
  <c r="A355" i="73"/>
  <c r="A354" i="73"/>
  <c r="A353" i="73"/>
  <c r="D177" i="89"/>
  <c r="A141" i="51"/>
  <c r="A140" i="51"/>
  <c r="A139" i="51"/>
  <c r="A138" i="51"/>
  <c r="D137" i="51"/>
  <c r="A137" i="51"/>
  <c r="A136" i="51"/>
  <c r="A135" i="51"/>
  <c r="A134" i="51"/>
  <c r="A133" i="51"/>
  <c r="A132" i="51"/>
  <c r="A131" i="51"/>
  <c r="A130" i="51"/>
  <c r="A129" i="51"/>
  <c r="A128" i="51"/>
  <c r="D127" i="51"/>
  <c r="A127" i="51"/>
  <c r="A126" i="51"/>
  <c r="A125" i="51"/>
  <c r="A124" i="51"/>
  <c r="A123" i="51"/>
  <c r="A122" i="51"/>
  <c r="A121" i="51"/>
  <c r="A120" i="51"/>
  <c r="A119" i="51"/>
  <c r="A118" i="51"/>
  <c r="D117" i="51"/>
  <c r="A117" i="51"/>
  <c r="A116" i="51"/>
  <c r="A115" i="51"/>
  <c r="A114" i="51"/>
  <c r="A113" i="51"/>
  <c r="A112" i="51"/>
  <c r="A111" i="51"/>
  <c r="A110" i="51"/>
  <c r="A109" i="51"/>
  <c r="A108" i="51"/>
  <c r="A107" i="51"/>
  <c r="A106" i="51"/>
  <c r="A105" i="51"/>
  <c r="A104" i="51"/>
  <c r="A103" i="51"/>
  <c r="D102" i="51"/>
  <c r="A102" i="51"/>
  <c r="A433" i="51"/>
  <c r="A432" i="51"/>
  <c r="A431" i="51"/>
  <c r="A430" i="51"/>
  <c r="A429" i="51"/>
  <c r="D428" i="51"/>
  <c r="A428" i="51"/>
  <c r="A427" i="51"/>
  <c r="A426" i="51"/>
  <c r="A425" i="51"/>
  <c r="A424" i="51"/>
  <c r="A423" i="51"/>
  <c r="A422" i="51"/>
  <c r="A421" i="51"/>
  <c r="A420" i="51"/>
  <c r="A419" i="51"/>
  <c r="D418" i="51"/>
  <c r="A418" i="51"/>
  <c r="A417" i="51"/>
  <c r="A416" i="51"/>
  <c r="A415" i="51"/>
  <c r="A414" i="51"/>
  <c r="A119" i="34"/>
  <c r="A118" i="34"/>
  <c r="A117" i="34"/>
  <c r="A116" i="34"/>
  <c r="A115" i="34"/>
  <c r="D114" i="34"/>
  <c r="A114" i="34"/>
  <c r="A113" i="34"/>
  <c r="A112" i="34"/>
  <c r="A111" i="34"/>
  <c r="A110" i="34"/>
  <c r="A109" i="34"/>
  <c r="A108" i="34"/>
  <c r="A107" i="34"/>
  <c r="A106" i="34"/>
  <c r="A105" i="34"/>
  <c r="D104" i="34"/>
  <c r="A104" i="34"/>
  <c r="A103" i="34"/>
  <c r="A102" i="34"/>
  <c r="A101" i="34"/>
  <c r="A100" i="34"/>
  <c r="A99" i="34"/>
  <c r="A98" i="34"/>
  <c r="A97" i="34"/>
  <c r="A96" i="34"/>
  <c r="A95" i="34"/>
  <c r="D94" i="34"/>
  <c r="A94" i="34"/>
  <c r="A93" i="34"/>
  <c r="A92" i="34"/>
  <c r="A91" i="34"/>
  <c r="A90" i="34"/>
  <c r="A89" i="34"/>
  <c r="A88" i="34"/>
  <c r="A87" i="34"/>
  <c r="A86" i="34"/>
  <c r="A85" i="34"/>
  <c r="D84" i="34"/>
  <c r="A84" i="34"/>
  <c r="A83" i="34"/>
  <c r="A82" i="34"/>
  <c r="A81" i="34"/>
  <c r="A80" i="34"/>
  <c r="A362" i="34"/>
  <c r="A363" i="34"/>
  <c r="A364" i="34"/>
  <c r="A365" i="34"/>
  <c r="A366" i="34"/>
  <c r="A352" i="34"/>
  <c r="A353" i="34"/>
  <c r="A354" i="34"/>
  <c r="A355" i="34"/>
  <c r="A371" i="34"/>
  <c r="D370" i="34"/>
  <c r="A370" i="34"/>
  <c r="A369" i="34"/>
  <c r="A368" i="34"/>
  <c r="A367" i="34"/>
  <c r="A361" i="34"/>
  <c r="D360" i="34"/>
  <c r="A360" i="34"/>
  <c r="A359" i="34"/>
  <c r="A358" i="34"/>
  <c r="A357" i="34"/>
  <c r="A356" i="34"/>
  <c r="A141" i="91"/>
  <c r="A142" i="91"/>
  <c r="A143" i="91"/>
  <c r="A144" i="91"/>
  <c r="A145" i="91"/>
  <c r="A131" i="91"/>
  <c r="A132" i="91"/>
  <c r="A133" i="91"/>
  <c r="A134" i="91"/>
  <c r="A150" i="91"/>
  <c r="A149" i="91"/>
  <c r="A148" i="91"/>
  <c r="A147" i="91"/>
  <c r="A146" i="91"/>
  <c r="D145" i="91"/>
  <c r="A140" i="91"/>
  <c r="A139" i="91"/>
  <c r="A138" i="91"/>
  <c r="A137" i="91"/>
  <c r="A136" i="91"/>
  <c r="D135" i="91"/>
  <c r="A135" i="91"/>
  <c r="A433" i="91"/>
  <c r="A434" i="91"/>
  <c r="A435" i="91"/>
  <c r="A436" i="91"/>
  <c r="A423" i="91"/>
  <c r="A424" i="91"/>
  <c r="A425" i="91"/>
  <c r="A426" i="91"/>
  <c r="A442" i="91"/>
  <c r="A441" i="91"/>
  <c r="A440" i="91"/>
  <c r="A439" i="91"/>
  <c r="A438" i="91"/>
  <c r="D437" i="91"/>
  <c r="A437" i="91"/>
  <c r="A432" i="91"/>
  <c r="A431" i="91"/>
  <c r="A430" i="91"/>
  <c r="A429" i="91"/>
  <c r="A428" i="91"/>
  <c r="D427" i="91"/>
  <c r="A427" i="91"/>
  <c r="A107" i="13"/>
  <c r="A108" i="13"/>
  <c r="A109" i="13"/>
  <c r="A110" i="13"/>
  <c r="A111" i="13"/>
  <c r="A112" i="13"/>
  <c r="A113" i="13"/>
  <c r="A114" i="13"/>
  <c r="A115" i="13"/>
  <c r="A117" i="13"/>
  <c r="A118" i="13"/>
  <c r="A119" i="13"/>
  <c r="A120" i="13"/>
  <c r="A121" i="13"/>
  <c r="A122" i="13"/>
  <c r="A123" i="13"/>
  <c r="A124" i="13"/>
  <c r="A125" i="13"/>
  <c r="A127" i="13"/>
  <c r="A128" i="13"/>
  <c r="A129" i="13"/>
  <c r="A130" i="13"/>
  <c r="A131" i="13"/>
  <c r="A132" i="13"/>
  <c r="A133" i="13"/>
  <c r="A134" i="13"/>
  <c r="A135" i="13"/>
  <c r="A142" i="13"/>
  <c r="A143" i="13"/>
  <c r="A144" i="13"/>
  <c r="A145" i="13"/>
  <c r="A494" i="13"/>
  <c r="A495" i="13"/>
  <c r="A496" i="13"/>
  <c r="A497" i="13"/>
  <c r="A484" i="13"/>
  <c r="A485" i="13"/>
  <c r="A486" i="13"/>
  <c r="A487" i="13"/>
  <c r="D554" i="226"/>
  <c r="A554" i="226"/>
  <c r="A553" i="226"/>
  <c r="A552" i="226"/>
  <c r="A551" i="226"/>
  <c r="A550" i="226"/>
  <c r="A549" i="226"/>
  <c r="D548" i="226"/>
  <c r="A548" i="226"/>
  <c r="A547" i="226"/>
  <c r="A546" i="226"/>
  <c r="A545" i="226"/>
  <c r="A544" i="226"/>
  <c r="A543" i="226"/>
  <c r="D542" i="226"/>
  <c r="A542" i="226"/>
  <c r="A541" i="226"/>
  <c r="A540" i="226"/>
  <c r="A539" i="226"/>
  <c r="A538" i="226"/>
  <c r="A537" i="226"/>
  <c r="D536" i="226"/>
  <c r="A536" i="226"/>
  <c r="A535" i="226"/>
  <c r="A534" i="226"/>
  <c r="A533" i="226"/>
  <c r="A532" i="226"/>
  <c r="A531" i="226"/>
  <c r="D530" i="226"/>
  <c r="A530" i="226"/>
  <c r="A529" i="226"/>
  <c r="D528" i="226"/>
  <c r="A528" i="226"/>
  <c r="A527" i="226"/>
  <c r="A526" i="226"/>
  <c r="A525" i="226"/>
  <c r="D524" i="226"/>
  <c r="A524" i="226"/>
  <c r="A523" i="226"/>
  <c r="D522" i="226"/>
  <c r="A522" i="226"/>
  <c r="A521" i="226"/>
  <c r="A520" i="226"/>
  <c r="A519" i="226"/>
  <c r="A518" i="226"/>
  <c r="A517" i="226"/>
  <c r="A516" i="226"/>
  <c r="A515" i="226"/>
  <c r="A514" i="226"/>
  <c r="D513" i="226"/>
  <c r="A513" i="226"/>
  <c r="A512" i="226"/>
  <c r="A511" i="226"/>
  <c r="A510" i="226"/>
  <c r="A509" i="226"/>
  <c r="A508" i="226"/>
  <c r="D507" i="226"/>
  <c r="A507" i="226"/>
  <c r="A506" i="226"/>
  <c r="A505" i="226"/>
  <c r="A504" i="226"/>
  <c r="D503" i="226"/>
  <c r="A503" i="226"/>
  <c r="A502" i="226"/>
  <c r="D501" i="226"/>
  <c r="A501" i="226"/>
  <c r="A500" i="226"/>
  <c r="A499" i="226"/>
  <c r="A498" i="226"/>
  <c r="D497" i="226"/>
  <c r="A497" i="226"/>
  <c r="A496" i="226"/>
  <c r="D495" i="226"/>
  <c r="A495" i="226"/>
  <c r="A494" i="226"/>
  <c r="A493" i="226"/>
  <c r="A492" i="226"/>
  <c r="A491" i="226"/>
  <c r="A490" i="226"/>
  <c r="D489" i="226"/>
  <c r="A489" i="226"/>
  <c r="A488" i="226"/>
  <c r="A487" i="226"/>
  <c r="A486" i="226"/>
  <c r="D485" i="226"/>
  <c r="A485" i="226"/>
  <c r="A484" i="226"/>
  <c r="D483" i="226"/>
  <c r="A483" i="226"/>
  <c r="A482" i="226"/>
  <c r="A481" i="226"/>
  <c r="A480" i="226"/>
  <c r="D479" i="226"/>
  <c r="A479" i="226"/>
  <c r="A478" i="226"/>
  <c r="D477" i="226"/>
  <c r="A477" i="226"/>
  <c r="A476" i="226"/>
  <c r="A475" i="226"/>
  <c r="A474" i="226"/>
  <c r="A473" i="226"/>
  <c r="A472" i="226"/>
  <c r="D471" i="226"/>
  <c r="A471" i="226"/>
  <c r="A470" i="226"/>
  <c r="A469" i="226"/>
  <c r="A468" i="226"/>
  <c r="A467" i="226"/>
  <c r="A466" i="226"/>
  <c r="D465" i="226"/>
  <c r="A465" i="226"/>
  <c r="A464" i="226"/>
  <c r="A463" i="226"/>
  <c r="A462" i="226"/>
  <c r="D461" i="226"/>
  <c r="A461" i="226"/>
  <c r="A460" i="226"/>
  <c r="D459" i="226"/>
  <c r="A459" i="226"/>
  <c r="A458" i="226"/>
  <c r="A457" i="226"/>
  <c r="A456" i="226"/>
  <c r="D455" i="226"/>
  <c r="A455" i="226"/>
  <c r="A454" i="226"/>
  <c r="D453" i="226"/>
  <c r="A453" i="226"/>
  <c r="A452" i="226"/>
  <c r="A451" i="226"/>
  <c r="A450" i="226"/>
  <c r="D449" i="226"/>
  <c r="A449" i="226"/>
  <c r="A448" i="226"/>
  <c r="D447" i="226"/>
  <c r="A447" i="226"/>
  <c r="A446" i="226"/>
  <c r="A445" i="226"/>
  <c r="A444" i="226"/>
  <c r="D443" i="226"/>
  <c r="A443" i="226"/>
  <c r="A442" i="226"/>
  <c r="D441" i="226"/>
  <c r="A441" i="226"/>
  <c r="A440" i="226"/>
  <c r="A439" i="226"/>
  <c r="A438" i="226"/>
  <c r="A437" i="226"/>
  <c r="A436" i="226"/>
  <c r="D435" i="226"/>
  <c r="A435" i="226"/>
  <c r="A434" i="226"/>
  <c r="A433" i="226"/>
  <c r="A432" i="226"/>
  <c r="D431" i="226"/>
  <c r="A431" i="226"/>
  <c r="A430" i="226"/>
  <c r="D429" i="226"/>
  <c r="A429" i="226"/>
  <c r="A428" i="226"/>
  <c r="A427" i="226"/>
  <c r="A426" i="226"/>
  <c r="D425" i="226"/>
  <c r="A425" i="226"/>
  <c r="A424" i="226"/>
  <c r="D423" i="226"/>
  <c r="A423" i="226"/>
  <c r="A422" i="226"/>
  <c r="A421" i="226"/>
  <c r="A420" i="226"/>
  <c r="A419" i="226"/>
  <c r="A418" i="226"/>
  <c r="A417" i="226"/>
  <c r="A416" i="226"/>
  <c r="A415" i="226"/>
  <c r="A414" i="226"/>
  <c r="A413" i="226"/>
  <c r="A412" i="226"/>
  <c r="A411" i="226"/>
  <c r="A410" i="226"/>
  <c r="A409" i="226"/>
  <c r="A408" i="226"/>
  <c r="A407" i="226"/>
  <c r="A406" i="226"/>
  <c r="A405" i="226"/>
  <c r="A404" i="226"/>
  <c r="A403" i="226"/>
  <c r="A402" i="226"/>
  <c r="A401" i="226"/>
  <c r="A400" i="226"/>
  <c r="A399" i="226"/>
  <c r="A398" i="226"/>
  <c r="A397" i="226"/>
  <c r="A396" i="226"/>
  <c r="A395" i="226"/>
  <c r="A394" i="226"/>
  <c r="A393" i="226"/>
  <c r="A392" i="226"/>
  <c r="A391" i="226"/>
  <c r="A390" i="226"/>
  <c r="A389" i="226"/>
  <c r="A388" i="226"/>
  <c r="A387" i="226"/>
  <c r="A386" i="226"/>
  <c r="A385" i="226"/>
  <c r="A384" i="226"/>
  <c r="D383" i="226"/>
  <c r="A383" i="226"/>
  <c r="A382" i="226"/>
  <c r="A381" i="226"/>
  <c r="A380" i="226"/>
  <c r="D379" i="226"/>
  <c r="A379" i="226"/>
  <c r="A378" i="226"/>
  <c r="A377" i="226"/>
  <c r="A376" i="226"/>
  <c r="A375" i="226"/>
  <c r="A374" i="226"/>
  <c r="D373" i="226"/>
  <c r="A373" i="226"/>
  <c r="A372" i="226"/>
  <c r="A371" i="226"/>
  <c r="A370" i="226"/>
  <c r="A369" i="226"/>
  <c r="A368" i="226"/>
  <c r="A367" i="226"/>
  <c r="A366" i="226"/>
  <c r="A365" i="226"/>
  <c r="A364" i="226"/>
  <c r="D363" i="226"/>
  <c r="A363" i="226"/>
  <c r="A362" i="226"/>
  <c r="A361" i="226"/>
  <c r="A360" i="226"/>
  <c r="A359" i="226"/>
  <c r="A358" i="226"/>
  <c r="A357" i="226"/>
  <c r="A356" i="226"/>
  <c r="A355" i="226"/>
  <c r="A354" i="226"/>
  <c r="D353" i="226"/>
  <c r="A353" i="226"/>
  <c r="A352" i="226"/>
  <c r="A351" i="226"/>
  <c r="A350" i="226"/>
  <c r="A349" i="226"/>
  <c r="A348" i="226"/>
  <c r="A347" i="226"/>
  <c r="A346" i="226"/>
  <c r="A345" i="226"/>
  <c r="A344" i="226"/>
  <c r="D343" i="226"/>
  <c r="A343" i="226"/>
  <c r="A342" i="226"/>
  <c r="A341" i="226"/>
  <c r="A340" i="226"/>
  <c r="A339" i="226"/>
  <c r="A338" i="226"/>
  <c r="A337" i="226"/>
  <c r="A336" i="226"/>
  <c r="D335" i="226"/>
  <c r="A335" i="226"/>
  <c r="A334" i="226"/>
  <c r="D333" i="226"/>
  <c r="A333" i="226"/>
  <c r="A332" i="226"/>
  <c r="A331" i="226"/>
  <c r="A330" i="226"/>
  <c r="A329" i="226"/>
  <c r="A328" i="226"/>
  <c r="A327" i="226"/>
  <c r="A326" i="226"/>
  <c r="D325" i="226"/>
  <c r="A325" i="226"/>
  <c r="A324" i="226"/>
  <c r="D323" i="226"/>
  <c r="A323" i="226"/>
  <c r="A322" i="226"/>
  <c r="A321" i="226"/>
  <c r="A320" i="226"/>
  <c r="A319" i="226"/>
  <c r="A318" i="226"/>
  <c r="A317" i="226"/>
  <c r="A316" i="226"/>
  <c r="A315" i="226"/>
  <c r="A314" i="226"/>
  <c r="D313" i="226"/>
  <c r="A313" i="226"/>
  <c r="A312" i="226"/>
  <c r="A311" i="226"/>
  <c r="A310" i="226"/>
  <c r="A309" i="226"/>
  <c r="A308" i="226"/>
  <c r="A307" i="226"/>
  <c r="A306" i="226"/>
  <c r="A305" i="226"/>
  <c r="A304" i="226"/>
  <c r="A303" i="226"/>
  <c r="A302" i="226"/>
  <c r="D301" i="226"/>
  <c r="A301" i="226"/>
  <c r="A300" i="226"/>
  <c r="A299" i="226"/>
  <c r="A298" i="226"/>
  <c r="A297" i="226"/>
  <c r="A296" i="226"/>
  <c r="A295" i="226"/>
  <c r="A294" i="226"/>
  <c r="A293" i="226"/>
  <c r="A292" i="226"/>
  <c r="D291" i="226"/>
  <c r="A291" i="226"/>
  <c r="A290" i="226"/>
  <c r="A289" i="226"/>
  <c r="A288" i="226"/>
  <c r="A287" i="226"/>
  <c r="A286" i="226"/>
  <c r="A285" i="226"/>
  <c r="A284" i="226"/>
  <c r="D283" i="226"/>
  <c r="A283" i="226"/>
  <c r="A282" i="226"/>
  <c r="D281" i="226"/>
  <c r="A281" i="226"/>
  <c r="A280" i="226"/>
  <c r="A279" i="226"/>
  <c r="D278" i="226"/>
  <c r="A278" i="226"/>
  <c r="A277" i="226"/>
  <c r="A276" i="226"/>
  <c r="A275" i="226"/>
  <c r="A274" i="226"/>
  <c r="D273" i="226"/>
  <c r="A273" i="226"/>
  <c r="A272" i="226"/>
  <c r="D271" i="226"/>
  <c r="A271" i="226"/>
  <c r="A270" i="226"/>
  <c r="A269" i="226"/>
  <c r="D268" i="226"/>
  <c r="A268" i="226"/>
  <c r="A267" i="226"/>
  <c r="A266" i="226"/>
  <c r="A265" i="226"/>
  <c r="A264" i="226"/>
  <c r="A263" i="226"/>
  <c r="A262" i="226"/>
  <c r="D261" i="226"/>
  <c r="A261" i="226"/>
  <c r="A260" i="226"/>
  <c r="A259" i="226"/>
  <c r="A258" i="226"/>
  <c r="A257" i="226"/>
  <c r="A256" i="226"/>
  <c r="A255" i="226"/>
  <c r="A254" i="226"/>
  <c r="A253" i="226"/>
  <c r="A252" i="226"/>
  <c r="D251" i="226"/>
  <c r="A251" i="226"/>
  <c r="A250" i="226"/>
  <c r="A249" i="226"/>
  <c r="A248" i="226"/>
  <c r="A247" i="226"/>
  <c r="A246" i="226"/>
  <c r="A245" i="226"/>
  <c r="A244" i="226"/>
  <c r="A243" i="226"/>
  <c r="A242" i="226"/>
  <c r="D241" i="226"/>
  <c r="A241" i="226"/>
  <c r="A240" i="226"/>
  <c r="A239" i="226"/>
  <c r="A238" i="226"/>
  <c r="A237" i="226"/>
  <c r="A236" i="226"/>
  <c r="A235" i="226"/>
  <c r="A234" i="226"/>
  <c r="D233" i="226"/>
  <c r="A233" i="226"/>
  <c r="A232" i="226"/>
  <c r="D231" i="226"/>
  <c r="A231" i="226"/>
  <c r="A230" i="226"/>
  <c r="A229" i="226"/>
  <c r="D228" i="226"/>
  <c r="A228" i="226"/>
  <c r="A227" i="226"/>
  <c r="A226" i="226"/>
  <c r="A225" i="226"/>
  <c r="A224" i="226"/>
  <c r="D223" i="226"/>
  <c r="A223" i="226"/>
  <c r="A222" i="226"/>
  <c r="D221" i="226"/>
  <c r="A221" i="226"/>
  <c r="A220" i="226"/>
  <c r="A219" i="226"/>
  <c r="D218" i="226"/>
  <c r="A218" i="226"/>
  <c r="A217" i="226"/>
  <c r="A216" i="226"/>
  <c r="A215" i="226"/>
  <c r="A214" i="226"/>
  <c r="A213" i="226"/>
  <c r="A212" i="226"/>
  <c r="D211" i="226"/>
  <c r="A211" i="226"/>
  <c r="A210" i="226"/>
  <c r="A209" i="226"/>
  <c r="A208" i="226"/>
  <c r="A207" i="226"/>
  <c r="A206" i="226"/>
  <c r="A205" i="226"/>
  <c r="A204" i="226"/>
  <c r="A203" i="226"/>
  <c r="A202" i="226"/>
  <c r="D201" i="226"/>
  <c r="A201" i="226"/>
  <c r="A200" i="226"/>
  <c r="A199" i="226"/>
  <c r="A198" i="226"/>
  <c r="A197" i="226"/>
  <c r="A196" i="226"/>
  <c r="A195" i="226"/>
  <c r="A194" i="226"/>
  <c r="A193" i="226"/>
  <c r="A192" i="226"/>
  <c r="D191" i="226"/>
  <c r="A191" i="226"/>
  <c r="A190" i="226"/>
  <c r="A189" i="226"/>
  <c r="A188" i="226"/>
  <c r="A187" i="226"/>
  <c r="A186" i="226"/>
  <c r="A185" i="226"/>
  <c r="A184" i="226"/>
  <c r="A183" i="226"/>
  <c r="A182" i="226"/>
  <c r="D181" i="226"/>
  <c r="A181" i="226"/>
  <c r="A180" i="226"/>
  <c r="A179" i="226"/>
  <c r="A178" i="226"/>
  <c r="A177" i="226"/>
  <c r="A176" i="226"/>
  <c r="A175" i="226"/>
  <c r="A174" i="226"/>
  <c r="A173" i="226"/>
  <c r="A172" i="226"/>
  <c r="D171" i="226"/>
  <c r="A171" i="226"/>
  <c r="A170" i="226"/>
  <c r="A169" i="226"/>
  <c r="A168" i="226"/>
  <c r="A167" i="226"/>
  <c r="A166" i="226"/>
  <c r="A165" i="226"/>
  <c r="A164" i="226"/>
  <c r="D163" i="226"/>
  <c r="A163" i="226"/>
  <c r="A162" i="226"/>
  <c r="D161" i="226"/>
  <c r="A161" i="226"/>
  <c r="A160" i="226"/>
  <c r="A159" i="226"/>
  <c r="D158" i="226"/>
  <c r="A158" i="226"/>
  <c r="A157" i="226"/>
  <c r="A156" i="226"/>
  <c r="A155" i="226"/>
  <c r="A154" i="226"/>
  <c r="D153" i="226"/>
  <c r="A153" i="226"/>
  <c r="A152" i="226"/>
  <c r="D151" i="226"/>
  <c r="A151" i="226"/>
  <c r="A150" i="226"/>
  <c r="A149" i="226"/>
  <c r="D148" i="226"/>
  <c r="A148" i="226"/>
  <c r="A147" i="226"/>
  <c r="A146" i="226"/>
  <c r="A145" i="226"/>
  <c r="A144" i="226"/>
  <c r="D143" i="226"/>
  <c r="A143" i="226"/>
  <c r="A142" i="226"/>
  <c r="D141" i="226"/>
  <c r="A141" i="226"/>
  <c r="A140" i="226"/>
  <c r="A139" i="226"/>
  <c r="D138" i="226"/>
  <c r="A138" i="226"/>
  <c r="A137" i="226"/>
  <c r="A136" i="226"/>
  <c r="A135" i="226"/>
  <c r="A134" i="226"/>
  <c r="D133" i="226"/>
  <c r="A133" i="226"/>
  <c r="A132" i="226"/>
  <c r="D131" i="226"/>
  <c r="A131" i="226"/>
  <c r="A130" i="226"/>
  <c r="A129" i="226"/>
  <c r="D128" i="226"/>
  <c r="A128" i="226"/>
  <c r="A127" i="226"/>
  <c r="A126" i="226"/>
  <c r="A125" i="226"/>
  <c r="A124" i="226"/>
  <c r="A123" i="226"/>
  <c r="A122" i="226"/>
  <c r="D121" i="226"/>
  <c r="A121" i="226"/>
  <c r="A120" i="226"/>
  <c r="A119" i="226"/>
  <c r="A118" i="226"/>
  <c r="A117" i="226"/>
  <c r="A116" i="226"/>
  <c r="A115" i="226"/>
  <c r="A114" i="226"/>
  <c r="A113" i="226"/>
  <c r="A112" i="226"/>
  <c r="D111" i="226"/>
  <c r="A111" i="226"/>
  <c r="A110" i="226"/>
  <c r="A109" i="226"/>
  <c r="A108" i="226"/>
  <c r="A107" i="226"/>
  <c r="A106" i="226"/>
  <c r="A105" i="226"/>
  <c r="A104" i="226"/>
  <c r="A103" i="226"/>
  <c r="A102" i="226"/>
  <c r="D101" i="226"/>
  <c r="A101" i="226"/>
  <c r="A100" i="226"/>
  <c r="A99" i="226"/>
  <c r="A98" i="226"/>
  <c r="A97" i="226"/>
  <c r="A96" i="226"/>
  <c r="A95" i="226"/>
  <c r="A94" i="226"/>
  <c r="A93" i="226"/>
  <c r="A92" i="226"/>
  <c r="D91" i="226"/>
  <c r="A91" i="226"/>
  <c r="A90" i="226"/>
  <c r="A89" i="226"/>
  <c r="A88" i="226"/>
  <c r="A87" i="226"/>
  <c r="A86" i="226"/>
  <c r="A85" i="226"/>
  <c r="A84" i="226"/>
  <c r="A83" i="226"/>
  <c r="A82" i="226"/>
  <c r="D81" i="226"/>
  <c r="A81" i="226"/>
  <c r="A80" i="226"/>
  <c r="A79" i="226"/>
  <c r="A78" i="226"/>
  <c r="A77" i="226"/>
  <c r="A76" i="226"/>
  <c r="A75" i="226"/>
  <c r="A74" i="226"/>
  <c r="A73" i="226"/>
  <c r="A72" i="226"/>
  <c r="D71" i="226"/>
  <c r="A71" i="226"/>
  <c r="A70" i="226"/>
  <c r="A69" i="226"/>
  <c r="A68" i="226"/>
  <c r="A67" i="226"/>
  <c r="A66" i="226"/>
  <c r="A65" i="226"/>
  <c r="A64" i="226"/>
  <c r="A63" i="226"/>
  <c r="A62" i="226"/>
  <c r="D61" i="226"/>
  <c r="A61" i="226"/>
  <c r="A60" i="226"/>
  <c r="A59" i="226"/>
  <c r="A58" i="226"/>
  <c r="A57" i="226"/>
  <c r="A56" i="226"/>
  <c r="A55" i="226"/>
  <c r="A54" i="226"/>
  <c r="A53" i="226"/>
  <c r="A52" i="226"/>
  <c r="D51" i="226"/>
  <c r="A51" i="226"/>
  <c r="A50" i="226"/>
  <c r="A49" i="226"/>
  <c r="A48" i="226"/>
  <c r="A47" i="226"/>
  <c r="A46" i="226"/>
  <c r="A45" i="226"/>
  <c r="A44" i="226"/>
  <c r="A43" i="226"/>
  <c r="A42" i="226"/>
  <c r="D41" i="226"/>
  <c r="A41" i="226"/>
  <c r="A40" i="226"/>
  <c r="A39" i="226"/>
  <c r="A38" i="226"/>
  <c r="A37" i="226"/>
  <c r="L51" i="227" l="1"/>
  <c r="E53" i="227"/>
  <c r="L52" i="227"/>
  <c r="F51" i="227"/>
  <c r="R19" i="226"/>
  <c r="Q19" i="226"/>
  <c r="P19" i="226"/>
  <c r="R18" i="226"/>
  <c r="Q18" i="226"/>
  <c r="P18" i="226"/>
  <c r="R17" i="226"/>
  <c r="Q17" i="226"/>
  <c r="P17" i="226"/>
  <c r="R16" i="226"/>
  <c r="Q16" i="226"/>
  <c r="P16" i="226"/>
  <c r="R15" i="226"/>
  <c r="Q15" i="226"/>
  <c r="P15" i="226"/>
  <c r="R14" i="226"/>
  <c r="Q14" i="226"/>
  <c r="P14" i="226"/>
  <c r="R13" i="226"/>
  <c r="Q13" i="226"/>
  <c r="P13" i="226"/>
  <c r="R12" i="226"/>
  <c r="Q12" i="226"/>
  <c r="P12" i="226"/>
  <c r="T11" i="226"/>
  <c r="R11" i="226"/>
  <c r="D299" i="226" s="1"/>
  <c r="Q11" i="226"/>
  <c r="D297" i="226" s="1"/>
  <c r="P11" i="226"/>
  <c r="T10" i="226"/>
  <c r="R10" i="226"/>
  <c r="Q10" i="226"/>
  <c r="P10" i="226"/>
  <c r="T9" i="226"/>
  <c r="R9" i="226"/>
  <c r="D593" i="226" s="1"/>
  <c r="Q9" i="226"/>
  <c r="P9" i="226"/>
  <c r="T8" i="226"/>
  <c r="R8" i="226"/>
  <c r="Q8" i="226"/>
  <c r="P8" i="226"/>
  <c r="T7" i="226"/>
  <c r="D23" i="226" s="1"/>
  <c r="R7" i="226"/>
  <c r="D800" i="226" s="1"/>
  <c r="Q7" i="226"/>
  <c r="P7" i="226"/>
  <c r="T6" i="226"/>
  <c r="R6" i="226"/>
  <c r="D683" i="226" s="1"/>
  <c r="Q6" i="226"/>
  <c r="P6" i="226"/>
  <c r="T5" i="226"/>
  <c r="R5" i="226"/>
  <c r="Q5" i="226"/>
  <c r="P5" i="226"/>
  <c r="T4" i="226"/>
  <c r="R4" i="226"/>
  <c r="Q4" i="226"/>
  <c r="P4" i="226"/>
  <c r="BA1" i="226"/>
  <c r="AZ1" i="226"/>
  <c r="AY1" i="226"/>
  <c r="AX1" i="226"/>
  <c r="AW1" i="226"/>
  <c r="AV1" i="226"/>
  <c r="AU1" i="226"/>
  <c r="AT1" i="226"/>
  <c r="AS1" i="226"/>
  <c r="AR1" i="226"/>
  <c r="AQ1" i="226"/>
  <c r="AP1" i="226"/>
  <c r="AO1" i="226"/>
  <c r="AN1" i="226"/>
  <c r="AM1" i="226"/>
  <c r="AL1" i="226"/>
  <c r="AK1" i="226"/>
  <c r="AJ1" i="226"/>
  <c r="AI1" i="226"/>
  <c r="AH1" i="226"/>
  <c r="AG1" i="226"/>
  <c r="AF1" i="226"/>
  <c r="AE1" i="226"/>
  <c r="AD1" i="226"/>
  <c r="AC1" i="226"/>
  <c r="AB1" i="226"/>
  <c r="AA1" i="226"/>
  <c r="Z1" i="226"/>
  <c r="Y1" i="226"/>
  <c r="X1" i="226"/>
  <c r="W1" i="226"/>
  <c r="V1" i="226"/>
  <c r="U1" i="226"/>
  <c r="T1" i="226"/>
  <c r="S1" i="226"/>
  <c r="R1" i="226"/>
  <c r="Q1" i="226"/>
  <c r="P1" i="226"/>
  <c r="A806" i="226"/>
  <c r="A805" i="226"/>
  <c r="A804" i="226"/>
  <c r="A803" i="226"/>
  <c r="A802" i="226"/>
  <c r="A801" i="226"/>
  <c r="A800" i="226"/>
  <c r="A799" i="226"/>
  <c r="D798" i="226"/>
  <c r="A798" i="226"/>
  <c r="A797" i="226"/>
  <c r="A796" i="226"/>
  <c r="A795" i="226"/>
  <c r="A794" i="226"/>
  <c r="A793" i="226"/>
  <c r="A792" i="226"/>
  <c r="A791" i="226"/>
  <c r="A790" i="226"/>
  <c r="D789" i="226"/>
  <c r="A789" i="226"/>
  <c r="A788" i="226"/>
  <c r="A787" i="226"/>
  <c r="A786" i="226"/>
  <c r="A785" i="226"/>
  <c r="A784" i="226"/>
  <c r="A783" i="226"/>
  <c r="A782" i="226"/>
  <c r="A781" i="226"/>
  <c r="D780" i="226"/>
  <c r="A780" i="226"/>
  <c r="A779" i="226"/>
  <c r="A778" i="226"/>
  <c r="A777" i="226"/>
  <c r="A776" i="226"/>
  <c r="A775" i="226"/>
  <c r="A774" i="226"/>
  <c r="A773" i="226"/>
  <c r="A772" i="226"/>
  <c r="D771" i="226"/>
  <c r="A771" i="226"/>
  <c r="A770" i="226"/>
  <c r="A769" i="226"/>
  <c r="A768" i="226"/>
  <c r="A767" i="226"/>
  <c r="A766" i="226"/>
  <c r="A765" i="226"/>
  <c r="A764" i="226"/>
  <c r="A763" i="226"/>
  <c r="D762" i="226"/>
  <c r="A762" i="226"/>
  <c r="A761" i="226"/>
  <c r="A760" i="226"/>
  <c r="A759" i="226"/>
  <c r="A758" i="226"/>
  <c r="D757" i="226"/>
  <c r="A757" i="226"/>
  <c r="A756" i="226"/>
  <c r="A755" i="226"/>
  <c r="D754" i="226"/>
  <c r="A754" i="226"/>
  <c r="D753" i="226"/>
  <c r="A753" i="226"/>
  <c r="A752" i="226"/>
  <c r="A751" i="226"/>
  <c r="A750" i="226"/>
  <c r="A749" i="226"/>
  <c r="D748" i="226"/>
  <c r="A748" i="226"/>
  <c r="A747" i="226"/>
  <c r="A746" i="226"/>
  <c r="D745" i="226"/>
  <c r="A745" i="226"/>
  <c r="D744" i="226"/>
  <c r="A744" i="226"/>
  <c r="A743" i="226"/>
  <c r="A742" i="226"/>
  <c r="A741" i="226"/>
  <c r="A740" i="226"/>
  <c r="D739" i="226"/>
  <c r="A739" i="226"/>
  <c r="A738" i="226"/>
  <c r="A737" i="226"/>
  <c r="D736" i="226"/>
  <c r="A736" i="226"/>
  <c r="D735" i="226"/>
  <c r="A735" i="226"/>
  <c r="A734" i="226"/>
  <c r="A733" i="226"/>
  <c r="A732" i="226"/>
  <c r="A731" i="226"/>
  <c r="D730" i="226"/>
  <c r="A730" i="226"/>
  <c r="A729" i="226"/>
  <c r="A728" i="226"/>
  <c r="D727" i="226"/>
  <c r="A727" i="226"/>
  <c r="D726" i="226"/>
  <c r="A726" i="226"/>
  <c r="A725" i="226"/>
  <c r="A724" i="226"/>
  <c r="A723" i="226"/>
  <c r="A722" i="226"/>
  <c r="A721" i="226"/>
  <c r="A720" i="226"/>
  <c r="A719" i="226"/>
  <c r="A718" i="226"/>
  <c r="D717" i="226"/>
  <c r="A717" i="226"/>
  <c r="A716" i="226"/>
  <c r="A715" i="226"/>
  <c r="A714" i="226"/>
  <c r="A713" i="226"/>
  <c r="A712" i="226"/>
  <c r="A711" i="226"/>
  <c r="A710" i="226"/>
  <c r="A709" i="226"/>
  <c r="D708" i="226"/>
  <c r="A708" i="226"/>
  <c r="A707" i="226"/>
  <c r="A706" i="226"/>
  <c r="A705" i="226"/>
  <c r="A704" i="226"/>
  <c r="A703" i="226"/>
  <c r="A702" i="226"/>
  <c r="A701" i="226"/>
  <c r="A700" i="226"/>
  <c r="D699" i="226"/>
  <c r="A699" i="226"/>
  <c r="A698" i="226"/>
  <c r="A697" i="226"/>
  <c r="A696" i="226"/>
  <c r="A695" i="226"/>
  <c r="A694" i="226"/>
  <c r="A693" i="226"/>
  <c r="A692" i="226"/>
  <c r="A691" i="226"/>
  <c r="D690" i="226"/>
  <c r="A690" i="226"/>
  <c r="A689" i="226"/>
  <c r="A688" i="226"/>
  <c r="A687" i="226"/>
  <c r="A686" i="226"/>
  <c r="A685" i="226"/>
  <c r="A684" i="226"/>
  <c r="A683" i="226"/>
  <c r="A682" i="226"/>
  <c r="D681" i="226"/>
  <c r="A681" i="226"/>
  <c r="A680" i="226"/>
  <c r="A679" i="226"/>
  <c r="A678" i="226"/>
  <c r="A677" i="226"/>
  <c r="A676" i="226"/>
  <c r="A675" i="226"/>
  <c r="A674" i="226"/>
  <c r="A673" i="226"/>
  <c r="D672" i="226"/>
  <c r="A672" i="226"/>
  <c r="A671" i="226"/>
  <c r="A670" i="226"/>
  <c r="A669" i="226"/>
  <c r="A668" i="226"/>
  <c r="A667" i="226"/>
  <c r="A666" i="226"/>
  <c r="A665" i="226"/>
  <c r="A664" i="226"/>
  <c r="D663" i="226"/>
  <c r="A663" i="226"/>
  <c r="A662" i="226"/>
  <c r="A661" i="226"/>
  <c r="A660" i="226"/>
  <c r="A659" i="226"/>
  <c r="A658" i="226"/>
  <c r="A657" i="226"/>
  <c r="A656" i="226"/>
  <c r="A655" i="226"/>
  <c r="D654" i="226"/>
  <c r="A654" i="226"/>
  <c r="A653" i="226"/>
  <c r="A652" i="226"/>
  <c r="A651" i="226"/>
  <c r="A650" i="226"/>
  <c r="A649" i="226"/>
  <c r="A648" i="226"/>
  <c r="A647" i="226"/>
  <c r="A646" i="226"/>
  <c r="D645" i="226"/>
  <c r="A645" i="226"/>
  <c r="A644" i="226"/>
  <c r="A643" i="226"/>
  <c r="A642" i="226"/>
  <c r="A641" i="226"/>
  <c r="A640" i="226"/>
  <c r="A639" i="226"/>
  <c r="A638" i="226"/>
  <c r="A637" i="226"/>
  <c r="D636" i="226"/>
  <c r="A636" i="226"/>
  <c r="A635" i="226"/>
  <c r="A634" i="226"/>
  <c r="A633" i="226"/>
  <c r="A632" i="226"/>
  <c r="A631" i="226"/>
  <c r="A630" i="226"/>
  <c r="A629" i="226"/>
  <c r="A628" i="226"/>
  <c r="D627" i="226"/>
  <c r="A627" i="226"/>
  <c r="A626" i="226"/>
  <c r="A625" i="226"/>
  <c r="A624" i="226"/>
  <c r="A623" i="226"/>
  <c r="A622" i="226"/>
  <c r="A621" i="226"/>
  <c r="A620" i="226"/>
  <c r="A619" i="226"/>
  <c r="D618" i="226"/>
  <c r="A618" i="226"/>
  <c r="A617" i="226"/>
  <c r="A616" i="226"/>
  <c r="A615" i="226"/>
  <c r="A614" i="226"/>
  <c r="D613" i="226"/>
  <c r="A613" i="226"/>
  <c r="A612" i="226"/>
  <c r="A611" i="226"/>
  <c r="D610" i="226"/>
  <c r="A610" i="226"/>
  <c r="D609" i="226"/>
  <c r="A609" i="226"/>
  <c r="A608" i="226"/>
  <c r="A607" i="226"/>
  <c r="A606" i="226"/>
  <c r="A605" i="226"/>
  <c r="D604" i="226"/>
  <c r="A604" i="226"/>
  <c r="A603" i="226"/>
  <c r="A602" i="226"/>
  <c r="D601" i="226"/>
  <c r="A601" i="226"/>
  <c r="D600" i="226"/>
  <c r="A600" i="226"/>
  <c r="A599" i="226"/>
  <c r="A598" i="226"/>
  <c r="A597" i="226"/>
  <c r="A596" i="226"/>
  <c r="A595" i="226"/>
  <c r="A594" i="226"/>
  <c r="A593" i="226"/>
  <c r="A592" i="226"/>
  <c r="D591" i="226"/>
  <c r="A591" i="226"/>
  <c r="A590" i="226"/>
  <c r="A589" i="226"/>
  <c r="A588" i="226"/>
  <c r="A587" i="226"/>
  <c r="A586" i="226"/>
  <c r="A585" i="226"/>
  <c r="A584" i="226"/>
  <c r="A583" i="226"/>
  <c r="D582" i="226"/>
  <c r="A582" i="226"/>
  <c r="A581" i="226"/>
  <c r="A580" i="226"/>
  <c r="A579" i="226"/>
  <c r="A578" i="226"/>
  <c r="A577" i="226"/>
  <c r="A576" i="226"/>
  <c r="A575" i="226"/>
  <c r="A574" i="226"/>
  <c r="D573" i="226"/>
  <c r="A573" i="226"/>
  <c r="A572" i="226"/>
  <c r="A571" i="226"/>
  <c r="A570" i="226"/>
  <c r="A569" i="226"/>
  <c r="D568" i="226"/>
  <c r="A568" i="226"/>
  <c r="A567" i="226"/>
  <c r="A566" i="226"/>
  <c r="D565" i="226"/>
  <c r="A565" i="226"/>
  <c r="D564" i="226"/>
  <c r="A564" i="226"/>
  <c r="A563" i="226"/>
  <c r="A562" i="226"/>
  <c r="A561" i="226"/>
  <c r="A560" i="226"/>
  <c r="D559" i="226"/>
  <c r="A559" i="226"/>
  <c r="A558" i="226"/>
  <c r="A557" i="226"/>
  <c r="D556" i="226"/>
  <c r="A556" i="226"/>
  <c r="D555" i="226"/>
  <c r="A555" i="226"/>
  <c r="A36" i="226"/>
  <c r="A35" i="226"/>
  <c r="D34" i="226"/>
  <c r="A34" i="226"/>
  <c r="A33" i="226"/>
  <c r="D32" i="226"/>
  <c r="A32" i="226"/>
  <c r="D31" i="226"/>
  <c r="A31" i="226"/>
  <c r="D30" i="226"/>
  <c r="A30" i="226"/>
  <c r="D29" i="226"/>
  <c r="A29" i="226"/>
  <c r="D28" i="226"/>
  <c r="A28" i="226"/>
  <c r="D27" i="226"/>
  <c r="A27" i="226"/>
  <c r="D26" i="226"/>
  <c r="A26" i="226"/>
  <c r="D25" i="226"/>
  <c r="A25" i="226"/>
  <c r="D24" i="226"/>
  <c r="A24" i="226"/>
  <c r="A23" i="226"/>
  <c r="A22" i="226"/>
  <c r="D21" i="226"/>
  <c r="A21" i="226"/>
  <c r="D20" i="226"/>
  <c r="A20" i="226"/>
  <c r="D794" i="226" l="1"/>
  <c r="D722" i="226"/>
  <c r="D650" i="226"/>
  <c r="D578" i="226"/>
  <c r="D569" i="226"/>
  <c r="D605" i="226"/>
  <c r="D668" i="226"/>
  <c r="D659" i="226"/>
  <c r="D785" i="226"/>
  <c r="D713" i="226"/>
  <c r="D641" i="226"/>
  <c r="D776" i="226"/>
  <c r="D704" i="226"/>
  <c r="D632" i="226"/>
  <c r="D560" i="226"/>
  <c r="D596" i="226"/>
  <c r="D767" i="226"/>
  <c r="D695" i="226"/>
  <c r="D623" i="226"/>
  <c r="D749" i="226"/>
  <c r="D731" i="226"/>
  <c r="D758" i="226"/>
  <c r="D686" i="226"/>
  <c r="D614" i="226"/>
  <c r="D677" i="226"/>
  <c r="D587" i="226"/>
  <c r="D740" i="226"/>
  <c r="D803" i="226"/>
  <c r="H51" i="227"/>
  <c r="C51" i="227"/>
  <c r="G51" i="227" s="1"/>
  <c r="H52" i="227"/>
  <c r="C52" i="227"/>
  <c r="G52" i="227" s="1"/>
  <c r="D764" i="226"/>
  <c r="D349" i="226"/>
  <c r="D319" i="226"/>
  <c r="D329" i="226"/>
  <c r="D339" i="226"/>
  <c r="D309" i="226"/>
  <c r="D79" i="226"/>
  <c r="D49" i="226"/>
  <c r="D109" i="226"/>
  <c r="D59" i="226"/>
  <c r="D89" i="226"/>
  <c r="D39" i="226"/>
  <c r="D69" i="226"/>
  <c r="D99" i="226"/>
  <c r="D67" i="226"/>
  <c r="D107" i="226"/>
  <c r="D97" i="226"/>
  <c r="D47" i="226"/>
  <c r="D77" i="226"/>
  <c r="D57" i="226"/>
  <c r="D87" i="226"/>
  <c r="D37" i="226"/>
  <c r="D331" i="226"/>
  <c r="D341" i="226"/>
  <c r="D311" i="226"/>
  <c r="D351" i="226"/>
  <c r="D321" i="226"/>
  <c r="D737" i="226"/>
  <c r="D117" i="226"/>
  <c r="D177" i="226"/>
  <c r="D207" i="226"/>
  <c r="D127" i="226"/>
  <c r="D137" i="226"/>
  <c r="D187" i="226"/>
  <c r="D147" i="226"/>
  <c r="D197" i="226"/>
  <c r="D157" i="226"/>
  <c r="D167" i="226"/>
  <c r="D267" i="226"/>
  <c r="D277" i="226"/>
  <c r="D287" i="226"/>
  <c r="D247" i="226"/>
  <c r="D237" i="226"/>
  <c r="D257" i="226"/>
  <c r="D217" i="226"/>
  <c r="D227" i="226"/>
  <c r="D782" i="226"/>
  <c r="D149" i="226"/>
  <c r="D189" i="226"/>
  <c r="D159" i="226"/>
  <c r="D139" i="226"/>
  <c r="D169" i="226"/>
  <c r="D199" i="226"/>
  <c r="D119" i="226"/>
  <c r="D179" i="226"/>
  <c r="D129" i="226"/>
  <c r="D209" i="226"/>
  <c r="D219" i="226"/>
  <c r="D259" i="226"/>
  <c r="D229" i="226"/>
  <c r="D269" i="226"/>
  <c r="D239" i="226"/>
  <c r="D289" i="226"/>
  <c r="D249" i="226"/>
  <c r="D279" i="226"/>
  <c r="D414" i="226"/>
  <c r="D388" i="226"/>
  <c r="D400" i="226"/>
  <c r="D418" i="226"/>
  <c r="D392" i="226"/>
  <c r="D380" i="226"/>
  <c r="D404" i="226"/>
  <c r="D410" i="226"/>
  <c r="D384" i="226"/>
  <c r="D422" i="226"/>
  <c r="D396" i="226"/>
  <c r="D638" i="226"/>
  <c r="D566" i="226"/>
  <c r="D611" i="226"/>
  <c r="D674" i="226"/>
  <c r="D728" i="226"/>
  <c r="D584" i="226"/>
  <c r="D656" i="226"/>
  <c r="D710" i="226"/>
  <c r="D557" i="226"/>
  <c r="D602" i="226"/>
  <c r="D629" i="226"/>
  <c r="D701" i="226"/>
  <c r="D755" i="226"/>
  <c r="D647" i="226"/>
  <c r="D665" i="226"/>
  <c r="D719" i="226"/>
  <c r="D773" i="226"/>
  <c r="D791" i="226"/>
  <c r="D692" i="226"/>
  <c r="D746" i="226"/>
  <c r="D575" i="226"/>
  <c r="D620" i="226"/>
  <c r="A204" i="204" l="1"/>
  <c r="A203" i="204"/>
  <c r="A202" i="204"/>
  <c r="A201" i="204"/>
  <c r="A200" i="204"/>
  <c r="D199" i="204"/>
  <c r="A199" i="204"/>
  <c r="A198" i="204"/>
  <c r="A197" i="204"/>
  <c r="A196" i="204"/>
  <c r="A195" i="204"/>
  <c r="A194" i="204"/>
  <c r="A193" i="204"/>
  <c r="A192" i="204"/>
  <c r="A191" i="204"/>
  <c r="A190" i="204"/>
  <c r="D189" i="204"/>
  <c r="A189" i="204"/>
  <c r="A188" i="204"/>
  <c r="A187" i="204"/>
  <c r="A186" i="204"/>
  <c r="A185" i="204"/>
  <c r="A184" i="204"/>
  <c r="A183" i="204"/>
  <c r="A182" i="204"/>
  <c r="A181" i="204"/>
  <c r="A180" i="204"/>
  <c r="D179" i="204"/>
  <c r="A179" i="204"/>
  <c r="A178" i="204"/>
  <c r="A177" i="204"/>
  <c r="A176" i="204"/>
  <c r="A175" i="204"/>
  <c r="A174" i="204"/>
  <c r="A173" i="204"/>
  <c r="A172" i="204"/>
  <c r="A171" i="204"/>
  <c r="A170" i="204"/>
  <c r="D169" i="204"/>
  <c r="A169" i="204"/>
  <c r="A168" i="204"/>
  <c r="A167" i="204"/>
  <c r="A166" i="204"/>
  <c r="A165" i="204"/>
  <c r="A164" i="204"/>
  <c r="A163" i="204"/>
  <c r="A162" i="204"/>
  <c r="A161" i="204"/>
  <c r="A160" i="204"/>
  <c r="D159" i="204"/>
  <c r="A159" i="204"/>
  <c r="A158" i="204"/>
  <c r="A157" i="204"/>
  <c r="A156" i="204"/>
  <c r="A155" i="204"/>
  <c r="A154" i="204"/>
  <c r="A153" i="204"/>
  <c r="A152" i="204"/>
  <c r="A151" i="204"/>
  <c r="A150" i="204"/>
  <c r="A149" i="204"/>
  <c r="A148" i="204"/>
  <c r="D147" i="204"/>
  <c r="A147" i="204"/>
  <c r="A146" i="204"/>
  <c r="A145" i="204"/>
  <c r="A144" i="204"/>
  <c r="A143" i="204"/>
  <c r="A142" i="204"/>
  <c r="A141" i="204"/>
  <c r="A140" i="204"/>
  <c r="A139" i="204"/>
  <c r="A138" i="204"/>
  <c r="D137" i="204"/>
  <c r="A137" i="204"/>
  <c r="A136" i="204"/>
  <c r="A135" i="204"/>
  <c r="A134" i="204"/>
  <c r="A133" i="204"/>
  <c r="A132" i="204"/>
  <c r="A131" i="204"/>
  <c r="A130" i="204"/>
  <c r="A129" i="204"/>
  <c r="A128" i="204"/>
  <c r="D127" i="204"/>
  <c r="A127" i="204"/>
  <c r="A126" i="204"/>
  <c r="A125" i="204"/>
  <c r="A124" i="204"/>
  <c r="A123" i="204"/>
  <c r="A122" i="204"/>
  <c r="A121" i="204"/>
  <c r="A120" i="204"/>
  <c r="A119" i="204"/>
  <c r="A118" i="204"/>
  <c r="D117" i="204"/>
  <c r="A117" i="204"/>
  <c r="A116" i="204"/>
  <c r="A115" i="204"/>
  <c r="A114" i="204"/>
  <c r="A113" i="204"/>
  <c r="A112" i="204"/>
  <c r="A111" i="204"/>
  <c r="A110" i="204"/>
  <c r="A109" i="204"/>
  <c r="A108" i="204"/>
  <c r="D107" i="204"/>
  <c r="A107" i="204"/>
  <c r="A106" i="204"/>
  <c r="A105" i="204"/>
  <c r="A104" i="204"/>
  <c r="A103" i="204"/>
  <c r="A102" i="204"/>
  <c r="A101" i="204"/>
  <c r="A100" i="204"/>
  <c r="A99" i="204"/>
  <c r="A98" i="204"/>
  <c r="D97" i="204"/>
  <c r="A97" i="204"/>
  <c r="A96" i="204"/>
  <c r="A95" i="204"/>
  <c r="A94" i="204"/>
  <c r="A93" i="204"/>
  <c r="A92" i="204"/>
  <c r="A91" i="204"/>
  <c r="A90" i="204"/>
  <c r="A89" i="204"/>
  <c r="A88" i="204"/>
  <c r="D87" i="204"/>
  <c r="A87" i="204"/>
  <c r="A86" i="204"/>
  <c r="A85" i="204"/>
  <c r="A84" i="204"/>
  <c r="A83" i="204"/>
  <c r="A82" i="204"/>
  <c r="A81" i="204"/>
  <c r="A80" i="204"/>
  <c r="A79" i="204"/>
  <c r="A78" i="204"/>
  <c r="D77" i="204"/>
  <c r="A77" i="204"/>
  <c r="A76" i="204"/>
  <c r="A75" i="204"/>
  <c r="A74" i="204"/>
  <c r="A73" i="204"/>
  <c r="A72" i="204"/>
  <c r="A71" i="204"/>
  <c r="A70" i="204"/>
  <c r="A69" i="204"/>
  <c r="A68" i="204"/>
  <c r="D67" i="204"/>
  <c r="A67" i="204"/>
  <c r="A66" i="204"/>
  <c r="A65" i="204"/>
  <c r="A64" i="204"/>
  <c r="A63" i="204"/>
  <c r="A62" i="204"/>
  <c r="A61" i="204"/>
  <c r="A60" i="204"/>
  <c r="A59" i="204"/>
  <c r="A58" i="204"/>
  <c r="D57" i="204"/>
  <c r="A57" i="204"/>
  <c r="A56" i="204"/>
  <c r="A55" i="204"/>
  <c r="A54" i="204"/>
  <c r="A53" i="204"/>
  <c r="A52" i="204"/>
  <c r="A51" i="204"/>
  <c r="A50" i="204"/>
  <c r="A49" i="204"/>
  <c r="A48" i="204"/>
  <c r="D47" i="204"/>
  <c r="A47" i="204"/>
  <c r="A46" i="204"/>
  <c r="A45" i="204"/>
  <c r="A44" i="204"/>
  <c r="A43" i="204"/>
  <c r="A42" i="204"/>
  <c r="A41" i="204"/>
  <c r="A40" i="204"/>
  <c r="A39" i="204"/>
  <c r="A38" i="204"/>
  <c r="D37" i="204"/>
  <c r="A37" i="204"/>
  <c r="A36" i="204"/>
  <c r="A35" i="204"/>
  <c r="A34" i="204"/>
  <c r="A33" i="204"/>
  <c r="A97" i="55"/>
  <c r="A98" i="55"/>
  <c r="A99" i="55"/>
  <c r="A100" i="55"/>
  <c r="A107" i="55"/>
  <c r="A108" i="55"/>
  <c r="A109" i="55"/>
  <c r="A110" i="55"/>
  <c r="A97" i="56"/>
  <c r="A98" i="56"/>
  <c r="A99" i="56"/>
  <c r="A100" i="56"/>
  <c r="A107" i="56"/>
  <c r="A108" i="56"/>
  <c r="A109" i="56"/>
  <c r="A110" i="56"/>
  <c r="I52" i="227"/>
  <c r="I51" i="227"/>
  <c r="E52" i="227" l="1"/>
  <c r="E51" i="227"/>
  <c r="D103" i="225"/>
  <c r="A101" i="225"/>
  <c r="A102" i="225"/>
  <c r="A103" i="225"/>
  <c r="A104" i="225"/>
  <c r="A105" i="225"/>
  <c r="A100" i="225"/>
  <c r="A95" i="225"/>
  <c r="A96" i="225"/>
  <c r="A97" i="225"/>
  <c r="A98" i="225"/>
  <c r="A99" i="225"/>
  <c r="A94" i="225"/>
  <c r="A89" i="225"/>
  <c r="A90" i="225"/>
  <c r="A91" i="225"/>
  <c r="A92" i="225"/>
  <c r="A93" i="225"/>
  <c r="A88" i="225"/>
  <c r="A83" i="225"/>
  <c r="A84" i="225"/>
  <c r="A85" i="225"/>
  <c r="A86" i="225"/>
  <c r="A87" i="225"/>
  <c r="A82" i="225"/>
  <c r="D97" i="225"/>
  <c r="D91" i="225"/>
  <c r="D85" i="225"/>
  <c r="A77" i="225"/>
  <c r="A78" i="225"/>
  <c r="A79" i="225"/>
  <c r="A80" i="225"/>
  <c r="A81" i="225"/>
  <c r="A71" i="225"/>
  <c r="A72" i="225"/>
  <c r="A73" i="225"/>
  <c r="A74" i="225"/>
  <c r="A75" i="225"/>
  <c r="A65" i="225"/>
  <c r="A66" i="225"/>
  <c r="A67" i="225"/>
  <c r="A68" i="225"/>
  <c r="A69" i="225"/>
  <c r="A76" i="225"/>
  <c r="A70" i="225"/>
  <c r="A64" i="225"/>
  <c r="D79" i="225"/>
  <c r="D73" i="225"/>
  <c r="D67" i="225"/>
  <c r="A59" i="225" l="1"/>
  <c r="A60" i="225"/>
  <c r="A61" i="225"/>
  <c r="A62" i="225"/>
  <c r="A63" i="225"/>
  <c r="A53" i="225"/>
  <c r="A54" i="225"/>
  <c r="A55" i="225"/>
  <c r="A56" i="225"/>
  <c r="A57" i="225"/>
  <c r="A47" i="225"/>
  <c r="A48" i="225"/>
  <c r="A49" i="225"/>
  <c r="A50" i="225"/>
  <c r="A51" i="225"/>
  <c r="A58" i="225"/>
  <c r="A52" i="225"/>
  <c r="A46" i="225"/>
  <c r="D55" i="225"/>
  <c r="D61" i="225"/>
  <c r="D49" i="225"/>
  <c r="D43" i="225"/>
  <c r="D37" i="225"/>
  <c r="D31" i="225"/>
  <c r="A41" i="225"/>
  <c r="A42" i="225"/>
  <c r="A43" i="225"/>
  <c r="A44" i="225"/>
  <c r="A45" i="225"/>
  <c r="A35" i="225"/>
  <c r="A36" i="225"/>
  <c r="A37" i="225"/>
  <c r="A38" i="225"/>
  <c r="A39" i="225"/>
  <c r="A29" i="225"/>
  <c r="A30" i="225"/>
  <c r="A31" i="225"/>
  <c r="A32" i="225"/>
  <c r="A33" i="225"/>
  <c r="A34" i="225"/>
  <c r="A40" i="225"/>
  <c r="A28" i="225"/>
  <c r="A11" i="225"/>
  <c r="A12" i="225"/>
  <c r="A13" i="225"/>
  <c r="A14" i="225"/>
  <c r="A15" i="225"/>
  <c r="A17" i="225"/>
  <c r="A18" i="225"/>
  <c r="A19" i="225"/>
  <c r="A20" i="225"/>
  <c r="A21" i="225"/>
  <c r="A23" i="225"/>
  <c r="A24" i="225"/>
  <c r="A25" i="225"/>
  <c r="A26" i="225"/>
  <c r="A27" i="225"/>
  <c r="A22" i="225"/>
  <c r="A16" i="225"/>
  <c r="A10" i="225"/>
  <c r="D25" i="225"/>
  <c r="D19" i="225"/>
  <c r="D13" i="225"/>
  <c r="A19" i="224"/>
  <c r="A18" i="224"/>
  <c r="A17" i="224"/>
  <c r="A16" i="224"/>
  <c r="A15" i="224"/>
  <c r="A14" i="224"/>
  <c r="A13" i="224"/>
  <c r="A12" i="224"/>
  <c r="A11" i="224"/>
  <c r="A10" i="224"/>
  <c r="A9" i="224"/>
  <c r="A8" i="224"/>
  <c r="A7" i="224"/>
  <c r="A6" i="224"/>
  <c r="A5" i="224"/>
  <c r="A4" i="224"/>
  <c r="B7" i="224"/>
  <c r="C7" i="224"/>
  <c r="B8" i="224"/>
  <c r="C8" i="224"/>
  <c r="B9" i="224"/>
  <c r="C9" i="224"/>
  <c r="B10" i="224"/>
  <c r="C10" i="224"/>
  <c r="B11" i="224"/>
  <c r="C11" i="224"/>
  <c r="B12" i="224"/>
  <c r="C12" i="224"/>
  <c r="B13" i="224"/>
  <c r="C13" i="224"/>
  <c r="B14" i="224"/>
  <c r="C14" i="224"/>
  <c r="B15" i="224"/>
  <c r="C15" i="224"/>
  <c r="B16" i="224"/>
  <c r="C16" i="224"/>
  <c r="B17" i="224"/>
  <c r="C17" i="224"/>
  <c r="B18" i="224"/>
  <c r="C18" i="224"/>
  <c r="B19" i="224"/>
  <c r="C19" i="224"/>
  <c r="D19" i="224"/>
  <c r="D18" i="224"/>
  <c r="D17" i="224"/>
  <c r="D16" i="224"/>
  <c r="D15" i="224"/>
  <c r="D14" i="224"/>
  <c r="D13" i="224"/>
  <c r="D12" i="224"/>
  <c r="D11" i="224"/>
  <c r="D10" i="224"/>
  <c r="D9" i="224"/>
  <c r="D8" i="224"/>
  <c r="D7" i="224"/>
  <c r="D6" i="224"/>
  <c r="D5" i="224"/>
  <c r="D4" i="224"/>
  <c r="A9" i="225"/>
  <c r="A8" i="225"/>
  <c r="D7" i="225"/>
  <c r="A7" i="225"/>
  <c r="A6" i="225"/>
  <c r="A5" i="225"/>
  <c r="A4" i="225"/>
  <c r="D3" i="225"/>
  <c r="A3" i="225"/>
  <c r="K2" i="225"/>
  <c r="D39" i="225" s="1"/>
  <c r="C6" i="224"/>
  <c r="B6" i="224"/>
  <c r="C5" i="224"/>
  <c r="B5" i="224"/>
  <c r="C4" i="224"/>
  <c r="B4" i="224"/>
  <c r="D3" i="224"/>
  <c r="C3" i="224"/>
  <c r="B3" i="224"/>
  <c r="A3" i="224"/>
  <c r="D33" i="225" l="1"/>
  <c r="D51" i="225"/>
  <c r="D63" i="225"/>
  <c r="D57" i="225"/>
  <c r="D45" i="225"/>
  <c r="D27" i="225"/>
  <c r="D75" i="225"/>
  <c r="D105" i="225"/>
  <c r="D93" i="225"/>
  <c r="D81" i="225"/>
  <c r="D99" i="225"/>
  <c r="D87" i="225"/>
  <c r="D69" i="225"/>
  <c r="D9" i="225"/>
  <c r="D15" i="225"/>
  <c r="D21" i="225"/>
  <c r="R10" i="36"/>
  <c r="R9" i="36"/>
  <c r="R8" i="36"/>
  <c r="R7" i="36"/>
  <c r="R6" i="36"/>
  <c r="R5" i="36"/>
  <c r="R4" i="36"/>
  <c r="R3" i="36"/>
  <c r="D36" i="35"/>
  <c r="D56" i="35"/>
  <c r="D46" i="35"/>
  <c r="D51" i="35"/>
  <c r="D41" i="35"/>
  <c r="D31" i="35"/>
  <c r="D26" i="35"/>
  <c r="D21" i="35"/>
  <c r="D38" i="206"/>
  <c r="D48" i="206"/>
  <c r="D37" i="37"/>
  <c r="D31" i="37"/>
  <c r="D24" i="37"/>
  <c r="D22" i="37"/>
  <c r="D20" i="37"/>
  <c r="D21" i="37"/>
  <c r="D27" i="37"/>
  <c r="D29" i="37"/>
  <c r="D39" i="206" l="1"/>
  <c r="D41" i="206"/>
  <c r="C36" i="215" l="1"/>
  <c r="D37" i="215"/>
  <c r="C46" i="215"/>
  <c r="D47" i="215"/>
  <c r="C106" i="209"/>
  <c r="D107" i="209"/>
  <c r="B3" i="158"/>
  <c r="D37" i="189"/>
  <c r="C36" i="189"/>
  <c r="C35" i="157"/>
  <c r="D36" i="157"/>
  <c r="C91" i="39"/>
  <c r="D92" i="39"/>
  <c r="D4" i="222" l="1"/>
  <c r="A3" i="222"/>
  <c r="E4" i="222"/>
  <c r="C4" i="222"/>
  <c r="B4" i="222"/>
  <c r="E3" i="222"/>
  <c r="D3" i="222"/>
  <c r="C3" i="222"/>
  <c r="B3" i="222"/>
  <c r="A42" i="219" l="1"/>
  <c r="A71" i="58" l="1"/>
  <c r="A70" i="58"/>
  <c r="D19" i="159" l="1"/>
  <c r="D18" i="159"/>
  <c r="A60" i="219" l="1"/>
  <c r="A59" i="219"/>
  <c r="K53" i="221"/>
  <c r="J53" i="221"/>
  <c r="K52" i="221"/>
  <c r="J52" i="221"/>
  <c r="F52" i="221"/>
  <c r="K51" i="221"/>
  <c r="J51" i="221"/>
  <c r="A50" i="221"/>
  <c r="N41" i="221"/>
  <c r="M41" i="221"/>
  <c r="N40" i="221"/>
  <c r="M40" i="221"/>
  <c r="N39" i="221"/>
  <c r="M39" i="221"/>
  <c r="N38" i="221"/>
  <c r="M38" i="221"/>
  <c r="N37" i="221"/>
  <c r="M37" i="221"/>
  <c r="N36" i="221"/>
  <c r="M36" i="221"/>
  <c r="N35" i="221"/>
  <c r="M35" i="221"/>
  <c r="N34" i="221"/>
  <c r="M34" i="221"/>
  <c r="BE33" i="221"/>
  <c r="BD33" i="221"/>
  <c r="BC33" i="221"/>
  <c r="BB33" i="221"/>
  <c r="BA33" i="221"/>
  <c r="AZ33" i="221"/>
  <c r="AY33" i="221"/>
  <c r="AX33" i="221"/>
  <c r="AW33" i="221"/>
  <c r="AV33" i="221"/>
  <c r="AU33" i="221"/>
  <c r="AT33" i="221"/>
  <c r="AS33" i="221"/>
  <c r="AR33" i="221"/>
  <c r="AQ33" i="221"/>
  <c r="AP33" i="221"/>
  <c r="AO33" i="221"/>
  <c r="AN33" i="221"/>
  <c r="AM33" i="221"/>
  <c r="AL33" i="221"/>
  <c r="AK33" i="221"/>
  <c r="AJ33" i="221"/>
  <c r="AI33" i="221"/>
  <c r="AH33" i="221"/>
  <c r="AG33" i="221"/>
  <c r="AF33" i="221"/>
  <c r="AE33" i="221"/>
  <c r="N33" i="221"/>
  <c r="M33" i="221"/>
  <c r="BE32" i="221"/>
  <c r="BD32" i="221"/>
  <c r="BC32" i="221"/>
  <c r="BB32" i="221"/>
  <c r="BA32" i="221"/>
  <c r="AZ32" i="221"/>
  <c r="AY32" i="221"/>
  <c r="AX32" i="221"/>
  <c r="AW32" i="221"/>
  <c r="AV32" i="221"/>
  <c r="AU32" i="221"/>
  <c r="AT32" i="221"/>
  <c r="AS32" i="221"/>
  <c r="AR32" i="221"/>
  <c r="AQ32" i="221"/>
  <c r="AP32" i="221"/>
  <c r="AO32" i="221"/>
  <c r="AN32" i="221"/>
  <c r="AM32" i="221"/>
  <c r="AL32" i="221"/>
  <c r="AK32" i="221"/>
  <c r="AJ32" i="221"/>
  <c r="AI32" i="221"/>
  <c r="AH32" i="221"/>
  <c r="AG32" i="221"/>
  <c r="AF32" i="221"/>
  <c r="AE32" i="221"/>
  <c r="N32" i="221"/>
  <c r="M32" i="221"/>
  <c r="BE31" i="221"/>
  <c r="BD31" i="221"/>
  <c r="BC31" i="221"/>
  <c r="BB31" i="221"/>
  <c r="BA31" i="221"/>
  <c r="AZ31" i="221"/>
  <c r="AY31" i="221"/>
  <c r="AX31" i="221"/>
  <c r="AW31" i="221"/>
  <c r="AV31" i="221"/>
  <c r="AU31" i="221"/>
  <c r="AT31" i="221"/>
  <c r="AS31" i="221"/>
  <c r="AR31" i="221"/>
  <c r="AQ31" i="221"/>
  <c r="AP31" i="221"/>
  <c r="AO31" i="221"/>
  <c r="AN31" i="221"/>
  <c r="AM31" i="221"/>
  <c r="AL31" i="221"/>
  <c r="AK31" i="221"/>
  <c r="AJ31" i="221"/>
  <c r="AI31" i="221"/>
  <c r="AH31" i="221"/>
  <c r="AG31" i="221"/>
  <c r="AF31" i="221"/>
  <c r="AE31" i="221"/>
  <c r="N31" i="221"/>
  <c r="M31" i="221"/>
  <c r="BE30" i="221"/>
  <c r="BD30" i="221"/>
  <c r="BC30" i="221"/>
  <c r="BB30" i="221"/>
  <c r="BA30" i="221"/>
  <c r="AZ30" i="221"/>
  <c r="AY30" i="221"/>
  <c r="AX30" i="221"/>
  <c r="AW30" i="221"/>
  <c r="AV30" i="221"/>
  <c r="AU30" i="221"/>
  <c r="AT30" i="221"/>
  <c r="AS30" i="221"/>
  <c r="AR30" i="221"/>
  <c r="AQ30" i="221"/>
  <c r="AP30" i="221"/>
  <c r="AO30" i="221"/>
  <c r="AN30" i="221"/>
  <c r="AM30" i="221"/>
  <c r="AL30" i="221"/>
  <c r="AK30" i="221"/>
  <c r="AJ30" i="221"/>
  <c r="AI30" i="221"/>
  <c r="AH30" i="221"/>
  <c r="AG30" i="221"/>
  <c r="AF30" i="221"/>
  <c r="AE30" i="221"/>
  <c r="N30" i="221"/>
  <c r="M30" i="221"/>
  <c r="BE29" i="221"/>
  <c r="BD29" i="221"/>
  <c r="BC29" i="221"/>
  <c r="BB29" i="221"/>
  <c r="BA29" i="221"/>
  <c r="AZ29" i="221"/>
  <c r="AY29" i="221"/>
  <c r="AX29" i="221"/>
  <c r="AW29" i="221"/>
  <c r="AV29" i="221"/>
  <c r="AU29" i="221"/>
  <c r="AT29" i="221"/>
  <c r="AS29" i="221"/>
  <c r="AR29" i="221"/>
  <c r="AQ29" i="221"/>
  <c r="AP29" i="221"/>
  <c r="AO29" i="221"/>
  <c r="AN29" i="221"/>
  <c r="AM29" i="221"/>
  <c r="AL29" i="221"/>
  <c r="AK29" i="221"/>
  <c r="AJ29" i="221"/>
  <c r="AI29" i="221"/>
  <c r="AH29" i="221"/>
  <c r="AG29" i="221"/>
  <c r="AF29" i="221"/>
  <c r="AE29" i="221"/>
  <c r="N29" i="221"/>
  <c r="M29" i="221"/>
  <c r="BE28" i="221"/>
  <c r="BD28" i="221"/>
  <c r="BC28" i="221"/>
  <c r="BB28" i="221"/>
  <c r="BA28" i="221"/>
  <c r="AZ28" i="221"/>
  <c r="AY28" i="221"/>
  <c r="AX28" i="221"/>
  <c r="AW28" i="221"/>
  <c r="AV28" i="221"/>
  <c r="AU28" i="221"/>
  <c r="AT28" i="221"/>
  <c r="AS28" i="221"/>
  <c r="AR28" i="221"/>
  <c r="AQ28" i="221"/>
  <c r="AP28" i="221"/>
  <c r="AO28" i="221"/>
  <c r="AN28" i="221"/>
  <c r="AM28" i="221"/>
  <c r="AL28" i="221"/>
  <c r="AK28" i="221"/>
  <c r="AJ28" i="221"/>
  <c r="AI28" i="221"/>
  <c r="AH28" i="221"/>
  <c r="AG28" i="221"/>
  <c r="AF28" i="221"/>
  <c r="AE28" i="221"/>
  <c r="N28" i="221"/>
  <c r="M28" i="221"/>
  <c r="BE27" i="221"/>
  <c r="BD27" i="221"/>
  <c r="BC27" i="221"/>
  <c r="BB27" i="221"/>
  <c r="BA27" i="221"/>
  <c r="AZ27" i="221"/>
  <c r="AY27" i="221"/>
  <c r="AX27" i="221"/>
  <c r="AW27" i="221"/>
  <c r="AV27" i="221"/>
  <c r="AU27" i="221"/>
  <c r="AT27" i="221"/>
  <c r="AS27" i="221"/>
  <c r="AR27" i="221"/>
  <c r="AQ27" i="221"/>
  <c r="AP27" i="221"/>
  <c r="AO27" i="221"/>
  <c r="AN27" i="221"/>
  <c r="AM27" i="221"/>
  <c r="AL27" i="221"/>
  <c r="AK27" i="221"/>
  <c r="AJ27" i="221"/>
  <c r="AI27" i="221"/>
  <c r="AH27" i="221"/>
  <c r="AG27" i="221"/>
  <c r="AF27" i="221"/>
  <c r="AE27" i="221"/>
  <c r="N27" i="221"/>
  <c r="M27" i="221"/>
  <c r="BE26" i="221"/>
  <c r="BD26" i="221"/>
  <c r="BC26" i="221"/>
  <c r="BB26" i="221"/>
  <c r="BA26" i="221"/>
  <c r="AZ26" i="221"/>
  <c r="AY26" i="221"/>
  <c r="AX26" i="221"/>
  <c r="AW26" i="221"/>
  <c r="AV26" i="221"/>
  <c r="AU26" i="221"/>
  <c r="AT26" i="221"/>
  <c r="AS26" i="221"/>
  <c r="AR26" i="221"/>
  <c r="AQ26" i="221"/>
  <c r="AP26" i="221"/>
  <c r="AO26" i="221"/>
  <c r="AN26" i="221"/>
  <c r="AM26" i="221"/>
  <c r="AL26" i="221"/>
  <c r="AK26" i="221"/>
  <c r="AJ26" i="221"/>
  <c r="AI26" i="221"/>
  <c r="AH26" i="221"/>
  <c r="AG26" i="221"/>
  <c r="AF26" i="221"/>
  <c r="AE26" i="221"/>
  <c r="N26" i="221"/>
  <c r="M26" i="221"/>
  <c r="BE25" i="221"/>
  <c r="BD25" i="221"/>
  <c r="BC25" i="221"/>
  <c r="BB25" i="221"/>
  <c r="BA25" i="221"/>
  <c r="AZ25" i="221"/>
  <c r="AY25" i="221"/>
  <c r="AX25" i="221"/>
  <c r="AW25" i="221"/>
  <c r="AV25" i="221"/>
  <c r="AU25" i="221"/>
  <c r="AT25" i="221"/>
  <c r="AS25" i="221"/>
  <c r="AR25" i="221"/>
  <c r="AQ25" i="221"/>
  <c r="AP25" i="221"/>
  <c r="AO25" i="221"/>
  <c r="AN25" i="221"/>
  <c r="AM25" i="221"/>
  <c r="AL25" i="221"/>
  <c r="AK25" i="221"/>
  <c r="AJ25" i="221"/>
  <c r="AI25" i="221"/>
  <c r="AH25" i="221"/>
  <c r="AG25" i="221"/>
  <c r="AF25" i="221"/>
  <c r="AE25" i="221"/>
  <c r="N25" i="221"/>
  <c r="M25" i="221"/>
  <c r="BE24" i="221"/>
  <c r="BD24" i="221"/>
  <c r="BC24" i="221"/>
  <c r="BB24" i="221"/>
  <c r="BA24" i="221"/>
  <c r="AZ24" i="221"/>
  <c r="AY24" i="221"/>
  <c r="AX24" i="221"/>
  <c r="AW24" i="221"/>
  <c r="AV24" i="221"/>
  <c r="AU24" i="221"/>
  <c r="AT24" i="221"/>
  <c r="AS24" i="221"/>
  <c r="AR24" i="221"/>
  <c r="AQ24" i="221"/>
  <c r="AP24" i="221"/>
  <c r="AO24" i="221"/>
  <c r="AN24" i="221"/>
  <c r="AM24" i="221"/>
  <c r="AL24" i="221"/>
  <c r="AK24" i="221"/>
  <c r="AJ24" i="221"/>
  <c r="AI24" i="221"/>
  <c r="AH24" i="221"/>
  <c r="AG24" i="221"/>
  <c r="AF24" i="221"/>
  <c r="AE24" i="221"/>
  <c r="N24" i="221"/>
  <c r="M24" i="221"/>
  <c r="BE23" i="221"/>
  <c r="BD23" i="221"/>
  <c r="BC23" i="221"/>
  <c r="BB23" i="221"/>
  <c r="BA23" i="221"/>
  <c r="AZ23" i="221"/>
  <c r="AY23" i="221"/>
  <c r="AX23" i="221"/>
  <c r="AW23" i="221"/>
  <c r="AV23" i="221"/>
  <c r="AU23" i="221"/>
  <c r="AT23" i="221"/>
  <c r="AS23" i="221"/>
  <c r="AR23" i="221"/>
  <c r="AQ23" i="221"/>
  <c r="AP23" i="221"/>
  <c r="AO23" i="221"/>
  <c r="AN23" i="221"/>
  <c r="AM23" i="221"/>
  <c r="AL23" i="221"/>
  <c r="AK23" i="221"/>
  <c r="AJ23" i="221"/>
  <c r="AI23" i="221"/>
  <c r="AH23" i="221"/>
  <c r="AG23" i="221"/>
  <c r="AF23" i="221"/>
  <c r="AE23" i="221"/>
  <c r="N23" i="221"/>
  <c r="M23" i="221"/>
  <c r="BE22" i="221"/>
  <c r="BD22" i="221"/>
  <c r="BC22" i="221"/>
  <c r="BB22" i="221"/>
  <c r="BA22" i="221"/>
  <c r="AZ22" i="221"/>
  <c r="AY22" i="221"/>
  <c r="AX22" i="221"/>
  <c r="AW22" i="221"/>
  <c r="AV22" i="221"/>
  <c r="AU22" i="221"/>
  <c r="AT22" i="221"/>
  <c r="AS22" i="221"/>
  <c r="AR22" i="221"/>
  <c r="AQ22" i="221"/>
  <c r="AP22" i="221"/>
  <c r="AO22" i="221"/>
  <c r="AN22" i="221"/>
  <c r="AM22" i="221"/>
  <c r="AL22" i="221"/>
  <c r="AK22" i="221"/>
  <c r="AJ22" i="221"/>
  <c r="AI22" i="221"/>
  <c r="AH22" i="221"/>
  <c r="AG22" i="221"/>
  <c r="AF22" i="221"/>
  <c r="AE22" i="221"/>
  <c r="N22" i="221"/>
  <c r="M22" i="221"/>
  <c r="BE21" i="221"/>
  <c r="BD21" i="221"/>
  <c r="BC21" i="221"/>
  <c r="BB21" i="221"/>
  <c r="BA21" i="221"/>
  <c r="AZ21" i="221"/>
  <c r="AY21" i="221"/>
  <c r="AX21" i="221"/>
  <c r="AW21" i="221"/>
  <c r="AV21" i="221"/>
  <c r="AU21" i="221"/>
  <c r="AT21" i="221"/>
  <c r="AS21" i="221"/>
  <c r="AR21" i="221"/>
  <c r="AQ21" i="221"/>
  <c r="AP21" i="221"/>
  <c r="AO21" i="221"/>
  <c r="AN21" i="221"/>
  <c r="AM21" i="221"/>
  <c r="AL21" i="221"/>
  <c r="AK21" i="221"/>
  <c r="AJ21" i="221"/>
  <c r="AI21" i="221"/>
  <c r="AH21" i="221"/>
  <c r="AG21" i="221"/>
  <c r="AF21" i="221"/>
  <c r="AE21" i="221"/>
  <c r="N21" i="221"/>
  <c r="M21" i="221"/>
  <c r="BE20" i="221"/>
  <c r="BD20" i="221"/>
  <c r="BC20" i="221"/>
  <c r="BB20" i="221"/>
  <c r="BA20" i="221"/>
  <c r="AZ20" i="221"/>
  <c r="AY20" i="221"/>
  <c r="AX20" i="221"/>
  <c r="AW20" i="221"/>
  <c r="AV20" i="221"/>
  <c r="AU20" i="221"/>
  <c r="AT20" i="221"/>
  <c r="AS20" i="221"/>
  <c r="AR20" i="221"/>
  <c r="AQ20" i="221"/>
  <c r="AP20" i="221"/>
  <c r="AO20" i="221"/>
  <c r="AN20" i="221"/>
  <c r="AM20" i="221"/>
  <c r="AL20" i="221"/>
  <c r="AK20" i="221"/>
  <c r="AJ20" i="221"/>
  <c r="AI20" i="221"/>
  <c r="AH20" i="221"/>
  <c r="AG20" i="221"/>
  <c r="AF20" i="221"/>
  <c r="AE20" i="221"/>
  <c r="N20" i="221"/>
  <c r="M20" i="221"/>
  <c r="BE19" i="221"/>
  <c r="BD19" i="221"/>
  <c r="BC19" i="221"/>
  <c r="BB19" i="221"/>
  <c r="BA19" i="221"/>
  <c r="AZ19" i="221"/>
  <c r="AY19" i="221"/>
  <c r="AX19" i="221"/>
  <c r="AW19" i="221"/>
  <c r="AV19" i="221"/>
  <c r="AU19" i="221"/>
  <c r="AT19" i="221"/>
  <c r="AS19" i="221"/>
  <c r="AR19" i="221"/>
  <c r="AQ19" i="221"/>
  <c r="AP19" i="221"/>
  <c r="AO19" i="221"/>
  <c r="AN19" i="221"/>
  <c r="AM19" i="221"/>
  <c r="AL19" i="221"/>
  <c r="AK19" i="221"/>
  <c r="AJ19" i="221"/>
  <c r="AI19" i="221"/>
  <c r="AH19" i="221"/>
  <c r="AG19" i="221"/>
  <c r="AF19" i="221"/>
  <c r="AE19" i="221"/>
  <c r="N19" i="221"/>
  <c r="M19" i="221"/>
  <c r="BE18" i="221"/>
  <c r="BD18" i="221"/>
  <c r="BC18" i="221"/>
  <c r="BB18" i="221"/>
  <c r="BA18" i="221"/>
  <c r="AZ18" i="221"/>
  <c r="AY18" i="221"/>
  <c r="AX18" i="221"/>
  <c r="AW18" i="221"/>
  <c r="AV18" i="221"/>
  <c r="AU18" i="221"/>
  <c r="AT18" i="221"/>
  <c r="AS18" i="221"/>
  <c r="AR18" i="221"/>
  <c r="AQ18" i="221"/>
  <c r="AP18" i="221"/>
  <c r="AO18" i="221"/>
  <c r="AN18" i="221"/>
  <c r="AM18" i="221"/>
  <c r="AL18" i="221"/>
  <c r="AK18" i="221"/>
  <c r="AJ18" i="221"/>
  <c r="AI18" i="221"/>
  <c r="AH18" i="221"/>
  <c r="AG18" i="221"/>
  <c r="AF18" i="221"/>
  <c r="AE18" i="221"/>
  <c r="N18" i="221"/>
  <c r="M18" i="221"/>
  <c r="BE17" i="221"/>
  <c r="BD17" i="221"/>
  <c r="BC17" i="221"/>
  <c r="BB17" i="221"/>
  <c r="BA17" i="221"/>
  <c r="AZ17" i="221"/>
  <c r="AY17" i="221"/>
  <c r="AX17" i="221"/>
  <c r="AW17" i="221"/>
  <c r="AV17" i="221"/>
  <c r="AU17" i="221"/>
  <c r="AT17" i="221"/>
  <c r="AS17" i="221"/>
  <c r="AR17" i="221"/>
  <c r="AQ17" i="221"/>
  <c r="AP17" i="221"/>
  <c r="AO17" i="221"/>
  <c r="AN17" i="221"/>
  <c r="AM17" i="221"/>
  <c r="AL17" i="221"/>
  <c r="AK17" i="221"/>
  <c r="AJ17" i="221"/>
  <c r="AI17" i="221"/>
  <c r="AH17" i="221"/>
  <c r="AG17" i="221"/>
  <c r="AF17" i="221"/>
  <c r="AE17" i="221"/>
  <c r="N17" i="221"/>
  <c r="M17" i="221"/>
  <c r="BE16" i="221"/>
  <c r="BD16" i="221"/>
  <c r="BC16" i="221"/>
  <c r="BB16" i="221"/>
  <c r="BA16" i="221"/>
  <c r="AZ16" i="221"/>
  <c r="AY16" i="221"/>
  <c r="AX16" i="221"/>
  <c r="AW16" i="221"/>
  <c r="AV16" i="221"/>
  <c r="AU16" i="221"/>
  <c r="AT16" i="221"/>
  <c r="AS16" i="221"/>
  <c r="AR16" i="221"/>
  <c r="AQ16" i="221"/>
  <c r="AP16" i="221"/>
  <c r="AO16" i="221"/>
  <c r="AN16" i="221"/>
  <c r="AM16" i="221"/>
  <c r="AL16" i="221"/>
  <c r="AK16" i="221"/>
  <c r="AJ16" i="221"/>
  <c r="AI16" i="221"/>
  <c r="AH16" i="221"/>
  <c r="AG16" i="221"/>
  <c r="AF16" i="221"/>
  <c r="AE16" i="221"/>
  <c r="N16" i="221"/>
  <c r="M16" i="221"/>
  <c r="BE15" i="221"/>
  <c r="BD15" i="221"/>
  <c r="BC15" i="221"/>
  <c r="BB15" i="221"/>
  <c r="BA15" i="221"/>
  <c r="AZ15" i="221"/>
  <c r="AY15" i="221"/>
  <c r="AX15" i="221"/>
  <c r="AW15" i="221"/>
  <c r="AV15" i="221"/>
  <c r="AU15" i="221"/>
  <c r="AT15" i="221"/>
  <c r="AS15" i="221"/>
  <c r="AR15" i="221"/>
  <c r="AQ15" i="221"/>
  <c r="AP15" i="221"/>
  <c r="AO15" i="221"/>
  <c r="AN15" i="221"/>
  <c r="AM15" i="221"/>
  <c r="AL15" i="221"/>
  <c r="AK15" i="221"/>
  <c r="AJ15" i="221"/>
  <c r="AI15" i="221"/>
  <c r="AH15" i="221"/>
  <c r="AG15" i="221"/>
  <c r="AF15" i="221"/>
  <c r="AE15" i="221"/>
  <c r="N15" i="221"/>
  <c r="M15" i="221"/>
  <c r="BE14" i="221"/>
  <c r="BD14" i="221"/>
  <c r="BC14" i="221"/>
  <c r="BB14" i="221"/>
  <c r="BA14" i="221"/>
  <c r="AZ14" i="221"/>
  <c r="AY14" i="221"/>
  <c r="AX14" i="221"/>
  <c r="AW14" i="221"/>
  <c r="AV14" i="221"/>
  <c r="AU14" i="221"/>
  <c r="AT14" i="221"/>
  <c r="AS14" i="221"/>
  <c r="AR14" i="221"/>
  <c r="AQ14" i="221"/>
  <c r="AP14" i="221"/>
  <c r="AO14" i="221"/>
  <c r="AN14" i="221"/>
  <c r="AM14" i="221"/>
  <c r="AL14" i="221"/>
  <c r="AK14" i="221"/>
  <c r="AJ14" i="221"/>
  <c r="AI14" i="221"/>
  <c r="AH14" i="221"/>
  <c r="AG14" i="221"/>
  <c r="AF14" i="221"/>
  <c r="AE14" i="221"/>
  <c r="N14" i="221"/>
  <c r="M14" i="221"/>
  <c r="BE13" i="221"/>
  <c r="BD13" i="221"/>
  <c r="BC13" i="221"/>
  <c r="BB13" i="221"/>
  <c r="BA13" i="221"/>
  <c r="AZ13" i="221"/>
  <c r="AY13" i="221"/>
  <c r="AX13" i="221"/>
  <c r="AW13" i="221"/>
  <c r="AV13" i="221"/>
  <c r="AU13" i="221"/>
  <c r="AT13" i="221"/>
  <c r="AS13" i="221"/>
  <c r="AR13" i="221"/>
  <c r="AQ13" i="221"/>
  <c r="AP13" i="221"/>
  <c r="AO13" i="221"/>
  <c r="AN13" i="221"/>
  <c r="AM13" i="221"/>
  <c r="AL13" i="221"/>
  <c r="AK13" i="221"/>
  <c r="AJ13" i="221"/>
  <c r="AI13" i="221"/>
  <c r="AH13" i="221"/>
  <c r="AG13" i="221"/>
  <c r="AF13" i="221"/>
  <c r="AE13" i="221"/>
  <c r="N13" i="221"/>
  <c r="M13" i="221"/>
  <c r="BE12" i="221"/>
  <c r="BD12" i="221"/>
  <c r="BC12" i="221"/>
  <c r="BB12" i="221"/>
  <c r="BA12" i="221"/>
  <c r="AZ12" i="221"/>
  <c r="AY12" i="221"/>
  <c r="AX12" i="221"/>
  <c r="AW12" i="221"/>
  <c r="AV12" i="221"/>
  <c r="AU12" i="221"/>
  <c r="AT12" i="221"/>
  <c r="AS12" i="221"/>
  <c r="AR12" i="221"/>
  <c r="AQ12" i="221"/>
  <c r="AP12" i="221"/>
  <c r="AO12" i="221"/>
  <c r="AN12" i="221"/>
  <c r="AM12" i="221"/>
  <c r="AL12" i="221"/>
  <c r="AK12" i="221"/>
  <c r="AJ12" i="221"/>
  <c r="AI12" i="221"/>
  <c r="AH12" i="221"/>
  <c r="AG12" i="221"/>
  <c r="AF12" i="221"/>
  <c r="AE12" i="221"/>
  <c r="N12" i="221"/>
  <c r="M12" i="221"/>
  <c r="A12" i="221"/>
  <c r="BE11" i="221"/>
  <c r="BD11" i="221"/>
  <c r="BC11" i="221"/>
  <c r="BB11" i="221"/>
  <c r="BA11" i="221"/>
  <c r="AZ11" i="221"/>
  <c r="AY11" i="221"/>
  <c r="AX11" i="221"/>
  <c r="AW11" i="221"/>
  <c r="AV11" i="221"/>
  <c r="AU11" i="221"/>
  <c r="AT11" i="221"/>
  <c r="AS11" i="221"/>
  <c r="AR11" i="221"/>
  <c r="AQ11" i="221"/>
  <c r="AP11" i="221"/>
  <c r="AO11" i="221"/>
  <c r="AN11" i="221"/>
  <c r="AM11" i="221"/>
  <c r="AL11" i="221"/>
  <c r="AK11" i="221"/>
  <c r="AJ11" i="221"/>
  <c r="AI11" i="221"/>
  <c r="AH11" i="221"/>
  <c r="AG11" i="221"/>
  <c r="AF11" i="221"/>
  <c r="AE11" i="221"/>
  <c r="N11" i="221"/>
  <c r="M11" i="221"/>
  <c r="A11" i="221"/>
  <c r="BE10" i="221"/>
  <c r="BD10" i="221"/>
  <c r="BC10" i="221"/>
  <c r="BB10" i="221"/>
  <c r="BA10" i="221"/>
  <c r="AZ10" i="221"/>
  <c r="AY10" i="221"/>
  <c r="AX10" i="221"/>
  <c r="AW10" i="221"/>
  <c r="AV10" i="221"/>
  <c r="AU10" i="221"/>
  <c r="AT10" i="221"/>
  <c r="AS10" i="221"/>
  <c r="AR10" i="221"/>
  <c r="AQ10" i="221"/>
  <c r="AP10" i="221"/>
  <c r="AO10" i="221"/>
  <c r="AN10" i="221"/>
  <c r="AM10" i="221"/>
  <c r="AL10" i="221"/>
  <c r="AK10" i="221"/>
  <c r="AJ10" i="221"/>
  <c r="AI10" i="221"/>
  <c r="AH10" i="221"/>
  <c r="AG10" i="221"/>
  <c r="AF10" i="221"/>
  <c r="AE10" i="221"/>
  <c r="N10" i="221"/>
  <c r="M10" i="221"/>
  <c r="A10" i="221"/>
  <c r="BE9" i="221"/>
  <c r="BD9" i="221"/>
  <c r="BC9" i="221"/>
  <c r="BB9" i="221"/>
  <c r="BA9" i="221"/>
  <c r="AZ9" i="221"/>
  <c r="AY9" i="221"/>
  <c r="AX9" i="221"/>
  <c r="AW9" i="221"/>
  <c r="AV9" i="221"/>
  <c r="AU9" i="221"/>
  <c r="AT9" i="221"/>
  <c r="AS9" i="221"/>
  <c r="AR9" i="221"/>
  <c r="AQ9" i="221"/>
  <c r="AP9" i="221"/>
  <c r="AO9" i="221"/>
  <c r="AN9" i="221"/>
  <c r="AM9" i="221"/>
  <c r="AL9" i="221"/>
  <c r="AK9" i="221"/>
  <c r="AJ9" i="221"/>
  <c r="AI9" i="221"/>
  <c r="AH9" i="221"/>
  <c r="AG9" i="221"/>
  <c r="AF9" i="221"/>
  <c r="AE9" i="221"/>
  <c r="N9" i="221"/>
  <c r="M9" i="221"/>
  <c r="A9" i="221"/>
  <c r="BE8" i="221"/>
  <c r="BD8" i="221"/>
  <c r="BC8" i="221"/>
  <c r="BB8" i="221"/>
  <c r="BA8" i="221"/>
  <c r="AZ8" i="221"/>
  <c r="AY8" i="221"/>
  <c r="AX8" i="221"/>
  <c r="AW8" i="221"/>
  <c r="AV8" i="221"/>
  <c r="AU8" i="221"/>
  <c r="AT8" i="221"/>
  <c r="AS8" i="221"/>
  <c r="AR8" i="221"/>
  <c r="AQ8" i="221"/>
  <c r="AP8" i="221"/>
  <c r="AO8" i="221"/>
  <c r="AN8" i="221"/>
  <c r="AM8" i="221"/>
  <c r="AL8" i="221"/>
  <c r="AK8" i="221"/>
  <c r="AJ8" i="221"/>
  <c r="AI8" i="221"/>
  <c r="AH8" i="221"/>
  <c r="AG8" i="221"/>
  <c r="AF8" i="221"/>
  <c r="AE8" i="221"/>
  <c r="N8" i="221"/>
  <c r="M8" i="221"/>
  <c r="A8" i="221"/>
  <c r="BE7" i="221"/>
  <c r="BD7" i="221"/>
  <c r="BC7" i="221"/>
  <c r="BB7" i="221"/>
  <c r="BA7" i="221"/>
  <c r="AZ7" i="221"/>
  <c r="AY7" i="221"/>
  <c r="AX7" i="221"/>
  <c r="AW7" i="221"/>
  <c r="AV7" i="221"/>
  <c r="AU7" i="221"/>
  <c r="AT7" i="221"/>
  <c r="AS7" i="221"/>
  <c r="AR7" i="221"/>
  <c r="AQ7" i="221"/>
  <c r="AP7" i="221"/>
  <c r="AO7" i="221"/>
  <c r="AN7" i="221"/>
  <c r="AM7" i="221"/>
  <c r="AL7" i="221"/>
  <c r="AK7" i="221"/>
  <c r="AJ7" i="221"/>
  <c r="AI7" i="221"/>
  <c r="AH7" i="221"/>
  <c r="AG7" i="221"/>
  <c r="AF7" i="221"/>
  <c r="AE7" i="221"/>
  <c r="N7" i="221"/>
  <c r="M7" i="221"/>
  <c r="BE6" i="221"/>
  <c r="BD6" i="221"/>
  <c r="BC6" i="221"/>
  <c r="BB6" i="221"/>
  <c r="BA6" i="221"/>
  <c r="AZ6" i="221"/>
  <c r="AY6" i="221"/>
  <c r="AX6" i="221"/>
  <c r="AW6" i="221"/>
  <c r="AV6" i="221"/>
  <c r="AU6" i="221"/>
  <c r="AT6" i="221"/>
  <c r="AS6" i="221"/>
  <c r="AR6" i="221"/>
  <c r="AQ6" i="221"/>
  <c r="AP6" i="221"/>
  <c r="AO6" i="221"/>
  <c r="AN6" i="221"/>
  <c r="AM6" i="221"/>
  <c r="AL6" i="221"/>
  <c r="AK6" i="221"/>
  <c r="AJ6" i="221"/>
  <c r="AI6" i="221"/>
  <c r="AH6" i="221"/>
  <c r="AG6" i="221"/>
  <c r="AF6" i="221"/>
  <c r="AE6" i="221"/>
  <c r="N6" i="221"/>
  <c r="M6" i="221"/>
  <c r="BE5" i="221"/>
  <c r="BD5" i="221"/>
  <c r="BC5" i="221"/>
  <c r="BB5" i="221"/>
  <c r="BA5" i="221"/>
  <c r="AZ5" i="221"/>
  <c r="AY5" i="221"/>
  <c r="AX5" i="221"/>
  <c r="AW5" i="221"/>
  <c r="AV5" i="221"/>
  <c r="AU5" i="221"/>
  <c r="AT5" i="221"/>
  <c r="AS5" i="221"/>
  <c r="AR5" i="221"/>
  <c r="AQ5" i="221"/>
  <c r="AP5" i="221"/>
  <c r="AO5" i="221"/>
  <c r="AN5" i="221"/>
  <c r="AM5" i="221"/>
  <c r="AL5" i="221"/>
  <c r="AK5" i="221"/>
  <c r="AJ5" i="221"/>
  <c r="AI5" i="221"/>
  <c r="AH5" i="221"/>
  <c r="AG5" i="221"/>
  <c r="AF5" i="221"/>
  <c r="AE5" i="221"/>
  <c r="N5" i="221"/>
  <c r="M5" i="221"/>
  <c r="BE4" i="221"/>
  <c r="BD4" i="221"/>
  <c r="BC4" i="221"/>
  <c r="BB4" i="221"/>
  <c r="BA4" i="221"/>
  <c r="AZ4" i="221"/>
  <c r="AY4" i="221"/>
  <c r="AX4" i="221"/>
  <c r="AW4" i="221"/>
  <c r="AV4" i="221"/>
  <c r="AU4" i="221"/>
  <c r="AT4" i="221"/>
  <c r="AS4" i="221"/>
  <c r="AR4" i="221"/>
  <c r="AQ4" i="221"/>
  <c r="AP4" i="221"/>
  <c r="AO4" i="221"/>
  <c r="AN4" i="221"/>
  <c r="AM4" i="221"/>
  <c r="AL4" i="221"/>
  <c r="AK4" i="221"/>
  <c r="AJ4" i="221"/>
  <c r="AI4" i="221"/>
  <c r="AH4" i="221"/>
  <c r="AG4" i="221"/>
  <c r="AF4" i="221"/>
  <c r="AE4" i="221"/>
  <c r="N4" i="221"/>
  <c r="M4" i="221"/>
  <c r="BE3" i="221"/>
  <c r="BD3" i="221"/>
  <c r="BC3" i="221"/>
  <c r="BB3" i="221"/>
  <c r="BA3" i="221"/>
  <c r="AZ3" i="221"/>
  <c r="AY3" i="221"/>
  <c r="AX3" i="221"/>
  <c r="AW3" i="221"/>
  <c r="AV3" i="221"/>
  <c r="AU3" i="221"/>
  <c r="AT3" i="221"/>
  <c r="AS3" i="221"/>
  <c r="AR3" i="221"/>
  <c r="AQ3" i="221"/>
  <c r="AP3" i="221"/>
  <c r="AO3" i="221"/>
  <c r="AN3" i="221"/>
  <c r="AM3" i="221"/>
  <c r="AL3" i="221"/>
  <c r="AK3" i="221"/>
  <c r="AJ3" i="221"/>
  <c r="AI3" i="221"/>
  <c r="AH3" i="221"/>
  <c r="AG3" i="221"/>
  <c r="AF3" i="221"/>
  <c r="AE3" i="221"/>
  <c r="AC3" i="221"/>
  <c r="AB3" i="221"/>
  <c r="AA3" i="221"/>
  <c r="Z3" i="221"/>
  <c r="Y3" i="221"/>
  <c r="X3" i="221"/>
  <c r="L53" i="221" s="1"/>
  <c r="B53" i="221" s="1"/>
  <c r="W3" i="221"/>
  <c r="H12" i="221" s="1"/>
  <c r="V3" i="221"/>
  <c r="C11" i="221" s="1"/>
  <c r="U3" i="221"/>
  <c r="E15" i="221" s="1"/>
  <c r="T3" i="221"/>
  <c r="S3" i="221"/>
  <c r="B13" i="221" s="1"/>
  <c r="P3" i="221"/>
  <c r="N3" i="221"/>
  <c r="M3" i="221"/>
  <c r="BE2" i="221"/>
  <c r="BD2" i="221"/>
  <c r="BC2" i="221"/>
  <c r="BB2" i="221"/>
  <c r="BA2" i="221"/>
  <c r="AZ2" i="221"/>
  <c r="AY2" i="221"/>
  <c r="AX2" i="221"/>
  <c r="AW2" i="221"/>
  <c r="AV2" i="221"/>
  <c r="AU2" i="221"/>
  <c r="AT2" i="221"/>
  <c r="AS2" i="221"/>
  <c r="AR2" i="221"/>
  <c r="AQ2" i="221"/>
  <c r="AP2" i="221"/>
  <c r="AO2" i="221"/>
  <c r="AN2" i="221"/>
  <c r="AM2" i="221"/>
  <c r="AL2" i="221"/>
  <c r="AK2" i="221"/>
  <c r="AJ2" i="221"/>
  <c r="AI2" i="221"/>
  <c r="AH2" i="221"/>
  <c r="AG2" i="221"/>
  <c r="AF2" i="221"/>
  <c r="AE2" i="221"/>
  <c r="N2" i="221"/>
  <c r="M2" i="221"/>
  <c r="A2" i="221"/>
  <c r="BE1" i="221"/>
  <c r="BD1" i="221"/>
  <c r="BC1" i="221"/>
  <c r="BB1" i="221"/>
  <c r="BA1" i="221"/>
  <c r="AZ1" i="221"/>
  <c r="AY1" i="221"/>
  <c r="AX1" i="221"/>
  <c r="AW1" i="221"/>
  <c r="AV1" i="221"/>
  <c r="AU1" i="221"/>
  <c r="AT1" i="221"/>
  <c r="AS1" i="221"/>
  <c r="AR1" i="221"/>
  <c r="AQ1" i="221"/>
  <c r="AP1" i="221"/>
  <c r="AO1" i="221"/>
  <c r="AN1" i="221"/>
  <c r="AM1" i="221"/>
  <c r="AL1" i="221"/>
  <c r="AK1" i="221"/>
  <c r="AJ1" i="221"/>
  <c r="AI1" i="221"/>
  <c r="AH1" i="221"/>
  <c r="AG1" i="221"/>
  <c r="AF1" i="221"/>
  <c r="Q1" i="221"/>
  <c r="P1" i="221"/>
  <c r="N1" i="221"/>
  <c r="M1" i="221"/>
  <c r="A56" i="22"/>
  <c r="A57" i="22"/>
  <c r="A58" i="22"/>
  <c r="A59" i="22"/>
  <c r="A60" i="22"/>
  <c r="A61" i="22"/>
  <c r="A62" i="22"/>
  <c r="A63" i="22"/>
  <c r="A64" i="22"/>
  <c r="D59" i="22"/>
  <c r="A55" i="22"/>
  <c r="A658" i="218"/>
  <c r="A659" i="218"/>
  <c r="A660" i="218"/>
  <c r="A661" i="218"/>
  <c r="A653" i="218"/>
  <c r="A654" i="218"/>
  <c r="A655" i="218"/>
  <c r="A656" i="218"/>
  <c r="A657" i="218"/>
  <c r="A652" i="218"/>
  <c r="A644" i="218"/>
  <c r="A645" i="218"/>
  <c r="A646" i="218"/>
  <c r="A647" i="218"/>
  <c r="A648" i="218"/>
  <c r="A649" i="218"/>
  <c r="A650" i="218"/>
  <c r="A651" i="218"/>
  <c r="A643" i="218"/>
  <c r="D643" i="218"/>
  <c r="A563" i="218"/>
  <c r="A564" i="218"/>
  <c r="A565" i="218"/>
  <c r="A566" i="218"/>
  <c r="A567" i="218"/>
  <c r="A568" i="218"/>
  <c r="A569" i="218"/>
  <c r="A570" i="218"/>
  <c r="A562" i="218"/>
  <c r="D562" i="218"/>
  <c r="A46" i="218"/>
  <c r="A47" i="218"/>
  <c r="A48" i="218"/>
  <c r="A49" i="218"/>
  <c r="A50" i="218"/>
  <c r="A51" i="218"/>
  <c r="A52" i="218"/>
  <c r="A53" i="218"/>
  <c r="A54" i="218"/>
  <c r="D49" i="218"/>
  <c r="A45" i="218"/>
  <c r="A136" i="218"/>
  <c r="A137" i="218"/>
  <c r="A138" i="218"/>
  <c r="A139" i="218"/>
  <c r="A140" i="218"/>
  <c r="A141" i="218"/>
  <c r="A142" i="218"/>
  <c r="A143" i="218"/>
  <c r="A144" i="218"/>
  <c r="D139" i="218"/>
  <c r="A135" i="218"/>
  <c r="C9" i="221" l="1"/>
  <c r="G9" i="221" s="1"/>
  <c r="B14" i="221"/>
  <c r="G11" i="221"/>
  <c r="F51" i="221"/>
  <c r="C10" i="221"/>
  <c r="G10" i="221" s="1"/>
  <c r="H10" i="221"/>
  <c r="H8" i="221"/>
  <c r="C8" i="221"/>
  <c r="G8" i="221" s="1"/>
  <c r="E16" i="221"/>
  <c r="L51" i="221"/>
  <c r="H9" i="221"/>
  <c r="H11" i="221"/>
  <c r="E17" i="221"/>
  <c r="L52" i="221"/>
  <c r="C12" i="221"/>
  <c r="G12" i="221" s="1"/>
  <c r="A33" i="220"/>
  <c r="A32" i="220"/>
  <c r="A31" i="220"/>
  <c r="A30" i="220"/>
  <c r="A29" i="220"/>
  <c r="A28" i="220"/>
  <c r="A9" i="220"/>
  <c r="D8" i="220"/>
  <c r="A8" i="220"/>
  <c r="A7" i="220"/>
  <c r="A6" i="220"/>
  <c r="A5" i="220"/>
  <c r="D3" i="220"/>
  <c r="A3" i="220"/>
  <c r="K2" i="220"/>
  <c r="A57" i="219"/>
  <c r="A19" i="219"/>
  <c r="A36" i="219"/>
  <c r="A56" i="219"/>
  <c r="A55" i="219"/>
  <c r="A54" i="219"/>
  <c r="A53" i="219"/>
  <c r="A52" i="219"/>
  <c r="A51" i="219"/>
  <c r="A49" i="219"/>
  <c r="A47" i="219"/>
  <c r="A18" i="219"/>
  <c r="A46" i="219"/>
  <c r="A45" i="219"/>
  <c r="A44" i="219"/>
  <c r="A17" i="219"/>
  <c r="A40" i="219"/>
  <c r="A39" i="219"/>
  <c r="A8" i="219"/>
  <c r="A38" i="219"/>
  <c r="A22" i="219"/>
  <c r="A16" i="219"/>
  <c r="A15" i="219"/>
  <c r="A14" i="219"/>
  <c r="A13" i="219"/>
  <c r="A12" i="219"/>
  <c r="A11" i="219"/>
  <c r="A10" i="219"/>
  <c r="A9" i="219"/>
  <c r="A37" i="219"/>
  <c r="A6" i="219"/>
  <c r="A5" i="219"/>
  <c r="A4" i="219"/>
  <c r="A3" i="219"/>
  <c r="S2" i="219"/>
  <c r="A671" i="218"/>
  <c r="A670" i="218"/>
  <c r="A669" i="218"/>
  <c r="A668" i="218"/>
  <c r="A667" i="218"/>
  <c r="A642" i="218"/>
  <c r="A641" i="218"/>
  <c r="A640" i="218"/>
  <c r="A639" i="218"/>
  <c r="A638" i="218"/>
  <c r="A637" i="218"/>
  <c r="A636" i="218"/>
  <c r="A635" i="218"/>
  <c r="D634" i="218"/>
  <c r="A634" i="218"/>
  <c r="A633" i="218"/>
  <c r="A632" i="218"/>
  <c r="A631" i="218"/>
  <c r="A630" i="218"/>
  <c r="A629" i="218"/>
  <c r="A628" i="218"/>
  <c r="A627" i="218"/>
  <c r="A626" i="218"/>
  <c r="D625" i="218"/>
  <c r="A625" i="218"/>
  <c r="A624" i="218"/>
  <c r="A623" i="218"/>
  <c r="A622" i="218"/>
  <c r="A621" i="218"/>
  <c r="A620" i="218"/>
  <c r="A619" i="218"/>
  <c r="A618" i="218"/>
  <c r="A617" i="218"/>
  <c r="D616" i="218"/>
  <c r="A616" i="218"/>
  <c r="A615" i="218"/>
  <c r="A614" i="218"/>
  <c r="A613" i="218"/>
  <c r="A612" i="218"/>
  <c r="A611" i="218"/>
  <c r="A610" i="218"/>
  <c r="A609" i="218"/>
  <c r="A608" i="218"/>
  <c r="D607" i="218"/>
  <c r="A607" i="218"/>
  <c r="A606" i="218"/>
  <c r="A605" i="218"/>
  <c r="A604" i="218"/>
  <c r="A603" i="218"/>
  <c r="A602" i="218"/>
  <c r="A601" i="218"/>
  <c r="A600" i="218"/>
  <c r="A599" i="218"/>
  <c r="D598" i="218"/>
  <c r="A598" i="218"/>
  <c r="A597" i="218"/>
  <c r="A596" i="218"/>
  <c r="A595" i="218"/>
  <c r="A594" i="218"/>
  <c r="A593" i="218"/>
  <c r="A592" i="218"/>
  <c r="A591" i="218"/>
  <c r="A590" i="218"/>
  <c r="D589" i="218"/>
  <c r="A589" i="218"/>
  <c r="A588" i="218"/>
  <c r="A587" i="218"/>
  <c r="A586" i="218"/>
  <c r="A585" i="218"/>
  <c r="A584" i="218"/>
  <c r="A583" i="218"/>
  <c r="A582" i="218"/>
  <c r="A581" i="218"/>
  <c r="D580" i="218"/>
  <c r="A580" i="218"/>
  <c r="A579" i="218"/>
  <c r="A578" i="218"/>
  <c r="A577" i="218"/>
  <c r="A576" i="218"/>
  <c r="A575" i="218"/>
  <c r="A574" i="218"/>
  <c r="A573" i="218"/>
  <c r="A572" i="218"/>
  <c r="A571" i="218"/>
  <c r="A690" i="218"/>
  <c r="A689" i="218"/>
  <c r="A688" i="218"/>
  <c r="A687" i="218"/>
  <c r="A686" i="218"/>
  <c r="A685" i="218"/>
  <c r="A684" i="218"/>
  <c r="A683" i="218"/>
  <c r="A682" i="218"/>
  <c r="D553" i="218"/>
  <c r="A552" i="218"/>
  <c r="A551" i="218"/>
  <c r="A550" i="218"/>
  <c r="A549" i="218"/>
  <c r="A548" i="218"/>
  <c r="A547" i="218"/>
  <c r="A546" i="218"/>
  <c r="A545" i="218"/>
  <c r="D544" i="218"/>
  <c r="A544" i="218"/>
  <c r="A543" i="218"/>
  <c r="A542" i="218"/>
  <c r="A541" i="218"/>
  <c r="A540" i="218"/>
  <c r="A539" i="218"/>
  <c r="A538" i="218"/>
  <c r="A537" i="218"/>
  <c r="A536" i="218"/>
  <c r="D535" i="218"/>
  <c r="A535" i="218"/>
  <c r="A534" i="218"/>
  <c r="A533" i="218"/>
  <c r="A532" i="218"/>
  <c r="A531" i="218"/>
  <c r="A530" i="218"/>
  <c r="A529" i="218"/>
  <c r="A528" i="218"/>
  <c r="A527" i="218"/>
  <c r="D526" i="218"/>
  <c r="A526" i="218"/>
  <c r="A525" i="218"/>
  <c r="A524" i="218"/>
  <c r="A523" i="218"/>
  <c r="A522" i="218"/>
  <c r="A521" i="218"/>
  <c r="A520" i="218"/>
  <c r="A519" i="218"/>
  <c r="A518" i="218"/>
  <c r="D517" i="218"/>
  <c r="A517" i="218"/>
  <c r="D510" i="218"/>
  <c r="A510" i="218"/>
  <c r="A509" i="218"/>
  <c r="A508" i="218"/>
  <c r="A507" i="218"/>
  <c r="A506" i="218"/>
  <c r="A505" i="218"/>
  <c r="D504" i="218"/>
  <c r="A504" i="218"/>
  <c r="A503" i="218"/>
  <c r="A502" i="218"/>
  <c r="A501" i="218"/>
  <c r="A500" i="218"/>
  <c r="A499" i="218"/>
  <c r="D450" i="218"/>
  <c r="A450" i="218"/>
  <c r="A449" i="218"/>
  <c r="A448" i="218"/>
  <c r="A447" i="218"/>
  <c r="A446" i="218"/>
  <c r="A445" i="218"/>
  <c r="D444" i="218"/>
  <c r="A444" i="218"/>
  <c r="A443" i="218"/>
  <c r="A442" i="218"/>
  <c r="A441" i="218"/>
  <c r="A440" i="218"/>
  <c r="A439" i="218"/>
  <c r="D438" i="218"/>
  <c r="A438" i="218"/>
  <c r="A437" i="218"/>
  <c r="A436" i="218"/>
  <c r="A435" i="218"/>
  <c r="A434" i="218"/>
  <c r="A433" i="218"/>
  <c r="D402" i="218"/>
  <c r="A402" i="218"/>
  <c r="A401" i="218"/>
  <c r="A400" i="218"/>
  <c r="A399" i="218"/>
  <c r="A398" i="218"/>
  <c r="A397" i="218"/>
  <c r="D378" i="218"/>
  <c r="A378" i="218"/>
  <c r="A377" i="218"/>
  <c r="A376" i="218"/>
  <c r="A375" i="218"/>
  <c r="A374" i="218"/>
  <c r="A373" i="218"/>
  <c r="A372" i="218"/>
  <c r="A371" i="218"/>
  <c r="A370" i="218"/>
  <c r="A369" i="218"/>
  <c r="A368" i="218"/>
  <c r="D367" i="218"/>
  <c r="A367" i="218"/>
  <c r="A366" i="218"/>
  <c r="A365" i="218"/>
  <c r="A364" i="218"/>
  <c r="A363" i="218"/>
  <c r="A362" i="218"/>
  <c r="D361" i="218"/>
  <c r="A361" i="218"/>
  <c r="A354" i="218"/>
  <c r="A353" i="218"/>
  <c r="A352" i="218"/>
  <c r="A351" i="218"/>
  <c r="A350" i="218"/>
  <c r="D349" i="218"/>
  <c r="A349" i="218"/>
  <c r="A344" i="218"/>
  <c r="A343" i="218"/>
  <c r="A342" i="218"/>
  <c r="A341" i="218"/>
  <c r="A340" i="218"/>
  <c r="A339" i="218"/>
  <c r="A338" i="218"/>
  <c r="A337" i="218"/>
  <c r="A336" i="218"/>
  <c r="A335" i="218"/>
  <c r="A334" i="218"/>
  <c r="A333" i="218"/>
  <c r="A324" i="218"/>
  <c r="A323" i="218"/>
  <c r="A322" i="218"/>
  <c r="A321" i="218"/>
  <c r="A288" i="218"/>
  <c r="A287" i="218"/>
  <c r="A286" i="218"/>
  <c r="A285" i="218"/>
  <c r="A284" i="218"/>
  <c r="A283" i="218"/>
  <c r="A282" i="218"/>
  <c r="A281" i="218"/>
  <c r="A280" i="218"/>
  <c r="A279" i="218"/>
  <c r="A278" i="218"/>
  <c r="A277" i="218"/>
  <c r="A328" i="218"/>
  <c r="A327" i="218"/>
  <c r="A326" i="218"/>
  <c r="A325" i="218"/>
  <c r="A246" i="218"/>
  <c r="A245" i="218"/>
  <c r="A244" i="218"/>
  <c r="A243" i="218"/>
  <c r="A242" i="218"/>
  <c r="D241" i="218"/>
  <c r="A241" i="218"/>
  <c r="A240" i="218"/>
  <c r="A239" i="218"/>
  <c r="A238" i="218"/>
  <c r="A237" i="218"/>
  <c r="A236" i="218"/>
  <c r="A235" i="218"/>
  <c r="A234" i="218"/>
  <c r="A233" i="218"/>
  <c r="A232" i="218"/>
  <c r="D231" i="218"/>
  <c r="A231" i="218"/>
  <c r="A230" i="218"/>
  <c r="A229" i="218"/>
  <c r="A228" i="218"/>
  <c r="A227" i="218"/>
  <c r="A226" i="218"/>
  <c r="A225" i="218"/>
  <c r="A224" i="218"/>
  <c r="A223" i="218"/>
  <c r="A222" i="218"/>
  <c r="D221" i="218"/>
  <c r="A221" i="218"/>
  <c r="A220" i="218"/>
  <c r="A219" i="218"/>
  <c r="A218" i="218"/>
  <c r="A217" i="218"/>
  <c r="A216" i="218"/>
  <c r="A215" i="218"/>
  <c r="A214" i="218"/>
  <c r="A213" i="218"/>
  <c r="A212" i="218"/>
  <c r="D211" i="218"/>
  <c r="A211" i="218"/>
  <c r="A210" i="218"/>
  <c r="A209" i="218"/>
  <c r="A208" i="218"/>
  <c r="A207" i="218"/>
  <c r="A64" i="218"/>
  <c r="A63" i="218"/>
  <c r="A62" i="218"/>
  <c r="A61" i="218"/>
  <c r="A60" i="218"/>
  <c r="D59" i="218"/>
  <c r="A59" i="218"/>
  <c r="A58" i="218"/>
  <c r="A57" i="218"/>
  <c r="A56" i="218"/>
  <c r="A55" i="218"/>
  <c r="A206" i="218"/>
  <c r="A205" i="218"/>
  <c r="A204" i="218"/>
  <c r="A203" i="218"/>
  <c r="A202" i="218"/>
  <c r="A201" i="218"/>
  <c r="A200" i="218"/>
  <c r="D199" i="218"/>
  <c r="A199" i="218"/>
  <c r="A198" i="218"/>
  <c r="A197" i="218"/>
  <c r="A196" i="218"/>
  <c r="A195" i="218"/>
  <c r="A184" i="218"/>
  <c r="A183" i="218"/>
  <c r="A182" i="218"/>
  <c r="A181" i="218"/>
  <c r="A180" i="218"/>
  <c r="D179" i="218"/>
  <c r="A179" i="218"/>
  <c r="A178" i="218"/>
  <c r="A177" i="218"/>
  <c r="A176" i="218"/>
  <c r="A175" i="218"/>
  <c r="A174" i="218"/>
  <c r="A173" i="218"/>
  <c r="A172" i="218"/>
  <c r="A171" i="218"/>
  <c r="A170" i="218"/>
  <c r="D169" i="218"/>
  <c r="A169" i="218"/>
  <c r="A168" i="218"/>
  <c r="A167" i="218"/>
  <c r="A166" i="218"/>
  <c r="A165" i="218"/>
  <c r="A164" i="218"/>
  <c r="A163" i="218"/>
  <c r="A162" i="218"/>
  <c r="A161" i="218"/>
  <c r="A160" i="218"/>
  <c r="D159" i="218"/>
  <c r="A159" i="218"/>
  <c r="A158" i="218"/>
  <c r="A157" i="218"/>
  <c r="A156" i="218"/>
  <c r="A155" i="218"/>
  <c r="A154" i="218"/>
  <c r="A153" i="218"/>
  <c r="A152" i="218"/>
  <c r="A151" i="218"/>
  <c r="A150" i="218"/>
  <c r="D149" i="218"/>
  <c r="A149" i="218"/>
  <c r="A148" i="218"/>
  <c r="A147" i="218"/>
  <c r="A146" i="218"/>
  <c r="A145" i="218"/>
  <c r="A134" i="218"/>
  <c r="A133" i="218"/>
  <c r="A132" i="218"/>
  <c r="A131" i="218"/>
  <c r="A130" i="218"/>
  <c r="D129" i="218"/>
  <c r="A129" i="218"/>
  <c r="A128" i="218"/>
  <c r="A127" i="218"/>
  <c r="A126" i="218"/>
  <c r="A125" i="218"/>
  <c r="A124" i="218"/>
  <c r="A123" i="218"/>
  <c r="A122" i="218"/>
  <c r="A121" i="218"/>
  <c r="A120" i="218"/>
  <c r="D119" i="218"/>
  <c r="A119" i="218"/>
  <c r="A118" i="218"/>
  <c r="A117" i="218"/>
  <c r="A116" i="218"/>
  <c r="A115" i="218"/>
  <c r="A114" i="218"/>
  <c r="A113" i="218"/>
  <c r="A112" i="218"/>
  <c r="A111" i="218"/>
  <c r="A110" i="218"/>
  <c r="D109" i="218"/>
  <c r="A109" i="218"/>
  <c r="A108" i="218"/>
  <c r="A107" i="218"/>
  <c r="A106" i="218"/>
  <c r="A105" i="218"/>
  <c r="A104" i="218"/>
  <c r="A103" i="218"/>
  <c r="A102" i="218"/>
  <c r="A101" i="218"/>
  <c r="A100" i="218"/>
  <c r="D99" i="218"/>
  <c r="A99" i="218"/>
  <c r="A98" i="218"/>
  <c r="A97" i="218"/>
  <c r="A96" i="218"/>
  <c r="A95" i="218"/>
  <c r="A94" i="218"/>
  <c r="A93" i="218"/>
  <c r="A92" i="218"/>
  <c r="A91" i="218"/>
  <c r="A90" i="218"/>
  <c r="D89" i="218"/>
  <c r="A89" i="218"/>
  <c r="A88" i="218"/>
  <c r="A87" i="218"/>
  <c r="A86" i="218"/>
  <c r="A85" i="218"/>
  <c r="A84" i="218"/>
  <c r="A83" i="218"/>
  <c r="A82" i="218"/>
  <c r="A81" i="218"/>
  <c r="A80" i="218"/>
  <c r="D79" i="218"/>
  <c r="A79" i="218"/>
  <c r="A78" i="218"/>
  <c r="A77" i="218"/>
  <c r="A76" i="218"/>
  <c r="A75" i="218"/>
  <c r="A74" i="218"/>
  <c r="A73" i="218"/>
  <c r="A72" i="218"/>
  <c r="A71" i="218"/>
  <c r="A70" i="218"/>
  <c r="D69" i="218"/>
  <c r="A69" i="218"/>
  <c r="A68" i="218"/>
  <c r="A67" i="218"/>
  <c r="A66" i="218"/>
  <c r="A65" i="218"/>
  <c r="A44" i="218"/>
  <c r="A43" i="218"/>
  <c r="A42" i="218"/>
  <c r="A41" i="218"/>
  <c r="A40" i="218"/>
  <c r="D39" i="218"/>
  <c r="A39" i="218"/>
  <c r="A38" i="218"/>
  <c r="A37" i="218"/>
  <c r="A36" i="218"/>
  <c r="A35" i="218"/>
  <c r="A34" i="218"/>
  <c r="A33" i="218"/>
  <c r="D32" i="218"/>
  <c r="A32" i="218"/>
  <c r="A31" i="218"/>
  <c r="D30" i="218"/>
  <c r="A30" i="218"/>
  <c r="D29" i="218"/>
  <c r="A29" i="218"/>
  <c r="D28" i="218"/>
  <c r="A28" i="218"/>
  <c r="D27" i="218"/>
  <c r="A27" i="218"/>
  <c r="D26" i="218"/>
  <c r="A26" i="218"/>
  <c r="D25" i="218"/>
  <c r="A25" i="218"/>
  <c r="D24" i="218"/>
  <c r="A24" i="218"/>
  <c r="A23" i="218"/>
  <c r="A22" i="218"/>
  <c r="D21" i="218"/>
  <c r="A21" i="218"/>
  <c r="D20" i="218"/>
  <c r="A20" i="218"/>
  <c r="R19" i="218"/>
  <c r="Q19" i="218"/>
  <c r="P19" i="218"/>
  <c r="R18" i="218"/>
  <c r="Q18" i="218"/>
  <c r="P18" i="218"/>
  <c r="R17" i="218"/>
  <c r="Q17" i="218"/>
  <c r="P17" i="218"/>
  <c r="R16" i="218"/>
  <c r="Q16" i="218"/>
  <c r="P16" i="218"/>
  <c r="R15" i="218"/>
  <c r="Q15" i="218"/>
  <c r="P15" i="218"/>
  <c r="R14" i="218"/>
  <c r="Q14" i="218"/>
  <c r="P14" i="218"/>
  <c r="R13" i="218"/>
  <c r="Q13" i="218"/>
  <c r="P13" i="218"/>
  <c r="R12" i="218"/>
  <c r="Q12" i="218"/>
  <c r="P12" i="218"/>
  <c r="T11" i="218"/>
  <c r="R11" i="218"/>
  <c r="Q11" i="218"/>
  <c r="P11" i="218"/>
  <c r="T10" i="218"/>
  <c r="R10" i="218"/>
  <c r="Q10" i="218"/>
  <c r="P10" i="218"/>
  <c r="T9" i="218"/>
  <c r="R9" i="218"/>
  <c r="D157" i="218" s="1"/>
  <c r="Q9" i="218"/>
  <c r="D185" i="218" s="1"/>
  <c r="P9" i="218"/>
  <c r="T8" i="218"/>
  <c r="R8" i="218"/>
  <c r="D249" i="218" s="1"/>
  <c r="Q8" i="218"/>
  <c r="D247" i="218" s="1"/>
  <c r="P8" i="218"/>
  <c r="T7" i="218"/>
  <c r="D23" i="218" s="1"/>
  <c r="R7" i="218"/>
  <c r="D645" i="218" s="1"/>
  <c r="Q7" i="218"/>
  <c r="P7" i="218"/>
  <c r="T6" i="218"/>
  <c r="R6" i="218"/>
  <c r="Q6" i="218"/>
  <c r="P6" i="218"/>
  <c r="T5" i="218"/>
  <c r="R5" i="218"/>
  <c r="Q5" i="218"/>
  <c r="P5" i="218"/>
  <c r="T4" i="218"/>
  <c r="R4" i="218"/>
  <c r="Q4" i="218"/>
  <c r="P4" i="218"/>
  <c r="BA1" i="218"/>
  <c r="AZ1" i="218"/>
  <c r="AY1" i="218"/>
  <c r="AX1" i="218"/>
  <c r="AW1" i="218"/>
  <c r="AV1" i="218"/>
  <c r="AU1" i="218"/>
  <c r="AT1" i="218"/>
  <c r="AS1" i="218"/>
  <c r="AR1" i="218"/>
  <c r="AQ1" i="218"/>
  <c r="AP1" i="218"/>
  <c r="AO1" i="218"/>
  <c r="AN1" i="218"/>
  <c r="AM1" i="218"/>
  <c r="AL1" i="218"/>
  <c r="AK1" i="218"/>
  <c r="AJ1" i="218"/>
  <c r="AI1" i="218"/>
  <c r="AH1" i="218"/>
  <c r="AG1" i="218"/>
  <c r="AF1" i="218"/>
  <c r="AE1" i="218"/>
  <c r="AD1" i="218"/>
  <c r="AC1" i="218"/>
  <c r="AB1" i="218"/>
  <c r="AA1" i="218"/>
  <c r="Z1" i="218"/>
  <c r="Y1" i="218"/>
  <c r="X1" i="218"/>
  <c r="W1" i="218"/>
  <c r="V1" i="218"/>
  <c r="U1" i="218"/>
  <c r="T1" i="218"/>
  <c r="S1" i="218"/>
  <c r="R1" i="218"/>
  <c r="Q1" i="218"/>
  <c r="P1" i="218"/>
  <c r="A56" i="55"/>
  <c r="A55" i="55"/>
  <c r="A54" i="55"/>
  <c r="A53" i="55"/>
  <c r="A52" i="55"/>
  <c r="D51" i="55"/>
  <c r="A51" i="55"/>
  <c r="A50" i="55"/>
  <c r="A49" i="55"/>
  <c r="A48" i="55"/>
  <c r="A47" i="55"/>
  <c r="A46" i="55"/>
  <c r="A45" i="55"/>
  <c r="A44" i="55"/>
  <c r="A43" i="55"/>
  <c r="A42" i="55"/>
  <c r="D41" i="55"/>
  <c r="A41" i="55"/>
  <c r="A40" i="55"/>
  <c r="A39" i="55"/>
  <c r="A38" i="55"/>
  <c r="A37" i="55"/>
  <c r="A378" i="56"/>
  <c r="A377" i="56"/>
  <c r="A376" i="56"/>
  <c r="A375" i="56"/>
  <c r="A374" i="56"/>
  <c r="D373" i="56"/>
  <c r="A373" i="56"/>
  <c r="A372" i="56"/>
  <c r="A371" i="56"/>
  <c r="A370" i="56"/>
  <c r="A369" i="56"/>
  <c r="A368" i="56"/>
  <c r="A367" i="56"/>
  <c r="A366" i="56"/>
  <c r="A365" i="56"/>
  <c r="A364" i="56"/>
  <c r="D363" i="56"/>
  <c r="A363" i="56"/>
  <c r="A362" i="56"/>
  <c r="A361" i="56"/>
  <c r="A360" i="56"/>
  <c r="A359" i="56"/>
  <c r="A378" i="55"/>
  <c r="A377" i="55"/>
  <c r="A376" i="55"/>
  <c r="A375" i="55"/>
  <c r="A374" i="55"/>
  <c r="D373" i="55"/>
  <c r="A373" i="55"/>
  <c r="A372" i="55"/>
  <c r="A371" i="55"/>
  <c r="A370" i="55"/>
  <c r="A369" i="55"/>
  <c r="A368" i="55"/>
  <c r="A367" i="55"/>
  <c r="A366" i="55"/>
  <c r="A365" i="55"/>
  <c r="A364" i="55"/>
  <c r="D363" i="55"/>
  <c r="A363" i="55"/>
  <c r="A362" i="55"/>
  <c r="A361" i="55"/>
  <c r="A360" i="55"/>
  <c r="A359" i="55"/>
  <c r="A424" i="204"/>
  <c r="A425" i="204"/>
  <c r="A426" i="204"/>
  <c r="A427" i="204"/>
  <c r="A428" i="204"/>
  <c r="A429" i="204"/>
  <c r="A430" i="204"/>
  <c r="A431" i="204"/>
  <c r="A423" i="204"/>
  <c r="A415" i="204"/>
  <c r="A416" i="204"/>
  <c r="A417" i="204"/>
  <c r="A418" i="204"/>
  <c r="A419" i="204"/>
  <c r="A420" i="204"/>
  <c r="A421" i="204"/>
  <c r="A422" i="204"/>
  <c r="A414" i="204"/>
  <c r="D423" i="204"/>
  <c r="D414" i="204"/>
  <c r="A370" i="204"/>
  <c r="A371" i="204"/>
  <c r="A372" i="204"/>
  <c r="A373" i="204"/>
  <c r="A374" i="204"/>
  <c r="A375" i="204"/>
  <c r="A376" i="204"/>
  <c r="A377" i="204"/>
  <c r="A369" i="204"/>
  <c r="D369" i="204"/>
  <c r="A361" i="204"/>
  <c r="A362" i="204"/>
  <c r="A363" i="204"/>
  <c r="A364" i="204"/>
  <c r="A365" i="204"/>
  <c r="A366" i="204"/>
  <c r="A367" i="204"/>
  <c r="A368" i="204"/>
  <c r="A360" i="204"/>
  <c r="D360" i="204"/>
  <c r="A297" i="204"/>
  <c r="A298" i="204"/>
  <c r="A299" i="204"/>
  <c r="A300" i="204"/>
  <c r="A301" i="204"/>
  <c r="A302" i="204"/>
  <c r="A303" i="204"/>
  <c r="A304" i="204"/>
  <c r="A305" i="204"/>
  <c r="A440" i="204"/>
  <c r="A439" i="204"/>
  <c r="A438" i="204"/>
  <c r="A437" i="204"/>
  <c r="A436" i="204"/>
  <c r="A435" i="204"/>
  <c r="A434" i="204"/>
  <c r="A433" i="204"/>
  <c r="D432" i="204"/>
  <c r="A432" i="204"/>
  <c r="A413" i="204"/>
  <c r="A412" i="204"/>
  <c r="A411" i="204"/>
  <c r="A410" i="204"/>
  <c r="A409" i="204"/>
  <c r="A408" i="204"/>
  <c r="A407" i="204"/>
  <c r="A406" i="204"/>
  <c r="D405" i="204"/>
  <c r="A405" i="204"/>
  <c r="A404" i="204"/>
  <c r="A403" i="204"/>
  <c r="A402" i="204"/>
  <c r="A401" i="204"/>
  <c r="A400" i="204"/>
  <c r="A399" i="204"/>
  <c r="A398" i="204"/>
  <c r="A397" i="204"/>
  <c r="D396" i="204"/>
  <c r="A396" i="204"/>
  <c r="A395" i="204"/>
  <c r="A394" i="204"/>
  <c r="A393" i="204"/>
  <c r="A392" i="204"/>
  <c r="A391" i="204"/>
  <c r="A390" i="204"/>
  <c r="A389" i="204"/>
  <c r="A388" i="204"/>
  <c r="D387" i="204"/>
  <c r="A387" i="204"/>
  <c r="A386" i="204"/>
  <c r="A385" i="204"/>
  <c r="A384" i="204"/>
  <c r="A383" i="204"/>
  <c r="A382" i="204"/>
  <c r="A381" i="204"/>
  <c r="A380" i="204"/>
  <c r="A379" i="204"/>
  <c r="D378" i="204"/>
  <c r="A378" i="204"/>
  <c r="A359" i="204"/>
  <c r="A358" i="204"/>
  <c r="A357" i="204"/>
  <c r="A356" i="204"/>
  <c r="A355" i="204"/>
  <c r="A354" i="204"/>
  <c r="A353" i="204"/>
  <c r="A352" i="204"/>
  <c r="D351" i="204"/>
  <c r="A351" i="204"/>
  <c r="A350" i="204"/>
  <c r="A349" i="204"/>
  <c r="A348" i="204"/>
  <c r="A347" i="204"/>
  <c r="A346" i="204"/>
  <c r="A345" i="204"/>
  <c r="A344" i="204"/>
  <c r="A343" i="204"/>
  <c r="D342" i="204"/>
  <c r="A342" i="204"/>
  <c r="A341" i="204"/>
  <c r="A340" i="204"/>
  <c r="A339" i="204"/>
  <c r="A338" i="204"/>
  <c r="D337" i="204"/>
  <c r="A337" i="204"/>
  <c r="A336" i="204"/>
  <c r="A335" i="204"/>
  <c r="D334" i="204"/>
  <c r="A334" i="204"/>
  <c r="D333" i="204"/>
  <c r="A333" i="204"/>
  <c r="A332" i="204"/>
  <c r="A331" i="204"/>
  <c r="A330" i="204"/>
  <c r="A329" i="204"/>
  <c r="D328" i="204"/>
  <c r="A328" i="204"/>
  <c r="A327" i="204"/>
  <c r="A326" i="204"/>
  <c r="D325" i="204"/>
  <c r="A325" i="204"/>
  <c r="D324" i="204"/>
  <c r="A324" i="204"/>
  <c r="A323" i="204"/>
  <c r="A322" i="204"/>
  <c r="A321" i="204"/>
  <c r="A320" i="204"/>
  <c r="A319" i="204"/>
  <c r="A318" i="204"/>
  <c r="A317" i="204"/>
  <c r="A316" i="204"/>
  <c r="D315" i="204"/>
  <c r="A315" i="204"/>
  <c r="A73" i="92"/>
  <c r="A74" i="92"/>
  <c r="A75" i="92"/>
  <c r="A76" i="92"/>
  <c r="A83" i="92"/>
  <c r="A84" i="92"/>
  <c r="A85" i="92"/>
  <c r="A86" i="92"/>
  <c r="A166" i="92"/>
  <c r="A167" i="92"/>
  <c r="A168" i="92"/>
  <c r="A169" i="92"/>
  <c r="A170" i="92"/>
  <c r="A171" i="92"/>
  <c r="A172" i="92"/>
  <c r="A173" i="92"/>
  <c r="A174" i="92"/>
  <c r="A156" i="92"/>
  <c r="A157" i="92"/>
  <c r="A158" i="92"/>
  <c r="A159" i="92"/>
  <c r="A160" i="92"/>
  <c r="A161" i="92"/>
  <c r="A162" i="92"/>
  <c r="A163" i="92"/>
  <c r="A164" i="92"/>
  <c r="A165" i="92"/>
  <c r="D169" i="92"/>
  <c r="D159" i="92"/>
  <c r="A155" i="92"/>
  <c r="I9" i="221"/>
  <c r="I11" i="221"/>
  <c r="I8" i="221"/>
  <c r="I10" i="221"/>
  <c r="I12" i="221"/>
  <c r="E14" i="221" l="1"/>
  <c r="E13" i="221"/>
  <c r="D51" i="220"/>
  <c r="D21" i="220"/>
  <c r="D27" i="220"/>
  <c r="D332" i="218"/>
  <c r="D320" i="218"/>
  <c r="D346" i="218"/>
  <c r="D55" i="218"/>
  <c r="D65" i="218"/>
  <c r="D684" i="218"/>
  <c r="D67" i="218"/>
  <c r="D300" i="218"/>
  <c r="D312" i="218"/>
  <c r="D292" i="218"/>
  <c r="D264" i="218"/>
  <c r="D304" i="218"/>
  <c r="D268" i="218"/>
  <c r="D316" i="218"/>
  <c r="D308" i="218"/>
  <c r="D296" i="218"/>
  <c r="D276" i="218"/>
  <c r="D260" i="218"/>
  <c r="D272" i="218"/>
  <c r="D564" i="218"/>
  <c r="D573" i="218"/>
  <c r="D57" i="218"/>
  <c r="D217" i="218"/>
  <c r="D672" i="218"/>
  <c r="D621" i="218"/>
  <c r="D567" i="218"/>
  <c r="D639" i="218"/>
  <c r="D677" i="218"/>
  <c r="D667" i="218"/>
  <c r="D612" i="218"/>
  <c r="D558" i="218"/>
  <c r="D662" i="218"/>
  <c r="D603" i="218"/>
  <c r="D648" i="218"/>
  <c r="D657" i="218"/>
  <c r="D594" i="218"/>
  <c r="D549" i="218"/>
  <c r="D652" i="218"/>
  <c r="D585" i="218"/>
  <c r="D540" i="218"/>
  <c r="D576" i="218"/>
  <c r="D687" i="218"/>
  <c r="D522" i="218"/>
  <c r="D630" i="218"/>
  <c r="D531" i="218"/>
  <c r="D229" i="218"/>
  <c r="O8" i="219"/>
  <c r="O17" i="219"/>
  <c r="E12" i="221"/>
  <c r="E11" i="221"/>
  <c r="E9" i="221"/>
  <c r="E8" i="221"/>
  <c r="E10" i="221"/>
  <c r="H51" i="221"/>
  <c r="C51" i="221"/>
  <c r="G51" i="221" s="1"/>
  <c r="E53" i="221" s="1"/>
  <c r="H52" i="221"/>
  <c r="C52" i="221"/>
  <c r="G52" i="221" s="1"/>
  <c r="O23" i="219"/>
  <c r="O18" i="219"/>
  <c r="O19" i="219"/>
  <c r="O10" i="219"/>
  <c r="O15" i="219"/>
  <c r="O37" i="219"/>
  <c r="O21" i="219"/>
  <c r="O11" i="219"/>
  <c r="O5" i="219"/>
  <c r="O14" i="219"/>
  <c r="O22" i="219"/>
  <c r="D47" i="218"/>
  <c r="D45" i="218"/>
  <c r="D105" i="218"/>
  <c r="D135" i="218"/>
  <c r="D117" i="218"/>
  <c r="D137" i="218"/>
  <c r="D618" i="218"/>
  <c r="D338" i="218"/>
  <c r="D87" i="218"/>
  <c r="D324" i="218"/>
  <c r="D35" i="218"/>
  <c r="D177" i="218"/>
  <c r="D328" i="218"/>
  <c r="D600" i="218"/>
  <c r="D237" i="218"/>
  <c r="D537" i="218"/>
  <c r="D582" i="218"/>
  <c r="D37" i="218"/>
  <c r="D519" i="218"/>
  <c r="D636" i="218"/>
  <c r="D9" i="220"/>
  <c r="D15" i="220"/>
  <c r="D33" i="220"/>
  <c r="D39" i="220"/>
  <c r="D45" i="220"/>
  <c r="O6" i="219"/>
  <c r="O3" i="219"/>
  <c r="O12" i="219"/>
  <c r="O16" i="219"/>
  <c r="O24" i="219"/>
  <c r="O4" i="219"/>
  <c r="O7" i="219"/>
  <c r="O9" i="219"/>
  <c r="O13" i="219"/>
  <c r="D125" i="218"/>
  <c r="D195" i="218"/>
  <c r="D284" i="218"/>
  <c r="D165" i="218"/>
  <c r="D147" i="218"/>
  <c r="D95" i="218"/>
  <c r="D107" i="218"/>
  <c r="D187" i="218"/>
  <c r="D207" i="218"/>
  <c r="D219" i="218"/>
  <c r="D77" i="218"/>
  <c r="D155" i="218"/>
  <c r="D167" i="218"/>
  <c r="D334" i="218"/>
  <c r="D115" i="218"/>
  <c r="D127" i="218"/>
  <c r="D197" i="218"/>
  <c r="D227" i="218"/>
  <c r="D239" i="218"/>
  <c r="D280" i="218"/>
  <c r="D528" i="218"/>
  <c r="D546" i="218"/>
  <c r="D555" i="218"/>
  <c r="D591" i="218"/>
  <c r="D609" i="218"/>
  <c r="D627" i="218"/>
  <c r="D85" i="218"/>
  <c r="D97" i="218"/>
  <c r="D175" i="218"/>
  <c r="D209" i="218"/>
  <c r="D342" i="218"/>
  <c r="D145" i="218"/>
  <c r="D288" i="218"/>
  <c r="D75" i="218"/>
  <c r="S2" i="199"/>
  <c r="S2" i="211"/>
  <c r="S2" i="202"/>
  <c r="S2" i="210"/>
  <c r="S2" i="213"/>
  <c r="S2" i="198"/>
  <c r="S2" i="216"/>
  <c r="S2" i="212"/>
  <c r="S2" i="193"/>
  <c r="O15" i="199" l="1"/>
  <c r="O14" i="199"/>
  <c r="O13" i="202"/>
  <c r="O5" i="202"/>
  <c r="O12" i="202"/>
  <c r="O3" i="202"/>
  <c r="O9" i="202"/>
  <c r="O11" i="202"/>
  <c r="O6" i="202"/>
  <c r="O18" i="202"/>
  <c r="O10" i="202"/>
  <c r="O14" i="202"/>
  <c r="O17" i="202"/>
  <c r="O16" i="202"/>
  <c r="O8" i="202"/>
  <c r="O15" i="202"/>
  <c r="O7" i="202"/>
  <c r="E5" i="221"/>
  <c r="B10" i="221"/>
  <c r="E3" i="221"/>
  <c r="B8" i="221"/>
  <c r="B9" i="221"/>
  <c r="E4" i="221"/>
  <c r="B11" i="221"/>
  <c r="E6" i="221"/>
  <c r="E7" i="221"/>
  <c r="B12" i="221"/>
  <c r="D43" i="159"/>
  <c r="D39" i="159"/>
  <c r="D38" i="159"/>
  <c r="D34" i="159"/>
  <c r="D31" i="159"/>
  <c r="D27" i="159"/>
  <c r="D14" i="159"/>
  <c r="D9" i="159"/>
  <c r="D8" i="159"/>
  <c r="D5" i="159"/>
  <c r="D4" i="159"/>
  <c r="I51" i="221"/>
  <c r="I52" i="221"/>
  <c r="E52" i="221" l="1"/>
  <c r="E51" i="221"/>
  <c r="O3" i="216"/>
  <c r="O4" i="213"/>
  <c r="O3" i="211"/>
  <c r="O3" i="210"/>
  <c r="O4" i="202"/>
  <c r="O3" i="212"/>
  <c r="O5" i="198"/>
  <c r="O7" i="199"/>
  <c r="O4" i="199"/>
  <c r="O5" i="199"/>
  <c r="O6" i="199"/>
  <c r="O12" i="199"/>
  <c r="O13" i="199"/>
  <c r="O16" i="199"/>
  <c r="O22" i="199"/>
  <c r="O23" i="199"/>
  <c r="O24" i="199"/>
  <c r="O30" i="199"/>
  <c r="O3" i="199"/>
  <c r="O16" i="193"/>
  <c r="O9" i="193"/>
  <c r="O8" i="193"/>
  <c r="O15" i="193"/>
  <c r="O17" i="193" l="1"/>
  <c r="O10" i="193"/>
  <c r="O18" i="193"/>
  <c r="O11" i="193"/>
  <c r="O3" i="213"/>
  <c r="O3" i="193"/>
  <c r="O29" i="199"/>
  <c r="O21" i="199"/>
  <c r="O11" i="199"/>
  <c r="O4" i="193"/>
  <c r="O12" i="193"/>
  <c r="O28" i="199"/>
  <c r="O20" i="199"/>
  <c r="O10" i="199"/>
  <c r="O3" i="198"/>
  <c r="O5" i="193"/>
  <c r="O13" i="193"/>
  <c r="O27" i="199"/>
  <c r="O19" i="199"/>
  <c r="O9" i="199"/>
  <c r="O6" i="198"/>
  <c r="O6" i="193"/>
  <c r="O14" i="193"/>
  <c r="O26" i="199"/>
  <c r="O18" i="199"/>
  <c r="O8" i="199"/>
  <c r="O7" i="193"/>
  <c r="O25" i="199"/>
  <c r="O17" i="199"/>
  <c r="O4" i="198"/>
  <c r="V1" i="128" l="1"/>
  <c r="A10" i="217" l="1"/>
  <c r="A11" i="217"/>
  <c r="A12" i="217"/>
  <c r="A13" i="217"/>
  <c r="A14" i="217"/>
  <c r="A9" i="217"/>
  <c r="D13" i="217"/>
  <c r="A8" i="217"/>
  <c r="D7" i="217"/>
  <c r="A7" i="217"/>
  <c r="A6" i="217"/>
  <c r="A5" i="217"/>
  <c r="A4" i="217"/>
  <c r="D3" i="217"/>
  <c r="A3" i="217"/>
  <c r="K2" i="217"/>
  <c r="D8" i="217" s="1"/>
  <c r="K3" i="216"/>
  <c r="F3" i="216"/>
  <c r="B3" i="216"/>
  <c r="A3" i="216"/>
  <c r="A39" i="215"/>
  <c r="A48" i="215"/>
  <c r="A47" i="215"/>
  <c r="A46" i="215"/>
  <c r="A45" i="215"/>
  <c r="A44" i="215"/>
  <c r="A43" i="215"/>
  <c r="A42" i="215"/>
  <c r="A41" i="215"/>
  <c r="A40" i="215"/>
  <c r="D30" i="215"/>
  <c r="T11" i="215"/>
  <c r="T10" i="215"/>
  <c r="T9" i="215"/>
  <c r="T8" i="215"/>
  <c r="D44" i="215"/>
  <c r="D42" i="215"/>
  <c r="D41" i="215"/>
  <c r="D40" i="215"/>
  <c r="D39" i="215"/>
  <c r="A38" i="215"/>
  <c r="A37" i="215"/>
  <c r="A36" i="215"/>
  <c r="A35" i="215"/>
  <c r="D34" i="215"/>
  <c r="A34" i="215"/>
  <c r="A33" i="215"/>
  <c r="D32" i="215"/>
  <c r="A32" i="215"/>
  <c r="D31" i="215"/>
  <c r="A31" i="215"/>
  <c r="A30" i="215"/>
  <c r="D29" i="215"/>
  <c r="A29" i="215"/>
  <c r="D28" i="215"/>
  <c r="A28" i="215"/>
  <c r="A27" i="215"/>
  <c r="A26" i="215"/>
  <c r="D25" i="215"/>
  <c r="A25" i="215"/>
  <c r="A23" i="215"/>
  <c r="A22" i="215"/>
  <c r="D21" i="215"/>
  <c r="A21" i="215"/>
  <c r="D20" i="215"/>
  <c r="A20" i="215"/>
  <c r="R19" i="215"/>
  <c r="Q19" i="215"/>
  <c r="P19" i="215"/>
  <c r="R18" i="215"/>
  <c r="Q18" i="215"/>
  <c r="P18" i="215"/>
  <c r="R17" i="215"/>
  <c r="Q17" i="215"/>
  <c r="P17" i="215"/>
  <c r="R16" i="215"/>
  <c r="Q16" i="215"/>
  <c r="P16" i="215"/>
  <c r="R15" i="215"/>
  <c r="Q15" i="215"/>
  <c r="P15" i="215"/>
  <c r="R14" i="215"/>
  <c r="Q14" i="215"/>
  <c r="P14" i="215"/>
  <c r="R13" i="215"/>
  <c r="Q13" i="215"/>
  <c r="P13" i="215"/>
  <c r="R12" i="215"/>
  <c r="Q12" i="215"/>
  <c r="P12" i="215"/>
  <c r="R11" i="215"/>
  <c r="Q11" i="215"/>
  <c r="P11" i="215"/>
  <c r="R10" i="215"/>
  <c r="Q10" i="215"/>
  <c r="P10" i="215"/>
  <c r="R9" i="215"/>
  <c r="Q9" i="215"/>
  <c r="P9" i="215"/>
  <c r="R8" i="215"/>
  <c r="Q8" i="215"/>
  <c r="P8" i="215"/>
  <c r="T7" i="215"/>
  <c r="D22" i="215" s="1"/>
  <c r="R7" i="215"/>
  <c r="Q7" i="215"/>
  <c r="P7" i="215"/>
  <c r="T6" i="215"/>
  <c r="R6" i="215"/>
  <c r="Q6" i="215"/>
  <c r="P6" i="215"/>
  <c r="T5" i="215"/>
  <c r="R5" i="215"/>
  <c r="Q5" i="215"/>
  <c r="P5" i="215"/>
  <c r="T4" i="215"/>
  <c r="R4" i="215"/>
  <c r="Q4" i="215"/>
  <c r="P4" i="215"/>
  <c r="BA1" i="215"/>
  <c r="AZ1" i="215"/>
  <c r="AY1" i="215"/>
  <c r="AX1" i="215"/>
  <c r="AW1" i="215"/>
  <c r="AV1" i="215"/>
  <c r="AU1" i="215"/>
  <c r="AT1" i="215"/>
  <c r="AS1" i="215"/>
  <c r="AR1" i="215"/>
  <c r="AQ1" i="215"/>
  <c r="AP1" i="215"/>
  <c r="AO1" i="215"/>
  <c r="AN1" i="215"/>
  <c r="AM1" i="215"/>
  <c r="AL1" i="215"/>
  <c r="AK1" i="215"/>
  <c r="AJ1" i="215"/>
  <c r="AI1" i="215"/>
  <c r="AH1" i="215"/>
  <c r="AG1" i="215"/>
  <c r="AF1" i="215"/>
  <c r="AE1" i="215"/>
  <c r="AD1" i="215"/>
  <c r="AC1" i="215"/>
  <c r="AB1" i="215"/>
  <c r="AA1" i="215"/>
  <c r="Z1" i="215"/>
  <c r="Y1" i="215"/>
  <c r="X1" i="215"/>
  <c r="W1" i="215"/>
  <c r="V1" i="215"/>
  <c r="U1" i="215"/>
  <c r="T1" i="215"/>
  <c r="S1" i="215"/>
  <c r="R1" i="215"/>
  <c r="Q1" i="215"/>
  <c r="P1" i="215"/>
  <c r="A15" i="214"/>
  <c r="A14" i="214"/>
  <c r="A13" i="214"/>
  <c r="A12" i="214"/>
  <c r="A11" i="214"/>
  <c r="A10" i="214"/>
  <c r="D14" i="214"/>
  <c r="A9" i="214"/>
  <c r="D8" i="214"/>
  <c r="A8" i="214"/>
  <c r="D7" i="214"/>
  <c r="A7" i="214"/>
  <c r="A6" i="214"/>
  <c r="A5" i="214"/>
  <c r="A4" i="214"/>
  <c r="D3" i="214"/>
  <c r="A3" i="214"/>
  <c r="K2" i="214"/>
  <c r="D15" i="214" s="1"/>
  <c r="K3" i="212"/>
  <c r="F3" i="212"/>
  <c r="B3" i="212"/>
  <c r="A3" i="212"/>
  <c r="A3" i="211"/>
  <c r="A4" i="213"/>
  <c r="A3" i="213"/>
  <c r="A3" i="210"/>
  <c r="A107" i="209"/>
  <c r="A106" i="209"/>
  <c r="A105" i="209"/>
  <c r="A104" i="209"/>
  <c r="A103" i="209"/>
  <c r="D103" i="209"/>
  <c r="D51" i="207"/>
  <c r="A69" i="207"/>
  <c r="A68" i="207"/>
  <c r="A67" i="207"/>
  <c r="A66" i="207"/>
  <c r="A65" i="207"/>
  <c r="A64" i="207"/>
  <c r="A63" i="207"/>
  <c r="A62" i="207"/>
  <c r="A61" i="207"/>
  <c r="A60" i="207"/>
  <c r="A59" i="207"/>
  <c r="A58" i="207"/>
  <c r="A57" i="207"/>
  <c r="A56" i="207"/>
  <c r="A55" i="207"/>
  <c r="A54" i="207"/>
  <c r="A53" i="207"/>
  <c r="A52" i="207"/>
  <c r="A51" i="207"/>
  <c r="D69" i="207"/>
  <c r="T11" i="209"/>
  <c r="T10" i="209"/>
  <c r="T9" i="209"/>
  <c r="T8" i="209"/>
  <c r="T11" i="208"/>
  <c r="T10" i="208"/>
  <c r="T9" i="208"/>
  <c r="T8" i="208"/>
  <c r="T11" i="207"/>
  <c r="T10" i="207"/>
  <c r="T9" i="207"/>
  <c r="T8" i="207"/>
  <c r="R19" i="209"/>
  <c r="Q19" i="209"/>
  <c r="P19" i="209"/>
  <c r="R18" i="209"/>
  <c r="Q18" i="209"/>
  <c r="P18" i="209"/>
  <c r="R17" i="209"/>
  <c r="Q17" i="209"/>
  <c r="P17" i="209"/>
  <c r="R16" i="209"/>
  <c r="Q16" i="209"/>
  <c r="P16" i="209"/>
  <c r="R15" i="209"/>
  <c r="Q15" i="209"/>
  <c r="P15" i="209"/>
  <c r="R14" i="209"/>
  <c r="Q14" i="209"/>
  <c r="P14" i="209"/>
  <c r="R13" i="209"/>
  <c r="Q13" i="209"/>
  <c r="P13" i="209"/>
  <c r="R12" i="209"/>
  <c r="Q12" i="209"/>
  <c r="P12" i="209"/>
  <c r="R11" i="209"/>
  <c r="D79" i="209" s="1"/>
  <c r="Q11" i="209"/>
  <c r="D80" i="209" s="1"/>
  <c r="P11" i="209"/>
  <c r="R10" i="209"/>
  <c r="Q10" i="209"/>
  <c r="P10" i="209"/>
  <c r="R9" i="209"/>
  <c r="Q9" i="209"/>
  <c r="P9" i="209"/>
  <c r="R8" i="209"/>
  <c r="Q8" i="209"/>
  <c r="P8" i="209"/>
  <c r="T7" i="209"/>
  <c r="D23" i="209" s="1"/>
  <c r="R7" i="209"/>
  <c r="Q7" i="209"/>
  <c r="P7" i="209"/>
  <c r="T6" i="209"/>
  <c r="R6" i="209"/>
  <c r="Q6" i="209"/>
  <c r="P6" i="209"/>
  <c r="T5" i="209"/>
  <c r="R5" i="209"/>
  <c r="Q5" i="209"/>
  <c r="P5" i="209"/>
  <c r="T4" i="209"/>
  <c r="R4" i="209"/>
  <c r="Q4" i="209"/>
  <c r="P4" i="209"/>
  <c r="BA1" i="209"/>
  <c r="AZ1" i="209"/>
  <c r="AY1" i="209"/>
  <c r="AX1" i="209"/>
  <c r="AW1" i="209"/>
  <c r="AV1" i="209"/>
  <c r="AU1" i="209"/>
  <c r="AT1" i="209"/>
  <c r="AS1" i="209"/>
  <c r="AR1" i="209"/>
  <c r="AQ1" i="209"/>
  <c r="AP1" i="209"/>
  <c r="AO1" i="209"/>
  <c r="AN1" i="209"/>
  <c r="AM1" i="209"/>
  <c r="AL1" i="209"/>
  <c r="AK1" i="209"/>
  <c r="AJ1" i="209"/>
  <c r="AI1" i="209"/>
  <c r="AH1" i="209"/>
  <c r="AG1" i="209"/>
  <c r="AF1" i="209"/>
  <c r="AE1" i="209"/>
  <c r="AD1" i="209"/>
  <c r="AC1" i="209"/>
  <c r="AB1" i="209"/>
  <c r="AA1" i="209"/>
  <c r="Z1" i="209"/>
  <c r="Y1" i="209"/>
  <c r="X1" i="209"/>
  <c r="W1" i="209"/>
  <c r="V1" i="209"/>
  <c r="U1" i="209"/>
  <c r="T1" i="209"/>
  <c r="S1" i="209"/>
  <c r="R1" i="209"/>
  <c r="Q1" i="209"/>
  <c r="P1" i="209"/>
  <c r="R19" i="208"/>
  <c r="Q19" i="208"/>
  <c r="P19" i="208"/>
  <c r="R18" i="208"/>
  <c r="Q18" i="208"/>
  <c r="P18" i="208"/>
  <c r="R17" i="208"/>
  <c r="Q17" i="208"/>
  <c r="P17" i="208"/>
  <c r="R16" i="208"/>
  <c r="Q16" i="208"/>
  <c r="P16" i="208"/>
  <c r="R15" i="208"/>
  <c r="Q15" i="208"/>
  <c r="P15" i="208"/>
  <c r="R14" i="208"/>
  <c r="Q14" i="208"/>
  <c r="P14" i="208"/>
  <c r="R13" i="208"/>
  <c r="Q13" i="208"/>
  <c r="P13" i="208"/>
  <c r="R12" i="208"/>
  <c r="Q12" i="208"/>
  <c r="P12" i="208"/>
  <c r="R11" i="208"/>
  <c r="Q11" i="208"/>
  <c r="P11" i="208"/>
  <c r="R10" i="208"/>
  <c r="Q10" i="208"/>
  <c r="P10" i="208"/>
  <c r="R9" i="208"/>
  <c r="Q9" i="208"/>
  <c r="P9" i="208"/>
  <c r="R8" i="208"/>
  <c r="Q8" i="208"/>
  <c r="P8" i="208"/>
  <c r="T7" i="208"/>
  <c r="D22" i="208" s="1"/>
  <c r="R7" i="208"/>
  <c r="Q7" i="208"/>
  <c r="P7" i="208"/>
  <c r="T6" i="208"/>
  <c r="R6" i="208"/>
  <c r="Q6" i="208"/>
  <c r="P6" i="208"/>
  <c r="T5" i="208"/>
  <c r="D27" i="208" s="1"/>
  <c r="R5" i="208"/>
  <c r="Q5" i="208"/>
  <c r="P5" i="208"/>
  <c r="T4" i="208"/>
  <c r="R4" i="208"/>
  <c r="Q4" i="208"/>
  <c r="P4" i="208"/>
  <c r="BA1" i="208"/>
  <c r="AZ1" i="208"/>
  <c r="AY1" i="208"/>
  <c r="AX1" i="208"/>
  <c r="AW1" i="208"/>
  <c r="AV1" i="208"/>
  <c r="AU1" i="208"/>
  <c r="AT1" i="208"/>
  <c r="AS1" i="208"/>
  <c r="AR1" i="208"/>
  <c r="AQ1" i="208"/>
  <c r="AP1" i="208"/>
  <c r="AO1" i="208"/>
  <c r="AN1" i="208"/>
  <c r="AM1" i="208"/>
  <c r="AL1" i="208"/>
  <c r="AK1" i="208"/>
  <c r="AJ1" i="208"/>
  <c r="AI1" i="208"/>
  <c r="AH1" i="208"/>
  <c r="AG1" i="208"/>
  <c r="AF1" i="208"/>
  <c r="AE1" i="208"/>
  <c r="AD1" i="208"/>
  <c r="AC1" i="208"/>
  <c r="AB1" i="208"/>
  <c r="AA1" i="208"/>
  <c r="Z1" i="208"/>
  <c r="Y1" i="208"/>
  <c r="X1" i="208"/>
  <c r="W1" i="208"/>
  <c r="V1" i="208"/>
  <c r="U1" i="208"/>
  <c r="T1" i="208"/>
  <c r="S1" i="208"/>
  <c r="R1" i="208"/>
  <c r="Q1" i="208"/>
  <c r="P1" i="208"/>
  <c r="D50" i="207"/>
  <c r="A50" i="207"/>
  <c r="A49" i="207"/>
  <c r="A48" i="207"/>
  <c r="A47" i="207"/>
  <c r="A46" i="207"/>
  <c r="A45" i="207"/>
  <c r="D44" i="207"/>
  <c r="A44" i="207"/>
  <c r="A43" i="207"/>
  <c r="A42" i="207"/>
  <c r="A41" i="207"/>
  <c r="A40" i="207"/>
  <c r="A39" i="207"/>
  <c r="A38" i="207"/>
  <c r="A37" i="207"/>
  <c r="A36" i="207"/>
  <c r="A35" i="207"/>
  <c r="D34" i="207"/>
  <c r="A34" i="207"/>
  <c r="A33" i="207"/>
  <c r="A32" i="207"/>
  <c r="A31" i="207"/>
  <c r="A30" i="207"/>
  <c r="A29" i="207"/>
  <c r="A28" i="207"/>
  <c r="D27" i="207"/>
  <c r="A27" i="207"/>
  <c r="A26" i="207"/>
  <c r="D25" i="207"/>
  <c r="A25" i="207"/>
  <c r="A24" i="207"/>
  <c r="A23" i="207"/>
  <c r="D22" i="207"/>
  <c r="A22" i="207"/>
  <c r="D21" i="207"/>
  <c r="A21" i="207"/>
  <c r="D20" i="207"/>
  <c r="A20" i="207"/>
  <c r="R19" i="207"/>
  <c r="Q19" i="207"/>
  <c r="P19" i="207"/>
  <c r="R18" i="207"/>
  <c r="Q18" i="207"/>
  <c r="P18" i="207"/>
  <c r="R17" i="207"/>
  <c r="Q17" i="207"/>
  <c r="P17" i="207"/>
  <c r="R16" i="207"/>
  <c r="Q16" i="207"/>
  <c r="P16" i="207"/>
  <c r="R15" i="207"/>
  <c r="Q15" i="207"/>
  <c r="P15" i="207"/>
  <c r="R14" i="207"/>
  <c r="Q14" i="207"/>
  <c r="P14" i="207"/>
  <c r="R13" i="207"/>
  <c r="Q13" i="207"/>
  <c r="P13" i="207"/>
  <c r="R12" i="207"/>
  <c r="Q12" i="207"/>
  <c r="P12" i="207"/>
  <c r="R11" i="207"/>
  <c r="Q11" i="207"/>
  <c r="P11" i="207"/>
  <c r="R10" i="207"/>
  <c r="Q10" i="207"/>
  <c r="P10" i="207"/>
  <c r="R9" i="207"/>
  <c r="D53" i="207" s="1"/>
  <c r="Q9" i="207"/>
  <c r="D30" i="207" s="1"/>
  <c r="P9" i="207"/>
  <c r="R8" i="207"/>
  <c r="Q8" i="207"/>
  <c r="P8" i="207"/>
  <c r="T7" i="207"/>
  <c r="D24" i="207" s="1"/>
  <c r="R7" i="207"/>
  <c r="Q7" i="207"/>
  <c r="P7" i="207"/>
  <c r="T6" i="207"/>
  <c r="R6" i="207"/>
  <c r="Q6" i="207"/>
  <c r="P6" i="207"/>
  <c r="T5" i="207"/>
  <c r="R5" i="207"/>
  <c r="Q5" i="207"/>
  <c r="P5" i="207"/>
  <c r="T4" i="207"/>
  <c r="R4" i="207"/>
  <c r="Q4" i="207"/>
  <c r="P4" i="207"/>
  <c r="BA1" i="207"/>
  <c r="AZ1" i="207"/>
  <c r="AY1" i="207"/>
  <c r="AX1" i="207"/>
  <c r="AW1" i="207"/>
  <c r="AV1" i="207"/>
  <c r="AU1" i="207"/>
  <c r="AT1" i="207"/>
  <c r="AS1" i="207"/>
  <c r="AR1" i="207"/>
  <c r="AQ1" i="207"/>
  <c r="AP1" i="207"/>
  <c r="AO1" i="207"/>
  <c r="AN1" i="207"/>
  <c r="AM1" i="207"/>
  <c r="AL1" i="207"/>
  <c r="AK1" i="207"/>
  <c r="AJ1" i="207"/>
  <c r="AI1" i="207"/>
  <c r="AH1" i="207"/>
  <c r="AG1" i="207"/>
  <c r="AF1" i="207"/>
  <c r="AE1" i="207"/>
  <c r="AD1" i="207"/>
  <c r="AC1" i="207"/>
  <c r="AB1" i="207"/>
  <c r="AA1" i="207"/>
  <c r="Z1" i="207"/>
  <c r="Y1" i="207"/>
  <c r="X1" i="207"/>
  <c r="W1" i="207"/>
  <c r="V1" i="207"/>
  <c r="U1" i="207"/>
  <c r="T1" i="207"/>
  <c r="S1" i="207"/>
  <c r="R1" i="207"/>
  <c r="Q1" i="207"/>
  <c r="P1" i="207"/>
  <c r="A314" i="204"/>
  <c r="A313" i="204"/>
  <c r="A312" i="204"/>
  <c r="A311" i="204"/>
  <c r="A310" i="204"/>
  <c r="A309" i="204"/>
  <c r="A308" i="204"/>
  <c r="A307" i="204"/>
  <c r="A306" i="204"/>
  <c r="D306" i="204"/>
  <c r="D43" i="209" l="1"/>
  <c r="D52" i="209"/>
  <c r="D61" i="209"/>
  <c r="D70" i="209"/>
  <c r="D53" i="209"/>
  <c r="D44" i="209"/>
  <c r="D62" i="209"/>
  <c r="D71" i="209"/>
  <c r="D43" i="215"/>
  <c r="D65" i="207"/>
  <c r="D56" i="207"/>
  <c r="D104" i="209"/>
  <c r="D60" i="207"/>
  <c r="D14" i="217"/>
  <c r="D9" i="214"/>
  <c r="D42" i="207"/>
  <c r="D32" i="207"/>
  <c r="D62" i="207"/>
  <c r="D40" i="207"/>
  <c r="T11" i="196"/>
  <c r="T10" i="196"/>
  <c r="T9" i="196"/>
  <c r="T8" i="196"/>
  <c r="T11" i="197"/>
  <c r="T10" i="197"/>
  <c r="T9" i="197"/>
  <c r="T8" i="197"/>
  <c r="T11" i="204"/>
  <c r="T10" i="204"/>
  <c r="T9" i="204"/>
  <c r="T8" i="204"/>
  <c r="A178" i="197"/>
  <c r="A177" i="197"/>
  <c r="A176" i="197"/>
  <c r="A175" i="197"/>
  <c r="A174" i="197"/>
  <c r="A173" i="197"/>
  <c r="A172" i="197"/>
  <c r="A171" i="197"/>
  <c r="A170" i="197"/>
  <c r="A169" i="197"/>
  <c r="A168" i="197"/>
  <c r="A167" i="197"/>
  <c r="A166" i="197"/>
  <c r="A165" i="197"/>
  <c r="A164" i="197"/>
  <c r="A163" i="197"/>
  <c r="A162" i="197"/>
  <c r="A161" i="197"/>
  <c r="A160" i="197"/>
  <c r="A159" i="197"/>
  <c r="A158" i="197"/>
  <c r="A157" i="197"/>
  <c r="A156" i="197"/>
  <c r="A155" i="197"/>
  <c r="A154" i="197"/>
  <c r="A153" i="197"/>
  <c r="A152" i="197"/>
  <c r="A151" i="197"/>
  <c r="A150" i="197"/>
  <c r="A149" i="197"/>
  <c r="A148" i="197"/>
  <c r="A147" i="197"/>
  <c r="A146" i="197"/>
  <c r="A145" i="197"/>
  <c r="A144" i="197"/>
  <c r="A143" i="197"/>
  <c r="A142" i="197"/>
  <c r="A141" i="197"/>
  <c r="A140" i="197"/>
  <c r="A139" i="197"/>
  <c r="A138" i="197"/>
  <c r="A137" i="197"/>
  <c r="A136" i="197"/>
  <c r="A135" i="197"/>
  <c r="A134" i="197"/>
  <c r="A133" i="197"/>
  <c r="A132" i="197"/>
  <c r="A131" i="197"/>
  <c r="A130" i="197"/>
  <c r="A129" i="197"/>
  <c r="A128" i="197"/>
  <c r="A127" i="197"/>
  <c r="A126" i="197"/>
  <c r="A125" i="197"/>
  <c r="A124" i="197"/>
  <c r="A123" i="197"/>
  <c r="A122" i="197"/>
  <c r="A121" i="197"/>
  <c r="A120" i="197"/>
  <c r="A119" i="197"/>
  <c r="A118" i="197"/>
  <c r="A117" i="197"/>
  <c r="A116" i="197"/>
  <c r="A115" i="197"/>
  <c r="A114" i="197"/>
  <c r="A113" i="197"/>
  <c r="A112" i="197"/>
  <c r="A111" i="197"/>
  <c r="A110" i="197"/>
  <c r="A109" i="197"/>
  <c r="A108" i="197"/>
  <c r="A107" i="197"/>
  <c r="A106" i="197"/>
  <c r="A105" i="197"/>
  <c r="A104" i="197"/>
  <c r="A103" i="197"/>
  <c r="A102" i="197"/>
  <c r="A101" i="197"/>
  <c r="A100" i="197"/>
  <c r="A99" i="197"/>
  <c r="A98" i="197"/>
  <c r="A97" i="197"/>
  <c r="A96" i="197"/>
  <c r="A95" i="197"/>
  <c r="A94" i="197"/>
  <c r="A93" i="197"/>
  <c r="A92" i="197"/>
  <c r="A91" i="197"/>
  <c r="A90" i="197"/>
  <c r="A89" i="197"/>
  <c r="A88" i="197"/>
  <c r="A87" i="197"/>
  <c r="A86" i="197"/>
  <c r="A85" i="197"/>
  <c r="A84" i="197"/>
  <c r="A83" i="197"/>
  <c r="A82" i="197"/>
  <c r="A81" i="197"/>
  <c r="A80" i="197"/>
  <c r="A79" i="197"/>
  <c r="A78" i="197"/>
  <c r="A77" i="197"/>
  <c r="A76" i="197"/>
  <c r="A75" i="197"/>
  <c r="A74" i="197"/>
  <c r="A73" i="197"/>
  <c r="A72" i="197"/>
  <c r="A71" i="197"/>
  <c r="A70" i="197"/>
  <c r="A69" i="197"/>
  <c r="A68" i="197"/>
  <c r="A67" i="197"/>
  <c r="A66" i="197"/>
  <c r="A65" i="197"/>
  <c r="A64" i="197"/>
  <c r="A63" i="197"/>
  <c r="A62" i="197"/>
  <c r="A61" i="197"/>
  <c r="A60" i="197"/>
  <c r="A59" i="197"/>
  <c r="A58" i="197"/>
  <c r="A57" i="197"/>
  <c r="A56" i="197"/>
  <c r="A55" i="197"/>
  <c r="A54" i="197"/>
  <c r="A53" i="197"/>
  <c r="A52" i="197"/>
  <c r="A51" i="197"/>
  <c r="A50" i="197"/>
  <c r="A49" i="197"/>
  <c r="A48" i="197"/>
  <c r="A47" i="197"/>
  <c r="A46" i="197"/>
  <c r="A45" i="197"/>
  <c r="A44" i="197"/>
  <c r="A43" i="197"/>
  <c r="A42" i="197"/>
  <c r="A41" i="197"/>
  <c r="A40" i="197"/>
  <c r="A39" i="197"/>
  <c r="A38" i="197"/>
  <c r="A37" i="197"/>
  <c r="A36" i="197"/>
  <c r="A35" i="197"/>
  <c r="A34" i="197"/>
  <c r="A33" i="197"/>
  <c r="D152" i="197" l="1"/>
  <c r="D143" i="197"/>
  <c r="D170" i="197"/>
  <c r="D161" i="197"/>
  <c r="D392" i="204"/>
  <c r="D320" i="204"/>
  <c r="D383" i="204"/>
  <c r="D311" i="204"/>
  <c r="D374" i="204"/>
  <c r="D297" i="204"/>
  <c r="D419" i="204"/>
  <c r="D401" i="204"/>
  <c r="D437" i="204"/>
  <c r="D365" i="204"/>
  <c r="D347" i="204"/>
  <c r="D410" i="204"/>
  <c r="D428" i="204"/>
  <c r="D356" i="204"/>
  <c r="D338" i="204"/>
  <c r="D329" i="204"/>
  <c r="D599" i="196"/>
  <c r="D527" i="196"/>
  <c r="D590" i="196"/>
  <c r="D518" i="196"/>
  <c r="D554" i="196"/>
  <c r="D608" i="196"/>
  <c r="D581" i="196"/>
  <c r="D509" i="196"/>
  <c r="D617" i="196"/>
  <c r="D572" i="196"/>
  <c r="D500" i="196"/>
  <c r="D635" i="196"/>
  <c r="D563" i="196"/>
  <c r="D626" i="196"/>
  <c r="D536" i="196"/>
  <c r="D545" i="196"/>
  <c r="A15" i="195"/>
  <c r="A14" i="195"/>
  <c r="A13" i="195"/>
  <c r="A12" i="195"/>
  <c r="A11" i="195"/>
  <c r="A10" i="195"/>
  <c r="D14" i="195"/>
  <c r="D20" i="197" l="1"/>
  <c r="D171" i="197"/>
  <c r="D162" i="197"/>
  <c r="D153" i="197"/>
  <c r="A634" i="196" l="1"/>
  <c r="A633" i="196"/>
  <c r="A632" i="196"/>
  <c r="A631" i="196"/>
  <c r="A630" i="196"/>
  <c r="A629" i="196"/>
  <c r="A628" i="196"/>
  <c r="A627" i="196"/>
  <c r="A626" i="196"/>
  <c r="A625" i="196"/>
  <c r="A624" i="196"/>
  <c r="A623" i="196"/>
  <c r="A622" i="196"/>
  <c r="A621" i="196"/>
  <c r="A620" i="196"/>
  <c r="A619" i="196"/>
  <c r="A618" i="196"/>
  <c r="A617" i="196"/>
  <c r="A616" i="196"/>
  <c r="A615" i="196"/>
  <c r="A614" i="196"/>
  <c r="A613" i="196"/>
  <c r="A612" i="196"/>
  <c r="A611" i="196"/>
  <c r="A610" i="196"/>
  <c r="A609" i="196"/>
  <c r="A608" i="196"/>
  <c r="A607" i="196"/>
  <c r="A606" i="196"/>
  <c r="A605" i="196"/>
  <c r="A604" i="196"/>
  <c r="A603" i="196"/>
  <c r="A602" i="196"/>
  <c r="A601" i="196"/>
  <c r="A600" i="196"/>
  <c r="A599" i="196"/>
  <c r="A598" i="196"/>
  <c r="A597" i="196"/>
  <c r="A596" i="196"/>
  <c r="A595" i="196"/>
  <c r="A594" i="196"/>
  <c r="A593" i="196"/>
  <c r="A592" i="196"/>
  <c r="A591" i="196"/>
  <c r="A590" i="196"/>
  <c r="D627" i="196"/>
  <c r="D618" i="196"/>
  <c r="D609" i="196"/>
  <c r="D600" i="196"/>
  <c r="D591" i="196"/>
  <c r="D582" i="196"/>
  <c r="D573" i="196"/>
  <c r="D564" i="196"/>
  <c r="D555" i="196"/>
  <c r="D546" i="196"/>
  <c r="D537" i="196"/>
  <c r="D528" i="196"/>
  <c r="D520" i="196"/>
  <c r="D510" i="196"/>
  <c r="D636" i="196"/>
  <c r="D501" i="196"/>
  <c r="A36" i="202" l="1"/>
  <c r="A3" i="202"/>
  <c r="A35" i="202"/>
  <c r="A18" i="202"/>
  <c r="A34" i="202"/>
  <c r="A33" i="202"/>
  <c r="A32" i="202"/>
  <c r="A31" i="202"/>
  <c r="A30" i="202"/>
  <c r="A9" i="202"/>
  <c r="A8" i="202"/>
  <c r="A29" i="202"/>
  <c r="A28" i="202"/>
  <c r="A27" i="202"/>
  <c r="A13" i="202"/>
  <c r="A12" i="202"/>
  <c r="A26" i="202"/>
  <c r="A11" i="202"/>
  <c r="A10" i="202"/>
  <c r="A17" i="202"/>
  <c r="A16" i="202"/>
  <c r="A15" i="202"/>
  <c r="A14" i="202"/>
  <c r="A7" i="202"/>
  <c r="A6" i="202"/>
  <c r="A5" i="202"/>
  <c r="A25" i="202"/>
  <c r="A24" i="202"/>
  <c r="A4" i="202"/>
  <c r="A23" i="202"/>
  <c r="A22" i="202"/>
  <c r="A21" i="202"/>
  <c r="A20" i="202"/>
  <c r="A19" i="202"/>
  <c r="D296" i="204"/>
  <c r="A296" i="204"/>
  <c r="A295" i="204"/>
  <c r="A294" i="204"/>
  <c r="A293" i="204"/>
  <c r="A292" i="204"/>
  <c r="A291" i="204"/>
  <c r="A290" i="204"/>
  <c r="A289" i="204"/>
  <c r="A288" i="204"/>
  <c r="A287" i="204"/>
  <c r="A286" i="204"/>
  <c r="D285" i="204"/>
  <c r="A285" i="204"/>
  <c r="A284" i="204"/>
  <c r="A283" i="204"/>
  <c r="A282" i="204"/>
  <c r="A281" i="204"/>
  <c r="A280" i="204"/>
  <c r="D279" i="204"/>
  <c r="A279" i="204"/>
  <c r="A278" i="204"/>
  <c r="A277" i="204"/>
  <c r="A276" i="204"/>
  <c r="A275" i="204"/>
  <c r="A274" i="204"/>
  <c r="D273" i="204"/>
  <c r="A273" i="204"/>
  <c r="A272" i="204"/>
  <c r="A271" i="204"/>
  <c r="A270" i="204"/>
  <c r="A269" i="204"/>
  <c r="A268" i="204"/>
  <c r="D267" i="204"/>
  <c r="A267" i="204"/>
  <c r="A266" i="204"/>
  <c r="A265" i="204"/>
  <c r="A264" i="204"/>
  <c r="A263" i="204"/>
  <c r="A262" i="204"/>
  <c r="D261" i="204"/>
  <c r="A261" i="204"/>
  <c r="A260" i="204"/>
  <c r="A259" i="204"/>
  <c r="A258" i="204"/>
  <c r="A257" i="204"/>
  <c r="A256" i="204"/>
  <c r="D255" i="204"/>
  <c r="A255" i="204"/>
  <c r="A254" i="204"/>
  <c r="A253" i="204"/>
  <c r="A252" i="204"/>
  <c r="A251" i="204"/>
  <c r="A250" i="204"/>
  <c r="D249" i="204"/>
  <c r="A249" i="204"/>
  <c r="A248" i="204"/>
  <c r="A247" i="204"/>
  <c r="A246" i="204"/>
  <c r="A245" i="204"/>
  <c r="A244" i="204"/>
  <c r="D243" i="204"/>
  <c r="A243" i="204"/>
  <c r="A242" i="204"/>
  <c r="A241" i="204"/>
  <c r="A240" i="204"/>
  <c r="A239" i="204"/>
  <c r="A238" i="204"/>
  <c r="D237" i="204"/>
  <c r="A237" i="204"/>
  <c r="A236" i="204"/>
  <c r="A235" i="204"/>
  <c r="A234" i="204"/>
  <c r="A233" i="204"/>
  <c r="A232" i="204"/>
  <c r="D231" i="204"/>
  <c r="A231" i="204"/>
  <c r="A230" i="204"/>
  <c r="A229" i="204"/>
  <c r="A228" i="204"/>
  <c r="A227" i="204"/>
  <c r="A226" i="204"/>
  <c r="D225" i="204"/>
  <c r="A225" i="204"/>
  <c r="A224" i="204"/>
  <c r="A223" i="204"/>
  <c r="A222" i="204"/>
  <c r="A221" i="204"/>
  <c r="A220" i="204"/>
  <c r="A219" i="204"/>
  <c r="A218" i="204"/>
  <c r="A217" i="204"/>
  <c r="A216" i="204"/>
  <c r="A215" i="204"/>
  <c r="A214" i="204"/>
  <c r="A213" i="204"/>
  <c r="A212" i="204"/>
  <c r="A211" i="204"/>
  <c r="A210" i="204"/>
  <c r="A209" i="204"/>
  <c r="A208" i="204"/>
  <c r="A207" i="204"/>
  <c r="A206" i="204"/>
  <c r="A205" i="204"/>
  <c r="A32" i="204"/>
  <c r="A31" i="204"/>
  <c r="D30" i="204"/>
  <c r="A30" i="204"/>
  <c r="A29" i="204"/>
  <c r="D28" i="204"/>
  <c r="A28" i="204"/>
  <c r="D27" i="204"/>
  <c r="A27" i="204"/>
  <c r="D26" i="204"/>
  <c r="A26" i="204"/>
  <c r="D25" i="204"/>
  <c r="A25" i="204"/>
  <c r="D24" i="204"/>
  <c r="A24" i="204"/>
  <c r="A23" i="204"/>
  <c r="A22" i="204"/>
  <c r="D21" i="204"/>
  <c r="A21" i="204"/>
  <c r="D20" i="204"/>
  <c r="A20" i="204"/>
  <c r="R19" i="204"/>
  <c r="Q19" i="204"/>
  <c r="P19" i="204"/>
  <c r="R18" i="204"/>
  <c r="Q18" i="204"/>
  <c r="P18" i="204"/>
  <c r="R17" i="204"/>
  <c r="Q17" i="204"/>
  <c r="P17" i="204"/>
  <c r="R16" i="204"/>
  <c r="Q16" i="204"/>
  <c r="P16" i="204"/>
  <c r="R15" i="204"/>
  <c r="Q15" i="204"/>
  <c r="P15" i="204"/>
  <c r="R14" i="204"/>
  <c r="Q14" i="204"/>
  <c r="P14" i="204"/>
  <c r="R13" i="204"/>
  <c r="Q13" i="204"/>
  <c r="P13" i="204"/>
  <c r="R12" i="204"/>
  <c r="Q12" i="204"/>
  <c r="P12" i="204"/>
  <c r="R11" i="204"/>
  <c r="D145" i="204" s="1"/>
  <c r="Q11" i="204"/>
  <c r="D143" i="204" s="1"/>
  <c r="P11" i="204"/>
  <c r="R10" i="204"/>
  <c r="Q10" i="204"/>
  <c r="P10" i="204"/>
  <c r="R9" i="204"/>
  <c r="Q9" i="204"/>
  <c r="P9" i="204"/>
  <c r="R8" i="204"/>
  <c r="D187" i="204" s="1"/>
  <c r="Q8" i="204"/>
  <c r="D185" i="204" s="1"/>
  <c r="P8" i="204"/>
  <c r="T7" i="204"/>
  <c r="D23" i="204" s="1"/>
  <c r="R7" i="204"/>
  <c r="D95" i="204" s="1"/>
  <c r="Q7" i="204"/>
  <c r="D93" i="204" s="1"/>
  <c r="P7" i="204"/>
  <c r="T6" i="204"/>
  <c r="R6" i="204"/>
  <c r="Q6" i="204"/>
  <c r="P6" i="204"/>
  <c r="T5" i="204"/>
  <c r="D218" i="204" s="1"/>
  <c r="R5" i="204"/>
  <c r="Q5" i="204"/>
  <c r="P5" i="204"/>
  <c r="T4" i="204"/>
  <c r="R4" i="204"/>
  <c r="Q4" i="204"/>
  <c r="P4" i="204"/>
  <c r="BA1" i="204"/>
  <c r="AZ1" i="204"/>
  <c r="AY1" i="204"/>
  <c r="AX1" i="204"/>
  <c r="AW1" i="204"/>
  <c r="AV1" i="204"/>
  <c r="AU1" i="204"/>
  <c r="AT1" i="204"/>
  <c r="AS1" i="204"/>
  <c r="AR1" i="204"/>
  <c r="AQ1" i="204"/>
  <c r="AP1" i="204"/>
  <c r="AO1" i="204"/>
  <c r="AN1" i="204"/>
  <c r="AM1" i="204"/>
  <c r="AL1" i="204"/>
  <c r="AK1" i="204"/>
  <c r="AJ1" i="204"/>
  <c r="AI1" i="204"/>
  <c r="AH1" i="204"/>
  <c r="AG1" i="204"/>
  <c r="AF1" i="204"/>
  <c r="AE1" i="204"/>
  <c r="AD1" i="204"/>
  <c r="AC1" i="204"/>
  <c r="AB1" i="204"/>
  <c r="AA1" i="204"/>
  <c r="Z1" i="204"/>
  <c r="Y1" i="204"/>
  <c r="X1" i="204"/>
  <c r="W1" i="204"/>
  <c r="V1" i="204"/>
  <c r="U1" i="204"/>
  <c r="T1" i="204"/>
  <c r="S1" i="204"/>
  <c r="R1" i="204"/>
  <c r="Q1" i="204"/>
  <c r="P1" i="204"/>
  <c r="D197" i="204" l="1"/>
  <c r="D195" i="204"/>
  <c r="D123" i="204"/>
  <c r="D103" i="204"/>
  <c r="D113" i="204"/>
  <c r="D133" i="204"/>
  <c r="D75" i="204"/>
  <c r="D55" i="204"/>
  <c r="D45" i="204"/>
  <c r="D85" i="204"/>
  <c r="D35" i="204"/>
  <c r="D65" i="204"/>
  <c r="D105" i="204"/>
  <c r="D135" i="204"/>
  <c r="D115" i="204"/>
  <c r="D125" i="204"/>
  <c r="D63" i="204"/>
  <c r="D33" i="204"/>
  <c r="D43" i="204"/>
  <c r="D73" i="204"/>
  <c r="D53" i="204"/>
  <c r="D83" i="204"/>
  <c r="D416" i="204"/>
  <c r="D425" i="204"/>
  <c r="D362" i="204"/>
  <c r="D371" i="204"/>
  <c r="D298" i="204"/>
  <c r="D300" i="204"/>
  <c r="D380" i="204"/>
  <c r="D407" i="204"/>
  <c r="D389" i="204"/>
  <c r="D398" i="204"/>
  <c r="D317" i="204"/>
  <c r="D335" i="204"/>
  <c r="D326" i="204"/>
  <c r="D434" i="204"/>
  <c r="D344" i="204"/>
  <c r="D353" i="204"/>
  <c r="D308" i="204"/>
  <c r="D208" i="204"/>
  <c r="D214" i="204"/>
  <c r="D222" i="204"/>
  <c r="D210" i="204"/>
  <c r="A67" i="199"/>
  <c r="A66" i="199"/>
  <c r="A65" i="199"/>
  <c r="A64" i="199"/>
  <c r="A63" i="199"/>
  <c r="A62" i="199"/>
  <c r="A12" i="199"/>
  <c r="A61" i="199"/>
  <c r="A10" i="199"/>
  <c r="A60" i="199"/>
  <c r="A11" i="199"/>
  <c r="A59" i="199"/>
  <c r="A13" i="199"/>
  <c r="F58" i="199"/>
  <c r="A58" i="199"/>
  <c r="A57" i="199"/>
  <c r="F56" i="199"/>
  <c r="A56" i="199"/>
  <c r="A55" i="199"/>
  <c r="F54" i="199"/>
  <c r="A54" i="199"/>
  <c r="A53" i="199"/>
  <c r="A52" i="199"/>
  <c r="A51" i="199"/>
  <c r="A50" i="199"/>
  <c r="A49" i="199"/>
  <c r="A16" i="199"/>
  <c r="A17" i="199"/>
  <c r="A48" i="199"/>
  <c r="A47" i="199"/>
  <c r="A46" i="199"/>
  <c r="A45" i="199"/>
  <c r="A21" i="199"/>
  <c r="A44" i="199"/>
  <c r="A26" i="199"/>
  <c r="A28" i="199"/>
  <c r="A20" i="199"/>
  <c r="A22" i="199"/>
  <c r="A23" i="199"/>
  <c r="A24" i="199"/>
  <c r="A25" i="199"/>
  <c r="A27" i="199"/>
  <c r="A29" i="199"/>
  <c r="A30" i="199"/>
  <c r="A6" i="199"/>
  <c r="A43" i="199"/>
  <c r="A8" i="199"/>
  <c r="A4" i="199"/>
  <c r="A3" i="199"/>
  <c r="A9" i="199"/>
  <c r="A5" i="199"/>
  <c r="A7" i="199"/>
  <c r="A42" i="199"/>
  <c r="A41" i="199"/>
  <c r="A18" i="199"/>
  <c r="A19" i="199"/>
  <c r="A40" i="199"/>
  <c r="A39" i="199"/>
  <c r="A38" i="199"/>
  <c r="A37" i="199"/>
  <c r="A14" i="199"/>
  <c r="A15" i="199"/>
  <c r="A36" i="199"/>
  <c r="A35" i="199"/>
  <c r="A34" i="199"/>
  <c r="A33" i="199"/>
  <c r="A32" i="199"/>
  <c r="A31" i="199"/>
  <c r="A17" i="198"/>
  <c r="A16" i="198"/>
  <c r="A3" i="198"/>
  <c r="A15" i="198"/>
  <c r="A5" i="198"/>
  <c r="F14" i="198"/>
  <c r="A14" i="198"/>
  <c r="A13" i="198"/>
  <c r="A12" i="198"/>
  <c r="A4" i="198"/>
  <c r="F11" i="198"/>
  <c r="A11" i="198"/>
  <c r="A6" i="198"/>
  <c r="A10" i="198"/>
  <c r="A9" i="198"/>
  <c r="A8" i="198"/>
  <c r="A7" i="198"/>
  <c r="A3" i="20" l="1"/>
  <c r="A4" i="20"/>
  <c r="A5" i="20"/>
  <c r="A6" i="20"/>
  <c r="A7" i="20"/>
  <c r="A8" i="20"/>
  <c r="F8" i="20"/>
  <c r="A9" i="20"/>
  <c r="A10" i="20"/>
  <c r="A11" i="20"/>
  <c r="A12" i="20"/>
  <c r="F12" i="20"/>
  <c r="A13" i="20"/>
  <c r="A14" i="20"/>
  <c r="A15" i="20"/>
  <c r="A16" i="20"/>
  <c r="A17" i="20"/>
  <c r="D137" i="197"/>
  <c r="D131" i="197"/>
  <c r="D125" i="197"/>
  <c r="D119" i="197"/>
  <c r="D89" i="197"/>
  <c r="D77" i="197"/>
  <c r="D67" i="197"/>
  <c r="D57" i="197"/>
  <c r="D47" i="197"/>
  <c r="D37" i="197"/>
  <c r="A32" i="197"/>
  <c r="A31" i="197"/>
  <c r="D30" i="197"/>
  <c r="A30" i="197"/>
  <c r="A29" i="197"/>
  <c r="D28" i="197"/>
  <c r="A28" i="197"/>
  <c r="D27" i="197"/>
  <c r="A27" i="197"/>
  <c r="D26" i="197"/>
  <c r="A26" i="197"/>
  <c r="D25" i="197"/>
  <c r="A25" i="197"/>
  <c r="D24" i="197"/>
  <c r="A24" i="197"/>
  <c r="A23" i="197"/>
  <c r="A22" i="197"/>
  <c r="D21" i="197"/>
  <c r="A21" i="197"/>
  <c r="A20" i="197"/>
  <c r="R19" i="197"/>
  <c r="Q19" i="197"/>
  <c r="P19" i="197"/>
  <c r="R18" i="197"/>
  <c r="Q18" i="197"/>
  <c r="P18" i="197"/>
  <c r="R17" i="197"/>
  <c r="Q17" i="197"/>
  <c r="P17" i="197"/>
  <c r="R16" i="197"/>
  <c r="Q16" i="197"/>
  <c r="P16" i="197"/>
  <c r="R15" i="197"/>
  <c r="Q15" i="197"/>
  <c r="P15" i="197"/>
  <c r="R14" i="197"/>
  <c r="Q14" i="197"/>
  <c r="P14" i="197"/>
  <c r="R13" i="197"/>
  <c r="Q13" i="197"/>
  <c r="P13" i="197"/>
  <c r="R12" i="197"/>
  <c r="Q12" i="197"/>
  <c r="P12" i="197"/>
  <c r="R11" i="197"/>
  <c r="D75" i="197" s="1"/>
  <c r="Q11" i="197"/>
  <c r="D73" i="197" s="1"/>
  <c r="P11" i="197"/>
  <c r="R10" i="197"/>
  <c r="D65" i="197" s="1"/>
  <c r="Q10" i="197"/>
  <c r="D63" i="197" s="1"/>
  <c r="P10" i="197"/>
  <c r="R9" i="197"/>
  <c r="Q9" i="197"/>
  <c r="D53" i="197" s="1"/>
  <c r="P9" i="197"/>
  <c r="R8" i="197"/>
  <c r="Q8" i="197"/>
  <c r="D85" i="197" s="1"/>
  <c r="P8" i="197"/>
  <c r="T7" i="197"/>
  <c r="D23" i="197" s="1"/>
  <c r="R7" i="197"/>
  <c r="Q7" i="197"/>
  <c r="P7" i="197"/>
  <c r="T6" i="197"/>
  <c r="R6" i="197"/>
  <c r="Q6" i="197"/>
  <c r="D33" i="197" s="1"/>
  <c r="P6" i="197"/>
  <c r="T5" i="197"/>
  <c r="D108" i="197" s="1"/>
  <c r="R5" i="197"/>
  <c r="Q5" i="197"/>
  <c r="P5" i="197"/>
  <c r="T4" i="197"/>
  <c r="R4" i="197"/>
  <c r="Q4" i="197"/>
  <c r="P4" i="197"/>
  <c r="BA1" i="197"/>
  <c r="AZ1" i="197"/>
  <c r="AY1" i="197"/>
  <c r="AX1" i="197"/>
  <c r="AW1" i="197"/>
  <c r="AV1" i="197"/>
  <c r="AU1" i="197"/>
  <c r="AT1" i="197"/>
  <c r="AS1" i="197"/>
  <c r="AR1" i="197"/>
  <c r="AQ1" i="197"/>
  <c r="AP1" i="197"/>
  <c r="AO1" i="197"/>
  <c r="AN1" i="197"/>
  <c r="AM1" i="197"/>
  <c r="AL1" i="197"/>
  <c r="AK1" i="197"/>
  <c r="AJ1" i="197"/>
  <c r="AI1" i="197"/>
  <c r="AH1" i="197"/>
  <c r="AG1" i="197"/>
  <c r="AF1" i="197"/>
  <c r="AE1" i="197"/>
  <c r="AD1" i="197"/>
  <c r="AC1" i="197"/>
  <c r="AB1" i="197"/>
  <c r="AA1" i="197"/>
  <c r="Z1" i="197"/>
  <c r="Y1" i="197"/>
  <c r="X1" i="197"/>
  <c r="W1" i="197"/>
  <c r="V1" i="197"/>
  <c r="U1" i="197"/>
  <c r="T1" i="197"/>
  <c r="S1" i="197"/>
  <c r="R1" i="197"/>
  <c r="Q1" i="197"/>
  <c r="P1" i="197"/>
  <c r="D43" i="197" l="1"/>
  <c r="D144" i="197"/>
  <c r="D45" i="197"/>
  <c r="D55" i="197"/>
  <c r="D155" i="197"/>
  <c r="D100" i="197"/>
  <c r="D116" i="197"/>
  <c r="D35" i="197"/>
  <c r="D164" i="197"/>
  <c r="D87" i="197"/>
  <c r="D173" i="197"/>
  <c r="D146" i="197"/>
  <c r="D96" i="197"/>
  <c r="D104" i="197"/>
  <c r="D112" i="197"/>
  <c r="A639" i="196"/>
  <c r="A638" i="196"/>
  <c r="A637" i="196"/>
  <c r="A636" i="196"/>
  <c r="A635" i="196"/>
  <c r="A589" i="196"/>
  <c r="A588" i="196"/>
  <c r="A587" i="196"/>
  <c r="A586" i="196"/>
  <c r="A585" i="196"/>
  <c r="A584" i="196"/>
  <c r="A583" i="196"/>
  <c r="A582" i="196"/>
  <c r="A581" i="196"/>
  <c r="A580" i="196"/>
  <c r="A579" i="196"/>
  <c r="A578" i="196"/>
  <c r="A577" i="196"/>
  <c r="A576" i="196"/>
  <c r="A575" i="196"/>
  <c r="A574" i="196"/>
  <c r="A573" i="196"/>
  <c r="A572" i="196"/>
  <c r="A571" i="196"/>
  <c r="A570" i="196"/>
  <c r="A569" i="196"/>
  <c r="A568" i="196"/>
  <c r="A567" i="196"/>
  <c r="A566" i="196"/>
  <c r="A565" i="196"/>
  <c r="A564" i="196"/>
  <c r="A563" i="196"/>
  <c r="A562" i="196"/>
  <c r="A561" i="196"/>
  <c r="A560" i="196"/>
  <c r="A559" i="196"/>
  <c r="A558" i="196"/>
  <c r="A557" i="196"/>
  <c r="A556" i="196"/>
  <c r="A555" i="196"/>
  <c r="A554" i="196"/>
  <c r="A553" i="196"/>
  <c r="A552" i="196"/>
  <c r="A551" i="196"/>
  <c r="A550" i="196"/>
  <c r="A549" i="196"/>
  <c r="A548" i="196"/>
  <c r="A547" i="196"/>
  <c r="A546" i="196"/>
  <c r="A545" i="196"/>
  <c r="A544" i="196"/>
  <c r="A543" i="196"/>
  <c r="A542" i="196"/>
  <c r="A541" i="196"/>
  <c r="A540" i="196"/>
  <c r="A539" i="196"/>
  <c r="A538" i="196"/>
  <c r="A537" i="196"/>
  <c r="A536" i="196"/>
  <c r="A535" i="196"/>
  <c r="A534" i="196"/>
  <c r="A533" i="196"/>
  <c r="A532" i="196"/>
  <c r="A531" i="196"/>
  <c r="A530" i="196"/>
  <c r="A529" i="196"/>
  <c r="A528" i="196"/>
  <c r="A527" i="196"/>
  <c r="A526" i="196"/>
  <c r="A525" i="196"/>
  <c r="A524" i="196"/>
  <c r="A523" i="196"/>
  <c r="A522" i="196"/>
  <c r="A521" i="196"/>
  <c r="A520" i="196"/>
  <c r="A519" i="196"/>
  <c r="A518" i="196"/>
  <c r="A517" i="196"/>
  <c r="A516" i="196"/>
  <c r="A515" i="196"/>
  <c r="A514" i="196"/>
  <c r="A513" i="196"/>
  <c r="A512" i="196"/>
  <c r="A511" i="196"/>
  <c r="A510" i="196"/>
  <c r="A509" i="196"/>
  <c r="A508" i="196"/>
  <c r="A507" i="196"/>
  <c r="A506" i="196"/>
  <c r="A505" i="196"/>
  <c r="A504" i="196"/>
  <c r="A503" i="196"/>
  <c r="A502" i="196"/>
  <c r="A501" i="196"/>
  <c r="A500" i="196"/>
  <c r="A499" i="196"/>
  <c r="A498" i="196"/>
  <c r="A497" i="196"/>
  <c r="A496" i="196"/>
  <c r="A495" i="196"/>
  <c r="D494" i="196"/>
  <c r="A494" i="196"/>
  <c r="A493" i="196"/>
  <c r="A492" i="196"/>
  <c r="A491" i="196"/>
  <c r="A490" i="196"/>
  <c r="A489" i="196"/>
  <c r="D488" i="196"/>
  <c r="A488" i="196"/>
  <c r="A487" i="196"/>
  <c r="A486" i="196"/>
  <c r="A485" i="196"/>
  <c r="A484" i="196"/>
  <c r="A483" i="196"/>
  <c r="D482" i="196"/>
  <c r="A482" i="196"/>
  <c r="A481" i="196"/>
  <c r="A480" i="196"/>
  <c r="A479" i="196"/>
  <c r="A478" i="196"/>
  <c r="A477" i="196"/>
  <c r="D476" i="196"/>
  <c r="A476" i="196"/>
  <c r="A475" i="196"/>
  <c r="A474" i="196"/>
  <c r="A473" i="196"/>
  <c r="A472" i="196"/>
  <c r="A471" i="196"/>
  <c r="D470" i="196"/>
  <c r="A470" i="196"/>
  <c r="A469" i="196"/>
  <c r="A468" i="196"/>
  <c r="A467" i="196"/>
  <c r="A466" i="196"/>
  <c r="A465" i="196"/>
  <c r="A464" i="196"/>
  <c r="A463" i="196"/>
  <c r="A462" i="196"/>
  <c r="A461" i="196"/>
  <c r="A460" i="196"/>
  <c r="A459" i="196"/>
  <c r="A458" i="196"/>
  <c r="A457" i="196"/>
  <c r="A456" i="196"/>
  <c r="A455" i="196"/>
  <c r="A454" i="196"/>
  <c r="A453" i="196"/>
  <c r="A452" i="196"/>
  <c r="A451" i="196"/>
  <c r="D450" i="196"/>
  <c r="A450" i="196"/>
  <c r="A449" i="196"/>
  <c r="D448" i="196"/>
  <c r="A448" i="196"/>
  <c r="A447" i="196"/>
  <c r="A446" i="196"/>
  <c r="A445" i="196"/>
  <c r="A444" i="196"/>
  <c r="A443" i="196"/>
  <c r="D442" i="196"/>
  <c r="A442" i="196"/>
  <c r="A441" i="196"/>
  <c r="A440" i="196"/>
  <c r="A439" i="196"/>
  <c r="A438" i="196"/>
  <c r="A437" i="196"/>
  <c r="D436" i="196"/>
  <c r="A436" i="196"/>
  <c r="A435" i="196"/>
  <c r="A434" i="196"/>
  <c r="A433" i="196"/>
  <c r="A432" i="196"/>
  <c r="A431" i="196"/>
  <c r="D430" i="196"/>
  <c r="A430" i="196"/>
  <c r="A429" i="196"/>
  <c r="A428" i="196"/>
  <c r="A427" i="196"/>
  <c r="A426" i="196"/>
  <c r="A425" i="196"/>
  <c r="D424" i="196"/>
  <c r="A424" i="196"/>
  <c r="A423" i="196"/>
  <c r="A422" i="196"/>
  <c r="A421" i="196"/>
  <c r="A420" i="196"/>
  <c r="A419" i="196"/>
  <c r="D418" i="196"/>
  <c r="A418" i="196"/>
  <c r="A417" i="196"/>
  <c r="A416" i="196"/>
  <c r="A415" i="196"/>
  <c r="A414" i="196"/>
  <c r="A413" i="196"/>
  <c r="D412" i="196"/>
  <c r="A412" i="196"/>
  <c r="A411" i="196"/>
  <c r="A410" i="196"/>
  <c r="A409" i="196"/>
  <c r="A408" i="196"/>
  <c r="A407" i="196"/>
  <c r="D406" i="196"/>
  <c r="A406" i="196"/>
  <c r="A405" i="196"/>
  <c r="A404" i="196"/>
  <c r="A403" i="196"/>
  <c r="A402" i="196"/>
  <c r="A401" i="196"/>
  <c r="D400" i="196"/>
  <c r="A400" i="196"/>
  <c r="A399" i="196"/>
  <c r="A398" i="196"/>
  <c r="A397" i="196"/>
  <c r="A396" i="196"/>
  <c r="A395" i="196"/>
  <c r="D394" i="196"/>
  <c r="A394" i="196"/>
  <c r="A393" i="196"/>
  <c r="A392" i="196"/>
  <c r="A391" i="196"/>
  <c r="A390" i="196"/>
  <c r="A389" i="196"/>
  <c r="D388" i="196"/>
  <c r="A388" i="196"/>
  <c r="A387" i="196"/>
  <c r="A386" i="196"/>
  <c r="A385" i="196"/>
  <c r="A384" i="196"/>
  <c r="A383" i="196"/>
  <c r="D382" i="196"/>
  <c r="A382" i="196"/>
  <c r="A381" i="196"/>
  <c r="A380" i="196"/>
  <c r="A379" i="196"/>
  <c r="A378" i="196"/>
  <c r="A377" i="196"/>
  <c r="D376" i="196"/>
  <c r="A376" i="196"/>
  <c r="A375" i="196"/>
  <c r="A374" i="196"/>
  <c r="A373" i="196"/>
  <c r="A372" i="196"/>
  <c r="A371" i="196"/>
  <c r="D370" i="196"/>
  <c r="A370" i="196"/>
  <c r="A369" i="196"/>
  <c r="A368" i="196"/>
  <c r="A367" i="196"/>
  <c r="A366" i="196"/>
  <c r="A365" i="196"/>
  <c r="D364" i="196"/>
  <c r="A364" i="196"/>
  <c r="A363" i="196"/>
  <c r="A362" i="196"/>
  <c r="A361" i="196"/>
  <c r="A360" i="196"/>
  <c r="A359" i="196"/>
  <c r="A358" i="196"/>
  <c r="A357" i="196"/>
  <c r="D356" i="196"/>
  <c r="A356" i="196"/>
  <c r="A355" i="196"/>
  <c r="A354" i="196"/>
  <c r="A353" i="196"/>
  <c r="A352" i="196"/>
  <c r="A351" i="196"/>
  <c r="D350" i="196"/>
  <c r="A350" i="196"/>
  <c r="A349" i="196"/>
  <c r="A348" i="196"/>
  <c r="A347" i="196"/>
  <c r="A346" i="196"/>
  <c r="A345" i="196"/>
  <c r="D344" i="196"/>
  <c r="A344" i="196"/>
  <c r="A343" i="196"/>
  <c r="A342" i="196"/>
  <c r="A341" i="196"/>
  <c r="A340" i="196"/>
  <c r="A339" i="196"/>
  <c r="D338" i="196"/>
  <c r="A338" i="196"/>
  <c r="A337" i="196"/>
  <c r="A336" i="196"/>
  <c r="A335" i="196"/>
  <c r="A334" i="196"/>
  <c r="A333" i="196"/>
  <c r="D332" i="196"/>
  <c r="A332" i="196"/>
  <c r="A331" i="196"/>
  <c r="A330" i="196"/>
  <c r="A329" i="196"/>
  <c r="A328" i="196"/>
  <c r="A327" i="196"/>
  <c r="D326" i="196"/>
  <c r="A326" i="196"/>
  <c r="A325" i="196"/>
  <c r="A324" i="196"/>
  <c r="A323" i="196"/>
  <c r="A322" i="196"/>
  <c r="A321" i="196"/>
  <c r="D320" i="196"/>
  <c r="A320" i="196"/>
  <c r="A319" i="196"/>
  <c r="A318" i="196"/>
  <c r="A317" i="196"/>
  <c r="A316" i="196"/>
  <c r="A315" i="196"/>
  <c r="A314" i="196"/>
  <c r="A313" i="196"/>
  <c r="A312" i="196"/>
  <c r="A311" i="196"/>
  <c r="A310" i="196"/>
  <c r="A309" i="196"/>
  <c r="A308" i="196"/>
  <c r="A307" i="196"/>
  <c r="A306" i="196"/>
  <c r="A305" i="196"/>
  <c r="A304" i="196"/>
  <c r="A303" i="196"/>
  <c r="A302" i="196"/>
  <c r="A301" i="196"/>
  <c r="A300" i="196"/>
  <c r="A299" i="196"/>
  <c r="A298" i="196"/>
  <c r="A297" i="196"/>
  <c r="A296" i="196"/>
  <c r="A295" i="196"/>
  <c r="A294" i="196"/>
  <c r="A293" i="196"/>
  <c r="A292" i="196"/>
  <c r="A291" i="196"/>
  <c r="A290" i="196"/>
  <c r="A289" i="196"/>
  <c r="A288" i="196"/>
  <c r="A287" i="196"/>
  <c r="A286" i="196"/>
  <c r="A285" i="196"/>
  <c r="A284" i="196"/>
  <c r="A283" i="196"/>
  <c r="A282" i="196"/>
  <c r="A281" i="196"/>
  <c r="A280" i="196"/>
  <c r="A279" i="196"/>
  <c r="A278" i="196"/>
  <c r="A277" i="196"/>
  <c r="A276" i="196"/>
  <c r="A275" i="196"/>
  <c r="A274" i="196"/>
  <c r="A273" i="196"/>
  <c r="A272" i="196"/>
  <c r="A271" i="196"/>
  <c r="A270" i="196"/>
  <c r="A269" i="196"/>
  <c r="A268" i="196"/>
  <c r="A267" i="196"/>
  <c r="A266" i="196"/>
  <c r="A265" i="196"/>
  <c r="A264" i="196"/>
  <c r="A263" i="196"/>
  <c r="A262" i="196"/>
  <c r="A261" i="196"/>
  <c r="A260" i="196"/>
  <c r="A259" i="196"/>
  <c r="A258" i="196"/>
  <c r="A257" i="196"/>
  <c r="A256" i="196"/>
  <c r="A255" i="196"/>
  <c r="A254" i="196"/>
  <c r="A253" i="196"/>
  <c r="A252" i="196"/>
  <c r="A251" i="196"/>
  <c r="A250" i="196"/>
  <c r="A249" i="196"/>
  <c r="A248" i="196"/>
  <c r="A247" i="196"/>
  <c r="A246" i="196"/>
  <c r="A245" i="196"/>
  <c r="A244" i="196"/>
  <c r="A243" i="196"/>
  <c r="A242" i="196"/>
  <c r="A241" i="196"/>
  <c r="A240" i="196"/>
  <c r="A239" i="196"/>
  <c r="A238" i="196"/>
  <c r="A237" i="196"/>
  <c r="A236" i="196"/>
  <c r="A235" i="196"/>
  <c r="A234" i="196"/>
  <c r="A233" i="196"/>
  <c r="A232" i="196"/>
  <c r="A231" i="196"/>
  <c r="A230" i="196"/>
  <c r="A229" i="196"/>
  <c r="A228" i="196"/>
  <c r="A227" i="196"/>
  <c r="A226" i="196"/>
  <c r="A225" i="196"/>
  <c r="A224" i="196"/>
  <c r="A223" i="196"/>
  <c r="A222" i="196"/>
  <c r="A221" i="196"/>
  <c r="A220" i="196"/>
  <c r="A219" i="196"/>
  <c r="D218" i="196"/>
  <c r="A218" i="196"/>
  <c r="A217" i="196"/>
  <c r="A216" i="196"/>
  <c r="A215" i="196"/>
  <c r="A214" i="196"/>
  <c r="A213" i="196"/>
  <c r="A212" i="196"/>
  <c r="A211" i="196"/>
  <c r="A210" i="196"/>
  <c r="A209" i="196"/>
  <c r="D208" i="196"/>
  <c r="A208" i="196"/>
  <c r="A207" i="196"/>
  <c r="A206" i="196"/>
  <c r="A205" i="196"/>
  <c r="A204" i="196"/>
  <c r="A203" i="196"/>
  <c r="A202" i="196"/>
  <c r="A201" i="196"/>
  <c r="A200" i="196"/>
  <c r="A199" i="196"/>
  <c r="D198" i="196"/>
  <c r="A198" i="196"/>
  <c r="A197" i="196"/>
  <c r="A196" i="196"/>
  <c r="A195" i="196"/>
  <c r="A194" i="196"/>
  <c r="A193" i="196"/>
  <c r="A192" i="196"/>
  <c r="A191" i="196"/>
  <c r="A190" i="196"/>
  <c r="A189" i="196"/>
  <c r="D188" i="196"/>
  <c r="A188" i="196"/>
  <c r="A187" i="196"/>
  <c r="A186" i="196"/>
  <c r="A185" i="196"/>
  <c r="A184" i="196"/>
  <c r="A183" i="196"/>
  <c r="A182" i="196"/>
  <c r="A181" i="196"/>
  <c r="A180" i="196"/>
  <c r="A179" i="196"/>
  <c r="D178" i="196"/>
  <c r="A178" i="196"/>
  <c r="A177" i="196"/>
  <c r="A176" i="196"/>
  <c r="A175" i="196"/>
  <c r="A174" i="196"/>
  <c r="A163" i="196"/>
  <c r="A162" i="196"/>
  <c r="A161" i="196"/>
  <c r="A160" i="196"/>
  <c r="A159" i="196"/>
  <c r="A158" i="196"/>
  <c r="A157" i="196"/>
  <c r="D156" i="196"/>
  <c r="A156" i="196"/>
  <c r="A155" i="196"/>
  <c r="A154" i="196"/>
  <c r="A153" i="196"/>
  <c r="A152" i="196"/>
  <c r="A151" i="196"/>
  <c r="A150" i="196"/>
  <c r="A149" i="196"/>
  <c r="A148" i="196"/>
  <c r="A147" i="196"/>
  <c r="D146" i="196"/>
  <c r="A146" i="196"/>
  <c r="A145" i="196"/>
  <c r="A144" i="196"/>
  <c r="A143" i="196"/>
  <c r="A142" i="196"/>
  <c r="A141" i="196"/>
  <c r="A140" i="196"/>
  <c r="A139" i="196"/>
  <c r="A138" i="196"/>
  <c r="A137" i="196"/>
  <c r="A136" i="196"/>
  <c r="A135" i="196"/>
  <c r="A134" i="196"/>
  <c r="A133" i="196"/>
  <c r="A132" i="196"/>
  <c r="A131" i="196"/>
  <c r="A130" i="196"/>
  <c r="A129" i="196"/>
  <c r="A128" i="196"/>
  <c r="D127" i="196"/>
  <c r="A127" i="196"/>
  <c r="A126" i="196"/>
  <c r="A125" i="196"/>
  <c r="A124" i="196"/>
  <c r="A123" i="196"/>
  <c r="A122" i="196"/>
  <c r="A121" i="196"/>
  <c r="A120" i="196"/>
  <c r="A119" i="196"/>
  <c r="A118" i="196"/>
  <c r="D117" i="196"/>
  <c r="A117" i="196"/>
  <c r="A116" i="196"/>
  <c r="A115" i="196"/>
  <c r="A114" i="196"/>
  <c r="A113" i="196"/>
  <c r="A112" i="196"/>
  <c r="A111" i="196"/>
  <c r="A110" i="196"/>
  <c r="A109" i="196"/>
  <c r="A108" i="196"/>
  <c r="D107" i="196"/>
  <c r="A107" i="196"/>
  <c r="A106" i="196"/>
  <c r="A105" i="196"/>
  <c r="A104" i="196"/>
  <c r="A103" i="196"/>
  <c r="A102" i="196"/>
  <c r="A101" i="196"/>
  <c r="A100" i="196"/>
  <c r="A99" i="196"/>
  <c r="A98" i="196"/>
  <c r="D97" i="196"/>
  <c r="A97" i="196"/>
  <c r="A96" i="196"/>
  <c r="A95" i="196"/>
  <c r="A94" i="196"/>
  <c r="A93" i="196"/>
  <c r="A173" i="196"/>
  <c r="A172" i="196"/>
  <c r="A171" i="196"/>
  <c r="A170" i="196"/>
  <c r="A169" i="196"/>
  <c r="D168" i="196"/>
  <c r="A168" i="196"/>
  <c r="A167" i="196"/>
  <c r="A166" i="196"/>
  <c r="A165" i="196"/>
  <c r="A164" i="196"/>
  <c r="A92" i="196"/>
  <c r="A91" i="196"/>
  <c r="A90" i="196"/>
  <c r="A89" i="196"/>
  <c r="A88" i="196"/>
  <c r="D87" i="196"/>
  <c r="A87" i="196"/>
  <c r="A86" i="196"/>
  <c r="A85" i="196"/>
  <c r="A84" i="196"/>
  <c r="A83" i="196"/>
  <c r="A82" i="196"/>
  <c r="A81" i="196"/>
  <c r="A80" i="196"/>
  <c r="A79" i="196"/>
  <c r="A78" i="196"/>
  <c r="D77" i="196"/>
  <c r="A77" i="196"/>
  <c r="A76" i="196"/>
  <c r="A75" i="196"/>
  <c r="A74" i="196"/>
  <c r="A73" i="196"/>
  <c r="A72" i="196"/>
  <c r="A71" i="196"/>
  <c r="A70" i="196"/>
  <c r="A69" i="196"/>
  <c r="A68" i="196"/>
  <c r="D67" i="196"/>
  <c r="A67" i="196"/>
  <c r="A66" i="196"/>
  <c r="A65" i="196"/>
  <c r="A64" i="196"/>
  <c r="A63" i="196"/>
  <c r="A62" i="196"/>
  <c r="A61" i="196"/>
  <c r="A60" i="196"/>
  <c r="A59" i="196"/>
  <c r="A58" i="196"/>
  <c r="D57" i="196"/>
  <c r="A57" i="196"/>
  <c r="A56" i="196"/>
  <c r="A55" i="196"/>
  <c r="A54" i="196"/>
  <c r="A53" i="196"/>
  <c r="A52" i="196"/>
  <c r="A51" i="196"/>
  <c r="A50" i="196"/>
  <c r="A49" i="196"/>
  <c r="A48" i="196"/>
  <c r="D47" i="196"/>
  <c r="A47" i="196"/>
  <c r="A46" i="196"/>
  <c r="A45" i="196"/>
  <c r="A44" i="196"/>
  <c r="A43" i="196"/>
  <c r="A42" i="196"/>
  <c r="A41" i="196"/>
  <c r="A40" i="196"/>
  <c r="A39" i="196"/>
  <c r="A38" i="196"/>
  <c r="D37" i="196"/>
  <c r="A37" i="196"/>
  <c r="A36" i="196"/>
  <c r="A35" i="196"/>
  <c r="A34" i="196"/>
  <c r="A33" i="196"/>
  <c r="A32" i="196"/>
  <c r="A31" i="196"/>
  <c r="D30" i="196"/>
  <c r="A30" i="196"/>
  <c r="A29" i="196"/>
  <c r="D28" i="196"/>
  <c r="A28" i="196"/>
  <c r="D27" i="196"/>
  <c r="A27" i="196"/>
  <c r="D26" i="196"/>
  <c r="A26" i="196"/>
  <c r="D25" i="196"/>
  <c r="A25" i="196"/>
  <c r="D24" i="196"/>
  <c r="A24" i="196"/>
  <c r="A23" i="196"/>
  <c r="A22" i="196"/>
  <c r="D21" i="196"/>
  <c r="A21" i="196"/>
  <c r="D20" i="196"/>
  <c r="A20" i="196"/>
  <c r="R19" i="196"/>
  <c r="Q19" i="196"/>
  <c r="P19" i="196"/>
  <c r="R18" i="196"/>
  <c r="Q18" i="196"/>
  <c r="P18" i="196"/>
  <c r="R17" i="196"/>
  <c r="Q17" i="196"/>
  <c r="P17" i="196"/>
  <c r="R16" i="196"/>
  <c r="Q16" i="196"/>
  <c r="P16" i="196"/>
  <c r="R15" i="196"/>
  <c r="Q15" i="196"/>
  <c r="P15" i="196"/>
  <c r="R14" i="196"/>
  <c r="Q14" i="196"/>
  <c r="P14" i="196"/>
  <c r="R13" i="196"/>
  <c r="Q13" i="196"/>
  <c r="P13" i="196"/>
  <c r="R12" i="196"/>
  <c r="Q12" i="196"/>
  <c r="P12" i="196"/>
  <c r="R11" i="196"/>
  <c r="D154" i="196" s="1"/>
  <c r="Q11" i="196"/>
  <c r="D152" i="196" s="1"/>
  <c r="P11" i="196"/>
  <c r="R10" i="196"/>
  <c r="D216" i="196" s="1"/>
  <c r="Q10" i="196"/>
  <c r="D214" i="196" s="1"/>
  <c r="P10" i="196"/>
  <c r="R9" i="196"/>
  <c r="Q9" i="196"/>
  <c r="P9" i="196"/>
  <c r="R8" i="196"/>
  <c r="D164" i="196" s="1"/>
  <c r="Q8" i="196"/>
  <c r="D165" i="196" s="1"/>
  <c r="P8" i="196"/>
  <c r="T7" i="196"/>
  <c r="D23" i="196" s="1"/>
  <c r="R7" i="196"/>
  <c r="D124" i="196" s="1"/>
  <c r="Q7" i="196"/>
  <c r="D93" i="196" s="1"/>
  <c r="P7" i="196"/>
  <c r="T6" i="196"/>
  <c r="R6" i="196"/>
  <c r="D64" i="196" s="1"/>
  <c r="Q6" i="196"/>
  <c r="D73" i="196" s="1"/>
  <c r="P6" i="196"/>
  <c r="T5" i="196"/>
  <c r="D305" i="196" s="1"/>
  <c r="R5" i="196"/>
  <c r="D34" i="196" s="1"/>
  <c r="Q5" i="196"/>
  <c r="D33" i="196" s="1"/>
  <c r="P5" i="196"/>
  <c r="T4" i="196"/>
  <c r="R4" i="196"/>
  <c r="Q4" i="196"/>
  <c r="P4" i="196"/>
  <c r="BA1" i="196"/>
  <c r="AZ1" i="196"/>
  <c r="AY1" i="196"/>
  <c r="AX1" i="196"/>
  <c r="AW1" i="196"/>
  <c r="AV1" i="196"/>
  <c r="AU1" i="196"/>
  <c r="AT1" i="196"/>
  <c r="AS1" i="196"/>
  <c r="AR1" i="196"/>
  <c r="AQ1" i="196"/>
  <c r="AP1" i="196"/>
  <c r="AO1" i="196"/>
  <c r="AN1" i="196"/>
  <c r="AM1" i="196"/>
  <c r="AL1" i="196"/>
  <c r="AK1" i="196"/>
  <c r="AJ1" i="196"/>
  <c r="AI1" i="196"/>
  <c r="AH1" i="196"/>
  <c r="AG1" i="196"/>
  <c r="AF1" i="196"/>
  <c r="AE1" i="196"/>
  <c r="AD1" i="196"/>
  <c r="AC1" i="196"/>
  <c r="AB1" i="196"/>
  <c r="AA1" i="196"/>
  <c r="Z1" i="196"/>
  <c r="Y1" i="196"/>
  <c r="X1" i="196"/>
  <c r="W1" i="196"/>
  <c r="V1" i="196"/>
  <c r="U1" i="196"/>
  <c r="T1" i="196"/>
  <c r="S1" i="196"/>
  <c r="R1" i="196"/>
  <c r="Q1" i="196"/>
  <c r="P1" i="196"/>
  <c r="D184" i="196" l="1"/>
  <c r="D196" i="196"/>
  <c r="D593" i="196"/>
  <c r="D611" i="196"/>
  <c r="D620" i="196"/>
  <c r="D602" i="196"/>
  <c r="D142" i="196"/>
  <c r="D143" i="196"/>
  <c r="D628" i="196"/>
  <c r="D519" i="196"/>
  <c r="D84" i="196"/>
  <c r="D229" i="196"/>
  <c r="D43" i="196"/>
  <c r="D261" i="196"/>
  <c r="D293" i="196"/>
  <c r="D502" i="196"/>
  <c r="D538" i="196"/>
  <c r="D556" i="196"/>
  <c r="D574" i="196"/>
  <c r="D53" i="196"/>
  <c r="D113" i="196"/>
  <c r="D204" i="196"/>
  <c r="D94" i="196"/>
  <c r="D511" i="196"/>
  <c r="D529" i="196"/>
  <c r="D547" i="196"/>
  <c r="D565" i="196"/>
  <c r="D583" i="196"/>
  <c r="D74" i="196"/>
  <c r="D174" i="196"/>
  <c r="D186" i="196"/>
  <c r="D249" i="196"/>
  <c r="D281" i="196"/>
  <c r="D313" i="196"/>
  <c r="D44" i="196"/>
  <c r="D63" i="196"/>
  <c r="D114" i="196"/>
  <c r="D133" i="196"/>
  <c r="D237" i="196"/>
  <c r="D269" i="196"/>
  <c r="D301" i="196"/>
  <c r="D103" i="196"/>
  <c r="D194" i="196"/>
  <c r="D206" i="196"/>
  <c r="D225" i="196"/>
  <c r="D257" i="196"/>
  <c r="D289" i="196"/>
  <c r="D83" i="196"/>
  <c r="D134" i="196"/>
  <c r="D176" i="196"/>
  <c r="D245" i="196"/>
  <c r="D277" i="196"/>
  <c r="D309" i="196"/>
  <c r="D104" i="196"/>
  <c r="D123" i="196"/>
  <c r="D233" i="196"/>
  <c r="D265" i="196"/>
  <c r="D297" i="196"/>
  <c r="D253" i="196"/>
  <c r="D285" i="196"/>
  <c r="D317" i="196"/>
  <c r="D54" i="196"/>
  <c r="D241" i="196"/>
  <c r="D273" i="196"/>
  <c r="A9" i="195" l="1"/>
  <c r="D8" i="195"/>
  <c r="A8" i="195"/>
  <c r="A7" i="195"/>
  <c r="A6" i="195"/>
  <c r="A5" i="195"/>
  <c r="A4" i="195"/>
  <c r="A3" i="195"/>
  <c r="K2" i="195"/>
  <c r="D9" i="195" l="1"/>
  <c r="D15" i="195"/>
  <c r="A52" i="193"/>
  <c r="A51" i="193"/>
  <c r="A50" i="193"/>
  <c r="A49" i="193"/>
  <c r="A7" i="193"/>
  <c r="A4" i="193"/>
  <c r="A6" i="193"/>
  <c r="A3" i="193"/>
  <c r="A5" i="193"/>
  <c r="A48" i="193"/>
  <c r="F47" i="193"/>
  <c r="A47" i="193"/>
  <c r="A46" i="193"/>
  <c r="A45" i="193"/>
  <c r="A44" i="193"/>
  <c r="A43" i="193"/>
  <c r="A42" i="193"/>
  <c r="A41" i="193"/>
  <c r="A40" i="193"/>
  <c r="A39" i="193"/>
  <c r="A38" i="193"/>
  <c r="A37" i="193"/>
  <c r="A8" i="193"/>
  <c r="A10" i="193"/>
  <c r="A12" i="193"/>
  <c r="A11" i="193"/>
  <c r="A9" i="193"/>
  <c r="A17" i="193"/>
  <c r="A36" i="193"/>
  <c r="A16" i="193"/>
  <c r="A15" i="193"/>
  <c r="A14" i="193"/>
  <c r="A13" i="193"/>
  <c r="A35" i="193"/>
  <c r="A34" i="193"/>
  <c r="A33" i="193"/>
  <c r="A32" i="193"/>
  <c r="A31" i="193"/>
  <c r="A30" i="193"/>
  <c r="A29" i="193"/>
  <c r="A28" i="193"/>
  <c r="A27" i="193"/>
  <c r="A26" i="193"/>
  <c r="A25" i="193"/>
  <c r="A24" i="193"/>
  <c r="A23" i="193"/>
  <c r="F22" i="193"/>
  <c r="A22" i="193"/>
  <c r="F21" i="193"/>
  <c r="A21" i="193"/>
  <c r="A20" i="193"/>
  <c r="A19" i="193"/>
  <c r="A18" i="193"/>
  <c r="Q18" i="193" l="1"/>
  <c r="F25" i="193"/>
  <c r="F24" i="193"/>
  <c r="F26" i="193"/>
  <c r="F23" i="193"/>
  <c r="F41" i="193"/>
  <c r="D37" i="65"/>
  <c r="A26" i="106" l="1"/>
  <c r="D26" i="106"/>
  <c r="A26" i="105"/>
  <c r="D26" i="105"/>
  <c r="A2508" i="156" l="1"/>
  <c r="A2507" i="156"/>
  <c r="A2506" i="156"/>
  <c r="A2505" i="156"/>
  <c r="A2504" i="156"/>
  <c r="D2503" i="156"/>
  <c r="A2503" i="156"/>
  <c r="A2502" i="156"/>
  <c r="A2501" i="156"/>
  <c r="D2500" i="156"/>
  <c r="A2500" i="156"/>
  <c r="D2499" i="156"/>
  <c r="A2499" i="156"/>
  <c r="A2498" i="156"/>
  <c r="A2497" i="156"/>
  <c r="A2496" i="156"/>
  <c r="A2495" i="156"/>
  <c r="A2494" i="156"/>
  <c r="D2493" i="156"/>
  <c r="A2493" i="156"/>
  <c r="A2492" i="156"/>
  <c r="A2491" i="156"/>
  <c r="D2490" i="156"/>
  <c r="A2490" i="156"/>
  <c r="D2489" i="156"/>
  <c r="A2489" i="156"/>
  <c r="A2872" i="156"/>
  <c r="A2871" i="156"/>
  <c r="A2870" i="156"/>
  <c r="A2869" i="156"/>
  <c r="A2868" i="156"/>
  <c r="D2867" i="156"/>
  <c r="A2867" i="156"/>
  <c r="A2866" i="156"/>
  <c r="A2865" i="156"/>
  <c r="D2864" i="156"/>
  <c r="A2864" i="156"/>
  <c r="D2863" i="156"/>
  <c r="A2863" i="156"/>
  <c r="A2862" i="156"/>
  <c r="A2861" i="156"/>
  <c r="A2860" i="156"/>
  <c r="A2859" i="156"/>
  <c r="A2858" i="156"/>
  <c r="D2857" i="156"/>
  <c r="A2857" i="156"/>
  <c r="A2856" i="156"/>
  <c r="A2855" i="156"/>
  <c r="D2854" i="156"/>
  <c r="A2854" i="156"/>
  <c r="D2853" i="156"/>
  <c r="A2853" i="156"/>
  <c r="A2964" i="156"/>
  <c r="A2963" i="156"/>
  <c r="A2962" i="156"/>
  <c r="A2961" i="156"/>
  <c r="A2960" i="156"/>
  <c r="D2959" i="156"/>
  <c r="A2959" i="156"/>
  <c r="A2958" i="156"/>
  <c r="A2957" i="156"/>
  <c r="D2956" i="156"/>
  <c r="A2956" i="156"/>
  <c r="D2955" i="156"/>
  <c r="A2955" i="156"/>
  <c r="A2954" i="156"/>
  <c r="A2953" i="156"/>
  <c r="A2952" i="156"/>
  <c r="A2951" i="156"/>
  <c r="A2950" i="156"/>
  <c r="D2949" i="156"/>
  <c r="A2949" i="156"/>
  <c r="A2948" i="156"/>
  <c r="A2947" i="156"/>
  <c r="D2946" i="156"/>
  <c r="A2946" i="156"/>
  <c r="D2945" i="156"/>
  <c r="A2945" i="156"/>
  <c r="A2986" i="156"/>
  <c r="A2987" i="156"/>
  <c r="A2988" i="156"/>
  <c r="A2989" i="156"/>
  <c r="A2990" i="156"/>
  <c r="A2991" i="156"/>
  <c r="A2992" i="156"/>
  <c r="A2993" i="156"/>
  <c r="A2994" i="156"/>
  <c r="D2989" i="156"/>
  <c r="A2985" i="156"/>
  <c r="D2986" i="156"/>
  <c r="D2985" i="156"/>
  <c r="A2976" i="156"/>
  <c r="A2977" i="156"/>
  <c r="A2978" i="156"/>
  <c r="A2979" i="156"/>
  <c r="A2980" i="156"/>
  <c r="A2981" i="156"/>
  <c r="A2982" i="156"/>
  <c r="A2983" i="156"/>
  <c r="A2984" i="156"/>
  <c r="D2979" i="156"/>
  <c r="A2975" i="156"/>
  <c r="D2976" i="156"/>
  <c r="D2975" i="156"/>
  <c r="D2969" i="156"/>
  <c r="A2966" i="156"/>
  <c r="A2967" i="156"/>
  <c r="A2968" i="156"/>
  <c r="A2969" i="156"/>
  <c r="A2970" i="156"/>
  <c r="A2971" i="156"/>
  <c r="A2972" i="156"/>
  <c r="A2973" i="156"/>
  <c r="A2974" i="156"/>
  <c r="A2965" i="156"/>
  <c r="D2966" i="156"/>
  <c r="D2965" i="156"/>
  <c r="F6" i="9" l="1"/>
  <c r="A21" i="157"/>
  <c r="A22" i="157"/>
  <c r="A23" i="157"/>
  <c r="A24" i="157"/>
  <c r="A25" i="157"/>
  <c r="A26" i="157"/>
  <c r="A20" i="157"/>
  <c r="A31" i="157"/>
  <c r="A23" i="149" l="1"/>
  <c r="D27" i="112"/>
  <c r="A27" i="112"/>
  <c r="A26" i="112"/>
  <c r="D30" i="82"/>
  <c r="A30" i="82"/>
  <c r="A29" i="82"/>
  <c r="D26" i="81"/>
  <c r="A26" i="81"/>
  <c r="A25" i="81"/>
  <c r="D27" i="89"/>
  <c r="A27" i="89"/>
  <c r="A26" i="89"/>
  <c r="D26" i="80"/>
  <c r="A26" i="80"/>
  <c r="A25" i="80"/>
  <c r="D34" i="73"/>
  <c r="A34" i="73"/>
  <c r="A33" i="73"/>
  <c r="D29" i="66"/>
  <c r="A29" i="66"/>
  <c r="A28" i="66"/>
  <c r="D27" i="79"/>
  <c r="A27" i="79"/>
  <c r="A26" i="79"/>
  <c r="D29" i="65"/>
  <c r="A29" i="65"/>
  <c r="A28" i="65"/>
  <c r="D26" i="138"/>
  <c r="A26" i="138"/>
  <c r="A25" i="138"/>
  <c r="D2167" i="156"/>
  <c r="A2167" i="156"/>
  <c r="A2166" i="156"/>
  <c r="D296" i="156"/>
  <c r="A296" i="156"/>
  <c r="A295" i="156"/>
  <c r="A39" i="156"/>
  <c r="A40" i="156"/>
  <c r="D40" i="156"/>
  <c r="A1898" i="156"/>
  <c r="A1673" i="156"/>
  <c r="A1375" i="156"/>
  <c r="A1120" i="156"/>
  <c r="A23" i="156"/>
  <c r="A24" i="156"/>
  <c r="D24" i="99"/>
  <c r="A24" i="99"/>
  <c r="A23" i="99"/>
  <c r="D38" i="155"/>
  <c r="A38" i="155"/>
  <c r="A37" i="155"/>
  <c r="D52" i="110"/>
  <c r="A52" i="110"/>
  <c r="A51" i="110"/>
  <c r="D36" i="97"/>
  <c r="A36" i="97"/>
  <c r="A35" i="97"/>
  <c r="A35" i="42"/>
  <c r="A34" i="42"/>
  <c r="D33" i="42"/>
  <c r="A33" i="42"/>
  <c r="A32" i="42"/>
  <c r="D23" i="181"/>
  <c r="A23" i="181"/>
  <c r="A22" i="181"/>
  <c r="T7" i="35" l="1"/>
  <c r="T6" i="35"/>
  <c r="T5" i="35"/>
  <c r="T4" i="35"/>
  <c r="T7" i="76"/>
  <c r="T6" i="76"/>
  <c r="T5" i="76"/>
  <c r="T4" i="76"/>
  <c r="T7" i="99"/>
  <c r="T6" i="99"/>
  <c r="T5" i="99"/>
  <c r="T4" i="99"/>
  <c r="T7" i="112"/>
  <c r="D23" i="112" s="1"/>
  <c r="T6" i="112"/>
  <c r="T5" i="112"/>
  <c r="T4" i="112"/>
  <c r="T7" i="104"/>
  <c r="D23" i="104" s="1"/>
  <c r="T6" i="104"/>
  <c r="T5" i="104"/>
  <c r="T4" i="104"/>
  <c r="T7" i="106"/>
  <c r="D23" i="106" s="1"/>
  <c r="T6" i="106"/>
  <c r="T5" i="106"/>
  <c r="T4" i="106"/>
  <c r="T7" i="105"/>
  <c r="D23" i="105" s="1"/>
  <c r="T6" i="105"/>
  <c r="T5" i="105"/>
  <c r="T4" i="105"/>
  <c r="T7" i="82"/>
  <c r="D23" i="82" s="1"/>
  <c r="T6" i="82"/>
  <c r="T5" i="82"/>
  <c r="T4" i="82"/>
  <c r="T7" i="81"/>
  <c r="D23" i="81" s="1"/>
  <c r="T6" i="81"/>
  <c r="T5" i="81"/>
  <c r="T4" i="81"/>
  <c r="T7" i="89"/>
  <c r="D23" i="89" s="1"/>
  <c r="T6" i="89"/>
  <c r="T5" i="89"/>
  <c r="T4" i="89"/>
  <c r="T7" i="80"/>
  <c r="D23" i="80" s="1"/>
  <c r="T6" i="80"/>
  <c r="T5" i="80"/>
  <c r="T4" i="80"/>
  <c r="T7" i="73"/>
  <c r="D23" i="73" s="1"/>
  <c r="T6" i="73"/>
  <c r="T5" i="73"/>
  <c r="T4" i="73"/>
  <c r="T7" i="66"/>
  <c r="D23" i="66" s="1"/>
  <c r="T6" i="66"/>
  <c r="T5" i="66"/>
  <c r="T4" i="66"/>
  <c r="T7" i="79"/>
  <c r="D23" i="79" s="1"/>
  <c r="T6" i="79"/>
  <c r="T5" i="79"/>
  <c r="T4" i="79"/>
  <c r="T7" i="65"/>
  <c r="D23" i="65" s="1"/>
  <c r="T6" i="65"/>
  <c r="T5" i="65"/>
  <c r="T4" i="65"/>
  <c r="T7" i="138"/>
  <c r="D23" i="138" s="1"/>
  <c r="T6" i="138"/>
  <c r="T5" i="138"/>
  <c r="T4" i="138"/>
  <c r="T7" i="102"/>
  <c r="T6" i="102"/>
  <c r="T5" i="102"/>
  <c r="T4" i="102"/>
  <c r="T7" i="155"/>
  <c r="T6" i="155"/>
  <c r="T5" i="155"/>
  <c r="T4" i="155"/>
  <c r="T7" i="97"/>
  <c r="T6" i="97"/>
  <c r="T5" i="97"/>
  <c r="T4" i="97"/>
  <c r="T7" i="110"/>
  <c r="T6" i="110"/>
  <c r="T5" i="110"/>
  <c r="T4" i="110"/>
  <c r="T7" i="49"/>
  <c r="T6" i="49"/>
  <c r="T5" i="49"/>
  <c r="T4" i="49"/>
  <c r="T7" i="189"/>
  <c r="D22" i="189" s="1"/>
  <c r="T6" i="189"/>
  <c r="T5" i="189"/>
  <c r="T4" i="189"/>
  <c r="T7" i="39"/>
  <c r="D23" i="39" s="1"/>
  <c r="T6" i="39"/>
  <c r="T5" i="39"/>
  <c r="T4" i="39"/>
  <c r="T7" i="157"/>
  <c r="D22" i="157" s="1"/>
  <c r="T6" i="157"/>
  <c r="T5" i="157"/>
  <c r="T4" i="157"/>
  <c r="T7" i="53"/>
  <c r="D22" i="53" s="1"/>
  <c r="T6" i="53"/>
  <c r="T5" i="53"/>
  <c r="T4" i="53"/>
  <c r="T7" i="149"/>
  <c r="D24" i="149" s="1"/>
  <c r="T6" i="149"/>
  <c r="T5" i="149"/>
  <c r="T4" i="149"/>
  <c r="T7" i="69"/>
  <c r="D24" i="69" s="1"/>
  <c r="T6" i="69"/>
  <c r="T5" i="69"/>
  <c r="T4" i="69"/>
  <c r="T7" i="18"/>
  <c r="D27" i="18" s="1"/>
  <c r="T6" i="18"/>
  <c r="T5" i="18"/>
  <c r="T4" i="18"/>
  <c r="T7" i="62"/>
  <c r="D23" i="62" s="1"/>
  <c r="T6" i="62"/>
  <c r="T5" i="62"/>
  <c r="T4" i="62"/>
  <c r="T7" i="64"/>
  <c r="D23" i="64" s="1"/>
  <c r="T6" i="64"/>
  <c r="T5" i="64"/>
  <c r="T4" i="64"/>
  <c r="T7" i="63"/>
  <c r="D23" i="63" s="1"/>
  <c r="T6" i="63"/>
  <c r="T5" i="63"/>
  <c r="T4" i="63"/>
  <c r="T7" i="15"/>
  <c r="T6" i="15"/>
  <c r="T5" i="15"/>
  <c r="T4" i="15"/>
  <c r="T7" i="14"/>
  <c r="D23" i="14" s="1"/>
  <c r="T6" i="14"/>
  <c r="T5" i="14"/>
  <c r="T4" i="14"/>
  <c r="T7" i="11"/>
  <c r="D27" i="11" s="1"/>
  <c r="T6" i="11"/>
  <c r="T5" i="11"/>
  <c r="T4" i="11"/>
  <c r="T7" i="51"/>
  <c r="D25" i="51" s="1"/>
  <c r="T6" i="51"/>
  <c r="T5" i="51"/>
  <c r="T4" i="51"/>
  <c r="T7" i="13"/>
  <c r="D27" i="13" s="1"/>
  <c r="T6" i="13"/>
  <c r="T5" i="13"/>
  <c r="T4" i="13"/>
  <c r="T7" i="22"/>
  <c r="D23" i="22" s="1"/>
  <c r="T6" i="22"/>
  <c r="T5" i="22"/>
  <c r="D322" i="22" s="1"/>
  <c r="T4" i="22"/>
  <c r="T7" i="34"/>
  <c r="D25" i="34" s="1"/>
  <c r="T6" i="34"/>
  <c r="T5" i="34"/>
  <c r="T4" i="34"/>
  <c r="T7" i="91"/>
  <c r="D23" i="91" s="1"/>
  <c r="T6" i="91"/>
  <c r="T5" i="91"/>
  <c r="T4" i="91"/>
  <c r="T7" i="56"/>
  <c r="D23" i="56" s="1"/>
  <c r="T6" i="56"/>
  <c r="T5" i="56"/>
  <c r="T4" i="56"/>
  <c r="T7" i="55"/>
  <c r="D23" i="55" s="1"/>
  <c r="T6" i="55"/>
  <c r="T5" i="55"/>
  <c r="T4" i="55"/>
  <c r="T7" i="92"/>
  <c r="D23" i="92" s="1"/>
  <c r="T6" i="92"/>
  <c r="T5" i="92"/>
  <c r="T4" i="92"/>
  <c r="T7" i="19"/>
  <c r="D23" i="19" s="1"/>
  <c r="T6" i="19"/>
  <c r="T5" i="19"/>
  <c r="T4" i="19"/>
  <c r="T7" i="3"/>
  <c r="D23" i="3" s="1"/>
  <c r="T6" i="3"/>
  <c r="A27" i="189"/>
  <c r="A26" i="189"/>
  <c r="D25" i="189"/>
  <c r="A25" i="189"/>
  <c r="A23" i="189"/>
  <c r="A31" i="39"/>
  <c r="A30" i="39"/>
  <c r="D29" i="39"/>
  <c r="A29" i="39"/>
  <c r="A28" i="39"/>
  <c r="D24" i="157"/>
  <c r="A29" i="149"/>
  <c r="A28" i="149"/>
  <c r="D27" i="149"/>
  <c r="A27" i="149"/>
  <c r="A26" i="149"/>
  <c r="A29" i="69"/>
  <c r="A28" i="69"/>
  <c r="D27" i="69"/>
  <c r="A27" i="69"/>
  <c r="A26" i="69"/>
  <c r="A36" i="18"/>
  <c r="A35" i="18"/>
  <c r="D34" i="18"/>
  <c r="A34" i="18"/>
  <c r="A33" i="18"/>
  <c r="A30" i="62"/>
  <c r="A29" i="62"/>
  <c r="D28" i="62"/>
  <c r="A28" i="62"/>
  <c r="A27" i="62"/>
  <c r="A30" i="64"/>
  <c r="A29" i="64"/>
  <c r="D28" i="64"/>
  <c r="A28" i="64"/>
  <c r="A27" i="64"/>
  <c r="A30" i="63"/>
  <c r="A29" i="63"/>
  <c r="D28" i="63"/>
  <c r="A28" i="63"/>
  <c r="A27" i="63"/>
  <c r="A32" i="14"/>
  <c r="A31" i="14"/>
  <c r="D30" i="14"/>
  <c r="A30" i="14"/>
  <c r="A29" i="14"/>
  <c r="A34" i="11"/>
  <c r="A38" i="51"/>
  <c r="A42" i="13"/>
  <c r="A31" i="22"/>
  <c r="A36" i="34"/>
  <c r="A37" i="91"/>
  <c r="A33" i="56"/>
  <c r="A33" i="55"/>
  <c r="A29" i="92"/>
  <c r="A29" i="19"/>
  <c r="A37" i="11"/>
  <c r="A36" i="11"/>
  <c r="D35" i="11"/>
  <c r="A35" i="11"/>
  <c r="A41" i="51"/>
  <c r="A40" i="51"/>
  <c r="D39" i="51"/>
  <c r="A39" i="51"/>
  <c r="A45" i="13"/>
  <c r="A44" i="13"/>
  <c r="D43" i="13"/>
  <c r="A43" i="13"/>
  <c r="A34" i="22"/>
  <c r="A33" i="22"/>
  <c r="D32" i="22"/>
  <c r="A32" i="22"/>
  <c r="A39" i="34"/>
  <c r="A38" i="34"/>
  <c r="D37" i="34"/>
  <c r="A37" i="34"/>
  <c r="A40" i="91"/>
  <c r="A39" i="91"/>
  <c r="D38" i="91"/>
  <c r="A38" i="91"/>
  <c r="A36" i="56"/>
  <c r="A35" i="56"/>
  <c r="D34" i="56"/>
  <c r="A34" i="56"/>
  <c r="A36" i="55"/>
  <c r="A35" i="55"/>
  <c r="D34" i="55"/>
  <c r="A34" i="55"/>
  <c r="A32" i="92"/>
  <c r="A31" i="92"/>
  <c r="D30" i="92"/>
  <c r="A30" i="92"/>
  <c r="A32" i="19"/>
  <c r="A31" i="19"/>
  <c r="D30" i="19"/>
  <c r="A30" i="19"/>
  <c r="A33" i="3"/>
  <c r="A30" i="3"/>
  <c r="A31" i="3"/>
  <c r="A32" i="3"/>
  <c r="D300" i="22" l="1"/>
  <c r="D280" i="22"/>
  <c r="D268" i="22"/>
  <c r="D276" i="22"/>
  <c r="D272" i="22"/>
  <c r="D264" i="22"/>
  <c r="D31" i="3"/>
  <c r="K2" i="176" l="1"/>
  <c r="K2" i="175"/>
  <c r="K2" i="174"/>
  <c r="K2" i="172"/>
  <c r="K2" i="75"/>
  <c r="K2" i="192"/>
  <c r="K2" i="47"/>
  <c r="K2" i="29"/>
  <c r="D3" i="168" l="1"/>
  <c r="D8" i="192" l="1"/>
  <c r="A8" i="192"/>
  <c r="D7" i="192"/>
  <c r="A7" i="192"/>
  <c r="A6" i="192"/>
  <c r="A5" i="192"/>
  <c r="A4" i="192"/>
  <c r="D3" i="192"/>
  <c r="A3" i="192"/>
  <c r="D3" i="191"/>
  <c r="E3" i="191"/>
  <c r="C3" i="191"/>
  <c r="B3" i="191"/>
  <c r="A3" i="191"/>
  <c r="A3" i="190"/>
  <c r="A38" i="189"/>
  <c r="A37" i="189"/>
  <c r="A36" i="189"/>
  <c r="A35" i="189"/>
  <c r="D34" i="189"/>
  <c r="A34" i="189"/>
  <c r="A33" i="189"/>
  <c r="D32" i="189"/>
  <c r="A32" i="189"/>
  <c r="D31" i="189"/>
  <c r="A31" i="189"/>
  <c r="D30" i="189"/>
  <c r="A30" i="189"/>
  <c r="D29" i="189"/>
  <c r="A29" i="189"/>
  <c r="D28" i="189"/>
  <c r="A28" i="189"/>
  <c r="A22" i="189"/>
  <c r="D21" i="189"/>
  <c r="A21" i="189"/>
  <c r="D20" i="189"/>
  <c r="A20" i="189"/>
  <c r="R19" i="189"/>
  <c r="Q19" i="189"/>
  <c r="P19" i="189"/>
  <c r="R18" i="189"/>
  <c r="Q18" i="189"/>
  <c r="P18" i="189"/>
  <c r="R17" i="189"/>
  <c r="Q17" i="189"/>
  <c r="P17" i="189"/>
  <c r="R16" i="189"/>
  <c r="Q16" i="189"/>
  <c r="P16" i="189"/>
  <c r="R15" i="189"/>
  <c r="Q15" i="189"/>
  <c r="P15" i="189"/>
  <c r="R14" i="189"/>
  <c r="Q14" i="189"/>
  <c r="P14" i="189"/>
  <c r="R13" i="189"/>
  <c r="Q13" i="189"/>
  <c r="P13" i="189"/>
  <c r="R12" i="189"/>
  <c r="Q12" i="189"/>
  <c r="P12" i="189"/>
  <c r="R11" i="189"/>
  <c r="Q11" i="189"/>
  <c r="P11" i="189"/>
  <c r="R10" i="189"/>
  <c r="Q10" i="189"/>
  <c r="P10" i="189"/>
  <c r="R9" i="189"/>
  <c r="Q9" i="189"/>
  <c r="P9" i="189"/>
  <c r="R8" i="189"/>
  <c r="Q8" i="189"/>
  <c r="P8" i="189"/>
  <c r="R7" i="189"/>
  <c r="Q7" i="189"/>
  <c r="P7" i="189"/>
  <c r="R6" i="189"/>
  <c r="Q6" i="189"/>
  <c r="P6" i="189"/>
  <c r="R5" i="189"/>
  <c r="Q5" i="189"/>
  <c r="P5" i="189"/>
  <c r="R4" i="189"/>
  <c r="Q4" i="189"/>
  <c r="P4" i="189"/>
  <c r="BA1" i="189"/>
  <c r="AZ1" i="189"/>
  <c r="AY1" i="189"/>
  <c r="AX1" i="189"/>
  <c r="AW1" i="189"/>
  <c r="AV1" i="189"/>
  <c r="AU1" i="189"/>
  <c r="AT1" i="189"/>
  <c r="AS1" i="189"/>
  <c r="AR1" i="189"/>
  <c r="AQ1" i="189"/>
  <c r="AP1" i="189"/>
  <c r="AO1" i="189"/>
  <c r="AN1" i="189"/>
  <c r="AM1" i="189"/>
  <c r="AL1" i="189"/>
  <c r="AK1" i="189"/>
  <c r="AJ1" i="189"/>
  <c r="AI1" i="189"/>
  <c r="AH1" i="189"/>
  <c r="AG1" i="189"/>
  <c r="AF1" i="189"/>
  <c r="AE1" i="189"/>
  <c r="AD1" i="189"/>
  <c r="AC1" i="189"/>
  <c r="AB1" i="189"/>
  <c r="AA1" i="189"/>
  <c r="Z1" i="189"/>
  <c r="Y1" i="189"/>
  <c r="X1" i="189"/>
  <c r="W1" i="189"/>
  <c r="V1" i="189"/>
  <c r="U1" i="189"/>
  <c r="T1" i="189"/>
  <c r="S1" i="189"/>
  <c r="R1" i="189"/>
  <c r="Q1" i="189"/>
  <c r="P1" i="189"/>
  <c r="S7" i="156" l="1"/>
  <c r="A34" i="156"/>
  <c r="A33" i="156"/>
  <c r="A32" i="156"/>
  <c r="A31" i="156"/>
  <c r="A30" i="156"/>
  <c r="A29" i="156"/>
  <c r="A28" i="156"/>
  <c r="D27" i="156"/>
  <c r="A27" i="156"/>
  <c r="A26" i="156"/>
  <c r="D25" i="156"/>
  <c r="A25" i="156"/>
  <c r="D1038" i="156" l="1"/>
  <c r="D958" i="156"/>
  <c r="D873" i="156"/>
  <c r="D793" i="156"/>
  <c r="D713" i="156"/>
  <c r="D1028" i="156"/>
  <c r="D948" i="156"/>
  <c r="D863" i="156"/>
  <c r="D783" i="156"/>
  <c r="D1018" i="156"/>
  <c r="D938" i="156"/>
  <c r="D853" i="156"/>
  <c r="D773" i="156"/>
  <c r="D1008" i="156"/>
  <c r="D928" i="156"/>
  <c r="D843" i="156"/>
  <c r="D763" i="156"/>
  <c r="D898" i="156"/>
  <c r="D998" i="156"/>
  <c r="D918" i="156"/>
  <c r="D833" i="156"/>
  <c r="D753" i="156"/>
  <c r="D1058" i="156"/>
  <c r="D733" i="156"/>
  <c r="D1068" i="156"/>
  <c r="D988" i="156"/>
  <c r="D908" i="156"/>
  <c r="D823" i="156"/>
  <c r="D743" i="156"/>
  <c r="D978" i="156"/>
  <c r="D813" i="156"/>
  <c r="D1048" i="156"/>
  <c r="D968" i="156"/>
  <c r="D883" i="156"/>
  <c r="D803" i="156"/>
  <c r="D723" i="156"/>
  <c r="D647" i="156"/>
  <c r="D627" i="156"/>
  <c r="D607" i="156"/>
  <c r="D547" i="156"/>
  <c r="D2382" i="156"/>
  <c r="D637" i="156"/>
  <c r="D667" i="156"/>
  <c r="D697" i="156"/>
  <c r="D597" i="156"/>
  <c r="D557" i="156"/>
  <c r="D677" i="156"/>
  <c r="D577" i="156"/>
  <c r="D537" i="156"/>
  <c r="D587" i="156"/>
  <c r="D617" i="156"/>
  <c r="D657" i="156"/>
  <c r="D567" i="156"/>
  <c r="D527" i="156"/>
  <c r="D687" i="156"/>
  <c r="D1246" i="156"/>
  <c r="D1296" i="156"/>
  <c r="D1186" i="156"/>
  <c r="D1136" i="156"/>
  <c r="D1346" i="156"/>
  <c r="D1451" i="156"/>
  <c r="D1146" i="156"/>
  <c r="D1206" i="156"/>
  <c r="D1256" i="156"/>
  <c r="D1306" i="156"/>
  <c r="D1366" i="156"/>
  <c r="D1501" i="156"/>
  <c r="D1166" i="156"/>
  <c r="D1216" i="156"/>
  <c r="D1266" i="156"/>
  <c r="D1326" i="156"/>
  <c r="D1381" i="156"/>
  <c r="D1551" i="156"/>
  <c r="D1126" i="156"/>
  <c r="D1176" i="156"/>
  <c r="D1226" i="156"/>
  <c r="D1286" i="156"/>
  <c r="D1336" i="156"/>
  <c r="D1391" i="156"/>
  <c r="D1699" i="156"/>
  <c r="D1411" i="156"/>
  <c r="D1461" i="156"/>
  <c r="D1511" i="156"/>
  <c r="D1571" i="156"/>
  <c r="D1709" i="156"/>
  <c r="D1421" i="156"/>
  <c r="D1471" i="156"/>
  <c r="D1531" i="156"/>
  <c r="D1581" i="156"/>
  <c r="D1719" i="156"/>
  <c r="D1431" i="156"/>
  <c r="D1491" i="156"/>
  <c r="D1541" i="156"/>
  <c r="D1591" i="156"/>
  <c r="D1789" i="156"/>
  <c r="D1799" i="156"/>
  <c r="D1819" i="156"/>
  <c r="D1611" i="156"/>
  <c r="D1739" i="156"/>
  <c r="D1829" i="156"/>
  <c r="D1621" i="156"/>
  <c r="D1749" i="156"/>
  <c r="D1859" i="156"/>
  <c r="D1679" i="156"/>
  <c r="D1779" i="156"/>
  <c r="D1869" i="156"/>
  <c r="D1879" i="156"/>
  <c r="D1904" i="156"/>
  <c r="D1914" i="156"/>
  <c r="D1759" i="156"/>
  <c r="D1839" i="156"/>
  <c r="D1924" i="156"/>
  <c r="D1944" i="156"/>
  <c r="D1954" i="156"/>
  <c r="D1964" i="156"/>
  <c r="D1984" i="156"/>
  <c r="D1994" i="156"/>
  <c r="D2004" i="156"/>
  <c r="D2074" i="156"/>
  <c r="D45" i="156"/>
  <c r="D75" i="156"/>
  <c r="D2114" i="156"/>
  <c r="D2034" i="156"/>
  <c r="D115" i="156"/>
  <c r="D2044" i="156"/>
  <c r="D125" i="156"/>
  <c r="D1156" i="156"/>
  <c r="D1196" i="156"/>
  <c r="D1236" i="156"/>
  <c r="D1276" i="156"/>
  <c r="D1316" i="156"/>
  <c r="D1356" i="156"/>
  <c r="D1401" i="156"/>
  <c r="D1441" i="156"/>
  <c r="D1481" i="156"/>
  <c r="D1521" i="156"/>
  <c r="D1561" i="156"/>
  <c r="D1601" i="156"/>
  <c r="D1689" i="156"/>
  <c r="D1729" i="156"/>
  <c r="D1769" i="156"/>
  <c r="D1809" i="156"/>
  <c r="D1849" i="156"/>
  <c r="D1889" i="156"/>
  <c r="D1934" i="156"/>
  <c r="D1974" i="156"/>
  <c r="D2014" i="156"/>
  <c r="D2084" i="156"/>
  <c r="D85" i="156"/>
  <c r="D2054" i="156"/>
  <c r="D2094" i="156"/>
  <c r="D55" i="156"/>
  <c r="D95" i="156"/>
  <c r="D135" i="156"/>
  <c r="D2024" i="156"/>
  <c r="D2064" i="156"/>
  <c r="D2104" i="156"/>
  <c r="D65" i="156"/>
  <c r="D105" i="156"/>
  <c r="D155" i="156"/>
  <c r="D145" i="156"/>
  <c r="D175" i="156"/>
  <c r="D185" i="156"/>
  <c r="D255" i="156"/>
  <c r="D341" i="156"/>
  <c r="D501" i="156"/>
  <c r="D351" i="156"/>
  <c r="D511" i="156"/>
  <c r="D2322" i="156"/>
  <c r="D421" i="156"/>
  <c r="D2232" i="156"/>
  <c r="D265" i="156"/>
  <c r="D431" i="156"/>
  <c r="D2242" i="156"/>
  <c r="D2312" i="156"/>
  <c r="D215" i="156"/>
  <c r="D301" i="156"/>
  <c r="D381" i="156"/>
  <c r="D461" i="156"/>
  <c r="D2192" i="156"/>
  <c r="D2272" i="156"/>
  <c r="D2352" i="156"/>
  <c r="D165" i="156"/>
  <c r="D225" i="156"/>
  <c r="D311" i="156"/>
  <c r="D391" i="156"/>
  <c r="D471" i="156"/>
  <c r="D2202" i="156"/>
  <c r="D2282" i="156"/>
  <c r="D2362" i="156"/>
  <c r="D195" i="156"/>
  <c r="D235" i="156"/>
  <c r="D275" i="156"/>
  <c r="D321" i="156"/>
  <c r="D361" i="156"/>
  <c r="D401" i="156"/>
  <c r="D441" i="156"/>
  <c r="D481" i="156"/>
  <c r="D2172" i="156"/>
  <c r="D2212" i="156"/>
  <c r="D2252" i="156"/>
  <c r="D2292" i="156"/>
  <c r="D2332" i="156"/>
  <c r="D2372" i="156"/>
  <c r="D205" i="156"/>
  <c r="D245" i="156"/>
  <c r="D285" i="156"/>
  <c r="D331" i="156"/>
  <c r="D371" i="156"/>
  <c r="D411" i="156"/>
  <c r="D451" i="156"/>
  <c r="D491" i="156"/>
  <c r="D2182" i="156"/>
  <c r="D2222" i="156"/>
  <c r="D2262" i="156"/>
  <c r="D2302" i="156"/>
  <c r="D2342" i="156"/>
  <c r="D90" i="35"/>
  <c r="D84" i="35"/>
  <c r="D74" i="35"/>
  <c r="D64" i="35"/>
  <c r="D54" i="35"/>
  <c r="D44" i="35"/>
  <c r="D34" i="35"/>
  <c r="D24" i="35"/>
  <c r="D27" i="99"/>
  <c r="D77" i="112"/>
  <c r="D62" i="112"/>
  <c r="D52" i="112"/>
  <c r="D42" i="112"/>
  <c r="D32" i="112"/>
  <c r="D60" i="104"/>
  <c r="D50" i="104"/>
  <c r="D45" i="104"/>
  <c r="D30" i="104"/>
  <c r="D67" i="106"/>
  <c r="D57" i="106"/>
  <c r="D52" i="106"/>
  <c r="D37" i="106"/>
  <c r="H29" i="106"/>
  <c r="D93" i="105"/>
  <c r="D87" i="105"/>
  <c r="D77" i="105"/>
  <c r="D72" i="105"/>
  <c r="D57" i="105"/>
  <c r="D52" i="105"/>
  <c r="D42" i="105"/>
  <c r="H37" i="105"/>
  <c r="D336" i="82"/>
  <c r="D330" i="82"/>
  <c r="D319" i="82"/>
  <c r="D313" i="82"/>
  <c r="D307" i="82"/>
  <c r="D301" i="82"/>
  <c r="D295" i="82"/>
  <c r="D289" i="82"/>
  <c r="D277" i="82"/>
  <c r="D271" i="82"/>
  <c r="D265" i="82"/>
  <c r="D259" i="82"/>
  <c r="D253" i="82"/>
  <c r="D252" i="82"/>
  <c r="D246" i="82"/>
  <c r="D207" i="82"/>
  <c r="D197" i="82"/>
  <c r="D188" i="82"/>
  <c r="D178" i="82"/>
  <c r="D165" i="82"/>
  <c r="D155" i="82"/>
  <c r="D145" i="82"/>
  <c r="D135" i="82"/>
  <c r="D125" i="82"/>
  <c r="D115" i="82"/>
  <c r="D105" i="82"/>
  <c r="D95" i="82"/>
  <c r="D85" i="82"/>
  <c r="D75" i="82"/>
  <c r="D65" i="82"/>
  <c r="D55" i="82"/>
  <c r="D45" i="82"/>
  <c r="H35" i="82"/>
  <c r="D35" i="82"/>
  <c r="D114" i="81"/>
  <c r="D103" i="81"/>
  <c r="D97" i="81"/>
  <c r="D83" i="81"/>
  <c r="D73" i="81"/>
  <c r="D62" i="81"/>
  <c r="D51" i="81"/>
  <c r="D41" i="81"/>
  <c r="H31" i="81"/>
  <c r="D31" i="81"/>
  <c r="D454" i="89"/>
  <c r="D448" i="89"/>
  <c r="D436" i="89"/>
  <c r="D430" i="89"/>
  <c r="D424" i="89"/>
  <c r="D418" i="89"/>
  <c r="D412" i="89"/>
  <c r="D406" i="89"/>
  <c r="D400" i="89"/>
  <c r="D394" i="89"/>
  <c r="D388" i="89"/>
  <c r="D382" i="89"/>
  <c r="D376" i="89"/>
  <c r="D325" i="89"/>
  <c r="D315" i="89"/>
  <c r="D305" i="89"/>
  <c r="D295" i="89"/>
  <c r="D285" i="89"/>
  <c r="D275" i="89"/>
  <c r="D265" i="89"/>
  <c r="D255" i="89"/>
  <c r="D245" i="89"/>
  <c r="D235" i="89"/>
  <c r="D225" i="89"/>
  <c r="D215" i="89"/>
  <c r="D205" i="89"/>
  <c r="D195" i="89"/>
  <c r="D185" i="89"/>
  <c r="D175" i="89"/>
  <c r="D165" i="89"/>
  <c r="D153" i="89"/>
  <c r="D142" i="89"/>
  <c r="D132" i="89"/>
  <c r="D122" i="89"/>
  <c r="D112" i="89"/>
  <c r="D102" i="89"/>
  <c r="D92" i="89"/>
  <c r="D82" i="89"/>
  <c r="D72" i="89"/>
  <c r="D62" i="89"/>
  <c r="D52" i="89"/>
  <c r="D42" i="89"/>
  <c r="D32" i="89"/>
  <c r="H29" i="89"/>
  <c r="D437" i="80"/>
  <c r="D431" i="80"/>
  <c r="D419" i="80"/>
  <c r="D413" i="80"/>
  <c r="D407" i="80"/>
  <c r="D401" i="80"/>
  <c r="D395" i="80"/>
  <c r="D389" i="80"/>
  <c r="D383" i="80"/>
  <c r="D377" i="80"/>
  <c r="D371" i="80"/>
  <c r="D365" i="80"/>
  <c r="D314" i="80"/>
  <c r="D304" i="80"/>
  <c r="D294" i="80"/>
  <c r="D284" i="80"/>
  <c r="D274" i="80"/>
  <c r="D264" i="80"/>
  <c r="D254" i="80"/>
  <c r="D244" i="80"/>
  <c r="D234" i="80"/>
  <c r="D224" i="80"/>
  <c r="D214" i="80"/>
  <c r="D204" i="80"/>
  <c r="D194" i="80"/>
  <c r="D184" i="80"/>
  <c r="D174" i="80"/>
  <c r="D164" i="80"/>
  <c r="D154" i="80"/>
  <c r="D142" i="80"/>
  <c r="D131" i="80"/>
  <c r="D121" i="80"/>
  <c r="D111" i="80"/>
  <c r="D101" i="80"/>
  <c r="D91" i="80"/>
  <c r="D81" i="80"/>
  <c r="D71" i="80"/>
  <c r="D61" i="80"/>
  <c r="D51" i="80"/>
  <c r="D41" i="80"/>
  <c r="H31" i="80"/>
  <c r="D31" i="80"/>
  <c r="D363" i="73"/>
  <c r="D357" i="73"/>
  <c r="D341" i="73"/>
  <c r="D335" i="73"/>
  <c r="D329" i="73"/>
  <c r="D323" i="73"/>
  <c r="D317" i="73"/>
  <c r="D311" i="73"/>
  <c r="D305" i="73"/>
  <c r="D299" i="73"/>
  <c r="D293" i="73"/>
  <c r="D287" i="73"/>
  <c r="D281" i="73"/>
  <c r="D275" i="73"/>
  <c r="D267" i="73"/>
  <c r="D261" i="73"/>
  <c r="D255" i="73"/>
  <c r="D249" i="73"/>
  <c r="D243" i="73"/>
  <c r="D179" i="73"/>
  <c r="D169" i="73"/>
  <c r="D159" i="73"/>
  <c r="D149" i="73"/>
  <c r="D139" i="73"/>
  <c r="D129" i="73"/>
  <c r="D119" i="73"/>
  <c r="D109" i="73"/>
  <c r="D99" i="73"/>
  <c r="D89" i="73"/>
  <c r="D79" i="73"/>
  <c r="D69" i="73"/>
  <c r="D59" i="73"/>
  <c r="D49" i="73"/>
  <c r="D39" i="73"/>
  <c r="D129" i="66"/>
  <c r="D123" i="66"/>
  <c r="D117" i="66"/>
  <c r="D106" i="66"/>
  <c r="D105" i="66"/>
  <c r="D86" i="66"/>
  <c r="D77" i="66"/>
  <c r="D65" i="66"/>
  <c r="D54" i="66"/>
  <c r="D238" i="79"/>
  <c r="D237" i="79"/>
  <c r="D226" i="79"/>
  <c r="D225" i="79"/>
  <c r="D214" i="79"/>
  <c r="D208" i="79"/>
  <c r="D202" i="79"/>
  <c r="D201" i="79"/>
  <c r="D195" i="79"/>
  <c r="D164" i="79"/>
  <c r="D155" i="79"/>
  <c r="D145" i="79"/>
  <c r="D133" i="79"/>
  <c r="D122" i="79"/>
  <c r="D112" i="79"/>
  <c r="D102" i="79"/>
  <c r="D83" i="79"/>
  <c r="D73" i="79"/>
  <c r="D63" i="79"/>
  <c r="D53" i="79"/>
  <c r="D43" i="79"/>
  <c r="D33" i="79"/>
  <c r="D163" i="65"/>
  <c r="D157" i="65"/>
  <c r="D146" i="65"/>
  <c r="D145" i="65"/>
  <c r="D134" i="65"/>
  <c r="D128" i="65"/>
  <c r="D106" i="65"/>
  <c r="D95" i="65"/>
  <c r="D74" i="65"/>
  <c r="D65" i="65"/>
  <c r="D55" i="65"/>
  <c r="D45" i="65"/>
  <c r="D35" i="65"/>
  <c r="D227" i="41"/>
  <c r="D221" i="41"/>
  <c r="D215" i="41"/>
  <c r="D209" i="41"/>
  <c r="D205" i="41"/>
  <c r="D171" i="41"/>
  <c r="D161" i="41"/>
  <c r="D149" i="41"/>
  <c r="D107" i="41"/>
  <c r="D97" i="41"/>
  <c r="D87" i="41"/>
  <c r="D77" i="41"/>
  <c r="D67" i="41"/>
  <c r="D57" i="41"/>
  <c r="D47" i="41"/>
  <c r="D202" i="180"/>
  <c r="D196" i="180"/>
  <c r="D190" i="180"/>
  <c r="D184" i="180"/>
  <c r="D180" i="180"/>
  <c r="D176" i="180"/>
  <c r="D142" i="180"/>
  <c r="D132" i="180"/>
  <c r="D120" i="180"/>
  <c r="D78" i="180"/>
  <c r="D67" i="180"/>
  <c r="D57" i="180"/>
  <c r="D283" i="42"/>
  <c r="D277" i="42"/>
  <c r="D271" i="42"/>
  <c r="D265" i="42"/>
  <c r="D259" i="42"/>
  <c r="D253" i="42"/>
  <c r="D247" i="42"/>
  <c r="D241" i="42"/>
  <c r="D235" i="42"/>
  <c r="D229" i="42"/>
  <c r="D223" i="42"/>
  <c r="D217" i="42"/>
  <c r="D211" i="42"/>
  <c r="D205" i="42"/>
  <c r="D199" i="42"/>
  <c r="D193" i="42"/>
  <c r="D187" i="42"/>
  <c r="D184" i="42"/>
  <c r="D178" i="42"/>
  <c r="D172" i="42"/>
  <c r="D166" i="42"/>
  <c r="D132" i="42"/>
  <c r="D120" i="42"/>
  <c r="D78" i="42"/>
  <c r="D67" i="42"/>
  <c r="D57" i="42"/>
  <c r="D47" i="42"/>
  <c r="D352" i="181"/>
  <c r="D342" i="181"/>
  <c r="D332" i="181"/>
  <c r="D322" i="181"/>
  <c r="D312" i="181"/>
  <c r="D302" i="181"/>
  <c r="D292" i="181"/>
  <c r="D282" i="181"/>
  <c r="D272" i="181"/>
  <c r="D262" i="181"/>
  <c r="D252" i="181"/>
  <c r="D242" i="181"/>
  <c r="D232" i="181"/>
  <c r="D222" i="181"/>
  <c r="D212" i="181"/>
  <c r="D202" i="181"/>
  <c r="D192" i="181"/>
  <c r="D182" i="181"/>
  <c r="D172" i="181"/>
  <c r="D162" i="181"/>
  <c r="D152" i="181"/>
  <c r="D142" i="181"/>
  <c r="D132" i="181"/>
  <c r="D122" i="181"/>
  <c r="D112" i="181"/>
  <c r="D102" i="181"/>
  <c r="D92" i="181"/>
  <c r="D82" i="181"/>
  <c r="D72" i="181"/>
  <c r="D62" i="181"/>
  <c r="D52" i="181"/>
  <c r="D42" i="181"/>
  <c r="D32" i="181"/>
  <c r="D25" i="181"/>
  <c r="D87" i="39"/>
  <c r="D31" i="157"/>
  <c r="D40" i="149"/>
  <c r="D34" i="149"/>
  <c r="D44" i="69"/>
  <c r="D34" i="69"/>
  <c r="D31" i="138"/>
  <c r="D186" i="18"/>
  <c r="D180" i="18"/>
  <c r="D174" i="18"/>
  <c r="D163" i="18"/>
  <c r="D162" i="18"/>
  <c r="D156" i="18"/>
  <c r="D134" i="18"/>
  <c r="D124" i="18"/>
  <c r="D112" i="18"/>
  <c r="D101" i="18"/>
  <c r="D91" i="18"/>
  <c r="D82" i="18"/>
  <c r="D72" i="18"/>
  <c r="D61" i="18"/>
  <c r="D56" i="18"/>
  <c r="D41" i="18"/>
  <c r="D180" i="62"/>
  <c r="D174" i="62"/>
  <c r="D168" i="62"/>
  <c r="D157" i="62"/>
  <c r="D156" i="62"/>
  <c r="D150" i="62"/>
  <c r="D128" i="62"/>
  <c r="D118" i="62"/>
  <c r="D106" i="62"/>
  <c r="D95" i="62"/>
  <c r="D85" i="62"/>
  <c r="D76" i="62"/>
  <c r="D66" i="62"/>
  <c r="D55" i="62"/>
  <c r="D50" i="62"/>
  <c r="D35" i="62"/>
  <c r="D180" i="64"/>
  <c r="D174" i="64"/>
  <c r="D168" i="64"/>
  <c r="D157" i="64"/>
  <c r="D156" i="64"/>
  <c r="D134" i="64"/>
  <c r="D124" i="64"/>
  <c r="D112" i="64"/>
  <c r="D101" i="64"/>
  <c r="D91" i="64"/>
  <c r="D82" i="64"/>
  <c r="D72" i="64"/>
  <c r="D61" i="64"/>
  <c r="D56" i="64"/>
  <c r="D50" i="64"/>
  <c r="D35" i="64"/>
  <c r="D180" i="63"/>
  <c r="D174" i="63"/>
  <c r="D168" i="63"/>
  <c r="D157" i="63"/>
  <c r="D156" i="63"/>
  <c r="D134" i="63"/>
  <c r="D124" i="63"/>
  <c r="D112" i="63"/>
  <c r="D101" i="63"/>
  <c r="D91" i="63"/>
  <c r="D82" i="63"/>
  <c r="D72" i="63"/>
  <c r="D61" i="63"/>
  <c r="D56" i="63"/>
  <c r="D50" i="63"/>
  <c r="D35" i="63"/>
  <c r="D275" i="15"/>
  <c r="D266" i="15"/>
  <c r="D218" i="15"/>
  <c r="D208" i="15"/>
  <c r="D199" i="15"/>
  <c r="D189" i="15"/>
  <c r="D178" i="15"/>
  <c r="D169" i="15"/>
  <c r="D158" i="15"/>
  <c r="D148" i="15"/>
  <c r="D138" i="15"/>
  <c r="D129" i="15"/>
  <c r="D122" i="15"/>
  <c r="D116" i="15"/>
  <c r="D101" i="15"/>
  <c r="D100" i="15"/>
  <c r="D89" i="15"/>
  <c r="D88" i="15"/>
  <c r="D82" i="15"/>
  <c r="D72" i="15"/>
  <c r="D62" i="15"/>
  <c r="D56" i="15"/>
  <c r="D50" i="15"/>
  <c r="D40" i="15"/>
  <c r="D34" i="15"/>
  <c r="D28" i="15"/>
  <c r="D270" i="14"/>
  <c r="D264" i="14"/>
  <c r="D258" i="14"/>
  <c r="D252" i="14"/>
  <c r="D246" i="14"/>
  <c r="D240" i="14"/>
  <c r="D234" i="14"/>
  <c r="D223" i="14"/>
  <c r="D217" i="14"/>
  <c r="D216" i="14"/>
  <c r="D210" i="14"/>
  <c r="D194" i="14"/>
  <c r="D184" i="14"/>
  <c r="D172" i="14"/>
  <c r="D157" i="14"/>
  <c r="D147" i="14"/>
  <c r="D142" i="14"/>
  <c r="D132" i="14"/>
  <c r="D117" i="14"/>
  <c r="D112" i="14"/>
  <c r="D97" i="14"/>
  <c r="D87" i="14"/>
  <c r="D82" i="14"/>
  <c r="D72" i="14"/>
  <c r="D62" i="14"/>
  <c r="D47" i="14"/>
  <c r="D37" i="14"/>
  <c r="D259" i="11"/>
  <c r="D253" i="11"/>
  <c r="D247" i="11"/>
  <c r="D241" i="11"/>
  <c r="D235" i="11"/>
  <c r="D229" i="11"/>
  <c r="D223" i="11"/>
  <c r="D217" i="11"/>
  <c r="D195" i="11"/>
  <c r="D185" i="11"/>
  <c r="D175" i="11"/>
  <c r="D165" i="11"/>
  <c r="D155" i="11"/>
  <c r="D145" i="11"/>
  <c r="D135" i="11"/>
  <c r="D125" i="11"/>
  <c r="D115" i="11"/>
  <c r="D103" i="11"/>
  <c r="D93" i="11"/>
  <c r="D83" i="11"/>
  <c r="D73" i="11"/>
  <c r="D63" i="11"/>
  <c r="D53" i="11"/>
  <c r="D43" i="11"/>
  <c r="D673" i="51"/>
  <c r="D667" i="51"/>
  <c r="D661" i="51"/>
  <c r="D655" i="51"/>
  <c r="D649" i="51"/>
  <c r="D643" i="51"/>
  <c r="D637" i="51"/>
  <c r="D631" i="51"/>
  <c r="D621" i="51"/>
  <c r="D614" i="51"/>
  <c r="D613" i="51"/>
  <c r="D607" i="51"/>
  <c r="D601" i="51"/>
  <c r="D595" i="51"/>
  <c r="D589" i="51"/>
  <c r="D583" i="51"/>
  <c r="D577" i="51"/>
  <c r="D571" i="51"/>
  <c r="D565" i="51"/>
  <c r="D559" i="51"/>
  <c r="D552" i="51"/>
  <c r="D547" i="51"/>
  <c r="D541" i="51"/>
  <c r="D535" i="51"/>
  <c r="D529" i="51"/>
  <c r="D518" i="51"/>
  <c r="D409" i="51"/>
  <c r="D399" i="51"/>
  <c r="D389" i="51"/>
  <c r="D379" i="51"/>
  <c r="D367" i="51"/>
  <c r="D357" i="51"/>
  <c r="D347" i="51"/>
  <c r="D337" i="51"/>
  <c r="D327" i="51"/>
  <c r="D317" i="51"/>
  <c r="D306" i="51"/>
  <c r="D297" i="51"/>
  <c r="D287" i="51"/>
  <c r="D277" i="51"/>
  <c r="D267" i="51"/>
  <c r="D257" i="51"/>
  <c r="D247" i="51"/>
  <c r="D237" i="51"/>
  <c r="D227" i="51"/>
  <c r="D217" i="51"/>
  <c r="D207" i="51"/>
  <c r="D197" i="51"/>
  <c r="D187" i="51"/>
  <c r="D177" i="51"/>
  <c r="D167" i="51"/>
  <c r="D157" i="51"/>
  <c r="D147" i="51"/>
  <c r="D97" i="51"/>
  <c r="D87" i="51"/>
  <c r="D77" i="51"/>
  <c r="D67" i="51"/>
  <c r="D57" i="51"/>
  <c r="D47" i="51"/>
  <c r="D749" i="13"/>
  <c r="D743" i="13"/>
  <c r="D737" i="13"/>
  <c r="D731" i="13"/>
  <c r="D725" i="13"/>
  <c r="D719" i="13"/>
  <c r="D713" i="13"/>
  <c r="D707" i="13"/>
  <c r="D701" i="13"/>
  <c r="D695" i="13"/>
  <c r="D685" i="13"/>
  <c r="D678" i="13"/>
  <c r="D677" i="13"/>
  <c r="D671" i="13"/>
  <c r="D665" i="13"/>
  <c r="D659" i="13"/>
  <c r="D653" i="13"/>
  <c r="D647" i="13"/>
  <c r="D641" i="13"/>
  <c r="D635" i="13"/>
  <c r="D628" i="13"/>
  <c r="D121" i="13"/>
  <c r="D106" i="13"/>
  <c r="D141" i="13"/>
  <c r="D131" i="13"/>
  <c r="D492" i="13"/>
  <c r="D482" i="13"/>
  <c r="D618" i="13"/>
  <c r="D612" i="13"/>
  <c r="D611" i="13"/>
  <c r="D605" i="13"/>
  <c r="D599" i="13"/>
  <c r="D593" i="13"/>
  <c r="D587" i="13"/>
  <c r="D581" i="13"/>
  <c r="D575" i="13"/>
  <c r="D569" i="13"/>
  <c r="D563" i="13"/>
  <c r="D473" i="13"/>
  <c r="D459" i="13"/>
  <c r="D453" i="13"/>
  <c r="D443" i="13"/>
  <c r="D433" i="13"/>
  <c r="D423" i="13"/>
  <c r="D413" i="13"/>
  <c r="D403" i="13"/>
  <c r="D393" i="13"/>
  <c r="D383" i="13"/>
  <c r="D373" i="13"/>
  <c r="D362" i="13"/>
  <c r="D353" i="13"/>
  <c r="D343" i="13"/>
  <c r="D333" i="13"/>
  <c r="D323" i="13"/>
  <c r="D313" i="13"/>
  <c r="D303" i="13"/>
  <c r="D291" i="13"/>
  <c r="D281" i="13"/>
  <c r="D271" i="13"/>
  <c r="D261" i="13"/>
  <c r="D251" i="13"/>
  <c r="D241" i="13"/>
  <c r="D231" i="13"/>
  <c r="D221" i="13"/>
  <c r="D211" i="13"/>
  <c r="D201" i="13"/>
  <c r="D191" i="13"/>
  <c r="D181" i="13"/>
  <c r="D171" i="13"/>
  <c r="D161" i="13"/>
  <c r="D151" i="13"/>
  <c r="D101" i="13"/>
  <c r="D91" i="13"/>
  <c r="D81" i="13"/>
  <c r="D71" i="13"/>
  <c r="D61" i="13"/>
  <c r="D51" i="13"/>
  <c r="D504" i="22"/>
  <c r="D498" i="22"/>
  <c r="D486" i="22"/>
  <c r="D480" i="22"/>
  <c r="D474" i="22"/>
  <c r="D468" i="22"/>
  <c r="D432" i="22"/>
  <c r="D426" i="22"/>
  <c r="D420" i="22"/>
  <c r="D414" i="22"/>
  <c r="D408" i="22"/>
  <c r="D384" i="22"/>
  <c r="D378" i="22"/>
  <c r="D372" i="22"/>
  <c r="D361" i="22"/>
  <c r="D355" i="22"/>
  <c r="D349" i="22"/>
  <c r="D343" i="22"/>
  <c r="D337" i="22"/>
  <c r="D221" i="22"/>
  <c r="D211" i="22"/>
  <c r="D201" i="22"/>
  <c r="D69" i="22"/>
  <c r="D189" i="22"/>
  <c r="D169" i="22"/>
  <c r="D159" i="22"/>
  <c r="D149" i="22"/>
  <c r="D139" i="22"/>
  <c r="D129" i="22"/>
  <c r="D119" i="22"/>
  <c r="D109" i="22"/>
  <c r="D99" i="22"/>
  <c r="D89" i="22"/>
  <c r="D79" i="22"/>
  <c r="D49" i="22"/>
  <c r="D39" i="22"/>
  <c r="D595" i="34"/>
  <c r="D589" i="34"/>
  <c r="D583" i="34"/>
  <c r="D577" i="34"/>
  <c r="D571" i="34"/>
  <c r="D565" i="34"/>
  <c r="D554" i="34"/>
  <c r="D549" i="34"/>
  <c r="D547" i="34"/>
  <c r="D541" i="34"/>
  <c r="D535" i="34"/>
  <c r="D529" i="34"/>
  <c r="D523" i="34"/>
  <c r="D517" i="34"/>
  <c r="D511" i="34"/>
  <c r="D505" i="34"/>
  <c r="D499" i="34"/>
  <c r="D493" i="34"/>
  <c r="D486" i="34"/>
  <c r="D480" i="34"/>
  <c r="D474" i="34"/>
  <c r="D469" i="34"/>
  <c r="D463" i="34"/>
  <c r="D452" i="34"/>
  <c r="D351" i="34"/>
  <c r="D341" i="34"/>
  <c r="D331" i="34"/>
  <c r="D321" i="34"/>
  <c r="D311" i="34"/>
  <c r="D301" i="34"/>
  <c r="D290" i="34"/>
  <c r="D281" i="34"/>
  <c r="D271" i="34"/>
  <c r="D261" i="34"/>
  <c r="D251" i="34"/>
  <c r="D241" i="34"/>
  <c r="D229" i="34"/>
  <c r="D219" i="34"/>
  <c r="D209" i="34"/>
  <c r="D199" i="34"/>
  <c r="D189" i="34"/>
  <c r="D179" i="34"/>
  <c r="D169" i="34"/>
  <c r="D159" i="34"/>
  <c r="D149" i="34"/>
  <c r="D139" i="34"/>
  <c r="D129" i="34"/>
  <c r="D79" i="34"/>
  <c r="D69" i="34"/>
  <c r="D59" i="34"/>
  <c r="D49" i="34"/>
  <c r="D562" i="91"/>
  <c r="D556" i="91"/>
  <c r="D550" i="91"/>
  <c r="D544" i="91"/>
  <c r="D538" i="91"/>
  <c r="D527" i="91"/>
  <c r="D521" i="91"/>
  <c r="D515" i="91"/>
  <c r="D509" i="91"/>
  <c r="D503" i="91"/>
  <c r="D497" i="91"/>
  <c r="D491" i="91"/>
  <c r="D485" i="91"/>
  <c r="D479" i="91"/>
  <c r="D473" i="91"/>
  <c r="D467" i="91"/>
  <c r="D461" i="91"/>
  <c r="D455" i="91"/>
  <c r="D449" i="91"/>
  <c r="D443" i="91"/>
  <c r="D417" i="91"/>
  <c r="D407" i="91"/>
  <c r="D397" i="91"/>
  <c r="D387" i="91"/>
  <c r="D377" i="91"/>
  <c r="D365" i="91"/>
  <c r="D355" i="91"/>
  <c r="D345" i="91"/>
  <c r="D335" i="91"/>
  <c r="D325" i="91"/>
  <c r="D315" i="91"/>
  <c r="D305" i="91"/>
  <c r="D295" i="91"/>
  <c r="D285" i="91"/>
  <c r="D275" i="91"/>
  <c r="D265" i="91"/>
  <c r="D255" i="91"/>
  <c r="D245" i="91"/>
  <c r="D235" i="91"/>
  <c r="D225" i="91"/>
  <c r="D215" i="91"/>
  <c r="D205" i="91"/>
  <c r="D195" i="91"/>
  <c r="D185" i="91"/>
  <c r="D175" i="91"/>
  <c r="D165" i="91"/>
  <c r="D155" i="91"/>
  <c r="D125" i="91"/>
  <c r="D115" i="91"/>
  <c r="D105" i="91"/>
  <c r="D95" i="91"/>
  <c r="D85" i="91"/>
  <c r="D75" i="91"/>
  <c r="D65" i="91"/>
  <c r="D55" i="91"/>
  <c r="D45" i="91"/>
  <c r="D498" i="56"/>
  <c r="D492" i="56"/>
  <c r="D486" i="56"/>
  <c r="D480" i="56"/>
  <c r="D474" i="56"/>
  <c r="D463" i="56"/>
  <c r="D457" i="56"/>
  <c r="D451" i="56"/>
  <c r="D445" i="56"/>
  <c r="D439" i="56"/>
  <c r="D111" i="56"/>
  <c r="D101" i="56"/>
  <c r="D433" i="56"/>
  <c r="D427" i="56"/>
  <c r="D421" i="56"/>
  <c r="D415" i="56"/>
  <c r="D409" i="56"/>
  <c r="D403" i="56"/>
  <c r="D397" i="56"/>
  <c r="D391" i="56"/>
  <c r="D385" i="56"/>
  <c r="D379" i="56"/>
  <c r="D353" i="56"/>
  <c r="D343" i="56"/>
  <c r="D333" i="56"/>
  <c r="D323" i="56"/>
  <c r="D313" i="56"/>
  <c r="D301" i="56"/>
  <c r="D291" i="56"/>
  <c r="D281" i="56"/>
  <c r="D271" i="56"/>
  <c r="D261" i="56"/>
  <c r="D251" i="56"/>
  <c r="D241" i="56"/>
  <c r="D231" i="56"/>
  <c r="D221" i="56"/>
  <c r="D211" i="56"/>
  <c r="D201" i="56"/>
  <c r="D191" i="56"/>
  <c r="D181" i="56"/>
  <c r="D171" i="56"/>
  <c r="D161" i="56"/>
  <c r="D151" i="56"/>
  <c r="D141" i="56"/>
  <c r="D131" i="56"/>
  <c r="D121" i="56"/>
  <c r="D91" i="56"/>
  <c r="D81" i="56"/>
  <c r="D71" i="56"/>
  <c r="D61" i="56"/>
  <c r="D51" i="56"/>
  <c r="D41" i="56"/>
  <c r="D554" i="55"/>
  <c r="D548" i="55"/>
  <c r="D542" i="55"/>
  <c r="D536" i="55"/>
  <c r="D530" i="55"/>
  <c r="D524" i="55"/>
  <c r="D513" i="55"/>
  <c r="D507" i="55"/>
  <c r="D501" i="55"/>
  <c r="D495" i="55"/>
  <c r="D489" i="55"/>
  <c r="D111" i="55"/>
  <c r="D101" i="55"/>
  <c r="D483" i="55"/>
  <c r="D477" i="55"/>
  <c r="D471" i="55"/>
  <c r="D465" i="55"/>
  <c r="D459" i="55"/>
  <c r="D453" i="55"/>
  <c r="D447" i="55"/>
  <c r="D441" i="55"/>
  <c r="D435" i="55"/>
  <c r="D429" i="55"/>
  <c r="D423" i="55"/>
  <c r="D353" i="55"/>
  <c r="D343" i="55"/>
  <c r="D333" i="55"/>
  <c r="D323" i="55"/>
  <c r="D313" i="55"/>
  <c r="D301" i="55"/>
  <c r="D291" i="55"/>
  <c r="D281" i="55"/>
  <c r="D271" i="55"/>
  <c r="D261" i="55"/>
  <c r="D251" i="55"/>
  <c r="D241" i="55"/>
  <c r="D231" i="55"/>
  <c r="D221" i="55"/>
  <c r="D211" i="55"/>
  <c r="D201" i="55"/>
  <c r="D191" i="55"/>
  <c r="D181" i="55"/>
  <c r="D171" i="55"/>
  <c r="D161" i="55"/>
  <c r="D151" i="55"/>
  <c r="D141" i="55"/>
  <c r="D131" i="55"/>
  <c r="D121" i="55"/>
  <c r="D91" i="55"/>
  <c r="D81" i="55"/>
  <c r="D71" i="55"/>
  <c r="D61" i="55"/>
  <c r="D296" i="92"/>
  <c r="D285" i="92"/>
  <c r="D279" i="92"/>
  <c r="D273" i="92"/>
  <c r="D267" i="92"/>
  <c r="D261" i="92"/>
  <c r="D255" i="92"/>
  <c r="D249" i="92"/>
  <c r="D243" i="92"/>
  <c r="D237" i="92"/>
  <c r="D87" i="92"/>
  <c r="D77" i="92"/>
  <c r="D231" i="92"/>
  <c r="D225" i="92"/>
  <c r="D199" i="92"/>
  <c r="D189" i="92"/>
  <c r="D179" i="92"/>
  <c r="D147" i="92"/>
  <c r="D137" i="92"/>
  <c r="D127" i="92"/>
  <c r="D117" i="92"/>
  <c r="D107" i="92"/>
  <c r="D97" i="92"/>
  <c r="D67" i="92"/>
  <c r="D57" i="92"/>
  <c r="D47" i="92"/>
  <c r="D37" i="92"/>
  <c r="D137" i="19"/>
  <c r="D131" i="19"/>
  <c r="D125" i="19"/>
  <c r="D119" i="19"/>
  <c r="D89" i="19"/>
  <c r="D77" i="19"/>
  <c r="D67" i="19"/>
  <c r="D57" i="19"/>
  <c r="D47" i="19"/>
  <c r="D37" i="19"/>
  <c r="D3189" i="156"/>
  <c r="D3183" i="156"/>
  <c r="D3177" i="156"/>
  <c r="D3171" i="156"/>
  <c r="D3165" i="156"/>
  <c r="D3159" i="156"/>
  <c r="D3153" i="156"/>
  <c r="D3147" i="156"/>
  <c r="D3141" i="156"/>
  <c r="D3131" i="156"/>
  <c r="D3121" i="156"/>
  <c r="D3111" i="156"/>
  <c r="D3101" i="156"/>
  <c r="D2939" i="156"/>
  <c r="D2929" i="156"/>
  <c r="D2847" i="156"/>
  <c r="D2837" i="156"/>
  <c r="D2599" i="156"/>
  <c r="D2593" i="156"/>
  <c r="D2587" i="156"/>
  <c r="D2581" i="156"/>
  <c r="D2575" i="156"/>
  <c r="D2569" i="156"/>
  <c r="D2563" i="156"/>
  <c r="D2557" i="156"/>
  <c r="D2551" i="156"/>
  <c r="D2545" i="156"/>
  <c r="D2539" i="156"/>
  <c r="D2533" i="156"/>
  <c r="D2527" i="156"/>
  <c r="D2521" i="156"/>
  <c r="D2515" i="156"/>
  <c r="D2509" i="156"/>
  <c r="D2483" i="156"/>
  <c r="D2473" i="156"/>
  <c r="D2463" i="156"/>
  <c r="D2453" i="156"/>
  <c r="D2443" i="156"/>
  <c r="D2433" i="156"/>
  <c r="D2423" i="156"/>
  <c r="D2413" i="156"/>
  <c r="D2403" i="156"/>
  <c r="D2393" i="156"/>
  <c r="D487" i="3"/>
  <c r="D481" i="3"/>
  <c r="D475" i="3"/>
  <c r="D469" i="3"/>
  <c r="D463" i="3"/>
  <c r="D449" i="3"/>
  <c r="D443" i="3"/>
  <c r="D437" i="3"/>
  <c r="D431" i="3"/>
  <c r="D425" i="3"/>
  <c r="D419" i="3"/>
  <c r="D413" i="3"/>
  <c r="D407" i="3"/>
  <c r="D401" i="3"/>
  <c r="D395" i="3"/>
  <c r="D389" i="3"/>
  <c r="D383" i="3"/>
  <c r="D377" i="3"/>
  <c r="D371" i="3"/>
  <c r="D365" i="3"/>
  <c r="D357" i="3"/>
  <c r="D351" i="3"/>
  <c r="D345" i="3"/>
  <c r="D339" i="3"/>
  <c r="D333" i="3"/>
  <c r="D327" i="3"/>
  <c r="D321" i="3"/>
  <c r="D219" i="3"/>
  <c r="D209" i="3"/>
  <c r="D199" i="3"/>
  <c r="D189" i="3"/>
  <c r="D179" i="3"/>
  <c r="D157" i="3"/>
  <c r="D147" i="3"/>
  <c r="D128" i="3"/>
  <c r="D118" i="3"/>
  <c r="D108" i="3"/>
  <c r="D98" i="3"/>
  <c r="D169" i="3"/>
  <c r="D88" i="3"/>
  <c r="D78" i="3"/>
  <c r="D68" i="3"/>
  <c r="D58" i="3"/>
  <c r="D48" i="3"/>
  <c r="D38" i="3"/>
  <c r="AL3" i="183" l="1"/>
  <c r="AM3" i="183"/>
  <c r="AN3" i="183"/>
  <c r="AO3" i="183"/>
  <c r="AP3" i="183"/>
  <c r="AQ3" i="183"/>
  <c r="AR3" i="183"/>
  <c r="AS3" i="183"/>
  <c r="AT3" i="183"/>
  <c r="AU3" i="183"/>
  <c r="AV3" i="183"/>
  <c r="AK3" i="183"/>
  <c r="AK4" i="183" l="1"/>
  <c r="R35" i="184" l="1"/>
  <c r="R34" i="184"/>
  <c r="R33" i="184"/>
  <c r="R32" i="184"/>
  <c r="R31" i="184"/>
  <c r="R30" i="184"/>
  <c r="R29" i="184"/>
  <c r="R28" i="184"/>
  <c r="R27" i="184"/>
  <c r="R26" i="184"/>
  <c r="R25" i="184"/>
  <c r="R24" i="184"/>
  <c r="R23" i="184"/>
  <c r="R22" i="184"/>
  <c r="R21" i="184"/>
  <c r="R20" i="184"/>
  <c r="R19" i="184"/>
  <c r="R18" i="184"/>
  <c r="R17" i="184"/>
  <c r="R16" i="184"/>
  <c r="R15" i="184"/>
  <c r="R14" i="184"/>
  <c r="R13" i="184"/>
  <c r="R12" i="184"/>
  <c r="R11" i="184"/>
  <c r="R10" i="184"/>
  <c r="R9" i="184"/>
  <c r="R8" i="184"/>
  <c r="R7" i="184"/>
  <c r="R6" i="184"/>
  <c r="R5" i="184"/>
  <c r="R4" i="184"/>
  <c r="A37" i="184" l="1"/>
  <c r="A36" i="184" l="1"/>
  <c r="A35" i="184"/>
  <c r="A34" i="184"/>
  <c r="A33" i="184"/>
  <c r="A32" i="184"/>
  <c r="A31" i="184"/>
  <c r="A30" i="184"/>
  <c r="A29" i="184"/>
  <c r="A28" i="184"/>
  <c r="A27" i="184"/>
  <c r="A26" i="184"/>
  <c r="A25" i="184"/>
  <c r="A24" i="184"/>
  <c r="A23" i="184"/>
  <c r="A22" i="184"/>
  <c r="A21" i="184"/>
  <c r="A20" i="184"/>
  <c r="A19" i="184"/>
  <c r="A18" i="184"/>
  <c r="A17" i="184"/>
  <c r="A16" i="184"/>
  <c r="A15" i="184"/>
  <c r="A14" i="184"/>
  <c r="A13" i="184"/>
  <c r="A12" i="184"/>
  <c r="A11" i="184"/>
  <c r="A10" i="184"/>
  <c r="A9" i="184"/>
  <c r="A8" i="184"/>
  <c r="A7" i="184"/>
  <c r="A6" i="184"/>
  <c r="A5" i="184"/>
  <c r="A4" i="184"/>
  <c r="A3" i="184"/>
  <c r="A3" i="28" l="1"/>
  <c r="A4" i="28"/>
  <c r="A5" i="28"/>
  <c r="A6" i="28"/>
  <c r="A7" i="28"/>
  <c r="A8" i="28"/>
  <c r="A9" i="28"/>
  <c r="A10" i="28"/>
  <c r="A11" i="28"/>
  <c r="A12" i="28"/>
  <c r="A13" i="28"/>
  <c r="A14" i="28"/>
  <c r="A15" i="28"/>
  <c r="A16" i="28"/>
  <c r="A17" i="28"/>
  <c r="A18" i="28"/>
  <c r="A19" i="28"/>
  <c r="A20" i="28"/>
  <c r="Q19" i="180" l="1"/>
  <c r="P19" i="180"/>
  <c r="Q19" i="42"/>
  <c r="P19" i="42"/>
  <c r="Q19" i="165"/>
  <c r="P19" i="165"/>
  <c r="Q19" i="164"/>
  <c r="P19" i="164"/>
  <c r="Q19" i="163"/>
  <c r="P19" i="163"/>
  <c r="A229" i="41"/>
  <c r="A228" i="41"/>
  <c r="A227" i="41"/>
  <c r="A226" i="41"/>
  <c r="A225" i="41"/>
  <c r="A224" i="41"/>
  <c r="A223" i="41"/>
  <c r="A222" i="41"/>
  <c r="A221" i="41"/>
  <c r="A220" i="41"/>
  <c r="A219" i="41"/>
  <c r="A218" i="41"/>
  <c r="A217" i="41"/>
  <c r="A216" i="41"/>
  <c r="A215" i="41"/>
  <c r="A214" i="41"/>
  <c r="A213" i="41"/>
  <c r="A212" i="41"/>
  <c r="A211" i="41"/>
  <c r="A210" i="41"/>
  <c r="A209" i="41"/>
  <c r="A208" i="41"/>
  <c r="A207" i="41"/>
  <c r="A206" i="41"/>
  <c r="A205" i="41"/>
  <c r="A204" i="41"/>
  <c r="A203" i="41"/>
  <c r="A202" i="41"/>
  <c r="A201" i="41"/>
  <c r="A200" i="41"/>
  <c r="A199" i="41"/>
  <c r="A198" i="41"/>
  <c r="A197" i="41"/>
  <c r="A196" i="41"/>
  <c r="A176" i="41"/>
  <c r="A175" i="41"/>
  <c r="A174" i="41"/>
  <c r="A173" i="41"/>
  <c r="A172" i="41"/>
  <c r="A171" i="41"/>
  <c r="A170" i="41"/>
  <c r="A169" i="41"/>
  <c r="A168" i="41"/>
  <c r="A167" i="41"/>
  <c r="A166" i="41"/>
  <c r="A165" i="41"/>
  <c r="A164" i="41"/>
  <c r="A163" i="41"/>
  <c r="A162" i="41"/>
  <c r="A161" i="41"/>
  <c r="A160" i="41"/>
  <c r="A159" i="41"/>
  <c r="A158" i="41"/>
  <c r="A157" i="41"/>
  <c r="A156" i="41"/>
  <c r="A155" i="41"/>
  <c r="A154" i="41"/>
  <c r="A153" i="41"/>
  <c r="A152" i="41"/>
  <c r="A151" i="41"/>
  <c r="A150" i="41"/>
  <c r="A149" i="41"/>
  <c r="A148" i="41"/>
  <c r="A147" i="41"/>
  <c r="A146" i="41"/>
  <c r="A145" i="41"/>
  <c r="A144" i="41"/>
  <c r="A143" i="41"/>
  <c r="A142" i="41"/>
  <c r="A141" i="41"/>
  <c r="A140" i="41"/>
  <c r="A139" i="41"/>
  <c r="A138" i="41"/>
  <c r="A137" i="41"/>
  <c r="A136" i="41"/>
  <c r="A135" i="41"/>
  <c r="A134" i="41"/>
  <c r="A133" i="41"/>
  <c r="A132" i="41"/>
  <c r="A131" i="41"/>
  <c r="A130" i="41"/>
  <c r="A129" i="41"/>
  <c r="A128" i="41"/>
  <c r="A127" i="41"/>
  <c r="A126" i="41"/>
  <c r="A125" i="41"/>
  <c r="A124" i="41"/>
  <c r="A123" i="41"/>
  <c r="A122" i="41"/>
  <c r="A121" i="41"/>
  <c r="A120" i="41"/>
  <c r="A119" i="41"/>
  <c r="A118" i="41"/>
  <c r="A117" i="41"/>
  <c r="A116" i="41"/>
  <c r="A115" i="41"/>
  <c r="A114" i="41"/>
  <c r="A113" i="41"/>
  <c r="A112" i="41"/>
  <c r="A111" i="41"/>
  <c r="A110" i="41"/>
  <c r="A109" i="41"/>
  <c r="A108" i="41"/>
  <c r="A107" i="41"/>
  <c r="A106" i="41"/>
  <c r="A105" i="41"/>
  <c r="A104" i="41"/>
  <c r="A103" i="41"/>
  <c r="A102" i="41"/>
  <c r="A101" i="41"/>
  <c r="A100" i="41"/>
  <c r="A99" i="41"/>
  <c r="A98" i="41"/>
  <c r="A97" i="41"/>
  <c r="A96" i="41"/>
  <c r="A95" i="41"/>
  <c r="A94" i="41"/>
  <c r="A93" i="41"/>
  <c r="A92" i="41"/>
  <c r="A91" i="41"/>
  <c r="A90" i="41"/>
  <c r="A89" i="41"/>
  <c r="A88" i="41"/>
  <c r="A87" i="41"/>
  <c r="A86" i="41"/>
  <c r="A85" i="41"/>
  <c r="A84" i="41"/>
  <c r="A83" i="41"/>
  <c r="A82" i="41"/>
  <c r="A81" i="41"/>
  <c r="A80" i="41"/>
  <c r="A79" i="41"/>
  <c r="A78" i="41"/>
  <c r="A77" i="41"/>
  <c r="A76" i="41"/>
  <c r="A75" i="41"/>
  <c r="A74" i="41"/>
  <c r="A73" i="41"/>
  <c r="A72" i="41"/>
  <c r="A71" i="41"/>
  <c r="A70" i="41"/>
  <c r="A69" i="41"/>
  <c r="A68" i="41"/>
  <c r="A67" i="41"/>
  <c r="A66" i="41"/>
  <c r="A65" i="41"/>
  <c r="A64" i="41"/>
  <c r="A63" i="41"/>
  <c r="A62" i="41"/>
  <c r="A61" i="41"/>
  <c r="A60" i="41"/>
  <c r="A59" i="41"/>
  <c r="A58" i="41"/>
  <c r="A57" i="41"/>
  <c r="A56" i="41"/>
  <c r="A55" i="41"/>
  <c r="A54" i="41"/>
  <c r="A53" i="41"/>
  <c r="A52" i="41"/>
  <c r="A51" i="41"/>
  <c r="A50" i="41"/>
  <c r="A49" i="41"/>
  <c r="A48" i="41"/>
  <c r="A47" i="41"/>
  <c r="A46" i="41"/>
  <c r="A45" i="41"/>
  <c r="A44" i="41"/>
  <c r="A43" i="41"/>
  <c r="A288" i="42"/>
  <c r="A287" i="42"/>
  <c r="A286" i="42"/>
  <c r="A285" i="42"/>
  <c r="A284" i="42"/>
  <c r="A283" i="42"/>
  <c r="A282" i="42"/>
  <c r="A281" i="42"/>
  <c r="A280" i="42"/>
  <c r="A279" i="42"/>
  <c r="A278" i="42"/>
  <c r="A277" i="42"/>
  <c r="A276" i="42"/>
  <c r="A275" i="42"/>
  <c r="A274" i="42"/>
  <c r="A273" i="42"/>
  <c r="A272" i="42"/>
  <c r="A271" i="42"/>
  <c r="A270" i="42"/>
  <c r="A269" i="42"/>
  <c r="A268" i="42"/>
  <c r="A267" i="42"/>
  <c r="A266" i="42"/>
  <c r="A265" i="42"/>
  <c r="A264" i="42"/>
  <c r="A263" i="42"/>
  <c r="A262" i="42"/>
  <c r="A261" i="42"/>
  <c r="A260" i="42"/>
  <c r="A259" i="42"/>
  <c r="A258" i="42"/>
  <c r="A257" i="42"/>
  <c r="A256" i="42"/>
  <c r="A255" i="42"/>
  <c r="A254" i="42"/>
  <c r="A253" i="42"/>
  <c r="A252" i="42"/>
  <c r="A251" i="42"/>
  <c r="A250" i="42"/>
  <c r="A249" i="42"/>
  <c r="A248" i="42"/>
  <c r="A247" i="42"/>
  <c r="A246" i="42"/>
  <c r="A245" i="42"/>
  <c r="A244" i="42"/>
  <c r="A243" i="42"/>
  <c r="A242" i="42"/>
  <c r="A241" i="42"/>
  <c r="A240" i="42"/>
  <c r="A239" i="42"/>
  <c r="A238" i="42"/>
  <c r="A237" i="42"/>
  <c r="A236" i="42"/>
  <c r="A235" i="42"/>
  <c r="A234" i="42"/>
  <c r="A233" i="42"/>
  <c r="A232" i="42"/>
  <c r="A231" i="42"/>
  <c r="A230" i="42"/>
  <c r="A229" i="42"/>
  <c r="A228" i="42"/>
  <c r="A227" i="42"/>
  <c r="A226" i="42"/>
  <c r="A225" i="42"/>
  <c r="A224" i="42"/>
  <c r="A223" i="42"/>
  <c r="A222" i="42"/>
  <c r="A221" i="42"/>
  <c r="A220" i="42"/>
  <c r="A219" i="42"/>
  <c r="A218" i="42"/>
  <c r="A217" i="42"/>
  <c r="A216" i="42"/>
  <c r="A215" i="42"/>
  <c r="A214" i="42"/>
  <c r="A213" i="42"/>
  <c r="A212" i="42"/>
  <c r="A211" i="42"/>
  <c r="A210" i="42"/>
  <c r="A209" i="42"/>
  <c r="A208" i="42"/>
  <c r="A207" i="42"/>
  <c r="A206" i="42"/>
  <c r="A205" i="42"/>
  <c r="A204" i="42"/>
  <c r="A203" i="42"/>
  <c r="A202" i="42"/>
  <c r="A201" i="42"/>
  <c r="A200" i="42"/>
  <c r="A199" i="42"/>
  <c r="A198" i="42"/>
  <c r="A197" i="42"/>
  <c r="A196" i="42"/>
  <c r="A195" i="42"/>
  <c r="A194" i="42"/>
  <c r="A193" i="42"/>
  <c r="A192" i="42"/>
  <c r="A191" i="42"/>
  <c r="A190" i="42"/>
  <c r="A189" i="42"/>
  <c r="A188" i="42"/>
  <c r="A187" i="42"/>
  <c r="A186" i="42"/>
  <c r="A185" i="42"/>
  <c r="A184" i="42"/>
  <c r="A183" i="42"/>
  <c r="A182" i="42"/>
  <c r="A181" i="42"/>
  <c r="A180" i="42"/>
  <c r="A179" i="42"/>
  <c r="A178" i="42"/>
  <c r="A177" i="42"/>
  <c r="A176" i="42"/>
  <c r="A175" i="42"/>
  <c r="A174" i="42"/>
  <c r="A173" i="42"/>
  <c r="A172" i="42"/>
  <c r="A171" i="42"/>
  <c r="A170" i="42"/>
  <c r="A169" i="42"/>
  <c r="A168" i="42"/>
  <c r="A167" i="42"/>
  <c r="A166" i="42"/>
  <c r="A165" i="42"/>
  <c r="A164" i="42"/>
  <c r="A163" i="42"/>
  <c r="A162" i="42"/>
  <c r="A161" i="42"/>
  <c r="A160" i="42"/>
  <c r="A159" i="42"/>
  <c r="A158" i="42"/>
  <c r="A157" i="42"/>
  <c r="A137" i="42"/>
  <c r="A136" i="42"/>
  <c r="A135" i="42"/>
  <c r="A134" i="42"/>
  <c r="A133" i="42"/>
  <c r="A132" i="42"/>
  <c r="A131" i="42"/>
  <c r="A130" i="42"/>
  <c r="A129" i="42"/>
  <c r="A128" i="42"/>
  <c r="A127" i="42"/>
  <c r="A126" i="42"/>
  <c r="A125" i="42"/>
  <c r="A124" i="42"/>
  <c r="A123" i="42"/>
  <c r="A122" i="42"/>
  <c r="A121" i="42"/>
  <c r="A120" i="42"/>
  <c r="A119" i="42"/>
  <c r="A118" i="42"/>
  <c r="A117" i="42"/>
  <c r="A116" i="42"/>
  <c r="A115" i="42"/>
  <c r="A114" i="42"/>
  <c r="A113" i="42"/>
  <c r="A112" i="42"/>
  <c r="A111" i="42"/>
  <c r="A110" i="42"/>
  <c r="A109" i="42"/>
  <c r="A108" i="42"/>
  <c r="A107" i="42"/>
  <c r="A106" i="42"/>
  <c r="A105" i="42"/>
  <c r="A104" i="42"/>
  <c r="A103" i="42"/>
  <c r="A102" i="42"/>
  <c r="A101" i="42"/>
  <c r="A100" i="42"/>
  <c r="A99" i="42"/>
  <c r="A98" i="42"/>
  <c r="A97" i="42"/>
  <c r="A96" i="42"/>
  <c r="A95" i="42"/>
  <c r="A94" i="42"/>
  <c r="A93" i="42"/>
  <c r="A92" i="42"/>
  <c r="A91" i="42"/>
  <c r="A90" i="42"/>
  <c r="A89" i="42"/>
  <c r="A88" i="42"/>
  <c r="A87" i="42"/>
  <c r="A86" i="42"/>
  <c r="A85" i="42"/>
  <c r="A84" i="42"/>
  <c r="A83" i="42"/>
  <c r="A82" i="42"/>
  <c r="A81" i="42"/>
  <c r="A80" i="42"/>
  <c r="A79" i="42"/>
  <c r="A78" i="42"/>
  <c r="A77" i="42"/>
  <c r="A76" i="42"/>
  <c r="A75" i="42"/>
  <c r="A74" i="42"/>
  <c r="A73" i="42"/>
  <c r="A72" i="42"/>
  <c r="A71" i="42"/>
  <c r="A70" i="42"/>
  <c r="A69" i="42"/>
  <c r="A68" i="42"/>
  <c r="A67" i="42"/>
  <c r="A66" i="42"/>
  <c r="A65" i="42"/>
  <c r="A64" i="42"/>
  <c r="A63" i="42"/>
  <c r="A62" i="42"/>
  <c r="A61" i="42"/>
  <c r="A60" i="42"/>
  <c r="A59" i="42"/>
  <c r="A58" i="42"/>
  <c r="A57" i="42"/>
  <c r="A56" i="42"/>
  <c r="A55" i="42"/>
  <c r="A54" i="42"/>
  <c r="A53" i="42"/>
  <c r="A52" i="42"/>
  <c r="A51" i="42"/>
  <c r="A50" i="42"/>
  <c r="A49" i="42"/>
  <c r="A48" i="42"/>
  <c r="A47" i="42"/>
  <c r="A46" i="42"/>
  <c r="A45" i="42"/>
  <c r="A44" i="42"/>
  <c r="A43" i="42"/>
  <c r="D26" i="42"/>
  <c r="A26" i="42"/>
  <c r="A23" i="42"/>
  <c r="A204" i="180"/>
  <c r="A203" i="180"/>
  <c r="A202" i="180"/>
  <c r="A201" i="180"/>
  <c r="A200" i="180"/>
  <c r="A199" i="180"/>
  <c r="A198" i="180"/>
  <c r="A197" i="180"/>
  <c r="A196" i="180"/>
  <c r="A195" i="180"/>
  <c r="A194" i="180"/>
  <c r="A193" i="180"/>
  <c r="A192" i="180"/>
  <c r="A191" i="180"/>
  <c r="A190" i="180"/>
  <c r="A189" i="180"/>
  <c r="A188" i="180"/>
  <c r="A187" i="180"/>
  <c r="A186" i="180"/>
  <c r="A185" i="180"/>
  <c r="A184" i="180"/>
  <c r="A183" i="180"/>
  <c r="A182" i="180"/>
  <c r="A181" i="180"/>
  <c r="A180" i="180"/>
  <c r="A179" i="180"/>
  <c r="A178" i="180"/>
  <c r="A177" i="180"/>
  <c r="A176" i="180"/>
  <c r="A175" i="180"/>
  <c r="A174" i="180"/>
  <c r="A173" i="180"/>
  <c r="A172" i="180"/>
  <c r="A171" i="180"/>
  <c r="A170" i="180"/>
  <c r="A169" i="180"/>
  <c r="A168" i="180"/>
  <c r="A167" i="180"/>
  <c r="A147" i="180"/>
  <c r="A146" i="180"/>
  <c r="A145" i="180"/>
  <c r="A144" i="180"/>
  <c r="A143" i="180"/>
  <c r="A142" i="180"/>
  <c r="A141" i="180"/>
  <c r="A140" i="180"/>
  <c r="A139" i="180"/>
  <c r="A138" i="180"/>
  <c r="A137" i="180"/>
  <c r="A136" i="180"/>
  <c r="A135" i="180"/>
  <c r="A134" i="180"/>
  <c r="A133" i="180"/>
  <c r="A132" i="180"/>
  <c r="A131" i="180"/>
  <c r="A130" i="180"/>
  <c r="A129" i="180"/>
  <c r="A128" i="180"/>
  <c r="A127" i="180"/>
  <c r="A126" i="180"/>
  <c r="A125" i="180"/>
  <c r="A124" i="180"/>
  <c r="A123" i="180"/>
  <c r="A122" i="180"/>
  <c r="A121" i="180"/>
  <c r="A120" i="180"/>
  <c r="A119" i="180"/>
  <c r="A118" i="180"/>
  <c r="A117" i="180"/>
  <c r="A116" i="180"/>
  <c r="A115" i="180"/>
  <c r="A114" i="180"/>
  <c r="A113" i="180"/>
  <c r="A112" i="180"/>
  <c r="A111" i="180"/>
  <c r="A110" i="180"/>
  <c r="A109" i="180"/>
  <c r="A108" i="180"/>
  <c r="A107" i="180"/>
  <c r="A106" i="180"/>
  <c r="A105" i="180"/>
  <c r="A104" i="180"/>
  <c r="A103" i="180"/>
  <c r="A102" i="180"/>
  <c r="A101" i="180"/>
  <c r="A100" i="180"/>
  <c r="A99" i="180"/>
  <c r="A98" i="180"/>
  <c r="A97" i="180"/>
  <c r="A96" i="180"/>
  <c r="A95" i="180"/>
  <c r="A94" i="180"/>
  <c r="A93" i="180"/>
  <c r="A92" i="180"/>
  <c r="A91" i="180"/>
  <c r="A90" i="180"/>
  <c r="A89" i="180"/>
  <c r="A88" i="180"/>
  <c r="A87" i="180"/>
  <c r="A86" i="180"/>
  <c r="A85" i="180"/>
  <c r="A84" i="180"/>
  <c r="A83" i="180"/>
  <c r="A82" i="180"/>
  <c r="A81" i="180"/>
  <c r="A80" i="180"/>
  <c r="A79" i="180"/>
  <c r="A78" i="180"/>
  <c r="A77" i="180"/>
  <c r="A76" i="180"/>
  <c r="A75" i="180"/>
  <c r="A74" i="180"/>
  <c r="A73" i="180"/>
  <c r="A72" i="180"/>
  <c r="A71" i="180"/>
  <c r="A70" i="180"/>
  <c r="A69" i="180"/>
  <c r="A68" i="180"/>
  <c r="A67" i="180"/>
  <c r="A66" i="180"/>
  <c r="A65" i="180"/>
  <c r="A64" i="180"/>
  <c r="A63" i="180"/>
  <c r="A62" i="180"/>
  <c r="A61" i="180"/>
  <c r="A60" i="180"/>
  <c r="A59" i="180"/>
  <c r="A58" i="180"/>
  <c r="A57" i="180"/>
  <c r="T7" i="165"/>
  <c r="D20" i="165" s="1"/>
  <c r="T6" i="165"/>
  <c r="T7" i="164"/>
  <c r="D20" i="164" s="1"/>
  <c r="T6" i="164"/>
  <c r="T7" i="163"/>
  <c r="D20" i="163" s="1"/>
  <c r="T6" i="163"/>
  <c r="T7" i="161"/>
  <c r="D20" i="161" s="1"/>
  <c r="T6" i="161"/>
  <c r="P1" i="161" l="1"/>
  <c r="Q1" i="161"/>
  <c r="R1" i="161"/>
  <c r="S1" i="161"/>
  <c r="T1" i="161"/>
  <c r="U1" i="161"/>
  <c r="V1" i="161"/>
  <c r="W1" i="161"/>
  <c r="X1" i="161"/>
  <c r="Y1" i="161"/>
  <c r="Z1" i="161"/>
  <c r="AA1" i="161"/>
  <c r="AB1" i="161"/>
  <c r="AC1" i="161"/>
  <c r="AD1" i="161"/>
  <c r="AE1" i="161"/>
  <c r="AF1" i="161"/>
  <c r="AG1" i="161"/>
  <c r="AH1" i="161"/>
  <c r="AI1" i="161"/>
  <c r="AJ1" i="161"/>
  <c r="AK1" i="161"/>
  <c r="AL1" i="161"/>
  <c r="AM1" i="161"/>
  <c r="AN1" i="161"/>
  <c r="AO1" i="161"/>
  <c r="AP1" i="161"/>
  <c r="AQ1" i="161"/>
  <c r="AR1" i="161"/>
  <c r="AS1" i="161"/>
  <c r="AT1" i="161"/>
  <c r="AU1" i="161"/>
  <c r="AV1" i="161"/>
  <c r="AW1" i="161"/>
  <c r="AX1" i="161"/>
  <c r="AY1" i="161"/>
  <c r="AZ1" i="161"/>
  <c r="BA1" i="161"/>
  <c r="P4" i="161"/>
  <c r="Q4" i="161"/>
  <c r="R4" i="161"/>
  <c r="T4" i="161"/>
  <c r="P5" i="161"/>
  <c r="Q5" i="161"/>
  <c r="R5" i="161"/>
  <c r="T5" i="161"/>
  <c r="P6" i="161"/>
  <c r="Q6" i="161"/>
  <c r="R6" i="161"/>
  <c r="P7" i="161"/>
  <c r="Q7" i="161"/>
  <c r="R7" i="161"/>
  <c r="P8" i="161"/>
  <c r="Q8" i="161"/>
  <c r="R8" i="161"/>
  <c r="P9" i="161"/>
  <c r="Q9" i="161"/>
  <c r="R9" i="161"/>
  <c r="P10" i="161"/>
  <c r="Q10" i="161"/>
  <c r="R10" i="161"/>
  <c r="P11" i="161"/>
  <c r="Q11" i="161"/>
  <c r="D541" i="161" s="1"/>
  <c r="R11" i="161"/>
  <c r="D540" i="161" s="1"/>
  <c r="P12" i="161"/>
  <c r="Q12" i="161"/>
  <c r="R12" i="161"/>
  <c r="P13" i="161"/>
  <c r="Q13" i="161"/>
  <c r="R13" i="161"/>
  <c r="P14" i="161"/>
  <c r="Q14" i="161"/>
  <c r="R14" i="161"/>
  <c r="P15" i="161"/>
  <c r="Q15" i="161"/>
  <c r="R15" i="161"/>
  <c r="P16" i="161"/>
  <c r="Q16" i="161"/>
  <c r="R16" i="161"/>
  <c r="P17" i="161"/>
  <c r="Q17" i="161"/>
  <c r="R17" i="161"/>
  <c r="P18" i="161"/>
  <c r="Q18" i="161"/>
  <c r="R18" i="161"/>
  <c r="P19" i="161"/>
  <c r="Q19" i="161"/>
  <c r="R19" i="161"/>
  <c r="D269" i="161" l="1"/>
  <c r="D299" i="161"/>
  <c r="D219" i="161"/>
  <c r="D188" i="161"/>
  <c r="D289" i="161"/>
  <c r="D165" i="161"/>
  <c r="D249" i="161"/>
  <c r="D181" i="161"/>
  <c r="D279" i="161"/>
  <c r="D199" i="161"/>
  <c r="D229" i="161"/>
  <c r="D173" i="161"/>
  <c r="D209" i="161"/>
  <c r="D259" i="161"/>
  <c r="D239" i="161"/>
  <c r="D156" i="161"/>
  <c r="D76" i="161"/>
  <c r="D106" i="161"/>
  <c r="D66" i="161"/>
  <c r="D136" i="161"/>
  <c r="D56" i="161"/>
  <c r="D146" i="161"/>
  <c r="D86" i="161"/>
  <c r="D116" i="161"/>
  <c r="D46" i="161"/>
  <c r="D36" i="161"/>
  <c r="D96" i="161"/>
  <c r="D126" i="161"/>
  <c r="D380" i="161"/>
  <c r="D410" i="161"/>
  <c r="D336" i="161"/>
  <c r="D440" i="161"/>
  <c r="D360" i="161"/>
  <c r="D310" i="161"/>
  <c r="D400" i="161"/>
  <c r="D390" i="161"/>
  <c r="D328" i="161"/>
  <c r="D420" i="161"/>
  <c r="D370" i="161"/>
  <c r="D320" i="161"/>
  <c r="D430" i="161"/>
  <c r="D350" i="161"/>
  <c r="D343" i="161"/>
  <c r="D114" i="161"/>
  <c r="D144" i="161"/>
  <c r="D64" i="161"/>
  <c r="D94" i="161"/>
  <c r="D54" i="161"/>
  <c r="D124" i="161"/>
  <c r="D44" i="161"/>
  <c r="D154" i="161"/>
  <c r="D74" i="161"/>
  <c r="D104" i="161"/>
  <c r="D134" i="161"/>
  <c r="D34" i="161"/>
  <c r="D84" i="161"/>
  <c r="D429" i="161"/>
  <c r="D349" i="161"/>
  <c r="D379" i="161"/>
  <c r="D342" i="161"/>
  <c r="D419" i="161"/>
  <c r="D409" i="161"/>
  <c r="D335" i="161"/>
  <c r="D439" i="161"/>
  <c r="D359" i="161"/>
  <c r="D309" i="161"/>
  <c r="D389" i="161"/>
  <c r="D327" i="161"/>
  <c r="D369" i="161"/>
  <c r="D319" i="161"/>
  <c r="D399" i="161"/>
  <c r="D484" i="161"/>
  <c r="D453" i="161"/>
  <c r="D514" i="161"/>
  <c r="D465" i="161"/>
  <c r="D495" i="161"/>
  <c r="D524" i="161"/>
  <c r="D475" i="161"/>
  <c r="D504" i="161"/>
  <c r="D523" i="161"/>
  <c r="D473" i="161"/>
  <c r="D503" i="161"/>
  <c r="D483" i="161"/>
  <c r="D513" i="161"/>
  <c r="D451" i="161"/>
  <c r="D463" i="161"/>
  <c r="D493" i="161"/>
  <c r="D281" i="161"/>
  <c r="D250" i="161"/>
  <c r="D182" i="161"/>
  <c r="D200" i="161"/>
  <c r="D230" i="161"/>
  <c r="D174" i="161"/>
  <c r="D260" i="161"/>
  <c r="D211" i="161"/>
  <c r="D290" i="161"/>
  <c r="D241" i="161"/>
  <c r="D166" i="161"/>
  <c r="D270" i="161"/>
  <c r="D300" i="161"/>
  <c r="D220" i="161"/>
  <c r="D189" i="161"/>
  <c r="D14" i="32"/>
  <c r="V5" i="183" s="1"/>
  <c r="D13" i="32"/>
  <c r="V4" i="183" s="1"/>
  <c r="D479" i="183"/>
  <c r="D469" i="183"/>
  <c r="D459" i="183"/>
  <c r="D449" i="183"/>
  <c r="D439" i="183"/>
  <c r="D429" i="183"/>
  <c r="D419" i="183"/>
  <c r="D409" i="183"/>
  <c r="D398" i="183"/>
  <c r="D388" i="183"/>
  <c r="D378" i="183"/>
  <c r="D367" i="183"/>
  <c r="D357" i="183"/>
  <c r="D347" i="183"/>
  <c r="D336" i="183"/>
  <c r="D326" i="183"/>
  <c r="D316" i="183"/>
  <c r="D306" i="183"/>
  <c r="D296" i="183"/>
  <c r="D285" i="183"/>
  <c r="D275" i="183"/>
  <c r="D265" i="183"/>
  <c r="D255" i="183"/>
  <c r="D245" i="183"/>
  <c r="D234" i="183"/>
  <c r="D224" i="183"/>
  <c r="D214" i="183"/>
  <c r="D204" i="183"/>
  <c r="D194" i="183"/>
  <c r="D183" i="183"/>
  <c r="D173" i="183"/>
  <c r="D163" i="183"/>
  <c r="D153" i="183"/>
  <c r="D143" i="183"/>
  <c r="D133" i="183"/>
  <c r="D123" i="183"/>
  <c r="D112" i="183"/>
  <c r="D102" i="183"/>
  <c r="D92" i="183"/>
  <c r="D82" i="183"/>
  <c r="D72" i="183"/>
  <c r="D62" i="183"/>
  <c r="D52" i="183"/>
  <c r="D42" i="183"/>
  <c r="U5" i="183" l="1"/>
  <c r="T5" i="183"/>
  <c r="U4" i="183"/>
  <c r="T4" i="183"/>
  <c r="D488" i="183" l="1"/>
  <c r="D407" i="183"/>
  <c r="D325" i="183"/>
  <c r="D243" i="183"/>
  <c r="D162" i="183"/>
  <c r="D81" i="183"/>
  <c r="D428" i="183"/>
  <c r="D335" i="183"/>
  <c r="D478" i="183"/>
  <c r="D397" i="183"/>
  <c r="D315" i="183"/>
  <c r="D233" i="183"/>
  <c r="D152" i="183"/>
  <c r="D71" i="183"/>
  <c r="D468" i="183"/>
  <c r="D387" i="183"/>
  <c r="D305" i="183"/>
  <c r="D223" i="183"/>
  <c r="D142" i="183"/>
  <c r="D61" i="183"/>
  <c r="D182" i="183"/>
  <c r="D172" i="183"/>
  <c r="D458" i="183"/>
  <c r="D376" i="183"/>
  <c r="D294" i="183"/>
  <c r="D213" i="183"/>
  <c r="D132" i="183"/>
  <c r="D51" i="183"/>
  <c r="D192" i="183"/>
  <c r="D264" i="183"/>
  <c r="D91" i="183"/>
  <c r="D448" i="183"/>
  <c r="D366" i="183"/>
  <c r="D284" i="183"/>
  <c r="D203" i="183"/>
  <c r="D121" i="183"/>
  <c r="D41" i="183"/>
  <c r="D438" i="183"/>
  <c r="D274" i="183"/>
  <c r="D111" i="183"/>
  <c r="D30" i="183"/>
  <c r="D345" i="183"/>
  <c r="D418" i="183"/>
  <c r="D356" i="183"/>
  <c r="D101" i="183"/>
  <c r="D254" i="183"/>
  <c r="D21" i="183"/>
  <c r="AN4" i="183" l="1"/>
  <c r="AO5" i="183"/>
  <c r="AP4" i="183"/>
  <c r="AQ4" i="183"/>
  <c r="AR5" i="183"/>
  <c r="AS4" i="183"/>
  <c r="AT5" i="183"/>
  <c r="AU4" i="183"/>
  <c r="AV5" i="183"/>
  <c r="AM4" i="183"/>
  <c r="AN5" i="183" l="1"/>
  <c r="A146" i="183" s="1"/>
  <c r="AV4" i="183"/>
  <c r="AR4" i="183"/>
  <c r="AS5" i="183"/>
  <c r="A331" i="183" s="1"/>
  <c r="AO4" i="183"/>
  <c r="AP5" i="183"/>
  <c r="A456" i="183" s="1"/>
  <c r="AT4" i="183"/>
  <c r="AQ5" i="183"/>
  <c r="AU5" i="183"/>
  <c r="A472" i="183" s="1"/>
  <c r="AM5" i="183"/>
  <c r="A424" i="183" s="1"/>
  <c r="A60" i="183" l="1"/>
  <c r="A53" i="183"/>
  <c r="A433" i="183"/>
  <c r="A219" i="183"/>
  <c r="A421" i="183"/>
  <c r="A373" i="183"/>
  <c r="A258" i="183"/>
  <c r="A270" i="183"/>
  <c r="A51" i="183"/>
  <c r="A267" i="183"/>
  <c r="A218" i="183"/>
  <c r="A313" i="183"/>
  <c r="A386" i="183"/>
  <c r="A167" i="183"/>
  <c r="A478" i="183"/>
  <c r="A111" i="183"/>
  <c r="A57" i="183"/>
  <c r="A438" i="183"/>
  <c r="A150" i="183"/>
  <c r="A54" i="183"/>
  <c r="A307" i="183"/>
  <c r="A134" i="183"/>
  <c r="A255" i="183"/>
  <c r="A141" i="183"/>
  <c r="A260" i="183"/>
  <c r="A379" i="183"/>
  <c r="A168" i="183"/>
  <c r="A317" i="183"/>
  <c r="A321" i="183"/>
  <c r="A243" i="183"/>
  <c r="A477" i="183"/>
  <c r="A291" i="183"/>
  <c r="A216" i="183"/>
  <c r="A215" i="183"/>
  <c r="A144" i="183"/>
  <c r="A425" i="183"/>
  <c r="A138" i="183"/>
  <c r="A140" i="183"/>
  <c r="A423" i="183"/>
  <c r="A316" i="183"/>
  <c r="A458" i="183"/>
  <c r="A234" i="183"/>
  <c r="A74" i="183"/>
  <c r="A375" i="183"/>
  <c r="A469" i="183"/>
  <c r="A476" i="183"/>
  <c r="A287" i="183"/>
  <c r="A435" i="183"/>
  <c r="A61" i="183"/>
  <c r="A52" i="183"/>
  <c r="A56" i="183"/>
  <c r="A221" i="183"/>
  <c r="A58" i="183"/>
  <c r="A44" i="183"/>
  <c r="A133" i="183"/>
  <c r="A137" i="183"/>
  <c r="A419" i="183"/>
  <c r="A271" i="183"/>
  <c r="A73" i="183"/>
  <c r="A269" i="183"/>
  <c r="A274" i="183"/>
  <c r="A236" i="183"/>
  <c r="A102" i="183"/>
  <c r="A286" i="183"/>
  <c r="A471" i="183"/>
  <c r="A431" i="183"/>
  <c r="A145" i="183"/>
  <c r="A326" i="183"/>
  <c r="A327" i="183"/>
  <c r="A182" i="183"/>
  <c r="A176" i="183"/>
  <c r="A181" i="183"/>
  <c r="A333" i="183"/>
  <c r="A174" i="183"/>
  <c r="A178" i="183"/>
  <c r="A259" i="183"/>
  <c r="A208" i="183"/>
  <c r="A426" i="183"/>
  <c r="A47" i="183"/>
  <c r="A206" i="183"/>
  <c r="A310" i="183"/>
  <c r="A264" i="183"/>
  <c r="A315" i="183"/>
  <c r="A139" i="183"/>
  <c r="A204" i="183"/>
  <c r="A308" i="183"/>
  <c r="A209" i="183"/>
  <c r="A205" i="183"/>
  <c r="A207" i="183"/>
  <c r="A42" i="183"/>
  <c r="A210" i="183"/>
  <c r="A309" i="183"/>
  <c r="A266" i="183"/>
  <c r="A72" i="183"/>
  <c r="A241" i="183"/>
  <c r="A238" i="183"/>
  <c r="A172" i="183"/>
  <c r="A81" i="183"/>
  <c r="A76" i="183"/>
  <c r="A372" i="183"/>
  <c r="A322" i="183"/>
  <c r="A378" i="183"/>
  <c r="A170" i="183"/>
  <c r="A383" i="183"/>
  <c r="A376" i="183"/>
  <c r="A318" i="183"/>
  <c r="A380" i="183"/>
  <c r="A370" i="183"/>
  <c r="A80" i="183"/>
  <c r="A323" i="183"/>
  <c r="A319" i="183"/>
  <c r="A325" i="183"/>
  <c r="A473" i="183"/>
  <c r="A104" i="183"/>
  <c r="A294" i="183"/>
  <c r="A402" i="183"/>
  <c r="A107" i="183"/>
  <c r="A399" i="183"/>
  <c r="A405" i="183"/>
  <c r="A401" i="183"/>
  <c r="A474" i="183"/>
  <c r="A292" i="183"/>
  <c r="A86" i="183"/>
  <c r="A328" i="183"/>
  <c r="A91" i="183"/>
  <c r="A335" i="183"/>
  <c r="A391" i="183"/>
  <c r="A276" i="183"/>
  <c r="A275" i="183"/>
  <c r="A389" i="183"/>
  <c r="A279" i="183"/>
  <c r="A99" i="183"/>
  <c r="A388" i="183"/>
  <c r="A101" i="183"/>
  <c r="A462" i="183"/>
  <c r="A468" i="183"/>
  <c r="A466" i="183"/>
  <c r="A95" i="183"/>
  <c r="A463" i="183"/>
  <c r="A96" i="183"/>
  <c r="A277" i="183"/>
  <c r="A464" i="183"/>
  <c r="A284" i="183"/>
  <c r="A461" i="183"/>
  <c r="A396" i="183"/>
  <c r="A465" i="183"/>
  <c r="A278" i="183"/>
  <c r="A280" i="183"/>
  <c r="A459" i="183"/>
  <c r="A94" i="183"/>
  <c r="A93" i="183"/>
  <c r="A92" i="183"/>
  <c r="A98" i="183"/>
  <c r="A467" i="183"/>
  <c r="A392" i="183"/>
  <c r="A460" i="183"/>
  <c r="A395" i="183"/>
  <c r="A390" i="183"/>
  <c r="A397" i="183"/>
  <c r="A393" i="183"/>
  <c r="A282" i="183"/>
  <c r="A394" i="183"/>
  <c r="A281" i="183"/>
  <c r="A283" i="183"/>
  <c r="A97" i="183"/>
  <c r="A100" i="183"/>
  <c r="A488" i="183"/>
  <c r="A341" i="183"/>
  <c r="A340" i="183"/>
  <c r="A188" i="183"/>
  <c r="A112" i="183"/>
  <c r="A344" i="183"/>
  <c r="A192" i="183"/>
  <c r="A115" i="183"/>
  <c r="A343" i="183"/>
  <c r="A121" i="183"/>
  <c r="A484" i="183"/>
  <c r="A337" i="183"/>
  <c r="A190" i="183"/>
  <c r="A487" i="183"/>
  <c r="A183" i="183"/>
  <c r="A339" i="183"/>
  <c r="A187" i="183"/>
  <c r="A189" i="183"/>
  <c r="A480" i="183"/>
  <c r="A186" i="183"/>
  <c r="A482" i="183"/>
  <c r="A120" i="183"/>
  <c r="A486" i="183"/>
  <c r="A191" i="183"/>
  <c r="A114" i="183"/>
  <c r="A345" i="183"/>
  <c r="A119" i="183"/>
  <c r="A485" i="183"/>
  <c r="A342" i="183"/>
  <c r="A113" i="183"/>
  <c r="A483" i="183"/>
  <c r="A479" i="183"/>
  <c r="A116" i="183"/>
  <c r="A338" i="183"/>
  <c r="A118" i="183"/>
  <c r="A184" i="183"/>
  <c r="A117" i="183"/>
  <c r="A481" i="183"/>
  <c r="A336" i="183"/>
  <c r="A185" i="183"/>
  <c r="A434" i="183"/>
  <c r="A220" i="183"/>
  <c r="A437" i="183"/>
  <c r="A217" i="183"/>
  <c r="A430" i="183"/>
  <c r="A148" i="183"/>
  <c r="A432" i="183"/>
  <c r="A223" i="183"/>
  <c r="A149" i="183"/>
  <c r="A429" i="183"/>
  <c r="A173" i="183"/>
  <c r="A85" i="183"/>
  <c r="A179" i="183"/>
  <c r="A329" i="183"/>
  <c r="A334" i="183"/>
  <c r="A84" i="183"/>
  <c r="A89" i="183"/>
  <c r="A49" i="183"/>
  <c r="A362" i="183"/>
  <c r="A261" i="183"/>
  <c r="A212" i="183"/>
  <c r="A262" i="183"/>
  <c r="A135" i="183"/>
  <c r="A50" i="183"/>
  <c r="A142" i="183"/>
  <c r="A306" i="183"/>
  <c r="A311" i="183"/>
  <c r="A312" i="183"/>
  <c r="A366" i="183"/>
  <c r="A361" i="183"/>
  <c r="A314" i="183"/>
  <c r="A256" i="183"/>
  <c r="A213" i="183"/>
  <c r="A363" i="183"/>
  <c r="A358" i="183"/>
  <c r="A166" i="183"/>
  <c r="A77" i="183"/>
  <c r="A368" i="183"/>
  <c r="A273" i="183"/>
  <c r="A369" i="183"/>
  <c r="A381" i="183"/>
  <c r="A164" i="183"/>
  <c r="A237" i="183"/>
  <c r="A453" i="183"/>
  <c r="A242" i="183"/>
  <c r="A235" i="183"/>
  <c r="A320" i="183"/>
  <c r="A79" i="183"/>
  <c r="A384" i="183"/>
  <c r="A239" i="183"/>
  <c r="A387" i="183"/>
  <c r="A169" i="183"/>
  <c r="A367" i="183"/>
  <c r="A385" i="183"/>
  <c r="A374" i="183"/>
  <c r="A398" i="183"/>
  <c r="A109" i="183"/>
  <c r="A106" i="183"/>
  <c r="A404" i="183"/>
  <c r="A290" i="183"/>
  <c r="A105" i="183"/>
  <c r="A470" i="183"/>
  <c r="A288" i="183"/>
  <c r="A475" i="183"/>
  <c r="A407" i="183"/>
  <c r="A180" i="183"/>
  <c r="A82" i="183"/>
  <c r="A330" i="183"/>
  <c r="A83" i="183"/>
  <c r="A440" i="183"/>
  <c r="A227" i="183"/>
  <c r="A162" i="183"/>
  <c r="A232" i="183"/>
  <c r="A67" i="183"/>
  <c r="A157" i="183"/>
  <c r="A158" i="183"/>
  <c r="A445" i="183"/>
  <c r="A226" i="183"/>
  <c r="A161" i="183"/>
  <c r="A230" i="183"/>
  <c r="A63" i="183"/>
  <c r="A159" i="183"/>
  <c r="A233" i="183"/>
  <c r="A448" i="183"/>
  <c r="A154" i="183"/>
  <c r="A439" i="183"/>
  <c r="A156" i="183"/>
  <c r="A443" i="183"/>
  <c r="A225" i="183"/>
  <c r="A160" i="183"/>
  <c r="A64" i="183"/>
  <c r="A447" i="183"/>
  <c r="A153" i="183"/>
  <c r="A228" i="183"/>
  <c r="A442" i="183"/>
  <c r="A229" i="183"/>
  <c r="A65" i="183"/>
  <c r="A231" i="183"/>
  <c r="A69" i="183"/>
  <c r="A441" i="183"/>
  <c r="A62" i="183"/>
  <c r="A444" i="183"/>
  <c r="A155" i="183"/>
  <c r="A224" i="183"/>
  <c r="A68" i="183"/>
  <c r="A446" i="183"/>
  <c r="A70" i="183"/>
  <c r="A71" i="183"/>
  <c r="A66" i="183"/>
  <c r="A55" i="183"/>
  <c r="A143" i="183"/>
  <c r="A222" i="183"/>
  <c r="A152" i="183"/>
  <c r="A151" i="183"/>
  <c r="A59" i="183"/>
  <c r="A147" i="183"/>
  <c r="A436" i="183"/>
  <c r="A214" i="183"/>
  <c r="A175" i="183"/>
  <c r="A87" i="183"/>
  <c r="A88" i="183"/>
  <c r="A90" i="183"/>
  <c r="A177" i="183"/>
  <c r="A332" i="183"/>
  <c r="A136" i="183"/>
  <c r="A428" i="183"/>
  <c r="A359" i="183"/>
  <c r="A46" i="183"/>
  <c r="A43" i="183"/>
  <c r="A45" i="183"/>
  <c r="A263" i="183"/>
  <c r="A48" i="183"/>
  <c r="A360" i="183"/>
  <c r="A365" i="183"/>
  <c r="A422" i="183"/>
  <c r="A364" i="183"/>
  <c r="A427" i="183"/>
  <c r="A357" i="183"/>
  <c r="A420" i="183"/>
  <c r="A257" i="183"/>
  <c r="A211" i="183"/>
  <c r="A163" i="183"/>
  <c r="A382" i="183"/>
  <c r="A455" i="183"/>
  <c r="A371" i="183"/>
  <c r="A457" i="183"/>
  <c r="A78" i="183"/>
  <c r="A240" i="183"/>
  <c r="A324" i="183"/>
  <c r="A75" i="183"/>
  <c r="A265" i="183"/>
  <c r="A268" i="183"/>
  <c r="A451" i="183"/>
  <c r="A165" i="183"/>
  <c r="A449" i="183"/>
  <c r="A272" i="183"/>
  <c r="A452" i="183"/>
  <c r="A171" i="183"/>
  <c r="A454" i="183"/>
  <c r="A450" i="183"/>
  <c r="A110" i="183"/>
  <c r="A293" i="183"/>
  <c r="A103" i="183"/>
  <c r="A285" i="183"/>
  <c r="A400" i="183"/>
  <c r="A289" i="183"/>
  <c r="A108" i="183"/>
  <c r="A403" i="183"/>
  <c r="A406" i="183"/>
  <c r="D32" i="183"/>
  <c r="AL4" i="183"/>
  <c r="R19" i="183"/>
  <c r="Q19" i="183"/>
  <c r="P19" i="183"/>
  <c r="R18" i="183"/>
  <c r="Q18" i="183"/>
  <c r="P18" i="183"/>
  <c r="R17" i="183"/>
  <c r="Q17" i="183"/>
  <c r="P17" i="183"/>
  <c r="R16" i="183"/>
  <c r="Q16" i="183"/>
  <c r="P16" i="183"/>
  <c r="R15" i="183"/>
  <c r="Q15" i="183"/>
  <c r="P15" i="183"/>
  <c r="R14" i="183"/>
  <c r="Q14" i="183"/>
  <c r="P14" i="183"/>
  <c r="R13" i="183"/>
  <c r="Q13" i="183"/>
  <c r="P13" i="183"/>
  <c r="R12" i="183"/>
  <c r="Q12" i="183"/>
  <c r="P12" i="183"/>
  <c r="R11" i="183"/>
  <c r="Q11" i="183"/>
  <c r="P11" i="183"/>
  <c r="R10" i="183"/>
  <c r="Q10" i="183"/>
  <c r="P10" i="183"/>
  <c r="R9" i="183"/>
  <c r="Q9" i="183"/>
  <c r="P9" i="183"/>
  <c r="R8" i="183"/>
  <c r="Q8" i="183"/>
  <c r="P8" i="183"/>
  <c r="R7" i="183"/>
  <c r="Q7" i="183"/>
  <c r="P7" i="183"/>
  <c r="R6" i="183"/>
  <c r="Q6" i="183"/>
  <c r="P6" i="183"/>
  <c r="R5" i="183"/>
  <c r="Q5" i="183"/>
  <c r="P5" i="183"/>
  <c r="R4" i="183"/>
  <c r="Q4" i="183"/>
  <c r="P4" i="183"/>
  <c r="BA1" i="183"/>
  <c r="AZ1" i="183"/>
  <c r="AY1" i="183"/>
  <c r="AX1" i="183"/>
  <c r="AW1" i="183"/>
  <c r="AJ1" i="183"/>
  <c r="AI1" i="183"/>
  <c r="AH1" i="183"/>
  <c r="AG1" i="183"/>
  <c r="AF1" i="183"/>
  <c r="AE1" i="183"/>
  <c r="AD1" i="183"/>
  <c r="AC1" i="183"/>
  <c r="AB1" i="183"/>
  <c r="AA1" i="183"/>
  <c r="Z1" i="183"/>
  <c r="Y1" i="183"/>
  <c r="X1" i="183"/>
  <c r="W1" i="183"/>
  <c r="V1" i="183"/>
  <c r="U1" i="183"/>
  <c r="T1" i="183"/>
  <c r="S1" i="183"/>
  <c r="R1" i="183"/>
  <c r="Q1" i="183"/>
  <c r="P1" i="183"/>
  <c r="D481" i="183" l="1"/>
  <c r="D470" i="183"/>
  <c r="D461" i="183"/>
  <c r="D450" i="183"/>
  <c r="D441" i="183"/>
  <c r="D430" i="183"/>
  <c r="D421" i="183"/>
  <c r="D410" i="183"/>
  <c r="D480" i="183"/>
  <c r="D471" i="183"/>
  <c r="D460" i="183"/>
  <c r="D451" i="183"/>
  <c r="D440" i="183"/>
  <c r="D431" i="183"/>
  <c r="D420" i="183"/>
  <c r="D411" i="183"/>
  <c r="D400" i="183"/>
  <c r="D389" i="183"/>
  <c r="D380" i="183"/>
  <c r="D399" i="183"/>
  <c r="D390" i="183"/>
  <c r="D379" i="183"/>
  <c r="D369" i="183"/>
  <c r="D358" i="183"/>
  <c r="D349" i="183"/>
  <c r="D368" i="183"/>
  <c r="D359" i="183"/>
  <c r="D348" i="183"/>
  <c r="D338" i="183"/>
  <c r="D327" i="183"/>
  <c r="D318" i="183"/>
  <c r="D307" i="183"/>
  <c r="D298" i="183"/>
  <c r="D317" i="183"/>
  <c r="D297" i="183"/>
  <c r="D337" i="183"/>
  <c r="D328" i="183"/>
  <c r="D308" i="183"/>
  <c r="D286" i="183"/>
  <c r="D277" i="183"/>
  <c r="D267" i="183"/>
  <c r="D256" i="183"/>
  <c r="D247" i="183"/>
  <c r="D287" i="183"/>
  <c r="D276" i="183"/>
  <c r="D266" i="183"/>
  <c r="D257" i="183"/>
  <c r="D246" i="183"/>
  <c r="D235" i="183"/>
  <c r="D226" i="183"/>
  <c r="D215" i="183"/>
  <c r="D206" i="183"/>
  <c r="D195" i="183"/>
  <c r="D236" i="183"/>
  <c r="D225" i="183"/>
  <c r="D216" i="183"/>
  <c r="D205" i="183"/>
  <c r="D196" i="183"/>
  <c r="D185" i="183"/>
  <c r="D174" i="183"/>
  <c r="D165" i="183"/>
  <c r="D154" i="183"/>
  <c r="D145" i="183"/>
  <c r="D134" i="183"/>
  <c r="D125" i="183"/>
  <c r="D184" i="183"/>
  <c r="D175" i="183"/>
  <c r="D164" i="183"/>
  <c r="D155" i="183"/>
  <c r="D144" i="183"/>
  <c r="D135" i="183"/>
  <c r="D124" i="183"/>
  <c r="D94" i="183"/>
  <c r="D83" i="183"/>
  <c r="D54" i="183"/>
  <c r="D113" i="183"/>
  <c r="D84" i="183"/>
  <c r="D104" i="183"/>
  <c r="D93" i="183"/>
  <c r="D64" i="183"/>
  <c r="D53" i="183"/>
  <c r="D44" i="183"/>
  <c r="D73" i="183"/>
  <c r="D114" i="183"/>
  <c r="D103" i="183"/>
  <c r="D74" i="183"/>
  <c r="D63" i="183"/>
  <c r="D43" i="183"/>
  <c r="D34" i="183"/>
  <c r="D33" i="183"/>
  <c r="D22" i="183"/>
  <c r="D23" i="183"/>
  <c r="AL5" i="183"/>
  <c r="A195" i="183" s="1"/>
  <c r="AK5" i="183"/>
  <c r="A29" i="183" s="1"/>
  <c r="K4" i="139"/>
  <c r="A125" i="183" l="1"/>
  <c r="A28" i="183"/>
  <c r="A23" i="183"/>
  <c r="A32" i="183"/>
  <c r="A33" i="183"/>
  <c r="A356" i="183"/>
  <c r="A296" i="183"/>
  <c r="A27" i="183"/>
  <c r="A21" i="183"/>
  <c r="A37" i="183"/>
  <c r="A199" i="183"/>
  <c r="A203" i="183"/>
  <c r="A354" i="183"/>
  <c r="A353" i="183"/>
  <c r="A194" i="183"/>
  <c r="A251" i="183"/>
  <c r="A416" i="183"/>
  <c r="A300" i="183"/>
  <c r="A30" i="183"/>
  <c r="A34" i="183"/>
  <c r="A355" i="183"/>
  <c r="A412" i="183"/>
  <c r="A202" i="183"/>
  <c r="A129" i="183"/>
  <c r="A127" i="183"/>
  <c r="A130" i="183"/>
  <c r="A248" i="183"/>
  <c r="A347" i="183"/>
  <c r="A349" i="183"/>
  <c r="A39" i="183"/>
  <c r="A41" i="183"/>
  <c r="A410" i="183"/>
  <c r="A200" i="183"/>
  <c r="A252" i="183"/>
  <c r="A409" i="183"/>
  <c r="A246" i="183"/>
  <c r="A201" i="183"/>
  <c r="A132" i="183"/>
  <c r="A254" i="183"/>
  <c r="A22" i="183"/>
  <c r="A24" i="183"/>
  <c r="A36" i="183"/>
  <c r="A297" i="183"/>
  <c r="A35" i="183"/>
  <c r="A299" i="183"/>
  <c r="A414" i="183"/>
  <c r="A196" i="183"/>
  <c r="A351" i="183"/>
  <c r="A126" i="183"/>
  <c r="A198" i="183"/>
  <c r="A124" i="183"/>
  <c r="A352" i="183"/>
  <c r="A301" i="183"/>
  <c r="A38" i="183"/>
  <c r="A128" i="183"/>
  <c r="A249" i="183"/>
  <c r="A245" i="183"/>
  <c r="A302" i="183"/>
  <c r="A298" i="183"/>
  <c r="A25" i="183"/>
  <c r="A26" i="183"/>
  <c r="A415" i="183"/>
  <c r="A348" i="183"/>
  <c r="A197" i="183"/>
  <c r="A417" i="183"/>
  <c r="A250" i="183"/>
  <c r="A40" i="183"/>
  <c r="A303" i="183"/>
  <c r="A304" i="183"/>
  <c r="A413" i="183"/>
  <c r="A247" i="183"/>
  <c r="A418" i="183"/>
  <c r="A350" i="183"/>
  <c r="A123" i="183"/>
  <c r="A253" i="183"/>
  <c r="A305" i="183"/>
  <c r="A131" i="183"/>
  <c r="A411" i="183"/>
  <c r="A357" i="181"/>
  <c r="A356" i="181"/>
  <c r="A355" i="181"/>
  <c r="A354" i="181"/>
  <c r="A353" i="181"/>
  <c r="A352" i="181"/>
  <c r="A351" i="181"/>
  <c r="A350" i="181"/>
  <c r="A349" i="181"/>
  <c r="A348" i="181"/>
  <c r="A347" i="181"/>
  <c r="A346" i="181"/>
  <c r="A345" i="181"/>
  <c r="A344" i="181"/>
  <c r="A343" i="181"/>
  <c r="A342" i="181"/>
  <c r="A341" i="181"/>
  <c r="A340" i="181"/>
  <c r="A339" i="181"/>
  <c r="A338" i="181"/>
  <c r="A337" i="181"/>
  <c r="A336" i="181"/>
  <c r="A335" i="181"/>
  <c r="A334" i="181"/>
  <c r="A333" i="181"/>
  <c r="A332" i="181"/>
  <c r="A331" i="181"/>
  <c r="A330" i="181"/>
  <c r="A329" i="181"/>
  <c r="A328" i="181"/>
  <c r="A327" i="181"/>
  <c r="A326" i="181"/>
  <c r="A325" i="181"/>
  <c r="A324" i="181"/>
  <c r="A323" i="181"/>
  <c r="A322" i="181"/>
  <c r="A321" i="181"/>
  <c r="A320" i="181"/>
  <c r="A319" i="181"/>
  <c r="A318" i="181"/>
  <c r="A317" i="181"/>
  <c r="A316" i="181"/>
  <c r="A315" i="181"/>
  <c r="A314" i="181"/>
  <c r="A313" i="181"/>
  <c r="A312" i="181"/>
  <c r="A311" i="181"/>
  <c r="A310" i="181"/>
  <c r="A309" i="181"/>
  <c r="A308" i="181"/>
  <c r="A307" i="181"/>
  <c r="A306" i="181"/>
  <c r="A305" i="181"/>
  <c r="A304" i="181"/>
  <c r="A303" i="181"/>
  <c r="A302" i="181"/>
  <c r="A301" i="181"/>
  <c r="A300" i="181"/>
  <c r="A299" i="181"/>
  <c r="A298" i="181"/>
  <c r="A297" i="181"/>
  <c r="A296" i="181"/>
  <c r="A295" i="181"/>
  <c r="A294" i="181"/>
  <c r="A293" i="181"/>
  <c r="A292" i="181"/>
  <c r="A291" i="181"/>
  <c r="A290" i="181"/>
  <c r="A289" i="181"/>
  <c r="A288" i="181"/>
  <c r="A287" i="181"/>
  <c r="A286" i="181"/>
  <c r="A285" i="181"/>
  <c r="A284" i="181"/>
  <c r="A283" i="181"/>
  <c r="A282" i="181"/>
  <c r="A281" i="181"/>
  <c r="A280" i="181"/>
  <c r="A279" i="181"/>
  <c r="A278" i="181"/>
  <c r="A277" i="181"/>
  <c r="A276" i="181"/>
  <c r="A275" i="181"/>
  <c r="A274" i="181"/>
  <c r="A273" i="181"/>
  <c r="A272" i="181"/>
  <c r="A271" i="181"/>
  <c r="A270" i="181"/>
  <c r="A269" i="181"/>
  <c r="A268" i="181"/>
  <c r="A267" i="181"/>
  <c r="A266" i="181"/>
  <c r="A265" i="181"/>
  <c r="A264" i="181"/>
  <c r="A263" i="181"/>
  <c r="A262" i="181"/>
  <c r="A261" i="181"/>
  <c r="A260" i="181"/>
  <c r="A259" i="181"/>
  <c r="A258" i="181"/>
  <c r="A257" i="181"/>
  <c r="A256" i="181"/>
  <c r="A255" i="181"/>
  <c r="A254" i="181"/>
  <c r="A253" i="181"/>
  <c r="A252" i="181"/>
  <c r="A251" i="181"/>
  <c r="A250" i="181"/>
  <c r="A249" i="181"/>
  <c r="A248" i="181"/>
  <c r="A247" i="181"/>
  <c r="A246" i="181"/>
  <c r="A245" i="181"/>
  <c r="A244" i="181"/>
  <c r="A243" i="181"/>
  <c r="A242" i="181"/>
  <c r="A241" i="181"/>
  <c r="A240" i="181"/>
  <c r="A239" i="181"/>
  <c r="A238" i="181"/>
  <c r="A237" i="181"/>
  <c r="A236" i="181"/>
  <c r="A235" i="181"/>
  <c r="A234" i="181"/>
  <c r="A233" i="181"/>
  <c r="A232" i="181"/>
  <c r="A231" i="181"/>
  <c r="A230" i="181"/>
  <c r="A229" i="181"/>
  <c r="A228" i="181"/>
  <c r="A227" i="181"/>
  <c r="A226" i="181"/>
  <c r="A225" i="181"/>
  <c r="A224" i="181"/>
  <c r="A223" i="181"/>
  <c r="A222" i="181"/>
  <c r="A221" i="181"/>
  <c r="A220" i="181"/>
  <c r="A219" i="181"/>
  <c r="A218" i="181"/>
  <c r="A217" i="181"/>
  <c r="A216" i="181"/>
  <c r="A215" i="181"/>
  <c r="A214" i="181"/>
  <c r="A213" i="181"/>
  <c r="A212" i="181"/>
  <c r="A211" i="181"/>
  <c r="A210" i="181"/>
  <c r="A209" i="181"/>
  <c r="A208" i="181"/>
  <c r="A207" i="181"/>
  <c r="A206" i="181"/>
  <c r="A205" i="181"/>
  <c r="A204" i="181"/>
  <c r="A203" i="181"/>
  <c r="A202" i="181"/>
  <c r="A201" i="181"/>
  <c r="A200" i="181"/>
  <c r="A199" i="181"/>
  <c r="A198" i="181"/>
  <c r="A197" i="181"/>
  <c r="A196" i="181"/>
  <c r="A195" i="181"/>
  <c r="A194" i="181"/>
  <c r="A193" i="181"/>
  <c r="A192" i="181"/>
  <c r="A191" i="181"/>
  <c r="A190" i="181"/>
  <c r="A189" i="181"/>
  <c r="A188" i="181"/>
  <c r="A187" i="181"/>
  <c r="A186" i="181"/>
  <c r="A185" i="181"/>
  <c r="A184" i="181"/>
  <c r="A183" i="181"/>
  <c r="A182" i="181"/>
  <c r="A181" i="181"/>
  <c r="A180" i="181"/>
  <c r="A179" i="181"/>
  <c r="A178" i="181"/>
  <c r="A177" i="181"/>
  <c r="A176" i="181"/>
  <c r="A175" i="181"/>
  <c r="A174" i="181"/>
  <c r="A173" i="181"/>
  <c r="A172" i="181"/>
  <c r="A171" i="181"/>
  <c r="A170" i="181"/>
  <c r="A169" i="181"/>
  <c r="A168" i="181"/>
  <c r="A167" i="181"/>
  <c r="A166" i="181"/>
  <c r="A165" i="181"/>
  <c r="A164" i="181"/>
  <c r="A163" i="181"/>
  <c r="A162" i="181"/>
  <c r="A161" i="181"/>
  <c r="A160" i="181"/>
  <c r="A159" i="181"/>
  <c r="A158" i="181"/>
  <c r="A157" i="181"/>
  <c r="A156" i="181"/>
  <c r="A155" i="181"/>
  <c r="A154" i="181"/>
  <c r="A153" i="181"/>
  <c r="A152" i="181"/>
  <c r="A151" i="181"/>
  <c r="A150" i="181"/>
  <c r="A149" i="181"/>
  <c r="A148" i="181"/>
  <c r="A147" i="181"/>
  <c r="A146" i="181"/>
  <c r="A145" i="181"/>
  <c r="A144" i="181"/>
  <c r="A143" i="181"/>
  <c r="A142" i="181"/>
  <c r="A141" i="181"/>
  <c r="A140" i="181"/>
  <c r="A139" i="181"/>
  <c r="A138" i="181"/>
  <c r="A137" i="181"/>
  <c r="A136" i="181"/>
  <c r="A135" i="181"/>
  <c r="A134" i="181"/>
  <c r="A133" i="181"/>
  <c r="A132" i="181"/>
  <c r="A131" i="181"/>
  <c r="A130" i="181"/>
  <c r="A129" i="181"/>
  <c r="A128" i="181"/>
  <c r="A127" i="181"/>
  <c r="A126" i="181"/>
  <c r="A125" i="181"/>
  <c r="A124" i="181"/>
  <c r="A123" i="181"/>
  <c r="A122" i="181"/>
  <c r="A121" i="181"/>
  <c r="A120" i="181"/>
  <c r="A119" i="181"/>
  <c r="A118" i="181"/>
  <c r="A117" i="181"/>
  <c r="A116" i="181"/>
  <c r="A115" i="181"/>
  <c r="A114" i="181"/>
  <c r="A113" i="181"/>
  <c r="A112" i="181"/>
  <c r="A111" i="181"/>
  <c r="A110" i="181"/>
  <c r="A109" i="181"/>
  <c r="A108" i="181"/>
  <c r="A107" i="181"/>
  <c r="A106" i="181"/>
  <c r="A105" i="181"/>
  <c r="A104" i="181"/>
  <c r="A103" i="181"/>
  <c r="A102" i="181"/>
  <c r="A101" i="181"/>
  <c r="A100" i="181"/>
  <c r="A99" i="181"/>
  <c r="A98" i="181"/>
  <c r="A97" i="181"/>
  <c r="A96" i="181"/>
  <c r="A95" i="181"/>
  <c r="A94" i="181"/>
  <c r="A93" i="181"/>
  <c r="A92" i="181"/>
  <c r="A91" i="181"/>
  <c r="A90" i="181"/>
  <c r="A89" i="181"/>
  <c r="A88" i="181"/>
  <c r="A87" i="181"/>
  <c r="A86" i="181"/>
  <c r="A85" i="181"/>
  <c r="A84" i="181"/>
  <c r="A83" i="181"/>
  <c r="A82" i="181"/>
  <c r="A81" i="181"/>
  <c r="A80" i="181"/>
  <c r="A79" i="181"/>
  <c r="A78" i="181"/>
  <c r="A77" i="181"/>
  <c r="A76" i="181"/>
  <c r="A75" i="181"/>
  <c r="A74" i="181"/>
  <c r="A73" i="181"/>
  <c r="A72" i="181"/>
  <c r="A71" i="181"/>
  <c r="A70" i="181"/>
  <c r="A69" i="181"/>
  <c r="A68" i="181"/>
  <c r="A67" i="181"/>
  <c r="A66" i="181"/>
  <c r="A65" i="181"/>
  <c r="A64" i="181"/>
  <c r="A63" i="181"/>
  <c r="A62" i="181"/>
  <c r="A61" i="181"/>
  <c r="A60" i="181"/>
  <c r="A59" i="181"/>
  <c r="A58" i="181"/>
  <c r="A57" i="181"/>
  <c r="A56" i="181"/>
  <c r="A55" i="181"/>
  <c r="A54" i="181"/>
  <c r="A53" i="181"/>
  <c r="A52" i="181"/>
  <c r="A51" i="181"/>
  <c r="A50" i="181"/>
  <c r="A49" i="181"/>
  <c r="A48" i="181"/>
  <c r="A47" i="181"/>
  <c r="A46" i="181"/>
  <c r="A45" i="181"/>
  <c r="A44" i="181"/>
  <c r="A43" i="181"/>
  <c r="A42" i="181"/>
  <c r="A41" i="181"/>
  <c r="A40" i="181"/>
  <c r="A39" i="181"/>
  <c r="A38" i="181"/>
  <c r="A37" i="181"/>
  <c r="A36" i="181"/>
  <c r="A35" i="181"/>
  <c r="A34" i="181"/>
  <c r="A33" i="181"/>
  <c r="A32" i="181"/>
  <c r="A31" i="181"/>
  <c r="A30" i="181"/>
  <c r="A29" i="181"/>
  <c r="A28" i="181"/>
  <c r="A27" i="181"/>
  <c r="A26" i="181"/>
  <c r="A25" i="181"/>
  <c r="A24" i="181"/>
  <c r="D21" i="181"/>
  <c r="A21" i="181"/>
  <c r="A20" i="181"/>
  <c r="R19" i="181" l="1"/>
  <c r="Q19" i="181"/>
  <c r="P19" i="181"/>
  <c r="R18" i="181"/>
  <c r="Q18" i="181"/>
  <c r="P18" i="181"/>
  <c r="R17" i="181"/>
  <c r="Q17" i="181"/>
  <c r="P17" i="181"/>
  <c r="R16" i="181"/>
  <c r="Q16" i="181"/>
  <c r="P16" i="181"/>
  <c r="R15" i="181"/>
  <c r="Q15" i="181"/>
  <c r="P15" i="181"/>
  <c r="R14" i="181"/>
  <c r="Q14" i="181"/>
  <c r="P14" i="181"/>
  <c r="R13" i="181"/>
  <c r="Q13" i="181"/>
  <c r="P13" i="181"/>
  <c r="R12" i="181"/>
  <c r="Q12" i="181"/>
  <c r="P12" i="181"/>
  <c r="R11" i="181"/>
  <c r="Q11" i="181"/>
  <c r="P11" i="181"/>
  <c r="R10" i="181"/>
  <c r="Q10" i="181"/>
  <c r="P10" i="181"/>
  <c r="R9" i="181"/>
  <c r="Q9" i="181"/>
  <c r="P9" i="181"/>
  <c r="R8" i="181"/>
  <c r="Q8" i="181"/>
  <c r="P8" i="181"/>
  <c r="T7" i="181"/>
  <c r="D20" i="181" s="1"/>
  <c r="R7" i="181"/>
  <c r="D29" i="181" s="1"/>
  <c r="Q7" i="181"/>
  <c r="D28" i="181" s="1"/>
  <c r="P7" i="181"/>
  <c r="T6" i="181"/>
  <c r="R6" i="181"/>
  <c r="Q6" i="181"/>
  <c r="P6" i="181"/>
  <c r="T5" i="181"/>
  <c r="R5" i="181"/>
  <c r="Q5" i="181"/>
  <c r="P5" i="181"/>
  <c r="T4" i="181"/>
  <c r="R4" i="181"/>
  <c r="Q4" i="181"/>
  <c r="P4" i="181"/>
  <c r="BA1" i="181"/>
  <c r="AZ1" i="181"/>
  <c r="AY1" i="181"/>
  <c r="AX1" i="181"/>
  <c r="AW1" i="181"/>
  <c r="AV1" i="181"/>
  <c r="AU1" i="181"/>
  <c r="AT1" i="181"/>
  <c r="AS1" i="181"/>
  <c r="AR1" i="181"/>
  <c r="AQ1" i="181"/>
  <c r="AP1" i="181"/>
  <c r="AO1" i="181"/>
  <c r="AN1" i="181"/>
  <c r="AM1" i="181"/>
  <c r="AL1" i="181"/>
  <c r="AK1" i="181"/>
  <c r="AJ1" i="181"/>
  <c r="AI1" i="181"/>
  <c r="AH1" i="181"/>
  <c r="AG1" i="181"/>
  <c r="AF1" i="181"/>
  <c r="AE1" i="181"/>
  <c r="AD1" i="181"/>
  <c r="AC1" i="181"/>
  <c r="AB1" i="181"/>
  <c r="AA1" i="181"/>
  <c r="Z1" i="181"/>
  <c r="Y1" i="181"/>
  <c r="X1" i="181"/>
  <c r="W1" i="181"/>
  <c r="V1" i="181"/>
  <c r="U1" i="181"/>
  <c r="T1" i="181"/>
  <c r="S1" i="181"/>
  <c r="R1" i="181"/>
  <c r="Q1" i="181"/>
  <c r="P1" i="181"/>
  <c r="R19" i="180"/>
  <c r="R18" i="180"/>
  <c r="Q18" i="180"/>
  <c r="P18" i="180"/>
  <c r="R17" i="180"/>
  <c r="Q17" i="180"/>
  <c r="P17" i="180"/>
  <c r="R16" i="180"/>
  <c r="Q16" i="180"/>
  <c r="P16" i="180"/>
  <c r="R15" i="180"/>
  <c r="Q15" i="180"/>
  <c r="P15" i="180"/>
  <c r="R14" i="180"/>
  <c r="Q14" i="180"/>
  <c r="P14" i="180"/>
  <c r="R13" i="180"/>
  <c r="Q13" i="180"/>
  <c r="P13" i="180"/>
  <c r="R12" i="180"/>
  <c r="Q12" i="180"/>
  <c r="P12" i="180"/>
  <c r="R11" i="180"/>
  <c r="D168" i="180" s="1"/>
  <c r="Q11" i="180"/>
  <c r="D169" i="180" s="1"/>
  <c r="P11" i="180"/>
  <c r="R10" i="180"/>
  <c r="Q10" i="180"/>
  <c r="P10" i="180"/>
  <c r="R9" i="180"/>
  <c r="Q9" i="180"/>
  <c r="P9" i="180"/>
  <c r="R8" i="180"/>
  <c r="Q8" i="180"/>
  <c r="P8" i="180"/>
  <c r="T7" i="180"/>
  <c r="R7" i="180"/>
  <c r="Q7" i="180"/>
  <c r="P7" i="180"/>
  <c r="T6" i="180"/>
  <c r="R6" i="180"/>
  <c r="D54" i="180" s="1"/>
  <c r="Q6" i="180"/>
  <c r="D53" i="180" s="1"/>
  <c r="P6" i="180"/>
  <c r="T5" i="180"/>
  <c r="R5" i="180"/>
  <c r="D45" i="180" s="1"/>
  <c r="Q5" i="180"/>
  <c r="D43" i="180" s="1"/>
  <c r="P5" i="180"/>
  <c r="T4" i="180"/>
  <c r="R4" i="180"/>
  <c r="Q4" i="180"/>
  <c r="P4" i="180"/>
  <c r="BA1" i="180"/>
  <c r="AZ1" i="180"/>
  <c r="AY1" i="180"/>
  <c r="AX1" i="180"/>
  <c r="AW1" i="180"/>
  <c r="AV1" i="180"/>
  <c r="AU1" i="180"/>
  <c r="AT1" i="180"/>
  <c r="AS1" i="180"/>
  <c r="AR1" i="180"/>
  <c r="AQ1" i="180"/>
  <c r="AP1" i="180"/>
  <c r="AO1" i="180"/>
  <c r="AN1" i="180"/>
  <c r="AM1" i="180"/>
  <c r="AL1" i="180"/>
  <c r="AK1" i="180"/>
  <c r="AJ1" i="180"/>
  <c r="AI1" i="180"/>
  <c r="AH1" i="180"/>
  <c r="AG1" i="180"/>
  <c r="AF1" i="180"/>
  <c r="AE1" i="180"/>
  <c r="AD1" i="180"/>
  <c r="AC1" i="180"/>
  <c r="AB1" i="180"/>
  <c r="AA1" i="180"/>
  <c r="Z1" i="180"/>
  <c r="Y1" i="180"/>
  <c r="X1" i="180"/>
  <c r="W1" i="180"/>
  <c r="V1" i="180"/>
  <c r="U1" i="180"/>
  <c r="T1" i="180"/>
  <c r="S1" i="180"/>
  <c r="R1" i="180"/>
  <c r="Q1" i="180"/>
  <c r="P1" i="180"/>
  <c r="D23" i="180" l="1"/>
  <c r="D157" i="180"/>
  <c r="D148" i="180"/>
  <c r="D150" i="180"/>
  <c r="D159" i="180"/>
  <c r="D101" i="180"/>
  <c r="D85" i="180"/>
  <c r="D75" i="180"/>
  <c r="D93" i="180"/>
  <c r="D108" i="180"/>
  <c r="D65" i="180"/>
  <c r="D130" i="180"/>
  <c r="D140" i="180"/>
  <c r="D118" i="180"/>
  <c r="D63" i="180"/>
  <c r="D92" i="180"/>
  <c r="D107" i="180"/>
  <c r="D100" i="180"/>
  <c r="D84" i="180"/>
  <c r="D74" i="180"/>
  <c r="D138" i="180"/>
  <c r="D116" i="180"/>
  <c r="D128" i="180"/>
  <c r="D338" i="181"/>
  <c r="D298" i="181"/>
  <c r="D258" i="181"/>
  <c r="D218" i="181"/>
  <c r="D178" i="181"/>
  <c r="D138" i="181"/>
  <c r="D98" i="181"/>
  <c r="D58" i="181"/>
  <c r="D328" i="181"/>
  <c r="D288" i="181"/>
  <c r="D248" i="181"/>
  <c r="D48" i="181"/>
  <c r="D318" i="181"/>
  <c r="D278" i="181"/>
  <c r="D238" i="181"/>
  <c r="D198" i="181"/>
  <c r="D158" i="181"/>
  <c r="D118" i="181"/>
  <c r="D78" i="181"/>
  <c r="D38" i="181"/>
  <c r="D128" i="181"/>
  <c r="D88" i="181"/>
  <c r="D348" i="181"/>
  <c r="D308" i="181"/>
  <c r="D268" i="181"/>
  <c r="D228" i="181"/>
  <c r="D188" i="181"/>
  <c r="D148" i="181"/>
  <c r="D108" i="181"/>
  <c r="D68" i="181"/>
  <c r="D208" i="181"/>
  <c r="D168" i="181"/>
  <c r="D319" i="181"/>
  <c r="D279" i="181"/>
  <c r="D239" i="181"/>
  <c r="D199" i="181"/>
  <c r="D159" i="181"/>
  <c r="D119" i="181"/>
  <c r="D79" i="181"/>
  <c r="D39" i="181"/>
  <c r="D309" i="181"/>
  <c r="D229" i="181"/>
  <c r="D189" i="181"/>
  <c r="D349" i="181"/>
  <c r="D339" i="181"/>
  <c r="D299" i="181"/>
  <c r="D259" i="181"/>
  <c r="D219" i="181"/>
  <c r="D179" i="181"/>
  <c r="D139" i="181"/>
  <c r="D99" i="181"/>
  <c r="D59" i="181"/>
  <c r="D269" i="181"/>
  <c r="D69" i="181"/>
  <c r="D329" i="181"/>
  <c r="D289" i="181"/>
  <c r="D249" i="181"/>
  <c r="D209" i="181"/>
  <c r="D169" i="181"/>
  <c r="D129" i="181"/>
  <c r="D89" i="181"/>
  <c r="D49" i="181"/>
  <c r="D149" i="181"/>
  <c r="D109" i="181"/>
  <c r="A2387" i="156" l="1"/>
  <c r="A2386" i="156"/>
  <c r="A2385" i="156"/>
  <c r="A2384" i="156"/>
  <c r="A2383" i="156"/>
  <c r="A2382" i="156"/>
  <c r="A2381" i="156"/>
  <c r="A2380" i="156"/>
  <c r="D2379" i="156"/>
  <c r="A2379" i="156"/>
  <c r="D2378" i="156"/>
  <c r="A2378" i="156"/>
  <c r="A2377" i="156"/>
  <c r="A2376" i="156"/>
  <c r="A2375" i="156"/>
  <c r="A2374" i="156"/>
  <c r="A2373" i="156"/>
  <c r="A2372" i="156"/>
  <c r="A2371" i="156"/>
  <c r="A2370" i="156"/>
  <c r="D2369" i="156"/>
  <c r="A2369" i="156"/>
  <c r="D2368" i="156"/>
  <c r="A2368" i="156"/>
  <c r="A2367" i="156"/>
  <c r="A2366" i="156"/>
  <c r="A2365" i="156"/>
  <c r="A2364" i="156"/>
  <c r="A2363" i="156"/>
  <c r="A2362" i="156"/>
  <c r="A2361" i="156"/>
  <c r="A2360" i="156"/>
  <c r="D2359" i="156"/>
  <c r="A2359" i="156"/>
  <c r="D2358" i="156"/>
  <c r="A2358" i="156"/>
  <c r="A2357" i="156"/>
  <c r="A2356" i="156"/>
  <c r="A2355" i="156"/>
  <c r="A2354" i="156"/>
  <c r="A2353" i="156"/>
  <c r="A2352" i="156"/>
  <c r="A2351" i="156"/>
  <c r="A2350" i="156"/>
  <c r="D2349" i="156"/>
  <c r="A2349" i="156"/>
  <c r="D2348" i="156"/>
  <c r="A2348" i="156"/>
  <c r="A2347" i="156"/>
  <c r="A2346" i="156"/>
  <c r="A2345" i="156"/>
  <c r="A2344" i="156"/>
  <c r="A2343" i="156"/>
  <c r="A2342" i="156"/>
  <c r="A2341" i="156"/>
  <c r="A2340" i="156"/>
  <c r="D2339" i="156"/>
  <c r="A2339" i="156"/>
  <c r="D2338" i="156"/>
  <c r="A2338" i="156"/>
  <c r="A2337" i="156"/>
  <c r="A2336" i="156"/>
  <c r="A2335" i="156"/>
  <c r="A2334" i="156"/>
  <c r="A2333" i="156"/>
  <c r="A2332" i="156"/>
  <c r="A2331" i="156"/>
  <c r="A2330" i="156"/>
  <c r="D2329" i="156"/>
  <c r="A2329" i="156"/>
  <c r="D2328" i="156"/>
  <c r="A2328" i="156"/>
  <c r="A2327" i="156"/>
  <c r="A2326" i="156"/>
  <c r="A2325" i="156"/>
  <c r="A2324" i="156"/>
  <c r="A2323" i="156"/>
  <c r="A2322" i="156"/>
  <c r="A2321" i="156"/>
  <c r="A2320" i="156"/>
  <c r="D2319" i="156"/>
  <c r="A2319" i="156"/>
  <c r="D2318" i="156"/>
  <c r="A2318" i="156"/>
  <c r="A2317" i="156"/>
  <c r="A2316" i="156"/>
  <c r="A2315" i="156"/>
  <c r="A2314" i="156"/>
  <c r="A2313" i="156"/>
  <c r="A2312" i="156"/>
  <c r="A2311" i="156"/>
  <c r="A2310" i="156"/>
  <c r="D2309" i="156"/>
  <c r="A2309" i="156"/>
  <c r="D2308" i="156"/>
  <c r="A2308" i="156"/>
  <c r="A2307" i="156"/>
  <c r="A2306" i="156"/>
  <c r="A2305" i="156"/>
  <c r="A2304" i="156"/>
  <c r="A2303" i="156"/>
  <c r="A2302" i="156"/>
  <c r="A2301" i="156"/>
  <c r="A2300" i="156"/>
  <c r="D2299" i="156"/>
  <c r="A2299" i="156"/>
  <c r="D2298" i="156"/>
  <c r="A2298" i="156"/>
  <c r="A2297" i="156"/>
  <c r="A2296" i="156"/>
  <c r="A2295" i="156"/>
  <c r="A2294" i="156"/>
  <c r="A2293" i="156"/>
  <c r="A2292" i="156"/>
  <c r="A2291" i="156"/>
  <c r="A2290" i="156"/>
  <c r="D2289" i="156"/>
  <c r="A2289" i="156"/>
  <c r="D2288" i="156"/>
  <c r="A2288" i="156"/>
  <c r="A2287" i="156"/>
  <c r="A2286" i="156"/>
  <c r="A2285" i="156"/>
  <c r="A2284" i="156"/>
  <c r="A2283" i="156"/>
  <c r="A2282" i="156"/>
  <c r="A2281" i="156"/>
  <c r="A2280" i="156"/>
  <c r="D2279" i="156"/>
  <c r="A2279" i="156"/>
  <c r="D2278" i="156"/>
  <c r="A2278" i="156"/>
  <c r="A2277" i="156"/>
  <c r="A2276" i="156"/>
  <c r="A2275" i="156"/>
  <c r="A2274" i="156"/>
  <c r="A2273" i="156"/>
  <c r="A2272" i="156"/>
  <c r="A2271" i="156"/>
  <c r="A2270" i="156"/>
  <c r="D2269" i="156"/>
  <c r="A2269" i="156"/>
  <c r="D2268" i="156"/>
  <c r="A2268" i="156"/>
  <c r="A2267" i="156"/>
  <c r="A2266" i="156"/>
  <c r="A2265" i="156"/>
  <c r="A2264" i="156"/>
  <c r="A2263" i="156"/>
  <c r="A2262" i="156"/>
  <c r="A2261" i="156"/>
  <c r="A2260" i="156"/>
  <c r="D2259" i="156"/>
  <c r="A2259" i="156"/>
  <c r="D2258" i="156"/>
  <c r="A2258" i="156"/>
  <c r="A2257" i="156"/>
  <c r="A2256" i="156"/>
  <c r="A2255" i="156"/>
  <c r="A2254" i="156"/>
  <c r="A2253" i="156"/>
  <c r="A2252" i="156"/>
  <c r="A2251" i="156"/>
  <c r="A2250" i="156"/>
  <c r="D2249" i="156"/>
  <c r="A2249" i="156"/>
  <c r="D2248" i="156"/>
  <c r="A2248" i="156"/>
  <c r="A2247" i="156"/>
  <c r="A2246" i="156"/>
  <c r="A2245" i="156"/>
  <c r="A2244" i="156"/>
  <c r="A2243" i="156"/>
  <c r="A2242" i="156"/>
  <c r="A2241" i="156"/>
  <c r="A2240" i="156"/>
  <c r="D2239" i="156"/>
  <c r="A2239" i="156"/>
  <c r="D2238" i="156"/>
  <c r="A2238" i="156"/>
  <c r="A2237" i="156"/>
  <c r="A2236" i="156"/>
  <c r="A2235" i="156"/>
  <c r="A2234" i="156"/>
  <c r="A2233" i="156"/>
  <c r="A2232" i="156"/>
  <c r="A2231" i="156"/>
  <c r="A2230" i="156"/>
  <c r="D2229" i="156"/>
  <c r="A2229" i="156"/>
  <c r="D2228" i="156"/>
  <c r="A2228" i="156"/>
  <c r="A2227" i="156"/>
  <c r="A2226" i="156"/>
  <c r="A2225" i="156"/>
  <c r="A2224" i="156"/>
  <c r="A2223" i="156"/>
  <c r="A2222" i="156"/>
  <c r="A2221" i="156"/>
  <c r="A2220" i="156"/>
  <c r="D2219" i="156"/>
  <c r="A2219" i="156"/>
  <c r="D2218" i="156"/>
  <c r="A2218" i="156"/>
  <c r="A2217" i="156"/>
  <c r="A2216" i="156"/>
  <c r="A2215" i="156"/>
  <c r="A2214" i="156"/>
  <c r="A2213" i="156"/>
  <c r="A2212" i="156"/>
  <c r="A2211" i="156"/>
  <c r="A2210" i="156"/>
  <c r="D2209" i="156"/>
  <c r="A2209" i="156"/>
  <c r="D2208" i="156"/>
  <c r="A2208" i="156"/>
  <c r="A2207" i="156"/>
  <c r="A2206" i="156"/>
  <c r="A2205" i="156"/>
  <c r="A2204" i="156"/>
  <c r="A2203" i="156"/>
  <c r="A2202" i="156"/>
  <c r="A2201" i="156"/>
  <c r="A2200" i="156"/>
  <c r="D2199" i="156"/>
  <c r="A2199" i="156"/>
  <c r="D2198" i="156"/>
  <c r="A2198" i="156"/>
  <c r="A2197" i="156"/>
  <c r="A2196" i="156"/>
  <c r="A2195" i="156"/>
  <c r="A2194" i="156"/>
  <c r="A2193" i="156"/>
  <c r="A2192" i="156"/>
  <c r="A2191" i="156"/>
  <c r="A2190" i="156"/>
  <c r="D2189" i="156"/>
  <c r="A2189" i="156"/>
  <c r="D2188" i="156"/>
  <c r="A2188" i="156"/>
  <c r="A2187" i="156"/>
  <c r="A2186" i="156"/>
  <c r="A2185" i="156"/>
  <c r="A2184" i="156"/>
  <c r="A2183" i="156"/>
  <c r="A2182" i="156"/>
  <c r="A2181" i="156"/>
  <c r="A2180" i="156"/>
  <c r="D2179" i="156"/>
  <c r="A2179" i="156"/>
  <c r="D2178" i="156"/>
  <c r="A2178" i="156"/>
  <c r="A2177" i="156"/>
  <c r="A2176" i="156"/>
  <c r="A2175" i="156"/>
  <c r="A2174" i="156"/>
  <c r="A2173" i="156"/>
  <c r="A2172" i="156"/>
  <c r="A2171" i="156"/>
  <c r="A2170" i="156"/>
  <c r="D2169" i="156"/>
  <c r="A2169" i="156"/>
  <c r="D2168" i="156"/>
  <c r="A2168" i="156"/>
  <c r="A2165" i="156"/>
  <c r="D2164" i="156"/>
  <c r="A2164" i="156"/>
  <c r="D2163" i="156"/>
  <c r="A2163" i="156"/>
  <c r="A516" i="156"/>
  <c r="A515" i="156"/>
  <c r="A514" i="156"/>
  <c r="A513" i="156"/>
  <c r="A512" i="156"/>
  <c r="A511" i="156"/>
  <c r="A510" i="156"/>
  <c r="A509" i="156"/>
  <c r="A508" i="156"/>
  <c r="A507" i="156"/>
  <c r="A506" i="156"/>
  <c r="A505" i="156"/>
  <c r="A504" i="156"/>
  <c r="A503" i="156"/>
  <c r="A502" i="156"/>
  <c r="A501" i="156"/>
  <c r="A500" i="156"/>
  <c r="A499" i="156"/>
  <c r="A498" i="156"/>
  <c r="A497" i="156"/>
  <c r="A496" i="156"/>
  <c r="A495" i="156"/>
  <c r="A494" i="156"/>
  <c r="A493" i="156"/>
  <c r="A492" i="156"/>
  <c r="A491" i="156"/>
  <c r="A490" i="156"/>
  <c r="A489" i="156"/>
  <c r="A488" i="156"/>
  <c r="A487" i="156"/>
  <c r="A486" i="156"/>
  <c r="A485" i="156"/>
  <c r="A484" i="156"/>
  <c r="A483" i="156"/>
  <c r="A482" i="156"/>
  <c r="A481" i="156"/>
  <c r="A480" i="156"/>
  <c r="A479" i="156"/>
  <c r="A478" i="156"/>
  <c r="A477" i="156"/>
  <c r="A476" i="156"/>
  <c r="A475" i="156"/>
  <c r="A474" i="156"/>
  <c r="A473" i="156"/>
  <c r="A472" i="156"/>
  <c r="A471" i="156"/>
  <c r="A470" i="156"/>
  <c r="A469" i="156"/>
  <c r="A468" i="156"/>
  <c r="A467" i="156"/>
  <c r="A466" i="156"/>
  <c r="A465" i="156"/>
  <c r="A464" i="156"/>
  <c r="A463" i="156"/>
  <c r="A462" i="156"/>
  <c r="A461" i="156"/>
  <c r="A460" i="156"/>
  <c r="A459" i="156"/>
  <c r="A458" i="156"/>
  <c r="A457" i="156"/>
  <c r="A456" i="156"/>
  <c r="A455" i="156"/>
  <c r="A454" i="156"/>
  <c r="A453" i="156"/>
  <c r="A452" i="156"/>
  <c r="A451" i="156"/>
  <c r="A450" i="156"/>
  <c r="A449" i="156"/>
  <c r="A448" i="156"/>
  <c r="A447" i="156"/>
  <c r="A446" i="156"/>
  <c r="A445" i="156"/>
  <c r="A444" i="156"/>
  <c r="A443" i="156"/>
  <c r="A442" i="156"/>
  <c r="A441" i="156"/>
  <c r="A440" i="156"/>
  <c r="A439" i="156"/>
  <c r="A438" i="156"/>
  <c r="A437" i="156"/>
  <c r="A436" i="156"/>
  <c r="A435" i="156"/>
  <c r="A434" i="156"/>
  <c r="A433" i="156"/>
  <c r="A432" i="156"/>
  <c r="A431" i="156"/>
  <c r="A430" i="156"/>
  <c r="A429" i="156"/>
  <c r="A428" i="156"/>
  <c r="A427" i="156"/>
  <c r="A426" i="156"/>
  <c r="A425" i="156"/>
  <c r="A424" i="156"/>
  <c r="A423" i="156"/>
  <c r="A422" i="156"/>
  <c r="A421" i="156"/>
  <c r="A420" i="156"/>
  <c r="A419" i="156"/>
  <c r="A418" i="156"/>
  <c r="A417" i="156"/>
  <c r="A416" i="156"/>
  <c r="A415" i="156"/>
  <c r="A414" i="156"/>
  <c r="A413" i="156"/>
  <c r="A412" i="156"/>
  <c r="A411" i="156"/>
  <c r="A410" i="156"/>
  <c r="A409" i="156"/>
  <c r="A408" i="156"/>
  <c r="A407" i="156"/>
  <c r="A406" i="156"/>
  <c r="A405" i="156"/>
  <c r="A404" i="156"/>
  <c r="A403" i="156"/>
  <c r="A402" i="156"/>
  <c r="A401" i="156"/>
  <c r="A400" i="156"/>
  <c r="A399" i="156"/>
  <c r="A398" i="156"/>
  <c r="A397" i="156"/>
  <c r="A396" i="156"/>
  <c r="A395" i="156"/>
  <c r="A394" i="156"/>
  <c r="A393" i="156"/>
  <c r="A392" i="156"/>
  <c r="A391" i="156"/>
  <c r="A390" i="156"/>
  <c r="A389" i="156"/>
  <c r="A388" i="156"/>
  <c r="A387" i="156"/>
  <c r="A386" i="156"/>
  <c r="A385" i="156"/>
  <c r="A384" i="156"/>
  <c r="A383" i="156"/>
  <c r="A382" i="156"/>
  <c r="A381" i="156"/>
  <c r="A380" i="156"/>
  <c r="A379" i="156"/>
  <c r="A378" i="156"/>
  <c r="A377" i="156"/>
  <c r="A376" i="156"/>
  <c r="A375" i="156"/>
  <c r="A374" i="156"/>
  <c r="A373" i="156"/>
  <c r="A372" i="156"/>
  <c r="A371" i="156"/>
  <c r="A370" i="156"/>
  <c r="A369" i="156"/>
  <c r="A368" i="156"/>
  <c r="A367" i="156"/>
  <c r="A366" i="156"/>
  <c r="A365" i="156"/>
  <c r="A364" i="156"/>
  <c r="A363" i="156"/>
  <c r="A362" i="156"/>
  <c r="A361" i="156"/>
  <c r="A360" i="156"/>
  <c r="A359" i="156"/>
  <c r="A358" i="156"/>
  <c r="A357" i="156"/>
  <c r="A356" i="156"/>
  <c r="A355" i="156"/>
  <c r="A354" i="156"/>
  <c r="A353" i="156"/>
  <c r="A352" i="156"/>
  <c r="A351" i="156"/>
  <c r="A350" i="156"/>
  <c r="A349" i="156"/>
  <c r="A348" i="156"/>
  <c r="A347" i="156"/>
  <c r="A346" i="156"/>
  <c r="A345" i="156"/>
  <c r="A344" i="156"/>
  <c r="A343" i="156"/>
  <c r="A342" i="156"/>
  <c r="A341" i="156"/>
  <c r="A340" i="156"/>
  <c r="A339" i="156"/>
  <c r="A338" i="156"/>
  <c r="A337" i="156"/>
  <c r="A336" i="156"/>
  <c r="A335" i="156"/>
  <c r="A334" i="156"/>
  <c r="A333" i="156"/>
  <c r="A332" i="156"/>
  <c r="A331" i="156"/>
  <c r="A330" i="156"/>
  <c r="A329" i="156"/>
  <c r="A328" i="156"/>
  <c r="A327" i="156"/>
  <c r="A326" i="156"/>
  <c r="A325" i="156"/>
  <c r="A324" i="156"/>
  <c r="A323" i="156"/>
  <c r="A322" i="156"/>
  <c r="A321" i="156"/>
  <c r="A320" i="156"/>
  <c r="A319" i="156"/>
  <c r="A318" i="156"/>
  <c r="A317" i="156"/>
  <c r="A316" i="156"/>
  <c r="A315" i="156"/>
  <c r="A314" i="156"/>
  <c r="A313" i="156"/>
  <c r="A312" i="156"/>
  <c r="A311" i="156"/>
  <c r="A310" i="156"/>
  <c r="A309" i="156"/>
  <c r="A308" i="156"/>
  <c r="A307" i="156"/>
  <c r="A306" i="156"/>
  <c r="A305" i="156"/>
  <c r="A304" i="156"/>
  <c r="A303" i="156"/>
  <c r="A302" i="156"/>
  <c r="A301" i="156"/>
  <c r="A300" i="156"/>
  <c r="A299" i="156"/>
  <c r="A298" i="156"/>
  <c r="A297" i="156"/>
  <c r="A294" i="156"/>
  <c r="A293" i="156"/>
  <c r="A292" i="156"/>
  <c r="A290" i="156"/>
  <c r="A289" i="156"/>
  <c r="A288" i="156"/>
  <c r="A287" i="156"/>
  <c r="A286" i="156"/>
  <c r="A285" i="156"/>
  <c r="A284" i="156"/>
  <c r="A283" i="156"/>
  <c r="A282" i="156"/>
  <c r="A281" i="156"/>
  <c r="A280" i="156"/>
  <c r="A279" i="156"/>
  <c r="A278" i="156"/>
  <c r="A277" i="156"/>
  <c r="A276" i="156"/>
  <c r="A275" i="156"/>
  <c r="A274" i="156"/>
  <c r="A273" i="156"/>
  <c r="A272" i="156"/>
  <c r="A271" i="156"/>
  <c r="A270" i="156"/>
  <c r="A269" i="156"/>
  <c r="A268" i="156"/>
  <c r="A267" i="156"/>
  <c r="A266" i="156"/>
  <c r="A265" i="156"/>
  <c r="A264" i="156"/>
  <c r="A263" i="156"/>
  <c r="A262" i="156"/>
  <c r="A261" i="156"/>
  <c r="A260" i="156"/>
  <c r="A259" i="156"/>
  <c r="A258" i="156"/>
  <c r="A257" i="156"/>
  <c r="A256" i="156"/>
  <c r="A255" i="156"/>
  <c r="A254" i="156"/>
  <c r="A253" i="156"/>
  <c r="A252" i="156"/>
  <c r="A251" i="156"/>
  <c r="A250" i="156"/>
  <c r="A249" i="156"/>
  <c r="A248" i="156"/>
  <c r="A247" i="156"/>
  <c r="A246" i="156"/>
  <c r="A245" i="156"/>
  <c r="A244" i="156"/>
  <c r="A243" i="156"/>
  <c r="A242" i="156"/>
  <c r="A241" i="156"/>
  <c r="A240" i="156"/>
  <c r="A239" i="156"/>
  <c r="A238" i="156"/>
  <c r="A237" i="156"/>
  <c r="A236" i="156"/>
  <c r="A235" i="156"/>
  <c r="A234" i="156"/>
  <c r="A233" i="156"/>
  <c r="A232" i="156"/>
  <c r="A231" i="156"/>
  <c r="A230" i="156"/>
  <c r="A229" i="156"/>
  <c r="A228" i="156"/>
  <c r="A227" i="156"/>
  <c r="A226" i="156"/>
  <c r="A225" i="156"/>
  <c r="A224" i="156"/>
  <c r="A223" i="156"/>
  <c r="A222" i="156"/>
  <c r="A221" i="156"/>
  <c r="A220" i="156"/>
  <c r="A219" i="156"/>
  <c r="A218" i="156"/>
  <c r="A217" i="156"/>
  <c r="A216" i="156"/>
  <c r="A215" i="156"/>
  <c r="A214" i="156"/>
  <c r="A213" i="156"/>
  <c r="A212" i="156"/>
  <c r="A211" i="156"/>
  <c r="A210" i="156"/>
  <c r="A209" i="156"/>
  <c r="A208" i="156"/>
  <c r="A207" i="156"/>
  <c r="A206" i="156"/>
  <c r="A205" i="156"/>
  <c r="A204" i="156"/>
  <c r="A203" i="156"/>
  <c r="A202" i="156"/>
  <c r="A201" i="156"/>
  <c r="A200" i="156"/>
  <c r="A199" i="156"/>
  <c r="A198" i="156"/>
  <c r="A197" i="156"/>
  <c r="A196" i="156"/>
  <c r="A195" i="156"/>
  <c r="A194" i="156"/>
  <c r="A193" i="156"/>
  <c r="A192" i="156"/>
  <c r="A191" i="156"/>
  <c r="A190" i="156"/>
  <c r="A189" i="156"/>
  <c r="A188" i="156"/>
  <c r="A187" i="156"/>
  <c r="A186" i="156"/>
  <c r="A185" i="156"/>
  <c r="A184" i="156"/>
  <c r="A183" i="156"/>
  <c r="A182" i="156"/>
  <c r="A181" i="156"/>
  <c r="A180" i="156"/>
  <c r="A179" i="156"/>
  <c r="A178" i="156"/>
  <c r="A177" i="156"/>
  <c r="A176" i="156"/>
  <c r="A175" i="156"/>
  <c r="A174" i="156"/>
  <c r="A173" i="156"/>
  <c r="A172" i="156"/>
  <c r="A171" i="156"/>
  <c r="A170" i="156"/>
  <c r="A169" i="156"/>
  <c r="A168" i="156"/>
  <c r="A167" i="156"/>
  <c r="A166" i="156"/>
  <c r="A165" i="156"/>
  <c r="A164" i="156"/>
  <c r="A163" i="156"/>
  <c r="A162" i="156"/>
  <c r="A161" i="156"/>
  <c r="A160" i="156"/>
  <c r="A159" i="156"/>
  <c r="A158" i="156"/>
  <c r="A157" i="156"/>
  <c r="A156" i="156"/>
  <c r="A155" i="156"/>
  <c r="A154" i="156"/>
  <c r="A153" i="156"/>
  <c r="A152" i="156"/>
  <c r="A151" i="156"/>
  <c r="A150" i="156"/>
  <c r="A149" i="156"/>
  <c r="A148" i="156"/>
  <c r="A147" i="156"/>
  <c r="A146" i="156"/>
  <c r="A145" i="156"/>
  <c r="A144" i="156"/>
  <c r="A143" i="156"/>
  <c r="A142" i="156"/>
  <c r="A141" i="156"/>
  <c r="A140" i="156"/>
  <c r="A139" i="156"/>
  <c r="A138" i="156"/>
  <c r="A137" i="156"/>
  <c r="A136" i="156"/>
  <c r="A135" i="156"/>
  <c r="A134" i="156"/>
  <c r="A133" i="156"/>
  <c r="A132" i="156"/>
  <c r="A131" i="156"/>
  <c r="A130" i="156"/>
  <c r="A129" i="156"/>
  <c r="A128" i="156"/>
  <c r="A127" i="156"/>
  <c r="A126" i="156"/>
  <c r="A125" i="156"/>
  <c r="A124" i="156"/>
  <c r="A123" i="156"/>
  <c r="A122" i="156"/>
  <c r="A121" i="156"/>
  <c r="A120" i="156"/>
  <c r="A119" i="156"/>
  <c r="A118" i="156"/>
  <c r="A117" i="156"/>
  <c r="A116" i="156"/>
  <c r="A115" i="156"/>
  <c r="A114" i="156"/>
  <c r="A113" i="156"/>
  <c r="A112" i="156"/>
  <c r="A111" i="156"/>
  <c r="A110" i="156"/>
  <c r="A109" i="156"/>
  <c r="A108" i="156"/>
  <c r="A107" i="156"/>
  <c r="A106" i="156"/>
  <c r="A105" i="156"/>
  <c r="A104" i="156"/>
  <c r="A103" i="156"/>
  <c r="A102" i="156"/>
  <c r="A101" i="156"/>
  <c r="A100" i="156"/>
  <c r="A99" i="156"/>
  <c r="A98" i="156"/>
  <c r="A97" i="156"/>
  <c r="A96" i="156"/>
  <c r="A95" i="156"/>
  <c r="A94" i="156"/>
  <c r="A93" i="156"/>
  <c r="A92" i="156"/>
  <c r="A91" i="156"/>
  <c r="A90" i="156"/>
  <c r="A89" i="156"/>
  <c r="A88" i="156"/>
  <c r="A87" i="156"/>
  <c r="A86" i="156"/>
  <c r="A85" i="156"/>
  <c r="A84" i="156"/>
  <c r="A83" i="156"/>
  <c r="A82" i="156"/>
  <c r="A81" i="156"/>
  <c r="A80" i="156"/>
  <c r="A79" i="156"/>
  <c r="A78" i="156"/>
  <c r="A77" i="156"/>
  <c r="A76" i="156"/>
  <c r="A75" i="156"/>
  <c r="A74" i="156"/>
  <c r="A73" i="156"/>
  <c r="A72" i="156"/>
  <c r="A71" i="156"/>
  <c r="A70" i="156"/>
  <c r="A69" i="156"/>
  <c r="A68" i="156"/>
  <c r="A67" i="156"/>
  <c r="A66" i="156"/>
  <c r="A65" i="156"/>
  <c r="A64" i="156"/>
  <c r="A63" i="156"/>
  <c r="A62" i="156"/>
  <c r="A61" i="156"/>
  <c r="A60" i="156"/>
  <c r="A59" i="156"/>
  <c r="A58" i="156"/>
  <c r="A57" i="156"/>
  <c r="A56" i="156"/>
  <c r="A55" i="156"/>
  <c r="A54" i="156"/>
  <c r="A53" i="156"/>
  <c r="A52" i="156"/>
  <c r="A51" i="156"/>
  <c r="A50" i="156"/>
  <c r="A49" i="156"/>
  <c r="A48" i="156"/>
  <c r="A47" i="156"/>
  <c r="A46" i="156"/>
  <c r="A45" i="156"/>
  <c r="A44" i="156"/>
  <c r="A43" i="156"/>
  <c r="A42" i="156"/>
  <c r="A41" i="156"/>
  <c r="A38" i="156"/>
  <c r="A37" i="156"/>
  <c r="A36" i="156"/>
  <c r="A2119" i="156"/>
  <c r="A2118" i="156"/>
  <c r="A2117" i="156"/>
  <c r="A2116" i="156"/>
  <c r="A2115" i="156"/>
  <c r="A2114" i="156"/>
  <c r="A2113" i="156"/>
  <c r="A2112" i="156"/>
  <c r="A2111" i="156"/>
  <c r="A2110" i="156"/>
  <c r="A2109" i="156"/>
  <c r="A2108" i="156"/>
  <c r="A2107" i="156"/>
  <c r="A2106" i="156"/>
  <c r="A2105" i="156"/>
  <c r="A2104" i="156"/>
  <c r="A2103" i="156"/>
  <c r="A2102" i="156"/>
  <c r="A2101" i="156"/>
  <c r="A2100" i="156"/>
  <c r="A2099" i="156"/>
  <c r="A2098" i="156"/>
  <c r="A2097" i="156"/>
  <c r="A2096" i="156"/>
  <c r="A2095" i="156"/>
  <c r="A2094" i="156"/>
  <c r="A2093" i="156"/>
  <c r="A2092" i="156"/>
  <c r="A2091" i="156"/>
  <c r="A2090" i="156"/>
  <c r="A2089" i="156"/>
  <c r="A2088" i="156"/>
  <c r="A2087" i="156"/>
  <c r="A2086" i="156"/>
  <c r="A2085" i="156"/>
  <c r="A2084" i="156"/>
  <c r="A2083" i="156"/>
  <c r="A2082" i="156"/>
  <c r="A2081" i="156"/>
  <c r="A2080" i="156"/>
  <c r="A2079" i="156"/>
  <c r="A2078" i="156"/>
  <c r="A2077" i="156"/>
  <c r="A2076" i="156"/>
  <c r="A2075" i="156"/>
  <c r="A2074" i="156"/>
  <c r="A2073" i="156"/>
  <c r="A2072" i="156"/>
  <c r="A2071" i="156"/>
  <c r="A2070" i="156"/>
  <c r="A2069" i="156"/>
  <c r="A2068" i="156"/>
  <c r="A2067" i="156"/>
  <c r="A2066" i="156"/>
  <c r="A2065" i="156"/>
  <c r="A2064" i="156"/>
  <c r="A2063" i="156"/>
  <c r="A2062" i="156"/>
  <c r="A2061" i="156"/>
  <c r="A2060" i="156"/>
  <c r="A2059" i="156"/>
  <c r="A2058" i="156"/>
  <c r="A2057" i="156"/>
  <c r="A2056" i="156"/>
  <c r="A2055" i="156"/>
  <c r="A2054" i="156"/>
  <c r="A2053" i="156"/>
  <c r="A2052" i="156"/>
  <c r="A2051" i="156"/>
  <c r="A2050" i="156"/>
  <c r="A2049" i="156"/>
  <c r="A2048" i="156"/>
  <c r="A2047" i="156"/>
  <c r="A2046" i="156"/>
  <c r="A2045" i="156"/>
  <c r="A2044" i="156"/>
  <c r="A2043" i="156"/>
  <c r="A2042" i="156"/>
  <c r="A2041" i="156"/>
  <c r="A2040" i="156"/>
  <c r="A2039" i="156"/>
  <c r="A2038" i="156"/>
  <c r="A2037" i="156"/>
  <c r="A2036" i="156"/>
  <c r="A2035" i="156"/>
  <c r="A2034" i="156"/>
  <c r="A2033" i="156"/>
  <c r="A2032" i="156"/>
  <c r="A2031" i="156"/>
  <c r="A2030" i="156"/>
  <c r="A2029" i="156"/>
  <c r="A2028" i="156"/>
  <c r="A2027" i="156"/>
  <c r="A2026" i="156"/>
  <c r="A2025" i="156"/>
  <c r="A2024" i="156"/>
  <c r="A2023" i="156"/>
  <c r="A2022" i="156"/>
  <c r="A2021" i="156"/>
  <c r="A2020" i="156"/>
  <c r="A2019" i="156"/>
  <c r="A2018" i="156"/>
  <c r="A2017" i="156"/>
  <c r="A2016" i="156"/>
  <c r="A2015" i="156"/>
  <c r="A2014" i="156"/>
  <c r="A2013" i="156"/>
  <c r="A2012" i="156"/>
  <c r="A2011" i="156"/>
  <c r="A2010" i="156"/>
  <c r="A2009" i="156"/>
  <c r="A2008" i="156"/>
  <c r="A2007" i="156"/>
  <c r="A2006" i="156"/>
  <c r="A2005" i="156"/>
  <c r="A2004" i="156"/>
  <c r="A2003" i="156"/>
  <c r="A2002" i="156"/>
  <c r="A2001" i="156"/>
  <c r="A2000" i="156"/>
  <c r="A1999" i="156"/>
  <c r="A1998" i="156"/>
  <c r="A1997" i="156"/>
  <c r="A1996" i="156"/>
  <c r="A1995" i="156"/>
  <c r="A1994" i="156"/>
  <c r="A1993" i="156"/>
  <c r="A1992" i="156"/>
  <c r="A1991" i="156"/>
  <c r="A1990" i="156"/>
  <c r="A1989" i="156"/>
  <c r="A1988" i="156"/>
  <c r="A1987" i="156"/>
  <c r="A1986" i="156"/>
  <c r="A1985" i="156"/>
  <c r="A1984" i="156"/>
  <c r="A1983" i="156"/>
  <c r="A1982" i="156"/>
  <c r="A1981" i="156"/>
  <c r="A1980" i="156"/>
  <c r="A1979" i="156"/>
  <c r="A1978" i="156"/>
  <c r="A1977" i="156"/>
  <c r="A1976" i="156"/>
  <c r="A1975" i="156"/>
  <c r="A1974" i="156"/>
  <c r="A1973" i="156"/>
  <c r="A1972" i="156"/>
  <c r="A1971" i="156"/>
  <c r="A1970" i="156"/>
  <c r="A1969" i="156"/>
  <c r="A1968" i="156"/>
  <c r="A1967" i="156"/>
  <c r="A1966" i="156"/>
  <c r="A1965" i="156"/>
  <c r="A1964" i="156"/>
  <c r="A1963" i="156"/>
  <c r="A1962" i="156"/>
  <c r="A1961" i="156"/>
  <c r="A1960" i="156"/>
  <c r="A1959" i="156"/>
  <c r="A1958" i="156"/>
  <c r="A1957" i="156"/>
  <c r="A1956" i="156"/>
  <c r="A1955" i="156"/>
  <c r="A1954" i="156"/>
  <c r="A1953" i="156"/>
  <c r="A1952" i="156"/>
  <c r="A1951" i="156"/>
  <c r="A1950" i="156"/>
  <c r="A1949" i="156"/>
  <c r="A1948" i="156"/>
  <c r="A1947" i="156"/>
  <c r="A1946" i="156"/>
  <c r="A1945" i="156"/>
  <c r="A1944" i="156"/>
  <c r="A1943" i="156"/>
  <c r="A1942" i="156"/>
  <c r="A1941" i="156"/>
  <c r="A1940" i="156"/>
  <c r="A1939" i="156"/>
  <c r="A1938" i="156"/>
  <c r="A1937" i="156"/>
  <c r="A1936" i="156"/>
  <c r="A1935" i="156"/>
  <c r="A1934" i="156"/>
  <c r="A1933" i="156"/>
  <c r="A1932" i="156"/>
  <c r="A1931" i="156"/>
  <c r="A1930" i="156"/>
  <c r="A1929" i="156"/>
  <c r="A1928" i="156"/>
  <c r="A1927" i="156"/>
  <c r="A1926" i="156"/>
  <c r="A1925" i="156"/>
  <c r="A1924" i="156"/>
  <c r="A1923" i="156"/>
  <c r="A1922" i="156"/>
  <c r="A1921" i="156"/>
  <c r="A1920" i="156"/>
  <c r="A1919" i="156"/>
  <c r="A1918" i="156"/>
  <c r="A1917" i="156"/>
  <c r="A1916" i="156"/>
  <c r="A1915" i="156"/>
  <c r="A1914" i="156"/>
  <c r="A1913" i="156"/>
  <c r="A1912" i="156"/>
  <c r="A1911" i="156"/>
  <c r="A1910" i="156"/>
  <c r="A1909" i="156"/>
  <c r="A1908" i="156"/>
  <c r="A1907" i="156"/>
  <c r="A1906" i="156"/>
  <c r="A1905" i="156"/>
  <c r="A1904" i="156"/>
  <c r="A1903" i="156"/>
  <c r="A1902" i="156"/>
  <c r="A1901" i="156"/>
  <c r="A1900" i="156"/>
  <c r="A1897" i="156"/>
  <c r="A1896" i="156"/>
  <c r="A1895" i="156"/>
  <c r="A1894" i="156"/>
  <c r="A1893" i="156"/>
  <c r="A1892" i="156"/>
  <c r="A1891" i="156"/>
  <c r="A1890" i="156"/>
  <c r="A1889" i="156"/>
  <c r="A1888" i="156"/>
  <c r="A1887" i="156"/>
  <c r="A1886" i="156"/>
  <c r="A1885" i="156"/>
  <c r="A1884" i="156"/>
  <c r="A1883" i="156"/>
  <c r="A1882" i="156"/>
  <c r="A1881" i="156"/>
  <c r="A1880" i="156"/>
  <c r="A1879" i="156"/>
  <c r="A1878" i="156"/>
  <c r="A1877" i="156"/>
  <c r="A1876" i="156"/>
  <c r="A1875" i="156"/>
  <c r="A1874" i="156"/>
  <c r="A1873" i="156"/>
  <c r="A1872" i="156"/>
  <c r="A1871" i="156"/>
  <c r="A1870" i="156"/>
  <c r="A1869" i="156"/>
  <c r="A1868" i="156"/>
  <c r="A1867" i="156"/>
  <c r="A1866" i="156"/>
  <c r="A1865" i="156"/>
  <c r="A1864" i="156"/>
  <c r="A1863" i="156"/>
  <c r="A1862" i="156"/>
  <c r="A1861" i="156"/>
  <c r="A1860" i="156"/>
  <c r="A1859" i="156"/>
  <c r="A1858" i="156"/>
  <c r="A1857" i="156"/>
  <c r="A1856" i="156"/>
  <c r="A1855" i="156"/>
  <c r="A1854" i="156"/>
  <c r="A1853" i="156"/>
  <c r="A1852" i="156"/>
  <c r="A1851" i="156"/>
  <c r="A1850" i="156"/>
  <c r="A1849" i="156"/>
  <c r="A1848" i="156"/>
  <c r="A1847" i="156"/>
  <c r="A1846" i="156"/>
  <c r="A1845" i="156"/>
  <c r="A1844" i="156"/>
  <c r="A1843" i="156"/>
  <c r="A1842" i="156"/>
  <c r="A1841" i="156"/>
  <c r="A1840" i="156"/>
  <c r="A1839" i="156"/>
  <c r="A1838" i="156"/>
  <c r="A1837" i="156"/>
  <c r="A1836" i="156"/>
  <c r="A1835" i="156"/>
  <c r="A1834" i="156"/>
  <c r="A1833" i="156"/>
  <c r="A1832" i="156"/>
  <c r="A1831" i="156"/>
  <c r="A1830" i="156"/>
  <c r="A1829" i="156"/>
  <c r="A1828" i="156"/>
  <c r="A1827" i="156"/>
  <c r="A1826" i="156"/>
  <c r="A1825" i="156"/>
  <c r="A1824" i="156"/>
  <c r="A1823" i="156"/>
  <c r="A1822" i="156"/>
  <c r="A1821" i="156"/>
  <c r="A1820" i="156"/>
  <c r="A1819" i="156"/>
  <c r="A1818" i="156"/>
  <c r="A1817" i="156"/>
  <c r="A1816" i="156"/>
  <c r="A1815" i="156"/>
  <c r="A1814" i="156"/>
  <c r="A1813" i="156"/>
  <c r="A1812" i="156"/>
  <c r="A1811" i="156"/>
  <c r="A1810" i="156"/>
  <c r="A1809" i="156"/>
  <c r="A1808" i="156"/>
  <c r="A1807" i="156"/>
  <c r="A1806" i="156"/>
  <c r="A1805" i="156"/>
  <c r="A1804" i="156"/>
  <c r="A1803" i="156"/>
  <c r="A1802" i="156"/>
  <c r="A1801" i="156"/>
  <c r="A1800" i="156"/>
  <c r="A1799" i="156"/>
  <c r="A1798" i="156"/>
  <c r="A1797" i="156"/>
  <c r="A1796" i="156"/>
  <c r="A1795" i="156"/>
  <c r="A1794" i="156"/>
  <c r="A1793" i="156"/>
  <c r="A1792" i="156"/>
  <c r="A1791" i="156"/>
  <c r="A1790" i="156"/>
  <c r="A1789" i="156"/>
  <c r="A1788" i="156"/>
  <c r="A1787" i="156"/>
  <c r="A1786" i="156"/>
  <c r="A1785" i="156"/>
  <c r="A1784" i="156"/>
  <c r="A1783" i="156"/>
  <c r="A1782" i="156"/>
  <c r="A1781" i="156"/>
  <c r="A1780" i="156"/>
  <c r="A1779" i="156"/>
  <c r="A1778" i="156"/>
  <c r="A1777" i="156"/>
  <c r="A1776" i="156"/>
  <c r="A1775" i="156"/>
  <c r="A1774" i="156"/>
  <c r="A1773" i="156"/>
  <c r="A1772" i="156"/>
  <c r="A1771" i="156"/>
  <c r="A1770" i="156"/>
  <c r="A1769" i="156"/>
  <c r="A1768" i="156"/>
  <c r="A1767" i="156"/>
  <c r="A1766" i="156"/>
  <c r="A1765" i="156"/>
  <c r="A1764" i="156"/>
  <c r="A1763" i="156"/>
  <c r="A1762" i="156"/>
  <c r="A1761" i="156"/>
  <c r="A1760" i="156"/>
  <c r="A1759" i="156"/>
  <c r="A1758" i="156"/>
  <c r="A1757" i="156"/>
  <c r="A1756" i="156"/>
  <c r="A1755" i="156"/>
  <c r="A1754" i="156"/>
  <c r="A1753" i="156"/>
  <c r="A1752" i="156"/>
  <c r="A1751" i="156"/>
  <c r="A1750" i="156"/>
  <c r="A1749" i="156"/>
  <c r="A1748" i="156"/>
  <c r="A1747" i="156"/>
  <c r="A1746" i="156"/>
  <c r="A1745" i="156"/>
  <c r="A1744" i="156"/>
  <c r="A1743" i="156"/>
  <c r="A1742" i="156"/>
  <c r="A1741" i="156"/>
  <c r="A1740" i="156"/>
  <c r="A1739" i="156"/>
  <c r="A1738" i="156"/>
  <c r="A1737" i="156"/>
  <c r="A1736" i="156"/>
  <c r="A1735" i="156"/>
  <c r="A1734" i="156"/>
  <c r="A1733" i="156"/>
  <c r="A1732" i="156"/>
  <c r="A1731" i="156"/>
  <c r="A1730" i="156"/>
  <c r="A1729" i="156"/>
  <c r="A1728" i="156"/>
  <c r="A1727" i="156"/>
  <c r="A1726" i="156"/>
  <c r="A1725" i="156"/>
  <c r="A1724" i="156"/>
  <c r="A1723" i="156"/>
  <c r="A1722" i="156"/>
  <c r="A1721" i="156"/>
  <c r="A1720" i="156"/>
  <c r="A1719" i="156"/>
  <c r="A1718" i="156"/>
  <c r="A1717" i="156"/>
  <c r="A1716" i="156"/>
  <c r="A1715" i="156"/>
  <c r="A1714" i="156"/>
  <c r="A1713" i="156"/>
  <c r="A1712" i="156"/>
  <c r="A1711" i="156"/>
  <c r="A1710" i="156"/>
  <c r="A1709" i="156"/>
  <c r="A1708" i="156"/>
  <c r="A1707" i="156"/>
  <c r="A1706" i="156"/>
  <c r="A1705" i="156"/>
  <c r="A1704" i="156"/>
  <c r="A1703" i="156"/>
  <c r="A1702" i="156"/>
  <c r="A1701" i="156"/>
  <c r="A1700" i="156"/>
  <c r="A1699" i="156"/>
  <c r="A1698" i="156"/>
  <c r="A1697" i="156"/>
  <c r="A1696" i="156"/>
  <c r="A1695" i="156"/>
  <c r="A1694" i="156"/>
  <c r="A1693" i="156"/>
  <c r="A1692" i="156"/>
  <c r="A1691" i="156"/>
  <c r="A1690" i="156"/>
  <c r="A1689" i="156"/>
  <c r="A1688" i="156"/>
  <c r="A1687" i="156"/>
  <c r="A1686" i="156"/>
  <c r="A1685" i="156"/>
  <c r="A1684" i="156"/>
  <c r="A1683" i="156"/>
  <c r="A1682" i="156"/>
  <c r="A1681" i="156"/>
  <c r="A1680" i="156"/>
  <c r="A1679" i="156"/>
  <c r="A1678" i="156"/>
  <c r="A1677" i="156"/>
  <c r="A1676" i="156"/>
  <c r="A1675" i="156"/>
  <c r="A1672" i="156"/>
  <c r="A1671" i="156"/>
  <c r="A1670" i="156"/>
  <c r="A1626" i="156"/>
  <c r="A1625" i="156"/>
  <c r="A1624" i="156"/>
  <c r="A1623" i="156"/>
  <c r="A1622" i="156"/>
  <c r="A1621" i="156"/>
  <c r="A1620" i="156"/>
  <c r="A1619" i="156"/>
  <c r="A1618" i="156"/>
  <c r="A1617" i="156"/>
  <c r="A1616" i="156"/>
  <c r="A1615" i="156"/>
  <c r="A1614" i="156"/>
  <c r="A1613" i="156"/>
  <c r="A1612" i="156"/>
  <c r="A1611" i="156"/>
  <c r="A1610" i="156"/>
  <c r="A1609" i="156"/>
  <c r="A1608" i="156"/>
  <c r="A1607" i="156"/>
  <c r="A1606" i="156"/>
  <c r="A1605" i="156"/>
  <c r="A1604" i="156"/>
  <c r="A1603" i="156"/>
  <c r="A1602" i="156"/>
  <c r="A1601" i="156"/>
  <c r="A1600" i="156"/>
  <c r="A1599" i="156"/>
  <c r="A1598" i="156"/>
  <c r="A1597" i="156"/>
  <c r="A1596" i="156"/>
  <c r="A1595" i="156"/>
  <c r="A1594" i="156"/>
  <c r="A1593" i="156"/>
  <c r="A1592" i="156"/>
  <c r="A1591" i="156"/>
  <c r="A1590" i="156"/>
  <c r="A1589" i="156"/>
  <c r="A1588" i="156"/>
  <c r="A1587" i="156"/>
  <c r="A1586" i="156"/>
  <c r="A1585" i="156"/>
  <c r="A1584" i="156"/>
  <c r="A1583" i="156"/>
  <c r="A1582" i="156"/>
  <c r="A1581" i="156"/>
  <c r="A1580" i="156"/>
  <c r="A1579" i="156"/>
  <c r="A1578" i="156"/>
  <c r="A1577" i="156"/>
  <c r="A1576" i="156"/>
  <c r="A1575" i="156"/>
  <c r="A1574" i="156"/>
  <c r="A1573" i="156"/>
  <c r="A1572" i="156"/>
  <c r="A1571" i="156"/>
  <c r="A1570" i="156"/>
  <c r="A1569" i="156"/>
  <c r="A1568" i="156"/>
  <c r="A1567" i="156"/>
  <c r="A1566" i="156"/>
  <c r="A1565" i="156"/>
  <c r="A1564" i="156"/>
  <c r="A1563" i="156"/>
  <c r="A1562" i="156"/>
  <c r="A1561" i="156"/>
  <c r="A1560" i="156"/>
  <c r="A1559" i="156"/>
  <c r="A1558" i="156"/>
  <c r="A1557" i="156"/>
  <c r="A1556" i="156"/>
  <c r="A1555" i="156"/>
  <c r="A1554" i="156"/>
  <c r="A1553" i="156"/>
  <c r="A1552" i="156"/>
  <c r="A1551" i="156"/>
  <c r="A1550" i="156"/>
  <c r="A1549" i="156"/>
  <c r="A1548" i="156"/>
  <c r="A1547" i="156"/>
  <c r="A1546" i="156"/>
  <c r="A1545" i="156"/>
  <c r="A1544" i="156"/>
  <c r="A1543" i="156"/>
  <c r="A1542" i="156"/>
  <c r="A1541" i="156"/>
  <c r="A1540" i="156"/>
  <c r="A1539" i="156"/>
  <c r="A1538" i="156"/>
  <c r="A1537" i="156"/>
  <c r="A1536" i="156"/>
  <c r="A1535" i="156"/>
  <c r="A1534" i="156"/>
  <c r="A1533" i="156"/>
  <c r="A1532" i="156"/>
  <c r="A1531" i="156"/>
  <c r="A1530" i="156"/>
  <c r="A1529" i="156"/>
  <c r="A1528" i="156"/>
  <c r="A1527" i="156"/>
  <c r="A1526" i="156"/>
  <c r="A1525" i="156"/>
  <c r="A1524" i="156"/>
  <c r="A1523" i="156"/>
  <c r="A1522" i="156"/>
  <c r="A1521" i="156"/>
  <c r="A1520" i="156"/>
  <c r="A1519" i="156"/>
  <c r="A1518" i="156"/>
  <c r="A1517" i="156"/>
  <c r="A1516" i="156"/>
  <c r="A1515" i="156"/>
  <c r="A1514" i="156"/>
  <c r="A1513" i="156"/>
  <c r="A1512" i="156"/>
  <c r="A1511" i="156"/>
  <c r="A1510" i="156"/>
  <c r="A1509" i="156"/>
  <c r="A1508" i="156"/>
  <c r="A1507" i="156"/>
  <c r="A1506" i="156"/>
  <c r="A1505" i="156"/>
  <c r="A1504" i="156"/>
  <c r="A1503" i="156"/>
  <c r="A1502" i="156"/>
  <c r="A1501" i="156"/>
  <c r="A1500" i="156"/>
  <c r="A1499" i="156"/>
  <c r="A1498" i="156"/>
  <c r="A1497" i="156"/>
  <c r="A1496" i="156"/>
  <c r="A1495" i="156"/>
  <c r="A1494" i="156"/>
  <c r="A1493" i="156"/>
  <c r="A1492" i="156"/>
  <c r="A1491" i="156"/>
  <c r="A1490" i="156"/>
  <c r="A1489" i="156"/>
  <c r="A1488" i="156"/>
  <c r="A1487" i="156"/>
  <c r="A1486" i="156"/>
  <c r="A1485" i="156"/>
  <c r="A1484" i="156"/>
  <c r="A1483" i="156"/>
  <c r="A1482" i="156"/>
  <c r="A1481" i="156"/>
  <c r="A1480" i="156"/>
  <c r="A1479" i="156"/>
  <c r="A1478" i="156"/>
  <c r="A1477" i="156"/>
  <c r="A1476" i="156"/>
  <c r="A1475" i="156"/>
  <c r="A1474" i="156"/>
  <c r="A1473" i="156"/>
  <c r="A1472" i="156"/>
  <c r="A1471" i="156"/>
  <c r="A1470" i="156"/>
  <c r="A1469" i="156"/>
  <c r="A1468" i="156"/>
  <c r="A1467" i="156"/>
  <c r="A1466" i="156"/>
  <c r="A1465" i="156"/>
  <c r="A1464" i="156"/>
  <c r="A1463" i="156"/>
  <c r="A1462" i="156"/>
  <c r="A1461" i="156"/>
  <c r="A1460" i="156"/>
  <c r="A1459" i="156"/>
  <c r="A1458" i="156"/>
  <c r="A1457" i="156"/>
  <c r="A1456" i="156"/>
  <c r="A1455" i="156"/>
  <c r="A1454" i="156"/>
  <c r="A1453" i="156"/>
  <c r="A1452" i="156"/>
  <c r="A1451" i="156"/>
  <c r="A1450" i="156"/>
  <c r="A1449" i="156"/>
  <c r="A1448" i="156"/>
  <c r="A1447" i="156"/>
  <c r="A1446" i="156"/>
  <c r="A1445" i="156"/>
  <c r="A1444" i="156"/>
  <c r="A1443" i="156"/>
  <c r="A1442" i="156"/>
  <c r="A1441" i="156"/>
  <c r="A1440" i="156"/>
  <c r="A1439" i="156"/>
  <c r="A1438" i="156"/>
  <c r="A1437" i="156"/>
  <c r="A1436" i="156"/>
  <c r="A1435" i="156"/>
  <c r="A1434" i="156"/>
  <c r="A1433" i="156"/>
  <c r="A1432" i="156"/>
  <c r="A1431" i="156"/>
  <c r="A1430" i="156"/>
  <c r="A1429" i="156"/>
  <c r="A1428" i="156"/>
  <c r="A1427" i="156"/>
  <c r="A1426" i="156"/>
  <c r="A1425" i="156"/>
  <c r="A1424" i="156"/>
  <c r="A1423" i="156"/>
  <c r="A1422" i="156"/>
  <c r="A1421" i="156"/>
  <c r="A1420" i="156"/>
  <c r="A1419" i="156"/>
  <c r="A1418" i="156"/>
  <c r="A1417" i="156"/>
  <c r="A1416" i="156"/>
  <c r="A1415" i="156"/>
  <c r="A1414" i="156"/>
  <c r="A1413" i="156"/>
  <c r="A1412" i="156"/>
  <c r="A1411" i="156"/>
  <c r="A1410" i="156"/>
  <c r="A1409" i="156"/>
  <c r="A1408" i="156"/>
  <c r="A1407" i="156"/>
  <c r="A1406" i="156"/>
  <c r="A1405" i="156"/>
  <c r="A1404" i="156"/>
  <c r="A1403" i="156"/>
  <c r="A1402" i="156"/>
  <c r="A1401" i="156"/>
  <c r="A1400" i="156"/>
  <c r="A1399" i="156"/>
  <c r="A1398" i="156"/>
  <c r="A1397" i="156"/>
  <c r="A1396" i="156"/>
  <c r="A1395" i="156"/>
  <c r="A1394" i="156"/>
  <c r="A1393" i="156"/>
  <c r="A1392" i="156"/>
  <c r="A1391" i="156"/>
  <c r="A1390" i="156"/>
  <c r="A1389" i="156"/>
  <c r="A1388" i="156"/>
  <c r="A1387" i="156"/>
  <c r="A1386" i="156"/>
  <c r="A1385" i="156"/>
  <c r="A1384" i="156"/>
  <c r="A1383" i="156"/>
  <c r="A1382" i="156"/>
  <c r="A1381" i="156"/>
  <c r="A1380" i="156"/>
  <c r="A1379" i="156"/>
  <c r="A1378" i="156"/>
  <c r="A1377" i="156"/>
  <c r="A1374" i="156"/>
  <c r="A1373" i="156"/>
  <c r="A1372" i="156"/>
  <c r="A1371" i="156"/>
  <c r="A1370" i="156"/>
  <c r="A1369" i="156"/>
  <c r="A1368" i="156"/>
  <c r="A1367" i="156"/>
  <c r="A1366" i="156"/>
  <c r="A1365" i="156"/>
  <c r="A1364" i="156"/>
  <c r="A1363" i="156"/>
  <c r="A1362" i="156"/>
  <c r="A1361" i="156"/>
  <c r="A1360" i="156"/>
  <c r="A1359" i="156"/>
  <c r="A1358" i="156"/>
  <c r="A1357" i="156"/>
  <c r="A1356" i="156"/>
  <c r="A1355" i="156"/>
  <c r="A1354" i="156"/>
  <c r="A1353" i="156"/>
  <c r="A1352" i="156"/>
  <c r="A1351" i="156"/>
  <c r="A1350" i="156"/>
  <c r="A1349" i="156"/>
  <c r="A1348" i="156"/>
  <c r="A1347" i="156"/>
  <c r="A1346" i="156"/>
  <c r="A1345" i="156"/>
  <c r="A1344" i="156"/>
  <c r="A1343" i="156"/>
  <c r="A1342" i="156"/>
  <c r="A1341" i="156"/>
  <c r="A1340" i="156"/>
  <c r="A1339" i="156"/>
  <c r="A1338" i="156"/>
  <c r="A1337" i="156"/>
  <c r="A1336" i="156"/>
  <c r="A1335" i="156"/>
  <c r="A1334" i="156"/>
  <c r="A1333" i="156"/>
  <c r="A1332" i="156"/>
  <c r="A1331" i="156"/>
  <c r="A1330" i="156"/>
  <c r="A1329" i="156"/>
  <c r="A1328" i="156"/>
  <c r="A1327" i="156"/>
  <c r="A1326" i="156"/>
  <c r="A1325" i="156"/>
  <c r="A1324" i="156"/>
  <c r="A1323" i="156"/>
  <c r="A1322" i="156"/>
  <c r="A1321" i="156"/>
  <c r="A1320" i="156"/>
  <c r="A1319" i="156"/>
  <c r="A1318" i="156"/>
  <c r="A1317" i="156"/>
  <c r="A1316" i="156"/>
  <c r="A1315" i="156"/>
  <c r="A1314" i="156"/>
  <c r="A1313" i="156"/>
  <c r="A1312" i="156"/>
  <c r="A1311" i="156"/>
  <c r="A1310" i="156"/>
  <c r="A1309" i="156"/>
  <c r="A1308" i="156"/>
  <c r="A1307" i="156"/>
  <c r="A1306" i="156"/>
  <c r="A1305" i="156"/>
  <c r="A1304" i="156"/>
  <c r="A1303" i="156"/>
  <c r="A1302" i="156"/>
  <c r="A1301" i="156"/>
  <c r="A1300" i="156"/>
  <c r="A1299" i="156"/>
  <c r="A1298" i="156"/>
  <c r="A1297" i="156"/>
  <c r="A1296" i="156"/>
  <c r="A1295" i="156"/>
  <c r="A1294" i="156"/>
  <c r="A1293" i="156"/>
  <c r="A1292" i="156"/>
  <c r="A1291" i="156"/>
  <c r="A1290" i="156"/>
  <c r="A1289" i="156"/>
  <c r="A1288" i="156"/>
  <c r="A1287" i="156"/>
  <c r="A1286" i="156"/>
  <c r="A1285" i="156"/>
  <c r="A1284" i="156"/>
  <c r="A1283" i="156"/>
  <c r="A1282" i="156"/>
  <c r="A1281" i="156"/>
  <c r="A1280" i="156"/>
  <c r="A1279" i="156"/>
  <c r="A1278" i="156"/>
  <c r="A1277" i="156"/>
  <c r="A1276" i="156"/>
  <c r="A1275" i="156"/>
  <c r="A1274" i="156"/>
  <c r="A1273" i="156"/>
  <c r="A1272" i="156"/>
  <c r="A1271" i="156"/>
  <c r="A1270" i="156"/>
  <c r="A1269" i="156"/>
  <c r="A1268" i="156"/>
  <c r="A1267" i="156"/>
  <c r="A1266" i="156"/>
  <c r="A1265" i="156"/>
  <c r="A1264" i="156"/>
  <c r="A1263" i="156"/>
  <c r="A1262" i="156"/>
  <c r="A1261" i="156"/>
  <c r="A1260" i="156"/>
  <c r="A1259" i="156"/>
  <c r="A1258" i="156"/>
  <c r="A1257" i="156"/>
  <c r="A1256" i="156"/>
  <c r="A1255" i="156"/>
  <c r="A1254" i="156"/>
  <c r="A1253" i="156"/>
  <c r="A1252" i="156"/>
  <c r="A1251" i="156"/>
  <c r="A1250" i="156"/>
  <c r="A1249" i="156"/>
  <c r="A1248" i="156"/>
  <c r="A1247" i="156"/>
  <c r="A1246" i="156"/>
  <c r="A1245" i="156"/>
  <c r="A1244" i="156"/>
  <c r="A1243" i="156"/>
  <c r="A1242" i="156"/>
  <c r="A1241" i="156"/>
  <c r="A1240" i="156"/>
  <c r="A1239" i="156"/>
  <c r="A1238" i="156"/>
  <c r="A1237" i="156"/>
  <c r="A1236" i="156"/>
  <c r="A1235" i="156"/>
  <c r="A1234" i="156"/>
  <c r="A1233" i="156"/>
  <c r="A1232" i="156"/>
  <c r="A1231" i="156"/>
  <c r="A1230" i="156"/>
  <c r="A1229" i="156"/>
  <c r="A1228" i="156"/>
  <c r="A1227" i="156"/>
  <c r="A1226" i="156"/>
  <c r="A1225" i="156"/>
  <c r="A1224" i="156"/>
  <c r="A1223" i="156"/>
  <c r="A1222" i="156"/>
  <c r="A1221" i="156"/>
  <c r="A1220" i="156"/>
  <c r="A1219" i="156"/>
  <c r="A1218" i="156"/>
  <c r="A1217" i="156"/>
  <c r="A1216" i="156"/>
  <c r="A1215" i="156"/>
  <c r="A1214" i="156"/>
  <c r="A1213" i="156"/>
  <c r="A1212" i="156"/>
  <c r="A1211" i="156"/>
  <c r="A1210" i="156"/>
  <c r="A1209" i="156"/>
  <c r="A1208" i="156"/>
  <c r="A1207" i="156"/>
  <c r="A1206" i="156"/>
  <c r="A1205" i="156"/>
  <c r="A1204" i="156"/>
  <c r="A1203" i="156"/>
  <c r="A1202" i="156"/>
  <c r="A1201" i="156"/>
  <c r="A1200" i="156"/>
  <c r="A1199" i="156"/>
  <c r="A1198" i="156"/>
  <c r="A1197" i="156"/>
  <c r="A1196" i="156"/>
  <c r="A1195" i="156"/>
  <c r="A1194" i="156"/>
  <c r="A1193" i="156"/>
  <c r="A1192" i="156"/>
  <c r="A1191" i="156"/>
  <c r="A1190" i="156"/>
  <c r="A1189" i="156"/>
  <c r="A1188" i="156"/>
  <c r="A1187" i="156"/>
  <c r="A1186" i="156"/>
  <c r="A1185" i="156"/>
  <c r="A1184" i="156"/>
  <c r="A1183" i="156"/>
  <c r="A1182" i="156"/>
  <c r="A1181" i="156"/>
  <c r="A1180" i="156"/>
  <c r="A1179" i="156"/>
  <c r="A1178" i="156"/>
  <c r="A1177" i="156"/>
  <c r="A1176" i="156"/>
  <c r="A1175" i="156"/>
  <c r="A1174" i="156"/>
  <c r="A1173" i="156"/>
  <c r="A1172" i="156"/>
  <c r="A1171" i="156"/>
  <c r="A1170" i="156"/>
  <c r="A1169" i="156"/>
  <c r="A1168" i="156"/>
  <c r="A1167" i="156"/>
  <c r="A1166" i="156"/>
  <c r="A1165" i="156"/>
  <c r="A1164" i="156"/>
  <c r="A1163" i="156"/>
  <c r="A1162" i="156"/>
  <c r="A1161" i="156"/>
  <c r="A1160" i="156"/>
  <c r="A1159" i="156"/>
  <c r="A1158" i="156"/>
  <c r="A1157" i="156"/>
  <c r="A1156" i="156"/>
  <c r="A1155" i="156"/>
  <c r="A1154" i="156"/>
  <c r="A1153" i="156"/>
  <c r="A1152" i="156"/>
  <c r="A1151" i="156"/>
  <c r="A1150" i="156"/>
  <c r="A1149" i="156"/>
  <c r="A1148" i="156"/>
  <c r="A1147" i="156"/>
  <c r="A1146" i="156"/>
  <c r="A1145" i="156"/>
  <c r="A1144" i="156"/>
  <c r="A1143" i="156"/>
  <c r="A1142" i="156"/>
  <c r="A1141" i="156"/>
  <c r="A1140" i="156"/>
  <c r="A1139" i="156"/>
  <c r="A1138" i="156"/>
  <c r="A1137" i="156"/>
  <c r="A1136" i="156"/>
  <c r="A1135" i="156"/>
  <c r="A1134" i="156"/>
  <c r="A1133" i="156"/>
  <c r="A1132" i="156"/>
  <c r="A1131" i="156"/>
  <c r="A1130" i="156"/>
  <c r="A1129" i="156"/>
  <c r="A1128" i="156"/>
  <c r="A1127" i="156"/>
  <c r="A1126" i="156"/>
  <c r="A1125" i="156"/>
  <c r="A1124" i="156"/>
  <c r="A1123" i="156"/>
  <c r="A1119" i="156"/>
  <c r="A1118" i="156"/>
  <c r="A1117" i="156"/>
  <c r="T7" i="41" l="1"/>
  <c r="T6" i="41"/>
  <c r="T7" i="42"/>
  <c r="D23" i="42" s="1"/>
  <c r="T6" i="42"/>
  <c r="D23" i="41" l="1"/>
  <c r="D2111" i="156"/>
  <c r="D2110" i="156"/>
  <c r="D2101" i="156"/>
  <c r="D2100" i="156"/>
  <c r="D2091" i="156"/>
  <c r="D2090" i="156"/>
  <c r="D2081" i="156"/>
  <c r="D2080" i="156"/>
  <c r="D2071" i="156"/>
  <c r="D2070" i="156"/>
  <c r="D2061" i="156"/>
  <c r="D2060" i="156"/>
  <c r="D2051" i="156"/>
  <c r="D2050" i="156"/>
  <c r="D2041" i="156"/>
  <c r="D2040" i="156"/>
  <c r="D2031" i="156"/>
  <c r="D2030" i="156"/>
  <c r="D2021" i="156"/>
  <c r="D2020" i="156"/>
  <c r="D2011" i="156"/>
  <c r="D2010" i="156"/>
  <c r="D2001" i="156"/>
  <c r="D2000" i="156"/>
  <c r="D1991" i="156"/>
  <c r="D1990" i="156"/>
  <c r="D1981" i="156"/>
  <c r="D1980" i="156"/>
  <c r="D1971" i="156"/>
  <c r="D1970" i="156"/>
  <c r="D1961" i="156"/>
  <c r="D1960" i="156"/>
  <c r="D1951" i="156"/>
  <c r="D1950" i="156"/>
  <c r="D1941" i="156"/>
  <c r="D1940" i="156"/>
  <c r="D1931" i="156"/>
  <c r="D1930" i="156"/>
  <c r="D1921" i="156"/>
  <c r="D1920" i="156"/>
  <c r="D1911" i="156"/>
  <c r="D1910" i="156"/>
  <c r="D1901" i="156"/>
  <c r="D1900" i="156"/>
  <c r="D1896" i="156"/>
  <c r="D1895" i="156"/>
  <c r="D1671" i="156"/>
  <c r="D1670" i="156"/>
  <c r="D1886" i="156"/>
  <c r="D1885" i="156"/>
  <c r="D1876" i="156"/>
  <c r="D1875" i="156"/>
  <c r="D1866" i="156"/>
  <c r="D1865" i="156"/>
  <c r="D1856" i="156"/>
  <c r="D1855" i="156"/>
  <c r="D1846" i="156"/>
  <c r="D1845" i="156"/>
  <c r="D1836" i="156"/>
  <c r="D1835" i="156"/>
  <c r="D1826" i="156"/>
  <c r="D1825" i="156"/>
  <c r="D1816" i="156"/>
  <c r="D1815" i="156"/>
  <c r="D1806" i="156"/>
  <c r="D1805" i="156"/>
  <c r="D1796" i="156"/>
  <c r="D1795" i="156"/>
  <c r="D1786" i="156"/>
  <c r="D1785" i="156"/>
  <c r="D1776" i="156"/>
  <c r="D1775" i="156"/>
  <c r="D1766" i="156"/>
  <c r="D1765" i="156"/>
  <c r="D1756" i="156"/>
  <c r="D1755" i="156"/>
  <c r="D1746" i="156"/>
  <c r="D1745" i="156"/>
  <c r="D1736" i="156"/>
  <c r="D1735" i="156"/>
  <c r="D1726" i="156"/>
  <c r="D1725" i="156"/>
  <c r="D1716" i="156"/>
  <c r="D1715" i="156"/>
  <c r="D1706" i="156"/>
  <c r="D1705" i="156"/>
  <c r="D1696" i="156"/>
  <c r="D1695" i="156"/>
  <c r="D1686" i="156"/>
  <c r="D1685" i="156"/>
  <c r="D1676" i="156"/>
  <c r="D293" i="156"/>
  <c r="D292" i="156"/>
  <c r="D36" i="156"/>
  <c r="D37" i="156"/>
  <c r="D1372" i="156" l="1"/>
  <c r="D1373" i="156"/>
  <c r="D1117" i="156"/>
  <c r="D1118" i="156"/>
  <c r="S4" i="156" l="1"/>
  <c r="S5" i="156"/>
  <c r="D29" i="156" s="1"/>
  <c r="D1618" i="156"/>
  <c r="D1617" i="156"/>
  <c r="D1608" i="156"/>
  <c r="D1607" i="156"/>
  <c r="D1598" i="156"/>
  <c r="D1597" i="156"/>
  <c r="D1588" i="156"/>
  <c r="D1587" i="156"/>
  <c r="D1578" i="156"/>
  <c r="D1577" i="156"/>
  <c r="D1568" i="156"/>
  <c r="D1567" i="156"/>
  <c r="D1558" i="156"/>
  <c r="D1557" i="156"/>
  <c r="D1548" i="156"/>
  <c r="D1547" i="156"/>
  <c r="D1538" i="156"/>
  <c r="D1537" i="156"/>
  <c r="D1528" i="156"/>
  <c r="D1527" i="156"/>
  <c r="D1518" i="156"/>
  <c r="D1517" i="156"/>
  <c r="D1508" i="156"/>
  <c r="D1507" i="156"/>
  <c r="D1498" i="156"/>
  <c r="D1497" i="156"/>
  <c r="D1488" i="156"/>
  <c r="D1487" i="156"/>
  <c r="D1478" i="156"/>
  <c r="D1477" i="156"/>
  <c r="D1468" i="156"/>
  <c r="D1467" i="156"/>
  <c r="D1458" i="156"/>
  <c r="D1457" i="156"/>
  <c r="D1448" i="156"/>
  <c r="D1447" i="156"/>
  <c r="D1438" i="156"/>
  <c r="D1437" i="156"/>
  <c r="D1428" i="156"/>
  <c r="D1427" i="156"/>
  <c r="D1418" i="156"/>
  <c r="D1417" i="156"/>
  <c r="D1408" i="156"/>
  <c r="D1407" i="156"/>
  <c r="D1398" i="156"/>
  <c r="D1397" i="156"/>
  <c r="D1388" i="156"/>
  <c r="D1387" i="156"/>
  <c r="D1378" i="156"/>
  <c r="D1377" i="156"/>
  <c r="D1363" i="156"/>
  <c r="D1362" i="156"/>
  <c r="D1353" i="156"/>
  <c r="D1352" i="156"/>
  <c r="D1343" i="156"/>
  <c r="D1342" i="156"/>
  <c r="D1333" i="156"/>
  <c r="D1332" i="156"/>
  <c r="D1323" i="156"/>
  <c r="D1322" i="156"/>
  <c r="D1313" i="156"/>
  <c r="D1312" i="156"/>
  <c r="D1303" i="156"/>
  <c r="D1302" i="156"/>
  <c r="D1293" i="156"/>
  <c r="D1292" i="156"/>
  <c r="D1283" i="156"/>
  <c r="D1282" i="156"/>
  <c r="D1273" i="156"/>
  <c r="D1272" i="156"/>
  <c r="D1263" i="156"/>
  <c r="D1262" i="156"/>
  <c r="D1253" i="156"/>
  <c r="D1252" i="156"/>
  <c r="D1243" i="156"/>
  <c r="D1242" i="156"/>
  <c r="D1233" i="156"/>
  <c r="D1232" i="156"/>
  <c r="D1223" i="156"/>
  <c r="D1222" i="156"/>
  <c r="D1213" i="156"/>
  <c r="D1212" i="156"/>
  <c r="D1203" i="156"/>
  <c r="D1202" i="156"/>
  <c r="D1193" i="156"/>
  <c r="D1192" i="156"/>
  <c r="D1183" i="156"/>
  <c r="D1182" i="156"/>
  <c r="D1173" i="156"/>
  <c r="D1172" i="156"/>
  <c r="D1163" i="156"/>
  <c r="D1162" i="156"/>
  <c r="D1153" i="156"/>
  <c r="D1152" i="156"/>
  <c r="D1143" i="156"/>
  <c r="D1142" i="156"/>
  <c r="D1133" i="156"/>
  <c r="D1132" i="156"/>
  <c r="D1123" i="156"/>
  <c r="D1122" i="156"/>
  <c r="A3" i="177" l="1"/>
  <c r="B3" i="177"/>
  <c r="C3" i="177"/>
  <c r="D3" i="177"/>
  <c r="D183" i="175"/>
  <c r="A183" i="175"/>
  <c r="A182" i="175"/>
  <c r="D181" i="175"/>
  <c r="A181" i="175"/>
  <c r="A180" i="175"/>
  <c r="A179" i="175"/>
  <c r="A178" i="175"/>
  <c r="D177" i="175"/>
  <c r="A177" i="175"/>
  <c r="A176" i="175"/>
  <c r="D175" i="175"/>
  <c r="A175" i="175"/>
  <c r="A174" i="175"/>
  <c r="A173" i="175"/>
  <c r="A172" i="175"/>
  <c r="D171" i="175"/>
  <c r="A171" i="175"/>
  <c r="A170" i="175"/>
  <c r="D169" i="175"/>
  <c r="A169" i="175"/>
  <c r="A168" i="175"/>
  <c r="A167" i="175"/>
  <c r="A166" i="175"/>
  <c r="D165" i="175"/>
  <c r="A165" i="175"/>
  <c r="A164" i="175"/>
  <c r="D163" i="175"/>
  <c r="A163" i="175"/>
  <c r="A162" i="175"/>
  <c r="A161" i="175"/>
  <c r="A160" i="175"/>
  <c r="D159" i="175"/>
  <c r="A159" i="175"/>
  <c r="A158" i="175"/>
  <c r="D157" i="175"/>
  <c r="A157" i="175"/>
  <c r="A156" i="175"/>
  <c r="A155" i="175"/>
  <c r="A154" i="175"/>
  <c r="D153" i="175"/>
  <c r="A153" i="175"/>
  <c r="A152" i="175"/>
  <c r="D151" i="175"/>
  <c r="A151" i="175"/>
  <c r="A150" i="175"/>
  <c r="A149" i="175"/>
  <c r="A148" i="175"/>
  <c r="D147" i="175"/>
  <c r="A147" i="175"/>
  <c r="A146" i="175"/>
  <c r="D145" i="175"/>
  <c r="A145" i="175"/>
  <c r="A144" i="175"/>
  <c r="A143" i="175"/>
  <c r="A142" i="175"/>
  <c r="D141" i="175"/>
  <c r="A141" i="175"/>
  <c r="A140" i="175"/>
  <c r="D139" i="175"/>
  <c r="A139" i="175"/>
  <c r="A138" i="175"/>
  <c r="A137" i="175"/>
  <c r="A136" i="175"/>
  <c r="D135" i="175"/>
  <c r="A135" i="175"/>
  <c r="A134" i="175"/>
  <c r="D133" i="175"/>
  <c r="A133" i="175"/>
  <c r="A132" i="175"/>
  <c r="A131" i="175"/>
  <c r="A130" i="175"/>
  <c r="D129" i="175"/>
  <c r="A129" i="175"/>
  <c r="A128" i="175"/>
  <c r="D127" i="175"/>
  <c r="A127" i="175"/>
  <c r="A126" i="175"/>
  <c r="A125" i="175"/>
  <c r="A124" i="175"/>
  <c r="D123" i="175"/>
  <c r="A123" i="175"/>
  <c r="A122" i="175"/>
  <c r="D121" i="175"/>
  <c r="A121" i="175"/>
  <c r="A120" i="175"/>
  <c r="A119" i="175"/>
  <c r="A118" i="175"/>
  <c r="D117" i="175"/>
  <c r="A117" i="175"/>
  <c r="A116" i="175"/>
  <c r="D115" i="175"/>
  <c r="A115" i="175"/>
  <c r="A114" i="175"/>
  <c r="A113" i="175"/>
  <c r="A112" i="175"/>
  <c r="D111" i="175"/>
  <c r="A111" i="175"/>
  <c r="A110" i="175"/>
  <c r="D109" i="175"/>
  <c r="A109" i="175"/>
  <c r="A108" i="175"/>
  <c r="A107" i="175"/>
  <c r="A106" i="175"/>
  <c r="D105" i="175"/>
  <c r="A105" i="175"/>
  <c r="A104" i="175"/>
  <c r="D103" i="175"/>
  <c r="A103" i="175"/>
  <c r="A102" i="175"/>
  <c r="A101" i="175"/>
  <c r="A100" i="175"/>
  <c r="D99" i="175"/>
  <c r="A99" i="175"/>
  <c r="A98" i="175"/>
  <c r="D97" i="175"/>
  <c r="A97" i="175"/>
  <c r="A96" i="175"/>
  <c r="A95" i="175"/>
  <c r="A94" i="175"/>
  <c r="D93" i="175"/>
  <c r="A93" i="175"/>
  <c r="A92" i="175"/>
  <c r="D91" i="175"/>
  <c r="A91" i="175"/>
  <c r="A90" i="175"/>
  <c r="A89" i="175"/>
  <c r="A88" i="175"/>
  <c r="D87" i="175"/>
  <c r="A87" i="175"/>
  <c r="A86" i="175"/>
  <c r="D85" i="175"/>
  <c r="A85" i="175"/>
  <c r="A84" i="175"/>
  <c r="A83" i="175"/>
  <c r="A82" i="175"/>
  <c r="D81" i="175"/>
  <c r="A81" i="175"/>
  <c r="A80" i="175"/>
  <c r="D79" i="175"/>
  <c r="A79" i="175"/>
  <c r="A78" i="175"/>
  <c r="A77" i="175"/>
  <c r="A76" i="175"/>
  <c r="D75" i="175"/>
  <c r="A75" i="175"/>
  <c r="A74" i="175"/>
  <c r="D73" i="175"/>
  <c r="A73" i="175"/>
  <c r="A72" i="175"/>
  <c r="A71" i="175"/>
  <c r="A70" i="175"/>
  <c r="D69" i="175"/>
  <c r="A69" i="175"/>
  <c r="A68" i="175"/>
  <c r="D67" i="175"/>
  <c r="A67" i="175"/>
  <c r="A66" i="175"/>
  <c r="A65" i="175"/>
  <c r="A64" i="175"/>
  <c r="D63" i="175"/>
  <c r="A63" i="175"/>
  <c r="A62" i="175"/>
  <c r="D61" i="175"/>
  <c r="A61" i="175"/>
  <c r="A60" i="175"/>
  <c r="A59" i="175"/>
  <c r="A58" i="175"/>
  <c r="D57" i="175"/>
  <c r="A57" i="175"/>
  <c r="A56" i="175"/>
  <c r="D55" i="175"/>
  <c r="A55" i="175"/>
  <c r="A54" i="175"/>
  <c r="A53" i="175"/>
  <c r="A52" i="175"/>
  <c r="D51" i="175"/>
  <c r="A51" i="175"/>
  <c r="A50" i="175"/>
  <c r="D49" i="175"/>
  <c r="A49" i="175"/>
  <c r="A48" i="175"/>
  <c r="A47" i="175"/>
  <c r="A46" i="175"/>
  <c r="D45" i="175"/>
  <c r="A45" i="175"/>
  <c r="A44" i="175"/>
  <c r="D43" i="175"/>
  <c r="A43" i="175"/>
  <c r="A42" i="175"/>
  <c r="A41" i="175"/>
  <c r="A40" i="175"/>
  <c r="D39" i="175"/>
  <c r="A39" i="175"/>
  <c r="A38" i="175"/>
  <c r="D37" i="175"/>
  <c r="A37" i="175"/>
  <c r="A36" i="175"/>
  <c r="A35" i="175"/>
  <c r="A34" i="175"/>
  <c r="D33" i="175"/>
  <c r="A33" i="175"/>
  <c r="A32" i="175"/>
  <c r="D31" i="175"/>
  <c r="A31" i="175"/>
  <c r="A30" i="175"/>
  <c r="A29" i="175"/>
  <c r="A28" i="175"/>
  <c r="D27" i="175"/>
  <c r="A27" i="175"/>
  <c r="A26" i="175"/>
  <c r="D25" i="175"/>
  <c r="A25" i="175"/>
  <c r="A24" i="175"/>
  <c r="A23" i="175"/>
  <c r="A22" i="175"/>
  <c r="D21" i="175"/>
  <c r="A21" i="175"/>
  <c r="A20" i="175"/>
  <c r="D19" i="175"/>
  <c r="A19" i="175"/>
  <c r="A18" i="175"/>
  <c r="A17" i="175"/>
  <c r="A16" i="175"/>
  <c r="D15" i="175"/>
  <c r="A15" i="175"/>
  <c r="A14" i="175"/>
  <c r="D13" i="175"/>
  <c r="A13" i="175"/>
  <c r="A12" i="175"/>
  <c r="A11" i="175"/>
  <c r="A10" i="175"/>
  <c r="D9" i="175"/>
  <c r="A9" i="175"/>
  <c r="A8" i="175"/>
  <c r="D7" i="175"/>
  <c r="A7" i="175"/>
  <c r="A6" i="175"/>
  <c r="A5" i="175"/>
  <c r="A4" i="175"/>
  <c r="D3" i="175"/>
  <c r="A3" i="175"/>
  <c r="A5" i="177"/>
  <c r="B5" i="177"/>
  <c r="C5" i="177"/>
  <c r="D5" i="177"/>
  <c r="A6" i="177"/>
  <c r="B6" i="177"/>
  <c r="C6" i="177"/>
  <c r="D6" i="177"/>
  <c r="A7" i="177"/>
  <c r="B7" i="177"/>
  <c r="C7" i="177"/>
  <c r="D7" i="177"/>
  <c r="A8" i="177"/>
  <c r="B8" i="177"/>
  <c r="C8" i="177"/>
  <c r="D8" i="177"/>
  <c r="A9" i="177"/>
  <c r="B9" i="177"/>
  <c r="C9" i="177"/>
  <c r="D9" i="177"/>
  <c r="A10" i="177"/>
  <c r="B10" i="177"/>
  <c r="C10" i="177"/>
  <c r="D10" i="177"/>
  <c r="A11" i="177"/>
  <c r="B11" i="177"/>
  <c r="C11" i="177"/>
  <c r="D11" i="177"/>
  <c r="A12" i="177"/>
  <c r="B12" i="177"/>
  <c r="C12" i="177"/>
  <c r="D12" i="177"/>
  <c r="A13" i="177"/>
  <c r="B13" i="177"/>
  <c r="C13" i="177"/>
  <c r="D13" i="177"/>
  <c r="A14" i="177"/>
  <c r="B14" i="177"/>
  <c r="C14" i="177"/>
  <c r="D14" i="177"/>
  <c r="A15" i="177"/>
  <c r="B15" i="177"/>
  <c r="C15" i="177"/>
  <c r="D15" i="177"/>
  <c r="A16" i="177"/>
  <c r="B16" i="177"/>
  <c r="C16" i="177"/>
  <c r="D16" i="177"/>
  <c r="A17" i="177"/>
  <c r="B17" i="177"/>
  <c r="C17" i="177"/>
  <c r="D17" i="177"/>
  <c r="A18" i="177"/>
  <c r="B18" i="177"/>
  <c r="C18" i="177"/>
  <c r="D18" i="177"/>
  <c r="A19" i="177"/>
  <c r="B19" i="177"/>
  <c r="C19" i="177"/>
  <c r="D19" i="177"/>
  <c r="A20" i="177"/>
  <c r="B20" i="177"/>
  <c r="C20" i="177"/>
  <c r="D20" i="177"/>
  <c r="A21" i="177"/>
  <c r="B21" i="177"/>
  <c r="C21" i="177"/>
  <c r="D21" i="177"/>
  <c r="A22" i="177"/>
  <c r="B22" i="177"/>
  <c r="C22" i="177"/>
  <c r="D22" i="177"/>
  <c r="A23" i="177"/>
  <c r="B23" i="177"/>
  <c r="C23" i="177"/>
  <c r="D23" i="177"/>
  <c r="A24" i="177"/>
  <c r="B24" i="177"/>
  <c r="C24" i="177"/>
  <c r="D24" i="177"/>
  <c r="A25" i="177"/>
  <c r="B25" i="177"/>
  <c r="C25" i="177"/>
  <c r="D25" i="177"/>
  <c r="A29" i="177"/>
  <c r="B29" i="177"/>
  <c r="C29" i="177"/>
  <c r="D29" i="177"/>
  <c r="A30" i="177"/>
  <c r="B30" i="177"/>
  <c r="C30" i="177"/>
  <c r="D30" i="177"/>
  <c r="A31" i="177"/>
  <c r="B31" i="177"/>
  <c r="C31" i="177"/>
  <c r="D31" i="177"/>
  <c r="A32" i="177"/>
  <c r="B32" i="177"/>
  <c r="C32" i="177"/>
  <c r="D32" i="177"/>
  <c r="D183" i="174"/>
  <c r="A183" i="174"/>
  <c r="A182" i="174"/>
  <c r="D181" i="174"/>
  <c r="A181" i="174"/>
  <c r="A180" i="174"/>
  <c r="A179" i="174"/>
  <c r="A178" i="174"/>
  <c r="D177" i="174"/>
  <c r="A177" i="174"/>
  <c r="A176" i="174"/>
  <c r="D175" i="174"/>
  <c r="A175" i="174"/>
  <c r="A174" i="174"/>
  <c r="A173" i="174"/>
  <c r="A172" i="174"/>
  <c r="D171" i="174"/>
  <c r="A171" i="174"/>
  <c r="A170" i="174"/>
  <c r="D169" i="174"/>
  <c r="A169" i="174"/>
  <c r="A168" i="174"/>
  <c r="A167" i="174"/>
  <c r="A166" i="174"/>
  <c r="D165" i="174"/>
  <c r="A165" i="174"/>
  <c r="A164" i="174"/>
  <c r="D163" i="174"/>
  <c r="A163" i="174"/>
  <c r="A162" i="174"/>
  <c r="A161" i="174"/>
  <c r="A160" i="174"/>
  <c r="D159" i="174"/>
  <c r="A159" i="174"/>
  <c r="A158" i="174"/>
  <c r="D157" i="174"/>
  <c r="A157" i="174"/>
  <c r="A156" i="174"/>
  <c r="A155" i="174"/>
  <c r="A154" i="174"/>
  <c r="D153" i="174"/>
  <c r="A153" i="174"/>
  <c r="A152" i="174"/>
  <c r="D151" i="174"/>
  <c r="A151" i="174"/>
  <c r="A150" i="174"/>
  <c r="A149" i="174"/>
  <c r="A148" i="174"/>
  <c r="D147" i="174"/>
  <c r="A147" i="174"/>
  <c r="A146" i="174"/>
  <c r="D145" i="174"/>
  <c r="A145" i="174"/>
  <c r="A144" i="174"/>
  <c r="A143" i="174"/>
  <c r="A142" i="174"/>
  <c r="D141" i="174"/>
  <c r="A141" i="174"/>
  <c r="A140" i="174"/>
  <c r="D139" i="174"/>
  <c r="A139" i="174"/>
  <c r="A138" i="174"/>
  <c r="A137" i="174"/>
  <c r="A136" i="174"/>
  <c r="D135" i="174"/>
  <c r="A135" i="174"/>
  <c r="A134" i="174"/>
  <c r="D133" i="174"/>
  <c r="A133" i="174"/>
  <c r="A132" i="174"/>
  <c r="A131" i="174"/>
  <c r="A130" i="174"/>
  <c r="D129" i="174"/>
  <c r="A129" i="174"/>
  <c r="A128" i="174"/>
  <c r="D127" i="174"/>
  <c r="A127" i="174"/>
  <c r="A126" i="174"/>
  <c r="A125" i="174"/>
  <c r="A124" i="174"/>
  <c r="D123" i="174"/>
  <c r="A123" i="174"/>
  <c r="A122" i="174"/>
  <c r="D121" i="174"/>
  <c r="A121" i="174"/>
  <c r="A120" i="174"/>
  <c r="A119" i="174"/>
  <c r="A118" i="174"/>
  <c r="D117" i="174"/>
  <c r="A117" i="174"/>
  <c r="A116" i="174"/>
  <c r="D115" i="174"/>
  <c r="A115" i="174"/>
  <c r="A114" i="174"/>
  <c r="A113" i="174"/>
  <c r="A112" i="174"/>
  <c r="D111" i="174"/>
  <c r="A111" i="174"/>
  <c r="A110" i="174"/>
  <c r="D109" i="174"/>
  <c r="A109" i="174"/>
  <c r="A108" i="174"/>
  <c r="A107" i="174"/>
  <c r="A106" i="174"/>
  <c r="D105" i="174"/>
  <c r="A105" i="174"/>
  <c r="A104" i="174"/>
  <c r="D103" i="174"/>
  <c r="A103" i="174"/>
  <c r="A102" i="174"/>
  <c r="A101" i="174"/>
  <c r="A100" i="174"/>
  <c r="D99" i="174"/>
  <c r="A99" i="174"/>
  <c r="A98" i="174"/>
  <c r="D97" i="174"/>
  <c r="A97" i="174"/>
  <c r="A96" i="174"/>
  <c r="A95" i="174"/>
  <c r="A94" i="174"/>
  <c r="D93" i="174"/>
  <c r="A93" i="174"/>
  <c r="A92" i="174"/>
  <c r="D91" i="174"/>
  <c r="A91" i="174"/>
  <c r="A90" i="174"/>
  <c r="A89" i="174"/>
  <c r="A88" i="174"/>
  <c r="D87" i="174"/>
  <c r="A87" i="174"/>
  <c r="A86" i="174"/>
  <c r="D85" i="174"/>
  <c r="A85" i="174"/>
  <c r="A84" i="174"/>
  <c r="A83" i="174"/>
  <c r="A82" i="174"/>
  <c r="D81" i="174"/>
  <c r="A81" i="174"/>
  <c r="A80" i="174"/>
  <c r="D79" i="174"/>
  <c r="A79" i="174"/>
  <c r="A78" i="174"/>
  <c r="A77" i="174"/>
  <c r="A76" i="174"/>
  <c r="D75" i="174"/>
  <c r="A75" i="174"/>
  <c r="A74" i="174"/>
  <c r="D73" i="174"/>
  <c r="A73" i="174"/>
  <c r="A72" i="174"/>
  <c r="A71" i="174"/>
  <c r="A70" i="174"/>
  <c r="D69" i="174"/>
  <c r="A69" i="174"/>
  <c r="A68" i="174"/>
  <c r="D67" i="174"/>
  <c r="A67" i="174"/>
  <c r="A66" i="174"/>
  <c r="A65" i="174"/>
  <c r="A64" i="174"/>
  <c r="D63" i="174"/>
  <c r="A63" i="174"/>
  <c r="A62" i="174"/>
  <c r="D61" i="174"/>
  <c r="A61" i="174"/>
  <c r="A60" i="174"/>
  <c r="A59" i="174"/>
  <c r="A58" i="174"/>
  <c r="D57" i="174"/>
  <c r="A57" i="174"/>
  <c r="A56" i="174"/>
  <c r="D55" i="174"/>
  <c r="A55" i="174"/>
  <c r="A54" i="174"/>
  <c r="A53" i="174"/>
  <c r="A52" i="174"/>
  <c r="D51" i="174"/>
  <c r="A51" i="174"/>
  <c r="A50" i="174"/>
  <c r="D49" i="174"/>
  <c r="A49" i="174"/>
  <c r="A48" i="174"/>
  <c r="A47" i="174"/>
  <c r="A46" i="174"/>
  <c r="D45" i="174"/>
  <c r="A45" i="174"/>
  <c r="A44" i="174"/>
  <c r="D43" i="174"/>
  <c r="A43" i="174"/>
  <c r="A42" i="174"/>
  <c r="A41" i="174"/>
  <c r="A40" i="174"/>
  <c r="D39" i="174"/>
  <c r="A39" i="174"/>
  <c r="A38" i="174"/>
  <c r="D37" i="174"/>
  <c r="A37" i="174"/>
  <c r="A36" i="174"/>
  <c r="A35" i="174"/>
  <c r="A34" i="174"/>
  <c r="D33" i="174"/>
  <c r="A33" i="174"/>
  <c r="A32" i="174"/>
  <c r="D31" i="174"/>
  <c r="A31" i="174"/>
  <c r="A30" i="174"/>
  <c r="A29" i="174"/>
  <c r="A28" i="174"/>
  <c r="D27" i="174"/>
  <c r="A27" i="174"/>
  <c r="A26" i="174"/>
  <c r="D25" i="174"/>
  <c r="A25" i="174"/>
  <c r="A24" i="174"/>
  <c r="A23" i="174"/>
  <c r="A22" i="174"/>
  <c r="D21" i="174"/>
  <c r="A21" i="174"/>
  <c r="A20" i="174"/>
  <c r="D19" i="174"/>
  <c r="A19" i="174"/>
  <c r="A18" i="174"/>
  <c r="A17" i="174"/>
  <c r="A16" i="174"/>
  <c r="D15" i="174"/>
  <c r="A15" i="174"/>
  <c r="A14" i="174"/>
  <c r="D13" i="174"/>
  <c r="A13" i="174"/>
  <c r="A12" i="174"/>
  <c r="A11" i="174"/>
  <c r="A10" i="174"/>
  <c r="D9" i="174"/>
  <c r="A9" i="174"/>
  <c r="A8" i="174"/>
  <c r="D7" i="174"/>
  <c r="A7" i="174"/>
  <c r="A6" i="174"/>
  <c r="A5" i="174"/>
  <c r="A4" i="174"/>
  <c r="D3" i="174"/>
  <c r="A3" i="174"/>
  <c r="D163" i="172"/>
  <c r="D169" i="172"/>
  <c r="D175" i="172"/>
  <c r="D181" i="172"/>
  <c r="D6" i="179"/>
  <c r="C6" i="179"/>
  <c r="B6" i="179"/>
  <c r="A6" i="179"/>
  <c r="D5" i="179"/>
  <c r="C5" i="179"/>
  <c r="B5" i="179"/>
  <c r="A5" i="179"/>
  <c r="D4" i="179"/>
  <c r="C4" i="179"/>
  <c r="B4" i="179"/>
  <c r="A4" i="179"/>
  <c r="D3" i="179"/>
  <c r="C3" i="179"/>
  <c r="B3" i="179"/>
  <c r="A3" i="179"/>
  <c r="D32" i="178"/>
  <c r="C32" i="178"/>
  <c r="B32" i="178"/>
  <c r="A32" i="178"/>
  <c r="D31" i="178"/>
  <c r="C31" i="178"/>
  <c r="B31" i="178"/>
  <c r="A31" i="178"/>
  <c r="D30" i="178"/>
  <c r="C30" i="178"/>
  <c r="B30" i="178"/>
  <c r="A30" i="178"/>
  <c r="D29" i="178"/>
  <c r="C29" i="178"/>
  <c r="B29" i="178"/>
  <c r="A29" i="178"/>
  <c r="D28" i="178"/>
  <c r="C28" i="178"/>
  <c r="B28" i="178"/>
  <c r="A28" i="178"/>
  <c r="D27" i="178"/>
  <c r="C27" i="178"/>
  <c r="B27" i="178"/>
  <c r="A27" i="178"/>
  <c r="D26" i="178"/>
  <c r="C26" i="178"/>
  <c r="B26" i="178"/>
  <c r="A26" i="178"/>
  <c r="D25" i="178"/>
  <c r="C25" i="178"/>
  <c r="B25" i="178"/>
  <c r="A25" i="178"/>
  <c r="D24" i="178"/>
  <c r="C24" i="178"/>
  <c r="B24" i="178"/>
  <c r="A24" i="178"/>
  <c r="D23" i="178"/>
  <c r="C23" i="178"/>
  <c r="B23" i="178"/>
  <c r="A23" i="178"/>
  <c r="D22" i="178"/>
  <c r="C22" i="178"/>
  <c r="B22" i="178"/>
  <c r="A22" i="178"/>
  <c r="D21" i="178"/>
  <c r="C21" i="178"/>
  <c r="B21" i="178"/>
  <c r="A21" i="178"/>
  <c r="D20" i="178"/>
  <c r="C20" i="178"/>
  <c r="B20" i="178"/>
  <c r="A20" i="178"/>
  <c r="D19" i="178"/>
  <c r="C19" i="178"/>
  <c r="B19" i="178"/>
  <c r="A19" i="178"/>
  <c r="D18" i="178"/>
  <c r="C18" i="178"/>
  <c r="B18" i="178"/>
  <c r="A18" i="178"/>
  <c r="D17" i="178"/>
  <c r="C17" i="178"/>
  <c r="B17" i="178"/>
  <c r="A17" i="178"/>
  <c r="D16" i="178"/>
  <c r="C16" i="178"/>
  <c r="B16" i="178"/>
  <c r="A16" i="178"/>
  <c r="D15" i="178"/>
  <c r="C15" i="178"/>
  <c r="B15" i="178"/>
  <c r="A15" i="178"/>
  <c r="D14" i="178"/>
  <c r="C14" i="178"/>
  <c r="B14" i="178"/>
  <c r="A14" i="178"/>
  <c r="D13" i="178"/>
  <c r="C13" i="178"/>
  <c r="B13" i="178"/>
  <c r="A13" i="178"/>
  <c r="D12" i="178"/>
  <c r="C12" i="178"/>
  <c r="B12" i="178"/>
  <c r="A12" i="178"/>
  <c r="D11" i="178"/>
  <c r="C11" i="178"/>
  <c r="B11" i="178"/>
  <c r="A11" i="178"/>
  <c r="D10" i="178"/>
  <c r="C10" i="178"/>
  <c r="B10" i="178"/>
  <c r="A10" i="178"/>
  <c r="D9" i="178"/>
  <c r="C9" i="178"/>
  <c r="B9" i="178"/>
  <c r="A9" i="178"/>
  <c r="D8" i="178"/>
  <c r="C8" i="178"/>
  <c r="B8" i="178"/>
  <c r="A8" i="178"/>
  <c r="D7" i="178"/>
  <c r="C7" i="178"/>
  <c r="B7" i="178"/>
  <c r="A7" i="178"/>
  <c r="D6" i="178"/>
  <c r="C6" i="178"/>
  <c r="B6" i="178"/>
  <c r="A6" i="178"/>
  <c r="D5" i="178"/>
  <c r="C5" i="178"/>
  <c r="B5" i="178"/>
  <c r="A5" i="178"/>
  <c r="D4" i="178"/>
  <c r="C4" i="178"/>
  <c r="B4" i="178"/>
  <c r="A4" i="178"/>
  <c r="D3" i="178"/>
  <c r="C3" i="178"/>
  <c r="B3" i="178"/>
  <c r="A3" i="178"/>
  <c r="D28" i="177"/>
  <c r="C28" i="177"/>
  <c r="B28" i="177"/>
  <c r="A28" i="177"/>
  <c r="D27" i="177"/>
  <c r="C27" i="177"/>
  <c r="B27" i="177"/>
  <c r="A27" i="177"/>
  <c r="D26" i="177"/>
  <c r="C26" i="177"/>
  <c r="B26" i="177"/>
  <c r="A26" i="177"/>
  <c r="D4" i="177"/>
  <c r="C4" i="177"/>
  <c r="B4" i="177"/>
  <c r="A4" i="177"/>
  <c r="D32" i="173"/>
  <c r="D31" i="173"/>
  <c r="D29" i="173"/>
  <c r="D30" i="173"/>
  <c r="A32" i="173"/>
  <c r="A31" i="173"/>
  <c r="A30" i="173"/>
  <c r="A29" i="173"/>
  <c r="C32" i="173"/>
  <c r="B32" i="173"/>
  <c r="C31" i="173"/>
  <c r="B31" i="173"/>
  <c r="C30" i="173"/>
  <c r="B30" i="173"/>
  <c r="C29" i="173"/>
  <c r="B29" i="173"/>
  <c r="D183" i="172"/>
  <c r="D177" i="172"/>
  <c r="D171" i="172"/>
  <c r="A183" i="172"/>
  <c r="A182" i="172"/>
  <c r="A181" i="172"/>
  <c r="A180" i="172"/>
  <c r="A179" i="172"/>
  <c r="A178" i="172"/>
  <c r="A177" i="172"/>
  <c r="A176" i="172"/>
  <c r="A175" i="172"/>
  <c r="A174" i="172"/>
  <c r="A173" i="172"/>
  <c r="A172" i="172"/>
  <c r="A171" i="172"/>
  <c r="A170" i="172"/>
  <c r="A169" i="172"/>
  <c r="A168" i="172"/>
  <c r="A167" i="172"/>
  <c r="A166" i="172"/>
  <c r="A161" i="172"/>
  <c r="A162" i="172"/>
  <c r="A163" i="172"/>
  <c r="A164" i="172"/>
  <c r="A165" i="172"/>
  <c r="A160" i="172"/>
  <c r="D165" i="172"/>
  <c r="D27" i="176"/>
  <c r="A27" i="176"/>
  <c r="A26" i="176"/>
  <c r="D25" i="176"/>
  <c r="A25" i="176"/>
  <c r="A24" i="176"/>
  <c r="A23" i="176"/>
  <c r="A22" i="176"/>
  <c r="D21" i="176"/>
  <c r="A21" i="176"/>
  <c r="A20" i="176"/>
  <c r="D19" i="176"/>
  <c r="A19" i="176"/>
  <c r="A18" i="176"/>
  <c r="A17" i="176"/>
  <c r="A16" i="176"/>
  <c r="D15" i="176"/>
  <c r="A15" i="176"/>
  <c r="A14" i="176"/>
  <c r="D13" i="176"/>
  <c r="A13" i="176"/>
  <c r="A12" i="176"/>
  <c r="A11" i="176"/>
  <c r="A10" i="176"/>
  <c r="D9" i="176"/>
  <c r="A9" i="176"/>
  <c r="A8" i="176"/>
  <c r="D7" i="176"/>
  <c r="A7" i="176"/>
  <c r="A6" i="176"/>
  <c r="A5" i="176"/>
  <c r="A4" i="176"/>
  <c r="D3" i="176"/>
  <c r="A3" i="176"/>
  <c r="A25" i="173"/>
  <c r="A24" i="173"/>
  <c r="A28" i="173"/>
  <c r="A27" i="173"/>
  <c r="A26" i="173"/>
  <c r="D28" i="173"/>
  <c r="D27" i="173"/>
  <c r="D26" i="173"/>
  <c r="D25" i="173"/>
  <c r="D24" i="173"/>
  <c r="C28" i="173"/>
  <c r="B28" i="173"/>
  <c r="C27" i="173"/>
  <c r="B27" i="173"/>
  <c r="C26" i="173"/>
  <c r="B26" i="173"/>
  <c r="C25" i="173"/>
  <c r="B25" i="173"/>
  <c r="C24" i="173"/>
  <c r="B24" i="173"/>
  <c r="D23" i="173"/>
  <c r="A23" i="173"/>
  <c r="A22" i="173"/>
  <c r="A21" i="173"/>
  <c r="A20" i="173"/>
  <c r="D22" i="173"/>
  <c r="D21" i="173"/>
  <c r="D20" i="173"/>
  <c r="D19" i="173"/>
  <c r="D18" i="173"/>
  <c r="A19" i="173"/>
  <c r="A18" i="173"/>
  <c r="D17" i="173"/>
  <c r="D16" i="173"/>
  <c r="D15" i="173"/>
  <c r="A17" i="173"/>
  <c r="A16" i="173"/>
  <c r="A15" i="173"/>
  <c r="D14" i="173"/>
  <c r="D13" i="173"/>
  <c r="D12" i="173"/>
  <c r="A14" i="173"/>
  <c r="A13" i="173"/>
  <c r="A12" i="173"/>
  <c r="D11" i="173"/>
  <c r="D10" i="173"/>
  <c r="D9" i="173"/>
  <c r="A11" i="173"/>
  <c r="A10" i="173"/>
  <c r="A9" i="173"/>
  <c r="A8" i="173"/>
  <c r="A7" i="173"/>
  <c r="D8" i="173"/>
  <c r="D7" i="173"/>
  <c r="A6" i="173"/>
  <c r="D6" i="173"/>
  <c r="D5" i="173"/>
  <c r="A5" i="173"/>
  <c r="B5" i="173"/>
  <c r="C5" i="173"/>
  <c r="B6" i="173"/>
  <c r="C6" i="173"/>
  <c r="B7" i="173"/>
  <c r="C7" i="173"/>
  <c r="B8" i="173"/>
  <c r="C8" i="173"/>
  <c r="B9" i="173"/>
  <c r="C9" i="173"/>
  <c r="B10" i="173"/>
  <c r="C10" i="173"/>
  <c r="B11" i="173"/>
  <c r="C11" i="173"/>
  <c r="B12" i="173"/>
  <c r="C12" i="173"/>
  <c r="B13" i="173"/>
  <c r="C13" i="173"/>
  <c r="B14" i="173"/>
  <c r="C14" i="173"/>
  <c r="B15" i="173"/>
  <c r="C15" i="173"/>
  <c r="B16" i="173"/>
  <c r="C16" i="173"/>
  <c r="B17" i="173"/>
  <c r="C17" i="173"/>
  <c r="B18" i="173"/>
  <c r="C18" i="173"/>
  <c r="B19" i="173"/>
  <c r="C19" i="173"/>
  <c r="B20" i="173"/>
  <c r="C20" i="173"/>
  <c r="B21" i="173"/>
  <c r="C21" i="173"/>
  <c r="B22" i="173"/>
  <c r="C22" i="173"/>
  <c r="B23" i="173"/>
  <c r="C23" i="173"/>
  <c r="A4" i="173"/>
  <c r="D4" i="173"/>
  <c r="D3" i="173"/>
  <c r="A3" i="173"/>
  <c r="C4" i="173"/>
  <c r="B4" i="173"/>
  <c r="C3" i="173"/>
  <c r="B3" i="173"/>
  <c r="D157" i="172"/>
  <c r="D145" i="172"/>
  <c r="D151" i="172"/>
  <c r="D139" i="172"/>
  <c r="D133" i="172"/>
  <c r="D127" i="172"/>
  <c r="D121" i="172"/>
  <c r="D115" i="172"/>
  <c r="D109" i="172"/>
  <c r="D103" i="172"/>
  <c r="D97" i="172"/>
  <c r="D91" i="172"/>
  <c r="D85" i="172"/>
  <c r="D79" i="172"/>
  <c r="D73" i="172"/>
  <c r="D67" i="172"/>
  <c r="D61" i="172"/>
  <c r="D55" i="172"/>
  <c r="D49" i="172"/>
  <c r="D43" i="172"/>
  <c r="D37" i="172"/>
  <c r="D31" i="172"/>
  <c r="D25" i="172"/>
  <c r="D19" i="172"/>
  <c r="D13" i="172"/>
  <c r="D7" i="172"/>
  <c r="D159" i="172"/>
  <c r="D153" i="172"/>
  <c r="D147" i="172"/>
  <c r="D141" i="172"/>
  <c r="D135" i="172"/>
  <c r="D129" i="172"/>
  <c r="D123" i="172"/>
  <c r="D117" i="172"/>
  <c r="D111" i="172"/>
  <c r="D105" i="172"/>
  <c r="D99" i="172"/>
  <c r="D93" i="172"/>
  <c r="D87" i="172"/>
  <c r="D81" i="172"/>
  <c r="D75" i="172"/>
  <c r="D69" i="172"/>
  <c r="D63" i="172"/>
  <c r="D57" i="172"/>
  <c r="D51" i="172"/>
  <c r="D45" i="172"/>
  <c r="D39" i="172"/>
  <c r="D33" i="172"/>
  <c r="D27" i="172"/>
  <c r="D21" i="172"/>
  <c r="D15" i="172"/>
  <c r="A159" i="172"/>
  <c r="A158" i="172"/>
  <c r="A157" i="172"/>
  <c r="A156" i="172"/>
  <c r="A155" i="172"/>
  <c r="A154" i="172"/>
  <c r="A153" i="172"/>
  <c r="A152" i="172"/>
  <c r="A151" i="172"/>
  <c r="A150" i="172"/>
  <c r="A149" i="172"/>
  <c r="A148" i="172"/>
  <c r="A147" i="172"/>
  <c r="A146" i="172"/>
  <c r="A145" i="172"/>
  <c r="A144" i="172"/>
  <c r="A143" i="172"/>
  <c r="A142" i="172"/>
  <c r="A141" i="172"/>
  <c r="A140" i="172"/>
  <c r="A139" i="172"/>
  <c r="A138" i="172"/>
  <c r="A137" i="172"/>
  <c r="A136" i="172"/>
  <c r="A135" i="172"/>
  <c r="A134" i="172"/>
  <c r="A133" i="172"/>
  <c r="A132" i="172"/>
  <c r="A131" i="172"/>
  <c r="A130" i="172"/>
  <c r="A129" i="172"/>
  <c r="A128" i="172"/>
  <c r="A127" i="172"/>
  <c r="A126" i="172"/>
  <c r="A125" i="172"/>
  <c r="A124" i="172"/>
  <c r="A123" i="172"/>
  <c r="A122" i="172"/>
  <c r="A121" i="172"/>
  <c r="A120" i="172"/>
  <c r="A119" i="172"/>
  <c r="A118" i="172"/>
  <c r="A117" i="172"/>
  <c r="A116" i="172"/>
  <c r="A115" i="172"/>
  <c r="A114" i="172"/>
  <c r="A113" i="172"/>
  <c r="A112" i="172"/>
  <c r="A111" i="172"/>
  <c r="A110" i="172"/>
  <c r="A109" i="172"/>
  <c r="A108" i="172"/>
  <c r="A107" i="172"/>
  <c r="A106" i="172"/>
  <c r="A105" i="172"/>
  <c r="A104" i="172"/>
  <c r="A103" i="172"/>
  <c r="A102" i="172"/>
  <c r="A101" i="172"/>
  <c r="A100" i="172"/>
  <c r="A99" i="172"/>
  <c r="A98" i="172"/>
  <c r="A97" i="172"/>
  <c r="A96" i="172"/>
  <c r="A95" i="172"/>
  <c r="A94" i="172"/>
  <c r="A93" i="172"/>
  <c r="A92" i="172"/>
  <c r="A91" i="172"/>
  <c r="A90" i="172"/>
  <c r="A89" i="172"/>
  <c r="A88" i="172"/>
  <c r="A87" i="172"/>
  <c r="A86" i="172"/>
  <c r="A85" i="172"/>
  <c r="A84" i="172"/>
  <c r="A83" i="172"/>
  <c r="A82" i="172"/>
  <c r="A81" i="172"/>
  <c r="A80" i="172"/>
  <c r="A79" i="172"/>
  <c r="A78" i="172"/>
  <c r="A77" i="172"/>
  <c r="A76" i="172"/>
  <c r="A75" i="172"/>
  <c r="A74" i="172"/>
  <c r="A73" i="172"/>
  <c r="A72" i="172"/>
  <c r="A71" i="172"/>
  <c r="A70" i="172"/>
  <c r="A69" i="172"/>
  <c r="A68" i="172"/>
  <c r="A67" i="172"/>
  <c r="A66" i="172"/>
  <c r="A65" i="172"/>
  <c r="A64" i="172"/>
  <c r="A63" i="172"/>
  <c r="A62" i="172"/>
  <c r="A61" i="172"/>
  <c r="A60" i="172"/>
  <c r="A59" i="172"/>
  <c r="A58" i="172"/>
  <c r="A57" i="172"/>
  <c r="A56" i="172"/>
  <c r="A55" i="172"/>
  <c r="A54" i="172"/>
  <c r="A53" i="172"/>
  <c r="A52" i="172"/>
  <c r="A51" i="172"/>
  <c r="A50" i="172"/>
  <c r="A49" i="172"/>
  <c r="A48" i="172"/>
  <c r="A47" i="172"/>
  <c r="A46" i="172"/>
  <c r="A45" i="172"/>
  <c r="A44" i="172"/>
  <c r="A43" i="172"/>
  <c r="A42" i="172"/>
  <c r="A41" i="172"/>
  <c r="A40" i="172"/>
  <c r="A39" i="172"/>
  <c r="A38" i="172"/>
  <c r="A37" i="172"/>
  <c r="A36" i="172"/>
  <c r="A35" i="172"/>
  <c r="A34" i="172"/>
  <c r="A33" i="172"/>
  <c r="A32" i="172"/>
  <c r="A31" i="172"/>
  <c r="A30" i="172"/>
  <c r="A29" i="172"/>
  <c r="A28" i="172"/>
  <c r="A27" i="172"/>
  <c r="A26" i="172"/>
  <c r="A25" i="172"/>
  <c r="A24" i="172"/>
  <c r="A23" i="172"/>
  <c r="A22" i="172"/>
  <c r="A21" i="172"/>
  <c r="A20" i="172"/>
  <c r="A19" i="172"/>
  <c r="A18" i="172"/>
  <c r="A17" i="172"/>
  <c r="A16" i="172"/>
  <c r="A15" i="172"/>
  <c r="A14" i="172"/>
  <c r="A13" i="172"/>
  <c r="A12" i="172"/>
  <c r="A11" i="172"/>
  <c r="A10" i="172"/>
  <c r="A9" i="172"/>
  <c r="A8" i="172"/>
  <c r="A7" i="172"/>
  <c r="A6" i="172"/>
  <c r="A5" i="172"/>
  <c r="A4" i="172"/>
  <c r="D9" i="172"/>
  <c r="D3" i="172"/>
  <c r="A3" i="172"/>
  <c r="T5" i="156" l="1"/>
  <c r="T4" i="156"/>
  <c r="D30" i="106"/>
  <c r="D30" i="105"/>
  <c r="T5" i="41"/>
  <c r="T4" i="41"/>
  <c r="T5" i="42"/>
  <c r="T4" i="42"/>
  <c r="T5" i="165"/>
  <c r="T4" i="165"/>
  <c r="T5" i="164"/>
  <c r="T4" i="164"/>
  <c r="T5" i="163"/>
  <c r="T4" i="163"/>
  <c r="D28" i="157"/>
  <c r="D23" i="53"/>
  <c r="T5" i="3"/>
  <c r="T4" i="3"/>
  <c r="D121" i="65" l="1"/>
  <c r="D119" i="65"/>
  <c r="D113" i="65"/>
  <c r="D125" i="65"/>
  <c r="D95" i="66"/>
  <c r="D99" i="66"/>
  <c r="D232" i="73"/>
  <c r="D216" i="73"/>
  <c r="D200" i="73"/>
  <c r="D228" i="73"/>
  <c r="D212" i="73"/>
  <c r="D196" i="73"/>
  <c r="D240" i="73"/>
  <c r="D224" i="73"/>
  <c r="D208" i="73"/>
  <c r="D192" i="73"/>
  <c r="D236" i="73"/>
  <c r="D220" i="73"/>
  <c r="D204" i="73"/>
  <c r="D188" i="73"/>
  <c r="D367" i="89"/>
  <c r="D351" i="89"/>
  <c r="D363" i="89"/>
  <c r="D347" i="89"/>
  <c r="D375" i="89"/>
  <c r="D359" i="89"/>
  <c r="D343" i="89"/>
  <c r="D371" i="89"/>
  <c r="D355" i="89"/>
  <c r="D338" i="89"/>
  <c r="D236" i="82"/>
  <c r="D218" i="82"/>
  <c r="D232" i="82"/>
  <c r="D214" i="82"/>
  <c r="D228" i="82"/>
  <c r="D240" i="82"/>
  <c r="D222" i="82"/>
  <c r="D538" i="56"/>
  <c r="D520" i="56"/>
  <c r="D504" i="56"/>
  <c r="D534" i="56"/>
  <c r="D516" i="56"/>
  <c r="D500" i="56"/>
  <c r="D530" i="56"/>
  <c r="D512" i="56"/>
  <c r="D508" i="56"/>
  <c r="D524" i="56"/>
  <c r="D415" i="34"/>
  <c r="D399" i="34"/>
  <c r="D380" i="34"/>
  <c r="D411" i="34"/>
  <c r="D395" i="34"/>
  <c r="D376" i="34"/>
  <c r="D384" i="34"/>
  <c r="D427" i="34"/>
  <c r="D423" i="34"/>
  <c r="D404" i="34"/>
  <c r="D388" i="34"/>
  <c r="D372" i="34"/>
  <c r="D419" i="34"/>
  <c r="D403" i="34"/>
  <c r="D557" i="13"/>
  <c r="D541" i="13"/>
  <c r="D525" i="13"/>
  <c r="D506" i="13"/>
  <c r="D553" i="13"/>
  <c r="D521" i="13"/>
  <c r="D502" i="13"/>
  <c r="D534" i="13"/>
  <c r="D549" i="13"/>
  <c r="D533" i="13"/>
  <c r="D514" i="13"/>
  <c r="D498" i="13"/>
  <c r="D545" i="13"/>
  <c r="D529" i="13"/>
  <c r="D510" i="13"/>
  <c r="D207" i="11"/>
  <c r="D203" i="11"/>
  <c r="D211" i="11"/>
  <c r="D241" i="15"/>
  <c r="D260" i="15"/>
  <c r="D255" i="15"/>
  <c r="D250" i="15"/>
  <c r="D142" i="64"/>
  <c r="D150" i="64"/>
  <c r="D146" i="64"/>
  <c r="D150" i="18"/>
  <c r="D146" i="18"/>
  <c r="D142" i="18"/>
  <c r="D179" i="79"/>
  <c r="D177" i="79"/>
  <c r="D187" i="79"/>
  <c r="D171" i="79"/>
  <c r="D183" i="79"/>
  <c r="D360" i="80"/>
  <c r="D344" i="80"/>
  <c r="D327" i="80"/>
  <c r="D356" i="80"/>
  <c r="D340" i="80"/>
  <c r="D352" i="80"/>
  <c r="D336" i="80"/>
  <c r="D364" i="80"/>
  <c r="D348" i="80"/>
  <c r="D332" i="80"/>
  <c r="D96" i="81"/>
  <c r="D92" i="81"/>
  <c r="D414" i="55"/>
  <c r="D396" i="55"/>
  <c r="D380" i="55"/>
  <c r="D410" i="55"/>
  <c r="D392" i="55"/>
  <c r="D422" i="55"/>
  <c r="D404" i="55"/>
  <c r="D388" i="55"/>
  <c r="D418" i="55"/>
  <c r="D400" i="55"/>
  <c r="D384" i="55"/>
  <c r="D594" i="91"/>
  <c r="D576" i="91"/>
  <c r="D588" i="91"/>
  <c r="D572" i="91"/>
  <c r="D598" i="91"/>
  <c r="D602" i="91"/>
  <c r="D584" i="91"/>
  <c r="D568" i="91"/>
  <c r="D580" i="91"/>
  <c r="D564" i="91"/>
  <c r="D310" i="22"/>
  <c r="D296" i="22"/>
  <c r="D248" i="22"/>
  <c r="D308" i="22"/>
  <c r="D260" i="22"/>
  <c r="D244" i="22"/>
  <c r="D292" i="22"/>
  <c r="D318" i="22"/>
  <c r="D304" i="22"/>
  <c r="D288" i="22"/>
  <c r="D256" i="22"/>
  <c r="D240" i="22"/>
  <c r="D314" i="22"/>
  <c r="D284" i="22"/>
  <c r="D252" i="22"/>
  <c r="D485" i="51"/>
  <c r="D466" i="51"/>
  <c r="D450" i="51"/>
  <c r="D437" i="51"/>
  <c r="D481" i="51"/>
  <c r="D449" i="51"/>
  <c r="D454" i="51"/>
  <c r="D462" i="51"/>
  <c r="D493" i="51"/>
  <c r="D477" i="51"/>
  <c r="D458" i="51"/>
  <c r="D445" i="51"/>
  <c r="D489" i="51"/>
  <c r="D470" i="51"/>
  <c r="D441" i="51"/>
  <c r="D206" i="14"/>
  <c r="D202" i="14"/>
  <c r="D195" i="14"/>
  <c r="D150" i="63"/>
  <c r="D146" i="63"/>
  <c r="D142" i="63"/>
  <c r="D144" i="62"/>
  <c r="D140" i="62"/>
  <c r="D136" i="62"/>
  <c r="D85" i="112"/>
  <c r="D81" i="112"/>
  <c r="D214" i="92"/>
  <c r="D210" i="92"/>
  <c r="D218" i="92"/>
  <c r="D222" i="92"/>
  <c r="D208" i="92"/>
  <c r="D116" i="19"/>
  <c r="D100" i="19"/>
  <c r="D104" i="19"/>
  <c r="D112" i="19"/>
  <c r="D96" i="19"/>
  <c r="D108" i="19"/>
  <c r="D314" i="3"/>
  <c r="D298" i="3"/>
  <c r="D282" i="3"/>
  <c r="D266" i="3"/>
  <c r="D250" i="3"/>
  <c r="D234" i="3"/>
  <c r="D254" i="3"/>
  <c r="D310" i="3"/>
  <c r="D294" i="3"/>
  <c r="D278" i="3"/>
  <c r="D262" i="3"/>
  <c r="D246" i="3"/>
  <c r="D230" i="3"/>
  <c r="D226" i="3"/>
  <c r="D302" i="3"/>
  <c r="D270" i="3"/>
  <c r="D306" i="3"/>
  <c r="D290" i="3"/>
  <c r="D274" i="3"/>
  <c r="D258" i="3"/>
  <c r="D242" i="3"/>
  <c r="D318" i="3"/>
  <c r="D286" i="3"/>
  <c r="D238" i="3"/>
  <c r="R19" i="42"/>
  <c r="R18" i="42"/>
  <c r="Q18" i="42"/>
  <c r="P18" i="42"/>
  <c r="R17" i="42"/>
  <c r="Q17" i="42"/>
  <c r="P17" i="42"/>
  <c r="R16" i="42"/>
  <c r="Q16" i="42"/>
  <c r="P16" i="42"/>
  <c r="R15" i="42"/>
  <c r="Q15" i="42"/>
  <c r="P15" i="42"/>
  <c r="R14" i="42"/>
  <c r="Q14" i="42"/>
  <c r="P14" i="42"/>
  <c r="R13" i="42"/>
  <c r="Q13" i="42"/>
  <c r="P13" i="42"/>
  <c r="R12" i="42"/>
  <c r="Q12" i="42"/>
  <c r="P12" i="42"/>
  <c r="R11" i="42"/>
  <c r="D158" i="42" s="1"/>
  <c r="Q11" i="42"/>
  <c r="D159" i="42" s="1"/>
  <c r="P11" i="42"/>
  <c r="R10" i="42"/>
  <c r="Q10" i="42"/>
  <c r="P10" i="42"/>
  <c r="R9" i="42"/>
  <c r="Q9" i="42"/>
  <c r="P9" i="42"/>
  <c r="R8" i="42"/>
  <c r="D149" i="42" s="1"/>
  <c r="Q8" i="42"/>
  <c r="P8" i="42"/>
  <c r="R7" i="42"/>
  <c r="Q7" i="42"/>
  <c r="P7" i="42"/>
  <c r="R6" i="42"/>
  <c r="Q6" i="42"/>
  <c r="P6" i="42"/>
  <c r="R5" i="42"/>
  <c r="D45" i="42" s="1"/>
  <c r="Q5" i="42"/>
  <c r="D43" i="42" s="1"/>
  <c r="P5" i="42"/>
  <c r="R4" i="42"/>
  <c r="Q4" i="42"/>
  <c r="P4" i="42"/>
  <c r="BA1" i="42"/>
  <c r="AZ1" i="42"/>
  <c r="AY1" i="42"/>
  <c r="AX1" i="42"/>
  <c r="AW1" i="42"/>
  <c r="AV1" i="42"/>
  <c r="AU1" i="42"/>
  <c r="AT1" i="42"/>
  <c r="AS1" i="42"/>
  <c r="AR1" i="42"/>
  <c r="AQ1" i="42"/>
  <c r="AP1" i="42"/>
  <c r="AO1" i="42"/>
  <c r="AN1" i="42"/>
  <c r="AM1" i="42"/>
  <c r="AL1" i="42"/>
  <c r="AK1" i="42"/>
  <c r="AJ1" i="42"/>
  <c r="AI1" i="42"/>
  <c r="AH1" i="42"/>
  <c r="AG1" i="42"/>
  <c r="AF1" i="42"/>
  <c r="AE1" i="42"/>
  <c r="AD1" i="42"/>
  <c r="AC1" i="42"/>
  <c r="AB1" i="42"/>
  <c r="AA1" i="42"/>
  <c r="Z1" i="42"/>
  <c r="Y1" i="42"/>
  <c r="X1" i="42"/>
  <c r="W1" i="42"/>
  <c r="V1" i="42"/>
  <c r="U1" i="42"/>
  <c r="T1" i="42"/>
  <c r="S1" i="42"/>
  <c r="R1" i="42"/>
  <c r="Q1" i="42"/>
  <c r="P1" i="42"/>
  <c r="R19" i="165"/>
  <c r="R18" i="165"/>
  <c r="Q18" i="165"/>
  <c r="P18" i="165"/>
  <c r="R17" i="165"/>
  <c r="Q17" i="165"/>
  <c r="P17" i="165"/>
  <c r="R16" i="165"/>
  <c r="Q16" i="165"/>
  <c r="P16" i="165"/>
  <c r="R15" i="165"/>
  <c r="Q15" i="165"/>
  <c r="P15" i="165"/>
  <c r="R14" i="165"/>
  <c r="Q14" i="165"/>
  <c r="P14" i="165"/>
  <c r="R13" i="165"/>
  <c r="Q13" i="165"/>
  <c r="P13" i="165"/>
  <c r="R12" i="165"/>
  <c r="Q12" i="165"/>
  <c r="P12" i="165"/>
  <c r="R11" i="165"/>
  <c r="D374" i="165" s="1"/>
  <c r="Q11" i="165"/>
  <c r="D375" i="165" s="1"/>
  <c r="P11" i="165"/>
  <c r="R10" i="165"/>
  <c r="Q10" i="165"/>
  <c r="P10" i="165"/>
  <c r="R9" i="165"/>
  <c r="Q9" i="165"/>
  <c r="P9" i="165"/>
  <c r="R8" i="165"/>
  <c r="Q8" i="165"/>
  <c r="P8" i="165"/>
  <c r="R7" i="165"/>
  <c r="Q7" i="165"/>
  <c r="P7" i="165"/>
  <c r="R6" i="165"/>
  <c r="Q6" i="165"/>
  <c r="P6" i="165"/>
  <c r="R5" i="165"/>
  <c r="Q5" i="165"/>
  <c r="P5" i="165"/>
  <c r="R4" i="165"/>
  <c r="Q4" i="165"/>
  <c r="P4" i="165"/>
  <c r="R19" i="164"/>
  <c r="R18" i="164"/>
  <c r="Q18" i="164"/>
  <c r="P18" i="164"/>
  <c r="R17" i="164"/>
  <c r="Q17" i="164"/>
  <c r="P17" i="164"/>
  <c r="R16" i="164"/>
  <c r="Q16" i="164"/>
  <c r="P16" i="164"/>
  <c r="R15" i="164"/>
  <c r="Q15" i="164"/>
  <c r="P15" i="164"/>
  <c r="R14" i="164"/>
  <c r="Q14" i="164"/>
  <c r="P14" i="164"/>
  <c r="R13" i="164"/>
  <c r="Q13" i="164"/>
  <c r="P13" i="164"/>
  <c r="R12" i="164"/>
  <c r="Q12" i="164"/>
  <c r="P12" i="164"/>
  <c r="R11" i="164"/>
  <c r="D471" i="164" s="1"/>
  <c r="Q11" i="164"/>
  <c r="D472" i="164" s="1"/>
  <c r="P11" i="164"/>
  <c r="R10" i="164"/>
  <c r="Q10" i="164"/>
  <c r="P10" i="164"/>
  <c r="R9" i="164"/>
  <c r="Q9" i="164"/>
  <c r="P9" i="164"/>
  <c r="R8" i="164"/>
  <c r="Q8" i="164"/>
  <c r="P8" i="164"/>
  <c r="R7" i="164"/>
  <c r="Q7" i="164"/>
  <c r="P7" i="164"/>
  <c r="R6" i="164"/>
  <c r="Q6" i="164"/>
  <c r="P6" i="164"/>
  <c r="R5" i="164"/>
  <c r="Q5" i="164"/>
  <c r="P5" i="164"/>
  <c r="R4" i="164"/>
  <c r="Q4" i="164"/>
  <c r="P4" i="164"/>
  <c r="R19" i="163"/>
  <c r="R18" i="163"/>
  <c r="Q18" i="163"/>
  <c r="P18" i="163"/>
  <c r="R17" i="163"/>
  <c r="Q17" i="163"/>
  <c r="P17" i="163"/>
  <c r="R16" i="163"/>
  <c r="Q16" i="163"/>
  <c r="P16" i="163"/>
  <c r="R15" i="163"/>
  <c r="Q15" i="163"/>
  <c r="P15" i="163"/>
  <c r="R14" i="163"/>
  <c r="Q14" i="163"/>
  <c r="P14" i="163"/>
  <c r="R13" i="163"/>
  <c r="Q13" i="163"/>
  <c r="P13" i="163"/>
  <c r="R12" i="163"/>
  <c r="Q12" i="163"/>
  <c r="P12" i="163"/>
  <c r="R11" i="163"/>
  <c r="D441" i="163" s="1"/>
  <c r="Q11" i="163"/>
  <c r="D442" i="163" s="1"/>
  <c r="P11" i="163"/>
  <c r="R10" i="163"/>
  <c r="Q10" i="163"/>
  <c r="P10" i="163"/>
  <c r="R9" i="163"/>
  <c r="Q9" i="163"/>
  <c r="P9" i="163"/>
  <c r="R8" i="163"/>
  <c r="Q8" i="163"/>
  <c r="P8" i="163"/>
  <c r="R7" i="163"/>
  <c r="Q7" i="163"/>
  <c r="P7" i="163"/>
  <c r="R6" i="163"/>
  <c r="Q6" i="163"/>
  <c r="P6" i="163"/>
  <c r="R5" i="163"/>
  <c r="Q5" i="163"/>
  <c r="P5" i="163"/>
  <c r="R4" i="163"/>
  <c r="Q4" i="163"/>
  <c r="P4" i="163"/>
  <c r="BA1" i="165"/>
  <c r="AZ1" i="165"/>
  <c r="AY1" i="165"/>
  <c r="AX1" i="165"/>
  <c r="AW1" i="165"/>
  <c r="AV1" i="165"/>
  <c r="AU1" i="165"/>
  <c r="AT1" i="165"/>
  <c r="AS1" i="165"/>
  <c r="AR1" i="165"/>
  <c r="AQ1" i="165"/>
  <c r="AP1" i="165"/>
  <c r="AO1" i="165"/>
  <c r="AN1" i="165"/>
  <c r="AM1" i="165"/>
  <c r="AL1" i="165"/>
  <c r="AK1" i="165"/>
  <c r="AJ1" i="165"/>
  <c r="AI1" i="165"/>
  <c r="AH1" i="165"/>
  <c r="AG1" i="165"/>
  <c r="AF1" i="165"/>
  <c r="AE1" i="165"/>
  <c r="AD1" i="165"/>
  <c r="AC1" i="165"/>
  <c r="AB1" i="165"/>
  <c r="AA1" i="165"/>
  <c r="Z1" i="165"/>
  <c r="Y1" i="165"/>
  <c r="X1" i="165"/>
  <c r="W1" i="165"/>
  <c r="V1" i="165"/>
  <c r="U1" i="165"/>
  <c r="T1" i="165"/>
  <c r="S1" i="165"/>
  <c r="R1" i="165"/>
  <c r="Q1" i="165"/>
  <c r="P1" i="165"/>
  <c r="BA1" i="164"/>
  <c r="AZ1" i="164"/>
  <c r="AY1" i="164"/>
  <c r="AX1" i="164"/>
  <c r="AW1" i="164"/>
  <c r="AV1" i="164"/>
  <c r="AU1" i="164"/>
  <c r="AT1" i="164"/>
  <c r="AS1" i="164"/>
  <c r="AR1" i="164"/>
  <c r="AQ1" i="164"/>
  <c r="AP1" i="164"/>
  <c r="AO1" i="164"/>
  <c r="AN1" i="164"/>
  <c r="AM1" i="164"/>
  <c r="AL1" i="164"/>
  <c r="AK1" i="164"/>
  <c r="AJ1" i="164"/>
  <c r="AI1" i="164"/>
  <c r="AH1" i="164"/>
  <c r="AG1" i="164"/>
  <c r="AF1" i="164"/>
  <c r="AE1" i="164"/>
  <c r="AD1" i="164"/>
  <c r="AC1" i="164"/>
  <c r="AB1" i="164"/>
  <c r="AA1" i="164"/>
  <c r="Z1" i="164"/>
  <c r="Y1" i="164"/>
  <c r="X1" i="164"/>
  <c r="W1" i="164"/>
  <c r="V1" i="164"/>
  <c r="U1" i="164"/>
  <c r="T1" i="164"/>
  <c r="S1" i="164"/>
  <c r="R1" i="164"/>
  <c r="Q1" i="164"/>
  <c r="P1" i="164"/>
  <c r="BA1" i="163"/>
  <c r="AZ1" i="163"/>
  <c r="AY1" i="163"/>
  <c r="AX1" i="163"/>
  <c r="AW1" i="163"/>
  <c r="AV1" i="163"/>
  <c r="AU1" i="163"/>
  <c r="AT1" i="163"/>
  <c r="AS1" i="163"/>
  <c r="AR1" i="163"/>
  <c r="AQ1" i="163"/>
  <c r="AP1" i="163"/>
  <c r="AO1" i="163"/>
  <c r="AN1" i="163"/>
  <c r="AM1" i="163"/>
  <c r="AL1" i="163"/>
  <c r="AK1" i="163"/>
  <c r="AJ1" i="163"/>
  <c r="AI1" i="163"/>
  <c r="AH1" i="163"/>
  <c r="AG1" i="163"/>
  <c r="AF1" i="163"/>
  <c r="AE1" i="163"/>
  <c r="AD1" i="163"/>
  <c r="AC1" i="163"/>
  <c r="AB1" i="163"/>
  <c r="AA1" i="163"/>
  <c r="Z1" i="163"/>
  <c r="Y1" i="163"/>
  <c r="X1" i="163"/>
  <c r="W1" i="163"/>
  <c r="V1" i="163"/>
  <c r="U1" i="163"/>
  <c r="T1" i="163"/>
  <c r="S1" i="163"/>
  <c r="R1" i="163"/>
  <c r="Q1" i="163"/>
  <c r="P1" i="163"/>
  <c r="D200" i="165" l="1"/>
  <c r="D127" i="165"/>
  <c r="D150" i="165"/>
  <c r="D180" i="165"/>
  <c r="D143" i="165"/>
  <c r="D210" i="165"/>
  <c r="D160" i="165"/>
  <c r="D135" i="165"/>
  <c r="D190" i="165"/>
  <c r="D220" i="165"/>
  <c r="D170" i="165"/>
  <c r="D293" i="165"/>
  <c r="D239" i="165"/>
  <c r="D273" i="165"/>
  <c r="D229" i="165"/>
  <c r="D253" i="165"/>
  <c r="D283" i="165"/>
  <c r="D246" i="165"/>
  <c r="D263" i="165"/>
  <c r="D274" i="165"/>
  <c r="D230" i="165"/>
  <c r="D254" i="165"/>
  <c r="D284" i="165"/>
  <c r="D247" i="165"/>
  <c r="D294" i="165"/>
  <c r="D240" i="165"/>
  <c r="D264" i="165"/>
  <c r="D95" i="165"/>
  <c r="D45" i="165"/>
  <c r="D75" i="165"/>
  <c r="D105" i="165"/>
  <c r="D55" i="165"/>
  <c r="D85" i="165"/>
  <c r="D115" i="165"/>
  <c r="D65" i="165"/>
  <c r="D35" i="165"/>
  <c r="D107" i="165"/>
  <c r="D76" i="165"/>
  <c r="D57" i="165"/>
  <c r="D47" i="165"/>
  <c r="D87" i="165"/>
  <c r="D117" i="165"/>
  <c r="D37" i="165"/>
  <c r="D67" i="165"/>
  <c r="D97" i="165"/>
  <c r="D337" i="165"/>
  <c r="D305" i="165"/>
  <c r="D317" i="165"/>
  <c r="D347" i="165"/>
  <c r="D327" i="165"/>
  <c r="D357" i="165"/>
  <c r="D348" i="165"/>
  <c r="D338" i="165"/>
  <c r="D359" i="165"/>
  <c r="D328" i="165"/>
  <c r="D307" i="165"/>
  <c r="D319" i="165"/>
  <c r="D219" i="165"/>
  <c r="D126" i="165"/>
  <c r="D169" i="165"/>
  <c r="D199" i="165"/>
  <c r="D159" i="165"/>
  <c r="D149" i="165"/>
  <c r="D179" i="165"/>
  <c r="D142" i="165"/>
  <c r="D209" i="165"/>
  <c r="D189" i="165"/>
  <c r="D134" i="165"/>
  <c r="D270" i="164"/>
  <c r="D184" i="164"/>
  <c r="D220" i="164"/>
  <c r="D176" i="164"/>
  <c r="D250" i="164"/>
  <c r="D280" i="164"/>
  <c r="D230" i="164"/>
  <c r="D199" i="164"/>
  <c r="D260" i="164"/>
  <c r="D192" i="164"/>
  <c r="D240" i="164"/>
  <c r="D210" i="164"/>
  <c r="D456" i="164"/>
  <c r="D426" i="164"/>
  <c r="D435" i="164"/>
  <c r="D445" i="164"/>
  <c r="D414" i="164"/>
  <c r="D251" i="164"/>
  <c r="D221" i="164"/>
  <c r="D281" i="164"/>
  <c r="D231" i="164"/>
  <c r="D200" i="164"/>
  <c r="D261" i="164"/>
  <c r="D193" i="164"/>
  <c r="D242" i="164"/>
  <c r="D211" i="164"/>
  <c r="D185" i="164"/>
  <c r="D177" i="164"/>
  <c r="D271" i="164"/>
  <c r="D400" i="164"/>
  <c r="D350" i="164"/>
  <c r="D300" i="164"/>
  <c r="D380" i="164"/>
  <c r="D370" i="164"/>
  <c r="D330" i="164"/>
  <c r="D308" i="164"/>
  <c r="D360" i="164"/>
  <c r="D323" i="164"/>
  <c r="D390" i="164"/>
  <c r="D316" i="164"/>
  <c r="D340" i="164"/>
  <c r="D290" i="164"/>
  <c r="D381" i="164"/>
  <c r="D351" i="164"/>
  <c r="D331" i="164"/>
  <c r="D361" i="164"/>
  <c r="D324" i="164"/>
  <c r="D391" i="164"/>
  <c r="D317" i="164"/>
  <c r="D341" i="164"/>
  <c r="D291" i="164"/>
  <c r="D371" i="164"/>
  <c r="D309" i="164"/>
  <c r="D401" i="164"/>
  <c r="D301" i="164"/>
  <c r="D115" i="164"/>
  <c r="D35" i="164"/>
  <c r="D145" i="164"/>
  <c r="D65" i="164"/>
  <c r="D95" i="164"/>
  <c r="D125" i="164"/>
  <c r="D45" i="164"/>
  <c r="D85" i="164"/>
  <c r="D155" i="164"/>
  <c r="D75" i="164"/>
  <c r="D165" i="164"/>
  <c r="D105" i="164"/>
  <c r="D135" i="164"/>
  <c r="D55" i="164"/>
  <c r="D127" i="164"/>
  <c r="D47" i="164"/>
  <c r="D157" i="164"/>
  <c r="D77" i="164"/>
  <c r="D107" i="164"/>
  <c r="D137" i="164"/>
  <c r="D57" i="164"/>
  <c r="D97" i="164"/>
  <c r="D167" i="164"/>
  <c r="D87" i="164"/>
  <c r="D117" i="164"/>
  <c r="D37" i="164"/>
  <c r="D147" i="164"/>
  <c r="D67" i="164"/>
  <c r="D444" i="164"/>
  <c r="D412" i="164"/>
  <c r="D424" i="164"/>
  <c r="D454" i="164"/>
  <c r="D434" i="164"/>
  <c r="D115" i="163"/>
  <c r="D35" i="163"/>
  <c r="D85" i="163"/>
  <c r="D65" i="163"/>
  <c r="D95" i="163"/>
  <c r="D55" i="163"/>
  <c r="D125" i="163"/>
  <c r="D45" i="163"/>
  <c r="D75" i="163"/>
  <c r="D105" i="163"/>
  <c r="D127" i="163"/>
  <c r="D47" i="163"/>
  <c r="D77" i="163"/>
  <c r="D107" i="163"/>
  <c r="D57" i="163"/>
  <c r="D67" i="163"/>
  <c r="D87" i="163"/>
  <c r="D117" i="163"/>
  <c r="D37" i="163"/>
  <c r="D97" i="163"/>
  <c r="D414" i="163"/>
  <c r="D394" i="163"/>
  <c r="D424" i="163"/>
  <c r="D362" i="163"/>
  <c r="D374" i="163"/>
  <c r="D404" i="163"/>
  <c r="D384" i="163"/>
  <c r="D425" i="163"/>
  <c r="D376" i="163"/>
  <c r="D406" i="163"/>
  <c r="D395" i="163"/>
  <c r="D416" i="163"/>
  <c r="D385" i="163"/>
  <c r="D364" i="163"/>
  <c r="D190" i="163"/>
  <c r="D159" i="163"/>
  <c r="D210" i="163"/>
  <c r="D220" i="163"/>
  <c r="D152" i="163"/>
  <c r="D170" i="163"/>
  <c r="D200" i="163"/>
  <c r="D144" i="163"/>
  <c r="D240" i="163"/>
  <c r="D230" i="163"/>
  <c r="D180" i="163"/>
  <c r="D136" i="163"/>
  <c r="D171" i="163"/>
  <c r="D160" i="163"/>
  <c r="D221" i="163"/>
  <c r="D201" i="163"/>
  <c r="D145" i="163"/>
  <c r="D231" i="163"/>
  <c r="D153" i="163"/>
  <c r="D212" i="163"/>
  <c r="D181" i="163"/>
  <c r="D137" i="163"/>
  <c r="D191" i="163"/>
  <c r="D241" i="163"/>
  <c r="D320" i="163"/>
  <c r="D283" i="163"/>
  <c r="D350" i="163"/>
  <c r="D276" i="163"/>
  <c r="D300" i="163"/>
  <c r="D250" i="163"/>
  <c r="D290" i="163"/>
  <c r="D330" i="163"/>
  <c r="D268" i="163"/>
  <c r="D340" i="163"/>
  <c r="D310" i="163"/>
  <c r="D260" i="163"/>
  <c r="D301" i="163"/>
  <c r="D251" i="163"/>
  <c r="D321" i="163"/>
  <c r="D331" i="163"/>
  <c r="D269" i="163"/>
  <c r="D351" i="163"/>
  <c r="D277" i="163"/>
  <c r="D311" i="163"/>
  <c r="D261" i="163"/>
  <c r="D284" i="163"/>
  <c r="D341" i="163"/>
  <c r="D291" i="163"/>
  <c r="D138" i="42"/>
  <c r="D147" i="42"/>
  <c r="D140" i="42"/>
  <c r="D128" i="42"/>
  <c r="D116" i="42"/>
  <c r="D74" i="42"/>
  <c r="D100" i="42"/>
  <c r="D92" i="42"/>
  <c r="D107" i="42"/>
  <c r="D84" i="42"/>
  <c r="D118" i="42"/>
  <c r="D130" i="42"/>
  <c r="D63" i="42"/>
  <c r="D53" i="42"/>
  <c r="D108" i="42"/>
  <c r="D93" i="42"/>
  <c r="D101" i="42"/>
  <c r="D85" i="42"/>
  <c r="D75" i="42"/>
  <c r="D54" i="42"/>
  <c r="D65" i="42"/>
  <c r="E3" i="171"/>
  <c r="D3" i="171"/>
  <c r="C3" i="171"/>
  <c r="B3" i="171"/>
  <c r="A3" i="171"/>
  <c r="C4" i="170" l="1"/>
  <c r="B4" i="170"/>
  <c r="D3" i="170"/>
  <c r="C3" i="170"/>
  <c r="B3" i="170"/>
  <c r="E3" i="168"/>
  <c r="C3" i="168"/>
  <c r="B3" i="168"/>
  <c r="A3" i="168"/>
  <c r="E3" i="167" l="1"/>
  <c r="C3" i="167"/>
  <c r="B3" i="167"/>
  <c r="A3" i="167"/>
  <c r="D3" i="167" l="1"/>
  <c r="D4" i="32" l="1"/>
  <c r="D3" i="32"/>
  <c r="S6" i="156" s="1"/>
  <c r="A214" i="128" l="1"/>
  <c r="A296" i="128"/>
  <c r="A288" i="128"/>
  <c r="A280" i="128"/>
  <c r="A272" i="128"/>
  <c r="A264" i="128"/>
  <c r="A256" i="128"/>
  <c r="A248" i="128"/>
  <c r="A240" i="128"/>
  <c r="A232" i="128"/>
  <c r="A224" i="128"/>
  <c r="A216" i="128"/>
  <c r="A207" i="128"/>
  <c r="A263" i="128"/>
  <c r="A247" i="128"/>
  <c r="A231" i="128"/>
  <c r="A215" i="128"/>
  <c r="A206" i="128"/>
  <c r="A246" i="128"/>
  <c r="A213" i="128"/>
  <c r="A204" i="128"/>
  <c r="A284" i="128"/>
  <c r="A244" i="128"/>
  <c r="A211" i="128"/>
  <c r="A234" i="128"/>
  <c r="A295" i="128"/>
  <c r="A287" i="128"/>
  <c r="A279" i="128"/>
  <c r="A271" i="128"/>
  <c r="A255" i="128"/>
  <c r="A239" i="128"/>
  <c r="A223" i="128"/>
  <c r="A238" i="128"/>
  <c r="A222" i="128"/>
  <c r="A221" i="128"/>
  <c r="A292" i="128"/>
  <c r="A260" i="128"/>
  <c r="A228" i="128"/>
  <c r="A266" i="128"/>
  <c r="A218" i="128"/>
  <c r="A281" i="128"/>
  <c r="A249" i="128"/>
  <c r="A233" i="128"/>
  <c r="A217" i="128"/>
  <c r="A294" i="128"/>
  <c r="A286" i="128"/>
  <c r="A278" i="128"/>
  <c r="A270" i="128"/>
  <c r="A262" i="128"/>
  <c r="A254" i="128"/>
  <c r="A230" i="128"/>
  <c r="A205" i="128"/>
  <c r="A276" i="128"/>
  <c r="A236" i="128"/>
  <c r="A203" i="128"/>
  <c r="A242" i="128"/>
  <c r="A265" i="128"/>
  <c r="A208" i="128"/>
  <c r="A293" i="128"/>
  <c r="A285" i="128"/>
  <c r="A277" i="128"/>
  <c r="A269" i="128"/>
  <c r="A261" i="128"/>
  <c r="A253" i="128"/>
  <c r="A245" i="128"/>
  <c r="A237" i="128"/>
  <c r="A229" i="128"/>
  <c r="A212" i="128"/>
  <c r="A268" i="128"/>
  <c r="A252" i="128"/>
  <c r="A220" i="128"/>
  <c r="A250" i="128"/>
  <c r="A273" i="128"/>
  <c r="A291" i="128"/>
  <c r="A283" i="128"/>
  <c r="A275" i="128"/>
  <c r="A267" i="128"/>
  <c r="A259" i="128"/>
  <c r="A251" i="128"/>
  <c r="A243" i="128"/>
  <c r="A235" i="128"/>
  <c r="A227" i="128"/>
  <c r="A219" i="128"/>
  <c r="A210" i="128"/>
  <c r="A202" i="128"/>
  <c r="A290" i="128"/>
  <c r="A282" i="128"/>
  <c r="A274" i="128"/>
  <c r="A258" i="128"/>
  <c r="A226" i="128"/>
  <c r="A209" i="128"/>
  <c r="A289" i="128"/>
  <c r="A257" i="128"/>
  <c r="A241" i="128"/>
  <c r="A225" i="128"/>
  <c r="A201" i="128"/>
  <c r="A23" i="112"/>
  <c r="A23" i="104"/>
  <c r="A23" i="106"/>
  <c r="A23" i="105"/>
  <c r="A23" i="82"/>
  <c r="A23" i="81"/>
  <c r="A23" i="89"/>
  <c r="A23" i="80"/>
  <c r="A23" i="73"/>
  <c r="A23" i="66"/>
  <c r="A23" i="79"/>
  <c r="A23" i="65"/>
  <c r="A23" i="39"/>
  <c r="A24" i="149"/>
  <c r="A24" i="69"/>
  <c r="A23" i="138"/>
  <c r="A27" i="18"/>
  <c r="A23" i="62"/>
  <c r="A23" i="64"/>
  <c r="A23" i="63"/>
  <c r="A23" i="14"/>
  <c r="A27" i="11"/>
  <c r="A25" i="51"/>
  <c r="A27" i="13"/>
  <c r="A23" i="22"/>
  <c r="A25" i="34"/>
  <c r="A23" i="91"/>
  <c r="A23" i="56"/>
  <c r="A23" i="55"/>
  <c r="A23" i="92"/>
  <c r="A23" i="19"/>
  <c r="A23" i="3" l="1"/>
  <c r="D9" i="75" l="1"/>
  <c r="D9" i="47"/>
  <c r="D9" i="29"/>
  <c r="A458" i="3" l="1"/>
  <c r="A459" i="3"/>
  <c r="A455" i="3"/>
  <c r="A456" i="3"/>
  <c r="D2" i="32" l="1"/>
  <c r="D1" i="32"/>
  <c r="P4" i="221" l="1"/>
  <c r="P4" i="227"/>
  <c r="A53" i="227" s="1"/>
  <c r="P4" i="146"/>
  <c r="A56" i="146" s="1"/>
  <c r="V2" i="128"/>
  <c r="P4" i="121"/>
  <c r="P4" i="124"/>
  <c r="A59" i="124" s="1"/>
  <c r="P4" i="130"/>
  <c r="A55" i="130" s="1"/>
  <c r="P4" i="134"/>
  <c r="A10" i="134" s="1"/>
  <c r="P4" i="143"/>
  <c r="P4" i="147"/>
  <c r="P4" i="153"/>
  <c r="P4" i="126"/>
  <c r="P4" i="131"/>
  <c r="A15" i="131" s="1"/>
  <c r="P4" i="136"/>
  <c r="A11" i="136" s="1"/>
  <c r="P4" i="144"/>
  <c r="A6" i="144" s="1"/>
  <c r="P4" i="145"/>
  <c r="P4" i="148"/>
  <c r="P4" i="154"/>
  <c r="A55" i="154" s="1"/>
  <c r="P4" i="116"/>
  <c r="A55" i="116" s="1"/>
  <c r="P4" i="132"/>
  <c r="A10" i="132" s="1"/>
  <c r="P4" i="137"/>
  <c r="A11" i="137" s="1"/>
  <c r="P4" i="120"/>
  <c r="P4" i="123"/>
  <c r="P4" i="125"/>
  <c r="A58" i="125" s="1"/>
  <c r="P4" i="129"/>
  <c r="A23" i="129" s="1"/>
  <c r="P4" i="133"/>
  <c r="A15" i="133" s="1"/>
  <c r="P4" i="142"/>
  <c r="P3" i="146"/>
  <c r="P3" i="145"/>
  <c r="P3" i="144"/>
  <c r="P3" i="143"/>
  <c r="P3" i="142"/>
  <c r="P3" i="137"/>
  <c r="P3" i="136"/>
  <c r="P3" i="134"/>
  <c r="P3" i="133"/>
  <c r="P3" i="132"/>
  <c r="P3" i="131"/>
  <c r="P3" i="130"/>
  <c r="P3" i="129"/>
  <c r="P3" i="116"/>
  <c r="P3" i="126"/>
  <c r="P3" i="124"/>
  <c r="P3" i="125"/>
  <c r="P3" i="154"/>
  <c r="K56" i="154"/>
  <c r="J56" i="154"/>
  <c r="K55" i="154"/>
  <c r="J55" i="154"/>
  <c r="K54" i="154"/>
  <c r="J54" i="154"/>
  <c r="F54" i="154"/>
  <c r="K53" i="154"/>
  <c r="J53" i="154"/>
  <c r="F53" i="154"/>
  <c r="K52" i="154"/>
  <c r="J52" i="154"/>
  <c r="K51" i="154"/>
  <c r="J51" i="154"/>
  <c r="A50" i="154"/>
  <c r="N41" i="154"/>
  <c r="M41" i="154"/>
  <c r="N40" i="154"/>
  <c r="M40" i="154"/>
  <c r="N39" i="154"/>
  <c r="M39" i="154"/>
  <c r="N38" i="154"/>
  <c r="M38" i="154"/>
  <c r="N37" i="154"/>
  <c r="M37" i="154"/>
  <c r="N36" i="154"/>
  <c r="M36" i="154"/>
  <c r="N35" i="154"/>
  <c r="M35" i="154"/>
  <c r="N34" i="154"/>
  <c r="M34" i="154"/>
  <c r="BE33" i="154"/>
  <c r="BD33" i="154"/>
  <c r="BC33" i="154"/>
  <c r="BB33" i="154"/>
  <c r="BA33" i="154"/>
  <c r="AZ33" i="154"/>
  <c r="AY33" i="154"/>
  <c r="AX33" i="154"/>
  <c r="AW33" i="154"/>
  <c r="AV33" i="154"/>
  <c r="AU33" i="154"/>
  <c r="AT33" i="154"/>
  <c r="AS33" i="154"/>
  <c r="AR33" i="154"/>
  <c r="AQ33" i="154"/>
  <c r="AP33" i="154"/>
  <c r="AO33" i="154"/>
  <c r="AN33" i="154"/>
  <c r="AM33" i="154"/>
  <c r="AL33" i="154"/>
  <c r="AK33" i="154"/>
  <c r="AJ33" i="154"/>
  <c r="AI33" i="154"/>
  <c r="AH33" i="154"/>
  <c r="AG33" i="154"/>
  <c r="AF33" i="154"/>
  <c r="AE33" i="154"/>
  <c r="N33" i="154"/>
  <c r="M33" i="154"/>
  <c r="BE32" i="154"/>
  <c r="BD32" i="154"/>
  <c r="BC32" i="154"/>
  <c r="BB32" i="154"/>
  <c r="BA32" i="154"/>
  <c r="AZ32" i="154"/>
  <c r="AY32" i="154"/>
  <c r="AX32" i="154"/>
  <c r="AW32" i="154"/>
  <c r="AV32" i="154"/>
  <c r="AU32" i="154"/>
  <c r="AT32" i="154"/>
  <c r="AS32" i="154"/>
  <c r="AR32" i="154"/>
  <c r="AQ32" i="154"/>
  <c r="AP32" i="154"/>
  <c r="AO32" i="154"/>
  <c r="AN32" i="154"/>
  <c r="AM32" i="154"/>
  <c r="AL32" i="154"/>
  <c r="AK32" i="154"/>
  <c r="AJ32" i="154"/>
  <c r="AI32" i="154"/>
  <c r="AH32" i="154"/>
  <c r="AG32" i="154"/>
  <c r="AF32" i="154"/>
  <c r="AE32" i="154"/>
  <c r="N32" i="154"/>
  <c r="M32" i="154"/>
  <c r="BE31" i="154"/>
  <c r="BD31" i="154"/>
  <c r="BC31" i="154"/>
  <c r="BB31" i="154"/>
  <c r="BA31" i="154"/>
  <c r="AZ31" i="154"/>
  <c r="AY31" i="154"/>
  <c r="AX31" i="154"/>
  <c r="AW31" i="154"/>
  <c r="AV31" i="154"/>
  <c r="AU31" i="154"/>
  <c r="AT31" i="154"/>
  <c r="AS31" i="154"/>
  <c r="AR31" i="154"/>
  <c r="AQ31" i="154"/>
  <c r="AP31" i="154"/>
  <c r="AO31" i="154"/>
  <c r="AN31" i="154"/>
  <c r="AM31" i="154"/>
  <c r="AL31" i="154"/>
  <c r="AK31" i="154"/>
  <c r="AJ31" i="154"/>
  <c r="AI31" i="154"/>
  <c r="AH31" i="154"/>
  <c r="AG31" i="154"/>
  <c r="AF31" i="154"/>
  <c r="AE31" i="154"/>
  <c r="N31" i="154"/>
  <c r="M31" i="154"/>
  <c r="BE30" i="154"/>
  <c r="BD30" i="154"/>
  <c r="BC30" i="154"/>
  <c r="BB30" i="154"/>
  <c r="BA30" i="154"/>
  <c r="AZ30" i="154"/>
  <c r="AY30" i="154"/>
  <c r="AX30" i="154"/>
  <c r="AW30" i="154"/>
  <c r="AV30" i="154"/>
  <c r="AU30" i="154"/>
  <c r="AT30" i="154"/>
  <c r="AS30" i="154"/>
  <c r="AR30" i="154"/>
  <c r="AQ30" i="154"/>
  <c r="AP30" i="154"/>
  <c r="AO30" i="154"/>
  <c r="AN30" i="154"/>
  <c r="AM30" i="154"/>
  <c r="AL30" i="154"/>
  <c r="AK30" i="154"/>
  <c r="AJ30" i="154"/>
  <c r="AI30" i="154"/>
  <c r="AH30" i="154"/>
  <c r="AG30" i="154"/>
  <c r="AF30" i="154"/>
  <c r="AE30" i="154"/>
  <c r="N30" i="154"/>
  <c r="M30" i="154"/>
  <c r="BE29" i="154"/>
  <c r="BD29" i="154"/>
  <c r="BC29" i="154"/>
  <c r="BB29" i="154"/>
  <c r="BA29" i="154"/>
  <c r="AZ29" i="154"/>
  <c r="AY29" i="154"/>
  <c r="AX29" i="154"/>
  <c r="AW29" i="154"/>
  <c r="AV29" i="154"/>
  <c r="AU29" i="154"/>
  <c r="AT29" i="154"/>
  <c r="AS29" i="154"/>
  <c r="AR29" i="154"/>
  <c r="AQ29" i="154"/>
  <c r="AP29" i="154"/>
  <c r="AO29" i="154"/>
  <c r="AN29" i="154"/>
  <c r="AM29" i="154"/>
  <c r="AL29" i="154"/>
  <c r="AK29" i="154"/>
  <c r="AJ29" i="154"/>
  <c r="AI29" i="154"/>
  <c r="AH29" i="154"/>
  <c r="AG29" i="154"/>
  <c r="AF29" i="154"/>
  <c r="AE29" i="154"/>
  <c r="N29" i="154"/>
  <c r="M29" i="154"/>
  <c r="BE28" i="154"/>
  <c r="BD28" i="154"/>
  <c r="BC28" i="154"/>
  <c r="BB28" i="154"/>
  <c r="BA28" i="154"/>
  <c r="AZ28" i="154"/>
  <c r="AY28" i="154"/>
  <c r="AX28" i="154"/>
  <c r="AW28" i="154"/>
  <c r="AV28" i="154"/>
  <c r="AU28" i="154"/>
  <c r="AT28" i="154"/>
  <c r="AS28" i="154"/>
  <c r="AR28" i="154"/>
  <c r="AQ28" i="154"/>
  <c r="AP28" i="154"/>
  <c r="AO28" i="154"/>
  <c r="AN28" i="154"/>
  <c r="AM28" i="154"/>
  <c r="AL28" i="154"/>
  <c r="AK28" i="154"/>
  <c r="AJ28" i="154"/>
  <c r="AI28" i="154"/>
  <c r="AH28" i="154"/>
  <c r="AG28" i="154"/>
  <c r="AF28" i="154"/>
  <c r="AE28" i="154"/>
  <c r="N28" i="154"/>
  <c r="M28" i="154"/>
  <c r="BE27" i="154"/>
  <c r="BD27" i="154"/>
  <c r="BC27" i="154"/>
  <c r="BB27" i="154"/>
  <c r="BA27" i="154"/>
  <c r="AZ27" i="154"/>
  <c r="AY27" i="154"/>
  <c r="AX27" i="154"/>
  <c r="AW27" i="154"/>
  <c r="AV27" i="154"/>
  <c r="AU27" i="154"/>
  <c r="AT27" i="154"/>
  <c r="AS27" i="154"/>
  <c r="AR27" i="154"/>
  <c r="AQ27" i="154"/>
  <c r="AP27" i="154"/>
  <c r="AO27" i="154"/>
  <c r="AN27" i="154"/>
  <c r="AM27" i="154"/>
  <c r="AL27" i="154"/>
  <c r="AK27" i="154"/>
  <c r="AJ27" i="154"/>
  <c r="AI27" i="154"/>
  <c r="AH27" i="154"/>
  <c r="AG27" i="154"/>
  <c r="AF27" i="154"/>
  <c r="AE27" i="154"/>
  <c r="N27" i="154"/>
  <c r="M27" i="154"/>
  <c r="BE26" i="154"/>
  <c r="BD26" i="154"/>
  <c r="BC26" i="154"/>
  <c r="BB26" i="154"/>
  <c r="BA26" i="154"/>
  <c r="AZ26" i="154"/>
  <c r="AY26" i="154"/>
  <c r="AX26" i="154"/>
  <c r="AW26" i="154"/>
  <c r="AV26" i="154"/>
  <c r="AU26" i="154"/>
  <c r="AT26" i="154"/>
  <c r="AS26" i="154"/>
  <c r="AR26" i="154"/>
  <c r="AQ26" i="154"/>
  <c r="AP26" i="154"/>
  <c r="AO26" i="154"/>
  <c r="AN26" i="154"/>
  <c r="AM26" i="154"/>
  <c r="AL26" i="154"/>
  <c r="AK26" i="154"/>
  <c r="AJ26" i="154"/>
  <c r="AI26" i="154"/>
  <c r="AH26" i="154"/>
  <c r="AG26" i="154"/>
  <c r="AF26" i="154"/>
  <c r="AE26" i="154"/>
  <c r="N26" i="154"/>
  <c r="M26" i="154"/>
  <c r="BE25" i="154"/>
  <c r="BD25" i="154"/>
  <c r="BC25" i="154"/>
  <c r="BB25" i="154"/>
  <c r="BA25" i="154"/>
  <c r="AZ25" i="154"/>
  <c r="AY25" i="154"/>
  <c r="AX25" i="154"/>
  <c r="AW25" i="154"/>
  <c r="AV25" i="154"/>
  <c r="AU25" i="154"/>
  <c r="AT25" i="154"/>
  <c r="AS25" i="154"/>
  <c r="AR25" i="154"/>
  <c r="AQ25" i="154"/>
  <c r="AP25" i="154"/>
  <c r="AO25" i="154"/>
  <c r="AN25" i="154"/>
  <c r="AM25" i="154"/>
  <c r="AL25" i="154"/>
  <c r="AK25" i="154"/>
  <c r="AJ25" i="154"/>
  <c r="AI25" i="154"/>
  <c r="AH25" i="154"/>
  <c r="AG25" i="154"/>
  <c r="AF25" i="154"/>
  <c r="AE25" i="154"/>
  <c r="N25" i="154"/>
  <c r="M25" i="154"/>
  <c r="BE24" i="154"/>
  <c r="BD24" i="154"/>
  <c r="BC24" i="154"/>
  <c r="BB24" i="154"/>
  <c r="BA24" i="154"/>
  <c r="AZ24" i="154"/>
  <c r="AY24" i="154"/>
  <c r="AX24" i="154"/>
  <c r="AW24" i="154"/>
  <c r="AV24" i="154"/>
  <c r="AU24" i="154"/>
  <c r="AT24" i="154"/>
  <c r="AS24" i="154"/>
  <c r="AR24" i="154"/>
  <c r="AQ24" i="154"/>
  <c r="AP24" i="154"/>
  <c r="AO24" i="154"/>
  <c r="AN24" i="154"/>
  <c r="AM24" i="154"/>
  <c r="AL24" i="154"/>
  <c r="AK24" i="154"/>
  <c r="AJ24" i="154"/>
  <c r="AI24" i="154"/>
  <c r="AH24" i="154"/>
  <c r="AG24" i="154"/>
  <c r="AF24" i="154"/>
  <c r="AE24" i="154"/>
  <c r="N24" i="154"/>
  <c r="M24" i="154"/>
  <c r="BE23" i="154"/>
  <c r="BD23" i="154"/>
  <c r="BC23" i="154"/>
  <c r="BB23" i="154"/>
  <c r="BA23" i="154"/>
  <c r="AZ23" i="154"/>
  <c r="AY23" i="154"/>
  <c r="AX23" i="154"/>
  <c r="AW23" i="154"/>
  <c r="AV23" i="154"/>
  <c r="AU23" i="154"/>
  <c r="AT23" i="154"/>
  <c r="AS23" i="154"/>
  <c r="AR23" i="154"/>
  <c r="AQ23" i="154"/>
  <c r="AP23" i="154"/>
  <c r="AO23" i="154"/>
  <c r="AN23" i="154"/>
  <c r="AM23" i="154"/>
  <c r="AL23" i="154"/>
  <c r="AK23" i="154"/>
  <c r="AJ23" i="154"/>
  <c r="AI23" i="154"/>
  <c r="AH23" i="154"/>
  <c r="AG23" i="154"/>
  <c r="AF23" i="154"/>
  <c r="AE23" i="154"/>
  <c r="N23" i="154"/>
  <c r="M23" i="154"/>
  <c r="BE22" i="154"/>
  <c r="BD22" i="154"/>
  <c r="BC22" i="154"/>
  <c r="BB22" i="154"/>
  <c r="BA22" i="154"/>
  <c r="AZ22" i="154"/>
  <c r="AY22" i="154"/>
  <c r="AX22" i="154"/>
  <c r="AW22" i="154"/>
  <c r="AV22" i="154"/>
  <c r="AU22" i="154"/>
  <c r="AT22" i="154"/>
  <c r="AS22" i="154"/>
  <c r="AR22" i="154"/>
  <c r="AQ22" i="154"/>
  <c r="AP22" i="154"/>
  <c r="AO22" i="154"/>
  <c r="AN22" i="154"/>
  <c r="AM22" i="154"/>
  <c r="AL22" i="154"/>
  <c r="AK22" i="154"/>
  <c r="AJ22" i="154"/>
  <c r="AI22" i="154"/>
  <c r="AH22" i="154"/>
  <c r="AG22" i="154"/>
  <c r="AF22" i="154"/>
  <c r="AE22" i="154"/>
  <c r="N22" i="154"/>
  <c r="M22" i="154"/>
  <c r="BE21" i="154"/>
  <c r="BD21" i="154"/>
  <c r="BC21" i="154"/>
  <c r="BB21" i="154"/>
  <c r="BA21" i="154"/>
  <c r="AZ21" i="154"/>
  <c r="AY21" i="154"/>
  <c r="AX21" i="154"/>
  <c r="AW21" i="154"/>
  <c r="AV21" i="154"/>
  <c r="AU21" i="154"/>
  <c r="AT21" i="154"/>
  <c r="AS21" i="154"/>
  <c r="AR21" i="154"/>
  <c r="AQ21" i="154"/>
  <c r="AP21" i="154"/>
  <c r="AO21" i="154"/>
  <c r="AN21" i="154"/>
  <c r="AM21" i="154"/>
  <c r="AL21" i="154"/>
  <c r="AK21" i="154"/>
  <c r="AJ21" i="154"/>
  <c r="AI21" i="154"/>
  <c r="AH21" i="154"/>
  <c r="AG21" i="154"/>
  <c r="AF21" i="154"/>
  <c r="AE21" i="154"/>
  <c r="N21" i="154"/>
  <c r="M21" i="154"/>
  <c r="BE20" i="154"/>
  <c r="BD20" i="154"/>
  <c r="BC20" i="154"/>
  <c r="BB20" i="154"/>
  <c r="BA20" i="154"/>
  <c r="AZ20" i="154"/>
  <c r="AY20" i="154"/>
  <c r="AX20" i="154"/>
  <c r="AW20" i="154"/>
  <c r="AV20" i="154"/>
  <c r="AU20" i="154"/>
  <c r="AT20" i="154"/>
  <c r="AS20" i="154"/>
  <c r="AR20" i="154"/>
  <c r="AQ20" i="154"/>
  <c r="AP20" i="154"/>
  <c r="AO20" i="154"/>
  <c r="AN20" i="154"/>
  <c r="AM20" i="154"/>
  <c r="AL20" i="154"/>
  <c r="AK20" i="154"/>
  <c r="AJ20" i="154"/>
  <c r="AI20" i="154"/>
  <c r="AH20" i="154"/>
  <c r="AG20" i="154"/>
  <c r="AF20" i="154"/>
  <c r="AE20" i="154"/>
  <c r="N20" i="154"/>
  <c r="M20" i="154"/>
  <c r="BE19" i="154"/>
  <c r="BD19" i="154"/>
  <c r="BC19" i="154"/>
  <c r="BB19" i="154"/>
  <c r="BA19" i="154"/>
  <c r="AZ19" i="154"/>
  <c r="AY19" i="154"/>
  <c r="AX19" i="154"/>
  <c r="AW19" i="154"/>
  <c r="AV19" i="154"/>
  <c r="AU19" i="154"/>
  <c r="AT19" i="154"/>
  <c r="AS19" i="154"/>
  <c r="AR19" i="154"/>
  <c r="AQ19" i="154"/>
  <c r="AP19" i="154"/>
  <c r="AO19" i="154"/>
  <c r="AN19" i="154"/>
  <c r="AM19" i="154"/>
  <c r="AL19" i="154"/>
  <c r="AK19" i="154"/>
  <c r="AJ19" i="154"/>
  <c r="AI19" i="154"/>
  <c r="AH19" i="154"/>
  <c r="AG19" i="154"/>
  <c r="AF19" i="154"/>
  <c r="AE19" i="154"/>
  <c r="N19" i="154"/>
  <c r="M19" i="154"/>
  <c r="BE18" i="154"/>
  <c r="BD18" i="154"/>
  <c r="BC18" i="154"/>
  <c r="BB18" i="154"/>
  <c r="BA18" i="154"/>
  <c r="AZ18" i="154"/>
  <c r="AY18" i="154"/>
  <c r="AX18" i="154"/>
  <c r="AW18" i="154"/>
  <c r="AV18" i="154"/>
  <c r="AU18" i="154"/>
  <c r="AT18" i="154"/>
  <c r="AS18" i="154"/>
  <c r="AR18" i="154"/>
  <c r="AQ18" i="154"/>
  <c r="AP18" i="154"/>
  <c r="AO18" i="154"/>
  <c r="AN18" i="154"/>
  <c r="AM18" i="154"/>
  <c r="AL18" i="154"/>
  <c r="AK18" i="154"/>
  <c r="AJ18" i="154"/>
  <c r="AI18" i="154"/>
  <c r="AH18" i="154"/>
  <c r="AG18" i="154"/>
  <c r="AF18" i="154"/>
  <c r="AE18" i="154"/>
  <c r="N18" i="154"/>
  <c r="M18" i="154"/>
  <c r="BE17" i="154"/>
  <c r="BD17" i="154"/>
  <c r="BC17" i="154"/>
  <c r="BB17" i="154"/>
  <c r="BA17" i="154"/>
  <c r="AZ17" i="154"/>
  <c r="AY17" i="154"/>
  <c r="AX17" i="154"/>
  <c r="AW17" i="154"/>
  <c r="AV17" i="154"/>
  <c r="AU17" i="154"/>
  <c r="AT17" i="154"/>
  <c r="AS17" i="154"/>
  <c r="AR17" i="154"/>
  <c r="AQ17" i="154"/>
  <c r="AP17" i="154"/>
  <c r="AO17" i="154"/>
  <c r="AN17" i="154"/>
  <c r="AM17" i="154"/>
  <c r="AL17" i="154"/>
  <c r="AK17" i="154"/>
  <c r="AJ17" i="154"/>
  <c r="AI17" i="154"/>
  <c r="AH17" i="154"/>
  <c r="AG17" i="154"/>
  <c r="AF17" i="154"/>
  <c r="AE17" i="154"/>
  <c r="N17" i="154"/>
  <c r="M17" i="154"/>
  <c r="BE16" i="154"/>
  <c r="BD16" i="154"/>
  <c r="BC16" i="154"/>
  <c r="BB16" i="154"/>
  <c r="BA16" i="154"/>
  <c r="AZ16" i="154"/>
  <c r="AY16" i="154"/>
  <c r="AX16" i="154"/>
  <c r="AW16" i="154"/>
  <c r="AV16" i="154"/>
  <c r="AU16" i="154"/>
  <c r="AT16" i="154"/>
  <c r="AS16" i="154"/>
  <c r="AR16" i="154"/>
  <c r="AQ16" i="154"/>
  <c r="AP16" i="154"/>
  <c r="AO16" i="154"/>
  <c r="AN16" i="154"/>
  <c r="AM16" i="154"/>
  <c r="AL16" i="154"/>
  <c r="AK16" i="154"/>
  <c r="AJ16" i="154"/>
  <c r="AI16" i="154"/>
  <c r="AH16" i="154"/>
  <c r="AG16" i="154"/>
  <c r="AF16" i="154"/>
  <c r="AE16" i="154"/>
  <c r="N16" i="154"/>
  <c r="M16" i="154"/>
  <c r="BE15" i="154"/>
  <c r="BD15" i="154"/>
  <c r="BC15" i="154"/>
  <c r="BB15" i="154"/>
  <c r="BA15" i="154"/>
  <c r="AZ15" i="154"/>
  <c r="AY15" i="154"/>
  <c r="AX15" i="154"/>
  <c r="AW15" i="154"/>
  <c r="AV15" i="154"/>
  <c r="AU15" i="154"/>
  <c r="AT15" i="154"/>
  <c r="AS15" i="154"/>
  <c r="AR15" i="154"/>
  <c r="AQ15" i="154"/>
  <c r="AP15" i="154"/>
  <c r="AO15" i="154"/>
  <c r="AN15" i="154"/>
  <c r="AM15" i="154"/>
  <c r="AL15" i="154"/>
  <c r="AK15" i="154"/>
  <c r="AJ15" i="154"/>
  <c r="AI15" i="154"/>
  <c r="AH15" i="154"/>
  <c r="AG15" i="154"/>
  <c r="AF15" i="154"/>
  <c r="AE15" i="154"/>
  <c r="N15" i="154"/>
  <c r="M15" i="154"/>
  <c r="BE14" i="154"/>
  <c r="BD14" i="154"/>
  <c r="BC14" i="154"/>
  <c r="BB14" i="154"/>
  <c r="BA14" i="154"/>
  <c r="AZ14" i="154"/>
  <c r="AY14" i="154"/>
  <c r="AX14" i="154"/>
  <c r="AW14" i="154"/>
  <c r="AV14" i="154"/>
  <c r="AU14" i="154"/>
  <c r="AT14" i="154"/>
  <c r="AS14" i="154"/>
  <c r="AR14" i="154"/>
  <c r="AQ14" i="154"/>
  <c r="AP14" i="154"/>
  <c r="AO14" i="154"/>
  <c r="AN14" i="154"/>
  <c r="AM14" i="154"/>
  <c r="AL14" i="154"/>
  <c r="AK14" i="154"/>
  <c r="AJ14" i="154"/>
  <c r="AI14" i="154"/>
  <c r="AH14" i="154"/>
  <c r="AG14" i="154"/>
  <c r="AF14" i="154"/>
  <c r="AE14" i="154"/>
  <c r="N14" i="154"/>
  <c r="M14" i="154"/>
  <c r="BE13" i="154"/>
  <c r="BD13" i="154"/>
  <c r="BC13" i="154"/>
  <c r="BB13" i="154"/>
  <c r="BA13" i="154"/>
  <c r="AZ13" i="154"/>
  <c r="AY13" i="154"/>
  <c r="AX13" i="154"/>
  <c r="AW13" i="154"/>
  <c r="AV13" i="154"/>
  <c r="AU13" i="154"/>
  <c r="AT13" i="154"/>
  <c r="AS13" i="154"/>
  <c r="AR13" i="154"/>
  <c r="AQ13" i="154"/>
  <c r="AP13" i="154"/>
  <c r="AO13" i="154"/>
  <c r="AN13" i="154"/>
  <c r="AM13" i="154"/>
  <c r="AL13" i="154"/>
  <c r="AK13" i="154"/>
  <c r="AJ13" i="154"/>
  <c r="AI13" i="154"/>
  <c r="AH13" i="154"/>
  <c r="AG13" i="154"/>
  <c r="AF13" i="154"/>
  <c r="AE13" i="154"/>
  <c r="N13" i="154"/>
  <c r="M13" i="154"/>
  <c r="BE12" i="154"/>
  <c r="BD12" i="154"/>
  <c r="BC12" i="154"/>
  <c r="BB12" i="154"/>
  <c r="BA12" i="154"/>
  <c r="AZ12" i="154"/>
  <c r="AY12" i="154"/>
  <c r="AX12" i="154"/>
  <c r="AW12" i="154"/>
  <c r="AV12" i="154"/>
  <c r="AU12" i="154"/>
  <c r="AT12" i="154"/>
  <c r="AS12" i="154"/>
  <c r="AR12" i="154"/>
  <c r="AQ12" i="154"/>
  <c r="AP12" i="154"/>
  <c r="AO12" i="154"/>
  <c r="AN12" i="154"/>
  <c r="AM12" i="154"/>
  <c r="AL12" i="154"/>
  <c r="AK12" i="154"/>
  <c r="AJ12" i="154"/>
  <c r="AI12" i="154"/>
  <c r="AH12" i="154"/>
  <c r="AG12" i="154"/>
  <c r="AF12" i="154"/>
  <c r="AE12" i="154"/>
  <c r="N12" i="154"/>
  <c r="M12" i="154"/>
  <c r="BE11" i="154"/>
  <c r="BD11" i="154"/>
  <c r="BC11" i="154"/>
  <c r="BB11" i="154"/>
  <c r="BA11" i="154"/>
  <c r="AZ11" i="154"/>
  <c r="AY11" i="154"/>
  <c r="AX11" i="154"/>
  <c r="AW11" i="154"/>
  <c r="AV11" i="154"/>
  <c r="AU11" i="154"/>
  <c r="AT11" i="154"/>
  <c r="AS11" i="154"/>
  <c r="AR11" i="154"/>
  <c r="AQ11" i="154"/>
  <c r="AP11" i="154"/>
  <c r="AO11" i="154"/>
  <c r="AN11" i="154"/>
  <c r="AM11" i="154"/>
  <c r="AL11" i="154"/>
  <c r="AK11" i="154"/>
  <c r="AJ11" i="154"/>
  <c r="AI11" i="154"/>
  <c r="AH11" i="154"/>
  <c r="AG11" i="154"/>
  <c r="AF11" i="154"/>
  <c r="AE11" i="154"/>
  <c r="N11" i="154"/>
  <c r="M11" i="154"/>
  <c r="BE10" i="154"/>
  <c r="BD10" i="154"/>
  <c r="BC10" i="154"/>
  <c r="BB10" i="154"/>
  <c r="BA10" i="154"/>
  <c r="AZ10" i="154"/>
  <c r="AY10" i="154"/>
  <c r="AX10" i="154"/>
  <c r="AW10" i="154"/>
  <c r="AV10" i="154"/>
  <c r="AU10" i="154"/>
  <c r="AT10" i="154"/>
  <c r="AS10" i="154"/>
  <c r="AR10" i="154"/>
  <c r="AQ10" i="154"/>
  <c r="AP10" i="154"/>
  <c r="AO10" i="154"/>
  <c r="AN10" i="154"/>
  <c r="AM10" i="154"/>
  <c r="AL10" i="154"/>
  <c r="AK10" i="154"/>
  <c r="AJ10" i="154"/>
  <c r="AI10" i="154"/>
  <c r="AH10" i="154"/>
  <c r="AG10" i="154"/>
  <c r="AF10" i="154"/>
  <c r="AE10" i="154"/>
  <c r="N10" i="154"/>
  <c r="M10" i="154"/>
  <c r="BE9" i="154"/>
  <c r="BD9" i="154"/>
  <c r="BC9" i="154"/>
  <c r="BB9" i="154"/>
  <c r="BA9" i="154"/>
  <c r="AZ9" i="154"/>
  <c r="AY9" i="154"/>
  <c r="AX9" i="154"/>
  <c r="AW9" i="154"/>
  <c r="AV9" i="154"/>
  <c r="AU9" i="154"/>
  <c r="AT9" i="154"/>
  <c r="AS9" i="154"/>
  <c r="AR9" i="154"/>
  <c r="AQ9" i="154"/>
  <c r="AP9" i="154"/>
  <c r="AO9" i="154"/>
  <c r="AN9" i="154"/>
  <c r="AM9" i="154"/>
  <c r="AL9" i="154"/>
  <c r="AK9" i="154"/>
  <c r="AJ9" i="154"/>
  <c r="AI9" i="154"/>
  <c r="AH9" i="154"/>
  <c r="AG9" i="154"/>
  <c r="AF9" i="154"/>
  <c r="AE9" i="154"/>
  <c r="N9" i="154"/>
  <c r="M9" i="154"/>
  <c r="BE8" i="154"/>
  <c r="BD8" i="154"/>
  <c r="BC8" i="154"/>
  <c r="BB8" i="154"/>
  <c r="BA8" i="154"/>
  <c r="AZ8" i="154"/>
  <c r="AY8" i="154"/>
  <c r="AX8" i="154"/>
  <c r="AW8" i="154"/>
  <c r="AV8" i="154"/>
  <c r="AU8" i="154"/>
  <c r="AT8" i="154"/>
  <c r="AS8" i="154"/>
  <c r="AR8" i="154"/>
  <c r="AQ8" i="154"/>
  <c r="AP8" i="154"/>
  <c r="AO8" i="154"/>
  <c r="AN8" i="154"/>
  <c r="AM8" i="154"/>
  <c r="AL8" i="154"/>
  <c r="AK8" i="154"/>
  <c r="AJ8" i="154"/>
  <c r="AI8" i="154"/>
  <c r="AH8" i="154"/>
  <c r="AG8" i="154"/>
  <c r="AF8" i="154"/>
  <c r="AE8" i="154"/>
  <c r="N8" i="154"/>
  <c r="M8" i="154"/>
  <c r="BE7" i="154"/>
  <c r="BD7" i="154"/>
  <c r="BC7" i="154"/>
  <c r="BB7" i="154"/>
  <c r="BA7" i="154"/>
  <c r="AZ7" i="154"/>
  <c r="AY7" i="154"/>
  <c r="AX7" i="154"/>
  <c r="AW7" i="154"/>
  <c r="AV7" i="154"/>
  <c r="AU7" i="154"/>
  <c r="AT7" i="154"/>
  <c r="AS7" i="154"/>
  <c r="AR7" i="154"/>
  <c r="AQ7" i="154"/>
  <c r="AP7" i="154"/>
  <c r="AO7" i="154"/>
  <c r="AN7" i="154"/>
  <c r="AM7" i="154"/>
  <c r="AL7" i="154"/>
  <c r="AK7" i="154"/>
  <c r="AJ7" i="154"/>
  <c r="AI7" i="154"/>
  <c r="AH7" i="154"/>
  <c r="AG7" i="154"/>
  <c r="AF7" i="154"/>
  <c r="AE7" i="154"/>
  <c r="N7" i="154"/>
  <c r="M7" i="154"/>
  <c r="BE6" i="154"/>
  <c r="BD6" i="154"/>
  <c r="BC6" i="154"/>
  <c r="BB6" i="154"/>
  <c r="BA6" i="154"/>
  <c r="AZ6" i="154"/>
  <c r="AY6" i="154"/>
  <c r="AX6" i="154"/>
  <c r="AW6" i="154"/>
  <c r="AV6" i="154"/>
  <c r="AU6" i="154"/>
  <c r="AT6" i="154"/>
  <c r="AS6" i="154"/>
  <c r="AR6" i="154"/>
  <c r="AQ6" i="154"/>
  <c r="AP6" i="154"/>
  <c r="AO6" i="154"/>
  <c r="AN6" i="154"/>
  <c r="AM6" i="154"/>
  <c r="AL6" i="154"/>
  <c r="AK6" i="154"/>
  <c r="AJ6" i="154"/>
  <c r="AI6" i="154"/>
  <c r="AH6" i="154"/>
  <c r="AG6" i="154"/>
  <c r="AF6" i="154"/>
  <c r="AE6" i="154"/>
  <c r="N6" i="154"/>
  <c r="M6" i="154"/>
  <c r="A6" i="154"/>
  <c r="BE5" i="154"/>
  <c r="BD5" i="154"/>
  <c r="BC5" i="154"/>
  <c r="BB5" i="154"/>
  <c r="BA5" i="154"/>
  <c r="AZ5" i="154"/>
  <c r="AY5" i="154"/>
  <c r="AX5" i="154"/>
  <c r="AW5" i="154"/>
  <c r="AV5" i="154"/>
  <c r="AU5" i="154"/>
  <c r="AT5" i="154"/>
  <c r="AS5" i="154"/>
  <c r="AR5" i="154"/>
  <c r="AQ5" i="154"/>
  <c r="AP5" i="154"/>
  <c r="AO5" i="154"/>
  <c r="AN5" i="154"/>
  <c r="AM5" i="154"/>
  <c r="AL5" i="154"/>
  <c r="AK5" i="154"/>
  <c r="AJ5" i="154"/>
  <c r="AI5" i="154"/>
  <c r="AH5" i="154"/>
  <c r="AG5" i="154"/>
  <c r="AF5" i="154"/>
  <c r="AE5" i="154"/>
  <c r="N5" i="154"/>
  <c r="M5" i="154"/>
  <c r="A5" i="154"/>
  <c r="BE4" i="154"/>
  <c r="BD4" i="154"/>
  <c r="BC4" i="154"/>
  <c r="BB4" i="154"/>
  <c r="BA4" i="154"/>
  <c r="AZ4" i="154"/>
  <c r="AY4" i="154"/>
  <c r="AX4" i="154"/>
  <c r="AW4" i="154"/>
  <c r="AV4" i="154"/>
  <c r="AU4" i="154"/>
  <c r="AT4" i="154"/>
  <c r="AS4" i="154"/>
  <c r="AR4" i="154"/>
  <c r="AQ4" i="154"/>
  <c r="AP4" i="154"/>
  <c r="AO4" i="154"/>
  <c r="AN4" i="154"/>
  <c r="AM4" i="154"/>
  <c r="AL4" i="154"/>
  <c r="AK4" i="154"/>
  <c r="AJ4" i="154"/>
  <c r="AI4" i="154"/>
  <c r="AH4" i="154"/>
  <c r="AG4" i="154"/>
  <c r="AF4" i="154"/>
  <c r="AE4" i="154"/>
  <c r="N4" i="154"/>
  <c r="M4" i="154"/>
  <c r="BE3" i="154"/>
  <c r="BD3" i="154"/>
  <c r="BC3" i="154"/>
  <c r="BB3" i="154"/>
  <c r="BA3" i="154"/>
  <c r="AZ3" i="154"/>
  <c r="AY3" i="154"/>
  <c r="AX3" i="154"/>
  <c r="AW3" i="154"/>
  <c r="AV3" i="154"/>
  <c r="AU3" i="154"/>
  <c r="AT3" i="154"/>
  <c r="AS3" i="154"/>
  <c r="AR3" i="154"/>
  <c r="AQ3" i="154"/>
  <c r="AP3" i="154"/>
  <c r="AO3" i="154"/>
  <c r="AN3" i="154"/>
  <c r="AM3" i="154"/>
  <c r="AL3" i="154"/>
  <c r="AK3" i="154"/>
  <c r="AJ3" i="154"/>
  <c r="AI3" i="154"/>
  <c r="AH3" i="154"/>
  <c r="AG3" i="154"/>
  <c r="AF3" i="154"/>
  <c r="AE3" i="154"/>
  <c r="AC3" i="154"/>
  <c r="AB3" i="154"/>
  <c r="AA3" i="154"/>
  <c r="Z3" i="154"/>
  <c r="Y3" i="154"/>
  <c r="L56" i="154" s="1"/>
  <c r="E56" i="154" s="1"/>
  <c r="X3" i="154"/>
  <c r="L55" i="154" s="1"/>
  <c r="E55" i="154" s="1"/>
  <c r="V3" i="154"/>
  <c r="H6" i="154" s="1"/>
  <c r="R3" i="154"/>
  <c r="E7" i="154" s="1"/>
  <c r="N3" i="154"/>
  <c r="M3" i="154"/>
  <c r="BE2" i="154"/>
  <c r="BD2" i="154"/>
  <c r="BC2" i="154"/>
  <c r="BB2" i="154"/>
  <c r="BA2" i="154"/>
  <c r="AZ2" i="154"/>
  <c r="AY2" i="154"/>
  <c r="AX2" i="154"/>
  <c r="AW2" i="154"/>
  <c r="AV2" i="154"/>
  <c r="AU2" i="154"/>
  <c r="AT2" i="154"/>
  <c r="AS2" i="154"/>
  <c r="AR2" i="154"/>
  <c r="AQ2" i="154"/>
  <c r="AP2" i="154"/>
  <c r="AO2" i="154"/>
  <c r="AN2" i="154"/>
  <c r="AM2" i="154"/>
  <c r="AL2" i="154"/>
  <c r="AK2" i="154"/>
  <c r="AJ2" i="154"/>
  <c r="AI2" i="154"/>
  <c r="AH2" i="154"/>
  <c r="AG2" i="154"/>
  <c r="AF2" i="154"/>
  <c r="AE2" i="154"/>
  <c r="N2" i="154"/>
  <c r="M2" i="154"/>
  <c r="A2" i="154"/>
  <c r="BE1" i="154"/>
  <c r="BD1" i="154"/>
  <c r="BC1" i="154"/>
  <c r="BB1" i="154"/>
  <c r="BA1" i="154"/>
  <c r="AZ1" i="154"/>
  <c r="AY1" i="154"/>
  <c r="AX1" i="154"/>
  <c r="AW1" i="154"/>
  <c r="AV1" i="154"/>
  <c r="AU1" i="154"/>
  <c r="AT1" i="154"/>
  <c r="AS1" i="154"/>
  <c r="AR1" i="154"/>
  <c r="AQ1" i="154"/>
  <c r="AP1" i="154"/>
  <c r="AO1" i="154"/>
  <c r="AN1" i="154"/>
  <c r="AM1" i="154"/>
  <c r="AL1" i="154"/>
  <c r="AK1" i="154"/>
  <c r="AJ1" i="154"/>
  <c r="AI1" i="154"/>
  <c r="AH1" i="154"/>
  <c r="AG1" i="154"/>
  <c r="AF1" i="154"/>
  <c r="Q1" i="154"/>
  <c r="P1" i="154"/>
  <c r="N1" i="154"/>
  <c r="M1" i="154"/>
  <c r="A11" i="126" l="1"/>
  <c r="A12" i="126"/>
  <c r="A13" i="126"/>
  <c r="A53" i="126"/>
  <c r="A13" i="221"/>
  <c r="A53" i="221"/>
  <c r="A200" i="128"/>
  <c r="A192" i="128"/>
  <c r="A184" i="128"/>
  <c r="A176" i="128"/>
  <c r="A168" i="128"/>
  <c r="A160" i="128"/>
  <c r="A152" i="128"/>
  <c r="A144" i="128"/>
  <c r="A191" i="128"/>
  <c r="A167" i="128"/>
  <c r="A143" i="128"/>
  <c r="A199" i="128"/>
  <c r="A175" i="128"/>
  <c r="A151" i="128"/>
  <c r="A198" i="128"/>
  <c r="A190" i="128"/>
  <c r="A182" i="128"/>
  <c r="A174" i="128"/>
  <c r="A166" i="128"/>
  <c r="A158" i="128"/>
  <c r="A150" i="128"/>
  <c r="A142" i="128"/>
  <c r="A171" i="128"/>
  <c r="A147" i="128"/>
  <c r="A197" i="128"/>
  <c r="A189" i="128"/>
  <c r="A181" i="128"/>
  <c r="A173" i="128"/>
  <c r="A165" i="128"/>
  <c r="A157" i="128"/>
  <c r="A149" i="128"/>
  <c r="A141" i="128"/>
  <c r="A179" i="128"/>
  <c r="A155" i="128"/>
  <c r="A196" i="128"/>
  <c r="A188" i="128"/>
  <c r="A180" i="128"/>
  <c r="A172" i="128"/>
  <c r="A164" i="128"/>
  <c r="A156" i="128"/>
  <c r="A148" i="128"/>
  <c r="A187" i="128"/>
  <c r="A195" i="128"/>
  <c r="A163" i="128"/>
  <c r="A194" i="128"/>
  <c r="A186" i="128"/>
  <c r="A178" i="128"/>
  <c r="A170" i="128"/>
  <c r="A162" i="128"/>
  <c r="A154" i="128"/>
  <c r="A146" i="128"/>
  <c r="A159" i="128"/>
  <c r="A193" i="128"/>
  <c r="A185" i="128"/>
  <c r="A177" i="128"/>
  <c r="A169" i="128"/>
  <c r="A161" i="128"/>
  <c r="A153" i="128"/>
  <c r="A145" i="128"/>
  <c r="A183" i="128"/>
  <c r="A14" i="221"/>
  <c r="A16" i="221"/>
  <c r="A17" i="221"/>
  <c r="A15" i="221"/>
  <c r="A133" i="128"/>
  <c r="A101" i="128"/>
  <c r="A119" i="128"/>
  <c r="A138" i="128"/>
  <c r="A114" i="128"/>
  <c r="A116" i="128"/>
  <c r="A102" i="128"/>
  <c r="A127" i="128"/>
  <c r="A112" i="128"/>
  <c r="A130" i="128"/>
  <c r="A124" i="128"/>
  <c r="A110" i="128"/>
  <c r="A135" i="128"/>
  <c r="A128" i="128"/>
  <c r="A107" i="128"/>
  <c r="A132" i="128"/>
  <c r="A105" i="128"/>
  <c r="A140" i="128"/>
  <c r="A122" i="128"/>
  <c r="A118" i="128"/>
  <c r="A120" i="128"/>
  <c r="A115" i="128"/>
  <c r="A108" i="128"/>
  <c r="A126" i="128"/>
  <c r="A136" i="128"/>
  <c r="A121" i="128"/>
  <c r="A123" i="128"/>
  <c r="A109" i="128"/>
  <c r="A134" i="128"/>
  <c r="A113" i="128"/>
  <c r="A129" i="128"/>
  <c r="A131" i="128"/>
  <c r="A117" i="128"/>
  <c r="A137" i="128"/>
  <c r="A125" i="128"/>
  <c r="A103" i="128"/>
  <c r="A104" i="128"/>
  <c r="A139" i="128"/>
  <c r="A106" i="128"/>
  <c r="A111" i="128"/>
  <c r="F52" i="154"/>
  <c r="F51" i="154"/>
  <c r="A22" i="124"/>
  <c r="A27" i="116"/>
  <c r="A11" i="134"/>
  <c r="A10" i="137"/>
  <c r="C6" i="154"/>
  <c r="G6" i="154" s="1"/>
  <c r="A16" i="125"/>
  <c r="A56" i="129"/>
  <c r="A56" i="154"/>
  <c r="A17" i="125"/>
  <c r="A26" i="124"/>
  <c r="A14" i="126"/>
  <c r="A56" i="116"/>
  <c r="A21" i="129"/>
  <c r="A15" i="130"/>
  <c r="A16" i="131"/>
  <c r="A14" i="133"/>
  <c r="A9" i="136"/>
  <c r="A10" i="146"/>
  <c r="A20" i="129"/>
  <c r="A14" i="131"/>
  <c r="A13" i="133"/>
  <c r="A13" i="125"/>
  <c r="A57" i="125"/>
  <c r="A17" i="129"/>
  <c r="A22" i="129"/>
  <c r="A56" i="130"/>
  <c r="A17" i="131"/>
  <c r="A16" i="133"/>
  <c r="A10" i="136"/>
  <c r="A11" i="146"/>
  <c r="A14" i="125"/>
  <c r="A59" i="125"/>
  <c r="A23" i="116"/>
  <c r="A18" i="129"/>
  <c r="A55" i="129"/>
  <c r="A13" i="131"/>
  <c r="A11" i="132"/>
  <c r="A17" i="133"/>
  <c r="A9" i="137"/>
  <c r="A55" i="146"/>
  <c r="A7" i="154"/>
  <c r="A19" i="124"/>
  <c r="A23" i="124"/>
  <c r="A57" i="124"/>
  <c r="A24" i="116"/>
  <c r="A28" i="116"/>
  <c r="A16" i="130"/>
  <c r="A8" i="154"/>
  <c r="A20" i="124"/>
  <c r="A24" i="124"/>
  <c r="A58" i="124"/>
  <c r="A21" i="116"/>
  <c r="A25" i="116"/>
  <c r="A29" i="116"/>
  <c r="A13" i="130"/>
  <c r="A17" i="130"/>
  <c r="A9" i="132"/>
  <c r="A9" i="134"/>
  <c r="A15" i="125"/>
  <c r="A21" i="124"/>
  <c r="A25" i="124"/>
  <c r="A22" i="116"/>
  <c r="A26" i="116"/>
  <c r="A19" i="129"/>
  <c r="A14" i="130"/>
  <c r="A9" i="146"/>
  <c r="C5" i="154"/>
  <c r="G5" i="154" s="1"/>
  <c r="L51" i="154"/>
  <c r="L52" i="154"/>
  <c r="L53" i="154"/>
  <c r="L54" i="154"/>
  <c r="E8" i="154"/>
  <c r="H5" i="154"/>
  <c r="I6" i="154"/>
  <c r="I5" i="154"/>
  <c r="E6" i="154" l="1"/>
  <c r="B6" i="154" s="1"/>
  <c r="E5" i="154"/>
  <c r="H51" i="154"/>
  <c r="C51" i="154"/>
  <c r="G51" i="154" s="1"/>
  <c r="H54" i="154"/>
  <c r="C54" i="154"/>
  <c r="G54" i="154" s="1"/>
  <c r="H53" i="154"/>
  <c r="C53" i="154"/>
  <c r="G53" i="154" s="1"/>
  <c r="H52" i="154"/>
  <c r="C52" i="154"/>
  <c r="G52" i="154" s="1"/>
  <c r="E4" i="154" l="1"/>
  <c r="B5" i="154"/>
  <c r="E3" i="154"/>
  <c r="I54" i="154"/>
  <c r="I52" i="154"/>
  <c r="I53" i="154"/>
  <c r="I51" i="154"/>
  <c r="E54" i="154" l="1"/>
  <c r="E53" i="154"/>
  <c r="E51" i="154"/>
  <c r="E52" i="154"/>
  <c r="P3" i="153" l="1"/>
  <c r="P3" i="123"/>
  <c r="A53" i="148"/>
  <c r="P3" i="148"/>
  <c r="A5" i="147"/>
  <c r="P3" i="147"/>
  <c r="A5" i="120"/>
  <c r="P3" i="120"/>
  <c r="A5" i="121"/>
  <c r="P3" i="121"/>
  <c r="A17" i="123" l="1"/>
  <c r="A13" i="123"/>
  <c r="A57" i="123"/>
  <c r="A59" i="123"/>
  <c r="A16" i="123"/>
  <c r="A14" i="123"/>
  <c r="A58" i="123"/>
  <c r="A15" i="123"/>
  <c r="A13" i="153"/>
  <c r="A12" i="153"/>
  <c r="A14" i="153"/>
  <c r="A11" i="153"/>
  <c r="D20" i="156"/>
  <c r="A3194" i="156" l="1"/>
  <c r="A3193" i="156"/>
  <c r="A3192" i="156"/>
  <c r="A3191" i="156"/>
  <c r="A3190" i="156"/>
  <c r="A3189" i="156"/>
  <c r="A3188" i="156"/>
  <c r="A3187" i="156"/>
  <c r="A3186" i="156"/>
  <c r="A3185" i="156"/>
  <c r="A3184" i="156"/>
  <c r="A3183" i="156"/>
  <c r="A3182" i="156"/>
  <c r="A3181" i="156"/>
  <c r="A3180" i="156"/>
  <c r="A3179" i="156"/>
  <c r="A3178" i="156"/>
  <c r="A3177" i="156"/>
  <c r="A3176" i="156"/>
  <c r="A3175" i="156"/>
  <c r="A3174" i="156"/>
  <c r="A3173" i="156"/>
  <c r="A3172" i="156"/>
  <c r="A3171" i="156"/>
  <c r="A3170" i="156"/>
  <c r="A3169" i="156"/>
  <c r="A3168" i="156"/>
  <c r="A3167" i="156"/>
  <c r="A3166" i="156"/>
  <c r="A3165" i="156"/>
  <c r="A3164" i="156"/>
  <c r="A3163" i="156"/>
  <c r="A3162" i="156"/>
  <c r="A3161" i="156"/>
  <c r="A3160" i="156"/>
  <c r="A3159" i="156"/>
  <c r="A3158" i="156"/>
  <c r="A3157" i="156"/>
  <c r="A3156" i="156"/>
  <c r="A3155" i="156"/>
  <c r="A3154" i="156"/>
  <c r="A3153" i="156"/>
  <c r="A3152" i="156"/>
  <c r="A3151" i="156"/>
  <c r="A3150" i="156"/>
  <c r="A3149" i="156"/>
  <c r="A3148" i="156"/>
  <c r="A3147" i="156"/>
  <c r="A3138" i="156"/>
  <c r="A3139" i="156"/>
  <c r="A3140" i="156"/>
  <c r="A3141" i="156"/>
  <c r="A3142" i="156"/>
  <c r="A3143" i="156"/>
  <c r="A3144" i="156"/>
  <c r="A3145" i="156"/>
  <c r="A3146" i="156"/>
  <c r="A3137" i="156"/>
  <c r="D3138" i="156"/>
  <c r="D3137" i="156"/>
  <c r="A3136" i="156"/>
  <c r="A3135" i="156"/>
  <c r="A3134" i="156"/>
  <c r="A3133" i="156"/>
  <c r="A3132" i="156"/>
  <c r="A3131" i="156"/>
  <c r="A3130" i="156"/>
  <c r="A3129" i="156"/>
  <c r="D3128" i="156"/>
  <c r="A3128" i="156"/>
  <c r="D3127" i="156"/>
  <c r="A3127" i="156"/>
  <c r="A3126" i="156"/>
  <c r="A3125" i="156"/>
  <c r="A3124" i="156"/>
  <c r="A3123" i="156"/>
  <c r="A3122" i="156"/>
  <c r="A3121" i="156"/>
  <c r="A3120" i="156"/>
  <c r="A3119" i="156"/>
  <c r="D3118" i="156"/>
  <c r="A3118" i="156"/>
  <c r="D3117" i="156"/>
  <c r="A3117" i="156"/>
  <c r="A3116" i="156"/>
  <c r="A3115" i="156"/>
  <c r="A3114" i="156"/>
  <c r="A3113" i="156"/>
  <c r="A3112" i="156"/>
  <c r="A3111" i="156"/>
  <c r="A3110" i="156"/>
  <c r="A3109" i="156"/>
  <c r="D3108" i="156"/>
  <c r="A3108" i="156"/>
  <c r="D3107" i="156"/>
  <c r="A3107" i="156"/>
  <c r="A3106" i="156"/>
  <c r="A3105" i="156"/>
  <c r="A3104" i="156"/>
  <c r="A3103" i="156"/>
  <c r="A3102" i="156"/>
  <c r="A3101" i="156"/>
  <c r="A3100" i="156"/>
  <c r="A3099" i="156"/>
  <c r="D3098" i="156"/>
  <c r="A3098" i="156"/>
  <c r="D3097" i="156"/>
  <c r="A3097" i="156"/>
  <c r="A2604" i="156"/>
  <c r="A2603" i="156"/>
  <c r="A2602" i="156"/>
  <c r="A2601" i="156"/>
  <c r="A2600" i="156"/>
  <c r="A2599" i="156"/>
  <c r="A2598" i="156"/>
  <c r="A2597" i="156"/>
  <c r="A2596" i="156"/>
  <c r="A2595" i="156"/>
  <c r="A2594" i="156"/>
  <c r="A2593" i="156"/>
  <c r="A2592" i="156"/>
  <c r="A2591" i="156"/>
  <c r="A2590" i="156"/>
  <c r="A2589" i="156"/>
  <c r="A2588" i="156"/>
  <c r="A2587" i="156"/>
  <c r="A2586" i="156"/>
  <c r="A2585" i="156"/>
  <c r="A2584" i="156"/>
  <c r="A2583" i="156"/>
  <c r="A2582" i="156"/>
  <c r="A2581" i="156"/>
  <c r="A2580" i="156"/>
  <c r="A2579" i="156"/>
  <c r="A2578" i="156"/>
  <c r="A2577" i="156"/>
  <c r="A2576" i="156"/>
  <c r="A2575" i="156"/>
  <c r="A2574" i="156"/>
  <c r="A2573" i="156"/>
  <c r="A2572" i="156"/>
  <c r="A2571" i="156"/>
  <c r="A2570" i="156"/>
  <c r="A2569" i="156"/>
  <c r="A2568" i="156"/>
  <c r="A2567" i="156"/>
  <c r="A2566" i="156"/>
  <c r="A2565" i="156"/>
  <c r="A2564" i="156"/>
  <c r="A2563" i="156"/>
  <c r="A2562" i="156"/>
  <c r="A2561" i="156"/>
  <c r="A2560" i="156"/>
  <c r="A2559" i="156"/>
  <c r="A2558" i="156"/>
  <c r="A2557" i="156"/>
  <c r="A2556" i="156"/>
  <c r="A2555" i="156"/>
  <c r="A2554" i="156"/>
  <c r="A2553" i="156"/>
  <c r="A2552" i="156"/>
  <c r="A2551" i="156"/>
  <c r="A2550" i="156"/>
  <c r="A2549" i="156"/>
  <c r="A2548" i="156"/>
  <c r="A2547" i="156"/>
  <c r="A2546" i="156"/>
  <c r="A2545" i="156"/>
  <c r="A2544" i="156"/>
  <c r="A2543" i="156"/>
  <c r="A2542" i="156"/>
  <c r="A2541" i="156"/>
  <c r="A2540" i="156"/>
  <c r="A2539" i="156"/>
  <c r="A2538" i="156"/>
  <c r="A2537" i="156"/>
  <c r="A2536" i="156"/>
  <c r="A2535" i="156"/>
  <c r="A2534" i="156"/>
  <c r="A2533" i="156"/>
  <c r="A2532" i="156"/>
  <c r="A2531" i="156"/>
  <c r="A2530" i="156"/>
  <c r="A2529" i="156"/>
  <c r="A2528" i="156"/>
  <c r="A2527" i="156"/>
  <c r="A2526" i="156"/>
  <c r="A2525" i="156"/>
  <c r="A2524" i="156"/>
  <c r="A2523" i="156"/>
  <c r="A2522" i="156"/>
  <c r="A2521" i="156"/>
  <c r="A2520" i="156"/>
  <c r="A2519" i="156"/>
  <c r="A2518" i="156"/>
  <c r="A2517" i="156"/>
  <c r="A2516" i="156"/>
  <c r="A2515" i="156"/>
  <c r="A2510" i="156"/>
  <c r="A2511" i="156"/>
  <c r="A2512" i="156"/>
  <c r="A2513" i="156"/>
  <c r="A2514" i="156"/>
  <c r="A2509" i="156"/>
  <c r="K5" i="139" l="1"/>
  <c r="G3" i="159" l="1"/>
  <c r="D22" i="159" l="1"/>
  <c r="D29" i="159"/>
  <c r="D3" i="159"/>
  <c r="D12" i="159"/>
  <c r="D21" i="159"/>
  <c r="D23" i="159"/>
  <c r="D58" i="159"/>
  <c r="D61" i="159"/>
  <c r="D65" i="159"/>
  <c r="B61" i="159"/>
  <c r="D64" i="159"/>
  <c r="B64" i="159"/>
  <c r="D62" i="159"/>
  <c r="D57" i="159"/>
  <c r="D55" i="159"/>
  <c r="D54" i="159"/>
  <c r="B54" i="159"/>
  <c r="B57" i="159"/>
  <c r="D46" i="159"/>
  <c r="D51" i="159"/>
  <c r="D50" i="159"/>
  <c r="D45" i="159"/>
  <c r="B45" i="159"/>
  <c r="D49" i="159"/>
  <c r="B49" i="159"/>
  <c r="D17" i="159"/>
  <c r="D41" i="159"/>
  <c r="D40" i="159"/>
  <c r="B16" i="159"/>
  <c r="D42" i="159"/>
  <c r="D32" i="159"/>
  <c r="D26" i="159"/>
  <c r="B21" i="159"/>
  <c r="D37" i="159"/>
  <c r="B32" i="159"/>
  <c r="D25" i="159"/>
  <c r="D36" i="159"/>
  <c r="D2" i="159"/>
  <c r="B25" i="159"/>
  <c r="D7" i="159"/>
  <c r="D30" i="159"/>
  <c r="B36" i="159"/>
  <c r="D6" i="159"/>
  <c r="B2" i="159"/>
  <c r="B40" i="159"/>
  <c r="B29" i="159"/>
  <c r="D11" i="159"/>
  <c r="B6" i="159"/>
  <c r="D33" i="159"/>
  <c r="D16" i="159"/>
  <c r="B11" i="159"/>
  <c r="C24" i="159" l="1"/>
  <c r="C22" i="159"/>
  <c r="C23" i="159"/>
  <c r="C66" i="159"/>
  <c r="C62" i="159"/>
  <c r="C63" i="159"/>
  <c r="C65" i="159"/>
  <c r="C59" i="159"/>
  <c r="C58" i="159"/>
  <c r="C56" i="159"/>
  <c r="C55" i="159"/>
  <c r="C41" i="159"/>
  <c r="C43" i="159"/>
  <c r="C42" i="159"/>
  <c r="C52" i="159"/>
  <c r="C51" i="159"/>
  <c r="C50" i="159"/>
  <c r="C3" i="159"/>
  <c r="C5" i="159"/>
  <c r="C4" i="159"/>
  <c r="C13" i="159"/>
  <c r="C14" i="159"/>
  <c r="C12" i="159"/>
  <c r="C48" i="159"/>
  <c r="C47" i="159"/>
  <c r="C46" i="159"/>
  <c r="C27" i="159"/>
  <c r="C26" i="159"/>
  <c r="C19" i="159"/>
  <c r="C18" i="159"/>
  <c r="C17" i="159"/>
  <c r="C30" i="159"/>
  <c r="C31" i="159"/>
  <c r="C9" i="159"/>
  <c r="C8" i="159"/>
  <c r="C7" i="159"/>
  <c r="C39" i="159"/>
  <c r="C38" i="159"/>
  <c r="C37" i="159"/>
  <c r="C34" i="159"/>
  <c r="C33" i="159"/>
  <c r="H2" i="159"/>
  <c r="A2944" i="156"/>
  <c r="A2943" i="156"/>
  <c r="A2942" i="156"/>
  <c r="A2941" i="156"/>
  <c r="A2940" i="156"/>
  <c r="A2939" i="156"/>
  <c r="A2938" i="156"/>
  <c r="A2937" i="156"/>
  <c r="A2936" i="156"/>
  <c r="A2935" i="156"/>
  <c r="A2934" i="156"/>
  <c r="A2933" i="156"/>
  <c r="A2932" i="156"/>
  <c r="A2931" i="156"/>
  <c r="A2930" i="156"/>
  <c r="A2929" i="156"/>
  <c r="A2928" i="156"/>
  <c r="A2927" i="156"/>
  <c r="A2926" i="156"/>
  <c r="A2925" i="156"/>
  <c r="A2852" i="156"/>
  <c r="A2851" i="156"/>
  <c r="A2850" i="156"/>
  <c r="A2849" i="156"/>
  <c r="A2848" i="156"/>
  <c r="A2847" i="156"/>
  <c r="A2846" i="156"/>
  <c r="A2845" i="156"/>
  <c r="A2844" i="156"/>
  <c r="A2843" i="156"/>
  <c r="A2842" i="156"/>
  <c r="A2841" i="156"/>
  <c r="A2840" i="156"/>
  <c r="A2839" i="156"/>
  <c r="A2838" i="156"/>
  <c r="A2837" i="156"/>
  <c r="A2836" i="156"/>
  <c r="A2835" i="156"/>
  <c r="A2834" i="156"/>
  <c r="A2833" i="156"/>
  <c r="A2488" i="156"/>
  <c r="A2487" i="156"/>
  <c r="A2486" i="156"/>
  <c r="A2485" i="156"/>
  <c r="A2484" i="156"/>
  <c r="A2483" i="156"/>
  <c r="A2482" i="156"/>
  <c r="A2481" i="156"/>
  <c r="A2480" i="156"/>
  <c r="A2479" i="156"/>
  <c r="A2478" i="156"/>
  <c r="A2477" i="156"/>
  <c r="A2476" i="156"/>
  <c r="A2475" i="156"/>
  <c r="A2474" i="156"/>
  <c r="A2473" i="156"/>
  <c r="A2472" i="156"/>
  <c r="A2471" i="156"/>
  <c r="A2470" i="156"/>
  <c r="A2469" i="156"/>
  <c r="A2468" i="156"/>
  <c r="A2467" i="156"/>
  <c r="A2466" i="156"/>
  <c r="A2465" i="156"/>
  <c r="A2464" i="156"/>
  <c r="A2463" i="156"/>
  <c r="A2462" i="156"/>
  <c r="A2461" i="156"/>
  <c r="A2460" i="156"/>
  <c r="A2459" i="156"/>
  <c r="A2458" i="156"/>
  <c r="A2457" i="156"/>
  <c r="A2456" i="156"/>
  <c r="A2455" i="156"/>
  <c r="A2454" i="156"/>
  <c r="A2453" i="156"/>
  <c r="A2452" i="156"/>
  <c r="A2451" i="156"/>
  <c r="A2450" i="156"/>
  <c r="A2449" i="156"/>
  <c r="A2448" i="156"/>
  <c r="A2447" i="156"/>
  <c r="A2446" i="156"/>
  <c r="A2445" i="156"/>
  <c r="A2444" i="156"/>
  <c r="A2443" i="156"/>
  <c r="A2442" i="156"/>
  <c r="A2441" i="156"/>
  <c r="A2440" i="156"/>
  <c r="A2439" i="156"/>
  <c r="A2438" i="156"/>
  <c r="A2437" i="156"/>
  <c r="A2436" i="156"/>
  <c r="A2435" i="156"/>
  <c r="A2434" i="156"/>
  <c r="A2433" i="156"/>
  <c r="A2432" i="156"/>
  <c r="A2431" i="156"/>
  <c r="A2430" i="156"/>
  <c r="A2429" i="156"/>
  <c r="A2428" i="156"/>
  <c r="A2427" i="156"/>
  <c r="A2426" i="156"/>
  <c r="A2425" i="156"/>
  <c r="A2424" i="156"/>
  <c r="A2423" i="156"/>
  <c r="A2422" i="156"/>
  <c r="A2421" i="156"/>
  <c r="A2420" i="156"/>
  <c r="A2419" i="156"/>
  <c r="A2418" i="156"/>
  <c r="A2417" i="156"/>
  <c r="A2416" i="156"/>
  <c r="A2415" i="156"/>
  <c r="A2414" i="156"/>
  <c r="A2413" i="156"/>
  <c r="A2412" i="156"/>
  <c r="A2411" i="156"/>
  <c r="A2410" i="156"/>
  <c r="A2409" i="156"/>
  <c r="A2408" i="156"/>
  <c r="A2407" i="156"/>
  <c r="A2406" i="156"/>
  <c r="A2405" i="156"/>
  <c r="A2404" i="156"/>
  <c r="A2403" i="156"/>
  <c r="A2402" i="156"/>
  <c r="A2401" i="156"/>
  <c r="A2400" i="156"/>
  <c r="A2399" i="156"/>
  <c r="A2398" i="156"/>
  <c r="A2397" i="156"/>
  <c r="A2396" i="156"/>
  <c r="A2395" i="156"/>
  <c r="A2394" i="156"/>
  <c r="A2393" i="156"/>
  <c r="A2392" i="156"/>
  <c r="A2391" i="156"/>
  <c r="A2390" i="156"/>
  <c r="A22" i="156"/>
  <c r="D21" i="156"/>
  <c r="A21" i="156"/>
  <c r="A20" i="156"/>
  <c r="D2926" i="156"/>
  <c r="D388" i="156" l="1"/>
  <c r="D348" i="156"/>
  <c r="D308" i="156"/>
  <c r="D378" i="156"/>
  <c r="D338" i="156"/>
  <c r="D298" i="156"/>
  <c r="D398" i="156"/>
  <c r="D358" i="156"/>
  <c r="D318" i="156"/>
  <c r="D478" i="156"/>
  <c r="D408" i="156"/>
  <c r="D368" i="156"/>
  <c r="D328" i="156"/>
  <c r="D468" i="156"/>
  <c r="D497" i="156"/>
  <c r="D417" i="156"/>
  <c r="D507" i="156"/>
  <c r="D447" i="156"/>
  <c r="D437" i="156"/>
  <c r="D427" i="156"/>
  <c r="D457" i="156"/>
  <c r="D487" i="156"/>
  <c r="D458" i="156"/>
  <c r="D488" i="156"/>
  <c r="D448" i="156"/>
  <c r="D438" i="156"/>
  <c r="D428" i="156"/>
  <c r="D418" i="156"/>
  <c r="D508" i="156"/>
  <c r="D498" i="156"/>
  <c r="D477" i="156"/>
  <c r="D407" i="156"/>
  <c r="D367" i="156"/>
  <c r="D327" i="156"/>
  <c r="D467" i="156"/>
  <c r="D397" i="156"/>
  <c r="D357" i="156"/>
  <c r="D317" i="156"/>
  <c r="D377" i="156"/>
  <c r="D337" i="156"/>
  <c r="D387" i="156"/>
  <c r="D347" i="156"/>
  <c r="D307" i="156"/>
  <c r="D297" i="156"/>
  <c r="D252" i="156"/>
  <c r="D152" i="156"/>
  <c r="D112" i="156"/>
  <c r="D72" i="156"/>
  <c r="D62" i="156"/>
  <c r="D222" i="156"/>
  <c r="D182" i="156"/>
  <c r="D142" i="156"/>
  <c r="D102" i="156"/>
  <c r="D262" i="156"/>
  <c r="D162" i="156"/>
  <c r="D82" i="156"/>
  <c r="D42" i="156"/>
  <c r="D132" i="156"/>
  <c r="D92" i="156"/>
  <c r="D52" i="156"/>
  <c r="D202" i="156"/>
  <c r="D122" i="156"/>
  <c r="D271" i="156"/>
  <c r="D211" i="156"/>
  <c r="D171" i="156"/>
  <c r="D231" i="156"/>
  <c r="D281" i="156"/>
  <c r="D241" i="156"/>
  <c r="D191" i="156"/>
  <c r="D192" i="156"/>
  <c r="D282" i="156"/>
  <c r="D242" i="156"/>
  <c r="D232" i="156"/>
  <c r="D272" i="156"/>
  <c r="D212" i="156"/>
  <c r="D172" i="156"/>
  <c r="D131" i="156"/>
  <c r="D91" i="156"/>
  <c r="D51" i="156"/>
  <c r="D221" i="156"/>
  <c r="D181" i="156"/>
  <c r="D261" i="156"/>
  <c r="D201" i="156"/>
  <c r="D161" i="156"/>
  <c r="D121" i="156"/>
  <c r="D81" i="156"/>
  <c r="D41" i="156"/>
  <c r="D251" i="156"/>
  <c r="D151" i="156"/>
  <c r="D111" i="156"/>
  <c r="D71" i="156"/>
  <c r="D141" i="156"/>
  <c r="D101" i="156"/>
  <c r="D61" i="156"/>
  <c r="D2844" i="156"/>
  <c r="D2391" i="156"/>
  <c r="D2419" i="156"/>
  <c r="D2440" i="156"/>
  <c r="D2459" i="156"/>
  <c r="D2480" i="156"/>
  <c r="D2936" i="156"/>
  <c r="D2389" i="156"/>
  <c r="D2401" i="156"/>
  <c r="D2429" i="156"/>
  <c r="D2450" i="156"/>
  <c r="D2469" i="156"/>
  <c r="D2833" i="156"/>
  <c r="D2925" i="156"/>
  <c r="D2399" i="156"/>
  <c r="D2411" i="156"/>
  <c r="D2439" i="156"/>
  <c r="D2460" i="156"/>
  <c r="D2479" i="156"/>
  <c r="D2843" i="156"/>
  <c r="D2935" i="156"/>
  <c r="D2409" i="156"/>
  <c r="D2421" i="156"/>
  <c r="D2430" i="156"/>
  <c r="D2449" i="156"/>
  <c r="D2470" i="156"/>
  <c r="D2834" i="156"/>
  <c r="K3" i="158" l="1"/>
  <c r="A22" i="60" l="1"/>
  <c r="A21" i="60"/>
  <c r="A67" i="57"/>
  <c r="A66" i="57"/>
  <c r="A36" i="93"/>
  <c r="A52" i="9"/>
  <c r="A51" i="9"/>
  <c r="A50" i="9"/>
  <c r="F3" i="158" l="1"/>
  <c r="A36" i="157" l="1"/>
  <c r="A35" i="157"/>
  <c r="A34" i="157"/>
  <c r="A33" i="157"/>
  <c r="A32" i="157"/>
  <c r="A30" i="157"/>
  <c r="A29" i="157"/>
  <c r="A28" i="157"/>
  <c r="A27" i="157"/>
  <c r="D21" i="157"/>
  <c r="D20" i="157"/>
  <c r="A3" i="158" l="1"/>
  <c r="D44" i="155" l="1"/>
  <c r="A44" i="155"/>
  <c r="A43" i="155"/>
  <c r="A42" i="155"/>
  <c r="D41" i="155"/>
  <c r="A41" i="155"/>
  <c r="A40" i="155"/>
  <c r="A39" i="155"/>
  <c r="A27" i="138"/>
  <c r="D35" i="155"/>
  <c r="D36" i="155"/>
  <c r="A35" i="155"/>
  <c r="A36" i="155"/>
  <c r="D34" i="155"/>
  <c r="A34" i="155"/>
  <c r="D33" i="155"/>
  <c r="A33" i="155"/>
  <c r="D32" i="155"/>
  <c r="A32" i="155"/>
  <c r="D31" i="155"/>
  <c r="A31" i="155"/>
  <c r="D30" i="155"/>
  <c r="A30" i="155"/>
  <c r="D29" i="155"/>
  <c r="A29" i="155"/>
  <c r="D28" i="155"/>
  <c r="A28" i="155"/>
  <c r="D27" i="155"/>
  <c r="A27" i="155"/>
  <c r="D26" i="155"/>
  <c r="A26" i="155"/>
  <c r="D25" i="155"/>
  <c r="A25" i="155"/>
  <c r="D74" i="155"/>
  <c r="A74" i="155"/>
  <c r="A73" i="155"/>
  <c r="A72" i="155"/>
  <c r="D71" i="155"/>
  <c r="A71" i="155"/>
  <c r="A70" i="155"/>
  <c r="A69" i="155"/>
  <c r="D68" i="155"/>
  <c r="A68" i="155"/>
  <c r="A67" i="155"/>
  <c r="A66" i="155"/>
  <c r="D65" i="155"/>
  <c r="A65" i="155"/>
  <c r="A64" i="155"/>
  <c r="A63" i="155"/>
  <c r="D62" i="155"/>
  <c r="A62" i="155"/>
  <c r="A61" i="155"/>
  <c r="A60" i="155"/>
  <c r="D59" i="155"/>
  <c r="A59" i="155"/>
  <c r="A58" i="155"/>
  <c r="A57" i="155"/>
  <c r="D56" i="155"/>
  <c r="A56" i="155"/>
  <c r="A55" i="155"/>
  <c r="A54" i="155"/>
  <c r="D53" i="155"/>
  <c r="A53" i="155"/>
  <c r="A52" i="155"/>
  <c r="A51" i="155"/>
  <c r="D50" i="155"/>
  <c r="A50" i="155"/>
  <c r="A49" i="155"/>
  <c r="A48" i="155"/>
  <c r="D47" i="155"/>
  <c r="A47" i="155"/>
  <c r="A46" i="155"/>
  <c r="A45" i="155"/>
  <c r="D24" i="155"/>
  <c r="A24" i="155"/>
  <c r="D23" i="155"/>
  <c r="A23" i="155"/>
  <c r="D22" i="155"/>
  <c r="A22" i="155"/>
  <c r="D21" i="155"/>
  <c r="A21" i="155"/>
  <c r="A20" i="155"/>
  <c r="R19" i="155"/>
  <c r="Q19" i="155"/>
  <c r="P19" i="155"/>
  <c r="R18" i="155"/>
  <c r="Q18" i="155"/>
  <c r="P18" i="155"/>
  <c r="R17" i="155"/>
  <c r="Q17" i="155"/>
  <c r="P17" i="155"/>
  <c r="R16" i="155"/>
  <c r="Q16" i="155"/>
  <c r="P16" i="155"/>
  <c r="R15" i="155"/>
  <c r="Q15" i="155"/>
  <c r="P15" i="155"/>
  <c r="R14" i="155"/>
  <c r="Q14" i="155"/>
  <c r="P14" i="155"/>
  <c r="R13" i="155"/>
  <c r="Q13" i="155"/>
  <c r="P13" i="155"/>
  <c r="R12" i="155"/>
  <c r="Q12" i="155"/>
  <c r="P12" i="155"/>
  <c r="R11" i="155"/>
  <c r="Q11" i="155"/>
  <c r="P11" i="155"/>
  <c r="R10" i="155"/>
  <c r="Q10" i="155"/>
  <c r="P10" i="155"/>
  <c r="R9" i="155"/>
  <c r="Q9" i="155"/>
  <c r="P9" i="155"/>
  <c r="R8" i="155"/>
  <c r="Q8" i="155"/>
  <c r="P8" i="155"/>
  <c r="R7" i="155"/>
  <c r="Q7" i="155"/>
  <c r="P7" i="155"/>
  <c r="R6" i="155"/>
  <c r="Q6" i="155"/>
  <c r="P6" i="155"/>
  <c r="R5" i="155"/>
  <c r="Q5" i="155"/>
  <c r="P5" i="155"/>
  <c r="R4" i="155"/>
  <c r="Q4" i="155"/>
  <c r="P4" i="155"/>
  <c r="BA1" i="155"/>
  <c r="AZ1" i="155"/>
  <c r="AY1" i="155"/>
  <c r="AX1" i="155"/>
  <c r="AW1" i="155"/>
  <c r="AV1" i="155"/>
  <c r="AU1" i="155"/>
  <c r="AT1" i="155"/>
  <c r="AS1" i="155"/>
  <c r="AR1" i="155"/>
  <c r="AQ1" i="155"/>
  <c r="AP1" i="155"/>
  <c r="AO1" i="155"/>
  <c r="AN1" i="155"/>
  <c r="AM1" i="155"/>
  <c r="AL1" i="155"/>
  <c r="AK1" i="155"/>
  <c r="AJ1" i="155"/>
  <c r="AI1" i="155"/>
  <c r="AH1" i="155"/>
  <c r="AG1" i="155"/>
  <c r="AF1" i="155"/>
  <c r="AE1" i="155"/>
  <c r="AD1" i="155"/>
  <c r="AC1" i="155"/>
  <c r="AB1" i="155"/>
  <c r="AA1" i="155"/>
  <c r="Z1" i="155"/>
  <c r="Y1" i="155"/>
  <c r="X1" i="155"/>
  <c r="W1" i="155"/>
  <c r="V1" i="155"/>
  <c r="U1" i="155"/>
  <c r="T1" i="155"/>
  <c r="S1" i="155"/>
  <c r="R1" i="155"/>
  <c r="Q1" i="155"/>
  <c r="P1" i="155"/>
  <c r="D91" i="155" l="1"/>
  <c r="D99" i="155"/>
  <c r="D92" i="155"/>
  <c r="D100" i="155"/>
  <c r="D83" i="155"/>
  <c r="D75" i="155"/>
  <c r="D84" i="155"/>
  <c r="D76" i="155"/>
  <c r="A10" i="153"/>
  <c r="A9" i="153"/>
  <c r="A8" i="153"/>
  <c r="A7" i="153"/>
  <c r="N41" i="153" l="1"/>
  <c r="M41" i="153"/>
  <c r="N40" i="153"/>
  <c r="M40" i="153"/>
  <c r="N39" i="153"/>
  <c r="M39" i="153"/>
  <c r="N38" i="153"/>
  <c r="M38" i="153"/>
  <c r="N37" i="153"/>
  <c r="M37" i="153"/>
  <c r="N36" i="153"/>
  <c r="M36" i="153"/>
  <c r="N35" i="153"/>
  <c r="M35" i="153"/>
  <c r="N34" i="153"/>
  <c r="M34" i="153"/>
  <c r="BE33" i="153"/>
  <c r="BD33" i="153"/>
  <c r="BC33" i="153"/>
  <c r="BB33" i="153"/>
  <c r="BA33" i="153"/>
  <c r="AZ33" i="153"/>
  <c r="AY33" i="153"/>
  <c r="AX33" i="153"/>
  <c r="AW33" i="153"/>
  <c r="AV33" i="153"/>
  <c r="AU33" i="153"/>
  <c r="AT33" i="153"/>
  <c r="AS33" i="153"/>
  <c r="AR33" i="153"/>
  <c r="AQ33" i="153"/>
  <c r="AP33" i="153"/>
  <c r="AO33" i="153"/>
  <c r="AN33" i="153"/>
  <c r="AM33" i="153"/>
  <c r="AL33" i="153"/>
  <c r="AK33" i="153"/>
  <c r="AJ33" i="153"/>
  <c r="AI33" i="153"/>
  <c r="AH33" i="153"/>
  <c r="AG33" i="153"/>
  <c r="AF33" i="153"/>
  <c r="AE33" i="153"/>
  <c r="N33" i="153"/>
  <c r="M33" i="153"/>
  <c r="BE32" i="153"/>
  <c r="BD32" i="153"/>
  <c r="BC32" i="153"/>
  <c r="BB32" i="153"/>
  <c r="BA32" i="153"/>
  <c r="AZ32" i="153"/>
  <c r="AY32" i="153"/>
  <c r="AX32" i="153"/>
  <c r="AW32" i="153"/>
  <c r="AV32" i="153"/>
  <c r="AU32" i="153"/>
  <c r="AT32" i="153"/>
  <c r="AS32" i="153"/>
  <c r="AR32" i="153"/>
  <c r="AQ32" i="153"/>
  <c r="AP32" i="153"/>
  <c r="AO32" i="153"/>
  <c r="AN32" i="153"/>
  <c r="AM32" i="153"/>
  <c r="AL32" i="153"/>
  <c r="AK32" i="153"/>
  <c r="AJ32" i="153"/>
  <c r="AI32" i="153"/>
  <c r="AH32" i="153"/>
  <c r="AG32" i="153"/>
  <c r="AF32" i="153"/>
  <c r="AE32" i="153"/>
  <c r="N32" i="153"/>
  <c r="M32" i="153"/>
  <c r="BE31" i="153"/>
  <c r="BD31" i="153"/>
  <c r="BC31" i="153"/>
  <c r="BB31" i="153"/>
  <c r="BA31" i="153"/>
  <c r="AZ31" i="153"/>
  <c r="AY31" i="153"/>
  <c r="AX31" i="153"/>
  <c r="AW31" i="153"/>
  <c r="AV31" i="153"/>
  <c r="AU31" i="153"/>
  <c r="AT31" i="153"/>
  <c r="AS31" i="153"/>
  <c r="AR31" i="153"/>
  <c r="AQ31" i="153"/>
  <c r="AP31" i="153"/>
  <c r="AO31" i="153"/>
  <c r="AN31" i="153"/>
  <c r="AM31" i="153"/>
  <c r="AL31" i="153"/>
  <c r="AK31" i="153"/>
  <c r="AJ31" i="153"/>
  <c r="AI31" i="153"/>
  <c r="AH31" i="153"/>
  <c r="AG31" i="153"/>
  <c r="AF31" i="153"/>
  <c r="AE31" i="153"/>
  <c r="N31" i="153"/>
  <c r="M31" i="153"/>
  <c r="BE30" i="153"/>
  <c r="BD30" i="153"/>
  <c r="BC30" i="153"/>
  <c r="BB30" i="153"/>
  <c r="BA30" i="153"/>
  <c r="AZ30" i="153"/>
  <c r="AY30" i="153"/>
  <c r="AX30" i="153"/>
  <c r="AW30" i="153"/>
  <c r="AV30" i="153"/>
  <c r="AU30" i="153"/>
  <c r="AT30" i="153"/>
  <c r="AS30" i="153"/>
  <c r="AR30" i="153"/>
  <c r="AQ30" i="153"/>
  <c r="AP30" i="153"/>
  <c r="AO30" i="153"/>
  <c r="AN30" i="153"/>
  <c r="AM30" i="153"/>
  <c r="AL30" i="153"/>
  <c r="AK30" i="153"/>
  <c r="AJ30" i="153"/>
  <c r="AI30" i="153"/>
  <c r="AH30" i="153"/>
  <c r="AG30" i="153"/>
  <c r="AF30" i="153"/>
  <c r="AE30" i="153"/>
  <c r="N30" i="153"/>
  <c r="M30" i="153"/>
  <c r="BE29" i="153"/>
  <c r="BD29" i="153"/>
  <c r="BC29" i="153"/>
  <c r="BB29" i="153"/>
  <c r="BA29" i="153"/>
  <c r="AZ29" i="153"/>
  <c r="AY29" i="153"/>
  <c r="AX29" i="153"/>
  <c r="AW29" i="153"/>
  <c r="AV29" i="153"/>
  <c r="AU29" i="153"/>
  <c r="AT29" i="153"/>
  <c r="AS29" i="153"/>
  <c r="AR29" i="153"/>
  <c r="AQ29" i="153"/>
  <c r="AP29" i="153"/>
  <c r="AO29" i="153"/>
  <c r="AN29" i="153"/>
  <c r="AM29" i="153"/>
  <c r="AL29" i="153"/>
  <c r="AK29" i="153"/>
  <c r="AJ29" i="153"/>
  <c r="AI29" i="153"/>
  <c r="AH29" i="153"/>
  <c r="AG29" i="153"/>
  <c r="AF29" i="153"/>
  <c r="AE29" i="153"/>
  <c r="N29" i="153"/>
  <c r="M29" i="153"/>
  <c r="BE28" i="153"/>
  <c r="BD28" i="153"/>
  <c r="BC28" i="153"/>
  <c r="BB28" i="153"/>
  <c r="BA28" i="153"/>
  <c r="AZ28" i="153"/>
  <c r="AY28" i="153"/>
  <c r="AX28" i="153"/>
  <c r="AW28" i="153"/>
  <c r="AV28" i="153"/>
  <c r="AU28" i="153"/>
  <c r="AT28" i="153"/>
  <c r="AS28" i="153"/>
  <c r="AR28" i="153"/>
  <c r="AQ28" i="153"/>
  <c r="AP28" i="153"/>
  <c r="AO28" i="153"/>
  <c r="AN28" i="153"/>
  <c r="AM28" i="153"/>
  <c r="AL28" i="153"/>
  <c r="AK28" i="153"/>
  <c r="AJ28" i="153"/>
  <c r="AI28" i="153"/>
  <c r="AH28" i="153"/>
  <c r="AG28" i="153"/>
  <c r="AF28" i="153"/>
  <c r="AE28" i="153"/>
  <c r="N28" i="153"/>
  <c r="M28" i="153"/>
  <c r="BE27" i="153"/>
  <c r="BD27" i="153"/>
  <c r="BC27" i="153"/>
  <c r="BB27" i="153"/>
  <c r="BA27" i="153"/>
  <c r="AZ27" i="153"/>
  <c r="AY27" i="153"/>
  <c r="AX27" i="153"/>
  <c r="AW27" i="153"/>
  <c r="AV27" i="153"/>
  <c r="AU27" i="153"/>
  <c r="AT27" i="153"/>
  <c r="AS27" i="153"/>
  <c r="AR27" i="153"/>
  <c r="AQ27" i="153"/>
  <c r="AP27" i="153"/>
  <c r="AO27" i="153"/>
  <c r="AN27" i="153"/>
  <c r="AM27" i="153"/>
  <c r="AL27" i="153"/>
  <c r="AK27" i="153"/>
  <c r="AJ27" i="153"/>
  <c r="AI27" i="153"/>
  <c r="AH27" i="153"/>
  <c r="AG27" i="153"/>
  <c r="AF27" i="153"/>
  <c r="AE27" i="153"/>
  <c r="N27" i="153"/>
  <c r="M27" i="153"/>
  <c r="BE26" i="153"/>
  <c r="BD26" i="153"/>
  <c r="BC26" i="153"/>
  <c r="BB26" i="153"/>
  <c r="BA26" i="153"/>
  <c r="AZ26" i="153"/>
  <c r="AY26" i="153"/>
  <c r="AX26" i="153"/>
  <c r="AW26" i="153"/>
  <c r="AV26" i="153"/>
  <c r="AU26" i="153"/>
  <c r="AT26" i="153"/>
  <c r="AS26" i="153"/>
  <c r="AR26" i="153"/>
  <c r="AQ26" i="153"/>
  <c r="AP26" i="153"/>
  <c r="AO26" i="153"/>
  <c r="AN26" i="153"/>
  <c r="AM26" i="153"/>
  <c r="AL26" i="153"/>
  <c r="AK26" i="153"/>
  <c r="AJ26" i="153"/>
  <c r="AI26" i="153"/>
  <c r="AH26" i="153"/>
  <c r="AG26" i="153"/>
  <c r="AF26" i="153"/>
  <c r="AE26" i="153"/>
  <c r="N26" i="153"/>
  <c r="M26" i="153"/>
  <c r="BE25" i="153"/>
  <c r="BD25" i="153"/>
  <c r="BC25" i="153"/>
  <c r="BB25" i="153"/>
  <c r="BA25" i="153"/>
  <c r="AZ25" i="153"/>
  <c r="AY25" i="153"/>
  <c r="AX25" i="153"/>
  <c r="AW25" i="153"/>
  <c r="AV25" i="153"/>
  <c r="AU25" i="153"/>
  <c r="AT25" i="153"/>
  <c r="AS25" i="153"/>
  <c r="AR25" i="153"/>
  <c r="AQ25" i="153"/>
  <c r="AP25" i="153"/>
  <c r="AO25" i="153"/>
  <c r="AN25" i="153"/>
  <c r="AM25" i="153"/>
  <c r="AL25" i="153"/>
  <c r="AK25" i="153"/>
  <c r="AJ25" i="153"/>
  <c r="AI25" i="153"/>
  <c r="AH25" i="153"/>
  <c r="AG25" i="153"/>
  <c r="AF25" i="153"/>
  <c r="AE25" i="153"/>
  <c r="N25" i="153"/>
  <c r="M25" i="153"/>
  <c r="BE24" i="153"/>
  <c r="BD24" i="153"/>
  <c r="BC24" i="153"/>
  <c r="BB24" i="153"/>
  <c r="BA24" i="153"/>
  <c r="AZ24" i="153"/>
  <c r="AY24" i="153"/>
  <c r="AX24" i="153"/>
  <c r="AW24" i="153"/>
  <c r="AV24" i="153"/>
  <c r="AU24" i="153"/>
  <c r="AT24" i="153"/>
  <c r="AS24" i="153"/>
  <c r="AR24" i="153"/>
  <c r="AQ24" i="153"/>
  <c r="AP24" i="153"/>
  <c r="AO24" i="153"/>
  <c r="AN24" i="153"/>
  <c r="AM24" i="153"/>
  <c r="AL24" i="153"/>
  <c r="AK24" i="153"/>
  <c r="AJ24" i="153"/>
  <c r="AI24" i="153"/>
  <c r="AH24" i="153"/>
  <c r="AG24" i="153"/>
  <c r="AF24" i="153"/>
  <c r="AE24" i="153"/>
  <c r="N24" i="153"/>
  <c r="M24" i="153"/>
  <c r="BE23" i="153"/>
  <c r="BD23" i="153"/>
  <c r="BC23" i="153"/>
  <c r="BB23" i="153"/>
  <c r="BA23" i="153"/>
  <c r="AZ23" i="153"/>
  <c r="AY23" i="153"/>
  <c r="AX23" i="153"/>
  <c r="AW23" i="153"/>
  <c r="AV23" i="153"/>
  <c r="AU23" i="153"/>
  <c r="AT23" i="153"/>
  <c r="AS23" i="153"/>
  <c r="AR23" i="153"/>
  <c r="AQ23" i="153"/>
  <c r="AP23" i="153"/>
  <c r="AO23" i="153"/>
  <c r="AN23" i="153"/>
  <c r="AM23" i="153"/>
  <c r="AL23" i="153"/>
  <c r="AK23" i="153"/>
  <c r="AJ23" i="153"/>
  <c r="AI23" i="153"/>
  <c r="AH23" i="153"/>
  <c r="AG23" i="153"/>
  <c r="AF23" i="153"/>
  <c r="AE23" i="153"/>
  <c r="N23" i="153"/>
  <c r="M23" i="153"/>
  <c r="BE22" i="153"/>
  <c r="BD22" i="153"/>
  <c r="BC22" i="153"/>
  <c r="BB22" i="153"/>
  <c r="BA22" i="153"/>
  <c r="AZ22" i="153"/>
  <c r="AY22" i="153"/>
  <c r="AX22" i="153"/>
  <c r="AW22" i="153"/>
  <c r="AV22" i="153"/>
  <c r="AU22" i="153"/>
  <c r="AT22" i="153"/>
  <c r="AS22" i="153"/>
  <c r="AR22" i="153"/>
  <c r="AQ22" i="153"/>
  <c r="AP22" i="153"/>
  <c r="AO22" i="153"/>
  <c r="AN22" i="153"/>
  <c r="AM22" i="153"/>
  <c r="AL22" i="153"/>
  <c r="AK22" i="153"/>
  <c r="AJ22" i="153"/>
  <c r="AI22" i="153"/>
  <c r="AH22" i="153"/>
  <c r="AG22" i="153"/>
  <c r="AF22" i="153"/>
  <c r="AE22" i="153"/>
  <c r="N22" i="153"/>
  <c r="M22" i="153"/>
  <c r="BE21" i="153"/>
  <c r="BD21" i="153"/>
  <c r="BC21" i="153"/>
  <c r="BB21" i="153"/>
  <c r="BA21" i="153"/>
  <c r="AZ21" i="153"/>
  <c r="AY21" i="153"/>
  <c r="AX21" i="153"/>
  <c r="AW21" i="153"/>
  <c r="AV21" i="153"/>
  <c r="AU21" i="153"/>
  <c r="AT21" i="153"/>
  <c r="AS21" i="153"/>
  <c r="AR21" i="153"/>
  <c r="AQ21" i="153"/>
  <c r="AP21" i="153"/>
  <c r="AO21" i="153"/>
  <c r="AN21" i="153"/>
  <c r="AM21" i="153"/>
  <c r="AL21" i="153"/>
  <c r="AK21" i="153"/>
  <c r="AJ21" i="153"/>
  <c r="AI21" i="153"/>
  <c r="AH21" i="153"/>
  <c r="AG21" i="153"/>
  <c r="AF21" i="153"/>
  <c r="AE21" i="153"/>
  <c r="N21" i="153"/>
  <c r="M21" i="153"/>
  <c r="BE20" i="153"/>
  <c r="BD20" i="153"/>
  <c r="BC20" i="153"/>
  <c r="BB20" i="153"/>
  <c r="BA20" i="153"/>
  <c r="AZ20" i="153"/>
  <c r="AY20" i="153"/>
  <c r="AX20" i="153"/>
  <c r="AW20" i="153"/>
  <c r="AV20" i="153"/>
  <c r="AU20" i="153"/>
  <c r="AT20" i="153"/>
  <c r="AS20" i="153"/>
  <c r="AR20" i="153"/>
  <c r="AQ20" i="153"/>
  <c r="AP20" i="153"/>
  <c r="AO20" i="153"/>
  <c r="AN20" i="153"/>
  <c r="AM20" i="153"/>
  <c r="AL20" i="153"/>
  <c r="AK20" i="153"/>
  <c r="AJ20" i="153"/>
  <c r="AI20" i="153"/>
  <c r="AH20" i="153"/>
  <c r="AG20" i="153"/>
  <c r="AF20" i="153"/>
  <c r="AE20" i="153"/>
  <c r="N20" i="153"/>
  <c r="M20" i="153"/>
  <c r="BE19" i="153"/>
  <c r="BD19" i="153"/>
  <c r="BC19" i="153"/>
  <c r="BB19" i="153"/>
  <c r="BA19" i="153"/>
  <c r="AZ19" i="153"/>
  <c r="AY19" i="153"/>
  <c r="AX19" i="153"/>
  <c r="AW19" i="153"/>
  <c r="AV19" i="153"/>
  <c r="AU19" i="153"/>
  <c r="AT19" i="153"/>
  <c r="AS19" i="153"/>
  <c r="AR19" i="153"/>
  <c r="AQ19" i="153"/>
  <c r="AP19" i="153"/>
  <c r="AO19" i="153"/>
  <c r="AN19" i="153"/>
  <c r="AM19" i="153"/>
  <c r="AL19" i="153"/>
  <c r="AK19" i="153"/>
  <c r="AJ19" i="153"/>
  <c r="AI19" i="153"/>
  <c r="AH19" i="153"/>
  <c r="AG19" i="153"/>
  <c r="AF19" i="153"/>
  <c r="AE19" i="153"/>
  <c r="N19" i="153"/>
  <c r="M19" i="153"/>
  <c r="BE18" i="153"/>
  <c r="BD18" i="153"/>
  <c r="BC18" i="153"/>
  <c r="BB18" i="153"/>
  <c r="BA18" i="153"/>
  <c r="AZ18" i="153"/>
  <c r="AY18" i="153"/>
  <c r="AX18" i="153"/>
  <c r="AW18" i="153"/>
  <c r="AV18" i="153"/>
  <c r="AU18" i="153"/>
  <c r="AT18" i="153"/>
  <c r="AS18" i="153"/>
  <c r="AR18" i="153"/>
  <c r="AQ18" i="153"/>
  <c r="AP18" i="153"/>
  <c r="AO18" i="153"/>
  <c r="AN18" i="153"/>
  <c r="AM18" i="153"/>
  <c r="AL18" i="153"/>
  <c r="AK18" i="153"/>
  <c r="AJ18" i="153"/>
  <c r="AI18" i="153"/>
  <c r="AH18" i="153"/>
  <c r="AG18" i="153"/>
  <c r="AF18" i="153"/>
  <c r="AE18" i="153"/>
  <c r="N18" i="153"/>
  <c r="M18" i="153"/>
  <c r="BE17" i="153"/>
  <c r="BD17" i="153"/>
  <c r="BC17" i="153"/>
  <c r="BB17" i="153"/>
  <c r="BA17" i="153"/>
  <c r="AZ17" i="153"/>
  <c r="AY17" i="153"/>
  <c r="AX17" i="153"/>
  <c r="AW17" i="153"/>
  <c r="AV17" i="153"/>
  <c r="AU17" i="153"/>
  <c r="AT17" i="153"/>
  <c r="AS17" i="153"/>
  <c r="AR17" i="153"/>
  <c r="AQ17" i="153"/>
  <c r="AP17" i="153"/>
  <c r="AO17" i="153"/>
  <c r="AN17" i="153"/>
  <c r="AM17" i="153"/>
  <c r="AL17" i="153"/>
  <c r="AK17" i="153"/>
  <c r="AJ17" i="153"/>
  <c r="AI17" i="153"/>
  <c r="AH17" i="153"/>
  <c r="AG17" i="153"/>
  <c r="AF17" i="153"/>
  <c r="AE17" i="153"/>
  <c r="N17" i="153"/>
  <c r="M17" i="153"/>
  <c r="BE16" i="153"/>
  <c r="BD16" i="153"/>
  <c r="BC16" i="153"/>
  <c r="BB16" i="153"/>
  <c r="BA16" i="153"/>
  <c r="AZ16" i="153"/>
  <c r="AY16" i="153"/>
  <c r="AX16" i="153"/>
  <c r="AW16" i="153"/>
  <c r="AV16" i="153"/>
  <c r="AU16" i="153"/>
  <c r="AT16" i="153"/>
  <c r="AS16" i="153"/>
  <c r="AR16" i="153"/>
  <c r="AQ16" i="153"/>
  <c r="AP16" i="153"/>
  <c r="AO16" i="153"/>
  <c r="AN16" i="153"/>
  <c r="AM16" i="153"/>
  <c r="AL16" i="153"/>
  <c r="AK16" i="153"/>
  <c r="AJ16" i="153"/>
  <c r="AI16" i="153"/>
  <c r="AH16" i="153"/>
  <c r="AG16" i="153"/>
  <c r="AF16" i="153"/>
  <c r="AE16" i="153"/>
  <c r="N16" i="153"/>
  <c r="M16" i="153"/>
  <c r="BE15" i="153"/>
  <c r="BD15" i="153"/>
  <c r="BC15" i="153"/>
  <c r="BB15" i="153"/>
  <c r="BA15" i="153"/>
  <c r="AZ15" i="153"/>
  <c r="AY15" i="153"/>
  <c r="AX15" i="153"/>
  <c r="AW15" i="153"/>
  <c r="AV15" i="153"/>
  <c r="AU15" i="153"/>
  <c r="AT15" i="153"/>
  <c r="AS15" i="153"/>
  <c r="AR15" i="153"/>
  <c r="AQ15" i="153"/>
  <c r="AP15" i="153"/>
  <c r="AO15" i="153"/>
  <c r="AN15" i="153"/>
  <c r="AM15" i="153"/>
  <c r="AL15" i="153"/>
  <c r="AK15" i="153"/>
  <c r="AJ15" i="153"/>
  <c r="AI15" i="153"/>
  <c r="AH15" i="153"/>
  <c r="AG15" i="153"/>
  <c r="AF15" i="153"/>
  <c r="AE15" i="153"/>
  <c r="N15" i="153"/>
  <c r="M15" i="153"/>
  <c r="BE14" i="153"/>
  <c r="BD14" i="153"/>
  <c r="BC14" i="153"/>
  <c r="BB14" i="153"/>
  <c r="BA14" i="153"/>
  <c r="AZ14" i="153"/>
  <c r="AY14" i="153"/>
  <c r="AX14" i="153"/>
  <c r="AW14" i="153"/>
  <c r="AV14" i="153"/>
  <c r="AU14" i="153"/>
  <c r="AT14" i="153"/>
  <c r="AS14" i="153"/>
  <c r="AR14" i="153"/>
  <c r="AQ14" i="153"/>
  <c r="AP14" i="153"/>
  <c r="AO14" i="153"/>
  <c r="AN14" i="153"/>
  <c r="AM14" i="153"/>
  <c r="AL14" i="153"/>
  <c r="AK14" i="153"/>
  <c r="AJ14" i="153"/>
  <c r="AI14" i="153"/>
  <c r="AH14" i="153"/>
  <c r="AG14" i="153"/>
  <c r="AF14" i="153"/>
  <c r="AE14" i="153"/>
  <c r="N14" i="153"/>
  <c r="M14" i="153"/>
  <c r="BE13" i="153"/>
  <c r="BD13" i="153"/>
  <c r="BC13" i="153"/>
  <c r="BB13" i="153"/>
  <c r="BA13" i="153"/>
  <c r="AZ13" i="153"/>
  <c r="AY13" i="153"/>
  <c r="AX13" i="153"/>
  <c r="AW13" i="153"/>
  <c r="AV13" i="153"/>
  <c r="AU13" i="153"/>
  <c r="AT13" i="153"/>
  <c r="AS13" i="153"/>
  <c r="AR13" i="153"/>
  <c r="AQ13" i="153"/>
  <c r="AP13" i="153"/>
  <c r="AO13" i="153"/>
  <c r="AN13" i="153"/>
  <c r="AM13" i="153"/>
  <c r="AL13" i="153"/>
  <c r="AK13" i="153"/>
  <c r="AJ13" i="153"/>
  <c r="AI13" i="153"/>
  <c r="AH13" i="153"/>
  <c r="AG13" i="153"/>
  <c r="AF13" i="153"/>
  <c r="AE13" i="153"/>
  <c r="N13" i="153"/>
  <c r="M13" i="153"/>
  <c r="BE12" i="153"/>
  <c r="BD12" i="153"/>
  <c r="BC12" i="153"/>
  <c r="BB12" i="153"/>
  <c r="BA12" i="153"/>
  <c r="AZ12" i="153"/>
  <c r="AY12" i="153"/>
  <c r="AX12" i="153"/>
  <c r="AW12" i="153"/>
  <c r="AV12" i="153"/>
  <c r="AU12" i="153"/>
  <c r="AT12" i="153"/>
  <c r="AS12" i="153"/>
  <c r="AR12" i="153"/>
  <c r="AQ12" i="153"/>
  <c r="AP12" i="153"/>
  <c r="AO12" i="153"/>
  <c r="AN12" i="153"/>
  <c r="AM12" i="153"/>
  <c r="AL12" i="153"/>
  <c r="AK12" i="153"/>
  <c r="AJ12" i="153"/>
  <c r="AI12" i="153"/>
  <c r="AH12" i="153"/>
  <c r="AG12" i="153"/>
  <c r="AF12" i="153"/>
  <c r="AE12" i="153"/>
  <c r="N12" i="153"/>
  <c r="M12" i="153"/>
  <c r="BE11" i="153"/>
  <c r="BD11" i="153"/>
  <c r="BC11" i="153"/>
  <c r="BB11" i="153"/>
  <c r="BA11" i="153"/>
  <c r="AZ11" i="153"/>
  <c r="AY11" i="153"/>
  <c r="AX11" i="153"/>
  <c r="AW11" i="153"/>
  <c r="AV11" i="153"/>
  <c r="AU11" i="153"/>
  <c r="AT11" i="153"/>
  <c r="AS11" i="153"/>
  <c r="AR11" i="153"/>
  <c r="AQ11" i="153"/>
  <c r="AP11" i="153"/>
  <c r="AO11" i="153"/>
  <c r="AN11" i="153"/>
  <c r="AM11" i="153"/>
  <c r="AL11" i="153"/>
  <c r="AK11" i="153"/>
  <c r="AJ11" i="153"/>
  <c r="AI11" i="153"/>
  <c r="AH11" i="153"/>
  <c r="AG11" i="153"/>
  <c r="AF11" i="153"/>
  <c r="AE11" i="153"/>
  <c r="N11" i="153"/>
  <c r="M11" i="153"/>
  <c r="BE10" i="153"/>
  <c r="BD10" i="153"/>
  <c r="BC10" i="153"/>
  <c r="BB10" i="153"/>
  <c r="BA10" i="153"/>
  <c r="AZ10" i="153"/>
  <c r="AY10" i="153"/>
  <c r="AX10" i="153"/>
  <c r="AW10" i="153"/>
  <c r="AV10" i="153"/>
  <c r="AU10" i="153"/>
  <c r="AT10" i="153"/>
  <c r="AS10" i="153"/>
  <c r="AR10" i="153"/>
  <c r="AQ10" i="153"/>
  <c r="AP10" i="153"/>
  <c r="AO10" i="153"/>
  <c r="AN10" i="153"/>
  <c r="AM10" i="153"/>
  <c r="AL10" i="153"/>
  <c r="AK10" i="153"/>
  <c r="AJ10" i="153"/>
  <c r="AI10" i="153"/>
  <c r="AH10" i="153"/>
  <c r="AG10" i="153"/>
  <c r="AF10" i="153"/>
  <c r="AE10" i="153"/>
  <c r="N10" i="153"/>
  <c r="M10" i="153"/>
  <c r="BE9" i="153"/>
  <c r="BD9" i="153"/>
  <c r="BC9" i="153"/>
  <c r="BB9" i="153"/>
  <c r="BA9" i="153"/>
  <c r="AZ9" i="153"/>
  <c r="AY9" i="153"/>
  <c r="AX9" i="153"/>
  <c r="AW9" i="153"/>
  <c r="AV9" i="153"/>
  <c r="AU9" i="153"/>
  <c r="AT9" i="153"/>
  <c r="AS9" i="153"/>
  <c r="AR9" i="153"/>
  <c r="AQ9" i="153"/>
  <c r="AP9" i="153"/>
  <c r="AO9" i="153"/>
  <c r="AN9" i="153"/>
  <c r="AM9" i="153"/>
  <c r="AL9" i="153"/>
  <c r="AK9" i="153"/>
  <c r="AJ9" i="153"/>
  <c r="AI9" i="153"/>
  <c r="AH9" i="153"/>
  <c r="AG9" i="153"/>
  <c r="AF9" i="153"/>
  <c r="AE9" i="153"/>
  <c r="N9" i="153"/>
  <c r="M9" i="153"/>
  <c r="BE8" i="153"/>
  <c r="BD8" i="153"/>
  <c r="BC8" i="153"/>
  <c r="BB8" i="153"/>
  <c r="BA8" i="153"/>
  <c r="AZ8" i="153"/>
  <c r="AY8" i="153"/>
  <c r="AX8" i="153"/>
  <c r="AW8" i="153"/>
  <c r="AV8" i="153"/>
  <c r="AU8" i="153"/>
  <c r="AT8" i="153"/>
  <c r="AS8" i="153"/>
  <c r="AR8" i="153"/>
  <c r="AQ8" i="153"/>
  <c r="AP8" i="153"/>
  <c r="AO8" i="153"/>
  <c r="AN8" i="153"/>
  <c r="AM8" i="153"/>
  <c r="AL8" i="153"/>
  <c r="AK8" i="153"/>
  <c r="AJ8" i="153"/>
  <c r="AI8" i="153"/>
  <c r="AH8" i="153"/>
  <c r="AG8" i="153"/>
  <c r="AF8" i="153"/>
  <c r="AE8" i="153"/>
  <c r="N8" i="153"/>
  <c r="M8" i="153"/>
  <c r="BE7" i="153"/>
  <c r="BD7" i="153"/>
  <c r="BC7" i="153"/>
  <c r="BB7" i="153"/>
  <c r="BA7" i="153"/>
  <c r="AZ7" i="153"/>
  <c r="AY7" i="153"/>
  <c r="AX7" i="153"/>
  <c r="AW7" i="153"/>
  <c r="AV7" i="153"/>
  <c r="AU7" i="153"/>
  <c r="AT7" i="153"/>
  <c r="AS7" i="153"/>
  <c r="AR7" i="153"/>
  <c r="AQ7" i="153"/>
  <c r="AP7" i="153"/>
  <c r="AO7" i="153"/>
  <c r="AN7" i="153"/>
  <c r="AM7" i="153"/>
  <c r="AL7" i="153"/>
  <c r="AK7" i="153"/>
  <c r="AJ7" i="153"/>
  <c r="AI7" i="153"/>
  <c r="AH7" i="153"/>
  <c r="AG7" i="153"/>
  <c r="AF7" i="153"/>
  <c r="AE7" i="153"/>
  <c r="N7" i="153"/>
  <c r="M7" i="153"/>
  <c r="BE6" i="153"/>
  <c r="BD6" i="153"/>
  <c r="BC6" i="153"/>
  <c r="BB6" i="153"/>
  <c r="BA6" i="153"/>
  <c r="AZ6" i="153"/>
  <c r="AY6" i="153"/>
  <c r="AX6" i="153"/>
  <c r="AW6" i="153"/>
  <c r="AV6" i="153"/>
  <c r="AU6" i="153"/>
  <c r="AT6" i="153"/>
  <c r="AS6" i="153"/>
  <c r="AR6" i="153"/>
  <c r="AQ6" i="153"/>
  <c r="AP6" i="153"/>
  <c r="AO6" i="153"/>
  <c r="AN6" i="153"/>
  <c r="AM6" i="153"/>
  <c r="AL6" i="153"/>
  <c r="AK6" i="153"/>
  <c r="AJ6" i="153"/>
  <c r="AI6" i="153"/>
  <c r="AH6" i="153"/>
  <c r="AG6" i="153"/>
  <c r="AF6" i="153"/>
  <c r="AE6" i="153"/>
  <c r="N6" i="153"/>
  <c r="M6" i="153"/>
  <c r="BE5" i="153"/>
  <c r="BD5" i="153"/>
  <c r="BC5" i="153"/>
  <c r="BB5" i="153"/>
  <c r="BA5" i="153"/>
  <c r="AZ5" i="153"/>
  <c r="AY5" i="153"/>
  <c r="AX5" i="153"/>
  <c r="AW5" i="153"/>
  <c r="AV5" i="153"/>
  <c r="AU5" i="153"/>
  <c r="AT5" i="153"/>
  <c r="AS5" i="153"/>
  <c r="AR5" i="153"/>
  <c r="AQ5" i="153"/>
  <c r="AP5" i="153"/>
  <c r="AO5" i="153"/>
  <c r="AN5" i="153"/>
  <c r="AM5" i="153"/>
  <c r="AL5" i="153"/>
  <c r="AK5" i="153"/>
  <c r="AJ5" i="153"/>
  <c r="AI5" i="153"/>
  <c r="AH5" i="153"/>
  <c r="AG5" i="153"/>
  <c r="AF5" i="153"/>
  <c r="AE5" i="153"/>
  <c r="N5" i="153"/>
  <c r="M5" i="153"/>
  <c r="BE4" i="153"/>
  <c r="BD4" i="153"/>
  <c r="BC4" i="153"/>
  <c r="BB4" i="153"/>
  <c r="BA4" i="153"/>
  <c r="AZ4" i="153"/>
  <c r="AY4" i="153"/>
  <c r="AX4" i="153"/>
  <c r="AW4" i="153"/>
  <c r="AV4" i="153"/>
  <c r="AU4" i="153"/>
  <c r="AT4" i="153"/>
  <c r="AS4" i="153"/>
  <c r="AR4" i="153"/>
  <c r="AQ4" i="153"/>
  <c r="AP4" i="153"/>
  <c r="AO4" i="153"/>
  <c r="AN4" i="153"/>
  <c r="AM4" i="153"/>
  <c r="AL4" i="153"/>
  <c r="AK4" i="153"/>
  <c r="AJ4" i="153"/>
  <c r="AI4" i="153"/>
  <c r="AH4" i="153"/>
  <c r="AG4" i="153"/>
  <c r="AF4" i="153"/>
  <c r="AE4" i="153"/>
  <c r="N4" i="153"/>
  <c r="M4" i="153"/>
  <c r="BE3" i="153"/>
  <c r="BD3" i="153"/>
  <c r="BC3" i="153"/>
  <c r="BB3" i="153"/>
  <c r="BA3" i="153"/>
  <c r="AZ3" i="153"/>
  <c r="AY3" i="153"/>
  <c r="AX3" i="153"/>
  <c r="AW3" i="153"/>
  <c r="AV3" i="153"/>
  <c r="AU3" i="153"/>
  <c r="AT3" i="153"/>
  <c r="AS3" i="153"/>
  <c r="AR3" i="153"/>
  <c r="AQ3" i="153"/>
  <c r="AP3" i="153"/>
  <c r="AO3" i="153"/>
  <c r="AN3" i="153"/>
  <c r="AM3" i="153"/>
  <c r="AL3" i="153"/>
  <c r="AK3" i="153"/>
  <c r="AJ3" i="153"/>
  <c r="AI3" i="153"/>
  <c r="AH3" i="153"/>
  <c r="AG3" i="153"/>
  <c r="AF3" i="153"/>
  <c r="AE3" i="153"/>
  <c r="AC3" i="153"/>
  <c r="AB3" i="153"/>
  <c r="AA3" i="153"/>
  <c r="Z3" i="153"/>
  <c r="Y3" i="153"/>
  <c r="X3" i="153"/>
  <c r="W3" i="153"/>
  <c r="V3" i="153"/>
  <c r="U3" i="153"/>
  <c r="T3" i="153"/>
  <c r="S3" i="153"/>
  <c r="R3" i="153"/>
  <c r="B11" i="153" s="1"/>
  <c r="N3" i="153"/>
  <c r="M3" i="153"/>
  <c r="BE2" i="153"/>
  <c r="BD2" i="153"/>
  <c r="BC2" i="153"/>
  <c r="BB2" i="153"/>
  <c r="BA2" i="153"/>
  <c r="AZ2" i="153"/>
  <c r="AY2" i="153"/>
  <c r="AX2" i="153"/>
  <c r="AW2" i="153"/>
  <c r="AV2" i="153"/>
  <c r="AU2" i="153"/>
  <c r="AT2" i="153"/>
  <c r="AS2" i="153"/>
  <c r="AR2" i="153"/>
  <c r="AQ2" i="153"/>
  <c r="AP2" i="153"/>
  <c r="AO2" i="153"/>
  <c r="AN2" i="153"/>
  <c r="AM2" i="153"/>
  <c r="AL2" i="153"/>
  <c r="AK2" i="153"/>
  <c r="AJ2" i="153"/>
  <c r="AI2" i="153"/>
  <c r="AH2" i="153"/>
  <c r="AG2" i="153"/>
  <c r="AF2" i="153"/>
  <c r="AE2" i="153"/>
  <c r="N2" i="153"/>
  <c r="M2" i="153"/>
  <c r="A2" i="153"/>
  <c r="BE1" i="153"/>
  <c r="BD1" i="153"/>
  <c r="BC1" i="153"/>
  <c r="BB1" i="153"/>
  <c r="BA1" i="153"/>
  <c r="AZ1" i="153"/>
  <c r="AY1" i="153"/>
  <c r="AX1" i="153"/>
  <c r="AW1" i="153"/>
  <c r="AV1" i="153"/>
  <c r="AU1" i="153"/>
  <c r="AT1" i="153"/>
  <c r="AS1" i="153"/>
  <c r="AR1" i="153"/>
  <c r="AQ1" i="153"/>
  <c r="AP1" i="153"/>
  <c r="AO1" i="153"/>
  <c r="AN1" i="153"/>
  <c r="AM1" i="153"/>
  <c r="AL1" i="153"/>
  <c r="AK1" i="153"/>
  <c r="AJ1" i="153"/>
  <c r="AI1" i="153"/>
  <c r="AH1" i="153"/>
  <c r="AG1" i="153"/>
  <c r="AF1" i="153"/>
  <c r="Q1" i="153"/>
  <c r="P1" i="153"/>
  <c r="N1" i="153"/>
  <c r="M1" i="153"/>
  <c r="C7" i="153" l="1"/>
  <c r="G7" i="153" s="1"/>
  <c r="H7" i="153"/>
  <c r="C8" i="153"/>
  <c r="G8" i="153" s="1"/>
  <c r="H8" i="153"/>
  <c r="E12" i="153"/>
  <c r="C10" i="153"/>
  <c r="G10" i="153" s="1"/>
  <c r="H10" i="153"/>
  <c r="E14" i="153"/>
  <c r="C9" i="153"/>
  <c r="G9" i="153" s="1"/>
  <c r="H9" i="153"/>
  <c r="E13" i="153"/>
  <c r="F20" i="151"/>
  <c r="A53" i="151"/>
  <c r="A52" i="151"/>
  <c r="A51" i="151"/>
  <c r="A50" i="151"/>
  <c r="A49" i="151"/>
  <c r="A48" i="151"/>
  <c r="A47" i="151"/>
  <c r="A46" i="151"/>
  <c r="A45" i="151"/>
  <c r="A44" i="151"/>
  <c r="A43" i="151"/>
  <c r="A42" i="151"/>
  <c r="A41" i="151"/>
  <c r="A40" i="151"/>
  <c r="A39" i="151"/>
  <c r="A38" i="151"/>
  <c r="A37" i="151"/>
  <c r="A36" i="151"/>
  <c r="A35" i="151"/>
  <c r="A34" i="151"/>
  <c r="A33" i="151"/>
  <c r="A32" i="151"/>
  <c r="A31" i="151"/>
  <c r="A30" i="151"/>
  <c r="A29" i="151"/>
  <c r="A28" i="151"/>
  <c r="A27" i="151"/>
  <c r="A26" i="151"/>
  <c r="A25" i="151"/>
  <c r="A24" i="151"/>
  <c r="A23" i="151"/>
  <c r="A22" i="151"/>
  <c r="A21" i="151"/>
  <c r="A20" i="151"/>
  <c r="A19" i="151"/>
  <c r="A18" i="151"/>
  <c r="A17" i="151"/>
  <c r="A16" i="151"/>
  <c r="A15" i="151"/>
  <c r="A14" i="151"/>
  <c r="A13" i="151"/>
  <c r="A12" i="151"/>
  <c r="A11" i="151"/>
  <c r="A10" i="151"/>
  <c r="A9" i="151"/>
  <c r="A8" i="151"/>
  <c r="A7" i="151"/>
  <c r="A6" i="151"/>
  <c r="A5" i="151"/>
  <c r="A4" i="151"/>
  <c r="A3" i="151"/>
  <c r="A3" i="90"/>
  <c r="A4" i="90"/>
  <c r="A5" i="90"/>
  <c r="A6" i="90"/>
  <c r="A7" i="90"/>
  <c r="A8" i="90"/>
  <c r="A9" i="90"/>
  <c r="A10" i="90"/>
  <c r="A11" i="90"/>
  <c r="A12" i="90"/>
  <c r="A13" i="90"/>
  <c r="A14" i="90"/>
  <c r="A15" i="90"/>
  <c r="A16" i="90"/>
  <c r="A17" i="90"/>
  <c r="A18" i="90"/>
  <c r="A19" i="90"/>
  <c r="A20" i="90"/>
  <c r="A21" i="90"/>
  <c r="A22" i="90"/>
  <c r="A23" i="90"/>
  <c r="A24" i="90"/>
  <c r="A25" i="90"/>
  <c r="A26" i="90"/>
  <c r="A27" i="90"/>
  <c r="A28" i="90"/>
  <c r="A29" i="90"/>
  <c r="A30" i="90"/>
  <c r="A31" i="90"/>
  <c r="A32" i="90"/>
  <c r="A33" i="90"/>
  <c r="A34" i="90"/>
  <c r="A35" i="90"/>
  <c r="A36" i="90"/>
  <c r="A37" i="90"/>
  <c r="A38" i="90"/>
  <c r="A39" i="90"/>
  <c r="A40" i="90"/>
  <c r="A41" i="90"/>
  <c r="A42" i="90"/>
  <c r="A43" i="90"/>
  <c r="A44" i="90"/>
  <c r="A45" i="90"/>
  <c r="A46" i="90"/>
  <c r="A47" i="90"/>
  <c r="A48" i="90"/>
  <c r="A49" i="90"/>
  <c r="A50" i="90"/>
  <c r="A51" i="90"/>
  <c r="A52" i="90"/>
  <c r="A53" i="90"/>
  <c r="I8" i="153"/>
  <c r="I9" i="153"/>
  <c r="I7" i="153"/>
  <c r="I10" i="153"/>
  <c r="E11" i="153" l="1"/>
  <c r="E10" i="153"/>
  <c r="B10" i="153" s="1"/>
  <c r="E9" i="153"/>
  <c r="B9" i="153" s="1"/>
  <c r="E7" i="153"/>
  <c r="B7" i="153" s="1"/>
  <c r="E8" i="153"/>
  <c r="B8" i="153" s="1"/>
  <c r="K56" i="130"/>
  <c r="J56" i="130"/>
  <c r="K55" i="130"/>
  <c r="J55" i="130"/>
  <c r="K54" i="130"/>
  <c r="J54" i="130"/>
  <c r="F54" i="130"/>
  <c r="K53" i="130"/>
  <c r="J53" i="130"/>
  <c r="F53" i="130"/>
  <c r="K52" i="130"/>
  <c r="J52" i="130"/>
  <c r="K51" i="130"/>
  <c r="J51" i="130"/>
  <c r="A50" i="130"/>
  <c r="K56" i="129"/>
  <c r="J56" i="129"/>
  <c r="K55" i="129"/>
  <c r="J55" i="129"/>
  <c r="K54" i="129"/>
  <c r="J54" i="129"/>
  <c r="F54" i="129"/>
  <c r="K53" i="129"/>
  <c r="J53" i="129"/>
  <c r="F52" i="130" l="1"/>
  <c r="F51" i="130"/>
  <c r="E4" i="153"/>
  <c r="E3" i="153"/>
  <c r="F53" i="129"/>
  <c r="K52" i="129"/>
  <c r="J52" i="129"/>
  <c r="E5" i="153" l="1"/>
  <c r="E6" i="153"/>
  <c r="F52" i="129"/>
  <c r="K51" i="129"/>
  <c r="J51" i="129"/>
  <c r="F51" i="129" l="1"/>
  <c r="A50" i="129"/>
  <c r="K56" i="116" l="1"/>
  <c r="J56" i="116"/>
  <c r="K55" i="116"/>
  <c r="J55" i="116"/>
  <c r="K54" i="116"/>
  <c r="J54" i="116"/>
  <c r="F54" i="116"/>
  <c r="K53" i="116"/>
  <c r="J53" i="116"/>
  <c r="F53" i="116"/>
  <c r="K52" i="116"/>
  <c r="J52" i="116"/>
  <c r="K51" i="116"/>
  <c r="J51" i="116"/>
  <c r="A50" i="116"/>
  <c r="K53" i="126"/>
  <c r="J53" i="126"/>
  <c r="K52" i="126"/>
  <c r="J52" i="126"/>
  <c r="K51" i="126"/>
  <c r="J51" i="126"/>
  <c r="F52" i="126"/>
  <c r="A50" i="126"/>
  <c r="F52" i="116" l="1"/>
  <c r="F51" i="126"/>
  <c r="F51" i="116"/>
  <c r="E59" i="124"/>
  <c r="E58" i="124"/>
  <c r="E57" i="124"/>
  <c r="K56" i="124"/>
  <c r="J56" i="124"/>
  <c r="F56" i="124"/>
  <c r="K55" i="124"/>
  <c r="J55" i="124"/>
  <c r="F55" i="124"/>
  <c r="K54" i="124"/>
  <c r="J54" i="124"/>
  <c r="F54" i="124"/>
  <c r="K53" i="124"/>
  <c r="J53" i="124"/>
  <c r="K52" i="124"/>
  <c r="J52" i="124"/>
  <c r="K51" i="124"/>
  <c r="J51" i="124"/>
  <c r="K59" i="125"/>
  <c r="J59" i="125"/>
  <c r="K58" i="125"/>
  <c r="J58" i="125"/>
  <c r="K57" i="125"/>
  <c r="J57" i="125"/>
  <c r="K56" i="125"/>
  <c r="J56" i="125"/>
  <c r="F56" i="125"/>
  <c r="K55" i="125"/>
  <c r="J55" i="125"/>
  <c r="F55" i="125"/>
  <c r="K54" i="125"/>
  <c r="J54" i="125"/>
  <c r="F54" i="125"/>
  <c r="K53" i="125"/>
  <c r="J53" i="125"/>
  <c r="K52" i="125"/>
  <c r="J52" i="125"/>
  <c r="K51" i="125"/>
  <c r="J51" i="125"/>
  <c r="A50" i="125"/>
  <c r="N41" i="125"/>
  <c r="M41" i="125"/>
  <c r="N40" i="125"/>
  <c r="M40" i="125"/>
  <c r="N39" i="125"/>
  <c r="M39" i="125"/>
  <c r="N38" i="125"/>
  <c r="M38" i="125"/>
  <c r="N37" i="125"/>
  <c r="M37" i="125"/>
  <c r="N36" i="125"/>
  <c r="M36" i="125"/>
  <c r="N35" i="125"/>
  <c r="M35" i="125"/>
  <c r="N34" i="125"/>
  <c r="M34" i="125"/>
  <c r="BE33" i="125"/>
  <c r="BD33" i="125"/>
  <c r="BC33" i="125"/>
  <c r="BB33" i="125"/>
  <c r="BA33" i="125"/>
  <c r="AZ33" i="125"/>
  <c r="AY33" i="125"/>
  <c r="AX33" i="125"/>
  <c r="AW33" i="125"/>
  <c r="AV33" i="125"/>
  <c r="AU33" i="125"/>
  <c r="AT33" i="125"/>
  <c r="AS33" i="125"/>
  <c r="AR33" i="125"/>
  <c r="AQ33" i="125"/>
  <c r="AP33" i="125"/>
  <c r="AO33" i="125"/>
  <c r="AN33" i="125"/>
  <c r="AM33" i="125"/>
  <c r="AL33" i="125"/>
  <c r="AK33" i="125"/>
  <c r="AJ33" i="125"/>
  <c r="AI33" i="125"/>
  <c r="AH33" i="125"/>
  <c r="AG33" i="125"/>
  <c r="AF33" i="125"/>
  <c r="AE33" i="125"/>
  <c r="N33" i="125"/>
  <c r="M33" i="125"/>
  <c r="BE32" i="125"/>
  <c r="BD32" i="125"/>
  <c r="BC32" i="125"/>
  <c r="BB32" i="125"/>
  <c r="BA32" i="125"/>
  <c r="AZ32" i="125"/>
  <c r="AY32" i="125"/>
  <c r="AX32" i="125"/>
  <c r="AW32" i="125"/>
  <c r="AV32" i="125"/>
  <c r="AU32" i="125"/>
  <c r="AT32" i="125"/>
  <c r="AS32" i="125"/>
  <c r="AR32" i="125"/>
  <c r="AQ32" i="125"/>
  <c r="AP32" i="125"/>
  <c r="AO32" i="125"/>
  <c r="AN32" i="125"/>
  <c r="AM32" i="125"/>
  <c r="AL32" i="125"/>
  <c r="AK32" i="125"/>
  <c r="AJ32" i="125"/>
  <c r="AI32" i="125"/>
  <c r="AH32" i="125"/>
  <c r="AG32" i="125"/>
  <c r="AF32" i="125"/>
  <c r="AE32" i="125"/>
  <c r="N32" i="125"/>
  <c r="M32" i="125"/>
  <c r="BE31" i="125"/>
  <c r="BD31" i="125"/>
  <c r="BC31" i="125"/>
  <c r="BB31" i="125"/>
  <c r="BA31" i="125"/>
  <c r="AZ31" i="125"/>
  <c r="AY31" i="125"/>
  <c r="AX31" i="125"/>
  <c r="AW31" i="125"/>
  <c r="AV31" i="125"/>
  <c r="AU31" i="125"/>
  <c r="AT31" i="125"/>
  <c r="AS31" i="125"/>
  <c r="AR31" i="125"/>
  <c r="AQ31" i="125"/>
  <c r="AP31" i="125"/>
  <c r="AO31" i="125"/>
  <c r="AN31" i="125"/>
  <c r="AM31" i="125"/>
  <c r="AL31" i="125"/>
  <c r="AK31" i="125"/>
  <c r="AJ31" i="125"/>
  <c r="AI31" i="125"/>
  <c r="AH31" i="125"/>
  <c r="AG31" i="125"/>
  <c r="AF31" i="125"/>
  <c r="AE31" i="125"/>
  <c r="N31" i="125"/>
  <c r="M31" i="125"/>
  <c r="BE30" i="125"/>
  <c r="BD30" i="125"/>
  <c r="BC30" i="125"/>
  <c r="BB30" i="125"/>
  <c r="BA30" i="125"/>
  <c r="AZ30" i="125"/>
  <c r="AY30" i="125"/>
  <c r="AX30" i="125"/>
  <c r="AW30" i="125"/>
  <c r="AV30" i="125"/>
  <c r="AU30" i="125"/>
  <c r="AT30" i="125"/>
  <c r="AS30" i="125"/>
  <c r="AR30" i="125"/>
  <c r="AQ30" i="125"/>
  <c r="AP30" i="125"/>
  <c r="AO30" i="125"/>
  <c r="AN30" i="125"/>
  <c r="AM30" i="125"/>
  <c r="AL30" i="125"/>
  <c r="AK30" i="125"/>
  <c r="AJ30" i="125"/>
  <c r="AI30" i="125"/>
  <c r="AH30" i="125"/>
  <c r="AG30" i="125"/>
  <c r="AF30" i="125"/>
  <c r="AE30" i="125"/>
  <c r="N30" i="125"/>
  <c r="M30" i="125"/>
  <c r="BE29" i="125"/>
  <c r="BD29" i="125"/>
  <c r="BC29" i="125"/>
  <c r="BB29" i="125"/>
  <c r="BA29" i="125"/>
  <c r="AZ29" i="125"/>
  <c r="AY29" i="125"/>
  <c r="AX29" i="125"/>
  <c r="AW29" i="125"/>
  <c r="AV29" i="125"/>
  <c r="AU29" i="125"/>
  <c r="AT29" i="125"/>
  <c r="AS29" i="125"/>
  <c r="AR29" i="125"/>
  <c r="AQ29" i="125"/>
  <c r="AP29" i="125"/>
  <c r="AO29" i="125"/>
  <c r="AN29" i="125"/>
  <c r="AM29" i="125"/>
  <c r="AL29" i="125"/>
  <c r="AK29" i="125"/>
  <c r="AJ29" i="125"/>
  <c r="AI29" i="125"/>
  <c r="AH29" i="125"/>
  <c r="AG29" i="125"/>
  <c r="AF29" i="125"/>
  <c r="AE29" i="125"/>
  <c r="N29" i="125"/>
  <c r="M29" i="125"/>
  <c r="BE28" i="125"/>
  <c r="BD28" i="125"/>
  <c r="BC28" i="125"/>
  <c r="BB28" i="125"/>
  <c r="BA28" i="125"/>
  <c r="AZ28" i="125"/>
  <c r="AY28" i="125"/>
  <c r="AX28" i="125"/>
  <c r="AW28" i="125"/>
  <c r="AV28" i="125"/>
  <c r="AU28" i="125"/>
  <c r="AT28" i="125"/>
  <c r="AS28" i="125"/>
  <c r="AR28" i="125"/>
  <c r="AQ28" i="125"/>
  <c r="AP28" i="125"/>
  <c r="AO28" i="125"/>
  <c r="AN28" i="125"/>
  <c r="AM28" i="125"/>
  <c r="AL28" i="125"/>
  <c r="AK28" i="125"/>
  <c r="AJ28" i="125"/>
  <c r="AI28" i="125"/>
  <c r="AH28" i="125"/>
  <c r="AG28" i="125"/>
  <c r="AF28" i="125"/>
  <c r="AE28" i="125"/>
  <c r="N28" i="125"/>
  <c r="M28" i="125"/>
  <c r="BE27" i="125"/>
  <c r="BD27" i="125"/>
  <c r="BC27" i="125"/>
  <c r="BB27" i="125"/>
  <c r="BA27" i="125"/>
  <c r="AZ27" i="125"/>
  <c r="AY27" i="125"/>
  <c r="AX27" i="125"/>
  <c r="AW27" i="125"/>
  <c r="AV27" i="125"/>
  <c r="AU27" i="125"/>
  <c r="AT27" i="125"/>
  <c r="AS27" i="125"/>
  <c r="AR27" i="125"/>
  <c r="AQ27" i="125"/>
  <c r="AP27" i="125"/>
  <c r="AO27" i="125"/>
  <c r="AN27" i="125"/>
  <c r="AM27" i="125"/>
  <c r="AL27" i="125"/>
  <c r="AK27" i="125"/>
  <c r="AJ27" i="125"/>
  <c r="AI27" i="125"/>
  <c r="AH27" i="125"/>
  <c r="AG27" i="125"/>
  <c r="AF27" i="125"/>
  <c r="AE27" i="125"/>
  <c r="N27" i="125"/>
  <c r="M27" i="125"/>
  <c r="BE26" i="125"/>
  <c r="BD26" i="125"/>
  <c r="BC26" i="125"/>
  <c r="BB26" i="125"/>
  <c r="BA26" i="125"/>
  <c r="AZ26" i="125"/>
  <c r="AY26" i="125"/>
  <c r="AX26" i="125"/>
  <c r="AW26" i="125"/>
  <c r="AV26" i="125"/>
  <c r="AU26" i="125"/>
  <c r="AT26" i="125"/>
  <c r="AS26" i="125"/>
  <c r="AR26" i="125"/>
  <c r="AQ26" i="125"/>
  <c r="AP26" i="125"/>
  <c r="AO26" i="125"/>
  <c r="AN26" i="125"/>
  <c r="AM26" i="125"/>
  <c r="AL26" i="125"/>
  <c r="AK26" i="125"/>
  <c r="AJ26" i="125"/>
  <c r="AI26" i="125"/>
  <c r="AH26" i="125"/>
  <c r="AG26" i="125"/>
  <c r="AF26" i="125"/>
  <c r="AE26" i="125"/>
  <c r="N26" i="125"/>
  <c r="M26" i="125"/>
  <c r="BE25" i="125"/>
  <c r="BD25" i="125"/>
  <c r="BC25" i="125"/>
  <c r="BB25" i="125"/>
  <c r="BA25" i="125"/>
  <c r="AZ25" i="125"/>
  <c r="AY25" i="125"/>
  <c r="AX25" i="125"/>
  <c r="AW25" i="125"/>
  <c r="AV25" i="125"/>
  <c r="AU25" i="125"/>
  <c r="AT25" i="125"/>
  <c r="AS25" i="125"/>
  <c r="AR25" i="125"/>
  <c r="AQ25" i="125"/>
  <c r="AP25" i="125"/>
  <c r="AO25" i="125"/>
  <c r="AN25" i="125"/>
  <c r="AM25" i="125"/>
  <c r="AL25" i="125"/>
  <c r="AK25" i="125"/>
  <c r="AJ25" i="125"/>
  <c r="AI25" i="125"/>
  <c r="AH25" i="125"/>
  <c r="AG25" i="125"/>
  <c r="AF25" i="125"/>
  <c r="AE25" i="125"/>
  <c r="N25" i="125"/>
  <c r="M25" i="125"/>
  <c r="BE24" i="125"/>
  <c r="BD24" i="125"/>
  <c r="BC24" i="125"/>
  <c r="BB24" i="125"/>
  <c r="BA24" i="125"/>
  <c r="AZ24" i="125"/>
  <c r="AY24" i="125"/>
  <c r="AX24" i="125"/>
  <c r="AW24" i="125"/>
  <c r="AV24" i="125"/>
  <c r="AU24" i="125"/>
  <c r="AT24" i="125"/>
  <c r="AS24" i="125"/>
  <c r="AR24" i="125"/>
  <c r="AQ24" i="125"/>
  <c r="AP24" i="125"/>
  <c r="AO24" i="125"/>
  <c r="AN24" i="125"/>
  <c r="AM24" i="125"/>
  <c r="AL24" i="125"/>
  <c r="AK24" i="125"/>
  <c r="AJ24" i="125"/>
  <c r="AI24" i="125"/>
  <c r="AH24" i="125"/>
  <c r="AG24" i="125"/>
  <c r="AF24" i="125"/>
  <c r="AE24" i="125"/>
  <c r="N24" i="125"/>
  <c r="M24" i="125"/>
  <c r="BE23" i="125"/>
  <c r="BD23" i="125"/>
  <c r="BC23" i="125"/>
  <c r="BB23" i="125"/>
  <c r="BA23" i="125"/>
  <c r="AZ23" i="125"/>
  <c r="AY23" i="125"/>
  <c r="AX23" i="125"/>
  <c r="AW23" i="125"/>
  <c r="AV23" i="125"/>
  <c r="AU23" i="125"/>
  <c r="AT23" i="125"/>
  <c r="AS23" i="125"/>
  <c r="AR23" i="125"/>
  <c r="AQ23" i="125"/>
  <c r="AP23" i="125"/>
  <c r="AO23" i="125"/>
  <c r="AN23" i="125"/>
  <c r="AM23" i="125"/>
  <c r="AL23" i="125"/>
  <c r="AK23" i="125"/>
  <c r="AJ23" i="125"/>
  <c r="AI23" i="125"/>
  <c r="AH23" i="125"/>
  <c r="AG23" i="125"/>
  <c r="AF23" i="125"/>
  <c r="AE23" i="125"/>
  <c r="N23" i="125"/>
  <c r="M23" i="125"/>
  <c r="BE22" i="125"/>
  <c r="BD22" i="125"/>
  <c r="BC22" i="125"/>
  <c r="BB22" i="125"/>
  <c r="BA22" i="125"/>
  <c r="AZ22" i="125"/>
  <c r="AY22" i="125"/>
  <c r="AX22" i="125"/>
  <c r="AW22" i="125"/>
  <c r="AV22" i="125"/>
  <c r="AU22" i="125"/>
  <c r="AT22" i="125"/>
  <c r="AS22" i="125"/>
  <c r="AR22" i="125"/>
  <c r="AQ22" i="125"/>
  <c r="AP22" i="125"/>
  <c r="AO22" i="125"/>
  <c r="AN22" i="125"/>
  <c r="AM22" i="125"/>
  <c r="AL22" i="125"/>
  <c r="AK22" i="125"/>
  <c r="AJ22" i="125"/>
  <c r="AI22" i="125"/>
  <c r="AH22" i="125"/>
  <c r="AG22" i="125"/>
  <c r="AF22" i="125"/>
  <c r="AE22" i="125"/>
  <c r="N22" i="125"/>
  <c r="M22" i="125"/>
  <c r="BE21" i="125"/>
  <c r="BD21" i="125"/>
  <c r="BC21" i="125"/>
  <c r="BB21" i="125"/>
  <c r="BA21" i="125"/>
  <c r="AZ21" i="125"/>
  <c r="AY21" i="125"/>
  <c r="AX21" i="125"/>
  <c r="AW21" i="125"/>
  <c r="AV21" i="125"/>
  <c r="AU21" i="125"/>
  <c r="AT21" i="125"/>
  <c r="AS21" i="125"/>
  <c r="AR21" i="125"/>
  <c r="AQ21" i="125"/>
  <c r="AP21" i="125"/>
  <c r="AO21" i="125"/>
  <c r="AN21" i="125"/>
  <c r="AM21" i="125"/>
  <c r="AL21" i="125"/>
  <c r="AK21" i="125"/>
  <c r="AJ21" i="125"/>
  <c r="AI21" i="125"/>
  <c r="AH21" i="125"/>
  <c r="AG21" i="125"/>
  <c r="AF21" i="125"/>
  <c r="AE21" i="125"/>
  <c r="N21" i="125"/>
  <c r="M21" i="125"/>
  <c r="BE20" i="125"/>
  <c r="BD20" i="125"/>
  <c r="BC20" i="125"/>
  <c r="BB20" i="125"/>
  <c r="BA20" i="125"/>
  <c r="AZ20" i="125"/>
  <c r="AY20" i="125"/>
  <c r="AX20" i="125"/>
  <c r="AW20" i="125"/>
  <c r="AV20" i="125"/>
  <c r="AU20" i="125"/>
  <c r="AT20" i="125"/>
  <c r="AS20" i="125"/>
  <c r="AR20" i="125"/>
  <c r="AQ20" i="125"/>
  <c r="AP20" i="125"/>
  <c r="AO20" i="125"/>
  <c r="AN20" i="125"/>
  <c r="AM20" i="125"/>
  <c r="AL20" i="125"/>
  <c r="AK20" i="125"/>
  <c r="AJ20" i="125"/>
  <c r="AI20" i="125"/>
  <c r="AH20" i="125"/>
  <c r="AG20" i="125"/>
  <c r="AF20" i="125"/>
  <c r="AE20" i="125"/>
  <c r="N20" i="125"/>
  <c r="M20" i="125"/>
  <c r="BE19" i="125"/>
  <c r="BD19" i="125"/>
  <c r="BC19" i="125"/>
  <c r="BB19" i="125"/>
  <c r="BA19" i="125"/>
  <c r="AZ19" i="125"/>
  <c r="AY19" i="125"/>
  <c r="AX19" i="125"/>
  <c r="AW19" i="125"/>
  <c r="AV19" i="125"/>
  <c r="AU19" i="125"/>
  <c r="AT19" i="125"/>
  <c r="AS19" i="125"/>
  <c r="AR19" i="125"/>
  <c r="AQ19" i="125"/>
  <c r="AP19" i="125"/>
  <c r="AO19" i="125"/>
  <c r="AN19" i="125"/>
  <c r="AM19" i="125"/>
  <c r="AL19" i="125"/>
  <c r="AK19" i="125"/>
  <c r="AJ19" i="125"/>
  <c r="AI19" i="125"/>
  <c r="AH19" i="125"/>
  <c r="AG19" i="125"/>
  <c r="AF19" i="125"/>
  <c r="AE19" i="125"/>
  <c r="N19" i="125"/>
  <c r="M19" i="125"/>
  <c r="BE18" i="125"/>
  <c r="BD18" i="125"/>
  <c r="BC18" i="125"/>
  <c r="BB18" i="125"/>
  <c r="BA18" i="125"/>
  <c r="AZ18" i="125"/>
  <c r="AY18" i="125"/>
  <c r="AX18" i="125"/>
  <c r="AW18" i="125"/>
  <c r="AV18" i="125"/>
  <c r="AU18" i="125"/>
  <c r="AT18" i="125"/>
  <c r="AS18" i="125"/>
  <c r="AR18" i="125"/>
  <c r="AQ18" i="125"/>
  <c r="AP18" i="125"/>
  <c r="AO18" i="125"/>
  <c r="AN18" i="125"/>
  <c r="AM18" i="125"/>
  <c r="AL18" i="125"/>
  <c r="AK18" i="125"/>
  <c r="AJ18" i="125"/>
  <c r="AI18" i="125"/>
  <c r="AH18" i="125"/>
  <c r="AG18" i="125"/>
  <c r="AF18" i="125"/>
  <c r="AE18" i="125"/>
  <c r="N18" i="125"/>
  <c r="M18" i="125"/>
  <c r="BE17" i="125"/>
  <c r="BD17" i="125"/>
  <c r="BC17" i="125"/>
  <c r="BB17" i="125"/>
  <c r="BA17" i="125"/>
  <c r="AZ17" i="125"/>
  <c r="AY17" i="125"/>
  <c r="AX17" i="125"/>
  <c r="AW17" i="125"/>
  <c r="AV17" i="125"/>
  <c r="AU17" i="125"/>
  <c r="AT17" i="125"/>
  <c r="AS17" i="125"/>
  <c r="AR17" i="125"/>
  <c r="AQ17" i="125"/>
  <c r="AP17" i="125"/>
  <c r="AO17" i="125"/>
  <c r="AN17" i="125"/>
  <c r="AM17" i="125"/>
  <c r="AL17" i="125"/>
  <c r="AK17" i="125"/>
  <c r="AJ17" i="125"/>
  <c r="AI17" i="125"/>
  <c r="AH17" i="125"/>
  <c r="AG17" i="125"/>
  <c r="AF17" i="125"/>
  <c r="AE17" i="125"/>
  <c r="N17" i="125"/>
  <c r="M17" i="125"/>
  <c r="BE16" i="125"/>
  <c r="BD16" i="125"/>
  <c r="BC16" i="125"/>
  <c r="BB16" i="125"/>
  <c r="BA16" i="125"/>
  <c r="AZ16" i="125"/>
  <c r="AY16" i="125"/>
  <c r="AX16" i="125"/>
  <c r="AW16" i="125"/>
  <c r="AV16" i="125"/>
  <c r="AU16" i="125"/>
  <c r="AT16" i="125"/>
  <c r="AS16" i="125"/>
  <c r="AR16" i="125"/>
  <c r="AQ16" i="125"/>
  <c r="AP16" i="125"/>
  <c r="AO16" i="125"/>
  <c r="AN16" i="125"/>
  <c r="AM16" i="125"/>
  <c r="AL16" i="125"/>
  <c r="AK16" i="125"/>
  <c r="AJ16" i="125"/>
  <c r="AI16" i="125"/>
  <c r="AH16" i="125"/>
  <c r="AG16" i="125"/>
  <c r="AF16" i="125"/>
  <c r="AE16" i="125"/>
  <c r="N16" i="125"/>
  <c r="M16" i="125"/>
  <c r="BE15" i="125"/>
  <c r="BD15" i="125"/>
  <c r="BC15" i="125"/>
  <c r="BB15" i="125"/>
  <c r="BA15" i="125"/>
  <c r="AZ15" i="125"/>
  <c r="AY15" i="125"/>
  <c r="AX15" i="125"/>
  <c r="AW15" i="125"/>
  <c r="AV15" i="125"/>
  <c r="AU15" i="125"/>
  <c r="AT15" i="125"/>
  <c r="AS15" i="125"/>
  <c r="AR15" i="125"/>
  <c r="AQ15" i="125"/>
  <c r="AP15" i="125"/>
  <c r="AO15" i="125"/>
  <c r="AN15" i="125"/>
  <c r="AM15" i="125"/>
  <c r="AL15" i="125"/>
  <c r="AK15" i="125"/>
  <c r="AJ15" i="125"/>
  <c r="AI15" i="125"/>
  <c r="AH15" i="125"/>
  <c r="AG15" i="125"/>
  <c r="AF15" i="125"/>
  <c r="AE15" i="125"/>
  <c r="N15" i="125"/>
  <c r="M15" i="125"/>
  <c r="BE14" i="125"/>
  <c r="BD14" i="125"/>
  <c r="BC14" i="125"/>
  <c r="BB14" i="125"/>
  <c r="BA14" i="125"/>
  <c r="AZ14" i="125"/>
  <c r="AY14" i="125"/>
  <c r="AX14" i="125"/>
  <c r="AW14" i="125"/>
  <c r="AV14" i="125"/>
  <c r="AU14" i="125"/>
  <c r="AT14" i="125"/>
  <c r="AS14" i="125"/>
  <c r="AR14" i="125"/>
  <c r="AQ14" i="125"/>
  <c r="AP14" i="125"/>
  <c r="AO14" i="125"/>
  <c r="AN14" i="125"/>
  <c r="AM14" i="125"/>
  <c r="AL14" i="125"/>
  <c r="AK14" i="125"/>
  <c r="AJ14" i="125"/>
  <c r="AI14" i="125"/>
  <c r="AH14" i="125"/>
  <c r="AG14" i="125"/>
  <c r="AF14" i="125"/>
  <c r="AE14" i="125"/>
  <c r="N14" i="125"/>
  <c r="M14" i="125"/>
  <c r="BE13" i="125"/>
  <c r="BD13" i="125"/>
  <c r="BC13" i="125"/>
  <c r="BB13" i="125"/>
  <c r="BA13" i="125"/>
  <c r="AZ13" i="125"/>
  <c r="AY13" i="125"/>
  <c r="AX13" i="125"/>
  <c r="AW13" i="125"/>
  <c r="AV13" i="125"/>
  <c r="AU13" i="125"/>
  <c r="AT13" i="125"/>
  <c r="AS13" i="125"/>
  <c r="AR13" i="125"/>
  <c r="AQ13" i="125"/>
  <c r="AP13" i="125"/>
  <c r="AO13" i="125"/>
  <c r="AN13" i="125"/>
  <c r="AM13" i="125"/>
  <c r="AL13" i="125"/>
  <c r="AK13" i="125"/>
  <c r="AJ13" i="125"/>
  <c r="AI13" i="125"/>
  <c r="AH13" i="125"/>
  <c r="AG13" i="125"/>
  <c r="AF13" i="125"/>
  <c r="AE13" i="125"/>
  <c r="N13" i="125"/>
  <c r="M13" i="125"/>
  <c r="BE12" i="125"/>
  <c r="BD12" i="125"/>
  <c r="BC12" i="125"/>
  <c r="BB12" i="125"/>
  <c r="BA12" i="125"/>
  <c r="AZ12" i="125"/>
  <c r="AY12" i="125"/>
  <c r="AX12" i="125"/>
  <c r="AW12" i="125"/>
  <c r="AV12" i="125"/>
  <c r="AU12" i="125"/>
  <c r="AT12" i="125"/>
  <c r="AS12" i="125"/>
  <c r="AR12" i="125"/>
  <c r="AQ12" i="125"/>
  <c r="AP12" i="125"/>
  <c r="AO12" i="125"/>
  <c r="AN12" i="125"/>
  <c r="AM12" i="125"/>
  <c r="AL12" i="125"/>
  <c r="AK12" i="125"/>
  <c r="AJ12" i="125"/>
  <c r="AI12" i="125"/>
  <c r="AH12" i="125"/>
  <c r="AG12" i="125"/>
  <c r="AF12" i="125"/>
  <c r="AE12" i="125"/>
  <c r="N12" i="125"/>
  <c r="M12" i="125"/>
  <c r="A12" i="125"/>
  <c r="BE11" i="125"/>
  <c r="BD11" i="125"/>
  <c r="BC11" i="125"/>
  <c r="BB11" i="125"/>
  <c r="BA11" i="125"/>
  <c r="AZ11" i="125"/>
  <c r="AY11" i="125"/>
  <c r="AX11" i="125"/>
  <c r="AW11" i="125"/>
  <c r="AV11" i="125"/>
  <c r="AU11" i="125"/>
  <c r="AT11" i="125"/>
  <c r="AS11" i="125"/>
  <c r="AR11" i="125"/>
  <c r="AQ11" i="125"/>
  <c r="AP11" i="125"/>
  <c r="AO11" i="125"/>
  <c r="AN11" i="125"/>
  <c r="AM11" i="125"/>
  <c r="AL11" i="125"/>
  <c r="AK11" i="125"/>
  <c r="AJ11" i="125"/>
  <c r="AI11" i="125"/>
  <c r="AH11" i="125"/>
  <c r="AG11" i="125"/>
  <c r="AF11" i="125"/>
  <c r="AE11" i="125"/>
  <c r="N11" i="125"/>
  <c r="M11" i="125"/>
  <c r="A11" i="125"/>
  <c r="BE10" i="125"/>
  <c r="BD10" i="125"/>
  <c r="BC10" i="125"/>
  <c r="BB10" i="125"/>
  <c r="BA10" i="125"/>
  <c r="AZ10" i="125"/>
  <c r="AY10" i="125"/>
  <c r="AX10" i="125"/>
  <c r="AW10" i="125"/>
  <c r="AV10" i="125"/>
  <c r="AU10" i="125"/>
  <c r="AT10" i="125"/>
  <c r="AS10" i="125"/>
  <c r="AR10" i="125"/>
  <c r="AQ10" i="125"/>
  <c r="AP10" i="125"/>
  <c r="AO10" i="125"/>
  <c r="AN10" i="125"/>
  <c r="AM10" i="125"/>
  <c r="AL10" i="125"/>
  <c r="AK10" i="125"/>
  <c r="AJ10" i="125"/>
  <c r="AI10" i="125"/>
  <c r="AH10" i="125"/>
  <c r="AG10" i="125"/>
  <c r="AF10" i="125"/>
  <c r="AE10" i="125"/>
  <c r="N10" i="125"/>
  <c r="M10" i="125"/>
  <c r="A10" i="125"/>
  <c r="BE9" i="125"/>
  <c r="BD9" i="125"/>
  <c r="BC9" i="125"/>
  <c r="BB9" i="125"/>
  <c r="BA9" i="125"/>
  <c r="AZ9" i="125"/>
  <c r="AY9" i="125"/>
  <c r="AX9" i="125"/>
  <c r="AW9" i="125"/>
  <c r="AV9" i="125"/>
  <c r="AU9" i="125"/>
  <c r="AT9" i="125"/>
  <c r="AS9" i="125"/>
  <c r="AR9" i="125"/>
  <c r="AQ9" i="125"/>
  <c r="AP9" i="125"/>
  <c r="AO9" i="125"/>
  <c r="AN9" i="125"/>
  <c r="AM9" i="125"/>
  <c r="AL9" i="125"/>
  <c r="AK9" i="125"/>
  <c r="AJ9" i="125"/>
  <c r="AI9" i="125"/>
  <c r="AH9" i="125"/>
  <c r="AG9" i="125"/>
  <c r="AF9" i="125"/>
  <c r="AE9" i="125"/>
  <c r="N9" i="125"/>
  <c r="M9" i="125"/>
  <c r="A9" i="125"/>
  <c r="BE8" i="125"/>
  <c r="BD8" i="125"/>
  <c r="BC8" i="125"/>
  <c r="BB8" i="125"/>
  <c r="BA8" i="125"/>
  <c r="AZ8" i="125"/>
  <c r="AY8" i="125"/>
  <c r="AX8" i="125"/>
  <c r="AW8" i="125"/>
  <c r="AV8" i="125"/>
  <c r="AU8" i="125"/>
  <c r="AT8" i="125"/>
  <c r="AS8" i="125"/>
  <c r="AR8" i="125"/>
  <c r="AQ8" i="125"/>
  <c r="AP8" i="125"/>
  <c r="AO8" i="125"/>
  <c r="AN8" i="125"/>
  <c r="AM8" i="125"/>
  <c r="AL8" i="125"/>
  <c r="AK8" i="125"/>
  <c r="AJ8" i="125"/>
  <c r="AI8" i="125"/>
  <c r="AH8" i="125"/>
  <c r="AG8" i="125"/>
  <c r="AF8" i="125"/>
  <c r="AE8" i="125"/>
  <c r="N8" i="125"/>
  <c r="M8" i="125"/>
  <c r="A8" i="125"/>
  <c r="BE7" i="125"/>
  <c r="BD7" i="125"/>
  <c r="BC7" i="125"/>
  <c r="BB7" i="125"/>
  <c r="BA7" i="125"/>
  <c r="AZ7" i="125"/>
  <c r="AY7" i="125"/>
  <c r="AX7" i="125"/>
  <c r="AW7" i="125"/>
  <c r="AV7" i="125"/>
  <c r="AU7" i="125"/>
  <c r="AT7" i="125"/>
  <c r="AS7" i="125"/>
  <c r="AR7" i="125"/>
  <c r="AQ7" i="125"/>
  <c r="AP7" i="125"/>
  <c r="AO7" i="125"/>
  <c r="AN7" i="125"/>
  <c r="AM7" i="125"/>
  <c r="AL7" i="125"/>
  <c r="AK7" i="125"/>
  <c r="AJ7" i="125"/>
  <c r="AI7" i="125"/>
  <c r="AH7" i="125"/>
  <c r="AG7" i="125"/>
  <c r="AF7" i="125"/>
  <c r="AE7" i="125"/>
  <c r="N7" i="125"/>
  <c r="M7" i="125"/>
  <c r="BE6" i="125"/>
  <c r="BD6" i="125"/>
  <c r="BC6" i="125"/>
  <c r="BB6" i="125"/>
  <c r="BA6" i="125"/>
  <c r="AZ6" i="125"/>
  <c r="AY6" i="125"/>
  <c r="AX6" i="125"/>
  <c r="AW6" i="125"/>
  <c r="AV6" i="125"/>
  <c r="AU6" i="125"/>
  <c r="AT6" i="125"/>
  <c r="AS6" i="125"/>
  <c r="AR6" i="125"/>
  <c r="AQ6" i="125"/>
  <c r="AP6" i="125"/>
  <c r="AO6" i="125"/>
  <c r="AN6" i="125"/>
  <c r="AM6" i="125"/>
  <c r="AL6" i="125"/>
  <c r="AK6" i="125"/>
  <c r="AJ6" i="125"/>
  <c r="AI6" i="125"/>
  <c r="AH6" i="125"/>
  <c r="AG6" i="125"/>
  <c r="AF6" i="125"/>
  <c r="AE6" i="125"/>
  <c r="N6" i="125"/>
  <c r="M6" i="125"/>
  <c r="BE5" i="125"/>
  <c r="BD5" i="125"/>
  <c r="BC5" i="125"/>
  <c r="BB5" i="125"/>
  <c r="BA5" i="125"/>
  <c r="AZ5" i="125"/>
  <c r="AY5" i="125"/>
  <c r="AX5" i="125"/>
  <c r="AW5" i="125"/>
  <c r="AV5" i="125"/>
  <c r="AU5" i="125"/>
  <c r="AT5" i="125"/>
  <c r="AS5" i="125"/>
  <c r="AR5" i="125"/>
  <c r="AQ5" i="125"/>
  <c r="AP5" i="125"/>
  <c r="AO5" i="125"/>
  <c r="AN5" i="125"/>
  <c r="AM5" i="125"/>
  <c r="AL5" i="125"/>
  <c r="AK5" i="125"/>
  <c r="AJ5" i="125"/>
  <c r="AI5" i="125"/>
  <c r="AH5" i="125"/>
  <c r="AG5" i="125"/>
  <c r="AF5" i="125"/>
  <c r="AE5" i="125"/>
  <c r="N5" i="125"/>
  <c r="M5" i="125"/>
  <c r="BE4" i="125"/>
  <c r="BD4" i="125"/>
  <c r="BC4" i="125"/>
  <c r="BB4" i="125"/>
  <c r="BA4" i="125"/>
  <c r="AZ4" i="125"/>
  <c r="AY4" i="125"/>
  <c r="AX4" i="125"/>
  <c r="AW4" i="125"/>
  <c r="AV4" i="125"/>
  <c r="AU4" i="125"/>
  <c r="AT4" i="125"/>
  <c r="AS4" i="125"/>
  <c r="AR4" i="125"/>
  <c r="AQ4" i="125"/>
  <c r="AP4" i="125"/>
  <c r="AO4" i="125"/>
  <c r="AN4" i="125"/>
  <c r="AM4" i="125"/>
  <c r="AL4" i="125"/>
  <c r="AK4" i="125"/>
  <c r="AJ4" i="125"/>
  <c r="AI4" i="125"/>
  <c r="AH4" i="125"/>
  <c r="AG4" i="125"/>
  <c r="AF4" i="125"/>
  <c r="AE4" i="125"/>
  <c r="N4" i="125"/>
  <c r="M4" i="125"/>
  <c r="BE3" i="125"/>
  <c r="BD3" i="125"/>
  <c r="BC3" i="125"/>
  <c r="BB3" i="125"/>
  <c r="BA3" i="125"/>
  <c r="AZ3" i="125"/>
  <c r="AY3" i="125"/>
  <c r="AX3" i="125"/>
  <c r="AW3" i="125"/>
  <c r="AV3" i="125"/>
  <c r="AU3" i="125"/>
  <c r="AT3" i="125"/>
  <c r="AS3" i="125"/>
  <c r="AR3" i="125"/>
  <c r="AQ3" i="125"/>
  <c r="AP3" i="125"/>
  <c r="AO3" i="125"/>
  <c r="AN3" i="125"/>
  <c r="AM3" i="125"/>
  <c r="AL3" i="125"/>
  <c r="AK3" i="125"/>
  <c r="AJ3" i="125"/>
  <c r="AI3" i="125"/>
  <c r="AH3" i="125"/>
  <c r="AG3" i="125"/>
  <c r="AF3" i="125"/>
  <c r="AE3" i="125"/>
  <c r="AC3" i="125"/>
  <c r="AB3" i="125"/>
  <c r="AA3" i="125"/>
  <c r="Z3" i="125"/>
  <c r="L53" i="125" s="1"/>
  <c r="C53" i="125" s="1"/>
  <c r="Y3" i="125"/>
  <c r="L52" i="125" s="1"/>
  <c r="X3" i="125"/>
  <c r="L54" i="125" s="1"/>
  <c r="W3" i="125"/>
  <c r="C12" i="125" s="1"/>
  <c r="G12" i="125" s="1"/>
  <c r="V3" i="125"/>
  <c r="E16" i="125" s="1"/>
  <c r="U3" i="125"/>
  <c r="E15" i="125" s="1"/>
  <c r="T3" i="125"/>
  <c r="C9" i="125" s="1"/>
  <c r="S3" i="125"/>
  <c r="C8" i="125" s="1"/>
  <c r="N3" i="125"/>
  <c r="M3" i="125"/>
  <c r="BE2" i="125"/>
  <c r="BD2" i="125"/>
  <c r="BC2" i="125"/>
  <c r="BB2" i="125"/>
  <c r="BA2" i="125"/>
  <c r="AZ2" i="125"/>
  <c r="AY2" i="125"/>
  <c r="AX2" i="125"/>
  <c r="AW2" i="125"/>
  <c r="AV2" i="125"/>
  <c r="AU2" i="125"/>
  <c r="AT2" i="125"/>
  <c r="AS2" i="125"/>
  <c r="AR2" i="125"/>
  <c r="AQ2" i="125"/>
  <c r="AP2" i="125"/>
  <c r="AO2" i="125"/>
  <c r="AN2" i="125"/>
  <c r="AM2" i="125"/>
  <c r="AL2" i="125"/>
  <c r="AK2" i="125"/>
  <c r="AJ2" i="125"/>
  <c r="AI2" i="125"/>
  <c r="AH2" i="125"/>
  <c r="AG2" i="125"/>
  <c r="AF2" i="125"/>
  <c r="AE2" i="125"/>
  <c r="N2" i="125"/>
  <c r="M2" i="125"/>
  <c r="A2" i="125"/>
  <c r="BE1" i="125"/>
  <c r="BD1" i="125"/>
  <c r="BC1" i="125"/>
  <c r="BB1" i="125"/>
  <c r="BA1" i="125"/>
  <c r="AZ1" i="125"/>
  <c r="AY1" i="125"/>
  <c r="AX1" i="125"/>
  <c r="AW1" i="125"/>
  <c r="AV1" i="125"/>
  <c r="AU1" i="125"/>
  <c r="AT1" i="125"/>
  <c r="AS1" i="125"/>
  <c r="AR1" i="125"/>
  <c r="AQ1" i="125"/>
  <c r="AP1" i="125"/>
  <c r="AO1" i="125"/>
  <c r="AN1" i="125"/>
  <c r="AM1" i="125"/>
  <c r="AL1" i="125"/>
  <c r="AK1" i="125"/>
  <c r="AJ1" i="125"/>
  <c r="AI1" i="125"/>
  <c r="AH1" i="125"/>
  <c r="AG1" i="125"/>
  <c r="AF1" i="125"/>
  <c r="Q1" i="125"/>
  <c r="P1" i="125"/>
  <c r="N1" i="125"/>
  <c r="M1" i="125"/>
  <c r="K59" i="123"/>
  <c r="J59" i="123"/>
  <c r="K58" i="123"/>
  <c r="J58" i="123"/>
  <c r="K57" i="123"/>
  <c r="J57" i="123"/>
  <c r="K56" i="123"/>
  <c r="J56" i="123"/>
  <c r="K55" i="123"/>
  <c r="J55" i="123"/>
  <c r="K54" i="123"/>
  <c r="J54" i="123"/>
  <c r="K53" i="123"/>
  <c r="K52" i="123"/>
  <c r="K51" i="123"/>
  <c r="J53" i="123"/>
  <c r="J52" i="123"/>
  <c r="J51" i="123"/>
  <c r="K53" i="148"/>
  <c r="J53" i="148"/>
  <c r="K52" i="148"/>
  <c r="J52" i="148"/>
  <c r="K51" i="148"/>
  <c r="J51" i="148"/>
  <c r="F52" i="148"/>
  <c r="F55" i="123"/>
  <c r="F56" i="123"/>
  <c r="F54" i="123"/>
  <c r="G53" i="125" l="1"/>
  <c r="F52" i="123"/>
  <c r="G8" i="125"/>
  <c r="G9" i="125"/>
  <c r="F53" i="125"/>
  <c r="F51" i="125"/>
  <c r="F51" i="148"/>
  <c r="F52" i="124"/>
  <c r="F51" i="124"/>
  <c r="F53" i="124"/>
  <c r="F52" i="125"/>
  <c r="F51" i="123"/>
  <c r="E14" i="125"/>
  <c r="H52" i="125"/>
  <c r="C52" i="125"/>
  <c r="G52" i="125" s="1"/>
  <c r="H53" i="125"/>
  <c r="H54" i="125"/>
  <c r="C54" i="125"/>
  <c r="G54" i="125" s="1"/>
  <c r="H8" i="125"/>
  <c r="H9" i="125"/>
  <c r="H10" i="125"/>
  <c r="H11" i="125"/>
  <c r="H12" i="125"/>
  <c r="E13" i="125"/>
  <c r="E17" i="125"/>
  <c r="L56" i="125"/>
  <c r="C10" i="125"/>
  <c r="G10" i="125" s="1"/>
  <c r="C11" i="125"/>
  <c r="G11" i="125" s="1"/>
  <c r="L57" i="125"/>
  <c r="E57" i="125" s="1"/>
  <c r="L58" i="125"/>
  <c r="E58" i="125" s="1"/>
  <c r="L59" i="125"/>
  <c r="E59" i="125" s="1"/>
  <c r="L55" i="125"/>
  <c r="L51" i="125"/>
  <c r="F53" i="123"/>
  <c r="F54" i="146"/>
  <c r="I9" i="125"/>
  <c r="I8" i="125"/>
  <c r="I12" i="125"/>
  <c r="E9" i="125" l="1"/>
  <c r="E8" i="125"/>
  <c r="E12" i="125"/>
  <c r="C55" i="125"/>
  <c r="G55" i="125" s="1"/>
  <c r="H55" i="125"/>
  <c r="H56" i="125"/>
  <c r="C56" i="125"/>
  <c r="G56" i="125" s="1"/>
  <c r="H51" i="125"/>
  <c r="C51" i="125"/>
  <c r="G51" i="125" s="1"/>
  <c r="A4" i="147"/>
  <c r="I56" i="125"/>
  <c r="I55" i="125"/>
  <c r="I54" i="125"/>
  <c r="I52" i="125"/>
  <c r="I10" i="125"/>
  <c r="I11" i="125"/>
  <c r="I53" i="125"/>
  <c r="E53" i="125" l="1"/>
  <c r="E52" i="125"/>
  <c r="E54" i="125"/>
  <c r="E10" i="125"/>
  <c r="E56" i="125"/>
  <c r="E11" i="125"/>
  <c r="E55" i="125"/>
  <c r="E7" i="125"/>
  <c r="B12" i="125"/>
  <c r="E3" i="125"/>
  <c r="B8" i="125"/>
  <c r="E4" i="125"/>
  <c r="B9" i="125"/>
  <c r="A19" i="146"/>
  <c r="A18" i="146"/>
  <c r="A17" i="146"/>
  <c r="A16" i="146"/>
  <c r="A15" i="146"/>
  <c r="A14" i="146"/>
  <c r="A13" i="146"/>
  <c r="A12" i="146"/>
  <c r="A8" i="146"/>
  <c r="A7" i="146"/>
  <c r="A6" i="146"/>
  <c r="A3" i="145"/>
  <c r="A3" i="143"/>
  <c r="A3" i="142"/>
  <c r="A8" i="137"/>
  <c r="A7" i="137"/>
  <c r="A6" i="137"/>
  <c r="A8" i="136"/>
  <c r="A7" i="136"/>
  <c r="A6" i="136"/>
  <c r="A8" i="134"/>
  <c r="A7" i="134"/>
  <c r="A6" i="134"/>
  <c r="A12" i="133"/>
  <c r="A11" i="133"/>
  <c r="A10" i="133"/>
  <c r="A9" i="133"/>
  <c r="A8" i="133"/>
  <c r="A8" i="132"/>
  <c r="A7" i="132"/>
  <c r="A6" i="132"/>
  <c r="A12" i="131"/>
  <c r="A11" i="131"/>
  <c r="A10" i="131"/>
  <c r="A9" i="131"/>
  <c r="A8" i="131"/>
  <c r="A12" i="130"/>
  <c r="A11" i="130"/>
  <c r="A10" i="130"/>
  <c r="A9" i="130"/>
  <c r="A8" i="130"/>
  <c r="A16" i="129"/>
  <c r="A15" i="129"/>
  <c r="A14" i="129"/>
  <c r="A13" i="129"/>
  <c r="A12" i="129"/>
  <c r="A11" i="129"/>
  <c r="A10" i="129"/>
  <c r="A20" i="116"/>
  <c r="A19" i="116"/>
  <c r="A18" i="116"/>
  <c r="A17" i="116"/>
  <c r="A16" i="116"/>
  <c r="A15" i="116"/>
  <c r="A14" i="116"/>
  <c r="A13" i="116"/>
  <c r="A12" i="116"/>
  <c r="A10" i="126"/>
  <c r="A9" i="126"/>
  <c r="A8" i="126"/>
  <c r="A7" i="126"/>
  <c r="A18" i="124"/>
  <c r="A17" i="124"/>
  <c r="A16" i="124"/>
  <c r="A15" i="124"/>
  <c r="A14" i="124"/>
  <c r="A13" i="124"/>
  <c r="A12" i="124"/>
  <c r="A11" i="124"/>
  <c r="A12" i="123"/>
  <c r="A11" i="123"/>
  <c r="A10" i="123"/>
  <c r="A9" i="123"/>
  <c r="A8" i="123"/>
  <c r="A4" i="121"/>
  <c r="A4" i="120"/>
  <c r="I51" i="125"/>
  <c r="E51" i="125" l="1"/>
  <c r="E6" i="125"/>
  <c r="B11" i="125"/>
  <c r="E5" i="125"/>
  <c r="B10" i="125"/>
  <c r="D46" i="149"/>
  <c r="A46" i="149"/>
  <c r="A45" i="149"/>
  <c r="A44" i="149"/>
  <c r="A43" i="149"/>
  <c r="A42" i="149"/>
  <c r="A41" i="149"/>
  <c r="A40" i="149"/>
  <c r="A39" i="149"/>
  <c r="A38" i="149"/>
  <c r="A37" i="149"/>
  <c r="A36" i="149"/>
  <c r="A35" i="149"/>
  <c r="A34" i="149"/>
  <c r="A33" i="149"/>
  <c r="A32" i="149"/>
  <c r="A31" i="149"/>
  <c r="A30" i="149"/>
  <c r="D25" i="149"/>
  <c r="A25" i="149"/>
  <c r="D22" i="149"/>
  <c r="A22" i="149"/>
  <c r="D21" i="149"/>
  <c r="A21" i="149"/>
  <c r="D20" i="149"/>
  <c r="A20" i="149"/>
  <c r="R19" i="149"/>
  <c r="Q19" i="149"/>
  <c r="P19" i="149"/>
  <c r="R18" i="149"/>
  <c r="Q18" i="149"/>
  <c r="P18" i="149"/>
  <c r="R17" i="149"/>
  <c r="Q17" i="149"/>
  <c r="P17" i="149"/>
  <c r="R16" i="149"/>
  <c r="Q16" i="149"/>
  <c r="P16" i="149"/>
  <c r="R15" i="149"/>
  <c r="Q15" i="149"/>
  <c r="P15" i="149"/>
  <c r="R14" i="149"/>
  <c r="Q14" i="149"/>
  <c r="P14" i="149"/>
  <c r="R13" i="149"/>
  <c r="Q13" i="149"/>
  <c r="P13" i="149"/>
  <c r="R12" i="149"/>
  <c r="Q12" i="149"/>
  <c r="P12" i="149"/>
  <c r="R11" i="149"/>
  <c r="Q11" i="149"/>
  <c r="P11" i="149"/>
  <c r="R10" i="149"/>
  <c r="Q10" i="149"/>
  <c r="P10" i="149"/>
  <c r="R9" i="149"/>
  <c r="D32" i="149" s="1"/>
  <c r="Q9" i="149"/>
  <c r="D30" i="149" s="1"/>
  <c r="P9" i="149"/>
  <c r="R8" i="149"/>
  <c r="Q8" i="149"/>
  <c r="P8" i="149"/>
  <c r="R7" i="149"/>
  <c r="Q7" i="149"/>
  <c r="P7" i="149"/>
  <c r="R6" i="149"/>
  <c r="Q6" i="149"/>
  <c r="P6" i="149"/>
  <c r="R5" i="149"/>
  <c r="Q5" i="149"/>
  <c r="P5" i="149"/>
  <c r="R4" i="149"/>
  <c r="Q4" i="149"/>
  <c r="P4" i="149"/>
  <c r="BA1" i="149"/>
  <c r="AZ1" i="149"/>
  <c r="AY1" i="149"/>
  <c r="AX1" i="149"/>
  <c r="AW1" i="149"/>
  <c r="AV1" i="149"/>
  <c r="AU1" i="149"/>
  <c r="AT1" i="149"/>
  <c r="AS1" i="149"/>
  <c r="AR1" i="149"/>
  <c r="AQ1" i="149"/>
  <c r="AP1" i="149"/>
  <c r="AO1" i="149"/>
  <c r="AN1" i="149"/>
  <c r="AM1" i="149"/>
  <c r="AL1" i="149"/>
  <c r="AK1" i="149"/>
  <c r="AJ1" i="149"/>
  <c r="AI1" i="149"/>
  <c r="AH1" i="149"/>
  <c r="AG1" i="149"/>
  <c r="AF1" i="149"/>
  <c r="AE1" i="149"/>
  <c r="AD1" i="149"/>
  <c r="AC1" i="149"/>
  <c r="AB1" i="149"/>
  <c r="AA1" i="149"/>
  <c r="Z1" i="149"/>
  <c r="Y1" i="149"/>
  <c r="X1" i="149"/>
  <c r="W1" i="149"/>
  <c r="V1" i="149"/>
  <c r="U1" i="149"/>
  <c r="T1" i="149"/>
  <c r="S1" i="149"/>
  <c r="R1" i="149"/>
  <c r="Q1" i="149"/>
  <c r="P1" i="149"/>
  <c r="A4" i="150"/>
  <c r="A3" i="150"/>
  <c r="A50" i="148"/>
  <c r="N41" i="148"/>
  <c r="M41" i="148"/>
  <c r="N40" i="148"/>
  <c r="M40" i="148"/>
  <c r="N39" i="148"/>
  <c r="M39" i="148"/>
  <c r="N38" i="148"/>
  <c r="M38" i="148"/>
  <c r="N37" i="148"/>
  <c r="M37" i="148"/>
  <c r="N36" i="148"/>
  <c r="M36" i="148"/>
  <c r="N35" i="148"/>
  <c r="M35" i="148"/>
  <c r="N34" i="148"/>
  <c r="M34" i="148"/>
  <c r="BE33" i="148"/>
  <c r="BD33" i="148"/>
  <c r="BC33" i="148"/>
  <c r="BB33" i="148"/>
  <c r="BA33" i="148"/>
  <c r="AZ33" i="148"/>
  <c r="AY33" i="148"/>
  <c r="AX33" i="148"/>
  <c r="AW33" i="148"/>
  <c r="AV33" i="148"/>
  <c r="AU33" i="148"/>
  <c r="AT33" i="148"/>
  <c r="AS33" i="148"/>
  <c r="AR33" i="148"/>
  <c r="AQ33" i="148"/>
  <c r="AP33" i="148"/>
  <c r="AO33" i="148"/>
  <c r="AN33" i="148"/>
  <c r="AM33" i="148"/>
  <c r="AL33" i="148"/>
  <c r="AK33" i="148"/>
  <c r="AJ33" i="148"/>
  <c r="AI33" i="148"/>
  <c r="AH33" i="148"/>
  <c r="AG33" i="148"/>
  <c r="AF33" i="148"/>
  <c r="AE33" i="148"/>
  <c r="N33" i="148"/>
  <c r="M33" i="148"/>
  <c r="BE32" i="148"/>
  <c r="BD32" i="148"/>
  <c r="BC32" i="148"/>
  <c r="BB32" i="148"/>
  <c r="BA32" i="148"/>
  <c r="AZ32" i="148"/>
  <c r="AY32" i="148"/>
  <c r="AX32" i="148"/>
  <c r="AW32" i="148"/>
  <c r="AV32" i="148"/>
  <c r="AU32" i="148"/>
  <c r="AT32" i="148"/>
  <c r="AS32" i="148"/>
  <c r="AR32" i="148"/>
  <c r="AQ32" i="148"/>
  <c r="AP32" i="148"/>
  <c r="AO32" i="148"/>
  <c r="AN32" i="148"/>
  <c r="AM32" i="148"/>
  <c r="AL32" i="148"/>
  <c r="AK32" i="148"/>
  <c r="AJ32" i="148"/>
  <c r="AI32" i="148"/>
  <c r="AH32" i="148"/>
  <c r="AG32" i="148"/>
  <c r="AF32" i="148"/>
  <c r="AE32" i="148"/>
  <c r="N32" i="148"/>
  <c r="M32" i="148"/>
  <c r="BE31" i="148"/>
  <c r="BD31" i="148"/>
  <c r="BC31" i="148"/>
  <c r="BB31" i="148"/>
  <c r="BA31" i="148"/>
  <c r="AZ31" i="148"/>
  <c r="AY31" i="148"/>
  <c r="AX31" i="148"/>
  <c r="AW31" i="148"/>
  <c r="AV31" i="148"/>
  <c r="AU31" i="148"/>
  <c r="AT31" i="148"/>
  <c r="AS31" i="148"/>
  <c r="AR31" i="148"/>
  <c r="AQ31" i="148"/>
  <c r="AP31" i="148"/>
  <c r="AO31" i="148"/>
  <c r="AN31" i="148"/>
  <c r="AM31" i="148"/>
  <c r="AL31" i="148"/>
  <c r="AK31" i="148"/>
  <c r="AJ31" i="148"/>
  <c r="AI31" i="148"/>
  <c r="AH31" i="148"/>
  <c r="AG31" i="148"/>
  <c r="AF31" i="148"/>
  <c r="AE31" i="148"/>
  <c r="N31" i="148"/>
  <c r="M31" i="148"/>
  <c r="BE30" i="148"/>
  <c r="BD30" i="148"/>
  <c r="BC30" i="148"/>
  <c r="BB30" i="148"/>
  <c r="BA30" i="148"/>
  <c r="AZ30" i="148"/>
  <c r="AY30" i="148"/>
  <c r="AX30" i="148"/>
  <c r="AW30" i="148"/>
  <c r="AV30" i="148"/>
  <c r="AU30" i="148"/>
  <c r="AT30" i="148"/>
  <c r="AS30" i="148"/>
  <c r="AR30" i="148"/>
  <c r="AQ30" i="148"/>
  <c r="AP30" i="148"/>
  <c r="AO30" i="148"/>
  <c r="AN30" i="148"/>
  <c r="AM30" i="148"/>
  <c r="AL30" i="148"/>
  <c r="AK30" i="148"/>
  <c r="AJ30" i="148"/>
  <c r="AI30" i="148"/>
  <c r="AH30" i="148"/>
  <c r="AG30" i="148"/>
  <c r="AF30" i="148"/>
  <c r="AE30" i="148"/>
  <c r="N30" i="148"/>
  <c r="M30" i="148"/>
  <c r="BE29" i="148"/>
  <c r="BD29" i="148"/>
  <c r="BC29" i="148"/>
  <c r="BB29" i="148"/>
  <c r="BA29" i="148"/>
  <c r="AZ29" i="148"/>
  <c r="AY29" i="148"/>
  <c r="AX29" i="148"/>
  <c r="AW29" i="148"/>
  <c r="AV29" i="148"/>
  <c r="AU29" i="148"/>
  <c r="AT29" i="148"/>
  <c r="AS29" i="148"/>
  <c r="AR29" i="148"/>
  <c r="AQ29" i="148"/>
  <c r="AP29" i="148"/>
  <c r="AO29" i="148"/>
  <c r="AN29" i="148"/>
  <c r="AM29" i="148"/>
  <c r="AL29" i="148"/>
  <c r="AK29" i="148"/>
  <c r="AJ29" i="148"/>
  <c r="AI29" i="148"/>
  <c r="AH29" i="148"/>
  <c r="AG29" i="148"/>
  <c r="AF29" i="148"/>
  <c r="AE29" i="148"/>
  <c r="N29" i="148"/>
  <c r="M29" i="148"/>
  <c r="BE28" i="148"/>
  <c r="BD28" i="148"/>
  <c r="BC28" i="148"/>
  <c r="BB28" i="148"/>
  <c r="BA28" i="148"/>
  <c r="AZ28" i="148"/>
  <c r="AY28" i="148"/>
  <c r="AX28" i="148"/>
  <c r="AW28" i="148"/>
  <c r="AV28" i="148"/>
  <c r="AU28" i="148"/>
  <c r="AT28" i="148"/>
  <c r="AS28" i="148"/>
  <c r="AR28" i="148"/>
  <c r="AQ28" i="148"/>
  <c r="AP28" i="148"/>
  <c r="AO28" i="148"/>
  <c r="AN28" i="148"/>
  <c r="AM28" i="148"/>
  <c r="AL28" i="148"/>
  <c r="AK28" i="148"/>
  <c r="AJ28" i="148"/>
  <c r="AI28" i="148"/>
  <c r="AH28" i="148"/>
  <c r="AG28" i="148"/>
  <c r="AF28" i="148"/>
  <c r="AE28" i="148"/>
  <c r="N28" i="148"/>
  <c r="M28" i="148"/>
  <c r="BE27" i="148"/>
  <c r="BD27" i="148"/>
  <c r="BC27" i="148"/>
  <c r="BB27" i="148"/>
  <c r="BA27" i="148"/>
  <c r="AZ27" i="148"/>
  <c r="AY27" i="148"/>
  <c r="AX27" i="148"/>
  <c r="AW27" i="148"/>
  <c r="AV27" i="148"/>
  <c r="AU27" i="148"/>
  <c r="AT27" i="148"/>
  <c r="AS27" i="148"/>
  <c r="AR27" i="148"/>
  <c r="AQ27" i="148"/>
  <c r="AP27" i="148"/>
  <c r="AO27" i="148"/>
  <c r="AN27" i="148"/>
  <c r="AM27" i="148"/>
  <c r="AL27" i="148"/>
  <c r="AK27" i="148"/>
  <c r="AJ27" i="148"/>
  <c r="AI27" i="148"/>
  <c r="AH27" i="148"/>
  <c r="AG27" i="148"/>
  <c r="AF27" i="148"/>
  <c r="AE27" i="148"/>
  <c r="N27" i="148"/>
  <c r="M27" i="148"/>
  <c r="BE26" i="148"/>
  <c r="BD26" i="148"/>
  <c r="BC26" i="148"/>
  <c r="BB26" i="148"/>
  <c r="BA26" i="148"/>
  <c r="AZ26" i="148"/>
  <c r="AY26" i="148"/>
  <c r="AX26" i="148"/>
  <c r="AW26" i="148"/>
  <c r="AV26" i="148"/>
  <c r="AU26" i="148"/>
  <c r="AT26" i="148"/>
  <c r="AS26" i="148"/>
  <c r="AR26" i="148"/>
  <c r="AQ26" i="148"/>
  <c r="AP26" i="148"/>
  <c r="AO26" i="148"/>
  <c r="AN26" i="148"/>
  <c r="AM26" i="148"/>
  <c r="AL26" i="148"/>
  <c r="AK26" i="148"/>
  <c r="AJ26" i="148"/>
  <c r="AI26" i="148"/>
  <c r="AH26" i="148"/>
  <c r="AG26" i="148"/>
  <c r="AF26" i="148"/>
  <c r="AE26" i="148"/>
  <c r="N26" i="148"/>
  <c r="M26" i="148"/>
  <c r="BE25" i="148"/>
  <c r="BD25" i="148"/>
  <c r="BC25" i="148"/>
  <c r="BB25" i="148"/>
  <c r="BA25" i="148"/>
  <c r="AZ25" i="148"/>
  <c r="AY25" i="148"/>
  <c r="AX25" i="148"/>
  <c r="AW25" i="148"/>
  <c r="AV25" i="148"/>
  <c r="AU25" i="148"/>
  <c r="AT25" i="148"/>
  <c r="AS25" i="148"/>
  <c r="AR25" i="148"/>
  <c r="AQ25" i="148"/>
  <c r="AP25" i="148"/>
  <c r="AO25" i="148"/>
  <c r="AN25" i="148"/>
  <c r="AM25" i="148"/>
  <c r="AL25" i="148"/>
  <c r="AK25" i="148"/>
  <c r="AJ25" i="148"/>
  <c r="AI25" i="148"/>
  <c r="AH25" i="148"/>
  <c r="AG25" i="148"/>
  <c r="AF25" i="148"/>
  <c r="AE25" i="148"/>
  <c r="N25" i="148"/>
  <c r="M25" i="148"/>
  <c r="BE24" i="148"/>
  <c r="BD24" i="148"/>
  <c r="BC24" i="148"/>
  <c r="BB24" i="148"/>
  <c r="BA24" i="148"/>
  <c r="AZ24" i="148"/>
  <c r="AY24" i="148"/>
  <c r="AX24" i="148"/>
  <c r="AW24" i="148"/>
  <c r="AV24" i="148"/>
  <c r="AU24" i="148"/>
  <c r="AT24" i="148"/>
  <c r="AS24" i="148"/>
  <c r="AR24" i="148"/>
  <c r="AQ24" i="148"/>
  <c r="AP24" i="148"/>
  <c r="AO24" i="148"/>
  <c r="AN24" i="148"/>
  <c r="AM24" i="148"/>
  <c r="AL24" i="148"/>
  <c r="AK24" i="148"/>
  <c r="AJ24" i="148"/>
  <c r="AI24" i="148"/>
  <c r="AH24" i="148"/>
  <c r="AG24" i="148"/>
  <c r="AF24" i="148"/>
  <c r="AE24" i="148"/>
  <c r="N24" i="148"/>
  <c r="M24" i="148"/>
  <c r="BE23" i="148"/>
  <c r="BD23" i="148"/>
  <c r="BC23" i="148"/>
  <c r="BB23" i="148"/>
  <c r="BA23" i="148"/>
  <c r="AZ23" i="148"/>
  <c r="AY23" i="148"/>
  <c r="AX23" i="148"/>
  <c r="AW23" i="148"/>
  <c r="AV23" i="148"/>
  <c r="AU23" i="148"/>
  <c r="AT23" i="148"/>
  <c r="AS23" i="148"/>
  <c r="AR23" i="148"/>
  <c r="AQ23" i="148"/>
  <c r="AP23" i="148"/>
  <c r="AO23" i="148"/>
  <c r="AN23" i="148"/>
  <c r="AM23" i="148"/>
  <c r="AL23" i="148"/>
  <c r="AK23" i="148"/>
  <c r="AJ23" i="148"/>
  <c r="AI23" i="148"/>
  <c r="AH23" i="148"/>
  <c r="AG23" i="148"/>
  <c r="AF23" i="148"/>
  <c r="AE23" i="148"/>
  <c r="N23" i="148"/>
  <c r="M23" i="148"/>
  <c r="BE22" i="148"/>
  <c r="BD22" i="148"/>
  <c r="BC22" i="148"/>
  <c r="BB22" i="148"/>
  <c r="BA22" i="148"/>
  <c r="AZ22" i="148"/>
  <c r="AY22" i="148"/>
  <c r="AX22" i="148"/>
  <c r="AW22" i="148"/>
  <c r="AV22" i="148"/>
  <c r="AU22" i="148"/>
  <c r="AT22" i="148"/>
  <c r="AS22" i="148"/>
  <c r="AR22" i="148"/>
  <c r="AQ22" i="148"/>
  <c r="AP22" i="148"/>
  <c r="AO22" i="148"/>
  <c r="AN22" i="148"/>
  <c r="AM22" i="148"/>
  <c r="AL22" i="148"/>
  <c r="AK22" i="148"/>
  <c r="AJ22" i="148"/>
  <c r="AI22" i="148"/>
  <c r="AH22" i="148"/>
  <c r="AG22" i="148"/>
  <c r="AF22" i="148"/>
  <c r="AE22" i="148"/>
  <c r="N22" i="148"/>
  <c r="M22" i="148"/>
  <c r="BE21" i="148"/>
  <c r="BD21" i="148"/>
  <c r="BC21" i="148"/>
  <c r="BB21" i="148"/>
  <c r="BA21" i="148"/>
  <c r="AZ21" i="148"/>
  <c r="AY21" i="148"/>
  <c r="AX21" i="148"/>
  <c r="AW21" i="148"/>
  <c r="AV21" i="148"/>
  <c r="AU21" i="148"/>
  <c r="AT21" i="148"/>
  <c r="AS21" i="148"/>
  <c r="AR21" i="148"/>
  <c r="AQ21" i="148"/>
  <c r="AP21" i="148"/>
  <c r="AO21" i="148"/>
  <c r="AN21" i="148"/>
  <c r="AM21" i="148"/>
  <c r="AL21" i="148"/>
  <c r="AK21" i="148"/>
  <c r="AJ21" i="148"/>
  <c r="AI21" i="148"/>
  <c r="AH21" i="148"/>
  <c r="AG21" i="148"/>
  <c r="AF21" i="148"/>
  <c r="AE21" i="148"/>
  <c r="N21" i="148"/>
  <c r="M21" i="148"/>
  <c r="BE20" i="148"/>
  <c r="BD20" i="148"/>
  <c r="BC20" i="148"/>
  <c r="BB20" i="148"/>
  <c r="BA20" i="148"/>
  <c r="AZ20" i="148"/>
  <c r="AY20" i="148"/>
  <c r="AX20" i="148"/>
  <c r="AW20" i="148"/>
  <c r="AV20" i="148"/>
  <c r="AU20" i="148"/>
  <c r="AT20" i="148"/>
  <c r="AS20" i="148"/>
  <c r="AR20" i="148"/>
  <c r="AQ20" i="148"/>
  <c r="AP20" i="148"/>
  <c r="AO20" i="148"/>
  <c r="AN20" i="148"/>
  <c r="AM20" i="148"/>
  <c r="AL20" i="148"/>
  <c r="AK20" i="148"/>
  <c r="AJ20" i="148"/>
  <c r="AI20" i="148"/>
  <c r="AH20" i="148"/>
  <c r="AG20" i="148"/>
  <c r="AF20" i="148"/>
  <c r="AE20" i="148"/>
  <c r="N20" i="148"/>
  <c r="M20" i="148"/>
  <c r="BE19" i="148"/>
  <c r="BD19" i="148"/>
  <c r="BC19" i="148"/>
  <c r="BB19" i="148"/>
  <c r="BA19" i="148"/>
  <c r="AZ19" i="148"/>
  <c r="AY19" i="148"/>
  <c r="AX19" i="148"/>
  <c r="AW19" i="148"/>
  <c r="AV19" i="148"/>
  <c r="AU19" i="148"/>
  <c r="AT19" i="148"/>
  <c r="AS19" i="148"/>
  <c r="AR19" i="148"/>
  <c r="AQ19" i="148"/>
  <c r="AP19" i="148"/>
  <c r="AO19" i="148"/>
  <c r="AN19" i="148"/>
  <c r="AM19" i="148"/>
  <c r="AL19" i="148"/>
  <c r="AK19" i="148"/>
  <c r="AJ19" i="148"/>
  <c r="AI19" i="148"/>
  <c r="AH19" i="148"/>
  <c r="AG19" i="148"/>
  <c r="AF19" i="148"/>
  <c r="AE19" i="148"/>
  <c r="N19" i="148"/>
  <c r="M19" i="148"/>
  <c r="BE18" i="148"/>
  <c r="BD18" i="148"/>
  <c r="BC18" i="148"/>
  <c r="BB18" i="148"/>
  <c r="BA18" i="148"/>
  <c r="AZ18" i="148"/>
  <c r="AY18" i="148"/>
  <c r="AX18" i="148"/>
  <c r="AW18" i="148"/>
  <c r="AV18" i="148"/>
  <c r="AU18" i="148"/>
  <c r="AT18" i="148"/>
  <c r="AS18" i="148"/>
  <c r="AR18" i="148"/>
  <c r="AQ18" i="148"/>
  <c r="AP18" i="148"/>
  <c r="AO18" i="148"/>
  <c r="AN18" i="148"/>
  <c r="AM18" i="148"/>
  <c r="AL18" i="148"/>
  <c r="AK18" i="148"/>
  <c r="AJ18" i="148"/>
  <c r="AI18" i="148"/>
  <c r="AH18" i="148"/>
  <c r="AG18" i="148"/>
  <c r="AF18" i="148"/>
  <c r="AE18" i="148"/>
  <c r="N18" i="148"/>
  <c r="M18" i="148"/>
  <c r="BE17" i="148"/>
  <c r="BD17" i="148"/>
  <c r="BC17" i="148"/>
  <c r="BB17" i="148"/>
  <c r="BA17" i="148"/>
  <c r="AZ17" i="148"/>
  <c r="AY17" i="148"/>
  <c r="AX17" i="148"/>
  <c r="AW17" i="148"/>
  <c r="AV17" i="148"/>
  <c r="AU17" i="148"/>
  <c r="AT17" i="148"/>
  <c r="AS17" i="148"/>
  <c r="AR17" i="148"/>
  <c r="AQ17" i="148"/>
  <c r="AP17" i="148"/>
  <c r="AO17" i="148"/>
  <c r="AN17" i="148"/>
  <c r="AM17" i="148"/>
  <c r="AL17" i="148"/>
  <c r="AK17" i="148"/>
  <c r="AJ17" i="148"/>
  <c r="AI17" i="148"/>
  <c r="AH17" i="148"/>
  <c r="AG17" i="148"/>
  <c r="AF17" i="148"/>
  <c r="AE17" i="148"/>
  <c r="N17" i="148"/>
  <c r="M17" i="148"/>
  <c r="BE16" i="148"/>
  <c r="BD16" i="148"/>
  <c r="BC16" i="148"/>
  <c r="BB16" i="148"/>
  <c r="BA16" i="148"/>
  <c r="AZ16" i="148"/>
  <c r="AY16" i="148"/>
  <c r="AX16" i="148"/>
  <c r="AW16" i="148"/>
  <c r="AV16" i="148"/>
  <c r="AU16" i="148"/>
  <c r="AT16" i="148"/>
  <c r="AS16" i="148"/>
  <c r="AR16" i="148"/>
  <c r="AQ16" i="148"/>
  <c r="AP16" i="148"/>
  <c r="AO16" i="148"/>
  <c r="AN16" i="148"/>
  <c r="AM16" i="148"/>
  <c r="AL16" i="148"/>
  <c r="AK16" i="148"/>
  <c r="AJ16" i="148"/>
  <c r="AI16" i="148"/>
  <c r="AH16" i="148"/>
  <c r="AG16" i="148"/>
  <c r="AF16" i="148"/>
  <c r="AE16" i="148"/>
  <c r="N16" i="148"/>
  <c r="M16" i="148"/>
  <c r="BE15" i="148"/>
  <c r="BD15" i="148"/>
  <c r="BC15" i="148"/>
  <c r="BB15" i="148"/>
  <c r="BA15" i="148"/>
  <c r="AZ15" i="148"/>
  <c r="AY15" i="148"/>
  <c r="AX15" i="148"/>
  <c r="AW15" i="148"/>
  <c r="AV15" i="148"/>
  <c r="AU15" i="148"/>
  <c r="AT15" i="148"/>
  <c r="AS15" i="148"/>
  <c r="AR15" i="148"/>
  <c r="AQ15" i="148"/>
  <c r="AP15" i="148"/>
  <c r="AO15" i="148"/>
  <c r="AN15" i="148"/>
  <c r="AM15" i="148"/>
  <c r="AL15" i="148"/>
  <c r="AK15" i="148"/>
  <c r="AJ15" i="148"/>
  <c r="AI15" i="148"/>
  <c r="AH15" i="148"/>
  <c r="AG15" i="148"/>
  <c r="AF15" i="148"/>
  <c r="AE15" i="148"/>
  <c r="N15" i="148"/>
  <c r="M15" i="148"/>
  <c r="BE14" i="148"/>
  <c r="BD14" i="148"/>
  <c r="BC14" i="148"/>
  <c r="BB14" i="148"/>
  <c r="BA14" i="148"/>
  <c r="AZ14" i="148"/>
  <c r="AY14" i="148"/>
  <c r="AX14" i="148"/>
  <c r="AW14" i="148"/>
  <c r="AV14" i="148"/>
  <c r="AU14" i="148"/>
  <c r="AT14" i="148"/>
  <c r="AS14" i="148"/>
  <c r="AR14" i="148"/>
  <c r="AQ14" i="148"/>
  <c r="AP14" i="148"/>
  <c r="AO14" i="148"/>
  <c r="AN14" i="148"/>
  <c r="AM14" i="148"/>
  <c r="AL14" i="148"/>
  <c r="AK14" i="148"/>
  <c r="AJ14" i="148"/>
  <c r="AI14" i="148"/>
  <c r="AH14" i="148"/>
  <c r="AG14" i="148"/>
  <c r="AF14" i="148"/>
  <c r="AE14" i="148"/>
  <c r="N14" i="148"/>
  <c r="M14" i="148"/>
  <c r="BE13" i="148"/>
  <c r="BD13" i="148"/>
  <c r="BC13" i="148"/>
  <c r="BB13" i="148"/>
  <c r="BA13" i="148"/>
  <c r="AZ13" i="148"/>
  <c r="AY13" i="148"/>
  <c r="AX13" i="148"/>
  <c r="AW13" i="148"/>
  <c r="AV13" i="148"/>
  <c r="AU13" i="148"/>
  <c r="AT13" i="148"/>
  <c r="AS13" i="148"/>
  <c r="AR13" i="148"/>
  <c r="AQ13" i="148"/>
  <c r="AP13" i="148"/>
  <c r="AO13" i="148"/>
  <c r="AN13" i="148"/>
  <c r="AM13" i="148"/>
  <c r="AL13" i="148"/>
  <c r="AK13" i="148"/>
  <c r="AJ13" i="148"/>
  <c r="AI13" i="148"/>
  <c r="AH13" i="148"/>
  <c r="AG13" i="148"/>
  <c r="AF13" i="148"/>
  <c r="AE13" i="148"/>
  <c r="N13" i="148"/>
  <c r="M13" i="148"/>
  <c r="BE12" i="148"/>
  <c r="BD12" i="148"/>
  <c r="BC12" i="148"/>
  <c r="BB12" i="148"/>
  <c r="BA12" i="148"/>
  <c r="AZ12" i="148"/>
  <c r="AY12" i="148"/>
  <c r="AX12" i="148"/>
  <c r="AW12" i="148"/>
  <c r="AV12" i="148"/>
  <c r="AU12" i="148"/>
  <c r="AT12" i="148"/>
  <c r="AS12" i="148"/>
  <c r="AR12" i="148"/>
  <c r="AQ12" i="148"/>
  <c r="AP12" i="148"/>
  <c r="AO12" i="148"/>
  <c r="AN12" i="148"/>
  <c r="AM12" i="148"/>
  <c r="AL12" i="148"/>
  <c r="AK12" i="148"/>
  <c r="AJ12" i="148"/>
  <c r="AI12" i="148"/>
  <c r="AH12" i="148"/>
  <c r="AG12" i="148"/>
  <c r="AF12" i="148"/>
  <c r="AE12" i="148"/>
  <c r="N12" i="148"/>
  <c r="M12" i="148"/>
  <c r="BE11" i="148"/>
  <c r="BD11" i="148"/>
  <c r="BC11" i="148"/>
  <c r="BB11" i="148"/>
  <c r="BA11" i="148"/>
  <c r="AZ11" i="148"/>
  <c r="AY11" i="148"/>
  <c r="AX11" i="148"/>
  <c r="AW11" i="148"/>
  <c r="AV11" i="148"/>
  <c r="AU11" i="148"/>
  <c r="AT11" i="148"/>
  <c r="AS11" i="148"/>
  <c r="AR11" i="148"/>
  <c r="AQ11" i="148"/>
  <c r="AP11" i="148"/>
  <c r="AO11" i="148"/>
  <c r="AN11" i="148"/>
  <c r="AM11" i="148"/>
  <c r="AL11" i="148"/>
  <c r="AK11" i="148"/>
  <c r="AJ11" i="148"/>
  <c r="AI11" i="148"/>
  <c r="AH11" i="148"/>
  <c r="AG11" i="148"/>
  <c r="AF11" i="148"/>
  <c r="AE11" i="148"/>
  <c r="N11" i="148"/>
  <c r="M11" i="148"/>
  <c r="BE10" i="148"/>
  <c r="BD10" i="148"/>
  <c r="BC10" i="148"/>
  <c r="BB10" i="148"/>
  <c r="BA10" i="148"/>
  <c r="AZ10" i="148"/>
  <c r="AY10" i="148"/>
  <c r="AX10" i="148"/>
  <c r="AW10" i="148"/>
  <c r="AV10" i="148"/>
  <c r="AU10" i="148"/>
  <c r="AT10" i="148"/>
  <c r="AS10" i="148"/>
  <c r="AR10" i="148"/>
  <c r="AQ10" i="148"/>
  <c r="AP10" i="148"/>
  <c r="AO10" i="148"/>
  <c r="AN10" i="148"/>
  <c r="AM10" i="148"/>
  <c r="AL10" i="148"/>
  <c r="AK10" i="148"/>
  <c r="AJ10" i="148"/>
  <c r="AI10" i="148"/>
  <c r="AH10" i="148"/>
  <c r="AG10" i="148"/>
  <c r="AF10" i="148"/>
  <c r="AE10" i="148"/>
  <c r="N10" i="148"/>
  <c r="M10" i="148"/>
  <c r="BE9" i="148"/>
  <c r="BD9" i="148"/>
  <c r="BC9" i="148"/>
  <c r="BB9" i="148"/>
  <c r="BA9" i="148"/>
  <c r="AZ9" i="148"/>
  <c r="AY9" i="148"/>
  <c r="AX9" i="148"/>
  <c r="AW9" i="148"/>
  <c r="AV9" i="148"/>
  <c r="AU9" i="148"/>
  <c r="AT9" i="148"/>
  <c r="AS9" i="148"/>
  <c r="AR9" i="148"/>
  <c r="AQ9" i="148"/>
  <c r="AP9" i="148"/>
  <c r="AO9" i="148"/>
  <c r="AN9" i="148"/>
  <c r="AM9" i="148"/>
  <c r="AL9" i="148"/>
  <c r="AK9" i="148"/>
  <c r="AJ9" i="148"/>
  <c r="AI9" i="148"/>
  <c r="AH9" i="148"/>
  <c r="AG9" i="148"/>
  <c r="AF9" i="148"/>
  <c r="AE9" i="148"/>
  <c r="N9" i="148"/>
  <c r="M9" i="148"/>
  <c r="BE8" i="148"/>
  <c r="BD8" i="148"/>
  <c r="BC8" i="148"/>
  <c r="BB8" i="148"/>
  <c r="BA8" i="148"/>
  <c r="AZ8" i="148"/>
  <c r="AY8" i="148"/>
  <c r="AX8" i="148"/>
  <c r="AW8" i="148"/>
  <c r="AV8" i="148"/>
  <c r="AU8" i="148"/>
  <c r="AT8" i="148"/>
  <c r="AS8" i="148"/>
  <c r="AR8" i="148"/>
  <c r="AQ8" i="148"/>
  <c r="AP8" i="148"/>
  <c r="AO8" i="148"/>
  <c r="AN8" i="148"/>
  <c r="AM8" i="148"/>
  <c r="AL8" i="148"/>
  <c r="AK8" i="148"/>
  <c r="AJ8" i="148"/>
  <c r="AI8" i="148"/>
  <c r="AH8" i="148"/>
  <c r="AG8" i="148"/>
  <c r="AF8" i="148"/>
  <c r="AE8" i="148"/>
  <c r="N8" i="148"/>
  <c r="M8" i="148"/>
  <c r="BE7" i="148"/>
  <c r="BD7" i="148"/>
  <c r="BC7" i="148"/>
  <c r="BB7" i="148"/>
  <c r="BA7" i="148"/>
  <c r="AZ7" i="148"/>
  <c r="AY7" i="148"/>
  <c r="AX7" i="148"/>
  <c r="AW7" i="148"/>
  <c r="AV7" i="148"/>
  <c r="AU7" i="148"/>
  <c r="AT7" i="148"/>
  <c r="AS7" i="148"/>
  <c r="AR7" i="148"/>
  <c r="AQ7" i="148"/>
  <c r="AP7" i="148"/>
  <c r="AO7" i="148"/>
  <c r="AN7" i="148"/>
  <c r="AM7" i="148"/>
  <c r="AL7" i="148"/>
  <c r="AK7" i="148"/>
  <c r="AJ7" i="148"/>
  <c r="AI7" i="148"/>
  <c r="AH7" i="148"/>
  <c r="AG7" i="148"/>
  <c r="AF7" i="148"/>
  <c r="AE7" i="148"/>
  <c r="N7" i="148"/>
  <c r="M7" i="148"/>
  <c r="BE6" i="148"/>
  <c r="BD6" i="148"/>
  <c r="BC6" i="148"/>
  <c r="BB6" i="148"/>
  <c r="BA6" i="148"/>
  <c r="AZ6" i="148"/>
  <c r="AY6" i="148"/>
  <c r="AX6" i="148"/>
  <c r="AW6" i="148"/>
  <c r="AV6" i="148"/>
  <c r="AU6" i="148"/>
  <c r="AT6" i="148"/>
  <c r="AS6" i="148"/>
  <c r="AR6" i="148"/>
  <c r="AQ6" i="148"/>
  <c r="AP6" i="148"/>
  <c r="AO6" i="148"/>
  <c r="AN6" i="148"/>
  <c r="AM6" i="148"/>
  <c r="AL6" i="148"/>
  <c r="AK6" i="148"/>
  <c r="AJ6" i="148"/>
  <c r="AI6" i="148"/>
  <c r="AH6" i="148"/>
  <c r="AG6" i="148"/>
  <c r="AF6" i="148"/>
  <c r="AE6" i="148"/>
  <c r="N6" i="148"/>
  <c r="M6" i="148"/>
  <c r="BE5" i="148"/>
  <c r="BD5" i="148"/>
  <c r="BC5" i="148"/>
  <c r="BB5" i="148"/>
  <c r="BA5" i="148"/>
  <c r="AZ5" i="148"/>
  <c r="AY5" i="148"/>
  <c r="AX5" i="148"/>
  <c r="AW5" i="148"/>
  <c r="AV5" i="148"/>
  <c r="AU5" i="148"/>
  <c r="AT5" i="148"/>
  <c r="AS5" i="148"/>
  <c r="AR5" i="148"/>
  <c r="AQ5" i="148"/>
  <c r="AP5" i="148"/>
  <c r="AO5" i="148"/>
  <c r="AN5" i="148"/>
  <c r="AM5" i="148"/>
  <c r="AL5" i="148"/>
  <c r="AK5" i="148"/>
  <c r="AJ5" i="148"/>
  <c r="AI5" i="148"/>
  <c r="AH5" i="148"/>
  <c r="AG5" i="148"/>
  <c r="AF5" i="148"/>
  <c r="AE5" i="148"/>
  <c r="N5" i="148"/>
  <c r="M5" i="148"/>
  <c r="BE4" i="148"/>
  <c r="BD4" i="148"/>
  <c r="BC4" i="148"/>
  <c r="BB4" i="148"/>
  <c r="BA4" i="148"/>
  <c r="AZ4" i="148"/>
  <c r="AY4" i="148"/>
  <c r="AX4" i="148"/>
  <c r="AW4" i="148"/>
  <c r="AV4" i="148"/>
  <c r="AU4" i="148"/>
  <c r="AT4" i="148"/>
  <c r="AS4" i="148"/>
  <c r="AR4" i="148"/>
  <c r="AQ4" i="148"/>
  <c r="AP4" i="148"/>
  <c r="AO4" i="148"/>
  <c r="AN4" i="148"/>
  <c r="AM4" i="148"/>
  <c r="AL4" i="148"/>
  <c r="AK4" i="148"/>
  <c r="AJ4" i="148"/>
  <c r="AI4" i="148"/>
  <c r="AH4" i="148"/>
  <c r="AG4" i="148"/>
  <c r="AF4" i="148"/>
  <c r="AE4" i="148"/>
  <c r="N4" i="148"/>
  <c r="M4" i="148"/>
  <c r="BE3" i="148"/>
  <c r="BD3" i="148"/>
  <c r="BC3" i="148"/>
  <c r="BB3" i="148"/>
  <c r="BA3" i="148"/>
  <c r="AZ3" i="148"/>
  <c r="AY3" i="148"/>
  <c r="AX3" i="148"/>
  <c r="AW3" i="148"/>
  <c r="AV3" i="148"/>
  <c r="AU3" i="148"/>
  <c r="AT3" i="148"/>
  <c r="AS3" i="148"/>
  <c r="AR3" i="148"/>
  <c r="AQ3" i="148"/>
  <c r="AP3" i="148"/>
  <c r="AO3" i="148"/>
  <c r="AN3" i="148"/>
  <c r="AM3" i="148"/>
  <c r="AL3" i="148"/>
  <c r="AK3" i="148"/>
  <c r="AJ3" i="148"/>
  <c r="AI3" i="148"/>
  <c r="AH3" i="148"/>
  <c r="AG3" i="148"/>
  <c r="AF3" i="148"/>
  <c r="AE3" i="148"/>
  <c r="R3" i="148"/>
  <c r="N3" i="148"/>
  <c r="M3" i="148"/>
  <c r="BE2" i="148"/>
  <c r="BD2" i="148"/>
  <c r="BC2" i="148"/>
  <c r="BB2" i="148"/>
  <c r="BA2" i="148"/>
  <c r="AZ2" i="148"/>
  <c r="AY2" i="148"/>
  <c r="AX2" i="148"/>
  <c r="AW2" i="148"/>
  <c r="AV2" i="148"/>
  <c r="AU2" i="148"/>
  <c r="AT2" i="148"/>
  <c r="AS2" i="148"/>
  <c r="AR2" i="148"/>
  <c r="AQ2" i="148"/>
  <c r="AP2" i="148"/>
  <c r="AO2" i="148"/>
  <c r="AN2" i="148"/>
  <c r="AM2" i="148"/>
  <c r="AL2" i="148"/>
  <c r="AK2" i="148"/>
  <c r="AJ2" i="148"/>
  <c r="AI2" i="148"/>
  <c r="AH2" i="148"/>
  <c r="AG2" i="148"/>
  <c r="AF2" i="148"/>
  <c r="AE2" i="148"/>
  <c r="N2" i="148"/>
  <c r="M2" i="148"/>
  <c r="BE1" i="148"/>
  <c r="BD1" i="148"/>
  <c r="BC1" i="148"/>
  <c r="BB1" i="148"/>
  <c r="BA1" i="148"/>
  <c r="AZ1" i="148"/>
  <c r="AY1" i="148"/>
  <c r="AX1" i="148"/>
  <c r="AW1" i="148"/>
  <c r="AV1" i="148"/>
  <c r="AU1" i="148"/>
  <c r="AT1" i="148"/>
  <c r="AS1" i="148"/>
  <c r="AR1" i="148"/>
  <c r="AQ1" i="148"/>
  <c r="AP1" i="148"/>
  <c r="AO1" i="148"/>
  <c r="AN1" i="148"/>
  <c r="AM1" i="148"/>
  <c r="AL1" i="148"/>
  <c r="AK1" i="148"/>
  <c r="AJ1" i="148"/>
  <c r="AI1" i="148"/>
  <c r="AH1" i="148"/>
  <c r="AG1" i="148"/>
  <c r="AF1" i="148"/>
  <c r="Q1" i="148"/>
  <c r="P1" i="148"/>
  <c r="N1" i="148"/>
  <c r="M1" i="148"/>
  <c r="N41" i="147"/>
  <c r="M41" i="147"/>
  <c r="N40" i="147"/>
  <c r="M40" i="147"/>
  <c r="N39" i="147"/>
  <c r="M39" i="147"/>
  <c r="N38" i="147"/>
  <c r="M38" i="147"/>
  <c r="N37" i="147"/>
  <c r="M37" i="147"/>
  <c r="N36" i="147"/>
  <c r="M36" i="147"/>
  <c r="N35" i="147"/>
  <c r="M35" i="147"/>
  <c r="N34" i="147"/>
  <c r="M34" i="147"/>
  <c r="BE33" i="147"/>
  <c r="BD33" i="147"/>
  <c r="BC33" i="147"/>
  <c r="BB33" i="147"/>
  <c r="BA33" i="147"/>
  <c r="AZ33" i="147"/>
  <c r="AY33" i="147"/>
  <c r="AX33" i="147"/>
  <c r="AW33" i="147"/>
  <c r="AV33" i="147"/>
  <c r="AU33" i="147"/>
  <c r="AT33" i="147"/>
  <c r="AS33" i="147"/>
  <c r="AR33" i="147"/>
  <c r="AQ33" i="147"/>
  <c r="AP33" i="147"/>
  <c r="AO33" i="147"/>
  <c r="AN33" i="147"/>
  <c r="AM33" i="147"/>
  <c r="AL33" i="147"/>
  <c r="AK33" i="147"/>
  <c r="AJ33" i="147"/>
  <c r="AI33" i="147"/>
  <c r="AH33" i="147"/>
  <c r="AG33" i="147"/>
  <c r="AF33" i="147"/>
  <c r="AE33" i="147"/>
  <c r="N33" i="147"/>
  <c r="M33" i="147"/>
  <c r="BE32" i="147"/>
  <c r="BD32" i="147"/>
  <c r="BC32" i="147"/>
  <c r="BB32" i="147"/>
  <c r="BA32" i="147"/>
  <c r="AZ32" i="147"/>
  <c r="AY32" i="147"/>
  <c r="AX32" i="147"/>
  <c r="AW32" i="147"/>
  <c r="AV32" i="147"/>
  <c r="AU32" i="147"/>
  <c r="AT32" i="147"/>
  <c r="AS32" i="147"/>
  <c r="AR32" i="147"/>
  <c r="AQ32" i="147"/>
  <c r="AP32" i="147"/>
  <c r="AO32" i="147"/>
  <c r="AN32" i="147"/>
  <c r="AM32" i="147"/>
  <c r="AL32" i="147"/>
  <c r="AK32" i="147"/>
  <c r="AJ32" i="147"/>
  <c r="AI32" i="147"/>
  <c r="AH32" i="147"/>
  <c r="AG32" i="147"/>
  <c r="AF32" i="147"/>
  <c r="AE32" i="147"/>
  <c r="N32" i="147"/>
  <c r="M32" i="147"/>
  <c r="BE31" i="147"/>
  <c r="BD31" i="147"/>
  <c r="BC31" i="147"/>
  <c r="BB31" i="147"/>
  <c r="BA31" i="147"/>
  <c r="AZ31" i="147"/>
  <c r="AY31" i="147"/>
  <c r="AX31" i="147"/>
  <c r="AW31" i="147"/>
  <c r="AV31" i="147"/>
  <c r="AU31" i="147"/>
  <c r="AT31" i="147"/>
  <c r="AS31" i="147"/>
  <c r="AR31" i="147"/>
  <c r="AQ31" i="147"/>
  <c r="AP31" i="147"/>
  <c r="AO31" i="147"/>
  <c r="AN31" i="147"/>
  <c r="AM31" i="147"/>
  <c r="AL31" i="147"/>
  <c r="AK31" i="147"/>
  <c r="AJ31" i="147"/>
  <c r="AI31" i="147"/>
  <c r="AH31" i="147"/>
  <c r="AG31" i="147"/>
  <c r="AF31" i="147"/>
  <c r="AE31" i="147"/>
  <c r="N31" i="147"/>
  <c r="M31" i="147"/>
  <c r="BE30" i="147"/>
  <c r="BD30" i="147"/>
  <c r="BC30" i="147"/>
  <c r="BB30" i="147"/>
  <c r="BA30" i="147"/>
  <c r="AZ30" i="147"/>
  <c r="AY30" i="147"/>
  <c r="AX30" i="147"/>
  <c r="AW30" i="147"/>
  <c r="AV30" i="147"/>
  <c r="AU30" i="147"/>
  <c r="AT30" i="147"/>
  <c r="AS30" i="147"/>
  <c r="AR30" i="147"/>
  <c r="AQ30" i="147"/>
  <c r="AP30" i="147"/>
  <c r="AO30" i="147"/>
  <c r="AN30" i="147"/>
  <c r="AM30" i="147"/>
  <c r="AL30" i="147"/>
  <c r="AK30" i="147"/>
  <c r="AJ30" i="147"/>
  <c r="AI30" i="147"/>
  <c r="AH30" i="147"/>
  <c r="AG30" i="147"/>
  <c r="AF30" i="147"/>
  <c r="AE30" i="147"/>
  <c r="N30" i="147"/>
  <c r="M30" i="147"/>
  <c r="BE29" i="147"/>
  <c r="BD29" i="147"/>
  <c r="BC29" i="147"/>
  <c r="BB29" i="147"/>
  <c r="BA29" i="147"/>
  <c r="AZ29" i="147"/>
  <c r="AY29" i="147"/>
  <c r="AX29" i="147"/>
  <c r="AW29" i="147"/>
  <c r="AV29" i="147"/>
  <c r="AU29" i="147"/>
  <c r="AT29" i="147"/>
  <c r="AS29" i="147"/>
  <c r="AR29" i="147"/>
  <c r="AQ29" i="147"/>
  <c r="AP29" i="147"/>
  <c r="AO29" i="147"/>
  <c r="AN29" i="147"/>
  <c r="AM29" i="147"/>
  <c r="AL29" i="147"/>
  <c r="AK29" i="147"/>
  <c r="AJ29" i="147"/>
  <c r="AI29" i="147"/>
  <c r="AH29" i="147"/>
  <c r="AG29" i="147"/>
  <c r="AF29" i="147"/>
  <c r="AE29" i="147"/>
  <c r="N29" i="147"/>
  <c r="M29" i="147"/>
  <c r="BE28" i="147"/>
  <c r="BD28" i="147"/>
  <c r="BC28" i="147"/>
  <c r="BB28" i="147"/>
  <c r="BA28" i="147"/>
  <c r="AZ28" i="147"/>
  <c r="AY28" i="147"/>
  <c r="AX28" i="147"/>
  <c r="AW28" i="147"/>
  <c r="AV28" i="147"/>
  <c r="AU28" i="147"/>
  <c r="AT28" i="147"/>
  <c r="AS28" i="147"/>
  <c r="AR28" i="147"/>
  <c r="AQ28" i="147"/>
  <c r="AP28" i="147"/>
  <c r="AO28" i="147"/>
  <c r="AN28" i="147"/>
  <c r="AM28" i="147"/>
  <c r="AL28" i="147"/>
  <c r="AK28" i="147"/>
  <c r="AJ28" i="147"/>
  <c r="AI28" i="147"/>
  <c r="AH28" i="147"/>
  <c r="AG28" i="147"/>
  <c r="AF28" i="147"/>
  <c r="AE28" i="147"/>
  <c r="N28" i="147"/>
  <c r="M28" i="147"/>
  <c r="BE27" i="147"/>
  <c r="BD27" i="147"/>
  <c r="BC27" i="147"/>
  <c r="BB27" i="147"/>
  <c r="BA27" i="147"/>
  <c r="AZ27" i="147"/>
  <c r="AY27" i="147"/>
  <c r="AX27" i="147"/>
  <c r="AW27" i="147"/>
  <c r="AV27" i="147"/>
  <c r="AU27" i="147"/>
  <c r="AT27" i="147"/>
  <c r="AS27" i="147"/>
  <c r="AR27" i="147"/>
  <c r="AQ27" i="147"/>
  <c r="AP27" i="147"/>
  <c r="AO27" i="147"/>
  <c r="AN27" i="147"/>
  <c r="AM27" i="147"/>
  <c r="AL27" i="147"/>
  <c r="AK27" i="147"/>
  <c r="AJ27" i="147"/>
  <c r="AI27" i="147"/>
  <c r="AH27" i="147"/>
  <c r="AG27" i="147"/>
  <c r="AF27" i="147"/>
  <c r="AE27" i="147"/>
  <c r="N27" i="147"/>
  <c r="M27" i="147"/>
  <c r="BE26" i="147"/>
  <c r="BD26" i="147"/>
  <c r="BC26" i="147"/>
  <c r="BB26" i="147"/>
  <c r="BA26" i="147"/>
  <c r="AZ26" i="147"/>
  <c r="AY26" i="147"/>
  <c r="AX26" i="147"/>
  <c r="AW26" i="147"/>
  <c r="AV26" i="147"/>
  <c r="AU26" i="147"/>
  <c r="AT26" i="147"/>
  <c r="AS26" i="147"/>
  <c r="AR26" i="147"/>
  <c r="AQ26" i="147"/>
  <c r="AP26" i="147"/>
  <c r="AO26" i="147"/>
  <c r="AN26" i="147"/>
  <c r="AM26" i="147"/>
  <c r="AL26" i="147"/>
  <c r="AK26" i="147"/>
  <c r="AJ26" i="147"/>
  <c r="AI26" i="147"/>
  <c r="AH26" i="147"/>
  <c r="AG26" i="147"/>
  <c r="AF26" i="147"/>
  <c r="AE26" i="147"/>
  <c r="N26" i="147"/>
  <c r="M26" i="147"/>
  <c r="BE25" i="147"/>
  <c r="BD25" i="147"/>
  <c r="BC25" i="147"/>
  <c r="BB25" i="147"/>
  <c r="BA25" i="147"/>
  <c r="AZ25" i="147"/>
  <c r="AY25" i="147"/>
  <c r="AX25" i="147"/>
  <c r="AW25" i="147"/>
  <c r="AV25" i="147"/>
  <c r="AU25" i="147"/>
  <c r="AT25" i="147"/>
  <c r="AS25" i="147"/>
  <c r="AR25" i="147"/>
  <c r="AQ25" i="147"/>
  <c r="AP25" i="147"/>
  <c r="AO25" i="147"/>
  <c r="AN25" i="147"/>
  <c r="AM25" i="147"/>
  <c r="AL25" i="147"/>
  <c r="AK25" i="147"/>
  <c r="AJ25" i="147"/>
  <c r="AI25" i="147"/>
  <c r="AH25" i="147"/>
  <c r="AG25" i="147"/>
  <c r="AF25" i="147"/>
  <c r="AE25" i="147"/>
  <c r="N25" i="147"/>
  <c r="M25" i="147"/>
  <c r="BE24" i="147"/>
  <c r="BD24" i="147"/>
  <c r="BC24" i="147"/>
  <c r="BB24" i="147"/>
  <c r="BA24" i="147"/>
  <c r="AZ24" i="147"/>
  <c r="AY24" i="147"/>
  <c r="AX24" i="147"/>
  <c r="AW24" i="147"/>
  <c r="AV24" i="147"/>
  <c r="AU24" i="147"/>
  <c r="AT24" i="147"/>
  <c r="AS24" i="147"/>
  <c r="AR24" i="147"/>
  <c r="AQ24" i="147"/>
  <c r="AP24" i="147"/>
  <c r="AO24" i="147"/>
  <c r="AN24" i="147"/>
  <c r="AM24" i="147"/>
  <c r="AL24" i="147"/>
  <c r="AK24" i="147"/>
  <c r="AJ24" i="147"/>
  <c r="AI24" i="147"/>
  <c r="AH24" i="147"/>
  <c r="AG24" i="147"/>
  <c r="AF24" i="147"/>
  <c r="AE24" i="147"/>
  <c r="N24" i="147"/>
  <c r="M24" i="147"/>
  <c r="BE23" i="147"/>
  <c r="BD23" i="147"/>
  <c r="BC23" i="147"/>
  <c r="BB23" i="147"/>
  <c r="BA23" i="147"/>
  <c r="AZ23" i="147"/>
  <c r="AY23" i="147"/>
  <c r="AX23" i="147"/>
  <c r="AW23" i="147"/>
  <c r="AV23" i="147"/>
  <c r="AU23" i="147"/>
  <c r="AT23" i="147"/>
  <c r="AS23" i="147"/>
  <c r="AR23" i="147"/>
  <c r="AQ23" i="147"/>
  <c r="AP23" i="147"/>
  <c r="AO23" i="147"/>
  <c r="AN23" i="147"/>
  <c r="AM23" i="147"/>
  <c r="AL23" i="147"/>
  <c r="AK23" i="147"/>
  <c r="AJ23" i="147"/>
  <c r="AI23" i="147"/>
  <c r="AH23" i="147"/>
  <c r="AG23" i="147"/>
  <c r="AF23" i="147"/>
  <c r="AE23" i="147"/>
  <c r="N23" i="147"/>
  <c r="M23" i="147"/>
  <c r="BE22" i="147"/>
  <c r="BD22" i="147"/>
  <c r="BC22" i="147"/>
  <c r="BB22" i="147"/>
  <c r="BA22" i="147"/>
  <c r="AZ22" i="147"/>
  <c r="AY22" i="147"/>
  <c r="AX22" i="147"/>
  <c r="AW22" i="147"/>
  <c r="AV22" i="147"/>
  <c r="AU22" i="147"/>
  <c r="AT22" i="147"/>
  <c r="AS22" i="147"/>
  <c r="AR22" i="147"/>
  <c r="AQ22" i="147"/>
  <c r="AP22" i="147"/>
  <c r="AO22" i="147"/>
  <c r="AN22" i="147"/>
  <c r="AM22" i="147"/>
  <c r="AL22" i="147"/>
  <c r="AK22" i="147"/>
  <c r="AJ22" i="147"/>
  <c r="AI22" i="147"/>
  <c r="AH22" i="147"/>
  <c r="AG22" i="147"/>
  <c r="AF22" i="147"/>
  <c r="AE22" i="147"/>
  <c r="N22" i="147"/>
  <c r="M22" i="147"/>
  <c r="BE21" i="147"/>
  <c r="BD21" i="147"/>
  <c r="BC21" i="147"/>
  <c r="BB21" i="147"/>
  <c r="BA21" i="147"/>
  <c r="AZ21" i="147"/>
  <c r="AY21" i="147"/>
  <c r="AX21" i="147"/>
  <c r="AW21" i="147"/>
  <c r="AV21" i="147"/>
  <c r="AU21" i="147"/>
  <c r="AT21" i="147"/>
  <c r="AS21" i="147"/>
  <c r="AR21" i="147"/>
  <c r="AQ21" i="147"/>
  <c r="AP21" i="147"/>
  <c r="AO21" i="147"/>
  <c r="AN21" i="147"/>
  <c r="AM21" i="147"/>
  <c r="AL21" i="147"/>
  <c r="AK21" i="147"/>
  <c r="AJ21" i="147"/>
  <c r="AI21" i="147"/>
  <c r="AH21" i="147"/>
  <c r="AG21" i="147"/>
  <c r="AF21" i="147"/>
  <c r="AE21" i="147"/>
  <c r="N21" i="147"/>
  <c r="M21" i="147"/>
  <c r="BE20" i="147"/>
  <c r="BD20" i="147"/>
  <c r="BC20" i="147"/>
  <c r="BB20" i="147"/>
  <c r="BA20" i="147"/>
  <c r="AZ20" i="147"/>
  <c r="AY20" i="147"/>
  <c r="AX20" i="147"/>
  <c r="AW20" i="147"/>
  <c r="AV20" i="147"/>
  <c r="AU20" i="147"/>
  <c r="AT20" i="147"/>
  <c r="AS20" i="147"/>
  <c r="AR20" i="147"/>
  <c r="AQ20" i="147"/>
  <c r="AP20" i="147"/>
  <c r="AO20" i="147"/>
  <c r="AN20" i="147"/>
  <c r="AM20" i="147"/>
  <c r="AL20" i="147"/>
  <c r="AK20" i="147"/>
  <c r="AJ20" i="147"/>
  <c r="AI20" i="147"/>
  <c r="AH20" i="147"/>
  <c r="AG20" i="147"/>
  <c r="AF20" i="147"/>
  <c r="AE20" i="147"/>
  <c r="N20" i="147"/>
  <c r="M20" i="147"/>
  <c r="BE19" i="147"/>
  <c r="BD19" i="147"/>
  <c r="BC19" i="147"/>
  <c r="BB19" i="147"/>
  <c r="BA19" i="147"/>
  <c r="AZ19" i="147"/>
  <c r="AY19" i="147"/>
  <c r="AX19" i="147"/>
  <c r="AW19" i="147"/>
  <c r="AV19" i="147"/>
  <c r="AU19" i="147"/>
  <c r="AT19" i="147"/>
  <c r="AS19" i="147"/>
  <c r="AR19" i="147"/>
  <c r="AQ19" i="147"/>
  <c r="AP19" i="147"/>
  <c r="AO19" i="147"/>
  <c r="AN19" i="147"/>
  <c r="AM19" i="147"/>
  <c r="AL19" i="147"/>
  <c r="AK19" i="147"/>
  <c r="AJ19" i="147"/>
  <c r="AI19" i="147"/>
  <c r="AH19" i="147"/>
  <c r="AG19" i="147"/>
  <c r="AF19" i="147"/>
  <c r="AE19" i="147"/>
  <c r="N19" i="147"/>
  <c r="M19" i="147"/>
  <c r="BE18" i="147"/>
  <c r="BD18" i="147"/>
  <c r="BC18" i="147"/>
  <c r="BB18" i="147"/>
  <c r="BA18" i="147"/>
  <c r="AZ18" i="147"/>
  <c r="AY18" i="147"/>
  <c r="AX18" i="147"/>
  <c r="AW18" i="147"/>
  <c r="AV18" i="147"/>
  <c r="AU18" i="147"/>
  <c r="AT18" i="147"/>
  <c r="AS18" i="147"/>
  <c r="AR18" i="147"/>
  <c r="AQ18" i="147"/>
  <c r="AP18" i="147"/>
  <c r="AO18" i="147"/>
  <c r="AN18" i="147"/>
  <c r="AM18" i="147"/>
  <c r="AL18" i="147"/>
  <c r="AK18" i="147"/>
  <c r="AJ18" i="147"/>
  <c r="AI18" i="147"/>
  <c r="AH18" i="147"/>
  <c r="AG18" i="147"/>
  <c r="AF18" i="147"/>
  <c r="AE18" i="147"/>
  <c r="N18" i="147"/>
  <c r="M18" i="147"/>
  <c r="BE17" i="147"/>
  <c r="BD17" i="147"/>
  <c r="BC17" i="147"/>
  <c r="BB17" i="147"/>
  <c r="BA17" i="147"/>
  <c r="AZ17" i="147"/>
  <c r="AY17" i="147"/>
  <c r="AX17" i="147"/>
  <c r="AW17" i="147"/>
  <c r="AV17" i="147"/>
  <c r="AU17" i="147"/>
  <c r="AT17" i="147"/>
  <c r="AS17" i="147"/>
  <c r="AR17" i="147"/>
  <c r="AQ17" i="147"/>
  <c r="AP17" i="147"/>
  <c r="AO17" i="147"/>
  <c r="AN17" i="147"/>
  <c r="AM17" i="147"/>
  <c r="AL17" i="147"/>
  <c r="AK17" i="147"/>
  <c r="AJ17" i="147"/>
  <c r="AI17" i="147"/>
  <c r="AH17" i="147"/>
  <c r="AG17" i="147"/>
  <c r="AF17" i="147"/>
  <c r="AE17" i="147"/>
  <c r="N17" i="147"/>
  <c r="M17" i="147"/>
  <c r="BE16" i="147"/>
  <c r="BD16" i="147"/>
  <c r="BC16" i="147"/>
  <c r="BB16" i="147"/>
  <c r="BA16" i="147"/>
  <c r="AZ16" i="147"/>
  <c r="AY16" i="147"/>
  <c r="AX16" i="147"/>
  <c r="AW16" i="147"/>
  <c r="AV16" i="147"/>
  <c r="AU16" i="147"/>
  <c r="AT16" i="147"/>
  <c r="AS16" i="147"/>
  <c r="AR16" i="147"/>
  <c r="AQ16" i="147"/>
  <c r="AP16" i="147"/>
  <c r="AO16" i="147"/>
  <c r="AN16" i="147"/>
  <c r="AM16" i="147"/>
  <c r="AL16" i="147"/>
  <c r="AK16" i="147"/>
  <c r="AJ16" i="147"/>
  <c r="AI16" i="147"/>
  <c r="AH16" i="147"/>
  <c r="AG16" i="147"/>
  <c r="AF16" i="147"/>
  <c r="AE16" i="147"/>
  <c r="N16" i="147"/>
  <c r="M16" i="147"/>
  <c r="BE15" i="147"/>
  <c r="BD15" i="147"/>
  <c r="BC15" i="147"/>
  <c r="BB15" i="147"/>
  <c r="BA15" i="147"/>
  <c r="AZ15" i="147"/>
  <c r="AY15" i="147"/>
  <c r="AX15" i="147"/>
  <c r="AW15" i="147"/>
  <c r="AV15" i="147"/>
  <c r="AU15" i="147"/>
  <c r="AT15" i="147"/>
  <c r="AS15" i="147"/>
  <c r="AR15" i="147"/>
  <c r="AQ15" i="147"/>
  <c r="AP15" i="147"/>
  <c r="AO15" i="147"/>
  <c r="AN15" i="147"/>
  <c r="AM15" i="147"/>
  <c r="AL15" i="147"/>
  <c r="AK15" i="147"/>
  <c r="AJ15" i="147"/>
  <c r="AI15" i="147"/>
  <c r="AH15" i="147"/>
  <c r="AG15" i="147"/>
  <c r="AF15" i="147"/>
  <c r="AE15" i="147"/>
  <c r="N15" i="147"/>
  <c r="M15" i="147"/>
  <c r="BE14" i="147"/>
  <c r="BD14" i="147"/>
  <c r="BC14" i="147"/>
  <c r="BB14" i="147"/>
  <c r="BA14" i="147"/>
  <c r="AZ14" i="147"/>
  <c r="AY14" i="147"/>
  <c r="AX14" i="147"/>
  <c r="AW14" i="147"/>
  <c r="AV14" i="147"/>
  <c r="AU14" i="147"/>
  <c r="AT14" i="147"/>
  <c r="AS14" i="147"/>
  <c r="AR14" i="147"/>
  <c r="AQ14" i="147"/>
  <c r="AP14" i="147"/>
  <c r="AO14" i="147"/>
  <c r="AN14" i="147"/>
  <c r="AM14" i="147"/>
  <c r="AL14" i="147"/>
  <c r="AK14" i="147"/>
  <c r="AJ14" i="147"/>
  <c r="AI14" i="147"/>
  <c r="AH14" i="147"/>
  <c r="AG14" i="147"/>
  <c r="AF14" i="147"/>
  <c r="AE14" i="147"/>
  <c r="N14" i="147"/>
  <c r="M14" i="147"/>
  <c r="BE13" i="147"/>
  <c r="BD13" i="147"/>
  <c r="BC13" i="147"/>
  <c r="BB13" i="147"/>
  <c r="BA13" i="147"/>
  <c r="AZ13" i="147"/>
  <c r="AY13" i="147"/>
  <c r="AX13" i="147"/>
  <c r="AW13" i="147"/>
  <c r="AV13" i="147"/>
  <c r="AU13" i="147"/>
  <c r="AT13" i="147"/>
  <c r="AS13" i="147"/>
  <c r="AR13" i="147"/>
  <c r="AQ13" i="147"/>
  <c r="AP13" i="147"/>
  <c r="AO13" i="147"/>
  <c r="AN13" i="147"/>
  <c r="AM13" i="147"/>
  <c r="AL13" i="147"/>
  <c r="AK13" i="147"/>
  <c r="AJ13" i="147"/>
  <c r="AI13" i="147"/>
  <c r="AH13" i="147"/>
  <c r="AG13" i="147"/>
  <c r="AF13" i="147"/>
  <c r="AE13" i="147"/>
  <c r="N13" i="147"/>
  <c r="M13" i="147"/>
  <c r="BE12" i="147"/>
  <c r="BD12" i="147"/>
  <c r="BC12" i="147"/>
  <c r="BB12" i="147"/>
  <c r="BA12" i="147"/>
  <c r="AZ12" i="147"/>
  <c r="AY12" i="147"/>
  <c r="AX12" i="147"/>
  <c r="AW12" i="147"/>
  <c r="AV12" i="147"/>
  <c r="AU12" i="147"/>
  <c r="AT12" i="147"/>
  <c r="AS12" i="147"/>
  <c r="AR12" i="147"/>
  <c r="AQ12" i="147"/>
  <c r="AP12" i="147"/>
  <c r="AO12" i="147"/>
  <c r="AN12" i="147"/>
  <c r="AM12" i="147"/>
  <c r="AL12" i="147"/>
  <c r="AK12" i="147"/>
  <c r="AJ12" i="147"/>
  <c r="AI12" i="147"/>
  <c r="AH12" i="147"/>
  <c r="AG12" i="147"/>
  <c r="AF12" i="147"/>
  <c r="AE12" i="147"/>
  <c r="N12" i="147"/>
  <c r="M12" i="147"/>
  <c r="BE11" i="147"/>
  <c r="BD11" i="147"/>
  <c r="BC11" i="147"/>
  <c r="BB11" i="147"/>
  <c r="BA11" i="147"/>
  <c r="AZ11" i="147"/>
  <c r="AY11" i="147"/>
  <c r="AX11" i="147"/>
  <c r="AW11" i="147"/>
  <c r="AV11" i="147"/>
  <c r="AU11" i="147"/>
  <c r="AT11" i="147"/>
  <c r="AS11" i="147"/>
  <c r="AR11" i="147"/>
  <c r="AQ11" i="147"/>
  <c r="AP11" i="147"/>
  <c r="AO11" i="147"/>
  <c r="AN11" i="147"/>
  <c r="AM11" i="147"/>
  <c r="AL11" i="147"/>
  <c r="AK11" i="147"/>
  <c r="AJ11" i="147"/>
  <c r="AI11" i="147"/>
  <c r="AH11" i="147"/>
  <c r="AG11" i="147"/>
  <c r="AF11" i="147"/>
  <c r="AE11" i="147"/>
  <c r="N11" i="147"/>
  <c r="M11" i="147"/>
  <c r="BE10" i="147"/>
  <c r="BD10" i="147"/>
  <c r="BC10" i="147"/>
  <c r="BB10" i="147"/>
  <c r="BA10" i="147"/>
  <c r="AZ10" i="147"/>
  <c r="AY10" i="147"/>
  <c r="AX10" i="147"/>
  <c r="AW10" i="147"/>
  <c r="AV10" i="147"/>
  <c r="AU10" i="147"/>
  <c r="AT10" i="147"/>
  <c r="AS10" i="147"/>
  <c r="AR10" i="147"/>
  <c r="AQ10" i="147"/>
  <c r="AP10" i="147"/>
  <c r="AO10" i="147"/>
  <c r="AN10" i="147"/>
  <c r="AM10" i="147"/>
  <c r="AL10" i="147"/>
  <c r="AK10" i="147"/>
  <c r="AJ10" i="147"/>
  <c r="AI10" i="147"/>
  <c r="AH10" i="147"/>
  <c r="AG10" i="147"/>
  <c r="AF10" i="147"/>
  <c r="AE10" i="147"/>
  <c r="N10" i="147"/>
  <c r="M10" i="147"/>
  <c r="BE9" i="147"/>
  <c r="BD9" i="147"/>
  <c r="BC9" i="147"/>
  <c r="BB9" i="147"/>
  <c r="BA9" i="147"/>
  <c r="AZ9" i="147"/>
  <c r="AY9" i="147"/>
  <c r="AX9" i="147"/>
  <c r="AW9" i="147"/>
  <c r="AV9" i="147"/>
  <c r="AU9" i="147"/>
  <c r="AT9" i="147"/>
  <c r="AS9" i="147"/>
  <c r="AR9" i="147"/>
  <c r="AQ9" i="147"/>
  <c r="AP9" i="147"/>
  <c r="AO9" i="147"/>
  <c r="AN9" i="147"/>
  <c r="AM9" i="147"/>
  <c r="AL9" i="147"/>
  <c r="AK9" i="147"/>
  <c r="AJ9" i="147"/>
  <c r="AI9" i="147"/>
  <c r="AH9" i="147"/>
  <c r="AG9" i="147"/>
  <c r="AF9" i="147"/>
  <c r="AE9" i="147"/>
  <c r="N9" i="147"/>
  <c r="M9" i="147"/>
  <c r="BE8" i="147"/>
  <c r="BD8" i="147"/>
  <c r="BC8" i="147"/>
  <c r="BB8" i="147"/>
  <c r="BA8" i="147"/>
  <c r="AZ8" i="147"/>
  <c r="AY8" i="147"/>
  <c r="AX8" i="147"/>
  <c r="AW8" i="147"/>
  <c r="AV8" i="147"/>
  <c r="AU8" i="147"/>
  <c r="AT8" i="147"/>
  <c r="AS8" i="147"/>
  <c r="AR8" i="147"/>
  <c r="AQ8" i="147"/>
  <c r="AP8" i="147"/>
  <c r="AO8" i="147"/>
  <c r="AN8" i="147"/>
  <c r="AM8" i="147"/>
  <c r="AL8" i="147"/>
  <c r="AK8" i="147"/>
  <c r="AJ8" i="147"/>
  <c r="AI8" i="147"/>
  <c r="AH8" i="147"/>
  <c r="AG8" i="147"/>
  <c r="AF8" i="147"/>
  <c r="AE8" i="147"/>
  <c r="N8" i="147"/>
  <c r="M8" i="147"/>
  <c r="BE7" i="147"/>
  <c r="BD7" i="147"/>
  <c r="BC7" i="147"/>
  <c r="BB7" i="147"/>
  <c r="BA7" i="147"/>
  <c r="AZ7" i="147"/>
  <c r="AY7" i="147"/>
  <c r="AX7" i="147"/>
  <c r="AW7" i="147"/>
  <c r="AV7" i="147"/>
  <c r="AU7" i="147"/>
  <c r="AT7" i="147"/>
  <c r="AS7" i="147"/>
  <c r="AR7" i="147"/>
  <c r="AQ7" i="147"/>
  <c r="AP7" i="147"/>
  <c r="AO7" i="147"/>
  <c r="AN7" i="147"/>
  <c r="AM7" i="147"/>
  <c r="AL7" i="147"/>
  <c r="AK7" i="147"/>
  <c r="AJ7" i="147"/>
  <c r="AI7" i="147"/>
  <c r="AH7" i="147"/>
  <c r="AG7" i="147"/>
  <c r="AF7" i="147"/>
  <c r="AE7" i="147"/>
  <c r="N7" i="147"/>
  <c r="M7" i="147"/>
  <c r="BE6" i="147"/>
  <c r="BD6" i="147"/>
  <c r="BC6" i="147"/>
  <c r="BB6" i="147"/>
  <c r="BA6" i="147"/>
  <c r="AZ6" i="147"/>
  <c r="AY6" i="147"/>
  <c r="AX6" i="147"/>
  <c r="AW6" i="147"/>
  <c r="AV6" i="147"/>
  <c r="AU6" i="147"/>
  <c r="AT6" i="147"/>
  <c r="AS6" i="147"/>
  <c r="AR6" i="147"/>
  <c r="AQ6" i="147"/>
  <c r="AP6" i="147"/>
  <c r="AO6" i="147"/>
  <c r="AN6" i="147"/>
  <c r="AM6" i="147"/>
  <c r="AL6" i="147"/>
  <c r="AK6" i="147"/>
  <c r="AJ6" i="147"/>
  <c r="AI6" i="147"/>
  <c r="AH6" i="147"/>
  <c r="AG6" i="147"/>
  <c r="AF6" i="147"/>
  <c r="AE6" i="147"/>
  <c r="N6" i="147"/>
  <c r="M6" i="147"/>
  <c r="BE5" i="147"/>
  <c r="BD5" i="147"/>
  <c r="BC5" i="147"/>
  <c r="BB5" i="147"/>
  <c r="BA5" i="147"/>
  <c r="AZ5" i="147"/>
  <c r="AY5" i="147"/>
  <c r="AX5" i="147"/>
  <c r="AW5" i="147"/>
  <c r="AV5" i="147"/>
  <c r="AU5" i="147"/>
  <c r="AT5" i="147"/>
  <c r="AS5" i="147"/>
  <c r="AR5" i="147"/>
  <c r="AQ5" i="147"/>
  <c r="AP5" i="147"/>
  <c r="AO5" i="147"/>
  <c r="AN5" i="147"/>
  <c r="AM5" i="147"/>
  <c r="AL5" i="147"/>
  <c r="AK5" i="147"/>
  <c r="AJ5" i="147"/>
  <c r="AI5" i="147"/>
  <c r="AH5" i="147"/>
  <c r="AG5" i="147"/>
  <c r="AF5" i="147"/>
  <c r="AE5" i="147"/>
  <c r="N5" i="147"/>
  <c r="M5" i="147"/>
  <c r="BE4" i="147"/>
  <c r="BD4" i="147"/>
  <c r="BC4" i="147"/>
  <c r="BB4" i="147"/>
  <c r="BA4" i="147"/>
  <c r="AZ4" i="147"/>
  <c r="AY4" i="147"/>
  <c r="AX4" i="147"/>
  <c r="AW4" i="147"/>
  <c r="AV4" i="147"/>
  <c r="AU4" i="147"/>
  <c r="AT4" i="147"/>
  <c r="AS4" i="147"/>
  <c r="AR4" i="147"/>
  <c r="AQ4" i="147"/>
  <c r="AP4" i="147"/>
  <c r="AO4" i="147"/>
  <c r="AN4" i="147"/>
  <c r="AM4" i="147"/>
  <c r="AL4" i="147"/>
  <c r="AK4" i="147"/>
  <c r="AJ4" i="147"/>
  <c r="AI4" i="147"/>
  <c r="AH4" i="147"/>
  <c r="AG4" i="147"/>
  <c r="AF4" i="147"/>
  <c r="AE4" i="147"/>
  <c r="N4" i="147"/>
  <c r="M4" i="147"/>
  <c r="BE3" i="147"/>
  <c r="BD3" i="147"/>
  <c r="BC3" i="147"/>
  <c r="BB3" i="147"/>
  <c r="BA3" i="147"/>
  <c r="AZ3" i="147"/>
  <c r="AY3" i="147"/>
  <c r="AX3" i="147"/>
  <c r="AW3" i="147"/>
  <c r="AV3" i="147"/>
  <c r="AU3" i="147"/>
  <c r="AT3" i="147"/>
  <c r="AS3" i="147"/>
  <c r="AR3" i="147"/>
  <c r="AQ3" i="147"/>
  <c r="AP3" i="147"/>
  <c r="AO3" i="147"/>
  <c r="AN3" i="147"/>
  <c r="AM3" i="147"/>
  <c r="AL3" i="147"/>
  <c r="AK3" i="147"/>
  <c r="AJ3" i="147"/>
  <c r="AI3" i="147"/>
  <c r="AH3" i="147"/>
  <c r="AG3" i="147"/>
  <c r="AF3" i="147"/>
  <c r="AE3" i="147"/>
  <c r="R3" i="147"/>
  <c r="N3" i="147"/>
  <c r="M3" i="147"/>
  <c r="BE2" i="147"/>
  <c r="BD2" i="147"/>
  <c r="BC2" i="147"/>
  <c r="BB2" i="147"/>
  <c r="BA2" i="147"/>
  <c r="AZ2" i="147"/>
  <c r="AY2" i="147"/>
  <c r="AX2" i="147"/>
  <c r="AW2" i="147"/>
  <c r="AV2" i="147"/>
  <c r="AU2" i="147"/>
  <c r="AT2" i="147"/>
  <c r="AS2" i="147"/>
  <c r="AR2" i="147"/>
  <c r="AQ2" i="147"/>
  <c r="AP2" i="147"/>
  <c r="AO2" i="147"/>
  <c r="AN2" i="147"/>
  <c r="AM2" i="147"/>
  <c r="AL2" i="147"/>
  <c r="AK2" i="147"/>
  <c r="AJ2" i="147"/>
  <c r="AI2" i="147"/>
  <c r="AH2" i="147"/>
  <c r="AG2" i="147"/>
  <c r="AF2" i="147"/>
  <c r="AE2" i="147"/>
  <c r="N2" i="147"/>
  <c r="M2" i="147"/>
  <c r="A2" i="147"/>
  <c r="BE1" i="147"/>
  <c r="BD1" i="147"/>
  <c r="BC1" i="147"/>
  <c r="BB1" i="147"/>
  <c r="BA1" i="147"/>
  <c r="AZ1" i="147"/>
  <c r="AY1" i="147"/>
  <c r="AX1" i="147"/>
  <c r="AW1" i="147"/>
  <c r="AV1" i="147"/>
  <c r="AU1" i="147"/>
  <c r="AT1" i="147"/>
  <c r="AS1" i="147"/>
  <c r="AR1" i="147"/>
  <c r="AQ1" i="147"/>
  <c r="AP1" i="147"/>
  <c r="AO1" i="147"/>
  <c r="AN1" i="147"/>
  <c r="AM1" i="147"/>
  <c r="AL1" i="147"/>
  <c r="AK1" i="147"/>
  <c r="AJ1" i="147"/>
  <c r="AI1" i="147"/>
  <c r="AH1" i="147"/>
  <c r="AG1" i="147"/>
  <c r="AF1" i="147"/>
  <c r="Q1" i="147"/>
  <c r="P1" i="147"/>
  <c r="N1" i="147"/>
  <c r="M1" i="147"/>
  <c r="L52" i="148" l="1"/>
  <c r="L53" i="148"/>
  <c r="E53" i="148" s="1"/>
  <c r="L51" i="148"/>
  <c r="C4" i="147"/>
  <c r="G4" i="147" s="1"/>
  <c r="E5" i="147"/>
  <c r="H4" i="147"/>
  <c r="A55" i="24"/>
  <c r="I4" i="147"/>
  <c r="C51" i="148" l="1"/>
  <c r="G51" i="148" s="1"/>
  <c r="H51" i="148"/>
  <c r="H52" i="148"/>
  <c r="C52" i="148"/>
  <c r="G52" i="148" s="1"/>
  <c r="E4" i="147"/>
  <c r="E3" i="147" s="1"/>
  <c r="S3" i="146"/>
  <c r="G58" i="146"/>
  <c r="E58" i="146" s="1"/>
  <c r="G19" i="146"/>
  <c r="G18" i="146"/>
  <c r="G17" i="146"/>
  <c r="G16" i="146"/>
  <c r="G15" i="146"/>
  <c r="G14" i="146"/>
  <c r="G13" i="146"/>
  <c r="G12" i="146"/>
  <c r="G51" i="145"/>
  <c r="G3" i="145"/>
  <c r="R3" i="142"/>
  <c r="I52" i="148"/>
  <c r="I51" i="148"/>
  <c r="B12" i="146" l="1"/>
  <c r="B16" i="146"/>
  <c r="E51" i="148"/>
  <c r="E52" i="148"/>
  <c r="H6" i="146"/>
  <c r="C6" i="146"/>
  <c r="H16" i="146"/>
  <c r="H12" i="146"/>
  <c r="H3" i="142"/>
  <c r="H51" i="142"/>
  <c r="B4" i="147"/>
  <c r="Y3" i="146" l="1"/>
  <c r="X3" i="146"/>
  <c r="A57" i="146" s="1"/>
  <c r="W3" i="146"/>
  <c r="T3" i="146"/>
  <c r="B17" i="146" s="1"/>
  <c r="R3" i="146"/>
  <c r="R3" i="145"/>
  <c r="A51" i="145" s="1"/>
  <c r="A50" i="146"/>
  <c r="N41" i="146"/>
  <c r="M41" i="146"/>
  <c r="N40" i="146"/>
  <c r="M40" i="146"/>
  <c r="N39" i="146"/>
  <c r="M39" i="146"/>
  <c r="N38" i="146"/>
  <c r="M38" i="146"/>
  <c r="N37" i="146"/>
  <c r="M37" i="146"/>
  <c r="N36" i="146"/>
  <c r="M36" i="146"/>
  <c r="N35" i="146"/>
  <c r="M35" i="146"/>
  <c r="N34" i="146"/>
  <c r="M34" i="146"/>
  <c r="BE33" i="146"/>
  <c r="BD33" i="146"/>
  <c r="BC33" i="146"/>
  <c r="BB33" i="146"/>
  <c r="BA33" i="146"/>
  <c r="AZ33" i="146"/>
  <c r="AY33" i="146"/>
  <c r="AX33" i="146"/>
  <c r="AW33" i="146"/>
  <c r="AV33" i="146"/>
  <c r="AU33" i="146"/>
  <c r="AT33" i="146"/>
  <c r="AS33" i="146"/>
  <c r="AR33" i="146"/>
  <c r="AQ33" i="146"/>
  <c r="AP33" i="146"/>
  <c r="AO33" i="146"/>
  <c r="AN33" i="146"/>
  <c r="AM33" i="146"/>
  <c r="AL33" i="146"/>
  <c r="AK33" i="146"/>
  <c r="AJ33" i="146"/>
  <c r="AI33" i="146"/>
  <c r="AH33" i="146"/>
  <c r="AG33" i="146"/>
  <c r="AF33" i="146"/>
  <c r="AE33" i="146"/>
  <c r="N33" i="146"/>
  <c r="M33" i="146"/>
  <c r="BE32" i="146"/>
  <c r="BD32" i="146"/>
  <c r="BC32" i="146"/>
  <c r="BB32" i="146"/>
  <c r="BA32" i="146"/>
  <c r="AZ32" i="146"/>
  <c r="AY32" i="146"/>
  <c r="AX32" i="146"/>
  <c r="AW32" i="146"/>
  <c r="AV32" i="146"/>
  <c r="AU32" i="146"/>
  <c r="AT32" i="146"/>
  <c r="AS32" i="146"/>
  <c r="AR32" i="146"/>
  <c r="AQ32" i="146"/>
  <c r="AP32" i="146"/>
  <c r="AO32" i="146"/>
  <c r="AN32" i="146"/>
  <c r="AM32" i="146"/>
  <c r="AL32" i="146"/>
  <c r="AK32" i="146"/>
  <c r="AJ32" i="146"/>
  <c r="AI32" i="146"/>
  <c r="AH32" i="146"/>
  <c r="AG32" i="146"/>
  <c r="AF32" i="146"/>
  <c r="AE32" i="146"/>
  <c r="N32" i="146"/>
  <c r="M32" i="146"/>
  <c r="BE31" i="146"/>
  <c r="BD31" i="146"/>
  <c r="BC31" i="146"/>
  <c r="BB31" i="146"/>
  <c r="BA31" i="146"/>
  <c r="AZ31" i="146"/>
  <c r="AY31" i="146"/>
  <c r="AX31" i="146"/>
  <c r="AW31" i="146"/>
  <c r="AV31" i="146"/>
  <c r="AU31" i="146"/>
  <c r="AT31" i="146"/>
  <c r="AS31" i="146"/>
  <c r="AR31" i="146"/>
  <c r="AQ31" i="146"/>
  <c r="AP31" i="146"/>
  <c r="AO31" i="146"/>
  <c r="AN31" i="146"/>
  <c r="AM31" i="146"/>
  <c r="AL31" i="146"/>
  <c r="AK31" i="146"/>
  <c r="AJ31" i="146"/>
  <c r="AI31" i="146"/>
  <c r="AH31" i="146"/>
  <c r="AG31" i="146"/>
  <c r="AF31" i="146"/>
  <c r="AE31" i="146"/>
  <c r="N31" i="146"/>
  <c r="M31" i="146"/>
  <c r="BE30" i="146"/>
  <c r="BD30" i="146"/>
  <c r="BC30" i="146"/>
  <c r="BB30" i="146"/>
  <c r="BA30" i="146"/>
  <c r="AZ30" i="146"/>
  <c r="AY30" i="146"/>
  <c r="AX30" i="146"/>
  <c r="AW30" i="146"/>
  <c r="AV30" i="146"/>
  <c r="AU30" i="146"/>
  <c r="AT30" i="146"/>
  <c r="AS30" i="146"/>
  <c r="AR30" i="146"/>
  <c r="AQ30" i="146"/>
  <c r="AP30" i="146"/>
  <c r="AO30" i="146"/>
  <c r="AN30" i="146"/>
  <c r="AM30" i="146"/>
  <c r="AL30" i="146"/>
  <c r="AK30" i="146"/>
  <c r="AJ30" i="146"/>
  <c r="AI30" i="146"/>
  <c r="AH30" i="146"/>
  <c r="AG30" i="146"/>
  <c r="AF30" i="146"/>
  <c r="AE30" i="146"/>
  <c r="N30" i="146"/>
  <c r="M30" i="146"/>
  <c r="BE29" i="146"/>
  <c r="BD29" i="146"/>
  <c r="BC29" i="146"/>
  <c r="BB29" i="146"/>
  <c r="BA29" i="146"/>
  <c r="AZ29" i="146"/>
  <c r="AY29" i="146"/>
  <c r="AX29" i="146"/>
  <c r="AW29" i="146"/>
  <c r="AV29" i="146"/>
  <c r="AU29" i="146"/>
  <c r="AT29" i="146"/>
  <c r="AS29" i="146"/>
  <c r="AR29" i="146"/>
  <c r="AQ29" i="146"/>
  <c r="AP29" i="146"/>
  <c r="AO29" i="146"/>
  <c r="AN29" i="146"/>
  <c r="AM29" i="146"/>
  <c r="AL29" i="146"/>
  <c r="AK29" i="146"/>
  <c r="AJ29" i="146"/>
  <c r="AI29" i="146"/>
  <c r="AH29" i="146"/>
  <c r="AG29" i="146"/>
  <c r="AF29" i="146"/>
  <c r="AE29" i="146"/>
  <c r="N29" i="146"/>
  <c r="M29" i="146"/>
  <c r="BE28" i="146"/>
  <c r="BD28" i="146"/>
  <c r="BC28" i="146"/>
  <c r="BB28" i="146"/>
  <c r="BA28" i="146"/>
  <c r="AZ28" i="146"/>
  <c r="AY28" i="146"/>
  <c r="AX28" i="146"/>
  <c r="AW28" i="146"/>
  <c r="AV28" i="146"/>
  <c r="AU28" i="146"/>
  <c r="AT28" i="146"/>
  <c r="AS28" i="146"/>
  <c r="AR28" i="146"/>
  <c r="AQ28" i="146"/>
  <c r="AP28" i="146"/>
  <c r="AO28" i="146"/>
  <c r="AN28" i="146"/>
  <c r="AM28" i="146"/>
  <c r="AL28" i="146"/>
  <c r="AK28" i="146"/>
  <c r="AJ28" i="146"/>
  <c r="AI28" i="146"/>
  <c r="AH28" i="146"/>
  <c r="AG28" i="146"/>
  <c r="AF28" i="146"/>
  <c r="AE28" i="146"/>
  <c r="N28" i="146"/>
  <c r="M28" i="146"/>
  <c r="BE27" i="146"/>
  <c r="BD27" i="146"/>
  <c r="BC27" i="146"/>
  <c r="BB27" i="146"/>
  <c r="BA27" i="146"/>
  <c r="AZ27" i="146"/>
  <c r="AY27" i="146"/>
  <c r="AX27" i="146"/>
  <c r="AW27" i="146"/>
  <c r="AV27" i="146"/>
  <c r="AU27" i="146"/>
  <c r="AT27" i="146"/>
  <c r="AS27" i="146"/>
  <c r="AR27" i="146"/>
  <c r="AQ27" i="146"/>
  <c r="AP27" i="146"/>
  <c r="AO27" i="146"/>
  <c r="AN27" i="146"/>
  <c r="AM27" i="146"/>
  <c r="AL27" i="146"/>
  <c r="AK27" i="146"/>
  <c r="AJ27" i="146"/>
  <c r="AI27" i="146"/>
  <c r="AH27" i="146"/>
  <c r="AG27" i="146"/>
  <c r="AF27" i="146"/>
  <c r="AE27" i="146"/>
  <c r="N27" i="146"/>
  <c r="M27" i="146"/>
  <c r="BE26" i="146"/>
  <c r="BD26" i="146"/>
  <c r="BC26" i="146"/>
  <c r="BB26" i="146"/>
  <c r="BA26" i="146"/>
  <c r="AZ26" i="146"/>
  <c r="AY26" i="146"/>
  <c r="AX26" i="146"/>
  <c r="AW26" i="146"/>
  <c r="AV26" i="146"/>
  <c r="AU26" i="146"/>
  <c r="AT26" i="146"/>
  <c r="AS26" i="146"/>
  <c r="AR26" i="146"/>
  <c r="AQ26" i="146"/>
  <c r="AP26" i="146"/>
  <c r="AO26" i="146"/>
  <c r="AN26" i="146"/>
  <c r="AM26" i="146"/>
  <c r="AL26" i="146"/>
  <c r="AK26" i="146"/>
  <c r="AJ26" i="146"/>
  <c r="AI26" i="146"/>
  <c r="AH26" i="146"/>
  <c r="AG26" i="146"/>
  <c r="AF26" i="146"/>
  <c r="AE26" i="146"/>
  <c r="N26" i="146"/>
  <c r="M26" i="146"/>
  <c r="BE25" i="146"/>
  <c r="BD25" i="146"/>
  <c r="BC25" i="146"/>
  <c r="BB25" i="146"/>
  <c r="BA25" i="146"/>
  <c r="AZ25" i="146"/>
  <c r="AY25" i="146"/>
  <c r="AX25" i="146"/>
  <c r="AW25" i="146"/>
  <c r="AV25" i="146"/>
  <c r="AU25" i="146"/>
  <c r="AT25" i="146"/>
  <c r="AS25" i="146"/>
  <c r="AR25" i="146"/>
  <c r="AQ25" i="146"/>
  <c r="AP25" i="146"/>
  <c r="AO25" i="146"/>
  <c r="AN25" i="146"/>
  <c r="AM25" i="146"/>
  <c r="AL25" i="146"/>
  <c r="AK25" i="146"/>
  <c r="AJ25" i="146"/>
  <c r="AI25" i="146"/>
  <c r="AH25" i="146"/>
  <c r="AG25" i="146"/>
  <c r="AF25" i="146"/>
  <c r="AE25" i="146"/>
  <c r="N25" i="146"/>
  <c r="M25" i="146"/>
  <c r="BE24" i="146"/>
  <c r="BD24" i="146"/>
  <c r="BC24" i="146"/>
  <c r="BB24" i="146"/>
  <c r="BA24" i="146"/>
  <c r="AZ24" i="146"/>
  <c r="AY24" i="146"/>
  <c r="AX24" i="146"/>
  <c r="AW24" i="146"/>
  <c r="AV24" i="146"/>
  <c r="AU24" i="146"/>
  <c r="AT24" i="146"/>
  <c r="AS24" i="146"/>
  <c r="AR24" i="146"/>
  <c r="AQ24" i="146"/>
  <c r="AP24" i="146"/>
  <c r="AO24" i="146"/>
  <c r="AN24" i="146"/>
  <c r="AM24" i="146"/>
  <c r="AL24" i="146"/>
  <c r="AK24" i="146"/>
  <c r="AJ24" i="146"/>
  <c r="AI24" i="146"/>
  <c r="AH24" i="146"/>
  <c r="AG24" i="146"/>
  <c r="AF24" i="146"/>
  <c r="AE24" i="146"/>
  <c r="N24" i="146"/>
  <c r="M24" i="146"/>
  <c r="BE23" i="146"/>
  <c r="BD23" i="146"/>
  <c r="BC23" i="146"/>
  <c r="BB23" i="146"/>
  <c r="BA23" i="146"/>
  <c r="AZ23" i="146"/>
  <c r="AY23" i="146"/>
  <c r="AX23" i="146"/>
  <c r="AW23" i="146"/>
  <c r="AV23" i="146"/>
  <c r="AU23" i="146"/>
  <c r="AT23" i="146"/>
  <c r="AS23" i="146"/>
  <c r="AR23" i="146"/>
  <c r="AQ23" i="146"/>
  <c r="AP23" i="146"/>
  <c r="AO23" i="146"/>
  <c r="AN23" i="146"/>
  <c r="AM23" i="146"/>
  <c r="AL23" i="146"/>
  <c r="AK23" i="146"/>
  <c r="AJ23" i="146"/>
  <c r="AI23" i="146"/>
  <c r="AH23" i="146"/>
  <c r="AG23" i="146"/>
  <c r="AF23" i="146"/>
  <c r="AE23" i="146"/>
  <c r="N23" i="146"/>
  <c r="M23" i="146"/>
  <c r="BE22" i="146"/>
  <c r="BD22" i="146"/>
  <c r="BC22" i="146"/>
  <c r="BB22" i="146"/>
  <c r="BA22" i="146"/>
  <c r="AZ22" i="146"/>
  <c r="AY22" i="146"/>
  <c r="AX22" i="146"/>
  <c r="AW22" i="146"/>
  <c r="AV22" i="146"/>
  <c r="AU22" i="146"/>
  <c r="AT22" i="146"/>
  <c r="AS22" i="146"/>
  <c r="AR22" i="146"/>
  <c r="AQ22" i="146"/>
  <c r="AP22" i="146"/>
  <c r="AO22" i="146"/>
  <c r="AN22" i="146"/>
  <c r="AM22" i="146"/>
  <c r="AL22" i="146"/>
  <c r="AK22" i="146"/>
  <c r="AJ22" i="146"/>
  <c r="AI22" i="146"/>
  <c r="AH22" i="146"/>
  <c r="AG22" i="146"/>
  <c r="AF22" i="146"/>
  <c r="AE22" i="146"/>
  <c r="N22" i="146"/>
  <c r="M22" i="146"/>
  <c r="BE21" i="146"/>
  <c r="BD21" i="146"/>
  <c r="BC21" i="146"/>
  <c r="BB21" i="146"/>
  <c r="BA21" i="146"/>
  <c r="AZ21" i="146"/>
  <c r="AY21" i="146"/>
  <c r="AX21" i="146"/>
  <c r="AW21" i="146"/>
  <c r="AV21" i="146"/>
  <c r="AU21" i="146"/>
  <c r="AT21" i="146"/>
  <c r="AS21" i="146"/>
  <c r="AR21" i="146"/>
  <c r="AQ21" i="146"/>
  <c r="AP21" i="146"/>
  <c r="AO21" i="146"/>
  <c r="AN21" i="146"/>
  <c r="AM21" i="146"/>
  <c r="AL21" i="146"/>
  <c r="AK21" i="146"/>
  <c r="AJ21" i="146"/>
  <c r="AI21" i="146"/>
  <c r="AH21" i="146"/>
  <c r="AG21" i="146"/>
  <c r="AF21" i="146"/>
  <c r="AE21" i="146"/>
  <c r="N21" i="146"/>
  <c r="M21" i="146"/>
  <c r="BE20" i="146"/>
  <c r="BD20" i="146"/>
  <c r="BC20" i="146"/>
  <c r="BB20" i="146"/>
  <c r="BA20" i="146"/>
  <c r="AZ20" i="146"/>
  <c r="AY20" i="146"/>
  <c r="AX20" i="146"/>
  <c r="AW20" i="146"/>
  <c r="AV20" i="146"/>
  <c r="AU20" i="146"/>
  <c r="AT20" i="146"/>
  <c r="AS20" i="146"/>
  <c r="AR20" i="146"/>
  <c r="AQ20" i="146"/>
  <c r="AP20" i="146"/>
  <c r="AO20" i="146"/>
  <c r="AN20" i="146"/>
  <c r="AM20" i="146"/>
  <c r="AL20" i="146"/>
  <c r="AK20" i="146"/>
  <c r="AJ20" i="146"/>
  <c r="AI20" i="146"/>
  <c r="AH20" i="146"/>
  <c r="AG20" i="146"/>
  <c r="AF20" i="146"/>
  <c r="AE20" i="146"/>
  <c r="N20" i="146"/>
  <c r="M20" i="146"/>
  <c r="BE19" i="146"/>
  <c r="BD19" i="146"/>
  <c r="BC19" i="146"/>
  <c r="BB19" i="146"/>
  <c r="BA19" i="146"/>
  <c r="AZ19" i="146"/>
  <c r="AY19" i="146"/>
  <c r="AX19" i="146"/>
  <c r="AW19" i="146"/>
  <c r="AV19" i="146"/>
  <c r="AU19" i="146"/>
  <c r="AT19" i="146"/>
  <c r="AS19" i="146"/>
  <c r="AR19" i="146"/>
  <c r="AQ19" i="146"/>
  <c r="AP19" i="146"/>
  <c r="AO19" i="146"/>
  <c r="AN19" i="146"/>
  <c r="AM19" i="146"/>
  <c r="AL19" i="146"/>
  <c r="AK19" i="146"/>
  <c r="AJ19" i="146"/>
  <c r="AI19" i="146"/>
  <c r="AH19" i="146"/>
  <c r="AG19" i="146"/>
  <c r="AF19" i="146"/>
  <c r="AE19" i="146"/>
  <c r="N19" i="146"/>
  <c r="M19" i="146"/>
  <c r="BE18" i="146"/>
  <c r="BD18" i="146"/>
  <c r="BC18" i="146"/>
  <c r="BB18" i="146"/>
  <c r="BA18" i="146"/>
  <c r="AZ18" i="146"/>
  <c r="AY18" i="146"/>
  <c r="AX18" i="146"/>
  <c r="AW18" i="146"/>
  <c r="AV18" i="146"/>
  <c r="AU18" i="146"/>
  <c r="AT18" i="146"/>
  <c r="AS18" i="146"/>
  <c r="AR18" i="146"/>
  <c r="AQ18" i="146"/>
  <c r="AP18" i="146"/>
  <c r="AO18" i="146"/>
  <c r="AN18" i="146"/>
  <c r="AM18" i="146"/>
  <c r="AL18" i="146"/>
  <c r="AK18" i="146"/>
  <c r="AJ18" i="146"/>
  <c r="AI18" i="146"/>
  <c r="AH18" i="146"/>
  <c r="AG18" i="146"/>
  <c r="AF18" i="146"/>
  <c r="AE18" i="146"/>
  <c r="N18" i="146"/>
  <c r="M18" i="146"/>
  <c r="BE17" i="146"/>
  <c r="BD17" i="146"/>
  <c r="BC17" i="146"/>
  <c r="BB17" i="146"/>
  <c r="BA17" i="146"/>
  <c r="AZ17" i="146"/>
  <c r="AY17" i="146"/>
  <c r="AX17" i="146"/>
  <c r="AW17" i="146"/>
  <c r="AV17" i="146"/>
  <c r="AU17" i="146"/>
  <c r="AT17" i="146"/>
  <c r="AS17" i="146"/>
  <c r="AR17" i="146"/>
  <c r="AQ17" i="146"/>
  <c r="AP17" i="146"/>
  <c r="AO17" i="146"/>
  <c r="AN17" i="146"/>
  <c r="AM17" i="146"/>
  <c r="AL17" i="146"/>
  <c r="AK17" i="146"/>
  <c r="AJ17" i="146"/>
  <c r="AI17" i="146"/>
  <c r="AH17" i="146"/>
  <c r="AG17" i="146"/>
  <c r="AF17" i="146"/>
  <c r="AE17" i="146"/>
  <c r="N17" i="146"/>
  <c r="M17" i="146"/>
  <c r="BE16" i="146"/>
  <c r="BD16" i="146"/>
  <c r="BC16" i="146"/>
  <c r="BB16" i="146"/>
  <c r="BA16" i="146"/>
  <c r="AZ16" i="146"/>
  <c r="AY16" i="146"/>
  <c r="AX16" i="146"/>
  <c r="AW16" i="146"/>
  <c r="AV16" i="146"/>
  <c r="AU16" i="146"/>
  <c r="AT16" i="146"/>
  <c r="AS16" i="146"/>
  <c r="AR16" i="146"/>
  <c r="AQ16" i="146"/>
  <c r="AP16" i="146"/>
  <c r="AO16" i="146"/>
  <c r="AN16" i="146"/>
  <c r="AM16" i="146"/>
  <c r="AL16" i="146"/>
  <c r="AK16" i="146"/>
  <c r="AJ16" i="146"/>
  <c r="AI16" i="146"/>
  <c r="AH16" i="146"/>
  <c r="AG16" i="146"/>
  <c r="AF16" i="146"/>
  <c r="AE16" i="146"/>
  <c r="N16" i="146"/>
  <c r="M16" i="146"/>
  <c r="BE15" i="146"/>
  <c r="BD15" i="146"/>
  <c r="BC15" i="146"/>
  <c r="BB15" i="146"/>
  <c r="BA15" i="146"/>
  <c r="AZ15" i="146"/>
  <c r="AY15" i="146"/>
  <c r="AX15" i="146"/>
  <c r="AW15" i="146"/>
  <c r="AV15" i="146"/>
  <c r="AU15" i="146"/>
  <c r="AT15" i="146"/>
  <c r="AS15" i="146"/>
  <c r="AR15" i="146"/>
  <c r="AQ15" i="146"/>
  <c r="AP15" i="146"/>
  <c r="AO15" i="146"/>
  <c r="AN15" i="146"/>
  <c r="AM15" i="146"/>
  <c r="AL15" i="146"/>
  <c r="AK15" i="146"/>
  <c r="AJ15" i="146"/>
  <c r="AI15" i="146"/>
  <c r="AH15" i="146"/>
  <c r="AG15" i="146"/>
  <c r="AF15" i="146"/>
  <c r="AE15" i="146"/>
  <c r="N15" i="146"/>
  <c r="M15" i="146"/>
  <c r="BE14" i="146"/>
  <c r="BD14" i="146"/>
  <c r="BC14" i="146"/>
  <c r="BB14" i="146"/>
  <c r="BA14" i="146"/>
  <c r="AZ14" i="146"/>
  <c r="AY14" i="146"/>
  <c r="AX14" i="146"/>
  <c r="AW14" i="146"/>
  <c r="AV14" i="146"/>
  <c r="AU14" i="146"/>
  <c r="AT14" i="146"/>
  <c r="AS14" i="146"/>
  <c r="AR14" i="146"/>
  <c r="AQ14" i="146"/>
  <c r="AP14" i="146"/>
  <c r="AO14" i="146"/>
  <c r="AN14" i="146"/>
  <c r="AM14" i="146"/>
  <c r="AL14" i="146"/>
  <c r="AK14" i="146"/>
  <c r="AJ14" i="146"/>
  <c r="AI14" i="146"/>
  <c r="AH14" i="146"/>
  <c r="AG14" i="146"/>
  <c r="AF14" i="146"/>
  <c r="AE14" i="146"/>
  <c r="N14" i="146"/>
  <c r="M14" i="146"/>
  <c r="BE13" i="146"/>
  <c r="BD13" i="146"/>
  <c r="BC13" i="146"/>
  <c r="BB13" i="146"/>
  <c r="BA13" i="146"/>
  <c r="AZ13" i="146"/>
  <c r="AY13" i="146"/>
  <c r="AX13" i="146"/>
  <c r="AW13" i="146"/>
  <c r="AV13" i="146"/>
  <c r="AU13" i="146"/>
  <c r="AT13" i="146"/>
  <c r="AS13" i="146"/>
  <c r="AR13" i="146"/>
  <c r="AQ13" i="146"/>
  <c r="AP13" i="146"/>
  <c r="AO13" i="146"/>
  <c r="AN13" i="146"/>
  <c r="AM13" i="146"/>
  <c r="AL13" i="146"/>
  <c r="AK13" i="146"/>
  <c r="AJ13" i="146"/>
  <c r="AI13" i="146"/>
  <c r="AH13" i="146"/>
  <c r="AG13" i="146"/>
  <c r="AF13" i="146"/>
  <c r="AE13" i="146"/>
  <c r="N13" i="146"/>
  <c r="M13" i="146"/>
  <c r="BE12" i="146"/>
  <c r="BD12" i="146"/>
  <c r="BC12" i="146"/>
  <c r="BB12" i="146"/>
  <c r="BA12" i="146"/>
  <c r="AZ12" i="146"/>
  <c r="AY12" i="146"/>
  <c r="AX12" i="146"/>
  <c r="AW12" i="146"/>
  <c r="AV12" i="146"/>
  <c r="AU12" i="146"/>
  <c r="AT12" i="146"/>
  <c r="AS12" i="146"/>
  <c r="AR12" i="146"/>
  <c r="AQ12" i="146"/>
  <c r="AP12" i="146"/>
  <c r="AO12" i="146"/>
  <c r="AN12" i="146"/>
  <c r="AM12" i="146"/>
  <c r="AL12" i="146"/>
  <c r="AK12" i="146"/>
  <c r="AJ12" i="146"/>
  <c r="AI12" i="146"/>
  <c r="AH12" i="146"/>
  <c r="AG12" i="146"/>
  <c r="AF12" i="146"/>
  <c r="AE12" i="146"/>
  <c r="N12" i="146"/>
  <c r="M12" i="146"/>
  <c r="BE11" i="146"/>
  <c r="BD11" i="146"/>
  <c r="BC11" i="146"/>
  <c r="BB11" i="146"/>
  <c r="BA11" i="146"/>
  <c r="AZ11" i="146"/>
  <c r="AY11" i="146"/>
  <c r="AX11" i="146"/>
  <c r="AW11" i="146"/>
  <c r="AV11" i="146"/>
  <c r="AU11" i="146"/>
  <c r="AT11" i="146"/>
  <c r="AS11" i="146"/>
  <c r="AR11" i="146"/>
  <c r="AQ11" i="146"/>
  <c r="AP11" i="146"/>
  <c r="AO11" i="146"/>
  <c r="AN11" i="146"/>
  <c r="AM11" i="146"/>
  <c r="AL11" i="146"/>
  <c r="AK11" i="146"/>
  <c r="AJ11" i="146"/>
  <c r="AI11" i="146"/>
  <c r="AH11" i="146"/>
  <c r="AG11" i="146"/>
  <c r="AF11" i="146"/>
  <c r="AE11" i="146"/>
  <c r="N11" i="146"/>
  <c r="M11" i="146"/>
  <c r="BE10" i="146"/>
  <c r="BD10" i="146"/>
  <c r="BC10" i="146"/>
  <c r="BB10" i="146"/>
  <c r="BA10" i="146"/>
  <c r="AZ10" i="146"/>
  <c r="AY10" i="146"/>
  <c r="AX10" i="146"/>
  <c r="AW10" i="146"/>
  <c r="AV10" i="146"/>
  <c r="AU10" i="146"/>
  <c r="AT10" i="146"/>
  <c r="AS10" i="146"/>
  <c r="AR10" i="146"/>
  <c r="AQ10" i="146"/>
  <c r="AP10" i="146"/>
  <c r="AO10" i="146"/>
  <c r="AN10" i="146"/>
  <c r="AM10" i="146"/>
  <c r="AL10" i="146"/>
  <c r="AK10" i="146"/>
  <c r="AJ10" i="146"/>
  <c r="AI10" i="146"/>
  <c r="AH10" i="146"/>
  <c r="AG10" i="146"/>
  <c r="AF10" i="146"/>
  <c r="AE10" i="146"/>
  <c r="N10" i="146"/>
  <c r="M10" i="146"/>
  <c r="BE9" i="146"/>
  <c r="BD9" i="146"/>
  <c r="BC9" i="146"/>
  <c r="BB9" i="146"/>
  <c r="BA9" i="146"/>
  <c r="AZ9" i="146"/>
  <c r="AY9" i="146"/>
  <c r="AX9" i="146"/>
  <c r="AW9" i="146"/>
  <c r="AV9" i="146"/>
  <c r="AU9" i="146"/>
  <c r="AT9" i="146"/>
  <c r="AS9" i="146"/>
  <c r="AR9" i="146"/>
  <c r="AQ9" i="146"/>
  <c r="AP9" i="146"/>
  <c r="AO9" i="146"/>
  <c r="AN9" i="146"/>
  <c r="AM9" i="146"/>
  <c r="AL9" i="146"/>
  <c r="AK9" i="146"/>
  <c r="AJ9" i="146"/>
  <c r="AI9" i="146"/>
  <c r="AH9" i="146"/>
  <c r="AG9" i="146"/>
  <c r="AF9" i="146"/>
  <c r="AE9" i="146"/>
  <c r="N9" i="146"/>
  <c r="M9" i="146"/>
  <c r="BE8" i="146"/>
  <c r="BD8" i="146"/>
  <c r="BC8" i="146"/>
  <c r="BB8" i="146"/>
  <c r="BA8" i="146"/>
  <c r="AZ8" i="146"/>
  <c r="AY8" i="146"/>
  <c r="AX8" i="146"/>
  <c r="AW8" i="146"/>
  <c r="AV8" i="146"/>
  <c r="AU8" i="146"/>
  <c r="AT8" i="146"/>
  <c r="AS8" i="146"/>
  <c r="AR8" i="146"/>
  <c r="AQ8" i="146"/>
  <c r="AP8" i="146"/>
  <c r="AO8" i="146"/>
  <c r="AN8" i="146"/>
  <c r="AM8" i="146"/>
  <c r="AL8" i="146"/>
  <c r="AK8" i="146"/>
  <c r="AJ8" i="146"/>
  <c r="AI8" i="146"/>
  <c r="AH8" i="146"/>
  <c r="AG8" i="146"/>
  <c r="AF8" i="146"/>
  <c r="AE8" i="146"/>
  <c r="N8" i="146"/>
  <c r="M8" i="146"/>
  <c r="BE7" i="146"/>
  <c r="BD7" i="146"/>
  <c r="BC7" i="146"/>
  <c r="BB7" i="146"/>
  <c r="BA7" i="146"/>
  <c r="AZ7" i="146"/>
  <c r="AY7" i="146"/>
  <c r="AX7" i="146"/>
  <c r="AW7" i="146"/>
  <c r="AV7" i="146"/>
  <c r="AU7" i="146"/>
  <c r="AT7" i="146"/>
  <c r="AS7" i="146"/>
  <c r="AR7" i="146"/>
  <c r="AQ7" i="146"/>
  <c r="AP7" i="146"/>
  <c r="AO7" i="146"/>
  <c r="AN7" i="146"/>
  <c r="AM7" i="146"/>
  <c r="AL7" i="146"/>
  <c r="AK7" i="146"/>
  <c r="AJ7" i="146"/>
  <c r="AI7" i="146"/>
  <c r="AH7" i="146"/>
  <c r="AG7" i="146"/>
  <c r="AF7" i="146"/>
  <c r="AE7" i="146"/>
  <c r="N7" i="146"/>
  <c r="M7" i="146"/>
  <c r="BE6" i="146"/>
  <c r="BD6" i="146"/>
  <c r="BC6" i="146"/>
  <c r="BB6" i="146"/>
  <c r="BA6" i="146"/>
  <c r="AZ6" i="146"/>
  <c r="AY6" i="146"/>
  <c r="AX6" i="146"/>
  <c r="AW6" i="146"/>
  <c r="AV6" i="146"/>
  <c r="AU6" i="146"/>
  <c r="AT6" i="146"/>
  <c r="AS6" i="146"/>
  <c r="AR6" i="146"/>
  <c r="AQ6" i="146"/>
  <c r="AP6" i="146"/>
  <c r="AO6" i="146"/>
  <c r="AN6" i="146"/>
  <c r="AM6" i="146"/>
  <c r="AL6" i="146"/>
  <c r="AK6" i="146"/>
  <c r="AJ6" i="146"/>
  <c r="AI6" i="146"/>
  <c r="AH6" i="146"/>
  <c r="AG6" i="146"/>
  <c r="AF6" i="146"/>
  <c r="AE6" i="146"/>
  <c r="N6" i="146"/>
  <c r="M6" i="146"/>
  <c r="BE5" i="146"/>
  <c r="BD5" i="146"/>
  <c r="BC5" i="146"/>
  <c r="BB5" i="146"/>
  <c r="BA5" i="146"/>
  <c r="AZ5" i="146"/>
  <c r="AY5" i="146"/>
  <c r="AX5" i="146"/>
  <c r="AW5" i="146"/>
  <c r="AV5" i="146"/>
  <c r="AU5" i="146"/>
  <c r="AT5" i="146"/>
  <c r="AS5" i="146"/>
  <c r="AR5" i="146"/>
  <c r="AQ5" i="146"/>
  <c r="AP5" i="146"/>
  <c r="AO5" i="146"/>
  <c r="AN5" i="146"/>
  <c r="AM5" i="146"/>
  <c r="AL5" i="146"/>
  <c r="AK5" i="146"/>
  <c r="AJ5" i="146"/>
  <c r="AI5" i="146"/>
  <c r="AH5" i="146"/>
  <c r="AG5" i="146"/>
  <c r="AF5" i="146"/>
  <c r="AE5" i="146"/>
  <c r="N5" i="146"/>
  <c r="M5" i="146"/>
  <c r="BE4" i="146"/>
  <c r="BD4" i="146"/>
  <c r="BC4" i="146"/>
  <c r="BB4" i="146"/>
  <c r="BA4" i="146"/>
  <c r="AZ4" i="146"/>
  <c r="AY4" i="146"/>
  <c r="AX4" i="146"/>
  <c r="AW4" i="146"/>
  <c r="AV4" i="146"/>
  <c r="AU4" i="146"/>
  <c r="AT4" i="146"/>
  <c r="AS4" i="146"/>
  <c r="AR4" i="146"/>
  <c r="AQ4" i="146"/>
  <c r="AP4" i="146"/>
  <c r="AO4" i="146"/>
  <c r="AN4" i="146"/>
  <c r="AM4" i="146"/>
  <c r="AL4" i="146"/>
  <c r="AK4" i="146"/>
  <c r="AJ4" i="146"/>
  <c r="AI4" i="146"/>
  <c r="AH4" i="146"/>
  <c r="AG4" i="146"/>
  <c r="AF4" i="146"/>
  <c r="AE4" i="146"/>
  <c r="N4" i="146"/>
  <c r="G6" i="146" s="1"/>
  <c r="M4" i="146"/>
  <c r="BE3" i="146"/>
  <c r="BD3" i="146"/>
  <c r="BC3" i="146"/>
  <c r="BB3" i="146"/>
  <c r="BA3" i="146"/>
  <c r="AZ3" i="146"/>
  <c r="AY3" i="146"/>
  <c r="AX3" i="146"/>
  <c r="AW3" i="146"/>
  <c r="AV3" i="146"/>
  <c r="AU3" i="146"/>
  <c r="AT3" i="146"/>
  <c r="AS3" i="146"/>
  <c r="AR3" i="146"/>
  <c r="AQ3" i="146"/>
  <c r="AP3" i="146"/>
  <c r="AO3" i="146"/>
  <c r="AN3" i="146"/>
  <c r="AM3" i="146"/>
  <c r="AL3" i="146"/>
  <c r="AK3" i="146"/>
  <c r="AJ3" i="146"/>
  <c r="AI3" i="146"/>
  <c r="AH3" i="146"/>
  <c r="AG3" i="146"/>
  <c r="AF3" i="146"/>
  <c r="AE3" i="146"/>
  <c r="AC3" i="146"/>
  <c r="AB3" i="146"/>
  <c r="AA3" i="146"/>
  <c r="Z3" i="146"/>
  <c r="V3" i="146"/>
  <c r="U3" i="146"/>
  <c r="N3" i="146"/>
  <c r="M3" i="146"/>
  <c r="BE2" i="146"/>
  <c r="BD2" i="146"/>
  <c r="BC2" i="146"/>
  <c r="BB2" i="146"/>
  <c r="BA2" i="146"/>
  <c r="AZ2" i="146"/>
  <c r="AY2" i="146"/>
  <c r="AX2" i="146"/>
  <c r="AW2" i="146"/>
  <c r="AV2" i="146"/>
  <c r="AU2" i="146"/>
  <c r="AT2" i="146"/>
  <c r="AS2" i="146"/>
  <c r="AR2" i="146"/>
  <c r="AQ2" i="146"/>
  <c r="AP2" i="146"/>
  <c r="AO2" i="146"/>
  <c r="AN2" i="146"/>
  <c r="AM2" i="146"/>
  <c r="AL2" i="146"/>
  <c r="AK2" i="146"/>
  <c r="AJ2" i="146"/>
  <c r="AI2" i="146"/>
  <c r="AH2" i="146"/>
  <c r="AG2" i="146"/>
  <c r="AF2" i="146"/>
  <c r="AE2" i="146"/>
  <c r="N2" i="146"/>
  <c r="M2" i="146"/>
  <c r="A2" i="146"/>
  <c r="BE1" i="146"/>
  <c r="BD1" i="146"/>
  <c r="BC1" i="146"/>
  <c r="BB1" i="146"/>
  <c r="BA1" i="146"/>
  <c r="AZ1" i="146"/>
  <c r="AY1" i="146"/>
  <c r="AX1" i="146"/>
  <c r="AW1" i="146"/>
  <c r="AV1" i="146"/>
  <c r="AU1" i="146"/>
  <c r="AT1" i="146"/>
  <c r="AS1" i="146"/>
  <c r="AR1" i="146"/>
  <c r="AQ1" i="146"/>
  <c r="AP1" i="146"/>
  <c r="AO1" i="146"/>
  <c r="AN1" i="146"/>
  <c r="AM1" i="146"/>
  <c r="AL1" i="146"/>
  <c r="AK1" i="146"/>
  <c r="AJ1" i="146"/>
  <c r="AI1" i="146"/>
  <c r="AH1" i="146"/>
  <c r="AG1" i="146"/>
  <c r="AF1" i="146"/>
  <c r="Q1" i="146"/>
  <c r="P1" i="146"/>
  <c r="N1" i="146"/>
  <c r="M1" i="146"/>
  <c r="A50" i="145"/>
  <c r="G51" i="142"/>
  <c r="A51" i="142" s="1"/>
  <c r="G3" i="142"/>
  <c r="N41" i="145"/>
  <c r="M41" i="145"/>
  <c r="N40" i="145"/>
  <c r="M40" i="145"/>
  <c r="N39" i="145"/>
  <c r="M39" i="145"/>
  <c r="N38" i="145"/>
  <c r="M38" i="145"/>
  <c r="N37" i="145"/>
  <c r="M37" i="145"/>
  <c r="N36" i="145"/>
  <c r="M36" i="145"/>
  <c r="N35" i="145"/>
  <c r="M35" i="145"/>
  <c r="N34" i="145"/>
  <c r="M34" i="145"/>
  <c r="BE33" i="145"/>
  <c r="BD33" i="145"/>
  <c r="BC33" i="145"/>
  <c r="BB33" i="145"/>
  <c r="BA33" i="145"/>
  <c r="AZ33" i="145"/>
  <c r="AY33" i="145"/>
  <c r="AX33" i="145"/>
  <c r="AW33" i="145"/>
  <c r="AV33" i="145"/>
  <c r="AU33" i="145"/>
  <c r="AT33" i="145"/>
  <c r="AS33" i="145"/>
  <c r="AR33" i="145"/>
  <c r="AQ33" i="145"/>
  <c r="AP33" i="145"/>
  <c r="AO33" i="145"/>
  <c r="AN33" i="145"/>
  <c r="AM33" i="145"/>
  <c r="AL33" i="145"/>
  <c r="AK33" i="145"/>
  <c r="AJ33" i="145"/>
  <c r="AI33" i="145"/>
  <c r="AH33" i="145"/>
  <c r="AG33" i="145"/>
  <c r="AF33" i="145"/>
  <c r="AE33" i="145"/>
  <c r="N33" i="145"/>
  <c r="M33" i="145"/>
  <c r="BE32" i="145"/>
  <c r="BD32" i="145"/>
  <c r="BC32" i="145"/>
  <c r="BB32" i="145"/>
  <c r="BA32" i="145"/>
  <c r="AZ32" i="145"/>
  <c r="AY32" i="145"/>
  <c r="AX32" i="145"/>
  <c r="AW32" i="145"/>
  <c r="AV32" i="145"/>
  <c r="AU32" i="145"/>
  <c r="AT32" i="145"/>
  <c r="AS32" i="145"/>
  <c r="AR32" i="145"/>
  <c r="AQ32" i="145"/>
  <c r="AP32" i="145"/>
  <c r="AO32" i="145"/>
  <c r="AN32" i="145"/>
  <c r="AM32" i="145"/>
  <c r="AL32" i="145"/>
  <c r="AK32" i="145"/>
  <c r="AJ32" i="145"/>
  <c r="AI32" i="145"/>
  <c r="AH32" i="145"/>
  <c r="AG32" i="145"/>
  <c r="AF32" i="145"/>
  <c r="AE32" i="145"/>
  <c r="N32" i="145"/>
  <c r="M32" i="145"/>
  <c r="BE31" i="145"/>
  <c r="BD31" i="145"/>
  <c r="BC31" i="145"/>
  <c r="BB31" i="145"/>
  <c r="BA31" i="145"/>
  <c r="AZ31" i="145"/>
  <c r="AY31" i="145"/>
  <c r="AX31" i="145"/>
  <c r="AW31" i="145"/>
  <c r="AV31" i="145"/>
  <c r="AU31" i="145"/>
  <c r="AT31" i="145"/>
  <c r="AS31" i="145"/>
  <c r="AR31" i="145"/>
  <c r="AQ31" i="145"/>
  <c r="AP31" i="145"/>
  <c r="AO31" i="145"/>
  <c r="AN31" i="145"/>
  <c r="AM31" i="145"/>
  <c r="AL31" i="145"/>
  <c r="AK31" i="145"/>
  <c r="AJ31" i="145"/>
  <c r="AI31" i="145"/>
  <c r="AH31" i="145"/>
  <c r="AG31" i="145"/>
  <c r="AF31" i="145"/>
  <c r="AE31" i="145"/>
  <c r="N31" i="145"/>
  <c r="M31" i="145"/>
  <c r="BE30" i="145"/>
  <c r="BD30" i="145"/>
  <c r="BC30" i="145"/>
  <c r="BB30" i="145"/>
  <c r="BA30" i="145"/>
  <c r="AZ30" i="145"/>
  <c r="AY30" i="145"/>
  <c r="AX30" i="145"/>
  <c r="AW30" i="145"/>
  <c r="AV30" i="145"/>
  <c r="AU30" i="145"/>
  <c r="AT30" i="145"/>
  <c r="AS30" i="145"/>
  <c r="AR30" i="145"/>
  <c r="AQ30" i="145"/>
  <c r="AP30" i="145"/>
  <c r="AO30" i="145"/>
  <c r="AN30" i="145"/>
  <c r="AM30" i="145"/>
  <c r="AL30" i="145"/>
  <c r="AK30" i="145"/>
  <c r="AJ30" i="145"/>
  <c r="AI30" i="145"/>
  <c r="AH30" i="145"/>
  <c r="AG30" i="145"/>
  <c r="AF30" i="145"/>
  <c r="AE30" i="145"/>
  <c r="N30" i="145"/>
  <c r="M30" i="145"/>
  <c r="BE29" i="145"/>
  <c r="BD29" i="145"/>
  <c r="BC29" i="145"/>
  <c r="BB29" i="145"/>
  <c r="BA29" i="145"/>
  <c r="AZ29" i="145"/>
  <c r="AY29" i="145"/>
  <c r="AX29" i="145"/>
  <c r="AW29" i="145"/>
  <c r="AV29" i="145"/>
  <c r="AU29" i="145"/>
  <c r="AT29" i="145"/>
  <c r="AS29" i="145"/>
  <c r="AR29" i="145"/>
  <c r="AQ29" i="145"/>
  <c r="AP29" i="145"/>
  <c r="AO29" i="145"/>
  <c r="AN29" i="145"/>
  <c r="AM29" i="145"/>
  <c r="AL29" i="145"/>
  <c r="AK29" i="145"/>
  <c r="AJ29" i="145"/>
  <c r="AI29" i="145"/>
  <c r="AH29" i="145"/>
  <c r="AG29" i="145"/>
  <c r="AF29" i="145"/>
  <c r="AE29" i="145"/>
  <c r="N29" i="145"/>
  <c r="M29" i="145"/>
  <c r="BE28" i="145"/>
  <c r="BD28" i="145"/>
  <c r="BC28" i="145"/>
  <c r="BB28" i="145"/>
  <c r="BA28" i="145"/>
  <c r="AZ28" i="145"/>
  <c r="AY28" i="145"/>
  <c r="AX28" i="145"/>
  <c r="AW28" i="145"/>
  <c r="AV28" i="145"/>
  <c r="AU28" i="145"/>
  <c r="AT28" i="145"/>
  <c r="AS28" i="145"/>
  <c r="AR28" i="145"/>
  <c r="AQ28" i="145"/>
  <c r="AP28" i="145"/>
  <c r="AO28" i="145"/>
  <c r="AN28" i="145"/>
  <c r="AM28" i="145"/>
  <c r="AL28" i="145"/>
  <c r="AK28" i="145"/>
  <c r="AJ28" i="145"/>
  <c r="AI28" i="145"/>
  <c r="AH28" i="145"/>
  <c r="AG28" i="145"/>
  <c r="AF28" i="145"/>
  <c r="AE28" i="145"/>
  <c r="N28" i="145"/>
  <c r="M28" i="145"/>
  <c r="BE27" i="145"/>
  <c r="BD27" i="145"/>
  <c r="BC27" i="145"/>
  <c r="BB27" i="145"/>
  <c r="BA27" i="145"/>
  <c r="AZ27" i="145"/>
  <c r="AY27" i="145"/>
  <c r="AX27" i="145"/>
  <c r="AW27" i="145"/>
  <c r="AV27" i="145"/>
  <c r="AU27" i="145"/>
  <c r="AT27" i="145"/>
  <c r="AS27" i="145"/>
  <c r="AR27" i="145"/>
  <c r="AQ27" i="145"/>
  <c r="AP27" i="145"/>
  <c r="AO27" i="145"/>
  <c r="AN27" i="145"/>
  <c r="AM27" i="145"/>
  <c r="AL27" i="145"/>
  <c r="AK27" i="145"/>
  <c r="AJ27" i="145"/>
  <c r="AI27" i="145"/>
  <c r="AH27" i="145"/>
  <c r="AG27" i="145"/>
  <c r="AF27" i="145"/>
  <c r="AE27" i="145"/>
  <c r="N27" i="145"/>
  <c r="M27" i="145"/>
  <c r="BE26" i="145"/>
  <c r="BD26" i="145"/>
  <c r="BC26" i="145"/>
  <c r="BB26" i="145"/>
  <c r="BA26" i="145"/>
  <c r="AZ26" i="145"/>
  <c r="AY26" i="145"/>
  <c r="AX26" i="145"/>
  <c r="AW26" i="145"/>
  <c r="AV26" i="145"/>
  <c r="AU26" i="145"/>
  <c r="AT26" i="145"/>
  <c r="AS26" i="145"/>
  <c r="AR26" i="145"/>
  <c r="AQ26" i="145"/>
  <c r="AP26" i="145"/>
  <c r="AO26" i="145"/>
  <c r="AN26" i="145"/>
  <c r="AM26" i="145"/>
  <c r="AL26" i="145"/>
  <c r="AK26" i="145"/>
  <c r="AJ26" i="145"/>
  <c r="AI26" i="145"/>
  <c r="AH26" i="145"/>
  <c r="AG26" i="145"/>
  <c r="AF26" i="145"/>
  <c r="AE26" i="145"/>
  <c r="N26" i="145"/>
  <c r="M26" i="145"/>
  <c r="BE25" i="145"/>
  <c r="BD25" i="145"/>
  <c r="BC25" i="145"/>
  <c r="BB25" i="145"/>
  <c r="BA25" i="145"/>
  <c r="AZ25" i="145"/>
  <c r="AY25" i="145"/>
  <c r="AX25" i="145"/>
  <c r="AW25" i="145"/>
  <c r="AV25" i="145"/>
  <c r="AU25" i="145"/>
  <c r="AT25" i="145"/>
  <c r="AS25" i="145"/>
  <c r="AR25" i="145"/>
  <c r="AQ25" i="145"/>
  <c r="AP25" i="145"/>
  <c r="AO25" i="145"/>
  <c r="AN25" i="145"/>
  <c r="AM25" i="145"/>
  <c r="AL25" i="145"/>
  <c r="AK25" i="145"/>
  <c r="AJ25" i="145"/>
  <c r="AI25" i="145"/>
  <c r="AH25" i="145"/>
  <c r="AG25" i="145"/>
  <c r="AF25" i="145"/>
  <c r="AE25" i="145"/>
  <c r="N25" i="145"/>
  <c r="M25" i="145"/>
  <c r="BE24" i="145"/>
  <c r="BD24" i="145"/>
  <c r="BC24" i="145"/>
  <c r="BB24" i="145"/>
  <c r="BA24" i="145"/>
  <c r="AZ24" i="145"/>
  <c r="AY24" i="145"/>
  <c r="AX24" i="145"/>
  <c r="AW24" i="145"/>
  <c r="AV24" i="145"/>
  <c r="AU24" i="145"/>
  <c r="AT24" i="145"/>
  <c r="AS24" i="145"/>
  <c r="AR24" i="145"/>
  <c r="AQ24" i="145"/>
  <c r="AP24" i="145"/>
  <c r="AO24" i="145"/>
  <c r="AN24" i="145"/>
  <c r="AM24" i="145"/>
  <c r="AL24" i="145"/>
  <c r="AK24" i="145"/>
  <c r="AJ24" i="145"/>
  <c r="AI24" i="145"/>
  <c r="AH24" i="145"/>
  <c r="AG24" i="145"/>
  <c r="AF24" i="145"/>
  <c r="AE24" i="145"/>
  <c r="N24" i="145"/>
  <c r="M24" i="145"/>
  <c r="BE23" i="145"/>
  <c r="BD23" i="145"/>
  <c r="BC23" i="145"/>
  <c r="BB23" i="145"/>
  <c r="BA23" i="145"/>
  <c r="AZ23" i="145"/>
  <c r="AY23" i="145"/>
  <c r="AX23" i="145"/>
  <c r="AW23" i="145"/>
  <c r="AV23" i="145"/>
  <c r="AU23" i="145"/>
  <c r="AT23" i="145"/>
  <c r="AS23" i="145"/>
  <c r="AR23" i="145"/>
  <c r="AQ23" i="145"/>
  <c r="AP23" i="145"/>
  <c r="AO23" i="145"/>
  <c r="AN23" i="145"/>
  <c r="AM23" i="145"/>
  <c r="AL23" i="145"/>
  <c r="AK23" i="145"/>
  <c r="AJ23" i="145"/>
  <c r="AI23" i="145"/>
  <c r="AH23" i="145"/>
  <c r="AG23" i="145"/>
  <c r="AF23" i="145"/>
  <c r="AE23" i="145"/>
  <c r="N23" i="145"/>
  <c r="M23" i="145"/>
  <c r="BE22" i="145"/>
  <c r="BD22" i="145"/>
  <c r="BC22" i="145"/>
  <c r="BB22" i="145"/>
  <c r="BA22" i="145"/>
  <c r="AZ22" i="145"/>
  <c r="AY22" i="145"/>
  <c r="AX22" i="145"/>
  <c r="AW22" i="145"/>
  <c r="AV22" i="145"/>
  <c r="AU22" i="145"/>
  <c r="AT22" i="145"/>
  <c r="AS22" i="145"/>
  <c r="AR22" i="145"/>
  <c r="AQ22" i="145"/>
  <c r="AP22" i="145"/>
  <c r="AO22" i="145"/>
  <c r="AN22" i="145"/>
  <c r="AM22" i="145"/>
  <c r="AL22" i="145"/>
  <c r="AK22" i="145"/>
  <c r="AJ22" i="145"/>
  <c r="AI22" i="145"/>
  <c r="AH22" i="145"/>
  <c r="AG22" i="145"/>
  <c r="AF22" i="145"/>
  <c r="AE22" i="145"/>
  <c r="N22" i="145"/>
  <c r="M22" i="145"/>
  <c r="BE21" i="145"/>
  <c r="BD21" i="145"/>
  <c r="BC21" i="145"/>
  <c r="BB21" i="145"/>
  <c r="BA21" i="145"/>
  <c r="AZ21" i="145"/>
  <c r="AY21" i="145"/>
  <c r="AX21" i="145"/>
  <c r="AW21" i="145"/>
  <c r="AV21" i="145"/>
  <c r="AU21" i="145"/>
  <c r="AT21" i="145"/>
  <c r="AS21" i="145"/>
  <c r="AR21" i="145"/>
  <c r="AQ21" i="145"/>
  <c r="AP21" i="145"/>
  <c r="AO21" i="145"/>
  <c r="AN21" i="145"/>
  <c r="AM21" i="145"/>
  <c r="AL21" i="145"/>
  <c r="AK21" i="145"/>
  <c r="AJ21" i="145"/>
  <c r="AI21" i="145"/>
  <c r="AH21" i="145"/>
  <c r="AG21" i="145"/>
  <c r="AF21" i="145"/>
  <c r="AE21" i="145"/>
  <c r="N21" i="145"/>
  <c r="M21" i="145"/>
  <c r="BE20" i="145"/>
  <c r="BD20" i="145"/>
  <c r="BC20" i="145"/>
  <c r="BB20" i="145"/>
  <c r="BA20" i="145"/>
  <c r="AZ20" i="145"/>
  <c r="AY20" i="145"/>
  <c r="AX20" i="145"/>
  <c r="AW20" i="145"/>
  <c r="AV20" i="145"/>
  <c r="AU20" i="145"/>
  <c r="AT20" i="145"/>
  <c r="AS20" i="145"/>
  <c r="AR20" i="145"/>
  <c r="AQ20" i="145"/>
  <c r="AP20" i="145"/>
  <c r="AO20" i="145"/>
  <c r="AN20" i="145"/>
  <c r="AM20" i="145"/>
  <c r="AL20" i="145"/>
  <c r="AK20" i="145"/>
  <c r="AJ20" i="145"/>
  <c r="AI20" i="145"/>
  <c r="AH20" i="145"/>
  <c r="AG20" i="145"/>
  <c r="AF20" i="145"/>
  <c r="AE20" i="145"/>
  <c r="N20" i="145"/>
  <c r="M20" i="145"/>
  <c r="BE19" i="145"/>
  <c r="BD19" i="145"/>
  <c r="BC19" i="145"/>
  <c r="BB19" i="145"/>
  <c r="BA19" i="145"/>
  <c r="AZ19" i="145"/>
  <c r="AY19" i="145"/>
  <c r="AX19" i="145"/>
  <c r="AW19" i="145"/>
  <c r="AV19" i="145"/>
  <c r="AU19" i="145"/>
  <c r="AT19" i="145"/>
  <c r="AS19" i="145"/>
  <c r="AR19" i="145"/>
  <c r="AQ19" i="145"/>
  <c r="AP19" i="145"/>
  <c r="AO19" i="145"/>
  <c r="AN19" i="145"/>
  <c r="AM19" i="145"/>
  <c r="AL19" i="145"/>
  <c r="AK19" i="145"/>
  <c r="AJ19" i="145"/>
  <c r="AI19" i="145"/>
  <c r="AH19" i="145"/>
  <c r="AG19" i="145"/>
  <c r="AF19" i="145"/>
  <c r="AE19" i="145"/>
  <c r="N19" i="145"/>
  <c r="M19" i="145"/>
  <c r="BE18" i="145"/>
  <c r="BD18" i="145"/>
  <c r="BC18" i="145"/>
  <c r="BB18" i="145"/>
  <c r="BA18" i="145"/>
  <c r="AZ18" i="145"/>
  <c r="AY18" i="145"/>
  <c r="AX18" i="145"/>
  <c r="AW18" i="145"/>
  <c r="AV18" i="145"/>
  <c r="AU18" i="145"/>
  <c r="AT18" i="145"/>
  <c r="AS18" i="145"/>
  <c r="AR18" i="145"/>
  <c r="AQ18" i="145"/>
  <c r="AP18" i="145"/>
  <c r="AO18" i="145"/>
  <c r="AN18" i="145"/>
  <c r="AM18" i="145"/>
  <c r="AL18" i="145"/>
  <c r="AK18" i="145"/>
  <c r="AJ18" i="145"/>
  <c r="AI18" i="145"/>
  <c r="AH18" i="145"/>
  <c r="AG18" i="145"/>
  <c r="AF18" i="145"/>
  <c r="AE18" i="145"/>
  <c r="N18" i="145"/>
  <c r="M18" i="145"/>
  <c r="BE17" i="145"/>
  <c r="BD17" i="145"/>
  <c r="BC17" i="145"/>
  <c r="BB17" i="145"/>
  <c r="BA17" i="145"/>
  <c r="AZ17" i="145"/>
  <c r="AY17" i="145"/>
  <c r="AX17" i="145"/>
  <c r="AW17" i="145"/>
  <c r="AV17" i="145"/>
  <c r="AU17" i="145"/>
  <c r="AT17" i="145"/>
  <c r="AS17" i="145"/>
  <c r="AR17" i="145"/>
  <c r="AQ17" i="145"/>
  <c r="AP17" i="145"/>
  <c r="AO17" i="145"/>
  <c r="AN17" i="145"/>
  <c r="AM17" i="145"/>
  <c r="AL17" i="145"/>
  <c r="AK17" i="145"/>
  <c r="AJ17" i="145"/>
  <c r="AI17" i="145"/>
  <c r="AH17" i="145"/>
  <c r="AG17" i="145"/>
  <c r="AF17" i="145"/>
  <c r="AE17" i="145"/>
  <c r="N17" i="145"/>
  <c r="M17" i="145"/>
  <c r="BE16" i="145"/>
  <c r="BD16" i="145"/>
  <c r="BC16" i="145"/>
  <c r="BB16" i="145"/>
  <c r="BA16" i="145"/>
  <c r="AZ16" i="145"/>
  <c r="AY16" i="145"/>
  <c r="AX16" i="145"/>
  <c r="AW16" i="145"/>
  <c r="AV16" i="145"/>
  <c r="AU16" i="145"/>
  <c r="AT16" i="145"/>
  <c r="AS16" i="145"/>
  <c r="AR16" i="145"/>
  <c r="AQ16" i="145"/>
  <c r="AP16" i="145"/>
  <c r="AO16" i="145"/>
  <c r="AN16" i="145"/>
  <c r="AM16" i="145"/>
  <c r="AL16" i="145"/>
  <c r="AK16" i="145"/>
  <c r="AJ16" i="145"/>
  <c r="AI16" i="145"/>
  <c r="AH16" i="145"/>
  <c r="AG16" i="145"/>
  <c r="AF16" i="145"/>
  <c r="AE16" i="145"/>
  <c r="N16" i="145"/>
  <c r="M16" i="145"/>
  <c r="BE15" i="145"/>
  <c r="BD15" i="145"/>
  <c r="BC15" i="145"/>
  <c r="BB15" i="145"/>
  <c r="BA15" i="145"/>
  <c r="AZ15" i="145"/>
  <c r="AY15" i="145"/>
  <c r="AX15" i="145"/>
  <c r="AW15" i="145"/>
  <c r="AV15" i="145"/>
  <c r="AU15" i="145"/>
  <c r="AT15" i="145"/>
  <c r="AS15" i="145"/>
  <c r="AR15" i="145"/>
  <c r="AQ15" i="145"/>
  <c r="AP15" i="145"/>
  <c r="AO15" i="145"/>
  <c r="AN15" i="145"/>
  <c r="AM15" i="145"/>
  <c r="AL15" i="145"/>
  <c r="AK15" i="145"/>
  <c r="AJ15" i="145"/>
  <c r="AI15" i="145"/>
  <c r="AH15" i="145"/>
  <c r="AG15" i="145"/>
  <c r="AF15" i="145"/>
  <c r="AE15" i="145"/>
  <c r="N15" i="145"/>
  <c r="M15" i="145"/>
  <c r="BE14" i="145"/>
  <c r="BD14" i="145"/>
  <c r="BC14" i="145"/>
  <c r="BB14" i="145"/>
  <c r="BA14" i="145"/>
  <c r="AZ14" i="145"/>
  <c r="AY14" i="145"/>
  <c r="AX14" i="145"/>
  <c r="AW14" i="145"/>
  <c r="AV14" i="145"/>
  <c r="AU14" i="145"/>
  <c r="AT14" i="145"/>
  <c r="AS14" i="145"/>
  <c r="AR14" i="145"/>
  <c r="AQ14" i="145"/>
  <c r="AP14" i="145"/>
  <c r="AO14" i="145"/>
  <c r="AN14" i="145"/>
  <c r="AM14" i="145"/>
  <c r="AL14" i="145"/>
  <c r="AK14" i="145"/>
  <c r="AJ14" i="145"/>
  <c r="AI14" i="145"/>
  <c r="AH14" i="145"/>
  <c r="AG14" i="145"/>
  <c r="AF14" i="145"/>
  <c r="AE14" i="145"/>
  <c r="N14" i="145"/>
  <c r="M14" i="145"/>
  <c r="BE13" i="145"/>
  <c r="BD13" i="145"/>
  <c r="BC13" i="145"/>
  <c r="BB13" i="145"/>
  <c r="BA13" i="145"/>
  <c r="AZ13" i="145"/>
  <c r="AY13" i="145"/>
  <c r="AX13" i="145"/>
  <c r="AW13" i="145"/>
  <c r="AV13" i="145"/>
  <c r="AU13" i="145"/>
  <c r="AT13" i="145"/>
  <c r="AS13" i="145"/>
  <c r="AR13" i="145"/>
  <c r="AQ13" i="145"/>
  <c r="AP13" i="145"/>
  <c r="AO13" i="145"/>
  <c r="AN13" i="145"/>
  <c r="AM13" i="145"/>
  <c r="AL13" i="145"/>
  <c r="AK13" i="145"/>
  <c r="AJ13" i="145"/>
  <c r="AI13" i="145"/>
  <c r="AH13" i="145"/>
  <c r="AG13" i="145"/>
  <c r="AF13" i="145"/>
  <c r="AE13" i="145"/>
  <c r="N13" i="145"/>
  <c r="M13" i="145"/>
  <c r="BE12" i="145"/>
  <c r="BD12" i="145"/>
  <c r="BC12" i="145"/>
  <c r="BB12" i="145"/>
  <c r="BA12" i="145"/>
  <c r="AZ12" i="145"/>
  <c r="AY12" i="145"/>
  <c r="AX12" i="145"/>
  <c r="AW12" i="145"/>
  <c r="AV12" i="145"/>
  <c r="AU12" i="145"/>
  <c r="AT12" i="145"/>
  <c r="AS12" i="145"/>
  <c r="AR12" i="145"/>
  <c r="AQ12" i="145"/>
  <c r="AP12" i="145"/>
  <c r="AO12" i="145"/>
  <c r="AN12" i="145"/>
  <c r="AM12" i="145"/>
  <c r="AL12" i="145"/>
  <c r="AK12" i="145"/>
  <c r="AJ12" i="145"/>
  <c r="AI12" i="145"/>
  <c r="AH12" i="145"/>
  <c r="AG12" i="145"/>
  <c r="AF12" i="145"/>
  <c r="AE12" i="145"/>
  <c r="N12" i="145"/>
  <c r="M12" i="145"/>
  <c r="BE11" i="145"/>
  <c r="BD11" i="145"/>
  <c r="BC11" i="145"/>
  <c r="BB11" i="145"/>
  <c r="BA11" i="145"/>
  <c r="AZ11" i="145"/>
  <c r="AY11" i="145"/>
  <c r="AX11" i="145"/>
  <c r="AW11" i="145"/>
  <c r="AV11" i="145"/>
  <c r="AU11" i="145"/>
  <c r="AT11" i="145"/>
  <c r="AS11" i="145"/>
  <c r="AR11" i="145"/>
  <c r="AQ11" i="145"/>
  <c r="AP11" i="145"/>
  <c r="AO11" i="145"/>
  <c r="AN11" i="145"/>
  <c r="AM11" i="145"/>
  <c r="AL11" i="145"/>
  <c r="AK11" i="145"/>
  <c r="AJ11" i="145"/>
  <c r="AI11" i="145"/>
  <c r="AH11" i="145"/>
  <c r="AG11" i="145"/>
  <c r="AF11" i="145"/>
  <c r="AE11" i="145"/>
  <c r="N11" i="145"/>
  <c r="M11" i="145"/>
  <c r="BE10" i="145"/>
  <c r="BD10" i="145"/>
  <c r="BC10" i="145"/>
  <c r="BB10" i="145"/>
  <c r="BA10" i="145"/>
  <c r="AZ10" i="145"/>
  <c r="AY10" i="145"/>
  <c r="AX10" i="145"/>
  <c r="AW10" i="145"/>
  <c r="AV10" i="145"/>
  <c r="AU10" i="145"/>
  <c r="AT10" i="145"/>
  <c r="AS10" i="145"/>
  <c r="AR10" i="145"/>
  <c r="AQ10" i="145"/>
  <c r="AP10" i="145"/>
  <c r="AO10" i="145"/>
  <c r="AN10" i="145"/>
  <c r="AM10" i="145"/>
  <c r="AL10" i="145"/>
  <c r="AK10" i="145"/>
  <c r="AJ10" i="145"/>
  <c r="AI10" i="145"/>
  <c r="AH10" i="145"/>
  <c r="AG10" i="145"/>
  <c r="AF10" i="145"/>
  <c r="AE10" i="145"/>
  <c r="N10" i="145"/>
  <c r="M10" i="145"/>
  <c r="BE9" i="145"/>
  <c r="BD9" i="145"/>
  <c r="BC9" i="145"/>
  <c r="BB9" i="145"/>
  <c r="BA9" i="145"/>
  <c r="AZ9" i="145"/>
  <c r="AY9" i="145"/>
  <c r="AX9" i="145"/>
  <c r="AW9" i="145"/>
  <c r="AV9" i="145"/>
  <c r="AU9" i="145"/>
  <c r="AT9" i="145"/>
  <c r="AS9" i="145"/>
  <c r="AR9" i="145"/>
  <c r="AQ9" i="145"/>
  <c r="AP9" i="145"/>
  <c r="AO9" i="145"/>
  <c r="AN9" i="145"/>
  <c r="AM9" i="145"/>
  <c r="AL9" i="145"/>
  <c r="AK9" i="145"/>
  <c r="AJ9" i="145"/>
  <c r="AI9" i="145"/>
  <c r="AH9" i="145"/>
  <c r="AG9" i="145"/>
  <c r="AF9" i="145"/>
  <c r="AE9" i="145"/>
  <c r="N9" i="145"/>
  <c r="M9" i="145"/>
  <c r="BE8" i="145"/>
  <c r="BD8" i="145"/>
  <c r="BC8" i="145"/>
  <c r="BB8" i="145"/>
  <c r="BA8" i="145"/>
  <c r="AZ8" i="145"/>
  <c r="AY8" i="145"/>
  <c r="AX8" i="145"/>
  <c r="AW8" i="145"/>
  <c r="AV8" i="145"/>
  <c r="AU8" i="145"/>
  <c r="AT8" i="145"/>
  <c r="AS8" i="145"/>
  <c r="AR8" i="145"/>
  <c r="AQ8" i="145"/>
  <c r="AP8" i="145"/>
  <c r="AO8" i="145"/>
  <c r="AN8" i="145"/>
  <c r="AM8" i="145"/>
  <c r="AL8" i="145"/>
  <c r="AK8" i="145"/>
  <c r="AJ8" i="145"/>
  <c r="AI8" i="145"/>
  <c r="AH8" i="145"/>
  <c r="AG8" i="145"/>
  <c r="AF8" i="145"/>
  <c r="AE8" i="145"/>
  <c r="N8" i="145"/>
  <c r="M8" i="145"/>
  <c r="BE7" i="145"/>
  <c r="BD7" i="145"/>
  <c r="BC7" i="145"/>
  <c r="BB7" i="145"/>
  <c r="BA7" i="145"/>
  <c r="AZ7" i="145"/>
  <c r="AY7" i="145"/>
  <c r="AX7" i="145"/>
  <c r="AW7" i="145"/>
  <c r="AV7" i="145"/>
  <c r="AU7" i="145"/>
  <c r="AT7" i="145"/>
  <c r="AS7" i="145"/>
  <c r="AR7" i="145"/>
  <c r="AQ7" i="145"/>
  <c r="AP7" i="145"/>
  <c r="AO7" i="145"/>
  <c r="AN7" i="145"/>
  <c r="AM7" i="145"/>
  <c r="AL7" i="145"/>
  <c r="AK7" i="145"/>
  <c r="AJ7" i="145"/>
  <c r="AI7" i="145"/>
  <c r="AH7" i="145"/>
  <c r="AG7" i="145"/>
  <c r="AF7" i="145"/>
  <c r="AE7" i="145"/>
  <c r="N7" i="145"/>
  <c r="M7" i="145"/>
  <c r="BE6" i="145"/>
  <c r="BD6" i="145"/>
  <c r="BC6" i="145"/>
  <c r="BB6" i="145"/>
  <c r="BA6" i="145"/>
  <c r="AZ6" i="145"/>
  <c r="AY6" i="145"/>
  <c r="AX6" i="145"/>
  <c r="AW6" i="145"/>
  <c r="AV6" i="145"/>
  <c r="AU6" i="145"/>
  <c r="AT6" i="145"/>
  <c r="AS6" i="145"/>
  <c r="AR6" i="145"/>
  <c r="AQ6" i="145"/>
  <c r="AP6" i="145"/>
  <c r="AO6" i="145"/>
  <c r="AN6" i="145"/>
  <c r="AM6" i="145"/>
  <c r="AL6" i="145"/>
  <c r="AK6" i="145"/>
  <c r="AJ6" i="145"/>
  <c r="AI6" i="145"/>
  <c r="AH6" i="145"/>
  <c r="AG6" i="145"/>
  <c r="AF6" i="145"/>
  <c r="AE6" i="145"/>
  <c r="N6" i="145"/>
  <c r="M6" i="145"/>
  <c r="BE5" i="145"/>
  <c r="BD5" i="145"/>
  <c r="BC5" i="145"/>
  <c r="BB5" i="145"/>
  <c r="BA5" i="145"/>
  <c r="AZ5" i="145"/>
  <c r="AY5" i="145"/>
  <c r="AX5" i="145"/>
  <c r="AW5" i="145"/>
  <c r="AV5" i="145"/>
  <c r="AU5" i="145"/>
  <c r="AT5" i="145"/>
  <c r="AS5" i="145"/>
  <c r="AR5" i="145"/>
  <c r="AQ5" i="145"/>
  <c r="AP5" i="145"/>
  <c r="AO5" i="145"/>
  <c r="AN5" i="145"/>
  <c r="AM5" i="145"/>
  <c r="AL5" i="145"/>
  <c r="AK5" i="145"/>
  <c r="AJ5" i="145"/>
  <c r="AI5" i="145"/>
  <c r="AH5" i="145"/>
  <c r="AG5" i="145"/>
  <c r="AF5" i="145"/>
  <c r="AE5" i="145"/>
  <c r="N5" i="145"/>
  <c r="M5" i="145"/>
  <c r="BE4" i="145"/>
  <c r="BD4" i="145"/>
  <c r="BC4" i="145"/>
  <c r="BB4" i="145"/>
  <c r="BA4" i="145"/>
  <c r="AZ4" i="145"/>
  <c r="AY4" i="145"/>
  <c r="AX4" i="145"/>
  <c r="AW4" i="145"/>
  <c r="AV4" i="145"/>
  <c r="AU4" i="145"/>
  <c r="AT4" i="145"/>
  <c r="AS4" i="145"/>
  <c r="AR4" i="145"/>
  <c r="AQ4" i="145"/>
  <c r="AP4" i="145"/>
  <c r="AO4" i="145"/>
  <c r="AN4" i="145"/>
  <c r="AM4" i="145"/>
  <c r="AL4" i="145"/>
  <c r="AK4" i="145"/>
  <c r="AJ4" i="145"/>
  <c r="AI4" i="145"/>
  <c r="AH4" i="145"/>
  <c r="AG4" i="145"/>
  <c r="AF4" i="145"/>
  <c r="AE4" i="145"/>
  <c r="N4" i="145"/>
  <c r="M4" i="145"/>
  <c r="BE3" i="145"/>
  <c r="BD3" i="145"/>
  <c r="BC3" i="145"/>
  <c r="BB3" i="145"/>
  <c r="BA3" i="145"/>
  <c r="AZ3" i="145"/>
  <c r="AY3" i="145"/>
  <c r="AX3" i="145"/>
  <c r="AW3" i="145"/>
  <c r="AV3" i="145"/>
  <c r="AU3" i="145"/>
  <c r="AT3" i="145"/>
  <c r="AS3" i="145"/>
  <c r="AR3" i="145"/>
  <c r="AQ3" i="145"/>
  <c r="AP3" i="145"/>
  <c r="AO3" i="145"/>
  <c r="AN3" i="145"/>
  <c r="AM3" i="145"/>
  <c r="AL3" i="145"/>
  <c r="AK3" i="145"/>
  <c r="AJ3" i="145"/>
  <c r="AI3" i="145"/>
  <c r="AH3" i="145"/>
  <c r="AG3" i="145"/>
  <c r="AF3" i="145"/>
  <c r="AE3" i="145"/>
  <c r="N3" i="145"/>
  <c r="M3" i="145"/>
  <c r="BE2" i="145"/>
  <c r="BD2" i="145"/>
  <c r="BC2" i="145"/>
  <c r="BB2" i="145"/>
  <c r="BA2" i="145"/>
  <c r="AZ2" i="145"/>
  <c r="AY2" i="145"/>
  <c r="AX2" i="145"/>
  <c r="AW2" i="145"/>
  <c r="AV2" i="145"/>
  <c r="AU2" i="145"/>
  <c r="AT2" i="145"/>
  <c r="AS2" i="145"/>
  <c r="AR2" i="145"/>
  <c r="AQ2" i="145"/>
  <c r="AP2" i="145"/>
  <c r="AO2" i="145"/>
  <c r="AN2" i="145"/>
  <c r="AM2" i="145"/>
  <c r="AL2" i="145"/>
  <c r="AK2" i="145"/>
  <c r="AJ2" i="145"/>
  <c r="AI2" i="145"/>
  <c r="AH2" i="145"/>
  <c r="AG2" i="145"/>
  <c r="AF2" i="145"/>
  <c r="AE2" i="145"/>
  <c r="N2" i="145"/>
  <c r="M2" i="145"/>
  <c r="A2" i="145"/>
  <c r="BE1" i="145"/>
  <c r="BD1" i="145"/>
  <c r="BC1" i="145"/>
  <c r="BB1" i="145"/>
  <c r="BA1" i="145"/>
  <c r="AZ1" i="145"/>
  <c r="AY1" i="145"/>
  <c r="AX1" i="145"/>
  <c r="AW1" i="145"/>
  <c r="AV1" i="145"/>
  <c r="AU1" i="145"/>
  <c r="AT1" i="145"/>
  <c r="AS1" i="145"/>
  <c r="AR1" i="145"/>
  <c r="AQ1" i="145"/>
  <c r="AP1" i="145"/>
  <c r="AO1" i="145"/>
  <c r="AN1" i="145"/>
  <c r="AM1" i="145"/>
  <c r="AL1" i="145"/>
  <c r="AK1" i="145"/>
  <c r="AJ1" i="145"/>
  <c r="AI1" i="145"/>
  <c r="AH1" i="145"/>
  <c r="AG1" i="145"/>
  <c r="AF1" i="145"/>
  <c r="Q1" i="145"/>
  <c r="P1" i="145"/>
  <c r="N1" i="145"/>
  <c r="M1" i="145"/>
  <c r="N41" i="144"/>
  <c r="M41" i="144"/>
  <c r="N40" i="144"/>
  <c r="M40" i="144"/>
  <c r="N39" i="144"/>
  <c r="M39" i="144"/>
  <c r="N38" i="144"/>
  <c r="M38" i="144"/>
  <c r="N37" i="144"/>
  <c r="M37" i="144"/>
  <c r="N36" i="144"/>
  <c r="M36" i="144"/>
  <c r="N35" i="144"/>
  <c r="M35" i="144"/>
  <c r="N34" i="144"/>
  <c r="M34" i="144"/>
  <c r="BE33" i="144"/>
  <c r="BD33" i="144"/>
  <c r="BC33" i="144"/>
  <c r="BB33" i="144"/>
  <c r="BA33" i="144"/>
  <c r="AZ33" i="144"/>
  <c r="AY33" i="144"/>
  <c r="AX33" i="144"/>
  <c r="AW33" i="144"/>
  <c r="AV33" i="144"/>
  <c r="AU33" i="144"/>
  <c r="AT33" i="144"/>
  <c r="AS33" i="144"/>
  <c r="AR33" i="144"/>
  <c r="AQ33" i="144"/>
  <c r="AP33" i="144"/>
  <c r="AO33" i="144"/>
  <c r="AN33" i="144"/>
  <c r="AM33" i="144"/>
  <c r="AL33" i="144"/>
  <c r="AK33" i="144"/>
  <c r="AJ33" i="144"/>
  <c r="AI33" i="144"/>
  <c r="AH33" i="144"/>
  <c r="AG33" i="144"/>
  <c r="AF33" i="144"/>
  <c r="AE33" i="144"/>
  <c r="N33" i="144"/>
  <c r="M33" i="144"/>
  <c r="BE32" i="144"/>
  <c r="BD32" i="144"/>
  <c r="BC32" i="144"/>
  <c r="BB32" i="144"/>
  <c r="BA32" i="144"/>
  <c r="AZ32" i="144"/>
  <c r="AY32" i="144"/>
  <c r="AX32" i="144"/>
  <c r="AW32" i="144"/>
  <c r="AV32" i="144"/>
  <c r="AU32" i="144"/>
  <c r="AT32" i="144"/>
  <c r="AS32" i="144"/>
  <c r="AR32" i="144"/>
  <c r="AQ32" i="144"/>
  <c r="AP32" i="144"/>
  <c r="AO32" i="144"/>
  <c r="AN32" i="144"/>
  <c r="AM32" i="144"/>
  <c r="AL32" i="144"/>
  <c r="AK32" i="144"/>
  <c r="AJ32" i="144"/>
  <c r="AI32" i="144"/>
  <c r="AH32" i="144"/>
  <c r="AG32" i="144"/>
  <c r="AF32" i="144"/>
  <c r="AE32" i="144"/>
  <c r="N32" i="144"/>
  <c r="M32" i="144"/>
  <c r="BE31" i="144"/>
  <c r="BD31" i="144"/>
  <c r="BC31" i="144"/>
  <c r="BB31" i="144"/>
  <c r="BA31" i="144"/>
  <c r="AZ31" i="144"/>
  <c r="AY31" i="144"/>
  <c r="AX31" i="144"/>
  <c r="AW31" i="144"/>
  <c r="AV31" i="144"/>
  <c r="AU31" i="144"/>
  <c r="AT31" i="144"/>
  <c r="AS31" i="144"/>
  <c r="AR31" i="144"/>
  <c r="AQ31" i="144"/>
  <c r="AP31" i="144"/>
  <c r="AO31" i="144"/>
  <c r="AN31" i="144"/>
  <c r="AM31" i="144"/>
  <c r="AL31" i="144"/>
  <c r="AK31" i="144"/>
  <c r="AJ31" i="144"/>
  <c r="AI31" i="144"/>
  <c r="AH31" i="144"/>
  <c r="AG31" i="144"/>
  <c r="AF31" i="144"/>
  <c r="AE31" i="144"/>
  <c r="N31" i="144"/>
  <c r="M31" i="144"/>
  <c r="BE30" i="144"/>
  <c r="BD30" i="144"/>
  <c r="BC30" i="144"/>
  <c r="BB30" i="144"/>
  <c r="BA30" i="144"/>
  <c r="AZ30" i="144"/>
  <c r="AY30" i="144"/>
  <c r="AX30" i="144"/>
  <c r="AW30" i="144"/>
  <c r="AV30" i="144"/>
  <c r="AU30" i="144"/>
  <c r="AT30" i="144"/>
  <c r="AS30" i="144"/>
  <c r="AR30" i="144"/>
  <c r="AQ30" i="144"/>
  <c r="AP30" i="144"/>
  <c r="AO30" i="144"/>
  <c r="AN30" i="144"/>
  <c r="AM30" i="144"/>
  <c r="AL30" i="144"/>
  <c r="AK30" i="144"/>
  <c r="AJ30" i="144"/>
  <c r="AI30" i="144"/>
  <c r="AH30" i="144"/>
  <c r="AG30" i="144"/>
  <c r="AF30" i="144"/>
  <c r="AE30" i="144"/>
  <c r="N30" i="144"/>
  <c r="M30" i="144"/>
  <c r="BE29" i="144"/>
  <c r="BD29" i="144"/>
  <c r="BC29" i="144"/>
  <c r="BB29" i="144"/>
  <c r="BA29" i="144"/>
  <c r="AZ29" i="144"/>
  <c r="AY29" i="144"/>
  <c r="AX29" i="144"/>
  <c r="AW29" i="144"/>
  <c r="AV29" i="144"/>
  <c r="AU29" i="144"/>
  <c r="AT29" i="144"/>
  <c r="AS29" i="144"/>
  <c r="AR29" i="144"/>
  <c r="AQ29" i="144"/>
  <c r="AP29" i="144"/>
  <c r="AO29" i="144"/>
  <c r="AN29" i="144"/>
  <c r="AM29" i="144"/>
  <c r="AL29" i="144"/>
  <c r="AK29" i="144"/>
  <c r="AJ29" i="144"/>
  <c r="AI29" i="144"/>
  <c r="AH29" i="144"/>
  <c r="AG29" i="144"/>
  <c r="AF29" i="144"/>
  <c r="AE29" i="144"/>
  <c r="N29" i="144"/>
  <c r="M29" i="144"/>
  <c r="BE28" i="144"/>
  <c r="BD28" i="144"/>
  <c r="BC28" i="144"/>
  <c r="BB28" i="144"/>
  <c r="BA28" i="144"/>
  <c r="AZ28" i="144"/>
  <c r="AY28" i="144"/>
  <c r="AX28" i="144"/>
  <c r="AW28" i="144"/>
  <c r="AV28" i="144"/>
  <c r="AU28" i="144"/>
  <c r="AT28" i="144"/>
  <c r="AS28" i="144"/>
  <c r="AR28" i="144"/>
  <c r="AQ28" i="144"/>
  <c r="AP28" i="144"/>
  <c r="AO28" i="144"/>
  <c r="AN28" i="144"/>
  <c r="AM28" i="144"/>
  <c r="AL28" i="144"/>
  <c r="AK28" i="144"/>
  <c r="AJ28" i="144"/>
  <c r="AI28" i="144"/>
  <c r="AH28" i="144"/>
  <c r="AG28" i="144"/>
  <c r="AF28" i="144"/>
  <c r="AE28" i="144"/>
  <c r="N28" i="144"/>
  <c r="M28" i="144"/>
  <c r="BE27" i="144"/>
  <c r="BD27" i="144"/>
  <c r="BC27" i="144"/>
  <c r="BB27" i="144"/>
  <c r="BA27" i="144"/>
  <c r="AZ27" i="144"/>
  <c r="AY27" i="144"/>
  <c r="AX27" i="144"/>
  <c r="AW27" i="144"/>
  <c r="AV27" i="144"/>
  <c r="AU27" i="144"/>
  <c r="AT27" i="144"/>
  <c r="AS27" i="144"/>
  <c r="AR27" i="144"/>
  <c r="AQ27" i="144"/>
  <c r="AP27" i="144"/>
  <c r="AO27" i="144"/>
  <c r="AN27" i="144"/>
  <c r="AM27" i="144"/>
  <c r="AL27" i="144"/>
  <c r="AK27" i="144"/>
  <c r="AJ27" i="144"/>
  <c r="AI27" i="144"/>
  <c r="AH27" i="144"/>
  <c r="AG27" i="144"/>
  <c r="AF27" i="144"/>
  <c r="AE27" i="144"/>
  <c r="N27" i="144"/>
  <c r="M27" i="144"/>
  <c r="BE26" i="144"/>
  <c r="BD26" i="144"/>
  <c r="BC26" i="144"/>
  <c r="BB26" i="144"/>
  <c r="BA26" i="144"/>
  <c r="AZ26" i="144"/>
  <c r="AY26" i="144"/>
  <c r="AX26" i="144"/>
  <c r="AW26" i="144"/>
  <c r="AV26" i="144"/>
  <c r="AU26" i="144"/>
  <c r="AT26" i="144"/>
  <c r="AS26" i="144"/>
  <c r="AR26" i="144"/>
  <c r="AQ26" i="144"/>
  <c r="AP26" i="144"/>
  <c r="AO26" i="144"/>
  <c r="AN26" i="144"/>
  <c r="AM26" i="144"/>
  <c r="AL26" i="144"/>
  <c r="AK26" i="144"/>
  <c r="AJ26" i="144"/>
  <c r="AI26" i="144"/>
  <c r="AH26" i="144"/>
  <c r="AG26" i="144"/>
  <c r="AF26" i="144"/>
  <c r="AE26" i="144"/>
  <c r="N26" i="144"/>
  <c r="M26" i="144"/>
  <c r="BE25" i="144"/>
  <c r="BD25" i="144"/>
  <c r="BC25" i="144"/>
  <c r="BB25" i="144"/>
  <c r="BA25" i="144"/>
  <c r="AZ25" i="144"/>
  <c r="AY25" i="144"/>
  <c r="AX25" i="144"/>
  <c r="AW25" i="144"/>
  <c r="AV25" i="144"/>
  <c r="AU25" i="144"/>
  <c r="AT25" i="144"/>
  <c r="AS25" i="144"/>
  <c r="AR25" i="144"/>
  <c r="AQ25" i="144"/>
  <c r="AP25" i="144"/>
  <c r="AO25" i="144"/>
  <c r="AN25" i="144"/>
  <c r="AM25" i="144"/>
  <c r="AL25" i="144"/>
  <c r="AK25" i="144"/>
  <c r="AJ25" i="144"/>
  <c r="AI25" i="144"/>
  <c r="AH25" i="144"/>
  <c r="AG25" i="144"/>
  <c r="AF25" i="144"/>
  <c r="AE25" i="144"/>
  <c r="N25" i="144"/>
  <c r="M25" i="144"/>
  <c r="BE24" i="144"/>
  <c r="BD24" i="144"/>
  <c r="BC24" i="144"/>
  <c r="BB24" i="144"/>
  <c r="BA24" i="144"/>
  <c r="AZ24" i="144"/>
  <c r="AY24" i="144"/>
  <c r="AX24" i="144"/>
  <c r="AW24" i="144"/>
  <c r="AV24" i="144"/>
  <c r="AU24" i="144"/>
  <c r="AT24" i="144"/>
  <c r="AS24" i="144"/>
  <c r="AR24" i="144"/>
  <c r="AQ24" i="144"/>
  <c r="AP24" i="144"/>
  <c r="AO24" i="144"/>
  <c r="AN24" i="144"/>
  <c r="AM24" i="144"/>
  <c r="AL24" i="144"/>
  <c r="AK24" i="144"/>
  <c r="AJ24" i="144"/>
  <c r="AI24" i="144"/>
  <c r="AH24" i="144"/>
  <c r="AG24" i="144"/>
  <c r="AF24" i="144"/>
  <c r="AE24" i="144"/>
  <c r="N24" i="144"/>
  <c r="M24" i="144"/>
  <c r="BE23" i="144"/>
  <c r="BD23" i="144"/>
  <c r="BC23" i="144"/>
  <c r="BB23" i="144"/>
  <c r="BA23" i="144"/>
  <c r="AZ23" i="144"/>
  <c r="AY23" i="144"/>
  <c r="AX23" i="144"/>
  <c r="AW23" i="144"/>
  <c r="AV23" i="144"/>
  <c r="AU23" i="144"/>
  <c r="AT23" i="144"/>
  <c r="AS23" i="144"/>
  <c r="AR23" i="144"/>
  <c r="AQ23" i="144"/>
  <c r="AP23" i="144"/>
  <c r="AO23" i="144"/>
  <c r="AN23" i="144"/>
  <c r="AM23" i="144"/>
  <c r="AL23" i="144"/>
  <c r="AK23" i="144"/>
  <c r="AJ23" i="144"/>
  <c r="AI23" i="144"/>
  <c r="AH23" i="144"/>
  <c r="AG23" i="144"/>
  <c r="AF23" i="144"/>
  <c r="AE23" i="144"/>
  <c r="N23" i="144"/>
  <c r="M23" i="144"/>
  <c r="BE22" i="144"/>
  <c r="BD22" i="144"/>
  <c r="BC22" i="144"/>
  <c r="BB22" i="144"/>
  <c r="BA22" i="144"/>
  <c r="AZ22" i="144"/>
  <c r="AY22" i="144"/>
  <c r="AX22" i="144"/>
  <c r="AW22" i="144"/>
  <c r="AV22" i="144"/>
  <c r="AU22" i="144"/>
  <c r="AT22" i="144"/>
  <c r="AS22" i="144"/>
  <c r="AR22" i="144"/>
  <c r="AQ22" i="144"/>
  <c r="AP22" i="144"/>
  <c r="AO22" i="144"/>
  <c r="AN22" i="144"/>
  <c r="AM22" i="144"/>
  <c r="AL22" i="144"/>
  <c r="AK22" i="144"/>
  <c r="AJ22" i="144"/>
  <c r="AI22" i="144"/>
  <c r="AH22" i="144"/>
  <c r="AG22" i="144"/>
  <c r="AF22" i="144"/>
  <c r="AE22" i="144"/>
  <c r="N22" i="144"/>
  <c r="M22" i="144"/>
  <c r="BE21" i="144"/>
  <c r="BD21" i="144"/>
  <c r="BC21" i="144"/>
  <c r="BB21" i="144"/>
  <c r="BA21" i="144"/>
  <c r="AZ21" i="144"/>
  <c r="AY21" i="144"/>
  <c r="AX21" i="144"/>
  <c r="AW21" i="144"/>
  <c r="AV21" i="144"/>
  <c r="AU21" i="144"/>
  <c r="AT21" i="144"/>
  <c r="AS21" i="144"/>
  <c r="AR21" i="144"/>
  <c r="AQ21" i="144"/>
  <c r="AP21" i="144"/>
  <c r="AO21" i="144"/>
  <c r="AN21" i="144"/>
  <c r="AM21" i="144"/>
  <c r="AL21" i="144"/>
  <c r="AK21" i="144"/>
  <c r="AJ21" i="144"/>
  <c r="AI21" i="144"/>
  <c r="AH21" i="144"/>
  <c r="AG21" i="144"/>
  <c r="AF21" i="144"/>
  <c r="AE21" i="144"/>
  <c r="N21" i="144"/>
  <c r="M21" i="144"/>
  <c r="BE20" i="144"/>
  <c r="BD20" i="144"/>
  <c r="BC20" i="144"/>
  <c r="BB20" i="144"/>
  <c r="BA20" i="144"/>
  <c r="AZ20" i="144"/>
  <c r="AY20" i="144"/>
  <c r="AX20" i="144"/>
  <c r="AW20" i="144"/>
  <c r="AV20" i="144"/>
  <c r="AU20" i="144"/>
  <c r="AT20" i="144"/>
  <c r="AS20" i="144"/>
  <c r="AR20" i="144"/>
  <c r="AQ20" i="144"/>
  <c r="AP20" i="144"/>
  <c r="AO20" i="144"/>
  <c r="AN20" i="144"/>
  <c r="AM20" i="144"/>
  <c r="AL20" i="144"/>
  <c r="AK20" i="144"/>
  <c r="AJ20" i="144"/>
  <c r="AI20" i="144"/>
  <c r="AH20" i="144"/>
  <c r="AG20" i="144"/>
  <c r="AF20" i="144"/>
  <c r="AE20" i="144"/>
  <c r="N20" i="144"/>
  <c r="M20" i="144"/>
  <c r="BE19" i="144"/>
  <c r="BD19" i="144"/>
  <c r="BC19" i="144"/>
  <c r="BB19" i="144"/>
  <c r="BA19" i="144"/>
  <c r="AZ19" i="144"/>
  <c r="AY19" i="144"/>
  <c r="AX19" i="144"/>
  <c r="AW19" i="144"/>
  <c r="AV19" i="144"/>
  <c r="AU19" i="144"/>
  <c r="AT19" i="144"/>
  <c r="AS19" i="144"/>
  <c r="AR19" i="144"/>
  <c r="AQ19" i="144"/>
  <c r="AP19" i="144"/>
  <c r="AO19" i="144"/>
  <c r="AN19" i="144"/>
  <c r="AM19" i="144"/>
  <c r="AL19" i="144"/>
  <c r="AK19" i="144"/>
  <c r="AJ19" i="144"/>
  <c r="AI19" i="144"/>
  <c r="AH19" i="144"/>
  <c r="AG19" i="144"/>
  <c r="AF19" i="144"/>
  <c r="AE19" i="144"/>
  <c r="N19" i="144"/>
  <c r="M19" i="144"/>
  <c r="BE18" i="144"/>
  <c r="BD18" i="144"/>
  <c r="BC18" i="144"/>
  <c r="BB18" i="144"/>
  <c r="BA18" i="144"/>
  <c r="AZ18" i="144"/>
  <c r="AY18" i="144"/>
  <c r="AX18" i="144"/>
  <c r="AW18" i="144"/>
  <c r="AV18" i="144"/>
  <c r="AU18" i="144"/>
  <c r="AT18" i="144"/>
  <c r="AS18" i="144"/>
  <c r="AR18" i="144"/>
  <c r="AQ18" i="144"/>
  <c r="AP18" i="144"/>
  <c r="AO18" i="144"/>
  <c r="AN18" i="144"/>
  <c r="AM18" i="144"/>
  <c r="AL18" i="144"/>
  <c r="AK18" i="144"/>
  <c r="AJ18" i="144"/>
  <c r="AI18" i="144"/>
  <c r="AH18" i="144"/>
  <c r="AG18" i="144"/>
  <c r="AF18" i="144"/>
  <c r="AE18" i="144"/>
  <c r="N18" i="144"/>
  <c r="M18" i="144"/>
  <c r="BE17" i="144"/>
  <c r="BD17" i="144"/>
  <c r="BC17" i="144"/>
  <c r="BB17" i="144"/>
  <c r="BA17" i="144"/>
  <c r="AZ17" i="144"/>
  <c r="AY17" i="144"/>
  <c r="AX17" i="144"/>
  <c r="AW17" i="144"/>
  <c r="AV17" i="144"/>
  <c r="AU17" i="144"/>
  <c r="AT17" i="144"/>
  <c r="AS17" i="144"/>
  <c r="AR17" i="144"/>
  <c r="AQ17" i="144"/>
  <c r="AP17" i="144"/>
  <c r="AO17" i="144"/>
  <c r="AN17" i="144"/>
  <c r="AM17" i="144"/>
  <c r="AL17" i="144"/>
  <c r="AK17" i="144"/>
  <c r="AJ17" i="144"/>
  <c r="AI17" i="144"/>
  <c r="AH17" i="144"/>
  <c r="AG17" i="144"/>
  <c r="AF17" i="144"/>
  <c r="AE17" i="144"/>
  <c r="N17" i="144"/>
  <c r="M17" i="144"/>
  <c r="BE16" i="144"/>
  <c r="BD16" i="144"/>
  <c r="BC16" i="144"/>
  <c r="BB16" i="144"/>
  <c r="BA16" i="144"/>
  <c r="AZ16" i="144"/>
  <c r="AY16" i="144"/>
  <c r="AX16" i="144"/>
  <c r="AW16" i="144"/>
  <c r="AV16" i="144"/>
  <c r="AU16" i="144"/>
  <c r="AT16" i="144"/>
  <c r="AS16" i="144"/>
  <c r="AR16" i="144"/>
  <c r="AQ16" i="144"/>
  <c r="AP16" i="144"/>
  <c r="AO16" i="144"/>
  <c r="AN16" i="144"/>
  <c r="AM16" i="144"/>
  <c r="AL16" i="144"/>
  <c r="AK16" i="144"/>
  <c r="AJ16" i="144"/>
  <c r="AI16" i="144"/>
  <c r="AH16" i="144"/>
  <c r="AG16" i="144"/>
  <c r="AF16" i="144"/>
  <c r="AE16" i="144"/>
  <c r="N16" i="144"/>
  <c r="M16" i="144"/>
  <c r="BE15" i="144"/>
  <c r="BD15" i="144"/>
  <c r="BC15" i="144"/>
  <c r="BB15" i="144"/>
  <c r="BA15" i="144"/>
  <c r="AZ15" i="144"/>
  <c r="AY15" i="144"/>
  <c r="AX15" i="144"/>
  <c r="AW15" i="144"/>
  <c r="AV15" i="144"/>
  <c r="AU15" i="144"/>
  <c r="AT15" i="144"/>
  <c r="AS15" i="144"/>
  <c r="AR15" i="144"/>
  <c r="AQ15" i="144"/>
  <c r="AP15" i="144"/>
  <c r="AO15" i="144"/>
  <c r="AN15" i="144"/>
  <c r="AM15" i="144"/>
  <c r="AL15" i="144"/>
  <c r="AK15" i="144"/>
  <c r="AJ15" i="144"/>
  <c r="AI15" i="144"/>
  <c r="AH15" i="144"/>
  <c r="AG15" i="144"/>
  <c r="AF15" i="144"/>
  <c r="AE15" i="144"/>
  <c r="N15" i="144"/>
  <c r="M15" i="144"/>
  <c r="BE14" i="144"/>
  <c r="BD14" i="144"/>
  <c r="BC14" i="144"/>
  <c r="BB14" i="144"/>
  <c r="BA14" i="144"/>
  <c r="AZ14" i="144"/>
  <c r="AY14" i="144"/>
  <c r="AX14" i="144"/>
  <c r="AW14" i="144"/>
  <c r="AV14" i="144"/>
  <c r="AU14" i="144"/>
  <c r="AT14" i="144"/>
  <c r="AS14" i="144"/>
  <c r="AR14" i="144"/>
  <c r="AQ14" i="144"/>
  <c r="AP14" i="144"/>
  <c r="AO14" i="144"/>
  <c r="AN14" i="144"/>
  <c r="AM14" i="144"/>
  <c r="AL14" i="144"/>
  <c r="AK14" i="144"/>
  <c r="AJ14" i="144"/>
  <c r="AI14" i="144"/>
  <c r="AH14" i="144"/>
  <c r="AG14" i="144"/>
  <c r="AF14" i="144"/>
  <c r="AE14" i="144"/>
  <c r="N14" i="144"/>
  <c r="M14" i="144"/>
  <c r="BE13" i="144"/>
  <c r="BD13" i="144"/>
  <c r="BC13" i="144"/>
  <c r="BB13" i="144"/>
  <c r="BA13" i="144"/>
  <c r="AZ13" i="144"/>
  <c r="AY13" i="144"/>
  <c r="AX13" i="144"/>
  <c r="AW13" i="144"/>
  <c r="AV13" i="144"/>
  <c r="AU13" i="144"/>
  <c r="AT13" i="144"/>
  <c r="AS13" i="144"/>
  <c r="AR13" i="144"/>
  <c r="AQ13" i="144"/>
  <c r="AP13" i="144"/>
  <c r="AO13" i="144"/>
  <c r="AN13" i="144"/>
  <c r="AM13" i="144"/>
  <c r="AL13" i="144"/>
  <c r="AK13" i="144"/>
  <c r="AJ13" i="144"/>
  <c r="AI13" i="144"/>
  <c r="AH13" i="144"/>
  <c r="AG13" i="144"/>
  <c r="AF13" i="144"/>
  <c r="AE13" i="144"/>
  <c r="N13" i="144"/>
  <c r="M13" i="144"/>
  <c r="BE12" i="144"/>
  <c r="BD12" i="144"/>
  <c r="BC12" i="144"/>
  <c r="BB12" i="144"/>
  <c r="BA12" i="144"/>
  <c r="AZ12" i="144"/>
  <c r="AY12" i="144"/>
  <c r="AX12" i="144"/>
  <c r="AW12" i="144"/>
  <c r="AV12" i="144"/>
  <c r="AU12" i="144"/>
  <c r="AT12" i="144"/>
  <c r="AS12" i="144"/>
  <c r="AR12" i="144"/>
  <c r="AQ12" i="144"/>
  <c r="AP12" i="144"/>
  <c r="AO12" i="144"/>
  <c r="AN12" i="144"/>
  <c r="AM12" i="144"/>
  <c r="AL12" i="144"/>
  <c r="AK12" i="144"/>
  <c r="AJ12" i="144"/>
  <c r="AI12" i="144"/>
  <c r="AH12" i="144"/>
  <c r="AG12" i="144"/>
  <c r="AF12" i="144"/>
  <c r="AE12" i="144"/>
  <c r="N12" i="144"/>
  <c r="M12" i="144"/>
  <c r="BE11" i="144"/>
  <c r="BD11" i="144"/>
  <c r="BC11" i="144"/>
  <c r="BB11" i="144"/>
  <c r="BA11" i="144"/>
  <c r="AZ11" i="144"/>
  <c r="AY11" i="144"/>
  <c r="AX11" i="144"/>
  <c r="AW11" i="144"/>
  <c r="AV11" i="144"/>
  <c r="AU11" i="144"/>
  <c r="AT11" i="144"/>
  <c r="AS11" i="144"/>
  <c r="AR11" i="144"/>
  <c r="AQ11" i="144"/>
  <c r="AP11" i="144"/>
  <c r="AO11" i="144"/>
  <c r="AN11" i="144"/>
  <c r="AM11" i="144"/>
  <c r="AL11" i="144"/>
  <c r="AK11" i="144"/>
  <c r="AJ11" i="144"/>
  <c r="AI11" i="144"/>
  <c r="AH11" i="144"/>
  <c r="AG11" i="144"/>
  <c r="AF11" i="144"/>
  <c r="AE11" i="144"/>
  <c r="N11" i="144"/>
  <c r="M11" i="144"/>
  <c r="BE10" i="144"/>
  <c r="BD10" i="144"/>
  <c r="BC10" i="144"/>
  <c r="BB10" i="144"/>
  <c r="BA10" i="144"/>
  <c r="AZ10" i="144"/>
  <c r="AY10" i="144"/>
  <c r="AX10" i="144"/>
  <c r="AW10" i="144"/>
  <c r="AV10" i="144"/>
  <c r="AU10" i="144"/>
  <c r="AT10" i="144"/>
  <c r="AS10" i="144"/>
  <c r="AR10" i="144"/>
  <c r="AQ10" i="144"/>
  <c r="AP10" i="144"/>
  <c r="AO10" i="144"/>
  <c r="AN10" i="144"/>
  <c r="AM10" i="144"/>
  <c r="AL10" i="144"/>
  <c r="AK10" i="144"/>
  <c r="AJ10" i="144"/>
  <c r="AI10" i="144"/>
  <c r="AH10" i="144"/>
  <c r="AG10" i="144"/>
  <c r="AF10" i="144"/>
  <c r="AE10" i="144"/>
  <c r="N10" i="144"/>
  <c r="M10" i="144"/>
  <c r="BE9" i="144"/>
  <c r="BD9" i="144"/>
  <c r="BC9" i="144"/>
  <c r="BB9" i="144"/>
  <c r="BA9" i="144"/>
  <c r="AZ9" i="144"/>
  <c r="AY9" i="144"/>
  <c r="AX9" i="144"/>
  <c r="AW9" i="144"/>
  <c r="AV9" i="144"/>
  <c r="AU9" i="144"/>
  <c r="AT9" i="144"/>
  <c r="AS9" i="144"/>
  <c r="AR9" i="144"/>
  <c r="AQ9" i="144"/>
  <c r="AP9" i="144"/>
  <c r="AO9" i="144"/>
  <c r="AN9" i="144"/>
  <c r="AM9" i="144"/>
  <c r="AL9" i="144"/>
  <c r="AK9" i="144"/>
  <c r="AJ9" i="144"/>
  <c r="AI9" i="144"/>
  <c r="AH9" i="144"/>
  <c r="AG9" i="144"/>
  <c r="AF9" i="144"/>
  <c r="AE9" i="144"/>
  <c r="N9" i="144"/>
  <c r="M9" i="144"/>
  <c r="BE8" i="144"/>
  <c r="BD8" i="144"/>
  <c r="BC8" i="144"/>
  <c r="BB8" i="144"/>
  <c r="BA8" i="144"/>
  <c r="AZ8" i="144"/>
  <c r="AY8" i="144"/>
  <c r="AX8" i="144"/>
  <c r="AW8" i="144"/>
  <c r="AV8" i="144"/>
  <c r="AU8" i="144"/>
  <c r="AT8" i="144"/>
  <c r="AS8" i="144"/>
  <c r="AR8" i="144"/>
  <c r="AQ8" i="144"/>
  <c r="AP8" i="144"/>
  <c r="AO8" i="144"/>
  <c r="AN8" i="144"/>
  <c r="AM8" i="144"/>
  <c r="AL8" i="144"/>
  <c r="AK8" i="144"/>
  <c r="AJ8" i="144"/>
  <c r="AI8" i="144"/>
  <c r="AH8" i="144"/>
  <c r="AG8" i="144"/>
  <c r="AF8" i="144"/>
  <c r="AE8" i="144"/>
  <c r="N8" i="144"/>
  <c r="M8" i="144"/>
  <c r="BE7" i="144"/>
  <c r="BD7" i="144"/>
  <c r="BC7" i="144"/>
  <c r="BB7" i="144"/>
  <c r="BA7" i="144"/>
  <c r="AZ7" i="144"/>
  <c r="AY7" i="144"/>
  <c r="AX7" i="144"/>
  <c r="AW7" i="144"/>
  <c r="AV7" i="144"/>
  <c r="AU7" i="144"/>
  <c r="AT7" i="144"/>
  <c r="AS7" i="144"/>
  <c r="AR7" i="144"/>
  <c r="AQ7" i="144"/>
  <c r="AP7" i="144"/>
  <c r="AO7" i="144"/>
  <c r="AN7" i="144"/>
  <c r="AM7" i="144"/>
  <c r="AL7" i="144"/>
  <c r="AK7" i="144"/>
  <c r="AJ7" i="144"/>
  <c r="AI7" i="144"/>
  <c r="AH7" i="144"/>
  <c r="AG7" i="144"/>
  <c r="AF7" i="144"/>
  <c r="AE7" i="144"/>
  <c r="N7" i="144"/>
  <c r="M7" i="144"/>
  <c r="BE6" i="144"/>
  <c r="BD6" i="144"/>
  <c r="BC6" i="144"/>
  <c r="BB6" i="144"/>
  <c r="BA6" i="144"/>
  <c r="AZ6" i="144"/>
  <c r="AY6" i="144"/>
  <c r="AX6" i="144"/>
  <c r="AW6" i="144"/>
  <c r="AV6" i="144"/>
  <c r="AU6" i="144"/>
  <c r="AT6" i="144"/>
  <c r="AS6" i="144"/>
  <c r="AR6" i="144"/>
  <c r="AQ6" i="144"/>
  <c r="AP6" i="144"/>
  <c r="AO6" i="144"/>
  <c r="AN6" i="144"/>
  <c r="AM6" i="144"/>
  <c r="AL6" i="144"/>
  <c r="AK6" i="144"/>
  <c r="AJ6" i="144"/>
  <c r="AI6" i="144"/>
  <c r="AH6" i="144"/>
  <c r="AG6" i="144"/>
  <c r="AF6" i="144"/>
  <c r="AE6" i="144"/>
  <c r="N6" i="144"/>
  <c r="M6" i="144"/>
  <c r="BE5" i="144"/>
  <c r="BD5" i="144"/>
  <c r="BC5" i="144"/>
  <c r="BB5" i="144"/>
  <c r="BA5" i="144"/>
  <c r="AZ5" i="144"/>
  <c r="AY5" i="144"/>
  <c r="AX5" i="144"/>
  <c r="AW5" i="144"/>
  <c r="AV5" i="144"/>
  <c r="AU5" i="144"/>
  <c r="AT5" i="144"/>
  <c r="AS5" i="144"/>
  <c r="AR5" i="144"/>
  <c r="AQ5" i="144"/>
  <c r="AP5" i="144"/>
  <c r="AO5" i="144"/>
  <c r="AN5" i="144"/>
  <c r="AM5" i="144"/>
  <c r="AL5" i="144"/>
  <c r="AK5" i="144"/>
  <c r="AJ5" i="144"/>
  <c r="AI5" i="144"/>
  <c r="AH5" i="144"/>
  <c r="AG5" i="144"/>
  <c r="AF5" i="144"/>
  <c r="AE5" i="144"/>
  <c r="N5" i="144"/>
  <c r="M5" i="144"/>
  <c r="BE4" i="144"/>
  <c r="BD4" i="144"/>
  <c r="BC4" i="144"/>
  <c r="BB4" i="144"/>
  <c r="BA4" i="144"/>
  <c r="AZ4" i="144"/>
  <c r="AY4" i="144"/>
  <c r="AX4" i="144"/>
  <c r="AW4" i="144"/>
  <c r="AV4" i="144"/>
  <c r="AU4" i="144"/>
  <c r="AT4" i="144"/>
  <c r="AS4" i="144"/>
  <c r="AR4" i="144"/>
  <c r="AQ4" i="144"/>
  <c r="AP4" i="144"/>
  <c r="AO4" i="144"/>
  <c r="AN4" i="144"/>
  <c r="AM4" i="144"/>
  <c r="AL4" i="144"/>
  <c r="AK4" i="144"/>
  <c r="AJ4" i="144"/>
  <c r="AI4" i="144"/>
  <c r="AH4" i="144"/>
  <c r="AG4" i="144"/>
  <c r="AF4" i="144"/>
  <c r="AE4" i="144"/>
  <c r="BE3" i="144"/>
  <c r="BD3" i="144"/>
  <c r="BC3" i="144"/>
  <c r="BB3" i="144"/>
  <c r="BA3" i="144"/>
  <c r="AZ3" i="144"/>
  <c r="AY3" i="144"/>
  <c r="AX3" i="144"/>
  <c r="AW3" i="144"/>
  <c r="AV3" i="144"/>
  <c r="AU3" i="144"/>
  <c r="AT3" i="144"/>
  <c r="AS3" i="144"/>
  <c r="AR3" i="144"/>
  <c r="AQ3" i="144"/>
  <c r="AP3" i="144"/>
  <c r="AO3" i="144"/>
  <c r="AN3" i="144"/>
  <c r="AM3" i="144"/>
  <c r="AL3" i="144"/>
  <c r="AK3" i="144"/>
  <c r="AJ3" i="144"/>
  <c r="AI3" i="144"/>
  <c r="AH3" i="144"/>
  <c r="AG3" i="144"/>
  <c r="AF3" i="144"/>
  <c r="AE3" i="144"/>
  <c r="R3" i="144"/>
  <c r="BE2" i="144"/>
  <c r="BD2" i="144"/>
  <c r="BC2" i="144"/>
  <c r="BB2" i="144"/>
  <c r="BA2" i="144"/>
  <c r="AZ2" i="144"/>
  <c r="AY2" i="144"/>
  <c r="AX2" i="144"/>
  <c r="AW2" i="144"/>
  <c r="AV2" i="144"/>
  <c r="AU2" i="144"/>
  <c r="AT2" i="144"/>
  <c r="AS2" i="144"/>
  <c r="AR2" i="144"/>
  <c r="AQ2" i="144"/>
  <c r="AP2" i="144"/>
  <c r="AO2" i="144"/>
  <c r="AN2" i="144"/>
  <c r="AM2" i="144"/>
  <c r="AL2" i="144"/>
  <c r="AK2" i="144"/>
  <c r="AJ2" i="144"/>
  <c r="AI2" i="144"/>
  <c r="AH2" i="144"/>
  <c r="AG2" i="144"/>
  <c r="AF2" i="144"/>
  <c r="AE2" i="144"/>
  <c r="N2" i="144"/>
  <c r="M2" i="144"/>
  <c r="A2" i="144"/>
  <c r="BE1" i="144"/>
  <c r="BD1" i="144"/>
  <c r="BC1" i="144"/>
  <c r="BB1" i="144"/>
  <c r="BA1" i="144"/>
  <c r="AZ1" i="144"/>
  <c r="AY1" i="144"/>
  <c r="AX1" i="144"/>
  <c r="AW1" i="144"/>
  <c r="AV1" i="144"/>
  <c r="AU1" i="144"/>
  <c r="AT1" i="144"/>
  <c r="AS1" i="144"/>
  <c r="AR1" i="144"/>
  <c r="AQ1" i="144"/>
  <c r="AP1" i="144"/>
  <c r="AO1" i="144"/>
  <c r="AN1" i="144"/>
  <c r="AM1" i="144"/>
  <c r="AL1" i="144"/>
  <c r="AK1" i="144"/>
  <c r="AJ1" i="144"/>
  <c r="AI1" i="144"/>
  <c r="AH1" i="144"/>
  <c r="AG1" i="144"/>
  <c r="AF1" i="144"/>
  <c r="Q1" i="144"/>
  <c r="P1" i="144"/>
  <c r="N1" i="144"/>
  <c r="M1" i="144"/>
  <c r="R3" i="143"/>
  <c r="H3" i="143" s="1"/>
  <c r="K13" i="139"/>
  <c r="K14" i="139" s="1"/>
  <c r="N41" i="143"/>
  <c r="M41" i="143"/>
  <c r="N40" i="143"/>
  <c r="M40" i="143"/>
  <c r="N39" i="143"/>
  <c r="M39" i="143"/>
  <c r="N38" i="143"/>
  <c r="M38" i="143"/>
  <c r="N37" i="143"/>
  <c r="M37" i="143"/>
  <c r="N36" i="143"/>
  <c r="M36" i="143"/>
  <c r="N35" i="143"/>
  <c r="M35" i="143"/>
  <c r="N34" i="143"/>
  <c r="M34" i="143"/>
  <c r="BE33" i="143"/>
  <c r="BD33" i="143"/>
  <c r="BC33" i="143"/>
  <c r="BB33" i="143"/>
  <c r="BA33" i="143"/>
  <c r="AZ33" i="143"/>
  <c r="AY33" i="143"/>
  <c r="AX33" i="143"/>
  <c r="AW33" i="143"/>
  <c r="AV33" i="143"/>
  <c r="AU33" i="143"/>
  <c r="AT33" i="143"/>
  <c r="AS33" i="143"/>
  <c r="AR33" i="143"/>
  <c r="AQ33" i="143"/>
  <c r="AP33" i="143"/>
  <c r="AO33" i="143"/>
  <c r="AN33" i="143"/>
  <c r="AM33" i="143"/>
  <c r="AL33" i="143"/>
  <c r="AK33" i="143"/>
  <c r="AJ33" i="143"/>
  <c r="AI33" i="143"/>
  <c r="AH33" i="143"/>
  <c r="AG33" i="143"/>
  <c r="AF33" i="143"/>
  <c r="AE33" i="143"/>
  <c r="N33" i="143"/>
  <c r="M33" i="143"/>
  <c r="BE32" i="143"/>
  <c r="BD32" i="143"/>
  <c r="BC32" i="143"/>
  <c r="BB32" i="143"/>
  <c r="BA32" i="143"/>
  <c r="AZ32" i="143"/>
  <c r="AY32" i="143"/>
  <c r="AX32" i="143"/>
  <c r="AW32" i="143"/>
  <c r="AV32" i="143"/>
  <c r="AU32" i="143"/>
  <c r="AT32" i="143"/>
  <c r="AS32" i="143"/>
  <c r="AR32" i="143"/>
  <c r="AQ32" i="143"/>
  <c r="AP32" i="143"/>
  <c r="AO32" i="143"/>
  <c r="AN32" i="143"/>
  <c r="AM32" i="143"/>
  <c r="AL32" i="143"/>
  <c r="AK32" i="143"/>
  <c r="AJ32" i="143"/>
  <c r="AI32" i="143"/>
  <c r="AH32" i="143"/>
  <c r="AG32" i="143"/>
  <c r="AF32" i="143"/>
  <c r="AE32" i="143"/>
  <c r="N32" i="143"/>
  <c r="M32" i="143"/>
  <c r="BE31" i="143"/>
  <c r="BD31" i="143"/>
  <c r="BC31" i="143"/>
  <c r="BB31" i="143"/>
  <c r="BA31" i="143"/>
  <c r="AZ31" i="143"/>
  <c r="AY31" i="143"/>
  <c r="AX31" i="143"/>
  <c r="AW31" i="143"/>
  <c r="AV31" i="143"/>
  <c r="AU31" i="143"/>
  <c r="AT31" i="143"/>
  <c r="AS31" i="143"/>
  <c r="AR31" i="143"/>
  <c r="AQ31" i="143"/>
  <c r="AP31" i="143"/>
  <c r="AO31" i="143"/>
  <c r="AN31" i="143"/>
  <c r="AM31" i="143"/>
  <c r="AL31" i="143"/>
  <c r="AK31" i="143"/>
  <c r="AJ31" i="143"/>
  <c r="AI31" i="143"/>
  <c r="AH31" i="143"/>
  <c r="AG31" i="143"/>
  <c r="AF31" i="143"/>
  <c r="AE31" i="143"/>
  <c r="N31" i="143"/>
  <c r="M31" i="143"/>
  <c r="BE30" i="143"/>
  <c r="BD30" i="143"/>
  <c r="BC30" i="143"/>
  <c r="BB30" i="143"/>
  <c r="BA30" i="143"/>
  <c r="AZ30" i="143"/>
  <c r="AY30" i="143"/>
  <c r="AX30" i="143"/>
  <c r="AW30" i="143"/>
  <c r="AV30" i="143"/>
  <c r="AU30" i="143"/>
  <c r="AT30" i="143"/>
  <c r="AS30" i="143"/>
  <c r="AR30" i="143"/>
  <c r="AQ30" i="143"/>
  <c r="AP30" i="143"/>
  <c r="AO30" i="143"/>
  <c r="AN30" i="143"/>
  <c r="AM30" i="143"/>
  <c r="AL30" i="143"/>
  <c r="AK30" i="143"/>
  <c r="AJ30" i="143"/>
  <c r="AI30" i="143"/>
  <c r="AH30" i="143"/>
  <c r="AG30" i="143"/>
  <c r="AF30" i="143"/>
  <c r="AE30" i="143"/>
  <c r="N30" i="143"/>
  <c r="M30" i="143"/>
  <c r="BE29" i="143"/>
  <c r="BD29" i="143"/>
  <c r="BC29" i="143"/>
  <c r="BB29" i="143"/>
  <c r="BA29" i="143"/>
  <c r="AZ29" i="143"/>
  <c r="AY29" i="143"/>
  <c r="AX29" i="143"/>
  <c r="AW29" i="143"/>
  <c r="AV29" i="143"/>
  <c r="AU29" i="143"/>
  <c r="AT29" i="143"/>
  <c r="AS29" i="143"/>
  <c r="AR29" i="143"/>
  <c r="AQ29" i="143"/>
  <c r="AP29" i="143"/>
  <c r="AO29" i="143"/>
  <c r="AN29" i="143"/>
  <c r="AM29" i="143"/>
  <c r="AL29" i="143"/>
  <c r="AK29" i="143"/>
  <c r="AJ29" i="143"/>
  <c r="AI29" i="143"/>
  <c r="AH29" i="143"/>
  <c r="AG29" i="143"/>
  <c r="AF29" i="143"/>
  <c r="AE29" i="143"/>
  <c r="N29" i="143"/>
  <c r="M29" i="143"/>
  <c r="BE28" i="143"/>
  <c r="BD28" i="143"/>
  <c r="BC28" i="143"/>
  <c r="BB28" i="143"/>
  <c r="BA28" i="143"/>
  <c r="AZ28" i="143"/>
  <c r="AY28" i="143"/>
  <c r="AX28" i="143"/>
  <c r="AW28" i="143"/>
  <c r="AV28" i="143"/>
  <c r="AU28" i="143"/>
  <c r="AT28" i="143"/>
  <c r="AS28" i="143"/>
  <c r="AR28" i="143"/>
  <c r="AQ28" i="143"/>
  <c r="AP28" i="143"/>
  <c r="AO28" i="143"/>
  <c r="AN28" i="143"/>
  <c r="AM28" i="143"/>
  <c r="AL28" i="143"/>
  <c r="AK28" i="143"/>
  <c r="AJ28" i="143"/>
  <c r="AI28" i="143"/>
  <c r="AH28" i="143"/>
  <c r="AG28" i="143"/>
  <c r="AF28" i="143"/>
  <c r="AE28" i="143"/>
  <c r="N28" i="143"/>
  <c r="M28" i="143"/>
  <c r="BE27" i="143"/>
  <c r="BD27" i="143"/>
  <c r="BC27" i="143"/>
  <c r="BB27" i="143"/>
  <c r="BA27" i="143"/>
  <c r="AZ27" i="143"/>
  <c r="AY27" i="143"/>
  <c r="AX27" i="143"/>
  <c r="AW27" i="143"/>
  <c r="AV27" i="143"/>
  <c r="AU27" i="143"/>
  <c r="AT27" i="143"/>
  <c r="AS27" i="143"/>
  <c r="AR27" i="143"/>
  <c r="AQ27" i="143"/>
  <c r="AP27" i="143"/>
  <c r="AO27" i="143"/>
  <c r="AN27" i="143"/>
  <c r="AM27" i="143"/>
  <c r="AL27" i="143"/>
  <c r="AK27" i="143"/>
  <c r="AJ27" i="143"/>
  <c r="AI27" i="143"/>
  <c r="AH27" i="143"/>
  <c r="AG27" i="143"/>
  <c r="AF27" i="143"/>
  <c r="AE27" i="143"/>
  <c r="N27" i="143"/>
  <c r="M27" i="143"/>
  <c r="BE26" i="143"/>
  <c r="BD26" i="143"/>
  <c r="BC26" i="143"/>
  <c r="BB26" i="143"/>
  <c r="BA26" i="143"/>
  <c r="AZ26" i="143"/>
  <c r="AY26" i="143"/>
  <c r="AX26" i="143"/>
  <c r="AW26" i="143"/>
  <c r="AV26" i="143"/>
  <c r="AU26" i="143"/>
  <c r="AT26" i="143"/>
  <c r="AS26" i="143"/>
  <c r="AR26" i="143"/>
  <c r="AQ26" i="143"/>
  <c r="AP26" i="143"/>
  <c r="AO26" i="143"/>
  <c r="AN26" i="143"/>
  <c r="AM26" i="143"/>
  <c r="AL26" i="143"/>
  <c r="AK26" i="143"/>
  <c r="AJ26" i="143"/>
  <c r="AI26" i="143"/>
  <c r="AH26" i="143"/>
  <c r="AG26" i="143"/>
  <c r="AF26" i="143"/>
  <c r="AE26" i="143"/>
  <c r="N26" i="143"/>
  <c r="M26" i="143"/>
  <c r="BE25" i="143"/>
  <c r="BD25" i="143"/>
  <c r="BC25" i="143"/>
  <c r="BB25" i="143"/>
  <c r="BA25" i="143"/>
  <c r="AZ25" i="143"/>
  <c r="AY25" i="143"/>
  <c r="AX25" i="143"/>
  <c r="AW25" i="143"/>
  <c r="AV25" i="143"/>
  <c r="AU25" i="143"/>
  <c r="AT25" i="143"/>
  <c r="AS25" i="143"/>
  <c r="AR25" i="143"/>
  <c r="AQ25" i="143"/>
  <c r="AP25" i="143"/>
  <c r="AO25" i="143"/>
  <c r="AN25" i="143"/>
  <c r="AM25" i="143"/>
  <c r="AL25" i="143"/>
  <c r="AK25" i="143"/>
  <c r="AJ25" i="143"/>
  <c r="AI25" i="143"/>
  <c r="AH25" i="143"/>
  <c r="AG25" i="143"/>
  <c r="AF25" i="143"/>
  <c r="AE25" i="143"/>
  <c r="N25" i="143"/>
  <c r="M25" i="143"/>
  <c r="BE24" i="143"/>
  <c r="BD24" i="143"/>
  <c r="BC24" i="143"/>
  <c r="BB24" i="143"/>
  <c r="BA24" i="143"/>
  <c r="AZ24" i="143"/>
  <c r="AY24" i="143"/>
  <c r="AX24" i="143"/>
  <c r="AW24" i="143"/>
  <c r="AV24" i="143"/>
  <c r="AU24" i="143"/>
  <c r="AT24" i="143"/>
  <c r="AS24" i="143"/>
  <c r="AR24" i="143"/>
  <c r="AQ24" i="143"/>
  <c r="AP24" i="143"/>
  <c r="AO24" i="143"/>
  <c r="AN24" i="143"/>
  <c r="AM24" i="143"/>
  <c r="AL24" i="143"/>
  <c r="AK24" i="143"/>
  <c r="AJ24" i="143"/>
  <c r="AI24" i="143"/>
  <c r="AH24" i="143"/>
  <c r="AG24" i="143"/>
  <c r="AF24" i="143"/>
  <c r="AE24" i="143"/>
  <c r="N24" i="143"/>
  <c r="M24" i="143"/>
  <c r="BE23" i="143"/>
  <c r="BD23" i="143"/>
  <c r="BC23" i="143"/>
  <c r="BB23" i="143"/>
  <c r="BA23" i="143"/>
  <c r="AZ23" i="143"/>
  <c r="AY23" i="143"/>
  <c r="AX23" i="143"/>
  <c r="AW23" i="143"/>
  <c r="AV23" i="143"/>
  <c r="AU23" i="143"/>
  <c r="AT23" i="143"/>
  <c r="AS23" i="143"/>
  <c r="AR23" i="143"/>
  <c r="AQ23" i="143"/>
  <c r="AP23" i="143"/>
  <c r="AO23" i="143"/>
  <c r="AN23" i="143"/>
  <c r="AM23" i="143"/>
  <c r="AL23" i="143"/>
  <c r="AK23" i="143"/>
  <c r="AJ23" i="143"/>
  <c r="AI23" i="143"/>
  <c r="AH23" i="143"/>
  <c r="AG23" i="143"/>
  <c r="AF23" i="143"/>
  <c r="AE23" i="143"/>
  <c r="N23" i="143"/>
  <c r="M23" i="143"/>
  <c r="BE22" i="143"/>
  <c r="BD22" i="143"/>
  <c r="BC22" i="143"/>
  <c r="BB22" i="143"/>
  <c r="BA22" i="143"/>
  <c r="AZ22" i="143"/>
  <c r="AY22" i="143"/>
  <c r="AX22" i="143"/>
  <c r="AW22" i="143"/>
  <c r="AV22" i="143"/>
  <c r="AU22" i="143"/>
  <c r="AT22" i="143"/>
  <c r="AS22" i="143"/>
  <c r="AR22" i="143"/>
  <c r="AQ22" i="143"/>
  <c r="AP22" i="143"/>
  <c r="AO22" i="143"/>
  <c r="AN22" i="143"/>
  <c r="AM22" i="143"/>
  <c r="AL22" i="143"/>
  <c r="AK22" i="143"/>
  <c r="AJ22" i="143"/>
  <c r="AI22" i="143"/>
  <c r="AH22" i="143"/>
  <c r="AG22" i="143"/>
  <c r="AF22" i="143"/>
  <c r="AE22" i="143"/>
  <c r="N22" i="143"/>
  <c r="M22" i="143"/>
  <c r="BE21" i="143"/>
  <c r="BD21" i="143"/>
  <c r="BC21" i="143"/>
  <c r="BB21" i="143"/>
  <c r="BA21" i="143"/>
  <c r="AZ21" i="143"/>
  <c r="AY21" i="143"/>
  <c r="AX21" i="143"/>
  <c r="AW21" i="143"/>
  <c r="AV21" i="143"/>
  <c r="AU21" i="143"/>
  <c r="AT21" i="143"/>
  <c r="AS21" i="143"/>
  <c r="AR21" i="143"/>
  <c r="AQ21" i="143"/>
  <c r="AP21" i="143"/>
  <c r="AO21" i="143"/>
  <c r="AN21" i="143"/>
  <c r="AM21" i="143"/>
  <c r="AL21" i="143"/>
  <c r="AK21" i="143"/>
  <c r="AJ21" i="143"/>
  <c r="AI21" i="143"/>
  <c r="AH21" i="143"/>
  <c r="AG21" i="143"/>
  <c r="AF21" i="143"/>
  <c r="AE21" i="143"/>
  <c r="N21" i="143"/>
  <c r="M21" i="143"/>
  <c r="BE20" i="143"/>
  <c r="BD20" i="143"/>
  <c r="BC20" i="143"/>
  <c r="BB20" i="143"/>
  <c r="BA20" i="143"/>
  <c r="AZ20" i="143"/>
  <c r="AY20" i="143"/>
  <c r="AX20" i="143"/>
  <c r="AW20" i="143"/>
  <c r="AV20" i="143"/>
  <c r="AU20" i="143"/>
  <c r="AT20" i="143"/>
  <c r="AS20" i="143"/>
  <c r="AR20" i="143"/>
  <c r="AQ20" i="143"/>
  <c r="AP20" i="143"/>
  <c r="AO20" i="143"/>
  <c r="AN20" i="143"/>
  <c r="AM20" i="143"/>
  <c r="AL20" i="143"/>
  <c r="AK20" i="143"/>
  <c r="AJ20" i="143"/>
  <c r="AI20" i="143"/>
  <c r="AH20" i="143"/>
  <c r="AG20" i="143"/>
  <c r="AF20" i="143"/>
  <c r="AE20" i="143"/>
  <c r="N20" i="143"/>
  <c r="M20" i="143"/>
  <c r="BE19" i="143"/>
  <c r="BD19" i="143"/>
  <c r="BC19" i="143"/>
  <c r="BB19" i="143"/>
  <c r="BA19" i="143"/>
  <c r="AZ19" i="143"/>
  <c r="AY19" i="143"/>
  <c r="AX19" i="143"/>
  <c r="AW19" i="143"/>
  <c r="AV19" i="143"/>
  <c r="AU19" i="143"/>
  <c r="AT19" i="143"/>
  <c r="AS19" i="143"/>
  <c r="AR19" i="143"/>
  <c r="AQ19" i="143"/>
  <c r="AP19" i="143"/>
  <c r="AO19" i="143"/>
  <c r="AN19" i="143"/>
  <c r="AM19" i="143"/>
  <c r="AL19" i="143"/>
  <c r="AK19" i="143"/>
  <c r="AJ19" i="143"/>
  <c r="AI19" i="143"/>
  <c r="AH19" i="143"/>
  <c r="AG19" i="143"/>
  <c r="AF19" i="143"/>
  <c r="AE19" i="143"/>
  <c r="N19" i="143"/>
  <c r="M19" i="143"/>
  <c r="BE18" i="143"/>
  <c r="BD18" i="143"/>
  <c r="BC18" i="143"/>
  <c r="BB18" i="143"/>
  <c r="BA18" i="143"/>
  <c r="AZ18" i="143"/>
  <c r="AY18" i="143"/>
  <c r="AX18" i="143"/>
  <c r="AW18" i="143"/>
  <c r="AV18" i="143"/>
  <c r="AU18" i="143"/>
  <c r="AT18" i="143"/>
  <c r="AS18" i="143"/>
  <c r="AR18" i="143"/>
  <c r="AQ18" i="143"/>
  <c r="AP18" i="143"/>
  <c r="AO18" i="143"/>
  <c r="AN18" i="143"/>
  <c r="AM18" i="143"/>
  <c r="AL18" i="143"/>
  <c r="AK18" i="143"/>
  <c r="AJ18" i="143"/>
  <c r="AI18" i="143"/>
  <c r="AH18" i="143"/>
  <c r="AG18" i="143"/>
  <c r="AF18" i="143"/>
  <c r="AE18" i="143"/>
  <c r="N18" i="143"/>
  <c r="M18" i="143"/>
  <c r="BE17" i="143"/>
  <c r="BD17" i="143"/>
  <c r="BC17" i="143"/>
  <c r="BB17" i="143"/>
  <c r="BA17" i="143"/>
  <c r="AZ17" i="143"/>
  <c r="AY17" i="143"/>
  <c r="AX17" i="143"/>
  <c r="AW17" i="143"/>
  <c r="AV17" i="143"/>
  <c r="AU17" i="143"/>
  <c r="AT17" i="143"/>
  <c r="AS17" i="143"/>
  <c r="AR17" i="143"/>
  <c r="AQ17" i="143"/>
  <c r="AP17" i="143"/>
  <c r="AO17" i="143"/>
  <c r="AN17" i="143"/>
  <c r="AM17" i="143"/>
  <c r="AL17" i="143"/>
  <c r="AK17" i="143"/>
  <c r="AJ17" i="143"/>
  <c r="AI17" i="143"/>
  <c r="AH17" i="143"/>
  <c r="AG17" i="143"/>
  <c r="AF17" i="143"/>
  <c r="AE17" i="143"/>
  <c r="N17" i="143"/>
  <c r="M17" i="143"/>
  <c r="BE16" i="143"/>
  <c r="BD16" i="143"/>
  <c r="BC16" i="143"/>
  <c r="BB16" i="143"/>
  <c r="BA16" i="143"/>
  <c r="AZ16" i="143"/>
  <c r="AY16" i="143"/>
  <c r="AX16" i="143"/>
  <c r="AW16" i="143"/>
  <c r="AV16" i="143"/>
  <c r="AU16" i="143"/>
  <c r="AT16" i="143"/>
  <c r="AS16" i="143"/>
  <c r="AR16" i="143"/>
  <c r="AQ16" i="143"/>
  <c r="AP16" i="143"/>
  <c r="AO16" i="143"/>
  <c r="AN16" i="143"/>
  <c r="AM16" i="143"/>
  <c r="AL16" i="143"/>
  <c r="AK16" i="143"/>
  <c r="AJ16" i="143"/>
  <c r="AI16" i="143"/>
  <c r="AH16" i="143"/>
  <c r="AG16" i="143"/>
  <c r="AF16" i="143"/>
  <c r="AE16" i="143"/>
  <c r="N16" i="143"/>
  <c r="M16" i="143"/>
  <c r="BE15" i="143"/>
  <c r="BD15" i="143"/>
  <c r="BC15" i="143"/>
  <c r="BB15" i="143"/>
  <c r="BA15" i="143"/>
  <c r="AZ15" i="143"/>
  <c r="AY15" i="143"/>
  <c r="AX15" i="143"/>
  <c r="AW15" i="143"/>
  <c r="AV15" i="143"/>
  <c r="AU15" i="143"/>
  <c r="AT15" i="143"/>
  <c r="AS15" i="143"/>
  <c r="AR15" i="143"/>
  <c r="AQ15" i="143"/>
  <c r="AP15" i="143"/>
  <c r="AO15" i="143"/>
  <c r="AN15" i="143"/>
  <c r="AM15" i="143"/>
  <c r="AL15" i="143"/>
  <c r="AK15" i="143"/>
  <c r="AJ15" i="143"/>
  <c r="AI15" i="143"/>
  <c r="AH15" i="143"/>
  <c r="AG15" i="143"/>
  <c r="AF15" i="143"/>
  <c r="AE15" i="143"/>
  <c r="N15" i="143"/>
  <c r="M15" i="143"/>
  <c r="BE14" i="143"/>
  <c r="BD14" i="143"/>
  <c r="BC14" i="143"/>
  <c r="BB14" i="143"/>
  <c r="BA14" i="143"/>
  <c r="AZ14" i="143"/>
  <c r="AY14" i="143"/>
  <c r="AX14" i="143"/>
  <c r="AW14" i="143"/>
  <c r="AV14" i="143"/>
  <c r="AU14" i="143"/>
  <c r="AT14" i="143"/>
  <c r="AS14" i="143"/>
  <c r="AR14" i="143"/>
  <c r="AQ14" i="143"/>
  <c r="AP14" i="143"/>
  <c r="AO14" i="143"/>
  <c r="AN14" i="143"/>
  <c r="AM14" i="143"/>
  <c r="AL14" i="143"/>
  <c r="AK14" i="143"/>
  <c r="AJ14" i="143"/>
  <c r="AI14" i="143"/>
  <c r="AH14" i="143"/>
  <c r="AG14" i="143"/>
  <c r="AF14" i="143"/>
  <c r="AE14" i="143"/>
  <c r="N14" i="143"/>
  <c r="M14" i="143"/>
  <c r="BE13" i="143"/>
  <c r="BD13" i="143"/>
  <c r="BC13" i="143"/>
  <c r="BB13" i="143"/>
  <c r="BA13" i="143"/>
  <c r="AZ13" i="143"/>
  <c r="AY13" i="143"/>
  <c r="AX13" i="143"/>
  <c r="AW13" i="143"/>
  <c r="AV13" i="143"/>
  <c r="AU13" i="143"/>
  <c r="AT13" i="143"/>
  <c r="AS13" i="143"/>
  <c r="AR13" i="143"/>
  <c r="AQ13" i="143"/>
  <c r="AP13" i="143"/>
  <c r="AO13" i="143"/>
  <c r="AN13" i="143"/>
  <c r="AM13" i="143"/>
  <c r="AL13" i="143"/>
  <c r="AK13" i="143"/>
  <c r="AJ13" i="143"/>
  <c r="AI13" i="143"/>
  <c r="AH13" i="143"/>
  <c r="AG13" i="143"/>
  <c r="AF13" i="143"/>
  <c r="AE13" i="143"/>
  <c r="N13" i="143"/>
  <c r="M13" i="143"/>
  <c r="BE12" i="143"/>
  <c r="BD12" i="143"/>
  <c r="BC12" i="143"/>
  <c r="BB12" i="143"/>
  <c r="BA12" i="143"/>
  <c r="AZ12" i="143"/>
  <c r="AY12" i="143"/>
  <c r="AX12" i="143"/>
  <c r="AW12" i="143"/>
  <c r="AV12" i="143"/>
  <c r="AU12" i="143"/>
  <c r="AT12" i="143"/>
  <c r="AS12" i="143"/>
  <c r="AR12" i="143"/>
  <c r="AQ12" i="143"/>
  <c r="AP12" i="143"/>
  <c r="AO12" i="143"/>
  <c r="AN12" i="143"/>
  <c r="AM12" i="143"/>
  <c r="AL12" i="143"/>
  <c r="AK12" i="143"/>
  <c r="AJ12" i="143"/>
  <c r="AI12" i="143"/>
  <c r="AH12" i="143"/>
  <c r="AG12" i="143"/>
  <c r="AF12" i="143"/>
  <c r="AE12" i="143"/>
  <c r="N12" i="143"/>
  <c r="M12" i="143"/>
  <c r="BE11" i="143"/>
  <c r="BD11" i="143"/>
  <c r="BC11" i="143"/>
  <c r="BB11" i="143"/>
  <c r="BA11" i="143"/>
  <c r="AZ11" i="143"/>
  <c r="AY11" i="143"/>
  <c r="AX11" i="143"/>
  <c r="AW11" i="143"/>
  <c r="AV11" i="143"/>
  <c r="AU11" i="143"/>
  <c r="AT11" i="143"/>
  <c r="AS11" i="143"/>
  <c r="AR11" i="143"/>
  <c r="AQ11" i="143"/>
  <c r="AP11" i="143"/>
  <c r="AO11" i="143"/>
  <c r="AN11" i="143"/>
  <c r="AM11" i="143"/>
  <c r="AL11" i="143"/>
  <c r="AK11" i="143"/>
  <c r="AJ11" i="143"/>
  <c r="AI11" i="143"/>
  <c r="AH11" i="143"/>
  <c r="AG11" i="143"/>
  <c r="AF11" i="143"/>
  <c r="AE11" i="143"/>
  <c r="N11" i="143"/>
  <c r="M11" i="143"/>
  <c r="BE10" i="143"/>
  <c r="BD10" i="143"/>
  <c r="BC10" i="143"/>
  <c r="BB10" i="143"/>
  <c r="BA10" i="143"/>
  <c r="AZ10" i="143"/>
  <c r="AY10" i="143"/>
  <c r="AX10" i="143"/>
  <c r="AW10" i="143"/>
  <c r="AV10" i="143"/>
  <c r="AU10" i="143"/>
  <c r="AT10" i="143"/>
  <c r="AS10" i="143"/>
  <c r="AR10" i="143"/>
  <c r="AQ10" i="143"/>
  <c r="AP10" i="143"/>
  <c r="AO10" i="143"/>
  <c r="AN10" i="143"/>
  <c r="AM10" i="143"/>
  <c r="AL10" i="143"/>
  <c r="AK10" i="143"/>
  <c r="AJ10" i="143"/>
  <c r="AI10" i="143"/>
  <c r="AH10" i="143"/>
  <c r="AG10" i="143"/>
  <c r="AF10" i="143"/>
  <c r="AE10" i="143"/>
  <c r="N10" i="143"/>
  <c r="M10" i="143"/>
  <c r="BE9" i="143"/>
  <c r="BD9" i="143"/>
  <c r="BC9" i="143"/>
  <c r="BB9" i="143"/>
  <c r="BA9" i="143"/>
  <c r="AZ9" i="143"/>
  <c r="AY9" i="143"/>
  <c r="AX9" i="143"/>
  <c r="AW9" i="143"/>
  <c r="AV9" i="143"/>
  <c r="AU9" i="143"/>
  <c r="AT9" i="143"/>
  <c r="AS9" i="143"/>
  <c r="AR9" i="143"/>
  <c r="AQ9" i="143"/>
  <c r="AP9" i="143"/>
  <c r="AO9" i="143"/>
  <c r="AN9" i="143"/>
  <c r="AM9" i="143"/>
  <c r="AL9" i="143"/>
  <c r="AK9" i="143"/>
  <c r="AJ9" i="143"/>
  <c r="AI9" i="143"/>
  <c r="AH9" i="143"/>
  <c r="AG9" i="143"/>
  <c r="AF9" i="143"/>
  <c r="AE9" i="143"/>
  <c r="N9" i="143"/>
  <c r="M9" i="143"/>
  <c r="BE8" i="143"/>
  <c r="BD8" i="143"/>
  <c r="BC8" i="143"/>
  <c r="BB8" i="143"/>
  <c r="BA8" i="143"/>
  <c r="AZ8" i="143"/>
  <c r="AY8" i="143"/>
  <c r="AX8" i="143"/>
  <c r="AW8" i="143"/>
  <c r="AV8" i="143"/>
  <c r="AU8" i="143"/>
  <c r="AT8" i="143"/>
  <c r="AS8" i="143"/>
  <c r="AR8" i="143"/>
  <c r="AQ8" i="143"/>
  <c r="AP8" i="143"/>
  <c r="AO8" i="143"/>
  <c r="AN8" i="143"/>
  <c r="AM8" i="143"/>
  <c r="AL8" i="143"/>
  <c r="AK8" i="143"/>
  <c r="AJ8" i="143"/>
  <c r="AI8" i="143"/>
  <c r="AH8" i="143"/>
  <c r="AG8" i="143"/>
  <c r="AF8" i="143"/>
  <c r="AE8" i="143"/>
  <c r="N8" i="143"/>
  <c r="M8" i="143"/>
  <c r="BE7" i="143"/>
  <c r="BD7" i="143"/>
  <c r="BC7" i="143"/>
  <c r="BB7" i="143"/>
  <c r="BA7" i="143"/>
  <c r="AZ7" i="143"/>
  <c r="AY7" i="143"/>
  <c r="AX7" i="143"/>
  <c r="AW7" i="143"/>
  <c r="AV7" i="143"/>
  <c r="AU7" i="143"/>
  <c r="AT7" i="143"/>
  <c r="AS7" i="143"/>
  <c r="AR7" i="143"/>
  <c r="AQ7" i="143"/>
  <c r="AP7" i="143"/>
  <c r="AO7" i="143"/>
  <c r="AN7" i="143"/>
  <c r="AM7" i="143"/>
  <c r="AL7" i="143"/>
  <c r="AK7" i="143"/>
  <c r="AJ7" i="143"/>
  <c r="AI7" i="143"/>
  <c r="AH7" i="143"/>
  <c r="AG7" i="143"/>
  <c r="AF7" i="143"/>
  <c r="AE7" i="143"/>
  <c r="N7" i="143"/>
  <c r="M7" i="143"/>
  <c r="BE6" i="143"/>
  <c r="BD6" i="143"/>
  <c r="BC6" i="143"/>
  <c r="BB6" i="143"/>
  <c r="BA6" i="143"/>
  <c r="AZ6" i="143"/>
  <c r="AY6" i="143"/>
  <c r="AX6" i="143"/>
  <c r="AW6" i="143"/>
  <c r="AV6" i="143"/>
  <c r="AU6" i="143"/>
  <c r="AT6" i="143"/>
  <c r="AS6" i="143"/>
  <c r="AR6" i="143"/>
  <c r="AQ6" i="143"/>
  <c r="AP6" i="143"/>
  <c r="AO6" i="143"/>
  <c r="AN6" i="143"/>
  <c r="AM6" i="143"/>
  <c r="AL6" i="143"/>
  <c r="AK6" i="143"/>
  <c r="AJ6" i="143"/>
  <c r="AI6" i="143"/>
  <c r="AH6" i="143"/>
  <c r="AG6" i="143"/>
  <c r="AF6" i="143"/>
  <c r="AE6" i="143"/>
  <c r="N6" i="143"/>
  <c r="M6" i="143"/>
  <c r="BE5" i="143"/>
  <c r="BD5" i="143"/>
  <c r="BC5" i="143"/>
  <c r="BB5" i="143"/>
  <c r="BA5" i="143"/>
  <c r="AZ5" i="143"/>
  <c r="AY5" i="143"/>
  <c r="AX5" i="143"/>
  <c r="AW5" i="143"/>
  <c r="AV5" i="143"/>
  <c r="AU5" i="143"/>
  <c r="AT5" i="143"/>
  <c r="AS5" i="143"/>
  <c r="AR5" i="143"/>
  <c r="AQ5" i="143"/>
  <c r="AP5" i="143"/>
  <c r="AO5" i="143"/>
  <c r="AN5" i="143"/>
  <c r="AM5" i="143"/>
  <c r="AL5" i="143"/>
  <c r="AK5" i="143"/>
  <c r="AJ5" i="143"/>
  <c r="AI5" i="143"/>
  <c r="AH5" i="143"/>
  <c r="AG5" i="143"/>
  <c r="AF5" i="143"/>
  <c r="AE5" i="143"/>
  <c r="N5" i="143"/>
  <c r="M5" i="143"/>
  <c r="BE4" i="143"/>
  <c r="BD4" i="143"/>
  <c r="BC4" i="143"/>
  <c r="BB4" i="143"/>
  <c r="BA4" i="143"/>
  <c r="AZ4" i="143"/>
  <c r="AY4" i="143"/>
  <c r="AX4" i="143"/>
  <c r="AW4" i="143"/>
  <c r="AV4" i="143"/>
  <c r="AU4" i="143"/>
  <c r="AT4" i="143"/>
  <c r="AS4" i="143"/>
  <c r="AR4" i="143"/>
  <c r="AQ4" i="143"/>
  <c r="AP4" i="143"/>
  <c r="AO4" i="143"/>
  <c r="AN4" i="143"/>
  <c r="AM4" i="143"/>
  <c r="AL4" i="143"/>
  <c r="AK4" i="143"/>
  <c r="AJ4" i="143"/>
  <c r="AI4" i="143"/>
  <c r="AH4" i="143"/>
  <c r="AG4" i="143"/>
  <c r="AF4" i="143"/>
  <c r="AE4" i="143"/>
  <c r="N4" i="143"/>
  <c r="M4" i="143"/>
  <c r="BE3" i="143"/>
  <c r="BD3" i="143"/>
  <c r="BC3" i="143"/>
  <c r="BB3" i="143"/>
  <c r="BA3" i="143"/>
  <c r="AZ3" i="143"/>
  <c r="AY3" i="143"/>
  <c r="AX3" i="143"/>
  <c r="AW3" i="143"/>
  <c r="AV3" i="143"/>
  <c r="AU3" i="143"/>
  <c r="AT3" i="143"/>
  <c r="AS3" i="143"/>
  <c r="AR3" i="143"/>
  <c r="AQ3" i="143"/>
  <c r="AP3" i="143"/>
  <c r="AO3" i="143"/>
  <c r="AN3" i="143"/>
  <c r="AM3" i="143"/>
  <c r="AL3" i="143"/>
  <c r="AK3" i="143"/>
  <c r="AJ3" i="143"/>
  <c r="AI3" i="143"/>
  <c r="AH3" i="143"/>
  <c r="AG3" i="143"/>
  <c r="AF3" i="143"/>
  <c r="AE3" i="143"/>
  <c r="N3" i="143"/>
  <c r="M3" i="143"/>
  <c r="BE2" i="143"/>
  <c r="BD2" i="143"/>
  <c r="BC2" i="143"/>
  <c r="BB2" i="143"/>
  <c r="BA2" i="143"/>
  <c r="AZ2" i="143"/>
  <c r="AY2" i="143"/>
  <c r="AX2" i="143"/>
  <c r="AW2" i="143"/>
  <c r="AV2" i="143"/>
  <c r="AU2" i="143"/>
  <c r="AT2" i="143"/>
  <c r="AS2" i="143"/>
  <c r="AR2" i="143"/>
  <c r="AQ2" i="143"/>
  <c r="AP2" i="143"/>
  <c r="AO2" i="143"/>
  <c r="AN2" i="143"/>
  <c r="AM2" i="143"/>
  <c r="AL2" i="143"/>
  <c r="AK2" i="143"/>
  <c r="AJ2" i="143"/>
  <c r="AI2" i="143"/>
  <c r="AH2" i="143"/>
  <c r="AG2" i="143"/>
  <c r="AF2" i="143"/>
  <c r="AE2" i="143"/>
  <c r="N2" i="143"/>
  <c r="M2" i="143"/>
  <c r="A2" i="143"/>
  <c r="BE1" i="143"/>
  <c r="BD1" i="143"/>
  <c r="BC1" i="143"/>
  <c r="BB1" i="143"/>
  <c r="BA1" i="143"/>
  <c r="AZ1" i="143"/>
  <c r="AY1" i="143"/>
  <c r="AX1" i="143"/>
  <c r="AW1" i="143"/>
  <c r="AV1" i="143"/>
  <c r="AU1" i="143"/>
  <c r="AT1" i="143"/>
  <c r="AS1" i="143"/>
  <c r="AR1" i="143"/>
  <c r="AQ1" i="143"/>
  <c r="AP1" i="143"/>
  <c r="AO1" i="143"/>
  <c r="AN1" i="143"/>
  <c r="AM1" i="143"/>
  <c r="AL1" i="143"/>
  <c r="AK1" i="143"/>
  <c r="AJ1" i="143"/>
  <c r="AI1" i="143"/>
  <c r="AH1" i="143"/>
  <c r="AG1" i="143"/>
  <c r="AF1" i="143"/>
  <c r="Q1" i="143"/>
  <c r="P1" i="143"/>
  <c r="N1" i="143"/>
  <c r="M1" i="143"/>
  <c r="A50" i="142"/>
  <c r="N41" i="142"/>
  <c r="M41" i="142"/>
  <c r="N40" i="142"/>
  <c r="M40" i="142"/>
  <c r="N39" i="142"/>
  <c r="M39" i="142"/>
  <c r="N38" i="142"/>
  <c r="M38" i="142"/>
  <c r="N37" i="142"/>
  <c r="M37" i="142"/>
  <c r="N36" i="142"/>
  <c r="M36" i="142"/>
  <c r="N35" i="142"/>
  <c r="M35" i="142"/>
  <c r="N34" i="142"/>
  <c r="M34" i="142"/>
  <c r="BE33" i="142"/>
  <c r="BD33" i="142"/>
  <c r="BC33" i="142"/>
  <c r="BB33" i="142"/>
  <c r="BA33" i="142"/>
  <c r="AZ33" i="142"/>
  <c r="AY33" i="142"/>
  <c r="AX33" i="142"/>
  <c r="AW33" i="142"/>
  <c r="AV33" i="142"/>
  <c r="AU33" i="142"/>
  <c r="AT33" i="142"/>
  <c r="AS33" i="142"/>
  <c r="AR33" i="142"/>
  <c r="AQ33" i="142"/>
  <c r="AP33" i="142"/>
  <c r="AO33" i="142"/>
  <c r="AN33" i="142"/>
  <c r="AM33" i="142"/>
  <c r="AL33" i="142"/>
  <c r="AK33" i="142"/>
  <c r="AJ33" i="142"/>
  <c r="AI33" i="142"/>
  <c r="AH33" i="142"/>
  <c r="AG33" i="142"/>
  <c r="AF33" i="142"/>
  <c r="AE33" i="142"/>
  <c r="N33" i="142"/>
  <c r="M33" i="142"/>
  <c r="BE32" i="142"/>
  <c r="BD32" i="142"/>
  <c r="BC32" i="142"/>
  <c r="BB32" i="142"/>
  <c r="BA32" i="142"/>
  <c r="AZ32" i="142"/>
  <c r="AY32" i="142"/>
  <c r="AX32" i="142"/>
  <c r="AW32" i="142"/>
  <c r="AV32" i="142"/>
  <c r="AU32" i="142"/>
  <c r="AT32" i="142"/>
  <c r="AS32" i="142"/>
  <c r="AR32" i="142"/>
  <c r="AQ32" i="142"/>
  <c r="AP32" i="142"/>
  <c r="AO32" i="142"/>
  <c r="AN32" i="142"/>
  <c r="AM32" i="142"/>
  <c r="AL32" i="142"/>
  <c r="AK32" i="142"/>
  <c r="AJ32" i="142"/>
  <c r="AI32" i="142"/>
  <c r="AH32" i="142"/>
  <c r="AG32" i="142"/>
  <c r="AF32" i="142"/>
  <c r="AE32" i="142"/>
  <c r="N32" i="142"/>
  <c r="M32" i="142"/>
  <c r="BE31" i="142"/>
  <c r="BD31" i="142"/>
  <c r="BC31" i="142"/>
  <c r="BB31" i="142"/>
  <c r="BA31" i="142"/>
  <c r="AZ31" i="142"/>
  <c r="AY31" i="142"/>
  <c r="AX31" i="142"/>
  <c r="AW31" i="142"/>
  <c r="AV31" i="142"/>
  <c r="AU31" i="142"/>
  <c r="AT31" i="142"/>
  <c r="AS31" i="142"/>
  <c r="AR31" i="142"/>
  <c r="AQ31" i="142"/>
  <c r="AP31" i="142"/>
  <c r="AO31" i="142"/>
  <c r="AN31" i="142"/>
  <c r="AM31" i="142"/>
  <c r="AL31" i="142"/>
  <c r="AK31" i="142"/>
  <c r="AJ31" i="142"/>
  <c r="AI31" i="142"/>
  <c r="AH31" i="142"/>
  <c r="AG31" i="142"/>
  <c r="AF31" i="142"/>
  <c r="AE31" i="142"/>
  <c r="N31" i="142"/>
  <c r="M31" i="142"/>
  <c r="BE30" i="142"/>
  <c r="BD30" i="142"/>
  <c r="BC30" i="142"/>
  <c r="BB30" i="142"/>
  <c r="BA30" i="142"/>
  <c r="AZ30" i="142"/>
  <c r="AY30" i="142"/>
  <c r="AX30" i="142"/>
  <c r="AW30" i="142"/>
  <c r="AV30" i="142"/>
  <c r="AU30" i="142"/>
  <c r="AT30" i="142"/>
  <c r="AS30" i="142"/>
  <c r="AR30" i="142"/>
  <c r="AQ30" i="142"/>
  <c r="AP30" i="142"/>
  <c r="AO30" i="142"/>
  <c r="AN30" i="142"/>
  <c r="AM30" i="142"/>
  <c r="AL30" i="142"/>
  <c r="AK30" i="142"/>
  <c r="AJ30" i="142"/>
  <c r="AI30" i="142"/>
  <c r="AH30" i="142"/>
  <c r="AG30" i="142"/>
  <c r="AF30" i="142"/>
  <c r="AE30" i="142"/>
  <c r="N30" i="142"/>
  <c r="M30" i="142"/>
  <c r="BE29" i="142"/>
  <c r="BD29" i="142"/>
  <c r="BC29" i="142"/>
  <c r="BB29" i="142"/>
  <c r="BA29" i="142"/>
  <c r="AZ29" i="142"/>
  <c r="AY29" i="142"/>
  <c r="AX29" i="142"/>
  <c r="AW29" i="142"/>
  <c r="AV29" i="142"/>
  <c r="AU29" i="142"/>
  <c r="AT29" i="142"/>
  <c r="AS29" i="142"/>
  <c r="AR29" i="142"/>
  <c r="AQ29" i="142"/>
  <c r="AP29" i="142"/>
  <c r="AO29" i="142"/>
  <c r="AN29" i="142"/>
  <c r="AM29" i="142"/>
  <c r="AL29" i="142"/>
  <c r="AK29" i="142"/>
  <c r="AJ29" i="142"/>
  <c r="AI29" i="142"/>
  <c r="AH29" i="142"/>
  <c r="AG29" i="142"/>
  <c r="AF29" i="142"/>
  <c r="AE29" i="142"/>
  <c r="N29" i="142"/>
  <c r="M29" i="142"/>
  <c r="BE28" i="142"/>
  <c r="BD28" i="142"/>
  <c r="BC28" i="142"/>
  <c r="BB28" i="142"/>
  <c r="BA28" i="142"/>
  <c r="AZ28" i="142"/>
  <c r="AY28" i="142"/>
  <c r="AX28" i="142"/>
  <c r="AW28" i="142"/>
  <c r="AV28" i="142"/>
  <c r="AU28" i="142"/>
  <c r="AT28" i="142"/>
  <c r="AS28" i="142"/>
  <c r="AR28" i="142"/>
  <c r="AQ28" i="142"/>
  <c r="AP28" i="142"/>
  <c r="AO28" i="142"/>
  <c r="AN28" i="142"/>
  <c r="AM28" i="142"/>
  <c r="AL28" i="142"/>
  <c r="AK28" i="142"/>
  <c r="AJ28" i="142"/>
  <c r="AI28" i="142"/>
  <c r="AH28" i="142"/>
  <c r="AG28" i="142"/>
  <c r="AF28" i="142"/>
  <c r="AE28" i="142"/>
  <c r="N28" i="142"/>
  <c r="M28" i="142"/>
  <c r="BE27" i="142"/>
  <c r="BD27" i="142"/>
  <c r="BC27" i="142"/>
  <c r="BB27" i="142"/>
  <c r="BA27" i="142"/>
  <c r="AZ27" i="142"/>
  <c r="AY27" i="142"/>
  <c r="AX27" i="142"/>
  <c r="AW27" i="142"/>
  <c r="AV27" i="142"/>
  <c r="AU27" i="142"/>
  <c r="AT27" i="142"/>
  <c r="AS27" i="142"/>
  <c r="AR27" i="142"/>
  <c r="AQ27" i="142"/>
  <c r="AP27" i="142"/>
  <c r="AO27" i="142"/>
  <c r="AN27" i="142"/>
  <c r="AM27" i="142"/>
  <c r="AL27" i="142"/>
  <c r="AK27" i="142"/>
  <c r="AJ27" i="142"/>
  <c r="AI27" i="142"/>
  <c r="AH27" i="142"/>
  <c r="AG27" i="142"/>
  <c r="AF27" i="142"/>
  <c r="AE27" i="142"/>
  <c r="N27" i="142"/>
  <c r="M27" i="142"/>
  <c r="BE26" i="142"/>
  <c r="BD26" i="142"/>
  <c r="BC26" i="142"/>
  <c r="BB26" i="142"/>
  <c r="BA26" i="142"/>
  <c r="AZ26" i="142"/>
  <c r="AY26" i="142"/>
  <c r="AX26" i="142"/>
  <c r="AW26" i="142"/>
  <c r="AV26" i="142"/>
  <c r="AU26" i="142"/>
  <c r="AT26" i="142"/>
  <c r="AS26" i="142"/>
  <c r="AR26" i="142"/>
  <c r="AQ26" i="142"/>
  <c r="AP26" i="142"/>
  <c r="AO26" i="142"/>
  <c r="AN26" i="142"/>
  <c r="AM26" i="142"/>
  <c r="AL26" i="142"/>
  <c r="AK26" i="142"/>
  <c r="AJ26" i="142"/>
  <c r="AI26" i="142"/>
  <c r="AH26" i="142"/>
  <c r="AG26" i="142"/>
  <c r="AF26" i="142"/>
  <c r="AE26" i="142"/>
  <c r="N26" i="142"/>
  <c r="M26" i="142"/>
  <c r="BE25" i="142"/>
  <c r="BD25" i="142"/>
  <c r="BC25" i="142"/>
  <c r="BB25" i="142"/>
  <c r="BA25" i="142"/>
  <c r="AZ25" i="142"/>
  <c r="AY25" i="142"/>
  <c r="AX25" i="142"/>
  <c r="AW25" i="142"/>
  <c r="AV25" i="142"/>
  <c r="AU25" i="142"/>
  <c r="AT25" i="142"/>
  <c r="AS25" i="142"/>
  <c r="AR25" i="142"/>
  <c r="AQ25" i="142"/>
  <c r="AP25" i="142"/>
  <c r="AO25" i="142"/>
  <c r="AN25" i="142"/>
  <c r="AM25" i="142"/>
  <c r="AL25" i="142"/>
  <c r="AK25" i="142"/>
  <c r="AJ25" i="142"/>
  <c r="AI25" i="142"/>
  <c r="AH25" i="142"/>
  <c r="AG25" i="142"/>
  <c r="AF25" i="142"/>
  <c r="AE25" i="142"/>
  <c r="N25" i="142"/>
  <c r="M25" i="142"/>
  <c r="BE24" i="142"/>
  <c r="BD24" i="142"/>
  <c r="BC24" i="142"/>
  <c r="BB24" i="142"/>
  <c r="BA24" i="142"/>
  <c r="AZ24" i="142"/>
  <c r="AY24" i="142"/>
  <c r="AX24" i="142"/>
  <c r="AW24" i="142"/>
  <c r="AV24" i="142"/>
  <c r="AU24" i="142"/>
  <c r="AT24" i="142"/>
  <c r="AS24" i="142"/>
  <c r="AR24" i="142"/>
  <c r="AQ24" i="142"/>
  <c r="AP24" i="142"/>
  <c r="AO24" i="142"/>
  <c r="AN24" i="142"/>
  <c r="AM24" i="142"/>
  <c r="AL24" i="142"/>
  <c r="AK24" i="142"/>
  <c r="AJ24" i="142"/>
  <c r="AI24" i="142"/>
  <c r="AH24" i="142"/>
  <c r="AG24" i="142"/>
  <c r="AF24" i="142"/>
  <c r="AE24" i="142"/>
  <c r="N24" i="142"/>
  <c r="M24" i="142"/>
  <c r="BE23" i="142"/>
  <c r="BD23" i="142"/>
  <c r="BC23" i="142"/>
  <c r="BB23" i="142"/>
  <c r="BA23" i="142"/>
  <c r="AZ23" i="142"/>
  <c r="AY23" i="142"/>
  <c r="AX23" i="142"/>
  <c r="AW23" i="142"/>
  <c r="AV23" i="142"/>
  <c r="AU23" i="142"/>
  <c r="AT23" i="142"/>
  <c r="AS23" i="142"/>
  <c r="AR23" i="142"/>
  <c r="AQ23" i="142"/>
  <c r="AP23" i="142"/>
  <c r="AO23" i="142"/>
  <c r="AN23" i="142"/>
  <c r="AM23" i="142"/>
  <c r="AL23" i="142"/>
  <c r="AK23" i="142"/>
  <c r="AJ23" i="142"/>
  <c r="AI23" i="142"/>
  <c r="AH23" i="142"/>
  <c r="AG23" i="142"/>
  <c r="AF23" i="142"/>
  <c r="AE23" i="142"/>
  <c r="N23" i="142"/>
  <c r="M23" i="142"/>
  <c r="BE22" i="142"/>
  <c r="BD22" i="142"/>
  <c r="BC22" i="142"/>
  <c r="BB22" i="142"/>
  <c r="BA22" i="142"/>
  <c r="AZ22" i="142"/>
  <c r="AY22" i="142"/>
  <c r="AX22" i="142"/>
  <c r="AW22" i="142"/>
  <c r="AV22" i="142"/>
  <c r="AU22" i="142"/>
  <c r="AT22" i="142"/>
  <c r="AS22" i="142"/>
  <c r="AR22" i="142"/>
  <c r="AQ22" i="142"/>
  <c r="AP22" i="142"/>
  <c r="AO22" i="142"/>
  <c r="AN22" i="142"/>
  <c r="AM22" i="142"/>
  <c r="AL22" i="142"/>
  <c r="AK22" i="142"/>
  <c r="AJ22" i="142"/>
  <c r="AI22" i="142"/>
  <c r="AH22" i="142"/>
  <c r="AG22" i="142"/>
  <c r="AF22" i="142"/>
  <c r="AE22" i="142"/>
  <c r="N22" i="142"/>
  <c r="M22" i="142"/>
  <c r="BE21" i="142"/>
  <c r="BD21" i="142"/>
  <c r="BC21" i="142"/>
  <c r="BB21" i="142"/>
  <c r="BA21" i="142"/>
  <c r="AZ21" i="142"/>
  <c r="AY21" i="142"/>
  <c r="AX21" i="142"/>
  <c r="AW21" i="142"/>
  <c r="AV21" i="142"/>
  <c r="AU21" i="142"/>
  <c r="AT21" i="142"/>
  <c r="AS21" i="142"/>
  <c r="AR21" i="142"/>
  <c r="AQ21" i="142"/>
  <c r="AP21" i="142"/>
  <c r="AO21" i="142"/>
  <c r="AN21" i="142"/>
  <c r="AM21" i="142"/>
  <c r="AL21" i="142"/>
  <c r="AK21" i="142"/>
  <c r="AJ21" i="142"/>
  <c r="AI21" i="142"/>
  <c r="AH21" i="142"/>
  <c r="AG21" i="142"/>
  <c r="AF21" i="142"/>
  <c r="AE21" i="142"/>
  <c r="N21" i="142"/>
  <c r="M21" i="142"/>
  <c r="BE20" i="142"/>
  <c r="BD20" i="142"/>
  <c r="BC20" i="142"/>
  <c r="BB20" i="142"/>
  <c r="BA20" i="142"/>
  <c r="AZ20" i="142"/>
  <c r="AY20" i="142"/>
  <c r="AX20" i="142"/>
  <c r="AW20" i="142"/>
  <c r="AV20" i="142"/>
  <c r="AU20" i="142"/>
  <c r="AT20" i="142"/>
  <c r="AS20" i="142"/>
  <c r="AR20" i="142"/>
  <c r="AQ20" i="142"/>
  <c r="AP20" i="142"/>
  <c r="AO20" i="142"/>
  <c r="AN20" i="142"/>
  <c r="AM20" i="142"/>
  <c r="AL20" i="142"/>
  <c r="AK20" i="142"/>
  <c r="AJ20" i="142"/>
  <c r="AI20" i="142"/>
  <c r="AH20" i="142"/>
  <c r="AG20" i="142"/>
  <c r="AF20" i="142"/>
  <c r="AE20" i="142"/>
  <c r="N20" i="142"/>
  <c r="M20" i="142"/>
  <c r="BE19" i="142"/>
  <c r="BD19" i="142"/>
  <c r="BC19" i="142"/>
  <c r="BB19" i="142"/>
  <c r="BA19" i="142"/>
  <c r="AZ19" i="142"/>
  <c r="AY19" i="142"/>
  <c r="AX19" i="142"/>
  <c r="AW19" i="142"/>
  <c r="AV19" i="142"/>
  <c r="AU19" i="142"/>
  <c r="AT19" i="142"/>
  <c r="AS19" i="142"/>
  <c r="AR19" i="142"/>
  <c r="AQ19" i="142"/>
  <c r="AP19" i="142"/>
  <c r="AO19" i="142"/>
  <c r="AN19" i="142"/>
  <c r="AM19" i="142"/>
  <c r="AL19" i="142"/>
  <c r="AK19" i="142"/>
  <c r="AJ19" i="142"/>
  <c r="AI19" i="142"/>
  <c r="AH19" i="142"/>
  <c r="AG19" i="142"/>
  <c r="AF19" i="142"/>
  <c r="AE19" i="142"/>
  <c r="N19" i="142"/>
  <c r="M19" i="142"/>
  <c r="BE18" i="142"/>
  <c r="BD18" i="142"/>
  <c r="BC18" i="142"/>
  <c r="BB18" i="142"/>
  <c r="BA18" i="142"/>
  <c r="AZ18" i="142"/>
  <c r="AY18" i="142"/>
  <c r="AX18" i="142"/>
  <c r="AW18" i="142"/>
  <c r="AV18" i="142"/>
  <c r="AU18" i="142"/>
  <c r="AT18" i="142"/>
  <c r="AS18" i="142"/>
  <c r="AR18" i="142"/>
  <c r="AQ18" i="142"/>
  <c r="AP18" i="142"/>
  <c r="AO18" i="142"/>
  <c r="AN18" i="142"/>
  <c r="AM18" i="142"/>
  <c r="AL18" i="142"/>
  <c r="AK18" i="142"/>
  <c r="AJ18" i="142"/>
  <c r="AI18" i="142"/>
  <c r="AH18" i="142"/>
  <c r="AG18" i="142"/>
  <c r="AF18" i="142"/>
  <c r="AE18" i="142"/>
  <c r="N18" i="142"/>
  <c r="M18" i="142"/>
  <c r="BE17" i="142"/>
  <c r="BD17" i="142"/>
  <c r="BC17" i="142"/>
  <c r="BB17" i="142"/>
  <c r="BA17" i="142"/>
  <c r="AZ17" i="142"/>
  <c r="AY17" i="142"/>
  <c r="AX17" i="142"/>
  <c r="AW17" i="142"/>
  <c r="AV17" i="142"/>
  <c r="AU17" i="142"/>
  <c r="AT17" i="142"/>
  <c r="AS17" i="142"/>
  <c r="AR17" i="142"/>
  <c r="AQ17" i="142"/>
  <c r="AP17" i="142"/>
  <c r="AO17" i="142"/>
  <c r="AN17" i="142"/>
  <c r="AM17" i="142"/>
  <c r="AL17" i="142"/>
  <c r="AK17" i="142"/>
  <c r="AJ17" i="142"/>
  <c r="AI17" i="142"/>
  <c r="AH17" i="142"/>
  <c r="AG17" i="142"/>
  <c r="AF17" i="142"/>
  <c r="AE17" i="142"/>
  <c r="N17" i="142"/>
  <c r="M17" i="142"/>
  <c r="BE16" i="142"/>
  <c r="BD16" i="142"/>
  <c r="BC16" i="142"/>
  <c r="BB16" i="142"/>
  <c r="BA16" i="142"/>
  <c r="AZ16" i="142"/>
  <c r="AY16" i="142"/>
  <c r="AX16" i="142"/>
  <c r="AW16" i="142"/>
  <c r="AV16" i="142"/>
  <c r="AU16" i="142"/>
  <c r="AT16" i="142"/>
  <c r="AS16" i="142"/>
  <c r="AR16" i="142"/>
  <c r="AQ16" i="142"/>
  <c r="AP16" i="142"/>
  <c r="AO16" i="142"/>
  <c r="AN16" i="142"/>
  <c r="AM16" i="142"/>
  <c r="AL16" i="142"/>
  <c r="AK16" i="142"/>
  <c r="AJ16" i="142"/>
  <c r="AI16" i="142"/>
  <c r="AH16" i="142"/>
  <c r="AG16" i="142"/>
  <c r="AF16" i="142"/>
  <c r="AE16" i="142"/>
  <c r="N16" i="142"/>
  <c r="M16" i="142"/>
  <c r="BE15" i="142"/>
  <c r="BD15" i="142"/>
  <c r="BC15" i="142"/>
  <c r="BB15" i="142"/>
  <c r="BA15" i="142"/>
  <c r="AZ15" i="142"/>
  <c r="AY15" i="142"/>
  <c r="AX15" i="142"/>
  <c r="AW15" i="142"/>
  <c r="AV15" i="142"/>
  <c r="AU15" i="142"/>
  <c r="AT15" i="142"/>
  <c r="AS15" i="142"/>
  <c r="AR15" i="142"/>
  <c r="AQ15" i="142"/>
  <c r="AP15" i="142"/>
  <c r="AO15" i="142"/>
  <c r="AN15" i="142"/>
  <c r="AM15" i="142"/>
  <c r="AL15" i="142"/>
  <c r="AK15" i="142"/>
  <c r="AJ15" i="142"/>
  <c r="AI15" i="142"/>
  <c r="AH15" i="142"/>
  <c r="AG15" i="142"/>
  <c r="AF15" i="142"/>
  <c r="AE15" i="142"/>
  <c r="N15" i="142"/>
  <c r="M15" i="142"/>
  <c r="BE14" i="142"/>
  <c r="BD14" i="142"/>
  <c r="BC14" i="142"/>
  <c r="BB14" i="142"/>
  <c r="BA14" i="142"/>
  <c r="AZ14" i="142"/>
  <c r="AY14" i="142"/>
  <c r="AX14" i="142"/>
  <c r="AW14" i="142"/>
  <c r="AV14" i="142"/>
  <c r="AU14" i="142"/>
  <c r="AT14" i="142"/>
  <c r="AS14" i="142"/>
  <c r="AR14" i="142"/>
  <c r="AQ14" i="142"/>
  <c r="AP14" i="142"/>
  <c r="AO14" i="142"/>
  <c r="AN14" i="142"/>
  <c r="AM14" i="142"/>
  <c r="AL14" i="142"/>
  <c r="AK14" i="142"/>
  <c r="AJ14" i="142"/>
  <c r="AI14" i="142"/>
  <c r="AH14" i="142"/>
  <c r="AG14" i="142"/>
  <c r="AF14" i="142"/>
  <c r="AE14" i="142"/>
  <c r="N14" i="142"/>
  <c r="M14" i="142"/>
  <c r="BE13" i="142"/>
  <c r="BD13" i="142"/>
  <c r="BC13" i="142"/>
  <c r="BB13" i="142"/>
  <c r="BA13" i="142"/>
  <c r="AZ13" i="142"/>
  <c r="AY13" i="142"/>
  <c r="AX13" i="142"/>
  <c r="AW13" i="142"/>
  <c r="AV13" i="142"/>
  <c r="AU13" i="142"/>
  <c r="AT13" i="142"/>
  <c r="AS13" i="142"/>
  <c r="AR13" i="142"/>
  <c r="AQ13" i="142"/>
  <c r="AP13" i="142"/>
  <c r="AO13" i="142"/>
  <c r="AN13" i="142"/>
  <c r="AM13" i="142"/>
  <c r="AL13" i="142"/>
  <c r="AK13" i="142"/>
  <c r="AJ13" i="142"/>
  <c r="AI13" i="142"/>
  <c r="AH13" i="142"/>
  <c r="AG13" i="142"/>
  <c r="AF13" i="142"/>
  <c r="AE13" i="142"/>
  <c r="N13" i="142"/>
  <c r="M13" i="142"/>
  <c r="BE12" i="142"/>
  <c r="BD12" i="142"/>
  <c r="BC12" i="142"/>
  <c r="BB12" i="142"/>
  <c r="BA12" i="142"/>
  <c r="AZ12" i="142"/>
  <c r="AY12" i="142"/>
  <c r="AX12" i="142"/>
  <c r="AW12" i="142"/>
  <c r="AV12" i="142"/>
  <c r="AU12" i="142"/>
  <c r="AT12" i="142"/>
  <c r="AS12" i="142"/>
  <c r="AR12" i="142"/>
  <c r="AQ12" i="142"/>
  <c r="AP12" i="142"/>
  <c r="AO12" i="142"/>
  <c r="AN12" i="142"/>
  <c r="AM12" i="142"/>
  <c r="AL12" i="142"/>
  <c r="AK12" i="142"/>
  <c r="AJ12" i="142"/>
  <c r="AI12" i="142"/>
  <c r="AH12" i="142"/>
  <c r="AG12" i="142"/>
  <c r="AF12" i="142"/>
  <c r="AE12" i="142"/>
  <c r="N12" i="142"/>
  <c r="M12" i="142"/>
  <c r="BE11" i="142"/>
  <c r="BD11" i="142"/>
  <c r="BC11" i="142"/>
  <c r="BB11" i="142"/>
  <c r="BA11" i="142"/>
  <c r="AZ11" i="142"/>
  <c r="AY11" i="142"/>
  <c r="AX11" i="142"/>
  <c r="AW11" i="142"/>
  <c r="AV11" i="142"/>
  <c r="AU11" i="142"/>
  <c r="AT11" i="142"/>
  <c r="AS11" i="142"/>
  <c r="AR11" i="142"/>
  <c r="AQ11" i="142"/>
  <c r="AP11" i="142"/>
  <c r="AO11" i="142"/>
  <c r="AN11" i="142"/>
  <c r="AM11" i="142"/>
  <c r="AL11" i="142"/>
  <c r="AK11" i="142"/>
  <c r="AJ11" i="142"/>
  <c r="AI11" i="142"/>
  <c r="AH11" i="142"/>
  <c r="AG11" i="142"/>
  <c r="AF11" i="142"/>
  <c r="AE11" i="142"/>
  <c r="N11" i="142"/>
  <c r="M11" i="142"/>
  <c r="BE10" i="142"/>
  <c r="BD10" i="142"/>
  <c r="BC10" i="142"/>
  <c r="BB10" i="142"/>
  <c r="BA10" i="142"/>
  <c r="AZ10" i="142"/>
  <c r="AY10" i="142"/>
  <c r="AX10" i="142"/>
  <c r="AW10" i="142"/>
  <c r="AV10" i="142"/>
  <c r="AU10" i="142"/>
  <c r="AT10" i="142"/>
  <c r="AS10" i="142"/>
  <c r="AR10" i="142"/>
  <c r="AQ10" i="142"/>
  <c r="AP10" i="142"/>
  <c r="AO10" i="142"/>
  <c r="AN10" i="142"/>
  <c r="AM10" i="142"/>
  <c r="AL10" i="142"/>
  <c r="AK10" i="142"/>
  <c r="AJ10" i="142"/>
  <c r="AI10" i="142"/>
  <c r="AH10" i="142"/>
  <c r="AG10" i="142"/>
  <c r="AF10" i="142"/>
  <c r="AE10" i="142"/>
  <c r="N10" i="142"/>
  <c r="M10" i="142"/>
  <c r="BE9" i="142"/>
  <c r="BD9" i="142"/>
  <c r="BC9" i="142"/>
  <c r="BB9" i="142"/>
  <c r="BA9" i="142"/>
  <c r="AZ9" i="142"/>
  <c r="AY9" i="142"/>
  <c r="AX9" i="142"/>
  <c r="AW9" i="142"/>
  <c r="AV9" i="142"/>
  <c r="AU9" i="142"/>
  <c r="AT9" i="142"/>
  <c r="AS9" i="142"/>
  <c r="AR9" i="142"/>
  <c r="AQ9" i="142"/>
  <c r="AP9" i="142"/>
  <c r="AO9" i="142"/>
  <c r="AN9" i="142"/>
  <c r="AM9" i="142"/>
  <c r="AL9" i="142"/>
  <c r="AK9" i="142"/>
  <c r="AJ9" i="142"/>
  <c r="AI9" i="142"/>
  <c r="AH9" i="142"/>
  <c r="AG9" i="142"/>
  <c r="AF9" i="142"/>
  <c r="AE9" i="142"/>
  <c r="N9" i="142"/>
  <c r="M9" i="142"/>
  <c r="BE8" i="142"/>
  <c r="BD8" i="142"/>
  <c r="BC8" i="142"/>
  <c r="BB8" i="142"/>
  <c r="BA8" i="142"/>
  <c r="AZ8" i="142"/>
  <c r="AY8" i="142"/>
  <c r="AX8" i="142"/>
  <c r="AW8" i="142"/>
  <c r="AV8" i="142"/>
  <c r="AU8" i="142"/>
  <c r="AT8" i="142"/>
  <c r="AS8" i="142"/>
  <c r="AR8" i="142"/>
  <c r="AQ8" i="142"/>
  <c r="AP8" i="142"/>
  <c r="AO8" i="142"/>
  <c r="AN8" i="142"/>
  <c r="AM8" i="142"/>
  <c r="AL8" i="142"/>
  <c r="AK8" i="142"/>
  <c r="AJ8" i="142"/>
  <c r="AI8" i="142"/>
  <c r="AH8" i="142"/>
  <c r="AG8" i="142"/>
  <c r="AF8" i="142"/>
  <c r="AE8" i="142"/>
  <c r="N8" i="142"/>
  <c r="M8" i="142"/>
  <c r="BE7" i="142"/>
  <c r="BD7" i="142"/>
  <c r="BC7" i="142"/>
  <c r="BB7" i="142"/>
  <c r="BA7" i="142"/>
  <c r="AZ7" i="142"/>
  <c r="AY7" i="142"/>
  <c r="AX7" i="142"/>
  <c r="AW7" i="142"/>
  <c r="AV7" i="142"/>
  <c r="AU7" i="142"/>
  <c r="AT7" i="142"/>
  <c r="AS7" i="142"/>
  <c r="AR7" i="142"/>
  <c r="AQ7" i="142"/>
  <c r="AP7" i="142"/>
  <c r="AO7" i="142"/>
  <c r="AN7" i="142"/>
  <c r="AM7" i="142"/>
  <c r="AL7" i="142"/>
  <c r="AK7" i="142"/>
  <c r="AJ7" i="142"/>
  <c r="AI7" i="142"/>
  <c r="AH7" i="142"/>
  <c r="AG7" i="142"/>
  <c r="AF7" i="142"/>
  <c r="AE7" i="142"/>
  <c r="N7" i="142"/>
  <c r="M7" i="142"/>
  <c r="BE6" i="142"/>
  <c r="BD6" i="142"/>
  <c r="BC6" i="142"/>
  <c r="BB6" i="142"/>
  <c r="BA6" i="142"/>
  <c r="AZ6" i="142"/>
  <c r="AY6" i="142"/>
  <c r="AX6" i="142"/>
  <c r="AW6" i="142"/>
  <c r="AV6" i="142"/>
  <c r="AU6" i="142"/>
  <c r="AT6" i="142"/>
  <c r="AS6" i="142"/>
  <c r="AR6" i="142"/>
  <c r="AQ6" i="142"/>
  <c r="AP6" i="142"/>
  <c r="AO6" i="142"/>
  <c r="AN6" i="142"/>
  <c r="AM6" i="142"/>
  <c r="AL6" i="142"/>
  <c r="AK6" i="142"/>
  <c r="AJ6" i="142"/>
  <c r="AI6" i="142"/>
  <c r="AH6" i="142"/>
  <c r="AG6" i="142"/>
  <c r="AF6" i="142"/>
  <c r="AE6" i="142"/>
  <c r="N6" i="142"/>
  <c r="M6" i="142"/>
  <c r="BE5" i="142"/>
  <c r="BD5" i="142"/>
  <c r="BC5" i="142"/>
  <c r="BB5" i="142"/>
  <c r="BA5" i="142"/>
  <c r="AZ5" i="142"/>
  <c r="AY5" i="142"/>
  <c r="AX5" i="142"/>
  <c r="AW5" i="142"/>
  <c r="AV5" i="142"/>
  <c r="AU5" i="142"/>
  <c r="AT5" i="142"/>
  <c r="AS5" i="142"/>
  <c r="AR5" i="142"/>
  <c r="AQ5" i="142"/>
  <c r="AP5" i="142"/>
  <c r="AO5" i="142"/>
  <c r="AN5" i="142"/>
  <c r="AM5" i="142"/>
  <c r="AL5" i="142"/>
  <c r="AK5" i="142"/>
  <c r="AJ5" i="142"/>
  <c r="AI5" i="142"/>
  <c r="AH5" i="142"/>
  <c r="AG5" i="142"/>
  <c r="AF5" i="142"/>
  <c r="AE5" i="142"/>
  <c r="N5" i="142"/>
  <c r="M5" i="142"/>
  <c r="BE4" i="142"/>
  <c r="BD4" i="142"/>
  <c r="BC4" i="142"/>
  <c r="BB4" i="142"/>
  <c r="BA4" i="142"/>
  <c r="AZ4" i="142"/>
  <c r="AY4" i="142"/>
  <c r="AX4" i="142"/>
  <c r="AW4" i="142"/>
  <c r="AV4" i="142"/>
  <c r="AU4" i="142"/>
  <c r="AT4" i="142"/>
  <c r="AS4" i="142"/>
  <c r="AR4" i="142"/>
  <c r="AQ4" i="142"/>
  <c r="AP4" i="142"/>
  <c r="AO4" i="142"/>
  <c r="AN4" i="142"/>
  <c r="AM4" i="142"/>
  <c r="AL4" i="142"/>
  <c r="AK4" i="142"/>
  <c r="AJ4" i="142"/>
  <c r="AI4" i="142"/>
  <c r="AH4" i="142"/>
  <c r="AG4" i="142"/>
  <c r="AF4" i="142"/>
  <c r="AE4" i="142"/>
  <c r="N4" i="142"/>
  <c r="M4" i="142"/>
  <c r="BE3" i="142"/>
  <c r="BD3" i="142"/>
  <c r="BC3" i="142"/>
  <c r="BB3" i="142"/>
  <c r="BA3" i="142"/>
  <c r="AZ3" i="142"/>
  <c r="AY3" i="142"/>
  <c r="AX3" i="142"/>
  <c r="AW3" i="142"/>
  <c r="AV3" i="142"/>
  <c r="AU3" i="142"/>
  <c r="AT3" i="142"/>
  <c r="AS3" i="142"/>
  <c r="AR3" i="142"/>
  <c r="AQ3" i="142"/>
  <c r="AP3" i="142"/>
  <c r="AO3" i="142"/>
  <c r="AN3" i="142"/>
  <c r="AM3" i="142"/>
  <c r="AL3" i="142"/>
  <c r="AK3" i="142"/>
  <c r="AJ3" i="142"/>
  <c r="AI3" i="142"/>
  <c r="AH3" i="142"/>
  <c r="AG3" i="142"/>
  <c r="AF3" i="142"/>
  <c r="AE3" i="142"/>
  <c r="N3" i="142"/>
  <c r="M3" i="142"/>
  <c r="BE2" i="142"/>
  <c r="BD2" i="142"/>
  <c r="BC2" i="142"/>
  <c r="BB2" i="142"/>
  <c r="BA2" i="142"/>
  <c r="AZ2" i="142"/>
  <c r="AY2" i="142"/>
  <c r="AX2" i="142"/>
  <c r="AW2" i="142"/>
  <c r="AV2" i="142"/>
  <c r="AU2" i="142"/>
  <c r="AT2" i="142"/>
  <c r="AS2" i="142"/>
  <c r="AR2" i="142"/>
  <c r="AQ2" i="142"/>
  <c r="AP2" i="142"/>
  <c r="AO2" i="142"/>
  <c r="AN2" i="142"/>
  <c r="AM2" i="142"/>
  <c r="AL2" i="142"/>
  <c r="AK2" i="142"/>
  <c r="AJ2" i="142"/>
  <c r="AI2" i="142"/>
  <c r="AH2" i="142"/>
  <c r="AG2" i="142"/>
  <c r="AF2" i="142"/>
  <c r="AE2" i="142"/>
  <c r="N2" i="142"/>
  <c r="M2" i="142"/>
  <c r="A2" i="142"/>
  <c r="BE1" i="142"/>
  <c r="BD1" i="142"/>
  <c r="BC1" i="142"/>
  <c r="BB1" i="142"/>
  <c r="BA1" i="142"/>
  <c r="AZ1" i="142"/>
  <c r="AY1" i="142"/>
  <c r="AX1" i="142"/>
  <c r="AW1" i="142"/>
  <c r="AV1" i="142"/>
  <c r="AU1" i="142"/>
  <c r="AT1" i="142"/>
  <c r="AS1" i="142"/>
  <c r="AR1" i="142"/>
  <c r="AQ1" i="142"/>
  <c r="AP1" i="142"/>
  <c r="AO1" i="142"/>
  <c r="AN1" i="142"/>
  <c r="AM1" i="142"/>
  <c r="AL1" i="142"/>
  <c r="AK1" i="142"/>
  <c r="AJ1" i="142"/>
  <c r="AI1" i="142"/>
  <c r="AH1" i="142"/>
  <c r="AG1" i="142"/>
  <c r="AF1" i="142"/>
  <c r="Q1" i="142"/>
  <c r="P1" i="142"/>
  <c r="N1" i="142"/>
  <c r="M1" i="142"/>
  <c r="I3" i="142"/>
  <c r="H3" i="144" l="1"/>
  <c r="C3" i="144"/>
  <c r="B14" i="146"/>
  <c r="B18" i="146"/>
  <c r="A58" i="146"/>
  <c r="B19" i="146"/>
  <c r="K15" i="139"/>
  <c r="K16" i="139" s="1"/>
  <c r="K17" i="139" s="1"/>
  <c r="K18" i="139" s="1"/>
  <c r="K19" i="139" s="1"/>
  <c r="K20" i="139" s="1"/>
  <c r="H17" i="146"/>
  <c r="H13" i="146"/>
  <c r="H7" i="146"/>
  <c r="C7" i="146"/>
  <c r="G7" i="146" s="1"/>
  <c r="B13" i="146"/>
  <c r="H8" i="146"/>
  <c r="C8" i="146"/>
  <c r="G8" i="146" s="1"/>
  <c r="H57" i="146"/>
  <c r="H53" i="146"/>
  <c r="H18" i="146"/>
  <c r="H14" i="146"/>
  <c r="C53" i="146"/>
  <c r="G53" i="146" s="1"/>
  <c r="H58" i="146"/>
  <c r="H54" i="146"/>
  <c r="H19" i="146"/>
  <c r="H15" i="146"/>
  <c r="C54" i="146"/>
  <c r="G54" i="146" s="1"/>
  <c r="B15" i="146"/>
  <c r="H3" i="145"/>
  <c r="H51" i="145"/>
  <c r="B4" i="145"/>
  <c r="B3" i="145"/>
  <c r="B4" i="142"/>
  <c r="B3" i="142"/>
  <c r="B4" i="143"/>
  <c r="B3" i="143"/>
  <c r="E3" i="142"/>
  <c r="K6" i="139"/>
  <c r="K7" i="139" s="1"/>
  <c r="K8" i="139" s="1"/>
  <c r="K9" i="139" s="1"/>
  <c r="K10" i="139" s="1"/>
  <c r="K11" i="139" s="1"/>
  <c r="A21" i="139"/>
  <c r="A20" i="139"/>
  <c r="A19" i="139"/>
  <c r="A18" i="139"/>
  <c r="A17" i="139"/>
  <c r="A16" i="139"/>
  <c r="A15" i="139"/>
  <c r="A14" i="139"/>
  <c r="A13" i="139"/>
  <c r="A12" i="139"/>
  <c r="A11" i="139"/>
  <c r="A10" i="139"/>
  <c r="A9" i="139"/>
  <c r="A8" i="139"/>
  <c r="A7" i="139"/>
  <c r="A6" i="139"/>
  <c r="A5" i="139"/>
  <c r="A4" i="139"/>
  <c r="A3" i="139"/>
  <c r="D37" i="138"/>
  <c r="A37" i="138"/>
  <c r="A36" i="138"/>
  <c r="A35" i="138"/>
  <c r="A34" i="138"/>
  <c r="A33" i="138"/>
  <c r="A32" i="138"/>
  <c r="A31" i="138"/>
  <c r="A30" i="138"/>
  <c r="A29" i="138"/>
  <c r="A28" i="138"/>
  <c r="D24" i="138"/>
  <c r="A24" i="138"/>
  <c r="A22" i="138"/>
  <c r="D21" i="138"/>
  <c r="A21" i="138"/>
  <c r="D20" i="138"/>
  <c r="A20" i="138"/>
  <c r="R19" i="138"/>
  <c r="Q19" i="138"/>
  <c r="P19" i="138"/>
  <c r="R18" i="138"/>
  <c r="Q18" i="138"/>
  <c r="P18" i="138"/>
  <c r="R17" i="138"/>
  <c r="Q17" i="138"/>
  <c r="P17" i="138"/>
  <c r="R16" i="138"/>
  <c r="Q16" i="138"/>
  <c r="P16" i="138"/>
  <c r="R15" i="138"/>
  <c r="Q15" i="138"/>
  <c r="P15" i="138"/>
  <c r="R14" i="138"/>
  <c r="Q14" i="138"/>
  <c r="P14" i="138"/>
  <c r="R13" i="138"/>
  <c r="Q13" i="138"/>
  <c r="P13" i="138"/>
  <c r="R12" i="138"/>
  <c r="Q12" i="138"/>
  <c r="P12" i="138"/>
  <c r="R11" i="138"/>
  <c r="Q11" i="138"/>
  <c r="P11" i="138"/>
  <c r="R10" i="138"/>
  <c r="Q10" i="138"/>
  <c r="P10" i="138"/>
  <c r="R9" i="138"/>
  <c r="Q9" i="138"/>
  <c r="P9" i="138"/>
  <c r="R8" i="138"/>
  <c r="Q8" i="138"/>
  <c r="P8" i="138"/>
  <c r="R7" i="138"/>
  <c r="D29" i="138" s="1"/>
  <c r="Q7" i="138"/>
  <c r="D27" i="138" s="1"/>
  <c r="P7" i="138"/>
  <c r="R6" i="138"/>
  <c r="Q6" i="138"/>
  <c r="P6" i="138"/>
  <c r="R5" i="138"/>
  <c r="Q5" i="138"/>
  <c r="P5" i="138"/>
  <c r="R4" i="138"/>
  <c r="Q4" i="138"/>
  <c r="P4" i="138"/>
  <c r="BA1" i="138"/>
  <c r="AZ1" i="138"/>
  <c r="AY1" i="138"/>
  <c r="AX1" i="138"/>
  <c r="AW1" i="138"/>
  <c r="AV1" i="138"/>
  <c r="AU1" i="138"/>
  <c r="AT1" i="138"/>
  <c r="AS1" i="138"/>
  <c r="AR1" i="138"/>
  <c r="AQ1" i="138"/>
  <c r="AP1" i="138"/>
  <c r="AO1" i="138"/>
  <c r="AN1" i="138"/>
  <c r="AM1" i="138"/>
  <c r="AL1" i="138"/>
  <c r="AK1" i="138"/>
  <c r="AJ1" i="138"/>
  <c r="AI1" i="138"/>
  <c r="AH1" i="138"/>
  <c r="AG1" i="138"/>
  <c r="AF1" i="138"/>
  <c r="AE1" i="138"/>
  <c r="AD1" i="138"/>
  <c r="AC1" i="138"/>
  <c r="AB1" i="138"/>
  <c r="AA1" i="138"/>
  <c r="Z1" i="138"/>
  <c r="Y1" i="138"/>
  <c r="X1" i="138"/>
  <c r="W1" i="138"/>
  <c r="V1" i="138"/>
  <c r="U1" i="138"/>
  <c r="T1" i="138"/>
  <c r="S1" i="138"/>
  <c r="R1" i="138"/>
  <c r="Q1" i="138"/>
  <c r="P1" i="138"/>
  <c r="I14" i="146"/>
  <c r="I6" i="146"/>
  <c r="I8" i="146"/>
  <c r="I51" i="145"/>
  <c r="I18" i="146"/>
  <c r="I57" i="146"/>
  <c r="I16" i="146"/>
  <c r="I12" i="146"/>
  <c r="I19" i="146"/>
  <c r="I3" i="145"/>
  <c r="I51" i="142"/>
  <c r="I3" i="143"/>
  <c r="I13" i="146"/>
  <c r="I7" i="146"/>
  <c r="I17" i="146"/>
  <c r="I58" i="146"/>
  <c r="I53" i="146"/>
  <c r="I54" i="146"/>
  <c r="I15" i="146"/>
  <c r="B4" i="144" l="1"/>
  <c r="B57" i="146"/>
  <c r="E17" i="146"/>
  <c r="E16" i="146"/>
  <c r="E19" i="146"/>
  <c r="E18" i="146"/>
  <c r="E54" i="146"/>
  <c r="E51" i="146" s="1"/>
  <c r="B51" i="145"/>
  <c r="E3" i="145"/>
  <c r="E3" i="143"/>
  <c r="E8" i="146"/>
  <c r="E11" i="146" s="1"/>
  <c r="E7" i="146"/>
  <c r="E10" i="146" s="1"/>
  <c r="E53" i="146"/>
  <c r="E55" i="146" s="1"/>
  <c r="E52" i="146" s="1"/>
  <c r="E14" i="146"/>
  <c r="E13" i="146"/>
  <c r="E15" i="146"/>
  <c r="B58" i="146"/>
  <c r="E12" i="146"/>
  <c r="E6" i="146"/>
  <c r="E9" i="146" s="1"/>
  <c r="B51" i="142"/>
  <c r="I3" i="144"/>
  <c r="B3" i="144" l="1"/>
  <c r="E3" i="144"/>
  <c r="E56" i="146"/>
  <c r="B54" i="146"/>
  <c r="B7" i="146"/>
  <c r="E4" i="146"/>
  <c r="E5" i="146"/>
  <c r="B8" i="146"/>
  <c r="B53" i="146"/>
  <c r="B6" i="146"/>
  <c r="E3" i="146"/>
  <c r="A51" i="146"/>
  <c r="BE33" i="137"/>
  <c r="BD33" i="137"/>
  <c r="BC33" i="137"/>
  <c r="BB33" i="137"/>
  <c r="BA33" i="137"/>
  <c r="AZ33" i="137"/>
  <c r="AY33" i="137"/>
  <c r="AX33" i="137"/>
  <c r="AW33" i="137"/>
  <c r="AV33" i="137"/>
  <c r="AU33" i="137"/>
  <c r="AT33" i="137"/>
  <c r="AS33" i="137"/>
  <c r="AR33" i="137"/>
  <c r="AQ33" i="137"/>
  <c r="AP33" i="137"/>
  <c r="AO33" i="137"/>
  <c r="AN33" i="137"/>
  <c r="AM33" i="137"/>
  <c r="AL33" i="137"/>
  <c r="AK33" i="137"/>
  <c r="AJ33" i="137"/>
  <c r="AI33" i="137"/>
  <c r="AH33" i="137"/>
  <c r="AG33" i="137"/>
  <c r="AF33" i="137"/>
  <c r="AE33" i="137"/>
  <c r="BE32" i="137"/>
  <c r="BD32" i="137"/>
  <c r="BC32" i="137"/>
  <c r="BB32" i="137"/>
  <c r="BA32" i="137"/>
  <c r="AZ32" i="137"/>
  <c r="AY32" i="137"/>
  <c r="AX32" i="137"/>
  <c r="AW32" i="137"/>
  <c r="AV32" i="137"/>
  <c r="AU32" i="137"/>
  <c r="AT32" i="137"/>
  <c r="AS32" i="137"/>
  <c r="AR32" i="137"/>
  <c r="AQ32" i="137"/>
  <c r="AP32" i="137"/>
  <c r="AO32" i="137"/>
  <c r="AN32" i="137"/>
  <c r="AM32" i="137"/>
  <c r="AL32" i="137"/>
  <c r="AK32" i="137"/>
  <c r="AJ32" i="137"/>
  <c r="AI32" i="137"/>
  <c r="AH32" i="137"/>
  <c r="AG32" i="137"/>
  <c r="AF32" i="137"/>
  <c r="AE32" i="137"/>
  <c r="BE31" i="137"/>
  <c r="BD31" i="137"/>
  <c r="BC31" i="137"/>
  <c r="BB31" i="137"/>
  <c r="BA31" i="137"/>
  <c r="AZ31" i="137"/>
  <c r="AY31" i="137"/>
  <c r="AX31" i="137"/>
  <c r="AW31" i="137"/>
  <c r="AV31" i="137"/>
  <c r="AU31" i="137"/>
  <c r="AT31" i="137"/>
  <c r="AS31" i="137"/>
  <c r="AR31" i="137"/>
  <c r="AQ31" i="137"/>
  <c r="AP31" i="137"/>
  <c r="AO31" i="137"/>
  <c r="AN31" i="137"/>
  <c r="AM31" i="137"/>
  <c r="AL31" i="137"/>
  <c r="AK31" i="137"/>
  <c r="AJ31" i="137"/>
  <c r="AI31" i="137"/>
  <c r="AH31" i="137"/>
  <c r="AG31" i="137"/>
  <c r="AF31" i="137"/>
  <c r="AE31" i="137"/>
  <c r="BE30" i="137"/>
  <c r="BD30" i="137"/>
  <c r="BC30" i="137"/>
  <c r="BB30" i="137"/>
  <c r="BA30" i="137"/>
  <c r="AZ30" i="137"/>
  <c r="AY30" i="137"/>
  <c r="AX30" i="137"/>
  <c r="AW30" i="137"/>
  <c r="AV30" i="137"/>
  <c r="AU30" i="137"/>
  <c r="AT30" i="137"/>
  <c r="AS30" i="137"/>
  <c r="AR30" i="137"/>
  <c r="AQ30" i="137"/>
  <c r="AP30" i="137"/>
  <c r="AO30" i="137"/>
  <c r="AN30" i="137"/>
  <c r="AM30" i="137"/>
  <c r="AL30" i="137"/>
  <c r="AK30" i="137"/>
  <c r="AJ30" i="137"/>
  <c r="AI30" i="137"/>
  <c r="AH30" i="137"/>
  <c r="AG30" i="137"/>
  <c r="AF30" i="137"/>
  <c r="AE30" i="137"/>
  <c r="BE29" i="137"/>
  <c r="BD29" i="137"/>
  <c r="BC29" i="137"/>
  <c r="BB29" i="137"/>
  <c r="BA29" i="137"/>
  <c r="AZ29" i="137"/>
  <c r="AY29" i="137"/>
  <c r="AX29" i="137"/>
  <c r="AW29" i="137"/>
  <c r="AV29" i="137"/>
  <c r="AU29" i="137"/>
  <c r="AT29" i="137"/>
  <c r="AS29" i="137"/>
  <c r="AR29" i="137"/>
  <c r="AQ29" i="137"/>
  <c r="AP29" i="137"/>
  <c r="AO29" i="137"/>
  <c r="AN29" i="137"/>
  <c r="AM29" i="137"/>
  <c r="AL29" i="137"/>
  <c r="AK29" i="137"/>
  <c r="AJ29" i="137"/>
  <c r="AI29" i="137"/>
  <c r="AH29" i="137"/>
  <c r="AG29" i="137"/>
  <c r="AF29" i="137"/>
  <c r="AE29" i="137"/>
  <c r="BE28" i="137"/>
  <c r="BD28" i="137"/>
  <c r="BC28" i="137"/>
  <c r="BB28" i="137"/>
  <c r="BA28" i="137"/>
  <c r="AZ28" i="137"/>
  <c r="AY28" i="137"/>
  <c r="AX28" i="137"/>
  <c r="AW28" i="137"/>
  <c r="AV28" i="137"/>
  <c r="AU28" i="137"/>
  <c r="AT28" i="137"/>
  <c r="AS28" i="137"/>
  <c r="AR28" i="137"/>
  <c r="AQ28" i="137"/>
  <c r="AP28" i="137"/>
  <c r="AO28" i="137"/>
  <c r="AN28" i="137"/>
  <c r="AM28" i="137"/>
  <c r="AL28" i="137"/>
  <c r="AK28" i="137"/>
  <c r="AJ28" i="137"/>
  <c r="AI28" i="137"/>
  <c r="AH28" i="137"/>
  <c r="AG28" i="137"/>
  <c r="AF28" i="137"/>
  <c r="AE28" i="137"/>
  <c r="BE27" i="137"/>
  <c r="BD27" i="137"/>
  <c r="BC27" i="137"/>
  <c r="BB27" i="137"/>
  <c r="BA27" i="137"/>
  <c r="AZ27" i="137"/>
  <c r="AY27" i="137"/>
  <c r="AX27" i="137"/>
  <c r="AW27" i="137"/>
  <c r="AV27" i="137"/>
  <c r="AU27" i="137"/>
  <c r="AT27" i="137"/>
  <c r="AS27" i="137"/>
  <c r="AR27" i="137"/>
  <c r="AQ27" i="137"/>
  <c r="AP27" i="137"/>
  <c r="AO27" i="137"/>
  <c r="AN27" i="137"/>
  <c r="AM27" i="137"/>
  <c r="AL27" i="137"/>
  <c r="AK27" i="137"/>
  <c r="AJ27" i="137"/>
  <c r="AI27" i="137"/>
  <c r="AH27" i="137"/>
  <c r="AG27" i="137"/>
  <c r="AF27" i="137"/>
  <c r="AE27" i="137"/>
  <c r="BE26" i="137"/>
  <c r="BD26" i="137"/>
  <c r="BC26" i="137"/>
  <c r="BB26" i="137"/>
  <c r="BA26" i="137"/>
  <c r="AZ26" i="137"/>
  <c r="AY26" i="137"/>
  <c r="AX26" i="137"/>
  <c r="AW26" i="137"/>
  <c r="AV26" i="137"/>
  <c r="AU26" i="137"/>
  <c r="AT26" i="137"/>
  <c r="AS26" i="137"/>
  <c r="AR26" i="137"/>
  <c r="AQ26" i="137"/>
  <c r="AP26" i="137"/>
  <c r="AO26" i="137"/>
  <c r="AN26" i="137"/>
  <c r="AM26" i="137"/>
  <c r="AL26" i="137"/>
  <c r="AK26" i="137"/>
  <c r="AJ26" i="137"/>
  <c r="AI26" i="137"/>
  <c r="AH26" i="137"/>
  <c r="AG26" i="137"/>
  <c r="AF26" i="137"/>
  <c r="AE26" i="137"/>
  <c r="BE25" i="137"/>
  <c r="BD25" i="137"/>
  <c r="BC25" i="137"/>
  <c r="BB25" i="137"/>
  <c r="BA25" i="137"/>
  <c r="AZ25" i="137"/>
  <c r="AY25" i="137"/>
  <c r="AX25" i="137"/>
  <c r="AW25" i="137"/>
  <c r="AV25" i="137"/>
  <c r="AU25" i="137"/>
  <c r="AT25" i="137"/>
  <c r="AS25" i="137"/>
  <c r="AR25" i="137"/>
  <c r="AQ25" i="137"/>
  <c r="AP25" i="137"/>
  <c r="AO25" i="137"/>
  <c r="AN25" i="137"/>
  <c r="AM25" i="137"/>
  <c r="AL25" i="137"/>
  <c r="AK25" i="137"/>
  <c r="AJ25" i="137"/>
  <c r="AI25" i="137"/>
  <c r="AH25" i="137"/>
  <c r="AG25" i="137"/>
  <c r="AF25" i="137"/>
  <c r="AE25" i="137"/>
  <c r="BE24" i="137"/>
  <c r="BD24" i="137"/>
  <c r="BC24" i="137"/>
  <c r="BB24" i="137"/>
  <c r="BA24" i="137"/>
  <c r="AZ24" i="137"/>
  <c r="AY24" i="137"/>
  <c r="AX24" i="137"/>
  <c r="AW24" i="137"/>
  <c r="AV24" i="137"/>
  <c r="AU24" i="137"/>
  <c r="AT24" i="137"/>
  <c r="AS24" i="137"/>
  <c r="AR24" i="137"/>
  <c r="AQ24" i="137"/>
  <c r="AP24" i="137"/>
  <c r="AO24" i="137"/>
  <c r="AN24" i="137"/>
  <c r="AM24" i="137"/>
  <c r="AL24" i="137"/>
  <c r="AK24" i="137"/>
  <c r="AJ24" i="137"/>
  <c r="AI24" i="137"/>
  <c r="AH24" i="137"/>
  <c r="AG24" i="137"/>
  <c r="AF24" i="137"/>
  <c r="AE24" i="137"/>
  <c r="BE23" i="137"/>
  <c r="BD23" i="137"/>
  <c r="BC23" i="137"/>
  <c r="BB23" i="137"/>
  <c r="BA23" i="137"/>
  <c r="AZ23" i="137"/>
  <c r="AY23" i="137"/>
  <c r="AX23" i="137"/>
  <c r="AW23" i="137"/>
  <c r="AV23" i="137"/>
  <c r="AU23" i="137"/>
  <c r="AT23" i="137"/>
  <c r="AS23" i="137"/>
  <c r="AR23" i="137"/>
  <c r="AQ23" i="137"/>
  <c r="AP23" i="137"/>
  <c r="AO23" i="137"/>
  <c r="AN23" i="137"/>
  <c r="AM23" i="137"/>
  <c r="AL23" i="137"/>
  <c r="AK23" i="137"/>
  <c r="AJ23" i="137"/>
  <c r="AI23" i="137"/>
  <c r="AH23" i="137"/>
  <c r="AG23" i="137"/>
  <c r="AF23" i="137"/>
  <c r="AE23" i="137"/>
  <c r="BE22" i="137"/>
  <c r="BD22" i="137"/>
  <c r="BC22" i="137"/>
  <c r="BB22" i="137"/>
  <c r="BA22" i="137"/>
  <c r="AZ22" i="137"/>
  <c r="AY22" i="137"/>
  <c r="AX22" i="137"/>
  <c r="AW22" i="137"/>
  <c r="AV22" i="137"/>
  <c r="AU22" i="137"/>
  <c r="AT22" i="137"/>
  <c r="AS22" i="137"/>
  <c r="AR22" i="137"/>
  <c r="AQ22" i="137"/>
  <c r="AP22" i="137"/>
  <c r="AO22" i="137"/>
  <c r="AN22" i="137"/>
  <c r="AM22" i="137"/>
  <c r="AL22" i="137"/>
  <c r="AK22" i="137"/>
  <c r="AJ22" i="137"/>
  <c r="AI22" i="137"/>
  <c r="AH22" i="137"/>
  <c r="AG22" i="137"/>
  <c r="AF22" i="137"/>
  <c r="AE22" i="137"/>
  <c r="BE21" i="137"/>
  <c r="BD21" i="137"/>
  <c r="BC21" i="137"/>
  <c r="BB21" i="137"/>
  <c r="BA21" i="137"/>
  <c r="AZ21" i="137"/>
  <c r="AY21" i="137"/>
  <c r="AX21" i="137"/>
  <c r="AW21" i="137"/>
  <c r="AV21" i="137"/>
  <c r="AU21" i="137"/>
  <c r="AT21" i="137"/>
  <c r="AS21" i="137"/>
  <c r="AR21" i="137"/>
  <c r="AQ21" i="137"/>
  <c r="AP21" i="137"/>
  <c r="AO21" i="137"/>
  <c r="AN21" i="137"/>
  <c r="AM21" i="137"/>
  <c r="AL21" i="137"/>
  <c r="AK21" i="137"/>
  <c r="AJ21" i="137"/>
  <c r="AI21" i="137"/>
  <c r="AH21" i="137"/>
  <c r="AG21" i="137"/>
  <c r="AF21" i="137"/>
  <c r="AE21" i="137"/>
  <c r="BE20" i="137"/>
  <c r="BD20" i="137"/>
  <c r="BC20" i="137"/>
  <c r="BB20" i="137"/>
  <c r="BA20" i="137"/>
  <c r="AZ20" i="137"/>
  <c r="AY20" i="137"/>
  <c r="AX20" i="137"/>
  <c r="AW20" i="137"/>
  <c r="AV20" i="137"/>
  <c r="AU20" i="137"/>
  <c r="AT20" i="137"/>
  <c r="AS20" i="137"/>
  <c r="AR20" i="137"/>
  <c r="AQ20" i="137"/>
  <c r="AP20" i="137"/>
  <c r="AO20" i="137"/>
  <c r="AN20" i="137"/>
  <c r="AM20" i="137"/>
  <c r="AL20" i="137"/>
  <c r="AK20" i="137"/>
  <c r="AJ20" i="137"/>
  <c r="AI20" i="137"/>
  <c r="AH20" i="137"/>
  <c r="AG20" i="137"/>
  <c r="AF20" i="137"/>
  <c r="AE20" i="137"/>
  <c r="BE19" i="137"/>
  <c r="BD19" i="137"/>
  <c r="BC19" i="137"/>
  <c r="BB19" i="137"/>
  <c r="BA19" i="137"/>
  <c r="AZ19" i="137"/>
  <c r="AY19" i="137"/>
  <c r="AX19" i="137"/>
  <c r="AW19" i="137"/>
  <c r="AV19" i="137"/>
  <c r="AU19" i="137"/>
  <c r="AT19" i="137"/>
  <c r="AS19" i="137"/>
  <c r="AR19" i="137"/>
  <c r="AQ19" i="137"/>
  <c r="AP19" i="137"/>
  <c r="AO19" i="137"/>
  <c r="AN19" i="137"/>
  <c r="AM19" i="137"/>
  <c r="AL19" i="137"/>
  <c r="AK19" i="137"/>
  <c r="AJ19" i="137"/>
  <c r="AI19" i="137"/>
  <c r="AH19" i="137"/>
  <c r="AG19" i="137"/>
  <c r="AF19" i="137"/>
  <c r="AE19" i="137"/>
  <c r="BE18" i="137"/>
  <c r="BD18" i="137"/>
  <c r="BC18" i="137"/>
  <c r="BB18" i="137"/>
  <c r="BA18" i="137"/>
  <c r="AZ18" i="137"/>
  <c r="AY18" i="137"/>
  <c r="AX18" i="137"/>
  <c r="AW18" i="137"/>
  <c r="AV18" i="137"/>
  <c r="AU18" i="137"/>
  <c r="AT18" i="137"/>
  <c r="AS18" i="137"/>
  <c r="AR18" i="137"/>
  <c r="AQ18" i="137"/>
  <c r="AP18" i="137"/>
  <c r="AO18" i="137"/>
  <c r="AN18" i="137"/>
  <c r="AM18" i="137"/>
  <c r="AL18" i="137"/>
  <c r="AK18" i="137"/>
  <c r="AJ18" i="137"/>
  <c r="AI18" i="137"/>
  <c r="AH18" i="137"/>
  <c r="AG18" i="137"/>
  <c r="AF18" i="137"/>
  <c r="AE18" i="137"/>
  <c r="BE17" i="137"/>
  <c r="BD17" i="137"/>
  <c r="BC17" i="137"/>
  <c r="BB17" i="137"/>
  <c r="BA17" i="137"/>
  <c r="AZ17" i="137"/>
  <c r="AY17" i="137"/>
  <c r="AX17" i="137"/>
  <c r="AW17" i="137"/>
  <c r="AV17" i="137"/>
  <c r="AU17" i="137"/>
  <c r="AT17" i="137"/>
  <c r="AS17" i="137"/>
  <c r="AR17" i="137"/>
  <c r="AQ17" i="137"/>
  <c r="AP17" i="137"/>
  <c r="AO17" i="137"/>
  <c r="AN17" i="137"/>
  <c r="AM17" i="137"/>
  <c r="AL17" i="137"/>
  <c r="AK17" i="137"/>
  <c r="AJ17" i="137"/>
  <c r="AI17" i="137"/>
  <c r="AH17" i="137"/>
  <c r="AG17" i="137"/>
  <c r="AF17" i="137"/>
  <c r="AE17" i="137"/>
  <c r="BE16" i="137"/>
  <c r="BD16" i="137"/>
  <c r="BC16" i="137"/>
  <c r="BB16" i="137"/>
  <c r="BA16" i="137"/>
  <c r="AZ16" i="137"/>
  <c r="AY16" i="137"/>
  <c r="AX16" i="137"/>
  <c r="AW16" i="137"/>
  <c r="AV16" i="137"/>
  <c r="AU16" i="137"/>
  <c r="AT16" i="137"/>
  <c r="AS16" i="137"/>
  <c r="AR16" i="137"/>
  <c r="AQ16" i="137"/>
  <c r="AP16" i="137"/>
  <c r="AO16" i="137"/>
  <c r="AN16" i="137"/>
  <c r="AM16" i="137"/>
  <c r="AL16" i="137"/>
  <c r="AK16" i="137"/>
  <c r="AJ16" i="137"/>
  <c r="AI16" i="137"/>
  <c r="AH16" i="137"/>
  <c r="AG16" i="137"/>
  <c r="AF16" i="137"/>
  <c r="AE16" i="137"/>
  <c r="BE15" i="137"/>
  <c r="BD15" i="137"/>
  <c r="BC15" i="137"/>
  <c r="BB15" i="137"/>
  <c r="BA15" i="137"/>
  <c r="AZ15" i="137"/>
  <c r="AY15" i="137"/>
  <c r="AX15" i="137"/>
  <c r="AW15" i="137"/>
  <c r="AV15" i="137"/>
  <c r="AU15" i="137"/>
  <c r="AT15" i="137"/>
  <c r="AS15" i="137"/>
  <c r="AR15" i="137"/>
  <c r="AQ15" i="137"/>
  <c r="AP15" i="137"/>
  <c r="AO15" i="137"/>
  <c r="AN15" i="137"/>
  <c r="AM15" i="137"/>
  <c r="AL15" i="137"/>
  <c r="AK15" i="137"/>
  <c r="AJ15" i="137"/>
  <c r="AI15" i="137"/>
  <c r="AH15" i="137"/>
  <c r="AG15" i="137"/>
  <c r="AF15" i="137"/>
  <c r="AE15" i="137"/>
  <c r="BE14" i="137"/>
  <c r="BD14" i="137"/>
  <c r="BC14" i="137"/>
  <c r="BB14" i="137"/>
  <c r="BA14" i="137"/>
  <c r="AZ14" i="137"/>
  <c r="AY14" i="137"/>
  <c r="AX14" i="137"/>
  <c r="AW14" i="137"/>
  <c r="AV14" i="137"/>
  <c r="AU14" i="137"/>
  <c r="AT14" i="137"/>
  <c r="AS14" i="137"/>
  <c r="AR14" i="137"/>
  <c r="AQ14" i="137"/>
  <c r="AP14" i="137"/>
  <c r="AO14" i="137"/>
  <c r="AN14" i="137"/>
  <c r="AM14" i="137"/>
  <c r="AL14" i="137"/>
  <c r="AK14" i="137"/>
  <c r="AJ14" i="137"/>
  <c r="AI14" i="137"/>
  <c r="AH14" i="137"/>
  <c r="AG14" i="137"/>
  <c r="AF14" i="137"/>
  <c r="AE14" i="137"/>
  <c r="BE13" i="137"/>
  <c r="BD13" i="137"/>
  <c r="BC13" i="137"/>
  <c r="BB13" i="137"/>
  <c r="BA13" i="137"/>
  <c r="AZ13" i="137"/>
  <c r="AY13" i="137"/>
  <c r="AX13" i="137"/>
  <c r="AW13" i="137"/>
  <c r="AV13" i="137"/>
  <c r="AU13" i="137"/>
  <c r="AT13" i="137"/>
  <c r="AS13" i="137"/>
  <c r="AR13" i="137"/>
  <c r="AQ13" i="137"/>
  <c r="AP13" i="137"/>
  <c r="AO13" i="137"/>
  <c r="AN13" i="137"/>
  <c r="AM13" i="137"/>
  <c r="AL13" i="137"/>
  <c r="AK13" i="137"/>
  <c r="AJ13" i="137"/>
  <c r="AI13" i="137"/>
  <c r="AH13" i="137"/>
  <c r="AG13" i="137"/>
  <c r="AF13" i="137"/>
  <c r="AE13" i="137"/>
  <c r="BE12" i="137"/>
  <c r="BD12" i="137"/>
  <c r="BC12" i="137"/>
  <c r="BB12" i="137"/>
  <c r="BA12" i="137"/>
  <c r="AZ12" i="137"/>
  <c r="AY12" i="137"/>
  <c r="AX12" i="137"/>
  <c r="AW12" i="137"/>
  <c r="AV12" i="137"/>
  <c r="AU12" i="137"/>
  <c r="AT12" i="137"/>
  <c r="AS12" i="137"/>
  <c r="AR12" i="137"/>
  <c r="AQ12" i="137"/>
  <c r="AP12" i="137"/>
  <c r="AO12" i="137"/>
  <c r="AN12" i="137"/>
  <c r="AM12" i="137"/>
  <c r="AL12" i="137"/>
  <c r="AK12" i="137"/>
  <c r="AJ12" i="137"/>
  <c r="AI12" i="137"/>
  <c r="AH12" i="137"/>
  <c r="AG12" i="137"/>
  <c r="AF12" i="137"/>
  <c r="AE12" i="137"/>
  <c r="BE11" i="137"/>
  <c r="BD11" i="137"/>
  <c r="BC11" i="137"/>
  <c r="BB11" i="137"/>
  <c r="BA11" i="137"/>
  <c r="AZ11" i="137"/>
  <c r="AY11" i="137"/>
  <c r="AX11" i="137"/>
  <c r="AW11" i="137"/>
  <c r="AV11" i="137"/>
  <c r="AU11" i="137"/>
  <c r="AT11" i="137"/>
  <c r="AS11" i="137"/>
  <c r="AR11" i="137"/>
  <c r="AQ11" i="137"/>
  <c r="AP11" i="137"/>
  <c r="AO11" i="137"/>
  <c r="AN11" i="137"/>
  <c r="AM11" i="137"/>
  <c r="AL11" i="137"/>
  <c r="AK11" i="137"/>
  <c r="AJ11" i="137"/>
  <c r="AI11" i="137"/>
  <c r="AH11" i="137"/>
  <c r="AG11" i="137"/>
  <c r="AF11" i="137"/>
  <c r="AE11" i="137"/>
  <c r="BE10" i="137"/>
  <c r="BD10" i="137"/>
  <c r="BC10" i="137"/>
  <c r="BB10" i="137"/>
  <c r="BA10" i="137"/>
  <c r="AZ10" i="137"/>
  <c r="AY10" i="137"/>
  <c r="AX10" i="137"/>
  <c r="AW10" i="137"/>
  <c r="AV10" i="137"/>
  <c r="AU10" i="137"/>
  <c r="AT10" i="137"/>
  <c r="AS10" i="137"/>
  <c r="AR10" i="137"/>
  <c r="AQ10" i="137"/>
  <c r="AP10" i="137"/>
  <c r="AO10" i="137"/>
  <c r="AN10" i="137"/>
  <c r="AM10" i="137"/>
  <c r="AL10" i="137"/>
  <c r="AK10" i="137"/>
  <c r="AJ10" i="137"/>
  <c r="AI10" i="137"/>
  <c r="AH10" i="137"/>
  <c r="AG10" i="137"/>
  <c r="AF10" i="137"/>
  <c r="AE10" i="137"/>
  <c r="BE9" i="137"/>
  <c r="BD9" i="137"/>
  <c r="BC9" i="137"/>
  <c r="BB9" i="137"/>
  <c r="BA9" i="137"/>
  <c r="AZ9" i="137"/>
  <c r="AY9" i="137"/>
  <c r="AX9" i="137"/>
  <c r="AW9" i="137"/>
  <c r="AV9" i="137"/>
  <c r="AU9" i="137"/>
  <c r="AT9" i="137"/>
  <c r="AS9" i="137"/>
  <c r="AR9" i="137"/>
  <c r="AQ9" i="137"/>
  <c r="AP9" i="137"/>
  <c r="AO9" i="137"/>
  <c r="AN9" i="137"/>
  <c r="AM9" i="137"/>
  <c r="AL9" i="137"/>
  <c r="AK9" i="137"/>
  <c r="AJ9" i="137"/>
  <c r="AI9" i="137"/>
  <c r="AH9" i="137"/>
  <c r="AG9" i="137"/>
  <c r="AF9" i="137"/>
  <c r="AE9" i="137"/>
  <c r="BE8" i="137"/>
  <c r="BD8" i="137"/>
  <c r="BC8" i="137"/>
  <c r="BB8" i="137"/>
  <c r="BA8" i="137"/>
  <c r="AZ8" i="137"/>
  <c r="AY8" i="137"/>
  <c r="AX8" i="137"/>
  <c r="AW8" i="137"/>
  <c r="AV8" i="137"/>
  <c r="AU8" i="137"/>
  <c r="AT8" i="137"/>
  <c r="AS8" i="137"/>
  <c r="AR8" i="137"/>
  <c r="AQ8" i="137"/>
  <c r="AP8" i="137"/>
  <c r="AO8" i="137"/>
  <c r="AN8" i="137"/>
  <c r="AM8" i="137"/>
  <c r="AL8" i="137"/>
  <c r="AK8" i="137"/>
  <c r="AJ8" i="137"/>
  <c r="AI8" i="137"/>
  <c r="AH8" i="137"/>
  <c r="AG8" i="137"/>
  <c r="AF8" i="137"/>
  <c r="AE8" i="137"/>
  <c r="BE7" i="137"/>
  <c r="BD7" i="137"/>
  <c r="BC7" i="137"/>
  <c r="BB7" i="137"/>
  <c r="BA7" i="137"/>
  <c r="AZ7" i="137"/>
  <c r="AY7" i="137"/>
  <c r="AX7" i="137"/>
  <c r="AW7" i="137"/>
  <c r="AV7" i="137"/>
  <c r="AU7" i="137"/>
  <c r="AT7" i="137"/>
  <c r="AS7" i="137"/>
  <c r="AR7" i="137"/>
  <c r="AQ7" i="137"/>
  <c r="AP7" i="137"/>
  <c r="AO7" i="137"/>
  <c r="AN7" i="137"/>
  <c r="AM7" i="137"/>
  <c r="AL7" i="137"/>
  <c r="AK7" i="137"/>
  <c r="AJ7" i="137"/>
  <c r="AI7" i="137"/>
  <c r="AH7" i="137"/>
  <c r="AG7" i="137"/>
  <c r="AF7" i="137"/>
  <c r="AE7" i="137"/>
  <c r="BE6" i="137"/>
  <c r="BD6" i="137"/>
  <c r="BC6" i="137"/>
  <c r="BB6" i="137"/>
  <c r="BA6" i="137"/>
  <c r="AZ6" i="137"/>
  <c r="AY6" i="137"/>
  <c r="AX6" i="137"/>
  <c r="AW6" i="137"/>
  <c r="AV6" i="137"/>
  <c r="AU6" i="137"/>
  <c r="AT6" i="137"/>
  <c r="AS6" i="137"/>
  <c r="AR6" i="137"/>
  <c r="AQ6" i="137"/>
  <c r="AP6" i="137"/>
  <c r="AO6" i="137"/>
  <c r="AN6" i="137"/>
  <c r="AM6" i="137"/>
  <c r="AL6" i="137"/>
  <c r="AK6" i="137"/>
  <c r="AJ6" i="137"/>
  <c r="AI6" i="137"/>
  <c r="AH6" i="137"/>
  <c r="AG6" i="137"/>
  <c r="AF6" i="137"/>
  <c r="AE6" i="137"/>
  <c r="BE5" i="137"/>
  <c r="BD5" i="137"/>
  <c r="BC5" i="137"/>
  <c r="BB5" i="137"/>
  <c r="BA5" i="137"/>
  <c r="AZ5" i="137"/>
  <c r="AY5" i="137"/>
  <c r="AX5" i="137"/>
  <c r="AW5" i="137"/>
  <c r="AV5" i="137"/>
  <c r="AU5" i="137"/>
  <c r="AT5" i="137"/>
  <c r="AS5" i="137"/>
  <c r="AR5" i="137"/>
  <c r="AQ5" i="137"/>
  <c r="AP5" i="137"/>
  <c r="AO5" i="137"/>
  <c r="AN5" i="137"/>
  <c r="AM5" i="137"/>
  <c r="AL5" i="137"/>
  <c r="AK5" i="137"/>
  <c r="AJ5" i="137"/>
  <c r="AI5" i="137"/>
  <c r="AH5" i="137"/>
  <c r="AG5" i="137"/>
  <c r="AF5" i="137"/>
  <c r="AE5" i="137"/>
  <c r="BE4" i="137"/>
  <c r="BD4" i="137"/>
  <c r="BC4" i="137"/>
  <c r="BB4" i="137"/>
  <c r="BA4" i="137"/>
  <c r="AZ4" i="137"/>
  <c r="AY4" i="137"/>
  <c r="AX4" i="137"/>
  <c r="AW4" i="137"/>
  <c r="AV4" i="137"/>
  <c r="AU4" i="137"/>
  <c r="AT4" i="137"/>
  <c r="AS4" i="137"/>
  <c r="AR4" i="137"/>
  <c r="AQ4" i="137"/>
  <c r="AP4" i="137"/>
  <c r="AO4" i="137"/>
  <c r="AN4" i="137"/>
  <c r="AM4" i="137"/>
  <c r="AL4" i="137"/>
  <c r="AK4" i="137"/>
  <c r="AJ4" i="137"/>
  <c r="AI4" i="137"/>
  <c r="AH4" i="137"/>
  <c r="AG4" i="137"/>
  <c r="AF4" i="137"/>
  <c r="AE4" i="137"/>
  <c r="BE3" i="137"/>
  <c r="BD3" i="137"/>
  <c r="BC3" i="137"/>
  <c r="BB3" i="137"/>
  <c r="BA3" i="137"/>
  <c r="AZ3" i="137"/>
  <c r="AY3" i="137"/>
  <c r="AX3" i="137"/>
  <c r="AW3" i="137"/>
  <c r="AV3" i="137"/>
  <c r="AU3" i="137"/>
  <c r="AT3" i="137"/>
  <c r="AS3" i="137"/>
  <c r="AR3" i="137"/>
  <c r="AQ3" i="137"/>
  <c r="AP3" i="137"/>
  <c r="AO3" i="137"/>
  <c r="AN3" i="137"/>
  <c r="AM3" i="137"/>
  <c r="AL3" i="137"/>
  <c r="AK3" i="137"/>
  <c r="AJ3" i="137"/>
  <c r="AI3" i="137"/>
  <c r="AH3" i="137"/>
  <c r="AG3" i="137"/>
  <c r="AF3" i="137"/>
  <c r="AE3" i="137"/>
  <c r="BE2" i="137"/>
  <c r="BD2" i="137"/>
  <c r="BC2" i="137"/>
  <c r="BB2" i="137"/>
  <c r="BA2" i="137"/>
  <c r="AZ2" i="137"/>
  <c r="AY2" i="137"/>
  <c r="AX2" i="137"/>
  <c r="AW2" i="137"/>
  <c r="AV2" i="137"/>
  <c r="AU2" i="137"/>
  <c r="AT2" i="137"/>
  <c r="AS2" i="137"/>
  <c r="AR2" i="137"/>
  <c r="AQ2" i="137"/>
  <c r="AP2" i="137"/>
  <c r="AO2" i="137"/>
  <c r="AN2" i="137"/>
  <c r="AM2" i="137"/>
  <c r="AL2" i="137"/>
  <c r="AK2" i="137"/>
  <c r="AJ2" i="137"/>
  <c r="AI2" i="137"/>
  <c r="AH2" i="137"/>
  <c r="AG2" i="137"/>
  <c r="AF2" i="137"/>
  <c r="AE2" i="137"/>
  <c r="BE1" i="137"/>
  <c r="BD1" i="137"/>
  <c r="BC1" i="137"/>
  <c r="BB1" i="137"/>
  <c r="BA1" i="137"/>
  <c r="AZ1" i="137"/>
  <c r="AY1" i="137"/>
  <c r="AX1" i="137"/>
  <c r="AW1" i="137"/>
  <c r="AV1" i="137"/>
  <c r="AU1" i="137"/>
  <c r="AT1" i="137"/>
  <c r="AS1" i="137"/>
  <c r="AR1" i="137"/>
  <c r="AQ1" i="137"/>
  <c r="AP1" i="137"/>
  <c r="AO1" i="137"/>
  <c r="AN1" i="137"/>
  <c r="AM1" i="137"/>
  <c r="AL1" i="137"/>
  <c r="AK1" i="137"/>
  <c r="AJ1" i="137"/>
  <c r="AI1" i="137"/>
  <c r="AH1" i="137"/>
  <c r="AG1" i="137"/>
  <c r="AF1" i="137"/>
  <c r="BE33" i="136"/>
  <c r="BD33" i="136"/>
  <c r="BC33" i="136"/>
  <c r="BB33" i="136"/>
  <c r="BA33" i="136"/>
  <c r="AZ33" i="136"/>
  <c r="AY33" i="136"/>
  <c r="AX33" i="136"/>
  <c r="AW33" i="136"/>
  <c r="AV33" i="136"/>
  <c r="AU33" i="136"/>
  <c r="AT33" i="136"/>
  <c r="AS33" i="136"/>
  <c r="AR33" i="136"/>
  <c r="AQ33" i="136"/>
  <c r="AP33" i="136"/>
  <c r="AO33" i="136"/>
  <c r="AN33" i="136"/>
  <c r="AM33" i="136"/>
  <c r="AL33" i="136"/>
  <c r="AK33" i="136"/>
  <c r="AJ33" i="136"/>
  <c r="AI33" i="136"/>
  <c r="AH33" i="136"/>
  <c r="AG33" i="136"/>
  <c r="AF33" i="136"/>
  <c r="AE33" i="136"/>
  <c r="BE32" i="136"/>
  <c r="BD32" i="136"/>
  <c r="BC32" i="136"/>
  <c r="BB32" i="136"/>
  <c r="BA32" i="136"/>
  <c r="AZ32" i="136"/>
  <c r="AY32" i="136"/>
  <c r="AX32" i="136"/>
  <c r="AW32" i="136"/>
  <c r="AV32" i="136"/>
  <c r="AU32" i="136"/>
  <c r="AT32" i="136"/>
  <c r="AS32" i="136"/>
  <c r="AR32" i="136"/>
  <c r="AQ32" i="136"/>
  <c r="AP32" i="136"/>
  <c r="AO32" i="136"/>
  <c r="AN32" i="136"/>
  <c r="AM32" i="136"/>
  <c r="AL32" i="136"/>
  <c r="AK32" i="136"/>
  <c r="AJ32" i="136"/>
  <c r="AI32" i="136"/>
  <c r="AH32" i="136"/>
  <c r="AG32" i="136"/>
  <c r="AF32" i="136"/>
  <c r="AE32" i="136"/>
  <c r="BE31" i="136"/>
  <c r="BD31" i="136"/>
  <c r="BC31" i="136"/>
  <c r="BB31" i="136"/>
  <c r="BA31" i="136"/>
  <c r="AZ31" i="136"/>
  <c r="AY31" i="136"/>
  <c r="AX31" i="136"/>
  <c r="AW31" i="136"/>
  <c r="AV31" i="136"/>
  <c r="AU31" i="136"/>
  <c r="AT31" i="136"/>
  <c r="AS31" i="136"/>
  <c r="AR31" i="136"/>
  <c r="AQ31" i="136"/>
  <c r="AP31" i="136"/>
  <c r="AO31" i="136"/>
  <c r="AN31" i="136"/>
  <c r="AM31" i="136"/>
  <c r="AL31" i="136"/>
  <c r="AK31" i="136"/>
  <c r="AJ31" i="136"/>
  <c r="AI31" i="136"/>
  <c r="AH31" i="136"/>
  <c r="AG31" i="136"/>
  <c r="AF31" i="136"/>
  <c r="AE31" i="136"/>
  <c r="BE30" i="136"/>
  <c r="BD30" i="136"/>
  <c r="BC30" i="136"/>
  <c r="BB30" i="136"/>
  <c r="BA30" i="136"/>
  <c r="AZ30" i="136"/>
  <c r="AY30" i="136"/>
  <c r="AX30" i="136"/>
  <c r="AW30" i="136"/>
  <c r="AV30" i="136"/>
  <c r="AU30" i="136"/>
  <c r="AT30" i="136"/>
  <c r="AS30" i="136"/>
  <c r="AR30" i="136"/>
  <c r="AQ30" i="136"/>
  <c r="AP30" i="136"/>
  <c r="AO30" i="136"/>
  <c r="AN30" i="136"/>
  <c r="AM30" i="136"/>
  <c r="AL30" i="136"/>
  <c r="AK30" i="136"/>
  <c r="AJ30" i="136"/>
  <c r="AI30" i="136"/>
  <c r="AH30" i="136"/>
  <c r="AG30" i="136"/>
  <c r="AF30" i="136"/>
  <c r="AE30" i="136"/>
  <c r="BE29" i="136"/>
  <c r="BD29" i="136"/>
  <c r="BC29" i="136"/>
  <c r="BB29" i="136"/>
  <c r="BA29" i="136"/>
  <c r="AZ29" i="136"/>
  <c r="AY29" i="136"/>
  <c r="AX29" i="136"/>
  <c r="AW29" i="136"/>
  <c r="AV29" i="136"/>
  <c r="AU29" i="136"/>
  <c r="AT29" i="136"/>
  <c r="AS29" i="136"/>
  <c r="AR29" i="136"/>
  <c r="AQ29" i="136"/>
  <c r="AP29" i="136"/>
  <c r="AO29" i="136"/>
  <c r="AN29" i="136"/>
  <c r="AM29" i="136"/>
  <c r="AL29" i="136"/>
  <c r="AK29" i="136"/>
  <c r="AJ29" i="136"/>
  <c r="AI29" i="136"/>
  <c r="AH29" i="136"/>
  <c r="AG29" i="136"/>
  <c r="AF29" i="136"/>
  <c r="AE29" i="136"/>
  <c r="BE28" i="136"/>
  <c r="BD28" i="136"/>
  <c r="BC28" i="136"/>
  <c r="BB28" i="136"/>
  <c r="BA28" i="136"/>
  <c r="AZ28" i="136"/>
  <c r="AY28" i="136"/>
  <c r="AX28" i="136"/>
  <c r="AW28" i="136"/>
  <c r="AV28" i="136"/>
  <c r="AU28" i="136"/>
  <c r="AT28" i="136"/>
  <c r="AS28" i="136"/>
  <c r="AR28" i="136"/>
  <c r="AQ28" i="136"/>
  <c r="AP28" i="136"/>
  <c r="AO28" i="136"/>
  <c r="AN28" i="136"/>
  <c r="AM28" i="136"/>
  <c r="AL28" i="136"/>
  <c r="AK28" i="136"/>
  <c r="AJ28" i="136"/>
  <c r="AI28" i="136"/>
  <c r="AH28" i="136"/>
  <c r="AG28" i="136"/>
  <c r="AF28" i="136"/>
  <c r="AE28" i="136"/>
  <c r="BE27" i="136"/>
  <c r="BD27" i="136"/>
  <c r="BC27" i="136"/>
  <c r="BB27" i="136"/>
  <c r="BA27" i="136"/>
  <c r="AZ27" i="136"/>
  <c r="AY27" i="136"/>
  <c r="AX27" i="136"/>
  <c r="AW27" i="136"/>
  <c r="AV27" i="136"/>
  <c r="AU27" i="136"/>
  <c r="AT27" i="136"/>
  <c r="AS27" i="136"/>
  <c r="AR27" i="136"/>
  <c r="AQ27" i="136"/>
  <c r="AP27" i="136"/>
  <c r="AO27" i="136"/>
  <c r="AN27" i="136"/>
  <c r="AM27" i="136"/>
  <c r="AL27" i="136"/>
  <c r="AK27" i="136"/>
  <c r="AJ27" i="136"/>
  <c r="AI27" i="136"/>
  <c r="AH27" i="136"/>
  <c r="AG27" i="136"/>
  <c r="AF27" i="136"/>
  <c r="AE27" i="136"/>
  <c r="BE26" i="136"/>
  <c r="BD26" i="136"/>
  <c r="BC26" i="136"/>
  <c r="BB26" i="136"/>
  <c r="BA26" i="136"/>
  <c r="AZ26" i="136"/>
  <c r="AY26" i="136"/>
  <c r="AX26" i="136"/>
  <c r="AW26" i="136"/>
  <c r="AV26" i="136"/>
  <c r="AU26" i="136"/>
  <c r="AT26" i="136"/>
  <c r="AS26" i="136"/>
  <c r="AR26" i="136"/>
  <c r="AQ26" i="136"/>
  <c r="AP26" i="136"/>
  <c r="AO26" i="136"/>
  <c r="AN26" i="136"/>
  <c r="AM26" i="136"/>
  <c r="AL26" i="136"/>
  <c r="AK26" i="136"/>
  <c r="AJ26" i="136"/>
  <c r="AI26" i="136"/>
  <c r="AH26" i="136"/>
  <c r="AG26" i="136"/>
  <c r="AF26" i="136"/>
  <c r="AE26" i="136"/>
  <c r="BE25" i="136"/>
  <c r="BD25" i="136"/>
  <c r="BC25" i="136"/>
  <c r="BB25" i="136"/>
  <c r="BA25" i="136"/>
  <c r="AZ25" i="136"/>
  <c r="AY25" i="136"/>
  <c r="AX25" i="136"/>
  <c r="AW25" i="136"/>
  <c r="AV25" i="136"/>
  <c r="AU25" i="136"/>
  <c r="AT25" i="136"/>
  <c r="AS25" i="136"/>
  <c r="AR25" i="136"/>
  <c r="AQ25" i="136"/>
  <c r="AP25" i="136"/>
  <c r="AO25" i="136"/>
  <c r="AN25" i="136"/>
  <c r="AM25" i="136"/>
  <c r="AL25" i="136"/>
  <c r="AK25" i="136"/>
  <c r="AJ25" i="136"/>
  <c r="AI25" i="136"/>
  <c r="AH25" i="136"/>
  <c r="AG25" i="136"/>
  <c r="AF25" i="136"/>
  <c r="AE25" i="136"/>
  <c r="BE24" i="136"/>
  <c r="BD24" i="136"/>
  <c r="BC24" i="136"/>
  <c r="BB24" i="136"/>
  <c r="BA24" i="136"/>
  <c r="AZ24" i="136"/>
  <c r="AY24" i="136"/>
  <c r="AX24" i="136"/>
  <c r="AW24" i="136"/>
  <c r="AV24" i="136"/>
  <c r="AU24" i="136"/>
  <c r="AT24" i="136"/>
  <c r="AS24" i="136"/>
  <c r="AR24" i="136"/>
  <c r="AQ24" i="136"/>
  <c r="AP24" i="136"/>
  <c r="AO24" i="136"/>
  <c r="AN24" i="136"/>
  <c r="AM24" i="136"/>
  <c r="AL24" i="136"/>
  <c r="AK24" i="136"/>
  <c r="AJ24" i="136"/>
  <c r="AI24" i="136"/>
  <c r="AH24" i="136"/>
  <c r="AG24" i="136"/>
  <c r="AF24" i="136"/>
  <c r="AE24" i="136"/>
  <c r="BE23" i="136"/>
  <c r="BD23" i="136"/>
  <c r="BC23" i="136"/>
  <c r="BB23" i="136"/>
  <c r="BA23" i="136"/>
  <c r="AZ23" i="136"/>
  <c r="AY23" i="136"/>
  <c r="AX23" i="136"/>
  <c r="AW23" i="136"/>
  <c r="AV23" i="136"/>
  <c r="AU23" i="136"/>
  <c r="AT23" i="136"/>
  <c r="AS23" i="136"/>
  <c r="AR23" i="136"/>
  <c r="AQ23" i="136"/>
  <c r="AP23" i="136"/>
  <c r="AO23" i="136"/>
  <c r="AN23" i="136"/>
  <c r="AM23" i="136"/>
  <c r="AL23" i="136"/>
  <c r="AK23" i="136"/>
  <c r="AJ23" i="136"/>
  <c r="AI23" i="136"/>
  <c r="AH23" i="136"/>
  <c r="AG23" i="136"/>
  <c r="AF23" i="136"/>
  <c r="AE23" i="136"/>
  <c r="BE22" i="136"/>
  <c r="BD22" i="136"/>
  <c r="BC22" i="136"/>
  <c r="BB22" i="136"/>
  <c r="BA22" i="136"/>
  <c r="AZ22" i="136"/>
  <c r="AY22" i="136"/>
  <c r="AX22" i="136"/>
  <c r="AW22" i="136"/>
  <c r="AV22" i="136"/>
  <c r="AU22" i="136"/>
  <c r="AT22" i="136"/>
  <c r="AS22" i="136"/>
  <c r="AR22" i="136"/>
  <c r="AQ22" i="136"/>
  <c r="AP22" i="136"/>
  <c r="AO22" i="136"/>
  <c r="AN22" i="136"/>
  <c r="AM22" i="136"/>
  <c r="AL22" i="136"/>
  <c r="AK22" i="136"/>
  <c r="AJ22" i="136"/>
  <c r="AI22" i="136"/>
  <c r="AH22" i="136"/>
  <c r="AG22" i="136"/>
  <c r="AF22" i="136"/>
  <c r="AE22" i="136"/>
  <c r="BE21" i="136"/>
  <c r="BD21" i="136"/>
  <c r="BC21" i="136"/>
  <c r="BB21" i="136"/>
  <c r="BA21" i="136"/>
  <c r="AZ21" i="136"/>
  <c r="AY21" i="136"/>
  <c r="AX21" i="136"/>
  <c r="AW21" i="136"/>
  <c r="AV21" i="136"/>
  <c r="AU21" i="136"/>
  <c r="AT21" i="136"/>
  <c r="AS21" i="136"/>
  <c r="AR21" i="136"/>
  <c r="AQ21" i="136"/>
  <c r="AP21" i="136"/>
  <c r="AO21" i="136"/>
  <c r="AN21" i="136"/>
  <c r="AM21" i="136"/>
  <c r="AL21" i="136"/>
  <c r="AK21" i="136"/>
  <c r="AJ21" i="136"/>
  <c r="AI21" i="136"/>
  <c r="AH21" i="136"/>
  <c r="AG21" i="136"/>
  <c r="AF21" i="136"/>
  <c r="AE21" i="136"/>
  <c r="BE20" i="136"/>
  <c r="BD20" i="136"/>
  <c r="BC20" i="136"/>
  <c r="BB20" i="136"/>
  <c r="BA20" i="136"/>
  <c r="AZ20" i="136"/>
  <c r="AY20" i="136"/>
  <c r="AX20" i="136"/>
  <c r="AW20" i="136"/>
  <c r="AV20" i="136"/>
  <c r="AU20" i="136"/>
  <c r="AT20" i="136"/>
  <c r="AS20" i="136"/>
  <c r="AR20" i="136"/>
  <c r="AQ20" i="136"/>
  <c r="AP20" i="136"/>
  <c r="AO20" i="136"/>
  <c r="AN20" i="136"/>
  <c r="AM20" i="136"/>
  <c r="AL20" i="136"/>
  <c r="AK20" i="136"/>
  <c r="AJ20" i="136"/>
  <c r="AI20" i="136"/>
  <c r="AH20" i="136"/>
  <c r="AG20" i="136"/>
  <c r="AF20" i="136"/>
  <c r="AE20" i="136"/>
  <c r="BE19" i="136"/>
  <c r="BD19" i="136"/>
  <c r="BC19" i="136"/>
  <c r="BB19" i="136"/>
  <c r="BA19" i="136"/>
  <c r="AZ19" i="136"/>
  <c r="AY19" i="136"/>
  <c r="AX19" i="136"/>
  <c r="AW19" i="136"/>
  <c r="AV19" i="136"/>
  <c r="AU19" i="136"/>
  <c r="AT19" i="136"/>
  <c r="AS19" i="136"/>
  <c r="AR19" i="136"/>
  <c r="AQ19" i="136"/>
  <c r="AP19" i="136"/>
  <c r="AO19" i="136"/>
  <c r="AN19" i="136"/>
  <c r="AM19" i="136"/>
  <c r="AL19" i="136"/>
  <c r="AK19" i="136"/>
  <c r="AJ19" i="136"/>
  <c r="AI19" i="136"/>
  <c r="AH19" i="136"/>
  <c r="AG19" i="136"/>
  <c r="AF19" i="136"/>
  <c r="AE19" i="136"/>
  <c r="BE18" i="136"/>
  <c r="BD18" i="136"/>
  <c r="BC18" i="136"/>
  <c r="BB18" i="136"/>
  <c r="BA18" i="136"/>
  <c r="AZ18" i="136"/>
  <c r="AY18" i="136"/>
  <c r="AX18" i="136"/>
  <c r="AW18" i="136"/>
  <c r="AV18" i="136"/>
  <c r="AU18" i="136"/>
  <c r="AT18" i="136"/>
  <c r="AS18" i="136"/>
  <c r="AR18" i="136"/>
  <c r="AQ18" i="136"/>
  <c r="AP18" i="136"/>
  <c r="AO18" i="136"/>
  <c r="AN18" i="136"/>
  <c r="AM18" i="136"/>
  <c r="AL18" i="136"/>
  <c r="AK18" i="136"/>
  <c r="AJ18" i="136"/>
  <c r="AI18" i="136"/>
  <c r="AH18" i="136"/>
  <c r="AG18" i="136"/>
  <c r="AF18" i="136"/>
  <c r="AE18" i="136"/>
  <c r="BE17" i="136"/>
  <c r="BD17" i="136"/>
  <c r="BC17" i="136"/>
  <c r="BB17" i="136"/>
  <c r="BA17" i="136"/>
  <c r="AZ17" i="136"/>
  <c r="AY17" i="136"/>
  <c r="AX17" i="136"/>
  <c r="AW17" i="136"/>
  <c r="AV17" i="136"/>
  <c r="AU17" i="136"/>
  <c r="AT17" i="136"/>
  <c r="AS17" i="136"/>
  <c r="AR17" i="136"/>
  <c r="AQ17" i="136"/>
  <c r="AP17" i="136"/>
  <c r="AO17" i="136"/>
  <c r="AN17" i="136"/>
  <c r="AM17" i="136"/>
  <c r="AL17" i="136"/>
  <c r="AK17" i="136"/>
  <c r="AJ17" i="136"/>
  <c r="AI17" i="136"/>
  <c r="AH17" i="136"/>
  <c r="AG17" i="136"/>
  <c r="AF17" i="136"/>
  <c r="AE17" i="136"/>
  <c r="BE16" i="136"/>
  <c r="BD16" i="136"/>
  <c r="BC16" i="136"/>
  <c r="BB16" i="136"/>
  <c r="BA16" i="136"/>
  <c r="AZ16" i="136"/>
  <c r="AY16" i="136"/>
  <c r="AX16" i="136"/>
  <c r="AW16" i="136"/>
  <c r="AV16" i="136"/>
  <c r="AU16" i="136"/>
  <c r="AT16" i="136"/>
  <c r="AS16" i="136"/>
  <c r="AR16" i="136"/>
  <c r="AQ16" i="136"/>
  <c r="AP16" i="136"/>
  <c r="AO16" i="136"/>
  <c r="AN16" i="136"/>
  <c r="AM16" i="136"/>
  <c r="AL16" i="136"/>
  <c r="AK16" i="136"/>
  <c r="AJ16" i="136"/>
  <c r="AI16" i="136"/>
  <c r="AH16" i="136"/>
  <c r="AG16" i="136"/>
  <c r="AF16" i="136"/>
  <c r="AE16" i="136"/>
  <c r="BE15" i="136"/>
  <c r="BD15" i="136"/>
  <c r="BC15" i="136"/>
  <c r="BB15" i="136"/>
  <c r="BA15" i="136"/>
  <c r="AZ15" i="136"/>
  <c r="AY15" i="136"/>
  <c r="AX15" i="136"/>
  <c r="AW15" i="136"/>
  <c r="AV15" i="136"/>
  <c r="AU15" i="136"/>
  <c r="AT15" i="136"/>
  <c r="AS15" i="136"/>
  <c r="AR15" i="136"/>
  <c r="AQ15" i="136"/>
  <c r="AP15" i="136"/>
  <c r="AO15" i="136"/>
  <c r="AN15" i="136"/>
  <c r="AM15" i="136"/>
  <c r="AL15" i="136"/>
  <c r="AK15" i="136"/>
  <c r="AJ15" i="136"/>
  <c r="AI15" i="136"/>
  <c r="AH15" i="136"/>
  <c r="AG15" i="136"/>
  <c r="AF15" i="136"/>
  <c r="AE15" i="136"/>
  <c r="BE14" i="136"/>
  <c r="BD14" i="136"/>
  <c r="BC14" i="136"/>
  <c r="BB14" i="136"/>
  <c r="BA14" i="136"/>
  <c r="AZ14" i="136"/>
  <c r="AY14" i="136"/>
  <c r="AX14" i="136"/>
  <c r="AW14" i="136"/>
  <c r="AV14" i="136"/>
  <c r="AU14" i="136"/>
  <c r="AT14" i="136"/>
  <c r="AS14" i="136"/>
  <c r="AR14" i="136"/>
  <c r="AQ14" i="136"/>
  <c r="AP14" i="136"/>
  <c r="AO14" i="136"/>
  <c r="AN14" i="136"/>
  <c r="AM14" i="136"/>
  <c r="AL14" i="136"/>
  <c r="AK14" i="136"/>
  <c r="AJ14" i="136"/>
  <c r="AI14" i="136"/>
  <c r="AH14" i="136"/>
  <c r="AG14" i="136"/>
  <c r="AF14" i="136"/>
  <c r="AE14" i="136"/>
  <c r="BE13" i="136"/>
  <c r="BD13" i="136"/>
  <c r="BC13" i="136"/>
  <c r="BB13" i="136"/>
  <c r="BA13" i="136"/>
  <c r="AZ13" i="136"/>
  <c r="AY13" i="136"/>
  <c r="AX13" i="136"/>
  <c r="AW13" i="136"/>
  <c r="AV13" i="136"/>
  <c r="AU13" i="136"/>
  <c r="AT13" i="136"/>
  <c r="AS13" i="136"/>
  <c r="AR13" i="136"/>
  <c r="AQ13" i="136"/>
  <c r="AP13" i="136"/>
  <c r="AO13" i="136"/>
  <c r="AN13" i="136"/>
  <c r="AM13" i="136"/>
  <c r="AL13" i="136"/>
  <c r="AK13" i="136"/>
  <c r="AJ13" i="136"/>
  <c r="AI13" i="136"/>
  <c r="AH13" i="136"/>
  <c r="AG13" i="136"/>
  <c r="AF13" i="136"/>
  <c r="AE13" i="136"/>
  <c r="BE12" i="136"/>
  <c r="BD12" i="136"/>
  <c r="BC12" i="136"/>
  <c r="BB12" i="136"/>
  <c r="BA12" i="136"/>
  <c r="AZ12" i="136"/>
  <c r="AY12" i="136"/>
  <c r="AX12" i="136"/>
  <c r="AW12" i="136"/>
  <c r="AV12" i="136"/>
  <c r="AU12" i="136"/>
  <c r="AT12" i="136"/>
  <c r="AS12" i="136"/>
  <c r="AR12" i="136"/>
  <c r="AQ12" i="136"/>
  <c r="AP12" i="136"/>
  <c r="AO12" i="136"/>
  <c r="AN12" i="136"/>
  <c r="AM12" i="136"/>
  <c r="AL12" i="136"/>
  <c r="AK12" i="136"/>
  <c r="AJ12" i="136"/>
  <c r="AI12" i="136"/>
  <c r="AH12" i="136"/>
  <c r="AG12" i="136"/>
  <c r="AF12" i="136"/>
  <c r="AE12" i="136"/>
  <c r="BE11" i="136"/>
  <c r="BD11" i="136"/>
  <c r="BC11" i="136"/>
  <c r="BB11" i="136"/>
  <c r="BA11" i="136"/>
  <c r="AZ11" i="136"/>
  <c r="AY11" i="136"/>
  <c r="AX11" i="136"/>
  <c r="AW11" i="136"/>
  <c r="AV11" i="136"/>
  <c r="AU11" i="136"/>
  <c r="AT11" i="136"/>
  <c r="AS11" i="136"/>
  <c r="AR11" i="136"/>
  <c r="AQ11" i="136"/>
  <c r="AP11" i="136"/>
  <c r="AO11" i="136"/>
  <c r="AN11" i="136"/>
  <c r="AM11" i="136"/>
  <c r="AL11" i="136"/>
  <c r="AK11" i="136"/>
  <c r="AJ11" i="136"/>
  <c r="AI11" i="136"/>
  <c r="AH11" i="136"/>
  <c r="AG11" i="136"/>
  <c r="AF11" i="136"/>
  <c r="AE11" i="136"/>
  <c r="BE10" i="136"/>
  <c r="BD10" i="136"/>
  <c r="BC10" i="136"/>
  <c r="BB10" i="136"/>
  <c r="BA10" i="136"/>
  <c r="AZ10" i="136"/>
  <c r="AY10" i="136"/>
  <c r="AX10" i="136"/>
  <c r="AW10" i="136"/>
  <c r="AV10" i="136"/>
  <c r="AU10" i="136"/>
  <c r="AT10" i="136"/>
  <c r="AS10" i="136"/>
  <c r="AR10" i="136"/>
  <c r="AQ10" i="136"/>
  <c r="AP10" i="136"/>
  <c r="AO10" i="136"/>
  <c r="AN10" i="136"/>
  <c r="AM10" i="136"/>
  <c r="AL10" i="136"/>
  <c r="AK10" i="136"/>
  <c r="AJ10" i="136"/>
  <c r="AI10" i="136"/>
  <c r="AH10" i="136"/>
  <c r="AG10" i="136"/>
  <c r="AF10" i="136"/>
  <c r="AE10" i="136"/>
  <c r="BE9" i="136"/>
  <c r="BD9" i="136"/>
  <c r="BC9" i="136"/>
  <c r="BB9" i="136"/>
  <c r="BA9" i="136"/>
  <c r="AZ9" i="136"/>
  <c r="AY9" i="136"/>
  <c r="AX9" i="136"/>
  <c r="AW9" i="136"/>
  <c r="AV9" i="136"/>
  <c r="AU9" i="136"/>
  <c r="AT9" i="136"/>
  <c r="AS9" i="136"/>
  <c r="AR9" i="136"/>
  <c r="AQ9" i="136"/>
  <c r="AP9" i="136"/>
  <c r="AO9" i="136"/>
  <c r="AN9" i="136"/>
  <c r="AM9" i="136"/>
  <c r="AL9" i="136"/>
  <c r="AK9" i="136"/>
  <c r="AJ9" i="136"/>
  <c r="AI9" i="136"/>
  <c r="AH9" i="136"/>
  <c r="AG9" i="136"/>
  <c r="AF9" i="136"/>
  <c r="AE9" i="136"/>
  <c r="BE8" i="136"/>
  <c r="BD8" i="136"/>
  <c r="BC8" i="136"/>
  <c r="BB8" i="136"/>
  <c r="BA8" i="136"/>
  <c r="AZ8" i="136"/>
  <c r="AY8" i="136"/>
  <c r="AX8" i="136"/>
  <c r="AW8" i="136"/>
  <c r="AV8" i="136"/>
  <c r="AU8" i="136"/>
  <c r="AT8" i="136"/>
  <c r="AS8" i="136"/>
  <c r="AR8" i="136"/>
  <c r="AQ8" i="136"/>
  <c r="AP8" i="136"/>
  <c r="AO8" i="136"/>
  <c r="AN8" i="136"/>
  <c r="AM8" i="136"/>
  <c r="AL8" i="136"/>
  <c r="AK8" i="136"/>
  <c r="AJ8" i="136"/>
  <c r="AI8" i="136"/>
  <c r="AH8" i="136"/>
  <c r="AG8" i="136"/>
  <c r="AF8" i="136"/>
  <c r="AE8" i="136"/>
  <c r="BE7" i="136"/>
  <c r="BD7" i="136"/>
  <c r="BC7" i="136"/>
  <c r="BB7" i="136"/>
  <c r="BA7" i="136"/>
  <c r="AZ7" i="136"/>
  <c r="AY7" i="136"/>
  <c r="AX7" i="136"/>
  <c r="AW7" i="136"/>
  <c r="AV7" i="136"/>
  <c r="AU7" i="136"/>
  <c r="AT7" i="136"/>
  <c r="AS7" i="136"/>
  <c r="AR7" i="136"/>
  <c r="AQ7" i="136"/>
  <c r="AP7" i="136"/>
  <c r="AO7" i="136"/>
  <c r="AN7" i="136"/>
  <c r="AM7" i="136"/>
  <c r="AL7" i="136"/>
  <c r="AK7" i="136"/>
  <c r="AJ7" i="136"/>
  <c r="AI7" i="136"/>
  <c r="AH7" i="136"/>
  <c r="AG7" i="136"/>
  <c r="AF7" i="136"/>
  <c r="AE7" i="136"/>
  <c r="BE6" i="136"/>
  <c r="BD6" i="136"/>
  <c r="BC6" i="136"/>
  <c r="BB6" i="136"/>
  <c r="BA6" i="136"/>
  <c r="AZ6" i="136"/>
  <c r="AY6" i="136"/>
  <c r="AX6" i="136"/>
  <c r="AW6" i="136"/>
  <c r="AV6" i="136"/>
  <c r="AU6" i="136"/>
  <c r="AT6" i="136"/>
  <c r="AS6" i="136"/>
  <c r="AR6" i="136"/>
  <c r="AQ6" i="136"/>
  <c r="AP6" i="136"/>
  <c r="AO6" i="136"/>
  <c r="AN6" i="136"/>
  <c r="AM6" i="136"/>
  <c r="AL6" i="136"/>
  <c r="AK6" i="136"/>
  <c r="AJ6" i="136"/>
  <c r="AI6" i="136"/>
  <c r="AH6" i="136"/>
  <c r="AG6" i="136"/>
  <c r="AF6" i="136"/>
  <c r="AE6" i="136"/>
  <c r="BE5" i="136"/>
  <c r="BD5" i="136"/>
  <c r="BC5" i="136"/>
  <c r="BB5" i="136"/>
  <c r="BA5" i="136"/>
  <c r="AZ5" i="136"/>
  <c r="AY5" i="136"/>
  <c r="AX5" i="136"/>
  <c r="AW5" i="136"/>
  <c r="AV5" i="136"/>
  <c r="AU5" i="136"/>
  <c r="AT5" i="136"/>
  <c r="AS5" i="136"/>
  <c r="AR5" i="136"/>
  <c r="AQ5" i="136"/>
  <c r="AP5" i="136"/>
  <c r="AO5" i="136"/>
  <c r="AN5" i="136"/>
  <c r="AM5" i="136"/>
  <c r="AL5" i="136"/>
  <c r="AK5" i="136"/>
  <c r="AJ5" i="136"/>
  <c r="AI5" i="136"/>
  <c r="AH5" i="136"/>
  <c r="AG5" i="136"/>
  <c r="AF5" i="136"/>
  <c r="AE5" i="136"/>
  <c r="BE4" i="136"/>
  <c r="BD4" i="136"/>
  <c r="BC4" i="136"/>
  <c r="BB4" i="136"/>
  <c r="BA4" i="136"/>
  <c r="AZ4" i="136"/>
  <c r="AY4" i="136"/>
  <c r="AX4" i="136"/>
  <c r="AW4" i="136"/>
  <c r="AV4" i="136"/>
  <c r="AU4" i="136"/>
  <c r="AT4" i="136"/>
  <c r="AS4" i="136"/>
  <c r="AR4" i="136"/>
  <c r="AQ4" i="136"/>
  <c r="AP4" i="136"/>
  <c r="AO4" i="136"/>
  <c r="AN4" i="136"/>
  <c r="AM4" i="136"/>
  <c r="AL4" i="136"/>
  <c r="AK4" i="136"/>
  <c r="AJ4" i="136"/>
  <c r="AI4" i="136"/>
  <c r="AH4" i="136"/>
  <c r="AG4" i="136"/>
  <c r="AF4" i="136"/>
  <c r="AE4" i="136"/>
  <c r="BE3" i="136"/>
  <c r="BD3" i="136"/>
  <c r="BC3" i="136"/>
  <c r="BB3" i="136"/>
  <c r="BA3" i="136"/>
  <c r="AZ3" i="136"/>
  <c r="AY3" i="136"/>
  <c r="AX3" i="136"/>
  <c r="AW3" i="136"/>
  <c r="AV3" i="136"/>
  <c r="AU3" i="136"/>
  <c r="AT3" i="136"/>
  <c r="AS3" i="136"/>
  <c r="AR3" i="136"/>
  <c r="AQ3" i="136"/>
  <c r="AP3" i="136"/>
  <c r="AO3" i="136"/>
  <c r="AN3" i="136"/>
  <c r="AM3" i="136"/>
  <c r="AL3" i="136"/>
  <c r="AK3" i="136"/>
  <c r="AJ3" i="136"/>
  <c r="AI3" i="136"/>
  <c r="AH3" i="136"/>
  <c r="AG3" i="136"/>
  <c r="AF3" i="136"/>
  <c r="AE3" i="136"/>
  <c r="BE2" i="136"/>
  <c r="BD2" i="136"/>
  <c r="BC2" i="136"/>
  <c r="BB2" i="136"/>
  <c r="BA2" i="136"/>
  <c r="AZ2" i="136"/>
  <c r="AY2" i="136"/>
  <c r="AX2" i="136"/>
  <c r="AW2" i="136"/>
  <c r="AV2" i="136"/>
  <c r="AU2" i="136"/>
  <c r="AT2" i="136"/>
  <c r="AS2" i="136"/>
  <c r="AR2" i="136"/>
  <c r="AQ2" i="136"/>
  <c r="AP2" i="136"/>
  <c r="AO2" i="136"/>
  <c r="AN2" i="136"/>
  <c r="AM2" i="136"/>
  <c r="AL2" i="136"/>
  <c r="AK2" i="136"/>
  <c r="AJ2" i="136"/>
  <c r="AI2" i="136"/>
  <c r="AH2" i="136"/>
  <c r="AG2" i="136"/>
  <c r="AF2" i="136"/>
  <c r="AE2" i="136"/>
  <c r="BE1" i="136"/>
  <c r="BD1" i="136"/>
  <c r="BC1" i="136"/>
  <c r="BB1" i="136"/>
  <c r="BA1" i="136"/>
  <c r="AZ1" i="136"/>
  <c r="AY1" i="136"/>
  <c r="AX1" i="136"/>
  <c r="AW1" i="136"/>
  <c r="AV1" i="136"/>
  <c r="AU1" i="136"/>
  <c r="AT1" i="136"/>
  <c r="AS1" i="136"/>
  <c r="AR1" i="136"/>
  <c r="AQ1" i="136"/>
  <c r="AP1" i="136"/>
  <c r="AO1" i="136"/>
  <c r="AN1" i="136"/>
  <c r="AM1" i="136"/>
  <c r="AL1" i="136"/>
  <c r="AK1" i="136"/>
  <c r="AJ1" i="136"/>
  <c r="AI1" i="136"/>
  <c r="AH1" i="136"/>
  <c r="AG1" i="136"/>
  <c r="AF1" i="136"/>
  <c r="BE33" i="134"/>
  <c r="BD33" i="134"/>
  <c r="BC33" i="134"/>
  <c r="BB33" i="134"/>
  <c r="BA33" i="134"/>
  <c r="AZ33" i="134"/>
  <c r="AY33" i="134"/>
  <c r="AX33" i="134"/>
  <c r="AW33" i="134"/>
  <c r="AV33" i="134"/>
  <c r="AU33" i="134"/>
  <c r="AT33" i="134"/>
  <c r="AS33" i="134"/>
  <c r="AR33" i="134"/>
  <c r="AQ33" i="134"/>
  <c r="AP33" i="134"/>
  <c r="AO33" i="134"/>
  <c r="AN33" i="134"/>
  <c r="AM33" i="134"/>
  <c r="AL33" i="134"/>
  <c r="AK33" i="134"/>
  <c r="AJ33" i="134"/>
  <c r="AI33" i="134"/>
  <c r="AH33" i="134"/>
  <c r="AG33" i="134"/>
  <c r="AF33" i="134"/>
  <c r="AE33" i="134"/>
  <c r="BE32" i="134"/>
  <c r="BD32" i="134"/>
  <c r="BC32" i="134"/>
  <c r="BB32" i="134"/>
  <c r="BA32" i="134"/>
  <c r="AZ32" i="134"/>
  <c r="AY32" i="134"/>
  <c r="AX32" i="134"/>
  <c r="AW32" i="134"/>
  <c r="AV32" i="134"/>
  <c r="AU32" i="134"/>
  <c r="AT32" i="134"/>
  <c r="AS32" i="134"/>
  <c r="AR32" i="134"/>
  <c r="AQ32" i="134"/>
  <c r="AP32" i="134"/>
  <c r="AO32" i="134"/>
  <c r="AN32" i="134"/>
  <c r="AM32" i="134"/>
  <c r="AL32" i="134"/>
  <c r="AK32" i="134"/>
  <c r="AJ32" i="134"/>
  <c r="AI32" i="134"/>
  <c r="AH32" i="134"/>
  <c r="AG32" i="134"/>
  <c r="AF32" i="134"/>
  <c r="AE32" i="134"/>
  <c r="BE31" i="134"/>
  <c r="BD31" i="134"/>
  <c r="BC31" i="134"/>
  <c r="BB31" i="134"/>
  <c r="BA31" i="134"/>
  <c r="AZ31" i="134"/>
  <c r="AY31" i="134"/>
  <c r="AX31" i="134"/>
  <c r="AW31" i="134"/>
  <c r="AV31" i="134"/>
  <c r="AU31" i="134"/>
  <c r="AT31" i="134"/>
  <c r="AS31" i="134"/>
  <c r="AR31" i="134"/>
  <c r="AQ31" i="134"/>
  <c r="AP31" i="134"/>
  <c r="AO31" i="134"/>
  <c r="AN31" i="134"/>
  <c r="AM31" i="134"/>
  <c r="AL31" i="134"/>
  <c r="AK31" i="134"/>
  <c r="AJ31" i="134"/>
  <c r="AI31" i="134"/>
  <c r="AH31" i="134"/>
  <c r="AG31" i="134"/>
  <c r="AF31" i="134"/>
  <c r="AE31" i="134"/>
  <c r="BE30" i="134"/>
  <c r="BD30" i="134"/>
  <c r="BC30" i="134"/>
  <c r="BB30" i="134"/>
  <c r="BA30" i="134"/>
  <c r="AZ30" i="134"/>
  <c r="AY30" i="134"/>
  <c r="AX30" i="134"/>
  <c r="AW30" i="134"/>
  <c r="AV30" i="134"/>
  <c r="AU30" i="134"/>
  <c r="AT30" i="134"/>
  <c r="AS30" i="134"/>
  <c r="AR30" i="134"/>
  <c r="AQ30" i="134"/>
  <c r="AP30" i="134"/>
  <c r="AO30" i="134"/>
  <c r="AN30" i="134"/>
  <c r="AM30" i="134"/>
  <c r="AL30" i="134"/>
  <c r="AK30" i="134"/>
  <c r="AJ30" i="134"/>
  <c r="AI30" i="134"/>
  <c r="AH30" i="134"/>
  <c r="AG30" i="134"/>
  <c r="AF30" i="134"/>
  <c r="AE30" i="134"/>
  <c r="BE29" i="134"/>
  <c r="BD29" i="134"/>
  <c r="BC29" i="134"/>
  <c r="BB29" i="134"/>
  <c r="BA29" i="134"/>
  <c r="AZ29" i="134"/>
  <c r="AY29" i="134"/>
  <c r="AX29" i="134"/>
  <c r="AW29" i="134"/>
  <c r="AV29" i="134"/>
  <c r="AU29" i="134"/>
  <c r="AT29" i="134"/>
  <c r="AS29" i="134"/>
  <c r="AR29" i="134"/>
  <c r="AQ29" i="134"/>
  <c r="AP29" i="134"/>
  <c r="AO29" i="134"/>
  <c r="AN29" i="134"/>
  <c r="AM29" i="134"/>
  <c r="AL29" i="134"/>
  <c r="AK29" i="134"/>
  <c r="AJ29" i="134"/>
  <c r="AI29" i="134"/>
  <c r="AH29" i="134"/>
  <c r="AG29" i="134"/>
  <c r="AF29" i="134"/>
  <c r="AE29" i="134"/>
  <c r="BE28" i="134"/>
  <c r="BD28" i="134"/>
  <c r="BC28" i="134"/>
  <c r="BB28" i="134"/>
  <c r="BA28" i="134"/>
  <c r="AZ28" i="134"/>
  <c r="AY28" i="134"/>
  <c r="AX28" i="134"/>
  <c r="AW28" i="134"/>
  <c r="AV28" i="134"/>
  <c r="AU28" i="134"/>
  <c r="AT28" i="134"/>
  <c r="AS28" i="134"/>
  <c r="AR28" i="134"/>
  <c r="AQ28" i="134"/>
  <c r="AP28" i="134"/>
  <c r="AO28" i="134"/>
  <c r="AN28" i="134"/>
  <c r="AM28" i="134"/>
  <c r="AL28" i="134"/>
  <c r="AK28" i="134"/>
  <c r="AJ28" i="134"/>
  <c r="AI28" i="134"/>
  <c r="AH28" i="134"/>
  <c r="AG28" i="134"/>
  <c r="AF28" i="134"/>
  <c r="AE28" i="134"/>
  <c r="BE27" i="134"/>
  <c r="BD27" i="134"/>
  <c r="BC27" i="134"/>
  <c r="BB27" i="134"/>
  <c r="BA27" i="134"/>
  <c r="AZ27" i="134"/>
  <c r="AY27" i="134"/>
  <c r="AX27" i="134"/>
  <c r="AW27" i="134"/>
  <c r="AV27" i="134"/>
  <c r="AU27" i="134"/>
  <c r="AT27" i="134"/>
  <c r="AS27" i="134"/>
  <c r="AR27" i="134"/>
  <c r="AQ27" i="134"/>
  <c r="AP27" i="134"/>
  <c r="AO27" i="134"/>
  <c r="AN27" i="134"/>
  <c r="AM27" i="134"/>
  <c r="AL27" i="134"/>
  <c r="AK27" i="134"/>
  <c r="AJ27" i="134"/>
  <c r="AI27" i="134"/>
  <c r="AH27" i="134"/>
  <c r="AG27" i="134"/>
  <c r="AF27" i="134"/>
  <c r="AE27" i="134"/>
  <c r="BE26" i="134"/>
  <c r="BD26" i="134"/>
  <c r="BC26" i="134"/>
  <c r="BB26" i="134"/>
  <c r="BA26" i="134"/>
  <c r="AZ26" i="134"/>
  <c r="AY26" i="134"/>
  <c r="AX26" i="134"/>
  <c r="AW26" i="134"/>
  <c r="AV26" i="134"/>
  <c r="AU26" i="134"/>
  <c r="AT26" i="134"/>
  <c r="AS26" i="134"/>
  <c r="AR26" i="134"/>
  <c r="AQ26" i="134"/>
  <c r="AP26" i="134"/>
  <c r="AO26" i="134"/>
  <c r="AN26" i="134"/>
  <c r="AM26" i="134"/>
  <c r="AL26" i="134"/>
  <c r="AK26" i="134"/>
  <c r="AJ26" i="134"/>
  <c r="AI26" i="134"/>
  <c r="AH26" i="134"/>
  <c r="AG26" i="134"/>
  <c r="AF26" i="134"/>
  <c r="AE26" i="134"/>
  <c r="BE25" i="134"/>
  <c r="BD25" i="134"/>
  <c r="BC25" i="134"/>
  <c r="BB25" i="134"/>
  <c r="BA25" i="134"/>
  <c r="AZ25" i="134"/>
  <c r="AY25" i="134"/>
  <c r="AX25" i="134"/>
  <c r="AW25" i="134"/>
  <c r="AV25" i="134"/>
  <c r="AU25" i="134"/>
  <c r="AT25" i="134"/>
  <c r="AS25" i="134"/>
  <c r="AR25" i="134"/>
  <c r="AQ25" i="134"/>
  <c r="AP25" i="134"/>
  <c r="AO25" i="134"/>
  <c r="AN25" i="134"/>
  <c r="AM25" i="134"/>
  <c r="AL25" i="134"/>
  <c r="AK25" i="134"/>
  <c r="AJ25" i="134"/>
  <c r="AI25" i="134"/>
  <c r="AH25" i="134"/>
  <c r="AG25" i="134"/>
  <c r="AF25" i="134"/>
  <c r="AE25" i="134"/>
  <c r="BE24" i="134"/>
  <c r="BD24" i="134"/>
  <c r="BC24" i="134"/>
  <c r="BB24" i="134"/>
  <c r="BA24" i="134"/>
  <c r="AZ24" i="134"/>
  <c r="AY24" i="134"/>
  <c r="AX24" i="134"/>
  <c r="AW24" i="134"/>
  <c r="AV24" i="134"/>
  <c r="AU24" i="134"/>
  <c r="AT24" i="134"/>
  <c r="AS24" i="134"/>
  <c r="AR24" i="134"/>
  <c r="AQ24" i="134"/>
  <c r="AP24" i="134"/>
  <c r="AO24" i="134"/>
  <c r="AN24" i="134"/>
  <c r="AM24" i="134"/>
  <c r="AL24" i="134"/>
  <c r="AK24" i="134"/>
  <c r="AJ24" i="134"/>
  <c r="AI24" i="134"/>
  <c r="AH24" i="134"/>
  <c r="AG24" i="134"/>
  <c r="AF24" i="134"/>
  <c r="AE24" i="134"/>
  <c r="BE23" i="134"/>
  <c r="BD23" i="134"/>
  <c r="BC23" i="134"/>
  <c r="BB23" i="134"/>
  <c r="BA23" i="134"/>
  <c r="AZ23" i="134"/>
  <c r="AY23" i="134"/>
  <c r="AX23" i="134"/>
  <c r="AW23" i="134"/>
  <c r="AV23" i="134"/>
  <c r="AU23" i="134"/>
  <c r="AT23" i="134"/>
  <c r="AS23" i="134"/>
  <c r="AR23" i="134"/>
  <c r="AQ23" i="134"/>
  <c r="AP23" i="134"/>
  <c r="AO23" i="134"/>
  <c r="AN23" i="134"/>
  <c r="AM23" i="134"/>
  <c r="AL23" i="134"/>
  <c r="AK23" i="134"/>
  <c r="AJ23" i="134"/>
  <c r="AI23" i="134"/>
  <c r="AH23" i="134"/>
  <c r="AG23" i="134"/>
  <c r="AF23" i="134"/>
  <c r="AE23" i="134"/>
  <c r="BE22" i="134"/>
  <c r="BD22" i="134"/>
  <c r="BC22" i="134"/>
  <c r="BB22" i="134"/>
  <c r="BA22" i="134"/>
  <c r="AZ22" i="134"/>
  <c r="AY22" i="134"/>
  <c r="AX22" i="134"/>
  <c r="AW22" i="134"/>
  <c r="AV22" i="134"/>
  <c r="AU22" i="134"/>
  <c r="AT22" i="134"/>
  <c r="AS22" i="134"/>
  <c r="AR22" i="134"/>
  <c r="AQ22" i="134"/>
  <c r="AP22" i="134"/>
  <c r="AO22" i="134"/>
  <c r="AN22" i="134"/>
  <c r="AM22" i="134"/>
  <c r="AL22" i="134"/>
  <c r="AK22" i="134"/>
  <c r="AJ22" i="134"/>
  <c r="AI22" i="134"/>
  <c r="AH22" i="134"/>
  <c r="AG22" i="134"/>
  <c r="AF22" i="134"/>
  <c r="AE22" i="134"/>
  <c r="BE21" i="134"/>
  <c r="BD21" i="134"/>
  <c r="BC21" i="134"/>
  <c r="BB21" i="134"/>
  <c r="BA21" i="134"/>
  <c r="AZ21" i="134"/>
  <c r="AY21" i="134"/>
  <c r="AX21" i="134"/>
  <c r="AW21" i="134"/>
  <c r="AV21" i="134"/>
  <c r="AU21" i="134"/>
  <c r="AT21" i="134"/>
  <c r="AS21" i="134"/>
  <c r="AR21" i="134"/>
  <c r="AQ21" i="134"/>
  <c r="AP21" i="134"/>
  <c r="AO21" i="134"/>
  <c r="AN21" i="134"/>
  <c r="AM21" i="134"/>
  <c r="AL21" i="134"/>
  <c r="AK21" i="134"/>
  <c r="AJ21" i="134"/>
  <c r="AI21" i="134"/>
  <c r="AH21" i="134"/>
  <c r="AG21" i="134"/>
  <c r="AF21" i="134"/>
  <c r="AE21" i="134"/>
  <c r="BE20" i="134"/>
  <c r="BD20" i="134"/>
  <c r="BC20" i="134"/>
  <c r="BB20" i="134"/>
  <c r="BA20" i="134"/>
  <c r="AZ20" i="134"/>
  <c r="AY20" i="134"/>
  <c r="AX20" i="134"/>
  <c r="AW20" i="134"/>
  <c r="AV20" i="134"/>
  <c r="AU20" i="134"/>
  <c r="AT20" i="134"/>
  <c r="AS20" i="134"/>
  <c r="AR20" i="134"/>
  <c r="AQ20" i="134"/>
  <c r="AP20" i="134"/>
  <c r="AO20" i="134"/>
  <c r="AN20" i="134"/>
  <c r="AM20" i="134"/>
  <c r="AL20" i="134"/>
  <c r="AK20" i="134"/>
  <c r="AJ20" i="134"/>
  <c r="AI20" i="134"/>
  <c r="AH20" i="134"/>
  <c r="AG20" i="134"/>
  <c r="AF20" i="134"/>
  <c r="AE20" i="134"/>
  <c r="BE19" i="134"/>
  <c r="BD19" i="134"/>
  <c r="BC19" i="134"/>
  <c r="BB19" i="134"/>
  <c r="BA19" i="134"/>
  <c r="AZ19" i="134"/>
  <c r="AY19" i="134"/>
  <c r="AX19" i="134"/>
  <c r="AW19" i="134"/>
  <c r="AV19" i="134"/>
  <c r="AU19" i="134"/>
  <c r="AT19" i="134"/>
  <c r="AS19" i="134"/>
  <c r="AR19" i="134"/>
  <c r="AQ19" i="134"/>
  <c r="AP19" i="134"/>
  <c r="AO19" i="134"/>
  <c r="AN19" i="134"/>
  <c r="AM19" i="134"/>
  <c r="AL19" i="134"/>
  <c r="AK19" i="134"/>
  <c r="AJ19" i="134"/>
  <c r="AI19" i="134"/>
  <c r="AH19" i="134"/>
  <c r="AG19" i="134"/>
  <c r="AF19" i="134"/>
  <c r="AE19" i="134"/>
  <c r="BE18" i="134"/>
  <c r="BD18" i="134"/>
  <c r="BC18" i="134"/>
  <c r="BB18" i="134"/>
  <c r="BA18" i="134"/>
  <c r="AZ18" i="134"/>
  <c r="AY18" i="134"/>
  <c r="AX18" i="134"/>
  <c r="AW18" i="134"/>
  <c r="AV18" i="134"/>
  <c r="AU18" i="134"/>
  <c r="AT18" i="134"/>
  <c r="AS18" i="134"/>
  <c r="AR18" i="134"/>
  <c r="AQ18" i="134"/>
  <c r="AP18" i="134"/>
  <c r="AO18" i="134"/>
  <c r="AN18" i="134"/>
  <c r="AM18" i="134"/>
  <c r="AL18" i="134"/>
  <c r="AK18" i="134"/>
  <c r="AJ18" i="134"/>
  <c r="AI18" i="134"/>
  <c r="AH18" i="134"/>
  <c r="AG18" i="134"/>
  <c r="AF18" i="134"/>
  <c r="AE18" i="134"/>
  <c r="BE17" i="134"/>
  <c r="BD17" i="134"/>
  <c r="BC17" i="134"/>
  <c r="BB17" i="134"/>
  <c r="BA17" i="134"/>
  <c r="AZ17" i="134"/>
  <c r="AY17" i="134"/>
  <c r="AX17" i="134"/>
  <c r="AW17" i="134"/>
  <c r="AV17" i="134"/>
  <c r="AU17" i="134"/>
  <c r="AT17" i="134"/>
  <c r="AS17" i="134"/>
  <c r="AR17" i="134"/>
  <c r="AQ17" i="134"/>
  <c r="AP17" i="134"/>
  <c r="AO17" i="134"/>
  <c r="AN17" i="134"/>
  <c r="AM17" i="134"/>
  <c r="AL17" i="134"/>
  <c r="AK17" i="134"/>
  <c r="AJ17" i="134"/>
  <c r="AI17" i="134"/>
  <c r="AH17" i="134"/>
  <c r="AG17" i="134"/>
  <c r="AF17" i="134"/>
  <c r="AE17" i="134"/>
  <c r="BE16" i="134"/>
  <c r="BD16" i="134"/>
  <c r="BC16" i="134"/>
  <c r="BB16" i="134"/>
  <c r="BA16" i="134"/>
  <c r="AZ16" i="134"/>
  <c r="AY16" i="134"/>
  <c r="AX16" i="134"/>
  <c r="AW16" i="134"/>
  <c r="AV16" i="134"/>
  <c r="AU16" i="134"/>
  <c r="AT16" i="134"/>
  <c r="AS16" i="134"/>
  <c r="AR16" i="134"/>
  <c r="AQ16" i="134"/>
  <c r="AP16" i="134"/>
  <c r="AO16" i="134"/>
  <c r="AN16" i="134"/>
  <c r="AM16" i="134"/>
  <c r="AL16" i="134"/>
  <c r="AK16" i="134"/>
  <c r="AJ16" i="134"/>
  <c r="AI16" i="134"/>
  <c r="AH16" i="134"/>
  <c r="AG16" i="134"/>
  <c r="AF16" i="134"/>
  <c r="AE16" i="134"/>
  <c r="BE15" i="134"/>
  <c r="BD15" i="134"/>
  <c r="BC15" i="134"/>
  <c r="BB15" i="134"/>
  <c r="BA15" i="134"/>
  <c r="AZ15" i="134"/>
  <c r="AY15" i="134"/>
  <c r="AX15" i="134"/>
  <c r="AW15" i="134"/>
  <c r="AV15" i="134"/>
  <c r="AU15" i="134"/>
  <c r="AT15" i="134"/>
  <c r="AS15" i="134"/>
  <c r="AR15" i="134"/>
  <c r="AQ15" i="134"/>
  <c r="AP15" i="134"/>
  <c r="AO15" i="134"/>
  <c r="AN15" i="134"/>
  <c r="AM15" i="134"/>
  <c r="AL15" i="134"/>
  <c r="AK15" i="134"/>
  <c r="AJ15" i="134"/>
  <c r="AI15" i="134"/>
  <c r="AH15" i="134"/>
  <c r="AG15" i="134"/>
  <c r="AF15" i="134"/>
  <c r="AE15" i="134"/>
  <c r="BE14" i="134"/>
  <c r="BD14" i="134"/>
  <c r="BC14" i="134"/>
  <c r="BB14" i="134"/>
  <c r="BA14" i="134"/>
  <c r="AZ14" i="134"/>
  <c r="AY14" i="134"/>
  <c r="AX14" i="134"/>
  <c r="AW14" i="134"/>
  <c r="AV14" i="134"/>
  <c r="AU14" i="134"/>
  <c r="AT14" i="134"/>
  <c r="AS14" i="134"/>
  <c r="AR14" i="134"/>
  <c r="AQ14" i="134"/>
  <c r="AP14" i="134"/>
  <c r="AO14" i="134"/>
  <c r="AN14" i="134"/>
  <c r="AM14" i="134"/>
  <c r="AL14" i="134"/>
  <c r="AK14" i="134"/>
  <c r="AJ14" i="134"/>
  <c r="AI14" i="134"/>
  <c r="AH14" i="134"/>
  <c r="AG14" i="134"/>
  <c r="AF14" i="134"/>
  <c r="AE14" i="134"/>
  <c r="BE13" i="134"/>
  <c r="BD13" i="134"/>
  <c r="BC13" i="134"/>
  <c r="BB13" i="134"/>
  <c r="BA13" i="134"/>
  <c r="AZ13" i="134"/>
  <c r="AY13" i="134"/>
  <c r="AX13" i="134"/>
  <c r="AW13" i="134"/>
  <c r="AV13" i="134"/>
  <c r="AU13" i="134"/>
  <c r="AT13" i="134"/>
  <c r="AS13" i="134"/>
  <c r="AR13" i="134"/>
  <c r="AQ13" i="134"/>
  <c r="AP13" i="134"/>
  <c r="AO13" i="134"/>
  <c r="AN13" i="134"/>
  <c r="AM13" i="134"/>
  <c r="AL13" i="134"/>
  <c r="AK13" i="134"/>
  <c r="AJ13" i="134"/>
  <c r="AI13" i="134"/>
  <c r="AH13" i="134"/>
  <c r="AG13" i="134"/>
  <c r="AF13" i="134"/>
  <c r="AE13" i="134"/>
  <c r="BE12" i="134"/>
  <c r="BD12" i="134"/>
  <c r="BC12" i="134"/>
  <c r="BB12" i="134"/>
  <c r="BA12" i="134"/>
  <c r="AZ12" i="134"/>
  <c r="AY12" i="134"/>
  <c r="AX12" i="134"/>
  <c r="AW12" i="134"/>
  <c r="AV12" i="134"/>
  <c r="AU12" i="134"/>
  <c r="AT12" i="134"/>
  <c r="AS12" i="134"/>
  <c r="AR12" i="134"/>
  <c r="AQ12" i="134"/>
  <c r="AP12" i="134"/>
  <c r="AO12" i="134"/>
  <c r="AN12" i="134"/>
  <c r="AM12" i="134"/>
  <c r="AL12" i="134"/>
  <c r="AK12" i="134"/>
  <c r="AJ12" i="134"/>
  <c r="AI12" i="134"/>
  <c r="AH12" i="134"/>
  <c r="AG12" i="134"/>
  <c r="AF12" i="134"/>
  <c r="AE12" i="134"/>
  <c r="BE11" i="134"/>
  <c r="BD11" i="134"/>
  <c r="BC11" i="134"/>
  <c r="BB11" i="134"/>
  <c r="BA11" i="134"/>
  <c r="AZ11" i="134"/>
  <c r="AY11" i="134"/>
  <c r="AX11" i="134"/>
  <c r="AW11" i="134"/>
  <c r="AV11" i="134"/>
  <c r="AU11" i="134"/>
  <c r="AT11" i="134"/>
  <c r="AS11" i="134"/>
  <c r="AR11" i="134"/>
  <c r="AQ11" i="134"/>
  <c r="AP11" i="134"/>
  <c r="AO11" i="134"/>
  <c r="AN11" i="134"/>
  <c r="AM11" i="134"/>
  <c r="AL11" i="134"/>
  <c r="AK11" i="134"/>
  <c r="AJ11" i="134"/>
  <c r="AI11" i="134"/>
  <c r="AH11" i="134"/>
  <c r="AG11" i="134"/>
  <c r="AF11" i="134"/>
  <c r="AE11" i="134"/>
  <c r="BE10" i="134"/>
  <c r="BD10" i="134"/>
  <c r="BC10" i="134"/>
  <c r="BB10" i="134"/>
  <c r="BA10" i="134"/>
  <c r="AZ10" i="134"/>
  <c r="AY10" i="134"/>
  <c r="AX10" i="134"/>
  <c r="AW10" i="134"/>
  <c r="AV10" i="134"/>
  <c r="AU10" i="134"/>
  <c r="AT10" i="134"/>
  <c r="AS10" i="134"/>
  <c r="AR10" i="134"/>
  <c r="AQ10" i="134"/>
  <c r="AP10" i="134"/>
  <c r="AO10" i="134"/>
  <c r="AN10" i="134"/>
  <c r="AM10" i="134"/>
  <c r="AL10" i="134"/>
  <c r="AK10" i="134"/>
  <c r="AJ10" i="134"/>
  <c r="AI10" i="134"/>
  <c r="AH10" i="134"/>
  <c r="AG10" i="134"/>
  <c r="AF10" i="134"/>
  <c r="AE10" i="134"/>
  <c r="BE9" i="134"/>
  <c r="BD9" i="134"/>
  <c r="BC9" i="134"/>
  <c r="BB9" i="134"/>
  <c r="BA9" i="134"/>
  <c r="AZ9" i="134"/>
  <c r="AY9" i="134"/>
  <c r="AX9" i="134"/>
  <c r="AW9" i="134"/>
  <c r="AV9" i="134"/>
  <c r="AU9" i="134"/>
  <c r="AT9" i="134"/>
  <c r="AS9" i="134"/>
  <c r="AR9" i="134"/>
  <c r="AQ9" i="134"/>
  <c r="AP9" i="134"/>
  <c r="AO9" i="134"/>
  <c r="AN9" i="134"/>
  <c r="AM9" i="134"/>
  <c r="AL9" i="134"/>
  <c r="AK9" i="134"/>
  <c r="AJ9" i="134"/>
  <c r="AI9" i="134"/>
  <c r="AH9" i="134"/>
  <c r="AG9" i="134"/>
  <c r="AF9" i="134"/>
  <c r="AE9" i="134"/>
  <c r="BE8" i="134"/>
  <c r="BD8" i="134"/>
  <c r="BC8" i="134"/>
  <c r="BB8" i="134"/>
  <c r="BA8" i="134"/>
  <c r="AZ8" i="134"/>
  <c r="AY8" i="134"/>
  <c r="AX8" i="134"/>
  <c r="AW8" i="134"/>
  <c r="AV8" i="134"/>
  <c r="AU8" i="134"/>
  <c r="AT8" i="134"/>
  <c r="AS8" i="134"/>
  <c r="AR8" i="134"/>
  <c r="AQ8" i="134"/>
  <c r="AP8" i="134"/>
  <c r="AO8" i="134"/>
  <c r="AN8" i="134"/>
  <c r="AM8" i="134"/>
  <c r="AL8" i="134"/>
  <c r="AK8" i="134"/>
  <c r="AJ8" i="134"/>
  <c r="AI8" i="134"/>
  <c r="AH8" i="134"/>
  <c r="AG8" i="134"/>
  <c r="AF8" i="134"/>
  <c r="AE8" i="134"/>
  <c r="BE7" i="134"/>
  <c r="BD7" i="134"/>
  <c r="BC7" i="134"/>
  <c r="BB7" i="134"/>
  <c r="BA7" i="134"/>
  <c r="AZ7" i="134"/>
  <c r="AY7" i="134"/>
  <c r="AX7" i="134"/>
  <c r="AW7" i="134"/>
  <c r="AV7" i="134"/>
  <c r="AU7" i="134"/>
  <c r="AT7" i="134"/>
  <c r="AS7" i="134"/>
  <c r="AR7" i="134"/>
  <c r="AQ7" i="134"/>
  <c r="AP7" i="134"/>
  <c r="AO7" i="134"/>
  <c r="AN7" i="134"/>
  <c r="AM7" i="134"/>
  <c r="AL7" i="134"/>
  <c r="AK7" i="134"/>
  <c r="AJ7" i="134"/>
  <c r="AI7" i="134"/>
  <c r="AH7" i="134"/>
  <c r="AG7" i="134"/>
  <c r="AF7" i="134"/>
  <c r="AE7" i="134"/>
  <c r="BE6" i="134"/>
  <c r="BD6" i="134"/>
  <c r="BC6" i="134"/>
  <c r="BB6" i="134"/>
  <c r="BA6" i="134"/>
  <c r="AZ6" i="134"/>
  <c r="AY6" i="134"/>
  <c r="AX6" i="134"/>
  <c r="AW6" i="134"/>
  <c r="AV6" i="134"/>
  <c r="AU6" i="134"/>
  <c r="AT6" i="134"/>
  <c r="AS6" i="134"/>
  <c r="AR6" i="134"/>
  <c r="AQ6" i="134"/>
  <c r="AP6" i="134"/>
  <c r="AO6" i="134"/>
  <c r="AN6" i="134"/>
  <c r="AM6" i="134"/>
  <c r="AL6" i="134"/>
  <c r="AK6" i="134"/>
  <c r="AJ6" i="134"/>
  <c r="AI6" i="134"/>
  <c r="AH6" i="134"/>
  <c r="AG6" i="134"/>
  <c r="AF6" i="134"/>
  <c r="AE6" i="134"/>
  <c r="BE5" i="134"/>
  <c r="BD5" i="134"/>
  <c r="BC5" i="134"/>
  <c r="BB5" i="134"/>
  <c r="BA5" i="134"/>
  <c r="AZ5" i="134"/>
  <c r="AY5" i="134"/>
  <c r="AX5" i="134"/>
  <c r="AW5" i="134"/>
  <c r="AV5" i="134"/>
  <c r="AU5" i="134"/>
  <c r="AT5" i="134"/>
  <c r="AS5" i="134"/>
  <c r="AR5" i="134"/>
  <c r="AQ5" i="134"/>
  <c r="AP5" i="134"/>
  <c r="AO5" i="134"/>
  <c r="AN5" i="134"/>
  <c r="AM5" i="134"/>
  <c r="AL5" i="134"/>
  <c r="AK5" i="134"/>
  <c r="AJ5" i="134"/>
  <c r="AI5" i="134"/>
  <c r="AH5" i="134"/>
  <c r="AG5" i="134"/>
  <c r="AF5" i="134"/>
  <c r="AE5" i="134"/>
  <c r="BE4" i="134"/>
  <c r="BD4" i="134"/>
  <c r="BC4" i="134"/>
  <c r="BB4" i="134"/>
  <c r="BA4" i="134"/>
  <c r="AZ4" i="134"/>
  <c r="AY4" i="134"/>
  <c r="AX4" i="134"/>
  <c r="AW4" i="134"/>
  <c r="AV4" i="134"/>
  <c r="AU4" i="134"/>
  <c r="AT4" i="134"/>
  <c r="AS4" i="134"/>
  <c r="AR4" i="134"/>
  <c r="AQ4" i="134"/>
  <c r="AP4" i="134"/>
  <c r="AO4" i="134"/>
  <c r="AN4" i="134"/>
  <c r="AM4" i="134"/>
  <c r="AL4" i="134"/>
  <c r="AK4" i="134"/>
  <c r="AJ4" i="134"/>
  <c r="AI4" i="134"/>
  <c r="AH4" i="134"/>
  <c r="AG4" i="134"/>
  <c r="AF4" i="134"/>
  <c r="AE4" i="134"/>
  <c r="BE3" i="134"/>
  <c r="BD3" i="134"/>
  <c r="BC3" i="134"/>
  <c r="BB3" i="134"/>
  <c r="BA3" i="134"/>
  <c r="AZ3" i="134"/>
  <c r="AY3" i="134"/>
  <c r="AX3" i="134"/>
  <c r="AW3" i="134"/>
  <c r="AV3" i="134"/>
  <c r="AU3" i="134"/>
  <c r="AT3" i="134"/>
  <c r="AS3" i="134"/>
  <c r="AR3" i="134"/>
  <c r="AQ3" i="134"/>
  <c r="AP3" i="134"/>
  <c r="AO3" i="134"/>
  <c r="AN3" i="134"/>
  <c r="AM3" i="134"/>
  <c r="AL3" i="134"/>
  <c r="AK3" i="134"/>
  <c r="AJ3" i="134"/>
  <c r="AI3" i="134"/>
  <c r="AH3" i="134"/>
  <c r="AG3" i="134"/>
  <c r="AF3" i="134"/>
  <c r="AE3" i="134"/>
  <c r="BE2" i="134"/>
  <c r="BD2" i="134"/>
  <c r="BC2" i="134"/>
  <c r="BB2" i="134"/>
  <c r="BA2" i="134"/>
  <c r="AZ2" i="134"/>
  <c r="AY2" i="134"/>
  <c r="AX2" i="134"/>
  <c r="AW2" i="134"/>
  <c r="AV2" i="134"/>
  <c r="AU2" i="134"/>
  <c r="AT2" i="134"/>
  <c r="AS2" i="134"/>
  <c r="AR2" i="134"/>
  <c r="AQ2" i="134"/>
  <c r="AP2" i="134"/>
  <c r="AO2" i="134"/>
  <c r="AN2" i="134"/>
  <c r="AM2" i="134"/>
  <c r="AL2" i="134"/>
  <c r="AK2" i="134"/>
  <c r="AJ2" i="134"/>
  <c r="AI2" i="134"/>
  <c r="AH2" i="134"/>
  <c r="AG2" i="134"/>
  <c r="AF2" i="134"/>
  <c r="AE2" i="134"/>
  <c r="BE1" i="134"/>
  <c r="BD1" i="134"/>
  <c r="BC1" i="134"/>
  <c r="BB1" i="134"/>
  <c r="BA1" i="134"/>
  <c r="AZ1" i="134"/>
  <c r="AY1" i="134"/>
  <c r="AX1" i="134"/>
  <c r="AW1" i="134"/>
  <c r="AV1" i="134"/>
  <c r="AU1" i="134"/>
  <c r="AT1" i="134"/>
  <c r="AS1" i="134"/>
  <c r="AR1" i="134"/>
  <c r="AQ1" i="134"/>
  <c r="AP1" i="134"/>
  <c r="AO1" i="134"/>
  <c r="AN1" i="134"/>
  <c r="AM1" i="134"/>
  <c r="AL1" i="134"/>
  <c r="AK1" i="134"/>
  <c r="AJ1" i="134"/>
  <c r="AI1" i="134"/>
  <c r="AH1" i="134"/>
  <c r="AG1" i="134"/>
  <c r="AF1" i="134"/>
  <c r="BE33" i="133"/>
  <c r="BD33" i="133"/>
  <c r="BC33" i="133"/>
  <c r="BB33" i="133"/>
  <c r="BA33" i="133"/>
  <c r="AZ33" i="133"/>
  <c r="AY33" i="133"/>
  <c r="AX33" i="133"/>
  <c r="AW33" i="133"/>
  <c r="AV33" i="133"/>
  <c r="AU33" i="133"/>
  <c r="AT33" i="133"/>
  <c r="AS33" i="133"/>
  <c r="AR33" i="133"/>
  <c r="AQ33" i="133"/>
  <c r="AP33" i="133"/>
  <c r="AO33" i="133"/>
  <c r="AN33" i="133"/>
  <c r="AM33" i="133"/>
  <c r="AL33" i="133"/>
  <c r="AK33" i="133"/>
  <c r="AJ33" i="133"/>
  <c r="AI33" i="133"/>
  <c r="AH33" i="133"/>
  <c r="AG33" i="133"/>
  <c r="AF33" i="133"/>
  <c r="AE33" i="133"/>
  <c r="BE32" i="133"/>
  <c r="BD32" i="133"/>
  <c r="BC32" i="133"/>
  <c r="BB32" i="133"/>
  <c r="BA32" i="133"/>
  <c r="AZ32" i="133"/>
  <c r="AY32" i="133"/>
  <c r="AX32" i="133"/>
  <c r="AW32" i="133"/>
  <c r="AV32" i="133"/>
  <c r="AU32" i="133"/>
  <c r="AT32" i="133"/>
  <c r="AS32" i="133"/>
  <c r="AR32" i="133"/>
  <c r="AQ32" i="133"/>
  <c r="AP32" i="133"/>
  <c r="AO32" i="133"/>
  <c r="AN32" i="133"/>
  <c r="AM32" i="133"/>
  <c r="AL32" i="133"/>
  <c r="AK32" i="133"/>
  <c r="AJ32" i="133"/>
  <c r="AI32" i="133"/>
  <c r="AH32" i="133"/>
  <c r="AG32" i="133"/>
  <c r="AF32" i="133"/>
  <c r="AE32" i="133"/>
  <c r="BE31" i="133"/>
  <c r="BD31" i="133"/>
  <c r="BC31" i="133"/>
  <c r="BB31" i="133"/>
  <c r="BA31" i="133"/>
  <c r="AZ31" i="133"/>
  <c r="AY31" i="133"/>
  <c r="AX31" i="133"/>
  <c r="AW31" i="133"/>
  <c r="AV31" i="133"/>
  <c r="AU31" i="133"/>
  <c r="AT31" i="133"/>
  <c r="AS31" i="133"/>
  <c r="AR31" i="133"/>
  <c r="AQ31" i="133"/>
  <c r="AP31" i="133"/>
  <c r="AO31" i="133"/>
  <c r="AN31" i="133"/>
  <c r="AM31" i="133"/>
  <c r="AL31" i="133"/>
  <c r="AK31" i="133"/>
  <c r="AJ31" i="133"/>
  <c r="AI31" i="133"/>
  <c r="AH31" i="133"/>
  <c r="AG31" i="133"/>
  <c r="AF31" i="133"/>
  <c r="AE31" i="133"/>
  <c r="BE30" i="133"/>
  <c r="BD30" i="133"/>
  <c r="BC30" i="133"/>
  <c r="BB30" i="133"/>
  <c r="BA30" i="133"/>
  <c r="AZ30" i="133"/>
  <c r="AY30" i="133"/>
  <c r="AX30" i="133"/>
  <c r="AW30" i="133"/>
  <c r="AV30" i="133"/>
  <c r="AU30" i="133"/>
  <c r="AT30" i="133"/>
  <c r="AS30" i="133"/>
  <c r="AR30" i="133"/>
  <c r="AQ30" i="133"/>
  <c r="AP30" i="133"/>
  <c r="AO30" i="133"/>
  <c r="AN30" i="133"/>
  <c r="AM30" i="133"/>
  <c r="AL30" i="133"/>
  <c r="AK30" i="133"/>
  <c r="AJ30" i="133"/>
  <c r="AI30" i="133"/>
  <c r="AH30" i="133"/>
  <c r="AG30" i="133"/>
  <c r="AF30" i="133"/>
  <c r="AE30" i="133"/>
  <c r="BE29" i="133"/>
  <c r="BD29" i="133"/>
  <c r="BC29" i="133"/>
  <c r="BB29" i="133"/>
  <c r="BA29" i="133"/>
  <c r="AZ29" i="133"/>
  <c r="AY29" i="133"/>
  <c r="AX29" i="133"/>
  <c r="AW29" i="133"/>
  <c r="AV29" i="133"/>
  <c r="AU29" i="133"/>
  <c r="AT29" i="133"/>
  <c r="AS29" i="133"/>
  <c r="AR29" i="133"/>
  <c r="AQ29" i="133"/>
  <c r="AP29" i="133"/>
  <c r="AO29" i="133"/>
  <c r="AN29" i="133"/>
  <c r="AM29" i="133"/>
  <c r="AL29" i="133"/>
  <c r="AK29" i="133"/>
  <c r="AJ29" i="133"/>
  <c r="AI29" i="133"/>
  <c r="AH29" i="133"/>
  <c r="AG29" i="133"/>
  <c r="AF29" i="133"/>
  <c r="AE29" i="133"/>
  <c r="BE28" i="133"/>
  <c r="BD28" i="133"/>
  <c r="BC28" i="133"/>
  <c r="BB28" i="133"/>
  <c r="BA28" i="133"/>
  <c r="AZ28" i="133"/>
  <c r="AY28" i="133"/>
  <c r="AX28" i="133"/>
  <c r="AW28" i="133"/>
  <c r="AV28" i="133"/>
  <c r="AU28" i="133"/>
  <c r="AT28" i="133"/>
  <c r="AS28" i="133"/>
  <c r="AR28" i="133"/>
  <c r="AQ28" i="133"/>
  <c r="AP28" i="133"/>
  <c r="AO28" i="133"/>
  <c r="AN28" i="133"/>
  <c r="AM28" i="133"/>
  <c r="AL28" i="133"/>
  <c r="AK28" i="133"/>
  <c r="AJ28" i="133"/>
  <c r="AI28" i="133"/>
  <c r="AH28" i="133"/>
  <c r="AG28" i="133"/>
  <c r="AF28" i="133"/>
  <c r="AE28" i="133"/>
  <c r="BE27" i="133"/>
  <c r="BD27" i="133"/>
  <c r="BC27" i="133"/>
  <c r="BB27" i="133"/>
  <c r="BA27" i="133"/>
  <c r="AZ27" i="133"/>
  <c r="AY27" i="133"/>
  <c r="AX27" i="133"/>
  <c r="AW27" i="133"/>
  <c r="AV27" i="133"/>
  <c r="AU27" i="133"/>
  <c r="AT27" i="133"/>
  <c r="AS27" i="133"/>
  <c r="AR27" i="133"/>
  <c r="AQ27" i="133"/>
  <c r="AP27" i="133"/>
  <c r="AO27" i="133"/>
  <c r="AN27" i="133"/>
  <c r="AM27" i="133"/>
  <c r="AL27" i="133"/>
  <c r="AK27" i="133"/>
  <c r="AJ27" i="133"/>
  <c r="AI27" i="133"/>
  <c r="AH27" i="133"/>
  <c r="AG27" i="133"/>
  <c r="AF27" i="133"/>
  <c r="AE27" i="133"/>
  <c r="BE26" i="133"/>
  <c r="BD26" i="133"/>
  <c r="BC26" i="133"/>
  <c r="BB26" i="133"/>
  <c r="BA26" i="133"/>
  <c r="AZ26" i="133"/>
  <c r="AY26" i="133"/>
  <c r="AX26" i="133"/>
  <c r="AW26" i="133"/>
  <c r="AV26" i="133"/>
  <c r="AU26" i="133"/>
  <c r="AT26" i="133"/>
  <c r="AS26" i="133"/>
  <c r="AR26" i="133"/>
  <c r="AQ26" i="133"/>
  <c r="AP26" i="133"/>
  <c r="AO26" i="133"/>
  <c r="AN26" i="133"/>
  <c r="AM26" i="133"/>
  <c r="AL26" i="133"/>
  <c r="AK26" i="133"/>
  <c r="AJ26" i="133"/>
  <c r="AI26" i="133"/>
  <c r="AH26" i="133"/>
  <c r="AG26" i="133"/>
  <c r="AF26" i="133"/>
  <c r="AE26" i="133"/>
  <c r="BE25" i="133"/>
  <c r="BD25" i="133"/>
  <c r="BC25" i="133"/>
  <c r="BB25" i="133"/>
  <c r="BA25" i="133"/>
  <c r="AZ25" i="133"/>
  <c r="AY25" i="133"/>
  <c r="AX25" i="133"/>
  <c r="AW25" i="133"/>
  <c r="AV25" i="133"/>
  <c r="AU25" i="133"/>
  <c r="AT25" i="133"/>
  <c r="AS25" i="133"/>
  <c r="AR25" i="133"/>
  <c r="AQ25" i="133"/>
  <c r="AP25" i="133"/>
  <c r="AO25" i="133"/>
  <c r="AN25" i="133"/>
  <c r="AM25" i="133"/>
  <c r="AL25" i="133"/>
  <c r="AK25" i="133"/>
  <c r="AJ25" i="133"/>
  <c r="AI25" i="133"/>
  <c r="AH25" i="133"/>
  <c r="AG25" i="133"/>
  <c r="AF25" i="133"/>
  <c r="AE25" i="133"/>
  <c r="BE24" i="133"/>
  <c r="BD24" i="133"/>
  <c r="BC24" i="133"/>
  <c r="BB24" i="133"/>
  <c r="BA24" i="133"/>
  <c r="AZ24" i="133"/>
  <c r="AY24" i="133"/>
  <c r="AX24" i="133"/>
  <c r="AW24" i="133"/>
  <c r="AV24" i="133"/>
  <c r="AU24" i="133"/>
  <c r="AT24" i="133"/>
  <c r="AS24" i="133"/>
  <c r="AR24" i="133"/>
  <c r="AQ24" i="133"/>
  <c r="AP24" i="133"/>
  <c r="AO24" i="133"/>
  <c r="AN24" i="133"/>
  <c r="AM24" i="133"/>
  <c r="AL24" i="133"/>
  <c r="AK24" i="133"/>
  <c r="AJ24" i="133"/>
  <c r="AI24" i="133"/>
  <c r="AH24" i="133"/>
  <c r="AG24" i="133"/>
  <c r="AF24" i="133"/>
  <c r="AE24" i="133"/>
  <c r="BE23" i="133"/>
  <c r="BD23" i="133"/>
  <c r="BC23" i="133"/>
  <c r="BB23" i="133"/>
  <c r="BA23" i="133"/>
  <c r="AZ23" i="133"/>
  <c r="AY23" i="133"/>
  <c r="AX23" i="133"/>
  <c r="AW23" i="133"/>
  <c r="AV23" i="133"/>
  <c r="AU23" i="133"/>
  <c r="AT23" i="133"/>
  <c r="AS23" i="133"/>
  <c r="AR23" i="133"/>
  <c r="AQ23" i="133"/>
  <c r="AP23" i="133"/>
  <c r="AO23" i="133"/>
  <c r="AN23" i="133"/>
  <c r="AM23" i="133"/>
  <c r="AL23" i="133"/>
  <c r="AK23" i="133"/>
  <c r="AJ23" i="133"/>
  <c r="AI23" i="133"/>
  <c r="AH23" i="133"/>
  <c r="AG23" i="133"/>
  <c r="AF23" i="133"/>
  <c r="AE23" i="133"/>
  <c r="BE22" i="133"/>
  <c r="BD22" i="133"/>
  <c r="BC22" i="133"/>
  <c r="BB22" i="133"/>
  <c r="BA22" i="133"/>
  <c r="AZ22" i="133"/>
  <c r="AY22" i="133"/>
  <c r="AX22" i="133"/>
  <c r="AW22" i="133"/>
  <c r="AV22" i="133"/>
  <c r="AU22" i="133"/>
  <c r="AT22" i="133"/>
  <c r="AS22" i="133"/>
  <c r="AR22" i="133"/>
  <c r="AQ22" i="133"/>
  <c r="AP22" i="133"/>
  <c r="AO22" i="133"/>
  <c r="AN22" i="133"/>
  <c r="AM22" i="133"/>
  <c r="AL22" i="133"/>
  <c r="AK22" i="133"/>
  <c r="AJ22" i="133"/>
  <c r="AI22" i="133"/>
  <c r="AH22" i="133"/>
  <c r="AG22" i="133"/>
  <c r="AF22" i="133"/>
  <c r="AE22" i="133"/>
  <c r="BE21" i="133"/>
  <c r="BD21" i="133"/>
  <c r="BC21" i="133"/>
  <c r="BB21" i="133"/>
  <c r="BA21" i="133"/>
  <c r="AZ21" i="133"/>
  <c r="AY21" i="133"/>
  <c r="AX21" i="133"/>
  <c r="AW21" i="133"/>
  <c r="AV21" i="133"/>
  <c r="AU21" i="133"/>
  <c r="AT21" i="133"/>
  <c r="AS21" i="133"/>
  <c r="AR21" i="133"/>
  <c r="AQ21" i="133"/>
  <c r="AP21" i="133"/>
  <c r="AO21" i="133"/>
  <c r="AN21" i="133"/>
  <c r="AM21" i="133"/>
  <c r="AL21" i="133"/>
  <c r="AK21" i="133"/>
  <c r="AJ21" i="133"/>
  <c r="AI21" i="133"/>
  <c r="AH21" i="133"/>
  <c r="AG21" i="133"/>
  <c r="AF21" i="133"/>
  <c r="AE21" i="133"/>
  <c r="BE20" i="133"/>
  <c r="BD20" i="133"/>
  <c r="BC20" i="133"/>
  <c r="BB20" i="133"/>
  <c r="BA20" i="133"/>
  <c r="AZ20" i="133"/>
  <c r="AY20" i="133"/>
  <c r="AX20" i="133"/>
  <c r="AW20" i="133"/>
  <c r="AV20" i="133"/>
  <c r="AU20" i="133"/>
  <c r="AT20" i="133"/>
  <c r="AS20" i="133"/>
  <c r="AR20" i="133"/>
  <c r="AQ20" i="133"/>
  <c r="AP20" i="133"/>
  <c r="AO20" i="133"/>
  <c r="AN20" i="133"/>
  <c r="AM20" i="133"/>
  <c r="AL20" i="133"/>
  <c r="AK20" i="133"/>
  <c r="AJ20" i="133"/>
  <c r="AI20" i="133"/>
  <c r="AH20" i="133"/>
  <c r="AG20" i="133"/>
  <c r="AF20" i="133"/>
  <c r="AE20" i="133"/>
  <c r="BE19" i="133"/>
  <c r="BD19" i="133"/>
  <c r="BC19" i="133"/>
  <c r="BB19" i="133"/>
  <c r="BA19" i="133"/>
  <c r="AZ19" i="133"/>
  <c r="AY19" i="133"/>
  <c r="AX19" i="133"/>
  <c r="AW19" i="133"/>
  <c r="AV19" i="133"/>
  <c r="AU19" i="133"/>
  <c r="AT19" i="133"/>
  <c r="AS19" i="133"/>
  <c r="AR19" i="133"/>
  <c r="AQ19" i="133"/>
  <c r="AP19" i="133"/>
  <c r="AO19" i="133"/>
  <c r="AN19" i="133"/>
  <c r="AM19" i="133"/>
  <c r="AL19" i="133"/>
  <c r="AK19" i="133"/>
  <c r="AJ19" i="133"/>
  <c r="AI19" i="133"/>
  <c r="AH19" i="133"/>
  <c r="AG19" i="133"/>
  <c r="AF19" i="133"/>
  <c r="AE19" i="133"/>
  <c r="BE18" i="133"/>
  <c r="BD18" i="133"/>
  <c r="BC18" i="133"/>
  <c r="BB18" i="133"/>
  <c r="BA18" i="133"/>
  <c r="AZ18" i="133"/>
  <c r="AY18" i="133"/>
  <c r="AX18" i="133"/>
  <c r="AW18" i="133"/>
  <c r="AV18" i="133"/>
  <c r="AU18" i="133"/>
  <c r="AT18" i="133"/>
  <c r="AS18" i="133"/>
  <c r="AR18" i="133"/>
  <c r="AQ18" i="133"/>
  <c r="AP18" i="133"/>
  <c r="AO18" i="133"/>
  <c r="AN18" i="133"/>
  <c r="AM18" i="133"/>
  <c r="AL18" i="133"/>
  <c r="AK18" i="133"/>
  <c r="AJ18" i="133"/>
  <c r="AI18" i="133"/>
  <c r="AH18" i="133"/>
  <c r="AG18" i="133"/>
  <c r="AF18" i="133"/>
  <c r="AE18" i="133"/>
  <c r="BE17" i="133"/>
  <c r="BD17" i="133"/>
  <c r="BC17" i="133"/>
  <c r="BB17" i="133"/>
  <c r="BA17" i="133"/>
  <c r="AZ17" i="133"/>
  <c r="AY17" i="133"/>
  <c r="AX17" i="133"/>
  <c r="AW17" i="133"/>
  <c r="AV17" i="133"/>
  <c r="AU17" i="133"/>
  <c r="AT17" i="133"/>
  <c r="AS17" i="133"/>
  <c r="AR17" i="133"/>
  <c r="AQ17" i="133"/>
  <c r="AP17" i="133"/>
  <c r="AO17" i="133"/>
  <c r="AN17" i="133"/>
  <c r="AM17" i="133"/>
  <c r="AL17" i="133"/>
  <c r="AK17" i="133"/>
  <c r="AJ17" i="133"/>
  <c r="AI17" i="133"/>
  <c r="AH17" i="133"/>
  <c r="AG17" i="133"/>
  <c r="AF17" i="133"/>
  <c r="AE17" i="133"/>
  <c r="BE16" i="133"/>
  <c r="BD16" i="133"/>
  <c r="BC16" i="133"/>
  <c r="BB16" i="133"/>
  <c r="BA16" i="133"/>
  <c r="AZ16" i="133"/>
  <c r="AY16" i="133"/>
  <c r="AX16" i="133"/>
  <c r="AW16" i="133"/>
  <c r="AV16" i="133"/>
  <c r="AU16" i="133"/>
  <c r="AT16" i="133"/>
  <c r="AS16" i="133"/>
  <c r="AR16" i="133"/>
  <c r="AQ16" i="133"/>
  <c r="AP16" i="133"/>
  <c r="AO16" i="133"/>
  <c r="AN16" i="133"/>
  <c r="AM16" i="133"/>
  <c r="AL16" i="133"/>
  <c r="AK16" i="133"/>
  <c r="AJ16" i="133"/>
  <c r="AI16" i="133"/>
  <c r="AH16" i="133"/>
  <c r="AG16" i="133"/>
  <c r="AF16" i="133"/>
  <c r="AE16" i="133"/>
  <c r="BE15" i="133"/>
  <c r="BD15" i="133"/>
  <c r="BC15" i="133"/>
  <c r="BB15" i="133"/>
  <c r="BA15" i="133"/>
  <c r="AZ15" i="133"/>
  <c r="AY15" i="133"/>
  <c r="AX15" i="133"/>
  <c r="AW15" i="133"/>
  <c r="AV15" i="133"/>
  <c r="AU15" i="133"/>
  <c r="AT15" i="133"/>
  <c r="AS15" i="133"/>
  <c r="AR15" i="133"/>
  <c r="AQ15" i="133"/>
  <c r="AP15" i="133"/>
  <c r="AO15" i="133"/>
  <c r="AN15" i="133"/>
  <c r="AM15" i="133"/>
  <c r="AL15" i="133"/>
  <c r="AK15" i="133"/>
  <c r="AJ15" i="133"/>
  <c r="AI15" i="133"/>
  <c r="AH15" i="133"/>
  <c r="AG15" i="133"/>
  <c r="AF15" i="133"/>
  <c r="AE15" i="133"/>
  <c r="BE14" i="133"/>
  <c r="BD14" i="133"/>
  <c r="BC14" i="133"/>
  <c r="BB14" i="133"/>
  <c r="BA14" i="133"/>
  <c r="AZ14" i="133"/>
  <c r="AY14" i="133"/>
  <c r="AX14" i="133"/>
  <c r="AW14" i="133"/>
  <c r="AV14" i="133"/>
  <c r="AU14" i="133"/>
  <c r="AT14" i="133"/>
  <c r="AS14" i="133"/>
  <c r="AR14" i="133"/>
  <c r="AQ14" i="133"/>
  <c r="AP14" i="133"/>
  <c r="AO14" i="133"/>
  <c r="AN14" i="133"/>
  <c r="AM14" i="133"/>
  <c r="AL14" i="133"/>
  <c r="AK14" i="133"/>
  <c r="AJ14" i="133"/>
  <c r="AI14" i="133"/>
  <c r="AH14" i="133"/>
  <c r="AG14" i="133"/>
  <c r="AF14" i="133"/>
  <c r="AE14" i="133"/>
  <c r="BE13" i="133"/>
  <c r="BD13" i="133"/>
  <c r="BC13" i="133"/>
  <c r="BB13" i="133"/>
  <c r="BA13" i="133"/>
  <c r="AZ13" i="133"/>
  <c r="AY13" i="133"/>
  <c r="AX13" i="133"/>
  <c r="AW13" i="133"/>
  <c r="AV13" i="133"/>
  <c r="AU13" i="133"/>
  <c r="AT13" i="133"/>
  <c r="AS13" i="133"/>
  <c r="AR13" i="133"/>
  <c r="AQ13" i="133"/>
  <c r="AP13" i="133"/>
  <c r="AO13" i="133"/>
  <c r="AN13" i="133"/>
  <c r="AM13" i="133"/>
  <c r="AL13" i="133"/>
  <c r="AK13" i="133"/>
  <c r="AJ13" i="133"/>
  <c r="AI13" i="133"/>
  <c r="AH13" i="133"/>
  <c r="AG13" i="133"/>
  <c r="AF13" i="133"/>
  <c r="AE13" i="133"/>
  <c r="BE12" i="133"/>
  <c r="BD12" i="133"/>
  <c r="BC12" i="133"/>
  <c r="BB12" i="133"/>
  <c r="BA12" i="133"/>
  <c r="AZ12" i="133"/>
  <c r="AY12" i="133"/>
  <c r="AX12" i="133"/>
  <c r="AW12" i="133"/>
  <c r="AV12" i="133"/>
  <c r="AU12" i="133"/>
  <c r="AT12" i="133"/>
  <c r="AS12" i="133"/>
  <c r="AR12" i="133"/>
  <c r="AQ12" i="133"/>
  <c r="AP12" i="133"/>
  <c r="AO12" i="133"/>
  <c r="AN12" i="133"/>
  <c r="AM12" i="133"/>
  <c r="AL12" i="133"/>
  <c r="AK12" i="133"/>
  <c r="AJ12" i="133"/>
  <c r="AI12" i="133"/>
  <c r="AH12" i="133"/>
  <c r="AG12" i="133"/>
  <c r="AF12" i="133"/>
  <c r="AE12" i="133"/>
  <c r="BE11" i="133"/>
  <c r="BD11" i="133"/>
  <c r="BC11" i="133"/>
  <c r="BB11" i="133"/>
  <c r="BA11" i="133"/>
  <c r="AZ11" i="133"/>
  <c r="AY11" i="133"/>
  <c r="AX11" i="133"/>
  <c r="AW11" i="133"/>
  <c r="AV11" i="133"/>
  <c r="AU11" i="133"/>
  <c r="AT11" i="133"/>
  <c r="AS11" i="133"/>
  <c r="AR11" i="133"/>
  <c r="AQ11" i="133"/>
  <c r="AP11" i="133"/>
  <c r="AO11" i="133"/>
  <c r="AN11" i="133"/>
  <c r="AM11" i="133"/>
  <c r="AL11" i="133"/>
  <c r="AK11" i="133"/>
  <c r="AJ11" i="133"/>
  <c r="AI11" i="133"/>
  <c r="AH11" i="133"/>
  <c r="AG11" i="133"/>
  <c r="AF11" i="133"/>
  <c r="AE11" i="133"/>
  <c r="BE10" i="133"/>
  <c r="BD10" i="133"/>
  <c r="BC10" i="133"/>
  <c r="BB10" i="133"/>
  <c r="BA10" i="133"/>
  <c r="AZ10" i="133"/>
  <c r="AY10" i="133"/>
  <c r="AX10" i="133"/>
  <c r="AW10" i="133"/>
  <c r="AV10" i="133"/>
  <c r="AU10" i="133"/>
  <c r="AT10" i="133"/>
  <c r="AS10" i="133"/>
  <c r="AR10" i="133"/>
  <c r="AQ10" i="133"/>
  <c r="AP10" i="133"/>
  <c r="AO10" i="133"/>
  <c r="AN10" i="133"/>
  <c r="AM10" i="133"/>
  <c r="AL10" i="133"/>
  <c r="AK10" i="133"/>
  <c r="AJ10" i="133"/>
  <c r="AI10" i="133"/>
  <c r="AH10" i="133"/>
  <c r="AG10" i="133"/>
  <c r="AF10" i="133"/>
  <c r="AE10" i="133"/>
  <c r="BE9" i="133"/>
  <c r="BD9" i="133"/>
  <c r="BC9" i="133"/>
  <c r="BB9" i="133"/>
  <c r="BA9" i="133"/>
  <c r="AZ9" i="133"/>
  <c r="AY9" i="133"/>
  <c r="AX9" i="133"/>
  <c r="AW9" i="133"/>
  <c r="AV9" i="133"/>
  <c r="AU9" i="133"/>
  <c r="AT9" i="133"/>
  <c r="AS9" i="133"/>
  <c r="AR9" i="133"/>
  <c r="AQ9" i="133"/>
  <c r="AP9" i="133"/>
  <c r="AO9" i="133"/>
  <c r="AN9" i="133"/>
  <c r="AM9" i="133"/>
  <c r="AL9" i="133"/>
  <c r="AK9" i="133"/>
  <c r="AJ9" i="133"/>
  <c r="AI9" i="133"/>
  <c r="AH9" i="133"/>
  <c r="AG9" i="133"/>
  <c r="AF9" i="133"/>
  <c r="AE9" i="133"/>
  <c r="BE8" i="133"/>
  <c r="BD8" i="133"/>
  <c r="BC8" i="133"/>
  <c r="BB8" i="133"/>
  <c r="BA8" i="133"/>
  <c r="AZ8" i="133"/>
  <c r="AY8" i="133"/>
  <c r="AX8" i="133"/>
  <c r="AW8" i="133"/>
  <c r="AV8" i="133"/>
  <c r="AU8" i="133"/>
  <c r="AT8" i="133"/>
  <c r="AS8" i="133"/>
  <c r="AR8" i="133"/>
  <c r="AQ8" i="133"/>
  <c r="AP8" i="133"/>
  <c r="AO8" i="133"/>
  <c r="AN8" i="133"/>
  <c r="AM8" i="133"/>
  <c r="AL8" i="133"/>
  <c r="AK8" i="133"/>
  <c r="AJ8" i="133"/>
  <c r="AI8" i="133"/>
  <c r="AH8" i="133"/>
  <c r="AG8" i="133"/>
  <c r="AF8" i="133"/>
  <c r="AE8" i="133"/>
  <c r="BE7" i="133"/>
  <c r="BD7" i="133"/>
  <c r="BC7" i="133"/>
  <c r="BB7" i="133"/>
  <c r="BA7" i="133"/>
  <c r="AZ7" i="133"/>
  <c r="AY7" i="133"/>
  <c r="AX7" i="133"/>
  <c r="AW7" i="133"/>
  <c r="AV7" i="133"/>
  <c r="AU7" i="133"/>
  <c r="AT7" i="133"/>
  <c r="AS7" i="133"/>
  <c r="AR7" i="133"/>
  <c r="AQ7" i="133"/>
  <c r="AP7" i="133"/>
  <c r="AO7" i="133"/>
  <c r="AN7" i="133"/>
  <c r="AM7" i="133"/>
  <c r="AL7" i="133"/>
  <c r="AK7" i="133"/>
  <c r="AJ7" i="133"/>
  <c r="AI7" i="133"/>
  <c r="AH7" i="133"/>
  <c r="AG7" i="133"/>
  <c r="AF7" i="133"/>
  <c r="AE7" i="133"/>
  <c r="BE6" i="133"/>
  <c r="BD6" i="133"/>
  <c r="BC6" i="133"/>
  <c r="BB6" i="133"/>
  <c r="BA6" i="133"/>
  <c r="AZ6" i="133"/>
  <c r="AY6" i="133"/>
  <c r="AX6" i="133"/>
  <c r="AW6" i="133"/>
  <c r="AV6" i="133"/>
  <c r="AU6" i="133"/>
  <c r="AT6" i="133"/>
  <c r="AS6" i="133"/>
  <c r="AR6" i="133"/>
  <c r="AQ6" i="133"/>
  <c r="AP6" i="133"/>
  <c r="AO6" i="133"/>
  <c r="AN6" i="133"/>
  <c r="AM6" i="133"/>
  <c r="AL6" i="133"/>
  <c r="AK6" i="133"/>
  <c r="AJ6" i="133"/>
  <c r="AI6" i="133"/>
  <c r="AH6" i="133"/>
  <c r="AG6" i="133"/>
  <c r="AF6" i="133"/>
  <c r="AE6" i="133"/>
  <c r="BE5" i="133"/>
  <c r="BD5" i="133"/>
  <c r="BC5" i="133"/>
  <c r="BB5" i="133"/>
  <c r="BA5" i="133"/>
  <c r="AZ5" i="133"/>
  <c r="AY5" i="133"/>
  <c r="AX5" i="133"/>
  <c r="AW5" i="133"/>
  <c r="AV5" i="133"/>
  <c r="AU5" i="133"/>
  <c r="AT5" i="133"/>
  <c r="AS5" i="133"/>
  <c r="AR5" i="133"/>
  <c r="AQ5" i="133"/>
  <c r="AP5" i="133"/>
  <c r="AO5" i="133"/>
  <c r="AN5" i="133"/>
  <c r="AM5" i="133"/>
  <c r="AL5" i="133"/>
  <c r="AK5" i="133"/>
  <c r="AJ5" i="133"/>
  <c r="AI5" i="133"/>
  <c r="AH5" i="133"/>
  <c r="AG5" i="133"/>
  <c r="AF5" i="133"/>
  <c r="AE5" i="133"/>
  <c r="BE4" i="133"/>
  <c r="BD4" i="133"/>
  <c r="BC4" i="133"/>
  <c r="BB4" i="133"/>
  <c r="BA4" i="133"/>
  <c r="AZ4" i="133"/>
  <c r="AY4" i="133"/>
  <c r="AX4" i="133"/>
  <c r="AW4" i="133"/>
  <c r="AV4" i="133"/>
  <c r="AU4" i="133"/>
  <c r="AT4" i="133"/>
  <c r="AS4" i="133"/>
  <c r="AR4" i="133"/>
  <c r="AQ4" i="133"/>
  <c r="AP4" i="133"/>
  <c r="AO4" i="133"/>
  <c r="AN4" i="133"/>
  <c r="AM4" i="133"/>
  <c r="AL4" i="133"/>
  <c r="AK4" i="133"/>
  <c r="AJ4" i="133"/>
  <c r="AI4" i="133"/>
  <c r="AH4" i="133"/>
  <c r="AG4" i="133"/>
  <c r="AF4" i="133"/>
  <c r="AE4" i="133"/>
  <c r="BE3" i="133"/>
  <c r="BD3" i="133"/>
  <c r="BC3" i="133"/>
  <c r="BB3" i="133"/>
  <c r="BA3" i="133"/>
  <c r="AZ3" i="133"/>
  <c r="AY3" i="133"/>
  <c r="AX3" i="133"/>
  <c r="AW3" i="133"/>
  <c r="AV3" i="133"/>
  <c r="AU3" i="133"/>
  <c r="AT3" i="133"/>
  <c r="AS3" i="133"/>
  <c r="AR3" i="133"/>
  <c r="AQ3" i="133"/>
  <c r="AP3" i="133"/>
  <c r="AO3" i="133"/>
  <c r="AN3" i="133"/>
  <c r="AM3" i="133"/>
  <c r="AL3" i="133"/>
  <c r="AK3" i="133"/>
  <c r="AJ3" i="133"/>
  <c r="AI3" i="133"/>
  <c r="AH3" i="133"/>
  <c r="AG3" i="133"/>
  <c r="AF3" i="133"/>
  <c r="AE3" i="133"/>
  <c r="BE2" i="133"/>
  <c r="BD2" i="133"/>
  <c r="BC2" i="133"/>
  <c r="BB2" i="133"/>
  <c r="BA2" i="133"/>
  <c r="AZ2" i="133"/>
  <c r="AY2" i="133"/>
  <c r="AX2" i="133"/>
  <c r="AW2" i="133"/>
  <c r="AV2" i="133"/>
  <c r="AU2" i="133"/>
  <c r="AT2" i="133"/>
  <c r="AS2" i="133"/>
  <c r="AR2" i="133"/>
  <c r="AQ2" i="133"/>
  <c r="AP2" i="133"/>
  <c r="AO2" i="133"/>
  <c r="AN2" i="133"/>
  <c r="AM2" i="133"/>
  <c r="AL2" i="133"/>
  <c r="AK2" i="133"/>
  <c r="AJ2" i="133"/>
  <c r="AI2" i="133"/>
  <c r="AH2" i="133"/>
  <c r="AG2" i="133"/>
  <c r="AF2" i="133"/>
  <c r="AE2" i="133"/>
  <c r="BE1" i="133"/>
  <c r="BD1" i="133"/>
  <c r="BC1" i="133"/>
  <c r="BB1" i="133"/>
  <c r="BA1" i="133"/>
  <c r="AZ1" i="133"/>
  <c r="AY1" i="133"/>
  <c r="AX1" i="133"/>
  <c r="AW1" i="133"/>
  <c r="AV1" i="133"/>
  <c r="AU1" i="133"/>
  <c r="AT1" i="133"/>
  <c r="AS1" i="133"/>
  <c r="AR1" i="133"/>
  <c r="AQ1" i="133"/>
  <c r="AP1" i="133"/>
  <c r="AO1" i="133"/>
  <c r="AN1" i="133"/>
  <c r="AM1" i="133"/>
  <c r="AL1" i="133"/>
  <c r="AK1" i="133"/>
  <c r="AJ1" i="133"/>
  <c r="AI1" i="133"/>
  <c r="AH1" i="133"/>
  <c r="AG1" i="133"/>
  <c r="AF1" i="133"/>
  <c r="BE33" i="132"/>
  <c r="BD33" i="132"/>
  <c r="BC33" i="132"/>
  <c r="BB33" i="132"/>
  <c r="BA33" i="132"/>
  <c r="AZ33" i="132"/>
  <c r="AY33" i="132"/>
  <c r="AX33" i="132"/>
  <c r="AW33" i="132"/>
  <c r="AV33" i="132"/>
  <c r="AU33" i="132"/>
  <c r="AT33" i="132"/>
  <c r="AS33" i="132"/>
  <c r="AR33" i="132"/>
  <c r="AQ33" i="132"/>
  <c r="AP33" i="132"/>
  <c r="AO33" i="132"/>
  <c r="AN33" i="132"/>
  <c r="AM33" i="132"/>
  <c r="AL33" i="132"/>
  <c r="AK33" i="132"/>
  <c r="AJ33" i="132"/>
  <c r="AI33" i="132"/>
  <c r="AH33" i="132"/>
  <c r="AG33" i="132"/>
  <c r="AF33" i="132"/>
  <c r="AE33" i="132"/>
  <c r="BE32" i="132"/>
  <c r="BD32" i="132"/>
  <c r="BC32" i="132"/>
  <c r="BB32" i="132"/>
  <c r="BA32" i="132"/>
  <c r="AZ32" i="132"/>
  <c r="AY32" i="132"/>
  <c r="AX32" i="132"/>
  <c r="AW32" i="132"/>
  <c r="AV32" i="132"/>
  <c r="AU32" i="132"/>
  <c r="AT32" i="132"/>
  <c r="AS32" i="132"/>
  <c r="AR32" i="132"/>
  <c r="AQ32" i="132"/>
  <c r="AP32" i="132"/>
  <c r="AO32" i="132"/>
  <c r="AN32" i="132"/>
  <c r="AM32" i="132"/>
  <c r="AL32" i="132"/>
  <c r="AK32" i="132"/>
  <c r="AJ32" i="132"/>
  <c r="AI32" i="132"/>
  <c r="AH32" i="132"/>
  <c r="AG32" i="132"/>
  <c r="AF32" i="132"/>
  <c r="AE32" i="132"/>
  <c r="BE31" i="132"/>
  <c r="BD31" i="132"/>
  <c r="BC31" i="132"/>
  <c r="BB31" i="132"/>
  <c r="BA31" i="132"/>
  <c r="AZ31" i="132"/>
  <c r="AY31" i="132"/>
  <c r="AX31" i="132"/>
  <c r="AW31" i="132"/>
  <c r="AV31" i="132"/>
  <c r="AU31" i="132"/>
  <c r="AT31" i="132"/>
  <c r="AS31" i="132"/>
  <c r="AR31" i="132"/>
  <c r="AQ31" i="132"/>
  <c r="AP31" i="132"/>
  <c r="AO31" i="132"/>
  <c r="AN31" i="132"/>
  <c r="AM31" i="132"/>
  <c r="AL31" i="132"/>
  <c r="AK31" i="132"/>
  <c r="AJ31" i="132"/>
  <c r="AI31" i="132"/>
  <c r="AH31" i="132"/>
  <c r="AG31" i="132"/>
  <c r="AF31" i="132"/>
  <c r="AE31" i="132"/>
  <c r="BE30" i="132"/>
  <c r="BD30" i="132"/>
  <c r="BC30" i="132"/>
  <c r="BB30" i="132"/>
  <c r="BA30" i="132"/>
  <c r="AZ30" i="132"/>
  <c r="AY30" i="132"/>
  <c r="AX30" i="132"/>
  <c r="AW30" i="132"/>
  <c r="AV30" i="132"/>
  <c r="AU30" i="132"/>
  <c r="AT30" i="132"/>
  <c r="AS30" i="132"/>
  <c r="AR30" i="132"/>
  <c r="AQ30" i="132"/>
  <c r="AP30" i="132"/>
  <c r="AO30" i="132"/>
  <c r="AN30" i="132"/>
  <c r="AM30" i="132"/>
  <c r="AL30" i="132"/>
  <c r="AK30" i="132"/>
  <c r="AJ30" i="132"/>
  <c r="AI30" i="132"/>
  <c r="AH30" i="132"/>
  <c r="AG30" i="132"/>
  <c r="AF30" i="132"/>
  <c r="AE30" i="132"/>
  <c r="BE29" i="132"/>
  <c r="BD29" i="132"/>
  <c r="BC29" i="132"/>
  <c r="BB29" i="132"/>
  <c r="BA29" i="132"/>
  <c r="AZ29" i="132"/>
  <c r="AY29" i="132"/>
  <c r="AX29" i="132"/>
  <c r="AW29" i="132"/>
  <c r="AV29" i="132"/>
  <c r="AU29" i="132"/>
  <c r="AT29" i="132"/>
  <c r="AS29" i="132"/>
  <c r="AR29" i="132"/>
  <c r="AQ29" i="132"/>
  <c r="AP29" i="132"/>
  <c r="AO29" i="132"/>
  <c r="AN29" i="132"/>
  <c r="AM29" i="132"/>
  <c r="AL29" i="132"/>
  <c r="AK29" i="132"/>
  <c r="AJ29" i="132"/>
  <c r="AI29" i="132"/>
  <c r="AH29" i="132"/>
  <c r="AG29" i="132"/>
  <c r="AF29" i="132"/>
  <c r="AE29" i="132"/>
  <c r="BE28" i="132"/>
  <c r="BD28" i="132"/>
  <c r="BC28" i="132"/>
  <c r="BB28" i="132"/>
  <c r="BA28" i="132"/>
  <c r="AZ28" i="132"/>
  <c r="AY28" i="132"/>
  <c r="AX28" i="132"/>
  <c r="AW28" i="132"/>
  <c r="AV28" i="132"/>
  <c r="AU28" i="132"/>
  <c r="AT28" i="132"/>
  <c r="AS28" i="132"/>
  <c r="AR28" i="132"/>
  <c r="AQ28" i="132"/>
  <c r="AP28" i="132"/>
  <c r="AO28" i="132"/>
  <c r="AN28" i="132"/>
  <c r="AM28" i="132"/>
  <c r="AL28" i="132"/>
  <c r="AK28" i="132"/>
  <c r="AJ28" i="132"/>
  <c r="AI28" i="132"/>
  <c r="AH28" i="132"/>
  <c r="AG28" i="132"/>
  <c r="AF28" i="132"/>
  <c r="AE28" i="132"/>
  <c r="BE27" i="132"/>
  <c r="BD27" i="132"/>
  <c r="BC27" i="132"/>
  <c r="BB27" i="132"/>
  <c r="BA27" i="132"/>
  <c r="AZ27" i="132"/>
  <c r="AY27" i="132"/>
  <c r="AX27" i="132"/>
  <c r="AW27" i="132"/>
  <c r="AV27" i="132"/>
  <c r="AU27" i="132"/>
  <c r="AT27" i="132"/>
  <c r="AS27" i="132"/>
  <c r="AR27" i="132"/>
  <c r="AQ27" i="132"/>
  <c r="AP27" i="132"/>
  <c r="AO27" i="132"/>
  <c r="AN27" i="132"/>
  <c r="AM27" i="132"/>
  <c r="AL27" i="132"/>
  <c r="AK27" i="132"/>
  <c r="AJ27" i="132"/>
  <c r="AI27" i="132"/>
  <c r="AH27" i="132"/>
  <c r="AG27" i="132"/>
  <c r="AF27" i="132"/>
  <c r="AE27" i="132"/>
  <c r="BE26" i="132"/>
  <c r="BD26" i="132"/>
  <c r="BC26" i="132"/>
  <c r="BB26" i="132"/>
  <c r="BA26" i="132"/>
  <c r="AZ26" i="132"/>
  <c r="AY26" i="132"/>
  <c r="AX26" i="132"/>
  <c r="AW26" i="132"/>
  <c r="AV26" i="132"/>
  <c r="AU26" i="132"/>
  <c r="AT26" i="132"/>
  <c r="AS26" i="132"/>
  <c r="AR26" i="132"/>
  <c r="AQ26" i="132"/>
  <c r="AP26" i="132"/>
  <c r="AO26" i="132"/>
  <c r="AN26" i="132"/>
  <c r="AM26" i="132"/>
  <c r="AL26" i="132"/>
  <c r="AK26" i="132"/>
  <c r="AJ26" i="132"/>
  <c r="AI26" i="132"/>
  <c r="AH26" i="132"/>
  <c r="AG26" i="132"/>
  <c r="AF26" i="132"/>
  <c r="AE26" i="132"/>
  <c r="BE25" i="132"/>
  <c r="BD25" i="132"/>
  <c r="BC25" i="132"/>
  <c r="BB25" i="132"/>
  <c r="BA25" i="132"/>
  <c r="AZ25" i="132"/>
  <c r="AY25" i="132"/>
  <c r="AX25" i="132"/>
  <c r="AW25" i="132"/>
  <c r="AV25" i="132"/>
  <c r="AU25" i="132"/>
  <c r="AT25" i="132"/>
  <c r="AS25" i="132"/>
  <c r="AR25" i="132"/>
  <c r="AQ25" i="132"/>
  <c r="AP25" i="132"/>
  <c r="AO25" i="132"/>
  <c r="AN25" i="132"/>
  <c r="AM25" i="132"/>
  <c r="AL25" i="132"/>
  <c r="AK25" i="132"/>
  <c r="AJ25" i="132"/>
  <c r="AI25" i="132"/>
  <c r="AH25" i="132"/>
  <c r="AG25" i="132"/>
  <c r="AF25" i="132"/>
  <c r="AE25" i="132"/>
  <c r="BE24" i="132"/>
  <c r="BD24" i="132"/>
  <c r="BC24" i="132"/>
  <c r="BB24" i="132"/>
  <c r="BA24" i="132"/>
  <c r="AZ24" i="132"/>
  <c r="AY24" i="132"/>
  <c r="AX24" i="132"/>
  <c r="AW24" i="132"/>
  <c r="AV24" i="132"/>
  <c r="AU24" i="132"/>
  <c r="AT24" i="132"/>
  <c r="AS24" i="132"/>
  <c r="AR24" i="132"/>
  <c r="AQ24" i="132"/>
  <c r="AP24" i="132"/>
  <c r="AO24" i="132"/>
  <c r="AN24" i="132"/>
  <c r="AM24" i="132"/>
  <c r="AL24" i="132"/>
  <c r="AK24" i="132"/>
  <c r="AJ24" i="132"/>
  <c r="AI24" i="132"/>
  <c r="AH24" i="132"/>
  <c r="AG24" i="132"/>
  <c r="AF24" i="132"/>
  <c r="AE24" i="132"/>
  <c r="BE23" i="132"/>
  <c r="BD23" i="132"/>
  <c r="BC23" i="132"/>
  <c r="BB23" i="132"/>
  <c r="BA23" i="132"/>
  <c r="AZ23" i="132"/>
  <c r="AY23" i="132"/>
  <c r="AX23" i="132"/>
  <c r="AW23" i="132"/>
  <c r="AV23" i="132"/>
  <c r="AU23" i="132"/>
  <c r="AT23" i="132"/>
  <c r="AS23" i="132"/>
  <c r="AR23" i="132"/>
  <c r="AQ23" i="132"/>
  <c r="AP23" i="132"/>
  <c r="AO23" i="132"/>
  <c r="AN23" i="132"/>
  <c r="AM23" i="132"/>
  <c r="AL23" i="132"/>
  <c r="AK23" i="132"/>
  <c r="AJ23" i="132"/>
  <c r="AI23" i="132"/>
  <c r="AH23" i="132"/>
  <c r="AG23" i="132"/>
  <c r="AF23" i="132"/>
  <c r="AE23" i="132"/>
  <c r="BE22" i="132"/>
  <c r="BD22" i="132"/>
  <c r="BC22" i="132"/>
  <c r="BB22" i="132"/>
  <c r="BA22" i="132"/>
  <c r="AZ22" i="132"/>
  <c r="AY22" i="132"/>
  <c r="AX22" i="132"/>
  <c r="AW22" i="132"/>
  <c r="AV22" i="132"/>
  <c r="AU22" i="132"/>
  <c r="AT22" i="132"/>
  <c r="AS22" i="132"/>
  <c r="AR22" i="132"/>
  <c r="AQ22" i="132"/>
  <c r="AP22" i="132"/>
  <c r="AO22" i="132"/>
  <c r="AN22" i="132"/>
  <c r="AM22" i="132"/>
  <c r="AL22" i="132"/>
  <c r="AK22" i="132"/>
  <c r="AJ22" i="132"/>
  <c r="AI22" i="132"/>
  <c r="AH22" i="132"/>
  <c r="AG22" i="132"/>
  <c r="AF22" i="132"/>
  <c r="AE22" i="132"/>
  <c r="BE21" i="132"/>
  <c r="BD21" i="132"/>
  <c r="BC21" i="132"/>
  <c r="BB21" i="132"/>
  <c r="BA21" i="132"/>
  <c r="AZ21" i="132"/>
  <c r="AY21" i="132"/>
  <c r="AX21" i="132"/>
  <c r="AW21" i="132"/>
  <c r="AV21" i="132"/>
  <c r="AU21" i="132"/>
  <c r="AT21" i="132"/>
  <c r="AS21" i="132"/>
  <c r="AR21" i="132"/>
  <c r="AQ21" i="132"/>
  <c r="AP21" i="132"/>
  <c r="AO21" i="132"/>
  <c r="AN21" i="132"/>
  <c r="AM21" i="132"/>
  <c r="AL21" i="132"/>
  <c r="AK21" i="132"/>
  <c r="AJ21" i="132"/>
  <c r="AI21" i="132"/>
  <c r="AH21" i="132"/>
  <c r="AG21" i="132"/>
  <c r="AF21" i="132"/>
  <c r="AE21" i="132"/>
  <c r="BE20" i="132"/>
  <c r="BD20" i="132"/>
  <c r="BC20" i="132"/>
  <c r="BB20" i="132"/>
  <c r="BA20" i="132"/>
  <c r="AZ20" i="132"/>
  <c r="AY20" i="132"/>
  <c r="AX20" i="132"/>
  <c r="AW20" i="132"/>
  <c r="AV20" i="132"/>
  <c r="AU20" i="132"/>
  <c r="AT20" i="132"/>
  <c r="AS20" i="132"/>
  <c r="AR20" i="132"/>
  <c r="AQ20" i="132"/>
  <c r="AP20" i="132"/>
  <c r="AO20" i="132"/>
  <c r="AN20" i="132"/>
  <c r="AM20" i="132"/>
  <c r="AL20" i="132"/>
  <c r="AK20" i="132"/>
  <c r="AJ20" i="132"/>
  <c r="AI20" i="132"/>
  <c r="AH20" i="132"/>
  <c r="AG20" i="132"/>
  <c r="AF20" i="132"/>
  <c r="AE20" i="132"/>
  <c r="BE19" i="132"/>
  <c r="BD19" i="132"/>
  <c r="BC19" i="132"/>
  <c r="BB19" i="132"/>
  <c r="BA19" i="132"/>
  <c r="AZ19" i="132"/>
  <c r="AY19" i="132"/>
  <c r="AX19" i="132"/>
  <c r="AW19" i="132"/>
  <c r="AV19" i="132"/>
  <c r="AU19" i="132"/>
  <c r="AT19" i="132"/>
  <c r="AS19" i="132"/>
  <c r="AR19" i="132"/>
  <c r="AQ19" i="132"/>
  <c r="AP19" i="132"/>
  <c r="AO19" i="132"/>
  <c r="AN19" i="132"/>
  <c r="AM19" i="132"/>
  <c r="AL19" i="132"/>
  <c r="AK19" i="132"/>
  <c r="AJ19" i="132"/>
  <c r="AI19" i="132"/>
  <c r="AH19" i="132"/>
  <c r="AG19" i="132"/>
  <c r="AF19" i="132"/>
  <c r="AE19" i="132"/>
  <c r="BE18" i="132"/>
  <c r="BD18" i="132"/>
  <c r="BC18" i="132"/>
  <c r="BB18" i="132"/>
  <c r="BA18" i="132"/>
  <c r="AZ18" i="132"/>
  <c r="AY18" i="132"/>
  <c r="AX18" i="132"/>
  <c r="AW18" i="132"/>
  <c r="AV18" i="132"/>
  <c r="AU18" i="132"/>
  <c r="AT18" i="132"/>
  <c r="AS18" i="132"/>
  <c r="AR18" i="132"/>
  <c r="AQ18" i="132"/>
  <c r="AP18" i="132"/>
  <c r="AO18" i="132"/>
  <c r="AN18" i="132"/>
  <c r="AM18" i="132"/>
  <c r="AL18" i="132"/>
  <c r="AK18" i="132"/>
  <c r="AJ18" i="132"/>
  <c r="AI18" i="132"/>
  <c r="AH18" i="132"/>
  <c r="AG18" i="132"/>
  <c r="AF18" i="132"/>
  <c r="AE18" i="132"/>
  <c r="BE17" i="132"/>
  <c r="BD17" i="132"/>
  <c r="BC17" i="132"/>
  <c r="BB17" i="132"/>
  <c r="BA17" i="132"/>
  <c r="AZ17" i="132"/>
  <c r="AY17" i="132"/>
  <c r="AX17" i="132"/>
  <c r="AW17" i="132"/>
  <c r="AV17" i="132"/>
  <c r="AU17" i="132"/>
  <c r="AT17" i="132"/>
  <c r="AS17" i="132"/>
  <c r="AR17" i="132"/>
  <c r="AQ17" i="132"/>
  <c r="AP17" i="132"/>
  <c r="AO17" i="132"/>
  <c r="AN17" i="132"/>
  <c r="AM17" i="132"/>
  <c r="AL17" i="132"/>
  <c r="AK17" i="132"/>
  <c r="AJ17" i="132"/>
  <c r="AI17" i="132"/>
  <c r="AH17" i="132"/>
  <c r="AG17" i="132"/>
  <c r="AF17" i="132"/>
  <c r="AE17" i="132"/>
  <c r="BE16" i="132"/>
  <c r="BD16" i="132"/>
  <c r="BC16" i="132"/>
  <c r="BB16" i="132"/>
  <c r="BA16" i="132"/>
  <c r="AZ16" i="132"/>
  <c r="AY16" i="132"/>
  <c r="AX16" i="132"/>
  <c r="AW16" i="132"/>
  <c r="AV16" i="132"/>
  <c r="AU16" i="132"/>
  <c r="AT16" i="132"/>
  <c r="AS16" i="132"/>
  <c r="AR16" i="132"/>
  <c r="AQ16" i="132"/>
  <c r="AP16" i="132"/>
  <c r="AO16" i="132"/>
  <c r="AN16" i="132"/>
  <c r="AM16" i="132"/>
  <c r="AL16" i="132"/>
  <c r="AK16" i="132"/>
  <c r="AJ16" i="132"/>
  <c r="AI16" i="132"/>
  <c r="AH16" i="132"/>
  <c r="AG16" i="132"/>
  <c r="AF16" i="132"/>
  <c r="AE16" i="132"/>
  <c r="BE15" i="132"/>
  <c r="BD15" i="132"/>
  <c r="BC15" i="132"/>
  <c r="BB15" i="132"/>
  <c r="BA15" i="132"/>
  <c r="AZ15" i="132"/>
  <c r="AY15" i="132"/>
  <c r="AX15" i="132"/>
  <c r="AW15" i="132"/>
  <c r="AV15" i="132"/>
  <c r="AU15" i="132"/>
  <c r="AT15" i="132"/>
  <c r="AS15" i="132"/>
  <c r="AR15" i="132"/>
  <c r="AQ15" i="132"/>
  <c r="AP15" i="132"/>
  <c r="AO15" i="132"/>
  <c r="AN15" i="132"/>
  <c r="AM15" i="132"/>
  <c r="AL15" i="132"/>
  <c r="AK15" i="132"/>
  <c r="AJ15" i="132"/>
  <c r="AI15" i="132"/>
  <c r="AH15" i="132"/>
  <c r="AG15" i="132"/>
  <c r="AF15" i="132"/>
  <c r="AE15" i="132"/>
  <c r="BE14" i="132"/>
  <c r="BD14" i="132"/>
  <c r="BC14" i="132"/>
  <c r="BB14" i="132"/>
  <c r="BA14" i="132"/>
  <c r="AZ14" i="132"/>
  <c r="AY14" i="132"/>
  <c r="AX14" i="132"/>
  <c r="AW14" i="132"/>
  <c r="AV14" i="132"/>
  <c r="AU14" i="132"/>
  <c r="AT14" i="132"/>
  <c r="AS14" i="132"/>
  <c r="AR14" i="132"/>
  <c r="AQ14" i="132"/>
  <c r="AP14" i="132"/>
  <c r="AO14" i="132"/>
  <c r="AN14" i="132"/>
  <c r="AM14" i="132"/>
  <c r="AL14" i="132"/>
  <c r="AK14" i="132"/>
  <c r="AJ14" i="132"/>
  <c r="AI14" i="132"/>
  <c r="AH14" i="132"/>
  <c r="AG14" i="132"/>
  <c r="AF14" i="132"/>
  <c r="AE14" i="132"/>
  <c r="BE13" i="132"/>
  <c r="BD13" i="132"/>
  <c r="BC13" i="132"/>
  <c r="BB13" i="132"/>
  <c r="BA13" i="132"/>
  <c r="AZ13" i="132"/>
  <c r="AY13" i="132"/>
  <c r="AX13" i="132"/>
  <c r="AW13" i="132"/>
  <c r="AV13" i="132"/>
  <c r="AU13" i="132"/>
  <c r="AT13" i="132"/>
  <c r="AS13" i="132"/>
  <c r="AR13" i="132"/>
  <c r="AQ13" i="132"/>
  <c r="AP13" i="132"/>
  <c r="AO13" i="132"/>
  <c r="AN13" i="132"/>
  <c r="AM13" i="132"/>
  <c r="AL13" i="132"/>
  <c r="AK13" i="132"/>
  <c r="AJ13" i="132"/>
  <c r="AI13" i="132"/>
  <c r="AH13" i="132"/>
  <c r="AG13" i="132"/>
  <c r="AF13" i="132"/>
  <c r="AE13" i="132"/>
  <c r="BE12" i="132"/>
  <c r="BD12" i="132"/>
  <c r="BC12" i="132"/>
  <c r="BB12" i="132"/>
  <c r="BA12" i="132"/>
  <c r="AZ12" i="132"/>
  <c r="AY12" i="132"/>
  <c r="AX12" i="132"/>
  <c r="AW12" i="132"/>
  <c r="AV12" i="132"/>
  <c r="AU12" i="132"/>
  <c r="AT12" i="132"/>
  <c r="AS12" i="132"/>
  <c r="AR12" i="132"/>
  <c r="AQ12" i="132"/>
  <c r="AP12" i="132"/>
  <c r="AO12" i="132"/>
  <c r="AN12" i="132"/>
  <c r="AM12" i="132"/>
  <c r="AL12" i="132"/>
  <c r="AK12" i="132"/>
  <c r="AJ12" i="132"/>
  <c r="AI12" i="132"/>
  <c r="AH12" i="132"/>
  <c r="AG12" i="132"/>
  <c r="AF12" i="132"/>
  <c r="AE12" i="132"/>
  <c r="BE11" i="132"/>
  <c r="BD11" i="132"/>
  <c r="BC11" i="132"/>
  <c r="BB11" i="132"/>
  <c r="BA11" i="132"/>
  <c r="AZ11" i="132"/>
  <c r="AY11" i="132"/>
  <c r="AX11" i="132"/>
  <c r="AW11" i="132"/>
  <c r="AV11" i="132"/>
  <c r="AU11" i="132"/>
  <c r="AT11" i="132"/>
  <c r="AS11" i="132"/>
  <c r="AR11" i="132"/>
  <c r="AQ11" i="132"/>
  <c r="AP11" i="132"/>
  <c r="AO11" i="132"/>
  <c r="AN11" i="132"/>
  <c r="AM11" i="132"/>
  <c r="AL11" i="132"/>
  <c r="AK11" i="132"/>
  <c r="AJ11" i="132"/>
  <c r="AI11" i="132"/>
  <c r="AH11" i="132"/>
  <c r="AG11" i="132"/>
  <c r="AF11" i="132"/>
  <c r="AE11" i="132"/>
  <c r="BE10" i="132"/>
  <c r="BD10" i="132"/>
  <c r="BC10" i="132"/>
  <c r="BB10" i="132"/>
  <c r="BA10" i="132"/>
  <c r="AZ10" i="132"/>
  <c r="AY10" i="132"/>
  <c r="AX10" i="132"/>
  <c r="AW10" i="132"/>
  <c r="AV10" i="132"/>
  <c r="AU10" i="132"/>
  <c r="AT10" i="132"/>
  <c r="AS10" i="132"/>
  <c r="AR10" i="132"/>
  <c r="AQ10" i="132"/>
  <c r="AP10" i="132"/>
  <c r="AO10" i="132"/>
  <c r="AN10" i="132"/>
  <c r="AM10" i="132"/>
  <c r="AL10" i="132"/>
  <c r="AK10" i="132"/>
  <c r="AJ10" i="132"/>
  <c r="AI10" i="132"/>
  <c r="AH10" i="132"/>
  <c r="AG10" i="132"/>
  <c r="AF10" i="132"/>
  <c r="AE10" i="132"/>
  <c r="BE9" i="132"/>
  <c r="BD9" i="132"/>
  <c r="BC9" i="132"/>
  <c r="BB9" i="132"/>
  <c r="BA9" i="132"/>
  <c r="AZ9" i="132"/>
  <c r="AY9" i="132"/>
  <c r="AX9" i="132"/>
  <c r="AW9" i="132"/>
  <c r="AV9" i="132"/>
  <c r="AU9" i="132"/>
  <c r="AT9" i="132"/>
  <c r="AS9" i="132"/>
  <c r="AR9" i="132"/>
  <c r="AQ9" i="132"/>
  <c r="AP9" i="132"/>
  <c r="AO9" i="132"/>
  <c r="AN9" i="132"/>
  <c r="AM9" i="132"/>
  <c r="AL9" i="132"/>
  <c r="AK9" i="132"/>
  <c r="AJ9" i="132"/>
  <c r="AI9" i="132"/>
  <c r="AH9" i="132"/>
  <c r="AG9" i="132"/>
  <c r="AF9" i="132"/>
  <c r="AE9" i="132"/>
  <c r="BE8" i="132"/>
  <c r="BD8" i="132"/>
  <c r="BC8" i="132"/>
  <c r="BB8" i="132"/>
  <c r="BA8" i="132"/>
  <c r="AZ8" i="132"/>
  <c r="AY8" i="132"/>
  <c r="AX8" i="132"/>
  <c r="AW8" i="132"/>
  <c r="AV8" i="132"/>
  <c r="AU8" i="132"/>
  <c r="AT8" i="132"/>
  <c r="AS8" i="132"/>
  <c r="AR8" i="132"/>
  <c r="AQ8" i="132"/>
  <c r="AP8" i="132"/>
  <c r="AO8" i="132"/>
  <c r="AN8" i="132"/>
  <c r="AM8" i="132"/>
  <c r="AL8" i="132"/>
  <c r="AK8" i="132"/>
  <c r="AJ8" i="132"/>
  <c r="AI8" i="132"/>
  <c r="AH8" i="132"/>
  <c r="AG8" i="132"/>
  <c r="AF8" i="132"/>
  <c r="AE8" i="132"/>
  <c r="BE7" i="132"/>
  <c r="BD7" i="132"/>
  <c r="BC7" i="132"/>
  <c r="BB7" i="132"/>
  <c r="BA7" i="132"/>
  <c r="AZ7" i="132"/>
  <c r="AY7" i="132"/>
  <c r="AX7" i="132"/>
  <c r="AW7" i="132"/>
  <c r="AV7" i="132"/>
  <c r="AU7" i="132"/>
  <c r="AT7" i="132"/>
  <c r="AS7" i="132"/>
  <c r="AR7" i="132"/>
  <c r="AQ7" i="132"/>
  <c r="AP7" i="132"/>
  <c r="AO7" i="132"/>
  <c r="AN7" i="132"/>
  <c r="AM7" i="132"/>
  <c r="AL7" i="132"/>
  <c r="AK7" i="132"/>
  <c r="AJ7" i="132"/>
  <c r="AI7" i="132"/>
  <c r="AH7" i="132"/>
  <c r="AG7" i="132"/>
  <c r="AF7" i="132"/>
  <c r="AE7" i="132"/>
  <c r="BE6" i="132"/>
  <c r="BD6" i="132"/>
  <c r="BC6" i="132"/>
  <c r="BB6" i="132"/>
  <c r="BA6" i="132"/>
  <c r="AZ6" i="132"/>
  <c r="AY6" i="132"/>
  <c r="AX6" i="132"/>
  <c r="AW6" i="132"/>
  <c r="AV6" i="132"/>
  <c r="AU6" i="132"/>
  <c r="AT6" i="132"/>
  <c r="AS6" i="132"/>
  <c r="AR6" i="132"/>
  <c r="AQ6" i="132"/>
  <c r="AP6" i="132"/>
  <c r="AO6" i="132"/>
  <c r="AN6" i="132"/>
  <c r="AM6" i="132"/>
  <c r="AL6" i="132"/>
  <c r="AK6" i="132"/>
  <c r="AJ6" i="132"/>
  <c r="AI6" i="132"/>
  <c r="AH6" i="132"/>
  <c r="AG6" i="132"/>
  <c r="AF6" i="132"/>
  <c r="AE6" i="132"/>
  <c r="BE5" i="132"/>
  <c r="BD5" i="132"/>
  <c r="BC5" i="132"/>
  <c r="BB5" i="132"/>
  <c r="BA5" i="132"/>
  <c r="AZ5" i="132"/>
  <c r="AY5" i="132"/>
  <c r="AX5" i="132"/>
  <c r="AW5" i="132"/>
  <c r="AV5" i="132"/>
  <c r="AU5" i="132"/>
  <c r="AT5" i="132"/>
  <c r="AS5" i="132"/>
  <c r="AR5" i="132"/>
  <c r="AQ5" i="132"/>
  <c r="AP5" i="132"/>
  <c r="AO5" i="132"/>
  <c r="AN5" i="132"/>
  <c r="AM5" i="132"/>
  <c r="AL5" i="132"/>
  <c r="AK5" i="132"/>
  <c r="AJ5" i="132"/>
  <c r="AI5" i="132"/>
  <c r="AH5" i="132"/>
  <c r="AG5" i="132"/>
  <c r="AF5" i="132"/>
  <c r="AE5" i="132"/>
  <c r="BE4" i="132"/>
  <c r="BD4" i="132"/>
  <c r="BC4" i="132"/>
  <c r="BB4" i="132"/>
  <c r="BA4" i="132"/>
  <c r="AZ4" i="132"/>
  <c r="AY4" i="132"/>
  <c r="AX4" i="132"/>
  <c r="AW4" i="132"/>
  <c r="AV4" i="132"/>
  <c r="AU4" i="132"/>
  <c r="AT4" i="132"/>
  <c r="AS4" i="132"/>
  <c r="AR4" i="132"/>
  <c r="AQ4" i="132"/>
  <c r="AP4" i="132"/>
  <c r="AO4" i="132"/>
  <c r="AN4" i="132"/>
  <c r="AM4" i="132"/>
  <c r="AL4" i="132"/>
  <c r="AK4" i="132"/>
  <c r="AJ4" i="132"/>
  <c r="AI4" i="132"/>
  <c r="AH4" i="132"/>
  <c r="AG4" i="132"/>
  <c r="AF4" i="132"/>
  <c r="AE4" i="132"/>
  <c r="BE3" i="132"/>
  <c r="BD3" i="132"/>
  <c r="BC3" i="132"/>
  <c r="BB3" i="132"/>
  <c r="BA3" i="132"/>
  <c r="AZ3" i="132"/>
  <c r="AY3" i="132"/>
  <c r="AX3" i="132"/>
  <c r="AW3" i="132"/>
  <c r="AV3" i="132"/>
  <c r="AU3" i="132"/>
  <c r="AT3" i="132"/>
  <c r="AS3" i="132"/>
  <c r="AR3" i="132"/>
  <c r="AQ3" i="132"/>
  <c r="AP3" i="132"/>
  <c r="AO3" i="132"/>
  <c r="AN3" i="132"/>
  <c r="AM3" i="132"/>
  <c r="AL3" i="132"/>
  <c r="AK3" i="132"/>
  <c r="AJ3" i="132"/>
  <c r="AI3" i="132"/>
  <c r="AH3" i="132"/>
  <c r="AG3" i="132"/>
  <c r="AF3" i="132"/>
  <c r="AE3" i="132"/>
  <c r="BE2" i="132"/>
  <c r="BD2" i="132"/>
  <c r="BC2" i="132"/>
  <c r="BB2" i="132"/>
  <c r="BA2" i="132"/>
  <c r="AZ2" i="132"/>
  <c r="AY2" i="132"/>
  <c r="AX2" i="132"/>
  <c r="AW2" i="132"/>
  <c r="AV2" i="132"/>
  <c r="AU2" i="132"/>
  <c r="AT2" i="132"/>
  <c r="AS2" i="132"/>
  <c r="AR2" i="132"/>
  <c r="AQ2" i="132"/>
  <c r="AP2" i="132"/>
  <c r="AO2" i="132"/>
  <c r="AN2" i="132"/>
  <c r="AM2" i="132"/>
  <c r="AL2" i="132"/>
  <c r="AK2" i="132"/>
  <c r="AJ2" i="132"/>
  <c r="AI2" i="132"/>
  <c r="AH2" i="132"/>
  <c r="AG2" i="132"/>
  <c r="AF2" i="132"/>
  <c r="AE2" i="132"/>
  <c r="BE1" i="132"/>
  <c r="BD1" i="132"/>
  <c r="BC1" i="132"/>
  <c r="BB1" i="132"/>
  <c r="BA1" i="132"/>
  <c r="AZ1" i="132"/>
  <c r="AY1" i="132"/>
  <c r="AX1" i="132"/>
  <c r="AW1" i="132"/>
  <c r="AV1" i="132"/>
  <c r="AU1" i="132"/>
  <c r="AT1" i="132"/>
  <c r="AS1" i="132"/>
  <c r="AR1" i="132"/>
  <c r="AQ1" i="132"/>
  <c r="AP1" i="132"/>
  <c r="AO1" i="132"/>
  <c r="AN1" i="132"/>
  <c r="AM1" i="132"/>
  <c r="AL1" i="132"/>
  <c r="AK1" i="132"/>
  <c r="AJ1" i="132"/>
  <c r="AI1" i="132"/>
  <c r="AH1" i="132"/>
  <c r="AG1" i="132"/>
  <c r="AF1" i="132"/>
  <c r="BE33" i="131"/>
  <c r="BD33" i="131"/>
  <c r="BC33" i="131"/>
  <c r="BB33" i="131"/>
  <c r="BA33" i="131"/>
  <c r="AZ33" i="131"/>
  <c r="AY33" i="131"/>
  <c r="AX33" i="131"/>
  <c r="AW33" i="131"/>
  <c r="AV33" i="131"/>
  <c r="AU33" i="131"/>
  <c r="AT33" i="131"/>
  <c r="AS33" i="131"/>
  <c r="AR33" i="131"/>
  <c r="AQ33" i="131"/>
  <c r="AP33" i="131"/>
  <c r="AO33" i="131"/>
  <c r="AN33" i="131"/>
  <c r="AM33" i="131"/>
  <c r="AL33" i="131"/>
  <c r="AK33" i="131"/>
  <c r="AJ33" i="131"/>
  <c r="AI33" i="131"/>
  <c r="AH33" i="131"/>
  <c r="AG33" i="131"/>
  <c r="AF33" i="131"/>
  <c r="AE33" i="131"/>
  <c r="BE32" i="131"/>
  <c r="BD32" i="131"/>
  <c r="BC32" i="131"/>
  <c r="BB32" i="131"/>
  <c r="BA32" i="131"/>
  <c r="AZ32" i="131"/>
  <c r="AY32" i="131"/>
  <c r="AX32" i="131"/>
  <c r="AW32" i="131"/>
  <c r="AV32" i="131"/>
  <c r="AU32" i="131"/>
  <c r="AT32" i="131"/>
  <c r="AS32" i="131"/>
  <c r="AR32" i="131"/>
  <c r="AQ32" i="131"/>
  <c r="AP32" i="131"/>
  <c r="AO32" i="131"/>
  <c r="AN32" i="131"/>
  <c r="AM32" i="131"/>
  <c r="AL32" i="131"/>
  <c r="AK32" i="131"/>
  <c r="AJ32" i="131"/>
  <c r="AI32" i="131"/>
  <c r="AH32" i="131"/>
  <c r="AG32" i="131"/>
  <c r="AF32" i="131"/>
  <c r="AE32" i="131"/>
  <c r="BE31" i="131"/>
  <c r="BD31" i="131"/>
  <c r="BC31" i="131"/>
  <c r="BB31" i="131"/>
  <c r="BA31" i="131"/>
  <c r="AZ31" i="131"/>
  <c r="AY31" i="131"/>
  <c r="AX31" i="131"/>
  <c r="AW31" i="131"/>
  <c r="AV31" i="131"/>
  <c r="AU31" i="131"/>
  <c r="AT31" i="131"/>
  <c r="AS31" i="131"/>
  <c r="AR31" i="131"/>
  <c r="AQ31" i="131"/>
  <c r="AP31" i="131"/>
  <c r="AO31" i="131"/>
  <c r="AN31" i="131"/>
  <c r="AM31" i="131"/>
  <c r="AL31" i="131"/>
  <c r="AK31" i="131"/>
  <c r="AJ31" i="131"/>
  <c r="AI31" i="131"/>
  <c r="AH31" i="131"/>
  <c r="AG31" i="131"/>
  <c r="AF31" i="131"/>
  <c r="AE31" i="131"/>
  <c r="BE30" i="131"/>
  <c r="BD30" i="131"/>
  <c r="BC30" i="131"/>
  <c r="BB30" i="131"/>
  <c r="BA30" i="131"/>
  <c r="AZ30" i="131"/>
  <c r="AY30" i="131"/>
  <c r="AX30" i="131"/>
  <c r="AW30" i="131"/>
  <c r="AV30" i="131"/>
  <c r="AU30" i="131"/>
  <c r="AT30" i="131"/>
  <c r="AS30" i="131"/>
  <c r="AR30" i="131"/>
  <c r="AQ30" i="131"/>
  <c r="AP30" i="131"/>
  <c r="AO30" i="131"/>
  <c r="AN30" i="131"/>
  <c r="AM30" i="131"/>
  <c r="AL30" i="131"/>
  <c r="AK30" i="131"/>
  <c r="AJ30" i="131"/>
  <c r="AI30" i="131"/>
  <c r="AH30" i="131"/>
  <c r="AG30" i="131"/>
  <c r="AF30" i="131"/>
  <c r="AE30" i="131"/>
  <c r="BE29" i="131"/>
  <c r="BD29" i="131"/>
  <c r="BC29" i="131"/>
  <c r="BB29" i="131"/>
  <c r="BA29" i="131"/>
  <c r="AZ29" i="131"/>
  <c r="AY29" i="131"/>
  <c r="AX29" i="131"/>
  <c r="AW29" i="131"/>
  <c r="AV29" i="131"/>
  <c r="AU29" i="131"/>
  <c r="AT29" i="131"/>
  <c r="AS29" i="131"/>
  <c r="AR29" i="131"/>
  <c r="AQ29" i="131"/>
  <c r="AP29" i="131"/>
  <c r="AO29" i="131"/>
  <c r="AN29" i="131"/>
  <c r="AM29" i="131"/>
  <c r="AL29" i="131"/>
  <c r="AK29" i="131"/>
  <c r="AJ29" i="131"/>
  <c r="AI29" i="131"/>
  <c r="AH29" i="131"/>
  <c r="AG29" i="131"/>
  <c r="AF29" i="131"/>
  <c r="AE29" i="131"/>
  <c r="BE28" i="131"/>
  <c r="BD28" i="131"/>
  <c r="BC28" i="131"/>
  <c r="BB28" i="131"/>
  <c r="BA28" i="131"/>
  <c r="AZ28" i="131"/>
  <c r="AY28" i="131"/>
  <c r="AX28" i="131"/>
  <c r="AW28" i="131"/>
  <c r="AV28" i="131"/>
  <c r="AU28" i="131"/>
  <c r="AT28" i="131"/>
  <c r="AS28" i="131"/>
  <c r="AR28" i="131"/>
  <c r="AQ28" i="131"/>
  <c r="AP28" i="131"/>
  <c r="AO28" i="131"/>
  <c r="AN28" i="131"/>
  <c r="AM28" i="131"/>
  <c r="AL28" i="131"/>
  <c r="AK28" i="131"/>
  <c r="AJ28" i="131"/>
  <c r="AI28" i="131"/>
  <c r="AH28" i="131"/>
  <c r="AG28" i="131"/>
  <c r="AF28" i="131"/>
  <c r="AE28" i="131"/>
  <c r="BE27" i="131"/>
  <c r="BD27" i="131"/>
  <c r="BC27" i="131"/>
  <c r="BB27" i="131"/>
  <c r="BA27" i="131"/>
  <c r="AZ27" i="131"/>
  <c r="AY27" i="131"/>
  <c r="AX27" i="131"/>
  <c r="AW27" i="131"/>
  <c r="AV27" i="131"/>
  <c r="AU27" i="131"/>
  <c r="AT27" i="131"/>
  <c r="AS27" i="131"/>
  <c r="AR27" i="131"/>
  <c r="AQ27" i="131"/>
  <c r="AP27" i="131"/>
  <c r="AO27" i="131"/>
  <c r="AN27" i="131"/>
  <c r="AM27" i="131"/>
  <c r="AL27" i="131"/>
  <c r="AK27" i="131"/>
  <c r="AJ27" i="131"/>
  <c r="AI27" i="131"/>
  <c r="AH27" i="131"/>
  <c r="AG27" i="131"/>
  <c r="AF27" i="131"/>
  <c r="AE27" i="131"/>
  <c r="BE26" i="131"/>
  <c r="BD26" i="131"/>
  <c r="BC26" i="131"/>
  <c r="BB26" i="131"/>
  <c r="BA26" i="131"/>
  <c r="AZ26" i="131"/>
  <c r="AY26" i="131"/>
  <c r="AX26" i="131"/>
  <c r="AW26" i="131"/>
  <c r="AV26" i="131"/>
  <c r="AU26" i="131"/>
  <c r="AT26" i="131"/>
  <c r="AS26" i="131"/>
  <c r="AR26" i="131"/>
  <c r="AQ26" i="131"/>
  <c r="AP26" i="131"/>
  <c r="AO26" i="131"/>
  <c r="AN26" i="131"/>
  <c r="AM26" i="131"/>
  <c r="AL26" i="131"/>
  <c r="AK26" i="131"/>
  <c r="AJ26" i="131"/>
  <c r="AI26" i="131"/>
  <c r="AH26" i="131"/>
  <c r="AG26" i="131"/>
  <c r="AF26" i="131"/>
  <c r="AE26" i="131"/>
  <c r="BE25" i="131"/>
  <c r="BD25" i="131"/>
  <c r="BC25" i="131"/>
  <c r="BB25" i="131"/>
  <c r="BA25" i="131"/>
  <c r="AZ25" i="131"/>
  <c r="AY25" i="131"/>
  <c r="AX25" i="131"/>
  <c r="AW25" i="131"/>
  <c r="AV25" i="131"/>
  <c r="AU25" i="131"/>
  <c r="AT25" i="131"/>
  <c r="AS25" i="131"/>
  <c r="AR25" i="131"/>
  <c r="AQ25" i="131"/>
  <c r="AP25" i="131"/>
  <c r="AO25" i="131"/>
  <c r="AN25" i="131"/>
  <c r="AM25" i="131"/>
  <c r="AL25" i="131"/>
  <c r="AK25" i="131"/>
  <c r="AJ25" i="131"/>
  <c r="AI25" i="131"/>
  <c r="AH25" i="131"/>
  <c r="AG25" i="131"/>
  <c r="AF25" i="131"/>
  <c r="AE25" i="131"/>
  <c r="BE24" i="131"/>
  <c r="BD24" i="131"/>
  <c r="BC24" i="131"/>
  <c r="BB24" i="131"/>
  <c r="BA24" i="131"/>
  <c r="AZ24" i="131"/>
  <c r="AY24" i="131"/>
  <c r="AX24" i="131"/>
  <c r="AW24" i="131"/>
  <c r="AV24" i="131"/>
  <c r="AU24" i="131"/>
  <c r="AT24" i="131"/>
  <c r="AS24" i="131"/>
  <c r="AR24" i="131"/>
  <c r="AQ24" i="131"/>
  <c r="AP24" i="131"/>
  <c r="AO24" i="131"/>
  <c r="AN24" i="131"/>
  <c r="AM24" i="131"/>
  <c r="AL24" i="131"/>
  <c r="AK24" i="131"/>
  <c r="AJ24" i="131"/>
  <c r="AI24" i="131"/>
  <c r="AH24" i="131"/>
  <c r="AG24" i="131"/>
  <c r="AF24" i="131"/>
  <c r="AE24" i="131"/>
  <c r="BE23" i="131"/>
  <c r="BD23" i="131"/>
  <c r="BC23" i="131"/>
  <c r="BB23" i="131"/>
  <c r="BA23" i="131"/>
  <c r="AZ23" i="131"/>
  <c r="AY23" i="131"/>
  <c r="AX23" i="131"/>
  <c r="AW23" i="131"/>
  <c r="AV23" i="131"/>
  <c r="AU23" i="131"/>
  <c r="AT23" i="131"/>
  <c r="AS23" i="131"/>
  <c r="AR23" i="131"/>
  <c r="AQ23" i="131"/>
  <c r="AP23" i="131"/>
  <c r="AO23" i="131"/>
  <c r="AN23" i="131"/>
  <c r="AM23" i="131"/>
  <c r="AL23" i="131"/>
  <c r="AK23" i="131"/>
  <c r="AJ23" i="131"/>
  <c r="AI23" i="131"/>
  <c r="AH23" i="131"/>
  <c r="AG23" i="131"/>
  <c r="AF23" i="131"/>
  <c r="AE23" i="131"/>
  <c r="BE22" i="131"/>
  <c r="BD22" i="131"/>
  <c r="BC22" i="131"/>
  <c r="BB22" i="131"/>
  <c r="BA22" i="131"/>
  <c r="AZ22" i="131"/>
  <c r="AY22" i="131"/>
  <c r="AX22" i="131"/>
  <c r="AW22" i="131"/>
  <c r="AV22" i="131"/>
  <c r="AU22" i="131"/>
  <c r="AT22" i="131"/>
  <c r="AS22" i="131"/>
  <c r="AR22" i="131"/>
  <c r="AQ22" i="131"/>
  <c r="AP22" i="131"/>
  <c r="AO22" i="131"/>
  <c r="AN22" i="131"/>
  <c r="AM22" i="131"/>
  <c r="AL22" i="131"/>
  <c r="AK22" i="131"/>
  <c r="AJ22" i="131"/>
  <c r="AI22" i="131"/>
  <c r="AH22" i="131"/>
  <c r="AG22" i="131"/>
  <c r="AF22" i="131"/>
  <c r="AE22" i="131"/>
  <c r="BE21" i="131"/>
  <c r="BD21" i="131"/>
  <c r="BC21" i="131"/>
  <c r="BB21" i="131"/>
  <c r="BA21" i="131"/>
  <c r="AZ21" i="131"/>
  <c r="AY21" i="131"/>
  <c r="AX21" i="131"/>
  <c r="AW21" i="131"/>
  <c r="AV21" i="131"/>
  <c r="AU21" i="131"/>
  <c r="AT21" i="131"/>
  <c r="AS21" i="131"/>
  <c r="AR21" i="131"/>
  <c r="AQ21" i="131"/>
  <c r="AP21" i="131"/>
  <c r="AO21" i="131"/>
  <c r="AN21" i="131"/>
  <c r="AM21" i="131"/>
  <c r="AL21" i="131"/>
  <c r="AK21" i="131"/>
  <c r="AJ21" i="131"/>
  <c r="AI21" i="131"/>
  <c r="AH21" i="131"/>
  <c r="AG21" i="131"/>
  <c r="AF21" i="131"/>
  <c r="AE21" i="131"/>
  <c r="BE20" i="131"/>
  <c r="BD20" i="131"/>
  <c r="BC20" i="131"/>
  <c r="BB20" i="131"/>
  <c r="BA20" i="131"/>
  <c r="AZ20" i="131"/>
  <c r="AY20" i="131"/>
  <c r="AX20" i="131"/>
  <c r="AW20" i="131"/>
  <c r="AV20" i="131"/>
  <c r="AU20" i="131"/>
  <c r="AT20" i="131"/>
  <c r="AS20" i="131"/>
  <c r="AR20" i="131"/>
  <c r="AQ20" i="131"/>
  <c r="AP20" i="131"/>
  <c r="AO20" i="131"/>
  <c r="AN20" i="131"/>
  <c r="AM20" i="131"/>
  <c r="AL20" i="131"/>
  <c r="AK20" i="131"/>
  <c r="AJ20" i="131"/>
  <c r="AI20" i="131"/>
  <c r="AH20" i="131"/>
  <c r="AG20" i="131"/>
  <c r="AF20" i="131"/>
  <c r="AE20" i="131"/>
  <c r="BE19" i="131"/>
  <c r="BD19" i="131"/>
  <c r="BC19" i="131"/>
  <c r="BB19" i="131"/>
  <c r="BA19" i="131"/>
  <c r="AZ19" i="131"/>
  <c r="AY19" i="131"/>
  <c r="AX19" i="131"/>
  <c r="AW19" i="131"/>
  <c r="AV19" i="131"/>
  <c r="AU19" i="131"/>
  <c r="AT19" i="131"/>
  <c r="AS19" i="131"/>
  <c r="AR19" i="131"/>
  <c r="AQ19" i="131"/>
  <c r="AP19" i="131"/>
  <c r="AO19" i="131"/>
  <c r="AN19" i="131"/>
  <c r="AM19" i="131"/>
  <c r="AL19" i="131"/>
  <c r="AK19" i="131"/>
  <c r="AJ19" i="131"/>
  <c r="AI19" i="131"/>
  <c r="AH19" i="131"/>
  <c r="AG19" i="131"/>
  <c r="AF19" i="131"/>
  <c r="AE19" i="131"/>
  <c r="BE18" i="131"/>
  <c r="BD18" i="131"/>
  <c r="BC18" i="131"/>
  <c r="BB18" i="131"/>
  <c r="BA18" i="131"/>
  <c r="AZ18" i="131"/>
  <c r="AY18" i="131"/>
  <c r="AX18" i="131"/>
  <c r="AW18" i="131"/>
  <c r="AV18" i="131"/>
  <c r="AU18" i="131"/>
  <c r="AT18" i="131"/>
  <c r="AS18" i="131"/>
  <c r="AR18" i="131"/>
  <c r="AQ18" i="131"/>
  <c r="AP18" i="131"/>
  <c r="AO18" i="131"/>
  <c r="AN18" i="131"/>
  <c r="AM18" i="131"/>
  <c r="AL18" i="131"/>
  <c r="AK18" i="131"/>
  <c r="AJ18" i="131"/>
  <c r="AI18" i="131"/>
  <c r="AH18" i="131"/>
  <c r="AG18" i="131"/>
  <c r="AF18" i="131"/>
  <c r="AE18" i="131"/>
  <c r="BE17" i="131"/>
  <c r="BD17" i="131"/>
  <c r="BC17" i="131"/>
  <c r="BB17" i="131"/>
  <c r="BA17" i="131"/>
  <c r="AZ17" i="131"/>
  <c r="AY17" i="131"/>
  <c r="AX17" i="131"/>
  <c r="AW17" i="131"/>
  <c r="AV17" i="131"/>
  <c r="AU17" i="131"/>
  <c r="AT17" i="131"/>
  <c r="AS17" i="131"/>
  <c r="AR17" i="131"/>
  <c r="AQ17" i="131"/>
  <c r="AP17" i="131"/>
  <c r="AO17" i="131"/>
  <c r="AN17" i="131"/>
  <c r="AM17" i="131"/>
  <c r="AL17" i="131"/>
  <c r="AK17" i="131"/>
  <c r="AJ17" i="131"/>
  <c r="AI17" i="131"/>
  <c r="AH17" i="131"/>
  <c r="AG17" i="131"/>
  <c r="AF17" i="131"/>
  <c r="AE17" i="131"/>
  <c r="BE16" i="131"/>
  <c r="BD16" i="131"/>
  <c r="BC16" i="131"/>
  <c r="BB16" i="131"/>
  <c r="BA16" i="131"/>
  <c r="AZ16" i="131"/>
  <c r="AY16" i="131"/>
  <c r="AX16" i="131"/>
  <c r="AW16" i="131"/>
  <c r="AV16" i="131"/>
  <c r="AU16" i="131"/>
  <c r="AT16" i="131"/>
  <c r="AS16" i="131"/>
  <c r="AR16" i="131"/>
  <c r="AQ16" i="131"/>
  <c r="AP16" i="131"/>
  <c r="AO16" i="131"/>
  <c r="AN16" i="131"/>
  <c r="AM16" i="131"/>
  <c r="AL16" i="131"/>
  <c r="AK16" i="131"/>
  <c r="AJ16" i="131"/>
  <c r="AI16" i="131"/>
  <c r="AH16" i="131"/>
  <c r="AG16" i="131"/>
  <c r="AF16" i="131"/>
  <c r="AE16" i="131"/>
  <c r="BE15" i="131"/>
  <c r="BD15" i="131"/>
  <c r="BC15" i="131"/>
  <c r="BB15" i="131"/>
  <c r="BA15" i="131"/>
  <c r="AZ15" i="131"/>
  <c r="AY15" i="131"/>
  <c r="AX15" i="131"/>
  <c r="AW15" i="131"/>
  <c r="AV15" i="131"/>
  <c r="AU15" i="131"/>
  <c r="AT15" i="131"/>
  <c r="AS15" i="131"/>
  <c r="AR15" i="131"/>
  <c r="AQ15" i="131"/>
  <c r="AP15" i="131"/>
  <c r="AO15" i="131"/>
  <c r="AN15" i="131"/>
  <c r="AM15" i="131"/>
  <c r="AL15" i="131"/>
  <c r="AK15" i="131"/>
  <c r="AJ15" i="131"/>
  <c r="AI15" i="131"/>
  <c r="AH15" i="131"/>
  <c r="AG15" i="131"/>
  <c r="AF15" i="131"/>
  <c r="AE15" i="131"/>
  <c r="BE14" i="131"/>
  <c r="BD14" i="131"/>
  <c r="BC14" i="131"/>
  <c r="BB14" i="131"/>
  <c r="BA14" i="131"/>
  <c r="AZ14" i="131"/>
  <c r="AY14" i="131"/>
  <c r="AX14" i="131"/>
  <c r="AW14" i="131"/>
  <c r="AV14" i="131"/>
  <c r="AU14" i="131"/>
  <c r="AT14" i="131"/>
  <c r="AS14" i="131"/>
  <c r="AR14" i="131"/>
  <c r="AQ14" i="131"/>
  <c r="AP14" i="131"/>
  <c r="AO14" i="131"/>
  <c r="AN14" i="131"/>
  <c r="AM14" i="131"/>
  <c r="AL14" i="131"/>
  <c r="AK14" i="131"/>
  <c r="AJ14" i="131"/>
  <c r="AI14" i="131"/>
  <c r="AH14" i="131"/>
  <c r="AG14" i="131"/>
  <c r="AF14" i="131"/>
  <c r="AE14" i="131"/>
  <c r="BE13" i="131"/>
  <c r="BD13" i="131"/>
  <c r="BC13" i="131"/>
  <c r="BB13" i="131"/>
  <c r="BA13" i="131"/>
  <c r="AZ13" i="131"/>
  <c r="AY13" i="131"/>
  <c r="AX13" i="131"/>
  <c r="AW13" i="131"/>
  <c r="AV13" i="131"/>
  <c r="AU13" i="131"/>
  <c r="AT13" i="131"/>
  <c r="AS13" i="131"/>
  <c r="AR13" i="131"/>
  <c r="AQ13" i="131"/>
  <c r="AP13" i="131"/>
  <c r="AO13" i="131"/>
  <c r="AN13" i="131"/>
  <c r="AM13" i="131"/>
  <c r="AL13" i="131"/>
  <c r="AK13" i="131"/>
  <c r="AJ13" i="131"/>
  <c r="AI13" i="131"/>
  <c r="AH13" i="131"/>
  <c r="AG13" i="131"/>
  <c r="AF13" i="131"/>
  <c r="AE13" i="131"/>
  <c r="BE12" i="131"/>
  <c r="BD12" i="131"/>
  <c r="BC12" i="131"/>
  <c r="BB12" i="131"/>
  <c r="BA12" i="131"/>
  <c r="AZ12" i="131"/>
  <c r="AY12" i="131"/>
  <c r="AX12" i="131"/>
  <c r="AW12" i="131"/>
  <c r="AV12" i="131"/>
  <c r="AU12" i="131"/>
  <c r="AT12" i="131"/>
  <c r="AS12" i="131"/>
  <c r="AR12" i="131"/>
  <c r="AQ12" i="131"/>
  <c r="AP12" i="131"/>
  <c r="AO12" i="131"/>
  <c r="AN12" i="131"/>
  <c r="AM12" i="131"/>
  <c r="AL12" i="131"/>
  <c r="AK12" i="131"/>
  <c r="AJ12" i="131"/>
  <c r="AI12" i="131"/>
  <c r="AH12" i="131"/>
  <c r="AG12" i="131"/>
  <c r="AF12" i="131"/>
  <c r="AE12" i="131"/>
  <c r="BE11" i="131"/>
  <c r="BD11" i="131"/>
  <c r="BC11" i="131"/>
  <c r="BB11" i="131"/>
  <c r="BA11" i="131"/>
  <c r="AZ11" i="131"/>
  <c r="AY11" i="131"/>
  <c r="AX11" i="131"/>
  <c r="AW11" i="131"/>
  <c r="AV11" i="131"/>
  <c r="AU11" i="131"/>
  <c r="AT11" i="131"/>
  <c r="AS11" i="131"/>
  <c r="AR11" i="131"/>
  <c r="AQ11" i="131"/>
  <c r="AP11" i="131"/>
  <c r="AO11" i="131"/>
  <c r="AN11" i="131"/>
  <c r="AM11" i="131"/>
  <c r="AL11" i="131"/>
  <c r="AK11" i="131"/>
  <c r="AJ11" i="131"/>
  <c r="AI11" i="131"/>
  <c r="AH11" i="131"/>
  <c r="AG11" i="131"/>
  <c r="AF11" i="131"/>
  <c r="AE11" i="131"/>
  <c r="BE10" i="131"/>
  <c r="BD10" i="131"/>
  <c r="BC10" i="131"/>
  <c r="BB10" i="131"/>
  <c r="BA10" i="131"/>
  <c r="AZ10" i="131"/>
  <c r="AY10" i="131"/>
  <c r="AX10" i="131"/>
  <c r="AW10" i="131"/>
  <c r="AV10" i="131"/>
  <c r="AU10" i="131"/>
  <c r="AT10" i="131"/>
  <c r="AS10" i="131"/>
  <c r="AR10" i="131"/>
  <c r="AQ10" i="131"/>
  <c r="AP10" i="131"/>
  <c r="AO10" i="131"/>
  <c r="AN10" i="131"/>
  <c r="AM10" i="131"/>
  <c r="AL10" i="131"/>
  <c r="AK10" i="131"/>
  <c r="AJ10" i="131"/>
  <c r="AI10" i="131"/>
  <c r="AH10" i="131"/>
  <c r="AG10" i="131"/>
  <c r="AF10" i="131"/>
  <c r="AE10" i="131"/>
  <c r="BE9" i="131"/>
  <c r="BD9" i="131"/>
  <c r="BC9" i="131"/>
  <c r="BB9" i="131"/>
  <c r="BA9" i="131"/>
  <c r="AZ9" i="131"/>
  <c r="AY9" i="131"/>
  <c r="AX9" i="131"/>
  <c r="AW9" i="131"/>
  <c r="AV9" i="131"/>
  <c r="AU9" i="131"/>
  <c r="AT9" i="131"/>
  <c r="AS9" i="131"/>
  <c r="AR9" i="131"/>
  <c r="AQ9" i="131"/>
  <c r="AP9" i="131"/>
  <c r="AO9" i="131"/>
  <c r="AN9" i="131"/>
  <c r="AM9" i="131"/>
  <c r="AL9" i="131"/>
  <c r="AK9" i="131"/>
  <c r="AJ9" i="131"/>
  <c r="AI9" i="131"/>
  <c r="AH9" i="131"/>
  <c r="AG9" i="131"/>
  <c r="AF9" i="131"/>
  <c r="AE9" i="131"/>
  <c r="BE8" i="131"/>
  <c r="BD8" i="131"/>
  <c r="BC8" i="131"/>
  <c r="BB8" i="131"/>
  <c r="BA8" i="131"/>
  <c r="AZ8" i="131"/>
  <c r="AY8" i="131"/>
  <c r="AX8" i="131"/>
  <c r="AW8" i="131"/>
  <c r="AV8" i="131"/>
  <c r="AU8" i="131"/>
  <c r="AT8" i="131"/>
  <c r="AS8" i="131"/>
  <c r="AR8" i="131"/>
  <c r="AQ8" i="131"/>
  <c r="AP8" i="131"/>
  <c r="AO8" i="131"/>
  <c r="AN8" i="131"/>
  <c r="AM8" i="131"/>
  <c r="AL8" i="131"/>
  <c r="AK8" i="131"/>
  <c r="AJ8" i="131"/>
  <c r="AI8" i="131"/>
  <c r="AH8" i="131"/>
  <c r="AG8" i="131"/>
  <c r="AF8" i="131"/>
  <c r="AE8" i="131"/>
  <c r="BE7" i="131"/>
  <c r="BD7" i="131"/>
  <c r="BC7" i="131"/>
  <c r="BB7" i="131"/>
  <c r="BA7" i="131"/>
  <c r="AZ7" i="131"/>
  <c r="AY7" i="131"/>
  <c r="AX7" i="131"/>
  <c r="AW7" i="131"/>
  <c r="AV7" i="131"/>
  <c r="AU7" i="131"/>
  <c r="AT7" i="131"/>
  <c r="AS7" i="131"/>
  <c r="AR7" i="131"/>
  <c r="AQ7" i="131"/>
  <c r="AP7" i="131"/>
  <c r="AO7" i="131"/>
  <c r="AN7" i="131"/>
  <c r="AM7" i="131"/>
  <c r="AL7" i="131"/>
  <c r="AK7" i="131"/>
  <c r="AJ7" i="131"/>
  <c r="AI7" i="131"/>
  <c r="AH7" i="131"/>
  <c r="AG7" i="131"/>
  <c r="AF7" i="131"/>
  <c r="AE7" i="131"/>
  <c r="BE6" i="131"/>
  <c r="BD6" i="131"/>
  <c r="BC6" i="131"/>
  <c r="BB6" i="131"/>
  <c r="BA6" i="131"/>
  <c r="AZ6" i="131"/>
  <c r="AY6" i="131"/>
  <c r="AX6" i="131"/>
  <c r="AW6" i="131"/>
  <c r="AV6" i="131"/>
  <c r="AU6" i="131"/>
  <c r="AT6" i="131"/>
  <c r="AS6" i="131"/>
  <c r="AR6" i="131"/>
  <c r="AQ6" i="131"/>
  <c r="AP6" i="131"/>
  <c r="AO6" i="131"/>
  <c r="AN6" i="131"/>
  <c r="AM6" i="131"/>
  <c r="AL6" i="131"/>
  <c r="AK6" i="131"/>
  <c r="AJ6" i="131"/>
  <c r="AI6" i="131"/>
  <c r="AH6" i="131"/>
  <c r="AG6" i="131"/>
  <c r="AF6" i="131"/>
  <c r="AE6" i="131"/>
  <c r="BE5" i="131"/>
  <c r="BD5" i="131"/>
  <c r="BC5" i="131"/>
  <c r="BB5" i="131"/>
  <c r="BA5" i="131"/>
  <c r="AZ5" i="131"/>
  <c r="AY5" i="131"/>
  <c r="AX5" i="131"/>
  <c r="AW5" i="131"/>
  <c r="AV5" i="131"/>
  <c r="AU5" i="131"/>
  <c r="AT5" i="131"/>
  <c r="AS5" i="131"/>
  <c r="AR5" i="131"/>
  <c r="AQ5" i="131"/>
  <c r="AP5" i="131"/>
  <c r="AO5" i="131"/>
  <c r="AN5" i="131"/>
  <c r="AM5" i="131"/>
  <c r="AL5" i="131"/>
  <c r="AK5" i="131"/>
  <c r="AJ5" i="131"/>
  <c r="AI5" i="131"/>
  <c r="AH5" i="131"/>
  <c r="AG5" i="131"/>
  <c r="AF5" i="131"/>
  <c r="AE5" i="131"/>
  <c r="BE4" i="131"/>
  <c r="BD4" i="131"/>
  <c r="BC4" i="131"/>
  <c r="BB4" i="131"/>
  <c r="BA4" i="131"/>
  <c r="AZ4" i="131"/>
  <c r="AY4" i="131"/>
  <c r="AX4" i="131"/>
  <c r="AW4" i="131"/>
  <c r="AV4" i="131"/>
  <c r="AU4" i="131"/>
  <c r="AT4" i="131"/>
  <c r="AS4" i="131"/>
  <c r="AR4" i="131"/>
  <c r="AQ4" i="131"/>
  <c r="AP4" i="131"/>
  <c r="AO4" i="131"/>
  <c r="AN4" i="131"/>
  <c r="AM4" i="131"/>
  <c r="AL4" i="131"/>
  <c r="AK4" i="131"/>
  <c r="AJ4" i="131"/>
  <c r="AI4" i="131"/>
  <c r="AH4" i="131"/>
  <c r="AG4" i="131"/>
  <c r="AF4" i="131"/>
  <c r="AE4" i="131"/>
  <c r="BE3" i="131"/>
  <c r="BD3" i="131"/>
  <c r="BC3" i="131"/>
  <c r="BB3" i="131"/>
  <c r="BA3" i="131"/>
  <c r="AZ3" i="131"/>
  <c r="AY3" i="131"/>
  <c r="AX3" i="131"/>
  <c r="AW3" i="131"/>
  <c r="AV3" i="131"/>
  <c r="AU3" i="131"/>
  <c r="AT3" i="131"/>
  <c r="AS3" i="131"/>
  <c r="AR3" i="131"/>
  <c r="AQ3" i="131"/>
  <c r="AP3" i="131"/>
  <c r="AO3" i="131"/>
  <c r="AN3" i="131"/>
  <c r="AM3" i="131"/>
  <c r="AL3" i="131"/>
  <c r="AK3" i="131"/>
  <c r="AJ3" i="131"/>
  <c r="AI3" i="131"/>
  <c r="AH3" i="131"/>
  <c r="AG3" i="131"/>
  <c r="AF3" i="131"/>
  <c r="AE3" i="131"/>
  <c r="BE2" i="131"/>
  <c r="BD2" i="131"/>
  <c r="BC2" i="131"/>
  <c r="BB2" i="131"/>
  <c r="BA2" i="131"/>
  <c r="AZ2" i="131"/>
  <c r="AY2" i="131"/>
  <c r="AX2" i="131"/>
  <c r="AW2" i="131"/>
  <c r="AV2" i="131"/>
  <c r="AU2" i="131"/>
  <c r="AT2" i="131"/>
  <c r="AS2" i="131"/>
  <c r="AR2" i="131"/>
  <c r="AQ2" i="131"/>
  <c r="AP2" i="131"/>
  <c r="AO2" i="131"/>
  <c r="AN2" i="131"/>
  <c r="AM2" i="131"/>
  <c r="AL2" i="131"/>
  <c r="AK2" i="131"/>
  <c r="AJ2" i="131"/>
  <c r="AI2" i="131"/>
  <c r="AH2" i="131"/>
  <c r="AG2" i="131"/>
  <c r="AF2" i="131"/>
  <c r="AE2" i="131"/>
  <c r="BE1" i="131"/>
  <c r="BD1" i="131"/>
  <c r="BC1" i="131"/>
  <c r="BB1" i="131"/>
  <c r="BA1" i="131"/>
  <c r="AZ1" i="131"/>
  <c r="AY1" i="131"/>
  <c r="AX1" i="131"/>
  <c r="AW1" i="131"/>
  <c r="AV1" i="131"/>
  <c r="AU1" i="131"/>
  <c r="AT1" i="131"/>
  <c r="AS1" i="131"/>
  <c r="AR1" i="131"/>
  <c r="AQ1" i="131"/>
  <c r="AP1" i="131"/>
  <c r="AO1" i="131"/>
  <c r="AN1" i="131"/>
  <c r="AM1" i="131"/>
  <c r="AL1" i="131"/>
  <c r="AK1" i="131"/>
  <c r="AJ1" i="131"/>
  <c r="AI1" i="131"/>
  <c r="AH1" i="131"/>
  <c r="AG1" i="131"/>
  <c r="AF1" i="131"/>
  <c r="BE33" i="130"/>
  <c r="BD33" i="130"/>
  <c r="BC33" i="130"/>
  <c r="BB33" i="130"/>
  <c r="BA33" i="130"/>
  <c r="AZ33" i="130"/>
  <c r="AY33" i="130"/>
  <c r="AX33" i="130"/>
  <c r="AW33" i="130"/>
  <c r="AV33" i="130"/>
  <c r="AU33" i="130"/>
  <c r="AT33" i="130"/>
  <c r="AS33" i="130"/>
  <c r="AR33" i="130"/>
  <c r="AQ33" i="130"/>
  <c r="AP33" i="130"/>
  <c r="AO33" i="130"/>
  <c r="AN33" i="130"/>
  <c r="AM33" i="130"/>
  <c r="AL33" i="130"/>
  <c r="AK33" i="130"/>
  <c r="AJ33" i="130"/>
  <c r="AI33" i="130"/>
  <c r="AH33" i="130"/>
  <c r="AG33" i="130"/>
  <c r="AF33" i="130"/>
  <c r="AE33" i="130"/>
  <c r="BE32" i="130"/>
  <c r="BD32" i="130"/>
  <c r="BC32" i="130"/>
  <c r="BB32" i="130"/>
  <c r="BA32" i="130"/>
  <c r="AZ32" i="130"/>
  <c r="AY32" i="130"/>
  <c r="AX32" i="130"/>
  <c r="AW32" i="130"/>
  <c r="AV32" i="130"/>
  <c r="AU32" i="130"/>
  <c r="AT32" i="130"/>
  <c r="AS32" i="130"/>
  <c r="AR32" i="130"/>
  <c r="AQ32" i="130"/>
  <c r="AP32" i="130"/>
  <c r="AO32" i="130"/>
  <c r="AN32" i="130"/>
  <c r="AM32" i="130"/>
  <c r="AL32" i="130"/>
  <c r="AK32" i="130"/>
  <c r="AJ32" i="130"/>
  <c r="AI32" i="130"/>
  <c r="AH32" i="130"/>
  <c r="AG32" i="130"/>
  <c r="AF32" i="130"/>
  <c r="AE32" i="130"/>
  <c r="BE31" i="130"/>
  <c r="BD31" i="130"/>
  <c r="BC31" i="130"/>
  <c r="BB31" i="130"/>
  <c r="BA31" i="130"/>
  <c r="AZ31" i="130"/>
  <c r="AY31" i="130"/>
  <c r="AX31" i="130"/>
  <c r="AW31" i="130"/>
  <c r="AV31" i="130"/>
  <c r="AU31" i="130"/>
  <c r="AT31" i="130"/>
  <c r="AS31" i="130"/>
  <c r="AR31" i="130"/>
  <c r="AQ31" i="130"/>
  <c r="AP31" i="130"/>
  <c r="AO31" i="130"/>
  <c r="AN31" i="130"/>
  <c r="AM31" i="130"/>
  <c r="AL31" i="130"/>
  <c r="AK31" i="130"/>
  <c r="AJ31" i="130"/>
  <c r="AI31" i="130"/>
  <c r="AH31" i="130"/>
  <c r="AG31" i="130"/>
  <c r="AF31" i="130"/>
  <c r="AE31" i="130"/>
  <c r="BE30" i="130"/>
  <c r="BD30" i="130"/>
  <c r="BC30" i="130"/>
  <c r="BB30" i="130"/>
  <c r="BA30" i="130"/>
  <c r="AZ30" i="130"/>
  <c r="AY30" i="130"/>
  <c r="AX30" i="130"/>
  <c r="AW30" i="130"/>
  <c r="AV30" i="130"/>
  <c r="AU30" i="130"/>
  <c r="AT30" i="130"/>
  <c r="AS30" i="130"/>
  <c r="AR30" i="130"/>
  <c r="AQ30" i="130"/>
  <c r="AP30" i="130"/>
  <c r="AO30" i="130"/>
  <c r="AN30" i="130"/>
  <c r="AM30" i="130"/>
  <c r="AL30" i="130"/>
  <c r="AK30" i="130"/>
  <c r="AJ30" i="130"/>
  <c r="AI30" i="130"/>
  <c r="AH30" i="130"/>
  <c r="AG30" i="130"/>
  <c r="AF30" i="130"/>
  <c r="AE30" i="130"/>
  <c r="BE29" i="130"/>
  <c r="BD29" i="130"/>
  <c r="BC29" i="130"/>
  <c r="BB29" i="130"/>
  <c r="BA29" i="130"/>
  <c r="AZ29" i="130"/>
  <c r="AY29" i="130"/>
  <c r="AX29" i="130"/>
  <c r="AW29" i="130"/>
  <c r="AV29" i="130"/>
  <c r="AU29" i="130"/>
  <c r="AT29" i="130"/>
  <c r="AS29" i="130"/>
  <c r="AR29" i="130"/>
  <c r="AQ29" i="130"/>
  <c r="AP29" i="130"/>
  <c r="AO29" i="130"/>
  <c r="AN29" i="130"/>
  <c r="AM29" i="130"/>
  <c r="AL29" i="130"/>
  <c r="AK29" i="130"/>
  <c r="AJ29" i="130"/>
  <c r="AI29" i="130"/>
  <c r="AH29" i="130"/>
  <c r="AG29" i="130"/>
  <c r="AF29" i="130"/>
  <c r="AE29" i="130"/>
  <c r="BE28" i="130"/>
  <c r="BD28" i="130"/>
  <c r="BC28" i="130"/>
  <c r="BB28" i="130"/>
  <c r="BA28" i="130"/>
  <c r="AZ28" i="130"/>
  <c r="AY28" i="130"/>
  <c r="AX28" i="130"/>
  <c r="AW28" i="130"/>
  <c r="AV28" i="130"/>
  <c r="AU28" i="130"/>
  <c r="AT28" i="130"/>
  <c r="AS28" i="130"/>
  <c r="AR28" i="130"/>
  <c r="AQ28" i="130"/>
  <c r="AP28" i="130"/>
  <c r="AO28" i="130"/>
  <c r="AN28" i="130"/>
  <c r="AM28" i="130"/>
  <c r="AL28" i="130"/>
  <c r="AK28" i="130"/>
  <c r="AJ28" i="130"/>
  <c r="AI28" i="130"/>
  <c r="AH28" i="130"/>
  <c r="AG28" i="130"/>
  <c r="AF28" i="130"/>
  <c r="AE28" i="130"/>
  <c r="BE27" i="130"/>
  <c r="BD27" i="130"/>
  <c r="BC27" i="130"/>
  <c r="BB27" i="130"/>
  <c r="BA27" i="130"/>
  <c r="AZ27" i="130"/>
  <c r="AY27" i="130"/>
  <c r="AX27" i="130"/>
  <c r="AW27" i="130"/>
  <c r="AV27" i="130"/>
  <c r="AU27" i="130"/>
  <c r="AT27" i="130"/>
  <c r="AS27" i="130"/>
  <c r="AR27" i="130"/>
  <c r="AQ27" i="130"/>
  <c r="AP27" i="130"/>
  <c r="AO27" i="130"/>
  <c r="AN27" i="130"/>
  <c r="AM27" i="130"/>
  <c r="AL27" i="130"/>
  <c r="AK27" i="130"/>
  <c r="AJ27" i="130"/>
  <c r="AI27" i="130"/>
  <c r="AH27" i="130"/>
  <c r="AG27" i="130"/>
  <c r="AF27" i="130"/>
  <c r="AE27" i="130"/>
  <c r="BE26" i="130"/>
  <c r="BD26" i="130"/>
  <c r="BC26" i="130"/>
  <c r="BB26" i="130"/>
  <c r="BA26" i="130"/>
  <c r="AZ26" i="130"/>
  <c r="AY26" i="130"/>
  <c r="AX26" i="130"/>
  <c r="AW26" i="130"/>
  <c r="AV26" i="130"/>
  <c r="AU26" i="130"/>
  <c r="AT26" i="130"/>
  <c r="AS26" i="130"/>
  <c r="AR26" i="130"/>
  <c r="AQ26" i="130"/>
  <c r="AP26" i="130"/>
  <c r="AO26" i="130"/>
  <c r="AN26" i="130"/>
  <c r="AM26" i="130"/>
  <c r="AL26" i="130"/>
  <c r="AK26" i="130"/>
  <c r="AJ26" i="130"/>
  <c r="AI26" i="130"/>
  <c r="AH26" i="130"/>
  <c r="AG26" i="130"/>
  <c r="AF26" i="130"/>
  <c r="AE26" i="130"/>
  <c r="BE25" i="130"/>
  <c r="BD25" i="130"/>
  <c r="BC25" i="130"/>
  <c r="BB25" i="130"/>
  <c r="BA25" i="130"/>
  <c r="AZ25" i="130"/>
  <c r="AY25" i="130"/>
  <c r="AX25" i="130"/>
  <c r="AW25" i="130"/>
  <c r="AV25" i="130"/>
  <c r="AU25" i="130"/>
  <c r="AT25" i="130"/>
  <c r="AS25" i="130"/>
  <c r="AR25" i="130"/>
  <c r="AQ25" i="130"/>
  <c r="AP25" i="130"/>
  <c r="AO25" i="130"/>
  <c r="AN25" i="130"/>
  <c r="AM25" i="130"/>
  <c r="AL25" i="130"/>
  <c r="AK25" i="130"/>
  <c r="AJ25" i="130"/>
  <c r="AI25" i="130"/>
  <c r="AH25" i="130"/>
  <c r="AG25" i="130"/>
  <c r="AF25" i="130"/>
  <c r="AE25" i="130"/>
  <c r="BE24" i="130"/>
  <c r="BD24" i="130"/>
  <c r="BC24" i="130"/>
  <c r="BB24" i="130"/>
  <c r="BA24" i="130"/>
  <c r="AZ24" i="130"/>
  <c r="AY24" i="130"/>
  <c r="AX24" i="130"/>
  <c r="AW24" i="130"/>
  <c r="AV24" i="130"/>
  <c r="AU24" i="130"/>
  <c r="AT24" i="130"/>
  <c r="AS24" i="130"/>
  <c r="AR24" i="130"/>
  <c r="AQ24" i="130"/>
  <c r="AP24" i="130"/>
  <c r="AO24" i="130"/>
  <c r="AN24" i="130"/>
  <c r="AM24" i="130"/>
  <c r="AL24" i="130"/>
  <c r="AK24" i="130"/>
  <c r="AJ24" i="130"/>
  <c r="AI24" i="130"/>
  <c r="AH24" i="130"/>
  <c r="AG24" i="130"/>
  <c r="AF24" i="130"/>
  <c r="AE24" i="130"/>
  <c r="BE23" i="130"/>
  <c r="BD23" i="130"/>
  <c r="BC23" i="130"/>
  <c r="BB23" i="130"/>
  <c r="BA23" i="130"/>
  <c r="AZ23" i="130"/>
  <c r="AY23" i="130"/>
  <c r="AX23" i="130"/>
  <c r="AW23" i="130"/>
  <c r="AV23" i="130"/>
  <c r="AU23" i="130"/>
  <c r="AT23" i="130"/>
  <c r="AS23" i="130"/>
  <c r="AR23" i="130"/>
  <c r="AQ23" i="130"/>
  <c r="AP23" i="130"/>
  <c r="AO23" i="130"/>
  <c r="AN23" i="130"/>
  <c r="AM23" i="130"/>
  <c r="AL23" i="130"/>
  <c r="AK23" i="130"/>
  <c r="AJ23" i="130"/>
  <c r="AI23" i="130"/>
  <c r="AH23" i="130"/>
  <c r="AG23" i="130"/>
  <c r="AF23" i="130"/>
  <c r="AE23" i="130"/>
  <c r="BE22" i="130"/>
  <c r="BD22" i="130"/>
  <c r="BC22" i="130"/>
  <c r="BB22" i="130"/>
  <c r="BA22" i="130"/>
  <c r="AZ22" i="130"/>
  <c r="AY22" i="130"/>
  <c r="AX22" i="130"/>
  <c r="AW22" i="130"/>
  <c r="AV22" i="130"/>
  <c r="AU22" i="130"/>
  <c r="AT22" i="130"/>
  <c r="AS22" i="130"/>
  <c r="AR22" i="130"/>
  <c r="AQ22" i="130"/>
  <c r="AP22" i="130"/>
  <c r="AO22" i="130"/>
  <c r="AN22" i="130"/>
  <c r="AM22" i="130"/>
  <c r="AL22" i="130"/>
  <c r="AK22" i="130"/>
  <c r="AJ22" i="130"/>
  <c r="AI22" i="130"/>
  <c r="AH22" i="130"/>
  <c r="AG22" i="130"/>
  <c r="AF22" i="130"/>
  <c r="AE22" i="130"/>
  <c r="BE21" i="130"/>
  <c r="BD21" i="130"/>
  <c r="BC21" i="130"/>
  <c r="BB21" i="130"/>
  <c r="BA21" i="130"/>
  <c r="AZ21" i="130"/>
  <c r="AY21" i="130"/>
  <c r="AX21" i="130"/>
  <c r="AW21" i="130"/>
  <c r="AV21" i="130"/>
  <c r="AU21" i="130"/>
  <c r="AT21" i="130"/>
  <c r="AS21" i="130"/>
  <c r="AR21" i="130"/>
  <c r="AQ21" i="130"/>
  <c r="AP21" i="130"/>
  <c r="AO21" i="130"/>
  <c r="AN21" i="130"/>
  <c r="AM21" i="130"/>
  <c r="AL21" i="130"/>
  <c r="AK21" i="130"/>
  <c r="AJ21" i="130"/>
  <c r="AI21" i="130"/>
  <c r="AH21" i="130"/>
  <c r="AG21" i="130"/>
  <c r="AF21" i="130"/>
  <c r="AE21" i="130"/>
  <c r="BE20" i="130"/>
  <c r="BD20" i="130"/>
  <c r="BC20" i="130"/>
  <c r="BB20" i="130"/>
  <c r="BA20" i="130"/>
  <c r="AZ20" i="130"/>
  <c r="AY20" i="130"/>
  <c r="AX20" i="130"/>
  <c r="AW20" i="130"/>
  <c r="AV20" i="130"/>
  <c r="AU20" i="130"/>
  <c r="AT20" i="130"/>
  <c r="AS20" i="130"/>
  <c r="AR20" i="130"/>
  <c r="AQ20" i="130"/>
  <c r="AP20" i="130"/>
  <c r="AO20" i="130"/>
  <c r="AN20" i="130"/>
  <c r="AM20" i="130"/>
  <c r="AL20" i="130"/>
  <c r="AK20" i="130"/>
  <c r="AJ20" i="130"/>
  <c r="AI20" i="130"/>
  <c r="AH20" i="130"/>
  <c r="AG20" i="130"/>
  <c r="AF20" i="130"/>
  <c r="AE20" i="130"/>
  <c r="BE19" i="130"/>
  <c r="BD19" i="130"/>
  <c r="BC19" i="130"/>
  <c r="BB19" i="130"/>
  <c r="BA19" i="130"/>
  <c r="AZ19" i="130"/>
  <c r="AY19" i="130"/>
  <c r="AX19" i="130"/>
  <c r="AW19" i="130"/>
  <c r="AV19" i="130"/>
  <c r="AU19" i="130"/>
  <c r="AT19" i="130"/>
  <c r="AS19" i="130"/>
  <c r="AR19" i="130"/>
  <c r="AQ19" i="130"/>
  <c r="AP19" i="130"/>
  <c r="AO19" i="130"/>
  <c r="AN19" i="130"/>
  <c r="AM19" i="130"/>
  <c r="AL19" i="130"/>
  <c r="AK19" i="130"/>
  <c r="AJ19" i="130"/>
  <c r="AI19" i="130"/>
  <c r="AH19" i="130"/>
  <c r="AG19" i="130"/>
  <c r="AF19" i="130"/>
  <c r="AE19" i="130"/>
  <c r="BE18" i="130"/>
  <c r="BD18" i="130"/>
  <c r="BC18" i="130"/>
  <c r="BB18" i="130"/>
  <c r="BA18" i="130"/>
  <c r="AZ18" i="130"/>
  <c r="AY18" i="130"/>
  <c r="AX18" i="130"/>
  <c r="AW18" i="130"/>
  <c r="AV18" i="130"/>
  <c r="AU18" i="130"/>
  <c r="AT18" i="130"/>
  <c r="AS18" i="130"/>
  <c r="AR18" i="130"/>
  <c r="AQ18" i="130"/>
  <c r="AP18" i="130"/>
  <c r="AO18" i="130"/>
  <c r="AN18" i="130"/>
  <c r="AM18" i="130"/>
  <c r="AL18" i="130"/>
  <c r="AK18" i="130"/>
  <c r="AJ18" i="130"/>
  <c r="AI18" i="130"/>
  <c r="AH18" i="130"/>
  <c r="AG18" i="130"/>
  <c r="AF18" i="130"/>
  <c r="AE18" i="130"/>
  <c r="BE17" i="130"/>
  <c r="BD17" i="130"/>
  <c r="BC17" i="130"/>
  <c r="BB17" i="130"/>
  <c r="BA17" i="130"/>
  <c r="AZ17" i="130"/>
  <c r="AY17" i="130"/>
  <c r="AX17" i="130"/>
  <c r="AW17" i="130"/>
  <c r="AV17" i="130"/>
  <c r="AU17" i="130"/>
  <c r="AT17" i="130"/>
  <c r="AS17" i="130"/>
  <c r="AR17" i="130"/>
  <c r="AQ17" i="130"/>
  <c r="AP17" i="130"/>
  <c r="AO17" i="130"/>
  <c r="AN17" i="130"/>
  <c r="AM17" i="130"/>
  <c r="AL17" i="130"/>
  <c r="AK17" i="130"/>
  <c r="AJ17" i="130"/>
  <c r="AI17" i="130"/>
  <c r="AH17" i="130"/>
  <c r="AG17" i="130"/>
  <c r="AF17" i="130"/>
  <c r="AE17" i="130"/>
  <c r="BE16" i="130"/>
  <c r="BD16" i="130"/>
  <c r="BC16" i="130"/>
  <c r="BB16" i="130"/>
  <c r="BA16" i="130"/>
  <c r="AZ16" i="130"/>
  <c r="AY16" i="130"/>
  <c r="AX16" i="130"/>
  <c r="AW16" i="130"/>
  <c r="AV16" i="130"/>
  <c r="AU16" i="130"/>
  <c r="AT16" i="130"/>
  <c r="AS16" i="130"/>
  <c r="AR16" i="130"/>
  <c r="AQ16" i="130"/>
  <c r="AP16" i="130"/>
  <c r="AO16" i="130"/>
  <c r="AN16" i="130"/>
  <c r="AM16" i="130"/>
  <c r="AL16" i="130"/>
  <c r="AK16" i="130"/>
  <c r="AJ16" i="130"/>
  <c r="AI16" i="130"/>
  <c r="AH16" i="130"/>
  <c r="AG16" i="130"/>
  <c r="AF16" i="130"/>
  <c r="AE16" i="130"/>
  <c r="BE15" i="130"/>
  <c r="BD15" i="130"/>
  <c r="BC15" i="130"/>
  <c r="BB15" i="130"/>
  <c r="BA15" i="130"/>
  <c r="AZ15" i="130"/>
  <c r="AY15" i="130"/>
  <c r="AX15" i="130"/>
  <c r="AW15" i="130"/>
  <c r="AV15" i="130"/>
  <c r="AU15" i="130"/>
  <c r="AT15" i="130"/>
  <c r="AS15" i="130"/>
  <c r="AR15" i="130"/>
  <c r="AQ15" i="130"/>
  <c r="AP15" i="130"/>
  <c r="AO15" i="130"/>
  <c r="AN15" i="130"/>
  <c r="AM15" i="130"/>
  <c r="AL15" i="130"/>
  <c r="AK15" i="130"/>
  <c r="AJ15" i="130"/>
  <c r="AI15" i="130"/>
  <c r="AH15" i="130"/>
  <c r="AG15" i="130"/>
  <c r="AF15" i="130"/>
  <c r="AE15" i="130"/>
  <c r="BE14" i="130"/>
  <c r="BD14" i="130"/>
  <c r="BC14" i="130"/>
  <c r="BB14" i="130"/>
  <c r="BA14" i="130"/>
  <c r="AZ14" i="130"/>
  <c r="AY14" i="130"/>
  <c r="AX14" i="130"/>
  <c r="AW14" i="130"/>
  <c r="AV14" i="130"/>
  <c r="AU14" i="130"/>
  <c r="AT14" i="130"/>
  <c r="AS14" i="130"/>
  <c r="AR14" i="130"/>
  <c r="AQ14" i="130"/>
  <c r="AP14" i="130"/>
  <c r="AO14" i="130"/>
  <c r="AN14" i="130"/>
  <c r="AM14" i="130"/>
  <c r="AL14" i="130"/>
  <c r="AK14" i="130"/>
  <c r="AJ14" i="130"/>
  <c r="AI14" i="130"/>
  <c r="AH14" i="130"/>
  <c r="AG14" i="130"/>
  <c r="AF14" i="130"/>
  <c r="AE14" i="130"/>
  <c r="BE13" i="130"/>
  <c r="BD13" i="130"/>
  <c r="BC13" i="130"/>
  <c r="BB13" i="130"/>
  <c r="BA13" i="130"/>
  <c r="AZ13" i="130"/>
  <c r="AY13" i="130"/>
  <c r="AX13" i="130"/>
  <c r="AW13" i="130"/>
  <c r="AV13" i="130"/>
  <c r="AU13" i="130"/>
  <c r="AT13" i="130"/>
  <c r="AS13" i="130"/>
  <c r="AR13" i="130"/>
  <c r="AQ13" i="130"/>
  <c r="AP13" i="130"/>
  <c r="AO13" i="130"/>
  <c r="AN13" i="130"/>
  <c r="AM13" i="130"/>
  <c r="AL13" i="130"/>
  <c r="AK13" i="130"/>
  <c r="AJ13" i="130"/>
  <c r="AI13" i="130"/>
  <c r="AH13" i="130"/>
  <c r="AG13" i="130"/>
  <c r="AF13" i="130"/>
  <c r="AE13" i="130"/>
  <c r="BE12" i="130"/>
  <c r="BD12" i="130"/>
  <c r="BC12" i="130"/>
  <c r="BB12" i="130"/>
  <c r="BA12" i="130"/>
  <c r="AZ12" i="130"/>
  <c r="AY12" i="130"/>
  <c r="AX12" i="130"/>
  <c r="AW12" i="130"/>
  <c r="AV12" i="130"/>
  <c r="AU12" i="130"/>
  <c r="AT12" i="130"/>
  <c r="AS12" i="130"/>
  <c r="AR12" i="130"/>
  <c r="AQ12" i="130"/>
  <c r="AP12" i="130"/>
  <c r="AO12" i="130"/>
  <c r="AN12" i="130"/>
  <c r="AM12" i="130"/>
  <c r="AL12" i="130"/>
  <c r="AK12" i="130"/>
  <c r="AJ12" i="130"/>
  <c r="AI12" i="130"/>
  <c r="AH12" i="130"/>
  <c r="AG12" i="130"/>
  <c r="AF12" i="130"/>
  <c r="AE12" i="130"/>
  <c r="BE11" i="130"/>
  <c r="BD11" i="130"/>
  <c r="BC11" i="130"/>
  <c r="BB11" i="130"/>
  <c r="BA11" i="130"/>
  <c r="AZ11" i="130"/>
  <c r="AY11" i="130"/>
  <c r="AX11" i="130"/>
  <c r="AW11" i="130"/>
  <c r="AV11" i="130"/>
  <c r="AU11" i="130"/>
  <c r="AT11" i="130"/>
  <c r="AS11" i="130"/>
  <c r="AR11" i="130"/>
  <c r="AQ11" i="130"/>
  <c r="AP11" i="130"/>
  <c r="AO11" i="130"/>
  <c r="AN11" i="130"/>
  <c r="AM11" i="130"/>
  <c r="AL11" i="130"/>
  <c r="AK11" i="130"/>
  <c r="AJ11" i="130"/>
  <c r="AI11" i="130"/>
  <c r="AH11" i="130"/>
  <c r="AG11" i="130"/>
  <c r="AF11" i="130"/>
  <c r="AE11" i="130"/>
  <c r="BE10" i="130"/>
  <c r="BD10" i="130"/>
  <c r="BC10" i="130"/>
  <c r="BB10" i="130"/>
  <c r="BA10" i="130"/>
  <c r="AZ10" i="130"/>
  <c r="AY10" i="130"/>
  <c r="AX10" i="130"/>
  <c r="AW10" i="130"/>
  <c r="AV10" i="130"/>
  <c r="AU10" i="130"/>
  <c r="AT10" i="130"/>
  <c r="AS10" i="130"/>
  <c r="AR10" i="130"/>
  <c r="AQ10" i="130"/>
  <c r="AP10" i="130"/>
  <c r="AO10" i="130"/>
  <c r="AN10" i="130"/>
  <c r="AM10" i="130"/>
  <c r="AL10" i="130"/>
  <c r="AK10" i="130"/>
  <c r="AJ10" i="130"/>
  <c r="AI10" i="130"/>
  <c r="AH10" i="130"/>
  <c r="AG10" i="130"/>
  <c r="AF10" i="130"/>
  <c r="AE10" i="130"/>
  <c r="BE9" i="130"/>
  <c r="BD9" i="130"/>
  <c r="BC9" i="130"/>
  <c r="BB9" i="130"/>
  <c r="BA9" i="130"/>
  <c r="AZ9" i="130"/>
  <c r="AY9" i="130"/>
  <c r="AX9" i="130"/>
  <c r="AW9" i="130"/>
  <c r="AV9" i="130"/>
  <c r="AU9" i="130"/>
  <c r="AT9" i="130"/>
  <c r="AS9" i="130"/>
  <c r="AR9" i="130"/>
  <c r="AQ9" i="130"/>
  <c r="AP9" i="130"/>
  <c r="AO9" i="130"/>
  <c r="AN9" i="130"/>
  <c r="AM9" i="130"/>
  <c r="AL9" i="130"/>
  <c r="AK9" i="130"/>
  <c r="AJ9" i="130"/>
  <c r="AI9" i="130"/>
  <c r="AH9" i="130"/>
  <c r="AG9" i="130"/>
  <c r="AF9" i="130"/>
  <c r="AE9" i="130"/>
  <c r="BE8" i="130"/>
  <c r="BD8" i="130"/>
  <c r="BC8" i="130"/>
  <c r="BB8" i="130"/>
  <c r="BA8" i="130"/>
  <c r="AZ8" i="130"/>
  <c r="AY8" i="130"/>
  <c r="AX8" i="130"/>
  <c r="AW8" i="130"/>
  <c r="AV8" i="130"/>
  <c r="AU8" i="130"/>
  <c r="AT8" i="130"/>
  <c r="AS8" i="130"/>
  <c r="AR8" i="130"/>
  <c r="AQ8" i="130"/>
  <c r="AP8" i="130"/>
  <c r="AO8" i="130"/>
  <c r="AN8" i="130"/>
  <c r="AM8" i="130"/>
  <c r="AL8" i="130"/>
  <c r="AK8" i="130"/>
  <c r="AJ8" i="130"/>
  <c r="AI8" i="130"/>
  <c r="AH8" i="130"/>
  <c r="AG8" i="130"/>
  <c r="AF8" i="130"/>
  <c r="AE8" i="130"/>
  <c r="BE7" i="130"/>
  <c r="BD7" i="130"/>
  <c r="BC7" i="130"/>
  <c r="BB7" i="130"/>
  <c r="BA7" i="130"/>
  <c r="AZ7" i="130"/>
  <c r="AY7" i="130"/>
  <c r="AX7" i="130"/>
  <c r="AW7" i="130"/>
  <c r="AV7" i="130"/>
  <c r="AU7" i="130"/>
  <c r="AT7" i="130"/>
  <c r="AS7" i="130"/>
  <c r="AR7" i="130"/>
  <c r="AQ7" i="130"/>
  <c r="AP7" i="130"/>
  <c r="AO7" i="130"/>
  <c r="AN7" i="130"/>
  <c r="AM7" i="130"/>
  <c r="AL7" i="130"/>
  <c r="AK7" i="130"/>
  <c r="AJ7" i="130"/>
  <c r="AI7" i="130"/>
  <c r="AH7" i="130"/>
  <c r="AG7" i="130"/>
  <c r="AF7" i="130"/>
  <c r="AE7" i="130"/>
  <c r="BE6" i="130"/>
  <c r="BD6" i="130"/>
  <c r="BC6" i="130"/>
  <c r="BB6" i="130"/>
  <c r="BA6" i="130"/>
  <c r="AZ6" i="130"/>
  <c r="AY6" i="130"/>
  <c r="AX6" i="130"/>
  <c r="AW6" i="130"/>
  <c r="AV6" i="130"/>
  <c r="AU6" i="130"/>
  <c r="AT6" i="130"/>
  <c r="AS6" i="130"/>
  <c r="AR6" i="130"/>
  <c r="AQ6" i="130"/>
  <c r="AP6" i="130"/>
  <c r="AO6" i="130"/>
  <c r="AN6" i="130"/>
  <c r="AM6" i="130"/>
  <c r="AL6" i="130"/>
  <c r="AK6" i="130"/>
  <c r="AJ6" i="130"/>
  <c r="AI6" i="130"/>
  <c r="AH6" i="130"/>
  <c r="AG6" i="130"/>
  <c r="AF6" i="130"/>
  <c r="AE6" i="130"/>
  <c r="BE5" i="130"/>
  <c r="BD5" i="130"/>
  <c r="BC5" i="130"/>
  <c r="BB5" i="130"/>
  <c r="BA5" i="130"/>
  <c r="AZ5" i="130"/>
  <c r="AY5" i="130"/>
  <c r="AX5" i="130"/>
  <c r="AW5" i="130"/>
  <c r="AV5" i="130"/>
  <c r="AU5" i="130"/>
  <c r="AT5" i="130"/>
  <c r="AS5" i="130"/>
  <c r="AR5" i="130"/>
  <c r="AQ5" i="130"/>
  <c r="AP5" i="130"/>
  <c r="AO5" i="130"/>
  <c r="AN5" i="130"/>
  <c r="AM5" i="130"/>
  <c r="AL5" i="130"/>
  <c r="AK5" i="130"/>
  <c r="AJ5" i="130"/>
  <c r="AI5" i="130"/>
  <c r="AH5" i="130"/>
  <c r="AG5" i="130"/>
  <c r="AF5" i="130"/>
  <c r="AE5" i="130"/>
  <c r="BE4" i="130"/>
  <c r="BD4" i="130"/>
  <c r="BC4" i="130"/>
  <c r="BB4" i="130"/>
  <c r="BA4" i="130"/>
  <c r="AZ4" i="130"/>
  <c r="AY4" i="130"/>
  <c r="AX4" i="130"/>
  <c r="AW4" i="130"/>
  <c r="AV4" i="130"/>
  <c r="AU4" i="130"/>
  <c r="AT4" i="130"/>
  <c r="AS4" i="130"/>
  <c r="AR4" i="130"/>
  <c r="AQ4" i="130"/>
  <c r="AP4" i="130"/>
  <c r="AO4" i="130"/>
  <c r="AN4" i="130"/>
  <c r="AM4" i="130"/>
  <c r="AL4" i="130"/>
  <c r="AK4" i="130"/>
  <c r="AJ4" i="130"/>
  <c r="AI4" i="130"/>
  <c r="AH4" i="130"/>
  <c r="AG4" i="130"/>
  <c r="AF4" i="130"/>
  <c r="AE4" i="130"/>
  <c r="BE3" i="130"/>
  <c r="BD3" i="130"/>
  <c r="BC3" i="130"/>
  <c r="BB3" i="130"/>
  <c r="BA3" i="130"/>
  <c r="AZ3" i="130"/>
  <c r="AY3" i="130"/>
  <c r="AX3" i="130"/>
  <c r="AW3" i="130"/>
  <c r="AV3" i="130"/>
  <c r="AU3" i="130"/>
  <c r="AT3" i="130"/>
  <c r="AS3" i="130"/>
  <c r="AR3" i="130"/>
  <c r="AQ3" i="130"/>
  <c r="AP3" i="130"/>
  <c r="AO3" i="130"/>
  <c r="AN3" i="130"/>
  <c r="AM3" i="130"/>
  <c r="AL3" i="130"/>
  <c r="AK3" i="130"/>
  <c r="AJ3" i="130"/>
  <c r="AI3" i="130"/>
  <c r="AH3" i="130"/>
  <c r="AG3" i="130"/>
  <c r="AF3" i="130"/>
  <c r="AE3" i="130"/>
  <c r="BE2" i="130"/>
  <c r="BD2" i="130"/>
  <c r="BC2" i="130"/>
  <c r="BB2" i="130"/>
  <c r="BA2" i="130"/>
  <c r="AZ2" i="130"/>
  <c r="AY2" i="130"/>
  <c r="AX2" i="130"/>
  <c r="AW2" i="130"/>
  <c r="AV2" i="130"/>
  <c r="AU2" i="130"/>
  <c r="AT2" i="130"/>
  <c r="AS2" i="130"/>
  <c r="AR2" i="130"/>
  <c r="AQ2" i="130"/>
  <c r="AP2" i="130"/>
  <c r="AO2" i="130"/>
  <c r="AN2" i="130"/>
  <c r="AM2" i="130"/>
  <c r="AL2" i="130"/>
  <c r="AK2" i="130"/>
  <c r="AJ2" i="130"/>
  <c r="AI2" i="130"/>
  <c r="AH2" i="130"/>
  <c r="AG2" i="130"/>
  <c r="AF2" i="130"/>
  <c r="AE2" i="130"/>
  <c r="BE1" i="130"/>
  <c r="BD1" i="130"/>
  <c r="BC1" i="130"/>
  <c r="BB1" i="130"/>
  <c r="BA1" i="130"/>
  <c r="AZ1" i="130"/>
  <c r="AY1" i="130"/>
  <c r="AX1" i="130"/>
  <c r="AW1" i="130"/>
  <c r="AV1" i="130"/>
  <c r="AU1" i="130"/>
  <c r="AT1" i="130"/>
  <c r="AS1" i="130"/>
  <c r="AR1" i="130"/>
  <c r="AQ1" i="130"/>
  <c r="AP1" i="130"/>
  <c r="AO1" i="130"/>
  <c r="AN1" i="130"/>
  <c r="AM1" i="130"/>
  <c r="AL1" i="130"/>
  <c r="AK1" i="130"/>
  <c r="AJ1" i="130"/>
  <c r="AI1" i="130"/>
  <c r="AH1" i="130"/>
  <c r="AG1" i="130"/>
  <c r="AF1" i="130"/>
  <c r="BE33" i="129"/>
  <c r="BD33" i="129"/>
  <c r="BC33" i="129"/>
  <c r="BB33" i="129"/>
  <c r="BA33" i="129"/>
  <c r="AZ33" i="129"/>
  <c r="AY33" i="129"/>
  <c r="AX33" i="129"/>
  <c r="AW33" i="129"/>
  <c r="AV33" i="129"/>
  <c r="AU33" i="129"/>
  <c r="AT33" i="129"/>
  <c r="AS33" i="129"/>
  <c r="AR33" i="129"/>
  <c r="AQ33" i="129"/>
  <c r="AP33" i="129"/>
  <c r="AO33" i="129"/>
  <c r="AN33" i="129"/>
  <c r="AM33" i="129"/>
  <c r="AL33" i="129"/>
  <c r="AK33" i="129"/>
  <c r="AJ33" i="129"/>
  <c r="AI33" i="129"/>
  <c r="AH33" i="129"/>
  <c r="AG33" i="129"/>
  <c r="AF33" i="129"/>
  <c r="AE33" i="129"/>
  <c r="BE32" i="129"/>
  <c r="BD32" i="129"/>
  <c r="BC32" i="129"/>
  <c r="BB32" i="129"/>
  <c r="BA32" i="129"/>
  <c r="AZ32" i="129"/>
  <c r="AY32" i="129"/>
  <c r="AX32" i="129"/>
  <c r="AW32" i="129"/>
  <c r="AV32" i="129"/>
  <c r="AU32" i="129"/>
  <c r="AT32" i="129"/>
  <c r="AS32" i="129"/>
  <c r="AR32" i="129"/>
  <c r="AQ32" i="129"/>
  <c r="AP32" i="129"/>
  <c r="AO32" i="129"/>
  <c r="AN32" i="129"/>
  <c r="AM32" i="129"/>
  <c r="AL32" i="129"/>
  <c r="AK32" i="129"/>
  <c r="AJ32" i="129"/>
  <c r="AI32" i="129"/>
  <c r="AH32" i="129"/>
  <c r="AG32" i="129"/>
  <c r="AF32" i="129"/>
  <c r="AE32" i="129"/>
  <c r="BE31" i="129"/>
  <c r="BD31" i="129"/>
  <c r="BC31" i="129"/>
  <c r="BB31" i="129"/>
  <c r="BA31" i="129"/>
  <c r="AZ31" i="129"/>
  <c r="AY31" i="129"/>
  <c r="AX31" i="129"/>
  <c r="AW31" i="129"/>
  <c r="AV31" i="129"/>
  <c r="AU31" i="129"/>
  <c r="AT31" i="129"/>
  <c r="AS31" i="129"/>
  <c r="AR31" i="129"/>
  <c r="AQ31" i="129"/>
  <c r="AP31" i="129"/>
  <c r="AO31" i="129"/>
  <c r="AN31" i="129"/>
  <c r="AM31" i="129"/>
  <c r="AL31" i="129"/>
  <c r="AK31" i="129"/>
  <c r="AJ31" i="129"/>
  <c r="AI31" i="129"/>
  <c r="AH31" i="129"/>
  <c r="AG31" i="129"/>
  <c r="AF31" i="129"/>
  <c r="AE31" i="129"/>
  <c r="BE30" i="129"/>
  <c r="BD30" i="129"/>
  <c r="BC30" i="129"/>
  <c r="BB30" i="129"/>
  <c r="BA30" i="129"/>
  <c r="AZ30" i="129"/>
  <c r="AY30" i="129"/>
  <c r="AX30" i="129"/>
  <c r="AW30" i="129"/>
  <c r="AV30" i="129"/>
  <c r="AU30" i="129"/>
  <c r="AT30" i="129"/>
  <c r="AS30" i="129"/>
  <c r="AR30" i="129"/>
  <c r="AQ30" i="129"/>
  <c r="AP30" i="129"/>
  <c r="AO30" i="129"/>
  <c r="AN30" i="129"/>
  <c r="AM30" i="129"/>
  <c r="AL30" i="129"/>
  <c r="AK30" i="129"/>
  <c r="AJ30" i="129"/>
  <c r="AI30" i="129"/>
  <c r="AH30" i="129"/>
  <c r="AG30" i="129"/>
  <c r="AF30" i="129"/>
  <c r="AE30" i="129"/>
  <c r="BE29" i="129"/>
  <c r="BD29" i="129"/>
  <c r="BC29" i="129"/>
  <c r="BB29" i="129"/>
  <c r="BA29" i="129"/>
  <c r="AZ29" i="129"/>
  <c r="AY29" i="129"/>
  <c r="AX29" i="129"/>
  <c r="AW29" i="129"/>
  <c r="AV29" i="129"/>
  <c r="AU29" i="129"/>
  <c r="AT29" i="129"/>
  <c r="AS29" i="129"/>
  <c r="AR29" i="129"/>
  <c r="AQ29" i="129"/>
  <c r="AP29" i="129"/>
  <c r="AO29" i="129"/>
  <c r="AN29" i="129"/>
  <c r="AM29" i="129"/>
  <c r="AL29" i="129"/>
  <c r="AK29" i="129"/>
  <c r="AJ29" i="129"/>
  <c r="AI29" i="129"/>
  <c r="AH29" i="129"/>
  <c r="AG29" i="129"/>
  <c r="AF29" i="129"/>
  <c r="AE29" i="129"/>
  <c r="BE28" i="129"/>
  <c r="BD28" i="129"/>
  <c r="BC28" i="129"/>
  <c r="BB28" i="129"/>
  <c r="BA28" i="129"/>
  <c r="AZ28" i="129"/>
  <c r="AY28" i="129"/>
  <c r="AX28" i="129"/>
  <c r="AW28" i="129"/>
  <c r="AV28" i="129"/>
  <c r="AU28" i="129"/>
  <c r="AT28" i="129"/>
  <c r="AS28" i="129"/>
  <c r="AR28" i="129"/>
  <c r="AQ28" i="129"/>
  <c r="AP28" i="129"/>
  <c r="AO28" i="129"/>
  <c r="AN28" i="129"/>
  <c r="AM28" i="129"/>
  <c r="AL28" i="129"/>
  <c r="AK28" i="129"/>
  <c r="AJ28" i="129"/>
  <c r="AI28" i="129"/>
  <c r="AH28" i="129"/>
  <c r="AG28" i="129"/>
  <c r="AF28" i="129"/>
  <c r="AE28" i="129"/>
  <c r="BE27" i="129"/>
  <c r="BD27" i="129"/>
  <c r="BC27" i="129"/>
  <c r="BB27" i="129"/>
  <c r="BA27" i="129"/>
  <c r="AZ27" i="129"/>
  <c r="AY27" i="129"/>
  <c r="AX27" i="129"/>
  <c r="AW27" i="129"/>
  <c r="AV27" i="129"/>
  <c r="AU27" i="129"/>
  <c r="AT27" i="129"/>
  <c r="AS27" i="129"/>
  <c r="AR27" i="129"/>
  <c r="AQ27" i="129"/>
  <c r="AP27" i="129"/>
  <c r="AO27" i="129"/>
  <c r="AN27" i="129"/>
  <c r="AM27" i="129"/>
  <c r="AL27" i="129"/>
  <c r="AK27" i="129"/>
  <c r="AJ27" i="129"/>
  <c r="AI27" i="129"/>
  <c r="AH27" i="129"/>
  <c r="AG27" i="129"/>
  <c r="AF27" i="129"/>
  <c r="AE27" i="129"/>
  <c r="BE26" i="129"/>
  <c r="BD26" i="129"/>
  <c r="BC26" i="129"/>
  <c r="BB26" i="129"/>
  <c r="BA26" i="129"/>
  <c r="AZ26" i="129"/>
  <c r="AY26" i="129"/>
  <c r="AX26" i="129"/>
  <c r="AW26" i="129"/>
  <c r="AV26" i="129"/>
  <c r="AU26" i="129"/>
  <c r="AT26" i="129"/>
  <c r="AS26" i="129"/>
  <c r="AR26" i="129"/>
  <c r="AQ26" i="129"/>
  <c r="AP26" i="129"/>
  <c r="AO26" i="129"/>
  <c r="AN26" i="129"/>
  <c r="AM26" i="129"/>
  <c r="AL26" i="129"/>
  <c r="AK26" i="129"/>
  <c r="AJ26" i="129"/>
  <c r="AI26" i="129"/>
  <c r="AH26" i="129"/>
  <c r="AG26" i="129"/>
  <c r="AF26" i="129"/>
  <c r="AE26" i="129"/>
  <c r="BE25" i="129"/>
  <c r="BD25" i="129"/>
  <c r="BC25" i="129"/>
  <c r="BB25" i="129"/>
  <c r="BA25" i="129"/>
  <c r="AZ25" i="129"/>
  <c r="AY25" i="129"/>
  <c r="AX25" i="129"/>
  <c r="AW25" i="129"/>
  <c r="AV25" i="129"/>
  <c r="AU25" i="129"/>
  <c r="AT25" i="129"/>
  <c r="AS25" i="129"/>
  <c r="AR25" i="129"/>
  <c r="AQ25" i="129"/>
  <c r="AP25" i="129"/>
  <c r="AO25" i="129"/>
  <c r="AN25" i="129"/>
  <c r="AM25" i="129"/>
  <c r="AL25" i="129"/>
  <c r="AK25" i="129"/>
  <c r="AJ25" i="129"/>
  <c r="AI25" i="129"/>
  <c r="AH25" i="129"/>
  <c r="AG25" i="129"/>
  <c r="AF25" i="129"/>
  <c r="AE25" i="129"/>
  <c r="BE24" i="129"/>
  <c r="BD24" i="129"/>
  <c r="BC24" i="129"/>
  <c r="BB24" i="129"/>
  <c r="BA24" i="129"/>
  <c r="AZ24" i="129"/>
  <c r="AY24" i="129"/>
  <c r="AX24" i="129"/>
  <c r="AW24" i="129"/>
  <c r="AV24" i="129"/>
  <c r="AU24" i="129"/>
  <c r="AT24" i="129"/>
  <c r="AS24" i="129"/>
  <c r="AR24" i="129"/>
  <c r="AQ24" i="129"/>
  <c r="AP24" i="129"/>
  <c r="AO24" i="129"/>
  <c r="AN24" i="129"/>
  <c r="AM24" i="129"/>
  <c r="AL24" i="129"/>
  <c r="AK24" i="129"/>
  <c r="AJ24" i="129"/>
  <c r="AI24" i="129"/>
  <c r="AH24" i="129"/>
  <c r="AG24" i="129"/>
  <c r="AF24" i="129"/>
  <c r="AE24" i="129"/>
  <c r="BE23" i="129"/>
  <c r="BD23" i="129"/>
  <c r="BC23" i="129"/>
  <c r="BB23" i="129"/>
  <c r="BA23" i="129"/>
  <c r="AZ23" i="129"/>
  <c r="AY23" i="129"/>
  <c r="AX23" i="129"/>
  <c r="AW23" i="129"/>
  <c r="AV23" i="129"/>
  <c r="AU23" i="129"/>
  <c r="AT23" i="129"/>
  <c r="AS23" i="129"/>
  <c r="AR23" i="129"/>
  <c r="AQ23" i="129"/>
  <c r="AP23" i="129"/>
  <c r="AO23" i="129"/>
  <c r="AN23" i="129"/>
  <c r="AM23" i="129"/>
  <c r="AL23" i="129"/>
  <c r="AK23" i="129"/>
  <c r="AJ23" i="129"/>
  <c r="AI23" i="129"/>
  <c r="AH23" i="129"/>
  <c r="AG23" i="129"/>
  <c r="AF23" i="129"/>
  <c r="AE23" i="129"/>
  <c r="BE22" i="129"/>
  <c r="BD22" i="129"/>
  <c r="BC22" i="129"/>
  <c r="BB22" i="129"/>
  <c r="BA22" i="129"/>
  <c r="AZ22" i="129"/>
  <c r="AY22" i="129"/>
  <c r="AX22" i="129"/>
  <c r="AW22" i="129"/>
  <c r="AV22" i="129"/>
  <c r="AU22" i="129"/>
  <c r="AT22" i="129"/>
  <c r="AS22" i="129"/>
  <c r="AR22" i="129"/>
  <c r="AQ22" i="129"/>
  <c r="AP22" i="129"/>
  <c r="AO22" i="129"/>
  <c r="AN22" i="129"/>
  <c r="AM22" i="129"/>
  <c r="AL22" i="129"/>
  <c r="AK22" i="129"/>
  <c r="AJ22" i="129"/>
  <c r="AI22" i="129"/>
  <c r="AH22" i="129"/>
  <c r="AG22" i="129"/>
  <c r="AF22" i="129"/>
  <c r="AE22" i="129"/>
  <c r="BE21" i="129"/>
  <c r="BD21" i="129"/>
  <c r="BC21" i="129"/>
  <c r="BB21" i="129"/>
  <c r="BA21" i="129"/>
  <c r="AZ21" i="129"/>
  <c r="AY21" i="129"/>
  <c r="AX21" i="129"/>
  <c r="AW21" i="129"/>
  <c r="AV21" i="129"/>
  <c r="AU21" i="129"/>
  <c r="AT21" i="129"/>
  <c r="AS21" i="129"/>
  <c r="AR21" i="129"/>
  <c r="AQ21" i="129"/>
  <c r="AP21" i="129"/>
  <c r="AO21" i="129"/>
  <c r="AN21" i="129"/>
  <c r="AM21" i="129"/>
  <c r="AL21" i="129"/>
  <c r="AK21" i="129"/>
  <c r="AJ21" i="129"/>
  <c r="AI21" i="129"/>
  <c r="AH21" i="129"/>
  <c r="AG21" i="129"/>
  <c r="AF21" i="129"/>
  <c r="AE21" i="129"/>
  <c r="BE20" i="129"/>
  <c r="BD20" i="129"/>
  <c r="BC20" i="129"/>
  <c r="BB20" i="129"/>
  <c r="BA20" i="129"/>
  <c r="AZ20" i="129"/>
  <c r="AY20" i="129"/>
  <c r="AX20" i="129"/>
  <c r="AW20" i="129"/>
  <c r="AV20" i="129"/>
  <c r="AU20" i="129"/>
  <c r="AT20" i="129"/>
  <c r="AS20" i="129"/>
  <c r="AR20" i="129"/>
  <c r="AQ20" i="129"/>
  <c r="AP20" i="129"/>
  <c r="AO20" i="129"/>
  <c r="AN20" i="129"/>
  <c r="AM20" i="129"/>
  <c r="AL20" i="129"/>
  <c r="AK20" i="129"/>
  <c r="AJ20" i="129"/>
  <c r="AI20" i="129"/>
  <c r="AH20" i="129"/>
  <c r="AG20" i="129"/>
  <c r="AF20" i="129"/>
  <c r="AE20" i="129"/>
  <c r="BE19" i="129"/>
  <c r="BD19" i="129"/>
  <c r="BC19" i="129"/>
  <c r="BB19" i="129"/>
  <c r="BA19" i="129"/>
  <c r="AZ19" i="129"/>
  <c r="AY19" i="129"/>
  <c r="AX19" i="129"/>
  <c r="AW19" i="129"/>
  <c r="AV19" i="129"/>
  <c r="AU19" i="129"/>
  <c r="AT19" i="129"/>
  <c r="AS19" i="129"/>
  <c r="AR19" i="129"/>
  <c r="AQ19" i="129"/>
  <c r="AP19" i="129"/>
  <c r="AO19" i="129"/>
  <c r="AN19" i="129"/>
  <c r="AM19" i="129"/>
  <c r="AL19" i="129"/>
  <c r="AK19" i="129"/>
  <c r="AJ19" i="129"/>
  <c r="AI19" i="129"/>
  <c r="AH19" i="129"/>
  <c r="AG19" i="129"/>
  <c r="AF19" i="129"/>
  <c r="AE19" i="129"/>
  <c r="BE18" i="129"/>
  <c r="BD18" i="129"/>
  <c r="BC18" i="129"/>
  <c r="BB18" i="129"/>
  <c r="BA18" i="129"/>
  <c r="AZ18" i="129"/>
  <c r="AY18" i="129"/>
  <c r="AX18" i="129"/>
  <c r="AW18" i="129"/>
  <c r="AV18" i="129"/>
  <c r="AU18" i="129"/>
  <c r="AT18" i="129"/>
  <c r="AS18" i="129"/>
  <c r="AR18" i="129"/>
  <c r="AQ18" i="129"/>
  <c r="AP18" i="129"/>
  <c r="AO18" i="129"/>
  <c r="AN18" i="129"/>
  <c r="AM18" i="129"/>
  <c r="AL18" i="129"/>
  <c r="AK18" i="129"/>
  <c r="AJ18" i="129"/>
  <c r="AI18" i="129"/>
  <c r="AH18" i="129"/>
  <c r="AG18" i="129"/>
  <c r="AF18" i="129"/>
  <c r="AE18" i="129"/>
  <c r="BE17" i="129"/>
  <c r="BD17" i="129"/>
  <c r="BC17" i="129"/>
  <c r="BB17" i="129"/>
  <c r="BA17" i="129"/>
  <c r="AZ17" i="129"/>
  <c r="AY17" i="129"/>
  <c r="AX17" i="129"/>
  <c r="AW17" i="129"/>
  <c r="AV17" i="129"/>
  <c r="AU17" i="129"/>
  <c r="AT17" i="129"/>
  <c r="AS17" i="129"/>
  <c r="AR17" i="129"/>
  <c r="AQ17" i="129"/>
  <c r="AP17" i="129"/>
  <c r="AO17" i="129"/>
  <c r="AN17" i="129"/>
  <c r="AM17" i="129"/>
  <c r="AL17" i="129"/>
  <c r="AK17" i="129"/>
  <c r="AJ17" i="129"/>
  <c r="AI17" i="129"/>
  <c r="AH17" i="129"/>
  <c r="AG17" i="129"/>
  <c r="AF17" i="129"/>
  <c r="AE17" i="129"/>
  <c r="BE16" i="129"/>
  <c r="BD16" i="129"/>
  <c r="BC16" i="129"/>
  <c r="BB16" i="129"/>
  <c r="BA16" i="129"/>
  <c r="AZ16" i="129"/>
  <c r="AY16" i="129"/>
  <c r="AX16" i="129"/>
  <c r="AW16" i="129"/>
  <c r="AV16" i="129"/>
  <c r="AU16" i="129"/>
  <c r="AT16" i="129"/>
  <c r="AS16" i="129"/>
  <c r="AR16" i="129"/>
  <c r="AQ16" i="129"/>
  <c r="AP16" i="129"/>
  <c r="AO16" i="129"/>
  <c r="AN16" i="129"/>
  <c r="AM16" i="129"/>
  <c r="AL16" i="129"/>
  <c r="AK16" i="129"/>
  <c r="AJ16" i="129"/>
  <c r="AI16" i="129"/>
  <c r="AH16" i="129"/>
  <c r="AG16" i="129"/>
  <c r="AF16" i="129"/>
  <c r="AE16" i="129"/>
  <c r="BE15" i="129"/>
  <c r="BD15" i="129"/>
  <c r="BC15" i="129"/>
  <c r="BB15" i="129"/>
  <c r="BA15" i="129"/>
  <c r="AZ15" i="129"/>
  <c r="AY15" i="129"/>
  <c r="AX15" i="129"/>
  <c r="AW15" i="129"/>
  <c r="AV15" i="129"/>
  <c r="AU15" i="129"/>
  <c r="AT15" i="129"/>
  <c r="AS15" i="129"/>
  <c r="AR15" i="129"/>
  <c r="AQ15" i="129"/>
  <c r="AP15" i="129"/>
  <c r="AO15" i="129"/>
  <c r="AN15" i="129"/>
  <c r="AM15" i="129"/>
  <c r="AL15" i="129"/>
  <c r="AK15" i="129"/>
  <c r="AJ15" i="129"/>
  <c r="AI15" i="129"/>
  <c r="AH15" i="129"/>
  <c r="AG15" i="129"/>
  <c r="AF15" i="129"/>
  <c r="AE15" i="129"/>
  <c r="BE14" i="129"/>
  <c r="BD14" i="129"/>
  <c r="BC14" i="129"/>
  <c r="BB14" i="129"/>
  <c r="BA14" i="129"/>
  <c r="AZ14" i="129"/>
  <c r="AY14" i="129"/>
  <c r="AX14" i="129"/>
  <c r="AW14" i="129"/>
  <c r="AV14" i="129"/>
  <c r="AU14" i="129"/>
  <c r="AT14" i="129"/>
  <c r="AS14" i="129"/>
  <c r="AR14" i="129"/>
  <c r="AQ14" i="129"/>
  <c r="AP14" i="129"/>
  <c r="AO14" i="129"/>
  <c r="AN14" i="129"/>
  <c r="AM14" i="129"/>
  <c r="AL14" i="129"/>
  <c r="AK14" i="129"/>
  <c r="AJ14" i="129"/>
  <c r="AI14" i="129"/>
  <c r="AH14" i="129"/>
  <c r="AG14" i="129"/>
  <c r="AF14" i="129"/>
  <c r="AE14" i="129"/>
  <c r="BE13" i="129"/>
  <c r="BD13" i="129"/>
  <c r="BC13" i="129"/>
  <c r="BB13" i="129"/>
  <c r="BA13" i="129"/>
  <c r="AZ13" i="129"/>
  <c r="AY13" i="129"/>
  <c r="AX13" i="129"/>
  <c r="AW13" i="129"/>
  <c r="AV13" i="129"/>
  <c r="AU13" i="129"/>
  <c r="AT13" i="129"/>
  <c r="AS13" i="129"/>
  <c r="AR13" i="129"/>
  <c r="AQ13" i="129"/>
  <c r="AP13" i="129"/>
  <c r="AO13" i="129"/>
  <c r="AN13" i="129"/>
  <c r="AM13" i="129"/>
  <c r="AL13" i="129"/>
  <c r="AK13" i="129"/>
  <c r="AJ13" i="129"/>
  <c r="AI13" i="129"/>
  <c r="AH13" i="129"/>
  <c r="AG13" i="129"/>
  <c r="AF13" i="129"/>
  <c r="AE13" i="129"/>
  <c r="BE12" i="129"/>
  <c r="BD12" i="129"/>
  <c r="BC12" i="129"/>
  <c r="BB12" i="129"/>
  <c r="BA12" i="129"/>
  <c r="AZ12" i="129"/>
  <c r="AY12" i="129"/>
  <c r="AX12" i="129"/>
  <c r="AW12" i="129"/>
  <c r="AV12" i="129"/>
  <c r="AU12" i="129"/>
  <c r="AT12" i="129"/>
  <c r="AS12" i="129"/>
  <c r="AR12" i="129"/>
  <c r="AQ12" i="129"/>
  <c r="AP12" i="129"/>
  <c r="AO12" i="129"/>
  <c r="AN12" i="129"/>
  <c r="AM12" i="129"/>
  <c r="AL12" i="129"/>
  <c r="AK12" i="129"/>
  <c r="AJ12" i="129"/>
  <c r="AI12" i="129"/>
  <c r="AH12" i="129"/>
  <c r="AG12" i="129"/>
  <c r="AF12" i="129"/>
  <c r="AE12" i="129"/>
  <c r="BE11" i="129"/>
  <c r="BD11" i="129"/>
  <c r="BC11" i="129"/>
  <c r="BB11" i="129"/>
  <c r="BA11" i="129"/>
  <c r="AZ11" i="129"/>
  <c r="AY11" i="129"/>
  <c r="AX11" i="129"/>
  <c r="AW11" i="129"/>
  <c r="AV11" i="129"/>
  <c r="AU11" i="129"/>
  <c r="AT11" i="129"/>
  <c r="AS11" i="129"/>
  <c r="AR11" i="129"/>
  <c r="AQ11" i="129"/>
  <c r="AP11" i="129"/>
  <c r="AO11" i="129"/>
  <c r="AN11" i="129"/>
  <c r="AM11" i="129"/>
  <c r="AL11" i="129"/>
  <c r="AK11" i="129"/>
  <c r="AJ11" i="129"/>
  <c r="AI11" i="129"/>
  <c r="AH11" i="129"/>
  <c r="AG11" i="129"/>
  <c r="AF11" i="129"/>
  <c r="AE11" i="129"/>
  <c r="BE10" i="129"/>
  <c r="BD10" i="129"/>
  <c r="BC10" i="129"/>
  <c r="BB10" i="129"/>
  <c r="BA10" i="129"/>
  <c r="AZ10" i="129"/>
  <c r="AY10" i="129"/>
  <c r="AX10" i="129"/>
  <c r="AW10" i="129"/>
  <c r="AV10" i="129"/>
  <c r="AU10" i="129"/>
  <c r="AT10" i="129"/>
  <c r="AS10" i="129"/>
  <c r="AR10" i="129"/>
  <c r="AQ10" i="129"/>
  <c r="AP10" i="129"/>
  <c r="AO10" i="129"/>
  <c r="AN10" i="129"/>
  <c r="AM10" i="129"/>
  <c r="AL10" i="129"/>
  <c r="AK10" i="129"/>
  <c r="AJ10" i="129"/>
  <c r="AI10" i="129"/>
  <c r="AH10" i="129"/>
  <c r="AG10" i="129"/>
  <c r="AF10" i="129"/>
  <c r="AE10" i="129"/>
  <c r="BE9" i="129"/>
  <c r="BD9" i="129"/>
  <c r="BC9" i="129"/>
  <c r="BB9" i="129"/>
  <c r="BA9" i="129"/>
  <c r="AZ9" i="129"/>
  <c r="AY9" i="129"/>
  <c r="AX9" i="129"/>
  <c r="AW9" i="129"/>
  <c r="AV9" i="129"/>
  <c r="AU9" i="129"/>
  <c r="AT9" i="129"/>
  <c r="AS9" i="129"/>
  <c r="AR9" i="129"/>
  <c r="AQ9" i="129"/>
  <c r="AP9" i="129"/>
  <c r="AO9" i="129"/>
  <c r="AN9" i="129"/>
  <c r="AM9" i="129"/>
  <c r="AL9" i="129"/>
  <c r="AK9" i="129"/>
  <c r="AJ9" i="129"/>
  <c r="AI9" i="129"/>
  <c r="AH9" i="129"/>
  <c r="AG9" i="129"/>
  <c r="AF9" i="129"/>
  <c r="AE9" i="129"/>
  <c r="BE8" i="129"/>
  <c r="BD8" i="129"/>
  <c r="BC8" i="129"/>
  <c r="BB8" i="129"/>
  <c r="BA8" i="129"/>
  <c r="AZ8" i="129"/>
  <c r="AY8" i="129"/>
  <c r="AX8" i="129"/>
  <c r="AW8" i="129"/>
  <c r="AV8" i="129"/>
  <c r="AU8" i="129"/>
  <c r="AT8" i="129"/>
  <c r="AS8" i="129"/>
  <c r="AR8" i="129"/>
  <c r="AQ8" i="129"/>
  <c r="AP8" i="129"/>
  <c r="AO8" i="129"/>
  <c r="AN8" i="129"/>
  <c r="AM8" i="129"/>
  <c r="AL8" i="129"/>
  <c r="AK8" i="129"/>
  <c r="AJ8" i="129"/>
  <c r="AI8" i="129"/>
  <c r="AH8" i="129"/>
  <c r="AG8" i="129"/>
  <c r="AF8" i="129"/>
  <c r="AE8" i="129"/>
  <c r="BE7" i="129"/>
  <c r="BD7" i="129"/>
  <c r="BC7" i="129"/>
  <c r="BB7" i="129"/>
  <c r="BA7" i="129"/>
  <c r="AZ7" i="129"/>
  <c r="AY7" i="129"/>
  <c r="AX7" i="129"/>
  <c r="AW7" i="129"/>
  <c r="AV7" i="129"/>
  <c r="AU7" i="129"/>
  <c r="AT7" i="129"/>
  <c r="AS7" i="129"/>
  <c r="AR7" i="129"/>
  <c r="AQ7" i="129"/>
  <c r="AP7" i="129"/>
  <c r="AO7" i="129"/>
  <c r="AN7" i="129"/>
  <c r="AM7" i="129"/>
  <c r="AL7" i="129"/>
  <c r="AK7" i="129"/>
  <c r="AJ7" i="129"/>
  <c r="AI7" i="129"/>
  <c r="AH7" i="129"/>
  <c r="AG7" i="129"/>
  <c r="AF7" i="129"/>
  <c r="AE7" i="129"/>
  <c r="BE6" i="129"/>
  <c r="BD6" i="129"/>
  <c r="BC6" i="129"/>
  <c r="BB6" i="129"/>
  <c r="BA6" i="129"/>
  <c r="AZ6" i="129"/>
  <c r="AY6" i="129"/>
  <c r="AX6" i="129"/>
  <c r="AW6" i="129"/>
  <c r="AV6" i="129"/>
  <c r="AU6" i="129"/>
  <c r="AT6" i="129"/>
  <c r="AS6" i="129"/>
  <c r="AR6" i="129"/>
  <c r="AQ6" i="129"/>
  <c r="AP6" i="129"/>
  <c r="AO6" i="129"/>
  <c r="AN6" i="129"/>
  <c r="AM6" i="129"/>
  <c r="AL6" i="129"/>
  <c r="AK6" i="129"/>
  <c r="AJ6" i="129"/>
  <c r="AI6" i="129"/>
  <c r="AH6" i="129"/>
  <c r="AG6" i="129"/>
  <c r="AF6" i="129"/>
  <c r="AE6" i="129"/>
  <c r="BE5" i="129"/>
  <c r="BD5" i="129"/>
  <c r="BC5" i="129"/>
  <c r="BB5" i="129"/>
  <c r="BA5" i="129"/>
  <c r="AZ5" i="129"/>
  <c r="AY5" i="129"/>
  <c r="AX5" i="129"/>
  <c r="AW5" i="129"/>
  <c r="AV5" i="129"/>
  <c r="AU5" i="129"/>
  <c r="AT5" i="129"/>
  <c r="AS5" i="129"/>
  <c r="AR5" i="129"/>
  <c r="AQ5" i="129"/>
  <c r="AP5" i="129"/>
  <c r="AO5" i="129"/>
  <c r="AN5" i="129"/>
  <c r="AM5" i="129"/>
  <c r="AL5" i="129"/>
  <c r="AK5" i="129"/>
  <c r="AJ5" i="129"/>
  <c r="AI5" i="129"/>
  <c r="AH5" i="129"/>
  <c r="AG5" i="129"/>
  <c r="AF5" i="129"/>
  <c r="AE5" i="129"/>
  <c r="BE4" i="129"/>
  <c r="BD4" i="129"/>
  <c r="BC4" i="129"/>
  <c r="BB4" i="129"/>
  <c r="BA4" i="129"/>
  <c r="AZ4" i="129"/>
  <c r="AY4" i="129"/>
  <c r="AX4" i="129"/>
  <c r="AW4" i="129"/>
  <c r="AV4" i="129"/>
  <c r="AU4" i="129"/>
  <c r="AT4" i="129"/>
  <c r="AS4" i="129"/>
  <c r="AR4" i="129"/>
  <c r="AQ4" i="129"/>
  <c r="AP4" i="129"/>
  <c r="AO4" i="129"/>
  <c r="AN4" i="129"/>
  <c r="AM4" i="129"/>
  <c r="AL4" i="129"/>
  <c r="AK4" i="129"/>
  <c r="AJ4" i="129"/>
  <c r="AI4" i="129"/>
  <c r="AH4" i="129"/>
  <c r="AG4" i="129"/>
  <c r="AF4" i="129"/>
  <c r="AE4" i="129"/>
  <c r="BE3" i="129"/>
  <c r="BD3" i="129"/>
  <c r="BC3" i="129"/>
  <c r="BB3" i="129"/>
  <c r="BA3" i="129"/>
  <c r="AZ3" i="129"/>
  <c r="AY3" i="129"/>
  <c r="AX3" i="129"/>
  <c r="AW3" i="129"/>
  <c r="AV3" i="129"/>
  <c r="AU3" i="129"/>
  <c r="AT3" i="129"/>
  <c r="AS3" i="129"/>
  <c r="AR3" i="129"/>
  <c r="AQ3" i="129"/>
  <c r="AP3" i="129"/>
  <c r="AO3" i="129"/>
  <c r="AN3" i="129"/>
  <c r="AM3" i="129"/>
  <c r="AL3" i="129"/>
  <c r="AK3" i="129"/>
  <c r="AJ3" i="129"/>
  <c r="AI3" i="129"/>
  <c r="AH3" i="129"/>
  <c r="AG3" i="129"/>
  <c r="AF3" i="129"/>
  <c r="AE3" i="129"/>
  <c r="BE2" i="129"/>
  <c r="BD2" i="129"/>
  <c r="BC2" i="129"/>
  <c r="BB2" i="129"/>
  <c r="BA2" i="129"/>
  <c r="AZ2" i="129"/>
  <c r="AY2" i="129"/>
  <c r="AX2" i="129"/>
  <c r="AW2" i="129"/>
  <c r="AV2" i="129"/>
  <c r="AU2" i="129"/>
  <c r="AT2" i="129"/>
  <c r="AS2" i="129"/>
  <c r="AR2" i="129"/>
  <c r="AQ2" i="129"/>
  <c r="AP2" i="129"/>
  <c r="AO2" i="129"/>
  <c r="AN2" i="129"/>
  <c r="AM2" i="129"/>
  <c r="AL2" i="129"/>
  <c r="AK2" i="129"/>
  <c r="AJ2" i="129"/>
  <c r="AI2" i="129"/>
  <c r="AH2" i="129"/>
  <c r="AG2" i="129"/>
  <c r="AF2" i="129"/>
  <c r="AE2" i="129"/>
  <c r="BE1" i="129"/>
  <c r="BD1" i="129"/>
  <c r="BC1" i="129"/>
  <c r="BB1" i="129"/>
  <c r="BA1" i="129"/>
  <c r="AZ1" i="129"/>
  <c r="AY1" i="129"/>
  <c r="AX1" i="129"/>
  <c r="AW1" i="129"/>
  <c r="AV1" i="129"/>
  <c r="AU1" i="129"/>
  <c r="AT1" i="129"/>
  <c r="AS1" i="129"/>
  <c r="AR1" i="129"/>
  <c r="AQ1" i="129"/>
  <c r="AP1" i="129"/>
  <c r="AO1" i="129"/>
  <c r="AN1" i="129"/>
  <c r="AM1" i="129"/>
  <c r="AL1" i="129"/>
  <c r="AK1" i="129"/>
  <c r="AJ1" i="129"/>
  <c r="AI1" i="129"/>
  <c r="AH1" i="129"/>
  <c r="AG1" i="129"/>
  <c r="AF1" i="129"/>
  <c r="BE33" i="116"/>
  <c r="BD33" i="116"/>
  <c r="BC33" i="116"/>
  <c r="BB33" i="116"/>
  <c r="BA33" i="116"/>
  <c r="AZ33" i="116"/>
  <c r="AY33" i="116"/>
  <c r="AX33" i="116"/>
  <c r="AW33" i="116"/>
  <c r="AV33" i="116"/>
  <c r="AU33" i="116"/>
  <c r="AT33" i="116"/>
  <c r="AS33" i="116"/>
  <c r="AR33" i="116"/>
  <c r="AQ33" i="116"/>
  <c r="AP33" i="116"/>
  <c r="AO33" i="116"/>
  <c r="AN33" i="116"/>
  <c r="AM33" i="116"/>
  <c r="AL33" i="116"/>
  <c r="AK33" i="116"/>
  <c r="AJ33" i="116"/>
  <c r="AI33" i="116"/>
  <c r="AH33" i="116"/>
  <c r="AG33" i="116"/>
  <c r="AF33" i="116"/>
  <c r="AE33" i="116"/>
  <c r="BE32" i="116"/>
  <c r="BD32" i="116"/>
  <c r="BC32" i="116"/>
  <c r="BB32" i="116"/>
  <c r="BA32" i="116"/>
  <c r="AZ32" i="116"/>
  <c r="AY32" i="116"/>
  <c r="AX32" i="116"/>
  <c r="AW32" i="116"/>
  <c r="AV32" i="116"/>
  <c r="AU32" i="116"/>
  <c r="AT32" i="116"/>
  <c r="AS32" i="116"/>
  <c r="AR32" i="116"/>
  <c r="AQ32" i="116"/>
  <c r="AP32" i="116"/>
  <c r="AO32" i="116"/>
  <c r="AN32" i="116"/>
  <c r="AM32" i="116"/>
  <c r="AL32" i="116"/>
  <c r="AK32" i="116"/>
  <c r="AJ32" i="116"/>
  <c r="AI32" i="116"/>
  <c r="AH32" i="116"/>
  <c r="AG32" i="116"/>
  <c r="AF32" i="116"/>
  <c r="AE32" i="116"/>
  <c r="BE31" i="116"/>
  <c r="BD31" i="116"/>
  <c r="BC31" i="116"/>
  <c r="BB31" i="116"/>
  <c r="BA31" i="116"/>
  <c r="AZ31" i="116"/>
  <c r="AY31" i="116"/>
  <c r="AX31" i="116"/>
  <c r="AW31" i="116"/>
  <c r="AV31" i="116"/>
  <c r="AU31" i="116"/>
  <c r="AT31" i="116"/>
  <c r="AS31" i="116"/>
  <c r="AR31" i="116"/>
  <c r="AQ31" i="116"/>
  <c r="AP31" i="116"/>
  <c r="AO31" i="116"/>
  <c r="AN31" i="116"/>
  <c r="AM31" i="116"/>
  <c r="AL31" i="116"/>
  <c r="AK31" i="116"/>
  <c r="AJ31" i="116"/>
  <c r="AI31" i="116"/>
  <c r="AH31" i="116"/>
  <c r="AG31" i="116"/>
  <c r="AF31" i="116"/>
  <c r="AE31" i="116"/>
  <c r="BE30" i="116"/>
  <c r="BD30" i="116"/>
  <c r="BC30" i="116"/>
  <c r="BB30" i="116"/>
  <c r="BA30" i="116"/>
  <c r="AZ30" i="116"/>
  <c r="AY30" i="116"/>
  <c r="AX30" i="116"/>
  <c r="AW30" i="116"/>
  <c r="AV30" i="116"/>
  <c r="AU30" i="116"/>
  <c r="AT30" i="116"/>
  <c r="AS30" i="116"/>
  <c r="AR30" i="116"/>
  <c r="AQ30" i="116"/>
  <c r="AP30" i="116"/>
  <c r="AO30" i="116"/>
  <c r="AN30" i="116"/>
  <c r="AM30" i="116"/>
  <c r="AL30" i="116"/>
  <c r="AK30" i="116"/>
  <c r="AJ30" i="116"/>
  <c r="AI30" i="116"/>
  <c r="AH30" i="116"/>
  <c r="AG30" i="116"/>
  <c r="AF30" i="116"/>
  <c r="AE30" i="116"/>
  <c r="BE29" i="116"/>
  <c r="BD29" i="116"/>
  <c r="BC29" i="116"/>
  <c r="BB29" i="116"/>
  <c r="BA29" i="116"/>
  <c r="AZ29" i="116"/>
  <c r="AY29" i="116"/>
  <c r="AX29" i="116"/>
  <c r="AW29" i="116"/>
  <c r="AV29" i="116"/>
  <c r="AU29" i="116"/>
  <c r="AT29" i="116"/>
  <c r="AS29" i="116"/>
  <c r="AR29" i="116"/>
  <c r="AQ29" i="116"/>
  <c r="AP29" i="116"/>
  <c r="AO29" i="116"/>
  <c r="AN29" i="116"/>
  <c r="AM29" i="116"/>
  <c r="AL29" i="116"/>
  <c r="AK29" i="116"/>
  <c r="AJ29" i="116"/>
  <c r="AI29" i="116"/>
  <c r="AH29" i="116"/>
  <c r="AG29" i="116"/>
  <c r="AF29" i="116"/>
  <c r="AE29" i="116"/>
  <c r="BE28" i="116"/>
  <c r="BD28" i="116"/>
  <c r="BC28" i="116"/>
  <c r="BB28" i="116"/>
  <c r="BA28" i="116"/>
  <c r="AZ28" i="116"/>
  <c r="AY28" i="116"/>
  <c r="AX28" i="116"/>
  <c r="AW28" i="116"/>
  <c r="AV28" i="116"/>
  <c r="AU28" i="116"/>
  <c r="AT28" i="116"/>
  <c r="AS28" i="116"/>
  <c r="AR28" i="116"/>
  <c r="AQ28" i="116"/>
  <c r="AP28" i="116"/>
  <c r="AO28" i="116"/>
  <c r="AN28" i="116"/>
  <c r="AM28" i="116"/>
  <c r="AL28" i="116"/>
  <c r="AK28" i="116"/>
  <c r="AJ28" i="116"/>
  <c r="AI28" i="116"/>
  <c r="AH28" i="116"/>
  <c r="AG28" i="116"/>
  <c r="AF28" i="116"/>
  <c r="AE28" i="116"/>
  <c r="BE27" i="116"/>
  <c r="BD27" i="116"/>
  <c r="BC27" i="116"/>
  <c r="BB27" i="116"/>
  <c r="BA27" i="116"/>
  <c r="AZ27" i="116"/>
  <c r="AY27" i="116"/>
  <c r="AX27" i="116"/>
  <c r="AW27" i="116"/>
  <c r="AV27" i="116"/>
  <c r="AU27" i="116"/>
  <c r="AT27" i="116"/>
  <c r="AS27" i="116"/>
  <c r="AR27" i="116"/>
  <c r="AQ27" i="116"/>
  <c r="AP27" i="116"/>
  <c r="AO27" i="116"/>
  <c r="AN27" i="116"/>
  <c r="AM27" i="116"/>
  <c r="AL27" i="116"/>
  <c r="AK27" i="116"/>
  <c r="AJ27" i="116"/>
  <c r="AI27" i="116"/>
  <c r="AH27" i="116"/>
  <c r="AG27" i="116"/>
  <c r="AF27" i="116"/>
  <c r="AE27" i="116"/>
  <c r="BE26" i="116"/>
  <c r="BD26" i="116"/>
  <c r="BC26" i="116"/>
  <c r="BB26" i="116"/>
  <c r="BA26" i="116"/>
  <c r="AZ26" i="116"/>
  <c r="AY26" i="116"/>
  <c r="AX26" i="116"/>
  <c r="AW26" i="116"/>
  <c r="AV26" i="116"/>
  <c r="AU26" i="116"/>
  <c r="AT26" i="116"/>
  <c r="AS26" i="116"/>
  <c r="AR26" i="116"/>
  <c r="AQ26" i="116"/>
  <c r="AP26" i="116"/>
  <c r="AO26" i="116"/>
  <c r="AN26" i="116"/>
  <c r="AM26" i="116"/>
  <c r="AL26" i="116"/>
  <c r="AK26" i="116"/>
  <c r="AJ26" i="116"/>
  <c r="AI26" i="116"/>
  <c r="AH26" i="116"/>
  <c r="AG26" i="116"/>
  <c r="AF26" i="116"/>
  <c r="AE26" i="116"/>
  <c r="BE25" i="116"/>
  <c r="BD25" i="116"/>
  <c r="BC25" i="116"/>
  <c r="BB25" i="116"/>
  <c r="BA25" i="116"/>
  <c r="AZ25" i="116"/>
  <c r="AY25" i="116"/>
  <c r="AX25" i="116"/>
  <c r="AW25" i="116"/>
  <c r="AV25" i="116"/>
  <c r="AU25" i="116"/>
  <c r="AT25" i="116"/>
  <c r="AS25" i="116"/>
  <c r="AR25" i="116"/>
  <c r="AQ25" i="116"/>
  <c r="AP25" i="116"/>
  <c r="AO25" i="116"/>
  <c r="AN25" i="116"/>
  <c r="AM25" i="116"/>
  <c r="AL25" i="116"/>
  <c r="AK25" i="116"/>
  <c r="AJ25" i="116"/>
  <c r="AI25" i="116"/>
  <c r="AH25" i="116"/>
  <c r="AG25" i="116"/>
  <c r="AF25" i="116"/>
  <c r="AE25" i="116"/>
  <c r="BE24" i="116"/>
  <c r="BD24" i="116"/>
  <c r="BC24" i="116"/>
  <c r="BB24" i="116"/>
  <c r="BA24" i="116"/>
  <c r="AZ24" i="116"/>
  <c r="AY24" i="116"/>
  <c r="AX24" i="116"/>
  <c r="AW24" i="116"/>
  <c r="AV24" i="116"/>
  <c r="AU24" i="116"/>
  <c r="AT24" i="116"/>
  <c r="AS24" i="116"/>
  <c r="AR24" i="116"/>
  <c r="AQ24" i="116"/>
  <c r="AP24" i="116"/>
  <c r="AO24" i="116"/>
  <c r="AN24" i="116"/>
  <c r="AM24" i="116"/>
  <c r="AL24" i="116"/>
  <c r="AK24" i="116"/>
  <c r="AJ24" i="116"/>
  <c r="AI24" i="116"/>
  <c r="AH24" i="116"/>
  <c r="AG24" i="116"/>
  <c r="AF24" i="116"/>
  <c r="AE24" i="116"/>
  <c r="BE23" i="116"/>
  <c r="BD23" i="116"/>
  <c r="BC23" i="116"/>
  <c r="BB23" i="116"/>
  <c r="BA23" i="116"/>
  <c r="AZ23" i="116"/>
  <c r="AY23" i="116"/>
  <c r="AX23" i="116"/>
  <c r="AW23" i="116"/>
  <c r="AV23" i="116"/>
  <c r="AU23" i="116"/>
  <c r="AT23" i="116"/>
  <c r="AS23" i="116"/>
  <c r="AR23" i="116"/>
  <c r="AQ23" i="116"/>
  <c r="AP23" i="116"/>
  <c r="AO23" i="116"/>
  <c r="AN23" i="116"/>
  <c r="AM23" i="116"/>
  <c r="AL23" i="116"/>
  <c r="AK23" i="116"/>
  <c r="AJ23" i="116"/>
  <c r="AI23" i="116"/>
  <c r="AH23" i="116"/>
  <c r="AG23" i="116"/>
  <c r="AF23" i="116"/>
  <c r="AE23" i="116"/>
  <c r="BE22" i="116"/>
  <c r="BD22" i="116"/>
  <c r="BC22" i="116"/>
  <c r="BB22" i="116"/>
  <c r="BA22" i="116"/>
  <c r="AZ22" i="116"/>
  <c r="AY22" i="116"/>
  <c r="AX22" i="116"/>
  <c r="AW22" i="116"/>
  <c r="AV22" i="116"/>
  <c r="AU22" i="116"/>
  <c r="AT22" i="116"/>
  <c r="AS22" i="116"/>
  <c r="AR22" i="116"/>
  <c r="AQ22" i="116"/>
  <c r="AP22" i="116"/>
  <c r="AO22" i="116"/>
  <c r="AN22" i="116"/>
  <c r="AM22" i="116"/>
  <c r="AL22" i="116"/>
  <c r="AK22" i="116"/>
  <c r="AJ22" i="116"/>
  <c r="AI22" i="116"/>
  <c r="AH22" i="116"/>
  <c r="AG22" i="116"/>
  <c r="AF22" i="116"/>
  <c r="AE22" i="116"/>
  <c r="BE21" i="116"/>
  <c r="BD21" i="116"/>
  <c r="BC21" i="116"/>
  <c r="BB21" i="116"/>
  <c r="BA21" i="116"/>
  <c r="AZ21" i="116"/>
  <c r="AY21" i="116"/>
  <c r="AX21" i="116"/>
  <c r="AW21" i="116"/>
  <c r="AV21" i="116"/>
  <c r="AU21" i="116"/>
  <c r="AT21" i="116"/>
  <c r="AS21" i="116"/>
  <c r="AR21" i="116"/>
  <c r="AQ21" i="116"/>
  <c r="AP21" i="116"/>
  <c r="AO21" i="116"/>
  <c r="AN21" i="116"/>
  <c r="AM21" i="116"/>
  <c r="AL21" i="116"/>
  <c r="AK21" i="116"/>
  <c r="AJ21" i="116"/>
  <c r="AI21" i="116"/>
  <c r="AH21" i="116"/>
  <c r="AG21" i="116"/>
  <c r="AF21" i="116"/>
  <c r="AE21" i="116"/>
  <c r="BE20" i="116"/>
  <c r="BD20" i="116"/>
  <c r="BC20" i="116"/>
  <c r="BB20" i="116"/>
  <c r="BA20" i="116"/>
  <c r="AZ20" i="116"/>
  <c r="AY20" i="116"/>
  <c r="AX20" i="116"/>
  <c r="AW20" i="116"/>
  <c r="AV20" i="116"/>
  <c r="AU20" i="116"/>
  <c r="AT20" i="116"/>
  <c r="AS20" i="116"/>
  <c r="AR20" i="116"/>
  <c r="AQ20" i="116"/>
  <c r="AP20" i="116"/>
  <c r="AO20" i="116"/>
  <c r="AN20" i="116"/>
  <c r="AM20" i="116"/>
  <c r="AL20" i="116"/>
  <c r="AK20" i="116"/>
  <c r="AJ20" i="116"/>
  <c r="AI20" i="116"/>
  <c r="AH20" i="116"/>
  <c r="AG20" i="116"/>
  <c r="AF20" i="116"/>
  <c r="AE20" i="116"/>
  <c r="BE19" i="116"/>
  <c r="BD19" i="116"/>
  <c r="BC19" i="116"/>
  <c r="BB19" i="116"/>
  <c r="BA19" i="116"/>
  <c r="AZ19" i="116"/>
  <c r="AY19" i="116"/>
  <c r="AX19" i="116"/>
  <c r="AW19" i="116"/>
  <c r="AV19" i="116"/>
  <c r="AU19" i="116"/>
  <c r="AT19" i="116"/>
  <c r="AS19" i="116"/>
  <c r="AR19" i="116"/>
  <c r="AQ19" i="116"/>
  <c r="AP19" i="116"/>
  <c r="AO19" i="116"/>
  <c r="AN19" i="116"/>
  <c r="AM19" i="116"/>
  <c r="AL19" i="116"/>
  <c r="AK19" i="116"/>
  <c r="AJ19" i="116"/>
  <c r="AI19" i="116"/>
  <c r="AH19" i="116"/>
  <c r="AG19" i="116"/>
  <c r="AF19" i="116"/>
  <c r="AE19" i="116"/>
  <c r="BE18" i="116"/>
  <c r="BD18" i="116"/>
  <c r="BC18" i="116"/>
  <c r="BB18" i="116"/>
  <c r="BA18" i="116"/>
  <c r="AZ18" i="116"/>
  <c r="AY18" i="116"/>
  <c r="AX18" i="116"/>
  <c r="AW18" i="116"/>
  <c r="AV18" i="116"/>
  <c r="AU18" i="116"/>
  <c r="AT18" i="116"/>
  <c r="AS18" i="116"/>
  <c r="AR18" i="116"/>
  <c r="AQ18" i="116"/>
  <c r="AP18" i="116"/>
  <c r="AO18" i="116"/>
  <c r="AN18" i="116"/>
  <c r="AM18" i="116"/>
  <c r="AL18" i="116"/>
  <c r="AK18" i="116"/>
  <c r="AJ18" i="116"/>
  <c r="AI18" i="116"/>
  <c r="AH18" i="116"/>
  <c r="AG18" i="116"/>
  <c r="AF18" i="116"/>
  <c r="AE18" i="116"/>
  <c r="BE17" i="116"/>
  <c r="BD17" i="116"/>
  <c r="BC17" i="116"/>
  <c r="BB17" i="116"/>
  <c r="BA17" i="116"/>
  <c r="AZ17" i="116"/>
  <c r="AY17" i="116"/>
  <c r="AX17" i="116"/>
  <c r="AW17" i="116"/>
  <c r="AV17" i="116"/>
  <c r="AU17" i="116"/>
  <c r="AT17" i="116"/>
  <c r="AS17" i="116"/>
  <c r="AR17" i="116"/>
  <c r="AQ17" i="116"/>
  <c r="AP17" i="116"/>
  <c r="AO17" i="116"/>
  <c r="AN17" i="116"/>
  <c r="AM17" i="116"/>
  <c r="AL17" i="116"/>
  <c r="AK17" i="116"/>
  <c r="AJ17" i="116"/>
  <c r="AI17" i="116"/>
  <c r="AH17" i="116"/>
  <c r="AG17" i="116"/>
  <c r="AF17" i="116"/>
  <c r="AE17" i="116"/>
  <c r="BE16" i="116"/>
  <c r="BD16" i="116"/>
  <c r="BC16" i="116"/>
  <c r="BB16" i="116"/>
  <c r="BA16" i="116"/>
  <c r="AZ16" i="116"/>
  <c r="AY16" i="116"/>
  <c r="AX16" i="116"/>
  <c r="AW16" i="116"/>
  <c r="AV16" i="116"/>
  <c r="AU16" i="116"/>
  <c r="AT16" i="116"/>
  <c r="AS16" i="116"/>
  <c r="AR16" i="116"/>
  <c r="AQ16" i="116"/>
  <c r="AP16" i="116"/>
  <c r="AO16" i="116"/>
  <c r="AN16" i="116"/>
  <c r="AM16" i="116"/>
  <c r="AL16" i="116"/>
  <c r="AK16" i="116"/>
  <c r="AJ16" i="116"/>
  <c r="AI16" i="116"/>
  <c r="AH16" i="116"/>
  <c r="AG16" i="116"/>
  <c r="AF16" i="116"/>
  <c r="AE16" i="116"/>
  <c r="BE15" i="116"/>
  <c r="BD15" i="116"/>
  <c r="BC15" i="116"/>
  <c r="BB15" i="116"/>
  <c r="BA15" i="116"/>
  <c r="AZ15" i="116"/>
  <c r="AY15" i="116"/>
  <c r="AX15" i="116"/>
  <c r="AW15" i="116"/>
  <c r="AV15" i="116"/>
  <c r="AU15" i="116"/>
  <c r="AT15" i="116"/>
  <c r="AS15" i="116"/>
  <c r="AR15" i="116"/>
  <c r="AQ15" i="116"/>
  <c r="AP15" i="116"/>
  <c r="AO15" i="116"/>
  <c r="AN15" i="116"/>
  <c r="AM15" i="116"/>
  <c r="AL15" i="116"/>
  <c r="AK15" i="116"/>
  <c r="AJ15" i="116"/>
  <c r="AI15" i="116"/>
  <c r="AH15" i="116"/>
  <c r="AG15" i="116"/>
  <c r="AF15" i="116"/>
  <c r="AE15" i="116"/>
  <c r="BE14" i="116"/>
  <c r="BD14" i="116"/>
  <c r="BC14" i="116"/>
  <c r="BB14" i="116"/>
  <c r="BA14" i="116"/>
  <c r="AZ14" i="116"/>
  <c r="AY14" i="116"/>
  <c r="AX14" i="116"/>
  <c r="AW14" i="116"/>
  <c r="AV14" i="116"/>
  <c r="AU14" i="116"/>
  <c r="AT14" i="116"/>
  <c r="AS14" i="116"/>
  <c r="AR14" i="116"/>
  <c r="AQ14" i="116"/>
  <c r="AP14" i="116"/>
  <c r="AO14" i="116"/>
  <c r="AN14" i="116"/>
  <c r="AM14" i="116"/>
  <c r="AL14" i="116"/>
  <c r="AK14" i="116"/>
  <c r="AJ14" i="116"/>
  <c r="AI14" i="116"/>
  <c r="AH14" i="116"/>
  <c r="AG14" i="116"/>
  <c r="AF14" i="116"/>
  <c r="AE14" i="116"/>
  <c r="BE13" i="116"/>
  <c r="BD13" i="116"/>
  <c r="BC13" i="116"/>
  <c r="BB13" i="116"/>
  <c r="BA13" i="116"/>
  <c r="AZ13" i="116"/>
  <c r="AY13" i="116"/>
  <c r="AX13" i="116"/>
  <c r="AW13" i="116"/>
  <c r="AV13" i="116"/>
  <c r="AU13" i="116"/>
  <c r="AT13" i="116"/>
  <c r="AS13" i="116"/>
  <c r="AR13" i="116"/>
  <c r="AQ13" i="116"/>
  <c r="AP13" i="116"/>
  <c r="AO13" i="116"/>
  <c r="AN13" i="116"/>
  <c r="AM13" i="116"/>
  <c r="AL13" i="116"/>
  <c r="AK13" i="116"/>
  <c r="AJ13" i="116"/>
  <c r="AI13" i="116"/>
  <c r="AH13" i="116"/>
  <c r="AG13" i="116"/>
  <c r="AF13" i="116"/>
  <c r="AE13" i="116"/>
  <c r="BE12" i="116"/>
  <c r="BD12" i="116"/>
  <c r="BC12" i="116"/>
  <c r="BB12" i="116"/>
  <c r="BA12" i="116"/>
  <c r="AZ12" i="116"/>
  <c r="AY12" i="116"/>
  <c r="AX12" i="116"/>
  <c r="AW12" i="116"/>
  <c r="AV12" i="116"/>
  <c r="AU12" i="116"/>
  <c r="AT12" i="116"/>
  <c r="AS12" i="116"/>
  <c r="AR12" i="116"/>
  <c r="AQ12" i="116"/>
  <c r="AP12" i="116"/>
  <c r="AO12" i="116"/>
  <c r="AN12" i="116"/>
  <c r="AM12" i="116"/>
  <c r="AL12" i="116"/>
  <c r="AK12" i="116"/>
  <c r="AJ12" i="116"/>
  <c r="AI12" i="116"/>
  <c r="AH12" i="116"/>
  <c r="AG12" i="116"/>
  <c r="AF12" i="116"/>
  <c r="AE12" i="116"/>
  <c r="BE11" i="116"/>
  <c r="BD11" i="116"/>
  <c r="BC11" i="116"/>
  <c r="BB11" i="116"/>
  <c r="BA11" i="116"/>
  <c r="AZ11" i="116"/>
  <c r="AY11" i="116"/>
  <c r="AX11" i="116"/>
  <c r="AW11" i="116"/>
  <c r="AV11" i="116"/>
  <c r="AU11" i="116"/>
  <c r="AT11" i="116"/>
  <c r="AS11" i="116"/>
  <c r="AR11" i="116"/>
  <c r="AQ11" i="116"/>
  <c r="AP11" i="116"/>
  <c r="AO11" i="116"/>
  <c r="AN11" i="116"/>
  <c r="AM11" i="116"/>
  <c r="AL11" i="116"/>
  <c r="AK11" i="116"/>
  <c r="AJ11" i="116"/>
  <c r="AI11" i="116"/>
  <c r="AH11" i="116"/>
  <c r="AG11" i="116"/>
  <c r="AF11" i="116"/>
  <c r="AE11" i="116"/>
  <c r="BE10" i="116"/>
  <c r="BD10" i="116"/>
  <c r="BC10" i="116"/>
  <c r="BB10" i="116"/>
  <c r="BA10" i="116"/>
  <c r="AZ10" i="116"/>
  <c r="AY10" i="116"/>
  <c r="AX10" i="116"/>
  <c r="AW10" i="116"/>
  <c r="AV10" i="116"/>
  <c r="AU10" i="116"/>
  <c r="AT10" i="116"/>
  <c r="AS10" i="116"/>
  <c r="AR10" i="116"/>
  <c r="AQ10" i="116"/>
  <c r="AP10" i="116"/>
  <c r="AO10" i="116"/>
  <c r="AN10" i="116"/>
  <c r="AM10" i="116"/>
  <c r="AL10" i="116"/>
  <c r="AK10" i="116"/>
  <c r="AJ10" i="116"/>
  <c r="AI10" i="116"/>
  <c r="AH10" i="116"/>
  <c r="AG10" i="116"/>
  <c r="AF10" i="116"/>
  <c r="AE10" i="116"/>
  <c r="BE9" i="116"/>
  <c r="BD9" i="116"/>
  <c r="BC9" i="116"/>
  <c r="BB9" i="116"/>
  <c r="BA9" i="116"/>
  <c r="AZ9" i="116"/>
  <c r="AY9" i="116"/>
  <c r="AX9" i="116"/>
  <c r="AW9" i="116"/>
  <c r="AV9" i="116"/>
  <c r="AU9" i="116"/>
  <c r="AT9" i="116"/>
  <c r="AS9" i="116"/>
  <c r="AR9" i="116"/>
  <c r="AQ9" i="116"/>
  <c r="AP9" i="116"/>
  <c r="AO9" i="116"/>
  <c r="AN9" i="116"/>
  <c r="AM9" i="116"/>
  <c r="AL9" i="116"/>
  <c r="AK9" i="116"/>
  <c r="AJ9" i="116"/>
  <c r="AI9" i="116"/>
  <c r="AH9" i="116"/>
  <c r="AG9" i="116"/>
  <c r="AF9" i="116"/>
  <c r="AE9" i="116"/>
  <c r="BE8" i="116"/>
  <c r="BD8" i="116"/>
  <c r="BC8" i="116"/>
  <c r="BB8" i="116"/>
  <c r="BA8" i="116"/>
  <c r="AZ8" i="116"/>
  <c r="AY8" i="116"/>
  <c r="AX8" i="116"/>
  <c r="AW8" i="116"/>
  <c r="AV8" i="116"/>
  <c r="AU8" i="116"/>
  <c r="AT8" i="116"/>
  <c r="AS8" i="116"/>
  <c r="AR8" i="116"/>
  <c r="AQ8" i="116"/>
  <c r="AP8" i="116"/>
  <c r="AO8" i="116"/>
  <c r="AN8" i="116"/>
  <c r="AM8" i="116"/>
  <c r="AL8" i="116"/>
  <c r="AK8" i="116"/>
  <c r="AJ8" i="116"/>
  <c r="AI8" i="116"/>
  <c r="AH8" i="116"/>
  <c r="AG8" i="116"/>
  <c r="AF8" i="116"/>
  <c r="AE8" i="116"/>
  <c r="BE7" i="116"/>
  <c r="BD7" i="116"/>
  <c r="BC7" i="116"/>
  <c r="BB7" i="116"/>
  <c r="BA7" i="116"/>
  <c r="AZ7" i="116"/>
  <c r="AY7" i="116"/>
  <c r="AX7" i="116"/>
  <c r="AW7" i="116"/>
  <c r="AV7" i="116"/>
  <c r="AU7" i="116"/>
  <c r="AT7" i="116"/>
  <c r="AS7" i="116"/>
  <c r="AR7" i="116"/>
  <c r="AQ7" i="116"/>
  <c r="AP7" i="116"/>
  <c r="AO7" i="116"/>
  <c r="AN7" i="116"/>
  <c r="AM7" i="116"/>
  <c r="AL7" i="116"/>
  <c r="AK7" i="116"/>
  <c r="AJ7" i="116"/>
  <c r="AI7" i="116"/>
  <c r="AH7" i="116"/>
  <c r="AG7" i="116"/>
  <c r="AF7" i="116"/>
  <c r="AE7" i="116"/>
  <c r="BE6" i="116"/>
  <c r="BD6" i="116"/>
  <c r="BC6" i="116"/>
  <c r="BB6" i="116"/>
  <c r="BA6" i="116"/>
  <c r="AZ6" i="116"/>
  <c r="AY6" i="116"/>
  <c r="AX6" i="116"/>
  <c r="AW6" i="116"/>
  <c r="AV6" i="116"/>
  <c r="AU6" i="116"/>
  <c r="AT6" i="116"/>
  <c r="AS6" i="116"/>
  <c r="AR6" i="116"/>
  <c r="AQ6" i="116"/>
  <c r="AP6" i="116"/>
  <c r="AO6" i="116"/>
  <c r="AN6" i="116"/>
  <c r="AM6" i="116"/>
  <c r="AL6" i="116"/>
  <c r="AK6" i="116"/>
  <c r="AJ6" i="116"/>
  <c r="AI6" i="116"/>
  <c r="AH6" i="116"/>
  <c r="AG6" i="116"/>
  <c r="AF6" i="116"/>
  <c r="AE6" i="116"/>
  <c r="BE5" i="116"/>
  <c r="BD5" i="116"/>
  <c r="BC5" i="116"/>
  <c r="BB5" i="116"/>
  <c r="BA5" i="116"/>
  <c r="AZ5" i="116"/>
  <c r="AY5" i="116"/>
  <c r="AX5" i="116"/>
  <c r="AW5" i="116"/>
  <c r="AV5" i="116"/>
  <c r="AU5" i="116"/>
  <c r="AT5" i="116"/>
  <c r="AS5" i="116"/>
  <c r="AR5" i="116"/>
  <c r="AQ5" i="116"/>
  <c r="AP5" i="116"/>
  <c r="AO5" i="116"/>
  <c r="AN5" i="116"/>
  <c r="AM5" i="116"/>
  <c r="AL5" i="116"/>
  <c r="AK5" i="116"/>
  <c r="AJ5" i="116"/>
  <c r="AI5" i="116"/>
  <c r="AH5" i="116"/>
  <c r="AG5" i="116"/>
  <c r="AF5" i="116"/>
  <c r="AE5" i="116"/>
  <c r="BE4" i="116"/>
  <c r="BD4" i="116"/>
  <c r="BC4" i="116"/>
  <c r="BB4" i="116"/>
  <c r="BA4" i="116"/>
  <c r="AZ4" i="116"/>
  <c r="AY4" i="116"/>
  <c r="AX4" i="116"/>
  <c r="AW4" i="116"/>
  <c r="AV4" i="116"/>
  <c r="AU4" i="116"/>
  <c r="AT4" i="116"/>
  <c r="AS4" i="116"/>
  <c r="AR4" i="116"/>
  <c r="AQ4" i="116"/>
  <c r="AP4" i="116"/>
  <c r="AO4" i="116"/>
  <c r="AN4" i="116"/>
  <c r="AM4" i="116"/>
  <c r="AL4" i="116"/>
  <c r="AK4" i="116"/>
  <c r="AJ4" i="116"/>
  <c r="AI4" i="116"/>
  <c r="AH4" i="116"/>
  <c r="AG4" i="116"/>
  <c r="AF4" i="116"/>
  <c r="AE4" i="116"/>
  <c r="BE3" i="116"/>
  <c r="BD3" i="116"/>
  <c r="BC3" i="116"/>
  <c r="BB3" i="116"/>
  <c r="BA3" i="116"/>
  <c r="AZ3" i="116"/>
  <c r="AY3" i="116"/>
  <c r="AX3" i="116"/>
  <c r="AW3" i="116"/>
  <c r="AV3" i="116"/>
  <c r="AU3" i="116"/>
  <c r="AT3" i="116"/>
  <c r="AS3" i="116"/>
  <c r="AR3" i="116"/>
  <c r="AQ3" i="116"/>
  <c r="AP3" i="116"/>
  <c r="AO3" i="116"/>
  <c r="AN3" i="116"/>
  <c r="AM3" i="116"/>
  <c r="AL3" i="116"/>
  <c r="AK3" i="116"/>
  <c r="AJ3" i="116"/>
  <c r="AI3" i="116"/>
  <c r="AH3" i="116"/>
  <c r="AG3" i="116"/>
  <c r="AF3" i="116"/>
  <c r="AE3" i="116"/>
  <c r="BE2" i="116"/>
  <c r="BD2" i="116"/>
  <c r="BC2" i="116"/>
  <c r="BB2" i="116"/>
  <c r="BA2" i="116"/>
  <c r="AZ2" i="116"/>
  <c r="AY2" i="116"/>
  <c r="AX2" i="116"/>
  <c r="AW2" i="116"/>
  <c r="AV2" i="116"/>
  <c r="AU2" i="116"/>
  <c r="AT2" i="116"/>
  <c r="AS2" i="116"/>
  <c r="AR2" i="116"/>
  <c r="AQ2" i="116"/>
  <c r="AP2" i="116"/>
  <c r="AO2" i="116"/>
  <c r="AN2" i="116"/>
  <c r="AM2" i="116"/>
  <c r="AL2" i="116"/>
  <c r="AK2" i="116"/>
  <c r="AJ2" i="116"/>
  <c r="AI2" i="116"/>
  <c r="AH2" i="116"/>
  <c r="AG2" i="116"/>
  <c r="AF2" i="116"/>
  <c r="AE2" i="116"/>
  <c r="BE1" i="116"/>
  <c r="BD1" i="116"/>
  <c r="BC1" i="116"/>
  <c r="BB1" i="116"/>
  <c r="BA1" i="116"/>
  <c r="AZ1" i="116"/>
  <c r="AY1" i="116"/>
  <c r="AX1" i="116"/>
  <c r="AW1" i="116"/>
  <c r="AV1" i="116"/>
  <c r="AU1" i="116"/>
  <c r="AT1" i="116"/>
  <c r="AS1" i="116"/>
  <c r="AR1" i="116"/>
  <c r="AQ1" i="116"/>
  <c r="AP1" i="116"/>
  <c r="AO1" i="116"/>
  <c r="AN1" i="116"/>
  <c r="AM1" i="116"/>
  <c r="AL1" i="116"/>
  <c r="AK1" i="116"/>
  <c r="AJ1" i="116"/>
  <c r="AI1" i="116"/>
  <c r="AH1" i="116"/>
  <c r="AG1" i="116"/>
  <c r="AF1" i="116"/>
  <c r="BE33" i="126"/>
  <c r="BD33" i="126"/>
  <c r="BC33" i="126"/>
  <c r="BB33" i="126"/>
  <c r="BA33" i="126"/>
  <c r="AZ33" i="126"/>
  <c r="AY33" i="126"/>
  <c r="AX33" i="126"/>
  <c r="AW33" i="126"/>
  <c r="AV33" i="126"/>
  <c r="AU33" i="126"/>
  <c r="AT33" i="126"/>
  <c r="AS33" i="126"/>
  <c r="AR33" i="126"/>
  <c r="AQ33" i="126"/>
  <c r="AP33" i="126"/>
  <c r="AO33" i="126"/>
  <c r="AN33" i="126"/>
  <c r="AM33" i="126"/>
  <c r="AL33" i="126"/>
  <c r="AK33" i="126"/>
  <c r="AJ33" i="126"/>
  <c r="AI33" i="126"/>
  <c r="AH33" i="126"/>
  <c r="AG33" i="126"/>
  <c r="AF33" i="126"/>
  <c r="AE33" i="126"/>
  <c r="BE32" i="126"/>
  <c r="BD32" i="126"/>
  <c r="BC32" i="126"/>
  <c r="BB32" i="126"/>
  <c r="BA32" i="126"/>
  <c r="AZ32" i="126"/>
  <c r="AY32" i="126"/>
  <c r="AX32" i="126"/>
  <c r="AW32" i="126"/>
  <c r="AV32" i="126"/>
  <c r="AU32" i="126"/>
  <c r="AT32" i="126"/>
  <c r="AS32" i="126"/>
  <c r="AR32" i="126"/>
  <c r="AQ32" i="126"/>
  <c r="AP32" i="126"/>
  <c r="AO32" i="126"/>
  <c r="AN32" i="126"/>
  <c r="AM32" i="126"/>
  <c r="AL32" i="126"/>
  <c r="AK32" i="126"/>
  <c r="AJ32" i="126"/>
  <c r="AI32" i="126"/>
  <c r="AH32" i="126"/>
  <c r="AG32" i="126"/>
  <c r="AF32" i="126"/>
  <c r="AE32" i="126"/>
  <c r="BE31" i="126"/>
  <c r="BD31" i="126"/>
  <c r="BC31" i="126"/>
  <c r="BB31" i="126"/>
  <c r="BA31" i="126"/>
  <c r="AZ31" i="126"/>
  <c r="AY31" i="126"/>
  <c r="AX31" i="126"/>
  <c r="AW31" i="126"/>
  <c r="AV31" i="126"/>
  <c r="AU31" i="126"/>
  <c r="AT31" i="126"/>
  <c r="AS31" i="126"/>
  <c r="AR31" i="126"/>
  <c r="AQ31" i="126"/>
  <c r="AP31" i="126"/>
  <c r="AO31" i="126"/>
  <c r="AN31" i="126"/>
  <c r="AM31" i="126"/>
  <c r="AL31" i="126"/>
  <c r="AK31" i="126"/>
  <c r="AJ31" i="126"/>
  <c r="AI31" i="126"/>
  <c r="AH31" i="126"/>
  <c r="AG31" i="126"/>
  <c r="AF31" i="126"/>
  <c r="AE31" i="126"/>
  <c r="BE30" i="126"/>
  <c r="BD30" i="126"/>
  <c r="BC30" i="126"/>
  <c r="BB30" i="126"/>
  <c r="BA30" i="126"/>
  <c r="AZ30" i="126"/>
  <c r="AY30" i="126"/>
  <c r="AX30" i="126"/>
  <c r="AW30" i="126"/>
  <c r="AV30" i="126"/>
  <c r="AU30" i="126"/>
  <c r="AT30" i="126"/>
  <c r="AS30" i="126"/>
  <c r="AR30" i="126"/>
  <c r="AQ30" i="126"/>
  <c r="AP30" i="126"/>
  <c r="AO30" i="126"/>
  <c r="AN30" i="126"/>
  <c r="AM30" i="126"/>
  <c r="AL30" i="126"/>
  <c r="AK30" i="126"/>
  <c r="AJ30" i="126"/>
  <c r="AI30" i="126"/>
  <c r="AH30" i="126"/>
  <c r="AG30" i="126"/>
  <c r="AF30" i="126"/>
  <c r="AE30" i="126"/>
  <c r="BE29" i="126"/>
  <c r="BD29" i="126"/>
  <c r="BC29" i="126"/>
  <c r="BB29" i="126"/>
  <c r="BA29" i="126"/>
  <c r="AZ29" i="126"/>
  <c r="AY29" i="126"/>
  <c r="AX29" i="126"/>
  <c r="AW29" i="126"/>
  <c r="AV29" i="126"/>
  <c r="AU29" i="126"/>
  <c r="AT29" i="126"/>
  <c r="AS29" i="126"/>
  <c r="AR29" i="126"/>
  <c r="AQ29" i="126"/>
  <c r="AP29" i="126"/>
  <c r="AO29" i="126"/>
  <c r="AN29" i="126"/>
  <c r="AM29" i="126"/>
  <c r="AL29" i="126"/>
  <c r="AK29" i="126"/>
  <c r="AJ29" i="126"/>
  <c r="AI29" i="126"/>
  <c r="AH29" i="126"/>
  <c r="AG29" i="126"/>
  <c r="AF29" i="126"/>
  <c r="AE29" i="126"/>
  <c r="BE28" i="126"/>
  <c r="BD28" i="126"/>
  <c r="BC28" i="126"/>
  <c r="BB28" i="126"/>
  <c r="BA28" i="126"/>
  <c r="AZ28" i="126"/>
  <c r="AY28" i="126"/>
  <c r="AX28" i="126"/>
  <c r="AW28" i="126"/>
  <c r="AV28" i="126"/>
  <c r="AU28" i="126"/>
  <c r="AT28" i="126"/>
  <c r="AS28" i="126"/>
  <c r="AR28" i="126"/>
  <c r="AQ28" i="126"/>
  <c r="AP28" i="126"/>
  <c r="AO28" i="126"/>
  <c r="AN28" i="126"/>
  <c r="AM28" i="126"/>
  <c r="AL28" i="126"/>
  <c r="AK28" i="126"/>
  <c r="AJ28" i="126"/>
  <c r="AI28" i="126"/>
  <c r="AH28" i="126"/>
  <c r="AG28" i="126"/>
  <c r="AF28" i="126"/>
  <c r="AE28" i="126"/>
  <c r="BE27" i="126"/>
  <c r="BD27" i="126"/>
  <c r="BC27" i="126"/>
  <c r="BB27" i="126"/>
  <c r="BA27" i="126"/>
  <c r="AZ27" i="126"/>
  <c r="AY27" i="126"/>
  <c r="AX27" i="126"/>
  <c r="AW27" i="126"/>
  <c r="AV27" i="126"/>
  <c r="AU27" i="126"/>
  <c r="AT27" i="126"/>
  <c r="AS27" i="126"/>
  <c r="AR27" i="126"/>
  <c r="AQ27" i="126"/>
  <c r="AP27" i="126"/>
  <c r="AO27" i="126"/>
  <c r="AN27" i="126"/>
  <c r="AM27" i="126"/>
  <c r="AL27" i="126"/>
  <c r="AK27" i="126"/>
  <c r="AJ27" i="126"/>
  <c r="AI27" i="126"/>
  <c r="AH27" i="126"/>
  <c r="AG27" i="126"/>
  <c r="AF27" i="126"/>
  <c r="AE27" i="126"/>
  <c r="BE26" i="126"/>
  <c r="BD26" i="126"/>
  <c r="BC26" i="126"/>
  <c r="BB26" i="126"/>
  <c r="BA26" i="126"/>
  <c r="AZ26" i="126"/>
  <c r="AY26" i="126"/>
  <c r="AX26" i="126"/>
  <c r="AW26" i="126"/>
  <c r="AV26" i="126"/>
  <c r="AU26" i="126"/>
  <c r="AT26" i="126"/>
  <c r="AS26" i="126"/>
  <c r="AR26" i="126"/>
  <c r="AQ26" i="126"/>
  <c r="AP26" i="126"/>
  <c r="AO26" i="126"/>
  <c r="AN26" i="126"/>
  <c r="AM26" i="126"/>
  <c r="AL26" i="126"/>
  <c r="AK26" i="126"/>
  <c r="AJ26" i="126"/>
  <c r="AI26" i="126"/>
  <c r="AH26" i="126"/>
  <c r="AG26" i="126"/>
  <c r="AF26" i="126"/>
  <c r="AE26" i="126"/>
  <c r="BE25" i="126"/>
  <c r="BD25" i="126"/>
  <c r="BC25" i="126"/>
  <c r="BB25" i="126"/>
  <c r="BA25" i="126"/>
  <c r="AZ25" i="126"/>
  <c r="AY25" i="126"/>
  <c r="AX25" i="126"/>
  <c r="AW25" i="126"/>
  <c r="AV25" i="126"/>
  <c r="AU25" i="126"/>
  <c r="AT25" i="126"/>
  <c r="AS25" i="126"/>
  <c r="AR25" i="126"/>
  <c r="AQ25" i="126"/>
  <c r="AP25" i="126"/>
  <c r="AO25" i="126"/>
  <c r="AN25" i="126"/>
  <c r="AM25" i="126"/>
  <c r="AL25" i="126"/>
  <c r="AK25" i="126"/>
  <c r="AJ25" i="126"/>
  <c r="AI25" i="126"/>
  <c r="AH25" i="126"/>
  <c r="AG25" i="126"/>
  <c r="AF25" i="126"/>
  <c r="AE25" i="126"/>
  <c r="BE24" i="126"/>
  <c r="BD24" i="126"/>
  <c r="BC24" i="126"/>
  <c r="BB24" i="126"/>
  <c r="BA24" i="126"/>
  <c r="AZ24" i="126"/>
  <c r="AY24" i="126"/>
  <c r="AX24" i="126"/>
  <c r="AW24" i="126"/>
  <c r="AV24" i="126"/>
  <c r="AU24" i="126"/>
  <c r="AT24" i="126"/>
  <c r="AS24" i="126"/>
  <c r="AR24" i="126"/>
  <c r="AQ24" i="126"/>
  <c r="AP24" i="126"/>
  <c r="AO24" i="126"/>
  <c r="AN24" i="126"/>
  <c r="AM24" i="126"/>
  <c r="AL24" i="126"/>
  <c r="AK24" i="126"/>
  <c r="AJ24" i="126"/>
  <c r="AI24" i="126"/>
  <c r="AH24" i="126"/>
  <c r="AG24" i="126"/>
  <c r="AF24" i="126"/>
  <c r="AE24" i="126"/>
  <c r="BE23" i="126"/>
  <c r="BD23" i="126"/>
  <c r="BC23" i="126"/>
  <c r="BB23" i="126"/>
  <c r="BA23" i="126"/>
  <c r="AZ23" i="126"/>
  <c r="AY23" i="126"/>
  <c r="AX23" i="126"/>
  <c r="AW23" i="126"/>
  <c r="AV23" i="126"/>
  <c r="AU23" i="126"/>
  <c r="AT23" i="126"/>
  <c r="AS23" i="126"/>
  <c r="AR23" i="126"/>
  <c r="AQ23" i="126"/>
  <c r="AP23" i="126"/>
  <c r="AO23" i="126"/>
  <c r="AN23" i="126"/>
  <c r="AM23" i="126"/>
  <c r="AL23" i="126"/>
  <c r="AK23" i="126"/>
  <c r="AJ23" i="126"/>
  <c r="AI23" i="126"/>
  <c r="AH23" i="126"/>
  <c r="AG23" i="126"/>
  <c r="AF23" i="126"/>
  <c r="AE23" i="126"/>
  <c r="BE22" i="126"/>
  <c r="BD22" i="126"/>
  <c r="BC22" i="126"/>
  <c r="BB22" i="126"/>
  <c r="BA22" i="126"/>
  <c r="AZ22" i="126"/>
  <c r="AY22" i="126"/>
  <c r="AX22" i="126"/>
  <c r="AW22" i="126"/>
  <c r="AV22" i="126"/>
  <c r="AU22" i="126"/>
  <c r="AT22" i="126"/>
  <c r="AS22" i="126"/>
  <c r="AR22" i="126"/>
  <c r="AQ22" i="126"/>
  <c r="AP22" i="126"/>
  <c r="AO22" i="126"/>
  <c r="AN22" i="126"/>
  <c r="AM22" i="126"/>
  <c r="AL22" i="126"/>
  <c r="AK22" i="126"/>
  <c r="AJ22" i="126"/>
  <c r="AI22" i="126"/>
  <c r="AH22" i="126"/>
  <c r="AG22" i="126"/>
  <c r="AF22" i="126"/>
  <c r="AE22" i="126"/>
  <c r="BE21" i="126"/>
  <c r="BD21" i="126"/>
  <c r="BC21" i="126"/>
  <c r="BB21" i="126"/>
  <c r="BA21" i="126"/>
  <c r="AZ21" i="126"/>
  <c r="AY21" i="126"/>
  <c r="AX21" i="126"/>
  <c r="AW21" i="126"/>
  <c r="AV21" i="126"/>
  <c r="AU21" i="126"/>
  <c r="AT21" i="126"/>
  <c r="AS21" i="126"/>
  <c r="AR21" i="126"/>
  <c r="AQ21" i="126"/>
  <c r="AP21" i="126"/>
  <c r="AO21" i="126"/>
  <c r="AN21" i="126"/>
  <c r="AM21" i="126"/>
  <c r="AL21" i="126"/>
  <c r="AK21" i="126"/>
  <c r="AJ21" i="126"/>
  <c r="AI21" i="126"/>
  <c r="AH21" i="126"/>
  <c r="AG21" i="126"/>
  <c r="AF21" i="126"/>
  <c r="AE21" i="126"/>
  <c r="BE20" i="126"/>
  <c r="BD20" i="126"/>
  <c r="BC20" i="126"/>
  <c r="BB20" i="126"/>
  <c r="BA20" i="126"/>
  <c r="AZ20" i="126"/>
  <c r="AY20" i="126"/>
  <c r="AX20" i="126"/>
  <c r="AW20" i="126"/>
  <c r="AV20" i="126"/>
  <c r="AU20" i="126"/>
  <c r="AT20" i="126"/>
  <c r="AS20" i="126"/>
  <c r="AR20" i="126"/>
  <c r="AQ20" i="126"/>
  <c r="AP20" i="126"/>
  <c r="AO20" i="126"/>
  <c r="AN20" i="126"/>
  <c r="AM20" i="126"/>
  <c r="AL20" i="126"/>
  <c r="AK20" i="126"/>
  <c r="AJ20" i="126"/>
  <c r="AI20" i="126"/>
  <c r="AH20" i="126"/>
  <c r="AG20" i="126"/>
  <c r="AF20" i="126"/>
  <c r="AE20" i="126"/>
  <c r="BE19" i="126"/>
  <c r="BD19" i="126"/>
  <c r="BC19" i="126"/>
  <c r="BB19" i="126"/>
  <c r="BA19" i="126"/>
  <c r="AZ19" i="126"/>
  <c r="AY19" i="126"/>
  <c r="AX19" i="126"/>
  <c r="AW19" i="126"/>
  <c r="AV19" i="126"/>
  <c r="AU19" i="126"/>
  <c r="AT19" i="126"/>
  <c r="AS19" i="126"/>
  <c r="AR19" i="126"/>
  <c r="AQ19" i="126"/>
  <c r="AP19" i="126"/>
  <c r="AO19" i="126"/>
  <c r="AN19" i="126"/>
  <c r="AM19" i="126"/>
  <c r="AL19" i="126"/>
  <c r="AK19" i="126"/>
  <c r="AJ19" i="126"/>
  <c r="AI19" i="126"/>
  <c r="AH19" i="126"/>
  <c r="AG19" i="126"/>
  <c r="AF19" i="126"/>
  <c r="AE19" i="126"/>
  <c r="BE18" i="126"/>
  <c r="BD18" i="126"/>
  <c r="BC18" i="126"/>
  <c r="BB18" i="126"/>
  <c r="BA18" i="126"/>
  <c r="AZ18" i="126"/>
  <c r="AY18" i="126"/>
  <c r="AX18" i="126"/>
  <c r="AW18" i="126"/>
  <c r="AV18" i="126"/>
  <c r="AU18" i="126"/>
  <c r="AT18" i="126"/>
  <c r="AS18" i="126"/>
  <c r="AR18" i="126"/>
  <c r="AQ18" i="126"/>
  <c r="AP18" i="126"/>
  <c r="AO18" i="126"/>
  <c r="AN18" i="126"/>
  <c r="AM18" i="126"/>
  <c r="AL18" i="126"/>
  <c r="AK18" i="126"/>
  <c r="AJ18" i="126"/>
  <c r="AI18" i="126"/>
  <c r="AH18" i="126"/>
  <c r="AG18" i="126"/>
  <c r="AF18" i="126"/>
  <c r="AE18" i="126"/>
  <c r="BE17" i="126"/>
  <c r="BD17" i="126"/>
  <c r="BC17" i="126"/>
  <c r="BB17" i="126"/>
  <c r="BA17" i="126"/>
  <c r="AZ17" i="126"/>
  <c r="AY17" i="126"/>
  <c r="AX17" i="126"/>
  <c r="AW17" i="126"/>
  <c r="AV17" i="126"/>
  <c r="AU17" i="126"/>
  <c r="AT17" i="126"/>
  <c r="AS17" i="126"/>
  <c r="AR17" i="126"/>
  <c r="AQ17" i="126"/>
  <c r="AP17" i="126"/>
  <c r="AO17" i="126"/>
  <c r="AN17" i="126"/>
  <c r="AM17" i="126"/>
  <c r="AL17" i="126"/>
  <c r="AK17" i="126"/>
  <c r="AJ17" i="126"/>
  <c r="AI17" i="126"/>
  <c r="AH17" i="126"/>
  <c r="AG17" i="126"/>
  <c r="AF17" i="126"/>
  <c r="AE17" i="126"/>
  <c r="BE16" i="126"/>
  <c r="BD16" i="126"/>
  <c r="BC16" i="126"/>
  <c r="BB16" i="126"/>
  <c r="BA16" i="126"/>
  <c r="AZ16" i="126"/>
  <c r="AY16" i="126"/>
  <c r="AX16" i="126"/>
  <c r="AW16" i="126"/>
  <c r="AV16" i="126"/>
  <c r="AU16" i="126"/>
  <c r="AT16" i="126"/>
  <c r="AS16" i="126"/>
  <c r="AR16" i="126"/>
  <c r="AQ16" i="126"/>
  <c r="AP16" i="126"/>
  <c r="AO16" i="126"/>
  <c r="AN16" i="126"/>
  <c r="AM16" i="126"/>
  <c r="AL16" i="126"/>
  <c r="AK16" i="126"/>
  <c r="AJ16" i="126"/>
  <c r="AI16" i="126"/>
  <c r="AH16" i="126"/>
  <c r="AG16" i="126"/>
  <c r="AF16" i="126"/>
  <c r="AE16" i="126"/>
  <c r="BE15" i="126"/>
  <c r="BD15" i="126"/>
  <c r="BC15" i="126"/>
  <c r="BB15" i="126"/>
  <c r="BA15" i="126"/>
  <c r="AZ15" i="126"/>
  <c r="AY15" i="126"/>
  <c r="AX15" i="126"/>
  <c r="AW15" i="126"/>
  <c r="AV15" i="126"/>
  <c r="AU15" i="126"/>
  <c r="AT15" i="126"/>
  <c r="AS15" i="126"/>
  <c r="AR15" i="126"/>
  <c r="AQ15" i="126"/>
  <c r="AP15" i="126"/>
  <c r="AO15" i="126"/>
  <c r="AN15" i="126"/>
  <c r="AM15" i="126"/>
  <c r="AL15" i="126"/>
  <c r="AK15" i="126"/>
  <c r="AJ15" i="126"/>
  <c r="AI15" i="126"/>
  <c r="AH15" i="126"/>
  <c r="AG15" i="126"/>
  <c r="AF15" i="126"/>
  <c r="AE15" i="126"/>
  <c r="BE14" i="126"/>
  <c r="BD14" i="126"/>
  <c r="BC14" i="126"/>
  <c r="BB14" i="126"/>
  <c r="BA14" i="126"/>
  <c r="AZ14" i="126"/>
  <c r="AY14" i="126"/>
  <c r="AX14" i="126"/>
  <c r="AW14" i="126"/>
  <c r="AV14" i="126"/>
  <c r="AU14" i="126"/>
  <c r="AT14" i="126"/>
  <c r="AS14" i="126"/>
  <c r="AR14" i="126"/>
  <c r="AQ14" i="126"/>
  <c r="AP14" i="126"/>
  <c r="AO14" i="126"/>
  <c r="AN14" i="126"/>
  <c r="AM14" i="126"/>
  <c r="AL14" i="126"/>
  <c r="AK14" i="126"/>
  <c r="AJ14" i="126"/>
  <c r="AI14" i="126"/>
  <c r="AH14" i="126"/>
  <c r="AG14" i="126"/>
  <c r="AF14" i="126"/>
  <c r="AE14" i="126"/>
  <c r="BE13" i="126"/>
  <c r="BD13" i="126"/>
  <c r="BC13" i="126"/>
  <c r="BB13" i="126"/>
  <c r="BA13" i="126"/>
  <c r="AZ13" i="126"/>
  <c r="AY13" i="126"/>
  <c r="AX13" i="126"/>
  <c r="AW13" i="126"/>
  <c r="AV13" i="126"/>
  <c r="AU13" i="126"/>
  <c r="AT13" i="126"/>
  <c r="AS13" i="126"/>
  <c r="AR13" i="126"/>
  <c r="AQ13" i="126"/>
  <c r="AP13" i="126"/>
  <c r="AO13" i="126"/>
  <c r="AN13" i="126"/>
  <c r="AM13" i="126"/>
  <c r="AL13" i="126"/>
  <c r="AK13" i="126"/>
  <c r="AJ13" i="126"/>
  <c r="AI13" i="126"/>
  <c r="AH13" i="126"/>
  <c r="AG13" i="126"/>
  <c r="AF13" i="126"/>
  <c r="AE13" i="126"/>
  <c r="BE12" i="126"/>
  <c r="BD12" i="126"/>
  <c r="BC12" i="126"/>
  <c r="BB12" i="126"/>
  <c r="BA12" i="126"/>
  <c r="AZ12" i="126"/>
  <c r="AY12" i="126"/>
  <c r="AX12" i="126"/>
  <c r="AW12" i="126"/>
  <c r="AV12" i="126"/>
  <c r="AU12" i="126"/>
  <c r="AT12" i="126"/>
  <c r="AS12" i="126"/>
  <c r="AR12" i="126"/>
  <c r="AQ12" i="126"/>
  <c r="AP12" i="126"/>
  <c r="AO12" i="126"/>
  <c r="AN12" i="126"/>
  <c r="AM12" i="126"/>
  <c r="AL12" i="126"/>
  <c r="AK12" i="126"/>
  <c r="AJ12" i="126"/>
  <c r="AI12" i="126"/>
  <c r="AH12" i="126"/>
  <c r="AG12" i="126"/>
  <c r="AF12" i="126"/>
  <c r="AE12" i="126"/>
  <c r="BE11" i="126"/>
  <c r="BD11" i="126"/>
  <c r="BC11" i="126"/>
  <c r="BB11" i="126"/>
  <c r="BA11" i="126"/>
  <c r="AZ11" i="126"/>
  <c r="AY11" i="126"/>
  <c r="AX11" i="126"/>
  <c r="AW11" i="126"/>
  <c r="AV11" i="126"/>
  <c r="AU11" i="126"/>
  <c r="AT11" i="126"/>
  <c r="AS11" i="126"/>
  <c r="AR11" i="126"/>
  <c r="AQ11" i="126"/>
  <c r="AP11" i="126"/>
  <c r="AO11" i="126"/>
  <c r="AN11" i="126"/>
  <c r="AM11" i="126"/>
  <c r="AL11" i="126"/>
  <c r="AK11" i="126"/>
  <c r="AJ11" i="126"/>
  <c r="AI11" i="126"/>
  <c r="AH11" i="126"/>
  <c r="AG11" i="126"/>
  <c r="AF11" i="126"/>
  <c r="AE11" i="126"/>
  <c r="BE10" i="126"/>
  <c r="BD10" i="126"/>
  <c r="BC10" i="126"/>
  <c r="BB10" i="126"/>
  <c r="BA10" i="126"/>
  <c r="AZ10" i="126"/>
  <c r="AY10" i="126"/>
  <c r="AX10" i="126"/>
  <c r="AW10" i="126"/>
  <c r="AV10" i="126"/>
  <c r="AU10" i="126"/>
  <c r="AT10" i="126"/>
  <c r="AS10" i="126"/>
  <c r="AR10" i="126"/>
  <c r="AQ10" i="126"/>
  <c r="AP10" i="126"/>
  <c r="AO10" i="126"/>
  <c r="AN10" i="126"/>
  <c r="AM10" i="126"/>
  <c r="AL10" i="126"/>
  <c r="AK10" i="126"/>
  <c r="AJ10" i="126"/>
  <c r="AI10" i="126"/>
  <c r="AH10" i="126"/>
  <c r="AG10" i="126"/>
  <c r="AF10" i="126"/>
  <c r="AE10" i="126"/>
  <c r="BE9" i="126"/>
  <c r="BD9" i="126"/>
  <c r="BC9" i="126"/>
  <c r="BB9" i="126"/>
  <c r="BA9" i="126"/>
  <c r="AZ9" i="126"/>
  <c r="AY9" i="126"/>
  <c r="AX9" i="126"/>
  <c r="AW9" i="126"/>
  <c r="AV9" i="126"/>
  <c r="AU9" i="126"/>
  <c r="AT9" i="126"/>
  <c r="AS9" i="126"/>
  <c r="AR9" i="126"/>
  <c r="AQ9" i="126"/>
  <c r="AP9" i="126"/>
  <c r="AO9" i="126"/>
  <c r="AN9" i="126"/>
  <c r="AM9" i="126"/>
  <c r="AL9" i="126"/>
  <c r="AK9" i="126"/>
  <c r="AJ9" i="126"/>
  <c r="AI9" i="126"/>
  <c r="AH9" i="126"/>
  <c r="AG9" i="126"/>
  <c r="AF9" i="126"/>
  <c r="AE9" i="126"/>
  <c r="BE8" i="126"/>
  <c r="BD8" i="126"/>
  <c r="BC8" i="126"/>
  <c r="BB8" i="126"/>
  <c r="BA8" i="126"/>
  <c r="AZ8" i="126"/>
  <c r="AY8" i="126"/>
  <c r="AX8" i="126"/>
  <c r="AW8" i="126"/>
  <c r="AV8" i="126"/>
  <c r="AU8" i="126"/>
  <c r="AT8" i="126"/>
  <c r="AS8" i="126"/>
  <c r="AR8" i="126"/>
  <c r="AQ8" i="126"/>
  <c r="AP8" i="126"/>
  <c r="AO8" i="126"/>
  <c r="AN8" i="126"/>
  <c r="AM8" i="126"/>
  <c r="AL8" i="126"/>
  <c r="AK8" i="126"/>
  <c r="AJ8" i="126"/>
  <c r="AI8" i="126"/>
  <c r="AH8" i="126"/>
  <c r="AG8" i="126"/>
  <c r="AF8" i="126"/>
  <c r="AE8" i="126"/>
  <c r="BE7" i="126"/>
  <c r="BD7" i="126"/>
  <c r="BC7" i="126"/>
  <c r="BB7" i="126"/>
  <c r="BA7" i="126"/>
  <c r="AZ7" i="126"/>
  <c r="AY7" i="126"/>
  <c r="AX7" i="126"/>
  <c r="AW7" i="126"/>
  <c r="AV7" i="126"/>
  <c r="AU7" i="126"/>
  <c r="AT7" i="126"/>
  <c r="AS7" i="126"/>
  <c r="AR7" i="126"/>
  <c r="AQ7" i="126"/>
  <c r="AP7" i="126"/>
  <c r="AO7" i="126"/>
  <c r="AN7" i="126"/>
  <c r="AM7" i="126"/>
  <c r="AL7" i="126"/>
  <c r="AK7" i="126"/>
  <c r="AJ7" i="126"/>
  <c r="AI7" i="126"/>
  <c r="AH7" i="126"/>
  <c r="AG7" i="126"/>
  <c r="AF7" i="126"/>
  <c r="AE7" i="126"/>
  <c r="BE6" i="126"/>
  <c r="BD6" i="126"/>
  <c r="BC6" i="126"/>
  <c r="BB6" i="126"/>
  <c r="BA6" i="126"/>
  <c r="AZ6" i="126"/>
  <c r="AY6" i="126"/>
  <c r="AX6" i="126"/>
  <c r="AW6" i="126"/>
  <c r="AV6" i="126"/>
  <c r="AU6" i="126"/>
  <c r="AT6" i="126"/>
  <c r="AS6" i="126"/>
  <c r="AR6" i="126"/>
  <c r="AQ6" i="126"/>
  <c r="AP6" i="126"/>
  <c r="AO6" i="126"/>
  <c r="AN6" i="126"/>
  <c r="AM6" i="126"/>
  <c r="AL6" i="126"/>
  <c r="AK6" i="126"/>
  <c r="AJ6" i="126"/>
  <c r="AI6" i="126"/>
  <c r="AH6" i="126"/>
  <c r="AG6" i="126"/>
  <c r="AF6" i="126"/>
  <c r="AE6" i="126"/>
  <c r="BE5" i="126"/>
  <c r="BD5" i="126"/>
  <c r="BC5" i="126"/>
  <c r="BB5" i="126"/>
  <c r="BA5" i="126"/>
  <c r="AZ5" i="126"/>
  <c r="AY5" i="126"/>
  <c r="AX5" i="126"/>
  <c r="AW5" i="126"/>
  <c r="AV5" i="126"/>
  <c r="AU5" i="126"/>
  <c r="AT5" i="126"/>
  <c r="AS5" i="126"/>
  <c r="AR5" i="126"/>
  <c r="AQ5" i="126"/>
  <c r="AP5" i="126"/>
  <c r="AO5" i="126"/>
  <c r="AN5" i="126"/>
  <c r="AM5" i="126"/>
  <c r="AL5" i="126"/>
  <c r="AK5" i="126"/>
  <c r="AJ5" i="126"/>
  <c r="AI5" i="126"/>
  <c r="AH5" i="126"/>
  <c r="AG5" i="126"/>
  <c r="AF5" i="126"/>
  <c r="AE5" i="126"/>
  <c r="BE4" i="126"/>
  <c r="BD4" i="126"/>
  <c r="BC4" i="126"/>
  <c r="BB4" i="126"/>
  <c r="BA4" i="126"/>
  <c r="AZ4" i="126"/>
  <c r="AY4" i="126"/>
  <c r="AX4" i="126"/>
  <c r="AW4" i="126"/>
  <c r="AV4" i="126"/>
  <c r="AU4" i="126"/>
  <c r="AT4" i="126"/>
  <c r="AS4" i="126"/>
  <c r="AR4" i="126"/>
  <c r="AQ4" i="126"/>
  <c r="AP4" i="126"/>
  <c r="AO4" i="126"/>
  <c r="AN4" i="126"/>
  <c r="AM4" i="126"/>
  <c r="AL4" i="126"/>
  <c r="AK4" i="126"/>
  <c r="AJ4" i="126"/>
  <c r="AI4" i="126"/>
  <c r="AH4" i="126"/>
  <c r="AG4" i="126"/>
  <c r="AF4" i="126"/>
  <c r="AE4" i="126"/>
  <c r="BE3" i="126"/>
  <c r="BD3" i="126"/>
  <c r="BC3" i="126"/>
  <c r="BB3" i="126"/>
  <c r="BA3" i="126"/>
  <c r="AZ3" i="126"/>
  <c r="AY3" i="126"/>
  <c r="AX3" i="126"/>
  <c r="AW3" i="126"/>
  <c r="AV3" i="126"/>
  <c r="AU3" i="126"/>
  <c r="AT3" i="126"/>
  <c r="AS3" i="126"/>
  <c r="AR3" i="126"/>
  <c r="AQ3" i="126"/>
  <c r="AP3" i="126"/>
  <c r="AO3" i="126"/>
  <c r="AN3" i="126"/>
  <c r="AM3" i="126"/>
  <c r="AL3" i="126"/>
  <c r="AK3" i="126"/>
  <c r="AJ3" i="126"/>
  <c r="AI3" i="126"/>
  <c r="AH3" i="126"/>
  <c r="AG3" i="126"/>
  <c r="AF3" i="126"/>
  <c r="AE3" i="126"/>
  <c r="BE2" i="126"/>
  <c r="BD2" i="126"/>
  <c r="BC2" i="126"/>
  <c r="BB2" i="126"/>
  <c r="BA2" i="126"/>
  <c r="AZ2" i="126"/>
  <c r="AY2" i="126"/>
  <c r="AX2" i="126"/>
  <c r="AW2" i="126"/>
  <c r="AV2" i="126"/>
  <c r="AU2" i="126"/>
  <c r="AT2" i="126"/>
  <c r="AS2" i="126"/>
  <c r="AR2" i="126"/>
  <c r="AQ2" i="126"/>
  <c r="AP2" i="126"/>
  <c r="AO2" i="126"/>
  <c r="AN2" i="126"/>
  <c r="AM2" i="126"/>
  <c r="AL2" i="126"/>
  <c r="AK2" i="126"/>
  <c r="AJ2" i="126"/>
  <c r="AI2" i="126"/>
  <c r="AH2" i="126"/>
  <c r="AG2" i="126"/>
  <c r="AF2" i="126"/>
  <c r="AE2" i="126"/>
  <c r="BE1" i="126"/>
  <c r="BD1" i="126"/>
  <c r="BC1" i="126"/>
  <c r="BB1" i="126"/>
  <c r="BA1" i="126"/>
  <c r="AZ1" i="126"/>
  <c r="AY1" i="126"/>
  <c r="AX1" i="126"/>
  <c r="AW1" i="126"/>
  <c r="AV1" i="126"/>
  <c r="AU1" i="126"/>
  <c r="AT1" i="126"/>
  <c r="AS1" i="126"/>
  <c r="AR1" i="126"/>
  <c r="AQ1" i="126"/>
  <c r="AP1" i="126"/>
  <c r="AO1" i="126"/>
  <c r="AN1" i="126"/>
  <c r="AM1" i="126"/>
  <c r="AL1" i="126"/>
  <c r="AK1" i="126"/>
  <c r="AJ1" i="126"/>
  <c r="AI1" i="126"/>
  <c r="AH1" i="126"/>
  <c r="AG1" i="126"/>
  <c r="AF1" i="126"/>
  <c r="BE33" i="124"/>
  <c r="BD33" i="124"/>
  <c r="BC33" i="124"/>
  <c r="BB33" i="124"/>
  <c r="BA33" i="124"/>
  <c r="AZ33" i="124"/>
  <c r="AY33" i="124"/>
  <c r="AX33" i="124"/>
  <c r="AW33" i="124"/>
  <c r="AV33" i="124"/>
  <c r="AU33" i="124"/>
  <c r="AT33" i="124"/>
  <c r="AS33" i="124"/>
  <c r="AR33" i="124"/>
  <c r="AQ33" i="124"/>
  <c r="AP33" i="124"/>
  <c r="AO33" i="124"/>
  <c r="AN33" i="124"/>
  <c r="AM33" i="124"/>
  <c r="AL33" i="124"/>
  <c r="AK33" i="124"/>
  <c r="AJ33" i="124"/>
  <c r="AI33" i="124"/>
  <c r="AH33" i="124"/>
  <c r="AG33" i="124"/>
  <c r="AF33" i="124"/>
  <c r="AE33" i="124"/>
  <c r="BE32" i="124"/>
  <c r="BD32" i="124"/>
  <c r="BC32" i="124"/>
  <c r="BB32" i="124"/>
  <c r="BA32" i="124"/>
  <c r="AZ32" i="124"/>
  <c r="AY32" i="124"/>
  <c r="AX32" i="124"/>
  <c r="AW32" i="124"/>
  <c r="AV32" i="124"/>
  <c r="AU32" i="124"/>
  <c r="AT32" i="124"/>
  <c r="AS32" i="124"/>
  <c r="AR32" i="124"/>
  <c r="AQ32" i="124"/>
  <c r="AP32" i="124"/>
  <c r="AO32" i="124"/>
  <c r="AN32" i="124"/>
  <c r="AM32" i="124"/>
  <c r="AL32" i="124"/>
  <c r="AK32" i="124"/>
  <c r="AJ32" i="124"/>
  <c r="AI32" i="124"/>
  <c r="AH32" i="124"/>
  <c r="AG32" i="124"/>
  <c r="AF32" i="124"/>
  <c r="AE32" i="124"/>
  <c r="BE31" i="124"/>
  <c r="BD31" i="124"/>
  <c r="BC31" i="124"/>
  <c r="BB31" i="124"/>
  <c r="BA31" i="124"/>
  <c r="AZ31" i="124"/>
  <c r="AY31" i="124"/>
  <c r="AX31" i="124"/>
  <c r="AW31" i="124"/>
  <c r="AV31" i="124"/>
  <c r="AU31" i="124"/>
  <c r="AT31" i="124"/>
  <c r="AS31" i="124"/>
  <c r="AR31" i="124"/>
  <c r="AQ31" i="124"/>
  <c r="AP31" i="124"/>
  <c r="AO31" i="124"/>
  <c r="AN31" i="124"/>
  <c r="AM31" i="124"/>
  <c r="AL31" i="124"/>
  <c r="AK31" i="124"/>
  <c r="AJ31" i="124"/>
  <c r="AI31" i="124"/>
  <c r="AH31" i="124"/>
  <c r="AG31" i="124"/>
  <c r="AF31" i="124"/>
  <c r="AE31" i="124"/>
  <c r="BE30" i="124"/>
  <c r="BD30" i="124"/>
  <c r="BC30" i="124"/>
  <c r="BB30" i="124"/>
  <c r="BA30" i="124"/>
  <c r="AZ30" i="124"/>
  <c r="AY30" i="124"/>
  <c r="AX30" i="124"/>
  <c r="AW30" i="124"/>
  <c r="AV30" i="124"/>
  <c r="AU30" i="124"/>
  <c r="AT30" i="124"/>
  <c r="AS30" i="124"/>
  <c r="AR30" i="124"/>
  <c r="AQ30" i="124"/>
  <c r="AP30" i="124"/>
  <c r="AO30" i="124"/>
  <c r="AN30" i="124"/>
  <c r="AM30" i="124"/>
  <c r="AL30" i="124"/>
  <c r="AK30" i="124"/>
  <c r="AJ30" i="124"/>
  <c r="AI30" i="124"/>
  <c r="AH30" i="124"/>
  <c r="AG30" i="124"/>
  <c r="AF30" i="124"/>
  <c r="AE30" i="124"/>
  <c r="BE29" i="124"/>
  <c r="BD29" i="124"/>
  <c r="BC29" i="124"/>
  <c r="BB29" i="124"/>
  <c r="BA29" i="124"/>
  <c r="AZ29" i="124"/>
  <c r="AY29" i="124"/>
  <c r="AX29" i="124"/>
  <c r="AW29" i="124"/>
  <c r="AV29" i="124"/>
  <c r="AU29" i="124"/>
  <c r="AT29" i="124"/>
  <c r="AS29" i="124"/>
  <c r="AR29" i="124"/>
  <c r="AQ29" i="124"/>
  <c r="AP29" i="124"/>
  <c r="AO29" i="124"/>
  <c r="AN29" i="124"/>
  <c r="AM29" i="124"/>
  <c r="AL29" i="124"/>
  <c r="AK29" i="124"/>
  <c r="AJ29" i="124"/>
  <c r="AI29" i="124"/>
  <c r="AH29" i="124"/>
  <c r="AG29" i="124"/>
  <c r="AF29" i="124"/>
  <c r="AE29" i="124"/>
  <c r="BE28" i="124"/>
  <c r="BD28" i="124"/>
  <c r="BC28" i="124"/>
  <c r="BB28" i="124"/>
  <c r="BA28" i="124"/>
  <c r="AZ28" i="124"/>
  <c r="AY28" i="124"/>
  <c r="AX28" i="124"/>
  <c r="AW28" i="124"/>
  <c r="AV28" i="124"/>
  <c r="AU28" i="124"/>
  <c r="AT28" i="124"/>
  <c r="AS28" i="124"/>
  <c r="AR28" i="124"/>
  <c r="AQ28" i="124"/>
  <c r="AP28" i="124"/>
  <c r="AO28" i="124"/>
  <c r="AN28" i="124"/>
  <c r="AM28" i="124"/>
  <c r="AL28" i="124"/>
  <c r="AK28" i="124"/>
  <c r="AJ28" i="124"/>
  <c r="AI28" i="124"/>
  <c r="AH28" i="124"/>
  <c r="AG28" i="124"/>
  <c r="AF28" i="124"/>
  <c r="AE28" i="124"/>
  <c r="BE27" i="124"/>
  <c r="BD27" i="124"/>
  <c r="BC27" i="124"/>
  <c r="BB27" i="124"/>
  <c r="BA27" i="124"/>
  <c r="AZ27" i="124"/>
  <c r="AY27" i="124"/>
  <c r="AX27" i="124"/>
  <c r="AW27" i="124"/>
  <c r="AV27" i="124"/>
  <c r="AU27" i="124"/>
  <c r="AT27" i="124"/>
  <c r="AS27" i="124"/>
  <c r="AR27" i="124"/>
  <c r="AQ27" i="124"/>
  <c r="AP27" i="124"/>
  <c r="AO27" i="124"/>
  <c r="AN27" i="124"/>
  <c r="AM27" i="124"/>
  <c r="AL27" i="124"/>
  <c r="AK27" i="124"/>
  <c r="AJ27" i="124"/>
  <c r="AI27" i="124"/>
  <c r="AH27" i="124"/>
  <c r="AG27" i="124"/>
  <c r="AF27" i="124"/>
  <c r="AE27" i="124"/>
  <c r="BE26" i="124"/>
  <c r="BD26" i="124"/>
  <c r="BC26" i="124"/>
  <c r="BB26" i="124"/>
  <c r="BA26" i="124"/>
  <c r="AZ26" i="124"/>
  <c r="AY26" i="124"/>
  <c r="AX26" i="124"/>
  <c r="AW26" i="124"/>
  <c r="AV26" i="124"/>
  <c r="AU26" i="124"/>
  <c r="AT26" i="124"/>
  <c r="AS26" i="124"/>
  <c r="AR26" i="124"/>
  <c r="AQ26" i="124"/>
  <c r="AP26" i="124"/>
  <c r="AO26" i="124"/>
  <c r="AN26" i="124"/>
  <c r="AM26" i="124"/>
  <c r="AL26" i="124"/>
  <c r="AK26" i="124"/>
  <c r="AJ26" i="124"/>
  <c r="AI26" i="124"/>
  <c r="AH26" i="124"/>
  <c r="AG26" i="124"/>
  <c r="AF26" i="124"/>
  <c r="AE26" i="124"/>
  <c r="BE25" i="124"/>
  <c r="BD25" i="124"/>
  <c r="BC25" i="124"/>
  <c r="BB25" i="124"/>
  <c r="BA25" i="124"/>
  <c r="AZ25" i="124"/>
  <c r="AY25" i="124"/>
  <c r="AX25" i="124"/>
  <c r="AW25" i="124"/>
  <c r="AV25" i="124"/>
  <c r="AU25" i="124"/>
  <c r="AT25" i="124"/>
  <c r="AS25" i="124"/>
  <c r="AR25" i="124"/>
  <c r="AQ25" i="124"/>
  <c r="AP25" i="124"/>
  <c r="AO25" i="124"/>
  <c r="AN25" i="124"/>
  <c r="AM25" i="124"/>
  <c r="AL25" i="124"/>
  <c r="AK25" i="124"/>
  <c r="AJ25" i="124"/>
  <c r="AI25" i="124"/>
  <c r="AH25" i="124"/>
  <c r="AG25" i="124"/>
  <c r="AF25" i="124"/>
  <c r="AE25" i="124"/>
  <c r="BE24" i="124"/>
  <c r="BD24" i="124"/>
  <c r="BC24" i="124"/>
  <c r="BB24" i="124"/>
  <c r="BA24" i="124"/>
  <c r="AZ24" i="124"/>
  <c r="AY24" i="124"/>
  <c r="AX24" i="124"/>
  <c r="AW24" i="124"/>
  <c r="AV24" i="124"/>
  <c r="AU24" i="124"/>
  <c r="AT24" i="124"/>
  <c r="AS24" i="124"/>
  <c r="AR24" i="124"/>
  <c r="AQ24" i="124"/>
  <c r="AP24" i="124"/>
  <c r="AO24" i="124"/>
  <c r="AN24" i="124"/>
  <c r="AM24" i="124"/>
  <c r="AL24" i="124"/>
  <c r="AK24" i="124"/>
  <c r="AJ24" i="124"/>
  <c r="AI24" i="124"/>
  <c r="AH24" i="124"/>
  <c r="AG24" i="124"/>
  <c r="AF24" i="124"/>
  <c r="AE24" i="124"/>
  <c r="BE23" i="124"/>
  <c r="BD23" i="124"/>
  <c r="BC23" i="124"/>
  <c r="BB23" i="124"/>
  <c r="BA23" i="124"/>
  <c r="AZ23" i="124"/>
  <c r="AY23" i="124"/>
  <c r="AX23" i="124"/>
  <c r="AW23" i="124"/>
  <c r="AV23" i="124"/>
  <c r="AU23" i="124"/>
  <c r="AT23" i="124"/>
  <c r="AS23" i="124"/>
  <c r="AR23" i="124"/>
  <c r="AQ23" i="124"/>
  <c r="AP23" i="124"/>
  <c r="AO23" i="124"/>
  <c r="AN23" i="124"/>
  <c r="AM23" i="124"/>
  <c r="AL23" i="124"/>
  <c r="AK23" i="124"/>
  <c r="AJ23" i="124"/>
  <c r="AI23" i="124"/>
  <c r="AH23" i="124"/>
  <c r="AG23" i="124"/>
  <c r="AF23" i="124"/>
  <c r="AE23" i="124"/>
  <c r="BE22" i="124"/>
  <c r="BD22" i="124"/>
  <c r="BC22" i="124"/>
  <c r="BB22" i="124"/>
  <c r="BA22" i="124"/>
  <c r="AZ22" i="124"/>
  <c r="AY22" i="124"/>
  <c r="AX22" i="124"/>
  <c r="AW22" i="124"/>
  <c r="AV22" i="124"/>
  <c r="AU22" i="124"/>
  <c r="AT22" i="124"/>
  <c r="AS22" i="124"/>
  <c r="AR22" i="124"/>
  <c r="AQ22" i="124"/>
  <c r="AP22" i="124"/>
  <c r="AO22" i="124"/>
  <c r="AN22" i="124"/>
  <c r="AM22" i="124"/>
  <c r="AL22" i="124"/>
  <c r="AK22" i="124"/>
  <c r="AJ22" i="124"/>
  <c r="AI22" i="124"/>
  <c r="AH22" i="124"/>
  <c r="AG22" i="124"/>
  <c r="AF22" i="124"/>
  <c r="AE22" i="124"/>
  <c r="BE21" i="124"/>
  <c r="BD21" i="124"/>
  <c r="BC21" i="124"/>
  <c r="BB21" i="124"/>
  <c r="BA21" i="124"/>
  <c r="AZ21" i="124"/>
  <c r="AY21" i="124"/>
  <c r="AX21" i="124"/>
  <c r="AW21" i="124"/>
  <c r="AV21" i="124"/>
  <c r="AU21" i="124"/>
  <c r="AT21" i="124"/>
  <c r="AS21" i="124"/>
  <c r="AR21" i="124"/>
  <c r="AQ21" i="124"/>
  <c r="AP21" i="124"/>
  <c r="AO21" i="124"/>
  <c r="AN21" i="124"/>
  <c r="AM21" i="124"/>
  <c r="AL21" i="124"/>
  <c r="AK21" i="124"/>
  <c r="AJ21" i="124"/>
  <c r="AI21" i="124"/>
  <c r="AH21" i="124"/>
  <c r="AG21" i="124"/>
  <c r="AF21" i="124"/>
  <c r="AE21" i="124"/>
  <c r="BE20" i="124"/>
  <c r="BD20" i="124"/>
  <c r="BC20" i="124"/>
  <c r="BB20" i="124"/>
  <c r="BA20" i="124"/>
  <c r="AZ20" i="124"/>
  <c r="AY20" i="124"/>
  <c r="AX20" i="124"/>
  <c r="AW20" i="124"/>
  <c r="AV20" i="124"/>
  <c r="AU20" i="124"/>
  <c r="AT20" i="124"/>
  <c r="AS20" i="124"/>
  <c r="AR20" i="124"/>
  <c r="AQ20" i="124"/>
  <c r="AP20" i="124"/>
  <c r="AO20" i="124"/>
  <c r="AN20" i="124"/>
  <c r="AM20" i="124"/>
  <c r="AL20" i="124"/>
  <c r="AK20" i="124"/>
  <c r="AJ20" i="124"/>
  <c r="AI20" i="124"/>
  <c r="AH20" i="124"/>
  <c r="AG20" i="124"/>
  <c r="AF20" i="124"/>
  <c r="AE20" i="124"/>
  <c r="BE19" i="124"/>
  <c r="BD19" i="124"/>
  <c r="BC19" i="124"/>
  <c r="BB19" i="124"/>
  <c r="BA19" i="124"/>
  <c r="AZ19" i="124"/>
  <c r="AY19" i="124"/>
  <c r="AX19" i="124"/>
  <c r="AW19" i="124"/>
  <c r="AV19" i="124"/>
  <c r="AU19" i="124"/>
  <c r="AT19" i="124"/>
  <c r="AS19" i="124"/>
  <c r="AR19" i="124"/>
  <c r="AQ19" i="124"/>
  <c r="AP19" i="124"/>
  <c r="AO19" i="124"/>
  <c r="AN19" i="124"/>
  <c r="AM19" i="124"/>
  <c r="AL19" i="124"/>
  <c r="AK19" i="124"/>
  <c r="AJ19" i="124"/>
  <c r="AI19" i="124"/>
  <c r="AH19" i="124"/>
  <c r="AG19" i="124"/>
  <c r="AF19" i="124"/>
  <c r="AE19" i="124"/>
  <c r="BE18" i="124"/>
  <c r="BD18" i="124"/>
  <c r="BC18" i="124"/>
  <c r="BB18" i="124"/>
  <c r="BA18" i="124"/>
  <c r="AZ18" i="124"/>
  <c r="AY18" i="124"/>
  <c r="AX18" i="124"/>
  <c r="AW18" i="124"/>
  <c r="AV18" i="124"/>
  <c r="AU18" i="124"/>
  <c r="AT18" i="124"/>
  <c r="AS18" i="124"/>
  <c r="AR18" i="124"/>
  <c r="AQ18" i="124"/>
  <c r="AP18" i="124"/>
  <c r="AO18" i="124"/>
  <c r="AN18" i="124"/>
  <c r="AM18" i="124"/>
  <c r="AL18" i="124"/>
  <c r="AK18" i="124"/>
  <c r="AJ18" i="124"/>
  <c r="AI18" i="124"/>
  <c r="AH18" i="124"/>
  <c r="AG18" i="124"/>
  <c r="AF18" i="124"/>
  <c r="AE18" i="124"/>
  <c r="BE17" i="124"/>
  <c r="BD17" i="124"/>
  <c r="BC17" i="124"/>
  <c r="BB17" i="124"/>
  <c r="BA17" i="124"/>
  <c r="AZ17" i="124"/>
  <c r="AY17" i="124"/>
  <c r="AX17" i="124"/>
  <c r="AW17" i="124"/>
  <c r="AV17" i="124"/>
  <c r="AU17" i="124"/>
  <c r="AT17" i="124"/>
  <c r="AS17" i="124"/>
  <c r="AR17" i="124"/>
  <c r="AQ17" i="124"/>
  <c r="AP17" i="124"/>
  <c r="AO17" i="124"/>
  <c r="AN17" i="124"/>
  <c r="AM17" i="124"/>
  <c r="AL17" i="124"/>
  <c r="AK17" i="124"/>
  <c r="AJ17" i="124"/>
  <c r="AI17" i="124"/>
  <c r="AH17" i="124"/>
  <c r="AG17" i="124"/>
  <c r="AF17" i="124"/>
  <c r="AE17" i="124"/>
  <c r="BE16" i="124"/>
  <c r="BD16" i="124"/>
  <c r="BC16" i="124"/>
  <c r="BB16" i="124"/>
  <c r="BA16" i="124"/>
  <c r="AZ16" i="124"/>
  <c r="AY16" i="124"/>
  <c r="AX16" i="124"/>
  <c r="AW16" i="124"/>
  <c r="AV16" i="124"/>
  <c r="AU16" i="124"/>
  <c r="AT16" i="124"/>
  <c r="AS16" i="124"/>
  <c r="AR16" i="124"/>
  <c r="AQ16" i="124"/>
  <c r="AP16" i="124"/>
  <c r="AO16" i="124"/>
  <c r="AN16" i="124"/>
  <c r="AM16" i="124"/>
  <c r="AL16" i="124"/>
  <c r="AK16" i="124"/>
  <c r="AJ16" i="124"/>
  <c r="AI16" i="124"/>
  <c r="AH16" i="124"/>
  <c r="AG16" i="124"/>
  <c r="AF16" i="124"/>
  <c r="AE16" i="124"/>
  <c r="BE15" i="124"/>
  <c r="BD15" i="124"/>
  <c r="BC15" i="124"/>
  <c r="BB15" i="124"/>
  <c r="BA15" i="124"/>
  <c r="AZ15" i="124"/>
  <c r="AY15" i="124"/>
  <c r="AX15" i="124"/>
  <c r="AW15" i="124"/>
  <c r="AV15" i="124"/>
  <c r="AU15" i="124"/>
  <c r="AT15" i="124"/>
  <c r="AS15" i="124"/>
  <c r="AR15" i="124"/>
  <c r="AQ15" i="124"/>
  <c r="AP15" i="124"/>
  <c r="AO15" i="124"/>
  <c r="AN15" i="124"/>
  <c r="AM15" i="124"/>
  <c r="AL15" i="124"/>
  <c r="AK15" i="124"/>
  <c r="AJ15" i="124"/>
  <c r="AI15" i="124"/>
  <c r="AH15" i="124"/>
  <c r="AG15" i="124"/>
  <c r="AF15" i="124"/>
  <c r="AE15" i="124"/>
  <c r="BE14" i="124"/>
  <c r="BD14" i="124"/>
  <c r="BC14" i="124"/>
  <c r="BB14" i="124"/>
  <c r="BA14" i="124"/>
  <c r="AZ14" i="124"/>
  <c r="AY14" i="124"/>
  <c r="AX14" i="124"/>
  <c r="AW14" i="124"/>
  <c r="AV14" i="124"/>
  <c r="AU14" i="124"/>
  <c r="AT14" i="124"/>
  <c r="AS14" i="124"/>
  <c r="AR14" i="124"/>
  <c r="AQ14" i="124"/>
  <c r="AP14" i="124"/>
  <c r="AO14" i="124"/>
  <c r="AN14" i="124"/>
  <c r="AM14" i="124"/>
  <c r="AL14" i="124"/>
  <c r="AK14" i="124"/>
  <c r="AJ14" i="124"/>
  <c r="AI14" i="124"/>
  <c r="AH14" i="124"/>
  <c r="AG14" i="124"/>
  <c r="AF14" i="124"/>
  <c r="AE14" i="124"/>
  <c r="BE13" i="124"/>
  <c r="BD13" i="124"/>
  <c r="BC13" i="124"/>
  <c r="BB13" i="124"/>
  <c r="BA13" i="124"/>
  <c r="AZ13" i="124"/>
  <c r="AY13" i="124"/>
  <c r="AX13" i="124"/>
  <c r="AW13" i="124"/>
  <c r="AV13" i="124"/>
  <c r="AU13" i="124"/>
  <c r="AT13" i="124"/>
  <c r="AS13" i="124"/>
  <c r="AR13" i="124"/>
  <c r="AQ13" i="124"/>
  <c r="AP13" i="124"/>
  <c r="AO13" i="124"/>
  <c r="AN13" i="124"/>
  <c r="AM13" i="124"/>
  <c r="AL13" i="124"/>
  <c r="AK13" i="124"/>
  <c r="AJ13" i="124"/>
  <c r="AI13" i="124"/>
  <c r="AH13" i="124"/>
  <c r="AG13" i="124"/>
  <c r="AF13" i="124"/>
  <c r="AE13" i="124"/>
  <c r="BE12" i="124"/>
  <c r="BD12" i="124"/>
  <c r="BC12" i="124"/>
  <c r="BB12" i="124"/>
  <c r="BA12" i="124"/>
  <c r="AZ12" i="124"/>
  <c r="AY12" i="124"/>
  <c r="AX12" i="124"/>
  <c r="AW12" i="124"/>
  <c r="AV12" i="124"/>
  <c r="AU12" i="124"/>
  <c r="AT12" i="124"/>
  <c r="AS12" i="124"/>
  <c r="AR12" i="124"/>
  <c r="AQ12" i="124"/>
  <c r="AP12" i="124"/>
  <c r="AO12" i="124"/>
  <c r="AN12" i="124"/>
  <c r="AM12" i="124"/>
  <c r="AL12" i="124"/>
  <c r="AK12" i="124"/>
  <c r="AJ12" i="124"/>
  <c r="AI12" i="124"/>
  <c r="AH12" i="124"/>
  <c r="AG12" i="124"/>
  <c r="AF12" i="124"/>
  <c r="AE12" i="124"/>
  <c r="BE11" i="124"/>
  <c r="BD11" i="124"/>
  <c r="BC11" i="124"/>
  <c r="BB11" i="124"/>
  <c r="BA11" i="124"/>
  <c r="AZ11" i="124"/>
  <c r="AY11" i="124"/>
  <c r="AX11" i="124"/>
  <c r="AW11" i="124"/>
  <c r="AV11" i="124"/>
  <c r="AU11" i="124"/>
  <c r="AT11" i="124"/>
  <c r="AS11" i="124"/>
  <c r="AR11" i="124"/>
  <c r="AQ11" i="124"/>
  <c r="AP11" i="124"/>
  <c r="AO11" i="124"/>
  <c r="AN11" i="124"/>
  <c r="AM11" i="124"/>
  <c r="AL11" i="124"/>
  <c r="AK11" i="124"/>
  <c r="AJ11" i="124"/>
  <c r="AI11" i="124"/>
  <c r="AH11" i="124"/>
  <c r="AG11" i="124"/>
  <c r="AF11" i="124"/>
  <c r="AE11" i="124"/>
  <c r="BE10" i="124"/>
  <c r="BD10" i="124"/>
  <c r="BC10" i="124"/>
  <c r="BB10" i="124"/>
  <c r="BA10" i="124"/>
  <c r="AZ10" i="124"/>
  <c r="AY10" i="124"/>
  <c r="AX10" i="124"/>
  <c r="AW10" i="124"/>
  <c r="AV10" i="124"/>
  <c r="AU10" i="124"/>
  <c r="AT10" i="124"/>
  <c r="AS10" i="124"/>
  <c r="AR10" i="124"/>
  <c r="AQ10" i="124"/>
  <c r="AP10" i="124"/>
  <c r="AO10" i="124"/>
  <c r="AN10" i="124"/>
  <c r="AM10" i="124"/>
  <c r="AL10" i="124"/>
  <c r="AK10" i="124"/>
  <c r="AJ10" i="124"/>
  <c r="AI10" i="124"/>
  <c r="AH10" i="124"/>
  <c r="AG10" i="124"/>
  <c r="AF10" i="124"/>
  <c r="AE10" i="124"/>
  <c r="BE9" i="124"/>
  <c r="BD9" i="124"/>
  <c r="BC9" i="124"/>
  <c r="BB9" i="124"/>
  <c r="BA9" i="124"/>
  <c r="AZ9" i="124"/>
  <c r="AY9" i="124"/>
  <c r="AX9" i="124"/>
  <c r="AW9" i="124"/>
  <c r="AV9" i="124"/>
  <c r="AU9" i="124"/>
  <c r="AT9" i="124"/>
  <c r="AS9" i="124"/>
  <c r="AR9" i="124"/>
  <c r="AQ9" i="124"/>
  <c r="AP9" i="124"/>
  <c r="AO9" i="124"/>
  <c r="AN9" i="124"/>
  <c r="AM9" i="124"/>
  <c r="AL9" i="124"/>
  <c r="AK9" i="124"/>
  <c r="AJ9" i="124"/>
  <c r="AI9" i="124"/>
  <c r="AH9" i="124"/>
  <c r="AG9" i="124"/>
  <c r="AF9" i="124"/>
  <c r="AE9" i="124"/>
  <c r="BE8" i="124"/>
  <c r="BD8" i="124"/>
  <c r="BC8" i="124"/>
  <c r="BB8" i="124"/>
  <c r="BA8" i="124"/>
  <c r="AZ8" i="124"/>
  <c r="AY8" i="124"/>
  <c r="AX8" i="124"/>
  <c r="AW8" i="124"/>
  <c r="AV8" i="124"/>
  <c r="AU8" i="124"/>
  <c r="AT8" i="124"/>
  <c r="AS8" i="124"/>
  <c r="AR8" i="124"/>
  <c r="AQ8" i="124"/>
  <c r="AP8" i="124"/>
  <c r="AO8" i="124"/>
  <c r="AN8" i="124"/>
  <c r="AM8" i="124"/>
  <c r="AL8" i="124"/>
  <c r="AK8" i="124"/>
  <c r="AJ8" i="124"/>
  <c r="AI8" i="124"/>
  <c r="AH8" i="124"/>
  <c r="AG8" i="124"/>
  <c r="AF8" i="124"/>
  <c r="AE8" i="124"/>
  <c r="BE7" i="124"/>
  <c r="BD7" i="124"/>
  <c r="BC7" i="124"/>
  <c r="BB7" i="124"/>
  <c r="BA7" i="124"/>
  <c r="AZ7" i="124"/>
  <c r="AY7" i="124"/>
  <c r="AX7" i="124"/>
  <c r="AW7" i="124"/>
  <c r="AV7" i="124"/>
  <c r="AU7" i="124"/>
  <c r="AT7" i="124"/>
  <c r="AS7" i="124"/>
  <c r="AR7" i="124"/>
  <c r="AQ7" i="124"/>
  <c r="AP7" i="124"/>
  <c r="AO7" i="124"/>
  <c r="AN7" i="124"/>
  <c r="AM7" i="124"/>
  <c r="AL7" i="124"/>
  <c r="AK7" i="124"/>
  <c r="AJ7" i="124"/>
  <c r="AI7" i="124"/>
  <c r="AH7" i="124"/>
  <c r="AG7" i="124"/>
  <c r="AF7" i="124"/>
  <c r="AE7" i="124"/>
  <c r="BE6" i="124"/>
  <c r="BD6" i="124"/>
  <c r="BC6" i="124"/>
  <c r="BB6" i="124"/>
  <c r="BA6" i="124"/>
  <c r="AZ6" i="124"/>
  <c r="AY6" i="124"/>
  <c r="AX6" i="124"/>
  <c r="AW6" i="124"/>
  <c r="AV6" i="124"/>
  <c r="AU6" i="124"/>
  <c r="AT6" i="124"/>
  <c r="AS6" i="124"/>
  <c r="AR6" i="124"/>
  <c r="AQ6" i="124"/>
  <c r="AP6" i="124"/>
  <c r="AO6" i="124"/>
  <c r="AN6" i="124"/>
  <c r="AM6" i="124"/>
  <c r="AL6" i="124"/>
  <c r="AK6" i="124"/>
  <c r="AJ6" i="124"/>
  <c r="AI6" i="124"/>
  <c r="AH6" i="124"/>
  <c r="AG6" i="124"/>
  <c r="AF6" i="124"/>
  <c r="AE6" i="124"/>
  <c r="BE5" i="124"/>
  <c r="BD5" i="124"/>
  <c r="BC5" i="124"/>
  <c r="BB5" i="124"/>
  <c r="BA5" i="124"/>
  <c r="AZ5" i="124"/>
  <c r="AY5" i="124"/>
  <c r="AX5" i="124"/>
  <c r="AW5" i="124"/>
  <c r="AV5" i="124"/>
  <c r="AU5" i="124"/>
  <c r="AT5" i="124"/>
  <c r="AS5" i="124"/>
  <c r="AR5" i="124"/>
  <c r="AQ5" i="124"/>
  <c r="AP5" i="124"/>
  <c r="AO5" i="124"/>
  <c r="AN5" i="124"/>
  <c r="AM5" i="124"/>
  <c r="AL5" i="124"/>
  <c r="AK5" i="124"/>
  <c r="AJ5" i="124"/>
  <c r="AI5" i="124"/>
  <c r="AH5" i="124"/>
  <c r="AG5" i="124"/>
  <c r="AF5" i="124"/>
  <c r="AE5" i="124"/>
  <c r="BE4" i="124"/>
  <c r="BD4" i="124"/>
  <c r="BC4" i="124"/>
  <c r="BB4" i="124"/>
  <c r="BA4" i="124"/>
  <c r="AZ4" i="124"/>
  <c r="AY4" i="124"/>
  <c r="AX4" i="124"/>
  <c r="AW4" i="124"/>
  <c r="AV4" i="124"/>
  <c r="AU4" i="124"/>
  <c r="AT4" i="124"/>
  <c r="AS4" i="124"/>
  <c r="AR4" i="124"/>
  <c r="AQ4" i="124"/>
  <c r="AP4" i="124"/>
  <c r="AO4" i="124"/>
  <c r="AN4" i="124"/>
  <c r="AM4" i="124"/>
  <c r="AL4" i="124"/>
  <c r="AK4" i="124"/>
  <c r="AJ4" i="124"/>
  <c r="AI4" i="124"/>
  <c r="AH4" i="124"/>
  <c r="AG4" i="124"/>
  <c r="AF4" i="124"/>
  <c r="AE4" i="124"/>
  <c r="BE3" i="124"/>
  <c r="BD3" i="124"/>
  <c r="BC3" i="124"/>
  <c r="BB3" i="124"/>
  <c r="BA3" i="124"/>
  <c r="AZ3" i="124"/>
  <c r="AY3" i="124"/>
  <c r="AX3" i="124"/>
  <c r="AW3" i="124"/>
  <c r="AV3" i="124"/>
  <c r="AU3" i="124"/>
  <c r="AT3" i="124"/>
  <c r="AS3" i="124"/>
  <c r="AR3" i="124"/>
  <c r="AQ3" i="124"/>
  <c r="AP3" i="124"/>
  <c r="AO3" i="124"/>
  <c r="AN3" i="124"/>
  <c r="AM3" i="124"/>
  <c r="AL3" i="124"/>
  <c r="AK3" i="124"/>
  <c r="AJ3" i="124"/>
  <c r="AI3" i="124"/>
  <c r="AH3" i="124"/>
  <c r="AG3" i="124"/>
  <c r="AF3" i="124"/>
  <c r="AE3" i="124"/>
  <c r="BE2" i="124"/>
  <c r="BD2" i="124"/>
  <c r="BC2" i="124"/>
  <c r="BB2" i="124"/>
  <c r="BA2" i="124"/>
  <c r="AZ2" i="124"/>
  <c r="AY2" i="124"/>
  <c r="AX2" i="124"/>
  <c r="AW2" i="124"/>
  <c r="AV2" i="124"/>
  <c r="AU2" i="124"/>
  <c r="AT2" i="124"/>
  <c r="AS2" i="124"/>
  <c r="AR2" i="124"/>
  <c r="AQ2" i="124"/>
  <c r="AP2" i="124"/>
  <c r="AO2" i="124"/>
  <c r="AN2" i="124"/>
  <c r="AM2" i="124"/>
  <c r="AL2" i="124"/>
  <c r="AK2" i="124"/>
  <c r="AJ2" i="124"/>
  <c r="AI2" i="124"/>
  <c r="AH2" i="124"/>
  <c r="AG2" i="124"/>
  <c r="AF2" i="124"/>
  <c r="AE2" i="124"/>
  <c r="BE1" i="124"/>
  <c r="BD1" i="124"/>
  <c r="BC1" i="124"/>
  <c r="BB1" i="124"/>
  <c r="BA1" i="124"/>
  <c r="AZ1" i="124"/>
  <c r="AY1" i="124"/>
  <c r="AX1" i="124"/>
  <c r="AW1" i="124"/>
  <c r="AV1" i="124"/>
  <c r="AU1" i="124"/>
  <c r="AT1" i="124"/>
  <c r="AS1" i="124"/>
  <c r="AR1" i="124"/>
  <c r="AQ1" i="124"/>
  <c r="AP1" i="124"/>
  <c r="AO1" i="124"/>
  <c r="AN1" i="124"/>
  <c r="AM1" i="124"/>
  <c r="AL1" i="124"/>
  <c r="AK1" i="124"/>
  <c r="AJ1" i="124"/>
  <c r="AI1" i="124"/>
  <c r="AH1" i="124"/>
  <c r="AG1" i="124"/>
  <c r="AF1" i="124"/>
  <c r="BE33" i="120"/>
  <c r="BD33" i="120"/>
  <c r="BC33" i="120"/>
  <c r="BB33" i="120"/>
  <c r="BA33" i="120"/>
  <c r="AZ33" i="120"/>
  <c r="AY33" i="120"/>
  <c r="AX33" i="120"/>
  <c r="AW33" i="120"/>
  <c r="AV33" i="120"/>
  <c r="AU33" i="120"/>
  <c r="AT33" i="120"/>
  <c r="AS33" i="120"/>
  <c r="AR33" i="120"/>
  <c r="AQ33" i="120"/>
  <c r="AP33" i="120"/>
  <c r="AO33" i="120"/>
  <c r="AN33" i="120"/>
  <c r="AM33" i="120"/>
  <c r="AL33" i="120"/>
  <c r="AK33" i="120"/>
  <c r="AJ33" i="120"/>
  <c r="AI33" i="120"/>
  <c r="AH33" i="120"/>
  <c r="AG33" i="120"/>
  <c r="AF33" i="120"/>
  <c r="AE33" i="120"/>
  <c r="BE32" i="120"/>
  <c r="BD32" i="120"/>
  <c r="BC32" i="120"/>
  <c r="BB32" i="120"/>
  <c r="BA32" i="120"/>
  <c r="AZ32" i="120"/>
  <c r="AY32" i="120"/>
  <c r="AX32" i="120"/>
  <c r="AW32" i="120"/>
  <c r="AV32" i="120"/>
  <c r="AU32" i="120"/>
  <c r="AT32" i="120"/>
  <c r="AS32" i="120"/>
  <c r="AR32" i="120"/>
  <c r="AQ32" i="120"/>
  <c r="AP32" i="120"/>
  <c r="AO32" i="120"/>
  <c r="AN32" i="120"/>
  <c r="AM32" i="120"/>
  <c r="AL32" i="120"/>
  <c r="AK32" i="120"/>
  <c r="AJ32" i="120"/>
  <c r="AI32" i="120"/>
  <c r="AH32" i="120"/>
  <c r="AG32" i="120"/>
  <c r="AF32" i="120"/>
  <c r="AE32" i="120"/>
  <c r="BE31" i="120"/>
  <c r="BD31" i="120"/>
  <c r="BC31" i="120"/>
  <c r="BB31" i="120"/>
  <c r="BA31" i="120"/>
  <c r="AZ31" i="120"/>
  <c r="AY31" i="120"/>
  <c r="AX31" i="120"/>
  <c r="AW31" i="120"/>
  <c r="AV31" i="120"/>
  <c r="AU31" i="120"/>
  <c r="AT31" i="120"/>
  <c r="AS31" i="120"/>
  <c r="AR31" i="120"/>
  <c r="AQ31" i="120"/>
  <c r="AP31" i="120"/>
  <c r="AO31" i="120"/>
  <c r="AN31" i="120"/>
  <c r="AM31" i="120"/>
  <c r="AL31" i="120"/>
  <c r="AK31" i="120"/>
  <c r="AJ31" i="120"/>
  <c r="AI31" i="120"/>
  <c r="AH31" i="120"/>
  <c r="AG31" i="120"/>
  <c r="AF31" i="120"/>
  <c r="AE31" i="120"/>
  <c r="BE30" i="120"/>
  <c r="BD30" i="120"/>
  <c r="BC30" i="120"/>
  <c r="BB30" i="120"/>
  <c r="BA30" i="120"/>
  <c r="AZ30" i="120"/>
  <c r="AY30" i="120"/>
  <c r="AX30" i="120"/>
  <c r="AW30" i="120"/>
  <c r="AV30" i="120"/>
  <c r="AU30" i="120"/>
  <c r="AT30" i="120"/>
  <c r="AS30" i="120"/>
  <c r="AR30" i="120"/>
  <c r="AQ30" i="120"/>
  <c r="AP30" i="120"/>
  <c r="AO30" i="120"/>
  <c r="AN30" i="120"/>
  <c r="AM30" i="120"/>
  <c r="AL30" i="120"/>
  <c r="AK30" i="120"/>
  <c r="AJ30" i="120"/>
  <c r="AI30" i="120"/>
  <c r="AH30" i="120"/>
  <c r="AG30" i="120"/>
  <c r="AF30" i="120"/>
  <c r="AE30" i="120"/>
  <c r="BE29" i="120"/>
  <c r="BD29" i="120"/>
  <c r="BC29" i="120"/>
  <c r="BB29" i="120"/>
  <c r="BA29" i="120"/>
  <c r="AZ29" i="120"/>
  <c r="AY29" i="120"/>
  <c r="AX29" i="120"/>
  <c r="AW29" i="120"/>
  <c r="AV29" i="120"/>
  <c r="AU29" i="120"/>
  <c r="AT29" i="120"/>
  <c r="AS29" i="120"/>
  <c r="AR29" i="120"/>
  <c r="AQ29" i="120"/>
  <c r="AP29" i="120"/>
  <c r="AO29" i="120"/>
  <c r="AN29" i="120"/>
  <c r="AM29" i="120"/>
  <c r="AL29" i="120"/>
  <c r="AK29" i="120"/>
  <c r="AJ29" i="120"/>
  <c r="AI29" i="120"/>
  <c r="AH29" i="120"/>
  <c r="AG29" i="120"/>
  <c r="AF29" i="120"/>
  <c r="AE29" i="120"/>
  <c r="BE28" i="120"/>
  <c r="BD28" i="120"/>
  <c r="BC28" i="120"/>
  <c r="BB28" i="120"/>
  <c r="BA28" i="120"/>
  <c r="AZ28" i="120"/>
  <c r="AY28" i="120"/>
  <c r="AX28" i="120"/>
  <c r="AW28" i="120"/>
  <c r="AV28" i="120"/>
  <c r="AU28" i="120"/>
  <c r="AT28" i="120"/>
  <c r="AS28" i="120"/>
  <c r="AR28" i="120"/>
  <c r="AQ28" i="120"/>
  <c r="AP28" i="120"/>
  <c r="AO28" i="120"/>
  <c r="AN28" i="120"/>
  <c r="AM28" i="120"/>
  <c r="AL28" i="120"/>
  <c r="AK28" i="120"/>
  <c r="AJ28" i="120"/>
  <c r="AI28" i="120"/>
  <c r="AH28" i="120"/>
  <c r="AG28" i="120"/>
  <c r="AF28" i="120"/>
  <c r="AE28" i="120"/>
  <c r="BE27" i="120"/>
  <c r="BD27" i="120"/>
  <c r="BC27" i="120"/>
  <c r="BB27" i="120"/>
  <c r="BA27" i="120"/>
  <c r="AZ27" i="120"/>
  <c r="AY27" i="120"/>
  <c r="AX27" i="120"/>
  <c r="AW27" i="120"/>
  <c r="AV27" i="120"/>
  <c r="AU27" i="120"/>
  <c r="AT27" i="120"/>
  <c r="AS27" i="120"/>
  <c r="AR27" i="120"/>
  <c r="AQ27" i="120"/>
  <c r="AP27" i="120"/>
  <c r="AO27" i="120"/>
  <c r="AN27" i="120"/>
  <c r="AM27" i="120"/>
  <c r="AL27" i="120"/>
  <c r="AK27" i="120"/>
  <c r="AJ27" i="120"/>
  <c r="AI27" i="120"/>
  <c r="AH27" i="120"/>
  <c r="AG27" i="120"/>
  <c r="AF27" i="120"/>
  <c r="AE27" i="120"/>
  <c r="BE26" i="120"/>
  <c r="BD26" i="120"/>
  <c r="BC26" i="120"/>
  <c r="BB26" i="120"/>
  <c r="BA26" i="120"/>
  <c r="AZ26" i="120"/>
  <c r="AY26" i="120"/>
  <c r="AX26" i="120"/>
  <c r="AW26" i="120"/>
  <c r="AV26" i="120"/>
  <c r="AU26" i="120"/>
  <c r="AT26" i="120"/>
  <c r="AS26" i="120"/>
  <c r="AR26" i="120"/>
  <c r="AQ26" i="120"/>
  <c r="AP26" i="120"/>
  <c r="AO26" i="120"/>
  <c r="AN26" i="120"/>
  <c r="AM26" i="120"/>
  <c r="AL26" i="120"/>
  <c r="AK26" i="120"/>
  <c r="AJ26" i="120"/>
  <c r="AI26" i="120"/>
  <c r="AH26" i="120"/>
  <c r="AG26" i="120"/>
  <c r="AF26" i="120"/>
  <c r="AE26" i="120"/>
  <c r="BE25" i="120"/>
  <c r="BD25" i="120"/>
  <c r="BC25" i="120"/>
  <c r="BB25" i="120"/>
  <c r="BA25" i="120"/>
  <c r="AZ25" i="120"/>
  <c r="AY25" i="120"/>
  <c r="AX25" i="120"/>
  <c r="AW25" i="120"/>
  <c r="AV25" i="120"/>
  <c r="AU25" i="120"/>
  <c r="AT25" i="120"/>
  <c r="AS25" i="120"/>
  <c r="AR25" i="120"/>
  <c r="AQ25" i="120"/>
  <c r="AP25" i="120"/>
  <c r="AO25" i="120"/>
  <c r="AN25" i="120"/>
  <c r="AM25" i="120"/>
  <c r="AL25" i="120"/>
  <c r="AK25" i="120"/>
  <c r="AJ25" i="120"/>
  <c r="AI25" i="120"/>
  <c r="AH25" i="120"/>
  <c r="AG25" i="120"/>
  <c r="AF25" i="120"/>
  <c r="AE25" i="120"/>
  <c r="BE24" i="120"/>
  <c r="BD24" i="120"/>
  <c r="BC24" i="120"/>
  <c r="BB24" i="120"/>
  <c r="BA24" i="120"/>
  <c r="AZ24" i="120"/>
  <c r="AY24" i="120"/>
  <c r="AX24" i="120"/>
  <c r="AW24" i="120"/>
  <c r="AV24" i="120"/>
  <c r="AU24" i="120"/>
  <c r="AT24" i="120"/>
  <c r="AS24" i="120"/>
  <c r="AR24" i="120"/>
  <c r="AQ24" i="120"/>
  <c r="AP24" i="120"/>
  <c r="AO24" i="120"/>
  <c r="AN24" i="120"/>
  <c r="AM24" i="120"/>
  <c r="AL24" i="120"/>
  <c r="AK24" i="120"/>
  <c r="AJ24" i="120"/>
  <c r="AI24" i="120"/>
  <c r="AH24" i="120"/>
  <c r="AG24" i="120"/>
  <c r="AF24" i="120"/>
  <c r="AE24" i="120"/>
  <c r="BE23" i="120"/>
  <c r="BD23" i="120"/>
  <c r="BC23" i="120"/>
  <c r="BB23" i="120"/>
  <c r="BA23" i="120"/>
  <c r="AZ23" i="120"/>
  <c r="AY23" i="120"/>
  <c r="AX23" i="120"/>
  <c r="AW23" i="120"/>
  <c r="AV23" i="120"/>
  <c r="AU23" i="120"/>
  <c r="AT23" i="120"/>
  <c r="AS23" i="120"/>
  <c r="AR23" i="120"/>
  <c r="AQ23" i="120"/>
  <c r="AP23" i="120"/>
  <c r="AO23" i="120"/>
  <c r="AN23" i="120"/>
  <c r="AM23" i="120"/>
  <c r="AL23" i="120"/>
  <c r="AK23" i="120"/>
  <c r="AJ23" i="120"/>
  <c r="AI23" i="120"/>
  <c r="AH23" i="120"/>
  <c r="AG23" i="120"/>
  <c r="AF23" i="120"/>
  <c r="AE23" i="120"/>
  <c r="BE22" i="120"/>
  <c r="BD22" i="120"/>
  <c r="BC22" i="120"/>
  <c r="BB22" i="120"/>
  <c r="BA22" i="120"/>
  <c r="AZ22" i="120"/>
  <c r="AY22" i="120"/>
  <c r="AX22" i="120"/>
  <c r="AW22" i="120"/>
  <c r="AV22" i="120"/>
  <c r="AU22" i="120"/>
  <c r="AT22" i="120"/>
  <c r="AS22" i="120"/>
  <c r="AR22" i="120"/>
  <c r="AQ22" i="120"/>
  <c r="AP22" i="120"/>
  <c r="AO22" i="120"/>
  <c r="AN22" i="120"/>
  <c r="AM22" i="120"/>
  <c r="AL22" i="120"/>
  <c r="AK22" i="120"/>
  <c r="AJ22" i="120"/>
  <c r="AI22" i="120"/>
  <c r="AH22" i="120"/>
  <c r="AG22" i="120"/>
  <c r="AF22" i="120"/>
  <c r="AE22" i="120"/>
  <c r="BE21" i="120"/>
  <c r="BD21" i="120"/>
  <c r="BC21" i="120"/>
  <c r="BB21" i="120"/>
  <c r="BA21" i="120"/>
  <c r="AZ21" i="120"/>
  <c r="AY21" i="120"/>
  <c r="AX21" i="120"/>
  <c r="AW21" i="120"/>
  <c r="AV21" i="120"/>
  <c r="AU21" i="120"/>
  <c r="AT21" i="120"/>
  <c r="AS21" i="120"/>
  <c r="AR21" i="120"/>
  <c r="AQ21" i="120"/>
  <c r="AP21" i="120"/>
  <c r="AO21" i="120"/>
  <c r="AN21" i="120"/>
  <c r="AM21" i="120"/>
  <c r="AL21" i="120"/>
  <c r="AK21" i="120"/>
  <c r="AJ21" i="120"/>
  <c r="AI21" i="120"/>
  <c r="AH21" i="120"/>
  <c r="AG21" i="120"/>
  <c r="AF21" i="120"/>
  <c r="AE21" i="120"/>
  <c r="BE20" i="120"/>
  <c r="BD20" i="120"/>
  <c r="BC20" i="120"/>
  <c r="BB20" i="120"/>
  <c r="BA20" i="120"/>
  <c r="AZ20" i="120"/>
  <c r="AY20" i="120"/>
  <c r="AX20" i="120"/>
  <c r="AW20" i="120"/>
  <c r="AV20" i="120"/>
  <c r="AU20" i="120"/>
  <c r="AT20" i="120"/>
  <c r="AS20" i="120"/>
  <c r="AR20" i="120"/>
  <c r="AQ20" i="120"/>
  <c r="AP20" i="120"/>
  <c r="AO20" i="120"/>
  <c r="AN20" i="120"/>
  <c r="AM20" i="120"/>
  <c r="AL20" i="120"/>
  <c r="AK20" i="120"/>
  <c r="AJ20" i="120"/>
  <c r="AI20" i="120"/>
  <c r="AH20" i="120"/>
  <c r="AG20" i="120"/>
  <c r="AF20" i="120"/>
  <c r="AE20" i="120"/>
  <c r="BE19" i="120"/>
  <c r="BD19" i="120"/>
  <c r="BC19" i="120"/>
  <c r="BB19" i="120"/>
  <c r="BA19" i="120"/>
  <c r="AZ19" i="120"/>
  <c r="AY19" i="120"/>
  <c r="AX19" i="120"/>
  <c r="AW19" i="120"/>
  <c r="AV19" i="120"/>
  <c r="AU19" i="120"/>
  <c r="AT19" i="120"/>
  <c r="AS19" i="120"/>
  <c r="AR19" i="120"/>
  <c r="AQ19" i="120"/>
  <c r="AP19" i="120"/>
  <c r="AO19" i="120"/>
  <c r="AN19" i="120"/>
  <c r="AM19" i="120"/>
  <c r="AL19" i="120"/>
  <c r="AK19" i="120"/>
  <c r="AJ19" i="120"/>
  <c r="AI19" i="120"/>
  <c r="AH19" i="120"/>
  <c r="AG19" i="120"/>
  <c r="AF19" i="120"/>
  <c r="AE19" i="120"/>
  <c r="BE18" i="120"/>
  <c r="BD18" i="120"/>
  <c r="BC18" i="120"/>
  <c r="BB18" i="120"/>
  <c r="BA18" i="120"/>
  <c r="AZ18" i="120"/>
  <c r="AY18" i="120"/>
  <c r="AX18" i="120"/>
  <c r="AW18" i="120"/>
  <c r="AV18" i="120"/>
  <c r="AU18" i="120"/>
  <c r="AT18" i="120"/>
  <c r="AS18" i="120"/>
  <c r="AR18" i="120"/>
  <c r="AQ18" i="120"/>
  <c r="AP18" i="120"/>
  <c r="AO18" i="120"/>
  <c r="AN18" i="120"/>
  <c r="AM18" i="120"/>
  <c r="AL18" i="120"/>
  <c r="AK18" i="120"/>
  <c r="AJ18" i="120"/>
  <c r="AI18" i="120"/>
  <c r="AH18" i="120"/>
  <c r="AG18" i="120"/>
  <c r="AF18" i="120"/>
  <c r="AE18" i="120"/>
  <c r="BE17" i="120"/>
  <c r="BD17" i="120"/>
  <c r="BC17" i="120"/>
  <c r="BB17" i="120"/>
  <c r="BA17" i="120"/>
  <c r="AZ17" i="120"/>
  <c r="AY17" i="120"/>
  <c r="AX17" i="120"/>
  <c r="AW17" i="120"/>
  <c r="AV17" i="120"/>
  <c r="AU17" i="120"/>
  <c r="AT17" i="120"/>
  <c r="AS17" i="120"/>
  <c r="AR17" i="120"/>
  <c r="AQ17" i="120"/>
  <c r="AP17" i="120"/>
  <c r="AO17" i="120"/>
  <c r="AN17" i="120"/>
  <c r="AM17" i="120"/>
  <c r="AL17" i="120"/>
  <c r="AK17" i="120"/>
  <c r="AJ17" i="120"/>
  <c r="AI17" i="120"/>
  <c r="AH17" i="120"/>
  <c r="AG17" i="120"/>
  <c r="AF17" i="120"/>
  <c r="AE17" i="120"/>
  <c r="BE16" i="120"/>
  <c r="BD16" i="120"/>
  <c r="BC16" i="120"/>
  <c r="BB16" i="120"/>
  <c r="BA16" i="120"/>
  <c r="AZ16" i="120"/>
  <c r="AY16" i="120"/>
  <c r="AX16" i="120"/>
  <c r="AW16" i="120"/>
  <c r="AV16" i="120"/>
  <c r="AU16" i="120"/>
  <c r="AT16" i="120"/>
  <c r="AS16" i="120"/>
  <c r="AR16" i="120"/>
  <c r="AQ16" i="120"/>
  <c r="AP16" i="120"/>
  <c r="AO16" i="120"/>
  <c r="AN16" i="120"/>
  <c r="AM16" i="120"/>
  <c r="AL16" i="120"/>
  <c r="AK16" i="120"/>
  <c r="AJ16" i="120"/>
  <c r="AI16" i="120"/>
  <c r="AH16" i="120"/>
  <c r="AG16" i="120"/>
  <c r="AF16" i="120"/>
  <c r="AE16" i="120"/>
  <c r="BE15" i="120"/>
  <c r="BD15" i="120"/>
  <c r="BC15" i="120"/>
  <c r="BB15" i="120"/>
  <c r="BA15" i="120"/>
  <c r="AZ15" i="120"/>
  <c r="AY15" i="120"/>
  <c r="AX15" i="120"/>
  <c r="AW15" i="120"/>
  <c r="AV15" i="120"/>
  <c r="AU15" i="120"/>
  <c r="AT15" i="120"/>
  <c r="AS15" i="120"/>
  <c r="AR15" i="120"/>
  <c r="AQ15" i="120"/>
  <c r="AP15" i="120"/>
  <c r="AO15" i="120"/>
  <c r="AN15" i="120"/>
  <c r="AM15" i="120"/>
  <c r="AL15" i="120"/>
  <c r="AK15" i="120"/>
  <c r="AJ15" i="120"/>
  <c r="AI15" i="120"/>
  <c r="AH15" i="120"/>
  <c r="AG15" i="120"/>
  <c r="AF15" i="120"/>
  <c r="AE15" i="120"/>
  <c r="BE14" i="120"/>
  <c r="BD14" i="120"/>
  <c r="BC14" i="120"/>
  <c r="BB14" i="120"/>
  <c r="BA14" i="120"/>
  <c r="AZ14" i="120"/>
  <c r="AY14" i="120"/>
  <c r="AX14" i="120"/>
  <c r="AW14" i="120"/>
  <c r="AV14" i="120"/>
  <c r="AU14" i="120"/>
  <c r="AT14" i="120"/>
  <c r="AS14" i="120"/>
  <c r="AR14" i="120"/>
  <c r="AQ14" i="120"/>
  <c r="AP14" i="120"/>
  <c r="AO14" i="120"/>
  <c r="AN14" i="120"/>
  <c r="AM14" i="120"/>
  <c r="AL14" i="120"/>
  <c r="AK14" i="120"/>
  <c r="AJ14" i="120"/>
  <c r="AI14" i="120"/>
  <c r="AH14" i="120"/>
  <c r="AG14" i="120"/>
  <c r="AF14" i="120"/>
  <c r="AE14" i="120"/>
  <c r="BE13" i="120"/>
  <c r="BD13" i="120"/>
  <c r="BC13" i="120"/>
  <c r="BB13" i="120"/>
  <c r="BA13" i="120"/>
  <c r="AZ13" i="120"/>
  <c r="AY13" i="120"/>
  <c r="AX13" i="120"/>
  <c r="AW13" i="120"/>
  <c r="AV13" i="120"/>
  <c r="AU13" i="120"/>
  <c r="AT13" i="120"/>
  <c r="AS13" i="120"/>
  <c r="AR13" i="120"/>
  <c r="AQ13" i="120"/>
  <c r="AP13" i="120"/>
  <c r="AO13" i="120"/>
  <c r="AN13" i="120"/>
  <c r="AM13" i="120"/>
  <c r="AL13" i="120"/>
  <c r="AK13" i="120"/>
  <c r="AJ13" i="120"/>
  <c r="AI13" i="120"/>
  <c r="AH13" i="120"/>
  <c r="AG13" i="120"/>
  <c r="AF13" i="120"/>
  <c r="AE13" i="120"/>
  <c r="BE12" i="120"/>
  <c r="BD12" i="120"/>
  <c r="BC12" i="120"/>
  <c r="BB12" i="120"/>
  <c r="BA12" i="120"/>
  <c r="AZ12" i="120"/>
  <c r="AY12" i="120"/>
  <c r="AX12" i="120"/>
  <c r="AW12" i="120"/>
  <c r="AV12" i="120"/>
  <c r="AU12" i="120"/>
  <c r="AT12" i="120"/>
  <c r="AS12" i="120"/>
  <c r="AR12" i="120"/>
  <c r="AQ12" i="120"/>
  <c r="AP12" i="120"/>
  <c r="AO12" i="120"/>
  <c r="AN12" i="120"/>
  <c r="AM12" i="120"/>
  <c r="AL12" i="120"/>
  <c r="AK12" i="120"/>
  <c r="AJ12" i="120"/>
  <c r="AI12" i="120"/>
  <c r="AH12" i="120"/>
  <c r="AG12" i="120"/>
  <c r="AF12" i="120"/>
  <c r="AE12" i="120"/>
  <c r="BE11" i="120"/>
  <c r="BD11" i="120"/>
  <c r="BC11" i="120"/>
  <c r="BB11" i="120"/>
  <c r="BA11" i="120"/>
  <c r="AZ11" i="120"/>
  <c r="AY11" i="120"/>
  <c r="AX11" i="120"/>
  <c r="AW11" i="120"/>
  <c r="AV11" i="120"/>
  <c r="AU11" i="120"/>
  <c r="AT11" i="120"/>
  <c r="AS11" i="120"/>
  <c r="AR11" i="120"/>
  <c r="AQ11" i="120"/>
  <c r="AP11" i="120"/>
  <c r="AO11" i="120"/>
  <c r="AN11" i="120"/>
  <c r="AM11" i="120"/>
  <c r="AL11" i="120"/>
  <c r="AK11" i="120"/>
  <c r="AJ11" i="120"/>
  <c r="AI11" i="120"/>
  <c r="AH11" i="120"/>
  <c r="AG11" i="120"/>
  <c r="AF11" i="120"/>
  <c r="AE11" i="120"/>
  <c r="BE10" i="120"/>
  <c r="BD10" i="120"/>
  <c r="BC10" i="120"/>
  <c r="BB10" i="120"/>
  <c r="BA10" i="120"/>
  <c r="AZ10" i="120"/>
  <c r="AY10" i="120"/>
  <c r="AX10" i="120"/>
  <c r="AW10" i="120"/>
  <c r="AV10" i="120"/>
  <c r="AU10" i="120"/>
  <c r="AT10" i="120"/>
  <c r="AS10" i="120"/>
  <c r="AR10" i="120"/>
  <c r="AQ10" i="120"/>
  <c r="AP10" i="120"/>
  <c r="AO10" i="120"/>
  <c r="AN10" i="120"/>
  <c r="AM10" i="120"/>
  <c r="AL10" i="120"/>
  <c r="AK10" i="120"/>
  <c r="AJ10" i="120"/>
  <c r="AI10" i="120"/>
  <c r="AH10" i="120"/>
  <c r="AG10" i="120"/>
  <c r="AF10" i="120"/>
  <c r="AE10" i="120"/>
  <c r="BE9" i="120"/>
  <c r="BD9" i="120"/>
  <c r="BC9" i="120"/>
  <c r="BB9" i="120"/>
  <c r="BA9" i="120"/>
  <c r="AZ9" i="120"/>
  <c r="AY9" i="120"/>
  <c r="AX9" i="120"/>
  <c r="AW9" i="120"/>
  <c r="AV9" i="120"/>
  <c r="AU9" i="120"/>
  <c r="AT9" i="120"/>
  <c r="AS9" i="120"/>
  <c r="AR9" i="120"/>
  <c r="AQ9" i="120"/>
  <c r="AP9" i="120"/>
  <c r="AO9" i="120"/>
  <c r="AN9" i="120"/>
  <c r="AM9" i="120"/>
  <c r="AL9" i="120"/>
  <c r="AK9" i="120"/>
  <c r="AJ9" i="120"/>
  <c r="AI9" i="120"/>
  <c r="AH9" i="120"/>
  <c r="AG9" i="120"/>
  <c r="AF9" i="120"/>
  <c r="AE9" i="120"/>
  <c r="BE8" i="120"/>
  <c r="BD8" i="120"/>
  <c r="BC8" i="120"/>
  <c r="BB8" i="120"/>
  <c r="BA8" i="120"/>
  <c r="AZ8" i="120"/>
  <c r="AY8" i="120"/>
  <c r="AX8" i="120"/>
  <c r="AW8" i="120"/>
  <c r="AV8" i="120"/>
  <c r="AU8" i="120"/>
  <c r="AT8" i="120"/>
  <c r="AS8" i="120"/>
  <c r="AR8" i="120"/>
  <c r="AQ8" i="120"/>
  <c r="AP8" i="120"/>
  <c r="AO8" i="120"/>
  <c r="AN8" i="120"/>
  <c r="AM8" i="120"/>
  <c r="AL8" i="120"/>
  <c r="AK8" i="120"/>
  <c r="AJ8" i="120"/>
  <c r="AI8" i="120"/>
  <c r="AH8" i="120"/>
  <c r="AG8" i="120"/>
  <c r="AF8" i="120"/>
  <c r="AE8" i="120"/>
  <c r="BE7" i="120"/>
  <c r="BD7" i="120"/>
  <c r="BC7" i="120"/>
  <c r="BB7" i="120"/>
  <c r="BA7" i="120"/>
  <c r="AZ7" i="120"/>
  <c r="AY7" i="120"/>
  <c r="AX7" i="120"/>
  <c r="AW7" i="120"/>
  <c r="AV7" i="120"/>
  <c r="AU7" i="120"/>
  <c r="AT7" i="120"/>
  <c r="AS7" i="120"/>
  <c r="AR7" i="120"/>
  <c r="AQ7" i="120"/>
  <c r="AP7" i="120"/>
  <c r="AO7" i="120"/>
  <c r="AN7" i="120"/>
  <c r="AM7" i="120"/>
  <c r="AL7" i="120"/>
  <c r="AK7" i="120"/>
  <c r="AJ7" i="120"/>
  <c r="AI7" i="120"/>
  <c r="AH7" i="120"/>
  <c r="AG7" i="120"/>
  <c r="AF7" i="120"/>
  <c r="AE7" i="120"/>
  <c r="BE6" i="120"/>
  <c r="BD6" i="120"/>
  <c r="BC6" i="120"/>
  <c r="BB6" i="120"/>
  <c r="BA6" i="120"/>
  <c r="AZ6" i="120"/>
  <c r="AY6" i="120"/>
  <c r="AX6" i="120"/>
  <c r="AW6" i="120"/>
  <c r="AV6" i="120"/>
  <c r="AU6" i="120"/>
  <c r="AT6" i="120"/>
  <c r="AS6" i="120"/>
  <c r="AR6" i="120"/>
  <c r="AQ6" i="120"/>
  <c r="AP6" i="120"/>
  <c r="AO6" i="120"/>
  <c r="AN6" i="120"/>
  <c r="AM6" i="120"/>
  <c r="AL6" i="120"/>
  <c r="AK6" i="120"/>
  <c r="AJ6" i="120"/>
  <c r="AI6" i="120"/>
  <c r="AH6" i="120"/>
  <c r="AG6" i="120"/>
  <c r="AF6" i="120"/>
  <c r="AE6" i="120"/>
  <c r="BE5" i="120"/>
  <c r="BD5" i="120"/>
  <c r="BC5" i="120"/>
  <c r="BB5" i="120"/>
  <c r="BA5" i="120"/>
  <c r="AZ5" i="120"/>
  <c r="AY5" i="120"/>
  <c r="AX5" i="120"/>
  <c r="AW5" i="120"/>
  <c r="AV5" i="120"/>
  <c r="AU5" i="120"/>
  <c r="AT5" i="120"/>
  <c r="AS5" i="120"/>
  <c r="AR5" i="120"/>
  <c r="AQ5" i="120"/>
  <c r="AP5" i="120"/>
  <c r="AO5" i="120"/>
  <c r="AN5" i="120"/>
  <c r="AM5" i="120"/>
  <c r="AL5" i="120"/>
  <c r="AK5" i="120"/>
  <c r="AJ5" i="120"/>
  <c r="AI5" i="120"/>
  <c r="AH5" i="120"/>
  <c r="AG5" i="120"/>
  <c r="AF5" i="120"/>
  <c r="AE5" i="120"/>
  <c r="BE4" i="120"/>
  <c r="BD4" i="120"/>
  <c r="BC4" i="120"/>
  <c r="BB4" i="120"/>
  <c r="BA4" i="120"/>
  <c r="AZ4" i="120"/>
  <c r="AY4" i="120"/>
  <c r="AX4" i="120"/>
  <c r="AW4" i="120"/>
  <c r="AV4" i="120"/>
  <c r="AU4" i="120"/>
  <c r="AT4" i="120"/>
  <c r="AS4" i="120"/>
  <c r="AR4" i="120"/>
  <c r="AQ4" i="120"/>
  <c r="AP4" i="120"/>
  <c r="AO4" i="120"/>
  <c r="AN4" i="120"/>
  <c r="AM4" i="120"/>
  <c r="AL4" i="120"/>
  <c r="AK4" i="120"/>
  <c r="AJ4" i="120"/>
  <c r="AI4" i="120"/>
  <c r="AH4" i="120"/>
  <c r="AG4" i="120"/>
  <c r="AF4" i="120"/>
  <c r="AE4" i="120"/>
  <c r="BE3" i="120"/>
  <c r="BD3" i="120"/>
  <c r="BC3" i="120"/>
  <c r="BB3" i="120"/>
  <c r="BA3" i="120"/>
  <c r="AZ3" i="120"/>
  <c r="AY3" i="120"/>
  <c r="AX3" i="120"/>
  <c r="AW3" i="120"/>
  <c r="AV3" i="120"/>
  <c r="AU3" i="120"/>
  <c r="AT3" i="120"/>
  <c r="AS3" i="120"/>
  <c r="AR3" i="120"/>
  <c r="AQ3" i="120"/>
  <c r="AP3" i="120"/>
  <c r="AO3" i="120"/>
  <c r="AN3" i="120"/>
  <c r="AM3" i="120"/>
  <c r="AL3" i="120"/>
  <c r="AK3" i="120"/>
  <c r="AJ3" i="120"/>
  <c r="AI3" i="120"/>
  <c r="AH3" i="120"/>
  <c r="AG3" i="120"/>
  <c r="AF3" i="120"/>
  <c r="AE3" i="120"/>
  <c r="BE2" i="120"/>
  <c r="BD2" i="120"/>
  <c r="BC2" i="120"/>
  <c r="BB2" i="120"/>
  <c r="BA2" i="120"/>
  <c r="AZ2" i="120"/>
  <c r="AY2" i="120"/>
  <c r="AX2" i="120"/>
  <c r="AW2" i="120"/>
  <c r="AV2" i="120"/>
  <c r="AU2" i="120"/>
  <c r="AT2" i="120"/>
  <c r="AS2" i="120"/>
  <c r="AR2" i="120"/>
  <c r="AQ2" i="120"/>
  <c r="AP2" i="120"/>
  <c r="AO2" i="120"/>
  <c r="AN2" i="120"/>
  <c r="AM2" i="120"/>
  <c r="AL2" i="120"/>
  <c r="AK2" i="120"/>
  <c r="AJ2" i="120"/>
  <c r="AI2" i="120"/>
  <c r="AH2" i="120"/>
  <c r="AG2" i="120"/>
  <c r="AF2" i="120"/>
  <c r="AE2" i="120"/>
  <c r="BE1" i="120"/>
  <c r="BD1" i="120"/>
  <c r="BC1" i="120"/>
  <c r="BB1" i="120"/>
  <c r="BA1" i="120"/>
  <c r="AZ1" i="120"/>
  <c r="AY1" i="120"/>
  <c r="AX1" i="120"/>
  <c r="AW1" i="120"/>
  <c r="AV1" i="120"/>
  <c r="AU1" i="120"/>
  <c r="AT1" i="120"/>
  <c r="AS1" i="120"/>
  <c r="AR1" i="120"/>
  <c r="AQ1" i="120"/>
  <c r="AP1" i="120"/>
  <c r="AO1" i="120"/>
  <c r="AN1" i="120"/>
  <c r="AM1" i="120"/>
  <c r="AL1" i="120"/>
  <c r="AK1" i="120"/>
  <c r="AJ1" i="120"/>
  <c r="AI1" i="120"/>
  <c r="AH1" i="120"/>
  <c r="AG1" i="120"/>
  <c r="AF1" i="120"/>
  <c r="BE33" i="121"/>
  <c r="BD33" i="121"/>
  <c r="BC33" i="121"/>
  <c r="BB33" i="121"/>
  <c r="BA33" i="121"/>
  <c r="AZ33" i="121"/>
  <c r="AY33" i="121"/>
  <c r="AX33" i="121"/>
  <c r="AW33" i="121"/>
  <c r="AV33" i="121"/>
  <c r="AU33" i="121"/>
  <c r="AT33" i="121"/>
  <c r="AS33" i="121"/>
  <c r="AR33" i="121"/>
  <c r="AQ33" i="121"/>
  <c r="AP33" i="121"/>
  <c r="AO33" i="121"/>
  <c r="AN33" i="121"/>
  <c r="AM33" i="121"/>
  <c r="AL33" i="121"/>
  <c r="AK33" i="121"/>
  <c r="AJ33" i="121"/>
  <c r="AI33" i="121"/>
  <c r="AH33" i="121"/>
  <c r="AG33" i="121"/>
  <c r="AF33" i="121"/>
  <c r="AE33" i="121"/>
  <c r="BE32" i="121"/>
  <c r="BD32" i="121"/>
  <c r="BC32" i="121"/>
  <c r="BB32" i="121"/>
  <c r="BA32" i="121"/>
  <c r="AZ32" i="121"/>
  <c r="AY32" i="121"/>
  <c r="AX32" i="121"/>
  <c r="AW32" i="121"/>
  <c r="AV32" i="121"/>
  <c r="AU32" i="121"/>
  <c r="AT32" i="121"/>
  <c r="AS32" i="121"/>
  <c r="AR32" i="121"/>
  <c r="AQ32" i="121"/>
  <c r="AP32" i="121"/>
  <c r="AO32" i="121"/>
  <c r="AN32" i="121"/>
  <c r="AM32" i="121"/>
  <c r="AL32" i="121"/>
  <c r="AK32" i="121"/>
  <c r="AJ32" i="121"/>
  <c r="AI32" i="121"/>
  <c r="AH32" i="121"/>
  <c r="AG32" i="121"/>
  <c r="AF32" i="121"/>
  <c r="AE32" i="121"/>
  <c r="BE31" i="121"/>
  <c r="BD31" i="121"/>
  <c r="BC31" i="121"/>
  <c r="BB31" i="121"/>
  <c r="BA31" i="121"/>
  <c r="AZ31" i="121"/>
  <c r="AY31" i="121"/>
  <c r="AX31" i="121"/>
  <c r="AW31" i="121"/>
  <c r="AV31" i="121"/>
  <c r="AU31" i="121"/>
  <c r="AT31" i="121"/>
  <c r="AS31" i="121"/>
  <c r="AR31" i="121"/>
  <c r="AQ31" i="121"/>
  <c r="AP31" i="121"/>
  <c r="AO31" i="121"/>
  <c r="AN31" i="121"/>
  <c r="AM31" i="121"/>
  <c r="AL31" i="121"/>
  <c r="AK31" i="121"/>
  <c r="AJ31" i="121"/>
  <c r="AI31" i="121"/>
  <c r="AH31" i="121"/>
  <c r="AG31" i="121"/>
  <c r="AF31" i="121"/>
  <c r="AE31" i="121"/>
  <c r="BE30" i="121"/>
  <c r="BD30" i="121"/>
  <c r="BC30" i="121"/>
  <c r="BB30" i="121"/>
  <c r="BA30" i="121"/>
  <c r="AZ30" i="121"/>
  <c r="AY30" i="121"/>
  <c r="AX30" i="121"/>
  <c r="AW30" i="121"/>
  <c r="AV30" i="121"/>
  <c r="AU30" i="121"/>
  <c r="AT30" i="121"/>
  <c r="AS30" i="121"/>
  <c r="AR30" i="121"/>
  <c r="AQ30" i="121"/>
  <c r="AP30" i="121"/>
  <c r="AO30" i="121"/>
  <c r="AN30" i="121"/>
  <c r="AM30" i="121"/>
  <c r="AL30" i="121"/>
  <c r="AK30" i="121"/>
  <c r="AJ30" i="121"/>
  <c r="AI30" i="121"/>
  <c r="AH30" i="121"/>
  <c r="AG30" i="121"/>
  <c r="AF30" i="121"/>
  <c r="AE30" i="121"/>
  <c r="BE29" i="121"/>
  <c r="BD29" i="121"/>
  <c r="BC29" i="121"/>
  <c r="BB29" i="121"/>
  <c r="BA29" i="121"/>
  <c r="AZ29" i="121"/>
  <c r="AY29" i="121"/>
  <c r="AX29" i="121"/>
  <c r="AW29" i="121"/>
  <c r="AV29" i="121"/>
  <c r="AU29" i="121"/>
  <c r="AT29" i="121"/>
  <c r="AS29" i="121"/>
  <c r="AR29" i="121"/>
  <c r="AQ29" i="121"/>
  <c r="AP29" i="121"/>
  <c r="AO29" i="121"/>
  <c r="AN29" i="121"/>
  <c r="AM29" i="121"/>
  <c r="AL29" i="121"/>
  <c r="AK29" i="121"/>
  <c r="AJ29" i="121"/>
  <c r="AI29" i="121"/>
  <c r="AH29" i="121"/>
  <c r="AG29" i="121"/>
  <c r="AF29" i="121"/>
  <c r="AE29" i="121"/>
  <c r="BE28" i="121"/>
  <c r="BD28" i="121"/>
  <c r="BC28" i="121"/>
  <c r="BB28" i="121"/>
  <c r="BA28" i="121"/>
  <c r="AZ28" i="121"/>
  <c r="AY28" i="121"/>
  <c r="AX28" i="121"/>
  <c r="AW28" i="121"/>
  <c r="AV28" i="121"/>
  <c r="AU28" i="121"/>
  <c r="AT28" i="121"/>
  <c r="AS28" i="121"/>
  <c r="AR28" i="121"/>
  <c r="AQ28" i="121"/>
  <c r="AP28" i="121"/>
  <c r="AO28" i="121"/>
  <c r="AN28" i="121"/>
  <c r="AM28" i="121"/>
  <c r="AL28" i="121"/>
  <c r="AK28" i="121"/>
  <c r="AJ28" i="121"/>
  <c r="AI28" i="121"/>
  <c r="AH28" i="121"/>
  <c r="AG28" i="121"/>
  <c r="AF28" i="121"/>
  <c r="AE28" i="121"/>
  <c r="BE27" i="121"/>
  <c r="BD27" i="121"/>
  <c r="BC27" i="121"/>
  <c r="BB27" i="121"/>
  <c r="BA27" i="121"/>
  <c r="AZ27" i="121"/>
  <c r="AY27" i="121"/>
  <c r="AX27" i="121"/>
  <c r="AW27" i="121"/>
  <c r="AV27" i="121"/>
  <c r="AU27" i="121"/>
  <c r="AT27" i="121"/>
  <c r="AS27" i="121"/>
  <c r="AR27" i="121"/>
  <c r="AQ27" i="121"/>
  <c r="AP27" i="121"/>
  <c r="AO27" i="121"/>
  <c r="AN27" i="121"/>
  <c r="AM27" i="121"/>
  <c r="AL27" i="121"/>
  <c r="AK27" i="121"/>
  <c r="AJ27" i="121"/>
  <c r="AI27" i="121"/>
  <c r="AH27" i="121"/>
  <c r="AG27" i="121"/>
  <c r="AF27" i="121"/>
  <c r="AE27" i="121"/>
  <c r="BE26" i="121"/>
  <c r="BD26" i="121"/>
  <c r="BC26" i="121"/>
  <c r="BB26" i="121"/>
  <c r="BA26" i="121"/>
  <c r="AZ26" i="121"/>
  <c r="AY26" i="121"/>
  <c r="AX26" i="121"/>
  <c r="AW26" i="121"/>
  <c r="AV26" i="121"/>
  <c r="AU26" i="121"/>
  <c r="AT26" i="121"/>
  <c r="AS26" i="121"/>
  <c r="AR26" i="121"/>
  <c r="AQ26" i="121"/>
  <c r="AP26" i="121"/>
  <c r="AO26" i="121"/>
  <c r="AN26" i="121"/>
  <c r="AM26" i="121"/>
  <c r="AL26" i="121"/>
  <c r="AK26" i="121"/>
  <c r="AJ26" i="121"/>
  <c r="AI26" i="121"/>
  <c r="AH26" i="121"/>
  <c r="AG26" i="121"/>
  <c r="AF26" i="121"/>
  <c r="AE26" i="121"/>
  <c r="BE25" i="121"/>
  <c r="BD25" i="121"/>
  <c r="BC25" i="121"/>
  <c r="BB25" i="121"/>
  <c r="BA25" i="121"/>
  <c r="AZ25" i="121"/>
  <c r="AY25" i="121"/>
  <c r="AX25" i="121"/>
  <c r="AW25" i="121"/>
  <c r="AV25" i="121"/>
  <c r="AU25" i="121"/>
  <c r="AT25" i="121"/>
  <c r="AS25" i="121"/>
  <c r="AR25" i="121"/>
  <c r="AQ25" i="121"/>
  <c r="AP25" i="121"/>
  <c r="AO25" i="121"/>
  <c r="AN25" i="121"/>
  <c r="AM25" i="121"/>
  <c r="AL25" i="121"/>
  <c r="AK25" i="121"/>
  <c r="AJ25" i="121"/>
  <c r="AI25" i="121"/>
  <c r="AH25" i="121"/>
  <c r="AG25" i="121"/>
  <c r="AF25" i="121"/>
  <c r="AE25" i="121"/>
  <c r="BE24" i="121"/>
  <c r="BD24" i="121"/>
  <c r="BC24" i="121"/>
  <c r="BB24" i="121"/>
  <c r="BA24" i="121"/>
  <c r="AZ24" i="121"/>
  <c r="AY24" i="121"/>
  <c r="AX24" i="121"/>
  <c r="AW24" i="121"/>
  <c r="AV24" i="121"/>
  <c r="AU24" i="121"/>
  <c r="AT24" i="121"/>
  <c r="AS24" i="121"/>
  <c r="AR24" i="121"/>
  <c r="AQ24" i="121"/>
  <c r="AP24" i="121"/>
  <c r="AO24" i="121"/>
  <c r="AN24" i="121"/>
  <c r="AM24" i="121"/>
  <c r="AL24" i="121"/>
  <c r="AK24" i="121"/>
  <c r="AJ24" i="121"/>
  <c r="AI24" i="121"/>
  <c r="AH24" i="121"/>
  <c r="AG24" i="121"/>
  <c r="AF24" i="121"/>
  <c r="AE24" i="121"/>
  <c r="BE23" i="121"/>
  <c r="BD23" i="121"/>
  <c r="BC23" i="121"/>
  <c r="BB23" i="121"/>
  <c r="BA23" i="121"/>
  <c r="AZ23" i="121"/>
  <c r="AY23" i="121"/>
  <c r="AX23" i="121"/>
  <c r="AW23" i="121"/>
  <c r="AV23" i="121"/>
  <c r="AU23" i="121"/>
  <c r="AT23" i="121"/>
  <c r="AS23" i="121"/>
  <c r="AR23" i="121"/>
  <c r="AQ23" i="121"/>
  <c r="AP23" i="121"/>
  <c r="AO23" i="121"/>
  <c r="AN23" i="121"/>
  <c r="AM23" i="121"/>
  <c r="AL23" i="121"/>
  <c r="AK23" i="121"/>
  <c r="AJ23" i="121"/>
  <c r="AI23" i="121"/>
  <c r="AH23" i="121"/>
  <c r="AG23" i="121"/>
  <c r="AF23" i="121"/>
  <c r="AE23" i="121"/>
  <c r="BE22" i="121"/>
  <c r="BD22" i="121"/>
  <c r="BC22" i="121"/>
  <c r="BB22" i="121"/>
  <c r="BA22" i="121"/>
  <c r="AZ22" i="121"/>
  <c r="AY22" i="121"/>
  <c r="AX22" i="121"/>
  <c r="AW22" i="121"/>
  <c r="AV22" i="121"/>
  <c r="AU22" i="121"/>
  <c r="AT22" i="121"/>
  <c r="AS22" i="121"/>
  <c r="AR22" i="121"/>
  <c r="AQ22" i="121"/>
  <c r="AP22" i="121"/>
  <c r="AO22" i="121"/>
  <c r="AN22" i="121"/>
  <c r="AM22" i="121"/>
  <c r="AL22" i="121"/>
  <c r="AK22" i="121"/>
  <c r="AJ22" i="121"/>
  <c r="AI22" i="121"/>
  <c r="AH22" i="121"/>
  <c r="AG22" i="121"/>
  <c r="AF22" i="121"/>
  <c r="AE22" i="121"/>
  <c r="BE21" i="121"/>
  <c r="BD21" i="121"/>
  <c r="BC21" i="121"/>
  <c r="BB21" i="121"/>
  <c r="BA21" i="121"/>
  <c r="AZ21" i="121"/>
  <c r="AY21" i="121"/>
  <c r="AX21" i="121"/>
  <c r="AW21" i="121"/>
  <c r="AV21" i="121"/>
  <c r="AU21" i="121"/>
  <c r="AT21" i="121"/>
  <c r="AS21" i="121"/>
  <c r="AR21" i="121"/>
  <c r="AQ21" i="121"/>
  <c r="AP21" i="121"/>
  <c r="AO21" i="121"/>
  <c r="AN21" i="121"/>
  <c r="AM21" i="121"/>
  <c r="AL21" i="121"/>
  <c r="AK21" i="121"/>
  <c r="AJ21" i="121"/>
  <c r="AI21" i="121"/>
  <c r="AH21" i="121"/>
  <c r="AG21" i="121"/>
  <c r="AF21" i="121"/>
  <c r="AE21" i="121"/>
  <c r="BE20" i="121"/>
  <c r="BD20" i="121"/>
  <c r="BC20" i="121"/>
  <c r="BB20" i="121"/>
  <c r="BA20" i="121"/>
  <c r="AZ20" i="121"/>
  <c r="AY20" i="121"/>
  <c r="AX20" i="121"/>
  <c r="AW20" i="121"/>
  <c r="AV20" i="121"/>
  <c r="AU20" i="121"/>
  <c r="AT20" i="121"/>
  <c r="AS20" i="121"/>
  <c r="AR20" i="121"/>
  <c r="AQ20" i="121"/>
  <c r="AP20" i="121"/>
  <c r="AO20" i="121"/>
  <c r="AN20" i="121"/>
  <c r="AM20" i="121"/>
  <c r="AL20" i="121"/>
  <c r="AK20" i="121"/>
  <c r="AJ20" i="121"/>
  <c r="AI20" i="121"/>
  <c r="AH20" i="121"/>
  <c r="AG20" i="121"/>
  <c r="AF20" i="121"/>
  <c r="AE20" i="121"/>
  <c r="BE19" i="121"/>
  <c r="BD19" i="121"/>
  <c r="BC19" i="121"/>
  <c r="BB19" i="121"/>
  <c r="BA19" i="121"/>
  <c r="AZ19" i="121"/>
  <c r="AY19" i="121"/>
  <c r="AX19" i="121"/>
  <c r="AW19" i="121"/>
  <c r="AV19" i="121"/>
  <c r="AU19" i="121"/>
  <c r="AT19" i="121"/>
  <c r="AS19" i="121"/>
  <c r="AR19" i="121"/>
  <c r="AQ19" i="121"/>
  <c r="AP19" i="121"/>
  <c r="AO19" i="121"/>
  <c r="AN19" i="121"/>
  <c r="AM19" i="121"/>
  <c r="AL19" i="121"/>
  <c r="AK19" i="121"/>
  <c r="AJ19" i="121"/>
  <c r="AI19" i="121"/>
  <c r="AH19" i="121"/>
  <c r="AG19" i="121"/>
  <c r="AF19" i="121"/>
  <c r="AE19" i="121"/>
  <c r="BE18" i="121"/>
  <c r="BD18" i="121"/>
  <c r="BC18" i="121"/>
  <c r="BB18" i="121"/>
  <c r="BA18" i="121"/>
  <c r="AZ18" i="121"/>
  <c r="AY18" i="121"/>
  <c r="AX18" i="121"/>
  <c r="AW18" i="121"/>
  <c r="AV18" i="121"/>
  <c r="AU18" i="121"/>
  <c r="AT18" i="121"/>
  <c r="AS18" i="121"/>
  <c r="AR18" i="121"/>
  <c r="AQ18" i="121"/>
  <c r="AP18" i="121"/>
  <c r="AO18" i="121"/>
  <c r="AN18" i="121"/>
  <c r="AM18" i="121"/>
  <c r="AL18" i="121"/>
  <c r="AK18" i="121"/>
  <c r="AJ18" i="121"/>
  <c r="AI18" i="121"/>
  <c r="AH18" i="121"/>
  <c r="AG18" i="121"/>
  <c r="AF18" i="121"/>
  <c r="AE18" i="121"/>
  <c r="BE17" i="121"/>
  <c r="BD17" i="121"/>
  <c r="BC17" i="121"/>
  <c r="BB17" i="121"/>
  <c r="BA17" i="121"/>
  <c r="AZ17" i="121"/>
  <c r="AY17" i="121"/>
  <c r="AX17" i="121"/>
  <c r="AW17" i="121"/>
  <c r="AV17" i="121"/>
  <c r="AU17" i="121"/>
  <c r="AT17" i="121"/>
  <c r="AS17" i="121"/>
  <c r="AR17" i="121"/>
  <c r="AQ17" i="121"/>
  <c r="AP17" i="121"/>
  <c r="AO17" i="121"/>
  <c r="AN17" i="121"/>
  <c r="AM17" i="121"/>
  <c r="AL17" i="121"/>
  <c r="AK17" i="121"/>
  <c r="AJ17" i="121"/>
  <c r="AI17" i="121"/>
  <c r="AH17" i="121"/>
  <c r="AG17" i="121"/>
  <c r="AF17" i="121"/>
  <c r="AE17" i="121"/>
  <c r="BE16" i="121"/>
  <c r="BD16" i="121"/>
  <c r="BC16" i="121"/>
  <c r="BB16" i="121"/>
  <c r="BA16" i="121"/>
  <c r="AZ16" i="121"/>
  <c r="AY16" i="121"/>
  <c r="AX16" i="121"/>
  <c r="AW16" i="121"/>
  <c r="AV16" i="121"/>
  <c r="AU16" i="121"/>
  <c r="AT16" i="121"/>
  <c r="AS16" i="121"/>
  <c r="AR16" i="121"/>
  <c r="AQ16" i="121"/>
  <c r="AP16" i="121"/>
  <c r="AO16" i="121"/>
  <c r="AN16" i="121"/>
  <c r="AM16" i="121"/>
  <c r="AL16" i="121"/>
  <c r="AK16" i="121"/>
  <c r="AJ16" i="121"/>
  <c r="AI16" i="121"/>
  <c r="AH16" i="121"/>
  <c r="AG16" i="121"/>
  <c r="AF16" i="121"/>
  <c r="AE16" i="121"/>
  <c r="BE15" i="121"/>
  <c r="BD15" i="121"/>
  <c r="BC15" i="121"/>
  <c r="BB15" i="121"/>
  <c r="BA15" i="121"/>
  <c r="AZ15" i="121"/>
  <c r="AY15" i="121"/>
  <c r="AX15" i="121"/>
  <c r="AW15" i="121"/>
  <c r="AV15" i="121"/>
  <c r="AU15" i="121"/>
  <c r="AT15" i="121"/>
  <c r="AS15" i="121"/>
  <c r="AR15" i="121"/>
  <c r="AQ15" i="121"/>
  <c r="AP15" i="121"/>
  <c r="AO15" i="121"/>
  <c r="AN15" i="121"/>
  <c r="AM15" i="121"/>
  <c r="AL15" i="121"/>
  <c r="AK15" i="121"/>
  <c r="AJ15" i="121"/>
  <c r="AI15" i="121"/>
  <c r="AH15" i="121"/>
  <c r="AG15" i="121"/>
  <c r="AF15" i="121"/>
  <c r="AE15" i="121"/>
  <c r="BE14" i="121"/>
  <c r="BD14" i="121"/>
  <c r="BC14" i="121"/>
  <c r="BB14" i="121"/>
  <c r="BA14" i="121"/>
  <c r="AZ14" i="121"/>
  <c r="AY14" i="121"/>
  <c r="AX14" i="121"/>
  <c r="AW14" i="121"/>
  <c r="AV14" i="121"/>
  <c r="AU14" i="121"/>
  <c r="AT14" i="121"/>
  <c r="AS14" i="121"/>
  <c r="AR14" i="121"/>
  <c r="AQ14" i="121"/>
  <c r="AP14" i="121"/>
  <c r="AO14" i="121"/>
  <c r="AN14" i="121"/>
  <c r="AM14" i="121"/>
  <c r="AL14" i="121"/>
  <c r="AK14" i="121"/>
  <c r="AJ14" i="121"/>
  <c r="AI14" i="121"/>
  <c r="AH14" i="121"/>
  <c r="AG14" i="121"/>
  <c r="AF14" i="121"/>
  <c r="AE14" i="121"/>
  <c r="BE13" i="121"/>
  <c r="BD13" i="121"/>
  <c r="BC13" i="121"/>
  <c r="BB13" i="121"/>
  <c r="BA13" i="121"/>
  <c r="AZ13" i="121"/>
  <c r="AY13" i="121"/>
  <c r="AX13" i="121"/>
  <c r="AW13" i="121"/>
  <c r="AV13" i="121"/>
  <c r="AU13" i="121"/>
  <c r="AT13" i="121"/>
  <c r="AS13" i="121"/>
  <c r="AR13" i="121"/>
  <c r="AQ13" i="121"/>
  <c r="AP13" i="121"/>
  <c r="AO13" i="121"/>
  <c r="AN13" i="121"/>
  <c r="AM13" i="121"/>
  <c r="AL13" i="121"/>
  <c r="AK13" i="121"/>
  <c r="AJ13" i="121"/>
  <c r="AI13" i="121"/>
  <c r="AH13" i="121"/>
  <c r="AG13" i="121"/>
  <c r="AF13" i="121"/>
  <c r="AE13" i="121"/>
  <c r="BE12" i="121"/>
  <c r="BD12" i="121"/>
  <c r="BC12" i="121"/>
  <c r="BB12" i="121"/>
  <c r="BA12" i="121"/>
  <c r="AZ12" i="121"/>
  <c r="AY12" i="121"/>
  <c r="AX12" i="121"/>
  <c r="AW12" i="121"/>
  <c r="AV12" i="121"/>
  <c r="AU12" i="121"/>
  <c r="AT12" i="121"/>
  <c r="AS12" i="121"/>
  <c r="AR12" i="121"/>
  <c r="AQ12" i="121"/>
  <c r="AP12" i="121"/>
  <c r="AO12" i="121"/>
  <c r="AN12" i="121"/>
  <c r="AM12" i="121"/>
  <c r="AL12" i="121"/>
  <c r="AK12" i="121"/>
  <c r="AJ12" i="121"/>
  <c r="AI12" i="121"/>
  <c r="AH12" i="121"/>
  <c r="AG12" i="121"/>
  <c r="AF12" i="121"/>
  <c r="AE12" i="121"/>
  <c r="BE11" i="121"/>
  <c r="BD11" i="121"/>
  <c r="BC11" i="121"/>
  <c r="BB11" i="121"/>
  <c r="BA11" i="121"/>
  <c r="AZ11" i="121"/>
  <c r="AY11" i="121"/>
  <c r="AX11" i="121"/>
  <c r="AW11" i="121"/>
  <c r="AV11" i="121"/>
  <c r="AU11" i="121"/>
  <c r="AT11" i="121"/>
  <c r="AS11" i="121"/>
  <c r="AR11" i="121"/>
  <c r="AQ11" i="121"/>
  <c r="AP11" i="121"/>
  <c r="AO11" i="121"/>
  <c r="AN11" i="121"/>
  <c r="AM11" i="121"/>
  <c r="AL11" i="121"/>
  <c r="AK11" i="121"/>
  <c r="AJ11" i="121"/>
  <c r="AI11" i="121"/>
  <c r="AH11" i="121"/>
  <c r="AG11" i="121"/>
  <c r="AF11" i="121"/>
  <c r="AE11" i="121"/>
  <c r="BE10" i="121"/>
  <c r="BD10" i="121"/>
  <c r="BC10" i="121"/>
  <c r="BB10" i="121"/>
  <c r="BA10" i="121"/>
  <c r="AZ10" i="121"/>
  <c r="AY10" i="121"/>
  <c r="AX10" i="121"/>
  <c r="AW10" i="121"/>
  <c r="AV10" i="121"/>
  <c r="AU10" i="121"/>
  <c r="AT10" i="121"/>
  <c r="AS10" i="121"/>
  <c r="AR10" i="121"/>
  <c r="AQ10" i="121"/>
  <c r="AP10" i="121"/>
  <c r="AO10" i="121"/>
  <c r="AN10" i="121"/>
  <c r="AM10" i="121"/>
  <c r="AL10" i="121"/>
  <c r="AK10" i="121"/>
  <c r="AJ10" i="121"/>
  <c r="AI10" i="121"/>
  <c r="AH10" i="121"/>
  <c r="AG10" i="121"/>
  <c r="AF10" i="121"/>
  <c r="AE10" i="121"/>
  <c r="BE9" i="121"/>
  <c r="BD9" i="121"/>
  <c r="BC9" i="121"/>
  <c r="BB9" i="121"/>
  <c r="BA9" i="121"/>
  <c r="AZ9" i="121"/>
  <c r="AY9" i="121"/>
  <c r="AX9" i="121"/>
  <c r="AW9" i="121"/>
  <c r="AV9" i="121"/>
  <c r="AU9" i="121"/>
  <c r="AT9" i="121"/>
  <c r="AS9" i="121"/>
  <c r="AR9" i="121"/>
  <c r="AQ9" i="121"/>
  <c r="AP9" i="121"/>
  <c r="AO9" i="121"/>
  <c r="AN9" i="121"/>
  <c r="AM9" i="121"/>
  <c r="AL9" i="121"/>
  <c r="AK9" i="121"/>
  <c r="AJ9" i="121"/>
  <c r="AI9" i="121"/>
  <c r="AH9" i="121"/>
  <c r="AG9" i="121"/>
  <c r="AF9" i="121"/>
  <c r="AE9" i="121"/>
  <c r="BE8" i="121"/>
  <c r="BD8" i="121"/>
  <c r="BC8" i="121"/>
  <c r="BB8" i="121"/>
  <c r="BA8" i="121"/>
  <c r="AZ8" i="121"/>
  <c r="AY8" i="121"/>
  <c r="AX8" i="121"/>
  <c r="AW8" i="121"/>
  <c r="AV8" i="121"/>
  <c r="AU8" i="121"/>
  <c r="AT8" i="121"/>
  <c r="AS8" i="121"/>
  <c r="AR8" i="121"/>
  <c r="AQ8" i="121"/>
  <c r="AP8" i="121"/>
  <c r="AO8" i="121"/>
  <c r="AN8" i="121"/>
  <c r="AM8" i="121"/>
  <c r="AL8" i="121"/>
  <c r="AK8" i="121"/>
  <c r="AJ8" i="121"/>
  <c r="AI8" i="121"/>
  <c r="AH8" i="121"/>
  <c r="AG8" i="121"/>
  <c r="AF8" i="121"/>
  <c r="AE8" i="121"/>
  <c r="BE7" i="121"/>
  <c r="BD7" i="121"/>
  <c r="BC7" i="121"/>
  <c r="BB7" i="121"/>
  <c r="BA7" i="121"/>
  <c r="AZ7" i="121"/>
  <c r="AY7" i="121"/>
  <c r="AX7" i="121"/>
  <c r="AW7" i="121"/>
  <c r="AV7" i="121"/>
  <c r="AU7" i="121"/>
  <c r="AT7" i="121"/>
  <c r="AS7" i="121"/>
  <c r="AR7" i="121"/>
  <c r="AQ7" i="121"/>
  <c r="AP7" i="121"/>
  <c r="AO7" i="121"/>
  <c r="AN7" i="121"/>
  <c r="AM7" i="121"/>
  <c r="AL7" i="121"/>
  <c r="AK7" i="121"/>
  <c r="AJ7" i="121"/>
  <c r="AI7" i="121"/>
  <c r="AH7" i="121"/>
  <c r="AG7" i="121"/>
  <c r="AF7" i="121"/>
  <c r="AE7" i="121"/>
  <c r="BE6" i="121"/>
  <c r="BD6" i="121"/>
  <c r="BC6" i="121"/>
  <c r="BB6" i="121"/>
  <c r="BA6" i="121"/>
  <c r="AZ6" i="121"/>
  <c r="AY6" i="121"/>
  <c r="AX6" i="121"/>
  <c r="AW6" i="121"/>
  <c r="AV6" i="121"/>
  <c r="AU6" i="121"/>
  <c r="AT6" i="121"/>
  <c r="AS6" i="121"/>
  <c r="AR6" i="121"/>
  <c r="AQ6" i="121"/>
  <c r="AP6" i="121"/>
  <c r="AO6" i="121"/>
  <c r="AN6" i="121"/>
  <c r="AM6" i="121"/>
  <c r="AL6" i="121"/>
  <c r="AK6" i="121"/>
  <c r="AJ6" i="121"/>
  <c r="AI6" i="121"/>
  <c r="AH6" i="121"/>
  <c r="AG6" i="121"/>
  <c r="AF6" i="121"/>
  <c r="AE6" i="121"/>
  <c r="BE5" i="121"/>
  <c r="BD5" i="121"/>
  <c r="BC5" i="121"/>
  <c r="BB5" i="121"/>
  <c r="BA5" i="121"/>
  <c r="AZ5" i="121"/>
  <c r="AY5" i="121"/>
  <c r="AX5" i="121"/>
  <c r="AW5" i="121"/>
  <c r="AV5" i="121"/>
  <c r="AU5" i="121"/>
  <c r="AT5" i="121"/>
  <c r="AS5" i="121"/>
  <c r="AR5" i="121"/>
  <c r="AQ5" i="121"/>
  <c r="AP5" i="121"/>
  <c r="AO5" i="121"/>
  <c r="AN5" i="121"/>
  <c r="AM5" i="121"/>
  <c r="AL5" i="121"/>
  <c r="AK5" i="121"/>
  <c r="AJ5" i="121"/>
  <c r="AI5" i="121"/>
  <c r="AH5" i="121"/>
  <c r="AG5" i="121"/>
  <c r="AF5" i="121"/>
  <c r="AE5" i="121"/>
  <c r="BE4" i="121"/>
  <c r="BD4" i="121"/>
  <c r="BC4" i="121"/>
  <c r="BB4" i="121"/>
  <c r="BA4" i="121"/>
  <c r="AZ4" i="121"/>
  <c r="AY4" i="121"/>
  <c r="AX4" i="121"/>
  <c r="AW4" i="121"/>
  <c r="AV4" i="121"/>
  <c r="AU4" i="121"/>
  <c r="AT4" i="121"/>
  <c r="AS4" i="121"/>
  <c r="AR4" i="121"/>
  <c r="AQ4" i="121"/>
  <c r="AP4" i="121"/>
  <c r="AO4" i="121"/>
  <c r="AN4" i="121"/>
  <c r="AM4" i="121"/>
  <c r="AL4" i="121"/>
  <c r="AK4" i="121"/>
  <c r="AJ4" i="121"/>
  <c r="AI4" i="121"/>
  <c r="AH4" i="121"/>
  <c r="AG4" i="121"/>
  <c r="AF4" i="121"/>
  <c r="AE4" i="121"/>
  <c r="BE3" i="121"/>
  <c r="BD3" i="121"/>
  <c r="BC3" i="121"/>
  <c r="BB3" i="121"/>
  <c r="BA3" i="121"/>
  <c r="AZ3" i="121"/>
  <c r="AY3" i="121"/>
  <c r="AX3" i="121"/>
  <c r="AW3" i="121"/>
  <c r="AV3" i="121"/>
  <c r="AU3" i="121"/>
  <c r="AT3" i="121"/>
  <c r="AS3" i="121"/>
  <c r="AR3" i="121"/>
  <c r="AQ3" i="121"/>
  <c r="AP3" i="121"/>
  <c r="AO3" i="121"/>
  <c r="AN3" i="121"/>
  <c r="AM3" i="121"/>
  <c r="AL3" i="121"/>
  <c r="AK3" i="121"/>
  <c r="AJ3" i="121"/>
  <c r="AI3" i="121"/>
  <c r="AH3" i="121"/>
  <c r="AG3" i="121"/>
  <c r="AF3" i="121"/>
  <c r="AE3" i="121"/>
  <c r="BE2" i="121"/>
  <c r="BD2" i="121"/>
  <c r="BC2" i="121"/>
  <c r="BB2" i="121"/>
  <c r="BA2" i="121"/>
  <c r="AZ2" i="121"/>
  <c r="AY2" i="121"/>
  <c r="AX2" i="121"/>
  <c r="AW2" i="121"/>
  <c r="AV2" i="121"/>
  <c r="AU2" i="121"/>
  <c r="AT2" i="121"/>
  <c r="AS2" i="121"/>
  <c r="AR2" i="121"/>
  <c r="AQ2" i="121"/>
  <c r="AP2" i="121"/>
  <c r="AO2" i="121"/>
  <c r="AN2" i="121"/>
  <c r="AM2" i="121"/>
  <c r="AL2" i="121"/>
  <c r="AK2" i="121"/>
  <c r="AJ2" i="121"/>
  <c r="AI2" i="121"/>
  <c r="AH2" i="121"/>
  <c r="AG2" i="121"/>
  <c r="AF2" i="121"/>
  <c r="AE2" i="121"/>
  <c r="BE1" i="121"/>
  <c r="BD1" i="121"/>
  <c r="BC1" i="121"/>
  <c r="BB1" i="121"/>
  <c r="BA1" i="121"/>
  <c r="AZ1" i="121"/>
  <c r="AY1" i="121"/>
  <c r="AX1" i="121"/>
  <c r="AW1" i="121"/>
  <c r="AV1" i="121"/>
  <c r="AU1" i="121"/>
  <c r="AT1" i="121"/>
  <c r="AS1" i="121"/>
  <c r="AR1" i="121"/>
  <c r="AQ1" i="121"/>
  <c r="AP1" i="121"/>
  <c r="AO1" i="121"/>
  <c r="AN1" i="121"/>
  <c r="AM1" i="121"/>
  <c r="AL1" i="121"/>
  <c r="AK1" i="121"/>
  <c r="AJ1" i="121"/>
  <c r="AI1" i="121"/>
  <c r="AH1" i="121"/>
  <c r="AG1" i="121"/>
  <c r="AF1" i="121"/>
  <c r="D48" i="110"/>
  <c r="D47" i="110"/>
  <c r="D46" i="110"/>
  <c r="D45" i="110"/>
  <c r="D44" i="110"/>
  <c r="D43" i="110"/>
  <c r="D42" i="110"/>
  <c r="D41" i="110"/>
  <c r="D40" i="110"/>
  <c r="D39" i="110"/>
  <c r="D38" i="110"/>
  <c r="D37" i="110"/>
  <c r="D36" i="110"/>
  <c r="D35" i="110"/>
  <c r="D34" i="110"/>
  <c r="D33" i="110"/>
  <c r="D32" i="110"/>
  <c r="D31" i="110"/>
  <c r="D30" i="110"/>
  <c r="D29" i="110"/>
  <c r="D28" i="110"/>
  <c r="D27" i="110"/>
  <c r="D26" i="110"/>
  <c r="D25" i="110"/>
  <c r="N41" i="137" l="1"/>
  <c r="M41" i="137"/>
  <c r="N40" i="137"/>
  <c r="M40" i="137"/>
  <c r="N39" i="137"/>
  <c r="M39" i="137"/>
  <c r="N38" i="137"/>
  <c r="M38" i="137"/>
  <c r="N37" i="137"/>
  <c r="M37" i="137"/>
  <c r="N36" i="137"/>
  <c r="M36" i="137"/>
  <c r="N35" i="137"/>
  <c r="M35" i="137"/>
  <c r="N34" i="137"/>
  <c r="M34" i="137"/>
  <c r="N33" i="137"/>
  <c r="M33" i="137"/>
  <c r="N32" i="137"/>
  <c r="M32" i="137"/>
  <c r="N31" i="137"/>
  <c r="M31" i="137"/>
  <c r="N30" i="137"/>
  <c r="M30" i="137"/>
  <c r="N29" i="137"/>
  <c r="M29" i="137"/>
  <c r="N28" i="137"/>
  <c r="M28" i="137"/>
  <c r="N27" i="137"/>
  <c r="M27" i="137"/>
  <c r="N26" i="137"/>
  <c r="M26" i="137"/>
  <c r="N25" i="137"/>
  <c r="M25" i="137"/>
  <c r="N24" i="137"/>
  <c r="M24" i="137"/>
  <c r="N23" i="137"/>
  <c r="M23" i="137"/>
  <c r="N22" i="137"/>
  <c r="M22" i="137"/>
  <c r="N21" i="137"/>
  <c r="M21" i="137"/>
  <c r="N20" i="137"/>
  <c r="M20" i="137"/>
  <c r="N19" i="137"/>
  <c r="M19" i="137"/>
  <c r="N18" i="137"/>
  <c r="M18" i="137"/>
  <c r="N17" i="137"/>
  <c r="M17" i="137"/>
  <c r="N16" i="137"/>
  <c r="M16" i="137"/>
  <c r="N15" i="137"/>
  <c r="M15" i="137"/>
  <c r="N14" i="137"/>
  <c r="M14" i="137"/>
  <c r="N13" i="137"/>
  <c r="M13" i="137"/>
  <c r="N12" i="137"/>
  <c r="M12" i="137"/>
  <c r="N11" i="137"/>
  <c r="M11" i="137"/>
  <c r="N10" i="137"/>
  <c r="M10" i="137"/>
  <c r="N9" i="137"/>
  <c r="M9" i="137"/>
  <c r="N8" i="137"/>
  <c r="M8" i="137"/>
  <c r="N7" i="137"/>
  <c r="M7" i="137"/>
  <c r="N6" i="137"/>
  <c r="M6" i="137"/>
  <c r="N5" i="137"/>
  <c r="M5" i="137"/>
  <c r="N4" i="137"/>
  <c r="M4" i="137"/>
  <c r="AC3" i="137"/>
  <c r="AB3" i="137"/>
  <c r="AA3" i="137"/>
  <c r="Z3" i="137"/>
  <c r="Y3" i="137"/>
  <c r="X3" i="137"/>
  <c r="W3" i="137"/>
  <c r="V3" i="137"/>
  <c r="U3" i="137"/>
  <c r="T3" i="137"/>
  <c r="S3" i="137"/>
  <c r="N3" i="137"/>
  <c r="M3" i="137"/>
  <c r="N2" i="137"/>
  <c r="M2" i="137"/>
  <c r="A2" i="137"/>
  <c r="Q1" i="137"/>
  <c r="P1" i="137"/>
  <c r="N1" i="137"/>
  <c r="M1" i="137"/>
  <c r="N41" i="136"/>
  <c r="M41" i="136"/>
  <c r="N40" i="136"/>
  <c r="M40" i="136"/>
  <c r="N39" i="136"/>
  <c r="M39" i="136"/>
  <c r="N38" i="136"/>
  <c r="M38" i="136"/>
  <c r="N37" i="136"/>
  <c r="M37" i="136"/>
  <c r="N36" i="136"/>
  <c r="M36" i="136"/>
  <c r="N35" i="136"/>
  <c r="M35" i="136"/>
  <c r="N34" i="136"/>
  <c r="M34" i="136"/>
  <c r="N33" i="136"/>
  <c r="M33" i="136"/>
  <c r="N32" i="136"/>
  <c r="M32" i="136"/>
  <c r="N31" i="136"/>
  <c r="M31" i="136"/>
  <c r="N30" i="136"/>
  <c r="M30" i="136"/>
  <c r="N29" i="136"/>
  <c r="M29" i="136"/>
  <c r="N28" i="136"/>
  <c r="M28" i="136"/>
  <c r="N27" i="136"/>
  <c r="M27" i="136"/>
  <c r="N26" i="136"/>
  <c r="M26" i="136"/>
  <c r="N25" i="136"/>
  <c r="M25" i="136"/>
  <c r="N24" i="136"/>
  <c r="M24" i="136"/>
  <c r="N23" i="136"/>
  <c r="M23" i="136"/>
  <c r="N22" i="136"/>
  <c r="M22" i="136"/>
  <c r="N21" i="136"/>
  <c r="M21" i="136"/>
  <c r="N20" i="136"/>
  <c r="M20" i="136"/>
  <c r="N19" i="136"/>
  <c r="M19" i="136"/>
  <c r="N18" i="136"/>
  <c r="M18" i="136"/>
  <c r="N17" i="136"/>
  <c r="M17" i="136"/>
  <c r="N16" i="136"/>
  <c r="M16" i="136"/>
  <c r="N15" i="136"/>
  <c r="M15" i="136"/>
  <c r="N14" i="136"/>
  <c r="M14" i="136"/>
  <c r="N13" i="136"/>
  <c r="M13" i="136"/>
  <c r="N12" i="136"/>
  <c r="M12" i="136"/>
  <c r="N11" i="136"/>
  <c r="M11" i="136"/>
  <c r="N10" i="136"/>
  <c r="M10" i="136"/>
  <c r="N9" i="136"/>
  <c r="M9" i="136"/>
  <c r="N8" i="136"/>
  <c r="M8" i="136"/>
  <c r="N7" i="136"/>
  <c r="M7" i="136"/>
  <c r="N6" i="136"/>
  <c r="M6" i="136"/>
  <c r="N5" i="136"/>
  <c r="M5" i="136"/>
  <c r="N4" i="136"/>
  <c r="M4" i="136"/>
  <c r="AC3" i="136"/>
  <c r="AB3" i="136"/>
  <c r="AA3" i="136"/>
  <c r="Z3" i="136"/>
  <c r="Y3" i="136"/>
  <c r="X3" i="136"/>
  <c r="W3" i="136"/>
  <c r="V3" i="136"/>
  <c r="U3" i="136"/>
  <c r="T3" i="136"/>
  <c r="S3" i="136"/>
  <c r="N3" i="136"/>
  <c r="M3" i="136"/>
  <c r="N2" i="136"/>
  <c r="M2" i="136"/>
  <c r="A2" i="136"/>
  <c r="Q1" i="136"/>
  <c r="P1" i="136"/>
  <c r="N1" i="136"/>
  <c r="M1" i="136"/>
  <c r="N41" i="134"/>
  <c r="M41" i="134"/>
  <c r="N40" i="134"/>
  <c r="M40" i="134"/>
  <c r="N39" i="134"/>
  <c r="M39" i="134"/>
  <c r="N38" i="134"/>
  <c r="M38" i="134"/>
  <c r="N37" i="134"/>
  <c r="M37" i="134"/>
  <c r="N36" i="134"/>
  <c r="M36" i="134"/>
  <c r="N35" i="134"/>
  <c r="M35" i="134"/>
  <c r="N34" i="134"/>
  <c r="M34" i="134"/>
  <c r="N33" i="134"/>
  <c r="M33" i="134"/>
  <c r="N32" i="134"/>
  <c r="M32" i="134"/>
  <c r="N31" i="134"/>
  <c r="M31" i="134"/>
  <c r="N30" i="134"/>
  <c r="M30" i="134"/>
  <c r="N29" i="134"/>
  <c r="M29" i="134"/>
  <c r="N28" i="134"/>
  <c r="M28" i="134"/>
  <c r="N27" i="134"/>
  <c r="M27" i="134"/>
  <c r="N26" i="134"/>
  <c r="M26" i="134"/>
  <c r="N25" i="134"/>
  <c r="M25" i="134"/>
  <c r="N24" i="134"/>
  <c r="M24" i="134"/>
  <c r="N23" i="134"/>
  <c r="M23" i="134"/>
  <c r="N22" i="134"/>
  <c r="M22" i="134"/>
  <c r="N21" i="134"/>
  <c r="M21" i="134"/>
  <c r="N20" i="134"/>
  <c r="M20" i="134"/>
  <c r="N19" i="134"/>
  <c r="M19" i="134"/>
  <c r="N18" i="134"/>
  <c r="M18" i="134"/>
  <c r="N17" i="134"/>
  <c r="M17" i="134"/>
  <c r="N16" i="134"/>
  <c r="M16" i="134"/>
  <c r="N15" i="134"/>
  <c r="M15" i="134"/>
  <c r="N14" i="134"/>
  <c r="M14" i="134"/>
  <c r="N13" i="134"/>
  <c r="M13" i="134"/>
  <c r="N12" i="134"/>
  <c r="M12" i="134"/>
  <c r="N11" i="134"/>
  <c r="M11" i="134"/>
  <c r="N10" i="134"/>
  <c r="M10" i="134"/>
  <c r="N9" i="134"/>
  <c r="M9" i="134"/>
  <c r="N8" i="134"/>
  <c r="M8" i="134"/>
  <c r="N7" i="134"/>
  <c r="M7" i="134"/>
  <c r="N6" i="134"/>
  <c r="M6" i="134"/>
  <c r="N5" i="134"/>
  <c r="M5" i="134"/>
  <c r="N4" i="134"/>
  <c r="M4" i="134"/>
  <c r="AC3" i="134"/>
  <c r="AB3" i="134"/>
  <c r="AA3" i="134"/>
  <c r="Z3" i="134"/>
  <c r="Y3" i="134"/>
  <c r="X3" i="134"/>
  <c r="W3" i="134"/>
  <c r="V3" i="134"/>
  <c r="U3" i="134"/>
  <c r="T3" i="134"/>
  <c r="S3" i="134"/>
  <c r="N3" i="134"/>
  <c r="M3" i="134"/>
  <c r="N2" i="134"/>
  <c r="M2" i="134"/>
  <c r="A2" i="134"/>
  <c r="Q1" i="134"/>
  <c r="P1" i="134"/>
  <c r="N1" i="134"/>
  <c r="M1" i="134"/>
  <c r="N41" i="133"/>
  <c r="M41" i="133"/>
  <c r="N40" i="133"/>
  <c r="M40" i="133"/>
  <c r="N39" i="133"/>
  <c r="M39" i="133"/>
  <c r="N38" i="133"/>
  <c r="M38" i="133"/>
  <c r="N37" i="133"/>
  <c r="M37" i="133"/>
  <c r="N36" i="133"/>
  <c r="M36" i="133"/>
  <c r="N35" i="133"/>
  <c r="M35" i="133"/>
  <c r="N34" i="133"/>
  <c r="M34" i="133"/>
  <c r="N33" i="133"/>
  <c r="M33" i="133"/>
  <c r="N32" i="133"/>
  <c r="M32" i="133"/>
  <c r="N31" i="133"/>
  <c r="M31" i="133"/>
  <c r="N30" i="133"/>
  <c r="M30" i="133"/>
  <c r="N29" i="133"/>
  <c r="M29" i="133"/>
  <c r="N28" i="133"/>
  <c r="M28" i="133"/>
  <c r="N27" i="133"/>
  <c r="M27" i="133"/>
  <c r="N26" i="133"/>
  <c r="M26" i="133"/>
  <c r="N25" i="133"/>
  <c r="M25" i="133"/>
  <c r="N24" i="133"/>
  <c r="M24" i="133"/>
  <c r="N23" i="133"/>
  <c r="M23" i="133"/>
  <c r="N22" i="133"/>
  <c r="M22" i="133"/>
  <c r="N21" i="133"/>
  <c r="M21" i="133"/>
  <c r="N20" i="133"/>
  <c r="M20" i="133"/>
  <c r="N19" i="133"/>
  <c r="M19" i="133"/>
  <c r="N18" i="133"/>
  <c r="M18" i="133"/>
  <c r="N17" i="133"/>
  <c r="M17" i="133"/>
  <c r="N16" i="133"/>
  <c r="M16" i="133"/>
  <c r="N15" i="133"/>
  <c r="M15" i="133"/>
  <c r="N14" i="133"/>
  <c r="M14" i="133"/>
  <c r="N13" i="133"/>
  <c r="M13" i="133"/>
  <c r="N12" i="133"/>
  <c r="M12" i="133"/>
  <c r="N11" i="133"/>
  <c r="M11" i="133"/>
  <c r="N10" i="133"/>
  <c r="M10" i="133"/>
  <c r="N9" i="133"/>
  <c r="M9" i="133"/>
  <c r="N8" i="133"/>
  <c r="M8" i="133"/>
  <c r="N7" i="133"/>
  <c r="M7" i="133"/>
  <c r="N6" i="133"/>
  <c r="M6" i="133"/>
  <c r="N5" i="133"/>
  <c r="M5" i="133"/>
  <c r="N4" i="133"/>
  <c r="M4" i="133"/>
  <c r="AC3" i="133"/>
  <c r="AB3" i="133"/>
  <c r="AA3" i="133"/>
  <c r="Z3" i="133"/>
  <c r="Y3" i="133"/>
  <c r="X3" i="133"/>
  <c r="W3" i="133"/>
  <c r="V3" i="133"/>
  <c r="U3" i="133"/>
  <c r="T3" i="133"/>
  <c r="S3" i="133"/>
  <c r="N3" i="133"/>
  <c r="M3" i="133"/>
  <c r="N2" i="133"/>
  <c r="M2" i="133"/>
  <c r="A2" i="133"/>
  <c r="Q1" i="133"/>
  <c r="P1" i="133"/>
  <c r="N1" i="133"/>
  <c r="M1" i="133"/>
  <c r="N41" i="132"/>
  <c r="M41" i="132"/>
  <c r="N40" i="132"/>
  <c r="M40" i="132"/>
  <c r="N39" i="132"/>
  <c r="M39" i="132"/>
  <c r="N38" i="132"/>
  <c r="M38" i="132"/>
  <c r="N37" i="132"/>
  <c r="M37" i="132"/>
  <c r="N36" i="132"/>
  <c r="M36" i="132"/>
  <c r="N35" i="132"/>
  <c r="M35" i="132"/>
  <c r="N34" i="132"/>
  <c r="M34" i="132"/>
  <c r="N33" i="132"/>
  <c r="M33" i="132"/>
  <c r="N32" i="132"/>
  <c r="M32" i="132"/>
  <c r="N31" i="132"/>
  <c r="M31" i="132"/>
  <c r="N30" i="132"/>
  <c r="M30" i="132"/>
  <c r="N29" i="132"/>
  <c r="M29" i="132"/>
  <c r="N28" i="132"/>
  <c r="M28" i="132"/>
  <c r="N27" i="132"/>
  <c r="M27" i="132"/>
  <c r="N26" i="132"/>
  <c r="M26" i="132"/>
  <c r="N25" i="132"/>
  <c r="M25" i="132"/>
  <c r="N24" i="132"/>
  <c r="M24" i="132"/>
  <c r="N23" i="132"/>
  <c r="M23" i="132"/>
  <c r="N22" i="132"/>
  <c r="M22" i="132"/>
  <c r="N21" i="132"/>
  <c r="M21" i="132"/>
  <c r="N20" i="132"/>
  <c r="M20" i="132"/>
  <c r="N19" i="132"/>
  <c r="M19" i="132"/>
  <c r="N18" i="132"/>
  <c r="M18" i="132"/>
  <c r="N17" i="132"/>
  <c r="M17" i="132"/>
  <c r="N16" i="132"/>
  <c r="M16" i="132"/>
  <c r="N15" i="132"/>
  <c r="M15" i="132"/>
  <c r="N14" i="132"/>
  <c r="M14" i="132"/>
  <c r="N13" i="132"/>
  <c r="M13" i="132"/>
  <c r="N12" i="132"/>
  <c r="M12" i="132"/>
  <c r="N11" i="132"/>
  <c r="M11" i="132"/>
  <c r="N10" i="132"/>
  <c r="M10" i="132"/>
  <c r="N9" i="132"/>
  <c r="M9" i="132"/>
  <c r="N8" i="132"/>
  <c r="M8" i="132"/>
  <c r="N7" i="132"/>
  <c r="M7" i="132"/>
  <c r="N6" i="132"/>
  <c r="M6" i="132"/>
  <c r="N5" i="132"/>
  <c r="M5" i="132"/>
  <c r="N4" i="132"/>
  <c r="M4" i="132"/>
  <c r="AC3" i="132"/>
  <c r="AB3" i="132"/>
  <c r="AA3" i="132"/>
  <c r="Z3" i="132"/>
  <c r="Y3" i="132"/>
  <c r="X3" i="132"/>
  <c r="W3" i="132"/>
  <c r="V3" i="132"/>
  <c r="U3" i="132"/>
  <c r="T3" i="132"/>
  <c r="S3" i="132"/>
  <c r="N3" i="132"/>
  <c r="M3" i="132"/>
  <c r="N2" i="132"/>
  <c r="M2" i="132"/>
  <c r="A2" i="132"/>
  <c r="Q1" i="132"/>
  <c r="P1" i="132"/>
  <c r="N1" i="132"/>
  <c r="M1" i="132"/>
  <c r="N41" i="131"/>
  <c r="M41" i="131"/>
  <c r="N40" i="131"/>
  <c r="M40" i="131"/>
  <c r="N39" i="131"/>
  <c r="M39" i="131"/>
  <c r="N38" i="131"/>
  <c r="M38" i="131"/>
  <c r="N37" i="131"/>
  <c r="M37" i="131"/>
  <c r="N36" i="131"/>
  <c r="M36" i="131"/>
  <c r="N35" i="131"/>
  <c r="M35" i="131"/>
  <c r="N34" i="131"/>
  <c r="M34" i="131"/>
  <c r="N33" i="131"/>
  <c r="M33" i="131"/>
  <c r="N32" i="131"/>
  <c r="M32" i="131"/>
  <c r="N31" i="131"/>
  <c r="M31" i="131"/>
  <c r="N30" i="131"/>
  <c r="M30" i="131"/>
  <c r="N29" i="131"/>
  <c r="M29" i="131"/>
  <c r="N28" i="131"/>
  <c r="M28" i="131"/>
  <c r="N27" i="131"/>
  <c r="M27" i="131"/>
  <c r="N26" i="131"/>
  <c r="M26" i="131"/>
  <c r="N25" i="131"/>
  <c r="M25" i="131"/>
  <c r="N24" i="131"/>
  <c r="M24" i="131"/>
  <c r="N23" i="131"/>
  <c r="M23" i="131"/>
  <c r="N22" i="131"/>
  <c r="M22" i="131"/>
  <c r="N21" i="131"/>
  <c r="M21" i="131"/>
  <c r="N20" i="131"/>
  <c r="M20" i="131"/>
  <c r="N19" i="131"/>
  <c r="M19" i="131"/>
  <c r="N18" i="131"/>
  <c r="M18" i="131"/>
  <c r="N17" i="131"/>
  <c r="M17" i="131"/>
  <c r="N16" i="131"/>
  <c r="M16" i="131"/>
  <c r="N15" i="131"/>
  <c r="M15" i="131"/>
  <c r="N14" i="131"/>
  <c r="M14" i="131"/>
  <c r="N13" i="131"/>
  <c r="M13" i="131"/>
  <c r="N12" i="131"/>
  <c r="M12" i="131"/>
  <c r="N11" i="131"/>
  <c r="M11" i="131"/>
  <c r="N10" i="131"/>
  <c r="M10" i="131"/>
  <c r="N9" i="131"/>
  <c r="M9" i="131"/>
  <c r="N8" i="131"/>
  <c r="M8" i="131"/>
  <c r="N7" i="131"/>
  <c r="M7" i="131"/>
  <c r="N6" i="131"/>
  <c r="M6" i="131"/>
  <c r="N5" i="131"/>
  <c r="M5" i="131"/>
  <c r="N4" i="131"/>
  <c r="M4" i="131"/>
  <c r="AC3" i="131"/>
  <c r="AB3" i="131"/>
  <c r="AA3" i="131"/>
  <c r="Z3" i="131"/>
  <c r="Y3" i="131"/>
  <c r="X3" i="131"/>
  <c r="W3" i="131"/>
  <c r="V3" i="131"/>
  <c r="U3" i="131"/>
  <c r="T3" i="131"/>
  <c r="S3" i="131"/>
  <c r="N3" i="131"/>
  <c r="M3" i="131"/>
  <c r="N2" i="131"/>
  <c r="M2" i="131"/>
  <c r="A2" i="131"/>
  <c r="Q1" i="131"/>
  <c r="P1" i="131"/>
  <c r="N1" i="131"/>
  <c r="M1" i="131"/>
  <c r="N41" i="130"/>
  <c r="M41" i="130"/>
  <c r="N40" i="130"/>
  <c r="M40" i="130"/>
  <c r="N39" i="130"/>
  <c r="M39" i="130"/>
  <c r="N38" i="130"/>
  <c r="M38" i="130"/>
  <c r="N37" i="130"/>
  <c r="M37" i="130"/>
  <c r="N36" i="130"/>
  <c r="M36" i="130"/>
  <c r="N35" i="130"/>
  <c r="M35" i="130"/>
  <c r="N34" i="130"/>
  <c r="M34" i="130"/>
  <c r="N33" i="130"/>
  <c r="M33" i="130"/>
  <c r="N32" i="130"/>
  <c r="M32" i="130"/>
  <c r="N31" i="130"/>
  <c r="M31" i="130"/>
  <c r="N30" i="130"/>
  <c r="M30" i="130"/>
  <c r="N29" i="130"/>
  <c r="M29" i="130"/>
  <c r="N28" i="130"/>
  <c r="M28" i="130"/>
  <c r="N27" i="130"/>
  <c r="M27" i="130"/>
  <c r="N26" i="130"/>
  <c r="M26" i="130"/>
  <c r="N25" i="130"/>
  <c r="M25" i="130"/>
  <c r="N24" i="130"/>
  <c r="M24" i="130"/>
  <c r="N23" i="130"/>
  <c r="M23" i="130"/>
  <c r="N22" i="130"/>
  <c r="M22" i="130"/>
  <c r="N21" i="130"/>
  <c r="M21" i="130"/>
  <c r="N20" i="130"/>
  <c r="M20" i="130"/>
  <c r="N19" i="130"/>
  <c r="M19" i="130"/>
  <c r="N18" i="130"/>
  <c r="M18" i="130"/>
  <c r="N17" i="130"/>
  <c r="M17" i="130"/>
  <c r="N16" i="130"/>
  <c r="M16" i="130"/>
  <c r="N15" i="130"/>
  <c r="M15" i="130"/>
  <c r="N14" i="130"/>
  <c r="M14" i="130"/>
  <c r="N13" i="130"/>
  <c r="M13" i="130"/>
  <c r="N12" i="130"/>
  <c r="M12" i="130"/>
  <c r="N11" i="130"/>
  <c r="M11" i="130"/>
  <c r="N10" i="130"/>
  <c r="M10" i="130"/>
  <c r="N9" i="130"/>
  <c r="M9" i="130"/>
  <c r="N8" i="130"/>
  <c r="M8" i="130"/>
  <c r="N7" i="130"/>
  <c r="M7" i="130"/>
  <c r="N6" i="130"/>
  <c r="M6" i="130"/>
  <c r="N5" i="130"/>
  <c r="M5" i="130"/>
  <c r="N4" i="130"/>
  <c r="M4" i="130"/>
  <c r="AC3" i="130"/>
  <c r="AB3" i="130"/>
  <c r="AA3" i="130"/>
  <c r="Z3" i="130"/>
  <c r="Y3" i="130"/>
  <c r="X3" i="130"/>
  <c r="W3" i="130"/>
  <c r="V3" i="130"/>
  <c r="U3" i="130"/>
  <c r="T3" i="130"/>
  <c r="S3" i="130"/>
  <c r="N3" i="130"/>
  <c r="M3" i="130"/>
  <c r="N2" i="130"/>
  <c r="M2" i="130"/>
  <c r="A2" i="130"/>
  <c r="Q1" i="130"/>
  <c r="P1" i="130"/>
  <c r="N1" i="130"/>
  <c r="M1" i="130"/>
  <c r="N41" i="129"/>
  <c r="M41" i="129"/>
  <c r="N40" i="129"/>
  <c r="M40" i="129"/>
  <c r="N39" i="129"/>
  <c r="M39" i="129"/>
  <c r="N38" i="129"/>
  <c r="M38" i="129"/>
  <c r="N37" i="129"/>
  <c r="M37" i="129"/>
  <c r="N36" i="129"/>
  <c r="M36" i="129"/>
  <c r="N35" i="129"/>
  <c r="M35" i="129"/>
  <c r="N34" i="129"/>
  <c r="M34" i="129"/>
  <c r="N33" i="129"/>
  <c r="M33" i="129"/>
  <c r="N32" i="129"/>
  <c r="M32" i="129"/>
  <c r="N31" i="129"/>
  <c r="M31" i="129"/>
  <c r="N30" i="129"/>
  <c r="M30" i="129"/>
  <c r="N29" i="129"/>
  <c r="M29" i="129"/>
  <c r="N28" i="129"/>
  <c r="M28" i="129"/>
  <c r="N27" i="129"/>
  <c r="M27" i="129"/>
  <c r="N26" i="129"/>
  <c r="M26" i="129"/>
  <c r="N25" i="129"/>
  <c r="M25" i="129"/>
  <c r="N24" i="129"/>
  <c r="M24" i="129"/>
  <c r="N23" i="129"/>
  <c r="M23" i="129"/>
  <c r="N22" i="129"/>
  <c r="M22" i="129"/>
  <c r="N21" i="129"/>
  <c r="M21" i="129"/>
  <c r="N20" i="129"/>
  <c r="M20" i="129"/>
  <c r="N19" i="129"/>
  <c r="M19" i="129"/>
  <c r="N18" i="129"/>
  <c r="M18" i="129"/>
  <c r="N17" i="129"/>
  <c r="M17" i="129"/>
  <c r="N16" i="129"/>
  <c r="M16" i="129"/>
  <c r="N15" i="129"/>
  <c r="M15" i="129"/>
  <c r="N14" i="129"/>
  <c r="M14" i="129"/>
  <c r="N13" i="129"/>
  <c r="M13" i="129"/>
  <c r="N12" i="129"/>
  <c r="M12" i="129"/>
  <c r="N11" i="129"/>
  <c r="M11" i="129"/>
  <c r="N10" i="129"/>
  <c r="M10" i="129"/>
  <c r="N9" i="129"/>
  <c r="M9" i="129"/>
  <c r="N8" i="129"/>
  <c r="M8" i="129"/>
  <c r="N7" i="129"/>
  <c r="M7" i="129"/>
  <c r="N6" i="129"/>
  <c r="M6" i="129"/>
  <c r="N5" i="129"/>
  <c r="M5" i="129"/>
  <c r="N4" i="129"/>
  <c r="M4" i="129"/>
  <c r="AC3" i="129"/>
  <c r="AB3" i="129"/>
  <c r="AA3" i="129"/>
  <c r="Z3" i="129"/>
  <c r="Y3" i="129"/>
  <c r="X3" i="129"/>
  <c r="W3" i="129"/>
  <c r="V3" i="129"/>
  <c r="U3" i="129"/>
  <c r="T3" i="129"/>
  <c r="S3" i="129"/>
  <c r="N3" i="129"/>
  <c r="M3" i="129"/>
  <c r="N2" i="129"/>
  <c r="M2" i="129"/>
  <c r="A2" i="129"/>
  <c r="Q1" i="129"/>
  <c r="P1" i="129"/>
  <c r="N1" i="129"/>
  <c r="M1" i="129"/>
  <c r="AC3" i="126"/>
  <c r="AB3" i="126"/>
  <c r="AA3" i="126"/>
  <c r="Z3" i="126"/>
  <c r="Y3" i="126"/>
  <c r="X3" i="126"/>
  <c r="W3" i="126"/>
  <c r="E14" i="126" s="1"/>
  <c r="V3" i="126"/>
  <c r="E13" i="126" s="1"/>
  <c r="U3" i="126"/>
  <c r="E12" i="126" s="1"/>
  <c r="T3" i="126"/>
  <c r="E11" i="126" s="1"/>
  <c r="S3" i="126"/>
  <c r="AC3" i="124"/>
  <c r="AB3" i="124"/>
  <c r="AA3" i="124"/>
  <c r="Z3" i="124"/>
  <c r="Y3" i="124"/>
  <c r="X3" i="124"/>
  <c r="W3" i="124"/>
  <c r="V3" i="124"/>
  <c r="U3" i="124"/>
  <c r="T3" i="124"/>
  <c r="S3" i="124"/>
  <c r="A50" i="124"/>
  <c r="AC3" i="123"/>
  <c r="AB3" i="123"/>
  <c r="AA3" i="123"/>
  <c r="Z3" i="123"/>
  <c r="Y3" i="123"/>
  <c r="X3" i="123"/>
  <c r="W3" i="123"/>
  <c r="V3" i="123"/>
  <c r="U3" i="123"/>
  <c r="T3" i="123"/>
  <c r="S3" i="123"/>
  <c r="R3" i="121"/>
  <c r="N32" i="121"/>
  <c r="M32" i="121"/>
  <c r="N29" i="121"/>
  <c r="M29" i="121"/>
  <c r="N28" i="121"/>
  <c r="M28" i="121"/>
  <c r="N27" i="121"/>
  <c r="M27" i="121"/>
  <c r="N26" i="121"/>
  <c r="M26" i="121"/>
  <c r="N25" i="121"/>
  <c r="M25" i="121"/>
  <c r="N24" i="121"/>
  <c r="M24" i="121"/>
  <c r="N23" i="121"/>
  <c r="M23" i="121"/>
  <c r="N22" i="121"/>
  <c r="M22" i="121"/>
  <c r="N21" i="121"/>
  <c r="M21" i="121"/>
  <c r="N20" i="121"/>
  <c r="M20" i="121"/>
  <c r="N12" i="121"/>
  <c r="M12" i="121"/>
  <c r="N2" i="121"/>
  <c r="M2" i="121"/>
  <c r="A2" i="121"/>
  <c r="AC3" i="116"/>
  <c r="AB3" i="116"/>
  <c r="AA3" i="116"/>
  <c r="Z3" i="116"/>
  <c r="Y3" i="116"/>
  <c r="X3" i="116"/>
  <c r="W3" i="116"/>
  <c r="V3" i="116"/>
  <c r="U3" i="116"/>
  <c r="T3" i="116"/>
  <c r="S3" i="116"/>
  <c r="R3" i="120"/>
  <c r="H4" i="120" s="1"/>
  <c r="L53" i="130" l="1"/>
  <c r="L55" i="130"/>
  <c r="E55" i="130" s="1"/>
  <c r="L51" i="130"/>
  <c r="L56" i="130"/>
  <c r="E56" i="130" s="1"/>
  <c r="L54" i="130"/>
  <c r="L52" i="130"/>
  <c r="L55" i="129"/>
  <c r="E55" i="129" s="1"/>
  <c r="L53" i="129"/>
  <c r="L51" i="129"/>
  <c r="L54" i="129"/>
  <c r="L56" i="129"/>
  <c r="E56" i="129" s="1"/>
  <c r="L52" i="129"/>
  <c r="L55" i="124"/>
  <c r="L52" i="124"/>
  <c r="L53" i="124"/>
  <c r="L56" i="124"/>
  <c r="L54" i="124"/>
  <c r="L51" i="124"/>
  <c r="L58" i="123"/>
  <c r="E58" i="123" s="1"/>
  <c r="L55" i="123"/>
  <c r="L52" i="123"/>
  <c r="L59" i="123"/>
  <c r="E59" i="123" s="1"/>
  <c r="L56" i="123"/>
  <c r="L53" i="123"/>
  <c r="L54" i="123"/>
  <c r="L57" i="123"/>
  <c r="E57" i="123" s="1"/>
  <c r="L51" i="123"/>
  <c r="L55" i="116"/>
  <c r="E55" i="116" s="1"/>
  <c r="L53" i="116"/>
  <c r="L51" i="116"/>
  <c r="L56" i="116"/>
  <c r="E56" i="116" s="1"/>
  <c r="L54" i="116"/>
  <c r="L52" i="116"/>
  <c r="L51" i="126"/>
  <c r="L52" i="126"/>
  <c r="L53" i="126"/>
  <c r="E53" i="126" s="1"/>
  <c r="E9" i="137"/>
  <c r="H6" i="137"/>
  <c r="C6" i="137"/>
  <c r="G6" i="137" s="1"/>
  <c r="C8" i="137"/>
  <c r="G8" i="137" s="1"/>
  <c r="H8" i="137"/>
  <c r="E11" i="137"/>
  <c r="C7" i="137"/>
  <c r="G7" i="137" s="1"/>
  <c r="E10" i="137"/>
  <c r="H7" i="137"/>
  <c r="E9" i="136"/>
  <c r="H6" i="136"/>
  <c r="C6" i="136"/>
  <c r="G6" i="136" s="1"/>
  <c r="H8" i="136"/>
  <c r="E11" i="136"/>
  <c r="C8" i="136"/>
  <c r="G8" i="136" s="1"/>
  <c r="E10" i="136"/>
  <c r="H7" i="136"/>
  <c r="C7" i="136"/>
  <c r="G7" i="136" s="1"/>
  <c r="C6" i="134"/>
  <c r="G6" i="134" s="1"/>
  <c r="E9" i="134"/>
  <c r="H6" i="134"/>
  <c r="E11" i="134"/>
  <c r="C8" i="134"/>
  <c r="G8" i="134" s="1"/>
  <c r="H8" i="134"/>
  <c r="E10" i="134"/>
  <c r="H7" i="134"/>
  <c r="C7" i="134"/>
  <c r="G7" i="134" s="1"/>
  <c r="H11" i="133"/>
  <c r="E16" i="133"/>
  <c r="C11" i="133"/>
  <c r="G11" i="133" s="1"/>
  <c r="H8" i="133"/>
  <c r="E13" i="133"/>
  <c r="C8" i="133"/>
  <c r="G8" i="133" s="1"/>
  <c r="E15" i="133"/>
  <c r="C10" i="133"/>
  <c r="G10" i="133" s="1"/>
  <c r="H10" i="133"/>
  <c r="E14" i="133"/>
  <c r="H9" i="133"/>
  <c r="C9" i="133"/>
  <c r="G9" i="133" s="1"/>
  <c r="E17" i="133"/>
  <c r="H12" i="133"/>
  <c r="C12" i="133"/>
  <c r="G12" i="133" s="1"/>
  <c r="C6" i="132"/>
  <c r="G6" i="132" s="1"/>
  <c r="E9" i="132"/>
  <c r="H6" i="132"/>
  <c r="E10" i="132"/>
  <c r="H7" i="132"/>
  <c r="C7" i="132"/>
  <c r="G7" i="132" s="1"/>
  <c r="E11" i="132"/>
  <c r="C8" i="132"/>
  <c r="G8" i="132" s="1"/>
  <c r="H8" i="132"/>
  <c r="C8" i="131"/>
  <c r="G8" i="131" s="1"/>
  <c r="E13" i="131"/>
  <c r="H8" i="131"/>
  <c r="E15" i="131"/>
  <c r="H10" i="131"/>
  <c r="C10" i="131"/>
  <c r="G10" i="131" s="1"/>
  <c r="H11" i="131"/>
  <c r="C11" i="131"/>
  <c r="G11" i="131" s="1"/>
  <c r="E16" i="131"/>
  <c r="E14" i="131"/>
  <c r="H9" i="131"/>
  <c r="C9" i="131"/>
  <c r="G9" i="131" s="1"/>
  <c r="C12" i="131"/>
  <c r="G12" i="131" s="1"/>
  <c r="E17" i="131"/>
  <c r="H12" i="131"/>
  <c r="H11" i="130"/>
  <c r="C11" i="130"/>
  <c r="G11" i="130" s="1"/>
  <c r="E16" i="130"/>
  <c r="C8" i="130"/>
  <c r="G8" i="130" s="1"/>
  <c r="E13" i="130"/>
  <c r="H8" i="130"/>
  <c r="C12" i="130"/>
  <c r="G12" i="130" s="1"/>
  <c r="H12" i="130"/>
  <c r="E17" i="130"/>
  <c r="E14" i="130"/>
  <c r="H9" i="130"/>
  <c r="C9" i="130"/>
  <c r="G9" i="130" s="1"/>
  <c r="E15" i="130"/>
  <c r="C10" i="130"/>
  <c r="G10" i="130" s="1"/>
  <c r="H10" i="130"/>
  <c r="E18" i="129"/>
  <c r="H11" i="129"/>
  <c r="C11" i="129"/>
  <c r="G11" i="129" s="1"/>
  <c r="H12" i="129"/>
  <c r="E19" i="129"/>
  <c r="C12" i="129"/>
  <c r="G12" i="129" s="1"/>
  <c r="C16" i="129"/>
  <c r="G16" i="129" s="1"/>
  <c r="E23" i="129"/>
  <c r="H16" i="129"/>
  <c r="H13" i="129"/>
  <c r="C13" i="129"/>
  <c r="G13" i="129" s="1"/>
  <c r="E20" i="129"/>
  <c r="E22" i="129"/>
  <c r="H15" i="129"/>
  <c r="C15" i="129"/>
  <c r="G15" i="129" s="1"/>
  <c r="C10" i="129"/>
  <c r="G10" i="129" s="1"/>
  <c r="E17" i="129"/>
  <c r="H10" i="129"/>
  <c r="E21" i="129"/>
  <c r="C14" i="129"/>
  <c r="G14" i="129" s="1"/>
  <c r="H14" i="129"/>
  <c r="C12" i="116"/>
  <c r="H12" i="116"/>
  <c r="E21" i="116"/>
  <c r="C16" i="116"/>
  <c r="H16" i="116"/>
  <c r="E25" i="116"/>
  <c r="E27" i="116"/>
  <c r="C18" i="116"/>
  <c r="H18" i="116"/>
  <c r="E22" i="116"/>
  <c r="H13" i="116"/>
  <c r="C13" i="116"/>
  <c r="E28" i="116"/>
  <c r="H19" i="116"/>
  <c r="C19" i="116"/>
  <c r="E23" i="116"/>
  <c r="C14" i="116"/>
  <c r="H14" i="116"/>
  <c r="C20" i="116"/>
  <c r="H20" i="116"/>
  <c r="E29" i="116"/>
  <c r="H15" i="116"/>
  <c r="E24" i="116"/>
  <c r="C15" i="116"/>
  <c r="E26" i="116"/>
  <c r="H17" i="116"/>
  <c r="C17" i="116"/>
  <c r="H10" i="126"/>
  <c r="C10" i="126"/>
  <c r="C7" i="126"/>
  <c r="H7" i="126"/>
  <c r="H8" i="126"/>
  <c r="C8" i="126"/>
  <c r="C9" i="126"/>
  <c r="H9" i="126"/>
  <c r="H12" i="124"/>
  <c r="C12" i="124"/>
  <c r="E20" i="124"/>
  <c r="E22" i="124"/>
  <c r="H14" i="124"/>
  <c r="C14" i="124"/>
  <c r="H11" i="124"/>
  <c r="E19" i="124"/>
  <c r="C11" i="124"/>
  <c r="H15" i="124"/>
  <c r="E23" i="124"/>
  <c r="C15" i="124"/>
  <c r="H16" i="124"/>
  <c r="E25" i="124"/>
  <c r="C16" i="124"/>
  <c r="E24" i="124"/>
  <c r="E26" i="124"/>
  <c r="H17" i="124"/>
  <c r="C17" i="124"/>
  <c r="E21" i="124"/>
  <c r="H13" i="124"/>
  <c r="C13" i="124"/>
  <c r="H18" i="124"/>
  <c r="C18" i="124"/>
  <c r="C12" i="123"/>
  <c r="E17" i="123"/>
  <c r="H12" i="123"/>
  <c r="E13" i="123"/>
  <c r="C8" i="123"/>
  <c r="H8" i="123"/>
  <c r="E14" i="123"/>
  <c r="H9" i="123"/>
  <c r="C9" i="123"/>
  <c r="E15" i="123"/>
  <c r="H10" i="123"/>
  <c r="C10" i="123"/>
  <c r="H11" i="123"/>
  <c r="C11" i="123"/>
  <c r="E16" i="123"/>
  <c r="C4" i="121"/>
  <c r="H4" i="121"/>
  <c r="E5" i="121"/>
  <c r="C4" i="120"/>
  <c r="B5" i="120"/>
  <c r="I14" i="129"/>
  <c r="I10" i="130"/>
  <c r="I10" i="131"/>
  <c r="I11" i="130"/>
  <c r="I6" i="136"/>
  <c r="I8" i="132"/>
  <c r="I11" i="131"/>
  <c r="I8" i="134"/>
  <c r="I7" i="132"/>
  <c r="I11" i="133"/>
  <c r="I12" i="130"/>
  <c r="I9" i="130"/>
  <c r="I7" i="137"/>
  <c r="I12" i="131"/>
  <c r="I6" i="132"/>
  <c r="I12" i="133"/>
  <c r="I9" i="131"/>
  <c r="I8" i="136"/>
  <c r="I9" i="133"/>
  <c r="I7" i="134"/>
  <c r="I10" i="133"/>
  <c r="I10" i="129"/>
  <c r="I8" i="133"/>
  <c r="I8" i="137"/>
  <c r="I13" i="129"/>
  <c r="I15" i="129"/>
  <c r="I12" i="129"/>
  <c r="I8" i="130"/>
  <c r="I6" i="134"/>
  <c r="I8" i="131"/>
  <c r="I6" i="137"/>
  <c r="I7" i="136"/>
  <c r="I16" i="129"/>
  <c r="I11" i="129"/>
  <c r="H51" i="130" l="1"/>
  <c r="C51" i="130"/>
  <c r="G51" i="130" s="1"/>
  <c r="C52" i="130"/>
  <c r="G52" i="130" s="1"/>
  <c r="H52" i="130"/>
  <c r="C54" i="130"/>
  <c r="G54" i="130" s="1"/>
  <c r="H54" i="130"/>
  <c r="H53" i="130"/>
  <c r="C53" i="130"/>
  <c r="G53" i="130" s="1"/>
  <c r="H54" i="129"/>
  <c r="C54" i="129"/>
  <c r="G54" i="129" s="1"/>
  <c r="C51" i="129"/>
  <c r="G51" i="129" s="1"/>
  <c r="H51" i="129"/>
  <c r="C52" i="129"/>
  <c r="G52" i="129" s="1"/>
  <c r="H52" i="129"/>
  <c r="H53" i="129"/>
  <c r="C53" i="129"/>
  <c r="G53" i="129" s="1"/>
  <c r="H56" i="124"/>
  <c r="C56" i="124"/>
  <c r="C53" i="124"/>
  <c r="H53" i="124"/>
  <c r="H51" i="124"/>
  <c r="C51" i="124"/>
  <c r="H52" i="124"/>
  <c r="C52" i="124"/>
  <c r="H54" i="124"/>
  <c r="C54" i="124"/>
  <c r="C55" i="124"/>
  <c r="H55" i="124"/>
  <c r="C54" i="123"/>
  <c r="H54" i="123"/>
  <c r="H52" i="123"/>
  <c r="C52" i="123"/>
  <c r="C53" i="123"/>
  <c r="H53" i="123"/>
  <c r="C55" i="123"/>
  <c r="H55" i="123"/>
  <c r="H51" i="123"/>
  <c r="C51" i="123"/>
  <c r="H56" i="123"/>
  <c r="C56" i="123"/>
  <c r="C53" i="116"/>
  <c r="H53" i="116"/>
  <c r="H54" i="116"/>
  <c r="C54" i="116"/>
  <c r="H52" i="116"/>
  <c r="C52" i="116"/>
  <c r="H51" i="116"/>
  <c r="C51" i="116"/>
  <c r="H51" i="126"/>
  <c r="C51" i="126"/>
  <c r="C52" i="126"/>
  <c r="H52" i="126"/>
  <c r="E12" i="129"/>
  <c r="E5" i="129" s="1"/>
  <c r="E10" i="130"/>
  <c r="E5" i="130" s="1"/>
  <c r="E12" i="131"/>
  <c r="E7" i="131" s="1"/>
  <c r="E11" i="131"/>
  <c r="E6" i="131" s="1"/>
  <c r="E9" i="133"/>
  <c r="E4" i="133" s="1"/>
  <c r="E8" i="134"/>
  <c r="E5" i="134" s="1"/>
  <c r="E8" i="136"/>
  <c r="E5" i="136" s="1"/>
  <c r="E16" i="129"/>
  <c r="E9" i="129" s="1"/>
  <c r="E9" i="130"/>
  <c r="E4" i="130" s="1"/>
  <c r="E8" i="132"/>
  <c r="E5" i="132" s="1"/>
  <c r="E7" i="132"/>
  <c r="E4" i="132" s="1"/>
  <c r="E8" i="133"/>
  <c r="E3" i="133" s="1"/>
  <c r="E6" i="137"/>
  <c r="E3" i="137" s="1"/>
  <c r="E10" i="129"/>
  <c r="E3" i="129" s="1"/>
  <c r="E15" i="129"/>
  <c r="E8" i="129" s="1"/>
  <c r="E8" i="130"/>
  <c r="E3" i="130" s="1"/>
  <c r="E12" i="130"/>
  <c r="E7" i="130" s="1"/>
  <c r="E9" i="131"/>
  <c r="E4" i="131" s="1"/>
  <c r="E6" i="132"/>
  <c r="E3" i="132" s="1"/>
  <c r="E11" i="133"/>
  <c r="E6" i="133" s="1"/>
  <c r="E6" i="136"/>
  <c r="E3" i="136" s="1"/>
  <c r="E7" i="137"/>
  <c r="E4" i="137" s="1"/>
  <c r="E6" i="134"/>
  <c r="E3" i="134" s="1"/>
  <c r="E8" i="137"/>
  <c r="E5" i="137" s="1"/>
  <c r="E13" i="129"/>
  <c r="E6" i="129" s="1"/>
  <c r="E14" i="129"/>
  <c r="E7" i="129" s="1"/>
  <c r="E11" i="130"/>
  <c r="E6" i="130" s="1"/>
  <c r="E10" i="131"/>
  <c r="E5" i="131" s="1"/>
  <c r="E8" i="131"/>
  <c r="E3" i="131" s="1"/>
  <c r="E12" i="133"/>
  <c r="E7" i="133" s="1"/>
  <c r="E10" i="133"/>
  <c r="E5" i="133" s="1"/>
  <c r="E7" i="136"/>
  <c r="E4" i="136" s="1"/>
  <c r="E7" i="134"/>
  <c r="E4" i="134" s="1"/>
  <c r="E11" i="129"/>
  <c r="E4" i="129" s="1"/>
  <c r="N41" i="126"/>
  <c r="M41" i="126"/>
  <c r="N40" i="126"/>
  <c r="M40" i="126"/>
  <c r="N39" i="126"/>
  <c r="M39" i="126"/>
  <c r="N38" i="126"/>
  <c r="M38" i="126"/>
  <c r="N37" i="126"/>
  <c r="M37" i="126"/>
  <c r="N36" i="126"/>
  <c r="M36" i="126"/>
  <c r="N35" i="126"/>
  <c r="M35" i="126"/>
  <c r="N34" i="126"/>
  <c r="M34" i="126"/>
  <c r="N33" i="126"/>
  <c r="M33" i="126"/>
  <c r="N32" i="126"/>
  <c r="M32" i="126"/>
  <c r="N31" i="126"/>
  <c r="M31" i="126"/>
  <c r="N30" i="126"/>
  <c r="M30" i="126"/>
  <c r="N29" i="126"/>
  <c r="M29" i="126"/>
  <c r="N28" i="126"/>
  <c r="M28" i="126"/>
  <c r="N27" i="126"/>
  <c r="M27" i="126"/>
  <c r="N26" i="126"/>
  <c r="M26" i="126"/>
  <c r="N25" i="126"/>
  <c r="M25" i="126"/>
  <c r="N24" i="126"/>
  <c r="M24" i="126"/>
  <c r="N23" i="126"/>
  <c r="M23" i="126"/>
  <c r="N22" i="126"/>
  <c r="M22" i="126"/>
  <c r="N21" i="126"/>
  <c r="M21" i="126"/>
  <c r="N20" i="126"/>
  <c r="M20" i="126"/>
  <c r="N19" i="126"/>
  <c r="M19" i="126"/>
  <c r="N18" i="126"/>
  <c r="M18" i="126"/>
  <c r="N17" i="126"/>
  <c r="M17" i="126"/>
  <c r="N16" i="126"/>
  <c r="M16" i="126"/>
  <c r="N15" i="126"/>
  <c r="M15" i="126"/>
  <c r="N14" i="126"/>
  <c r="M14" i="126"/>
  <c r="N13" i="126"/>
  <c r="M13" i="126"/>
  <c r="N12" i="126"/>
  <c r="M12" i="126"/>
  <c r="N11" i="126"/>
  <c r="M11" i="126"/>
  <c r="N10" i="126"/>
  <c r="M10" i="126"/>
  <c r="N9" i="126"/>
  <c r="M9" i="126"/>
  <c r="N8" i="126"/>
  <c r="M8" i="126"/>
  <c r="N7" i="126"/>
  <c r="M7" i="126"/>
  <c r="N6" i="126"/>
  <c r="M6" i="126"/>
  <c r="N5" i="126"/>
  <c r="M5" i="126"/>
  <c r="N4" i="126"/>
  <c r="M4" i="126"/>
  <c r="N3" i="126"/>
  <c r="M3" i="126"/>
  <c r="N2" i="126"/>
  <c r="G8" i="126" s="1"/>
  <c r="M2" i="126"/>
  <c r="A2" i="126"/>
  <c r="Q1" i="126"/>
  <c r="P1" i="126"/>
  <c r="N1" i="126"/>
  <c r="M1" i="126"/>
  <c r="A50" i="123"/>
  <c r="N41" i="124"/>
  <c r="M41" i="124"/>
  <c r="N40" i="124"/>
  <c r="M40" i="124"/>
  <c r="N39" i="124"/>
  <c r="M39" i="124"/>
  <c r="N38" i="124"/>
  <c r="M38" i="124"/>
  <c r="N37" i="124"/>
  <c r="M37" i="124"/>
  <c r="N36" i="124"/>
  <c r="M36" i="124"/>
  <c r="N35" i="124"/>
  <c r="M35" i="124"/>
  <c r="N34" i="124"/>
  <c r="M34" i="124"/>
  <c r="N33" i="124"/>
  <c r="M33" i="124"/>
  <c r="N32" i="124"/>
  <c r="M32" i="124"/>
  <c r="N31" i="124"/>
  <c r="M31" i="124"/>
  <c r="N30" i="124"/>
  <c r="M30" i="124"/>
  <c r="N29" i="124"/>
  <c r="M29" i="124"/>
  <c r="N28" i="124"/>
  <c r="M28" i="124"/>
  <c r="N27" i="124"/>
  <c r="M27" i="124"/>
  <c r="N26" i="124"/>
  <c r="M26" i="124"/>
  <c r="N25" i="124"/>
  <c r="M25" i="124"/>
  <c r="N24" i="124"/>
  <c r="M24" i="124"/>
  <c r="N23" i="124"/>
  <c r="M23" i="124"/>
  <c r="N22" i="124"/>
  <c r="M22" i="124"/>
  <c r="N21" i="124"/>
  <c r="M21" i="124"/>
  <c r="N20" i="124"/>
  <c r="M20" i="124"/>
  <c r="N19" i="124"/>
  <c r="M19" i="124"/>
  <c r="N18" i="124"/>
  <c r="M18" i="124"/>
  <c r="N17" i="124"/>
  <c r="M17" i="124"/>
  <c r="N16" i="124"/>
  <c r="M16" i="124"/>
  <c r="N15" i="124"/>
  <c r="M15" i="124"/>
  <c r="N14" i="124"/>
  <c r="M14" i="124"/>
  <c r="N13" i="124"/>
  <c r="M13" i="124"/>
  <c r="N12" i="124"/>
  <c r="M12" i="124"/>
  <c r="N11" i="124"/>
  <c r="M11" i="124"/>
  <c r="N10" i="124"/>
  <c r="M10" i="124"/>
  <c r="N9" i="124"/>
  <c r="M9" i="124"/>
  <c r="N8" i="124"/>
  <c r="M8" i="124"/>
  <c r="N7" i="124"/>
  <c r="M7" i="124"/>
  <c r="N6" i="124"/>
  <c r="M6" i="124"/>
  <c r="N5" i="124"/>
  <c r="M5" i="124"/>
  <c r="N4" i="124"/>
  <c r="M4" i="124"/>
  <c r="N3" i="124"/>
  <c r="M3" i="124"/>
  <c r="N2" i="124"/>
  <c r="G15" i="124" s="1"/>
  <c r="M2" i="124"/>
  <c r="A2" i="124"/>
  <c r="Q1" i="124"/>
  <c r="P1" i="124"/>
  <c r="N1" i="124"/>
  <c r="M1" i="124"/>
  <c r="N41" i="123"/>
  <c r="M41" i="123"/>
  <c r="N40" i="123"/>
  <c r="M40" i="123"/>
  <c r="N39" i="123"/>
  <c r="M39" i="123"/>
  <c r="N38" i="123"/>
  <c r="M38" i="123"/>
  <c r="N37" i="123"/>
  <c r="M37" i="123"/>
  <c r="N36" i="123"/>
  <c r="M36" i="123"/>
  <c r="N35" i="123"/>
  <c r="M35" i="123"/>
  <c r="N34" i="123"/>
  <c r="M34" i="123"/>
  <c r="BE33" i="123"/>
  <c r="BD33" i="123"/>
  <c r="BC33" i="123"/>
  <c r="BB33" i="123"/>
  <c r="BA33" i="123"/>
  <c r="AZ33" i="123"/>
  <c r="AY33" i="123"/>
  <c r="AX33" i="123"/>
  <c r="AW33" i="123"/>
  <c r="AV33" i="123"/>
  <c r="AU33" i="123"/>
  <c r="AT33" i="123"/>
  <c r="AS33" i="123"/>
  <c r="AR33" i="123"/>
  <c r="AQ33" i="123"/>
  <c r="AP33" i="123"/>
  <c r="AO33" i="123"/>
  <c r="AN33" i="123"/>
  <c r="AM33" i="123"/>
  <c r="AL33" i="123"/>
  <c r="AK33" i="123"/>
  <c r="AJ33" i="123"/>
  <c r="AI33" i="123"/>
  <c r="AH33" i="123"/>
  <c r="AG33" i="123"/>
  <c r="AF33" i="123"/>
  <c r="AE33" i="123"/>
  <c r="N33" i="123"/>
  <c r="M33" i="123"/>
  <c r="BE32" i="123"/>
  <c r="BD32" i="123"/>
  <c r="BC32" i="123"/>
  <c r="BB32" i="123"/>
  <c r="BA32" i="123"/>
  <c r="AZ32" i="123"/>
  <c r="AY32" i="123"/>
  <c r="AX32" i="123"/>
  <c r="AW32" i="123"/>
  <c r="AV32" i="123"/>
  <c r="AU32" i="123"/>
  <c r="AT32" i="123"/>
  <c r="AS32" i="123"/>
  <c r="AR32" i="123"/>
  <c r="AQ32" i="123"/>
  <c r="AP32" i="123"/>
  <c r="AO32" i="123"/>
  <c r="AN32" i="123"/>
  <c r="AM32" i="123"/>
  <c r="AL32" i="123"/>
  <c r="AK32" i="123"/>
  <c r="AJ32" i="123"/>
  <c r="AI32" i="123"/>
  <c r="AH32" i="123"/>
  <c r="AG32" i="123"/>
  <c r="AF32" i="123"/>
  <c r="AE32" i="123"/>
  <c r="N32" i="123"/>
  <c r="M32" i="123"/>
  <c r="BE31" i="123"/>
  <c r="BD31" i="123"/>
  <c r="BC31" i="123"/>
  <c r="BB31" i="123"/>
  <c r="BA31" i="123"/>
  <c r="AZ31" i="123"/>
  <c r="AY31" i="123"/>
  <c r="AX31" i="123"/>
  <c r="AW31" i="123"/>
  <c r="AV31" i="123"/>
  <c r="AU31" i="123"/>
  <c r="AT31" i="123"/>
  <c r="AS31" i="123"/>
  <c r="AR31" i="123"/>
  <c r="AQ31" i="123"/>
  <c r="AP31" i="123"/>
  <c r="AO31" i="123"/>
  <c r="AN31" i="123"/>
  <c r="AM31" i="123"/>
  <c r="AL31" i="123"/>
  <c r="AK31" i="123"/>
  <c r="AJ31" i="123"/>
  <c r="AI31" i="123"/>
  <c r="AH31" i="123"/>
  <c r="AG31" i="123"/>
  <c r="AF31" i="123"/>
  <c r="AE31" i="123"/>
  <c r="N31" i="123"/>
  <c r="M31" i="123"/>
  <c r="BE30" i="123"/>
  <c r="BD30" i="123"/>
  <c r="BC30" i="123"/>
  <c r="BB30" i="123"/>
  <c r="BA30" i="123"/>
  <c r="AZ30" i="123"/>
  <c r="AY30" i="123"/>
  <c r="AX30" i="123"/>
  <c r="AW30" i="123"/>
  <c r="AV30" i="123"/>
  <c r="AU30" i="123"/>
  <c r="AT30" i="123"/>
  <c r="AS30" i="123"/>
  <c r="AR30" i="123"/>
  <c r="AQ30" i="123"/>
  <c r="AP30" i="123"/>
  <c r="AO30" i="123"/>
  <c r="AN30" i="123"/>
  <c r="AM30" i="123"/>
  <c r="AL30" i="123"/>
  <c r="AK30" i="123"/>
  <c r="AJ30" i="123"/>
  <c r="AI30" i="123"/>
  <c r="AH30" i="123"/>
  <c r="AG30" i="123"/>
  <c r="AF30" i="123"/>
  <c r="AE30" i="123"/>
  <c r="N30" i="123"/>
  <c r="M30" i="123"/>
  <c r="BE29" i="123"/>
  <c r="BD29" i="123"/>
  <c r="BC29" i="123"/>
  <c r="BB29" i="123"/>
  <c r="BA29" i="123"/>
  <c r="AZ29" i="123"/>
  <c r="AY29" i="123"/>
  <c r="AX29" i="123"/>
  <c r="AW29" i="123"/>
  <c r="AV29" i="123"/>
  <c r="AU29" i="123"/>
  <c r="AT29" i="123"/>
  <c r="AS29" i="123"/>
  <c r="AR29" i="123"/>
  <c r="AQ29" i="123"/>
  <c r="AP29" i="123"/>
  <c r="AO29" i="123"/>
  <c r="AN29" i="123"/>
  <c r="AM29" i="123"/>
  <c r="AL29" i="123"/>
  <c r="AK29" i="123"/>
  <c r="AJ29" i="123"/>
  <c r="AI29" i="123"/>
  <c r="AH29" i="123"/>
  <c r="AG29" i="123"/>
  <c r="AF29" i="123"/>
  <c r="AE29" i="123"/>
  <c r="N29" i="123"/>
  <c r="M29" i="123"/>
  <c r="BE28" i="123"/>
  <c r="BD28" i="123"/>
  <c r="BC28" i="123"/>
  <c r="BB28" i="123"/>
  <c r="BA28" i="123"/>
  <c r="AZ28" i="123"/>
  <c r="AY28" i="123"/>
  <c r="AX28" i="123"/>
  <c r="AW28" i="123"/>
  <c r="AV28" i="123"/>
  <c r="AU28" i="123"/>
  <c r="AT28" i="123"/>
  <c r="AS28" i="123"/>
  <c r="AR28" i="123"/>
  <c r="AQ28" i="123"/>
  <c r="AP28" i="123"/>
  <c r="AO28" i="123"/>
  <c r="AN28" i="123"/>
  <c r="AM28" i="123"/>
  <c r="AL28" i="123"/>
  <c r="AK28" i="123"/>
  <c r="AJ28" i="123"/>
  <c r="AI28" i="123"/>
  <c r="AH28" i="123"/>
  <c r="AG28" i="123"/>
  <c r="AF28" i="123"/>
  <c r="AE28" i="123"/>
  <c r="N28" i="123"/>
  <c r="M28" i="123"/>
  <c r="BE27" i="123"/>
  <c r="BD27" i="123"/>
  <c r="BC27" i="123"/>
  <c r="BB27" i="123"/>
  <c r="BA27" i="123"/>
  <c r="AZ27" i="123"/>
  <c r="AY27" i="123"/>
  <c r="AX27" i="123"/>
  <c r="AW27" i="123"/>
  <c r="AV27" i="123"/>
  <c r="AU27" i="123"/>
  <c r="AT27" i="123"/>
  <c r="AS27" i="123"/>
  <c r="AR27" i="123"/>
  <c r="AQ27" i="123"/>
  <c r="AP27" i="123"/>
  <c r="AO27" i="123"/>
  <c r="AN27" i="123"/>
  <c r="AM27" i="123"/>
  <c r="AL27" i="123"/>
  <c r="AK27" i="123"/>
  <c r="AJ27" i="123"/>
  <c r="AI27" i="123"/>
  <c r="AH27" i="123"/>
  <c r="AG27" i="123"/>
  <c r="AF27" i="123"/>
  <c r="AE27" i="123"/>
  <c r="N27" i="123"/>
  <c r="M27" i="123"/>
  <c r="BE26" i="123"/>
  <c r="BD26" i="123"/>
  <c r="BC26" i="123"/>
  <c r="BB26" i="123"/>
  <c r="BA26" i="123"/>
  <c r="AZ26" i="123"/>
  <c r="AY26" i="123"/>
  <c r="AX26" i="123"/>
  <c r="AW26" i="123"/>
  <c r="AV26" i="123"/>
  <c r="AU26" i="123"/>
  <c r="AT26" i="123"/>
  <c r="AS26" i="123"/>
  <c r="AR26" i="123"/>
  <c r="AQ26" i="123"/>
  <c r="AP26" i="123"/>
  <c r="AO26" i="123"/>
  <c r="AN26" i="123"/>
  <c r="AM26" i="123"/>
  <c r="AL26" i="123"/>
  <c r="AK26" i="123"/>
  <c r="AJ26" i="123"/>
  <c r="AI26" i="123"/>
  <c r="AH26" i="123"/>
  <c r="AG26" i="123"/>
  <c r="AF26" i="123"/>
  <c r="AE26" i="123"/>
  <c r="N26" i="123"/>
  <c r="M26" i="123"/>
  <c r="BE25" i="123"/>
  <c r="BD25" i="123"/>
  <c r="BC25" i="123"/>
  <c r="BB25" i="123"/>
  <c r="BA25" i="123"/>
  <c r="AZ25" i="123"/>
  <c r="AY25" i="123"/>
  <c r="AX25" i="123"/>
  <c r="AW25" i="123"/>
  <c r="AV25" i="123"/>
  <c r="AU25" i="123"/>
  <c r="AT25" i="123"/>
  <c r="AS25" i="123"/>
  <c r="AR25" i="123"/>
  <c r="AQ25" i="123"/>
  <c r="AP25" i="123"/>
  <c r="AO25" i="123"/>
  <c r="AN25" i="123"/>
  <c r="AM25" i="123"/>
  <c r="AL25" i="123"/>
  <c r="AK25" i="123"/>
  <c r="AJ25" i="123"/>
  <c r="AI25" i="123"/>
  <c r="AH25" i="123"/>
  <c r="AG25" i="123"/>
  <c r="AF25" i="123"/>
  <c r="AE25" i="123"/>
  <c r="N25" i="123"/>
  <c r="M25" i="123"/>
  <c r="BE24" i="123"/>
  <c r="BD24" i="123"/>
  <c r="BC24" i="123"/>
  <c r="BB24" i="123"/>
  <c r="BA24" i="123"/>
  <c r="AZ24" i="123"/>
  <c r="AY24" i="123"/>
  <c r="AX24" i="123"/>
  <c r="AW24" i="123"/>
  <c r="AV24" i="123"/>
  <c r="AU24" i="123"/>
  <c r="AT24" i="123"/>
  <c r="AS24" i="123"/>
  <c r="AR24" i="123"/>
  <c r="AQ24" i="123"/>
  <c r="AP24" i="123"/>
  <c r="AO24" i="123"/>
  <c r="AN24" i="123"/>
  <c r="AM24" i="123"/>
  <c r="AL24" i="123"/>
  <c r="AK24" i="123"/>
  <c r="AJ24" i="123"/>
  <c r="AI24" i="123"/>
  <c r="AH24" i="123"/>
  <c r="AG24" i="123"/>
  <c r="AF24" i="123"/>
  <c r="AE24" i="123"/>
  <c r="N24" i="123"/>
  <c r="M24" i="123"/>
  <c r="BE23" i="123"/>
  <c r="BD23" i="123"/>
  <c r="BC23" i="123"/>
  <c r="BB23" i="123"/>
  <c r="BA23" i="123"/>
  <c r="AZ23" i="123"/>
  <c r="AY23" i="123"/>
  <c r="AX23" i="123"/>
  <c r="AW23" i="123"/>
  <c r="AV23" i="123"/>
  <c r="AU23" i="123"/>
  <c r="AT23" i="123"/>
  <c r="AS23" i="123"/>
  <c r="AR23" i="123"/>
  <c r="AQ23" i="123"/>
  <c r="AP23" i="123"/>
  <c r="AO23" i="123"/>
  <c r="AN23" i="123"/>
  <c r="AM23" i="123"/>
  <c r="AL23" i="123"/>
  <c r="AK23" i="123"/>
  <c r="AJ23" i="123"/>
  <c r="AI23" i="123"/>
  <c r="AH23" i="123"/>
  <c r="AG23" i="123"/>
  <c r="AF23" i="123"/>
  <c r="AE23" i="123"/>
  <c r="N23" i="123"/>
  <c r="M23" i="123"/>
  <c r="BE22" i="123"/>
  <c r="BD22" i="123"/>
  <c r="BC22" i="123"/>
  <c r="BB22" i="123"/>
  <c r="BA22" i="123"/>
  <c r="AZ22" i="123"/>
  <c r="AY22" i="123"/>
  <c r="AX22" i="123"/>
  <c r="AW22" i="123"/>
  <c r="AV22" i="123"/>
  <c r="AU22" i="123"/>
  <c r="AT22" i="123"/>
  <c r="AS22" i="123"/>
  <c r="AR22" i="123"/>
  <c r="AQ22" i="123"/>
  <c r="AP22" i="123"/>
  <c r="AO22" i="123"/>
  <c r="AN22" i="123"/>
  <c r="AM22" i="123"/>
  <c r="AL22" i="123"/>
  <c r="AK22" i="123"/>
  <c r="AJ22" i="123"/>
  <c r="AI22" i="123"/>
  <c r="AH22" i="123"/>
  <c r="AG22" i="123"/>
  <c r="AF22" i="123"/>
  <c r="AE22" i="123"/>
  <c r="N22" i="123"/>
  <c r="M22" i="123"/>
  <c r="BE21" i="123"/>
  <c r="BD21" i="123"/>
  <c r="BC21" i="123"/>
  <c r="BB21" i="123"/>
  <c r="BA21" i="123"/>
  <c r="AZ21" i="123"/>
  <c r="AY21" i="123"/>
  <c r="AX21" i="123"/>
  <c r="AW21" i="123"/>
  <c r="AV21" i="123"/>
  <c r="AU21" i="123"/>
  <c r="AT21" i="123"/>
  <c r="AS21" i="123"/>
  <c r="AR21" i="123"/>
  <c r="AQ21" i="123"/>
  <c r="AP21" i="123"/>
  <c r="AO21" i="123"/>
  <c r="AN21" i="123"/>
  <c r="AM21" i="123"/>
  <c r="AL21" i="123"/>
  <c r="AK21" i="123"/>
  <c r="AJ21" i="123"/>
  <c r="AI21" i="123"/>
  <c r="AH21" i="123"/>
  <c r="AG21" i="123"/>
  <c r="AF21" i="123"/>
  <c r="AE21" i="123"/>
  <c r="N21" i="123"/>
  <c r="M21" i="123"/>
  <c r="BE20" i="123"/>
  <c r="BD20" i="123"/>
  <c r="BC20" i="123"/>
  <c r="BB20" i="123"/>
  <c r="BA20" i="123"/>
  <c r="AZ20" i="123"/>
  <c r="AY20" i="123"/>
  <c r="AX20" i="123"/>
  <c r="AW20" i="123"/>
  <c r="AV20" i="123"/>
  <c r="AU20" i="123"/>
  <c r="AT20" i="123"/>
  <c r="AS20" i="123"/>
  <c r="AR20" i="123"/>
  <c r="AQ20" i="123"/>
  <c r="AP20" i="123"/>
  <c r="AO20" i="123"/>
  <c r="AN20" i="123"/>
  <c r="AM20" i="123"/>
  <c r="AL20" i="123"/>
  <c r="AK20" i="123"/>
  <c r="AJ20" i="123"/>
  <c r="AI20" i="123"/>
  <c r="AH20" i="123"/>
  <c r="AG20" i="123"/>
  <c r="AF20" i="123"/>
  <c r="AE20" i="123"/>
  <c r="N20" i="123"/>
  <c r="M20" i="123"/>
  <c r="BE19" i="123"/>
  <c r="BD19" i="123"/>
  <c r="BC19" i="123"/>
  <c r="BB19" i="123"/>
  <c r="BA19" i="123"/>
  <c r="AZ19" i="123"/>
  <c r="AY19" i="123"/>
  <c r="AX19" i="123"/>
  <c r="AW19" i="123"/>
  <c r="AV19" i="123"/>
  <c r="AU19" i="123"/>
  <c r="AT19" i="123"/>
  <c r="AS19" i="123"/>
  <c r="AR19" i="123"/>
  <c r="AQ19" i="123"/>
  <c r="AP19" i="123"/>
  <c r="AO19" i="123"/>
  <c r="AN19" i="123"/>
  <c r="AM19" i="123"/>
  <c r="AL19" i="123"/>
  <c r="AK19" i="123"/>
  <c r="AJ19" i="123"/>
  <c r="AI19" i="123"/>
  <c r="AH19" i="123"/>
  <c r="AG19" i="123"/>
  <c r="AF19" i="123"/>
  <c r="AE19" i="123"/>
  <c r="N19" i="123"/>
  <c r="M19" i="123"/>
  <c r="BE18" i="123"/>
  <c r="BD18" i="123"/>
  <c r="BC18" i="123"/>
  <c r="BB18" i="123"/>
  <c r="BA18" i="123"/>
  <c r="AZ18" i="123"/>
  <c r="AY18" i="123"/>
  <c r="AX18" i="123"/>
  <c r="AW18" i="123"/>
  <c r="AV18" i="123"/>
  <c r="AU18" i="123"/>
  <c r="AT18" i="123"/>
  <c r="AS18" i="123"/>
  <c r="AR18" i="123"/>
  <c r="AQ18" i="123"/>
  <c r="AP18" i="123"/>
  <c r="AO18" i="123"/>
  <c r="AN18" i="123"/>
  <c r="AM18" i="123"/>
  <c r="AL18" i="123"/>
  <c r="AK18" i="123"/>
  <c r="AJ18" i="123"/>
  <c r="AI18" i="123"/>
  <c r="AH18" i="123"/>
  <c r="AG18" i="123"/>
  <c r="AF18" i="123"/>
  <c r="AE18" i="123"/>
  <c r="N18" i="123"/>
  <c r="M18" i="123"/>
  <c r="BE17" i="123"/>
  <c r="BD17" i="123"/>
  <c r="BC17" i="123"/>
  <c r="BB17" i="123"/>
  <c r="BA17" i="123"/>
  <c r="AZ17" i="123"/>
  <c r="AY17" i="123"/>
  <c r="AX17" i="123"/>
  <c r="AW17" i="123"/>
  <c r="AV17" i="123"/>
  <c r="AU17" i="123"/>
  <c r="AT17" i="123"/>
  <c r="AS17" i="123"/>
  <c r="AR17" i="123"/>
  <c r="AQ17" i="123"/>
  <c r="AP17" i="123"/>
  <c r="AO17" i="123"/>
  <c r="AN17" i="123"/>
  <c r="AM17" i="123"/>
  <c r="AL17" i="123"/>
  <c r="AK17" i="123"/>
  <c r="AJ17" i="123"/>
  <c r="AI17" i="123"/>
  <c r="AH17" i="123"/>
  <c r="AG17" i="123"/>
  <c r="AF17" i="123"/>
  <c r="AE17" i="123"/>
  <c r="N17" i="123"/>
  <c r="M17" i="123"/>
  <c r="BE16" i="123"/>
  <c r="BD16" i="123"/>
  <c r="BC16" i="123"/>
  <c r="BB16" i="123"/>
  <c r="BA16" i="123"/>
  <c r="AZ16" i="123"/>
  <c r="AY16" i="123"/>
  <c r="AX16" i="123"/>
  <c r="AW16" i="123"/>
  <c r="AV16" i="123"/>
  <c r="AU16" i="123"/>
  <c r="AT16" i="123"/>
  <c r="AS16" i="123"/>
  <c r="AR16" i="123"/>
  <c r="AQ16" i="123"/>
  <c r="AP16" i="123"/>
  <c r="AO16" i="123"/>
  <c r="AN16" i="123"/>
  <c r="AM16" i="123"/>
  <c r="AL16" i="123"/>
  <c r="AK16" i="123"/>
  <c r="AJ16" i="123"/>
  <c r="AI16" i="123"/>
  <c r="AH16" i="123"/>
  <c r="AG16" i="123"/>
  <c r="AF16" i="123"/>
  <c r="AE16" i="123"/>
  <c r="N16" i="123"/>
  <c r="M16" i="123"/>
  <c r="BE15" i="123"/>
  <c r="BD15" i="123"/>
  <c r="BC15" i="123"/>
  <c r="BB15" i="123"/>
  <c r="BA15" i="123"/>
  <c r="AZ15" i="123"/>
  <c r="AY15" i="123"/>
  <c r="AX15" i="123"/>
  <c r="AW15" i="123"/>
  <c r="AV15" i="123"/>
  <c r="AU15" i="123"/>
  <c r="AT15" i="123"/>
  <c r="AS15" i="123"/>
  <c r="AR15" i="123"/>
  <c r="AQ15" i="123"/>
  <c r="AP15" i="123"/>
  <c r="AO15" i="123"/>
  <c r="AN15" i="123"/>
  <c r="AM15" i="123"/>
  <c r="AL15" i="123"/>
  <c r="AK15" i="123"/>
  <c r="AJ15" i="123"/>
  <c r="AI15" i="123"/>
  <c r="AH15" i="123"/>
  <c r="AG15" i="123"/>
  <c r="AF15" i="123"/>
  <c r="AE15" i="123"/>
  <c r="N15" i="123"/>
  <c r="M15" i="123"/>
  <c r="BE14" i="123"/>
  <c r="BD14" i="123"/>
  <c r="BC14" i="123"/>
  <c r="BB14" i="123"/>
  <c r="BA14" i="123"/>
  <c r="AZ14" i="123"/>
  <c r="AY14" i="123"/>
  <c r="AX14" i="123"/>
  <c r="AW14" i="123"/>
  <c r="AV14" i="123"/>
  <c r="AU14" i="123"/>
  <c r="AT14" i="123"/>
  <c r="AS14" i="123"/>
  <c r="AR14" i="123"/>
  <c r="AQ14" i="123"/>
  <c r="AP14" i="123"/>
  <c r="AO14" i="123"/>
  <c r="AN14" i="123"/>
  <c r="AM14" i="123"/>
  <c r="AL14" i="123"/>
  <c r="AK14" i="123"/>
  <c r="AJ14" i="123"/>
  <c r="AI14" i="123"/>
  <c r="AH14" i="123"/>
  <c r="AG14" i="123"/>
  <c r="AF14" i="123"/>
  <c r="AE14" i="123"/>
  <c r="N14" i="123"/>
  <c r="M14" i="123"/>
  <c r="BE13" i="123"/>
  <c r="BD13" i="123"/>
  <c r="BC13" i="123"/>
  <c r="BB13" i="123"/>
  <c r="BA13" i="123"/>
  <c r="AZ13" i="123"/>
  <c r="AY13" i="123"/>
  <c r="AX13" i="123"/>
  <c r="AW13" i="123"/>
  <c r="AV13" i="123"/>
  <c r="AU13" i="123"/>
  <c r="AT13" i="123"/>
  <c r="AS13" i="123"/>
  <c r="AR13" i="123"/>
  <c r="AQ13" i="123"/>
  <c r="AP13" i="123"/>
  <c r="AO13" i="123"/>
  <c r="AN13" i="123"/>
  <c r="AM13" i="123"/>
  <c r="AL13" i="123"/>
  <c r="AK13" i="123"/>
  <c r="AJ13" i="123"/>
  <c r="AI13" i="123"/>
  <c r="AH13" i="123"/>
  <c r="AG13" i="123"/>
  <c r="AF13" i="123"/>
  <c r="AE13" i="123"/>
  <c r="N13" i="123"/>
  <c r="M13" i="123"/>
  <c r="BE12" i="123"/>
  <c r="BD12" i="123"/>
  <c r="BC12" i="123"/>
  <c r="BB12" i="123"/>
  <c r="BA12" i="123"/>
  <c r="AZ12" i="123"/>
  <c r="AY12" i="123"/>
  <c r="AX12" i="123"/>
  <c r="AW12" i="123"/>
  <c r="AV12" i="123"/>
  <c r="AU12" i="123"/>
  <c r="AT12" i="123"/>
  <c r="AS12" i="123"/>
  <c r="AR12" i="123"/>
  <c r="AQ12" i="123"/>
  <c r="AP12" i="123"/>
  <c r="AO12" i="123"/>
  <c r="AN12" i="123"/>
  <c r="AM12" i="123"/>
  <c r="AL12" i="123"/>
  <c r="AK12" i="123"/>
  <c r="AJ12" i="123"/>
  <c r="AI12" i="123"/>
  <c r="AH12" i="123"/>
  <c r="AG12" i="123"/>
  <c r="AF12" i="123"/>
  <c r="AE12" i="123"/>
  <c r="N12" i="123"/>
  <c r="M12" i="123"/>
  <c r="BE11" i="123"/>
  <c r="BD11" i="123"/>
  <c r="BC11" i="123"/>
  <c r="BB11" i="123"/>
  <c r="BA11" i="123"/>
  <c r="AZ11" i="123"/>
  <c r="AY11" i="123"/>
  <c r="AX11" i="123"/>
  <c r="AW11" i="123"/>
  <c r="AV11" i="123"/>
  <c r="AU11" i="123"/>
  <c r="AT11" i="123"/>
  <c r="AS11" i="123"/>
  <c r="AR11" i="123"/>
  <c r="AQ11" i="123"/>
  <c r="AP11" i="123"/>
  <c r="AO11" i="123"/>
  <c r="AN11" i="123"/>
  <c r="AM11" i="123"/>
  <c r="AL11" i="123"/>
  <c r="AK11" i="123"/>
  <c r="AJ11" i="123"/>
  <c r="AI11" i="123"/>
  <c r="AH11" i="123"/>
  <c r="AG11" i="123"/>
  <c r="AF11" i="123"/>
  <c r="AE11" i="123"/>
  <c r="N11" i="123"/>
  <c r="M11" i="123"/>
  <c r="BE10" i="123"/>
  <c r="BD10" i="123"/>
  <c r="BC10" i="123"/>
  <c r="BB10" i="123"/>
  <c r="BA10" i="123"/>
  <c r="AZ10" i="123"/>
  <c r="AY10" i="123"/>
  <c r="AX10" i="123"/>
  <c r="AW10" i="123"/>
  <c r="AV10" i="123"/>
  <c r="AU10" i="123"/>
  <c r="AT10" i="123"/>
  <c r="AS10" i="123"/>
  <c r="AR10" i="123"/>
  <c r="AQ10" i="123"/>
  <c r="AP10" i="123"/>
  <c r="AO10" i="123"/>
  <c r="AN10" i="123"/>
  <c r="AM10" i="123"/>
  <c r="AL10" i="123"/>
  <c r="AK10" i="123"/>
  <c r="AJ10" i="123"/>
  <c r="AI10" i="123"/>
  <c r="AH10" i="123"/>
  <c r="AG10" i="123"/>
  <c r="AF10" i="123"/>
  <c r="AE10" i="123"/>
  <c r="N10" i="123"/>
  <c r="M10" i="123"/>
  <c r="BE9" i="123"/>
  <c r="BD9" i="123"/>
  <c r="BC9" i="123"/>
  <c r="BB9" i="123"/>
  <c r="BA9" i="123"/>
  <c r="AZ9" i="123"/>
  <c r="AY9" i="123"/>
  <c r="AX9" i="123"/>
  <c r="AW9" i="123"/>
  <c r="AV9" i="123"/>
  <c r="AU9" i="123"/>
  <c r="AT9" i="123"/>
  <c r="AS9" i="123"/>
  <c r="AR9" i="123"/>
  <c r="AQ9" i="123"/>
  <c r="AP9" i="123"/>
  <c r="AO9" i="123"/>
  <c r="AN9" i="123"/>
  <c r="AM9" i="123"/>
  <c r="AL9" i="123"/>
  <c r="AK9" i="123"/>
  <c r="AJ9" i="123"/>
  <c r="AI9" i="123"/>
  <c r="AH9" i="123"/>
  <c r="AG9" i="123"/>
  <c r="AF9" i="123"/>
  <c r="AE9" i="123"/>
  <c r="N9" i="123"/>
  <c r="M9" i="123"/>
  <c r="BE8" i="123"/>
  <c r="BD8" i="123"/>
  <c r="BC8" i="123"/>
  <c r="BB8" i="123"/>
  <c r="BA8" i="123"/>
  <c r="AZ8" i="123"/>
  <c r="AY8" i="123"/>
  <c r="AX8" i="123"/>
  <c r="AW8" i="123"/>
  <c r="AV8" i="123"/>
  <c r="AU8" i="123"/>
  <c r="AT8" i="123"/>
  <c r="AS8" i="123"/>
  <c r="AR8" i="123"/>
  <c r="AQ8" i="123"/>
  <c r="AP8" i="123"/>
  <c r="AO8" i="123"/>
  <c r="AN8" i="123"/>
  <c r="AM8" i="123"/>
  <c r="AL8" i="123"/>
  <c r="AK8" i="123"/>
  <c r="AJ8" i="123"/>
  <c r="AI8" i="123"/>
  <c r="AH8" i="123"/>
  <c r="AG8" i="123"/>
  <c r="AF8" i="123"/>
  <c r="AE8" i="123"/>
  <c r="N8" i="123"/>
  <c r="G12" i="123" s="1"/>
  <c r="M8" i="123"/>
  <c r="BE7" i="123"/>
  <c r="BD7" i="123"/>
  <c r="BC7" i="123"/>
  <c r="BB7" i="123"/>
  <c r="BA7" i="123"/>
  <c r="AZ7" i="123"/>
  <c r="AY7" i="123"/>
  <c r="AX7" i="123"/>
  <c r="AW7" i="123"/>
  <c r="AV7" i="123"/>
  <c r="AU7" i="123"/>
  <c r="AT7" i="123"/>
  <c r="AS7" i="123"/>
  <c r="AR7" i="123"/>
  <c r="AQ7" i="123"/>
  <c r="AP7" i="123"/>
  <c r="AO7" i="123"/>
  <c r="AN7" i="123"/>
  <c r="AM7" i="123"/>
  <c r="AL7" i="123"/>
  <c r="AK7" i="123"/>
  <c r="AJ7" i="123"/>
  <c r="AI7" i="123"/>
  <c r="AH7" i="123"/>
  <c r="AG7" i="123"/>
  <c r="AF7" i="123"/>
  <c r="AE7" i="123"/>
  <c r="N7" i="123"/>
  <c r="M7" i="123"/>
  <c r="BE6" i="123"/>
  <c r="BD6" i="123"/>
  <c r="BC6" i="123"/>
  <c r="BB6" i="123"/>
  <c r="BA6" i="123"/>
  <c r="AZ6" i="123"/>
  <c r="AY6" i="123"/>
  <c r="AX6" i="123"/>
  <c r="AW6" i="123"/>
  <c r="AV6" i="123"/>
  <c r="AU6" i="123"/>
  <c r="AT6" i="123"/>
  <c r="AS6" i="123"/>
  <c r="AR6" i="123"/>
  <c r="AQ6" i="123"/>
  <c r="AP6" i="123"/>
  <c r="AO6" i="123"/>
  <c r="AN6" i="123"/>
  <c r="AM6" i="123"/>
  <c r="AL6" i="123"/>
  <c r="AK6" i="123"/>
  <c r="AJ6" i="123"/>
  <c r="AI6" i="123"/>
  <c r="AH6" i="123"/>
  <c r="AG6" i="123"/>
  <c r="AF6" i="123"/>
  <c r="AE6" i="123"/>
  <c r="N6" i="123"/>
  <c r="M6" i="123"/>
  <c r="BE5" i="123"/>
  <c r="BD5" i="123"/>
  <c r="BC5" i="123"/>
  <c r="BB5" i="123"/>
  <c r="BA5" i="123"/>
  <c r="AZ5" i="123"/>
  <c r="AY5" i="123"/>
  <c r="AX5" i="123"/>
  <c r="AW5" i="123"/>
  <c r="AV5" i="123"/>
  <c r="AU5" i="123"/>
  <c r="AT5" i="123"/>
  <c r="AS5" i="123"/>
  <c r="AR5" i="123"/>
  <c r="AQ5" i="123"/>
  <c r="AP5" i="123"/>
  <c r="AO5" i="123"/>
  <c r="AN5" i="123"/>
  <c r="AM5" i="123"/>
  <c r="AL5" i="123"/>
  <c r="AK5" i="123"/>
  <c r="AJ5" i="123"/>
  <c r="AI5" i="123"/>
  <c r="AH5" i="123"/>
  <c r="AG5" i="123"/>
  <c r="AF5" i="123"/>
  <c r="AE5" i="123"/>
  <c r="N5" i="123"/>
  <c r="M5" i="123"/>
  <c r="BE4" i="123"/>
  <c r="BD4" i="123"/>
  <c r="BC4" i="123"/>
  <c r="BB4" i="123"/>
  <c r="BA4" i="123"/>
  <c r="AZ4" i="123"/>
  <c r="AY4" i="123"/>
  <c r="AX4" i="123"/>
  <c r="AW4" i="123"/>
  <c r="AV4" i="123"/>
  <c r="AU4" i="123"/>
  <c r="AT4" i="123"/>
  <c r="AS4" i="123"/>
  <c r="AR4" i="123"/>
  <c r="AQ4" i="123"/>
  <c r="AP4" i="123"/>
  <c r="AO4" i="123"/>
  <c r="AN4" i="123"/>
  <c r="AM4" i="123"/>
  <c r="AL4" i="123"/>
  <c r="AK4" i="123"/>
  <c r="AJ4" i="123"/>
  <c r="AI4" i="123"/>
  <c r="AH4" i="123"/>
  <c r="AG4" i="123"/>
  <c r="AF4" i="123"/>
  <c r="AE4" i="123"/>
  <c r="N4" i="123"/>
  <c r="M4" i="123"/>
  <c r="BE3" i="123"/>
  <c r="BD3" i="123"/>
  <c r="BC3" i="123"/>
  <c r="BB3" i="123"/>
  <c r="BA3" i="123"/>
  <c r="AZ3" i="123"/>
  <c r="AY3" i="123"/>
  <c r="AX3" i="123"/>
  <c r="AW3" i="123"/>
  <c r="AV3" i="123"/>
  <c r="AU3" i="123"/>
  <c r="AT3" i="123"/>
  <c r="AS3" i="123"/>
  <c r="AR3" i="123"/>
  <c r="AQ3" i="123"/>
  <c r="AP3" i="123"/>
  <c r="AO3" i="123"/>
  <c r="AN3" i="123"/>
  <c r="AM3" i="123"/>
  <c r="AL3" i="123"/>
  <c r="AK3" i="123"/>
  <c r="AJ3" i="123"/>
  <c r="AI3" i="123"/>
  <c r="AH3" i="123"/>
  <c r="AG3" i="123"/>
  <c r="AF3" i="123"/>
  <c r="AE3" i="123"/>
  <c r="N3" i="123"/>
  <c r="M3" i="123"/>
  <c r="BE2" i="123"/>
  <c r="BD2" i="123"/>
  <c r="BC2" i="123"/>
  <c r="BB2" i="123"/>
  <c r="BA2" i="123"/>
  <c r="AZ2" i="123"/>
  <c r="AY2" i="123"/>
  <c r="AX2" i="123"/>
  <c r="AW2" i="123"/>
  <c r="AV2" i="123"/>
  <c r="AU2" i="123"/>
  <c r="AT2" i="123"/>
  <c r="AS2" i="123"/>
  <c r="AR2" i="123"/>
  <c r="AQ2" i="123"/>
  <c r="AP2" i="123"/>
  <c r="AO2" i="123"/>
  <c r="AN2" i="123"/>
  <c r="AM2" i="123"/>
  <c r="AL2" i="123"/>
  <c r="AK2" i="123"/>
  <c r="AJ2" i="123"/>
  <c r="AI2" i="123"/>
  <c r="AH2" i="123"/>
  <c r="AG2" i="123"/>
  <c r="AF2" i="123"/>
  <c r="AE2" i="123"/>
  <c r="N2" i="123"/>
  <c r="G10" i="123" s="1"/>
  <c r="M2" i="123"/>
  <c r="A2" i="123"/>
  <c r="BE1" i="123"/>
  <c r="BD1" i="123"/>
  <c r="BC1" i="123"/>
  <c r="BB1" i="123"/>
  <c r="BA1" i="123"/>
  <c r="AZ1" i="123"/>
  <c r="AY1" i="123"/>
  <c r="AX1" i="123"/>
  <c r="AW1" i="123"/>
  <c r="AV1" i="123"/>
  <c r="AU1" i="123"/>
  <c r="AT1" i="123"/>
  <c r="AS1" i="123"/>
  <c r="AR1" i="123"/>
  <c r="AQ1" i="123"/>
  <c r="AP1" i="123"/>
  <c r="AO1" i="123"/>
  <c r="AN1" i="123"/>
  <c r="AM1" i="123"/>
  <c r="AL1" i="123"/>
  <c r="AK1" i="123"/>
  <c r="AJ1" i="123"/>
  <c r="AI1" i="123"/>
  <c r="AH1" i="123"/>
  <c r="AG1" i="123"/>
  <c r="AF1" i="123"/>
  <c r="Q1" i="123"/>
  <c r="P1" i="123"/>
  <c r="N1" i="123"/>
  <c r="M1" i="123"/>
  <c r="N41" i="121"/>
  <c r="M41" i="121"/>
  <c r="N40" i="121"/>
  <c r="M40" i="121"/>
  <c r="N39" i="121"/>
  <c r="M39" i="121"/>
  <c r="N38" i="121"/>
  <c r="M38" i="121"/>
  <c r="N37" i="121"/>
  <c r="M37" i="121"/>
  <c r="N36" i="121"/>
  <c r="M36" i="121"/>
  <c r="N35" i="121"/>
  <c r="M35" i="121"/>
  <c r="N34" i="121"/>
  <c r="M34" i="121"/>
  <c r="N33" i="121"/>
  <c r="M33" i="121"/>
  <c r="N31" i="121"/>
  <c r="M31" i="121"/>
  <c r="N30" i="121"/>
  <c r="M30" i="121"/>
  <c r="N19" i="121"/>
  <c r="G4" i="121" s="1"/>
  <c r="M19" i="121"/>
  <c r="N18" i="121"/>
  <c r="M18" i="121"/>
  <c r="N17" i="121"/>
  <c r="M17" i="121"/>
  <c r="N16" i="121"/>
  <c r="M16" i="121"/>
  <c r="N15" i="121"/>
  <c r="M15" i="121"/>
  <c r="N14" i="121"/>
  <c r="M14" i="121"/>
  <c r="N13" i="121"/>
  <c r="M13" i="121"/>
  <c r="N11" i="121"/>
  <c r="M11" i="121"/>
  <c r="N10" i="121"/>
  <c r="M10" i="121"/>
  <c r="N9" i="121"/>
  <c r="M9" i="121"/>
  <c r="N8" i="121"/>
  <c r="M8" i="121"/>
  <c r="N7" i="121"/>
  <c r="M7" i="121"/>
  <c r="N6" i="121"/>
  <c r="M6" i="121"/>
  <c r="N5" i="121"/>
  <c r="M5" i="121"/>
  <c r="N4" i="121"/>
  <c r="M4" i="121"/>
  <c r="N3" i="121"/>
  <c r="M3" i="121"/>
  <c r="Q1" i="121"/>
  <c r="P1" i="121"/>
  <c r="N1" i="121"/>
  <c r="M1" i="121"/>
  <c r="I51" i="130"/>
  <c r="I51" i="129"/>
  <c r="I52" i="129"/>
  <c r="I53" i="130"/>
  <c r="I8" i="126"/>
  <c r="I54" i="129"/>
  <c r="I4" i="121"/>
  <c r="I52" i="130"/>
  <c r="I54" i="130"/>
  <c r="I53" i="129"/>
  <c r="E8" i="126" l="1"/>
  <c r="G52" i="126"/>
  <c r="G55" i="124"/>
  <c r="G53" i="124"/>
  <c r="G9" i="126"/>
  <c r="G10" i="126"/>
  <c r="G11" i="124"/>
  <c r="G51" i="126"/>
  <c r="F53" i="126" s="1"/>
  <c r="G54" i="124"/>
  <c r="G56" i="124"/>
  <c r="G14" i="124"/>
  <c r="G7" i="126"/>
  <c r="G9" i="123"/>
  <c r="G53" i="123"/>
  <c r="G13" i="124"/>
  <c r="G18" i="124"/>
  <c r="G55" i="123"/>
  <c r="G56" i="123"/>
  <c r="G52" i="123"/>
  <c r="G52" i="124"/>
  <c r="G11" i="123"/>
  <c r="G12" i="124"/>
  <c r="G16" i="124"/>
  <c r="G17" i="124"/>
  <c r="G51" i="123"/>
  <c r="G51" i="124"/>
  <c r="G8" i="123"/>
  <c r="G54" i="123"/>
  <c r="E52" i="130"/>
  <c r="E53" i="130"/>
  <c r="E54" i="130"/>
  <c r="E51" i="130"/>
  <c r="E51" i="129"/>
  <c r="E53" i="129"/>
  <c r="E52" i="129"/>
  <c r="E54" i="129"/>
  <c r="E4" i="121"/>
  <c r="E3" i="121" s="1"/>
  <c r="B7" i="137"/>
  <c r="B12" i="133"/>
  <c r="B12" i="131"/>
  <c r="B8" i="133"/>
  <c r="B9" i="133"/>
  <c r="B10" i="131"/>
  <c r="B9" i="131"/>
  <c r="B8" i="130"/>
  <c r="B6" i="132"/>
  <c r="B14" i="129"/>
  <c r="B8" i="131"/>
  <c r="B11" i="129"/>
  <c r="B13" i="129"/>
  <c r="B6" i="137"/>
  <c r="B11" i="133"/>
  <c r="B7" i="134"/>
  <c r="B7" i="136"/>
  <c r="B8" i="136"/>
  <c r="B8" i="132"/>
  <c r="B8" i="137"/>
  <c r="B8" i="134"/>
  <c r="B10" i="133"/>
  <c r="B6" i="136"/>
  <c r="B12" i="129"/>
  <c r="B6" i="134"/>
  <c r="B9" i="130"/>
  <c r="B11" i="130"/>
  <c r="B11" i="131"/>
  <c r="B10" i="130"/>
  <c r="B7" i="132"/>
  <c r="B12" i="130"/>
  <c r="B16" i="129"/>
  <c r="B10" i="129"/>
  <c r="B15" i="129"/>
  <c r="I8" i="123"/>
  <c r="I12" i="123"/>
  <c r="I10" i="123"/>
  <c r="I12" i="124"/>
  <c r="I56" i="123"/>
  <c r="I17" i="124"/>
  <c r="I7" i="126"/>
  <c r="I53" i="124"/>
  <c r="I54" i="124"/>
  <c r="I13" i="124"/>
  <c r="I16" i="124"/>
  <c r="I11" i="124"/>
  <c r="I10" i="126"/>
  <c r="I15" i="124"/>
  <c r="I9" i="126"/>
  <c r="I14" i="124"/>
  <c r="I55" i="124"/>
  <c r="I56" i="124"/>
  <c r="I18" i="124"/>
  <c r="I54" i="123"/>
  <c r="I53" i="123"/>
  <c r="I52" i="123"/>
  <c r="I51" i="124"/>
  <c r="I9" i="123"/>
  <c r="I55" i="123"/>
  <c r="I52" i="126"/>
  <c r="I11" i="123"/>
  <c r="I51" i="123"/>
  <c r="I52" i="124"/>
  <c r="F11" i="126" l="1"/>
  <c r="E10" i="126"/>
  <c r="E6" i="126" s="1"/>
  <c r="E51" i="124"/>
  <c r="E51" i="123"/>
  <c r="E54" i="123"/>
  <c r="E52" i="124"/>
  <c r="E54" i="124"/>
  <c r="E55" i="123"/>
  <c r="E56" i="124"/>
  <c r="E53" i="123"/>
  <c r="E53" i="124"/>
  <c r="E52" i="123"/>
  <c r="E56" i="123"/>
  <c r="E55" i="124"/>
  <c r="E10" i="123"/>
  <c r="E5" i="123" s="1"/>
  <c r="E9" i="123"/>
  <c r="E4" i="123" s="1"/>
  <c r="E12" i="123"/>
  <c r="E7" i="123" s="1"/>
  <c r="E15" i="124"/>
  <c r="E7" i="124" s="1"/>
  <c r="E4" i="126"/>
  <c r="E18" i="124"/>
  <c r="E10" i="124" s="1"/>
  <c r="E9" i="126"/>
  <c r="E5" i="126" s="1"/>
  <c r="E11" i="124"/>
  <c r="E3" i="124" s="1"/>
  <c r="E17" i="124"/>
  <c r="E9" i="124" s="1"/>
  <c r="E14" i="124"/>
  <c r="E6" i="124" s="1"/>
  <c r="E8" i="123"/>
  <c r="E3" i="123" s="1"/>
  <c r="E12" i="124"/>
  <c r="E4" i="124" s="1"/>
  <c r="E11" i="123"/>
  <c r="E6" i="123" s="1"/>
  <c r="E7" i="126"/>
  <c r="E3" i="126" s="1"/>
  <c r="E16" i="124"/>
  <c r="E8" i="124" s="1"/>
  <c r="E13" i="124"/>
  <c r="E5" i="124" s="1"/>
  <c r="I51" i="126"/>
  <c r="E52" i="126" l="1"/>
  <c r="E51" i="126"/>
  <c r="B17" i="124"/>
  <c r="B12" i="124"/>
  <c r="B12" i="123"/>
  <c r="B15" i="124"/>
  <c r="B8" i="123"/>
  <c r="B7" i="126"/>
  <c r="B13" i="124"/>
  <c r="B9" i="123"/>
  <c r="B9" i="126"/>
  <c r="B11" i="123"/>
  <c r="A51" i="124"/>
  <c r="B16" i="124"/>
  <c r="B8" i="126"/>
  <c r="B18" i="124"/>
  <c r="B14" i="124"/>
  <c r="B10" i="126"/>
  <c r="B11" i="124"/>
  <c r="B10" i="123"/>
  <c r="N41" i="120"/>
  <c r="M41" i="120"/>
  <c r="N40" i="120"/>
  <c r="M40" i="120"/>
  <c r="N39" i="120"/>
  <c r="M39" i="120"/>
  <c r="N38" i="120"/>
  <c r="M38" i="120"/>
  <c r="N37" i="120"/>
  <c r="M37" i="120"/>
  <c r="N36" i="120"/>
  <c r="M36" i="120"/>
  <c r="N35" i="120"/>
  <c r="M35" i="120"/>
  <c r="N34" i="120"/>
  <c r="M34" i="120"/>
  <c r="N33" i="120"/>
  <c r="M33" i="120"/>
  <c r="N32" i="120"/>
  <c r="M32" i="120"/>
  <c r="N31" i="120"/>
  <c r="M31" i="120"/>
  <c r="N30" i="120"/>
  <c r="M30" i="120"/>
  <c r="N29" i="120"/>
  <c r="M29" i="120"/>
  <c r="N28" i="120"/>
  <c r="M28" i="120"/>
  <c r="N27" i="120"/>
  <c r="M27" i="120"/>
  <c r="N26" i="120"/>
  <c r="M26" i="120"/>
  <c r="N25" i="120"/>
  <c r="M25" i="120"/>
  <c r="N24" i="120"/>
  <c r="M24" i="120"/>
  <c r="N23" i="120"/>
  <c r="M23" i="120"/>
  <c r="N22" i="120"/>
  <c r="M22" i="120"/>
  <c r="N21" i="120"/>
  <c r="M21" i="120"/>
  <c r="N20" i="120"/>
  <c r="M20" i="120"/>
  <c r="N19" i="120"/>
  <c r="M19" i="120"/>
  <c r="N18" i="120"/>
  <c r="M18" i="120"/>
  <c r="N17" i="120"/>
  <c r="M17" i="120"/>
  <c r="N16" i="120"/>
  <c r="M16" i="120"/>
  <c r="N15" i="120"/>
  <c r="M15" i="120"/>
  <c r="N14" i="120"/>
  <c r="M14" i="120"/>
  <c r="N13" i="120"/>
  <c r="M13" i="120"/>
  <c r="N12" i="120"/>
  <c r="M12" i="120"/>
  <c r="N11" i="120"/>
  <c r="M11" i="120"/>
  <c r="N10" i="120"/>
  <c r="M10" i="120"/>
  <c r="N9" i="120"/>
  <c r="M9" i="120"/>
  <c r="N8" i="120"/>
  <c r="M8" i="120"/>
  <c r="N7" i="120"/>
  <c r="M7" i="120"/>
  <c r="N6" i="120"/>
  <c r="M6" i="120"/>
  <c r="N5" i="120"/>
  <c r="M5" i="120"/>
  <c r="N4" i="120"/>
  <c r="G4" i="120" s="1"/>
  <c r="M4" i="120"/>
  <c r="N3" i="120"/>
  <c r="M3" i="120"/>
  <c r="N2" i="120"/>
  <c r="M2" i="120"/>
  <c r="A2" i="120"/>
  <c r="Q1" i="120"/>
  <c r="P1" i="120"/>
  <c r="N1" i="120"/>
  <c r="M1" i="120"/>
  <c r="A2" i="116"/>
  <c r="I4" i="120"/>
  <c r="E5" i="120" l="1"/>
  <c r="E4" i="120"/>
  <c r="E3" i="120" s="1"/>
  <c r="B4" i="120" l="1"/>
  <c r="N28" i="116"/>
  <c r="N29" i="116"/>
  <c r="N30" i="116"/>
  <c r="N31" i="116"/>
  <c r="N32" i="116"/>
  <c r="N33" i="116"/>
  <c r="N34" i="116"/>
  <c r="N35" i="116"/>
  <c r="N36" i="116"/>
  <c r="N37" i="116"/>
  <c r="N38" i="116"/>
  <c r="N39" i="116"/>
  <c r="N40" i="116"/>
  <c r="N41" i="116"/>
  <c r="P1" i="116"/>
  <c r="Q1" i="116"/>
  <c r="N7" i="116"/>
  <c r="N8" i="116"/>
  <c r="N9" i="116"/>
  <c r="N10" i="116"/>
  <c r="N11" i="116"/>
  <c r="N12" i="116"/>
  <c r="N13" i="116"/>
  <c r="N14" i="116"/>
  <c r="N15" i="116"/>
  <c r="N16" i="116"/>
  <c r="N17" i="116"/>
  <c r="N18" i="116"/>
  <c r="N19" i="116"/>
  <c r="N20" i="116"/>
  <c r="N21" i="116"/>
  <c r="N22" i="116"/>
  <c r="N23" i="116"/>
  <c r="N24" i="116"/>
  <c r="N25" i="116"/>
  <c r="N26" i="116"/>
  <c r="N27" i="116"/>
  <c r="M1" i="116"/>
  <c r="N1" i="116"/>
  <c r="M29" i="116"/>
  <c r="M30" i="116"/>
  <c r="M31" i="116"/>
  <c r="M32" i="116"/>
  <c r="M33" i="116"/>
  <c r="M34" i="116"/>
  <c r="M35" i="116"/>
  <c r="M36" i="116"/>
  <c r="M37" i="116"/>
  <c r="M38" i="116"/>
  <c r="M39" i="116"/>
  <c r="M40" i="116"/>
  <c r="M41" i="116"/>
  <c r="M3" i="116"/>
  <c r="N3" i="116"/>
  <c r="M4" i="116"/>
  <c r="N4" i="116"/>
  <c r="M5" i="116"/>
  <c r="N5" i="116"/>
  <c r="M6" i="116"/>
  <c r="N6" i="116"/>
  <c r="M7" i="116"/>
  <c r="M8" i="116"/>
  <c r="M9" i="116"/>
  <c r="M10" i="116"/>
  <c r="M11" i="116"/>
  <c r="M12" i="116"/>
  <c r="M13" i="116"/>
  <c r="M14" i="116"/>
  <c r="M15" i="116"/>
  <c r="M16" i="116"/>
  <c r="M17" i="116"/>
  <c r="M18" i="116"/>
  <c r="M19" i="116"/>
  <c r="M20" i="116"/>
  <c r="M21" i="116"/>
  <c r="M22" i="116"/>
  <c r="M23" i="116"/>
  <c r="M24" i="116"/>
  <c r="M25" i="116"/>
  <c r="M26" i="116"/>
  <c r="M27" i="116"/>
  <c r="M28" i="116"/>
  <c r="N2" i="116"/>
  <c r="M2" i="116"/>
  <c r="G54" i="116" l="1"/>
  <c r="G53" i="116"/>
  <c r="G51" i="116"/>
  <c r="G52" i="116"/>
  <c r="G17" i="116"/>
  <c r="G14" i="116"/>
  <c r="G18" i="116"/>
  <c r="G20" i="116"/>
  <c r="G12" i="116"/>
  <c r="G16" i="116"/>
  <c r="G19" i="116"/>
  <c r="G13" i="116"/>
  <c r="G15" i="116"/>
  <c r="A86" i="39"/>
  <c r="A85" i="39"/>
  <c r="I13" i="116"/>
  <c r="I53" i="116"/>
  <c r="I12" i="116"/>
  <c r="I17" i="116"/>
  <c r="I20" i="116"/>
  <c r="I16" i="116"/>
  <c r="I14" i="116"/>
  <c r="I15" i="116"/>
  <c r="I19" i="116"/>
  <c r="I52" i="116"/>
  <c r="I18" i="116"/>
  <c r="I54" i="116"/>
  <c r="I51" i="116"/>
  <c r="E52" i="116" l="1"/>
  <c r="E51" i="116"/>
  <c r="E53" i="116"/>
  <c r="E54" i="116"/>
  <c r="E16" i="116"/>
  <c r="E7" i="116" s="1"/>
  <c r="E12" i="116"/>
  <c r="E3" i="116" s="1"/>
  <c r="E19" i="116"/>
  <c r="E10" i="116" s="1"/>
  <c r="E15" i="116"/>
  <c r="E6" i="116" s="1"/>
  <c r="E20" i="116"/>
  <c r="E11" i="116" s="1"/>
  <c r="E18" i="116"/>
  <c r="E9" i="116" s="1"/>
  <c r="E13" i="116"/>
  <c r="E4" i="116" s="1"/>
  <c r="E17" i="116"/>
  <c r="E8" i="116" s="1"/>
  <c r="E14" i="116"/>
  <c r="E5" i="116" s="1"/>
  <c r="B19" i="116" l="1"/>
  <c r="B20" i="116"/>
  <c r="B13" i="116"/>
  <c r="B12" i="116"/>
  <c r="B18" i="116"/>
  <c r="B15" i="116"/>
  <c r="B14" i="116"/>
  <c r="B16" i="116"/>
  <c r="B17" i="116"/>
  <c r="A79" i="112"/>
  <c r="A78" i="112"/>
  <c r="A172" i="82"/>
  <c r="A171" i="82"/>
  <c r="A68" i="81"/>
  <c r="A67" i="81"/>
  <c r="A186" i="73"/>
  <c r="A185" i="73"/>
  <c r="A71" i="66"/>
  <c r="A70" i="66"/>
  <c r="A139" i="79"/>
  <c r="A138" i="79"/>
  <c r="A101" i="65"/>
  <c r="A100" i="65"/>
  <c r="A84" i="39"/>
  <c r="A118" i="18"/>
  <c r="A117" i="18"/>
  <c r="A112" i="62"/>
  <c r="A111" i="62"/>
  <c r="A118" i="64"/>
  <c r="A117" i="64"/>
  <c r="A118" i="63"/>
  <c r="A117" i="63"/>
  <c r="A174" i="14"/>
  <c r="A173" i="14"/>
  <c r="A109" i="11"/>
  <c r="A108" i="11"/>
  <c r="A373" i="51"/>
  <c r="A372" i="51"/>
  <c r="A297" i="13"/>
  <c r="A296" i="13"/>
  <c r="A196" i="22"/>
  <c r="A195" i="22"/>
  <c r="A231" i="34"/>
  <c r="A230" i="34"/>
  <c r="A372" i="91"/>
  <c r="A371" i="91"/>
  <c r="A308" i="55"/>
  <c r="A307" i="55"/>
  <c r="A154" i="92"/>
  <c r="A153" i="92"/>
  <c r="A84" i="19"/>
  <c r="A83" i="19"/>
  <c r="A308" i="56" l="1"/>
  <c r="A307" i="56"/>
  <c r="A163" i="3"/>
  <c r="A164" i="3"/>
  <c r="D35" i="79" l="1"/>
  <c r="F8" i="36" l="1"/>
  <c r="F7" i="36"/>
  <c r="B8" i="36"/>
  <c r="B7" i="36"/>
  <c r="F4" i="36"/>
  <c r="F3" i="36"/>
  <c r="B4" i="36"/>
  <c r="B3" i="36"/>
  <c r="F39" i="74"/>
  <c r="F38" i="74"/>
  <c r="F34" i="86"/>
  <c r="F19" i="67"/>
  <c r="A19" i="67" l="1"/>
  <c r="A11" i="36"/>
  <c r="D97" i="65"/>
  <c r="A51" i="88"/>
  <c r="A50" i="88"/>
  <c r="A49" i="88"/>
  <c r="A48" i="88"/>
  <c r="A47" i="88"/>
  <c r="A46" i="88"/>
  <c r="A45" i="88"/>
  <c r="A44" i="88"/>
  <c r="A43" i="88"/>
  <c r="A42" i="88"/>
  <c r="A41" i="88"/>
  <c r="A40" i="88"/>
  <c r="A39" i="88"/>
  <c r="A38" i="88"/>
  <c r="A37" i="88"/>
  <c r="A36" i="88"/>
  <c r="A35" i="88"/>
  <c r="A34" i="88"/>
  <c r="A33" i="88"/>
  <c r="A32" i="88"/>
  <c r="A31" i="88"/>
  <c r="A30" i="88"/>
  <c r="A29" i="88"/>
  <c r="A28" i="88"/>
  <c r="A27" i="88"/>
  <c r="A26" i="88"/>
  <c r="A25" i="88"/>
  <c r="A24" i="88"/>
  <c r="A23" i="88"/>
  <c r="A22" i="88"/>
  <c r="A21" i="88"/>
  <c r="A20" i="88"/>
  <c r="A19" i="88"/>
  <c r="A18" i="88"/>
  <c r="A17" i="88"/>
  <c r="A16" i="88"/>
  <c r="A15" i="88"/>
  <c r="A14" i="88"/>
  <c r="A13" i="88"/>
  <c r="A12" i="88"/>
  <c r="A11" i="88"/>
  <c r="A10" i="88"/>
  <c r="A9" i="88"/>
  <c r="A8" i="88"/>
  <c r="A7" i="88"/>
  <c r="A6" i="88"/>
  <c r="A5" i="88"/>
  <c r="A4" i="88"/>
  <c r="A3" i="88"/>
  <c r="A18" i="85"/>
  <c r="A17" i="85"/>
  <c r="A16" i="85"/>
  <c r="A15" i="85"/>
  <c r="A14" i="85"/>
  <c r="A13" i="85"/>
  <c r="A10" i="85"/>
  <c r="A9" i="85"/>
  <c r="A8" i="85"/>
  <c r="A6" i="85"/>
  <c r="A5" i="85"/>
  <c r="A4" i="85"/>
  <c r="A3" i="85"/>
  <c r="A59" i="87"/>
  <c r="A58" i="87"/>
  <c r="A57" i="87"/>
  <c r="A56" i="87"/>
  <c r="A55" i="87"/>
  <c r="A54" i="87"/>
  <c r="A53" i="87"/>
  <c r="A52" i="87"/>
  <c r="A51" i="87"/>
  <c r="A50" i="87"/>
  <c r="A49" i="87"/>
  <c r="A48" i="87"/>
  <c r="A47" i="87"/>
  <c r="A46" i="87"/>
  <c r="A45" i="87"/>
  <c r="A44" i="87"/>
  <c r="A43" i="87"/>
  <c r="A42" i="87"/>
  <c r="A41" i="87"/>
  <c r="A40" i="87"/>
  <c r="A39" i="87"/>
  <c r="A38" i="87"/>
  <c r="A37" i="87"/>
  <c r="A36" i="87"/>
  <c r="A35" i="87"/>
  <c r="A34" i="87"/>
  <c r="A33" i="87"/>
  <c r="A32" i="87"/>
  <c r="A31" i="87"/>
  <c r="A30" i="87"/>
  <c r="A29" i="87"/>
  <c r="A28" i="87"/>
  <c r="A27" i="87"/>
  <c r="A26" i="87"/>
  <c r="A25" i="87"/>
  <c r="A24" i="87"/>
  <c r="A23" i="87"/>
  <c r="A22" i="87"/>
  <c r="A21" i="87"/>
  <c r="A20" i="87"/>
  <c r="A19" i="87"/>
  <c r="A18" i="87"/>
  <c r="A17" i="87"/>
  <c r="A16" i="87"/>
  <c r="A15" i="87"/>
  <c r="A14" i="87"/>
  <c r="A13" i="87"/>
  <c r="A12" i="87"/>
  <c r="A11" i="87"/>
  <c r="A10" i="87"/>
  <c r="A9" i="87"/>
  <c r="A8" i="87"/>
  <c r="A7" i="87"/>
  <c r="A6" i="87"/>
  <c r="A5" i="87"/>
  <c r="A4" i="87"/>
  <c r="A3" i="87"/>
  <c r="A126" i="102" l="1"/>
  <c r="A85" i="102"/>
  <c r="A9" i="75" l="1"/>
  <c r="A9" i="47"/>
  <c r="A9" i="29"/>
  <c r="A339" i="89" l="1"/>
  <c r="A338" i="89"/>
  <c r="A337" i="89"/>
  <c r="A336" i="89"/>
  <c r="A335" i="89"/>
  <c r="A334" i="89"/>
  <c r="A333" i="89"/>
  <c r="A332" i="89"/>
  <c r="A331" i="89"/>
  <c r="A328" i="80"/>
  <c r="A320" i="80"/>
  <c r="A321" i="80"/>
  <c r="A322" i="80"/>
  <c r="A323" i="80"/>
  <c r="A142" i="3" l="1"/>
  <c r="A141" i="3"/>
  <c r="A140" i="3"/>
  <c r="A139" i="3"/>
  <c r="A138" i="3"/>
  <c r="A137" i="3"/>
  <c r="A136" i="3"/>
  <c r="A135" i="3"/>
  <c r="A134" i="3"/>
  <c r="A487" i="3"/>
  <c r="A488" i="3"/>
  <c r="A492" i="3"/>
  <c r="A491" i="3"/>
  <c r="A490" i="3"/>
  <c r="A489" i="3"/>
  <c r="A464" i="3" l="1"/>
  <c r="A465" i="3"/>
  <c r="A466" i="3"/>
  <c r="A467" i="3"/>
  <c r="A468" i="3"/>
  <c r="A463" i="3"/>
  <c r="A5" i="9"/>
  <c r="A17" i="68" l="1"/>
  <c r="A9" i="113" l="1"/>
  <c r="A8" i="113"/>
  <c r="A7" i="113"/>
  <c r="A6" i="113"/>
  <c r="A5" i="113"/>
  <c r="A4" i="113"/>
  <c r="A3" i="113"/>
  <c r="A39" i="112" l="1"/>
  <c r="A40" i="112"/>
  <c r="A41" i="112"/>
  <c r="A42" i="112"/>
  <c r="A43" i="112"/>
  <c r="A44" i="112"/>
  <c r="A45" i="112"/>
  <c r="A46" i="112"/>
  <c r="A47" i="112"/>
  <c r="A38" i="112"/>
  <c r="A59" i="112"/>
  <c r="A60" i="112"/>
  <c r="A61" i="112"/>
  <c r="A62" i="112"/>
  <c r="A63" i="112"/>
  <c r="A64" i="112"/>
  <c r="A65" i="112"/>
  <c r="A66" i="112"/>
  <c r="A67" i="112"/>
  <c r="A58" i="112"/>
  <c r="A85" i="112"/>
  <c r="A86" i="112"/>
  <c r="A87" i="112"/>
  <c r="A84" i="112"/>
  <c r="A83" i="112"/>
  <c r="A82" i="112"/>
  <c r="A81" i="112"/>
  <c r="A80" i="112"/>
  <c r="A55" i="112"/>
  <c r="A49" i="112"/>
  <c r="A50" i="112"/>
  <c r="A51" i="112"/>
  <c r="A57" i="112"/>
  <c r="A56" i="112"/>
  <c r="A54" i="112"/>
  <c r="A53" i="112"/>
  <c r="A52" i="112"/>
  <c r="A48" i="112"/>
  <c r="A29" i="112"/>
  <c r="A30" i="112"/>
  <c r="A31" i="112"/>
  <c r="A32" i="112"/>
  <c r="A33" i="112"/>
  <c r="A34" i="112"/>
  <c r="A35" i="112"/>
  <c r="A36" i="112"/>
  <c r="A37" i="112"/>
  <c r="A28" i="112"/>
  <c r="A77" i="112"/>
  <c r="A76" i="112"/>
  <c r="A75" i="112"/>
  <c r="A74" i="112"/>
  <c r="A73" i="112"/>
  <c r="A72" i="112"/>
  <c r="A71" i="112"/>
  <c r="A70" i="112"/>
  <c r="A69" i="112"/>
  <c r="A68" i="112"/>
  <c r="D25" i="112"/>
  <c r="A25" i="112"/>
  <c r="A22" i="112"/>
  <c r="D21" i="112"/>
  <c r="A21" i="112"/>
  <c r="D20" i="112"/>
  <c r="A20" i="112"/>
  <c r="R19" i="112"/>
  <c r="Q19" i="112"/>
  <c r="P19" i="112"/>
  <c r="R18" i="112"/>
  <c r="Q18" i="112"/>
  <c r="P18" i="112"/>
  <c r="R17" i="112"/>
  <c r="Q17" i="112"/>
  <c r="P17" i="112"/>
  <c r="R16" i="112"/>
  <c r="Q16" i="112"/>
  <c r="P16" i="112"/>
  <c r="R15" i="112"/>
  <c r="Q15" i="112"/>
  <c r="P15" i="112"/>
  <c r="R14" i="112"/>
  <c r="Q14" i="112"/>
  <c r="P14" i="112"/>
  <c r="R13" i="112"/>
  <c r="Q13" i="112"/>
  <c r="P13" i="112"/>
  <c r="R12" i="112"/>
  <c r="Q12" i="112"/>
  <c r="P12" i="112"/>
  <c r="R11" i="112"/>
  <c r="D70" i="112" s="1"/>
  <c r="Q11" i="112"/>
  <c r="D71" i="112" s="1"/>
  <c r="P11" i="112"/>
  <c r="R10" i="112"/>
  <c r="Q10" i="112"/>
  <c r="P10" i="112"/>
  <c r="R9" i="112"/>
  <c r="Q9" i="112"/>
  <c r="P9" i="112"/>
  <c r="R8" i="112"/>
  <c r="D60" i="112" s="1"/>
  <c r="Q8" i="112"/>
  <c r="D61" i="112" s="1"/>
  <c r="P8" i="112"/>
  <c r="R7" i="112"/>
  <c r="D39" i="112" s="1"/>
  <c r="Q7" i="112"/>
  <c r="D38" i="112" s="1"/>
  <c r="P7" i="112"/>
  <c r="R6" i="112"/>
  <c r="Q6" i="112"/>
  <c r="P6" i="112"/>
  <c r="R5" i="112"/>
  <c r="Q5" i="112"/>
  <c r="P5" i="112"/>
  <c r="R4" i="112"/>
  <c r="Q4" i="112"/>
  <c r="P4" i="112"/>
  <c r="BA1" i="112"/>
  <c r="AZ1" i="112"/>
  <c r="AY1" i="112"/>
  <c r="AX1" i="112"/>
  <c r="AW1" i="112"/>
  <c r="AV1" i="112"/>
  <c r="AU1" i="112"/>
  <c r="AT1" i="112"/>
  <c r="AS1" i="112"/>
  <c r="AR1" i="112"/>
  <c r="AQ1" i="112"/>
  <c r="AP1" i="112"/>
  <c r="AO1" i="112"/>
  <c r="AN1" i="112"/>
  <c r="AM1" i="112"/>
  <c r="AL1" i="112"/>
  <c r="AK1" i="112"/>
  <c r="AJ1" i="112"/>
  <c r="AI1" i="112"/>
  <c r="AH1" i="112"/>
  <c r="AG1" i="112"/>
  <c r="AF1" i="112"/>
  <c r="AE1" i="112"/>
  <c r="AD1" i="112"/>
  <c r="AC1" i="112"/>
  <c r="AB1" i="112"/>
  <c r="AA1" i="112"/>
  <c r="Z1" i="112"/>
  <c r="Y1" i="112"/>
  <c r="X1" i="112"/>
  <c r="W1" i="112"/>
  <c r="V1" i="112"/>
  <c r="U1" i="112"/>
  <c r="T1" i="112"/>
  <c r="S1" i="112"/>
  <c r="R1" i="112"/>
  <c r="Q1" i="112"/>
  <c r="P1" i="112"/>
  <c r="D50" i="112" l="1"/>
  <c r="D51" i="112"/>
  <c r="D28" i="112"/>
  <c r="D29" i="112"/>
  <c r="A48" i="110"/>
  <c r="A47" i="110"/>
  <c r="A46" i="110"/>
  <c r="A45" i="110"/>
  <c r="A44" i="110"/>
  <c r="A43" i="110"/>
  <c r="A42" i="110"/>
  <c r="A41" i="110"/>
  <c r="A40" i="110"/>
  <c r="A39" i="110"/>
  <c r="A38" i="110"/>
  <c r="A37" i="110"/>
  <c r="A36" i="110"/>
  <c r="A35" i="110"/>
  <c r="A120" i="110" l="1"/>
  <c r="A121" i="110"/>
  <c r="A123" i="110"/>
  <c r="A124" i="110"/>
  <c r="A126" i="110"/>
  <c r="A127" i="110"/>
  <c r="A129" i="110"/>
  <c r="A130" i="110"/>
  <c r="A128" i="110"/>
  <c r="A125" i="110"/>
  <c r="A122" i="110"/>
  <c r="A119" i="110"/>
  <c r="D130" i="110"/>
  <c r="D127" i="110"/>
  <c r="D124" i="110"/>
  <c r="D121" i="110"/>
  <c r="A96" i="110"/>
  <c r="A97" i="110"/>
  <c r="A93" i="110"/>
  <c r="A94" i="110"/>
  <c r="A90" i="110"/>
  <c r="A91" i="110"/>
  <c r="A99" i="110"/>
  <c r="A100" i="110"/>
  <c r="A102" i="110"/>
  <c r="A103" i="110"/>
  <c r="A105" i="110"/>
  <c r="A106" i="110"/>
  <c r="A108" i="110"/>
  <c r="A109" i="110"/>
  <c r="A111" i="110"/>
  <c r="A112" i="110"/>
  <c r="A114" i="110"/>
  <c r="A115" i="110"/>
  <c r="A117" i="110"/>
  <c r="A118" i="110"/>
  <c r="A116" i="110"/>
  <c r="A113" i="110"/>
  <c r="A110" i="110"/>
  <c r="A107" i="110"/>
  <c r="A104" i="110"/>
  <c r="A101" i="110"/>
  <c r="A98" i="110"/>
  <c r="A95" i="110"/>
  <c r="A92" i="110"/>
  <c r="A89" i="110"/>
  <c r="D118" i="110"/>
  <c r="D115" i="110"/>
  <c r="D112" i="110"/>
  <c r="D109" i="110"/>
  <c r="D106" i="110"/>
  <c r="D103" i="110"/>
  <c r="D100" i="110"/>
  <c r="D97" i="110"/>
  <c r="D94" i="110"/>
  <c r="D91" i="110"/>
  <c r="A57" i="110"/>
  <c r="A58" i="110"/>
  <c r="A56" i="110"/>
  <c r="A55" i="110"/>
  <c r="A54" i="110"/>
  <c r="A53" i="110"/>
  <c r="D58" i="110"/>
  <c r="D55" i="110"/>
  <c r="D85" i="110"/>
  <c r="D82" i="110"/>
  <c r="D79" i="110"/>
  <c r="D76" i="110"/>
  <c r="D73" i="110"/>
  <c r="D70" i="110"/>
  <c r="D67" i="110"/>
  <c r="D64" i="110"/>
  <c r="D88" i="110"/>
  <c r="D61" i="110"/>
  <c r="A85" i="110" l="1"/>
  <c r="A84" i="110"/>
  <c r="A83" i="110"/>
  <c r="A82" i="110"/>
  <c r="A81" i="110"/>
  <c r="A80" i="110"/>
  <c r="A79" i="110"/>
  <c r="A78" i="110"/>
  <c r="A77" i="110"/>
  <c r="A76" i="110"/>
  <c r="A75" i="110"/>
  <c r="A74" i="110"/>
  <c r="A73" i="110"/>
  <c r="A72" i="110"/>
  <c r="A71" i="110"/>
  <c r="A70" i="110"/>
  <c r="A69" i="110"/>
  <c r="A68" i="110"/>
  <c r="A67" i="110"/>
  <c r="A66" i="110"/>
  <c r="A65" i="110"/>
  <c r="A64" i="110"/>
  <c r="A63" i="110"/>
  <c r="A62" i="110"/>
  <c r="A88" i="110"/>
  <c r="A87" i="110"/>
  <c r="A86" i="110"/>
  <c r="A61" i="110"/>
  <c r="A60" i="110"/>
  <c r="A59" i="110"/>
  <c r="A34" i="110"/>
  <c r="A33" i="110"/>
  <c r="A32" i="110"/>
  <c r="A31" i="110"/>
  <c r="A30" i="110"/>
  <c r="A29" i="110"/>
  <c r="A28" i="110"/>
  <c r="A27" i="110"/>
  <c r="A26" i="110"/>
  <c r="A25" i="110"/>
  <c r="D24" i="110"/>
  <c r="A24" i="110"/>
  <c r="D23" i="110"/>
  <c r="A23" i="110"/>
  <c r="D22" i="110"/>
  <c r="A22" i="110"/>
  <c r="D21" i="110"/>
  <c r="A21" i="110"/>
  <c r="A20" i="110"/>
  <c r="R19" i="110"/>
  <c r="Q19" i="110"/>
  <c r="P19" i="110"/>
  <c r="R18" i="110"/>
  <c r="Q18" i="110"/>
  <c r="P18" i="110"/>
  <c r="R17" i="110"/>
  <c r="Q17" i="110"/>
  <c r="P17" i="110"/>
  <c r="R16" i="110"/>
  <c r="Q16" i="110"/>
  <c r="P16" i="110"/>
  <c r="R15" i="110"/>
  <c r="Q15" i="110"/>
  <c r="P15" i="110"/>
  <c r="R14" i="110"/>
  <c r="Q14" i="110"/>
  <c r="P14" i="110"/>
  <c r="R13" i="110"/>
  <c r="Q13" i="110"/>
  <c r="P13" i="110"/>
  <c r="R12" i="110"/>
  <c r="Q12" i="110"/>
  <c r="P12" i="110"/>
  <c r="R11" i="110"/>
  <c r="Q11" i="110"/>
  <c r="P11" i="110"/>
  <c r="R10" i="110"/>
  <c r="Q10" i="110"/>
  <c r="P10" i="110"/>
  <c r="R9" i="110"/>
  <c r="Q9" i="110"/>
  <c r="P9" i="110"/>
  <c r="R8" i="110"/>
  <c r="Q8" i="110"/>
  <c r="P8" i="110"/>
  <c r="R7" i="110"/>
  <c r="Q7" i="110"/>
  <c r="P7" i="110"/>
  <c r="R6" i="110"/>
  <c r="Q6" i="110"/>
  <c r="P6" i="110"/>
  <c r="R5" i="110"/>
  <c r="Q5" i="110"/>
  <c r="P5" i="110"/>
  <c r="R4" i="110"/>
  <c r="Q4" i="110"/>
  <c r="P4" i="110"/>
  <c r="BA1" i="110"/>
  <c r="AZ1" i="110"/>
  <c r="AY1" i="110"/>
  <c r="AX1" i="110"/>
  <c r="AW1" i="110"/>
  <c r="AV1" i="110"/>
  <c r="AU1" i="110"/>
  <c r="AT1" i="110"/>
  <c r="AS1" i="110"/>
  <c r="AR1" i="110"/>
  <c r="AQ1" i="110"/>
  <c r="AP1" i="110"/>
  <c r="AO1" i="110"/>
  <c r="AN1" i="110"/>
  <c r="AM1" i="110"/>
  <c r="AL1" i="110"/>
  <c r="AK1" i="110"/>
  <c r="AJ1" i="110"/>
  <c r="AI1" i="110"/>
  <c r="AH1" i="110"/>
  <c r="AG1" i="110"/>
  <c r="AF1" i="110"/>
  <c r="AE1" i="110"/>
  <c r="AD1" i="110"/>
  <c r="AC1" i="110"/>
  <c r="AB1" i="110"/>
  <c r="AA1" i="110"/>
  <c r="Z1" i="110"/>
  <c r="Y1" i="110"/>
  <c r="X1" i="110"/>
  <c r="W1" i="110"/>
  <c r="V1" i="110"/>
  <c r="U1" i="110"/>
  <c r="T1" i="110"/>
  <c r="S1" i="110"/>
  <c r="R1" i="110"/>
  <c r="Q1" i="110"/>
  <c r="P1" i="110"/>
  <c r="D131" i="110" l="1"/>
  <c r="D139" i="110"/>
  <c r="D140" i="110"/>
  <c r="D132" i="110"/>
  <c r="F35" i="86"/>
  <c r="A77" i="89"/>
  <c r="A76" i="89"/>
  <c r="A75" i="89"/>
  <c r="A74" i="89"/>
  <c r="A73" i="89"/>
  <c r="A72" i="89"/>
  <c r="A71" i="89"/>
  <c r="A70" i="89"/>
  <c r="A69" i="89"/>
  <c r="A68" i="89"/>
  <c r="A48" i="80"/>
  <c r="A49" i="80"/>
  <c r="A50" i="80"/>
  <c r="A51" i="80"/>
  <c r="A52" i="80"/>
  <c r="A53" i="80"/>
  <c r="A54" i="80"/>
  <c r="A55" i="80"/>
  <c r="A56" i="80"/>
  <c r="A47" i="80"/>
  <c r="A31" i="105" l="1"/>
  <c r="A32" i="105"/>
  <c r="A28" i="106"/>
  <c r="A29" i="106"/>
  <c r="A30" i="106"/>
  <c r="A31" i="106"/>
  <c r="A32" i="106"/>
  <c r="A27" i="106"/>
  <c r="A237" i="82"/>
  <c r="A238" i="82"/>
  <c r="A239" i="82"/>
  <c r="A240" i="82"/>
  <c r="A104" i="81"/>
  <c r="A105" i="81"/>
  <c r="A106" i="81"/>
  <c r="A107" i="81"/>
  <c r="A108" i="81"/>
  <c r="A103" i="81"/>
  <c r="A240" i="73"/>
  <c r="A241" i="73"/>
  <c r="A242" i="73"/>
  <c r="A239" i="73"/>
  <c r="A262" i="73"/>
  <c r="A263" i="73"/>
  <c r="A264" i="73"/>
  <c r="A265" i="73"/>
  <c r="A266" i="73"/>
  <c r="A261" i="73"/>
  <c r="A96" i="73"/>
  <c r="A97" i="73"/>
  <c r="A98" i="73"/>
  <c r="A99" i="73"/>
  <c r="A100" i="73"/>
  <c r="A101" i="73"/>
  <c r="A102" i="73"/>
  <c r="A103" i="73"/>
  <c r="A104" i="73"/>
  <c r="A95" i="73"/>
  <c r="A136" i="73"/>
  <c r="A137" i="73"/>
  <c r="A138" i="73"/>
  <c r="A139" i="73"/>
  <c r="A140" i="73"/>
  <c r="A141" i="73"/>
  <c r="A142" i="73"/>
  <c r="A143" i="73"/>
  <c r="A144" i="73"/>
  <c r="A135" i="73"/>
  <c r="A244" i="73"/>
  <c r="A245" i="73"/>
  <c r="A246" i="73"/>
  <c r="A247" i="73"/>
  <c r="A248" i="73"/>
  <c r="A243" i="73"/>
  <c r="A119" i="79"/>
  <c r="A120" i="79"/>
  <c r="A121" i="79"/>
  <c r="A122" i="79"/>
  <c r="A123" i="79"/>
  <c r="A124" i="79"/>
  <c r="A125" i="79"/>
  <c r="A126" i="79"/>
  <c r="A127" i="79"/>
  <c r="A118" i="79"/>
  <c r="A109" i="79"/>
  <c r="A110" i="79"/>
  <c r="A111" i="79"/>
  <c r="A112" i="79"/>
  <c r="A113" i="79"/>
  <c r="A114" i="79"/>
  <c r="A115" i="79"/>
  <c r="A116" i="79"/>
  <c r="A117" i="79"/>
  <c r="A108" i="79"/>
  <c r="A215" i="79"/>
  <c r="A216" i="79"/>
  <c r="A217" i="79"/>
  <c r="A218" i="79"/>
  <c r="A219" i="79"/>
  <c r="A214" i="79"/>
  <c r="A18" i="67"/>
  <c r="A17" i="67"/>
  <c r="A16" i="67"/>
  <c r="A15" i="67"/>
  <c r="A14" i="67"/>
  <c r="A13" i="67"/>
  <c r="A12" i="67"/>
  <c r="A11" i="67"/>
  <c r="A10" i="67"/>
  <c r="A9" i="67"/>
  <c r="A8" i="67"/>
  <c r="A7" i="67"/>
  <c r="A6" i="67"/>
  <c r="A5" i="67"/>
  <c r="A4" i="67"/>
  <c r="A3" i="67"/>
  <c r="A11" i="108"/>
  <c r="A10" i="108"/>
  <c r="A9" i="108"/>
  <c r="A8" i="108"/>
  <c r="A7" i="108"/>
  <c r="A6" i="108"/>
  <c r="A5" i="108"/>
  <c r="A4" i="108"/>
  <c r="A3" i="108"/>
  <c r="A47" i="74"/>
  <c r="A46" i="74"/>
  <c r="A45" i="74"/>
  <c r="A44" i="74"/>
  <c r="A43" i="74"/>
  <c r="A42" i="74"/>
  <c r="A41" i="74"/>
  <c r="A40" i="74"/>
  <c r="A39" i="74"/>
  <c r="A38" i="74"/>
  <c r="A37" i="74"/>
  <c r="A36" i="74"/>
  <c r="A35" i="74"/>
  <c r="A34" i="74"/>
  <c r="A33" i="74"/>
  <c r="A32" i="74"/>
  <c r="A31" i="74"/>
  <c r="A30" i="74"/>
  <c r="A29" i="74"/>
  <c r="A28" i="74"/>
  <c r="A27" i="74"/>
  <c r="A26" i="74"/>
  <c r="A25" i="74"/>
  <c r="A24" i="74"/>
  <c r="A23" i="74"/>
  <c r="A22" i="74"/>
  <c r="A21" i="74"/>
  <c r="A20" i="74"/>
  <c r="A19" i="74"/>
  <c r="A18" i="74"/>
  <c r="A17" i="74"/>
  <c r="A16" i="74"/>
  <c r="A14" i="74"/>
  <c r="A13" i="74"/>
  <c r="A12" i="74"/>
  <c r="A11" i="74"/>
  <c r="A10" i="74"/>
  <c r="A9" i="74"/>
  <c r="A8" i="74"/>
  <c r="A7" i="74"/>
  <c r="A6" i="74"/>
  <c r="A5" i="74"/>
  <c r="A4" i="74"/>
  <c r="A3" i="74"/>
  <c r="F41" i="74"/>
  <c r="F35" i="74"/>
  <c r="F32" i="74"/>
  <c r="A29" i="83"/>
  <c r="A28" i="83"/>
  <c r="A27" i="83"/>
  <c r="A26" i="83"/>
  <c r="A25" i="83"/>
  <c r="A24" i="83"/>
  <c r="A23" i="83"/>
  <c r="A22" i="83"/>
  <c r="A21" i="83"/>
  <c r="A20" i="83"/>
  <c r="A19" i="83"/>
  <c r="A18" i="83"/>
  <c r="A17" i="83"/>
  <c r="A16" i="83"/>
  <c r="A15" i="83"/>
  <c r="A14" i="83"/>
  <c r="A13" i="83"/>
  <c r="A12" i="83"/>
  <c r="A11" i="83"/>
  <c r="A10" i="83"/>
  <c r="A9" i="83"/>
  <c r="A8" i="83"/>
  <c r="A7" i="83"/>
  <c r="A6" i="83"/>
  <c r="A5" i="83"/>
  <c r="A4" i="83"/>
  <c r="A3" i="83"/>
  <c r="F22" i="83"/>
  <c r="F30" i="74" l="1"/>
  <c r="A20" i="9" l="1"/>
  <c r="A352" i="3"/>
  <c r="A353" i="3"/>
  <c r="A354" i="3"/>
  <c r="A355" i="3"/>
  <c r="A356" i="3"/>
  <c r="A351" i="3"/>
  <c r="A258" i="3"/>
  <c r="A259" i="3"/>
  <c r="A260" i="3"/>
  <c r="A257" i="3"/>
  <c r="A22" i="99" l="1"/>
  <c r="D21" i="99"/>
  <c r="A21" i="99"/>
  <c r="D20" i="99"/>
  <c r="A20" i="99"/>
  <c r="A3" i="100" l="1"/>
  <c r="A3" i="43" l="1"/>
  <c r="D23" i="76" l="1"/>
  <c r="D38" i="99" l="1"/>
  <c r="A38" i="99"/>
  <c r="D37" i="99"/>
  <c r="A37" i="99"/>
  <c r="A36" i="99"/>
  <c r="A35" i="99"/>
  <c r="A34" i="99"/>
  <c r="A33" i="99"/>
  <c r="A32" i="99"/>
  <c r="A31" i="99"/>
  <c r="A30" i="99"/>
  <c r="A29" i="99"/>
  <c r="A28" i="99"/>
  <c r="A27" i="99"/>
  <c r="A26" i="99"/>
  <c r="A25" i="99"/>
  <c r="D27" i="66" l="1"/>
  <c r="A27" i="66"/>
  <c r="A65" i="104"/>
  <c r="A64" i="104"/>
  <c r="A63" i="104"/>
  <c r="A62" i="104"/>
  <c r="A61" i="104"/>
  <c r="A60" i="104"/>
  <c r="A59" i="104"/>
  <c r="A58" i="104"/>
  <c r="A57" i="104"/>
  <c r="A56" i="104"/>
  <c r="A55" i="104"/>
  <c r="A54" i="104"/>
  <c r="A53" i="104"/>
  <c r="A52" i="104"/>
  <c r="A51" i="104"/>
  <c r="A50" i="104"/>
  <c r="A49" i="104"/>
  <c r="A48" i="104"/>
  <c r="A47" i="104"/>
  <c r="A46" i="104"/>
  <c r="A45" i="104"/>
  <c r="A44" i="104"/>
  <c r="A43" i="104"/>
  <c r="A42" i="104"/>
  <c r="A41" i="104"/>
  <c r="A40" i="104"/>
  <c r="A39" i="104"/>
  <c r="A38" i="104"/>
  <c r="A37" i="104"/>
  <c r="A36" i="104"/>
  <c r="A35" i="104"/>
  <c r="A34" i="104"/>
  <c r="A33" i="104"/>
  <c r="A32" i="104"/>
  <c r="A31" i="104"/>
  <c r="A30" i="104"/>
  <c r="A29" i="104"/>
  <c r="A28" i="104"/>
  <c r="A27" i="104"/>
  <c r="A26" i="104"/>
  <c r="A42" i="106"/>
  <c r="A41" i="106"/>
  <c r="A40" i="106"/>
  <c r="A39" i="106"/>
  <c r="A38" i="106"/>
  <c r="A37" i="106"/>
  <c r="A36" i="106"/>
  <c r="A35" i="106"/>
  <c r="A34" i="106"/>
  <c r="A33" i="106"/>
  <c r="A28" i="105"/>
  <c r="A29" i="105"/>
  <c r="A30" i="105"/>
  <c r="A27" i="105"/>
  <c r="A94" i="105"/>
  <c r="A95" i="105"/>
  <c r="A96" i="105"/>
  <c r="A97" i="105"/>
  <c r="A98" i="105"/>
  <c r="A93" i="105"/>
  <c r="A66" i="105"/>
  <c r="A65" i="105"/>
  <c r="A64" i="105"/>
  <c r="A63" i="105"/>
  <c r="A72" i="105"/>
  <c r="A71" i="105"/>
  <c r="A70" i="105"/>
  <c r="A69" i="105"/>
  <c r="A68" i="105"/>
  <c r="A67" i="105"/>
  <c r="A46" i="105"/>
  <c r="A45" i="105"/>
  <c r="A44" i="105"/>
  <c r="A43" i="105"/>
  <c r="A52" i="105"/>
  <c r="A51" i="105"/>
  <c r="A50" i="105"/>
  <c r="A49" i="105"/>
  <c r="A48" i="105"/>
  <c r="A47" i="105"/>
  <c r="A34" i="105"/>
  <c r="A35" i="105"/>
  <c r="A36" i="105"/>
  <c r="A37" i="105"/>
  <c r="A38" i="105"/>
  <c r="A39" i="105"/>
  <c r="A40" i="105"/>
  <c r="A41" i="105"/>
  <c r="A42" i="105"/>
  <c r="A33" i="105"/>
  <c r="A84" i="105"/>
  <c r="A85" i="105"/>
  <c r="A86" i="105"/>
  <c r="A87" i="105"/>
  <c r="A88" i="105"/>
  <c r="A89" i="105"/>
  <c r="A90" i="105"/>
  <c r="A91" i="105"/>
  <c r="A92" i="105"/>
  <c r="A83" i="105"/>
  <c r="A74" i="105"/>
  <c r="A75" i="105"/>
  <c r="A76" i="105"/>
  <c r="A77" i="105"/>
  <c r="A78" i="105"/>
  <c r="A79" i="105"/>
  <c r="A80" i="105"/>
  <c r="A81" i="105"/>
  <c r="A82" i="105"/>
  <c r="A73" i="105"/>
  <c r="A54" i="105"/>
  <c r="A55" i="105"/>
  <c r="A56" i="105"/>
  <c r="A57" i="105"/>
  <c r="A58" i="105"/>
  <c r="A59" i="105"/>
  <c r="A60" i="105"/>
  <c r="A61" i="105"/>
  <c r="A62" i="105"/>
  <c r="A53" i="105"/>
  <c r="A10" i="109"/>
  <c r="A9" i="109"/>
  <c r="A8" i="109"/>
  <c r="A7" i="109"/>
  <c r="A6" i="109"/>
  <c r="A5" i="109"/>
  <c r="A4" i="109"/>
  <c r="A3" i="109"/>
  <c r="A14" i="107"/>
  <c r="A13" i="107"/>
  <c r="A12" i="107"/>
  <c r="A11" i="107"/>
  <c r="A10" i="107"/>
  <c r="A9" i="107"/>
  <c r="A8" i="107"/>
  <c r="A7" i="107"/>
  <c r="A6" i="107"/>
  <c r="A5" i="107"/>
  <c r="A4" i="107"/>
  <c r="A3" i="107"/>
  <c r="D25" i="104"/>
  <c r="A25" i="104"/>
  <c r="D24" i="104"/>
  <c r="A24" i="104"/>
  <c r="A22" i="104"/>
  <c r="D21" i="104"/>
  <c r="A21" i="104"/>
  <c r="D20" i="104"/>
  <c r="A20" i="104"/>
  <c r="R19" i="104"/>
  <c r="Q19" i="104"/>
  <c r="P19" i="104"/>
  <c r="R18" i="104"/>
  <c r="Q18" i="104"/>
  <c r="P18" i="104"/>
  <c r="R17" i="104"/>
  <c r="D47" i="104" s="1"/>
  <c r="Q17" i="104"/>
  <c r="D46" i="104" s="1"/>
  <c r="P17" i="104"/>
  <c r="R16" i="104"/>
  <c r="D57" i="104" s="1"/>
  <c r="Q16" i="104"/>
  <c r="D56" i="104" s="1"/>
  <c r="P16" i="104"/>
  <c r="R15" i="104"/>
  <c r="Q15" i="104"/>
  <c r="P15" i="104"/>
  <c r="R14" i="104"/>
  <c r="Q14" i="104"/>
  <c r="P14" i="104"/>
  <c r="R13" i="104"/>
  <c r="Q13" i="104"/>
  <c r="P13" i="104"/>
  <c r="R12" i="104"/>
  <c r="Q12" i="104"/>
  <c r="P12" i="104"/>
  <c r="R11" i="104"/>
  <c r="D38" i="104" s="1"/>
  <c r="Q11" i="104"/>
  <c r="D39" i="104" s="1"/>
  <c r="P11" i="104"/>
  <c r="R10" i="104"/>
  <c r="Q10" i="104"/>
  <c r="P10" i="104"/>
  <c r="R9" i="104"/>
  <c r="Q9" i="104"/>
  <c r="P9" i="104"/>
  <c r="R8" i="104"/>
  <c r="Q8" i="104"/>
  <c r="P8" i="104"/>
  <c r="R7" i="104"/>
  <c r="D27" i="104" s="1"/>
  <c r="Q7" i="104"/>
  <c r="D26" i="104" s="1"/>
  <c r="P7" i="104"/>
  <c r="R6" i="104"/>
  <c r="Q6" i="104"/>
  <c r="P6" i="104"/>
  <c r="R5" i="104"/>
  <c r="Q5" i="104"/>
  <c r="P5" i="104"/>
  <c r="R4" i="104"/>
  <c r="Q4" i="104"/>
  <c r="P4" i="104"/>
  <c r="BA1" i="104"/>
  <c r="AZ1" i="104"/>
  <c r="AY1" i="104"/>
  <c r="AX1" i="104"/>
  <c r="AW1" i="104"/>
  <c r="AV1" i="104"/>
  <c r="AU1" i="104"/>
  <c r="AT1" i="104"/>
  <c r="AS1" i="104"/>
  <c r="AR1" i="104"/>
  <c r="AQ1" i="104"/>
  <c r="AP1" i="104"/>
  <c r="AO1" i="104"/>
  <c r="AN1" i="104"/>
  <c r="AM1" i="104"/>
  <c r="AL1" i="104"/>
  <c r="AK1" i="104"/>
  <c r="AJ1" i="104"/>
  <c r="AI1" i="104"/>
  <c r="AH1" i="104"/>
  <c r="AG1" i="104"/>
  <c r="AF1" i="104"/>
  <c r="AE1" i="104"/>
  <c r="AD1" i="104"/>
  <c r="AC1" i="104"/>
  <c r="AB1" i="104"/>
  <c r="AA1" i="104"/>
  <c r="Z1" i="104"/>
  <c r="Y1" i="104"/>
  <c r="X1" i="104"/>
  <c r="W1" i="104"/>
  <c r="V1" i="104"/>
  <c r="U1" i="104"/>
  <c r="T1" i="104"/>
  <c r="S1" i="104"/>
  <c r="R1" i="104"/>
  <c r="Q1" i="104"/>
  <c r="P1" i="104"/>
  <c r="A72" i="106"/>
  <c r="A71" i="106"/>
  <c r="A70" i="106"/>
  <c r="A69" i="106"/>
  <c r="A68" i="106"/>
  <c r="A67" i="106"/>
  <c r="A66" i="106"/>
  <c r="A65" i="106"/>
  <c r="A64" i="106"/>
  <c r="A63" i="106"/>
  <c r="A62" i="106"/>
  <c r="A61" i="106"/>
  <c r="A60" i="106"/>
  <c r="A59" i="106"/>
  <c r="A58" i="106"/>
  <c r="A57" i="106"/>
  <c r="A56" i="106"/>
  <c r="A55" i="106"/>
  <c r="A54" i="106"/>
  <c r="A53" i="106"/>
  <c r="A46" i="106"/>
  <c r="A45" i="106"/>
  <c r="A44" i="106"/>
  <c r="A43" i="106"/>
  <c r="A52" i="106"/>
  <c r="A51" i="106"/>
  <c r="A50" i="106"/>
  <c r="A49" i="106"/>
  <c r="A48" i="106"/>
  <c r="A47" i="106"/>
  <c r="E36" i="106"/>
  <c r="E35" i="106"/>
  <c r="E34" i="106"/>
  <c r="E33" i="106"/>
  <c r="E30" i="106"/>
  <c r="E29" i="106"/>
  <c r="E28" i="106"/>
  <c r="E27" i="106"/>
  <c r="D25" i="106"/>
  <c r="A25" i="106"/>
  <c r="D24" i="106"/>
  <c r="A24" i="106"/>
  <c r="A22" i="106"/>
  <c r="D21" i="106"/>
  <c r="A21" i="106"/>
  <c r="D20" i="106"/>
  <c r="A20" i="106"/>
  <c r="R19" i="106"/>
  <c r="D65" i="106" s="1"/>
  <c r="Q19" i="106"/>
  <c r="D63" i="106" s="1"/>
  <c r="P19" i="106"/>
  <c r="R18" i="106"/>
  <c r="Q18" i="106"/>
  <c r="P18" i="106"/>
  <c r="R17" i="106"/>
  <c r="Q17" i="106"/>
  <c r="P17" i="106"/>
  <c r="R16" i="106"/>
  <c r="Q16" i="106"/>
  <c r="P16" i="106"/>
  <c r="R15" i="106"/>
  <c r="Q15" i="106"/>
  <c r="P15" i="106"/>
  <c r="R14" i="106"/>
  <c r="Q14" i="106"/>
  <c r="P14" i="106"/>
  <c r="R13" i="106"/>
  <c r="Q13" i="106"/>
  <c r="P13" i="106"/>
  <c r="R12" i="106"/>
  <c r="Q12" i="106"/>
  <c r="P12" i="106"/>
  <c r="R11" i="106"/>
  <c r="D45" i="106" s="1"/>
  <c r="Q11" i="106"/>
  <c r="D46" i="106" s="1"/>
  <c r="P11" i="106"/>
  <c r="R10" i="106"/>
  <c r="Q10" i="106"/>
  <c r="P10" i="106"/>
  <c r="R9" i="106"/>
  <c r="Q9" i="106"/>
  <c r="H27" i="106" s="1"/>
  <c r="P9" i="106"/>
  <c r="R8" i="106"/>
  <c r="D55" i="106" s="1"/>
  <c r="Q8" i="106"/>
  <c r="D53" i="106" s="1"/>
  <c r="P8" i="106"/>
  <c r="R7" i="106"/>
  <c r="D34" i="106" s="1"/>
  <c r="Q7" i="106"/>
  <c r="D33" i="106" s="1"/>
  <c r="P7" i="106"/>
  <c r="R6" i="106"/>
  <c r="Q6" i="106"/>
  <c r="P6" i="106"/>
  <c r="R5" i="106"/>
  <c r="Q5" i="106"/>
  <c r="P5" i="106"/>
  <c r="R4" i="106"/>
  <c r="Q4" i="106"/>
  <c r="P4" i="106"/>
  <c r="BA1" i="106"/>
  <c r="AZ1" i="106"/>
  <c r="AY1" i="106"/>
  <c r="AX1" i="106"/>
  <c r="AW1" i="106"/>
  <c r="AV1" i="106"/>
  <c r="AU1" i="106"/>
  <c r="AT1" i="106"/>
  <c r="AS1" i="106"/>
  <c r="AR1" i="106"/>
  <c r="AQ1" i="106"/>
  <c r="AP1" i="106"/>
  <c r="AO1" i="106"/>
  <c r="AN1" i="106"/>
  <c r="AM1" i="106"/>
  <c r="AL1" i="106"/>
  <c r="AK1" i="106"/>
  <c r="AJ1" i="106"/>
  <c r="AI1" i="106"/>
  <c r="AH1" i="106"/>
  <c r="AG1" i="106"/>
  <c r="AF1" i="106"/>
  <c r="AE1" i="106"/>
  <c r="AD1" i="106"/>
  <c r="AC1" i="106"/>
  <c r="AB1" i="106"/>
  <c r="AA1" i="106"/>
  <c r="Z1" i="106"/>
  <c r="Y1" i="106"/>
  <c r="X1" i="106"/>
  <c r="W1" i="106"/>
  <c r="V1" i="106"/>
  <c r="U1" i="106"/>
  <c r="T1" i="106"/>
  <c r="S1" i="106"/>
  <c r="R1" i="106"/>
  <c r="Q1" i="106"/>
  <c r="P1" i="106"/>
  <c r="E42" i="105"/>
  <c r="E41" i="105"/>
  <c r="E40" i="105"/>
  <c r="E39" i="105"/>
  <c r="E38" i="105"/>
  <c r="E37" i="105"/>
  <c r="E36" i="105"/>
  <c r="E35" i="105"/>
  <c r="E34" i="105"/>
  <c r="E33" i="105"/>
  <c r="D25" i="105"/>
  <c r="A25" i="105"/>
  <c r="D24" i="105"/>
  <c r="A24" i="105"/>
  <c r="A22" i="105"/>
  <c r="D21" i="105"/>
  <c r="A21" i="105"/>
  <c r="D20" i="105"/>
  <c r="A20" i="105"/>
  <c r="R19" i="105"/>
  <c r="D75" i="105" s="1"/>
  <c r="Q19" i="105"/>
  <c r="D73" i="105" s="1"/>
  <c r="P19" i="105"/>
  <c r="R18" i="105"/>
  <c r="D65" i="105" s="1"/>
  <c r="Q18" i="105"/>
  <c r="D66" i="105" s="1"/>
  <c r="P18" i="105"/>
  <c r="R17" i="105"/>
  <c r="Q17" i="105"/>
  <c r="P17" i="105"/>
  <c r="R16" i="105"/>
  <c r="Q16" i="105"/>
  <c r="P16" i="105"/>
  <c r="R15" i="105"/>
  <c r="D35" i="105" s="1"/>
  <c r="Q15" i="105"/>
  <c r="D33" i="105" s="1"/>
  <c r="P15" i="105"/>
  <c r="R14" i="105"/>
  <c r="Q14" i="105"/>
  <c r="P14" i="105"/>
  <c r="R13" i="105"/>
  <c r="D45" i="105" s="1"/>
  <c r="Q13" i="105"/>
  <c r="D46" i="105" s="1"/>
  <c r="P13" i="105"/>
  <c r="R12" i="105"/>
  <c r="Q12" i="105"/>
  <c r="P12" i="105"/>
  <c r="R11" i="105"/>
  <c r="Q11" i="105"/>
  <c r="P11" i="105"/>
  <c r="R10" i="105"/>
  <c r="Q10" i="105"/>
  <c r="P10" i="105"/>
  <c r="R9" i="105"/>
  <c r="H35" i="105" s="1"/>
  <c r="Q9" i="105"/>
  <c r="H33" i="105" s="1"/>
  <c r="P9" i="105"/>
  <c r="R8" i="105"/>
  <c r="Q8" i="105"/>
  <c r="P8" i="105"/>
  <c r="R7" i="105"/>
  <c r="Q7" i="105"/>
  <c r="D53" i="105" s="1"/>
  <c r="P7" i="105"/>
  <c r="R6" i="105"/>
  <c r="Q6" i="105"/>
  <c r="P6" i="105"/>
  <c r="R5" i="105"/>
  <c r="Q5" i="105"/>
  <c r="P5" i="105"/>
  <c r="R4" i="105"/>
  <c r="Q4" i="105"/>
  <c r="P4" i="105"/>
  <c r="BA1" i="105"/>
  <c r="AZ1" i="105"/>
  <c r="AY1" i="105"/>
  <c r="AX1" i="105"/>
  <c r="AW1" i="105"/>
  <c r="AV1" i="105"/>
  <c r="AU1" i="105"/>
  <c r="AT1" i="105"/>
  <c r="AS1" i="105"/>
  <c r="AR1" i="105"/>
  <c r="AQ1" i="105"/>
  <c r="AP1" i="105"/>
  <c r="AO1" i="105"/>
  <c r="AN1" i="105"/>
  <c r="AM1" i="105"/>
  <c r="AL1" i="105"/>
  <c r="AK1" i="105"/>
  <c r="AJ1" i="105"/>
  <c r="AI1" i="105"/>
  <c r="AH1" i="105"/>
  <c r="AG1" i="105"/>
  <c r="AF1" i="105"/>
  <c r="AE1" i="105"/>
  <c r="AD1" i="105"/>
  <c r="AC1" i="105"/>
  <c r="AB1" i="105"/>
  <c r="AA1" i="105"/>
  <c r="Z1" i="105"/>
  <c r="Y1" i="105"/>
  <c r="X1" i="105"/>
  <c r="W1" i="105"/>
  <c r="V1" i="105"/>
  <c r="U1" i="105"/>
  <c r="T1" i="105"/>
  <c r="S1" i="105"/>
  <c r="R1" i="105"/>
  <c r="Q1" i="105"/>
  <c r="P1" i="105"/>
  <c r="A193" i="82"/>
  <c r="A194" i="82"/>
  <c r="A195" i="82"/>
  <c r="A196" i="82"/>
  <c r="A203" i="82"/>
  <c r="A204" i="82"/>
  <c r="A205" i="82"/>
  <c r="A206" i="82"/>
  <c r="A31" i="82"/>
  <c r="A32" i="82"/>
  <c r="A33" i="82"/>
  <c r="A34" i="82"/>
  <c r="A41" i="82"/>
  <c r="A42" i="82"/>
  <c r="A43" i="82"/>
  <c r="A44" i="82"/>
  <c r="A51" i="82"/>
  <c r="A52" i="82"/>
  <c r="A53" i="82"/>
  <c r="A54" i="82"/>
  <c r="A61" i="82"/>
  <c r="A62" i="82"/>
  <c r="A63" i="82"/>
  <c r="A64" i="82"/>
  <c r="A71" i="82"/>
  <c r="A72" i="82"/>
  <c r="A73" i="82"/>
  <c r="A74" i="82"/>
  <c r="A79" i="81"/>
  <c r="A80" i="81"/>
  <c r="A81" i="81"/>
  <c r="A82" i="81"/>
  <c r="A47" i="81"/>
  <c r="A48" i="81"/>
  <c r="A49" i="81"/>
  <c r="A50" i="81"/>
  <c r="D83" i="105" l="1"/>
  <c r="D85" i="105"/>
  <c r="D54" i="105"/>
  <c r="A269" i="80"/>
  <c r="A268" i="80"/>
  <c r="A267" i="80"/>
  <c r="A266" i="80"/>
  <c r="A265" i="80"/>
  <c r="A264" i="80"/>
  <c r="A263" i="80"/>
  <c r="A262" i="80"/>
  <c r="A261" i="80"/>
  <c r="A260" i="80"/>
  <c r="A66" i="80"/>
  <c r="A65" i="80"/>
  <c r="A64" i="80"/>
  <c r="A63" i="80"/>
  <c r="A62" i="80"/>
  <c r="A61" i="80"/>
  <c r="A60" i="80"/>
  <c r="A59" i="80"/>
  <c r="A58" i="80"/>
  <c r="A57" i="80"/>
  <c r="A79" i="89"/>
  <c r="A80" i="89"/>
  <c r="A81" i="89"/>
  <c r="A82" i="89"/>
  <c r="A83" i="89"/>
  <c r="A84" i="89"/>
  <c r="A85" i="89"/>
  <c r="A86" i="89"/>
  <c r="A87" i="89"/>
  <c r="A322" i="89"/>
  <c r="A323" i="89"/>
  <c r="A324" i="89"/>
  <c r="A325" i="89"/>
  <c r="A326" i="89"/>
  <c r="A327" i="89"/>
  <c r="A328" i="89"/>
  <c r="A329" i="89"/>
  <c r="A330" i="89"/>
  <c r="A321" i="89"/>
  <c r="A78" i="89"/>
  <c r="A260" i="89"/>
  <c r="A259" i="89"/>
  <c r="A258" i="89"/>
  <c r="A257" i="89"/>
  <c r="A256" i="89"/>
  <c r="A255" i="89"/>
  <c r="A254" i="89"/>
  <c r="A253" i="89"/>
  <c r="A252" i="89"/>
  <c r="A251" i="89"/>
  <c r="A250" i="89"/>
  <c r="A249" i="89"/>
  <c r="A248" i="89"/>
  <c r="A247" i="89"/>
  <c r="A246" i="89"/>
  <c r="A245" i="89"/>
  <c r="A244" i="89"/>
  <c r="A243" i="89"/>
  <c r="A242" i="89"/>
  <c r="A241" i="89"/>
  <c r="A240" i="89"/>
  <c r="A239" i="89"/>
  <c r="A238" i="89"/>
  <c r="A237" i="89"/>
  <c r="A236" i="89"/>
  <c r="A235" i="89"/>
  <c r="A234" i="89"/>
  <c r="A233" i="89"/>
  <c r="A232" i="89"/>
  <c r="A231" i="89"/>
  <c r="A230" i="89"/>
  <c r="A229" i="89"/>
  <c r="A228" i="89"/>
  <c r="A227" i="89"/>
  <c r="A226" i="89"/>
  <c r="A225" i="89"/>
  <c r="A224" i="89"/>
  <c r="A223" i="89"/>
  <c r="A222" i="89"/>
  <c r="A221" i="89"/>
  <c r="A290" i="80"/>
  <c r="A291" i="80"/>
  <c r="A292" i="80"/>
  <c r="A293" i="80"/>
  <c r="A300" i="80"/>
  <c r="A301" i="80"/>
  <c r="A302" i="80"/>
  <c r="A303" i="80"/>
  <c r="A270" i="80"/>
  <c r="A271" i="80"/>
  <c r="A272" i="80"/>
  <c r="A273" i="80"/>
  <c r="A280" i="80"/>
  <c r="A281" i="80"/>
  <c r="A282" i="80"/>
  <c r="A283" i="80"/>
  <c r="A320" i="89"/>
  <c r="A319" i="89"/>
  <c r="A318" i="89"/>
  <c r="A317" i="89"/>
  <c r="A316" i="89"/>
  <c r="A315" i="89"/>
  <c r="A314" i="89"/>
  <c r="A313" i="89"/>
  <c r="A312" i="89"/>
  <c r="A311" i="89"/>
  <c r="A67" i="89"/>
  <c r="A66" i="89"/>
  <c r="A65" i="89"/>
  <c r="A64" i="89"/>
  <c r="A63" i="89"/>
  <c r="A62" i="89"/>
  <c r="A61" i="89"/>
  <c r="A60" i="89"/>
  <c r="A59" i="89"/>
  <c r="A58" i="89"/>
  <c r="A310" i="89"/>
  <c r="A309" i="89"/>
  <c r="A308" i="89"/>
  <c r="A307" i="89"/>
  <c r="A306" i="89"/>
  <c r="A305" i="89"/>
  <c r="A304" i="89"/>
  <c r="A303" i="89"/>
  <c r="A302" i="89"/>
  <c r="A301" i="89"/>
  <c r="A57" i="89"/>
  <c r="A56" i="89"/>
  <c r="A55" i="89"/>
  <c r="A54" i="89"/>
  <c r="A53" i="89"/>
  <c r="A52" i="89"/>
  <c r="A51" i="89"/>
  <c r="A50" i="89"/>
  <c r="A49" i="89"/>
  <c r="A48" i="89"/>
  <c r="A300" i="89"/>
  <c r="A299" i="89"/>
  <c r="A298" i="89"/>
  <c r="A297" i="89"/>
  <c r="A296" i="89"/>
  <c r="A295" i="89"/>
  <c r="A294" i="89"/>
  <c r="A293" i="89"/>
  <c r="A292" i="89"/>
  <c r="A291" i="89"/>
  <c r="A290" i="89"/>
  <c r="A289" i="89"/>
  <c r="A288" i="89"/>
  <c r="A287" i="89"/>
  <c r="A286" i="89"/>
  <c r="A285" i="89"/>
  <c r="A284" i="89"/>
  <c r="A283" i="89"/>
  <c r="A282" i="89"/>
  <c r="A281" i="89"/>
  <c r="A280" i="89"/>
  <c r="A279" i="89"/>
  <c r="A278" i="89"/>
  <c r="A277" i="89"/>
  <c r="A276" i="89"/>
  <c r="A275" i="89"/>
  <c r="A274" i="89"/>
  <c r="A273" i="89"/>
  <c r="A272" i="89"/>
  <c r="A271" i="89"/>
  <c r="A270" i="89"/>
  <c r="A269" i="89"/>
  <c r="A268" i="89"/>
  <c r="A267" i="89"/>
  <c r="A266" i="89"/>
  <c r="A265" i="89"/>
  <c r="A264" i="89"/>
  <c r="A263" i="89"/>
  <c r="A262" i="89"/>
  <c r="A261" i="89"/>
  <c r="A250" i="80"/>
  <c r="A251" i="80"/>
  <c r="A252" i="80"/>
  <c r="A253" i="80"/>
  <c r="A67" i="80"/>
  <c r="A68" i="80"/>
  <c r="A69" i="80"/>
  <c r="A70" i="80"/>
  <c r="A240" i="80"/>
  <c r="A241" i="80"/>
  <c r="A242" i="80"/>
  <c r="A243" i="80"/>
  <c r="A77" i="80"/>
  <c r="A78" i="80"/>
  <c r="A79" i="80"/>
  <c r="A80" i="80"/>
  <c r="A220" i="80"/>
  <c r="A221" i="80"/>
  <c r="A222" i="80"/>
  <c r="A223" i="80"/>
  <c r="A230" i="80"/>
  <c r="A231" i="80"/>
  <c r="A232" i="80"/>
  <c r="A233" i="80"/>
  <c r="A210" i="80"/>
  <c r="A211" i="80"/>
  <c r="A212" i="80"/>
  <c r="A213" i="80"/>
  <c r="A200" i="80"/>
  <c r="A201" i="80"/>
  <c r="A202" i="80"/>
  <c r="A203" i="80"/>
  <c r="A220" i="89"/>
  <c r="A219" i="89"/>
  <c r="A218" i="89"/>
  <c r="A217" i="89"/>
  <c r="A216" i="89"/>
  <c r="A215" i="89"/>
  <c r="A214" i="89"/>
  <c r="A213" i="89"/>
  <c r="A212" i="89"/>
  <c r="A211" i="89"/>
  <c r="A37" i="89"/>
  <c r="A36" i="89"/>
  <c r="A35" i="89"/>
  <c r="A34" i="89"/>
  <c r="A33" i="89"/>
  <c r="A32" i="89"/>
  <c r="A31" i="89"/>
  <c r="A30" i="89"/>
  <c r="A29" i="89"/>
  <c r="A28" i="89"/>
  <c r="A47" i="89"/>
  <c r="A46" i="89"/>
  <c r="A45" i="89"/>
  <c r="A44" i="89"/>
  <c r="A43" i="89"/>
  <c r="A42" i="89"/>
  <c r="A41" i="89"/>
  <c r="A40" i="89"/>
  <c r="A39" i="89"/>
  <c r="A38" i="89"/>
  <c r="A37" i="79"/>
  <c r="A36" i="79"/>
  <c r="A35" i="79"/>
  <c r="A34" i="79"/>
  <c r="A33" i="79"/>
  <c r="A32" i="79"/>
  <c r="A31" i="79"/>
  <c r="A30" i="79"/>
  <c r="A29" i="79"/>
  <c r="A28" i="79"/>
  <c r="A137" i="79"/>
  <c r="A136" i="79"/>
  <c r="A135" i="79"/>
  <c r="A134" i="79"/>
  <c r="A133" i="79"/>
  <c r="A132" i="79"/>
  <c r="A131" i="79"/>
  <c r="A130" i="79"/>
  <c r="A129" i="79"/>
  <c r="A128" i="79"/>
  <c r="A59" i="66"/>
  <c r="A58" i="66"/>
  <c r="A57" i="66"/>
  <c r="A56" i="66"/>
  <c r="A55" i="66"/>
  <c r="A54" i="66"/>
  <c r="A53" i="66"/>
  <c r="A52" i="66"/>
  <c r="A51" i="66"/>
  <c r="A50" i="66"/>
  <c r="A107" i="79"/>
  <c r="A106" i="79"/>
  <c r="A105" i="79"/>
  <c r="A104" i="79"/>
  <c r="A103" i="79"/>
  <c r="A102" i="79"/>
  <c r="A101" i="79"/>
  <c r="A100" i="79"/>
  <c r="A99" i="79"/>
  <c r="A98" i="79"/>
  <c r="A52" i="102"/>
  <c r="A53" i="102"/>
  <c r="A51" i="102"/>
  <c r="A93" i="102"/>
  <c r="A94" i="102"/>
  <c r="A92" i="102"/>
  <c r="A84" i="102"/>
  <c r="A86" i="102"/>
  <c r="A87" i="102"/>
  <c r="A88" i="102"/>
  <c r="A83" i="102"/>
  <c r="A125" i="102"/>
  <c r="A127" i="102"/>
  <c r="A128" i="102"/>
  <c r="A129" i="102"/>
  <c r="A124" i="102"/>
  <c r="A119" i="102"/>
  <c r="A118" i="102"/>
  <c r="A117" i="102"/>
  <c r="A116" i="102"/>
  <c r="A115" i="102"/>
  <c r="A78" i="102"/>
  <c r="A77" i="102"/>
  <c r="A76" i="102"/>
  <c r="A75" i="102"/>
  <c r="A74" i="102"/>
  <c r="A97" i="102" l="1"/>
  <c r="A96" i="102"/>
  <c r="A95" i="102"/>
  <c r="A91" i="102"/>
  <c r="A90" i="102"/>
  <c r="A89" i="102"/>
  <c r="D91" i="102"/>
  <c r="D50" i="102"/>
  <c r="A123" i="102"/>
  <c r="A122" i="102"/>
  <c r="A121" i="102"/>
  <c r="A120" i="102"/>
  <c r="A114" i="102"/>
  <c r="A113" i="102"/>
  <c r="A112" i="102"/>
  <c r="A111" i="102"/>
  <c r="A110" i="102"/>
  <c r="A109" i="102"/>
  <c r="A108" i="102"/>
  <c r="A107" i="102"/>
  <c r="A106" i="102"/>
  <c r="A105" i="102"/>
  <c r="A104" i="102"/>
  <c r="A103" i="102"/>
  <c r="A102" i="102"/>
  <c r="A101" i="102"/>
  <c r="A100" i="102"/>
  <c r="A99" i="102"/>
  <c r="A98" i="102"/>
  <c r="A57" i="102"/>
  <c r="A58" i="102"/>
  <c r="A59" i="102"/>
  <c r="A60" i="102"/>
  <c r="D24" i="102" l="1"/>
  <c r="D28" i="102"/>
  <c r="D34" i="102"/>
  <c r="D41" i="102"/>
  <c r="D47" i="102" l="1"/>
  <c r="A47" i="102"/>
  <c r="D66" i="97" l="1"/>
  <c r="D63" i="97"/>
  <c r="D60" i="97"/>
  <c r="D57" i="97"/>
  <c r="D54" i="97"/>
  <c r="D51" i="97"/>
  <c r="D48" i="97"/>
  <c r="D45" i="97"/>
  <c r="D42" i="97"/>
  <c r="D39" i="97"/>
  <c r="D22" i="102" l="1"/>
  <c r="A22" i="102"/>
  <c r="D23" i="102"/>
  <c r="A46" i="102" l="1"/>
  <c r="A45" i="102"/>
  <c r="A44" i="102"/>
  <c r="A43" i="102"/>
  <c r="A42" i="102"/>
  <c r="A41" i="102"/>
  <c r="A40" i="102"/>
  <c r="A39" i="102"/>
  <c r="A82" i="102"/>
  <c r="A81" i="102"/>
  <c r="A80" i="102"/>
  <c r="A79" i="102"/>
  <c r="A73" i="102"/>
  <c r="A72" i="102"/>
  <c r="A71" i="102"/>
  <c r="A70" i="102"/>
  <c r="A69" i="102"/>
  <c r="A68" i="102"/>
  <c r="A67" i="102"/>
  <c r="A66" i="102"/>
  <c r="A65" i="102"/>
  <c r="A64" i="102"/>
  <c r="A63" i="102"/>
  <c r="A62" i="102"/>
  <c r="A61" i="102"/>
  <c r="A56" i="102"/>
  <c r="A55" i="102"/>
  <c r="A54" i="102"/>
  <c r="A50" i="102"/>
  <c r="A49" i="102"/>
  <c r="A48" i="102"/>
  <c r="A38" i="102"/>
  <c r="A37" i="102"/>
  <c r="A36" i="102"/>
  <c r="A35" i="102"/>
  <c r="A34" i="102"/>
  <c r="A33" i="102"/>
  <c r="A32" i="102"/>
  <c r="A31" i="102"/>
  <c r="A30" i="102"/>
  <c r="A29" i="102"/>
  <c r="A28" i="102"/>
  <c r="A27" i="102"/>
  <c r="A26" i="102"/>
  <c r="A21" i="102" l="1"/>
  <c r="A23" i="102"/>
  <c r="A24" i="102"/>
  <c r="A20" i="102"/>
  <c r="A25" i="102"/>
  <c r="BA1" i="102"/>
  <c r="AZ1" i="102"/>
  <c r="AY1" i="102"/>
  <c r="AX1" i="102"/>
  <c r="AW1" i="102"/>
  <c r="AV1" i="102"/>
  <c r="AU1" i="102"/>
  <c r="AT1" i="102"/>
  <c r="AS1" i="102"/>
  <c r="AR1" i="102"/>
  <c r="AQ1" i="102"/>
  <c r="AP1" i="102"/>
  <c r="AO1" i="102"/>
  <c r="AN1" i="102"/>
  <c r="AM1" i="102"/>
  <c r="AL1" i="102"/>
  <c r="AK1" i="102"/>
  <c r="AJ1" i="102"/>
  <c r="AI1" i="102"/>
  <c r="AH1" i="102"/>
  <c r="AG1" i="102"/>
  <c r="AF1" i="102"/>
  <c r="AE1" i="102"/>
  <c r="AD1" i="102"/>
  <c r="AC1" i="102"/>
  <c r="AB1" i="102"/>
  <c r="AA1" i="102"/>
  <c r="Z1" i="102"/>
  <c r="Y1" i="102"/>
  <c r="X1" i="102"/>
  <c r="W1" i="102"/>
  <c r="V1" i="102"/>
  <c r="U1" i="102"/>
  <c r="T1" i="102"/>
  <c r="S1" i="102"/>
  <c r="R1" i="102"/>
  <c r="Q1" i="102"/>
  <c r="P1" i="102"/>
  <c r="R19" i="102"/>
  <c r="Q19" i="102"/>
  <c r="P19" i="102"/>
  <c r="R18" i="102"/>
  <c r="Q18" i="102"/>
  <c r="P18" i="102"/>
  <c r="R17" i="102"/>
  <c r="Q17" i="102"/>
  <c r="P17" i="102"/>
  <c r="R16" i="102"/>
  <c r="Q16" i="102"/>
  <c r="P16" i="102"/>
  <c r="R15" i="102"/>
  <c r="Q15" i="102"/>
  <c r="P15" i="102"/>
  <c r="R14" i="102"/>
  <c r="Q14" i="102"/>
  <c r="P14" i="102"/>
  <c r="R13" i="102"/>
  <c r="Q13" i="102"/>
  <c r="P13" i="102"/>
  <c r="R12" i="102"/>
  <c r="Q12" i="102"/>
  <c r="P12" i="102"/>
  <c r="R11" i="102"/>
  <c r="Q11" i="102"/>
  <c r="P11" i="102"/>
  <c r="R10" i="102"/>
  <c r="Q10" i="102"/>
  <c r="P10" i="102"/>
  <c r="R9" i="102"/>
  <c r="Q9" i="102"/>
  <c r="P9" i="102"/>
  <c r="R8" i="102"/>
  <c r="Q8" i="102"/>
  <c r="P8" i="102"/>
  <c r="R7" i="102"/>
  <c r="Q7" i="102"/>
  <c r="P7" i="102"/>
  <c r="R6" i="102"/>
  <c r="Q6" i="102"/>
  <c r="P6" i="102"/>
  <c r="R5" i="102"/>
  <c r="Q5" i="102"/>
  <c r="P5" i="102"/>
  <c r="R4" i="102"/>
  <c r="Q4" i="102"/>
  <c r="P4" i="102"/>
  <c r="R19" i="97"/>
  <c r="Q19" i="97"/>
  <c r="P19" i="97"/>
  <c r="R18" i="97"/>
  <c r="Q18" i="97"/>
  <c r="P18" i="97"/>
  <c r="R17" i="97"/>
  <c r="Q17" i="97"/>
  <c r="P17" i="97"/>
  <c r="R16" i="97"/>
  <c r="Q16" i="97"/>
  <c r="P16" i="97"/>
  <c r="R15" i="97"/>
  <c r="Q15" i="97"/>
  <c r="P15" i="97"/>
  <c r="R14" i="97"/>
  <c r="Q14" i="97"/>
  <c r="P14" i="97"/>
  <c r="R13" i="97"/>
  <c r="Q13" i="97"/>
  <c r="P13" i="97"/>
  <c r="R12" i="97"/>
  <c r="Q12" i="97"/>
  <c r="P12" i="97"/>
  <c r="R11" i="97"/>
  <c r="Q11" i="97"/>
  <c r="P11" i="97"/>
  <c r="R10" i="97"/>
  <c r="Q10" i="97"/>
  <c r="P10" i="97"/>
  <c r="R9" i="97"/>
  <c r="Q9" i="97"/>
  <c r="P9" i="97"/>
  <c r="R8" i="97"/>
  <c r="Q8" i="97"/>
  <c r="P8" i="97"/>
  <c r="R7" i="97"/>
  <c r="Q7" i="97"/>
  <c r="P7" i="97"/>
  <c r="R6" i="97"/>
  <c r="Q6" i="97"/>
  <c r="P6" i="97"/>
  <c r="R5" i="97"/>
  <c r="Q5" i="97"/>
  <c r="P5" i="97"/>
  <c r="R4" i="97"/>
  <c r="Q4" i="97"/>
  <c r="P4" i="97"/>
  <c r="BA1" i="97"/>
  <c r="AZ1" i="97"/>
  <c r="AY1" i="97"/>
  <c r="AX1" i="97"/>
  <c r="AW1" i="97"/>
  <c r="AV1" i="97"/>
  <c r="AU1" i="97"/>
  <c r="AT1" i="97"/>
  <c r="AS1" i="97"/>
  <c r="AR1" i="97"/>
  <c r="AQ1" i="97"/>
  <c r="AP1" i="97"/>
  <c r="AO1" i="97"/>
  <c r="AN1" i="97"/>
  <c r="AM1" i="97"/>
  <c r="AL1" i="97"/>
  <c r="AK1" i="97"/>
  <c r="AJ1" i="97"/>
  <c r="AI1" i="97"/>
  <c r="AH1" i="97"/>
  <c r="AG1" i="97"/>
  <c r="AF1" i="97"/>
  <c r="AE1" i="97"/>
  <c r="AD1" i="97"/>
  <c r="AC1" i="97"/>
  <c r="AB1" i="97"/>
  <c r="AA1" i="97"/>
  <c r="Z1" i="97"/>
  <c r="Y1" i="97"/>
  <c r="X1" i="97"/>
  <c r="W1" i="97"/>
  <c r="V1" i="97"/>
  <c r="U1" i="97"/>
  <c r="T1" i="97"/>
  <c r="S1" i="97"/>
  <c r="R1" i="97"/>
  <c r="Q1" i="97"/>
  <c r="P1" i="97"/>
  <c r="D68" i="97" l="1"/>
  <c r="D76" i="97"/>
  <c r="D67" i="97"/>
  <c r="D75" i="97"/>
  <c r="D57" i="102"/>
  <c r="D98" i="102"/>
  <c r="D58" i="102"/>
  <c r="D99" i="102"/>
  <c r="D22" i="97"/>
  <c r="D21" i="97"/>
  <c r="R19" i="99" l="1"/>
  <c r="Q19" i="99"/>
  <c r="P19" i="99"/>
  <c r="R18" i="99"/>
  <c r="Q18" i="99"/>
  <c r="P18" i="99"/>
  <c r="R17" i="99"/>
  <c r="Q17" i="99"/>
  <c r="P17" i="99"/>
  <c r="R16" i="99"/>
  <c r="Q16" i="99"/>
  <c r="P16" i="99"/>
  <c r="R15" i="99"/>
  <c r="Q15" i="99"/>
  <c r="P15" i="99"/>
  <c r="R14" i="99"/>
  <c r="Q14" i="99"/>
  <c r="P14" i="99"/>
  <c r="R13" i="99"/>
  <c r="Q13" i="99"/>
  <c r="P13" i="99"/>
  <c r="R12" i="99"/>
  <c r="Q12" i="99"/>
  <c r="P12" i="99"/>
  <c r="R11" i="99"/>
  <c r="Q11" i="99"/>
  <c r="P11" i="99"/>
  <c r="R10" i="99"/>
  <c r="Q10" i="99"/>
  <c r="P10" i="99"/>
  <c r="R9" i="99"/>
  <c r="Q9" i="99"/>
  <c r="P9" i="99"/>
  <c r="R8" i="99"/>
  <c r="Q8" i="99"/>
  <c r="P8" i="99"/>
  <c r="R7" i="99"/>
  <c r="Q7" i="99"/>
  <c r="P7" i="99"/>
  <c r="R6" i="99"/>
  <c r="Q6" i="99"/>
  <c r="P6" i="99"/>
  <c r="R5" i="99"/>
  <c r="Q5" i="99"/>
  <c r="P5" i="99"/>
  <c r="R4" i="99"/>
  <c r="Q4" i="99"/>
  <c r="P4" i="99"/>
  <c r="BA1" i="99"/>
  <c r="AZ1" i="99"/>
  <c r="AY1" i="99"/>
  <c r="AX1" i="99"/>
  <c r="AW1" i="99"/>
  <c r="AV1" i="99"/>
  <c r="AU1" i="99"/>
  <c r="AT1" i="99"/>
  <c r="AS1" i="99"/>
  <c r="AR1" i="99"/>
  <c r="AQ1" i="99"/>
  <c r="AP1" i="99"/>
  <c r="AO1" i="99"/>
  <c r="AN1" i="99"/>
  <c r="AM1" i="99"/>
  <c r="AL1" i="99"/>
  <c r="AK1" i="99"/>
  <c r="AJ1" i="99"/>
  <c r="AI1" i="99"/>
  <c r="AH1" i="99"/>
  <c r="AG1" i="99"/>
  <c r="AF1" i="99"/>
  <c r="AE1" i="99"/>
  <c r="AD1" i="99"/>
  <c r="AC1" i="99"/>
  <c r="AB1" i="99"/>
  <c r="AA1" i="99"/>
  <c r="Z1" i="99"/>
  <c r="Y1" i="99"/>
  <c r="X1" i="99"/>
  <c r="W1" i="99"/>
  <c r="V1" i="99"/>
  <c r="U1" i="99"/>
  <c r="T1" i="99"/>
  <c r="S1" i="99"/>
  <c r="R1" i="99"/>
  <c r="Q1" i="99"/>
  <c r="P1" i="99"/>
  <c r="A65" i="97" l="1"/>
  <c r="A64" i="97"/>
  <c r="A63" i="97"/>
  <c r="A62" i="97"/>
  <c r="A61" i="97"/>
  <c r="A60" i="97"/>
  <c r="A59" i="97"/>
  <c r="A58" i="97"/>
  <c r="A57" i="97"/>
  <c r="A56" i="97"/>
  <c r="A55" i="97"/>
  <c r="A54" i="97"/>
  <c r="A53" i="97"/>
  <c r="A52" i="97"/>
  <c r="A51" i="97"/>
  <c r="A50" i="97"/>
  <c r="A49" i="97"/>
  <c r="A48" i="97"/>
  <c r="A47" i="97"/>
  <c r="A46" i="97"/>
  <c r="A45" i="97"/>
  <c r="A44" i="97"/>
  <c r="A43" i="97"/>
  <c r="A42" i="97"/>
  <c r="A41" i="97"/>
  <c r="A40" i="97"/>
  <c r="A39" i="97"/>
  <c r="A38" i="97"/>
  <c r="A37" i="97"/>
  <c r="D34" i="97"/>
  <c r="A34" i="97"/>
  <c r="D33" i="97"/>
  <c r="A33" i="97"/>
  <c r="D32" i="97"/>
  <c r="A32" i="97"/>
  <c r="D31" i="97"/>
  <c r="A31" i="97"/>
  <c r="D30" i="97"/>
  <c r="A30" i="97"/>
  <c r="D29" i="97"/>
  <c r="A29" i="97"/>
  <c r="D28" i="97"/>
  <c r="A28" i="97"/>
  <c r="D27" i="97"/>
  <c r="A27" i="97"/>
  <c r="D26" i="97"/>
  <c r="A26" i="97"/>
  <c r="D25" i="97"/>
  <c r="A25" i="97"/>
  <c r="D24" i="97"/>
  <c r="A24" i="97"/>
  <c r="D23" i="97"/>
  <c r="A23" i="97"/>
  <c r="A22" i="97"/>
  <c r="A21" i="97"/>
  <c r="A20" i="97"/>
  <c r="A482" i="22" l="1"/>
  <c r="A483" i="22"/>
  <c r="A484" i="22"/>
  <c r="A485" i="22"/>
  <c r="A486" i="22"/>
  <c r="A481" i="22"/>
  <c r="A294" i="22"/>
  <c r="A295" i="22"/>
  <c r="A296" i="22"/>
  <c r="A293" i="22"/>
  <c r="A374" i="22"/>
  <c r="A375" i="22"/>
  <c r="A376" i="22"/>
  <c r="A377" i="22"/>
  <c r="A378" i="22"/>
  <c r="A373" i="22"/>
  <c r="A368" i="22"/>
  <c r="A369" i="22"/>
  <c r="A370" i="22"/>
  <c r="A371" i="22"/>
  <c r="A372" i="22"/>
  <c r="A367" i="22"/>
  <c r="A242" i="22"/>
  <c r="A243" i="22"/>
  <c r="A244" i="22"/>
  <c r="A241" i="22"/>
  <c r="A238" i="22"/>
  <c r="A239" i="22"/>
  <c r="A240" i="22"/>
  <c r="A237" i="22"/>
  <c r="A46" i="22"/>
  <c r="A47" i="22"/>
  <c r="A48" i="22"/>
  <c r="A49" i="22"/>
  <c r="A50" i="22"/>
  <c r="A51" i="22"/>
  <c r="A52" i="22"/>
  <c r="A53" i="22"/>
  <c r="A54" i="22"/>
  <c r="A45" i="22"/>
  <c r="A53" i="24"/>
  <c r="A10" i="59"/>
  <c r="A10" i="60"/>
  <c r="A8" i="61"/>
  <c r="A8" i="25"/>
  <c r="A10" i="10"/>
  <c r="A48" i="33"/>
  <c r="A58" i="52"/>
  <c r="A66" i="12"/>
  <c r="A19" i="58"/>
  <c r="A19" i="57"/>
  <c r="A106" i="18"/>
  <c r="A105" i="18"/>
  <c r="A104" i="18"/>
  <c r="A103" i="18"/>
  <c r="A102" i="18"/>
  <c r="A101" i="18"/>
  <c r="A100" i="18"/>
  <c r="A99" i="18"/>
  <c r="A98" i="18"/>
  <c r="A97" i="18"/>
  <c r="A100" i="62"/>
  <c r="A99" i="62"/>
  <c r="A98" i="62"/>
  <c r="A97" i="62"/>
  <c r="A96" i="62"/>
  <c r="A95" i="62"/>
  <c r="A94" i="62"/>
  <c r="A93" i="62"/>
  <c r="A92" i="62"/>
  <c r="A91" i="62"/>
  <c r="A106" i="64"/>
  <c r="A105" i="64"/>
  <c r="A104" i="64"/>
  <c r="A103" i="64"/>
  <c r="A102" i="64"/>
  <c r="A101" i="64"/>
  <c r="A100" i="64"/>
  <c r="A99" i="64"/>
  <c r="A98" i="64"/>
  <c r="A97" i="64"/>
  <c r="A106" i="63"/>
  <c r="A105" i="63"/>
  <c r="A104" i="63"/>
  <c r="A103" i="63"/>
  <c r="A102" i="63"/>
  <c r="A101" i="63"/>
  <c r="A100" i="63"/>
  <c r="A99" i="63"/>
  <c r="A98" i="63"/>
  <c r="A97" i="63"/>
  <c r="A223" i="15"/>
  <c r="A222" i="15"/>
  <c r="A221" i="15"/>
  <c r="A220" i="15"/>
  <c r="A219" i="15"/>
  <c r="A218" i="15"/>
  <c r="A217" i="15"/>
  <c r="A216" i="15"/>
  <c r="A215" i="15"/>
  <c r="A214" i="15"/>
  <c r="A162" i="14"/>
  <c r="A161" i="14"/>
  <c r="A160" i="14"/>
  <c r="A159" i="14"/>
  <c r="A158" i="14"/>
  <c r="A157" i="14"/>
  <c r="A156" i="14"/>
  <c r="A155" i="14"/>
  <c r="A154" i="14"/>
  <c r="A153" i="14"/>
  <c r="A149" i="11"/>
  <c r="A148" i="11"/>
  <c r="A147" i="11"/>
  <c r="A146" i="11"/>
  <c r="A145" i="11"/>
  <c r="A144" i="11"/>
  <c r="A143" i="11"/>
  <c r="A142" i="11"/>
  <c r="A141" i="11"/>
  <c r="A140" i="11"/>
  <c r="A311" i="51"/>
  <c r="A310" i="51"/>
  <c r="A309" i="51"/>
  <c r="A308" i="51"/>
  <c r="A307" i="51"/>
  <c r="A306" i="51"/>
  <c r="A305" i="51"/>
  <c r="A304" i="51"/>
  <c r="A303" i="51"/>
  <c r="A302" i="51"/>
  <c r="A367" i="13"/>
  <c r="A366" i="13"/>
  <c r="A365" i="13"/>
  <c r="A364" i="13"/>
  <c r="A363" i="13"/>
  <c r="A362" i="13"/>
  <c r="A361" i="13"/>
  <c r="A360" i="13"/>
  <c r="A359" i="13"/>
  <c r="A358" i="13"/>
  <c r="A164" i="22"/>
  <c r="A163" i="22"/>
  <c r="A162" i="22"/>
  <c r="A161" i="22"/>
  <c r="A160" i="22"/>
  <c r="A159" i="22"/>
  <c r="A158" i="22"/>
  <c r="A157" i="22"/>
  <c r="A156" i="22"/>
  <c r="A155" i="22"/>
  <c r="A291" i="34"/>
  <c r="A290" i="34"/>
  <c r="A289" i="34"/>
  <c r="A288" i="34"/>
  <c r="A287" i="34"/>
  <c r="A286" i="34"/>
  <c r="A285" i="34"/>
  <c r="A284" i="34"/>
  <c r="A283" i="34"/>
  <c r="A282" i="34"/>
  <c r="A330" i="91"/>
  <c r="A329" i="91"/>
  <c r="A328" i="91"/>
  <c r="A327" i="91"/>
  <c r="A326" i="91"/>
  <c r="A325" i="91"/>
  <c r="A324" i="91"/>
  <c r="A323" i="91"/>
  <c r="A322" i="91"/>
  <c r="A321" i="91"/>
  <c r="A266" i="56"/>
  <c r="A265" i="56"/>
  <c r="A264" i="56"/>
  <c r="A263" i="56"/>
  <c r="A262" i="56"/>
  <c r="A261" i="56"/>
  <c r="A260" i="56"/>
  <c r="A259" i="56"/>
  <c r="A258" i="56"/>
  <c r="A257" i="56"/>
  <c r="A266" i="55"/>
  <c r="A265" i="55"/>
  <c r="A264" i="55"/>
  <c r="A263" i="55"/>
  <c r="A262" i="55"/>
  <c r="A261" i="55"/>
  <c r="A260" i="55"/>
  <c r="A259" i="55"/>
  <c r="A258" i="55"/>
  <c r="A257" i="55"/>
  <c r="A7" i="59"/>
  <c r="A7" i="60"/>
  <c r="A5" i="61"/>
  <c r="A5" i="25"/>
  <c r="A7" i="10"/>
  <c r="A29" i="33"/>
  <c r="A33" i="52"/>
  <c r="A37" i="12"/>
  <c r="A38" i="58"/>
  <c r="A38" i="57"/>
  <c r="A56" i="18"/>
  <c r="A55" i="18"/>
  <c r="A54" i="18"/>
  <c r="A53" i="18"/>
  <c r="A52" i="18"/>
  <c r="A51" i="18"/>
  <c r="A50" i="18"/>
  <c r="A49" i="18"/>
  <c r="A48" i="18"/>
  <c r="A47" i="18"/>
  <c r="A50" i="62"/>
  <c r="A49" i="62"/>
  <c r="A48" i="62"/>
  <c r="A47" i="62"/>
  <c r="A46" i="62"/>
  <c r="A45" i="62"/>
  <c r="A44" i="62"/>
  <c r="A43" i="62"/>
  <c r="A42" i="62"/>
  <c r="A41" i="62"/>
  <c r="A50" i="64"/>
  <c r="A49" i="64"/>
  <c r="A48" i="64"/>
  <c r="A47" i="64"/>
  <c r="A46" i="64"/>
  <c r="A45" i="64"/>
  <c r="A44" i="64"/>
  <c r="A43" i="64"/>
  <c r="A42" i="64"/>
  <c r="A41" i="64"/>
  <c r="A50" i="63"/>
  <c r="A49" i="63"/>
  <c r="A48" i="63"/>
  <c r="A47" i="63"/>
  <c r="A46" i="63"/>
  <c r="A45" i="63"/>
  <c r="A44" i="63"/>
  <c r="A43" i="63"/>
  <c r="A42" i="63"/>
  <c r="A41" i="63"/>
  <c r="A116" i="15"/>
  <c r="A115" i="15"/>
  <c r="A114" i="15"/>
  <c r="A113" i="15"/>
  <c r="A112" i="15"/>
  <c r="A111" i="15"/>
  <c r="A110" i="15"/>
  <c r="A109" i="15"/>
  <c r="A108" i="15"/>
  <c r="A107" i="15"/>
  <c r="A72" i="14"/>
  <c r="A71" i="14"/>
  <c r="A70" i="14"/>
  <c r="A69" i="14"/>
  <c r="A68" i="14"/>
  <c r="A67" i="14"/>
  <c r="A66" i="14"/>
  <c r="A65" i="14"/>
  <c r="A64" i="14"/>
  <c r="A63" i="14"/>
  <c r="A67" i="11"/>
  <c r="A66" i="11"/>
  <c r="A65" i="11"/>
  <c r="A64" i="11"/>
  <c r="A63" i="11"/>
  <c r="A62" i="11"/>
  <c r="A61" i="11"/>
  <c r="A60" i="11"/>
  <c r="A59" i="11"/>
  <c r="A58" i="11"/>
  <c r="A151" i="51"/>
  <c r="A150" i="51"/>
  <c r="A149" i="51"/>
  <c r="A148" i="51"/>
  <c r="A147" i="51"/>
  <c r="A146" i="51"/>
  <c r="A145" i="51"/>
  <c r="A144" i="51"/>
  <c r="A143" i="51"/>
  <c r="A142" i="51"/>
  <c r="A165" i="13"/>
  <c r="A164" i="13"/>
  <c r="A163" i="13"/>
  <c r="A162" i="13"/>
  <c r="A161" i="13"/>
  <c r="A160" i="13"/>
  <c r="A159" i="13"/>
  <c r="A158" i="13"/>
  <c r="A157" i="13"/>
  <c r="A156" i="13"/>
  <c r="A84" i="22"/>
  <c r="A83" i="22"/>
  <c r="A82" i="22"/>
  <c r="A81" i="22"/>
  <c r="A80" i="22"/>
  <c r="A79" i="22"/>
  <c r="A78" i="22"/>
  <c r="A77" i="22"/>
  <c r="A76" i="22"/>
  <c r="A75" i="22"/>
  <c r="A129" i="34"/>
  <c r="A128" i="34"/>
  <c r="A127" i="34"/>
  <c r="A126" i="34"/>
  <c r="A125" i="34"/>
  <c r="A124" i="34"/>
  <c r="A123" i="34"/>
  <c r="A122" i="34"/>
  <c r="A121" i="34"/>
  <c r="A120" i="34"/>
  <c r="A160" i="91"/>
  <c r="A159" i="91"/>
  <c r="A158" i="91"/>
  <c r="A157" i="91"/>
  <c r="A156" i="91"/>
  <c r="A155" i="91"/>
  <c r="A154" i="91"/>
  <c r="A153" i="91"/>
  <c r="A152" i="91"/>
  <c r="A151" i="91"/>
  <c r="A126" i="56"/>
  <c r="A125" i="56"/>
  <c r="A124" i="56"/>
  <c r="A123" i="56"/>
  <c r="A122" i="56"/>
  <c r="A121" i="56"/>
  <c r="A120" i="56"/>
  <c r="A119" i="56"/>
  <c r="A118" i="56"/>
  <c r="A117" i="56"/>
  <c r="A126" i="55"/>
  <c r="A125" i="55"/>
  <c r="A124" i="55"/>
  <c r="A123" i="55"/>
  <c r="A122" i="55"/>
  <c r="A121" i="55"/>
  <c r="A120" i="55"/>
  <c r="A119" i="55"/>
  <c r="A118" i="55"/>
  <c r="A117" i="55"/>
  <c r="A239" i="79" l="1"/>
  <c r="A240" i="79"/>
  <c r="A241" i="79"/>
  <c r="A242" i="79"/>
  <c r="A243" i="79"/>
  <c r="A238" i="79"/>
  <c r="A28" i="86" l="1"/>
  <c r="A14" i="86"/>
  <c r="A55" i="82"/>
  <c r="A56" i="82"/>
  <c r="A57" i="82"/>
  <c r="A58" i="82"/>
  <c r="A59" i="82"/>
  <c r="A60" i="82"/>
  <c r="A266" i="82"/>
  <c r="A267" i="82"/>
  <c r="A268" i="82"/>
  <c r="A269" i="82"/>
  <c r="A270" i="82"/>
  <c r="A265" i="82"/>
  <c r="D21" i="53" l="1"/>
  <c r="A3" i="54" l="1"/>
  <c r="D31" i="73" l="1"/>
  <c r="A31" i="73"/>
  <c r="D25" i="89"/>
  <c r="A25" i="89"/>
  <c r="A388" i="80"/>
  <c r="A387" i="80"/>
  <c r="A386" i="80"/>
  <c r="A385" i="80"/>
  <c r="A384" i="80"/>
  <c r="A383" i="80"/>
  <c r="A382" i="80"/>
  <c r="A381" i="80"/>
  <c r="A380" i="80"/>
  <c r="A379" i="80"/>
  <c r="A378" i="80"/>
  <c r="A377" i="80"/>
  <c r="A364" i="80"/>
  <c r="A363" i="80"/>
  <c r="A362" i="80"/>
  <c r="A361" i="80"/>
  <c r="A360" i="80"/>
  <c r="A359" i="80"/>
  <c r="A358" i="80"/>
  <c r="A357" i="80"/>
  <c r="A436" i="80"/>
  <c r="A435" i="80"/>
  <c r="A434" i="80"/>
  <c r="A433" i="80"/>
  <c r="A432" i="80"/>
  <c r="A431" i="80"/>
  <c r="A449" i="89"/>
  <c r="A450" i="89"/>
  <c r="A451" i="89"/>
  <c r="A452" i="89"/>
  <c r="A453" i="89"/>
  <c r="A448" i="89"/>
  <c r="A169" i="80"/>
  <c r="A168" i="80"/>
  <c r="A167" i="80"/>
  <c r="A166" i="80"/>
  <c r="A165" i="80"/>
  <c r="A164" i="80"/>
  <c r="A163" i="80"/>
  <c r="A162" i="80"/>
  <c r="A161" i="80"/>
  <c r="A160" i="80"/>
  <c r="D172" i="89"/>
  <c r="A172" i="89"/>
  <c r="A173" i="89"/>
  <c r="A174" i="89"/>
  <c r="A175" i="89"/>
  <c r="A176" i="89"/>
  <c r="A177" i="89"/>
  <c r="A178" i="89"/>
  <c r="A179" i="89"/>
  <c r="A180" i="89"/>
  <c r="A171" i="89"/>
  <c r="A79" i="35"/>
  <c r="A78" i="35"/>
  <c r="A77" i="35"/>
  <c r="A76" i="35"/>
  <c r="A75" i="35"/>
  <c r="A74" i="35"/>
  <c r="A73" i="35"/>
  <c r="A72" i="35"/>
  <c r="A71" i="35"/>
  <c r="A70" i="35"/>
  <c r="A69" i="35"/>
  <c r="A68" i="35"/>
  <c r="A67" i="35"/>
  <c r="A66" i="35"/>
  <c r="A65" i="35"/>
  <c r="A64" i="35"/>
  <c r="A63" i="35"/>
  <c r="A62" i="35"/>
  <c r="A61" i="35"/>
  <c r="A60" i="35"/>
  <c r="A80" i="35"/>
  <c r="A81" i="35"/>
  <c r="A82" i="35"/>
  <c r="A83" i="35"/>
  <c r="A84" i="35"/>
  <c r="A85" i="35"/>
  <c r="A86" i="35"/>
  <c r="A87" i="35"/>
  <c r="A88" i="35"/>
  <c r="A89" i="35"/>
  <c r="A91" i="35"/>
  <c r="A92" i="35"/>
  <c r="A93" i="35"/>
  <c r="A94" i="35"/>
  <c r="A95" i="35"/>
  <c r="A90" i="35"/>
  <c r="A373" i="89" l="1"/>
  <c r="A374" i="89"/>
  <c r="A375" i="89"/>
  <c r="A372" i="89"/>
  <c r="A369" i="89"/>
  <c r="A370" i="89"/>
  <c r="A371" i="89"/>
  <c r="A368" i="89"/>
  <c r="A437" i="89"/>
  <c r="A438" i="89"/>
  <c r="A439" i="89"/>
  <c r="A440" i="89"/>
  <c r="A441" i="89"/>
  <c r="A436" i="89"/>
  <c r="A431" i="89"/>
  <c r="A432" i="89"/>
  <c r="A433" i="89"/>
  <c r="A434" i="89"/>
  <c r="A435" i="89"/>
  <c r="A430" i="89"/>
  <c r="A117" i="89" l="1"/>
  <c r="A116" i="89"/>
  <c r="A115" i="89"/>
  <c r="A114" i="89"/>
  <c r="A113" i="89"/>
  <c r="A112" i="89"/>
  <c r="A111" i="89"/>
  <c r="A110" i="89"/>
  <c r="A109" i="89"/>
  <c r="A108" i="89"/>
  <c r="A47" i="79"/>
  <c r="A46" i="79"/>
  <c r="A45" i="79"/>
  <c r="A44" i="79"/>
  <c r="A43" i="79"/>
  <c r="A42" i="79"/>
  <c r="A41" i="79"/>
  <c r="A40" i="79"/>
  <c r="A39" i="79"/>
  <c r="A38" i="79"/>
  <c r="A16" i="68"/>
  <c r="A15" i="68"/>
  <c r="A14" i="68"/>
  <c r="A13" i="68"/>
  <c r="A12" i="68"/>
  <c r="A11" i="68"/>
  <c r="A10" i="68"/>
  <c r="A9" i="68"/>
  <c r="A6" i="68"/>
  <c r="A5" i="68"/>
  <c r="A4" i="68"/>
  <c r="A3" i="68"/>
  <c r="A271" i="82" l="1"/>
  <c r="A272" i="82"/>
  <c r="A273" i="82"/>
  <c r="A274" i="82"/>
  <c r="A275" i="82"/>
  <c r="A276" i="82"/>
  <c r="A277" i="82"/>
  <c r="A278" i="82"/>
  <c r="A279" i="82"/>
  <c r="A280" i="82"/>
  <c r="A281" i="82"/>
  <c r="A282" i="82"/>
  <c r="A283" i="82"/>
  <c r="A284" i="82"/>
  <c r="A285" i="82"/>
  <c r="A286" i="82"/>
  <c r="A287" i="82"/>
  <c r="A288" i="82"/>
  <c r="A289" i="82"/>
  <c r="A290" i="82"/>
  <c r="A291" i="82"/>
  <c r="A292" i="82"/>
  <c r="A293" i="82"/>
  <c r="A294" i="82"/>
  <c r="A295" i="82"/>
  <c r="A296" i="82"/>
  <c r="A297" i="82"/>
  <c r="A298" i="82"/>
  <c r="A299" i="82"/>
  <c r="A300" i="82"/>
  <c r="A301" i="82"/>
  <c r="A302" i="82"/>
  <c r="A303" i="82"/>
  <c r="A304" i="82"/>
  <c r="A305" i="82"/>
  <c r="A306" i="82"/>
  <c r="A307" i="82"/>
  <c r="A308" i="82"/>
  <c r="A309" i="82"/>
  <c r="A310" i="82"/>
  <c r="A311" i="82"/>
  <c r="A312" i="82"/>
  <c r="A313" i="82"/>
  <c r="A314" i="82"/>
  <c r="A315" i="82"/>
  <c r="A316" i="82"/>
  <c r="A317" i="82"/>
  <c r="A318" i="82"/>
  <c r="A319" i="82"/>
  <c r="A320" i="82"/>
  <c r="A321" i="82"/>
  <c r="A322" i="82"/>
  <c r="A323" i="82"/>
  <c r="A324" i="82"/>
  <c r="A325" i="82"/>
  <c r="A326" i="82"/>
  <c r="A327" i="82"/>
  <c r="A328" i="82"/>
  <c r="A329" i="82"/>
  <c r="A330" i="82"/>
  <c r="A331" i="82"/>
  <c r="A332" i="82"/>
  <c r="A333" i="82"/>
  <c r="A334" i="82"/>
  <c r="A335" i="82"/>
  <c r="A336" i="82"/>
  <c r="A260" i="82"/>
  <c r="A261" i="82"/>
  <c r="A262" i="82"/>
  <c r="A263" i="82"/>
  <c r="A264" i="82"/>
  <c r="A259" i="82"/>
  <c r="A254" i="82"/>
  <c r="A255" i="82"/>
  <c r="A256" i="82"/>
  <c r="A257" i="82"/>
  <c r="A258" i="82"/>
  <c r="A253" i="82"/>
  <c r="A209" i="79" l="1"/>
  <c r="A210" i="79"/>
  <c r="A211" i="79"/>
  <c r="A212" i="79"/>
  <c r="A213" i="79"/>
  <c r="A208" i="79"/>
  <c r="A187" i="79"/>
  <c r="A188" i="79"/>
  <c r="A189" i="79"/>
  <c r="A186" i="79"/>
  <c r="A79" i="79"/>
  <c r="A80" i="79"/>
  <c r="A81" i="79"/>
  <c r="A82" i="79"/>
  <c r="A83" i="79"/>
  <c r="A84" i="79"/>
  <c r="A85" i="79"/>
  <c r="A86" i="79"/>
  <c r="A87" i="79"/>
  <c r="A78" i="79"/>
  <c r="A151" i="79"/>
  <c r="A152" i="79"/>
  <c r="A153" i="79"/>
  <c r="A154" i="79"/>
  <c r="A155" i="79"/>
  <c r="A156" i="79"/>
  <c r="A157" i="79"/>
  <c r="A158" i="79"/>
  <c r="A159" i="79"/>
  <c r="A150" i="79"/>
  <c r="A141" i="79"/>
  <c r="A142" i="79"/>
  <c r="A143" i="79"/>
  <c r="A144" i="79"/>
  <c r="A145" i="79"/>
  <c r="A146" i="79"/>
  <c r="A147" i="79"/>
  <c r="A148" i="79"/>
  <c r="A149" i="79"/>
  <c r="A140" i="79"/>
  <c r="A54" i="86"/>
  <c r="A53" i="86"/>
  <c r="A52" i="86"/>
  <c r="A51" i="86"/>
  <c r="A50" i="86"/>
  <c r="A49" i="86"/>
  <c r="A48" i="86"/>
  <c r="A47" i="86"/>
  <c r="A46" i="86"/>
  <c r="A45" i="86"/>
  <c r="A44" i="86"/>
  <c r="A43" i="86"/>
  <c r="A42" i="86"/>
  <c r="A41" i="86"/>
  <c r="A40" i="86"/>
  <c r="A39" i="86"/>
  <c r="A38" i="86"/>
  <c r="A37" i="86"/>
  <c r="A36" i="86"/>
  <c r="A35" i="86"/>
  <c r="A34" i="86"/>
  <c r="A33" i="86"/>
  <c r="A32" i="86"/>
  <c r="A31" i="86"/>
  <c r="A30" i="86"/>
  <c r="A29" i="86"/>
  <c r="A27" i="86"/>
  <c r="A26" i="86"/>
  <c r="A25" i="86"/>
  <c r="A24" i="86"/>
  <c r="A23" i="86"/>
  <c r="A22" i="86"/>
  <c r="A21" i="86"/>
  <c r="A20" i="86"/>
  <c r="A19" i="86"/>
  <c r="A18" i="86"/>
  <c r="A17" i="86"/>
  <c r="A16" i="86"/>
  <c r="A15" i="86"/>
  <c r="A13" i="86"/>
  <c r="A12" i="86"/>
  <c r="A11" i="86"/>
  <c r="A10" i="86"/>
  <c r="A9" i="86"/>
  <c r="A8" i="86"/>
  <c r="A7" i="86"/>
  <c r="A6" i="86"/>
  <c r="A5" i="86"/>
  <c r="A4" i="86"/>
  <c r="A3" i="86"/>
  <c r="A35" i="93" l="1"/>
  <c r="A429" i="89" l="1"/>
  <c r="A428" i="89"/>
  <c r="A427" i="89"/>
  <c r="A426" i="89"/>
  <c r="A425" i="89"/>
  <c r="A424" i="89"/>
  <c r="A423" i="89"/>
  <c r="A422" i="89"/>
  <c r="A421" i="89"/>
  <c r="A420" i="89"/>
  <c r="A419" i="89"/>
  <c r="A418" i="89"/>
  <c r="A417" i="89"/>
  <c r="A416" i="89"/>
  <c r="A415" i="89"/>
  <c r="A414" i="89"/>
  <c r="A413" i="89"/>
  <c r="A412" i="89"/>
  <c r="A411" i="89"/>
  <c r="A410" i="89"/>
  <c r="A409" i="89"/>
  <c r="A408" i="89"/>
  <c r="A407" i="89"/>
  <c r="A406" i="89"/>
  <c r="A405" i="89"/>
  <c r="A404" i="89"/>
  <c r="A403" i="89"/>
  <c r="A402" i="89"/>
  <c r="A401" i="89"/>
  <c r="A400" i="89"/>
  <c r="A399" i="89"/>
  <c r="A398" i="89"/>
  <c r="A397" i="89"/>
  <c r="A396" i="89"/>
  <c r="A395" i="89"/>
  <c r="A394" i="89"/>
  <c r="A393" i="89"/>
  <c r="A392" i="89"/>
  <c r="A391" i="89"/>
  <c r="A390" i="89"/>
  <c r="A389" i="89"/>
  <c r="A388" i="89"/>
  <c r="A387" i="89"/>
  <c r="A386" i="89"/>
  <c r="A385" i="89"/>
  <c r="A384" i="89"/>
  <c r="A383" i="89"/>
  <c r="A382" i="89"/>
  <c r="A420" i="80"/>
  <c r="A421" i="80"/>
  <c r="A422" i="80"/>
  <c r="A423" i="80"/>
  <c r="A424" i="80"/>
  <c r="A419" i="80"/>
  <c r="A414" i="80"/>
  <c r="A415" i="80"/>
  <c r="A416" i="80"/>
  <c r="A417" i="80"/>
  <c r="A418" i="80"/>
  <c r="A413" i="80"/>
  <c r="A408" i="80"/>
  <c r="A409" i="80"/>
  <c r="A410" i="80"/>
  <c r="A411" i="80"/>
  <c r="A412" i="80"/>
  <c r="A407" i="80"/>
  <c r="A402" i="80"/>
  <c r="A403" i="80"/>
  <c r="A404" i="80"/>
  <c r="A405" i="80"/>
  <c r="A406" i="80"/>
  <c r="A401" i="80"/>
  <c r="A396" i="80"/>
  <c r="A397" i="80"/>
  <c r="A398" i="80"/>
  <c r="A399" i="80"/>
  <c r="A400" i="80"/>
  <c r="A395" i="80"/>
  <c r="A390" i="80"/>
  <c r="A391" i="80"/>
  <c r="A392" i="80"/>
  <c r="A393" i="80"/>
  <c r="A394" i="80"/>
  <c r="A389" i="80"/>
  <c r="A305" i="80"/>
  <c r="A306" i="80"/>
  <c r="A307" i="80"/>
  <c r="A308" i="80"/>
  <c r="A309" i="80"/>
  <c r="A304" i="80"/>
  <c r="A295" i="80"/>
  <c r="A296" i="80"/>
  <c r="A297" i="80"/>
  <c r="A298" i="80"/>
  <c r="A299" i="80"/>
  <c r="A294" i="80"/>
  <c r="A285" i="80"/>
  <c r="A286" i="80"/>
  <c r="A287" i="80"/>
  <c r="A288" i="80"/>
  <c r="A289" i="80"/>
  <c r="A284" i="80"/>
  <c r="A275" i="80"/>
  <c r="A276" i="80"/>
  <c r="A277" i="80"/>
  <c r="A278" i="80"/>
  <c r="A279" i="80"/>
  <c r="A274" i="80"/>
  <c r="A372" i="80"/>
  <c r="A373" i="80"/>
  <c r="A374" i="80"/>
  <c r="A375" i="80"/>
  <c r="A376" i="80"/>
  <c r="A371" i="80"/>
  <c r="A366" i="80"/>
  <c r="A367" i="80"/>
  <c r="A368" i="80"/>
  <c r="A369" i="80"/>
  <c r="A370" i="80"/>
  <c r="A365" i="80"/>
  <c r="A355" i="89"/>
  <c r="A354" i="89"/>
  <c r="A353" i="89"/>
  <c r="A352" i="89"/>
  <c r="A351" i="89"/>
  <c r="A350" i="89"/>
  <c r="A349" i="89"/>
  <c r="A348" i="89"/>
  <c r="A347" i="89"/>
  <c r="A346" i="89"/>
  <c r="A345" i="89"/>
  <c r="A344" i="89"/>
  <c r="A343" i="89"/>
  <c r="A342" i="89"/>
  <c r="A341" i="89"/>
  <c r="A340" i="89"/>
  <c r="A342" i="80"/>
  <c r="A343" i="80"/>
  <c r="A344" i="80"/>
  <c r="A341" i="80"/>
  <c r="A345" i="80"/>
  <c r="A346" i="80"/>
  <c r="A347" i="80"/>
  <c r="A348" i="80"/>
  <c r="A338" i="80"/>
  <c r="A339" i="80"/>
  <c r="A340" i="80"/>
  <c r="A337" i="80"/>
  <c r="A334" i="80"/>
  <c r="A335" i="80"/>
  <c r="A336" i="80"/>
  <c r="A333" i="80"/>
  <c r="A330" i="80"/>
  <c r="A331" i="80"/>
  <c r="A332" i="80"/>
  <c r="A329" i="80"/>
  <c r="A46" i="80"/>
  <c r="A45" i="80"/>
  <c r="A44" i="80"/>
  <c r="A43" i="80"/>
  <c r="A42" i="80"/>
  <c r="A41" i="80"/>
  <c r="A40" i="80"/>
  <c r="A39" i="80"/>
  <c r="A38" i="80"/>
  <c r="A37" i="80"/>
  <c r="A136" i="80"/>
  <c r="A135" i="80"/>
  <c r="A134" i="80"/>
  <c r="A133" i="80"/>
  <c r="A132" i="80"/>
  <c r="A131" i="80"/>
  <c r="A130" i="80"/>
  <c r="A129" i="80"/>
  <c r="A128" i="80"/>
  <c r="A127" i="80"/>
  <c r="A137" i="80"/>
  <c r="A138" i="80"/>
  <c r="A139" i="80"/>
  <c r="A140" i="80"/>
  <c r="A141" i="80"/>
  <c r="A142" i="80"/>
  <c r="A143" i="80"/>
  <c r="A144" i="80"/>
  <c r="A145" i="80"/>
  <c r="A146" i="80"/>
  <c r="A210" i="89"/>
  <c r="A209" i="89"/>
  <c r="A208" i="89"/>
  <c r="A207" i="89"/>
  <c r="A206" i="89"/>
  <c r="A205" i="89"/>
  <c r="A204" i="89"/>
  <c r="A203" i="89"/>
  <c r="A202" i="89"/>
  <c r="A201" i="89"/>
  <c r="A191" i="80"/>
  <c r="A192" i="80"/>
  <c r="A193" i="80"/>
  <c r="A194" i="80"/>
  <c r="A195" i="80"/>
  <c r="A196" i="80"/>
  <c r="A197" i="80"/>
  <c r="A198" i="80"/>
  <c r="A199" i="80"/>
  <c r="A190" i="80"/>
  <c r="A442" i="80"/>
  <c r="A441" i="80"/>
  <c r="A440" i="80"/>
  <c r="A439" i="80"/>
  <c r="A438" i="80"/>
  <c r="A437" i="80"/>
  <c r="A200" i="89" l="1"/>
  <c r="A199" i="89"/>
  <c r="A198" i="89"/>
  <c r="A197" i="89"/>
  <c r="A196" i="89"/>
  <c r="A195" i="89"/>
  <c r="A194" i="89"/>
  <c r="A193" i="89"/>
  <c r="A192" i="89"/>
  <c r="A191" i="89"/>
  <c r="A107" i="89"/>
  <c r="A106" i="89"/>
  <c r="A105" i="89"/>
  <c r="A104" i="89"/>
  <c r="A103" i="89"/>
  <c r="A102" i="89"/>
  <c r="A101" i="89"/>
  <c r="A100" i="89"/>
  <c r="A99" i="89"/>
  <c r="A98" i="89"/>
  <c r="A97" i="89"/>
  <c r="A96" i="89"/>
  <c r="A95" i="89"/>
  <c r="A94" i="89"/>
  <c r="A93" i="89"/>
  <c r="A92" i="89"/>
  <c r="A91" i="89"/>
  <c r="A90" i="89"/>
  <c r="A89" i="89"/>
  <c r="A88" i="89"/>
  <c r="A181" i="80"/>
  <c r="A182" i="80"/>
  <c r="A183" i="80"/>
  <c r="A184" i="80"/>
  <c r="A185" i="80"/>
  <c r="A186" i="80"/>
  <c r="A187" i="80"/>
  <c r="A188" i="80"/>
  <c r="A189" i="80"/>
  <c r="A180" i="80"/>
  <c r="A98" i="80"/>
  <c r="A99" i="80"/>
  <c r="A100" i="80"/>
  <c r="A101" i="80"/>
  <c r="A102" i="80"/>
  <c r="A103" i="80"/>
  <c r="A104" i="80"/>
  <c r="A105" i="80"/>
  <c r="A106" i="80"/>
  <c r="A97" i="80"/>
  <c r="A107" i="80"/>
  <c r="A108" i="80"/>
  <c r="A109" i="80"/>
  <c r="A110" i="80"/>
  <c r="A111" i="80"/>
  <c r="A112" i="80"/>
  <c r="A113" i="80"/>
  <c r="A114" i="80"/>
  <c r="A115" i="80"/>
  <c r="A116" i="80"/>
  <c r="A88" i="80"/>
  <c r="A89" i="80"/>
  <c r="A90" i="80"/>
  <c r="A91" i="80"/>
  <c r="A92" i="80"/>
  <c r="A93" i="80"/>
  <c r="A94" i="80"/>
  <c r="A95" i="80"/>
  <c r="A96" i="80"/>
  <c r="A87" i="80"/>
  <c r="A3" i="38" l="1"/>
  <c r="A10" i="36"/>
  <c r="A9" i="36"/>
  <c r="A8" i="36"/>
  <c r="A7" i="36"/>
  <c r="A6" i="36"/>
  <c r="A5" i="36"/>
  <c r="A4" i="36"/>
  <c r="A3" i="36"/>
  <c r="A4" i="70"/>
  <c r="A3" i="70"/>
  <c r="A20" i="59"/>
  <c r="A19" i="59"/>
  <c r="A4" i="59"/>
  <c r="A18" i="59"/>
  <c r="A17" i="59"/>
  <c r="A16" i="59"/>
  <c r="A15" i="59"/>
  <c r="A14" i="59"/>
  <c r="A3" i="59"/>
  <c r="A13" i="59"/>
  <c r="A12" i="59"/>
  <c r="A11" i="59"/>
  <c r="A9" i="59"/>
  <c r="A8" i="59"/>
  <c r="A6" i="59"/>
  <c r="A5" i="59"/>
  <c r="A71" i="90"/>
  <c r="A70" i="90"/>
  <c r="A69" i="90"/>
  <c r="A68" i="90"/>
  <c r="A67" i="90"/>
  <c r="A66" i="90"/>
  <c r="A65" i="90"/>
  <c r="A64" i="90"/>
  <c r="A63" i="90"/>
  <c r="A62" i="90"/>
  <c r="A61" i="90"/>
  <c r="A60" i="90"/>
  <c r="A59" i="90"/>
  <c r="A58" i="90"/>
  <c r="A57" i="90"/>
  <c r="A56" i="90"/>
  <c r="A55" i="90"/>
  <c r="A54" i="90"/>
  <c r="A20" i="60"/>
  <c r="A19" i="60"/>
  <c r="A18" i="60"/>
  <c r="A17" i="60"/>
  <c r="A4" i="60"/>
  <c r="A16" i="60"/>
  <c r="A15" i="60"/>
  <c r="A14" i="60"/>
  <c r="A3" i="60"/>
  <c r="A13" i="60"/>
  <c r="A12" i="60"/>
  <c r="A11" i="60"/>
  <c r="A9" i="60"/>
  <c r="A8" i="60"/>
  <c r="A6" i="60"/>
  <c r="A5" i="60"/>
  <c r="A20" i="61"/>
  <c r="A19" i="61"/>
  <c r="A18" i="61"/>
  <c r="A17" i="61"/>
  <c r="A16" i="61"/>
  <c r="A15" i="61"/>
  <c r="A14" i="61"/>
  <c r="A13" i="61"/>
  <c r="A12" i="61"/>
  <c r="A11" i="61"/>
  <c r="A10" i="61"/>
  <c r="A9" i="61"/>
  <c r="A7" i="61"/>
  <c r="A6" i="61"/>
  <c r="A4" i="61"/>
  <c r="A3" i="61"/>
  <c r="A15" i="26"/>
  <c r="A14" i="26"/>
  <c r="A13" i="26"/>
  <c r="A12" i="26"/>
  <c r="A11" i="26"/>
  <c r="A10" i="26"/>
  <c r="A9" i="26"/>
  <c r="A8" i="26"/>
  <c r="A7" i="26"/>
  <c r="A6" i="26"/>
  <c r="A5" i="26"/>
  <c r="A4" i="26"/>
  <c r="A3" i="26"/>
  <c r="A30" i="25"/>
  <c r="A29" i="25"/>
  <c r="A28" i="25"/>
  <c r="A27" i="25"/>
  <c r="A26" i="25"/>
  <c r="A25" i="25"/>
  <c r="A24" i="25"/>
  <c r="A23" i="25"/>
  <c r="A22" i="25"/>
  <c r="A21" i="25"/>
  <c r="A20" i="25"/>
  <c r="A19" i="25"/>
  <c r="A18" i="25"/>
  <c r="A17" i="25"/>
  <c r="A16" i="25"/>
  <c r="A15" i="25"/>
  <c r="A14" i="25"/>
  <c r="A13" i="25"/>
  <c r="A12" i="25"/>
  <c r="A11" i="25"/>
  <c r="A10" i="25"/>
  <c r="A9" i="25"/>
  <c r="A7" i="25"/>
  <c r="A6" i="25"/>
  <c r="A4" i="25"/>
  <c r="A3" i="25"/>
  <c r="A28" i="10"/>
  <c r="A27" i="10"/>
  <c r="A26" i="10"/>
  <c r="A25" i="10"/>
  <c r="A24" i="10"/>
  <c r="A23" i="10"/>
  <c r="A22" i="10"/>
  <c r="A21" i="10"/>
  <c r="A20" i="10"/>
  <c r="A19" i="10"/>
  <c r="A18" i="10"/>
  <c r="A17" i="10"/>
  <c r="A16" i="10"/>
  <c r="A15" i="10"/>
  <c r="A14" i="10"/>
  <c r="A13" i="10"/>
  <c r="A12" i="10"/>
  <c r="A11" i="10"/>
  <c r="A9" i="10"/>
  <c r="A8" i="10"/>
  <c r="A6" i="10"/>
  <c r="A5" i="10"/>
  <c r="A4" i="10"/>
  <c r="A3" i="10"/>
  <c r="A68" i="33"/>
  <c r="A67" i="33"/>
  <c r="A66" i="33"/>
  <c r="A65" i="33"/>
  <c r="A64" i="33"/>
  <c r="A63" i="33"/>
  <c r="A62" i="33"/>
  <c r="A61" i="33"/>
  <c r="A60" i="33"/>
  <c r="A59" i="33"/>
  <c r="A58" i="33"/>
  <c r="A57" i="33"/>
  <c r="A56" i="33"/>
  <c r="A55" i="33"/>
  <c r="A54" i="33"/>
  <c r="A53" i="33"/>
  <c r="A52" i="33"/>
  <c r="A51" i="33"/>
  <c r="A50" i="33"/>
  <c r="A49" i="33"/>
  <c r="A47" i="33"/>
  <c r="A46" i="33"/>
  <c r="A45" i="33"/>
  <c r="A44" i="33"/>
  <c r="A43" i="33"/>
  <c r="A42" i="33"/>
  <c r="A41" i="33"/>
  <c r="A40" i="33"/>
  <c r="A39" i="33"/>
  <c r="A38" i="33"/>
  <c r="A37" i="33"/>
  <c r="A36" i="33"/>
  <c r="A35" i="33"/>
  <c r="A34" i="33"/>
  <c r="A33" i="33"/>
  <c r="A32" i="33"/>
  <c r="A31" i="33"/>
  <c r="A30" i="33"/>
  <c r="A28" i="33"/>
  <c r="A27" i="33"/>
  <c r="A26" i="33"/>
  <c r="A25" i="33"/>
  <c r="A24" i="33"/>
  <c r="A23" i="33"/>
  <c r="A22" i="33"/>
  <c r="A21" i="33"/>
  <c r="A20" i="33"/>
  <c r="A19" i="33"/>
  <c r="A18" i="33"/>
  <c r="A17" i="33"/>
  <c r="A16" i="33"/>
  <c r="A15" i="33"/>
  <c r="A14" i="33"/>
  <c r="A13" i="33"/>
  <c r="A12" i="33"/>
  <c r="A11" i="33"/>
  <c r="A10" i="33"/>
  <c r="A9" i="33"/>
  <c r="A8" i="33"/>
  <c r="A7" i="33"/>
  <c r="A6" i="33"/>
  <c r="A5" i="33"/>
  <c r="A4" i="33"/>
  <c r="A3" i="33"/>
  <c r="A78" i="52"/>
  <c r="A77" i="52"/>
  <c r="A76" i="52"/>
  <c r="A75" i="52"/>
  <c r="A74" i="52"/>
  <c r="A73" i="52"/>
  <c r="A72" i="52"/>
  <c r="A71" i="52"/>
  <c r="A70" i="52"/>
  <c r="A69" i="52"/>
  <c r="A68" i="52"/>
  <c r="A67" i="52"/>
  <c r="A66" i="52"/>
  <c r="A65" i="52"/>
  <c r="A64" i="52"/>
  <c r="A63" i="52"/>
  <c r="A62" i="52"/>
  <c r="A61" i="52"/>
  <c r="A60" i="52"/>
  <c r="A59" i="52"/>
  <c r="A57" i="52"/>
  <c r="A56" i="52"/>
  <c r="A55" i="52"/>
  <c r="A54" i="52"/>
  <c r="A53" i="52"/>
  <c r="A52" i="52"/>
  <c r="A51" i="52"/>
  <c r="A50" i="52"/>
  <c r="A49" i="52"/>
  <c r="A48" i="52"/>
  <c r="A47" i="52"/>
  <c r="A46" i="52"/>
  <c r="A45" i="52"/>
  <c r="A44" i="52"/>
  <c r="A43" i="52"/>
  <c r="A42" i="52"/>
  <c r="A41" i="52"/>
  <c r="A40" i="52"/>
  <c r="A39" i="52"/>
  <c r="A38" i="52"/>
  <c r="A37" i="52"/>
  <c r="A36" i="52"/>
  <c r="A35" i="52"/>
  <c r="A34" i="52"/>
  <c r="A32" i="52"/>
  <c r="A31" i="52"/>
  <c r="A30" i="52"/>
  <c r="A29" i="52"/>
  <c r="A28" i="52"/>
  <c r="A27" i="52"/>
  <c r="A26" i="52"/>
  <c r="A25" i="52"/>
  <c r="A24" i="52"/>
  <c r="A23" i="52"/>
  <c r="A22" i="52"/>
  <c r="A21" i="52"/>
  <c r="A20" i="52"/>
  <c r="A19" i="52"/>
  <c r="A18" i="52"/>
  <c r="A17" i="52"/>
  <c r="A16" i="52"/>
  <c r="A15" i="52"/>
  <c r="A14" i="52"/>
  <c r="A13" i="52"/>
  <c r="A12" i="52"/>
  <c r="A11" i="52"/>
  <c r="A10" i="52"/>
  <c r="A9" i="52"/>
  <c r="A8" i="52"/>
  <c r="A7" i="52"/>
  <c r="A6" i="52"/>
  <c r="A5" i="52"/>
  <c r="A4" i="52"/>
  <c r="A3" i="52"/>
  <c r="A86" i="12"/>
  <c r="A85" i="12"/>
  <c r="A84" i="12"/>
  <c r="A83" i="12"/>
  <c r="A82" i="12"/>
  <c r="A81" i="12"/>
  <c r="A80" i="12"/>
  <c r="A79" i="12"/>
  <c r="A78" i="12"/>
  <c r="A77" i="12"/>
  <c r="A76" i="12"/>
  <c r="A75" i="12"/>
  <c r="A74" i="12"/>
  <c r="A73" i="12"/>
  <c r="A72" i="12"/>
  <c r="A71" i="12"/>
  <c r="A70" i="12"/>
  <c r="A69" i="12"/>
  <c r="A68" i="12"/>
  <c r="A67"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A9" i="12"/>
  <c r="A8" i="12"/>
  <c r="A7" i="12"/>
  <c r="A6" i="12"/>
  <c r="A5" i="12"/>
  <c r="A4" i="12"/>
  <c r="A3" i="12"/>
  <c r="A52" i="24"/>
  <c r="A51" i="24"/>
  <c r="A50" i="24"/>
  <c r="A49" i="24"/>
  <c r="A48" i="24"/>
  <c r="A46" i="24"/>
  <c r="A45" i="24"/>
  <c r="A44" i="24"/>
  <c r="A43" i="24"/>
  <c r="A42" i="24"/>
  <c r="A41" i="24"/>
  <c r="A40" i="24"/>
  <c r="A39" i="24"/>
  <c r="A38" i="24"/>
  <c r="A37" i="24"/>
  <c r="A36" i="24"/>
  <c r="A35" i="24"/>
  <c r="A67" i="58"/>
  <c r="A66" i="58"/>
  <c r="A65" i="58"/>
  <c r="A64" i="58"/>
  <c r="A63" i="58"/>
  <c r="A62" i="58"/>
  <c r="A61" i="58"/>
  <c r="A60" i="58"/>
  <c r="A59" i="58"/>
  <c r="A58" i="58"/>
  <c r="A57" i="58"/>
  <c r="A56" i="58"/>
  <c r="A55" i="58"/>
  <c r="A54" i="58"/>
  <c r="A53" i="58"/>
  <c r="A52" i="58"/>
  <c r="A51" i="58"/>
  <c r="A50" i="58"/>
  <c r="A49" i="58"/>
  <c r="A48" i="58"/>
  <c r="A47" i="58"/>
  <c r="A46" i="58"/>
  <c r="A45" i="58"/>
  <c r="A41" i="58"/>
  <c r="A40" i="58"/>
  <c r="A39" i="58"/>
  <c r="A37" i="58"/>
  <c r="A36" i="58"/>
  <c r="A35" i="58"/>
  <c r="A34" i="58"/>
  <c r="A33" i="58"/>
  <c r="A32" i="58"/>
  <c r="A31" i="58"/>
  <c r="A30" i="58"/>
  <c r="A29" i="58"/>
  <c r="A28" i="58"/>
  <c r="A27" i="58"/>
  <c r="A26" i="58"/>
  <c r="A25" i="58"/>
  <c r="A24" i="58"/>
  <c r="A23" i="58"/>
  <c r="A22" i="58"/>
  <c r="A21" i="58"/>
  <c r="A20" i="58"/>
  <c r="A8" i="58"/>
  <c r="A7" i="58"/>
  <c r="A6" i="58"/>
  <c r="A18" i="58"/>
  <c r="A17" i="58"/>
  <c r="A3" i="58"/>
  <c r="A4" i="58"/>
  <c r="A5" i="58"/>
  <c r="A16" i="58"/>
  <c r="A15" i="58"/>
  <c r="A14" i="58"/>
  <c r="A13" i="58"/>
  <c r="A12" i="58"/>
  <c r="A11" i="58"/>
  <c r="A10" i="58"/>
  <c r="A9" i="58"/>
  <c r="A65" i="57"/>
  <c r="A64" i="57"/>
  <c r="A63" i="57"/>
  <c r="A62" i="57"/>
  <c r="A61" i="57"/>
  <c r="A60" i="57"/>
  <c r="A59" i="57"/>
  <c r="A58" i="57"/>
  <c r="A57" i="57"/>
  <c r="A56" i="57"/>
  <c r="A55" i="57"/>
  <c r="A54" i="57"/>
  <c r="A53" i="57"/>
  <c r="A52" i="57"/>
  <c r="A51" i="57"/>
  <c r="A50" i="57"/>
  <c r="A49" i="57"/>
  <c r="A48" i="57"/>
  <c r="A47" i="57"/>
  <c r="A46" i="57"/>
  <c r="A45" i="57"/>
  <c r="A44" i="57"/>
  <c r="A43" i="57"/>
  <c r="A42" i="57"/>
  <c r="A41" i="57"/>
  <c r="A40" i="57"/>
  <c r="A39" i="57"/>
  <c r="A37" i="57"/>
  <c r="A36" i="57"/>
  <c r="A35" i="57"/>
  <c r="A34" i="57"/>
  <c r="A33" i="57"/>
  <c r="A32" i="57"/>
  <c r="A31" i="57"/>
  <c r="A30" i="57"/>
  <c r="A29" i="57"/>
  <c r="A28" i="57"/>
  <c r="A27" i="57"/>
  <c r="A26" i="57"/>
  <c r="A25" i="57"/>
  <c r="A24" i="57"/>
  <c r="A23" i="57"/>
  <c r="A22" i="57"/>
  <c r="A21" i="57"/>
  <c r="A20" i="57"/>
  <c r="A8" i="57"/>
  <c r="A7" i="57"/>
  <c r="A6" i="57"/>
  <c r="A18" i="57"/>
  <c r="A17" i="57"/>
  <c r="A3" i="57"/>
  <c r="A4" i="57"/>
  <c r="A5" i="57"/>
  <c r="A16" i="57"/>
  <c r="A15" i="57"/>
  <c r="A14" i="57"/>
  <c r="A13" i="57"/>
  <c r="A12" i="57"/>
  <c r="A11" i="57"/>
  <c r="A10" i="57"/>
  <c r="A9" i="57"/>
  <c r="A34" i="93"/>
  <c r="A33" i="93"/>
  <c r="A32" i="93"/>
  <c r="A31" i="93"/>
  <c r="A30" i="93"/>
  <c r="A29" i="93"/>
  <c r="A28" i="93"/>
  <c r="A27" i="93"/>
  <c r="A26" i="93"/>
  <c r="A25" i="93"/>
  <c r="A24" i="93"/>
  <c r="A5" i="93"/>
  <c r="A4" i="93"/>
  <c r="A3" i="93"/>
  <c r="A23" i="93"/>
  <c r="A22" i="93"/>
  <c r="A21" i="93"/>
  <c r="A20" i="93"/>
  <c r="A19" i="93"/>
  <c r="A18" i="93"/>
  <c r="A17" i="93"/>
  <c r="A16" i="93"/>
  <c r="A15" i="93"/>
  <c r="A14" i="93"/>
  <c r="A13" i="93"/>
  <c r="A12" i="93"/>
  <c r="A11" i="93"/>
  <c r="A10" i="93"/>
  <c r="A6" i="93"/>
  <c r="A9" i="93"/>
  <c r="A8" i="93"/>
  <c r="A7" i="93"/>
  <c r="A49" i="35"/>
  <c r="A48" i="35"/>
  <c r="A47" i="35"/>
  <c r="A46" i="35"/>
  <c r="A45" i="35"/>
  <c r="A44" i="35"/>
  <c r="A43" i="35"/>
  <c r="A42" i="35"/>
  <c r="A41" i="35"/>
  <c r="A40" i="35"/>
  <c r="A39" i="35"/>
  <c r="A38" i="35"/>
  <c r="A37" i="35"/>
  <c r="A36" i="35"/>
  <c r="A35" i="35"/>
  <c r="A34" i="35"/>
  <c r="A33" i="35"/>
  <c r="A32" i="35"/>
  <c r="A31" i="35"/>
  <c r="A30" i="35"/>
  <c r="A29" i="35"/>
  <c r="A28" i="35"/>
  <c r="A27" i="35"/>
  <c r="A26" i="35"/>
  <c r="A25" i="35"/>
  <c r="A24" i="35"/>
  <c r="A23" i="35"/>
  <c r="A22" i="35"/>
  <c r="A21" i="35"/>
  <c r="A20" i="35"/>
  <c r="A30" i="76"/>
  <c r="A29" i="76"/>
  <c r="A28" i="76"/>
  <c r="A27" i="76"/>
  <c r="A25" i="76"/>
  <c r="A24" i="76"/>
  <c r="A23" i="76"/>
  <c r="A22" i="76"/>
  <c r="A21" i="76"/>
  <c r="A20" i="76"/>
  <c r="A236" i="82"/>
  <c r="A235" i="82"/>
  <c r="A234" i="82"/>
  <c r="A233" i="82"/>
  <c r="A232" i="82"/>
  <c r="A231" i="82"/>
  <c r="A230" i="82"/>
  <c r="A229" i="82"/>
  <c r="A228" i="82"/>
  <c r="A227" i="82"/>
  <c r="A226" i="82"/>
  <c r="A225" i="82"/>
  <c r="A224" i="82"/>
  <c r="A223" i="82"/>
  <c r="A222" i="82"/>
  <c r="A221" i="82"/>
  <c r="A220" i="82"/>
  <c r="A219" i="82"/>
  <c r="A218" i="82"/>
  <c r="A217" i="82"/>
  <c r="A216" i="82"/>
  <c r="A215" i="82"/>
  <c r="A214" i="82"/>
  <c r="A213" i="82"/>
  <c r="A252" i="82"/>
  <c r="A251" i="82"/>
  <c r="A250" i="82"/>
  <c r="A249" i="82"/>
  <c r="A248" i="82"/>
  <c r="A247" i="82"/>
  <c r="A246" i="82"/>
  <c r="A245" i="82"/>
  <c r="A244" i="82"/>
  <c r="A243" i="82"/>
  <c r="A242" i="82"/>
  <c r="A241" i="82"/>
  <c r="A192" i="82"/>
  <c r="A191" i="82"/>
  <c r="A190" i="82"/>
  <c r="A189" i="82"/>
  <c r="A188" i="82"/>
  <c r="A187" i="82"/>
  <c r="A186" i="82"/>
  <c r="A185" i="82"/>
  <c r="A184" i="82"/>
  <c r="A183" i="82"/>
  <c r="A182" i="82"/>
  <c r="A181" i="82"/>
  <c r="A180" i="82"/>
  <c r="A179" i="82"/>
  <c r="A178" i="82"/>
  <c r="A177" i="82"/>
  <c r="A176" i="82"/>
  <c r="A175" i="82"/>
  <c r="A174" i="82"/>
  <c r="A173" i="82"/>
  <c r="A170" i="82"/>
  <c r="A169" i="82"/>
  <c r="A168" i="82"/>
  <c r="A167" i="82"/>
  <c r="A166" i="82"/>
  <c r="A165" i="82"/>
  <c r="A164" i="82"/>
  <c r="A163" i="82"/>
  <c r="A162" i="82"/>
  <c r="A161" i="82"/>
  <c r="A160" i="82"/>
  <c r="A159" i="82"/>
  <c r="A158" i="82"/>
  <c r="A157" i="82"/>
  <c r="A156" i="82"/>
  <c r="A155" i="82"/>
  <c r="A154" i="82"/>
  <c r="A153" i="82"/>
  <c r="A152" i="82"/>
  <c r="A151" i="82"/>
  <c r="A150" i="82"/>
  <c r="A149" i="82"/>
  <c r="A148" i="82"/>
  <c r="A147" i="82"/>
  <c r="A146" i="82"/>
  <c r="A145" i="82"/>
  <c r="A144" i="82"/>
  <c r="A143" i="82"/>
  <c r="A142" i="82"/>
  <c r="A141" i="82"/>
  <c r="A140" i="82"/>
  <c r="A139" i="82"/>
  <c r="A138" i="82"/>
  <c r="A137" i="82"/>
  <c r="A136" i="82"/>
  <c r="A135" i="82"/>
  <c r="A134" i="82"/>
  <c r="A133" i="82"/>
  <c r="A132" i="82"/>
  <c r="A131" i="82"/>
  <c r="A130" i="82"/>
  <c r="A129" i="82"/>
  <c r="A128" i="82"/>
  <c r="A127" i="82"/>
  <c r="A126" i="82"/>
  <c r="A125" i="82"/>
  <c r="A124" i="82"/>
  <c r="A123" i="82"/>
  <c r="A122" i="82"/>
  <c r="A121" i="82"/>
  <c r="A120" i="82"/>
  <c r="A119" i="82"/>
  <c r="A118" i="82"/>
  <c r="A117" i="82"/>
  <c r="A116" i="82"/>
  <c r="A115" i="82"/>
  <c r="A114" i="82"/>
  <c r="A113" i="82"/>
  <c r="A112" i="82"/>
  <c r="A111" i="82"/>
  <c r="A110" i="82"/>
  <c r="A109" i="82"/>
  <c r="A108" i="82"/>
  <c r="A107" i="82"/>
  <c r="A106" i="82"/>
  <c r="A105" i="82"/>
  <c r="A104" i="82"/>
  <c r="A103" i="82"/>
  <c r="A102" i="82"/>
  <c r="A101" i="82"/>
  <c r="A100" i="82"/>
  <c r="A99" i="82"/>
  <c r="A98" i="82"/>
  <c r="A97" i="82"/>
  <c r="A96" i="82"/>
  <c r="A95" i="82"/>
  <c r="A94" i="82"/>
  <c r="A93" i="82"/>
  <c r="A92" i="82"/>
  <c r="A91" i="82"/>
  <c r="A90" i="82"/>
  <c r="A89" i="82"/>
  <c r="A88" i="82"/>
  <c r="A87" i="82"/>
  <c r="A86" i="82"/>
  <c r="A85" i="82"/>
  <c r="A84" i="82"/>
  <c r="A83" i="82"/>
  <c r="A82" i="82"/>
  <c r="A81" i="82"/>
  <c r="A212" i="82"/>
  <c r="A211" i="82"/>
  <c r="A210" i="82"/>
  <c r="A209" i="82"/>
  <c r="A208" i="82"/>
  <c r="A207" i="82"/>
  <c r="A202" i="82"/>
  <c r="A201" i="82"/>
  <c r="A200" i="82"/>
  <c r="A199" i="82"/>
  <c r="A198" i="82"/>
  <c r="A197" i="82"/>
  <c r="A80" i="82"/>
  <c r="A79" i="82"/>
  <c r="A78" i="82"/>
  <c r="A77" i="82"/>
  <c r="A76" i="82"/>
  <c r="A75" i="82"/>
  <c r="A70" i="82"/>
  <c r="A69" i="82"/>
  <c r="A68" i="82"/>
  <c r="A67" i="82"/>
  <c r="A66" i="82"/>
  <c r="A65" i="82"/>
  <c r="A50" i="82"/>
  <c r="A49" i="82"/>
  <c r="A48" i="82"/>
  <c r="A47" i="82"/>
  <c r="A46" i="82"/>
  <c r="A45" i="82"/>
  <c r="E40" i="82"/>
  <c r="A40" i="82"/>
  <c r="E39" i="82"/>
  <c r="A39" i="82"/>
  <c r="E38" i="82"/>
  <c r="A38" i="82"/>
  <c r="E37" i="82"/>
  <c r="A37" i="82"/>
  <c r="E36" i="82"/>
  <c r="A36" i="82"/>
  <c r="E35" i="82"/>
  <c r="A35" i="82"/>
  <c r="E34" i="82"/>
  <c r="E33" i="82"/>
  <c r="E32" i="82"/>
  <c r="E31" i="82"/>
  <c r="A110" i="81"/>
  <c r="A109" i="81"/>
  <c r="A96" i="81"/>
  <c r="A95" i="81"/>
  <c r="A94" i="81"/>
  <c r="A93" i="81"/>
  <c r="A92" i="81"/>
  <c r="A91" i="81"/>
  <c r="A90" i="81"/>
  <c r="A89" i="81"/>
  <c r="A78" i="81"/>
  <c r="A77" i="81"/>
  <c r="A76" i="81"/>
  <c r="A75" i="81"/>
  <c r="A74" i="81"/>
  <c r="A73" i="81"/>
  <c r="A72" i="81"/>
  <c r="A71" i="81"/>
  <c r="A70" i="81"/>
  <c r="A69" i="81"/>
  <c r="A102" i="81"/>
  <c r="A101" i="81"/>
  <c r="A100" i="81"/>
  <c r="A99" i="81"/>
  <c r="A98" i="81"/>
  <c r="A97" i="81"/>
  <c r="A66" i="81"/>
  <c r="A65" i="81"/>
  <c r="A64" i="81"/>
  <c r="A63" i="81"/>
  <c r="A62" i="81"/>
  <c r="A61" i="81"/>
  <c r="A60" i="81"/>
  <c r="A59" i="81"/>
  <c r="A58" i="81"/>
  <c r="A57" i="81"/>
  <c r="A56" i="81"/>
  <c r="A55" i="81"/>
  <c r="A54" i="81"/>
  <c r="A53" i="81"/>
  <c r="A52" i="81"/>
  <c r="A51" i="81"/>
  <c r="A46" i="81"/>
  <c r="A45" i="81"/>
  <c r="A44" i="81"/>
  <c r="A43" i="81"/>
  <c r="A42" i="81"/>
  <c r="A41" i="81"/>
  <c r="A40" i="81"/>
  <c r="A39" i="81"/>
  <c r="A38" i="81"/>
  <c r="A37" i="81"/>
  <c r="A36" i="81"/>
  <c r="A35" i="81"/>
  <c r="A34" i="81"/>
  <c r="A33" i="81"/>
  <c r="A32" i="81"/>
  <c r="A31" i="81"/>
  <c r="A30" i="81"/>
  <c r="A29" i="81"/>
  <c r="A28" i="81"/>
  <c r="A27" i="81"/>
  <c r="E36" i="81"/>
  <c r="A88" i="81"/>
  <c r="E35" i="81"/>
  <c r="A87" i="81"/>
  <c r="E34" i="81"/>
  <c r="A86" i="81"/>
  <c r="E33" i="81"/>
  <c r="A85" i="81"/>
  <c r="E32" i="81"/>
  <c r="A84" i="81"/>
  <c r="E31" i="81"/>
  <c r="A83" i="81"/>
  <c r="E30" i="81"/>
  <c r="E29" i="81"/>
  <c r="E28" i="81"/>
  <c r="E27" i="81"/>
  <c r="A454" i="89"/>
  <c r="A381" i="89"/>
  <c r="A380" i="89"/>
  <c r="A379" i="89"/>
  <c r="A378" i="89"/>
  <c r="A377" i="89"/>
  <c r="A376" i="89"/>
  <c r="A367" i="89"/>
  <c r="A366" i="89"/>
  <c r="A365" i="89"/>
  <c r="A364" i="89"/>
  <c r="A363" i="89"/>
  <c r="A362" i="89"/>
  <c r="A361" i="89"/>
  <c r="A360" i="89"/>
  <c r="A359" i="89"/>
  <c r="A358" i="89"/>
  <c r="A357" i="89"/>
  <c r="A356" i="89"/>
  <c r="A190" i="89"/>
  <c r="A189" i="89"/>
  <c r="A188" i="89"/>
  <c r="A187" i="89"/>
  <c r="A186" i="89"/>
  <c r="A185" i="89"/>
  <c r="A184" i="89"/>
  <c r="A183" i="89"/>
  <c r="A182" i="89"/>
  <c r="A181" i="89"/>
  <c r="A170" i="89"/>
  <c r="A169" i="89"/>
  <c r="A168" i="89"/>
  <c r="A167" i="89"/>
  <c r="A166" i="89"/>
  <c r="A165" i="89"/>
  <c r="A164" i="89"/>
  <c r="A163" i="89"/>
  <c r="A162" i="89"/>
  <c r="A161" i="89"/>
  <c r="A160" i="89"/>
  <c r="A159" i="89"/>
  <c r="A158" i="89"/>
  <c r="A157" i="89"/>
  <c r="A156" i="89"/>
  <c r="A155" i="89"/>
  <c r="A154" i="89"/>
  <c r="A153" i="89"/>
  <c r="A152" i="89"/>
  <c r="A151" i="89"/>
  <c r="A150" i="89"/>
  <c r="A149" i="89"/>
  <c r="A148" i="89"/>
  <c r="A147" i="89"/>
  <c r="A146" i="89"/>
  <c r="A145" i="89"/>
  <c r="A144" i="89"/>
  <c r="A143" i="89"/>
  <c r="A142" i="89"/>
  <c r="A141" i="89"/>
  <c r="A140" i="89"/>
  <c r="A139" i="89"/>
  <c r="A138" i="89"/>
  <c r="A137" i="89"/>
  <c r="A136" i="89"/>
  <c r="A135" i="89"/>
  <c r="A134" i="89"/>
  <c r="A133" i="89"/>
  <c r="A132" i="89"/>
  <c r="A131" i="89"/>
  <c r="A130" i="89"/>
  <c r="A129" i="89"/>
  <c r="A128" i="89"/>
  <c r="A127" i="89"/>
  <c r="A126" i="89"/>
  <c r="E34" i="89"/>
  <c r="A125" i="89"/>
  <c r="E33" i="89"/>
  <c r="A124" i="89"/>
  <c r="E32" i="89"/>
  <c r="A123" i="89"/>
  <c r="E31" i="89"/>
  <c r="A122" i="89"/>
  <c r="E30" i="89"/>
  <c r="A121" i="89"/>
  <c r="E29" i="89"/>
  <c r="A120" i="89"/>
  <c r="E28" i="89"/>
  <c r="A119" i="89"/>
  <c r="A118" i="89"/>
  <c r="A258" i="80"/>
  <c r="A257" i="80"/>
  <c r="A256" i="80"/>
  <c r="A255" i="80"/>
  <c r="A254" i="80"/>
  <c r="A76" i="80"/>
  <c r="A75" i="80"/>
  <c r="A74" i="80"/>
  <c r="A73" i="80"/>
  <c r="A72" i="80"/>
  <c r="A71" i="80"/>
  <c r="A249" i="80"/>
  <c r="A248" i="80"/>
  <c r="A247" i="80"/>
  <c r="A246" i="80"/>
  <c r="A245" i="80"/>
  <c r="A244" i="80"/>
  <c r="A86" i="80"/>
  <c r="A85" i="80"/>
  <c r="A84" i="80"/>
  <c r="A83" i="80"/>
  <c r="A82" i="80"/>
  <c r="A81" i="80"/>
  <c r="A239" i="80"/>
  <c r="A238" i="80"/>
  <c r="A237" i="80"/>
  <c r="A236" i="80"/>
  <c r="A235" i="80"/>
  <c r="A234" i="80"/>
  <c r="A229" i="80"/>
  <c r="A228" i="80"/>
  <c r="A227" i="80"/>
  <c r="A226" i="80"/>
  <c r="A225" i="80"/>
  <c r="A224" i="80"/>
  <c r="A219" i="80"/>
  <c r="A218" i="80"/>
  <c r="A217" i="80"/>
  <c r="A216" i="80"/>
  <c r="A215" i="80"/>
  <c r="A214" i="80"/>
  <c r="A209" i="80"/>
  <c r="A208" i="80"/>
  <c r="A207" i="80"/>
  <c r="A206" i="80"/>
  <c r="A205" i="80"/>
  <c r="A204" i="80"/>
  <c r="A356" i="80"/>
  <c r="A355" i="80"/>
  <c r="A354" i="80"/>
  <c r="A353" i="80"/>
  <c r="A327" i="80"/>
  <c r="A326" i="80"/>
  <c r="A325" i="80"/>
  <c r="A324" i="80"/>
  <c r="A352" i="80"/>
  <c r="A351" i="80"/>
  <c r="A350" i="80"/>
  <c r="A349" i="80"/>
  <c r="A179" i="80"/>
  <c r="A178" i="80"/>
  <c r="A177" i="80"/>
  <c r="A176" i="80"/>
  <c r="A175" i="80"/>
  <c r="A174" i="80"/>
  <c r="A173" i="80"/>
  <c r="A172" i="80"/>
  <c r="A171" i="80"/>
  <c r="A170" i="80"/>
  <c r="A159" i="80"/>
  <c r="A158" i="80"/>
  <c r="A157" i="80"/>
  <c r="A156" i="80"/>
  <c r="A155" i="80"/>
  <c r="A154" i="80"/>
  <c r="A153" i="80"/>
  <c r="A152" i="80"/>
  <c r="A151" i="80"/>
  <c r="A150" i="80"/>
  <c r="A149" i="80"/>
  <c r="A148" i="80"/>
  <c r="A147" i="80"/>
  <c r="A126" i="80"/>
  <c r="A125" i="80"/>
  <c r="A124" i="80"/>
  <c r="A123" i="80"/>
  <c r="A122" i="80"/>
  <c r="A121" i="80"/>
  <c r="A120" i="80"/>
  <c r="A119" i="80"/>
  <c r="A118" i="80"/>
  <c r="A117" i="80"/>
  <c r="A319" i="80"/>
  <c r="A318" i="80"/>
  <c r="A317" i="80"/>
  <c r="A316" i="80"/>
  <c r="A315" i="80"/>
  <c r="A314" i="80"/>
  <c r="A313" i="80"/>
  <c r="A312" i="80"/>
  <c r="A311" i="80"/>
  <c r="A310" i="80"/>
  <c r="A36" i="80"/>
  <c r="A35" i="80"/>
  <c r="A34" i="80"/>
  <c r="A33" i="80"/>
  <c r="A32" i="80"/>
  <c r="A31" i="80"/>
  <c r="A30" i="80"/>
  <c r="A29" i="80"/>
  <c r="A28" i="80"/>
  <c r="A27" i="80"/>
  <c r="E36" i="80"/>
  <c r="E35" i="80"/>
  <c r="E34" i="80"/>
  <c r="E33" i="80"/>
  <c r="E32" i="80"/>
  <c r="E31" i="80"/>
  <c r="E30" i="80"/>
  <c r="E29" i="80"/>
  <c r="E28" i="80"/>
  <c r="E27" i="80"/>
  <c r="A366" i="73"/>
  <c r="A365" i="73"/>
  <c r="A364" i="73"/>
  <c r="A363" i="73"/>
  <c r="A362" i="73"/>
  <c r="A361" i="73"/>
  <c r="A360" i="73"/>
  <c r="A359" i="73"/>
  <c r="A358" i="73"/>
  <c r="A357" i="73"/>
  <c r="A352" i="73"/>
  <c r="A351" i="73"/>
  <c r="A350" i="73"/>
  <c r="A349" i="73"/>
  <c r="A348" i="73"/>
  <c r="A347" i="73"/>
  <c r="A346" i="73"/>
  <c r="A345" i="73"/>
  <c r="A344" i="73"/>
  <c r="A343" i="73"/>
  <c r="A342" i="73"/>
  <c r="A341" i="73"/>
  <c r="A340" i="73"/>
  <c r="A339" i="73"/>
  <c r="A338" i="73"/>
  <c r="A337" i="73"/>
  <c r="A336" i="73"/>
  <c r="A335" i="73"/>
  <c r="A334" i="73"/>
  <c r="A333" i="73"/>
  <c r="A332" i="73"/>
  <c r="A331" i="73"/>
  <c r="A330" i="73"/>
  <c r="A329" i="73"/>
  <c r="A328" i="73"/>
  <c r="A327" i="73"/>
  <c r="A326" i="73"/>
  <c r="A325" i="73"/>
  <c r="A324" i="73"/>
  <c r="A323" i="73"/>
  <c r="A322" i="73"/>
  <c r="A321" i="73"/>
  <c r="A320" i="73"/>
  <c r="A319" i="73"/>
  <c r="A318" i="73"/>
  <c r="A317" i="73"/>
  <c r="A316" i="73"/>
  <c r="A315" i="73"/>
  <c r="A314" i="73"/>
  <c r="A313" i="73"/>
  <c r="A312" i="73"/>
  <c r="A311" i="73"/>
  <c r="A310" i="73"/>
  <c r="A309" i="73"/>
  <c r="A308" i="73"/>
  <c r="A307" i="73"/>
  <c r="A306" i="73"/>
  <c r="A305" i="73"/>
  <c r="A304" i="73"/>
  <c r="A303" i="73"/>
  <c r="A302" i="73"/>
  <c r="A301" i="73"/>
  <c r="A300" i="73"/>
  <c r="A299" i="73"/>
  <c r="A298" i="73"/>
  <c r="A297" i="73"/>
  <c r="A296" i="73"/>
  <c r="A295" i="73"/>
  <c r="A294" i="73"/>
  <c r="A293" i="73"/>
  <c r="A292" i="73"/>
  <c r="A291" i="73"/>
  <c r="A290" i="73"/>
  <c r="A289" i="73"/>
  <c r="A288" i="73"/>
  <c r="A287" i="73"/>
  <c r="A286" i="73"/>
  <c r="A285" i="73"/>
  <c r="A284" i="73"/>
  <c r="A283" i="73"/>
  <c r="A282" i="73"/>
  <c r="A281" i="73"/>
  <c r="A280" i="73"/>
  <c r="A279" i="73"/>
  <c r="A278" i="73"/>
  <c r="A277" i="73"/>
  <c r="A276" i="73"/>
  <c r="A275" i="73"/>
  <c r="A274" i="73"/>
  <c r="A273" i="73"/>
  <c r="A272" i="73"/>
  <c r="A271" i="73"/>
  <c r="A270" i="73"/>
  <c r="A269" i="73"/>
  <c r="A268" i="73"/>
  <c r="A267" i="73"/>
  <c r="A260" i="73"/>
  <c r="A259" i="73"/>
  <c r="A258" i="73"/>
  <c r="A257" i="73"/>
  <c r="A256" i="73"/>
  <c r="A255" i="73"/>
  <c r="A254" i="73"/>
  <c r="A253" i="73"/>
  <c r="A252" i="73"/>
  <c r="A251" i="73"/>
  <c r="A250" i="73"/>
  <c r="A249" i="73"/>
  <c r="A238" i="73"/>
  <c r="A237" i="73"/>
  <c r="A236" i="73"/>
  <c r="A235" i="73"/>
  <c r="A234" i="73"/>
  <c r="A233" i="73"/>
  <c r="A232" i="73"/>
  <c r="A231" i="73"/>
  <c r="A230" i="73"/>
  <c r="A229" i="73"/>
  <c r="A228" i="73"/>
  <c r="A227" i="73"/>
  <c r="A226" i="73"/>
  <c r="A225" i="73"/>
  <c r="A224" i="73"/>
  <c r="A223" i="73"/>
  <c r="A222" i="73"/>
  <c r="A221" i="73"/>
  <c r="A220" i="73"/>
  <c r="A219" i="73"/>
  <c r="A218" i="73"/>
  <c r="A217" i="73"/>
  <c r="A216" i="73"/>
  <c r="A215" i="73"/>
  <c r="A214" i="73"/>
  <c r="A213" i="73"/>
  <c r="A212" i="73"/>
  <c r="A211" i="73"/>
  <c r="A210" i="73"/>
  <c r="A209" i="73"/>
  <c r="A208" i="73"/>
  <c r="A207" i="73"/>
  <c r="A206" i="73"/>
  <c r="A205" i="73"/>
  <c r="A204" i="73"/>
  <c r="A203" i="73"/>
  <c r="A202" i="73"/>
  <c r="A201" i="73"/>
  <c r="A200" i="73"/>
  <c r="A199" i="73"/>
  <c r="A198" i="73"/>
  <c r="A197" i="73"/>
  <c r="A196" i="73"/>
  <c r="A195" i="73"/>
  <c r="A194" i="73"/>
  <c r="A193" i="73"/>
  <c r="A192" i="73"/>
  <c r="A191" i="73"/>
  <c r="A190" i="73"/>
  <c r="A189" i="73"/>
  <c r="A188" i="73"/>
  <c r="A187" i="73"/>
  <c r="A184" i="73"/>
  <c r="A183" i="73"/>
  <c r="A182" i="73"/>
  <c r="A181" i="73"/>
  <c r="A180" i="73"/>
  <c r="A179" i="73"/>
  <c r="A178" i="73"/>
  <c r="A177" i="73"/>
  <c r="A176" i="73"/>
  <c r="A175" i="73"/>
  <c r="A174" i="73"/>
  <c r="A173" i="73"/>
  <c r="A172" i="73"/>
  <c r="A171" i="73"/>
  <c r="A170" i="73"/>
  <c r="A169" i="73"/>
  <c r="A168" i="73"/>
  <c r="A167" i="73"/>
  <c r="A166" i="73"/>
  <c r="A165" i="73"/>
  <c r="A164" i="73"/>
  <c r="A163" i="73"/>
  <c r="A162" i="73"/>
  <c r="A161" i="73"/>
  <c r="A160" i="73"/>
  <c r="A159" i="73"/>
  <c r="A158" i="73"/>
  <c r="A157" i="73"/>
  <c r="A156" i="73"/>
  <c r="A155" i="73"/>
  <c r="A154" i="73"/>
  <c r="A153" i="73"/>
  <c r="A152" i="73"/>
  <c r="A151" i="73"/>
  <c r="A150" i="73"/>
  <c r="A149" i="73"/>
  <c r="A148" i="73"/>
  <c r="A147" i="73"/>
  <c r="A146" i="73"/>
  <c r="A145" i="73"/>
  <c r="A134" i="73"/>
  <c r="A133" i="73"/>
  <c r="A132" i="73"/>
  <c r="A131" i="73"/>
  <c r="A130" i="73"/>
  <c r="A129" i="73"/>
  <c r="A128" i="73"/>
  <c r="A127" i="73"/>
  <c r="A126" i="73"/>
  <c r="A125" i="73"/>
  <c r="A44" i="73"/>
  <c r="A43" i="73"/>
  <c r="A42" i="73"/>
  <c r="A41" i="73"/>
  <c r="A40" i="73"/>
  <c r="A39" i="73"/>
  <c r="A38" i="73"/>
  <c r="A37" i="73"/>
  <c r="A36" i="73"/>
  <c r="A35" i="73"/>
  <c r="A124" i="73"/>
  <c r="A123" i="73"/>
  <c r="A122" i="73"/>
  <c r="A121" i="73"/>
  <c r="A120" i="73"/>
  <c r="A119" i="73"/>
  <c r="A118" i="73"/>
  <c r="A117" i="73"/>
  <c r="A116" i="73"/>
  <c r="A115" i="73"/>
  <c r="A94" i="73"/>
  <c r="A93" i="73"/>
  <c r="A92" i="73"/>
  <c r="A91" i="73"/>
  <c r="A90" i="73"/>
  <c r="A89" i="73"/>
  <c r="A88" i="73"/>
  <c r="A87" i="73"/>
  <c r="A86" i="73"/>
  <c r="A85" i="73"/>
  <c r="A84" i="73"/>
  <c r="A83" i="73"/>
  <c r="A82" i="73"/>
  <c r="A81" i="73"/>
  <c r="A80" i="73"/>
  <c r="A79" i="73"/>
  <c r="A78" i="73"/>
  <c r="A77" i="73"/>
  <c r="A76" i="73"/>
  <c r="A75" i="73"/>
  <c r="A74" i="73"/>
  <c r="A73" i="73"/>
  <c r="A72" i="73"/>
  <c r="A71" i="73"/>
  <c r="A70" i="73"/>
  <c r="A69" i="73"/>
  <c r="A68" i="73"/>
  <c r="A67" i="73"/>
  <c r="A66" i="73"/>
  <c r="A65" i="73"/>
  <c r="A64" i="73"/>
  <c r="A63" i="73"/>
  <c r="A62" i="73"/>
  <c r="A61" i="73"/>
  <c r="A60" i="73"/>
  <c r="A59" i="73"/>
  <c r="A58" i="73"/>
  <c r="A57" i="73"/>
  <c r="A56" i="73"/>
  <c r="A55" i="73"/>
  <c r="A54" i="73"/>
  <c r="A53" i="73"/>
  <c r="A52" i="73"/>
  <c r="A51" i="73"/>
  <c r="A50" i="73"/>
  <c r="A49" i="73"/>
  <c r="A48" i="73"/>
  <c r="A47" i="73"/>
  <c r="A46" i="73"/>
  <c r="A45" i="73"/>
  <c r="A114" i="73"/>
  <c r="A113" i="73"/>
  <c r="A112" i="73"/>
  <c r="A111" i="73"/>
  <c r="A110" i="73"/>
  <c r="A109" i="73"/>
  <c r="A108" i="73"/>
  <c r="A107" i="73"/>
  <c r="A106" i="73"/>
  <c r="A105" i="73"/>
  <c r="A127" i="66"/>
  <c r="A126" i="66"/>
  <c r="A125" i="66"/>
  <c r="A124" i="66"/>
  <c r="A123" i="66"/>
  <c r="A122" i="66"/>
  <c r="A121" i="66"/>
  <c r="A120" i="66"/>
  <c r="A119" i="66"/>
  <c r="A118" i="66"/>
  <c r="A117" i="66"/>
  <c r="A116" i="66"/>
  <c r="A115" i="66"/>
  <c r="A114" i="66"/>
  <c r="A113" i="66"/>
  <c r="A112" i="66"/>
  <c r="A111" i="66"/>
  <c r="A110" i="66"/>
  <c r="A109" i="66"/>
  <c r="A108" i="66"/>
  <c r="A107" i="66"/>
  <c r="A106" i="66"/>
  <c r="A99" i="66"/>
  <c r="A98" i="66"/>
  <c r="A97" i="66"/>
  <c r="A96" i="66"/>
  <c r="A95" i="66"/>
  <c r="A94" i="66"/>
  <c r="A93" i="66"/>
  <c r="A92" i="66"/>
  <c r="A81" i="66"/>
  <c r="A80" i="66"/>
  <c r="A79" i="66"/>
  <c r="A78" i="66"/>
  <c r="A77" i="66"/>
  <c r="A76" i="66"/>
  <c r="A75" i="66"/>
  <c r="A74" i="66"/>
  <c r="A73" i="66"/>
  <c r="A72" i="66"/>
  <c r="A105" i="66"/>
  <c r="A104" i="66"/>
  <c r="A103" i="66"/>
  <c r="A102" i="66"/>
  <c r="A101" i="66"/>
  <c r="A100" i="66"/>
  <c r="A69" i="66"/>
  <c r="A68" i="66"/>
  <c r="A67" i="66"/>
  <c r="A66" i="66"/>
  <c r="A65" i="66"/>
  <c r="A64" i="66"/>
  <c r="A63" i="66"/>
  <c r="A62" i="66"/>
  <c r="A61" i="66"/>
  <c r="A60" i="66"/>
  <c r="A91" i="66"/>
  <c r="A90" i="66"/>
  <c r="A89" i="66"/>
  <c r="A88" i="66"/>
  <c r="A87" i="66"/>
  <c r="A86" i="66"/>
  <c r="A85" i="66"/>
  <c r="A84" i="66"/>
  <c r="A83" i="66"/>
  <c r="A82" i="66"/>
  <c r="A233" i="79"/>
  <c r="A232" i="79"/>
  <c r="A231" i="79"/>
  <c r="A230" i="79"/>
  <c r="A229" i="79"/>
  <c r="A228" i="79"/>
  <c r="A227" i="79"/>
  <c r="A226" i="79"/>
  <c r="A225" i="79"/>
  <c r="A224" i="79"/>
  <c r="A223" i="79"/>
  <c r="A222" i="79"/>
  <c r="A221" i="79"/>
  <c r="A220" i="79"/>
  <c r="A207" i="79"/>
  <c r="A206" i="79"/>
  <c r="A205" i="79"/>
  <c r="A204" i="79"/>
  <c r="A203" i="79"/>
  <c r="A202" i="79"/>
  <c r="A185" i="79"/>
  <c r="A184" i="79"/>
  <c r="A183" i="79"/>
  <c r="A182" i="79"/>
  <c r="A181" i="79"/>
  <c r="A180" i="79"/>
  <c r="A179" i="79"/>
  <c r="A178" i="79"/>
  <c r="A177" i="79"/>
  <c r="A176" i="79"/>
  <c r="A175" i="79"/>
  <c r="A174" i="79"/>
  <c r="A173" i="79"/>
  <c r="A172" i="79"/>
  <c r="A171" i="79"/>
  <c r="A170" i="79"/>
  <c r="A169" i="79"/>
  <c r="A168" i="79"/>
  <c r="A167" i="79"/>
  <c r="A166" i="79"/>
  <c r="A165" i="79"/>
  <c r="A164" i="79"/>
  <c r="A163" i="79"/>
  <c r="A162" i="79"/>
  <c r="A161" i="79"/>
  <c r="A160" i="79"/>
  <c r="A201" i="79"/>
  <c r="A200" i="79"/>
  <c r="A199" i="79"/>
  <c r="A198" i="79"/>
  <c r="A197" i="79"/>
  <c r="A196" i="79"/>
  <c r="A195" i="79"/>
  <c r="A194" i="79"/>
  <c r="A193" i="79"/>
  <c r="A192" i="79"/>
  <c r="A191" i="79"/>
  <c r="A190" i="79"/>
  <c r="A77" i="79"/>
  <c r="A76" i="79"/>
  <c r="A75" i="79"/>
  <c r="A74" i="79"/>
  <c r="A73" i="79"/>
  <c r="A72" i="79"/>
  <c r="A71" i="79"/>
  <c r="A70" i="79"/>
  <c r="A69" i="79"/>
  <c r="A68" i="79"/>
  <c r="A67" i="79"/>
  <c r="A66" i="79"/>
  <c r="A65" i="79"/>
  <c r="A64" i="79"/>
  <c r="A63" i="79"/>
  <c r="A62" i="79"/>
  <c r="A61" i="79"/>
  <c r="A60" i="79"/>
  <c r="A59" i="79"/>
  <c r="A58" i="79"/>
  <c r="A57" i="79"/>
  <c r="A56" i="79"/>
  <c r="A55" i="79"/>
  <c r="A54" i="79"/>
  <c r="A53" i="79"/>
  <c r="A52" i="79"/>
  <c r="A51" i="79"/>
  <c r="A50" i="79"/>
  <c r="A49" i="79"/>
  <c r="A48" i="79"/>
  <c r="A153" i="65"/>
  <c r="A152" i="65"/>
  <c r="A151" i="65"/>
  <c r="A150" i="65"/>
  <c r="A149" i="65"/>
  <c r="A148" i="65"/>
  <c r="A147" i="65"/>
  <c r="A146" i="65"/>
  <c r="A139" i="65"/>
  <c r="A138" i="65"/>
  <c r="A137" i="65"/>
  <c r="A136" i="65"/>
  <c r="A135" i="65"/>
  <c r="A134" i="65"/>
  <c r="A133" i="65"/>
  <c r="A132" i="65"/>
  <c r="A131" i="65"/>
  <c r="A130" i="65"/>
  <c r="A129" i="65"/>
  <c r="A128" i="65"/>
  <c r="A127" i="65"/>
  <c r="A126" i="65"/>
  <c r="A125" i="65"/>
  <c r="A124" i="65"/>
  <c r="A123" i="65"/>
  <c r="A122" i="65"/>
  <c r="A121" i="65"/>
  <c r="A120" i="65"/>
  <c r="A119" i="65"/>
  <c r="A118" i="65"/>
  <c r="A117" i="65"/>
  <c r="A116" i="65"/>
  <c r="A115" i="65"/>
  <c r="A114" i="65"/>
  <c r="A113" i="65"/>
  <c r="A112" i="65"/>
  <c r="A111" i="65"/>
  <c r="A110" i="65"/>
  <c r="A109" i="65"/>
  <c r="A108" i="65"/>
  <c r="A107" i="65"/>
  <c r="A106" i="65"/>
  <c r="A105" i="65"/>
  <c r="A104" i="65"/>
  <c r="A103" i="65"/>
  <c r="A102" i="65"/>
  <c r="A145" i="65"/>
  <c r="A144" i="65"/>
  <c r="A143" i="65"/>
  <c r="A142" i="65"/>
  <c r="A141" i="65"/>
  <c r="A140" i="65"/>
  <c r="A99" i="65"/>
  <c r="A98" i="65"/>
  <c r="A97" i="65"/>
  <c r="A96" i="65"/>
  <c r="A95" i="65"/>
  <c r="A94" i="65"/>
  <c r="A93" i="65"/>
  <c r="A92" i="65"/>
  <c r="A91" i="65"/>
  <c r="A90" i="65"/>
  <c r="A79" i="65"/>
  <c r="A78" i="65"/>
  <c r="A77" i="65"/>
  <c r="A76" i="65"/>
  <c r="A75" i="65"/>
  <c r="A74" i="65"/>
  <c r="A73" i="65"/>
  <c r="A72" i="65"/>
  <c r="A71" i="65"/>
  <c r="A70" i="65"/>
  <c r="A69" i="65"/>
  <c r="A68" i="65"/>
  <c r="A67" i="65"/>
  <c r="A66" i="65"/>
  <c r="A65" i="65"/>
  <c r="A64" i="65"/>
  <c r="A63" i="65"/>
  <c r="A62" i="65"/>
  <c r="A61" i="65"/>
  <c r="A60" i="65"/>
  <c r="A59" i="65"/>
  <c r="A58" i="65"/>
  <c r="A57" i="65"/>
  <c r="A56" i="65"/>
  <c r="A55" i="65"/>
  <c r="A54" i="65"/>
  <c r="A53" i="65"/>
  <c r="A52" i="65"/>
  <c r="A51" i="65"/>
  <c r="A50" i="65"/>
  <c r="A49" i="65"/>
  <c r="A48" i="65"/>
  <c r="A47" i="65"/>
  <c r="A46" i="65"/>
  <c r="A45" i="65"/>
  <c r="A44" i="65"/>
  <c r="A43" i="65"/>
  <c r="A42" i="65"/>
  <c r="A41" i="65"/>
  <c r="A40" i="65"/>
  <c r="A39" i="65"/>
  <c r="A38" i="65"/>
  <c r="A37" i="65"/>
  <c r="A36" i="65"/>
  <c r="A35" i="65"/>
  <c r="A34" i="65"/>
  <c r="A33" i="65"/>
  <c r="A32" i="65"/>
  <c r="A31" i="65"/>
  <c r="A30" i="65"/>
  <c r="A30" i="49"/>
  <c r="A29" i="49"/>
  <c r="A28" i="49"/>
  <c r="A27" i="49"/>
  <c r="A26" i="49"/>
  <c r="A25" i="49"/>
  <c r="A24" i="49"/>
  <c r="A23" i="49"/>
  <c r="A92" i="39"/>
  <c r="A91" i="39"/>
  <c r="A90" i="39"/>
  <c r="A89" i="39"/>
  <c r="A88" i="39"/>
  <c r="A87" i="39"/>
  <c r="A83" i="39"/>
  <c r="A82" i="39"/>
  <c r="A81" i="39"/>
  <c r="A80" i="39"/>
  <c r="A79" i="39"/>
  <c r="A78" i="39"/>
  <c r="A77" i="39"/>
  <c r="A76" i="39"/>
  <c r="A75" i="39"/>
  <c r="A74" i="39"/>
  <c r="A72" i="39"/>
  <c r="A71" i="39"/>
  <c r="A70" i="39"/>
  <c r="A68" i="39"/>
  <c r="A67" i="39"/>
  <c r="A66" i="39"/>
  <c r="A65" i="39"/>
  <c r="A64" i="39"/>
  <c r="A62" i="39"/>
  <c r="A61" i="39"/>
  <c r="A59" i="39"/>
  <c r="A58" i="39"/>
  <c r="A57" i="39"/>
  <c r="A56" i="39"/>
  <c r="A55" i="39"/>
  <c r="A54" i="39"/>
  <c r="A52" i="39"/>
  <c r="A50" i="39"/>
  <c r="A49" i="39"/>
  <c r="A48" i="39"/>
  <c r="A47" i="39"/>
  <c r="A46" i="39"/>
  <c r="A45" i="39"/>
  <c r="A44" i="39"/>
  <c r="A47" i="69"/>
  <c r="A46" i="69"/>
  <c r="A45" i="69"/>
  <c r="A44" i="69"/>
  <c r="A43" i="69"/>
  <c r="A42" i="69"/>
  <c r="A41" i="69"/>
  <c r="A40" i="69"/>
  <c r="A39" i="69"/>
  <c r="A38" i="69"/>
  <c r="A37" i="69"/>
  <c r="A36" i="69"/>
  <c r="A35" i="69"/>
  <c r="A34" i="69"/>
  <c r="A33" i="69"/>
  <c r="A32" i="69"/>
  <c r="A31" i="69"/>
  <c r="A30" i="69"/>
  <c r="A177" i="18"/>
  <c r="A176" i="18"/>
  <c r="A175" i="18"/>
  <c r="A174" i="18"/>
  <c r="A173" i="18"/>
  <c r="A172" i="18"/>
  <c r="A171" i="18"/>
  <c r="A170" i="18"/>
  <c r="A169" i="18"/>
  <c r="A168" i="18"/>
  <c r="A167" i="18"/>
  <c r="A166" i="18"/>
  <c r="A165" i="18"/>
  <c r="A164" i="18"/>
  <c r="A163" i="18"/>
  <c r="A162" i="18"/>
  <c r="A161" i="18"/>
  <c r="A160" i="18"/>
  <c r="A159" i="18"/>
  <c r="A158" i="18"/>
  <c r="A157" i="18"/>
  <c r="A156" i="18"/>
  <c r="A155" i="18"/>
  <c r="A154" i="18"/>
  <c r="A153" i="18"/>
  <c r="A152" i="18"/>
  <c r="A151" i="18"/>
  <c r="A150" i="18"/>
  <c r="A149" i="18"/>
  <c r="A148" i="18"/>
  <c r="A147" i="18"/>
  <c r="A146" i="18"/>
  <c r="A145" i="18"/>
  <c r="A144" i="18"/>
  <c r="A143" i="18"/>
  <c r="A142" i="18"/>
  <c r="A141" i="18"/>
  <c r="A140" i="18"/>
  <c r="A139" i="18"/>
  <c r="A138" i="18"/>
  <c r="A137" i="18"/>
  <c r="A136" i="18"/>
  <c r="A135" i="18"/>
  <c r="A134" i="18"/>
  <c r="A133" i="18"/>
  <c r="A132" i="18"/>
  <c r="A131" i="18"/>
  <c r="A130" i="18"/>
  <c r="A129" i="18"/>
  <c r="A128" i="18"/>
  <c r="A127" i="18"/>
  <c r="A126" i="18"/>
  <c r="A125" i="18"/>
  <c r="A124" i="18"/>
  <c r="A123" i="18"/>
  <c r="A122" i="18"/>
  <c r="A121" i="18"/>
  <c r="A120" i="18"/>
  <c r="A119" i="18"/>
  <c r="A116" i="18"/>
  <c r="A115" i="18"/>
  <c r="A114" i="18"/>
  <c r="A113" i="18"/>
  <c r="A112" i="18"/>
  <c r="A111" i="18"/>
  <c r="A110" i="18"/>
  <c r="A109" i="18"/>
  <c r="A108" i="18"/>
  <c r="A107" i="18"/>
  <c r="A96" i="18"/>
  <c r="A95" i="18"/>
  <c r="A94" i="18"/>
  <c r="A93" i="18"/>
  <c r="A92" i="18"/>
  <c r="A91" i="18"/>
  <c r="A90" i="18"/>
  <c r="A89" i="18"/>
  <c r="A88" i="18"/>
  <c r="A87" i="18"/>
  <c r="A86" i="18"/>
  <c r="A85" i="18"/>
  <c r="A84" i="18"/>
  <c r="A83" i="18"/>
  <c r="A82" i="18"/>
  <c r="A81" i="18"/>
  <c r="A80" i="18"/>
  <c r="A79" i="18"/>
  <c r="A78" i="18"/>
  <c r="A77" i="18"/>
  <c r="A76" i="18"/>
  <c r="A75" i="18"/>
  <c r="A74" i="18"/>
  <c r="A73" i="18"/>
  <c r="A72" i="18"/>
  <c r="A71" i="18"/>
  <c r="A70" i="18"/>
  <c r="A69" i="18"/>
  <c r="A68" i="18"/>
  <c r="A67" i="18"/>
  <c r="A66" i="18"/>
  <c r="A65" i="18"/>
  <c r="A64" i="18"/>
  <c r="A63" i="18"/>
  <c r="A62" i="18"/>
  <c r="A61" i="18"/>
  <c r="A60" i="18"/>
  <c r="A59" i="18"/>
  <c r="A58" i="18"/>
  <c r="A57" i="18"/>
  <c r="A46" i="18"/>
  <c r="A45" i="18"/>
  <c r="A44" i="18"/>
  <c r="A43" i="18"/>
  <c r="A42" i="18"/>
  <c r="A41" i="18"/>
  <c r="A40" i="18"/>
  <c r="A39" i="18"/>
  <c r="A38" i="18"/>
  <c r="A37" i="18"/>
  <c r="A170" i="62"/>
  <c r="A169" i="62"/>
  <c r="A168" i="62"/>
  <c r="A167" i="62"/>
  <c r="A166" i="62"/>
  <c r="A165" i="62"/>
  <c r="A164" i="62"/>
  <c r="A163" i="62"/>
  <c r="A162" i="62"/>
  <c r="A161" i="62"/>
  <c r="A160" i="62"/>
  <c r="A159" i="62"/>
  <c r="A158" i="62"/>
  <c r="A157" i="62"/>
  <c r="A156" i="62"/>
  <c r="A155" i="62"/>
  <c r="A154" i="62"/>
  <c r="A153" i="62"/>
  <c r="A152" i="62"/>
  <c r="A151" i="62"/>
  <c r="A150" i="62"/>
  <c r="A149" i="62"/>
  <c r="A148" i="62"/>
  <c r="A147" i="62"/>
  <c r="A146" i="62"/>
  <c r="A145" i="62"/>
  <c r="A144" i="62"/>
  <c r="A143" i="62"/>
  <c r="A142" i="62"/>
  <c r="A141" i="62"/>
  <c r="A140" i="62"/>
  <c r="A139" i="62"/>
  <c r="A138" i="62"/>
  <c r="A137" i="62"/>
  <c r="A136" i="62"/>
  <c r="A135" i="62"/>
  <c r="A134" i="62"/>
  <c r="A133" i="62"/>
  <c r="A132" i="62"/>
  <c r="A131" i="62"/>
  <c r="A130" i="62"/>
  <c r="A129" i="62"/>
  <c r="A128" i="62"/>
  <c r="A127" i="62"/>
  <c r="A126" i="62"/>
  <c r="A125" i="62"/>
  <c r="A124" i="62"/>
  <c r="A123" i="62"/>
  <c r="A122" i="62"/>
  <c r="A121" i="62"/>
  <c r="A120" i="62"/>
  <c r="A119" i="62"/>
  <c r="A118" i="62"/>
  <c r="A117" i="62"/>
  <c r="A116" i="62"/>
  <c r="A115" i="62"/>
  <c r="A114" i="62"/>
  <c r="A113" i="62"/>
  <c r="A110" i="62"/>
  <c r="A109" i="62"/>
  <c r="A108" i="62"/>
  <c r="A107" i="62"/>
  <c r="A106" i="62"/>
  <c r="A105" i="62"/>
  <c r="A104" i="62"/>
  <c r="A103" i="62"/>
  <c r="A102" i="62"/>
  <c r="A101" i="62"/>
  <c r="A90" i="62"/>
  <c r="A89" i="62"/>
  <c r="A88" i="62"/>
  <c r="A87" i="62"/>
  <c r="A86" i="62"/>
  <c r="A85" i="62"/>
  <c r="A84" i="62"/>
  <c r="A83" i="62"/>
  <c r="A82" i="62"/>
  <c r="A81" i="62"/>
  <c r="A80" i="62"/>
  <c r="A79" i="62"/>
  <c r="A78" i="62"/>
  <c r="A77" i="62"/>
  <c r="A76" i="62"/>
  <c r="A75" i="62"/>
  <c r="A74" i="62"/>
  <c r="A73" i="62"/>
  <c r="A72" i="62"/>
  <c r="A71" i="62"/>
  <c r="A70" i="62"/>
  <c r="A69" i="62"/>
  <c r="A68" i="62"/>
  <c r="A67" i="62"/>
  <c r="A66" i="62"/>
  <c r="A65" i="62"/>
  <c r="A64" i="62"/>
  <c r="A63" i="62"/>
  <c r="A62" i="62"/>
  <c r="A61" i="62"/>
  <c r="A60" i="62"/>
  <c r="A59" i="62"/>
  <c r="A58" i="62"/>
  <c r="A57" i="62"/>
  <c r="A56" i="62"/>
  <c r="A55" i="62"/>
  <c r="A54" i="62"/>
  <c r="A53" i="62"/>
  <c r="A52" i="62"/>
  <c r="A51" i="62"/>
  <c r="A40" i="62"/>
  <c r="A39" i="62"/>
  <c r="A38" i="62"/>
  <c r="A37" i="62"/>
  <c r="A36" i="62"/>
  <c r="A35" i="62"/>
  <c r="A34" i="62"/>
  <c r="A33" i="62"/>
  <c r="A32" i="62"/>
  <c r="A31" i="62"/>
  <c r="A170" i="64"/>
  <c r="A169" i="64"/>
  <c r="A168" i="64"/>
  <c r="A167" i="64"/>
  <c r="A166" i="64"/>
  <c r="A165" i="64"/>
  <c r="A164" i="64"/>
  <c r="A163" i="64"/>
  <c r="A162" i="64"/>
  <c r="A161" i="64"/>
  <c r="A160" i="64"/>
  <c r="A159" i="64"/>
  <c r="A158" i="64"/>
  <c r="A157" i="64"/>
  <c r="A156" i="64"/>
  <c r="A155" i="64"/>
  <c r="A154" i="64"/>
  <c r="A153" i="64"/>
  <c r="A152" i="64"/>
  <c r="A151" i="64"/>
  <c r="A150" i="64"/>
  <c r="A149" i="64"/>
  <c r="A148" i="64"/>
  <c r="A147" i="64"/>
  <c r="A146" i="64"/>
  <c r="A145" i="64"/>
  <c r="A144" i="64"/>
  <c r="A143" i="64"/>
  <c r="A142" i="64"/>
  <c r="A141" i="64"/>
  <c r="A140" i="64"/>
  <c r="A139" i="64"/>
  <c r="A138" i="64"/>
  <c r="A137" i="64"/>
  <c r="A136" i="64"/>
  <c r="A135" i="64"/>
  <c r="A134" i="64"/>
  <c r="A133" i="64"/>
  <c r="A132" i="64"/>
  <c r="A131" i="64"/>
  <c r="A130" i="64"/>
  <c r="A129" i="64"/>
  <c r="A128" i="64"/>
  <c r="A127" i="64"/>
  <c r="A126" i="64"/>
  <c r="A125" i="64"/>
  <c r="A124" i="64"/>
  <c r="A123" i="64"/>
  <c r="A122" i="64"/>
  <c r="A121" i="64"/>
  <c r="A120" i="64"/>
  <c r="A119" i="64"/>
  <c r="A116" i="64"/>
  <c r="A115" i="64"/>
  <c r="A114" i="64"/>
  <c r="A113" i="64"/>
  <c r="A112" i="64"/>
  <c r="A111" i="64"/>
  <c r="A110" i="64"/>
  <c r="A109" i="64"/>
  <c r="A108" i="64"/>
  <c r="A107" i="64"/>
  <c r="A96" i="64"/>
  <c r="A95" i="64"/>
  <c r="A94" i="64"/>
  <c r="A93" i="64"/>
  <c r="A92" i="64"/>
  <c r="A91" i="64"/>
  <c r="A90" i="64"/>
  <c r="A89" i="64"/>
  <c r="A88" i="64"/>
  <c r="A87" i="64"/>
  <c r="A86" i="64"/>
  <c r="A85" i="64"/>
  <c r="A84" i="64"/>
  <c r="A83" i="64"/>
  <c r="A82" i="64"/>
  <c r="A81" i="64"/>
  <c r="A80" i="64"/>
  <c r="A79" i="64"/>
  <c r="A78" i="64"/>
  <c r="A77" i="64"/>
  <c r="A76" i="64"/>
  <c r="A75" i="64"/>
  <c r="A74" i="64"/>
  <c r="A73" i="64"/>
  <c r="A72" i="64"/>
  <c r="A71" i="64"/>
  <c r="A70" i="64"/>
  <c r="A69" i="64"/>
  <c r="A68" i="64"/>
  <c r="A67" i="64"/>
  <c r="A66" i="64"/>
  <c r="A65" i="64"/>
  <c r="A64" i="64"/>
  <c r="A63" i="64"/>
  <c r="A62" i="64"/>
  <c r="A61" i="64"/>
  <c r="A60" i="64"/>
  <c r="A59" i="64"/>
  <c r="A58" i="64"/>
  <c r="A57" i="64"/>
  <c r="A56" i="64"/>
  <c r="A55" i="64"/>
  <c r="A54" i="64"/>
  <c r="A53" i="64"/>
  <c r="A52" i="64"/>
  <c r="A51" i="64"/>
  <c r="A40" i="64"/>
  <c r="A39" i="64"/>
  <c r="A38" i="64"/>
  <c r="A37" i="64"/>
  <c r="A36" i="64"/>
  <c r="A35" i="64"/>
  <c r="A34" i="64"/>
  <c r="A33" i="64"/>
  <c r="A32" i="64"/>
  <c r="A31" i="64"/>
  <c r="A170" i="63"/>
  <c r="A169" i="63"/>
  <c r="A168" i="63"/>
  <c r="A167" i="63"/>
  <c r="A166" i="63"/>
  <c r="A165" i="63"/>
  <c r="A164" i="63"/>
  <c r="A163" i="63"/>
  <c r="A162" i="63"/>
  <c r="A161" i="63"/>
  <c r="A160" i="63"/>
  <c r="A159" i="63"/>
  <c r="A158" i="63"/>
  <c r="A157" i="63"/>
  <c r="A156" i="63"/>
  <c r="A155" i="63"/>
  <c r="A154" i="63"/>
  <c r="A153" i="63"/>
  <c r="A152" i="63"/>
  <c r="A151" i="63"/>
  <c r="A150" i="63"/>
  <c r="A149" i="63"/>
  <c r="A148" i="63"/>
  <c r="A147" i="63"/>
  <c r="A146" i="63"/>
  <c r="A145" i="63"/>
  <c r="A144" i="63"/>
  <c r="A143" i="63"/>
  <c r="A142" i="63"/>
  <c r="A141" i="63"/>
  <c r="A140" i="63"/>
  <c r="A139" i="63"/>
  <c r="A138" i="63"/>
  <c r="A137" i="63"/>
  <c r="A136" i="63"/>
  <c r="A135" i="63"/>
  <c r="A134" i="63"/>
  <c r="A133" i="63"/>
  <c r="A132" i="63"/>
  <c r="A131" i="63"/>
  <c r="A130" i="63"/>
  <c r="A129" i="63"/>
  <c r="A128" i="63"/>
  <c r="A127" i="63"/>
  <c r="A126" i="63"/>
  <c r="A125" i="63"/>
  <c r="A124" i="63"/>
  <c r="A123" i="63"/>
  <c r="A122" i="63"/>
  <c r="A121" i="63"/>
  <c r="A120" i="63"/>
  <c r="A119" i="63"/>
  <c r="A116" i="63"/>
  <c r="A115" i="63"/>
  <c r="A114" i="63"/>
  <c r="A113" i="63"/>
  <c r="A112" i="63"/>
  <c r="A111" i="63"/>
  <c r="A110" i="63"/>
  <c r="A109" i="63"/>
  <c r="A108" i="63"/>
  <c r="A107" i="63"/>
  <c r="A96" i="63"/>
  <c r="A95" i="63"/>
  <c r="A94" i="63"/>
  <c r="A93" i="63"/>
  <c r="A92" i="63"/>
  <c r="A91" i="63"/>
  <c r="A90" i="63"/>
  <c r="A89" i="63"/>
  <c r="A88" i="63"/>
  <c r="A87" i="63"/>
  <c r="A86" i="63"/>
  <c r="A85" i="63"/>
  <c r="A84" i="63"/>
  <c r="A83" i="63"/>
  <c r="A82" i="63"/>
  <c r="A81" i="63"/>
  <c r="A80" i="63"/>
  <c r="A79" i="63"/>
  <c r="A78" i="63"/>
  <c r="A77" i="63"/>
  <c r="A76" i="63"/>
  <c r="A75" i="63"/>
  <c r="A74" i="63"/>
  <c r="A73" i="63"/>
  <c r="A72" i="63"/>
  <c r="A71" i="63"/>
  <c r="A70" i="63"/>
  <c r="A69" i="63"/>
  <c r="A68" i="63"/>
  <c r="A67" i="63"/>
  <c r="A66" i="63"/>
  <c r="A65" i="63"/>
  <c r="A64" i="63"/>
  <c r="A63" i="63"/>
  <c r="A62" i="63"/>
  <c r="A61" i="63"/>
  <c r="A60" i="63"/>
  <c r="A59" i="63"/>
  <c r="A58" i="63"/>
  <c r="A57" i="63"/>
  <c r="A56" i="63"/>
  <c r="A55" i="63"/>
  <c r="A54" i="63"/>
  <c r="A53" i="63"/>
  <c r="A52" i="63"/>
  <c r="A51" i="63"/>
  <c r="A40" i="63"/>
  <c r="A39" i="63"/>
  <c r="A38" i="63"/>
  <c r="A37" i="63"/>
  <c r="A36" i="63"/>
  <c r="A35" i="63"/>
  <c r="A34" i="63"/>
  <c r="A33" i="63"/>
  <c r="A32" i="63"/>
  <c r="A31" i="63"/>
  <c r="A278" i="15"/>
  <c r="A277" i="15"/>
  <c r="A276" i="15"/>
  <c r="A275" i="15"/>
  <c r="A274" i="15"/>
  <c r="A273" i="15"/>
  <c r="A272" i="15"/>
  <c r="A271" i="15"/>
  <c r="A270" i="15"/>
  <c r="A269" i="15"/>
  <c r="A268" i="15"/>
  <c r="A267" i="15"/>
  <c r="A266" i="15"/>
  <c r="A265" i="15"/>
  <c r="A264" i="15"/>
  <c r="A263" i="15"/>
  <c r="A262" i="15"/>
  <c r="A261" i="15"/>
  <c r="A260" i="15"/>
  <c r="A259" i="15"/>
  <c r="A258" i="15"/>
  <c r="A257" i="15"/>
  <c r="A256" i="15"/>
  <c r="A255" i="15"/>
  <c r="A254" i="15"/>
  <c r="A253" i="15"/>
  <c r="A252" i="15"/>
  <c r="A251" i="15"/>
  <c r="A250" i="15"/>
  <c r="A249" i="15"/>
  <c r="A248" i="15"/>
  <c r="A247" i="15"/>
  <c r="A246" i="15"/>
  <c r="A245" i="15"/>
  <c r="A244" i="15"/>
  <c r="A243" i="15"/>
  <c r="A242" i="15"/>
  <c r="A241" i="15"/>
  <c r="A240" i="15"/>
  <c r="A239" i="15"/>
  <c r="A238" i="15"/>
  <c r="A237" i="15"/>
  <c r="A236" i="15"/>
  <c r="A235" i="15"/>
  <c r="A234" i="15"/>
  <c r="A233" i="15"/>
  <c r="A232" i="15"/>
  <c r="A231" i="15"/>
  <c r="A230" i="15"/>
  <c r="A229" i="15"/>
  <c r="A228" i="15"/>
  <c r="A227" i="15"/>
  <c r="A226" i="15"/>
  <c r="A225" i="15"/>
  <c r="A224" i="15"/>
  <c r="A213" i="15"/>
  <c r="A212" i="15"/>
  <c r="A211" i="15"/>
  <c r="A210" i="15"/>
  <c r="A209" i="15"/>
  <c r="A208" i="15"/>
  <c r="A207" i="15"/>
  <c r="A206" i="15"/>
  <c r="A205" i="15"/>
  <c r="A204" i="15"/>
  <c r="A203" i="15"/>
  <c r="A202" i="15"/>
  <c r="A201" i="15"/>
  <c r="A200" i="15"/>
  <c r="A199" i="15"/>
  <c r="A198" i="15"/>
  <c r="A197" i="15"/>
  <c r="A196" i="15"/>
  <c r="A195" i="15"/>
  <c r="A194" i="15"/>
  <c r="A193" i="15"/>
  <c r="A192" i="15"/>
  <c r="A191" i="15"/>
  <c r="A190" i="15"/>
  <c r="A189" i="15"/>
  <c r="A188" i="15"/>
  <c r="A187" i="15"/>
  <c r="A186" i="15"/>
  <c r="A185" i="15"/>
  <c r="A184" i="15"/>
  <c r="A183" i="15"/>
  <c r="A182" i="15"/>
  <c r="A181" i="15"/>
  <c r="A180" i="15"/>
  <c r="A179" i="15"/>
  <c r="A178" i="15"/>
  <c r="A177" i="15"/>
  <c r="A176" i="15"/>
  <c r="A175" i="15"/>
  <c r="A174" i="15"/>
  <c r="A173" i="15"/>
  <c r="A172" i="15"/>
  <c r="A171" i="15"/>
  <c r="A170" i="15"/>
  <c r="A169" i="15"/>
  <c r="A168" i="15"/>
  <c r="A167" i="15"/>
  <c r="A166" i="15"/>
  <c r="A165" i="15"/>
  <c r="A164" i="15"/>
  <c r="A163" i="15"/>
  <c r="A162" i="15"/>
  <c r="A161" i="15"/>
  <c r="A160" i="15"/>
  <c r="A159" i="15"/>
  <c r="A158" i="15"/>
  <c r="A157" i="15"/>
  <c r="A156" i="15"/>
  <c r="A155" i="15"/>
  <c r="A154" i="15"/>
  <c r="A153" i="15"/>
  <c r="A152" i="15"/>
  <c r="A151" i="15"/>
  <c r="A150" i="15"/>
  <c r="A149" i="15"/>
  <c r="A148" i="15"/>
  <c r="A147" i="15"/>
  <c r="A146" i="15"/>
  <c r="A145" i="15"/>
  <c r="A144" i="15"/>
  <c r="A143" i="15"/>
  <c r="A142" i="15"/>
  <c r="A141" i="15"/>
  <c r="A140" i="15"/>
  <c r="A139" i="15"/>
  <c r="A138" i="15"/>
  <c r="A137" i="15"/>
  <c r="A136" i="15"/>
  <c r="A135" i="15"/>
  <c r="A134" i="15"/>
  <c r="A133" i="15"/>
  <c r="A132" i="15"/>
  <c r="A131" i="15"/>
  <c r="A130" i="15"/>
  <c r="A129" i="15"/>
  <c r="A128" i="15"/>
  <c r="A127" i="15"/>
  <c r="A126" i="15"/>
  <c r="A125" i="15"/>
  <c r="A124" i="15"/>
  <c r="A123" i="15"/>
  <c r="A122" i="15"/>
  <c r="A121" i="15"/>
  <c r="A120" i="15"/>
  <c r="A119" i="15"/>
  <c r="A118" i="15"/>
  <c r="A117" i="15"/>
  <c r="A106" i="15"/>
  <c r="A105" i="15"/>
  <c r="A104" i="15"/>
  <c r="A103" i="15"/>
  <c r="A102" i="15"/>
  <c r="A101" i="15"/>
  <c r="A100" i="15"/>
  <c r="A99" i="15"/>
  <c r="A98" i="15"/>
  <c r="A97" i="15"/>
  <c r="A96" i="15"/>
  <c r="A95" i="15"/>
  <c r="A94" i="15"/>
  <c r="A93" i="15"/>
  <c r="A92" i="15"/>
  <c r="A91" i="15"/>
  <c r="A90" i="15"/>
  <c r="A89" i="15"/>
  <c r="A88" i="15"/>
  <c r="A87" i="15"/>
  <c r="A86" i="15"/>
  <c r="A85" i="15"/>
  <c r="A84" i="15"/>
  <c r="A83" i="15"/>
  <c r="A82" i="15"/>
  <c r="A81" i="15"/>
  <c r="A80" i="15"/>
  <c r="A79" i="15"/>
  <c r="A78" i="15"/>
  <c r="A77" i="15"/>
  <c r="A76" i="15"/>
  <c r="A75" i="15"/>
  <c r="A74" i="15"/>
  <c r="A73" i="15"/>
  <c r="A72" i="15"/>
  <c r="A71" i="15"/>
  <c r="A70" i="15"/>
  <c r="A69" i="15"/>
  <c r="A68" i="15"/>
  <c r="A67" i="15"/>
  <c r="A66" i="15"/>
  <c r="A65" i="15"/>
  <c r="A64" i="15"/>
  <c r="A63" i="15"/>
  <c r="A62" i="15"/>
  <c r="A61" i="15"/>
  <c r="A60" i="15"/>
  <c r="A59" i="15"/>
  <c r="A58" i="15"/>
  <c r="A57" i="15"/>
  <c r="A56" i="15"/>
  <c r="A55" i="15"/>
  <c r="A54" i="15"/>
  <c r="A53" i="15"/>
  <c r="A52" i="15"/>
  <c r="A51" i="15"/>
  <c r="A50" i="15"/>
  <c r="A49" i="15"/>
  <c r="A48" i="15"/>
  <c r="A47" i="15"/>
  <c r="A46" i="15"/>
  <c r="A45" i="15"/>
  <c r="A44" i="15"/>
  <c r="A43" i="15"/>
  <c r="A42" i="15"/>
  <c r="A41" i="15"/>
  <c r="A40" i="15"/>
  <c r="A39" i="15"/>
  <c r="A38" i="15"/>
  <c r="A37" i="15"/>
  <c r="A36" i="15"/>
  <c r="A35" i="15"/>
  <c r="A34" i="15"/>
  <c r="A33" i="15"/>
  <c r="A32" i="15"/>
  <c r="A31" i="15"/>
  <c r="A30" i="15"/>
  <c r="A29" i="15"/>
  <c r="A28" i="15"/>
  <c r="A27" i="15"/>
  <c r="A26" i="15"/>
  <c r="A25" i="15"/>
  <c r="A24" i="15"/>
  <c r="A23" i="15"/>
  <c r="A260" i="14"/>
  <c r="A259" i="14"/>
  <c r="A258" i="14"/>
  <c r="A257" i="14"/>
  <c r="A256" i="14"/>
  <c r="A255" i="14"/>
  <c r="A254" i="14"/>
  <c r="A253" i="14"/>
  <c r="A252" i="14"/>
  <c r="A251" i="14"/>
  <c r="A250" i="14"/>
  <c r="A249" i="14"/>
  <c r="A248" i="14"/>
  <c r="A247" i="14"/>
  <c r="A246" i="14"/>
  <c r="A245" i="14"/>
  <c r="A244" i="14"/>
  <c r="A243" i="14"/>
  <c r="A242" i="14"/>
  <c r="A241" i="14"/>
  <c r="A240" i="14"/>
  <c r="A239" i="14"/>
  <c r="A238" i="14"/>
  <c r="A237" i="14"/>
  <c r="A236" i="14"/>
  <c r="A235" i="14"/>
  <c r="A234" i="14"/>
  <c r="A233" i="14"/>
  <c r="A232" i="14"/>
  <c r="A231" i="14"/>
  <c r="A230" i="14"/>
  <c r="A229" i="14"/>
  <c r="A228" i="14"/>
  <c r="A227" i="14"/>
  <c r="A226" i="14"/>
  <c r="A225" i="14"/>
  <c r="A224" i="14"/>
  <c r="A223" i="14"/>
  <c r="A222" i="14"/>
  <c r="A221" i="14"/>
  <c r="A220" i="14"/>
  <c r="A219" i="14"/>
  <c r="A218" i="14"/>
  <c r="A217" i="14"/>
  <c r="A216" i="14"/>
  <c r="A215" i="14"/>
  <c r="A214" i="14"/>
  <c r="A213" i="14"/>
  <c r="A212" i="14"/>
  <c r="A211" i="14"/>
  <c r="A210" i="14"/>
  <c r="A209" i="14"/>
  <c r="A208" i="14"/>
  <c r="A207" i="14"/>
  <c r="A206" i="14"/>
  <c r="A205" i="14"/>
  <c r="A204" i="14"/>
  <c r="A203" i="14"/>
  <c r="A202" i="14"/>
  <c r="A201" i="14"/>
  <c r="A200" i="14"/>
  <c r="A199" i="14"/>
  <c r="A198" i="14"/>
  <c r="A197" i="14"/>
  <c r="A196" i="14"/>
  <c r="A195" i="14"/>
  <c r="A194" i="14"/>
  <c r="A193" i="14"/>
  <c r="A192" i="14"/>
  <c r="A191" i="14"/>
  <c r="A190" i="14"/>
  <c r="A189" i="14"/>
  <c r="A188" i="14"/>
  <c r="A187" i="14"/>
  <c r="A186" i="14"/>
  <c r="A185" i="14"/>
  <c r="A184" i="14"/>
  <c r="A183" i="14"/>
  <c r="A182" i="14"/>
  <c r="A181" i="14"/>
  <c r="A180" i="14"/>
  <c r="A179" i="14"/>
  <c r="A178" i="14"/>
  <c r="A177" i="14"/>
  <c r="A176" i="14"/>
  <c r="A175" i="14"/>
  <c r="A172" i="14"/>
  <c r="A171" i="14"/>
  <c r="A170" i="14"/>
  <c r="A169" i="14"/>
  <c r="A168" i="14"/>
  <c r="A167" i="14"/>
  <c r="A166" i="14"/>
  <c r="A165" i="14"/>
  <c r="A164" i="14"/>
  <c r="A16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257" i="11"/>
  <c r="A256" i="11"/>
  <c r="A255" i="11"/>
  <c r="A254" i="11"/>
  <c r="A253" i="11"/>
  <c r="A252" i="11"/>
  <c r="A251" i="11"/>
  <c r="A250" i="11"/>
  <c r="A249" i="11"/>
  <c r="A248" i="11"/>
  <c r="A247" i="11"/>
  <c r="A246" i="11"/>
  <c r="A245" i="11"/>
  <c r="A244" i="11"/>
  <c r="A243" i="11"/>
  <c r="A242" i="11"/>
  <c r="A241" i="11"/>
  <c r="A240" i="11"/>
  <c r="A239" i="11"/>
  <c r="A238" i="11"/>
  <c r="A237" i="11"/>
  <c r="A236" i="11"/>
  <c r="A235" i="11"/>
  <c r="A234" i="11"/>
  <c r="A233" i="11"/>
  <c r="A232" i="11"/>
  <c r="A231" i="11"/>
  <c r="A230" i="11"/>
  <c r="A229" i="11"/>
  <c r="A228" i="11"/>
  <c r="A227" i="11"/>
  <c r="A226" i="11"/>
  <c r="A225" i="11"/>
  <c r="A224" i="11"/>
  <c r="A223" i="11"/>
  <c r="A222" i="11"/>
  <c r="A221" i="11"/>
  <c r="A220" i="11"/>
  <c r="A219" i="11"/>
  <c r="A218" i="11"/>
  <c r="A217" i="11"/>
  <c r="A216" i="11"/>
  <c r="A215" i="11"/>
  <c r="A214" i="11"/>
  <c r="A213" i="11"/>
  <c r="A212" i="11"/>
  <c r="A211" i="11"/>
  <c r="A210" i="11"/>
  <c r="A209" i="11"/>
  <c r="A208" i="11"/>
  <c r="A207" i="11"/>
  <c r="A206" i="11"/>
  <c r="A205" i="11"/>
  <c r="A204" i="11"/>
  <c r="A203" i="11"/>
  <c r="A202" i="11"/>
  <c r="A201" i="11"/>
  <c r="A200" i="11"/>
  <c r="A199" i="11"/>
  <c r="A198" i="11"/>
  <c r="A197" i="11"/>
  <c r="A196" i="11"/>
  <c r="A195" i="11"/>
  <c r="A194" i="11"/>
  <c r="A193" i="11"/>
  <c r="A192" i="11"/>
  <c r="A191" i="11"/>
  <c r="A190" i="11"/>
  <c r="A189" i="11"/>
  <c r="A188" i="11"/>
  <c r="A187" i="11"/>
  <c r="A186" i="11"/>
  <c r="A185" i="11"/>
  <c r="A184" i="11"/>
  <c r="A183" i="11"/>
  <c r="A182" i="11"/>
  <c r="A181" i="11"/>
  <c r="A180" i="11"/>
  <c r="A179" i="11"/>
  <c r="A178" i="11"/>
  <c r="A177" i="11"/>
  <c r="A176" i="11"/>
  <c r="A175" i="11"/>
  <c r="A174" i="11"/>
  <c r="A173" i="11"/>
  <c r="A172" i="11"/>
  <c r="A171" i="11"/>
  <c r="A170" i="11"/>
  <c r="A169" i="11"/>
  <c r="A168" i="11"/>
  <c r="A167" i="11"/>
  <c r="A166" i="11"/>
  <c r="A165" i="11"/>
  <c r="A164" i="11"/>
  <c r="A163" i="11"/>
  <c r="A162" i="11"/>
  <c r="A161" i="11"/>
  <c r="A160" i="11"/>
  <c r="A159" i="11"/>
  <c r="A158" i="11"/>
  <c r="A157" i="11"/>
  <c r="A156" i="11"/>
  <c r="A155" i="11"/>
  <c r="A154" i="11"/>
  <c r="A153" i="11"/>
  <c r="A152" i="11"/>
  <c r="A151" i="11"/>
  <c r="A150" i="11"/>
  <c r="A139" i="11"/>
  <c r="A138" i="11"/>
  <c r="A137" i="11"/>
  <c r="A136" i="11"/>
  <c r="A135" i="11"/>
  <c r="A134" i="11"/>
  <c r="A133" i="11"/>
  <c r="A132" i="11"/>
  <c r="A131" i="11"/>
  <c r="A130" i="11"/>
  <c r="A129" i="11"/>
  <c r="A128" i="11"/>
  <c r="A127" i="11"/>
  <c r="A126" i="11"/>
  <c r="A125" i="11"/>
  <c r="A124" i="11"/>
  <c r="A123" i="11"/>
  <c r="A122" i="11"/>
  <c r="A121" i="11"/>
  <c r="A120" i="11"/>
  <c r="A119" i="11"/>
  <c r="A118" i="11"/>
  <c r="A117" i="11"/>
  <c r="A116" i="11"/>
  <c r="A115" i="11"/>
  <c r="A114" i="11"/>
  <c r="A113" i="11"/>
  <c r="A112" i="11"/>
  <c r="A111" i="11"/>
  <c r="A110" i="11"/>
  <c r="A107" i="11"/>
  <c r="A106" i="11"/>
  <c r="A105" i="11"/>
  <c r="A104" i="11"/>
  <c r="A103" i="11"/>
  <c r="A102" i="11"/>
  <c r="A101" i="11"/>
  <c r="A100" i="11"/>
  <c r="A99" i="11"/>
  <c r="A98" i="11"/>
  <c r="A97" i="11"/>
  <c r="A96" i="11"/>
  <c r="A95" i="11"/>
  <c r="A94" i="11"/>
  <c r="A93" i="11"/>
  <c r="A92" i="11"/>
  <c r="A91" i="11"/>
  <c r="A90" i="11"/>
  <c r="A89" i="11"/>
  <c r="A88" i="11"/>
  <c r="A87" i="11"/>
  <c r="A86" i="11"/>
  <c r="A85" i="11"/>
  <c r="A84" i="11"/>
  <c r="A83" i="11"/>
  <c r="A82" i="11"/>
  <c r="A81" i="11"/>
  <c r="A80" i="11"/>
  <c r="A79" i="11"/>
  <c r="A78" i="11"/>
  <c r="A77" i="11"/>
  <c r="A76" i="11"/>
  <c r="A75" i="11"/>
  <c r="A74" i="11"/>
  <c r="A73" i="11"/>
  <c r="A72" i="11"/>
  <c r="A71" i="11"/>
  <c r="A70" i="11"/>
  <c r="A69" i="11"/>
  <c r="A68" i="11"/>
  <c r="A57" i="11"/>
  <c r="A56" i="11"/>
  <c r="A55" i="11"/>
  <c r="A54" i="11"/>
  <c r="A53" i="11"/>
  <c r="A52" i="11"/>
  <c r="A51" i="11"/>
  <c r="A50" i="11"/>
  <c r="A49" i="11"/>
  <c r="A48" i="11"/>
  <c r="A47" i="11"/>
  <c r="A46" i="11"/>
  <c r="A45" i="11"/>
  <c r="A44" i="11"/>
  <c r="A43" i="11"/>
  <c r="A42" i="11"/>
  <c r="A41" i="11"/>
  <c r="A40" i="11"/>
  <c r="A39" i="11"/>
  <c r="A38" i="11"/>
  <c r="A673" i="51"/>
  <c r="A672" i="51"/>
  <c r="A671" i="51"/>
  <c r="A670" i="51"/>
  <c r="A669" i="51"/>
  <c r="A668" i="51"/>
  <c r="A667" i="51"/>
  <c r="A666" i="51"/>
  <c r="A665" i="51"/>
  <c r="A664" i="51"/>
  <c r="A663" i="51"/>
  <c r="A662" i="51"/>
  <c r="A661" i="51"/>
  <c r="A660" i="51"/>
  <c r="A659" i="51"/>
  <c r="A658" i="51"/>
  <c r="A657" i="51"/>
  <c r="A656" i="51"/>
  <c r="A655" i="51"/>
  <c r="A654" i="51"/>
  <c r="A653" i="51"/>
  <c r="A652" i="51"/>
  <c r="A651" i="51"/>
  <c r="A650" i="51"/>
  <c r="A649" i="51"/>
  <c r="A648" i="51"/>
  <c r="A647" i="51"/>
  <c r="A646" i="51"/>
  <c r="A645" i="51"/>
  <c r="A644" i="51"/>
  <c r="A643" i="51"/>
  <c r="A642" i="51"/>
  <c r="A641" i="51"/>
  <c r="A640" i="51"/>
  <c r="A639" i="51"/>
  <c r="A638" i="51"/>
  <c r="A637" i="51"/>
  <c r="A636" i="51"/>
  <c r="A635" i="51"/>
  <c r="A634" i="51"/>
  <c r="A633" i="51"/>
  <c r="A632" i="51"/>
  <c r="A631" i="51"/>
  <c r="A630" i="51"/>
  <c r="A629" i="51"/>
  <c r="A628" i="51"/>
  <c r="A627" i="51"/>
  <c r="A626" i="51"/>
  <c r="A625" i="51"/>
  <c r="A624" i="51"/>
  <c r="A623" i="51"/>
  <c r="A622" i="51"/>
  <c r="A621" i="51"/>
  <c r="A620" i="51"/>
  <c r="A619" i="51"/>
  <c r="A618" i="51"/>
  <c r="A617" i="51"/>
  <c r="A616" i="51"/>
  <c r="A615" i="51"/>
  <c r="A614" i="51"/>
  <c r="A613" i="51"/>
  <c r="A612" i="51"/>
  <c r="A611" i="51"/>
  <c r="A610" i="51"/>
  <c r="A609" i="51"/>
  <c r="A608" i="51"/>
  <c r="A607" i="51"/>
  <c r="A606" i="51"/>
  <c r="A605" i="51"/>
  <c r="A604" i="51"/>
  <c r="A603" i="51"/>
  <c r="A602" i="51"/>
  <c r="A601" i="51"/>
  <c r="A600" i="51"/>
  <c r="A599" i="51"/>
  <c r="A598" i="51"/>
  <c r="A597" i="51"/>
  <c r="A596" i="51"/>
  <c r="A595" i="51"/>
  <c r="A594" i="51"/>
  <c r="A593" i="51"/>
  <c r="A592" i="51"/>
  <c r="A591" i="51"/>
  <c r="A590" i="51"/>
  <c r="A589" i="51"/>
  <c r="A588" i="51"/>
  <c r="A587" i="51"/>
  <c r="A586" i="51"/>
  <c r="A585" i="51"/>
  <c r="A584" i="51"/>
  <c r="A583" i="51"/>
  <c r="A582" i="51"/>
  <c r="A581" i="51"/>
  <c r="A580" i="51"/>
  <c r="A579" i="51"/>
  <c r="A578" i="51"/>
  <c r="A577" i="51"/>
  <c r="A576" i="51"/>
  <c r="A575" i="51"/>
  <c r="A574" i="51"/>
  <c r="A573" i="51"/>
  <c r="A572" i="51"/>
  <c r="A571" i="51"/>
  <c r="A570" i="51"/>
  <c r="A569" i="51"/>
  <c r="A568" i="51"/>
  <c r="A567" i="51"/>
  <c r="A566" i="51"/>
  <c r="A565" i="51"/>
  <c r="A564" i="51"/>
  <c r="A563" i="51"/>
  <c r="A562" i="51"/>
  <c r="A561" i="51"/>
  <c r="A560" i="51"/>
  <c r="A559" i="51"/>
  <c r="A558" i="51"/>
  <c r="A557" i="51"/>
  <c r="A556" i="51"/>
  <c r="A555" i="51"/>
  <c r="A554" i="51"/>
  <c r="A553" i="51"/>
  <c r="A552" i="51"/>
  <c r="A551" i="51"/>
  <c r="A550" i="51"/>
  <c r="A549" i="51"/>
  <c r="A548" i="51"/>
  <c r="A547" i="51"/>
  <c r="A546" i="51"/>
  <c r="A545" i="51"/>
  <c r="A544" i="51"/>
  <c r="A543" i="51"/>
  <c r="A542" i="51"/>
  <c r="A541" i="51"/>
  <c r="A540" i="51"/>
  <c r="A539" i="51"/>
  <c r="A538" i="51"/>
  <c r="A537" i="51"/>
  <c r="A536" i="51"/>
  <c r="A535" i="51"/>
  <c r="A534" i="51"/>
  <c r="A533" i="51"/>
  <c r="A532" i="51"/>
  <c r="A531" i="51"/>
  <c r="A530" i="51"/>
  <c r="A529" i="51"/>
  <c r="A528" i="51"/>
  <c r="A527" i="51"/>
  <c r="A526" i="51"/>
  <c r="A525" i="51"/>
  <c r="A524" i="51"/>
  <c r="A523" i="51"/>
  <c r="A522" i="51"/>
  <c r="A521" i="51"/>
  <c r="A520" i="51"/>
  <c r="A519" i="51"/>
  <c r="A518" i="51"/>
  <c r="A493" i="51"/>
  <c r="A492" i="51"/>
  <c r="A491" i="51"/>
  <c r="A490" i="51"/>
  <c r="A489" i="51"/>
  <c r="A488" i="51"/>
  <c r="A487" i="51"/>
  <c r="A486" i="51"/>
  <c r="A485" i="51"/>
  <c r="A484" i="51"/>
  <c r="A483" i="51"/>
  <c r="A482" i="51"/>
  <c r="A481" i="51"/>
  <c r="A480" i="51"/>
  <c r="A479" i="51"/>
  <c r="A478" i="51"/>
  <c r="A477" i="51"/>
  <c r="A476" i="51"/>
  <c r="A475" i="51"/>
  <c r="A474" i="51"/>
  <c r="A473" i="51"/>
  <c r="A472" i="51"/>
  <c r="A471" i="51"/>
  <c r="A470" i="51"/>
  <c r="A469" i="51"/>
  <c r="A468" i="51"/>
  <c r="A467" i="51"/>
  <c r="A466" i="51"/>
  <c r="A465" i="51"/>
  <c r="A464" i="51"/>
  <c r="A463" i="51"/>
  <c r="A462" i="51"/>
  <c r="A461" i="51"/>
  <c r="A460" i="51"/>
  <c r="A459" i="51"/>
  <c r="A458" i="51"/>
  <c r="A457" i="51"/>
  <c r="A456" i="51"/>
  <c r="A455" i="51"/>
  <c r="A454" i="51"/>
  <c r="A453" i="51"/>
  <c r="A452" i="51"/>
  <c r="A451" i="51"/>
  <c r="A450" i="51"/>
  <c r="A449" i="51"/>
  <c r="A448" i="51"/>
  <c r="A447" i="51"/>
  <c r="A446" i="51"/>
  <c r="A445" i="51"/>
  <c r="A444" i="51"/>
  <c r="A443" i="51"/>
  <c r="A442" i="51"/>
  <c r="A441" i="51"/>
  <c r="A440" i="51"/>
  <c r="A439" i="51"/>
  <c r="A438" i="51"/>
  <c r="A437" i="51"/>
  <c r="A436" i="51"/>
  <c r="A435" i="51"/>
  <c r="A434" i="51"/>
  <c r="A413" i="51"/>
  <c r="A412" i="51"/>
  <c r="A411" i="51"/>
  <c r="A410" i="51"/>
  <c r="A409" i="51"/>
  <c r="A408" i="51"/>
  <c r="A407" i="51"/>
  <c r="A406" i="51"/>
  <c r="A405" i="51"/>
  <c r="A404" i="51"/>
  <c r="A403" i="51"/>
  <c r="A402" i="51"/>
  <c r="A401" i="51"/>
  <c r="A400" i="51"/>
  <c r="A399" i="51"/>
  <c r="A398" i="51"/>
  <c r="A397" i="51"/>
  <c r="A396" i="51"/>
  <c r="A395" i="51"/>
  <c r="A394" i="51"/>
  <c r="A393" i="51"/>
  <c r="A392" i="51"/>
  <c r="A391" i="51"/>
  <c r="A390" i="51"/>
  <c r="A389" i="51"/>
  <c r="A388" i="51"/>
  <c r="A387" i="51"/>
  <c r="A386" i="51"/>
  <c r="A385" i="51"/>
  <c r="A384" i="51"/>
  <c r="A383" i="51"/>
  <c r="A382" i="51"/>
  <c r="A381" i="51"/>
  <c r="A380" i="51"/>
  <c r="A379" i="51"/>
  <c r="A378" i="51"/>
  <c r="A377" i="51"/>
  <c r="A376" i="51"/>
  <c r="A375" i="51"/>
  <c r="A374" i="51"/>
  <c r="A371" i="51"/>
  <c r="A370" i="51"/>
  <c r="A369" i="51"/>
  <c r="A368" i="51"/>
  <c r="A367" i="51"/>
  <c r="A366" i="51"/>
  <c r="A365" i="51"/>
  <c r="A364" i="51"/>
  <c r="A363" i="51"/>
  <c r="A362" i="51"/>
  <c r="A361" i="51"/>
  <c r="A360" i="51"/>
  <c r="A359" i="51"/>
  <c r="A358" i="51"/>
  <c r="A357" i="51"/>
  <c r="A356" i="51"/>
  <c r="A355" i="51"/>
  <c r="A354" i="51"/>
  <c r="A353" i="51"/>
  <c r="A352" i="51"/>
  <c r="A351" i="51"/>
  <c r="A350" i="51"/>
  <c r="A349" i="51"/>
  <c r="A348" i="51"/>
  <c r="A347" i="51"/>
  <c r="A346" i="51"/>
  <c r="A345" i="51"/>
  <c r="A344" i="51"/>
  <c r="A343" i="51"/>
  <c r="A342" i="51"/>
  <c r="A341" i="51"/>
  <c r="A340" i="51"/>
  <c r="A339" i="51"/>
  <c r="A338" i="51"/>
  <c r="A337" i="51"/>
  <c r="A336" i="51"/>
  <c r="A335" i="51"/>
  <c r="A334" i="51"/>
  <c r="A333" i="51"/>
  <c r="A332" i="51"/>
  <c r="A331" i="51"/>
  <c r="A330" i="51"/>
  <c r="A329" i="51"/>
  <c r="A328" i="51"/>
  <c r="A327" i="51"/>
  <c r="A326" i="51"/>
  <c r="A325" i="51"/>
  <c r="A324" i="51"/>
  <c r="A323" i="51"/>
  <c r="A322" i="51"/>
  <c r="A321" i="51"/>
  <c r="A320" i="51"/>
  <c r="A319" i="51"/>
  <c r="A318" i="51"/>
  <c r="A317" i="51"/>
  <c r="A316" i="51"/>
  <c r="A315" i="51"/>
  <c r="A314" i="51"/>
  <c r="A313" i="51"/>
  <c r="A312" i="51"/>
  <c r="A301" i="51"/>
  <c r="A300" i="51"/>
  <c r="A299" i="51"/>
  <c r="A298" i="51"/>
  <c r="A297" i="51"/>
  <c r="A296" i="51"/>
  <c r="A295" i="51"/>
  <c r="A294" i="51"/>
  <c r="A293" i="51"/>
  <c r="A292" i="51"/>
  <c r="A291" i="51"/>
  <c r="A290" i="51"/>
  <c r="A289" i="51"/>
  <c r="A288" i="51"/>
  <c r="A287" i="51"/>
  <c r="A286" i="51"/>
  <c r="A285" i="51"/>
  <c r="A284" i="51"/>
  <c r="A283" i="51"/>
  <c r="A282" i="51"/>
  <c r="A281" i="51"/>
  <c r="A280" i="51"/>
  <c r="A279" i="51"/>
  <c r="A278" i="51"/>
  <c r="A277" i="51"/>
  <c r="A276" i="51"/>
  <c r="A275" i="51"/>
  <c r="A274" i="51"/>
  <c r="A273" i="51"/>
  <c r="A272" i="51"/>
  <c r="A271" i="51"/>
  <c r="A270" i="51"/>
  <c r="A269" i="51"/>
  <c r="A268" i="51"/>
  <c r="A267" i="51"/>
  <c r="A266" i="51"/>
  <c r="A265" i="51"/>
  <c r="A264" i="51"/>
  <c r="A263" i="51"/>
  <c r="A262" i="51"/>
  <c r="A261" i="51"/>
  <c r="A260" i="51"/>
  <c r="A259" i="51"/>
  <c r="A258" i="51"/>
  <c r="A257" i="51"/>
  <c r="A256" i="51"/>
  <c r="A255" i="51"/>
  <c r="A254" i="51"/>
  <c r="A253" i="51"/>
  <c r="A252" i="51"/>
  <c r="A251" i="51"/>
  <c r="A250" i="51"/>
  <c r="A249" i="51"/>
  <c r="A248" i="51"/>
  <c r="A247" i="51"/>
  <c r="A246" i="51"/>
  <c r="A245" i="51"/>
  <c r="A244" i="51"/>
  <c r="A243" i="51"/>
  <c r="A242" i="51"/>
  <c r="A241" i="51"/>
  <c r="A240" i="51"/>
  <c r="A239" i="51"/>
  <c r="A238" i="51"/>
  <c r="A237" i="51"/>
  <c r="A236" i="51"/>
  <c r="A235" i="51"/>
  <c r="A234" i="51"/>
  <c r="A233" i="51"/>
  <c r="A232" i="51"/>
  <c r="A231" i="51"/>
  <c r="A230" i="51"/>
  <c r="A229" i="51"/>
  <c r="A228" i="51"/>
  <c r="A227" i="51"/>
  <c r="A226" i="51"/>
  <c r="A225" i="51"/>
  <c r="A224" i="51"/>
  <c r="A223" i="51"/>
  <c r="A222" i="51"/>
  <c r="A221" i="51"/>
  <c r="A220" i="51"/>
  <c r="A219" i="51"/>
  <c r="A218" i="51"/>
  <c r="A217" i="51"/>
  <c r="A216" i="51"/>
  <c r="A215" i="51"/>
  <c r="A214" i="51"/>
  <c r="A213" i="51"/>
  <c r="A212" i="51"/>
  <c r="A211" i="51"/>
  <c r="A210" i="51"/>
  <c r="A209" i="51"/>
  <c r="A208" i="51"/>
  <c r="A207" i="51"/>
  <c r="A206" i="51"/>
  <c r="A205" i="51"/>
  <c r="A204" i="51"/>
  <c r="A203" i="51"/>
  <c r="A202" i="51"/>
  <c r="A201" i="51"/>
  <c r="A200" i="51"/>
  <c r="A199" i="51"/>
  <c r="A198" i="51"/>
  <c r="A197" i="51"/>
  <c r="A196" i="51"/>
  <c r="A195" i="51"/>
  <c r="A194" i="51"/>
  <c r="A193" i="51"/>
  <c r="A192" i="51"/>
  <c r="A191" i="51"/>
  <c r="A190" i="51"/>
  <c r="A189" i="51"/>
  <c r="A188" i="51"/>
  <c r="A187" i="51"/>
  <c r="A186" i="51"/>
  <c r="A185" i="51"/>
  <c r="A184" i="51"/>
  <c r="A183" i="51"/>
  <c r="A182" i="51"/>
  <c r="A181" i="51"/>
  <c r="A180" i="51"/>
  <c r="A179" i="51"/>
  <c r="A178" i="51"/>
  <c r="A177" i="51"/>
  <c r="A176" i="51"/>
  <c r="A175" i="51"/>
  <c r="A174" i="51"/>
  <c r="A173" i="51"/>
  <c r="A172" i="51"/>
  <c r="A171" i="51"/>
  <c r="A170" i="51"/>
  <c r="A169" i="51"/>
  <c r="A168" i="51"/>
  <c r="A167" i="51"/>
  <c r="A166" i="51"/>
  <c r="A165" i="51"/>
  <c r="A164" i="51"/>
  <c r="A163" i="51"/>
  <c r="A162" i="51"/>
  <c r="A161" i="51"/>
  <c r="A160" i="51"/>
  <c r="A159" i="51"/>
  <c r="A158" i="51"/>
  <c r="A157" i="51"/>
  <c r="A156" i="51"/>
  <c r="A155" i="51"/>
  <c r="A154" i="51"/>
  <c r="A153" i="51"/>
  <c r="A152" i="51"/>
  <c r="A101" i="51"/>
  <c r="A100" i="51"/>
  <c r="A99" i="51"/>
  <c r="A98" i="51"/>
  <c r="A97" i="51"/>
  <c r="A96" i="51"/>
  <c r="A95" i="51"/>
  <c r="A94" i="51"/>
  <c r="A93" i="51"/>
  <c r="A92" i="51"/>
  <c r="A91" i="51"/>
  <c r="A90" i="51"/>
  <c r="A89" i="51"/>
  <c r="A88" i="51"/>
  <c r="A87" i="51"/>
  <c r="A86" i="51"/>
  <c r="A85" i="51"/>
  <c r="A84" i="51"/>
  <c r="A83" i="51"/>
  <c r="A82" i="51"/>
  <c r="A81" i="51"/>
  <c r="A80" i="51"/>
  <c r="A79" i="51"/>
  <c r="A78" i="51"/>
  <c r="A77" i="51"/>
  <c r="A76" i="51"/>
  <c r="A75" i="51"/>
  <c r="A74" i="51"/>
  <c r="A73" i="51"/>
  <c r="A72" i="51"/>
  <c r="A71" i="51"/>
  <c r="A70" i="51"/>
  <c r="A69" i="51"/>
  <c r="A68" i="51"/>
  <c r="A67" i="51"/>
  <c r="A66" i="51"/>
  <c r="A65" i="51"/>
  <c r="A64" i="51"/>
  <c r="A63" i="51"/>
  <c r="A62" i="51"/>
  <c r="A61" i="51"/>
  <c r="A60" i="51"/>
  <c r="A59" i="51"/>
  <c r="A58" i="51"/>
  <c r="A57" i="51"/>
  <c r="A56" i="51"/>
  <c r="A55" i="51"/>
  <c r="A54" i="51"/>
  <c r="A53" i="51"/>
  <c r="A52" i="51"/>
  <c r="A51" i="51"/>
  <c r="A50" i="51"/>
  <c r="A49" i="51"/>
  <c r="A48" i="51"/>
  <c r="A47" i="51"/>
  <c r="A46" i="51"/>
  <c r="A45" i="51"/>
  <c r="A44" i="51"/>
  <c r="A43" i="51"/>
  <c r="A42" i="51"/>
  <c r="A744" i="13"/>
  <c r="A743" i="13"/>
  <c r="A742" i="13"/>
  <c r="A741" i="13"/>
  <c r="A740" i="13"/>
  <c r="A739" i="13"/>
  <c r="A738" i="13"/>
  <c r="A737" i="13"/>
  <c r="A736" i="13"/>
  <c r="A735" i="13"/>
  <c r="A734" i="13"/>
  <c r="A733" i="13"/>
  <c r="A732" i="13"/>
  <c r="A731" i="13"/>
  <c r="A730" i="13"/>
  <c r="A729" i="13"/>
  <c r="A728" i="13"/>
  <c r="A727" i="13"/>
  <c r="A726" i="13"/>
  <c r="A725" i="13"/>
  <c r="A724" i="13"/>
  <c r="A723" i="13"/>
  <c r="A722" i="13"/>
  <c r="A721" i="13"/>
  <c r="A720" i="13"/>
  <c r="A701" i="13"/>
  <c r="A700" i="13"/>
  <c r="A699" i="13"/>
  <c r="A698" i="13"/>
  <c r="A697" i="13"/>
  <c r="A696" i="13"/>
  <c r="A695" i="13"/>
  <c r="A694" i="13"/>
  <c r="A693" i="13"/>
  <c r="A692" i="13"/>
  <c r="A691" i="13"/>
  <c r="A690" i="13"/>
  <c r="A719" i="13"/>
  <c r="A718" i="13"/>
  <c r="A717" i="13"/>
  <c r="A716" i="13"/>
  <c r="A715" i="13"/>
  <c r="A714" i="13"/>
  <c r="A713" i="13"/>
  <c r="A712" i="13"/>
  <c r="A711" i="13"/>
  <c r="A710" i="13"/>
  <c r="A709" i="13"/>
  <c r="A708" i="13"/>
  <c r="A707" i="13"/>
  <c r="A706" i="13"/>
  <c r="A705" i="13"/>
  <c r="A704" i="13"/>
  <c r="A703" i="13"/>
  <c r="A702" i="13"/>
  <c r="A689" i="13"/>
  <c r="A688" i="13"/>
  <c r="A687" i="13"/>
  <c r="A686" i="13"/>
  <c r="A685" i="13"/>
  <c r="A684" i="13"/>
  <c r="A683" i="13"/>
  <c r="A682" i="13"/>
  <c r="A681" i="13"/>
  <c r="A680" i="13"/>
  <c r="A679" i="13"/>
  <c r="A678" i="13"/>
  <c r="A677" i="13"/>
  <c r="A676" i="13"/>
  <c r="A675" i="13"/>
  <c r="A674" i="13"/>
  <c r="A673" i="13"/>
  <c r="A672" i="13"/>
  <c r="A671" i="13"/>
  <c r="A670" i="13"/>
  <c r="A669" i="13"/>
  <c r="A668" i="13"/>
  <c r="A667" i="13"/>
  <c r="A666" i="13"/>
  <c r="A665" i="13"/>
  <c r="A664" i="13"/>
  <c r="A663" i="13"/>
  <c r="A662" i="13"/>
  <c r="A661" i="13"/>
  <c r="A660" i="13"/>
  <c r="A659" i="13"/>
  <c r="A658" i="13"/>
  <c r="A657" i="13"/>
  <c r="A656" i="13"/>
  <c r="A655" i="13"/>
  <c r="A654" i="13"/>
  <c r="A653" i="13"/>
  <c r="A652" i="13"/>
  <c r="A651" i="13"/>
  <c r="A650" i="13"/>
  <c r="A649" i="13"/>
  <c r="A648" i="13"/>
  <c r="A647" i="13"/>
  <c r="A646" i="13"/>
  <c r="A645" i="13"/>
  <c r="A644" i="13"/>
  <c r="A643" i="13"/>
  <c r="A642" i="13"/>
  <c r="A641" i="13"/>
  <c r="A640" i="13"/>
  <c r="A639" i="13"/>
  <c r="A638" i="13"/>
  <c r="A637" i="13"/>
  <c r="A636" i="13"/>
  <c r="A635" i="13"/>
  <c r="A634" i="13"/>
  <c r="A633" i="13"/>
  <c r="A632" i="13"/>
  <c r="A631" i="13"/>
  <c r="A630" i="13"/>
  <c r="A629" i="13"/>
  <c r="A628" i="13"/>
  <c r="A627" i="13"/>
  <c r="A626" i="13"/>
  <c r="A625" i="13"/>
  <c r="A624" i="13"/>
  <c r="A116" i="13"/>
  <c r="A106" i="13"/>
  <c r="A141" i="13"/>
  <c r="A140" i="13"/>
  <c r="A139" i="13"/>
  <c r="A138" i="13"/>
  <c r="A137" i="13"/>
  <c r="A136" i="13"/>
  <c r="A126" i="13"/>
  <c r="A493" i="13"/>
  <c r="A492" i="13"/>
  <c r="A491" i="13"/>
  <c r="A490" i="13"/>
  <c r="A489" i="13"/>
  <c r="A488" i="13"/>
  <c r="A483" i="13"/>
  <c r="A482" i="13"/>
  <c r="A481" i="13"/>
  <c r="A480" i="13"/>
  <c r="A479" i="13"/>
  <c r="A478" i="13"/>
  <c r="A623" i="13"/>
  <c r="A622" i="13"/>
  <c r="A621" i="13"/>
  <c r="A620" i="13"/>
  <c r="A619" i="13"/>
  <c r="A618" i="13"/>
  <c r="A617" i="13"/>
  <c r="A616" i="13"/>
  <c r="A615" i="13"/>
  <c r="A614" i="13"/>
  <c r="A613" i="13"/>
  <c r="A612" i="13"/>
  <c r="A611" i="13"/>
  <c r="A610" i="13"/>
  <c r="A609" i="13"/>
  <c r="A608" i="13"/>
  <c r="A607" i="13"/>
  <c r="A606" i="13"/>
  <c r="A605" i="13"/>
  <c r="A604" i="13"/>
  <c r="A603" i="13"/>
  <c r="A602" i="13"/>
  <c r="A601" i="13"/>
  <c r="A600" i="13"/>
  <c r="A599" i="13"/>
  <c r="A598" i="13"/>
  <c r="A597" i="13"/>
  <c r="A596" i="13"/>
  <c r="A595" i="13"/>
  <c r="A594" i="13"/>
  <c r="A593" i="13"/>
  <c r="A592" i="13"/>
  <c r="A591" i="13"/>
  <c r="A590" i="13"/>
  <c r="A589" i="13"/>
  <c r="A588" i="13"/>
  <c r="A587" i="13"/>
  <c r="A586" i="13"/>
  <c r="A585" i="13"/>
  <c r="A584" i="13"/>
  <c r="A583" i="13"/>
  <c r="A582" i="13"/>
  <c r="A557" i="13"/>
  <c r="A556" i="13"/>
  <c r="A555" i="13"/>
  <c r="A554" i="13"/>
  <c r="A553" i="13"/>
  <c r="A552" i="13"/>
  <c r="A551" i="13"/>
  <c r="A550" i="13"/>
  <c r="A549" i="13"/>
  <c r="A548" i="13"/>
  <c r="A547" i="13"/>
  <c r="A546" i="13"/>
  <c r="A545" i="13"/>
  <c r="A544" i="13"/>
  <c r="A543" i="13"/>
  <c r="A542" i="13"/>
  <c r="A541" i="13"/>
  <c r="A540" i="13"/>
  <c r="A539" i="13"/>
  <c r="A538" i="13"/>
  <c r="A537" i="13"/>
  <c r="A536" i="13"/>
  <c r="A535" i="13"/>
  <c r="A534" i="13"/>
  <c r="A533" i="13"/>
  <c r="A532" i="13"/>
  <c r="A531" i="13"/>
  <c r="A530" i="13"/>
  <c r="A529" i="13"/>
  <c r="A528" i="13"/>
  <c r="A527" i="13"/>
  <c r="A526" i="13"/>
  <c r="A525" i="13"/>
  <c r="A524" i="13"/>
  <c r="A523" i="13"/>
  <c r="A522" i="13"/>
  <c r="A521" i="13"/>
  <c r="A520" i="13"/>
  <c r="A519" i="13"/>
  <c r="A518" i="13"/>
  <c r="A517" i="13"/>
  <c r="A516" i="13"/>
  <c r="A515" i="13"/>
  <c r="A514" i="13"/>
  <c r="A513" i="13"/>
  <c r="A512" i="13"/>
  <c r="A511" i="13"/>
  <c r="A510" i="13"/>
  <c r="A509" i="13"/>
  <c r="A508" i="13"/>
  <c r="A507" i="13"/>
  <c r="A506" i="13"/>
  <c r="A505" i="13"/>
  <c r="A504" i="13"/>
  <c r="A503" i="13"/>
  <c r="A502" i="13"/>
  <c r="A501" i="13"/>
  <c r="A500" i="13"/>
  <c r="A499" i="13"/>
  <c r="A498" i="13"/>
  <c r="A581" i="13"/>
  <c r="A580" i="13"/>
  <c r="A579" i="13"/>
  <c r="A578" i="13"/>
  <c r="A577" i="13"/>
  <c r="A576" i="13"/>
  <c r="A575" i="13"/>
  <c r="A574" i="13"/>
  <c r="A573" i="13"/>
  <c r="A572" i="13"/>
  <c r="A571" i="13"/>
  <c r="A570" i="13"/>
  <c r="A569" i="13"/>
  <c r="A568" i="13"/>
  <c r="A567" i="13"/>
  <c r="A566" i="13"/>
  <c r="A565" i="13"/>
  <c r="A564" i="13"/>
  <c r="A563" i="13"/>
  <c r="A562" i="13"/>
  <c r="A561" i="13"/>
  <c r="A560" i="13"/>
  <c r="A559" i="13"/>
  <c r="A558" i="13"/>
  <c r="A477" i="13"/>
  <c r="A476" i="13"/>
  <c r="A475" i="13"/>
  <c r="A474" i="13"/>
  <c r="A473" i="13"/>
  <c r="A472" i="13"/>
  <c r="A471" i="13"/>
  <c r="A470" i="13"/>
  <c r="A469" i="13"/>
  <c r="A468" i="13"/>
  <c r="A467" i="13"/>
  <c r="A466" i="13"/>
  <c r="A465" i="13"/>
  <c r="A464" i="13"/>
  <c r="A463" i="13"/>
  <c r="A462" i="13"/>
  <c r="A461" i="13"/>
  <c r="A460" i="13"/>
  <c r="A459" i="13"/>
  <c r="A458" i="13"/>
  <c r="A457" i="13"/>
  <c r="A456" i="13"/>
  <c r="A455" i="13"/>
  <c r="A454" i="13"/>
  <c r="A453" i="13"/>
  <c r="A452" i="13"/>
  <c r="A451" i="13"/>
  <c r="A450" i="13"/>
  <c r="A449" i="13"/>
  <c r="A448" i="13"/>
  <c r="A447" i="13"/>
  <c r="A446" i="13"/>
  <c r="A445" i="13"/>
  <c r="A444" i="13"/>
  <c r="A443" i="13"/>
  <c r="A442" i="13"/>
  <c r="A441" i="13"/>
  <c r="A440" i="13"/>
  <c r="A439" i="13"/>
  <c r="A438" i="13"/>
  <c r="A437" i="13"/>
  <c r="A436" i="13"/>
  <c r="A435" i="13"/>
  <c r="A434" i="13"/>
  <c r="A433" i="13"/>
  <c r="A432" i="13"/>
  <c r="A431" i="13"/>
  <c r="A430" i="13"/>
  <c r="A429" i="13"/>
  <c r="A428" i="13"/>
  <c r="A427" i="13"/>
  <c r="A426" i="13"/>
  <c r="A425" i="13"/>
  <c r="A424" i="13"/>
  <c r="A423" i="13"/>
  <c r="A422" i="13"/>
  <c r="A421" i="13"/>
  <c r="A420" i="13"/>
  <c r="A419" i="13"/>
  <c r="A418" i="13"/>
  <c r="A417" i="13"/>
  <c r="A416" i="13"/>
  <c r="A415" i="13"/>
  <c r="A414" i="13"/>
  <c r="A413" i="13"/>
  <c r="A412" i="13"/>
  <c r="A411" i="13"/>
  <c r="A410" i="13"/>
  <c r="A409" i="13"/>
  <c r="A408" i="13"/>
  <c r="A407" i="13"/>
  <c r="A406" i="13"/>
  <c r="A405" i="13"/>
  <c r="A404" i="13"/>
  <c r="A403" i="13"/>
  <c r="A402" i="13"/>
  <c r="A401" i="13"/>
  <c r="A400" i="13"/>
  <c r="A399" i="13"/>
  <c r="A398" i="13"/>
  <c r="A397" i="13"/>
  <c r="A396" i="13"/>
  <c r="A395" i="13"/>
  <c r="A394" i="13"/>
  <c r="A393" i="13"/>
  <c r="A392" i="13"/>
  <c r="A391" i="13"/>
  <c r="A390" i="13"/>
  <c r="A389" i="13"/>
  <c r="A388" i="13"/>
  <c r="A387" i="13"/>
  <c r="A386" i="13"/>
  <c r="A385" i="13"/>
  <c r="A384" i="13"/>
  <c r="A383" i="13"/>
  <c r="A382" i="13"/>
  <c r="A381" i="13"/>
  <c r="A380" i="13"/>
  <c r="A379" i="13"/>
  <c r="A378" i="13"/>
  <c r="A377" i="13"/>
  <c r="A376" i="13"/>
  <c r="A375" i="13"/>
  <c r="A374" i="13"/>
  <c r="A373" i="13"/>
  <c r="A372" i="13"/>
  <c r="A371" i="13"/>
  <c r="A370" i="13"/>
  <c r="A369" i="13"/>
  <c r="A368" i="13"/>
  <c r="A357" i="13"/>
  <c r="A356" i="13"/>
  <c r="A355" i="13"/>
  <c r="A354" i="13"/>
  <c r="A353" i="13"/>
  <c r="A352" i="13"/>
  <c r="A351" i="13"/>
  <c r="A350" i="13"/>
  <c r="A349" i="13"/>
  <c r="A348" i="13"/>
  <c r="A347" i="13"/>
  <c r="A346" i="13"/>
  <c r="A345" i="13"/>
  <c r="A344" i="13"/>
  <c r="A343" i="13"/>
  <c r="A342" i="13"/>
  <c r="A341" i="13"/>
  <c r="A340" i="13"/>
  <c r="A339" i="13"/>
  <c r="A338" i="13"/>
  <c r="A337" i="13"/>
  <c r="A336" i="13"/>
  <c r="A335" i="13"/>
  <c r="A334" i="13"/>
  <c r="A333" i="13"/>
  <c r="A332" i="13"/>
  <c r="A331" i="13"/>
  <c r="A330" i="13"/>
  <c r="A329" i="13"/>
  <c r="A328" i="13"/>
  <c r="A327" i="13"/>
  <c r="A326" i="13"/>
  <c r="A325" i="13"/>
  <c r="A324" i="13"/>
  <c r="A323" i="13"/>
  <c r="A322" i="13"/>
  <c r="A321" i="13"/>
  <c r="A320" i="13"/>
  <c r="A319" i="13"/>
  <c r="A318" i="13"/>
  <c r="A317" i="13"/>
  <c r="A316" i="13"/>
  <c r="A315" i="13"/>
  <c r="A314" i="13"/>
  <c r="A313" i="13"/>
  <c r="A312" i="13"/>
  <c r="A311" i="13"/>
  <c r="A310" i="13"/>
  <c r="A309" i="13"/>
  <c r="A308" i="13"/>
  <c r="A307" i="13"/>
  <c r="A306" i="13"/>
  <c r="A305" i="13"/>
  <c r="A304" i="13"/>
  <c r="A303" i="13"/>
  <c r="A302" i="13"/>
  <c r="A301" i="13"/>
  <c r="A300" i="13"/>
  <c r="A299" i="13"/>
  <c r="A298" i="13"/>
  <c r="A295" i="13"/>
  <c r="A294" i="13"/>
  <c r="A293" i="13"/>
  <c r="A292" i="13"/>
  <c r="A291" i="13"/>
  <c r="A290" i="13"/>
  <c r="A289" i="13"/>
  <c r="A288" i="13"/>
  <c r="A287" i="13"/>
  <c r="A286" i="13"/>
  <c r="A285" i="13"/>
  <c r="A284" i="13"/>
  <c r="A283" i="13"/>
  <c r="A282" i="13"/>
  <c r="A281" i="13"/>
  <c r="A280" i="13"/>
  <c r="A279" i="13"/>
  <c r="A278" i="13"/>
  <c r="A277" i="13"/>
  <c r="A276" i="13"/>
  <c r="A275" i="13"/>
  <c r="A274" i="13"/>
  <c r="A273" i="13"/>
  <c r="A272" i="13"/>
  <c r="A271" i="13"/>
  <c r="A270" i="13"/>
  <c r="A269" i="13"/>
  <c r="A268" i="13"/>
  <c r="A267" i="13"/>
  <c r="A266" i="13"/>
  <c r="A265" i="13"/>
  <c r="A264" i="13"/>
  <c r="A263" i="13"/>
  <c r="A262" i="13"/>
  <c r="A261" i="13"/>
  <c r="A260" i="13"/>
  <c r="A259" i="13"/>
  <c r="A258" i="13"/>
  <c r="A257" i="13"/>
  <c r="A256" i="13"/>
  <c r="A255" i="13"/>
  <c r="A254" i="13"/>
  <c r="A253" i="13"/>
  <c r="A252" i="13"/>
  <c r="A251" i="13"/>
  <c r="A250" i="13"/>
  <c r="A249" i="13"/>
  <c r="A248" i="13"/>
  <c r="A247" i="13"/>
  <c r="A246" i="13"/>
  <c r="A245" i="13"/>
  <c r="A244" i="13"/>
  <c r="A243" i="13"/>
  <c r="A242" i="13"/>
  <c r="A241" i="13"/>
  <c r="A240" i="13"/>
  <c r="A239" i="13"/>
  <c r="A238" i="13"/>
  <c r="A237" i="13"/>
  <c r="A236" i="13"/>
  <c r="A235" i="13"/>
  <c r="A234" i="13"/>
  <c r="A233" i="13"/>
  <c r="A232" i="13"/>
  <c r="A231" i="13"/>
  <c r="A230" i="13"/>
  <c r="A229" i="13"/>
  <c r="A228" i="13"/>
  <c r="A227" i="13"/>
  <c r="A226" i="13"/>
  <c r="A225" i="13"/>
  <c r="A224" i="13"/>
  <c r="A223" i="13"/>
  <c r="A222" i="13"/>
  <c r="A221" i="13"/>
  <c r="A220" i="13"/>
  <c r="A219" i="13"/>
  <c r="A218" i="13"/>
  <c r="A217" i="13"/>
  <c r="A216" i="13"/>
  <c r="A215" i="13"/>
  <c r="A214" i="13"/>
  <c r="A213" i="13"/>
  <c r="A212" i="13"/>
  <c r="A211" i="13"/>
  <c r="A210" i="13"/>
  <c r="A209" i="13"/>
  <c r="A208" i="13"/>
  <c r="A207" i="13"/>
  <c r="A206" i="13"/>
  <c r="A205" i="13"/>
  <c r="A204" i="13"/>
  <c r="A203" i="13"/>
  <c r="A202" i="13"/>
  <c r="A201" i="13"/>
  <c r="A200" i="13"/>
  <c r="A199" i="13"/>
  <c r="A198" i="13"/>
  <c r="A197" i="13"/>
  <c r="A196" i="13"/>
  <c r="A195" i="13"/>
  <c r="A194" i="13"/>
  <c r="A193" i="13"/>
  <c r="A192" i="13"/>
  <c r="A191" i="13"/>
  <c r="A190" i="13"/>
  <c r="A189" i="13"/>
  <c r="A188" i="13"/>
  <c r="A187" i="13"/>
  <c r="A186" i="13"/>
  <c r="A185" i="13"/>
  <c r="A184" i="13"/>
  <c r="A183" i="13"/>
  <c r="A182" i="13"/>
  <c r="A181" i="13"/>
  <c r="A180" i="13"/>
  <c r="A179" i="13"/>
  <c r="A178" i="13"/>
  <c r="A177" i="13"/>
  <c r="A176" i="13"/>
  <c r="A175" i="13"/>
  <c r="A174" i="13"/>
  <c r="A173" i="13"/>
  <c r="A172" i="13"/>
  <c r="A171" i="13"/>
  <c r="A170" i="13"/>
  <c r="A169" i="13"/>
  <c r="A168" i="13"/>
  <c r="A167" i="13"/>
  <c r="A166" i="13"/>
  <c r="A155" i="13"/>
  <c r="A154" i="13"/>
  <c r="A153" i="13"/>
  <c r="A152" i="13"/>
  <c r="A151" i="13"/>
  <c r="A150" i="13"/>
  <c r="A149" i="13"/>
  <c r="A148" i="13"/>
  <c r="A147" i="13"/>
  <c r="A146" i="13"/>
  <c r="A105" i="13"/>
  <c r="A104" i="13"/>
  <c r="A103" i="13"/>
  <c r="A102" i="13"/>
  <c r="A101" i="13"/>
  <c r="A100" i="13"/>
  <c r="A99" i="13"/>
  <c r="A98" i="13"/>
  <c r="A97" i="13"/>
  <c r="A96" i="13"/>
  <c r="A95" i="13"/>
  <c r="A94" i="13"/>
  <c r="A93" i="13"/>
  <c r="A92" i="13"/>
  <c r="A91" i="13"/>
  <c r="A90" i="13"/>
  <c r="A89" i="13"/>
  <c r="A88" i="13"/>
  <c r="A87" i="13"/>
  <c r="A86" i="13"/>
  <c r="A85" i="13"/>
  <c r="A84" i="13"/>
  <c r="A83" i="13"/>
  <c r="A82" i="13"/>
  <c r="A81" i="13"/>
  <c r="A80" i="13"/>
  <c r="A79" i="13"/>
  <c r="A78" i="13"/>
  <c r="A77" i="13"/>
  <c r="A76" i="13"/>
  <c r="A75" i="13"/>
  <c r="A74" i="13"/>
  <c r="A73" i="13"/>
  <c r="A72" i="13"/>
  <c r="A71" i="13"/>
  <c r="A70" i="13"/>
  <c r="A69" i="13"/>
  <c r="A68" i="13"/>
  <c r="A67" i="13"/>
  <c r="A66" i="13"/>
  <c r="A65" i="13"/>
  <c r="A64" i="13"/>
  <c r="A63" i="13"/>
  <c r="A62" i="13"/>
  <c r="A61" i="13"/>
  <c r="A60" i="13"/>
  <c r="A59" i="13"/>
  <c r="A58" i="13"/>
  <c r="A57" i="13"/>
  <c r="A56" i="13"/>
  <c r="A55" i="13"/>
  <c r="A54" i="13"/>
  <c r="A53" i="13"/>
  <c r="A52" i="13"/>
  <c r="A51" i="13"/>
  <c r="A50" i="13"/>
  <c r="A49" i="13"/>
  <c r="A48" i="13"/>
  <c r="A47" i="13"/>
  <c r="A46" i="13"/>
  <c r="A504" i="22"/>
  <c r="A503" i="22"/>
  <c r="A502" i="22"/>
  <c r="A501" i="22"/>
  <c r="A500" i="22"/>
  <c r="A499" i="22"/>
  <c r="A498" i="22"/>
  <c r="A497" i="22"/>
  <c r="A496" i="22"/>
  <c r="A495" i="22"/>
  <c r="A494" i="22"/>
  <c r="A493" i="22"/>
  <c r="A480" i="22"/>
  <c r="A479" i="22"/>
  <c r="A478" i="22"/>
  <c r="A477" i="22"/>
  <c r="A476" i="22"/>
  <c r="A475" i="22"/>
  <c r="A474" i="22"/>
  <c r="A473" i="22"/>
  <c r="A472" i="22"/>
  <c r="A471" i="22"/>
  <c r="A470" i="22"/>
  <c r="A469" i="22"/>
  <c r="A468" i="22"/>
  <c r="A467" i="22"/>
  <c r="A466" i="22"/>
  <c r="A465" i="22"/>
  <c r="A464" i="22"/>
  <c r="A463" i="22"/>
  <c r="A432" i="22"/>
  <c r="A431" i="22"/>
  <c r="A430" i="22"/>
  <c r="A429" i="22"/>
  <c r="A428" i="22"/>
  <c r="A427" i="22"/>
  <c r="A426" i="22"/>
  <c r="A425" i="22"/>
  <c r="A424" i="22"/>
  <c r="A423" i="22"/>
  <c r="A422" i="22"/>
  <c r="A421" i="22"/>
  <c r="A420" i="22"/>
  <c r="A419" i="22"/>
  <c r="A418" i="22"/>
  <c r="A417" i="22"/>
  <c r="A416" i="22"/>
  <c r="A415" i="22"/>
  <c r="A414" i="22"/>
  <c r="A413" i="22"/>
  <c r="A412" i="22"/>
  <c r="A411" i="22"/>
  <c r="A410" i="22"/>
  <c r="A409" i="22"/>
  <c r="A408" i="22"/>
  <c r="A407" i="22"/>
  <c r="A406" i="22"/>
  <c r="A405" i="22"/>
  <c r="A404" i="22"/>
  <c r="A403" i="22"/>
  <c r="A384" i="22"/>
  <c r="A383" i="22"/>
  <c r="A382" i="22"/>
  <c r="A381" i="22"/>
  <c r="A380" i="22"/>
  <c r="A379" i="22"/>
  <c r="A366" i="22"/>
  <c r="A365" i="22"/>
  <c r="A364" i="22"/>
  <c r="A363" i="22"/>
  <c r="A362" i="22"/>
  <c r="A361" i="22"/>
  <c r="A360" i="22"/>
  <c r="A359" i="22"/>
  <c r="A358" i="22"/>
  <c r="A357" i="22"/>
  <c r="A356" i="22"/>
  <c r="A355" i="22"/>
  <c r="A354" i="22"/>
  <c r="A353" i="22"/>
  <c r="A352" i="22"/>
  <c r="A351" i="22"/>
  <c r="A350" i="22"/>
  <c r="A349" i="22"/>
  <c r="A348" i="22"/>
  <c r="A347" i="22"/>
  <c r="A346" i="22"/>
  <c r="A345" i="22"/>
  <c r="A344" i="22"/>
  <c r="A343" i="22"/>
  <c r="A320" i="22"/>
  <c r="A319" i="22"/>
  <c r="A318" i="22"/>
  <c r="A317" i="22"/>
  <c r="A316" i="22"/>
  <c r="A315" i="22"/>
  <c r="A314" i="22"/>
  <c r="A313" i="22"/>
  <c r="A312" i="22"/>
  <c r="A311" i="22"/>
  <c r="A310" i="22"/>
  <c r="A309" i="22"/>
  <c r="A308" i="22"/>
  <c r="A307" i="22"/>
  <c r="A306" i="22"/>
  <c r="A305" i="22"/>
  <c r="A304" i="22"/>
  <c r="A303" i="22"/>
  <c r="A302" i="22"/>
  <c r="A301" i="22"/>
  <c r="A292" i="22"/>
  <c r="A291" i="22"/>
  <c r="A290" i="22"/>
  <c r="A289" i="22"/>
  <c r="A288" i="22"/>
  <c r="A287" i="22"/>
  <c r="A286" i="22"/>
  <c r="A285" i="22"/>
  <c r="A284" i="22"/>
  <c r="A283" i="22"/>
  <c r="A282" i="22"/>
  <c r="A281" i="22"/>
  <c r="A260" i="22"/>
  <c r="A259" i="22"/>
  <c r="A258" i="22"/>
  <c r="A257" i="22"/>
  <c r="A256" i="22"/>
  <c r="A255" i="22"/>
  <c r="A254" i="22"/>
  <c r="A253" i="22"/>
  <c r="A252" i="22"/>
  <c r="A251" i="22"/>
  <c r="A250" i="22"/>
  <c r="A249" i="22"/>
  <c r="A248" i="22"/>
  <c r="A247" i="22"/>
  <c r="A246" i="22"/>
  <c r="A245" i="22"/>
  <c r="A342" i="22"/>
  <c r="A341" i="22"/>
  <c r="A340" i="22"/>
  <c r="A339" i="22"/>
  <c r="A338" i="22"/>
  <c r="A337" i="22"/>
  <c r="A226" i="22"/>
  <c r="A225" i="22"/>
  <c r="A224" i="22"/>
  <c r="A223" i="22"/>
  <c r="A222" i="22"/>
  <c r="A221" i="22"/>
  <c r="A220" i="22"/>
  <c r="A219" i="22"/>
  <c r="A218" i="22"/>
  <c r="A217" i="22"/>
  <c r="A216" i="22"/>
  <c r="A215" i="22"/>
  <c r="A214" i="22"/>
  <c r="A213" i="22"/>
  <c r="A212" i="22"/>
  <c r="A211" i="22"/>
  <c r="A210" i="22"/>
  <c r="A209" i="22"/>
  <c r="A208" i="22"/>
  <c r="A207" i="22"/>
  <c r="A206" i="22"/>
  <c r="A205" i="22"/>
  <c r="A204" i="22"/>
  <c r="A203" i="22"/>
  <c r="A202" i="22"/>
  <c r="A201" i="22"/>
  <c r="A200" i="22"/>
  <c r="A199" i="22"/>
  <c r="A198" i="22"/>
  <c r="A197" i="22"/>
  <c r="A74" i="22"/>
  <c r="A73" i="22"/>
  <c r="A72" i="22"/>
  <c r="A71" i="22"/>
  <c r="A70" i="22"/>
  <c r="A69" i="22"/>
  <c r="A68" i="22"/>
  <c r="A67" i="22"/>
  <c r="A66" i="22"/>
  <c r="A65" i="22"/>
  <c r="A194" i="22"/>
  <c r="A193" i="22"/>
  <c r="A192" i="22"/>
  <c r="A191" i="22"/>
  <c r="A190" i="22"/>
  <c r="A189" i="22"/>
  <c r="A188" i="22"/>
  <c r="A187" i="22"/>
  <c r="A186" i="22"/>
  <c r="A185" i="22"/>
  <c r="A174" i="22"/>
  <c r="A173" i="22"/>
  <c r="A172" i="22"/>
  <c r="A171" i="22"/>
  <c r="A170" i="22"/>
  <c r="A169" i="22"/>
  <c r="A168" i="22"/>
  <c r="A167" i="22"/>
  <c r="A166" i="22"/>
  <c r="A165" i="22"/>
  <c r="A154" i="22"/>
  <c r="A153" i="22"/>
  <c r="A152" i="22"/>
  <c r="A151" i="22"/>
  <c r="A150" i="22"/>
  <c r="A149" i="22"/>
  <c r="A148" i="22"/>
  <c r="A147" i="22"/>
  <c r="A146" i="22"/>
  <c r="A145" i="22"/>
  <c r="A144" i="22"/>
  <c r="A143" i="22"/>
  <c r="A142" i="22"/>
  <c r="A141" i="22"/>
  <c r="A140" i="22"/>
  <c r="A139" i="22"/>
  <c r="A138" i="22"/>
  <c r="A137" i="22"/>
  <c r="A136" i="22"/>
  <c r="A135" i="22"/>
  <c r="A134" i="22"/>
  <c r="A133" i="22"/>
  <c r="A132" i="22"/>
  <c r="A131" i="22"/>
  <c r="A130" i="22"/>
  <c r="A129" i="22"/>
  <c r="A128" i="22"/>
  <c r="A127" i="22"/>
  <c r="A126" i="22"/>
  <c r="A125" i="22"/>
  <c r="A124" i="22"/>
  <c r="A123" i="22"/>
  <c r="A122" i="22"/>
  <c r="A121" i="22"/>
  <c r="A120" i="22"/>
  <c r="A119" i="22"/>
  <c r="A118" i="22"/>
  <c r="A117" i="22"/>
  <c r="A116" i="22"/>
  <c r="A115" i="22"/>
  <c r="A114" i="22"/>
  <c r="A113" i="22"/>
  <c r="A112" i="22"/>
  <c r="A111" i="22"/>
  <c r="A110" i="22"/>
  <c r="A109" i="22"/>
  <c r="A108" i="22"/>
  <c r="A107" i="22"/>
  <c r="A106" i="22"/>
  <c r="A105" i="22"/>
  <c r="A104" i="22"/>
  <c r="A103" i="22"/>
  <c r="A102" i="22"/>
  <c r="A101" i="22"/>
  <c r="A100" i="22"/>
  <c r="A99" i="22"/>
  <c r="A98" i="22"/>
  <c r="A97" i="22"/>
  <c r="A96" i="22"/>
  <c r="A95" i="22"/>
  <c r="A94" i="22"/>
  <c r="A93" i="22"/>
  <c r="A92" i="22"/>
  <c r="A91" i="22"/>
  <c r="A90" i="22"/>
  <c r="A89" i="22"/>
  <c r="A88" i="22"/>
  <c r="A87" i="22"/>
  <c r="A86" i="22"/>
  <c r="A85" i="22"/>
  <c r="A44" i="22"/>
  <c r="A43" i="22"/>
  <c r="A42" i="22"/>
  <c r="A41" i="22"/>
  <c r="A40" i="22"/>
  <c r="A39" i="22"/>
  <c r="A38" i="22"/>
  <c r="A37" i="22"/>
  <c r="A36" i="22"/>
  <c r="A35" i="22"/>
  <c r="A595" i="34"/>
  <c r="A594" i="34"/>
  <c r="A593" i="34"/>
  <c r="A592" i="34"/>
  <c r="A591" i="34"/>
  <c r="A590" i="34"/>
  <c r="A589" i="34"/>
  <c r="A588" i="34"/>
  <c r="A587" i="34"/>
  <c r="A586" i="34"/>
  <c r="A585" i="34"/>
  <c r="A584" i="34"/>
  <c r="A583" i="34"/>
  <c r="A582" i="34"/>
  <c r="A581" i="34"/>
  <c r="A580" i="34"/>
  <c r="A579" i="34"/>
  <c r="A578" i="34"/>
  <c r="A577" i="34"/>
  <c r="A576" i="34"/>
  <c r="A575" i="34"/>
  <c r="A574" i="34"/>
  <c r="A573" i="34"/>
  <c r="A572" i="34"/>
  <c r="A571" i="34"/>
  <c r="A570" i="34"/>
  <c r="A569" i="34"/>
  <c r="A568" i="34"/>
  <c r="A567" i="34"/>
  <c r="A566" i="34"/>
  <c r="A565" i="34"/>
  <c r="A564" i="34"/>
  <c r="A563" i="34"/>
  <c r="A562" i="34"/>
  <c r="A561" i="34"/>
  <c r="A560" i="34"/>
  <c r="A559" i="34"/>
  <c r="A558" i="34"/>
  <c r="A557" i="34"/>
  <c r="A556" i="34"/>
  <c r="A555" i="34"/>
  <c r="A554" i="34"/>
  <c r="A553" i="34"/>
  <c r="A552" i="34"/>
  <c r="A551" i="34"/>
  <c r="A550" i="34"/>
  <c r="A549" i="34"/>
  <c r="A548" i="34"/>
  <c r="A547" i="34"/>
  <c r="A546" i="34"/>
  <c r="A545" i="34"/>
  <c r="A544" i="34"/>
  <c r="A543" i="34"/>
  <c r="A542" i="34"/>
  <c r="A541" i="34"/>
  <c r="A540" i="34"/>
  <c r="A539" i="34"/>
  <c r="A538" i="34"/>
  <c r="A537" i="34"/>
  <c r="A536" i="34"/>
  <c r="A535" i="34"/>
  <c r="A534" i="34"/>
  <c r="A533" i="34"/>
  <c r="A532" i="34"/>
  <c r="A531" i="34"/>
  <c r="A530" i="34"/>
  <c r="A529" i="34"/>
  <c r="A528" i="34"/>
  <c r="A527" i="34"/>
  <c r="A526" i="34"/>
  <c r="A525" i="34"/>
  <c r="A524" i="34"/>
  <c r="A523" i="34"/>
  <c r="A522" i="34"/>
  <c r="A521" i="34"/>
  <c r="A520" i="34"/>
  <c r="A519" i="34"/>
  <c r="A518" i="34"/>
  <c r="A517" i="34"/>
  <c r="A516" i="34"/>
  <c r="A515" i="34"/>
  <c r="A514" i="34"/>
  <c r="A513" i="34"/>
  <c r="A512" i="34"/>
  <c r="A511" i="34"/>
  <c r="A510" i="34"/>
  <c r="A509" i="34"/>
  <c r="A508" i="34"/>
  <c r="A507" i="34"/>
  <c r="A506" i="34"/>
  <c r="A505" i="34"/>
  <c r="A504" i="34"/>
  <c r="A503" i="34"/>
  <c r="A502" i="34"/>
  <c r="A501" i="34"/>
  <c r="A500" i="34"/>
  <c r="A499" i="34"/>
  <c r="A498" i="34"/>
  <c r="A497" i="34"/>
  <c r="A496" i="34"/>
  <c r="A495" i="34"/>
  <c r="A494" i="34"/>
  <c r="A493" i="34"/>
  <c r="A492" i="34"/>
  <c r="A491" i="34"/>
  <c r="A490" i="34"/>
  <c r="A489" i="34"/>
  <c r="A488" i="34"/>
  <c r="A487" i="34"/>
  <c r="A486" i="34"/>
  <c r="A485" i="34"/>
  <c r="A484" i="34"/>
  <c r="A483" i="34"/>
  <c r="A482" i="34"/>
  <c r="A481" i="34"/>
  <c r="A480" i="34"/>
  <c r="A479" i="34"/>
  <c r="A478" i="34"/>
  <c r="A477" i="34"/>
  <c r="A476" i="34"/>
  <c r="A475" i="34"/>
  <c r="A474" i="34"/>
  <c r="A473" i="34"/>
  <c r="A472" i="34"/>
  <c r="A471" i="34"/>
  <c r="A470" i="34"/>
  <c r="A469" i="34"/>
  <c r="A468" i="34"/>
  <c r="A467" i="34"/>
  <c r="A466" i="34"/>
  <c r="A465" i="34"/>
  <c r="A464" i="34"/>
  <c r="A463" i="34"/>
  <c r="A462" i="34"/>
  <c r="A461" i="34"/>
  <c r="A460" i="34"/>
  <c r="A459" i="34"/>
  <c r="A458" i="34"/>
  <c r="A457" i="34"/>
  <c r="A456" i="34"/>
  <c r="A455" i="34"/>
  <c r="A454" i="34"/>
  <c r="A453" i="34"/>
  <c r="A452" i="34"/>
  <c r="A427" i="34"/>
  <c r="A426" i="34"/>
  <c r="A425" i="34"/>
  <c r="A424" i="34"/>
  <c r="A423" i="34"/>
  <c r="A422" i="34"/>
  <c r="A421" i="34"/>
  <c r="A420" i="34"/>
  <c r="A419" i="34"/>
  <c r="A418" i="34"/>
  <c r="A417" i="34"/>
  <c r="A416" i="34"/>
  <c r="A415" i="34"/>
  <c r="A414" i="34"/>
  <c r="A413" i="34"/>
  <c r="A412" i="34"/>
  <c r="A411" i="34"/>
  <c r="A410" i="34"/>
  <c r="A409" i="34"/>
  <c r="A408" i="34"/>
  <c r="A407" i="34"/>
  <c r="A406" i="34"/>
  <c r="A405" i="34"/>
  <c r="A404" i="34"/>
  <c r="A403" i="34"/>
  <c r="A402" i="34"/>
  <c r="A401" i="34"/>
  <c r="A400" i="34"/>
  <c r="A399" i="34"/>
  <c r="A398" i="34"/>
  <c r="A397" i="34"/>
  <c r="A396" i="34"/>
  <c r="A395" i="34"/>
  <c r="A394" i="34"/>
  <c r="A393" i="34"/>
  <c r="A392" i="34"/>
  <c r="A391" i="34"/>
  <c r="A390" i="34"/>
  <c r="A389" i="34"/>
  <c r="A388" i="34"/>
  <c r="A387" i="34"/>
  <c r="A386" i="34"/>
  <c r="A385" i="34"/>
  <c r="A384" i="34"/>
  <c r="A383" i="34"/>
  <c r="A382" i="34"/>
  <c r="A381" i="34"/>
  <c r="A380" i="34"/>
  <c r="A379" i="34"/>
  <c r="A378" i="34"/>
  <c r="A377" i="34"/>
  <c r="A376" i="34"/>
  <c r="A375" i="34"/>
  <c r="A374" i="34"/>
  <c r="A373" i="34"/>
  <c r="A372" i="34"/>
  <c r="A351" i="34"/>
  <c r="A350" i="34"/>
  <c r="A349" i="34"/>
  <c r="A348" i="34"/>
  <c r="A347" i="34"/>
  <c r="A346" i="34"/>
  <c r="A345" i="34"/>
  <c r="A344" i="34"/>
  <c r="A343" i="34"/>
  <c r="A342" i="34"/>
  <c r="A341" i="34"/>
  <c r="A340" i="34"/>
  <c r="A339" i="34"/>
  <c r="A338" i="34"/>
  <c r="A337" i="34"/>
  <c r="A336" i="34"/>
  <c r="A335" i="34"/>
  <c r="A334" i="34"/>
  <c r="A333" i="34"/>
  <c r="A332" i="34"/>
  <c r="A331" i="34"/>
  <c r="A330" i="34"/>
  <c r="A329" i="34"/>
  <c r="A328" i="34"/>
  <c r="A327" i="34"/>
  <c r="A326" i="34"/>
  <c r="A325" i="34"/>
  <c r="A324" i="34"/>
  <c r="A323" i="34"/>
  <c r="A322" i="34"/>
  <c r="A321" i="34"/>
  <c r="A320" i="34"/>
  <c r="A319" i="34"/>
  <c r="A318" i="34"/>
  <c r="A317" i="34"/>
  <c r="A316" i="34"/>
  <c r="A315" i="34"/>
  <c r="A314" i="34"/>
  <c r="A313" i="34"/>
  <c r="A312" i="34"/>
  <c r="A311" i="34"/>
  <c r="A310" i="34"/>
  <c r="A309" i="34"/>
  <c r="A308" i="34"/>
  <c r="A307" i="34"/>
  <c r="A306" i="34"/>
  <c r="A305" i="34"/>
  <c r="A304" i="34"/>
  <c r="A303" i="34"/>
  <c r="A302" i="34"/>
  <c r="A301" i="34"/>
  <c r="A300" i="34"/>
  <c r="A299" i="34"/>
  <c r="A298" i="34"/>
  <c r="A297" i="34"/>
  <c r="A296" i="34"/>
  <c r="A295" i="34"/>
  <c r="A294" i="34"/>
  <c r="A293" i="34"/>
  <c r="A292" i="34"/>
  <c r="A281" i="34"/>
  <c r="A280" i="34"/>
  <c r="A279" i="34"/>
  <c r="A278" i="34"/>
  <c r="A277" i="34"/>
  <c r="A276" i="34"/>
  <c r="A275" i="34"/>
  <c r="A274" i="34"/>
  <c r="A273" i="34"/>
  <c r="A272" i="34"/>
  <c r="A271" i="34"/>
  <c r="A270" i="34"/>
  <c r="A269" i="34"/>
  <c r="A268" i="34"/>
  <c r="A267" i="34"/>
  <c r="A266" i="34"/>
  <c r="A265" i="34"/>
  <c r="A264" i="34"/>
  <c r="A263" i="34"/>
  <c r="A262" i="34"/>
  <c r="A261" i="34"/>
  <c r="A260" i="34"/>
  <c r="A259" i="34"/>
  <c r="A258" i="34"/>
  <c r="A257" i="34"/>
  <c r="A256" i="34"/>
  <c r="A255" i="34"/>
  <c r="A254" i="34"/>
  <c r="A253" i="34"/>
  <c r="A252" i="34"/>
  <c r="A251" i="34"/>
  <c r="A250" i="34"/>
  <c r="A249" i="34"/>
  <c r="A248" i="34"/>
  <c r="A247" i="34"/>
  <c r="A246" i="34"/>
  <c r="A245" i="34"/>
  <c r="A244" i="34"/>
  <c r="A243" i="34"/>
  <c r="A242" i="34"/>
  <c r="A241" i="34"/>
  <c r="A240" i="34"/>
  <c r="A239" i="34"/>
  <c r="A238" i="34"/>
  <c r="A237" i="34"/>
  <c r="A236" i="34"/>
  <c r="A235" i="34"/>
  <c r="A234" i="34"/>
  <c r="A233" i="34"/>
  <c r="A232" i="34"/>
  <c r="A229" i="34"/>
  <c r="A228" i="34"/>
  <c r="A227" i="34"/>
  <c r="A226" i="34"/>
  <c r="A225" i="34"/>
  <c r="A224" i="34"/>
  <c r="A223" i="34"/>
  <c r="A222" i="34"/>
  <c r="A221" i="34"/>
  <c r="A220" i="34"/>
  <c r="A219" i="34"/>
  <c r="A218" i="34"/>
  <c r="A217" i="34"/>
  <c r="A216" i="34"/>
  <c r="A215" i="34"/>
  <c r="A214" i="34"/>
  <c r="A213" i="34"/>
  <c r="A212" i="34"/>
  <c r="A211" i="34"/>
  <c r="A210" i="34"/>
  <c r="A209" i="34"/>
  <c r="A208" i="34"/>
  <c r="A207" i="34"/>
  <c r="A206" i="34"/>
  <c r="A205" i="34"/>
  <c r="A204" i="34"/>
  <c r="A203" i="34"/>
  <c r="A202" i="34"/>
  <c r="A201" i="34"/>
  <c r="A200" i="34"/>
  <c r="A199" i="34"/>
  <c r="A198" i="34"/>
  <c r="A197" i="34"/>
  <c r="A196" i="34"/>
  <c r="A195" i="34"/>
  <c r="A194" i="34"/>
  <c r="A193" i="34"/>
  <c r="A192" i="34"/>
  <c r="A191" i="34"/>
  <c r="A190" i="34"/>
  <c r="A189" i="34"/>
  <c r="A188" i="34"/>
  <c r="A187" i="34"/>
  <c r="A186" i="34"/>
  <c r="A185" i="34"/>
  <c r="A184" i="34"/>
  <c r="A183" i="34"/>
  <c r="A182" i="34"/>
  <c r="A181" i="34"/>
  <c r="A180" i="34"/>
  <c r="A179" i="34"/>
  <c r="A178" i="34"/>
  <c r="A177" i="34"/>
  <c r="A176" i="34"/>
  <c r="A175" i="34"/>
  <c r="A174" i="34"/>
  <c r="A173" i="34"/>
  <c r="A172" i="34"/>
  <c r="A171" i="34"/>
  <c r="A170" i="34"/>
  <c r="A169" i="34"/>
  <c r="A168" i="34"/>
  <c r="A167" i="34"/>
  <c r="A166" i="34"/>
  <c r="A165" i="34"/>
  <c r="A164" i="34"/>
  <c r="A163" i="34"/>
  <c r="A162" i="34"/>
  <c r="A161" i="34"/>
  <c r="A160" i="34"/>
  <c r="A159" i="34"/>
  <c r="A158" i="34"/>
  <c r="A157" i="34"/>
  <c r="A156" i="34"/>
  <c r="A155" i="34"/>
  <c r="A154" i="34"/>
  <c r="A153" i="34"/>
  <c r="A152" i="34"/>
  <c r="A151" i="34"/>
  <c r="A150" i="34"/>
  <c r="A149" i="34"/>
  <c r="A148" i="34"/>
  <c r="A147" i="34"/>
  <c r="A146" i="34"/>
  <c r="A145" i="34"/>
  <c r="A144" i="34"/>
  <c r="A143" i="34"/>
  <c r="A142" i="34"/>
  <c r="A141" i="34"/>
  <c r="A140" i="34"/>
  <c r="A139" i="34"/>
  <c r="A138" i="34"/>
  <c r="A137" i="34"/>
  <c r="A136" i="34"/>
  <c r="A135" i="34"/>
  <c r="A134" i="34"/>
  <c r="A133" i="34"/>
  <c r="A132" i="34"/>
  <c r="A131" i="34"/>
  <c r="A130" i="34"/>
  <c r="A79" i="34"/>
  <c r="A78" i="34"/>
  <c r="A77" i="34"/>
  <c r="A76" i="34"/>
  <c r="A75" i="34"/>
  <c r="A74" i="34"/>
  <c r="A73" i="34"/>
  <c r="A72" i="34"/>
  <c r="A71" i="34"/>
  <c r="A70" i="34"/>
  <c r="A69" i="34"/>
  <c r="A68" i="34"/>
  <c r="A67" i="34"/>
  <c r="A66" i="34"/>
  <c r="A65" i="34"/>
  <c r="A64" i="34"/>
  <c r="A63" i="34"/>
  <c r="A62" i="34"/>
  <c r="A61" i="34"/>
  <c r="A60" i="34"/>
  <c r="A59" i="34"/>
  <c r="A58" i="34"/>
  <c r="A57" i="34"/>
  <c r="A56" i="34"/>
  <c r="A55" i="34"/>
  <c r="A54" i="34"/>
  <c r="A53" i="34"/>
  <c r="A52" i="34"/>
  <c r="A51" i="34"/>
  <c r="A50" i="34"/>
  <c r="A49" i="34"/>
  <c r="A48" i="34"/>
  <c r="A47" i="34"/>
  <c r="A46" i="34"/>
  <c r="A45" i="34"/>
  <c r="A44" i="34"/>
  <c r="A43" i="34"/>
  <c r="A42" i="34"/>
  <c r="A41" i="34"/>
  <c r="A40" i="34"/>
  <c r="A595" i="91"/>
  <c r="A594" i="91"/>
  <c r="A593" i="91"/>
  <c r="A592" i="91"/>
  <c r="A591" i="91"/>
  <c r="A590" i="91"/>
  <c r="A589" i="91"/>
  <c r="A588" i="91"/>
  <c r="A587" i="91"/>
  <c r="A586" i="91"/>
  <c r="A585" i="91"/>
  <c r="A584" i="91"/>
  <c r="A583" i="91"/>
  <c r="A582" i="91"/>
  <c r="A581" i="91"/>
  <c r="A580" i="91"/>
  <c r="A579" i="91"/>
  <c r="A578" i="91"/>
  <c r="A577" i="91"/>
  <c r="A576" i="91"/>
  <c r="A575" i="91"/>
  <c r="A574" i="91"/>
  <c r="A573" i="91"/>
  <c r="A572" i="91"/>
  <c r="A571" i="91"/>
  <c r="A570" i="91"/>
  <c r="A569" i="91"/>
  <c r="A568" i="91"/>
  <c r="A567" i="91"/>
  <c r="A566" i="91"/>
  <c r="A565" i="91"/>
  <c r="A564" i="91"/>
  <c r="A563" i="91"/>
  <c r="A562" i="91"/>
  <c r="A561" i="91"/>
  <c r="A560" i="91"/>
  <c r="A559" i="91"/>
  <c r="A558" i="91"/>
  <c r="A557" i="91"/>
  <c r="A556" i="91"/>
  <c r="A555" i="91"/>
  <c r="A554" i="91"/>
  <c r="A553" i="91"/>
  <c r="A552" i="91"/>
  <c r="A551" i="91"/>
  <c r="A550" i="91"/>
  <c r="A549" i="91"/>
  <c r="A548" i="91"/>
  <c r="A547" i="91"/>
  <c r="A546" i="91"/>
  <c r="A545" i="91"/>
  <c r="A544" i="91"/>
  <c r="A543" i="91"/>
  <c r="A542" i="91"/>
  <c r="A541" i="91"/>
  <c r="A540" i="91"/>
  <c r="A539" i="91"/>
  <c r="A538" i="91"/>
  <c r="A537" i="91"/>
  <c r="A536" i="91"/>
  <c r="A535" i="91"/>
  <c r="A534" i="91"/>
  <c r="A533" i="91"/>
  <c r="A532" i="91"/>
  <c r="A531" i="91"/>
  <c r="A530" i="91"/>
  <c r="A529" i="91"/>
  <c r="A528" i="91"/>
  <c r="A527" i="91"/>
  <c r="A526" i="91"/>
  <c r="A525" i="91"/>
  <c r="A524" i="91"/>
  <c r="A523" i="91"/>
  <c r="A522" i="91"/>
  <c r="A521" i="91"/>
  <c r="A520" i="91"/>
  <c r="A519" i="91"/>
  <c r="A518" i="91"/>
  <c r="A517" i="91"/>
  <c r="A516" i="91"/>
  <c r="A515" i="91"/>
  <c r="A514" i="91"/>
  <c r="A513" i="91"/>
  <c r="A512" i="91"/>
  <c r="A511" i="91"/>
  <c r="A510" i="91"/>
  <c r="A509" i="91"/>
  <c r="A508" i="91"/>
  <c r="A507" i="91"/>
  <c r="A506" i="91"/>
  <c r="A505" i="91"/>
  <c r="A504" i="91"/>
  <c r="A503" i="91"/>
  <c r="A502" i="91"/>
  <c r="A501" i="91"/>
  <c r="A500" i="91"/>
  <c r="A499" i="91"/>
  <c r="A498" i="91"/>
  <c r="A497" i="91"/>
  <c r="A496" i="91"/>
  <c r="A495" i="91"/>
  <c r="A494" i="91"/>
  <c r="A493" i="91"/>
  <c r="A492" i="91"/>
  <c r="A491" i="91"/>
  <c r="A490" i="91"/>
  <c r="A489" i="91"/>
  <c r="A488" i="91"/>
  <c r="A487" i="91"/>
  <c r="A486" i="91"/>
  <c r="A485" i="91"/>
  <c r="A484" i="91"/>
  <c r="A483" i="91"/>
  <c r="A482" i="91"/>
  <c r="A481" i="91"/>
  <c r="A480" i="91"/>
  <c r="A479" i="91"/>
  <c r="A478" i="91"/>
  <c r="A477" i="91"/>
  <c r="A476" i="91"/>
  <c r="A475" i="91"/>
  <c r="A474" i="91"/>
  <c r="A473" i="91"/>
  <c r="A472" i="91"/>
  <c r="A471" i="91"/>
  <c r="A470" i="91"/>
  <c r="A469" i="91"/>
  <c r="A468" i="91"/>
  <c r="A467" i="91"/>
  <c r="A466" i="91"/>
  <c r="A465" i="91"/>
  <c r="A464" i="91"/>
  <c r="A463" i="91"/>
  <c r="A462" i="91"/>
  <c r="A461" i="91"/>
  <c r="A460" i="91"/>
  <c r="A459" i="91"/>
  <c r="A458" i="91"/>
  <c r="A457" i="91"/>
  <c r="A456" i="91"/>
  <c r="A455" i="91"/>
  <c r="A454" i="91"/>
  <c r="A453" i="91"/>
  <c r="A452" i="91"/>
  <c r="A451" i="91"/>
  <c r="A450" i="91"/>
  <c r="A449" i="91"/>
  <c r="A448" i="91"/>
  <c r="A447" i="91"/>
  <c r="A446" i="91"/>
  <c r="A445" i="91"/>
  <c r="A444" i="91"/>
  <c r="A443" i="91"/>
  <c r="A422" i="91"/>
  <c r="A421" i="91"/>
  <c r="A420" i="91"/>
  <c r="A419" i="91"/>
  <c r="A418" i="91"/>
  <c r="A417" i="91"/>
  <c r="A416" i="91"/>
  <c r="A415" i="91"/>
  <c r="A414" i="91"/>
  <c r="A413" i="91"/>
  <c r="A412" i="91"/>
  <c r="A411" i="91"/>
  <c r="A410" i="91"/>
  <c r="A409" i="91"/>
  <c r="A408" i="91"/>
  <c r="A407" i="91"/>
  <c r="A406" i="91"/>
  <c r="A405" i="91"/>
  <c r="A404" i="91"/>
  <c r="A403" i="91"/>
  <c r="A402" i="91"/>
  <c r="A401" i="91"/>
  <c r="A400" i="91"/>
  <c r="A399" i="91"/>
  <c r="A398" i="91"/>
  <c r="A397" i="91"/>
  <c r="A396" i="91"/>
  <c r="A395" i="91"/>
  <c r="A394" i="91"/>
  <c r="A393" i="91"/>
  <c r="A392" i="91"/>
  <c r="A391" i="91"/>
  <c r="A390" i="91"/>
  <c r="A389" i="91"/>
  <c r="A388" i="91"/>
  <c r="A387" i="91"/>
  <c r="A386" i="91"/>
  <c r="A385" i="91"/>
  <c r="A384" i="91"/>
  <c r="A383" i="91"/>
  <c r="A382" i="91"/>
  <c r="A381" i="91"/>
  <c r="A380" i="91"/>
  <c r="A379" i="91"/>
  <c r="A378" i="91"/>
  <c r="A377" i="91"/>
  <c r="A376" i="91"/>
  <c r="A375" i="91"/>
  <c r="A374" i="91"/>
  <c r="A373" i="91"/>
  <c r="A370" i="91"/>
  <c r="A369" i="91"/>
  <c r="A368" i="91"/>
  <c r="A367" i="91"/>
  <c r="A366" i="91"/>
  <c r="A365" i="91"/>
  <c r="A364" i="91"/>
  <c r="A363" i="91"/>
  <c r="A362" i="91"/>
  <c r="A361" i="91"/>
  <c r="A360" i="91"/>
  <c r="A359" i="91"/>
  <c r="A358" i="91"/>
  <c r="A357" i="91"/>
  <c r="A356" i="91"/>
  <c r="A355" i="91"/>
  <c r="A354" i="91"/>
  <c r="A353" i="91"/>
  <c r="A352" i="91"/>
  <c r="A351" i="91"/>
  <c r="A350" i="91"/>
  <c r="A349" i="91"/>
  <c r="A348" i="91"/>
  <c r="A347" i="91"/>
  <c r="A346" i="91"/>
  <c r="A345" i="91"/>
  <c r="A344" i="91"/>
  <c r="A343" i="91"/>
  <c r="A342" i="91"/>
  <c r="A341" i="91"/>
  <c r="A340" i="91"/>
  <c r="A339" i="91"/>
  <c r="A338" i="91"/>
  <c r="A337" i="91"/>
  <c r="A336" i="91"/>
  <c r="A335" i="91"/>
  <c r="A334" i="91"/>
  <c r="A333" i="91"/>
  <c r="A332" i="91"/>
  <c r="A331" i="91"/>
  <c r="A320" i="91"/>
  <c r="A319" i="91"/>
  <c r="A318" i="91"/>
  <c r="A317" i="91"/>
  <c r="A316" i="91"/>
  <c r="A315" i="91"/>
  <c r="A314" i="91"/>
  <c r="A313" i="91"/>
  <c r="A312" i="91"/>
  <c r="A311" i="91"/>
  <c r="A310" i="91"/>
  <c r="A309" i="91"/>
  <c r="A308" i="91"/>
  <c r="A307" i="91"/>
  <c r="A306" i="91"/>
  <c r="A305" i="91"/>
  <c r="A304" i="91"/>
  <c r="A303" i="91"/>
  <c r="A302" i="91"/>
  <c r="A301" i="91"/>
  <c r="A300" i="91"/>
  <c r="A299" i="91"/>
  <c r="A298" i="91"/>
  <c r="A297" i="91"/>
  <c r="A296" i="91"/>
  <c r="A295" i="91"/>
  <c r="A294" i="91"/>
  <c r="A293" i="91"/>
  <c r="A292" i="91"/>
  <c r="A291" i="91"/>
  <c r="A290" i="91"/>
  <c r="A289" i="91"/>
  <c r="A288" i="91"/>
  <c r="A287" i="91"/>
  <c r="A286" i="91"/>
  <c r="A285" i="91"/>
  <c r="A284" i="91"/>
  <c r="A283" i="91"/>
  <c r="A282" i="91"/>
  <c r="A281" i="91"/>
  <c r="A280" i="91"/>
  <c r="A279" i="91"/>
  <c r="A278" i="91"/>
  <c r="A277" i="91"/>
  <c r="A276" i="91"/>
  <c r="A275" i="91"/>
  <c r="A274" i="91"/>
  <c r="A273" i="91"/>
  <c r="A272" i="91"/>
  <c r="A271" i="91"/>
  <c r="A270" i="91"/>
  <c r="A269" i="91"/>
  <c r="A268" i="91"/>
  <c r="A267" i="91"/>
  <c r="A266" i="91"/>
  <c r="A265" i="91"/>
  <c r="A264" i="91"/>
  <c r="A263" i="91"/>
  <c r="A262" i="91"/>
  <c r="A261" i="91"/>
  <c r="A260" i="91"/>
  <c r="A259" i="91"/>
  <c r="A258" i="91"/>
  <c r="A257" i="91"/>
  <c r="A256" i="91"/>
  <c r="A255" i="91"/>
  <c r="A254" i="91"/>
  <c r="A253" i="91"/>
  <c r="A252" i="91"/>
  <c r="A251" i="91"/>
  <c r="A250" i="91"/>
  <c r="A249" i="91"/>
  <c r="A248" i="91"/>
  <c r="A247" i="91"/>
  <c r="A246" i="91"/>
  <c r="A245" i="91"/>
  <c r="A244" i="91"/>
  <c r="A243" i="91"/>
  <c r="A242" i="91"/>
  <c r="A241" i="91"/>
  <c r="A240" i="91"/>
  <c r="A239" i="91"/>
  <c r="A238" i="91"/>
  <c r="A237" i="91"/>
  <c r="A236" i="91"/>
  <c r="A235" i="91"/>
  <c r="A234" i="91"/>
  <c r="A233" i="91"/>
  <c r="A232" i="91"/>
  <c r="A231" i="91"/>
  <c r="A230" i="91"/>
  <c r="A229" i="91"/>
  <c r="A228" i="91"/>
  <c r="A227" i="91"/>
  <c r="A226" i="91"/>
  <c r="A225" i="91"/>
  <c r="A224" i="91"/>
  <c r="A223" i="91"/>
  <c r="A222" i="91"/>
  <c r="A221" i="91"/>
  <c r="A220" i="91"/>
  <c r="A219" i="91"/>
  <c r="A218" i="91"/>
  <c r="A217" i="91"/>
  <c r="A216" i="91"/>
  <c r="A215" i="91"/>
  <c r="A214" i="91"/>
  <c r="A213" i="91"/>
  <c r="A212" i="91"/>
  <c r="A211" i="91"/>
  <c r="A210" i="91"/>
  <c r="A209" i="91"/>
  <c r="A208" i="91"/>
  <c r="A207" i="91"/>
  <c r="A206" i="91"/>
  <c r="A205" i="91"/>
  <c r="A204" i="91"/>
  <c r="A203" i="91"/>
  <c r="A202" i="91"/>
  <c r="A201" i="91"/>
  <c r="A200" i="91"/>
  <c r="A199" i="91"/>
  <c r="A198" i="91"/>
  <c r="A197" i="91"/>
  <c r="A196" i="91"/>
  <c r="A195" i="91"/>
  <c r="A194" i="91"/>
  <c r="A193" i="91"/>
  <c r="A192" i="91"/>
  <c r="A191" i="91"/>
  <c r="A190" i="91"/>
  <c r="A189" i="91"/>
  <c r="A188" i="91"/>
  <c r="A187" i="91"/>
  <c r="A186" i="91"/>
  <c r="A185" i="91"/>
  <c r="A184" i="91"/>
  <c r="A183" i="91"/>
  <c r="A182" i="91"/>
  <c r="A181" i="91"/>
  <c r="A180" i="91"/>
  <c r="A179" i="91"/>
  <c r="A178" i="91"/>
  <c r="A177" i="91"/>
  <c r="A176" i="91"/>
  <c r="A175" i="91"/>
  <c r="A174" i="91"/>
  <c r="A173" i="91"/>
  <c r="A172" i="91"/>
  <c r="A171" i="91"/>
  <c r="A170" i="91"/>
  <c r="A169" i="91"/>
  <c r="A168" i="91"/>
  <c r="A167" i="91"/>
  <c r="A166" i="91"/>
  <c r="A165" i="91"/>
  <c r="A164" i="91"/>
  <c r="A163" i="91"/>
  <c r="A162" i="91"/>
  <c r="A161" i="91"/>
  <c r="A130" i="91"/>
  <c r="A129" i="91"/>
  <c r="A128" i="91"/>
  <c r="A127" i="91"/>
  <c r="A126" i="91"/>
  <c r="A125" i="91"/>
  <c r="A124" i="91"/>
  <c r="A123" i="91"/>
  <c r="A122" i="91"/>
  <c r="A121" i="91"/>
  <c r="A120" i="91"/>
  <c r="A119" i="91"/>
  <c r="A118" i="91"/>
  <c r="A117" i="91"/>
  <c r="A116" i="91"/>
  <c r="A115" i="91"/>
  <c r="A114" i="91"/>
  <c r="A113" i="91"/>
  <c r="A112" i="91"/>
  <c r="A111" i="91"/>
  <c r="A110" i="91"/>
  <c r="A109" i="91"/>
  <c r="A108" i="91"/>
  <c r="A107" i="91"/>
  <c r="A106" i="91"/>
  <c r="A105" i="91"/>
  <c r="A104" i="91"/>
  <c r="A103" i="91"/>
  <c r="A102" i="91"/>
  <c r="A101" i="91"/>
  <c r="A100" i="91"/>
  <c r="A99" i="91"/>
  <c r="A98" i="91"/>
  <c r="A97" i="91"/>
  <c r="A96" i="91"/>
  <c r="A95" i="91"/>
  <c r="A94" i="91"/>
  <c r="A93" i="91"/>
  <c r="A92" i="91"/>
  <c r="A91" i="91"/>
  <c r="A90" i="91"/>
  <c r="A89" i="91"/>
  <c r="A88" i="91"/>
  <c r="A87" i="91"/>
  <c r="A86" i="91"/>
  <c r="A85" i="91"/>
  <c r="A84" i="91"/>
  <c r="A83" i="91"/>
  <c r="A82" i="91"/>
  <c r="A81" i="91"/>
  <c r="A80" i="91"/>
  <c r="A79" i="91"/>
  <c r="A78" i="91"/>
  <c r="A77" i="91"/>
  <c r="A76" i="91"/>
  <c r="A75" i="91"/>
  <c r="A74" i="91"/>
  <c r="A73" i="91"/>
  <c r="A72" i="91"/>
  <c r="A71" i="91"/>
  <c r="A70" i="91"/>
  <c r="A69" i="91"/>
  <c r="A68" i="91"/>
  <c r="A67" i="91"/>
  <c r="A66" i="91"/>
  <c r="A65" i="91"/>
  <c r="A64" i="91"/>
  <c r="A63" i="91"/>
  <c r="A62" i="91"/>
  <c r="A61" i="91"/>
  <c r="A60" i="91"/>
  <c r="A59" i="91"/>
  <c r="A58" i="91"/>
  <c r="A57" i="91"/>
  <c r="A56" i="91"/>
  <c r="A55" i="91"/>
  <c r="A54" i="91"/>
  <c r="A53" i="91"/>
  <c r="A52" i="91"/>
  <c r="A51" i="91"/>
  <c r="A50" i="91"/>
  <c r="A49" i="91"/>
  <c r="A48" i="91"/>
  <c r="A47" i="91"/>
  <c r="A46" i="91"/>
  <c r="A45" i="91"/>
  <c r="A44" i="91"/>
  <c r="A43" i="91"/>
  <c r="A42" i="91"/>
  <c r="A41" i="91"/>
  <c r="A531" i="56"/>
  <c r="A530" i="56"/>
  <c r="A529" i="56"/>
  <c r="A528" i="56"/>
  <c r="A527" i="56"/>
  <c r="A526" i="56"/>
  <c r="A525" i="56"/>
  <c r="A524" i="56"/>
  <c r="A523" i="56"/>
  <c r="A522" i="56"/>
  <c r="A521" i="56"/>
  <c r="A520" i="56"/>
  <c r="A519" i="56"/>
  <c r="A518" i="56"/>
  <c r="A517" i="56"/>
  <c r="A516" i="56"/>
  <c r="A515" i="56"/>
  <c r="A514" i="56"/>
  <c r="A513" i="56"/>
  <c r="A512" i="56"/>
  <c r="A511" i="56"/>
  <c r="A510" i="56"/>
  <c r="A509" i="56"/>
  <c r="A508" i="56"/>
  <c r="A507" i="56"/>
  <c r="A506" i="56"/>
  <c r="A505" i="56"/>
  <c r="A504" i="56"/>
  <c r="A503" i="56"/>
  <c r="A502" i="56"/>
  <c r="A501" i="56"/>
  <c r="A500" i="56"/>
  <c r="A499" i="56"/>
  <c r="A498" i="56"/>
  <c r="A497" i="56"/>
  <c r="A496" i="56"/>
  <c r="A495" i="56"/>
  <c r="A494" i="56"/>
  <c r="A493" i="56"/>
  <c r="A492" i="56"/>
  <c r="A491" i="56"/>
  <c r="A490" i="56"/>
  <c r="A489" i="56"/>
  <c r="A488" i="56"/>
  <c r="A487" i="56"/>
  <c r="A486" i="56"/>
  <c r="A485" i="56"/>
  <c r="A484" i="56"/>
  <c r="A483" i="56"/>
  <c r="A482" i="56"/>
  <c r="A481" i="56"/>
  <c r="A480" i="56"/>
  <c r="A479" i="56"/>
  <c r="A478" i="56"/>
  <c r="A477" i="56"/>
  <c r="A476" i="56"/>
  <c r="A475" i="56"/>
  <c r="A474" i="56"/>
  <c r="A473" i="56"/>
  <c r="A472" i="56"/>
  <c r="A471" i="56"/>
  <c r="A470" i="56"/>
  <c r="A469" i="56"/>
  <c r="A468" i="56"/>
  <c r="A467" i="56"/>
  <c r="A466" i="56"/>
  <c r="A465" i="56"/>
  <c r="A464" i="56"/>
  <c r="A463" i="56"/>
  <c r="A462" i="56"/>
  <c r="A461" i="56"/>
  <c r="A460" i="56"/>
  <c r="A459" i="56"/>
  <c r="A458" i="56"/>
  <c r="A457" i="56"/>
  <c r="A456" i="56"/>
  <c r="A455" i="56"/>
  <c r="A454" i="56"/>
  <c r="A453" i="56"/>
  <c r="A452" i="56"/>
  <c r="A451" i="56"/>
  <c r="A450" i="56"/>
  <c r="A449" i="56"/>
  <c r="A448" i="56"/>
  <c r="A447" i="56"/>
  <c r="A446" i="56"/>
  <c r="A445" i="56"/>
  <c r="A444" i="56"/>
  <c r="A443" i="56"/>
  <c r="A442" i="56"/>
  <c r="A441" i="56"/>
  <c r="A440" i="56"/>
  <c r="A439" i="56"/>
  <c r="A116" i="56"/>
  <c r="A115" i="56"/>
  <c r="A114" i="56"/>
  <c r="A113" i="56"/>
  <c r="A112" i="56"/>
  <c r="A111" i="56"/>
  <c r="A106" i="56"/>
  <c r="A105" i="56"/>
  <c r="A104" i="56"/>
  <c r="A103" i="56"/>
  <c r="A102" i="56"/>
  <c r="A101" i="56"/>
  <c r="A438" i="56"/>
  <c r="A437" i="56"/>
  <c r="A436" i="56"/>
  <c r="A435" i="56"/>
  <c r="A434" i="56"/>
  <c r="A433" i="56"/>
  <c r="A432" i="56"/>
  <c r="A431" i="56"/>
  <c r="A430" i="56"/>
  <c r="A429" i="56"/>
  <c r="A428" i="56"/>
  <c r="A427" i="56"/>
  <c r="A426" i="56"/>
  <c r="A425" i="56"/>
  <c r="A424" i="56"/>
  <c r="A423" i="56"/>
  <c r="A422" i="56"/>
  <c r="A421" i="56"/>
  <c r="A420" i="56"/>
  <c r="A419" i="56"/>
  <c r="A418" i="56"/>
  <c r="A417" i="56"/>
  <c r="A416" i="56"/>
  <c r="A415" i="56"/>
  <c r="A414" i="56"/>
  <c r="A413" i="56"/>
  <c r="A412" i="56"/>
  <c r="A411" i="56"/>
  <c r="A410" i="56"/>
  <c r="A409" i="56"/>
  <c r="A408" i="56"/>
  <c r="A407" i="56"/>
  <c r="A406" i="56"/>
  <c r="A405" i="56"/>
  <c r="A404" i="56"/>
  <c r="A403" i="56"/>
  <c r="A402" i="56"/>
  <c r="A401" i="56"/>
  <c r="A400" i="56"/>
  <c r="A399" i="56"/>
  <c r="A398" i="56"/>
  <c r="A397" i="56"/>
  <c r="A396" i="56"/>
  <c r="A395" i="56"/>
  <c r="A394" i="56"/>
  <c r="A393" i="56"/>
  <c r="A392" i="56"/>
  <c r="A391" i="56"/>
  <c r="A390" i="56"/>
  <c r="A389" i="56"/>
  <c r="A388" i="56"/>
  <c r="A387" i="56"/>
  <c r="A386" i="56"/>
  <c r="A385" i="56"/>
  <c r="A384" i="56"/>
  <c r="A383" i="56"/>
  <c r="A382" i="56"/>
  <c r="A381" i="56"/>
  <c r="A380" i="56"/>
  <c r="A379" i="56"/>
  <c r="A358" i="56"/>
  <c r="A357" i="56"/>
  <c r="A356" i="56"/>
  <c r="A355" i="56"/>
  <c r="A354" i="56"/>
  <c r="A353" i="56"/>
  <c r="A352" i="56"/>
  <c r="A351" i="56"/>
  <c r="A350" i="56"/>
  <c r="A349" i="56"/>
  <c r="A348" i="56"/>
  <c r="A347" i="56"/>
  <c r="A346" i="56"/>
  <c r="A345" i="56"/>
  <c r="A344" i="56"/>
  <c r="A343" i="56"/>
  <c r="A342" i="56"/>
  <c r="A341" i="56"/>
  <c r="A340" i="56"/>
  <c r="A339" i="56"/>
  <c r="A338" i="56"/>
  <c r="A337" i="56"/>
  <c r="A336" i="56"/>
  <c r="A335" i="56"/>
  <c r="A334" i="56"/>
  <c r="A333" i="56"/>
  <c r="A332" i="56"/>
  <c r="A331" i="56"/>
  <c r="A330" i="56"/>
  <c r="A329" i="56"/>
  <c r="A328" i="56"/>
  <c r="A327" i="56"/>
  <c r="A326" i="56"/>
  <c r="A325" i="56"/>
  <c r="A324" i="56"/>
  <c r="A323" i="56"/>
  <c r="A322" i="56"/>
  <c r="A321" i="56"/>
  <c r="A320" i="56"/>
  <c r="A319" i="56"/>
  <c r="A318" i="56"/>
  <c r="A317" i="56"/>
  <c r="A316" i="56"/>
  <c r="A315" i="56"/>
  <c r="A314" i="56"/>
  <c r="A313" i="56"/>
  <c r="A312" i="56"/>
  <c r="A311" i="56"/>
  <c r="A310" i="56"/>
  <c r="A309" i="56"/>
  <c r="A306" i="56"/>
  <c r="A305" i="56"/>
  <c r="A304" i="56"/>
  <c r="A303" i="56"/>
  <c r="A302" i="56"/>
  <c r="A301" i="56"/>
  <c r="A300" i="56"/>
  <c r="A299" i="56"/>
  <c r="A298" i="56"/>
  <c r="A297" i="56"/>
  <c r="A296" i="56"/>
  <c r="A295" i="56"/>
  <c r="A294" i="56"/>
  <c r="A293" i="56"/>
  <c r="A292" i="56"/>
  <c r="A291" i="56"/>
  <c r="A290" i="56"/>
  <c r="A289" i="56"/>
  <c r="A288" i="56"/>
  <c r="A287" i="56"/>
  <c r="A286" i="56"/>
  <c r="A285" i="56"/>
  <c r="A284" i="56"/>
  <c r="A283" i="56"/>
  <c r="A282" i="56"/>
  <c r="A281" i="56"/>
  <c r="A280" i="56"/>
  <c r="A279" i="56"/>
  <c r="A278" i="56"/>
  <c r="A277" i="56"/>
  <c r="A276" i="56"/>
  <c r="A275" i="56"/>
  <c r="A274" i="56"/>
  <c r="A273" i="56"/>
  <c r="A272" i="56"/>
  <c r="A271" i="56"/>
  <c r="A270" i="56"/>
  <c r="A269" i="56"/>
  <c r="A268" i="56"/>
  <c r="A267" i="56"/>
  <c r="A256" i="56"/>
  <c r="A255" i="56"/>
  <c r="A254" i="56"/>
  <c r="A253" i="56"/>
  <c r="A252" i="56"/>
  <c r="A251" i="56"/>
  <c r="A250" i="56"/>
  <c r="A249" i="56"/>
  <c r="A248" i="56"/>
  <c r="A247" i="56"/>
  <c r="A246" i="56"/>
  <c r="A245" i="56"/>
  <c r="A244" i="56"/>
  <c r="A243" i="56"/>
  <c r="A242" i="56"/>
  <c r="A241" i="56"/>
  <c r="A240" i="56"/>
  <c r="A239" i="56"/>
  <c r="A238" i="56"/>
  <c r="A237" i="56"/>
  <c r="A236" i="56"/>
  <c r="A235" i="56"/>
  <c r="A234" i="56"/>
  <c r="A233" i="56"/>
  <c r="A232" i="56"/>
  <c r="A231" i="56"/>
  <c r="A230" i="56"/>
  <c r="A229" i="56"/>
  <c r="A228" i="56"/>
  <c r="A227" i="56"/>
  <c r="A226" i="56"/>
  <c r="A225" i="56"/>
  <c r="A224" i="56"/>
  <c r="A223" i="56"/>
  <c r="A222" i="56"/>
  <c r="A221" i="56"/>
  <c r="A220" i="56"/>
  <c r="A219" i="56"/>
  <c r="A218" i="56"/>
  <c r="A217" i="56"/>
  <c r="A216" i="56"/>
  <c r="A215" i="56"/>
  <c r="A214" i="56"/>
  <c r="A213" i="56"/>
  <c r="A212" i="56"/>
  <c r="A211" i="56"/>
  <c r="A210" i="56"/>
  <c r="A209" i="56"/>
  <c r="A208" i="56"/>
  <c r="A207" i="56"/>
  <c r="A206" i="56"/>
  <c r="A205" i="56"/>
  <c r="A204" i="56"/>
  <c r="A203" i="56"/>
  <c r="A202" i="56"/>
  <c r="A201" i="56"/>
  <c r="A200" i="56"/>
  <c r="A199" i="56"/>
  <c r="A198" i="56"/>
  <c r="A197" i="56"/>
  <c r="A196" i="56"/>
  <c r="A195" i="56"/>
  <c r="A194" i="56"/>
  <c r="A193" i="56"/>
  <c r="A192" i="56"/>
  <c r="A191" i="56"/>
  <c r="A190" i="56"/>
  <c r="A189" i="56"/>
  <c r="A188" i="56"/>
  <c r="A187" i="56"/>
  <c r="A186" i="56"/>
  <c r="A185" i="56"/>
  <c r="A184" i="56"/>
  <c r="A183" i="56"/>
  <c r="A182" i="56"/>
  <c r="A181" i="56"/>
  <c r="A180" i="56"/>
  <c r="A179" i="56"/>
  <c r="A178" i="56"/>
  <c r="A177" i="56"/>
  <c r="A176" i="56"/>
  <c r="A175" i="56"/>
  <c r="A174" i="56"/>
  <c r="A173" i="56"/>
  <c r="A172" i="56"/>
  <c r="A171" i="56"/>
  <c r="A170" i="56"/>
  <c r="A169" i="56"/>
  <c r="A168" i="56"/>
  <c r="A167" i="56"/>
  <c r="A166" i="56"/>
  <c r="A165" i="56"/>
  <c r="A164" i="56"/>
  <c r="A163" i="56"/>
  <c r="A162" i="56"/>
  <c r="A161" i="56"/>
  <c r="A160" i="56"/>
  <c r="A159" i="56"/>
  <c r="A158" i="56"/>
  <c r="A157" i="56"/>
  <c r="A156" i="56"/>
  <c r="A155" i="56"/>
  <c r="A154" i="56"/>
  <c r="A153" i="56"/>
  <c r="A152" i="56"/>
  <c r="A151" i="56"/>
  <c r="A150" i="56"/>
  <c r="A149" i="56"/>
  <c r="A148" i="56"/>
  <c r="A147" i="56"/>
  <c r="A146" i="56"/>
  <c r="A145" i="56"/>
  <c r="A144" i="56"/>
  <c r="A143" i="56"/>
  <c r="A142" i="56"/>
  <c r="A141" i="56"/>
  <c r="A140" i="56"/>
  <c r="A139" i="56"/>
  <c r="A138" i="56"/>
  <c r="A137" i="56"/>
  <c r="A136" i="56"/>
  <c r="A135" i="56"/>
  <c r="A134" i="56"/>
  <c r="A133" i="56"/>
  <c r="A132" i="56"/>
  <c r="A131" i="56"/>
  <c r="A130" i="56"/>
  <c r="A129" i="56"/>
  <c r="A128" i="56"/>
  <c r="A127" i="56"/>
  <c r="A96" i="56"/>
  <c r="A95" i="56"/>
  <c r="A94" i="56"/>
  <c r="A93" i="56"/>
  <c r="A92" i="56"/>
  <c r="A91" i="56"/>
  <c r="A90" i="56"/>
  <c r="A89" i="56"/>
  <c r="A88" i="56"/>
  <c r="A87" i="56"/>
  <c r="A86" i="56"/>
  <c r="A85" i="56"/>
  <c r="A84" i="56"/>
  <c r="A83" i="56"/>
  <c r="A82" i="56"/>
  <c r="A81" i="56"/>
  <c r="A80" i="56"/>
  <c r="A79" i="56"/>
  <c r="A78" i="56"/>
  <c r="A77" i="56"/>
  <c r="A76" i="56"/>
  <c r="A75" i="56"/>
  <c r="A74" i="56"/>
  <c r="A73" i="56"/>
  <c r="A72" i="56"/>
  <c r="A71" i="56"/>
  <c r="A70" i="56"/>
  <c r="A69" i="56"/>
  <c r="A68" i="56"/>
  <c r="A67" i="56"/>
  <c r="A66" i="56"/>
  <c r="A65" i="56"/>
  <c r="A64" i="56"/>
  <c r="A63" i="56"/>
  <c r="A62" i="56"/>
  <c r="A61" i="56"/>
  <c r="A60" i="56"/>
  <c r="A59" i="56"/>
  <c r="A58" i="56"/>
  <c r="A57" i="56"/>
  <c r="A56" i="56"/>
  <c r="A55" i="56"/>
  <c r="A54" i="56"/>
  <c r="A53" i="56"/>
  <c r="A52" i="56"/>
  <c r="A51" i="56"/>
  <c r="A50" i="56"/>
  <c r="A49" i="56"/>
  <c r="A48" i="56"/>
  <c r="A47" i="56"/>
  <c r="A46" i="56"/>
  <c r="A45" i="56"/>
  <c r="A44" i="56"/>
  <c r="A43" i="56"/>
  <c r="A42" i="56"/>
  <c r="A41" i="56"/>
  <c r="A40" i="56"/>
  <c r="A39" i="56"/>
  <c r="A38" i="56"/>
  <c r="A37" i="56"/>
  <c r="A546" i="55"/>
  <c r="A545" i="55"/>
  <c r="A544" i="55"/>
  <c r="A543" i="55"/>
  <c r="A542" i="55"/>
  <c r="A541" i="55"/>
  <c r="A540" i="55"/>
  <c r="A539" i="55"/>
  <c r="A538" i="55"/>
  <c r="A537" i="55"/>
  <c r="A536" i="55"/>
  <c r="A535" i="55"/>
  <c r="A534" i="55"/>
  <c r="A533" i="55"/>
  <c r="A532" i="55"/>
  <c r="A531" i="55"/>
  <c r="A530" i="55"/>
  <c r="A529" i="55"/>
  <c r="A528" i="55"/>
  <c r="A527" i="55"/>
  <c r="A526" i="55"/>
  <c r="A525" i="55"/>
  <c r="A524" i="55"/>
  <c r="A523" i="55"/>
  <c r="A522" i="55"/>
  <c r="A521" i="55"/>
  <c r="A520" i="55"/>
  <c r="A519" i="55"/>
  <c r="A518" i="55"/>
  <c r="A517" i="55"/>
  <c r="A516" i="55"/>
  <c r="A515" i="55"/>
  <c r="A514" i="55"/>
  <c r="A513" i="55"/>
  <c r="A512" i="55"/>
  <c r="A511" i="55"/>
  <c r="A510" i="55"/>
  <c r="A509" i="55"/>
  <c r="A508" i="55"/>
  <c r="A507" i="55"/>
  <c r="A506" i="55"/>
  <c r="A505" i="55"/>
  <c r="A504" i="55"/>
  <c r="A503" i="55"/>
  <c r="A502" i="55"/>
  <c r="A501" i="55"/>
  <c r="A500" i="55"/>
  <c r="A499" i="55"/>
  <c r="A498" i="55"/>
  <c r="A497" i="55"/>
  <c r="A496" i="55"/>
  <c r="A495" i="55"/>
  <c r="A494" i="55"/>
  <c r="A493" i="55"/>
  <c r="A492" i="55"/>
  <c r="A491" i="55"/>
  <c r="A490" i="55"/>
  <c r="A489" i="55"/>
  <c r="A116" i="55"/>
  <c r="A115" i="55"/>
  <c r="A114" i="55"/>
  <c r="A113" i="55"/>
  <c r="A112" i="55"/>
  <c r="A111" i="55"/>
  <c r="A106" i="55"/>
  <c r="A105" i="55"/>
  <c r="A104" i="55"/>
  <c r="A103" i="55"/>
  <c r="A102" i="55"/>
  <c r="A101" i="55"/>
  <c r="A488" i="55"/>
  <c r="A487" i="55"/>
  <c r="A486" i="55"/>
  <c r="A485" i="55"/>
  <c r="A484" i="55"/>
  <c r="A483" i="55"/>
  <c r="A482" i="55"/>
  <c r="A481" i="55"/>
  <c r="A480" i="55"/>
  <c r="A479" i="55"/>
  <c r="A478" i="55"/>
  <c r="A477" i="55"/>
  <c r="A476" i="55"/>
  <c r="A475" i="55"/>
  <c r="A474" i="55"/>
  <c r="A473" i="55"/>
  <c r="A472" i="55"/>
  <c r="A471" i="55"/>
  <c r="A470" i="55"/>
  <c r="A469" i="55"/>
  <c r="A468" i="55"/>
  <c r="A467" i="55"/>
  <c r="A466" i="55"/>
  <c r="A465" i="55"/>
  <c r="A464" i="55"/>
  <c r="A463" i="55"/>
  <c r="A462" i="55"/>
  <c r="A461" i="55"/>
  <c r="A460" i="55"/>
  <c r="A459" i="55"/>
  <c r="A458" i="55"/>
  <c r="A457" i="55"/>
  <c r="A456" i="55"/>
  <c r="A455" i="55"/>
  <c r="A454" i="55"/>
  <c r="A453" i="55"/>
  <c r="A452" i="55"/>
  <c r="A451" i="55"/>
  <c r="A450" i="55"/>
  <c r="A449" i="55"/>
  <c r="A448" i="55"/>
  <c r="A447" i="55"/>
  <c r="A446" i="55"/>
  <c r="A445" i="55"/>
  <c r="A444" i="55"/>
  <c r="A443" i="55"/>
  <c r="A442" i="55"/>
  <c r="A441" i="55"/>
  <c r="A440" i="55"/>
  <c r="A439" i="55"/>
  <c r="A438" i="55"/>
  <c r="A437" i="55"/>
  <c r="A436" i="55"/>
  <c r="A435" i="55"/>
  <c r="A434" i="55"/>
  <c r="A433" i="55"/>
  <c r="A432" i="55"/>
  <c r="A431" i="55"/>
  <c r="A430" i="55"/>
  <c r="A429" i="55"/>
  <c r="A428" i="55"/>
  <c r="A427" i="55"/>
  <c r="A426" i="55"/>
  <c r="A425" i="55"/>
  <c r="A424" i="55"/>
  <c r="A423" i="55"/>
  <c r="A422" i="55"/>
  <c r="A421" i="55"/>
  <c r="A420" i="55"/>
  <c r="A419" i="55"/>
  <c r="A418" i="55"/>
  <c r="A417" i="55"/>
  <c r="A416" i="55"/>
  <c r="A415" i="55"/>
  <c r="A414" i="55"/>
  <c r="A413" i="55"/>
  <c r="A412" i="55"/>
  <c r="A411" i="55"/>
  <c r="A410" i="55"/>
  <c r="A409" i="55"/>
  <c r="A408" i="55"/>
  <c r="A407" i="55"/>
  <c r="A406" i="55"/>
  <c r="A405" i="55"/>
  <c r="A404" i="55"/>
  <c r="A403" i="55"/>
  <c r="A402" i="55"/>
  <c r="A401" i="55"/>
  <c r="A400" i="55"/>
  <c r="A399" i="55"/>
  <c r="A398" i="55"/>
  <c r="A397" i="55"/>
  <c r="A396" i="55"/>
  <c r="A395" i="55"/>
  <c r="A394" i="55"/>
  <c r="A393" i="55"/>
  <c r="A392" i="55"/>
  <c r="A391" i="55"/>
  <c r="A390" i="55"/>
  <c r="A389" i="55"/>
  <c r="A388" i="55"/>
  <c r="A387" i="55"/>
  <c r="A386" i="55"/>
  <c r="A385" i="55"/>
  <c r="A384" i="55"/>
  <c r="A383" i="55"/>
  <c r="A382" i="55"/>
  <c r="A381" i="55"/>
  <c r="A380" i="55"/>
  <c r="A379" i="55"/>
  <c r="A358" i="55"/>
  <c r="A357" i="55"/>
  <c r="A356" i="55"/>
  <c r="A355" i="55"/>
  <c r="A354" i="55"/>
  <c r="A353" i="55"/>
  <c r="A352" i="55"/>
  <c r="A351" i="55"/>
  <c r="A350" i="55"/>
  <c r="A349" i="55"/>
  <c r="A348" i="55"/>
  <c r="A347" i="55"/>
  <c r="A346" i="55"/>
  <c r="A345" i="55"/>
  <c r="A344" i="55"/>
  <c r="A343" i="55"/>
  <c r="A342" i="55"/>
  <c r="A341" i="55"/>
  <c r="A340" i="55"/>
  <c r="A339" i="55"/>
  <c r="A338" i="55"/>
  <c r="A337" i="55"/>
  <c r="A336" i="55"/>
  <c r="A335" i="55"/>
  <c r="A334" i="55"/>
  <c r="A333" i="55"/>
  <c r="A332" i="55"/>
  <c r="A331" i="55"/>
  <c r="A330" i="55"/>
  <c r="A329" i="55"/>
  <c r="A328" i="55"/>
  <c r="A327" i="55"/>
  <c r="A326" i="55"/>
  <c r="A325" i="55"/>
  <c r="A324" i="55"/>
  <c r="A323" i="55"/>
  <c r="A322" i="55"/>
  <c r="A321" i="55"/>
  <c r="A320" i="55"/>
  <c r="A319" i="55"/>
  <c r="A318" i="55"/>
  <c r="A317" i="55"/>
  <c r="A316" i="55"/>
  <c r="A315" i="55"/>
  <c r="A314" i="55"/>
  <c r="A313" i="55"/>
  <c r="A312" i="55"/>
  <c r="A311" i="55"/>
  <c r="A310" i="55"/>
  <c r="A309" i="55"/>
  <c r="A306" i="55"/>
  <c r="A305" i="55"/>
  <c r="A304" i="55"/>
  <c r="A303" i="55"/>
  <c r="A302" i="55"/>
  <c r="A301" i="55"/>
  <c r="A300" i="55"/>
  <c r="A299" i="55"/>
  <c r="A298" i="55"/>
  <c r="A297" i="55"/>
  <c r="A296" i="55"/>
  <c r="A295" i="55"/>
  <c r="A294" i="55"/>
  <c r="A293" i="55"/>
  <c r="A292" i="55"/>
  <c r="A291" i="55"/>
  <c r="A290" i="55"/>
  <c r="A289" i="55"/>
  <c r="A288" i="55"/>
  <c r="A287" i="55"/>
  <c r="A286" i="55"/>
  <c r="A285" i="55"/>
  <c r="A284" i="55"/>
  <c r="A283" i="55"/>
  <c r="A282" i="55"/>
  <c r="A281" i="55"/>
  <c r="A280" i="55"/>
  <c r="A279" i="55"/>
  <c r="A278" i="55"/>
  <c r="A277" i="55"/>
  <c r="A276" i="55"/>
  <c r="A275" i="55"/>
  <c r="A274" i="55"/>
  <c r="A273" i="55"/>
  <c r="A272" i="55"/>
  <c r="A271" i="55"/>
  <c r="A270" i="55"/>
  <c r="A269" i="55"/>
  <c r="A268" i="55"/>
  <c r="A267" i="55"/>
  <c r="A256" i="55"/>
  <c r="A255" i="55"/>
  <c r="A254" i="55"/>
  <c r="A253" i="55"/>
  <c r="A252" i="55"/>
  <c r="A251" i="55"/>
  <c r="A250" i="55"/>
  <c r="A249" i="55"/>
  <c r="A248" i="55"/>
  <c r="A247" i="55"/>
  <c r="A246" i="55"/>
  <c r="A245" i="55"/>
  <c r="A244" i="55"/>
  <c r="A243" i="55"/>
  <c r="A242" i="55"/>
  <c r="A241" i="55"/>
  <c r="A240" i="55"/>
  <c r="A239" i="55"/>
  <c r="A238" i="55"/>
  <c r="A237" i="55"/>
  <c r="A236" i="55"/>
  <c r="A235" i="55"/>
  <c r="A234" i="55"/>
  <c r="A233" i="55"/>
  <c r="A232" i="55"/>
  <c r="A231" i="55"/>
  <c r="A230" i="55"/>
  <c r="A229" i="55"/>
  <c r="A228" i="55"/>
  <c r="A227" i="55"/>
  <c r="A226" i="55"/>
  <c r="A225" i="55"/>
  <c r="A224" i="55"/>
  <c r="A223" i="55"/>
  <c r="A222" i="55"/>
  <c r="A221" i="55"/>
  <c r="A220" i="55"/>
  <c r="A219" i="55"/>
  <c r="A218" i="55"/>
  <c r="A217" i="55"/>
  <c r="A216" i="55"/>
  <c r="A215" i="55"/>
  <c r="A214" i="55"/>
  <c r="A213" i="55"/>
  <c r="A212" i="55"/>
  <c r="A211" i="55"/>
  <c r="A210" i="55"/>
  <c r="A209" i="55"/>
  <c r="A208" i="55"/>
  <c r="A207" i="55"/>
  <c r="A206" i="55"/>
  <c r="A205" i="55"/>
  <c r="A204" i="55"/>
  <c r="A203" i="55"/>
  <c r="A202" i="55"/>
  <c r="A201" i="55"/>
  <c r="A200" i="55"/>
  <c r="A199" i="55"/>
  <c r="A198" i="55"/>
  <c r="A197" i="55"/>
  <c r="A196" i="55"/>
  <c r="A195" i="55"/>
  <c r="A194" i="55"/>
  <c r="A193" i="55"/>
  <c r="A192" i="55"/>
  <c r="A191" i="55"/>
  <c r="A190" i="55"/>
  <c r="A189" i="55"/>
  <c r="A188" i="55"/>
  <c r="A187" i="55"/>
  <c r="A186" i="55"/>
  <c r="A185" i="55"/>
  <c r="A184" i="55"/>
  <c r="A183" i="55"/>
  <c r="A182" i="55"/>
  <c r="A181" i="55"/>
  <c r="A180" i="55"/>
  <c r="A179" i="55"/>
  <c r="A178" i="55"/>
  <c r="A177" i="55"/>
  <c r="A176" i="55"/>
  <c r="A175" i="55"/>
  <c r="A174" i="55"/>
  <c r="A173" i="55"/>
  <c r="A172" i="55"/>
  <c r="A171" i="55"/>
  <c r="A170" i="55"/>
  <c r="A169" i="55"/>
  <c r="A168" i="55"/>
  <c r="A167" i="55"/>
  <c r="A166" i="55"/>
  <c r="A165" i="55"/>
  <c r="A164" i="55"/>
  <c r="A163" i="55"/>
  <c r="A162" i="55"/>
  <c r="A161" i="55"/>
  <c r="A160" i="55"/>
  <c r="A159" i="55"/>
  <c r="A158" i="55"/>
  <c r="A157" i="55"/>
  <c r="A156" i="55"/>
  <c r="A155" i="55"/>
  <c r="A154" i="55"/>
  <c r="A153" i="55"/>
  <c r="A152" i="55"/>
  <c r="A151" i="55"/>
  <c r="A150" i="55"/>
  <c r="A149" i="55"/>
  <c r="A148" i="55"/>
  <c r="A147" i="55"/>
  <c r="A146" i="55"/>
  <c r="A145" i="55"/>
  <c r="A144" i="55"/>
  <c r="A143" i="55"/>
  <c r="A142" i="55"/>
  <c r="A141" i="55"/>
  <c r="A140" i="55"/>
  <c r="A139" i="55"/>
  <c r="A138" i="55"/>
  <c r="A137" i="55"/>
  <c r="A136" i="55"/>
  <c r="A135" i="55"/>
  <c r="A134" i="55"/>
  <c r="A133" i="55"/>
  <c r="A132" i="55"/>
  <c r="A131" i="55"/>
  <c r="A130" i="55"/>
  <c r="A129" i="55"/>
  <c r="A128" i="55"/>
  <c r="A127" i="55"/>
  <c r="A96" i="55"/>
  <c r="A95" i="55"/>
  <c r="A94" i="55"/>
  <c r="A93" i="55"/>
  <c r="A92" i="55"/>
  <c r="A91" i="55"/>
  <c r="A90" i="55"/>
  <c r="A89" i="55"/>
  <c r="A88" i="55"/>
  <c r="A87" i="55"/>
  <c r="A86" i="55"/>
  <c r="A85" i="55"/>
  <c r="A84" i="55"/>
  <c r="A83" i="55"/>
  <c r="A82" i="55"/>
  <c r="A81" i="55"/>
  <c r="A80" i="55"/>
  <c r="A79" i="55"/>
  <c r="A78" i="55"/>
  <c r="A77" i="55"/>
  <c r="A76" i="55"/>
  <c r="A75" i="55"/>
  <c r="A74" i="55"/>
  <c r="A73" i="55"/>
  <c r="A72" i="55"/>
  <c r="A71" i="55"/>
  <c r="A70" i="55"/>
  <c r="A69" i="55"/>
  <c r="A68" i="55"/>
  <c r="A67" i="55"/>
  <c r="A66" i="55"/>
  <c r="A65" i="55"/>
  <c r="A64" i="55"/>
  <c r="A63" i="55"/>
  <c r="A62" i="55"/>
  <c r="A61" i="55"/>
  <c r="A60" i="55"/>
  <c r="A59" i="55"/>
  <c r="A58" i="55"/>
  <c r="A57" i="55"/>
  <c r="A286" i="92"/>
  <c r="A285" i="92"/>
  <c r="A284" i="92"/>
  <c r="A283" i="92"/>
  <c r="A282" i="92"/>
  <c r="A281" i="92"/>
  <c r="A280" i="92"/>
  <c r="A279" i="92"/>
  <c r="A278" i="92"/>
  <c r="A277" i="92"/>
  <c r="A276" i="92"/>
  <c r="A275" i="92"/>
  <c r="A274" i="92"/>
  <c r="A273" i="92"/>
  <c r="A272" i="92"/>
  <c r="A271" i="92"/>
  <c r="A270" i="92"/>
  <c r="A269" i="92"/>
  <c r="A268" i="92"/>
  <c r="A267" i="92"/>
  <c r="A266" i="92"/>
  <c r="A265" i="92"/>
  <c r="A264" i="92"/>
  <c r="A263" i="92"/>
  <c r="A262" i="92"/>
  <c r="A261" i="92"/>
  <c r="A260" i="92"/>
  <c r="A259" i="92"/>
  <c r="A258" i="92"/>
  <c r="A257" i="92"/>
  <c r="A256" i="92"/>
  <c r="A255" i="92"/>
  <c r="A254" i="92"/>
  <c r="A253" i="92"/>
  <c r="A252" i="92"/>
  <c r="A251" i="92"/>
  <c r="A250" i="92"/>
  <c r="A249" i="92"/>
  <c r="A248" i="92"/>
  <c r="A247" i="92"/>
  <c r="A246" i="92"/>
  <c r="A245" i="92"/>
  <c r="A244" i="92"/>
  <c r="A243" i="92"/>
  <c r="A242" i="92"/>
  <c r="A241" i="92"/>
  <c r="A240" i="92"/>
  <c r="A239" i="92"/>
  <c r="A238" i="92"/>
  <c r="A237" i="92"/>
  <c r="A92" i="92"/>
  <c r="A91" i="92"/>
  <c r="A90" i="92"/>
  <c r="A89" i="92"/>
  <c r="A88" i="92"/>
  <c r="A87" i="92"/>
  <c r="A82" i="92"/>
  <c r="A81" i="92"/>
  <c r="A80" i="92"/>
  <c r="A79" i="92"/>
  <c r="A78" i="92"/>
  <c r="A77" i="92"/>
  <c r="A236" i="92"/>
  <c r="A235" i="92"/>
  <c r="A234" i="92"/>
  <c r="A233" i="92"/>
  <c r="A232" i="92"/>
  <c r="A231" i="92"/>
  <c r="A230" i="92"/>
  <c r="A229" i="92"/>
  <c r="A228" i="92"/>
  <c r="A227" i="92"/>
  <c r="A226" i="92"/>
  <c r="A225" i="92"/>
  <c r="A224" i="92"/>
  <c r="A223" i="92"/>
  <c r="A222" i="92"/>
  <c r="A221" i="92"/>
  <c r="A220" i="92"/>
  <c r="A219" i="92"/>
  <c r="A218" i="92"/>
  <c r="A217" i="92"/>
  <c r="A216" i="92"/>
  <c r="A215" i="92"/>
  <c r="A214" i="92"/>
  <c r="A213" i="92"/>
  <c r="A212" i="92"/>
  <c r="A211" i="92"/>
  <c r="A210" i="92"/>
  <c r="A209" i="92"/>
  <c r="A208" i="92"/>
  <c r="A207" i="92"/>
  <c r="A206" i="92"/>
  <c r="A205" i="92"/>
  <c r="A204" i="92"/>
  <c r="A203" i="92"/>
  <c r="A202" i="92"/>
  <c r="A201" i="92"/>
  <c r="A200" i="92"/>
  <c r="A199" i="92"/>
  <c r="A198" i="92"/>
  <c r="A197" i="92"/>
  <c r="A196" i="92"/>
  <c r="A195" i="92"/>
  <c r="A194" i="92"/>
  <c r="A193" i="92"/>
  <c r="A192" i="92"/>
  <c r="A191" i="92"/>
  <c r="A190" i="92"/>
  <c r="A189" i="92"/>
  <c r="A188" i="92"/>
  <c r="A187" i="92"/>
  <c r="A186" i="92"/>
  <c r="A185" i="92"/>
  <c r="A184" i="92"/>
  <c r="A183" i="92"/>
  <c r="A182" i="92"/>
  <c r="A181" i="92"/>
  <c r="A180" i="92"/>
  <c r="A179" i="92"/>
  <c r="A178" i="92"/>
  <c r="A177" i="92"/>
  <c r="A176" i="92"/>
  <c r="A175" i="92"/>
  <c r="A152" i="92"/>
  <c r="A151" i="92"/>
  <c r="A150" i="92"/>
  <c r="A149" i="92"/>
  <c r="A148" i="92"/>
  <c r="A147" i="92"/>
  <c r="A146" i="92"/>
  <c r="A145" i="92"/>
  <c r="A144" i="92"/>
  <c r="A143" i="92"/>
  <c r="A142" i="92"/>
  <c r="A141" i="92"/>
  <c r="A140" i="92"/>
  <c r="A139" i="92"/>
  <c r="A138" i="92"/>
  <c r="A137" i="92"/>
  <c r="A136" i="92"/>
  <c r="A135" i="92"/>
  <c r="A134" i="92"/>
  <c r="A133" i="92"/>
  <c r="A132" i="92"/>
  <c r="A131" i="92"/>
  <c r="A130" i="92"/>
  <c r="A129" i="92"/>
  <c r="A128" i="92"/>
  <c r="A127" i="92"/>
  <c r="A126" i="92"/>
  <c r="A125" i="92"/>
  <c r="A124" i="92"/>
  <c r="A123" i="92"/>
  <c r="A122" i="92"/>
  <c r="A121" i="92"/>
  <c r="A120" i="92"/>
  <c r="A119" i="92"/>
  <c r="A118" i="92"/>
  <c r="A117" i="92"/>
  <c r="A116" i="92"/>
  <c r="A115" i="92"/>
  <c r="A114" i="92"/>
  <c r="A113" i="92"/>
  <c r="A112" i="92"/>
  <c r="A111" i="92"/>
  <c r="A110" i="92"/>
  <c r="A109" i="92"/>
  <c r="A108" i="92"/>
  <c r="A107" i="92"/>
  <c r="A106" i="92"/>
  <c r="A105" i="92"/>
  <c r="A104" i="92"/>
  <c r="A103" i="92"/>
  <c r="A102" i="92"/>
  <c r="A101" i="92"/>
  <c r="A100" i="92"/>
  <c r="A99" i="92"/>
  <c r="A98" i="92"/>
  <c r="A97" i="92"/>
  <c r="A96" i="92"/>
  <c r="A95" i="92"/>
  <c r="A94" i="92"/>
  <c r="A93" i="92"/>
  <c r="A72" i="92"/>
  <c r="A71" i="92"/>
  <c r="A70" i="92"/>
  <c r="A69" i="92"/>
  <c r="A68" i="92"/>
  <c r="A67" i="92"/>
  <c r="A66" i="92"/>
  <c r="A65" i="92"/>
  <c r="A64" i="92"/>
  <c r="A63" i="92"/>
  <c r="A62" i="92"/>
  <c r="A61" i="92"/>
  <c r="A60" i="92"/>
  <c r="A59" i="92"/>
  <c r="A58" i="92"/>
  <c r="A57" i="92"/>
  <c r="A56" i="92"/>
  <c r="A55" i="92"/>
  <c r="A54" i="92"/>
  <c r="A53" i="92"/>
  <c r="A52" i="92"/>
  <c r="A51" i="92"/>
  <c r="A50" i="92"/>
  <c r="A49" i="92"/>
  <c r="A48" i="92"/>
  <c r="A47" i="92"/>
  <c r="A46" i="92"/>
  <c r="A45" i="92"/>
  <c r="A44" i="92"/>
  <c r="A43" i="92"/>
  <c r="A42" i="92"/>
  <c r="A41" i="92"/>
  <c r="A40" i="92"/>
  <c r="A39" i="92"/>
  <c r="A38" i="92"/>
  <c r="A37" i="92"/>
  <c r="A36" i="92"/>
  <c r="A35" i="92"/>
  <c r="A34" i="92"/>
  <c r="A33" i="92"/>
  <c r="A136" i="19"/>
  <c r="A135" i="19"/>
  <c r="A134" i="19"/>
  <c r="A133" i="19"/>
  <c r="A132" i="19"/>
  <c r="A131" i="19"/>
  <c r="A130" i="19"/>
  <c r="A129" i="19"/>
  <c r="A128" i="19"/>
  <c r="A127" i="19"/>
  <c r="A126" i="19"/>
  <c r="A125" i="19"/>
  <c r="A124" i="19"/>
  <c r="A123" i="19"/>
  <c r="A122" i="19"/>
  <c r="A121" i="19"/>
  <c r="A120" i="19"/>
  <c r="A119" i="19"/>
  <c r="A118" i="19"/>
  <c r="A117" i="19"/>
  <c r="A116" i="19"/>
  <c r="A115" i="19"/>
  <c r="A114" i="19"/>
  <c r="A113" i="19"/>
  <c r="A112" i="19"/>
  <c r="A111" i="19"/>
  <c r="A110" i="19"/>
  <c r="A109" i="19"/>
  <c r="A108" i="19"/>
  <c r="A107" i="19"/>
  <c r="A106" i="19"/>
  <c r="A105" i="19"/>
  <c r="A104" i="19"/>
  <c r="A103" i="19"/>
  <c r="A102" i="19"/>
  <c r="A101" i="19"/>
  <c r="A100" i="19"/>
  <c r="A99" i="19"/>
  <c r="A98" i="19"/>
  <c r="A97" i="19"/>
  <c r="A96" i="19"/>
  <c r="A95" i="19"/>
  <c r="A94" i="19"/>
  <c r="A93" i="19"/>
  <c r="A92" i="19"/>
  <c r="A91" i="19"/>
  <c r="A90" i="19"/>
  <c r="A89" i="19"/>
  <c r="A88" i="19"/>
  <c r="A87" i="19"/>
  <c r="A86" i="19"/>
  <c r="A85" i="19"/>
  <c r="A82" i="19"/>
  <c r="A81" i="19"/>
  <c r="A80" i="19"/>
  <c r="A79" i="19"/>
  <c r="A78" i="19"/>
  <c r="A77" i="19"/>
  <c r="A76" i="19"/>
  <c r="A75" i="19"/>
  <c r="A74" i="19"/>
  <c r="A73" i="19"/>
  <c r="A72" i="19"/>
  <c r="A71" i="19"/>
  <c r="A70" i="19"/>
  <c r="A69" i="19"/>
  <c r="A68" i="19"/>
  <c r="A67" i="19"/>
  <c r="A66" i="19"/>
  <c r="A65" i="19"/>
  <c r="A64" i="19"/>
  <c r="A63" i="19"/>
  <c r="A62" i="19"/>
  <c r="A61" i="19"/>
  <c r="A60" i="19"/>
  <c r="A59" i="19"/>
  <c r="A58" i="19"/>
  <c r="A57" i="19"/>
  <c r="A56" i="19"/>
  <c r="A55" i="19"/>
  <c r="A54" i="19"/>
  <c r="A53" i="19"/>
  <c r="A52" i="19"/>
  <c r="A51" i="19"/>
  <c r="A50" i="19"/>
  <c r="A49" i="19"/>
  <c r="A48" i="19"/>
  <c r="A47" i="19"/>
  <c r="A46" i="19"/>
  <c r="A45" i="19"/>
  <c r="A44" i="19"/>
  <c r="A43" i="19"/>
  <c r="A42" i="19"/>
  <c r="A41" i="19"/>
  <c r="A40" i="19"/>
  <c r="A39" i="19"/>
  <c r="A38" i="19"/>
  <c r="A37" i="19"/>
  <c r="A36" i="19"/>
  <c r="A35" i="19"/>
  <c r="A34" i="19"/>
  <c r="A33" i="19"/>
  <c r="A482" i="3"/>
  <c r="A481" i="3"/>
  <c r="A480" i="3"/>
  <c r="A479" i="3"/>
  <c r="A478" i="3"/>
  <c r="A477" i="3"/>
  <c r="A476" i="3"/>
  <c r="A475" i="3"/>
  <c r="A462" i="3"/>
  <c r="A461" i="3"/>
  <c r="A460" i="3"/>
  <c r="A457" i="3"/>
  <c r="A454" i="3"/>
  <c r="A453" i="3"/>
  <c r="A452" i="3"/>
  <c r="A451" i="3"/>
  <c r="A450" i="3"/>
  <c r="A449" i="3"/>
  <c r="A448" i="3"/>
  <c r="A447" i="3"/>
  <c r="A446" i="3"/>
  <c r="A445" i="3"/>
  <c r="A444" i="3"/>
  <c r="A443" i="3"/>
  <c r="A474" i="3"/>
  <c r="A473" i="3"/>
  <c r="A472" i="3"/>
  <c r="A471" i="3"/>
  <c r="A470" i="3"/>
  <c r="A469" i="3"/>
  <c r="A442" i="3"/>
  <c r="A441" i="3"/>
  <c r="A440" i="3"/>
  <c r="A439" i="3"/>
  <c r="A438" i="3"/>
  <c r="A437" i="3"/>
  <c r="A436" i="3"/>
  <c r="A435" i="3"/>
  <c r="A434" i="3"/>
  <c r="A433" i="3"/>
  <c r="A432" i="3"/>
  <c r="A431" i="3"/>
  <c r="A430" i="3"/>
  <c r="A429" i="3"/>
  <c r="A428" i="3"/>
  <c r="A427" i="3"/>
  <c r="A426" i="3"/>
  <c r="A425" i="3"/>
  <c r="A424" i="3"/>
  <c r="A423" i="3"/>
  <c r="A422" i="3"/>
  <c r="A421" i="3"/>
  <c r="A420" i="3"/>
  <c r="A419" i="3"/>
  <c r="A418" i="3"/>
  <c r="A417" i="3"/>
  <c r="A416" i="3"/>
  <c r="A415" i="3"/>
  <c r="A414" i="3"/>
  <c r="A413" i="3"/>
  <c r="A412" i="3"/>
  <c r="A411" i="3"/>
  <c r="A410" i="3"/>
  <c r="A409" i="3"/>
  <c r="A408" i="3"/>
  <c r="A407" i="3"/>
  <c r="A406" i="3"/>
  <c r="A405" i="3"/>
  <c r="A404" i="3"/>
  <c r="A403" i="3"/>
  <c r="A402" i="3"/>
  <c r="A401" i="3"/>
  <c r="A400" i="3"/>
  <c r="A399" i="3"/>
  <c r="A398" i="3"/>
  <c r="A397" i="3"/>
  <c r="A396" i="3"/>
  <c r="A395" i="3"/>
  <c r="A394" i="3"/>
  <c r="A393" i="3"/>
  <c r="A392" i="3"/>
  <c r="A391" i="3"/>
  <c r="A390" i="3"/>
  <c r="A389" i="3"/>
  <c r="A388" i="3"/>
  <c r="A387" i="3"/>
  <c r="A386" i="3"/>
  <c r="A385" i="3"/>
  <c r="A384" i="3"/>
  <c r="A383" i="3"/>
  <c r="A382" i="3"/>
  <c r="A381" i="3"/>
  <c r="A380" i="3"/>
  <c r="A379" i="3"/>
  <c r="A378" i="3"/>
  <c r="A377" i="3"/>
  <c r="A376" i="3"/>
  <c r="A375" i="3"/>
  <c r="A374" i="3"/>
  <c r="A373" i="3"/>
  <c r="A372" i="3"/>
  <c r="A371" i="3"/>
  <c r="A370" i="3"/>
  <c r="A369" i="3"/>
  <c r="A368" i="3"/>
  <c r="A367" i="3"/>
  <c r="A366" i="3"/>
  <c r="A365" i="3"/>
  <c r="A364" i="3"/>
  <c r="A363" i="3"/>
  <c r="A362" i="3"/>
  <c r="A361" i="3"/>
  <c r="A360" i="3"/>
  <c r="A359" i="3"/>
  <c r="A358" i="3"/>
  <c r="A357" i="3"/>
  <c r="A350" i="3"/>
  <c r="A349" i="3"/>
  <c r="A348" i="3"/>
  <c r="A347" i="3"/>
  <c r="A346" i="3"/>
  <c r="A345" i="3"/>
  <c r="A344" i="3"/>
  <c r="A343" i="3"/>
  <c r="A342" i="3"/>
  <c r="A341" i="3"/>
  <c r="A340" i="3"/>
  <c r="A339" i="3"/>
  <c r="A338" i="3"/>
  <c r="A337" i="3"/>
  <c r="A336" i="3"/>
  <c r="A335" i="3"/>
  <c r="A334" i="3"/>
  <c r="A333" i="3"/>
  <c r="A332" i="3"/>
  <c r="A331" i="3"/>
  <c r="A330" i="3"/>
  <c r="A329" i="3"/>
  <c r="A328" i="3"/>
  <c r="A327" i="3"/>
  <c r="A326" i="3"/>
  <c r="A325" i="3"/>
  <c r="A324" i="3"/>
  <c r="A323" i="3"/>
  <c r="A322" i="3"/>
  <c r="A321" i="3"/>
  <c r="A320" i="3"/>
  <c r="A319" i="3"/>
  <c r="A318" i="3"/>
  <c r="A317" i="3"/>
  <c r="A316" i="3"/>
  <c r="A315" i="3"/>
  <c r="A314" i="3"/>
  <c r="A313" i="3"/>
  <c r="A312" i="3"/>
  <c r="A311" i="3"/>
  <c r="A310" i="3"/>
  <c r="A309" i="3"/>
  <c r="A308" i="3"/>
  <c r="A307" i="3"/>
  <c r="A306" i="3"/>
  <c r="A305" i="3"/>
  <c r="A304" i="3"/>
  <c r="A303" i="3"/>
  <c r="A302" i="3"/>
  <c r="A301" i="3"/>
  <c r="A300" i="3"/>
  <c r="A299" i="3"/>
  <c r="A298" i="3"/>
  <c r="A297" i="3"/>
  <c r="A296" i="3"/>
  <c r="A295" i="3"/>
  <c r="A294" i="3"/>
  <c r="A293" i="3"/>
  <c r="A292" i="3"/>
  <c r="A291" i="3"/>
  <c r="A290" i="3"/>
  <c r="A289" i="3"/>
  <c r="A288" i="3"/>
  <c r="A287" i="3"/>
  <c r="A286" i="3"/>
  <c r="A285" i="3"/>
  <c r="A284" i="3"/>
  <c r="A283" i="3"/>
  <c r="A282" i="3"/>
  <c r="A281" i="3"/>
  <c r="A280" i="3"/>
  <c r="A279" i="3"/>
  <c r="A278" i="3"/>
  <c r="A277" i="3"/>
  <c r="A276" i="3"/>
  <c r="A275" i="3"/>
  <c r="A274" i="3"/>
  <c r="A273" i="3"/>
  <c r="A272" i="3"/>
  <c r="A271" i="3"/>
  <c r="A270" i="3"/>
  <c r="A269" i="3"/>
  <c r="A268" i="3"/>
  <c r="A267" i="3"/>
  <c r="A266" i="3"/>
  <c r="A265" i="3"/>
  <c r="A264" i="3"/>
  <c r="A263" i="3"/>
  <c r="A262" i="3"/>
  <c r="A261" i="3"/>
  <c r="A256"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A207" i="3"/>
  <c r="A206" i="3"/>
  <c r="A205" i="3"/>
  <c r="A204" i="3"/>
  <c r="A203" i="3"/>
  <c r="A202" i="3"/>
  <c r="A201" i="3"/>
  <c r="A200" i="3"/>
  <c r="A199" i="3"/>
  <c r="A198" i="3"/>
  <c r="A197" i="3"/>
  <c r="A196" i="3"/>
  <c r="A195" i="3"/>
  <c r="A194" i="3"/>
  <c r="A193" i="3"/>
  <c r="A192" i="3"/>
  <c r="A191" i="3"/>
  <c r="A190" i="3"/>
  <c r="A189" i="3"/>
  <c r="A188" i="3"/>
  <c r="A187" i="3"/>
  <c r="A186" i="3"/>
  <c r="A185" i="3"/>
  <c r="A184" i="3"/>
  <c r="A183" i="3"/>
  <c r="A182" i="3"/>
  <c r="A181" i="3"/>
  <c r="A180" i="3"/>
  <c r="A179" i="3"/>
  <c r="A178" i="3"/>
  <c r="A177" i="3"/>
  <c r="A176" i="3"/>
  <c r="A175" i="3"/>
  <c r="A162" i="3"/>
  <c r="A161" i="3"/>
  <c r="A160" i="3"/>
  <c r="A159" i="3"/>
  <c r="A158" i="3"/>
  <c r="A157" i="3"/>
  <c r="A156" i="3"/>
  <c r="A155" i="3"/>
  <c r="A154" i="3"/>
  <c r="A153" i="3"/>
  <c r="A152" i="3"/>
  <c r="A151" i="3"/>
  <c r="A150" i="3"/>
  <c r="A149" i="3"/>
  <c r="A148" i="3"/>
  <c r="A147" i="3"/>
  <c r="A146" i="3"/>
  <c r="A145" i="3"/>
  <c r="A144" i="3"/>
  <c r="A143"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174" i="3"/>
  <c r="A173" i="3"/>
  <c r="A172" i="3"/>
  <c r="A171" i="3"/>
  <c r="A170" i="3"/>
  <c r="A169" i="3"/>
  <c r="A168" i="3"/>
  <c r="A167" i="3"/>
  <c r="A166" i="3"/>
  <c r="A165"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486" i="3"/>
  <c r="A485" i="3"/>
  <c r="A484" i="3"/>
  <c r="A483" i="3"/>
  <c r="A142" i="19"/>
  <c r="A141" i="19"/>
  <c r="A140" i="19"/>
  <c r="A139" i="19"/>
  <c r="A138" i="19"/>
  <c r="A137" i="19"/>
  <c r="A296" i="92"/>
  <c r="A295" i="92"/>
  <c r="A294" i="92"/>
  <c r="A293" i="92"/>
  <c r="A292" i="92"/>
  <c r="A291" i="92"/>
  <c r="A290" i="92"/>
  <c r="A289" i="92"/>
  <c r="A288" i="92"/>
  <c r="A287" i="92"/>
  <c r="A554" i="55"/>
  <c r="A553" i="55"/>
  <c r="A552" i="55"/>
  <c r="A551" i="55"/>
  <c r="A550" i="55"/>
  <c r="A549" i="55"/>
  <c r="A548" i="55"/>
  <c r="A547" i="55"/>
  <c r="A538" i="56"/>
  <c r="A537" i="56"/>
  <c r="A536" i="56"/>
  <c r="A535" i="56"/>
  <c r="A534" i="56"/>
  <c r="A533" i="56"/>
  <c r="A532" i="56"/>
  <c r="A602" i="91"/>
  <c r="A601" i="91"/>
  <c r="A600" i="91"/>
  <c r="A599" i="91"/>
  <c r="A598" i="91"/>
  <c r="A597" i="91"/>
  <c r="A596" i="91"/>
  <c r="A749" i="13"/>
  <c r="A748" i="13"/>
  <c r="A747" i="13"/>
  <c r="A746" i="13"/>
  <c r="A745" i="13"/>
  <c r="A259" i="11"/>
  <c r="A258" i="11"/>
  <c r="A270" i="14"/>
  <c r="A269" i="14"/>
  <c r="A268" i="14"/>
  <c r="A267" i="14"/>
  <c r="A266" i="14"/>
  <c r="A265" i="14"/>
  <c r="A264" i="14"/>
  <c r="A263" i="14"/>
  <c r="A262" i="14"/>
  <c r="A261" i="14"/>
  <c r="A280" i="15"/>
  <c r="A279" i="15"/>
  <c r="A180" i="63"/>
  <c r="A179" i="63"/>
  <c r="A178" i="63"/>
  <c r="A177" i="63"/>
  <c r="A176" i="63"/>
  <c r="A175" i="63"/>
  <c r="A174" i="63"/>
  <c r="A173" i="63"/>
  <c r="A172" i="63"/>
  <c r="A171" i="63"/>
  <c r="A180" i="64"/>
  <c r="A179" i="64"/>
  <c r="A178" i="64"/>
  <c r="A177" i="64"/>
  <c r="A176" i="64"/>
  <c r="A175" i="64"/>
  <c r="A174" i="64"/>
  <c r="A173" i="64"/>
  <c r="A172" i="64"/>
  <c r="A171" i="64"/>
  <c r="A180" i="62"/>
  <c r="A179" i="62"/>
  <c r="A178" i="62"/>
  <c r="A177" i="62"/>
  <c r="A176" i="62"/>
  <c r="A175" i="62"/>
  <c r="A174" i="62"/>
  <c r="A173" i="62"/>
  <c r="A172" i="62"/>
  <c r="A171" i="62"/>
  <c r="A186" i="18"/>
  <c r="A185" i="18"/>
  <c r="A184" i="18"/>
  <c r="A183" i="18"/>
  <c r="A182" i="18"/>
  <c r="A181" i="18"/>
  <c r="A180" i="18"/>
  <c r="A179" i="18"/>
  <c r="A178" i="18"/>
  <c r="A50" i="69"/>
  <c r="A49" i="69"/>
  <c r="A48" i="69"/>
  <c r="A94" i="39"/>
  <c r="A93" i="39"/>
  <c r="A36" i="49"/>
  <c r="A35" i="49"/>
  <c r="A34" i="49"/>
  <c r="A33" i="49"/>
  <c r="A32" i="49"/>
  <c r="A31" i="49"/>
  <c r="A163" i="65"/>
  <c r="A162" i="65"/>
  <c r="A161" i="65"/>
  <c r="A160" i="65"/>
  <c r="A159" i="65"/>
  <c r="A158" i="65"/>
  <c r="A157" i="65"/>
  <c r="A156" i="65"/>
  <c r="A155" i="65"/>
  <c r="A154" i="65"/>
  <c r="A237" i="79"/>
  <c r="A236" i="79"/>
  <c r="A235" i="79"/>
  <c r="A234" i="79"/>
  <c r="A129" i="66"/>
  <c r="A128" i="66"/>
  <c r="A368" i="73"/>
  <c r="A367" i="73"/>
  <c r="A259" i="80"/>
  <c r="A459" i="89"/>
  <c r="A458" i="89"/>
  <c r="A457" i="89"/>
  <c r="A456" i="89"/>
  <c r="A455" i="89"/>
  <c r="A114" i="81"/>
  <c r="A113" i="81"/>
  <c r="A112" i="81"/>
  <c r="A111" i="81"/>
  <c r="A33" i="76"/>
  <c r="A32" i="76"/>
  <c r="A31" i="76"/>
  <c r="A59" i="35"/>
  <c r="A58" i="35"/>
  <c r="A57" i="35"/>
  <c r="A56" i="35"/>
  <c r="A55" i="35"/>
  <c r="A54" i="35"/>
  <c r="A53" i="35"/>
  <c r="A52" i="35"/>
  <c r="A51" i="35"/>
  <c r="A50" i="35"/>
  <c r="A21" i="9"/>
  <c r="A3" i="9"/>
  <c r="A4" i="9"/>
  <c r="A49" i="9"/>
  <c r="A48" i="9"/>
  <c r="A47" i="9"/>
  <c r="A46" i="9"/>
  <c r="A45" i="9"/>
  <c r="A44" i="9"/>
  <c r="A43" i="9"/>
  <c r="A42" i="9"/>
  <c r="A41" i="9"/>
  <c r="A40" i="9"/>
  <c r="A10" i="9"/>
  <c r="A39" i="9"/>
  <c r="A6" i="9"/>
  <c r="A11" i="9"/>
  <c r="A12" i="9"/>
  <c r="A9" i="9"/>
  <c r="A38" i="9"/>
  <c r="A7" i="9"/>
  <c r="A8" i="9"/>
  <c r="A37" i="9"/>
  <c r="A36" i="9"/>
  <c r="A35" i="9"/>
  <c r="A34" i="9"/>
  <c r="A33" i="9"/>
  <c r="A32" i="9"/>
  <c r="A31" i="9"/>
  <c r="A30" i="9"/>
  <c r="A29" i="9"/>
  <c r="A28" i="9"/>
  <c r="A27" i="9"/>
  <c r="A26" i="9"/>
  <c r="A25" i="9"/>
  <c r="A19" i="9"/>
  <c r="A15" i="9"/>
  <c r="A16" i="9"/>
  <c r="A17" i="9"/>
  <c r="A14" i="9"/>
  <c r="A13" i="9"/>
  <c r="A18" i="9"/>
  <c r="A24" i="9"/>
  <c r="A23" i="9"/>
  <c r="A22" i="9"/>
  <c r="F65" i="90" l="1"/>
  <c r="D24" i="92" l="1"/>
  <c r="A24" i="92"/>
  <c r="D25" i="92"/>
  <c r="A25" i="92"/>
  <c r="D28" i="92"/>
  <c r="A28" i="92"/>
  <c r="D27" i="92"/>
  <c r="A27" i="92"/>
  <c r="D26" i="92"/>
  <c r="A26" i="92"/>
  <c r="A22" i="92"/>
  <c r="D21" i="92"/>
  <c r="A21" i="92"/>
  <c r="D20" i="92"/>
  <c r="A20" i="92"/>
  <c r="R19" i="92"/>
  <c r="Q19" i="92"/>
  <c r="P19" i="92"/>
  <c r="R18" i="92"/>
  <c r="Q18" i="92"/>
  <c r="P18" i="92"/>
  <c r="R17" i="92"/>
  <c r="Q17" i="92"/>
  <c r="P17" i="92"/>
  <c r="R16" i="92"/>
  <c r="Q16" i="92"/>
  <c r="P16" i="92"/>
  <c r="R15" i="92"/>
  <c r="Q15" i="92"/>
  <c r="P15" i="92"/>
  <c r="R14" i="92"/>
  <c r="Q14" i="92"/>
  <c r="P14" i="92"/>
  <c r="R13" i="92"/>
  <c r="Q13" i="92"/>
  <c r="P13" i="92"/>
  <c r="R12" i="92"/>
  <c r="Q12" i="92"/>
  <c r="P12" i="92"/>
  <c r="R11" i="92"/>
  <c r="D145" i="92" s="1"/>
  <c r="Q11" i="92"/>
  <c r="D143" i="92" s="1"/>
  <c r="P11" i="92"/>
  <c r="R10" i="92"/>
  <c r="Q10" i="92"/>
  <c r="P10" i="92"/>
  <c r="R9" i="92"/>
  <c r="Q9" i="92"/>
  <c r="P9" i="92"/>
  <c r="R8" i="92"/>
  <c r="Q8" i="92"/>
  <c r="P8" i="92"/>
  <c r="R7" i="92"/>
  <c r="D95" i="92" s="1"/>
  <c r="Q7" i="92"/>
  <c r="D93" i="92" s="1"/>
  <c r="P7" i="92"/>
  <c r="R6" i="92"/>
  <c r="Q6" i="92"/>
  <c r="P6" i="92"/>
  <c r="R5" i="92"/>
  <c r="Q5" i="92"/>
  <c r="P5" i="92"/>
  <c r="R4" i="92"/>
  <c r="Q4" i="92"/>
  <c r="P4" i="92"/>
  <c r="BA1" i="92"/>
  <c r="AZ1" i="92"/>
  <c r="AY1" i="92"/>
  <c r="AX1" i="92"/>
  <c r="AW1" i="92"/>
  <c r="AV1" i="92"/>
  <c r="AU1" i="92"/>
  <c r="AT1" i="92"/>
  <c r="AS1" i="92"/>
  <c r="AR1" i="92"/>
  <c r="AQ1" i="92"/>
  <c r="AP1" i="92"/>
  <c r="AO1" i="92"/>
  <c r="AN1" i="92"/>
  <c r="AM1" i="92"/>
  <c r="AL1" i="92"/>
  <c r="AK1" i="92"/>
  <c r="AJ1" i="92"/>
  <c r="AI1" i="92"/>
  <c r="AH1" i="92"/>
  <c r="AG1" i="92"/>
  <c r="AF1" i="92"/>
  <c r="AE1" i="92"/>
  <c r="AD1" i="92"/>
  <c r="AC1" i="92"/>
  <c r="AB1" i="92"/>
  <c r="AA1" i="92"/>
  <c r="Z1" i="92"/>
  <c r="Y1" i="92"/>
  <c r="X1" i="92"/>
  <c r="W1" i="92"/>
  <c r="V1" i="92"/>
  <c r="U1" i="92"/>
  <c r="T1" i="92"/>
  <c r="S1" i="92"/>
  <c r="R1" i="92"/>
  <c r="Q1" i="92"/>
  <c r="P1" i="92"/>
  <c r="D27" i="19"/>
  <c r="D26" i="19"/>
  <c r="A27" i="19"/>
  <c r="A28" i="19"/>
  <c r="D28" i="19"/>
  <c r="D73" i="92" l="1"/>
  <c r="D83" i="92"/>
  <c r="D75" i="92"/>
  <c r="D85" i="92"/>
  <c r="D195" i="92"/>
  <c r="D197" i="92"/>
  <c r="D63" i="92"/>
  <c r="D65" i="92"/>
  <c r="D53" i="92"/>
  <c r="D55" i="92"/>
  <c r="D43" i="92"/>
  <c r="D45" i="92"/>
  <c r="D33" i="92"/>
  <c r="D35" i="92"/>
  <c r="D133" i="92"/>
  <c r="D185" i="92"/>
  <c r="D187" i="92"/>
  <c r="D135" i="92"/>
  <c r="D115" i="92"/>
  <c r="D123" i="92"/>
  <c r="D113" i="92"/>
  <c r="D125" i="92"/>
  <c r="D103" i="92"/>
  <c r="D105" i="92"/>
  <c r="A8" i="47" l="1"/>
  <c r="A7" i="47"/>
  <c r="A6" i="47"/>
  <c r="A5" i="47"/>
  <c r="A4" i="47"/>
  <c r="P1" i="3" l="1"/>
  <c r="Q1" i="3"/>
  <c r="R1" i="3"/>
  <c r="S1" i="3"/>
  <c r="T1" i="3"/>
  <c r="U1" i="3"/>
  <c r="V1" i="3"/>
  <c r="W1" i="3"/>
  <c r="X1" i="3"/>
  <c r="Y1" i="3"/>
  <c r="Z1" i="3"/>
  <c r="AA1" i="3"/>
  <c r="AB1" i="3"/>
  <c r="AC1" i="3"/>
  <c r="AD1" i="3"/>
  <c r="AE1" i="3"/>
  <c r="AF1" i="3"/>
  <c r="AG1" i="3"/>
  <c r="AH1" i="3"/>
  <c r="AI1" i="3"/>
  <c r="AJ1" i="3"/>
  <c r="AK1" i="3"/>
  <c r="AL1" i="3"/>
  <c r="AM1" i="3"/>
  <c r="AN1" i="3"/>
  <c r="AO1" i="3"/>
  <c r="AP1" i="3"/>
  <c r="AQ1" i="3"/>
  <c r="AR1" i="3"/>
  <c r="AS1" i="3"/>
  <c r="AT1" i="3"/>
  <c r="AU1" i="3"/>
  <c r="AV1" i="3"/>
  <c r="AW1" i="3"/>
  <c r="AX1" i="3"/>
  <c r="AY1" i="3"/>
  <c r="AZ1" i="3"/>
  <c r="BA1" i="3"/>
  <c r="A25" i="56" l="1"/>
  <c r="D176" i="80" l="1"/>
  <c r="D334" i="82"/>
  <c r="D328" i="82"/>
  <c r="Q1" i="35" l="1"/>
  <c r="R1" i="35"/>
  <c r="S1" i="35"/>
  <c r="T1" i="35"/>
  <c r="U1" i="35"/>
  <c r="V1" i="35"/>
  <c r="W1" i="35"/>
  <c r="X1" i="35"/>
  <c r="Y1" i="35"/>
  <c r="Z1" i="35"/>
  <c r="AA1" i="35"/>
  <c r="AB1" i="35"/>
  <c r="AC1" i="35"/>
  <c r="AD1" i="35"/>
  <c r="AE1" i="35"/>
  <c r="AF1" i="35"/>
  <c r="AG1" i="35"/>
  <c r="AH1" i="35"/>
  <c r="AI1" i="35"/>
  <c r="AJ1" i="35"/>
  <c r="AK1" i="35"/>
  <c r="AL1" i="35"/>
  <c r="AM1" i="35"/>
  <c r="AN1" i="35"/>
  <c r="AO1" i="35"/>
  <c r="AP1" i="35"/>
  <c r="AQ1" i="35"/>
  <c r="AR1" i="35"/>
  <c r="AS1" i="35"/>
  <c r="AT1" i="35"/>
  <c r="AU1" i="35"/>
  <c r="AV1" i="35"/>
  <c r="AW1" i="35"/>
  <c r="AX1" i="35"/>
  <c r="AY1" i="35"/>
  <c r="AZ1" i="35"/>
  <c r="BA1" i="35"/>
  <c r="P1" i="35"/>
  <c r="Q1" i="76"/>
  <c r="R1" i="76"/>
  <c r="S1" i="76"/>
  <c r="T1" i="76"/>
  <c r="U1" i="76"/>
  <c r="V1" i="76"/>
  <c r="W1" i="76"/>
  <c r="X1" i="76"/>
  <c r="Y1" i="76"/>
  <c r="Z1" i="76"/>
  <c r="AA1" i="76"/>
  <c r="AB1" i="76"/>
  <c r="AC1" i="76"/>
  <c r="AD1" i="76"/>
  <c r="AE1" i="76"/>
  <c r="AF1" i="76"/>
  <c r="AG1" i="76"/>
  <c r="AH1" i="76"/>
  <c r="AI1" i="76"/>
  <c r="AJ1" i="76"/>
  <c r="AK1" i="76"/>
  <c r="AL1" i="76"/>
  <c r="AM1" i="76"/>
  <c r="AN1" i="76"/>
  <c r="AO1" i="76"/>
  <c r="AP1" i="76"/>
  <c r="AQ1" i="76"/>
  <c r="AR1" i="76"/>
  <c r="AS1" i="76"/>
  <c r="AT1" i="76"/>
  <c r="AU1" i="76"/>
  <c r="AV1" i="76"/>
  <c r="AW1" i="76"/>
  <c r="AX1" i="76"/>
  <c r="AY1" i="76"/>
  <c r="AZ1" i="76"/>
  <c r="BA1" i="76"/>
  <c r="P1" i="76"/>
  <c r="Q1" i="82"/>
  <c r="R1" i="82"/>
  <c r="S1" i="82"/>
  <c r="T1" i="82"/>
  <c r="U1" i="82"/>
  <c r="V1" i="82"/>
  <c r="W1" i="82"/>
  <c r="X1" i="82"/>
  <c r="Y1" i="82"/>
  <c r="Z1" i="82"/>
  <c r="AA1" i="82"/>
  <c r="AB1" i="82"/>
  <c r="AC1" i="82"/>
  <c r="AD1" i="82"/>
  <c r="AE1" i="82"/>
  <c r="AF1" i="82"/>
  <c r="AG1" i="82"/>
  <c r="AH1" i="82"/>
  <c r="AI1" i="82"/>
  <c r="AJ1" i="82"/>
  <c r="AK1" i="82"/>
  <c r="AL1" i="82"/>
  <c r="AM1" i="82"/>
  <c r="AN1" i="82"/>
  <c r="AO1" i="82"/>
  <c r="AP1" i="82"/>
  <c r="AQ1" i="82"/>
  <c r="AR1" i="82"/>
  <c r="AS1" i="82"/>
  <c r="AT1" i="82"/>
  <c r="AU1" i="82"/>
  <c r="AV1" i="82"/>
  <c r="AW1" i="82"/>
  <c r="AX1" i="82"/>
  <c r="AY1" i="82"/>
  <c r="AZ1" i="82"/>
  <c r="BA1" i="82"/>
  <c r="P1" i="82"/>
  <c r="Q1" i="81"/>
  <c r="R1" i="81"/>
  <c r="S1" i="81"/>
  <c r="T1" i="81"/>
  <c r="U1" i="81"/>
  <c r="V1" i="81"/>
  <c r="W1" i="81"/>
  <c r="X1" i="81"/>
  <c r="Y1" i="81"/>
  <c r="Z1" i="81"/>
  <c r="AA1" i="81"/>
  <c r="AB1" i="81"/>
  <c r="AC1" i="81"/>
  <c r="AD1" i="81"/>
  <c r="AE1" i="81"/>
  <c r="AF1" i="81"/>
  <c r="AG1" i="81"/>
  <c r="AH1" i="81"/>
  <c r="AI1" i="81"/>
  <c r="AJ1" i="81"/>
  <c r="AK1" i="81"/>
  <c r="AL1" i="81"/>
  <c r="AM1" i="81"/>
  <c r="AN1" i="81"/>
  <c r="AO1" i="81"/>
  <c r="AP1" i="81"/>
  <c r="AQ1" i="81"/>
  <c r="AR1" i="81"/>
  <c r="AS1" i="81"/>
  <c r="AT1" i="81"/>
  <c r="AU1" i="81"/>
  <c r="AV1" i="81"/>
  <c r="AW1" i="81"/>
  <c r="AX1" i="81"/>
  <c r="AY1" i="81"/>
  <c r="AZ1" i="81"/>
  <c r="BA1" i="81"/>
  <c r="P1" i="81"/>
  <c r="Q1" i="89"/>
  <c r="R1" i="89"/>
  <c r="S1" i="89"/>
  <c r="T1" i="89"/>
  <c r="U1" i="89"/>
  <c r="V1" i="89"/>
  <c r="W1" i="89"/>
  <c r="X1" i="89"/>
  <c r="Y1" i="89"/>
  <c r="Z1" i="89"/>
  <c r="AA1" i="89"/>
  <c r="AB1" i="89"/>
  <c r="AC1" i="89"/>
  <c r="AD1" i="89"/>
  <c r="AE1" i="89"/>
  <c r="AF1" i="89"/>
  <c r="AG1" i="89"/>
  <c r="AH1" i="89"/>
  <c r="AI1" i="89"/>
  <c r="AJ1" i="89"/>
  <c r="AK1" i="89"/>
  <c r="AL1" i="89"/>
  <c r="AM1" i="89"/>
  <c r="AN1" i="89"/>
  <c r="AO1" i="89"/>
  <c r="AP1" i="89"/>
  <c r="AQ1" i="89"/>
  <c r="AR1" i="89"/>
  <c r="AS1" i="89"/>
  <c r="AT1" i="89"/>
  <c r="AU1" i="89"/>
  <c r="AV1" i="89"/>
  <c r="AW1" i="89"/>
  <c r="AX1" i="89"/>
  <c r="AY1" i="89"/>
  <c r="AZ1" i="89"/>
  <c r="BA1" i="89"/>
  <c r="P1" i="89"/>
  <c r="Q1" i="80"/>
  <c r="R1" i="80"/>
  <c r="S1" i="80"/>
  <c r="T1" i="80"/>
  <c r="U1" i="80"/>
  <c r="V1" i="80"/>
  <c r="W1" i="80"/>
  <c r="X1" i="80"/>
  <c r="Y1" i="80"/>
  <c r="Z1" i="80"/>
  <c r="AA1" i="80"/>
  <c r="AB1" i="80"/>
  <c r="AC1" i="80"/>
  <c r="AD1" i="80"/>
  <c r="AE1" i="80"/>
  <c r="AF1" i="80"/>
  <c r="AG1" i="80"/>
  <c r="AH1" i="80"/>
  <c r="AI1" i="80"/>
  <c r="AJ1" i="80"/>
  <c r="AK1" i="80"/>
  <c r="AL1" i="80"/>
  <c r="AM1" i="80"/>
  <c r="AN1" i="80"/>
  <c r="AO1" i="80"/>
  <c r="AP1" i="80"/>
  <c r="AQ1" i="80"/>
  <c r="AR1" i="80"/>
  <c r="AS1" i="80"/>
  <c r="AT1" i="80"/>
  <c r="AU1" i="80"/>
  <c r="AV1" i="80"/>
  <c r="AW1" i="80"/>
  <c r="AX1" i="80"/>
  <c r="AY1" i="80"/>
  <c r="AZ1" i="80"/>
  <c r="BA1" i="80"/>
  <c r="P1" i="80"/>
  <c r="Q1" i="73"/>
  <c r="R1" i="73"/>
  <c r="S1" i="73"/>
  <c r="T1" i="73"/>
  <c r="U1" i="73"/>
  <c r="V1" i="73"/>
  <c r="W1" i="73"/>
  <c r="X1" i="73"/>
  <c r="Y1" i="73"/>
  <c r="Z1" i="73"/>
  <c r="AA1" i="73"/>
  <c r="AB1" i="73"/>
  <c r="AC1" i="73"/>
  <c r="AD1" i="73"/>
  <c r="AE1" i="73"/>
  <c r="AF1" i="73"/>
  <c r="AG1" i="73"/>
  <c r="AH1" i="73"/>
  <c r="AI1" i="73"/>
  <c r="AJ1" i="73"/>
  <c r="AK1" i="73"/>
  <c r="AL1" i="73"/>
  <c r="AM1" i="73"/>
  <c r="AN1" i="73"/>
  <c r="AO1" i="73"/>
  <c r="AP1" i="73"/>
  <c r="AQ1" i="73"/>
  <c r="AR1" i="73"/>
  <c r="AS1" i="73"/>
  <c r="AT1" i="73"/>
  <c r="AU1" i="73"/>
  <c r="AV1" i="73"/>
  <c r="AW1" i="73"/>
  <c r="AX1" i="73"/>
  <c r="AY1" i="73"/>
  <c r="AZ1" i="73"/>
  <c r="BA1" i="73"/>
  <c r="P1" i="73"/>
  <c r="Q1" i="66"/>
  <c r="R1" i="66"/>
  <c r="S1" i="66"/>
  <c r="T1" i="66"/>
  <c r="U1" i="66"/>
  <c r="V1" i="66"/>
  <c r="W1" i="66"/>
  <c r="X1" i="66"/>
  <c r="Y1" i="66"/>
  <c r="Z1" i="66"/>
  <c r="AA1" i="66"/>
  <c r="AB1" i="66"/>
  <c r="AC1" i="66"/>
  <c r="AD1" i="66"/>
  <c r="AE1" i="66"/>
  <c r="AF1" i="66"/>
  <c r="AG1" i="66"/>
  <c r="AH1" i="66"/>
  <c r="AI1" i="66"/>
  <c r="AJ1" i="66"/>
  <c r="AK1" i="66"/>
  <c r="AL1" i="66"/>
  <c r="AM1" i="66"/>
  <c r="AN1" i="66"/>
  <c r="AO1" i="66"/>
  <c r="AP1" i="66"/>
  <c r="AQ1" i="66"/>
  <c r="AR1" i="66"/>
  <c r="AS1" i="66"/>
  <c r="AT1" i="66"/>
  <c r="AU1" i="66"/>
  <c r="AV1" i="66"/>
  <c r="AW1" i="66"/>
  <c r="AX1" i="66"/>
  <c r="AY1" i="66"/>
  <c r="AZ1" i="66"/>
  <c r="BA1" i="66"/>
  <c r="P1" i="66"/>
  <c r="Q1" i="79"/>
  <c r="R1" i="79"/>
  <c r="S1" i="79"/>
  <c r="T1" i="79"/>
  <c r="U1" i="79"/>
  <c r="V1" i="79"/>
  <c r="W1" i="79"/>
  <c r="X1" i="79"/>
  <c r="Y1" i="79"/>
  <c r="Z1" i="79"/>
  <c r="AA1" i="79"/>
  <c r="AB1" i="79"/>
  <c r="AC1" i="79"/>
  <c r="AD1" i="79"/>
  <c r="AE1" i="79"/>
  <c r="AF1" i="79"/>
  <c r="AG1" i="79"/>
  <c r="AH1" i="79"/>
  <c r="AI1" i="79"/>
  <c r="AJ1" i="79"/>
  <c r="AK1" i="79"/>
  <c r="AL1" i="79"/>
  <c r="AM1" i="79"/>
  <c r="AN1" i="79"/>
  <c r="AO1" i="79"/>
  <c r="AP1" i="79"/>
  <c r="AQ1" i="79"/>
  <c r="AR1" i="79"/>
  <c r="AS1" i="79"/>
  <c r="AT1" i="79"/>
  <c r="AU1" i="79"/>
  <c r="AV1" i="79"/>
  <c r="AW1" i="79"/>
  <c r="AX1" i="79"/>
  <c r="AY1" i="79"/>
  <c r="AZ1" i="79"/>
  <c r="BA1" i="79"/>
  <c r="P1" i="79"/>
  <c r="Q1" i="65"/>
  <c r="R1" i="65"/>
  <c r="S1" i="65"/>
  <c r="T1" i="65"/>
  <c r="U1" i="65"/>
  <c r="V1" i="65"/>
  <c r="W1" i="65"/>
  <c r="X1" i="65"/>
  <c r="Y1" i="65"/>
  <c r="Z1" i="65"/>
  <c r="AA1" i="65"/>
  <c r="AB1" i="65"/>
  <c r="AC1" i="65"/>
  <c r="AD1" i="65"/>
  <c r="AE1" i="65"/>
  <c r="AF1" i="65"/>
  <c r="AG1" i="65"/>
  <c r="AH1" i="65"/>
  <c r="AI1" i="65"/>
  <c r="AJ1" i="65"/>
  <c r="AK1" i="65"/>
  <c r="AL1" i="65"/>
  <c r="AM1" i="65"/>
  <c r="AN1" i="65"/>
  <c r="AO1" i="65"/>
  <c r="AP1" i="65"/>
  <c r="AQ1" i="65"/>
  <c r="AR1" i="65"/>
  <c r="AS1" i="65"/>
  <c r="AT1" i="65"/>
  <c r="AU1" i="65"/>
  <c r="AV1" i="65"/>
  <c r="AW1" i="65"/>
  <c r="AX1" i="65"/>
  <c r="AY1" i="65"/>
  <c r="AZ1" i="65"/>
  <c r="BA1" i="65"/>
  <c r="P1" i="65"/>
  <c r="Q1" i="49"/>
  <c r="R1" i="49"/>
  <c r="S1" i="49"/>
  <c r="T1" i="49"/>
  <c r="U1" i="49"/>
  <c r="V1" i="49"/>
  <c r="W1" i="49"/>
  <c r="X1" i="49"/>
  <c r="Y1" i="49"/>
  <c r="Z1" i="49"/>
  <c r="AA1" i="49"/>
  <c r="AB1" i="49"/>
  <c r="AC1" i="49"/>
  <c r="AD1" i="49"/>
  <c r="AE1" i="49"/>
  <c r="AF1" i="49"/>
  <c r="AG1" i="49"/>
  <c r="AH1" i="49"/>
  <c r="AI1" i="49"/>
  <c r="AJ1" i="49"/>
  <c r="AK1" i="49"/>
  <c r="AL1" i="49"/>
  <c r="AM1" i="49"/>
  <c r="AN1" i="49"/>
  <c r="AO1" i="49"/>
  <c r="AP1" i="49"/>
  <c r="AQ1" i="49"/>
  <c r="AR1" i="49"/>
  <c r="AS1" i="49"/>
  <c r="AT1" i="49"/>
  <c r="AU1" i="49"/>
  <c r="AV1" i="49"/>
  <c r="AW1" i="49"/>
  <c r="AX1" i="49"/>
  <c r="AY1" i="49"/>
  <c r="AZ1" i="49"/>
  <c r="BA1" i="49"/>
  <c r="P1" i="49"/>
  <c r="Q1" i="41"/>
  <c r="R1" i="41"/>
  <c r="S1" i="41"/>
  <c r="T1" i="41"/>
  <c r="U1" i="41"/>
  <c r="V1" i="41"/>
  <c r="W1" i="41"/>
  <c r="X1" i="41"/>
  <c r="Y1" i="41"/>
  <c r="Z1" i="41"/>
  <c r="AA1" i="41"/>
  <c r="AB1" i="41"/>
  <c r="AC1" i="41"/>
  <c r="AD1" i="41"/>
  <c r="AE1" i="41"/>
  <c r="AF1" i="41"/>
  <c r="AG1" i="41"/>
  <c r="AH1" i="41"/>
  <c r="AI1" i="41"/>
  <c r="AJ1" i="41"/>
  <c r="AK1" i="41"/>
  <c r="AL1" i="41"/>
  <c r="AM1" i="41"/>
  <c r="AN1" i="41"/>
  <c r="AO1" i="41"/>
  <c r="AP1" i="41"/>
  <c r="AQ1" i="41"/>
  <c r="AR1" i="41"/>
  <c r="AS1" i="41"/>
  <c r="AT1" i="41"/>
  <c r="AU1" i="41"/>
  <c r="AV1" i="41"/>
  <c r="AW1" i="41"/>
  <c r="AX1" i="41"/>
  <c r="AY1" i="41"/>
  <c r="AZ1" i="41"/>
  <c r="BA1" i="41"/>
  <c r="P1" i="41"/>
  <c r="Q1" i="39"/>
  <c r="R1" i="39"/>
  <c r="S1" i="39"/>
  <c r="T1" i="39"/>
  <c r="U1" i="39"/>
  <c r="V1" i="39"/>
  <c r="W1" i="39"/>
  <c r="X1" i="39"/>
  <c r="Y1" i="39"/>
  <c r="Z1" i="39"/>
  <c r="AA1" i="39"/>
  <c r="AB1" i="39"/>
  <c r="AC1" i="39"/>
  <c r="AD1" i="39"/>
  <c r="AE1" i="39"/>
  <c r="AF1" i="39"/>
  <c r="AG1" i="39"/>
  <c r="AH1" i="39"/>
  <c r="AI1" i="39"/>
  <c r="AJ1" i="39"/>
  <c r="AK1" i="39"/>
  <c r="AL1" i="39"/>
  <c r="AM1" i="39"/>
  <c r="AN1" i="39"/>
  <c r="AO1" i="39"/>
  <c r="AP1" i="39"/>
  <c r="AQ1" i="39"/>
  <c r="AR1" i="39"/>
  <c r="AS1" i="39"/>
  <c r="AT1" i="39"/>
  <c r="AU1" i="39"/>
  <c r="AV1" i="39"/>
  <c r="AW1" i="39"/>
  <c r="AX1" i="39"/>
  <c r="AY1" i="39"/>
  <c r="AZ1" i="39"/>
  <c r="BA1" i="39"/>
  <c r="P1" i="39"/>
  <c r="Q1" i="53"/>
  <c r="R1" i="53"/>
  <c r="S1" i="53"/>
  <c r="T1" i="53"/>
  <c r="U1" i="53"/>
  <c r="V1" i="53"/>
  <c r="W1" i="53"/>
  <c r="X1" i="53"/>
  <c r="Y1" i="53"/>
  <c r="Z1" i="53"/>
  <c r="AA1" i="53"/>
  <c r="AB1" i="53"/>
  <c r="AC1" i="53"/>
  <c r="AD1" i="53"/>
  <c r="AE1" i="53"/>
  <c r="AF1" i="53"/>
  <c r="AG1" i="53"/>
  <c r="AH1" i="53"/>
  <c r="AI1" i="53"/>
  <c r="AJ1" i="53"/>
  <c r="AK1" i="53"/>
  <c r="AL1" i="53"/>
  <c r="AM1" i="53"/>
  <c r="AN1" i="53"/>
  <c r="AO1" i="53"/>
  <c r="AP1" i="53"/>
  <c r="AQ1" i="53"/>
  <c r="AR1" i="53"/>
  <c r="AS1" i="53"/>
  <c r="AT1" i="53"/>
  <c r="AU1" i="53"/>
  <c r="AV1" i="53"/>
  <c r="AW1" i="53"/>
  <c r="AX1" i="53"/>
  <c r="AY1" i="53"/>
  <c r="AZ1" i="53"/>
  <c r="BA1" i="53"/>
  <c r="P1" i="53"/>
  <c r="Q1" i="69"/>
  <c r="R1" i="69"/>
  <c r="S1" i="69"/>
  <c r="T1" i="69"/>
  <c r="U1" i="69"/>
  <c r="V1" i="69"/>
  <c r="W1" i="69"/>
  <c r="X1" i="69"/>
  <c r="Y1" i="69"/>
  <c r="Z1" i="69"/>
  <c r="AA1" i="69"/>
  <c r="AB1" i="69"/>
  <c r="AC1" i="69"/>
  <c r="AD1" i="69"/>
  <c r="AE1" i="69"/>
  <c r="AF1" i="69"/>
  <c r="AG1" i="69"/>
  <c r="AH1" i="69"/>
  <c r="AI1" i="69"/>
  <c r="AJ1" i="69"/>
  <c r="AK1" i="69"/>
  <c r="AL1" i="69"/>
  <c r="AM1" i="69"/>
  <c r="AN1" i="69"/>
  <c r="AO1" i="69"/>
  <c r="AP1" i="69"/>
  <c r="AQ1" i="69"/>
  <c r="AR1" i="69"/>
  <c r="AS1" i="69"/>
  <c r="AT1" i="69"/>
  <c r="AU1" i="69"/>
  <c r="AV1" i="69"/>
  <c r="AW1" i="69"/>
  <c r="AX1" i="69"/>
  <c r="AY1" i="69"/>
  <c r="AZ1" i="69"/>
  <c r="BA1" i="69"/>
  <c r="P1" i="69"/>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P1" i="18"/>
  <c r="Q1" i="62"/>
  <c r="R1" i="62"/>
  <c r="S1" i="62"/>
  <c r="T1" i="62"/>
  <c r="U1" i="62"/>
  <c r="V1" i="62"/>
  <c r="W1" i="62"/>
  <c r="X1" i="62"/>
  <c r="Y1" i="62"/>
  <c r="Z1" i="62"/>
  <c r="AA1" i="62"/>
  <c r="AB1" i="62"/>
  <c r="AC1" i="62"/>
  <c r="AD1" i="62"/>
  <c r="AE1" i="62"/>
  <c r="AF1" i="62"/>
  <c r="AG1" i="62"/>
  <c r="AH1" i="62"/>
  <c r="AI1" i="62"/>
  <c r="AJ1" i="62"/>
  <c r="AK1" i="62"/>
  <c r="AL1" i="62"/>
  <c r="AM1" i="62"/>
  <c r="AN1" i="62"/>
  <c r="AO1" i="62"/>
  <c r="AP1" i="62"/>
  <c r="AQ1" i="62"/>
  <c r="AR1" i="62"/>
  <c r="AS1" i="62"/>
  <c r="AT1" i="62"/>
  <c r="AU1" i="62"/>
  <c r="AV1" i="62"/>
  <c r="AW1" i="62"/>
  <c r="AX1" i="62"/>
  <c r="AY1" i="62"/>
  <c r="AZ1" i="62"/>
  <c r="BA1" i="62"/>
  <c r="P1" i="62"/>
  <c r="Q1" i="64"/>
  <c r="R1" i="64"/>
  <c r="S1" i="64"/>
  <c r="T1" i="64"/>
  <c r="U1" i="64"/>
  <c r="V1" i="64"/>
  <c r="W1" i="64"/>
  <c r="X1" i="64"/>
  <c r="Y1" i="64"/>
  <c r="Z1" i="64"/>
  <c r="AA1" i="64"/>
  <c r="AB1" i="64"/>
  <c r="AC1" i="64"/>
  <c r="AD1" i="64"/>
  <c r="AE1" i="64"/>
  <c r="AF1" i="64"/>
  <c r="AG1" i="64"/>
  <c r="AH1" i="64"/>
  <c r="AI1" i="64"/>
  <c r="AJ1" i="64"/>
  <c r="AK1" i="64"/>
  <c r="AL1" i="64"/>
  <c r="AM1" i="64"/>
  <c r="AN1" i="64"/>
  <c r="AO1" i="64"/>
  <c r="AP1" i="64"/>
  <c r="AQ1" i="64"/>
  <c r="AR1" i="64"/>
  <c r="AS1" i="64"/>
  <c r="AT1" i="64"/>
  <c r="AU1" i="64"/>
  <c r="AV1" i="64"/>
  <c r="AW1" i="64"/>
  <c r="AX1" i="64"/>
  <c r="AY1" i="64"/>
  <c r="AZ1" i="64"/>
  <c r="BA1" i="64"/>
  <c r="P1" i="64"/>
  <c r="Q1" i="63"/>
  <c r="R1" i="63"/>
  <c r="S1" i="63"/>
  <c r="T1" i="63"/>
  <c r="U1" i="63"/>
  <c r="V1" i="63"/>
  <c r="W1" i="63"/>
  <c r="X1" i="63"/>
  <c r="Y1" i="63"/>
  <c r="Z1" i="63"/>
  <c r="AA1" i="63"/>
  <c r="AB1" i="63"/>
  <c r="AC1" i="63"/>
  <c r="AD1" i="63"/>
  <c r="AE1" i="63"/>
  <c r="AF1" i="63"/>
  <c r="AG1" i="63"/>
  <c r="AH1" i="63"/>
  <c r="AI1" i="63"/>
  <c r="AJ1" i="63"/>
  <c r="AK1" i="63"/>
  <c r="AL1" i="63"/>
  <c r="AM1" i="63"/>
  <c r="AN1" i="63"/>
  <c r="AO1" i="63"/>
  <c r="AP1" i="63"/>
  <c r="AQ1" i="63"/>
  <c r="AR1" i="63"/>
  <c r="AS1" i="63"/>
  <c r="AT1" i="63"/>
  <c r="AU1" i="63"/>
  <c r="AV1" i="63"/>
  <c r="AW1" i="63"/>
  <c r="AX1" i="63"/>
  <c r="AY1" i="63"/>
  <c r="AZ1" i="63"/>
  <c r="BA1" i="63"/>
  <c r="P1" i="63"/>
  <c r="Q1" i="15"/>
  <c r="R1" i="15"/>
  <c r="S1" i="15"/>
  <c r="T1" i="15"/>
  <c r="U1" i="15"/>
  <c r="V1" i="15"/>
  <c r="W1" i="15"/>
  <c r="X1" i="15"/>
  <c r="Y1" i="15"/>
  <c r="Z1" i="15"/>
  <c r="AA1" i="15"/>
  <c r="AB1" i="15"/>
  <c r="AC1" i="15"/>
  <c r="AD1" i="15"/>
  <c r="AE1" i="15"/>
  <c r="AF1" i="15"/>
  <c r="AG1" i="15"/>
  <c r="AH1" i="15"/>
  <c r="AI1" i="15"/>
  <c r="AJ1" i="15"/>
  <c r="AK1" i="15"/>
  <c r="AL1" i="15"/>
  <c r="AM1" i="15"/>
  <c r="AN1" i="15"/>
  <c r="AO1" i="15"/>
  <c r="AP1" i="15"/>
  <c r="AQ1" i="15"/>
  <c r="AR1" i="15"/>
  <c r="AS1" i="15"/>
  <c r="AT1" i="15"/>
  <c r="AU1" i="15"/>
  <c r="AV1" i="15"/>
  <c r="AW1" i="15"/>
  <c r="AX1" i="15"/>
  <c r="AY1" i="15"/>
  <c r="AZ1" i="15"/>
  <c r="BA1" i="15"/>
  <c r="P1" i="15"/>
  <c r="Q1" i="14"/>
  <c r="R1" i="14"/>
  <c r="S1" i="14"/>
  <c r="T1" i="14"/>
  <c r="U1" i="14"/>
  <c r="V1" i="14"/>
  <c r="W1" i="14"/>
  <c r="X1" i="14"/>
  <c r="Y1" i="14"/>
  <c r="Z1" i="14"/>
  <c r="AA1" i="14"/>
  <c r="AB1" i="14"/>
  <c r="AC1" i="14"/>
  <c r="AD1" i="14"/>
  <c r="AE1" i="14"/>
  <c r="AF1" i="14"/>
  <c r="AG1" i="14"/>
  <c r="AH1" i="14"/>
  <c r="AI1" i="14"/>
  <c r="AJ1" i="14"/>
  <c r="AK1" i="14"/>
  <c r="AL1" i="14"/>
  <c r="AM1" i="14"/>
  <c r="AN1" i="14"/>
  <c r="AO1" i="14"/>
  <c r="AP1" i="14"/>
  <c r="AQ1" i="14"/>
  <c r="AR1" i="14"/>
  <c r="AS1" i="14"/>
  <c r="AT1" i="14"/>
  <c r="AU1" i="14"/>
  <c r="AV1" i="14"/>
  <c r="AW1" i="14"/>
  <c r="AX1" i="14"/>
  <c r="AY1" i="14"/>
  <c r="AZ1" i="14"/>
  <c r="BA1" i="14"/>
  <c r="P1" i="14"/>
  <c r="Q1" i="11"/>
  <c r="R1" i="11"/>
  <c r="S1" i="11"/>
  <c r="T1" i="11"/>
  <c r="U1" i="11"/>
  <c r="V1" i="11"/>
  <c r="W1" i="11"/>
  <c r="X1" i="11"/>
  <c r="Y1" i="11"/>
  <c r="Z1" i="11"/>
  <c r="AA1" i="11"/>
  <c r="AB1" i="11"/>
  <c r="AC1" i="11"/>
  <c r="AD1" i="11"/>
  <c r="AE1" i="11"/>
  <c r="AF1" i="11"/>
  <c r="AG1" i="11"/>
  <c r="AH1" i="11"/>
  <c r="AI1" i="11"/>
  <c r="AJ1" i="11"/>
  <c r="AK1" i="11"/>
  <c r="AL1" i="11"/>
  <c r="AM1" i="11"/>
  <c r="AN1" i="11"/>
  <c r="AO1" i="11"/>
  <c r="AP1" i="11"/>
  <c r="AQ1" i="11"/>
  <c r="AR1" i="11"/>
  <c r="AS1" i="11"/>
  <c r="AT1" i="11"/>
  <c r="AU1" i="11"/>
  <c r="AV1" i="11"/>
  <c r="AW1" i="11"/>
  <c r="AX1" i="11"/>
  <c r="AY1" i="11"/>
  <c r="AZ1" i="11"/>
  <c r="BA1" i="11"/>
  <c r="P1" i="11"/>
  <c r="Q1" i="51"/>
  <c r="R1" i="51"/>
  <c r="S1" i="51"/>
  <c r="T1" i="51"/>
  <c r="U1" i="51"/>
  <c r="V1" i="51"/>
  <c r="W1" i="51"/>
  <c r="X1" i="51"/>
  <c r="Y1" i="51"/>
  <c r="Z1" i="51"/>
  <c r="AA1" i="51"/>
  <c r="AB1" i="51"/>
  <c r="AC1" i="51"/>
  <c r="AD1" i="51"/>
  <c r="AE1" i="51"/>
  <c r="AF1" i="51"/>
  <c r="AG1" i="51"/>
  <c r="AH1" i="51"/>
  <c r="AI1" i="51"/>
  <c r="AJ1" i="51"/>
  <c r="AK1" i="51"/>
  <c r="AL1" i="51"/>
  <c r="AM1" i="51"/>
  <c r="AN1" i="51"/>
  <c r="AO1" i="51"/>
  <c r="AP1" i="51"/>
  <c r="AQ1" i="51"/>
  <c r="AR1" i="51"/>
  <c r="AS1" i="51"/>
  <c r="AT1" i="51"/>
  <c r="AU1" i="51"/>
  <c r="AV1" i="51"/>
  <c r="AW1" i="51"/>
  <c r="AX1" i="51"/>
  <c r="AY1" i="51"/>
  <c r="AZ1" i="51"/>
  <c r="BA1" i="51"/>
  <c r="P1" i="51"/>
  <c r="Q1" i="13"/>
  <c r="R1" i="13"/>
  <c r="S1" i="13"/>
  <c r="T1" i="13"/>
  <c r="U1" i="13"/>
  <c r="V1" i="13"/>
  <c r="W1" i="13"/>
  <c r="X1" i="13"/>
  <c r="Y1" i="13"/>
  <c r="Z1" i="13"/>
  <c r="AA1" i="13"/>
  <c r="AB1" i="13"/>
  <c r="AC1" i="13"/>
  <c r="AD1" i="13"/>
  <c r="AE1" i="13"/>
  <c r="AF1" i="13"/>
  <c r="AG1" i="13"/>
  <c r="AH1" i="13"/>
  <c r="AI1" i="13"/>
  <c r="AJ1" i="13"/>
  <c r="AK1" i="13"/>
  <c r="AL1" i="13"/>
  <c r="AM1" i="13"/>
  <c r="AN1" i="13"/>
  <c r="AO1" i="13"/>
  <c r="AP1" i="13"/>
  <c r="AQ1" i="13"/>
  <c r="AR1" i="13"/>
  <c r="AS1" i="13"/>
  <c r="AT1" i="13"/>
  <c r="AU1" i="13"/>
  <c r="AV1" i="13"/>
  <c r="AW1" i="13"/>
  <c r="AX1" i="13"/>
  <c r="AY1" i="13"/>
  <c r="AZ1" i="13"/>
  <c r="BA1" i="13"/>
  <c r="P1" i="13"/>
  <c r="Q1" i="22"/>
  <c r="R1" i="22"/>
  <c r="S1" i="22"/>
  <c r="T1" i="22"/>
  <c r="U1" i="22"/>
  <c r="V1" i="22"/>
  <c r="W1" i="22"/>
  <c r="X1" i="22"/>
  <c r="Y1" i="22"/>
  <c r="Z1" i="22"/>
  <c r="AA1" i="22"/>
  <c r="AB1" i="22"/>
  <c r="AC1" i="22"/>
  <c r="AD1" i="22"/>
  <c r="AE1" i="22"/>
  <c r="AF1" i="22"/>
  <c r="AG1" i="22"/>
  <c r="AH1" i="22"/>
  <c r="AI1" i="22"/>
  <c r="AJ1" i="22"/>
  <c r="AK1" i="22"/>
  <c r="AL1" i="22"/>
  <c r="AM1" i="22"/>
  <c r="AN1" i="22"/>
  <c r="AO1" i="22"/>
  <c r="AP1" i="22"/>
  <c r="AQ1" i="22"/>
  <c r="AR1" i="22"/>
  <c r="AS1" i="22"/>
  <c r="AT1" i="22"/>
  <c r="AU1" i="22"/>
  <c r="AV1" i="22"/>
  <c r="AW1" i="22"/>
  <c r="AX1" i="22"/>
  <c r="AY1" i="22"/>
  <c r="AZ1" i="22"/>
  <c r="BA1" i="22"/>
  <c r="P1" i="22"/>
  <c r="Q1" i="34"/>
  <c r="R1" i="34"/>
  <c r="S1" i="34"/>
  <c r="T1" i="34"/>
  <c r="U1" i="34"/>
  <c r="V1" i="34"/>
  <c r="W1" i="34"/>
  <c r="X1" i="34"/>
  <c r="Y1" i="34"/>
  <c r="Z1" i="34"/>
  <c r="AA1" i="34"/>
  <c r="AB1" i="34"/>
  <c r="AC1" i="34"/>
  <c r="AD1" i="34"/>
  <c r="AE1" i="34"/>
  <c r="AF1" i="34"/>
  <c r="AG1" i="34"/>
  <c r="AH1" i="34"/>
  <c r="AI1" i="34"/>
  <c r="AJ1" i="34"/>
  <c r="AK1" i="34"/>
  <c r="AL1" i="34"/>
  <c r="AM1" i="34"/>
  <c r="AN1" i="34"/>
  <c r="AO1" i="34"/>
  <c r="AP1" i="34"/>
  <c r="AQ1" i="34"/>
  <c r="AR1" i="34"/>
  <c r="AS1" i="34"/>
  <c r="AT1" i="34"/>
  <c r="AU1" i="34"/>
  <c r="AV1" i="34"/>
  <c r="AW1" i="34"/>
  <c r="AX1" i="34"/>
  <c r="AY1" i="34"/>
  <c r="AZ1" i="34"/>
  <c r="BA1" i="34"/>
  <c r="P1" i="34"/>
  <c r="Q1" i="91"/>
  <c r="R1" i="91"/>
  <c r="S1" i="91"/>
  <c r="T1" i="91"/>
  <c r="U1" i="91"/>
  <c r="V1" i="91"/>
  <c r="W1" i="91"/>
  <c r="X1" i="91"/>
  <c r="Y1" i="91"/>
  <c r="Z1" i="91"/>
  <c r="AA1" i="91"/>
  <c r="AB1" i="91"/>
  <c r="AC1" i="91"/>
  <c r="AD1" i="91"/>
  <c r="AE1" i="91"/>
  <c r="AF1" i="91"/>
  <c r="AG1" i="91"/>
  <c r="AH1" i="91"/>
  <c r="AI1" i="91"/>
  <c r="AJ1" i="91"/>
  <c r="AK1" i="91"/>
  <c r="AL1" i="91"/>
  <c r="AM1" i="91"/>
  <c r="AN1" i="91"/>
  <c r="AO1" i="91"/>
  <c r="AP1" i="91"/>
  <c r="AQ1" i="91"/>
  <c r="AR1" i="91"/>
  <c r="AS1" i="91"/>
  <c r="AT1" i="91"/>
  <c r="AU1" i="91"/>
  <c r="AV1" i="91"/>
  <c r="AW1" i="91"/>
  <c r="AX1" i="91"/>
  <c r="AY1" i="91"/>
  <c r="AZ1" i="91"/>
  <c r="BA1" i="91"/>
  <c r="P1" i="91"/>
  <c r="Q1" i="56"/>
  <c r="R1" i="56"/>
  <c r="S1" i="56"/>
  <c r="T1" i="56"/>
  <c r="U1" i="56"/>
  <c r="V1" i="56"/>
  <c r="W1" i="56"/>
  <c r="X1" i="56"/>
  <c r="Y1" i="56"/>
  <c r="Z1" i="56"/>
  <c r="AA1" i="56"/>
  <c r="AB1" i="56"/>
  <c r="AC1" i="56"/>
  <c r="AD1" i="56"/>
  <c r="AE1" i="56"/>
  <c r="AF1" i="56"/>
  <c r="AG1" i="56"/>
  <c r="AH1" i="56"/>
  <c r="AI1" i="56"/>
  <c r="AJ1" i="56"/>
  <c r="AK1" i="56"/>
  <c r="AL1" i="56"/>
  <c r="AM1" i="56"/>
  <c r="AN1" i="56"/>
  <c r="AO1" i="56"/>
  <c r="AP1" i="56"/>
  <c r="AQ1" i="56"/>
  <c r="AR1" i="56"/>
  <c r="AS1" i="56"/>
  <c r="AT1" i="56"/>
  <c r="AU1" i="56"/>
  <c r="AV1" i="56"/>
  <c r="AW1" i="56"/>
  <c r="AX1" i="56"/>
  <c r="AY1" i="56"/>
  <c r="AZ1" i="56"/>
  <c r="BA1" i="56"/>
  <c r="P1" i="56"/>
  <c r="Q1" i="55"/>
  <c r="R1" i="55"/>
  <c r="S1" i="55"/>
  <c r="T1" i="55"/>
  <c r="U1" i="55"/>
  <c r="V1" i="55"/>
  <c r="W1" i="55"/>
  <c r="X1" i="55"/>
  <c r="Y1" i="55"/>
  <c r="Z1" i="55"/>
  <c r="AA1" i="55"/>
  <c r="AB1" i="55"/>
  <c r="AC1" i="55"/>
  <c r="AD1" i="55"/>
  <c r="AE1" i="55"/>
  <c r="AF1" i="55"/>
  <c r="AG1" i="55"/>
  <c r="AH1" i="55"/>
  <c r="AI1" i="55"/>
  <c r="AJ1" i="55"/>
  <c r="AK1" i="55"/>
  <c r="AL1" i="55"/>
  <c r="AM1" i="55"/>
  <c r="AN1" i="55"/>
  <c r="AO1" i="55"/>
  <c r="AP1" i="55"/>
  <c r="AQ1" i="55"/>
  <c r="AR1" i="55"/>
  <c r="AS1" i="55"/>
  <c r="AT1" i="55"/>
  <c r="AU1" i="55"/>
  <c r="AV1" i="55"/>
  <c r="AW1" i="55"/>
  <c r="AX1" i="55"/>
  <c r="AY1" i="55"/>
  <c r="AZ1" i="55"/>
  <c r="BA1" i="55"/>
  <c r="P1" i="55"/>
  <c r="Q1" i="19"/>
  <c r="R1" i="19"/>
  <c r="S1" i="19"/>
  <c r="T1" i="19"/>
  <c r="U1" i="19"/>
  <c r="V1" i="19"/>
  <c r="W1" i="19"/>
  <c r="X1" i="19"/>
  <c r="Y1" i="19"/>
  <c r="Z1" i="19"/>
  <c r="AA1" i="19"/>
  <c r="AB1" i="19"/>
  <c r="AC1" i="19"/>
  <c r="AD1" i="19"/>
  <c r="AE1" i="19"/>
  <c r="AF1" i="19"/>
  <c r="AG1" i="19"/>
  <c r="AH1" i="19"/>
  <c r="AI1" i="19"/>
  <c r="AJ1" i="19"/>
  <c r="AK1" i="19"/>
  <c r="AL1" i="19"/>
  <c r="AM1" i="19"/>
  <c r="AN1" i="19"/>
  <c r="AO1" i="19"/>
  <c r="AP1" i="19"/>
  <c r="AQ1" i="19"/>
  <c r="AR1" i="19"/>
  <c r="AS1" i="19"/>
  <c r="AT1" i="19"/>
  <c r="AU1" i="19"/>
  <c r="AV1" i="19"/>
  <c r="AW1" i="19"/>
  <c r="AX1" i="19"/>
  <c r="AY1" i="19"/>
  <c r="AZ1" i="19"/>
  <c r="BA1" i="19"/>
  <c r="P1" i="19"/>
  <c r="D20" i="19"/>
  <c r="D50" i="69"/>
  <c r="D20" i="69"/>
  <c r="D8" i="75" l="1"/>
  <c r="A8" i="75"/>
  <c r="D8" i="47"/>
  <c r="D8" i="29"/>
  <c r="A8" i="29"/>
  <c r="D3" i="75" l="1"/>
  <c r="A3" i="75"/>
  <c r="D3" i="47"/>
  <c r="A3" i="47"/>
  <c r="D3" i="29"/>
  <c r="A3" i="29"/>
  <c r="D277" i="91" l="1"/>
  <c r="D272" i="91"/>
  <c r="D267" i="91"/>
  <c r="D262" i="91"/>
  <c r="D257" i="91"/>
  <c r="D252" i="91"/>
  <c r="D35" i="91"/>
  <c r="D34" i="91"/>
  <c r="D33" i="91"/>
  <c r="A35" i="91"/>
  <c r="A33" i="91"/>
  <c r="A34" i="91"/>
  <c r="D32" i="91" l="1"/>
  <c r="A32" i="91"/>
  <c r="D567" i="91"/>
  <c r="D563" i="91"/>
  <c r="D542" i="91"/>
  <c r="D536" i="91"/>
  <c r="D517" i="91"/>
  <c r="D511" i="91"/>
  <c r="D499" i="91"/>
  <c r="D493" i="91"/>
  <c r="D481" i="91"/>
  <c r="D475" i="91"/>
  <c r="D469" i="91"/>
  <c r="D463" i="91"/>
  <c r="D451" i="91"/>
  <c r="D445" i="91"/>
  <c r="D347" i="91"/>
  <c r="D342" i="91"/>
  <c r="D337" i="91"/>
  <c r="D332" i="91"/>
  <c r="D297" i="91"/>
  <c r="D292" i="91"/>
  <c r="D287" i="91"/>
  <c r="D282" i="91"/>
  <c r="D197" i="91"/>
  <c r="D192" i="91"/>
  <c r="D187" i="91"/>
  <c r="D182" i="91"/>
  <c r="D36" i="91"/>
  <c r="A36" i="91"/>
  <c r="D31" i="91"/>
  <c r="A31" i="91"/>
  <c r="D30" i="91"/>
  <c r="A30" i="91"/>
  <c r="D29" i="91"/>
  <c r="A29" i="91"/>
  <c r="D28" i="91"/>
  <c r="A28" i="91"/>
  <c r="D27" i="91"/>
  <c r="A27" i="91"/>
  <c r="D26" i="91"/>
  <c r="A26" i="91"/>
  <c r="D25" i="91"/>
  <c r="A25" i="91"/>
  <c r="D24" i="91"/>
  <c r="A24" i="91"/>
  <c r="A22" i="91"/>
  <c r="D21" i="91"/>
  <c r="A21" i="91"/>
  <c r="D20" i="91"/>
  <c r="A20" i="91"/>
  <c r="R19" i="91"/>
  <c r="Q19" i="91"/>
  <c r="P19" i="91"/>
  <c r="R18" i="91"/>
  <c r="Q18" i="91"/>
  <c r="P18" i="91"/>
  <c r="R17" i="91"/>
  <c r="Q17" i="91"/>
  <c r="P17" i="91"/>
  <c r="R16" i="91"/>
  <c r="Q16" i="91"/>
  <c r="P16" i="91"/>
  <c r="R15" i="91"/>
  <c r="Q15" i="91"/>
  <c r="P15" i="91"/>
  <c r="R14" i="91"/>
  <c r="Q14" i="91"/>
  <c r="P14" i="91"/>
  <c r="R13" i="91"/>
  <c r="Q13" i="91"/>
  <c r="P13" i="91"/>
  <c r="R12" i="91"/>
  <c r="Q12" i="91"/>
  <c r="P12" i="91"/>
  <c r="R11" i="91"/>
  <c r="D363" i="91" s="1"/>
  <c r="Q11" i="91"/>
  <c r="D361" i="91" s="1"/>
  <c r="P11" i="91"/>
  <c r="R10" i="91"/>
  <c r="Q10" i="91"/>
  <c r="P10" i="91"/>
  <c r="R9" i="91"/>
  <c r="Q9" i="91"/>
  <c r="P9" i="91"/>
  <c r="R8" i="91"/>
  <c r="Q8" i="91"/>
  <c r="P8" i="91"/>
  <c r="R7" i="91"/>
  <c r="Q7" i="91"/>
  <c r="P7" i="91"/>
  <c r="R6" i="91"/>
  <c r="Q6" i="91"/>
  <c r="P6" i="91"/>
  <c r="R5" i="91"/>
  <c r="Q5" i="91"/>
  <c r="P5" i="91"/>
  <c r="R4" i="91"/>
  <c r="Q4" i="91"/>
  <c r="P4" i="91"/>
  <c r="D131" i="91" l="1"/>
  <c r="D141" i="91"/>
  <c r="D133" i="91"/>
  <c r="D143" i="91"/>
  <c r="D423" i="91"/>
  <c r="D433" i="91"/>
  <c r="D425" i="91"/>
  <c r="D435" i="91"/>
  <c r="D403" i="91"/>
  <c r="D373" i="91"/>
  <c r="D415" i="91"/>
  <c r="D375" i="91"/>
  <c r="D323" i="91"/>
  <c r="D273" i="91"/>
  <c r="D263" i="91"/>
  <c r="D253" i="91"/>
  <c r="D241" i="91"/>
  <c r="D221" i="91"/>
  <c r="D231" i="91"/>
  <c r="D211" i="91"/>
  <c r="D151" i="91"/>
  <c r="D201" i="91"/>
  <c r="D191" i="91"/>
  <c r="D171" i="91"/>
  <c r="D181" i="91"/>
  <c r="D161" i="91"/>
  <c r="D203" i="91"/>
  <c r="D183" i="91"/>
  <c r="D163" i="91"/>
  <c r="D193" i="91"/>
  <c r="D173" i="91"/>
  <c r="D233" i="91"/>
  <c r="D213" i="91"/>
  <c r="D153" i="91"/>
  <c r="D243" i="91"/>
  <c r="D223" i="91"/>
  <c r="D351" i="91"/>
  <c r="D271" i="91"/>
  <c r="D261" i="91"/>
  <c r="D251" i="91"/>
  <c r="D51" i="91"/>
  <c r="D41" i="91"/>
  <c r="D61" i="91"/>
  <c r="D43" i="91"/>
  <c r="D53" i="91"/>
  <c r="D63" i="91"/>
  <c r="D101" i="91"/>
  <c r="D103" i="91"/>
  <c r="D395" i="91"/>
  <c r="D343" i="91"/>
  <c r="D413" i="91"/>
  <c r="D91" i="91"/>
  <c r="D283" i="91"/>
  <c r="D393" i="91"/>
  <c r="D281" i="91"/>
  <c r="D341" i="91"/>
  <c r="D121" i="91"/>
  <c r="D123" i="91"/>
  <c r="D303" i="91"/>
  <c r="D331" i="91"/>
  <c r="D333" i="91"/>
  <c r="D383" i="91"/>
  <c r="D385" i="91"/>
  <c r="D93" i="91"/>
  <c r="D321" i="91"/>
  <c r="D73" i="91"/>
  <c r="D83" i="91"/>
  <c r="D111" i="91"/>
  <c r="D113" i="91"/>
  <c r="D301" i="91"/>
  <c r="D313" i="91"/>
  <c r="D353" i="91"/>
  <c r="D405" i="91"/>
  <c r="D71" i="91"/>
  <c r="D81" i="91"/>
  <c r="D291" i="91"/>
  <c r="D293" i="91"/>
  <c r="D311" i="91"/>
  <c r="P13" i="76" l="1"/>
  <c r="Q13" i="76"/>
  <c r="R13" i="76"/>
  <c r="P14" i="76"/>
  <c r="Q14" i="76"/>
  <c r="R14" i="76"/>
  <c r="P15" i="76"/>
  <c r="Q15" i="76"/>
  <c r="R15" i="76"/>
  <c r="P16" i="76"/>
  <c r="Q16" i="76"/>
  <c r="R16" i="76"/>
  <c r="P17" i="76"/>
  <c r="Q17" i="76"/>
  <c r="R17" i="76"/>
  <c r="P18" i="76"/>
  <c r="Q18" i="76"/>
  <c r="R18" i="76"/>
  <c r="P19" i="76"/>
  <c r="Q19" i="76"/>
  <c r="R19" i="76"/>
  <c r="P13" i="49"/>
  <c r="Q13" i="49"/>
  <c r="R13" i="49"/>
  <c r="P14" i="49"/>
  <c r="Q14" i="49"/>
  <c r="R14" i="49"/>
  <c r="P15" i="49"/>
  <c r="Q15" i="49"/>
  <c r="R15" i="49"/>
  <c r="P16" i="49"/>
  <c r="Q16" i="49"/>
  <c r="R16" i="49"/>
  <c r="P17" i="49"/>
  <c r="Q17" i="49"/>
  <c r="R17" i="49"/>
  <c r="P18" i="49"/>
  <c r="Q18" i="49"/>
  <c r="R18" i="49"/>
  <c r="P19" i="49"/>
  <c r="Q19" i="49"/>
  <c r="R19" i="49"/>
  <c r="P13" i="41"/>
  <c r="Q13" i="41"/>
  <c r="R13" i="41"/>
  <c r="P14" i="41"/>
  <c r="Q14" i="41"/>
  <c r="R14" i="41"/>
  <c r="P15" i="41"/>
  <c r="Q15" i="41"/>
  <c r="R15" i="41"/>
  <c r="P16" i="41"/>
  <c r="Q16" i="41"/>
  <c r="R16" i="41"/>
  <c r="P17" i="41"/>
  <c r="Q17" i="41"/>
  <c r="R17" i="41"/>
  <c r="P18" i="41"/>
  <c r="Q18" i="41"/>
  <c r="R18" i="41"/>
  <c r="P19" i="41"/>
  <c r="Q19" i="41"/>
  <c r="R19" i="41"/>
  <c r="P13" i="39"/>
  <c r="Q13" i="39"/>
  <c r="R13" i="39"/>
  <c r="P14" i="39"/>
  <c r="Q14" i="39"/>
  <c r="R14" i="39"/>
  <c r="P15" i="39"/>
  <c r="Q15" i="39"/>
  <c r="R15" i="39"/>
  <c r="P16" i="39"/>
  <c r="Q16" i="39"/>
  <c r="R16" i="39"/>
  <c r="P17" i="39"/>
  <c r="Q17" i="39"/>
  <c r="R17" i="39"/>
  <c r="P18" i="39"/>
  <c r="Q18" i="39"/>
  <c r="R18" i="39"/>
  <c r="P19" i="39"/>
  <c r="Q19" i="39"/>
  <c r="R19" i="39"/>
  <c r="P13" i="53"/>
  <c r="Q13" i="53"/>
  <c r="R13" i="53"/>
  <c r="P14" i="53"/>
  <c r="Q14" i="53"/>
  <c r="R14" i="53"/>
  <c r="P15" i="53"/>
  <c r="Q15" i="53"/>
  <c r="R15" i="53"/>
  <c r="P16" i="53"/>
  <c r="Q16" i="53"/>
  <c r="R16" i="53"/>
  <c r="P17" i="53"/>
  <c r="Q17" i="53"/>
  <c r="R17" i="53"/>
  <c r="P18" i="53"/>
  <c r="Q18" i="53"/>
  <c r="R18" i="53"/>
  <c r="P19" i="53"/>
  <c r="Q19" i="53"/>
  <c r="R19" i="53"/>
  <c r="P13" i="69"/>
  <c r="Q13" i="69"/>
  <c r="R13" i="69"/>
  <c r="P14" i="69"/>
  <c r="Q14" i="69"/>
  <c r="R14" i="69"/>
  <c r="P15" i="69"/>
  <c r="Q15" i="69"/>
  <c r="R15" i="69"/>
  <c r="P16" i="69"/>
  <c r="Q16" i="69"/>
  <c r="R16" i="69"/>
  <c r="P17" i="69"/>
  <c r="Q17" i="69"/>
  <c r="R17" i="69"/>
  <c r="P18" i="69"/>
  <c r="Q18" i="69"/>
  <c r="R18" i="69"/>
  <c r="P19" i="69"/>
  <c r="Q19" i="69"/>
  <c r="R19" i="69"/>
  <c r="P13" i="18"/>
  <c r="Q13" i="18"/>
  <c r="R13" i="18"/>
  <c r="P14" i="18"/>
  <c r="Q14" i="18"/>
  <c r="R14" i="18"/>
  <c r="P15" i="18"/>
  <c r="Q15" i="18"/>
  <c r="R15" i="18"/>
  <c r="P16" i="18"/>
  <c r="Q16" i="18"/>
  <c r="R16" i="18"/>
  <c r="P17" i="18"/>
  <c r="Q17" i="18"/>
  <c r="R17" i="18"/>
  <c r="P18" i="18"/>
  <c r="Q18" i="18"/>
  <c r="R18" i="18"/>
  <c r="P19" i="18"/>
  <c r="Q19" i="18"/>
  <c r="R19" i="18"/>
  <c r="P13" i="62"/>
  <c r="Q13" i="62"/>
  <c r="R13" i="62"/>
  <c r="P14" i="62"/>
  <c r="Q14" i="62"/>
  <c r="R14" i="62"/>
  <c r="P15" i="62"/>
  <c r="Q15" i="62"/>
  <c r="R15" i="62"/>
  <c r="P16" i="62"/>
  <c r="Q16" i="62"/>
  <c r="R16" i="62"/>
  <c r="P17" i="62"/>
  <c r="Q17" i="62"/>
  <c r="R17" i="62"/>
  <c r="P18" i="62"/>
  <c r="Q18" i="62"/>
  <c r="R18" i="62"/>
  <c r="P19" i="62"/>
  <c r="Q19" i="62"/>
  <c r="R19" i="62"/>
  <c r="P13" i="64"/>
  <c r="Q13" i="64"/>
  <c r="R13" i="64"/>
  <c r="P14" i="64"/>
  <c r="Q14" i="64"/>
  <c r="R14" i="64"/>
  <c r="P15" i="64"/>
  <c r="Q15" i="64"/>
  <c r="R15" i="64"/>
  <c r="P16" i="64"/>
  <c r="Q16" i="64"/>
  <c r="R16" i="64"/>
  <c r="P17" i="64"/>
  <c r="Q17" i="64"/>
  <c r="R17" i="64"/>
  <c r="P18" i="64"/>
  <c r="Q18" i="64"/>
  <c r="R18" i="64"/>
  <c r="P19" i="64"/>
  <c r="Q19" i="64"/>
  <c r="R19" i="64"/>
  <c r="P13" i="63"/>
  <c r="Q13" i="63"/>
  <c r="R13" i="63"/>
  <c r="P14" i="63"/>
  <c r="Q14" i="63"/>
  <c r="R14" i="63"/>
  <c r="P15" i="63"/>
  <c r="Q15" i="63"/>
  <c r="R15" i="63"/>
  <c r="P16" i="63"/>
  <c r="Q16" i="63"/>
  <c r="R16" i="63"/>
  <c r="P17" i="63"/>
  <c r="Q17" i="63"/>
  <c r="R17" i="63"/>
  <c r="P18" i="63"/>
  <c r="Q18" i="63"/>
  <c r="R18" i="63"/>
  <c r="P19" i="63"/>
  <c r="Q19" i="63"/>
  <c r="R19" i="63"/>
  <c r="P13" i="15"/>
  <c r="Q13" i="15"/>
  <c r="R13" i="15"/>
  <c r="P14" i="15"/>
  <c r="Q14" i="15"/>
  <c r="R14" i="15"/>
  <c r="P15" i="15"/>
  <c r="Q15" i="15"/>
  <c r="R15" i="15"/>
  <c r="P16" i="15"/>
  <c r="Q16" i="15"/>
  <c r="R16" i="15"/>
  <c r="P17" i="15"/>
  <c r="Q17" i="15"/>
  <c r="R17" i="15"/>
  <c r="P18" i="15"/>
  <c r="Q18" i="15"/>
  <c r="R18" i="15"/>
  <c r="P19" i="15"/>
  <c r="Q19" i="15"/>
  <c r="R19" i="15"/>
  <c r="P13" i="14"/>
  <c r="Q13" i="14"/>
  <c r="R13" i="14"/>
  <c r="P14" i="14"/>
  <c r="Q14" i="14"/>
  <c r="R14" i="14"/>
  <c r="P15" i="14"/>
  <c r="Q15" i="14"/>
  <c r="R15" i="14"/>
  <c r="P16" i="14"/>
  <c r="Q16" i="14"/>
  <c r="R16" i="14"/>
  <c r="P17" i="14"/>
  <c r="Q17" i="14"/>
  <c r="R17" i="14"/>
  <c r="P18" i="14"/>
  <c r="Q18" i="14"/>
  <c r="R18" i="14"/>
  <c r="P19" i="14"/>
  <c r="Q19" i="14"/>
  <c r="R19" i="14"/>
  <c r="P13" i="11"/>
  <c r="Q13" i="11"/>
  <c r="R13" i="11"/>
  <c r="P14" i="11"/>
  <c r="Q14" i="11"/>
  <c r="R14" i="11"/>
  <c r="P15" i="11"/>
  <c r="Q15" i="11"/>
  <c r="R15" i="11"/>
  <c r="P16" i="11"/>
  <c r="Q16" i="11"/>
  <c r="R16" i="11"/>
  <c r="P17" i="11"/>
  <c r="Q17" i="11"/>
  <c r="R17" i="11"/>
  <c r="P18" i="11"/>
  <c r="Q18" i="11"/>
  <c r="R18" i="11"/>
  <c r="P19" i="11"/>
  <c r="Q19" i="11"/>
  <c r="R19" i="11"/>
  <c r="P13" i="51"/>
  <c r="Q13" i="51"/>
  <c r="R13" i="51"/>
  <c r="P14" i="51"/>
  <c r="Q14" i="51"/>
  <c r="R14" i="51"/>
  <c r="P15" i="51"/>
  <c r="Q15" i="51"/>
  <c r="R15" i="51"/>
  <c r="P16" i="51"/>
  <c r="Q16" i="51"/>
  <c r="R16" i="51"/>
  <c r="P17" i="51"/>
  <c r="Q17" i="51"/>
  <c r="R17" i="51"/>
  <c r="P18" i="51"/>
  <c r="Q18" i="51"/>
  <c r="R18" i="51"/>
  <c r="P19" i="51"/>
  <c r="Q19" i="51"/>
  <c r="R19" i="51"/>
  <c r="P13" i="13"/>
  <c r="Q13" i="13"/>
  <c r="R13" i="13"/>
  <c r="P14" i="13"/>
  <c r="Q14" i="13"/>
  <c r="R14" i="13"/>
  <c r="P15" i="13"/>
  <c r="Q15" i="13"/>
  <c r="R15" i="13"/>
  <c r="P16" i="13"/>
  <c r="Q16" i="13"/>
  <c r="R16" i="13"/>
  <c r="P17" i="13"/>
  <c r="Q17" i="13"/>
  <c r="R17" i="13"/>
  <c r="P18" i="13"/>
  <c r="Q18" i="13"/>
  <c r="R18" i="13"/>
  <c r="P19" i="13"/>
  <c r="Q19" i="13"/>
  <c r="R19" i="13"/>
  <c r="P13" i="22"/>
  <c r="Q13" i="22"/>
  <c r="R13" i="22"/>
  <c r="P14" i="22"/>
  <c r="Q14" i="22"/>
  <c r="R14" i="22"/>
  <c r="P15" i="22"/>
  <c r="Q15" i="22"/>
  <c r="R15" i="22"/>
  <c r="P16" i="22"/>
  <c r="Q16" i="22"/>
  <c r="R16" i="22"/>
  <c r="P17" i="22"/>
  <c r="Q17" i="22"/>
  <c r="R17" i="22"/>
  <c r="P18" i="22"/>
  <c r="Q18" i="22"/>
  <c r="R18" i="22"/>
  <c r="P19" i="22"/>
  <c r="Q19" i="22"/>
  <c r="R19" i="22"/>
  <c r="P13" i="34"/>
  <c r="Q13" i="34"/>
  <c r="R13" i="34"/>
  <c r="P14" i="34"/>
  <c r="Q14" i="34"/>
  <c r="R14" i="34"/>
  <c r="P15" i="34"/>
  <c r="Q15" i="34"/>
  <c r="R15" i="34"/>
  <c r="P16" i="34"/>
  <c r="Q16" i="34"/>
  <c r="R16" i="34"/>
  <c r="P17" i="34"/>
  <c r="Q17" i="34"/>
  <c r="R17" i="34"/>
  <c r="P18" i="34"/>
  <c r="Q18" i="34"/>
  <c r="R18" i="34"/>
  <c r="P19" i="34"/>
  <c r="Q19" i="34"/>
  <c r="R19" i="34"/>
  <c r="P13" i="56"/>
  <c r="Q13" i="56"/>
  <c r="R13" i="56"/>
  <c r="P14" i="56"/>
  <c r="Q14" i="56"/>
  <c r="R14" i="56"/>
  <c r="P15" i="56"/>
  <c r="Q15" i="56"/>
  <c r="R15" i="56"/>
  <c r="P16" i="56"/>
  <c r="Q16" i="56"/>
  <c r="R16" i="56"/>
  <c r="P17" i="56"/>
  <c r="Q17" i="56"/>
  <c r="R17" i="56"/>
  <c r="P18" i="56"/>
  <c r="Q18" i="56"/>
  <c r="R18" i="56"/>
  <c r="P19" i="56"/>
  <c r="Q19" i="56"/>
  <c r="R19" i="56"/>
  <c r="P13" i="55"/>
  <c r="Q13" i="55"/>
  <c r="R13" i="55"/>
  <c r="P14" i="55"/>
  <c r="Q14" i="55"/>
  <c r="R14" i="55"/>
  <c r="P15" i="55"/>
  <c r="Q15" i="55"/>
  <c r="R15" i="55"/>
  <c r="P16" i="55"/>
  <c r="Q16" i="55"/>
  <c r="R16" i="55"/>
  <c r="P17" i="55"/>
  <c r="Q17" i="55"/>
  <c r="R17" i="55"/>
  <c r="P18" i="55"/>
  <c r="Q18" i="55"/>
  <c r="R18" i="55"/>
  <c r="P19" i="55"/>
  <c r="Q19" i="55"/>
  <c r="R19" i="55"/>
  <c r="P13" i="19"/>
  <c r="Q13" i="19"/>
  <c r="R13" i="19"/>
  <c r="P14" i="19"/>
  <c r="Q14" i="19"/>
  <c r="R14" i="19"/>
  <c r="P15" i="19"/>
  <c r="Q15" i="19"/>
  <c r="R15" i="19"/>
  <c r="P16" i="19"/>
  <c r="Q16" i="19"/>
  <c r="R16" i="19"/>
  <c r="P17" i="19"/>
  <c r="Q17" i="19"/>
  <c r="R17" i="19"/>
  <c r="P18" i="19"/>
  <c r="Q18" i="19"/>
  <c r="R18" i="19"/>
  <c r="P19" i="19"/>
  <c r="Q19" i="19"/>
  <c r="R19" i="19"/>
  <c r="P13" i="3"/>
  <c r="Q13" i="3"/>
  <c r="R13" i="3"/>
  <c r="P14" i="3"/>
  <c r="Q14" i="3"/>
  <c r="R14" i="3"/>
  <c r="P15" i="3"/>
  <c r="Q15" i="3"/>
  <c r="R15" i="3"/>
  <c r="P16" i="3"/>
  <c r="Q16" i="3"/>
  <c r="R16" i="3"/>
  <c r="P17" i="3"/>
  <c r="Q17" i="3"/>
  <c r="R17" i="3"/>
  <c r="P18" i="3"/>
  <c r="Q18" i="3"/>
  <c r="R18" i="3"/>
  <c r="P19" i="3"/>
  <c r="Q19" i="3"/>
  <c r="R19" i="3"/>
  <c r="D187" i="89" l="1"/>
  <c r="D182" i="89"/>
  <c r="D134" i="89"/>
  <c r="D130" i="89"/>
  <c r="D24" i="89"/>
  <c r="A24" i="89"/>
  <c r="R19" i="35"/>
  <c r="Q19" i="35"/>
  <c r="P19" i="35"/>
  <c r="R18" i="35"/>
  <c r="Q18" i="35"/>
  <c r="P18" i="35"/>
  <c r="R17" i="35"/>
  <c r="Q17" i="35"/>
  <c r="P17" i="35"/>
  <c r="R16" i="35"/>
  <c r="Q16" i="35"/>
  <c r="P16" i="35"/>
  <c r="R15" i="35"/>
  <c r="Q15" i="35"/>
  <c r="P15" i="35"/>
  <c r="R14" i="35"/>
  <c r="Q14" i="35"/>
  <c r="P14" i="35"/>
  <c r="R13" i="35"/>
  <c r="Q13" i="35"/>
  <c r="P13" i="35"/>
  <c r="R12" i="35"/>
  <c r="Q12" i="35"/>
  <c r="P12" i="35"/>
  <c r="R11" i="35"/>
  <c r="Q11" i="35"/>
  <c r="P11" i="35"/>
  <c r="R10" i="35"/>
  <c r="Q10" i="35"/>
  <c r="P10" i="35"/>
  <c r="R9" i="35"/>
  <c r="Q9" i="35"/>
  <c r="P9" i="35"/>
  <c r="R8" i="35"/>
  <c r="Q8" i="35"/>
  <c r="P8" i="35"/>
  <c r="R7" i="35"/>
  <c r="Q7" i="35"/>
  <c r="P7" i="35"/>
  <c r="R6" i="35"/>
  <c r="Q6" i="35"/>
  <c r="P6" i="35"/>
  <c r="R5" i="35"/>
  <c r="Q5" i="35"/>
  <c r="P5" i="35"/>
  <c r="R4" i="35"/>
  <c r="Q4" i="35"/>
  <c r="P4" i="35"/>
  <c r="A22" i="89"/>
  <c r="D21" i="89"/>
  <c r="A21" i="89"/>
  <c r="D20" i="89"/>
  <c r="A20" i="89"/>
  <c r="R19" i="89"/>
  <c r="D323" i="89" s="1"/>
  <c r="Q19" i="89"/>
  <c r="D321" i="89" s="1"/>
  <c r="P19" i="89"/>
  <c r="R18" i="89"/>
  <c r="Q18" i="89"/>
  <c r="P18" i="89"/>
  <c r="R17" i="89"/>
  <c r="Q17" i="89"/>
  <c r="P17" i="89"/>
  <c r="R16" i="89"/>
  <c r="Q16" i="89"/>
  <c r="P16" i="89"/>
  <c r="R15" i="89"/>
  <c r="Q15" i="89"/>
  <c r="P15" i="89"/>
  <c r="R14" i="89"/>
  <c r="D173" i="89" s="1"/>
  <c r="Q14" i="89"/>
  <c r="D171" i="89" s="1"/>
  <c r="P14" i="89"/>
  <c r="R13" i="89"/>
  <c r="Q13" i="89"/>
  <c r="P13" i="89"/>
  <c r="R12" i="89"/>
  <c r="Q12" i="89"/>
  <c r="P12" i="89"/>
  <c r="R11" i="89"/>
  <c r="Q11" i="89"/>
  <c r="P11" i="89"/>
  <c r="R10" i="89"/>
  <c r="Q10" i="89"/>
  <c r="P10" i="89"/>
  <c r="R9" i="89"/>
  <c r="Q9" i="89"/>
  <c r="P9" i="89"/>
  <c r="R8" i="89"/>
  <c r="D160" i="89" s="1"/>
  <c r="Q8" i="89"/>
  <c r="D158" i="89" s="1"/>
  <c r="P8" i="89"/>
  <c r="R7" i="89"/>
  <c r="D156" i="89" s="1"/>
  <c r="Q7" i="89"/>
  <c r="D157" i="89" s="1"/>
  <c r="P7" i="89"/>
  <c r="R6" i="89"/>
  <c r="Q6" i="89"/>
  <c r="P6" i="89"/>
  <c r="R5" i="89"/>
  <c r="Q5" i="89"/>
  <c r="P5" i="89"/>
  <c r="R4" i="89"/>
  <c r="Q4" i="89"/>
  <c r="P4" i="89"/>
  <c r="D333" i="89" l="1"/>
  <c r="D331" i="89"/>
  <c r="D68" i="89"/>
  <c r="D69" i="89"/>
  <c r="D80" i="89"/>
  <c r="D78" i="89"/>
  <c r="D253" i="89"/>
  <c r="D233" i="89"/>
  <c r="D223" i="89"/>
  <c r="D243" i="89"/>
  <c r="D241" i="89"/>
  <c r="D221" i="89"/>
  <c r="D231" i="89"/>
  <c r="D251" i="89"/>
  <c r="D58" i="89"/>
  <c r="D28" i="89"/>
  <c r="D48" i="89"/>
  <c r="D38" i="89"/>
  <c r="D281" i="89"/>
  <c r="D291" i="89"/>
  <c r="D301" i="89"/>
  <c r="D271" i="89"/>
  <c r="D261" i="89"/>
  <c r="D311" i="89"/>
  <c r="D211" i="89"/>
  <c r="D50" i="89"/>
  <c r="D60" i="89"/>
  <c r="D30" i="89"/>
  <c r="D39" i="89"/>
  <c r="D313" i="89"/>
  <c r="D293" i="89"/>
  <c r="D213" i="89"/>
  <c r="D273" i="89"/>
  <c r="D263" i="89"/>
  <c r="D283" i="89"/>
  <c r="D303" i="89"/>
  <c r="D61" i="35"/>
  <c r="D52" i="35"/>
  <c r="D22" i="35"/>
  <c r="D42" i="35"/>
  <c r="D32" i="35"/>
  <c r="D80" i="35"/>
  <c r="D70" i="35"/>
  <c r="D72" i="35"/>
  <c r="D82" i="35"/>
  <c r="D60" i="35"/>
  <c r="D20" i="35"/>
  <c r="D40" i="35"/>
  <c r="D50" i="35"/>
  <c r="D30" i="35"/>
  <c r="D108" i="89"/>
  <c r="D161" i="89"/>
  <c r="D110" i="89"/>
  <c r="D163" i="89"/>
  <c r="D98" i="89"/>
  <c r="D88" i="89"/>
  <c r="D100" i="89"/>
  <c r="D90" i="89"/>
  <c r="D183" i="89"/>
  <c r="D203" i="89"/>
  <c r="D193" i="89"/>
  <c r="D201" i="89"/>
  <c r="D191" i="89"/>
  <c r="D129" i="89"/>
  <c r="D138" i="89"/>
  <c r="D181" i="89"/>
  <c r="D118" i="89"/>
  <c r="D128" i="89"/>
  <c r="D139" i="89"/>
  <c r="D120" i="89"/>
  <c r="D28" i="82" l="1"/>
  <c r="A28" i="82"/>
  <c r="D27" i="82"/>
  <c r="D26" i="82"/>
  <c r="D25" i="82"/>
  <c r="D24" i="82"/>
  <c r="D24" i="81"/>
  <c r="D30" i="73"/>
  <c r="D29" i="73"/>
  <c r="D28" i="73"/>
  <c r="A29" i="73"/>
  <c r="A30" i="73"/>
  <c r="A27" i="82"/>
  <c r="A26" i="82"/>
  <c r="A25" i="82"/>
  <c r="A24" i="82"/>
  <c r="A22" i="82"/>
  <c r="D21" i="82"/>
  <c r="A21" i="82"/>
  <c r="D20" i="82"/>
  <c r="A20" i="82"/>
  <c r="R19" i="82"/>
  <c r="Q19" i="82"/>
  <c r="P19" i="82"/>
  <c r="R18" i="82"/>
  <c r="Q18" i="82"/>
  <c r="P18" i="82"/>
  <c r="R17" i="82"/>
  <c r="Q17" i="82"/>
  <c r="P17" i="82"/>
  <c r="R16" i="82"/>
  <c r="Q16" i="82"/>
  <c r="P16" i="82"/>
  <c r="R15" i="82"/>
  <c r="Q15" i="82"/>
  <c r="P15" i="82"/>
  <c r="R14" i="82"/>
  <c r="Q14" i="82"/>
  <c r="P14" i="82"/>
  <c r="R13" i="82"/>
  <c r="Q13" i="82"/>
  <c r="P13" i="82"/>
  <c r="R12" i="82"/>
  <c r="Q12" i="82"/>
  <c r="P12" i="82"/>
  <c r="R11" i="82"/>
  <c r="D163" i="82" s="1"/>
  <c r="Q11" i="82"/>
  <c r="D161" i="82" s="1"/>
  <c r="P11" i="82"/>
  <c r="R10" i="82"/>
  <c r="Q10" i="82"/>
  <c r="P10" i="82"/>
  <c r="R9" i="82"/>
  <c r="H33" i="82" s="1"/>
  <c r="Q9" i="82"/>
  <c r="H31" i="82" s="1"/>
  <c r="P9" i="82"/>
  <c r="R8" i="82"/>
  <c r="D181" i="82" s="1"/>
  <c r="Q8" i="82"/>
  <c r="D182" i="82" s="1"/>
  <c r="P8" i="82"/>
  <c r="R7" i="82"/>
  <c r="Q7" i="82"/>
  <c r="P7" i="82"/>
  <c r="R6" i="82"/>
  <c r="Q6" i="82"/>
  <c r="P6" i="82"/>
  <c r="R5" i="82"/>
  <c r="Q5" i="82"/>
  <c r="P5" i="82"/>
  <c r="R4" i="82"/>
  <c r="Q4" i="82"/>
  <c r="P4" i="82"/>
  <c r="A24" i="81"/>
  <c r="A22" i="81"/>
  <c r="D21" i="81"/>
  <c r="A21" i="81"/>
  <c r="D20" i="81"/>
  <c r="A20" i="81"/>
  <c r="R19" i="81"/>
  <c r="D81" i="81" s="1"/>
  <c r="Q19" i="81"/>
  <c r="D79" i="81" s="1"/>
  <c r="P19" i="81"/>
  <c r="R18" i="81"/>
  <c r="Q18" i="81"/>
  <c r="P18" i="81"/>
  <c r="R17" i="81"/>
  <c r="Q17" i="81"/>
  <c r="P17" i="81"/>
  <c r="R16" i="81"/>
  <c r="Q16" i="81"/>
  <c r="P16" i="81"/>
  <c r="R15" i="81"/>
  <c r="Q15" i="81"/>
  <c r="P15" i="81"/>
  <c r="R14" i="81"/>
  <c r="Q14" i="81"/>
  <c r="P14" i="81"/>
  <c r="R13" i="81"/>
  <c r="Q13" i="81"/>
  <c r="P13" i="81"/>
  <c r="R12" i="81"/>
  <c r="Q12" i="81"/>
  <c r="P12" i="81"/>
  <c r="R11" i="81"/>
  <c r="D65" i="81" s="1"/>
  <c r="Q11" i="81"/>
  <c r="D66" i="81" s="1"/>
  <c r="P11" i="81"/>
  <c r="R10" i="81"/>
  <c r="Q10" i="81"/>
  <c r="P10" i="81"/>
  <c r="R9" i="81"/>
  <c r="Q9" i="81"/>
  <c r="P9" i="81"/>
  <c r="R8" i="81"/>
  <c r="Q8" i="81"/>
  <c r="P8" i="81"/>
  <c r="R7" i="81"/>
  <c r="Q7" i="81"/>
  <c r="P7" i="81"/>
  <c r="R6" i="81"/>
  <c r="Q6" i="81"/>
  <c r="P6" i="81"/>
  <c r="R5" i="81"/>
  <c r="Q5" i="81"/>
  <c r="P5" i="81"/>
  <c r="R4" i="81"/>
  <c r="Q4" i="81"/>
  <c r="P4" i="81"/>
  <c r="D24" i="80"/>
  <c r="A24" i="80"/>
  <c r="A22" i="80"/>
  <c r="D21" i="80"/>
  <c r="A21" i="80"/>
  <c r="D20" i="80"/>
  <c r="A20" i="80"/>
  <c r="R19" i="80"/>
  <c r="D262" i="80" s="1"/>
  <c r="Q19" i="80"/>
  <c r="D260" i="80" s="1"/>
  <c r="P19" i="80"/>
  <c r="R18" i="80"/>
  <c r="Q18" i="80"/>
  <c r="P18" i="80"/>
  <c r="R17" i="80"/>
  <c r="Q17" i="80"/>
  <c r="P17" i="80"/>
  <c r="R16" i="80"/>
  <c r="Q16" i="80"/>
  <c r="P16" i="80"/>
  <c r="R15" i="80"/>
  <c r="Q15" i="80"/>
  <c r="P15" i="80"/>
  <c r="R14" i="80"/>
  <c r="D162" i="80" s="1"/>
  <c r="Q14" i="80"/>
  <c r="D160" i="80" s="1"/>
  <c r="P14" i="80"/>
  <c r="R13" i="80"/>
  <c r="Q13" i="80"/>
  <c r="P13" i="80"/>
  <c r="R12" i="80"/>
  <c r="Q12" i="80"/>
  <c r="P12" i="80"/>
  <c r="R11" i="80"/>
  <c r="Q11" i="80"/>
  <c r="P11" i="80"/>
  <c r="R10" i="80"/>
  <c r="Q10" i="80"/>
  <c r="P10" i="80"/>
  <c r="R9" i="80"/>
  <c r="Q9" i="80"/>
  <c r="P9" i="80"/>
  <c r="R8" i="80"/>
  <c r="Q8" i="80"/>
  <c r="P8" i="80"/>
  <c r="R7" i="80"/>
  <c r="Q7" i="80"/>
  <c r="P7" i="80"/>
  <c r="R6" i="80"/>
  <c r="D152" i="80" s="1"/>
  <c r="Q6" i="80"/>
  <c r="D150" i="80" s="1"/>
  <c r="P6" i="80"/>
  <c r="R5" i="80"/>
  <c r="Q5" i="80"/>
  <c r="P5" i="80"/>
  <c r="R4" i="80"/>
  <c r="Q4" i="80"/>
  <c r="P4" i="80"/>
  <c r="D320" i="80" l="1"/>
  <c r="D322" i="80"/>
  <c r="D48" i="80"/>
  <c r="D47" i="80"/>
  <c r="D203" i="82"/>
  <c r="D193" i="82"/>
  <c r="D205" i="82"/>
  <c r="D195" i="82"/>
  <c r="D71" i="82"/>
  <c r="D51" i="82"/>
  <c r="D31" i="82"/>
  <c r="D61" i="82"/>
  <c r="D41" i="82"/>
  <c r="D62" i="82"/>
  <c r="D42" i="82"/>
  <c r="D32" i="82"/>
  <c r="D72" i="82"/>
  <c r="D52" i="82"/>
  <c r="D27" i="81"/>
  <c r="D47" i="81"/>
  <c r="D28" i="81"/>
  <c r="D48" i="81"/>
  <c r="D59" i="80"/>
  <c r="D57" i="80"/>
  <c r="D302" i="80"/>
  <c r="D292" i="80"/>
  <c r="D300" i="80"/>
  <c r="D290" i="80"/>
  <c r="D272" i="80"/>
  <c r="D282" i="80"/>
  <c r="D270" i="80"/>
  <c r="D280" i="80"/>
  <c r="D242" i="80"/>
  <c r="D252" i="80"/>
  <c r="D240" i="80"/>
  <c r="D250" i="80"/>
  <c r="D79" i="80"/>
  <c r="D69" i="80"/>
  <c r="D77" i="80"/>
  <c r="D67" i="80"/>
  <c r="D232" i="80"/>
  <c r="D230" i="80"/>
  <c r="D212" i="80"/>
  <c r="D222" i="80"/>
  <c r="D210" i="80"/>
  <c r="D220" i="80"/>
  <c r="D29" i="80"/>
  <c r="D38" i="80"/>
  <c r="D312" i="80"/>
  <c r="D202" i="80"/>
  <c r="D37" i="80"/>
  <c r="D27" i="80"/>
  <c r="D200" i="80"/>
  <c r="D310" i="80"/>
  <c r="D190" i="80"/>
  <c r="D180" i="80"/>
  <c r="D127" i="80"/>
  <c r="D146" i="80"/>
  <c r="D107" i="80"/>
  <c r="D97" i="80"/>
  <c r="D87" i="80"/>
  <c r="D145" i="80"/>
  <c r="D128" i="80"/>
  <c r="D99" i="80"/>
  <c r="D109" i="80"/>
  <c r="D89" i="80"/>
  <c r="D172" i="80"/>
  <c r="D182" i="80"/>
  <c r="D192" i="80"/>
  <c r="D170" i="80"/>
  <c r="D119" i="80"/>
  <c r="D117" i="80"/>
  <c r="D191" i="82"/>
  <c r="D192" i="82"/>
  <c r="D151" i="82"/>
  <c r="D153" i="82"/>
  <c r="D111" i="82"/>
  <c r="D131" i="82"/>
  <c r="D141" i="82"/>
  <c r="D121" i="82"/>
  <c r="D143" i="82"/>
  <c r="D133" i="82"/>
  <c r="D123" i="82"/>
  <c r="D113" i="82"/>
  <c r="D101" i="82"/>
  <c r="D103" i="82"/>
  <c r="D83" i="82"/>
  <c r="D91" i="82"/>
  <c r="D93" i="82"/>
  <c r="D81" i="82"/>
  <c r="D37" i="81"/>
  <c r="D38" i="81"/>
  <c r="H27" i="81"/>
  <c r="H29" i="81"/>
  <c r="D71" i="81"/>
  <c r="D69" i="81"/>
  <c r="D149" i="80"/>
  <c r="D147" i="80"/>
  <c r="H29" i="80"/>
  <c r="H27" i="80"/>
  <c r="D25" i="79"/>
  <c r="A25" i="79"/>
  <c r="A24" i="79"/>
  <c r="A22" i="79"/>
  <c r="D21" i="79"/>
  <c r="A21" i="79"/>
  <c r="D20" i="79"/>
  <c r="A20" i="79"/>
  <c r="R19" i="79"/>
  <c r="Q19" i="79"/>
  <c r="P19" i="79"/>
  <c r="R18" i="79"/>
  <c r="D136" i="79" s="1"/>
  <c r="Q18" i="79"/>
  <c r="D137" i="79" s="1"/>
  <c r="P18" i="79"/>
  <c r="R17" i="79"/>
  <c r="Q17" i="79"/>
  <c r="P17" i="79"/>
  <c r="R16" i="79"/>
  <c r="Q16" i="79"/>
  <c r="P16" i="79"/>
  <c r="R15" i="79"/>
  <c r="Q15" i="79"/>
  <c r="P15" i="79"/>
  <c r="R14" i="79"/>
  <c r="Q14" i="79"/>
  <c r="P14" i="79"/>
  <c r="R13" i="79"/>
  <c r="D46" i="79" s="1"/>
  <c r="Q13" i="79"/>
  <c r="D47" i="79" s="1"/>
  <c r="P13" i="79"/>
  <c r="R12" i="79"/>
  <c r="Q12" i="79"/>
  <c r="P12" i="79"/>
  <c r="R11" i="79"/>
  <c r="Q11" i="79"/>
  <c r="P11" i="79"/>
  <c r="R10" i="79"/>
  <c r="D162" i="79" s="1"/>
  <c r="Q10" i="79"/>
  <c r="D160" i="79" s="1"/>
  <c r="P10" i="79"/>
  <c r="R9" i="79"/>
  <c r="Q9" i="79"/>
  <c r="P9" i="79"/>
  <c r="R8" i="79"/>
  <c r="D158" i="79" s="1"/>
  <c r="Q8" i="79"/>
  <c r="D159" i="79" s="1"/>
  <c r="P8" i="79"/>
  <c r="R7" i="79"/>
  <c r="D120" i="79" s="1"/>
  <c r="Q7" i="79"/>
  <c r="D118" i="79" s="1"/>
  <c r="P7" i="79"/>
  <c r="R6" i="79"/>
  <c r="Q6" i="79"/>
  <c r="P6" i="79"/>
  <c r="R5" i="79"/>
  <c r="Q5" i="79"/>
  <c r="P5" i="79"/>
  <c r="R4" i="79"/>
  <c r="Q4" i="79"/>
  <c r="P4" i="79"/>
  <c r="P13" i="73"/>
  <c r="Q13" i="73"/>
  <c r="R13" i="73"/>
  <c r="P14" i="73"/>
  <c r="Q14" i="73"/>
  <c r="R14" i="73"/>
  <c r="P15" i="73"/>
  <c r="Q15" i="73"/>
  <c r="R15" i="73"/>
  <c r="P16" i="73"/>
  <c r="Q16" i="73"/>
  <c r="D35" i="73" s="1"/>
  <c r="R16" i="73"/>
  <c r="D36" i="73" s="1"/>
  <c r="P17" i="73"/>
  <c r="Q17" i="73"/>
  <c r="D105" i="73" s="1"/>
  <c r="R17" i="73"/>
  <c r="D106" i="73" s="1"/>
  <c r="P18" i="73"/>
  <c r="Q18" i="73"/>
  <c r="R18" i="73"/>
  <c r="P19" i="73"/>
  <c r="Q19" i="73"/>
  <c r="R19" i="73"/>
  <c r="P13" i="66"/>
  <c r="Q13" i="66"/>
  <c r="R13" i="66"/>
  <c r="P14" i="66"/>
  <c r="Q14" i="66"/>
  <c r="R14" i="66"/>
  <c r="P15" i="66"/>
  <c r="Q15" i="66"/>
  <c r="R15" i="66"/>
  <c r="P16" i="66"/>
  <c r="Q16" i="66"/>
  <c r="R16" i="66"/>
  <c r="P17" i="66"/>
  <c r="Q17" i="66"/>
  <c r="R17" i="66"/>
  <c r="P18" i="66"/>
  <c r="Q18" i="66"/>
  <c r="R18" i="66"/>
  <c r="P19" i="66"/>
  <c r="Q19" i="66"/>
  <c r="D82" i="66" s="1"/>
  <c r="R19" i="66"/>
  <c r="D84" i="66" s="1"/>
  <c r="P15" i="65"/>
  <c r="Q15" i="65"/>
  <c r="R15" i="65"/>
  <c r="P16" i="65"/>
  <c r="Q16" i="65"/>
  <c r="R16" i="65"/>
  <c r="P17" i="65"/>
  <c r="Q17" i="65"/>
  <c r="R17" i="65"/>
  <c r="P18" i="65"/>
  <c r="Q18" i="65"/>
  <c r="R18" i="65"/>
  <c r="P19" i="65"/>
  <c r="Q19" i="65"/>
  <c r="R19" i="65"/>
  <c r="P13" i="65"/>
  <c r="Q13" i="65"/>
  <c r="D49" i="65" s="1"/>
  <c r="R13" i="65"/>
  <c r="D48" i="65" s="1"/>
  <c r="P14" i="65"/>
  <c r="Q14" i="65"/>
  <c r="R14" i="65"/>
  <c r="D36" i="79" l="1"/>
  <c r="D37" i="79"/>
  <c r="D108" i="79"/>
  <c r="D98" i="79"/>
  <c r="D110" i="79"/>
  <c r="D100" i="79"/>
  <c r="D86" i="79"/>
  <c r="D96" i="79"/>
  <c r="D87" i="79"/>
  <c r="D97" i="79"/>
  <c r="D149" i="79"/>
  <c r="D148" i="79"/>
  <c r="D67" i="79"/>
  <c r="D66" i="79"/>
  <c r="D76" i="79"/>
  <c r="D56" i="79"/>
  <c r="D77" i="79"/>
  <c r="D57" i="79"/>
  <c r="D232" i="15" l="1"/>
  <c r="D25" i="76"/>
  <c r="R12" i="76"/>
  <c r="Q12" i="76"/>
  <c r="P12" i="76"/>
  <c r="R11" i="76"/>
  <c r="Q11" i="76"/>
  <c r="P11" i="76"/>
  <c r="R10" i="76"/>
  <c r="Q10" i="76"/>
  <c r="P10" i="76"/>
  <c r="R9" i="76"/>
  <c r="Q9" i="76"/>
  <c r="P9" i="76"/>
  <c r="R8" i="76"/>
  <c r="Q8" i="76"/>
  <c r="P8" i="76"/>
  <c r="R7" i="76"/>
  <c r="D28" i="76" s="1"/>
  <c r="Q7" i="76"/>
  <c r="D27" i="76" s="1"/>
  <c r="P7" i="76"/>
  <c r="R6" i="76"/>
  <c r="Q6" i="76"/>
  <c r="P6" i="76"/>
  <c r="R5" i="76"/>
  <c r="Q5" i="76"/>
  <c r="P5" i="76"/>
  <c r="R4" i="76"/>
  <c r="Q4" i="76"/>
  <c r="P4" i="76"/>
  <c r="D7" i="75" l="1"/>
  <c r="A7" i="75"/>
  <c r="A6" i="75"/>
  <c r="A5" i="75"/>
  <c r="A4" i="75"/>
  <c r="A22" i="69" l="1"/>
  <c r="D22" i="69"/>
  <c r="D343" i="73" l="1"/>
  <c r="A28" i="73"/>
  <c r="D27" i="73"/>
  <c r="A27" i="73"/>
  <c r="D26" i="73"/>
  <c r="A26" i="73"/>
  <c r="D25" i="73"/>
  <c r="A25" i="73"/>
  <c r="D24" i="73"/>
  <c r="A24" i="73"/>
  <c r="A22" i="73"/>
  <c r="D21" i="73"/>
  <c r="A21" i="73"/>
  <c r="D20" i="73"/>
  <c r="A20" i="73"/>
  <c r="R12" i="73"/>
  <c r="Q12" i="73"/>
  <c r="P12" i="73"/>
  <c r="R11" i="73"/>
  <c r="D177" i="73" s="1"/>
  <c r="Q11" i="73"/>
  <c r="D175" i="73" s="1"/>
  <c r="P11" i="73"/>
  <c r="R10" i="73"/>
  <c r="D167" i="73" s="1"/>
  <c r="Q10" i="73"/>
  <c r="D165" i="73" s="1"/>
  <c r="P10" i="73"/>
  <c r="R9" i="73"/>
  <c r="Q9" i="73"/>
  <c r="P9" i="73"/>
  <c r="R8" i="73"/>
  <c r="Q8" i="73"/>
  <c r="P8" i="73"/>
  <c r="R7" i="73"/>
  <c r="D96" i="73" s="1"/>
  <c r="Q7" i="73"/>
  <c r="D95" i="73" s="1"/>
  <c r="P7" i="73"/>
  <c r="R6" i="73"/>
  <c r="Q6" i="73"/>
  <c r="P6" i="73"/>
  <c r="R5" i="73"/>
  <c r="Q5" i="73"/>
  <c r="P5" i="73"/>
  <c r="R4" i="73"/>
  <c r="Q4" i="73"/>
  <c r="P4" i="73"/>
  <c r="D145" i="73" l="1"/>
  <c r="D155" i="73"/>
  <c r="D146" i="73"/>
  <c r="D156" i="73"/>
  <c r="D86" i="73"/>
  <c r="D66" i="73"/>
  <c r="D46" i="73"/>
  <c r="D56" i="73"/>
  <c r="D76" i="73"/>
  <c r="D75" i="73"/>
  <c r="D55" i="73"/>
  <c r="D85" i="73"/>
  <c r="D65" i="73"/>
  <c r="D45" i="73"/>
  <c r="D125" i="73"/>
  <c r="D135" i="73"/>
  <c r="D126" i="73"/>
  <c r="D136" i="73"/>
  <c r="D115" i="73"/>
  <c r="D116" i="73"/>
  <c r="D25" i="69" l="1"/>
  <c r="A25" i="69"/>
  <c r="A23" i="69"/>
  <c r="D21" i="69"/>
  <c r="A21" i="69"/>
  <c r="A20" i="69"/>
  <c r="R12" i="69"/>
  <c r="Q12" i="69"/>
  <c r="P12" i="69"/>
  <c r="R11" i="69"/>
  <c r="Q11" i="69"/>
  <c r="P11" i="69"/>
  <c r="R10" i="69"/>
  <c r="Q10" i="69"/>
  <c r="P10" i="69"/>
  <c r="R9" i="69"/>
  <c r="D32" i="69" s="1"/>
  <c r="Q9" i="69"/>
  <c r="D30" i="69" s="1"/>
  <c r="P9" i="69"/>
  <c r="R8" i="69"/>
  <c r="Q8" i="69"/>
  <c r="P8" i="69"/>
  <c r="R7" i="69"/>
  <c r="Q7" i="69"/>
  <c r="P7" i="69"/>
  <c r="R6" i="69"/>
  <c r="Q6" i="69"/>
  <c r="P6" i="69"/>
  <c r="R5" i="69"/>
  <c r="Q5" i="69"/>
  <c r="P5" i="69"/>
  <c r="R4" i="69"/>
  <c r="Q4" i="69"/>
  <c r="P4" i="69"/>
  <c r="D40" i="69" l="1"/>
  <c r="D42" i="69"/>
  <c r="A26" i="66"/>
  <c r="R12" i="41" l="1"/>
  <c r="Q12" i="41"/>
  <c r="P12" i="41"/>
  <c r="R11" i="41"/>
  <c r="D197" i="41" s="1"/>
  <c r="Q11" i="41"/>
  <c r="D198" i="41" s="1"/>
  <c r="P11" i="41"/>
  <c r="R10" i="41"/>
  <c r="Q10" i="41"/>
  <c r="P10" i="41"/>
  <c r="R9" i="41"/>
  <c r="Q9" i="41"/>
  <c r="P9" i="41"/>
  <c r="R8" i="41"/>
  <c r="Q8" i="41"/>
  <c r="P8" i="41"/>
  <c r="R7" i="41"/>
  <c r="Q7" i="41"/>
  <c r="P7" i="41"/>
  <c r="R6" i="41"/>
  <c r="Q6" i="41"/>
  <c r="P6" i="41"/>
  <c r="R5" i="41"/>
  <c r="D45" i="41" s="1"/>
  <c r="Q5" i="41"/>
  <c r="D43" i="41" s="1"/>
  <c r="P5" i="41"/>
  <c r="R4" i="41"/>
  <c r="Q4" i="41"/>
  <c r="P4" i="41"/>
  <c r="D186" i="41" l="1"/>
  <c r="D177" i="41"/>
  <c r="D179" i="41"/>
  <c r="D188" i="41"/>
  <c r="D63" i="41"/>
  <c r="D53" i="41"/>
  <c r="D95" i="41"/>
  <c r="D105" i="41"/>
  <c r="D122" i="41"/>
  <c r="D85" i="41"/>
  <c r="D137" i="41"/>
  <c r="D130" i="41"/>
  <c r="D114" i="41"/>
  <c r="D74" i="41"/>
  <c r="D65" i="41"/>
  <c r="D54" i="41"/>
  <c r="D157" i="41"/>
  <c r="D167" i="41"/>
  <c r="D145" i="41"/>
  <c r="D136" i="41"/>
  <c r="D83" i="41"/>
  <c r="D121" i="41"/>
  <c r="D129" i="41"/>
  <c r="D113" i="41"/>
  <c r="D73" i="41"/>
  <c r="D103" i="41"/>
  <c r="D93" i="41"/>
  <c r="D147" i="41"/>
  <c r="D159" i="41"/>
  <c r="D169" i="41"/>
  <c r="D25" i="66"/>
  <c r="A25" i="66"/>
  <c r="D24" i="66"/>
  <c r="A24" i="66"/>
  <c r="A22" i="66"/>
  <c r="D21" i="66"/>
  <c r="A21" i="66"/>
  <c r="D20" i="66"/>
  <c r="A20" i="66"/>
  <c r="R12" i="66"/>
  <c r="Q12" i="66"/>
  <c r="P12" i="66"/>
  <c r="R11" i="66"/>
  <c r="D68" i="66" s="1"/>
  <c r="Q11" i="66"/>
  <c r="D69" i="66" s="1"/>
  <c r="P11" i="66"/>
  <c r="R10" i="66"/>
  <c r="Q10" i="66"/>
  <c r="P10" i="66"/>
  <c r="R9" i="66"/>
  <c r="Q9" i="66"/>
  <c r="P9" i="66"/>
  <c r="R8" i="66"/>
  <c r="Q8" i="66"/>
  <c r="P8" i="66"/>
  <c r="R7" i="66"/>
  <c r="D52" i="66" s="1"/>
  <c r="Q7" i="66"/>
  <c r="D50" i="66" s="1"/>
  <c r="P7" i="66"/>
  <c r="R6" i="66"/>
  <c r="Q6" i="66"/>
  <c r="P6" i="66"/>
  <c r="R5" i="66"/>
  <c r="Q5" i="66"/>
  <c r="P5" i="66"/>
  <c r="R4" i="66"/>
  <c r="Q4" i="66"/>
  <c r="P4" i="66"/>
  <c r="D24" i="65"/>
  <c r="D25" i="65"/>
  <c r="A25" i="65"/>
  <c r="A24" i="65"/>
  <c r="A22" i="65"/>
  <c r="D21" i="65"/>
  <c r="A21" i="65"/>
  <c r="D20" i="65"/>
  <c r="A20" i="65"/>
  <c r="R12" i="65"/>
  <c r="Q12" i="65"/>
  <c r="P12" i="65"/>
  <c r="R11" i="65"/>
  <c r="D98" i="65" s="1"/>
  <c r="Q11" i="65"/>
  <c r="D99" i="65" s="1"/>
  <c r="P11" i="65"/>
  <c r="R10" i="65"/>
  <c r="D104" i="65" s="1"/>
  <c r="Q10" i="65"/>
  <c r="D102" i="65" s="1"/>
  <c r="P10" i="65"/>
  <c r="R9" i="65"/>
  <c r="Q9" i="65"/>
  <c r="P9" i="65"/>
  <c r="R8" i="65"/>
  <c r="Q8" i="65"/>
  <c r="P8" i="65"/>
  <c r="R7" i="65"/>
  <c r="Q7" i="65"/>
  <c r="P7" i="65"/>
  <c r="R6" i="65"/>
  <c r="Q6" i="65"/>
  <c r="P6" i="65"/>
  <c r="R5" i="65"/>
  <c r="Q5" i="65"/>
  <c r="P5" i="65"/>
  <c r="R4" i="65"/>
  <c r="Q4" i="65"/>
  <c r="P4" i="65"/>
  <c r="D70" i="65" l="1"/>
  <c r="D80" i="65"/>
  <c r="D72" i="65"/>
  <c r="D82" i="65"/>
  <c r="D39" i="65"/>
  <c r="D38" i="65"/>
  <c r="D58" i="65"/>
  <c r="D68" i="65"/>
  <c r="D59" i="65"/>
  <c r="D69" i="65"/>
  <c r="D40" i="66"/>
  <c r="D42" i="66"/>
  <c r="D30" i="66"/>
  <c r="D32" i="66"/>
  <c r="D80" i="66"/>
  <c r="D81" i="66"/>
  <c r="D32" i="18"/>
  <c r="A32" i="18"/>
  <c r="D32" i="56"/>
  <c r="A32" i="56"/>
  <c r="F56" i="58" l="1"/>
  <c r="F54" i="57"/>
  <c r="F55" i="58"/>
  <c r="F52" i="57"/>
  <c r="D28" i="51"/>
  <c r="A28" i="51"/>
  <c r="D28" i="34"/>
  <c r="A28" i="34"/>
  <c r="D26" i="62" l="1"/>
  <c r="A26" i="62"/>
  <c r="D26" i="64"/>
  <c r="A26" i="64"/>
  <c r="D26" i="63"/>
  <c r="A26" i="63"/>
  <c r="D172" i="64" l="1"/>
  <c r="D166" i="64"/>
  <c r="D25" i="64"/>
  <c r="A25" i="64"/>
  <c r="D24" i="64"/>
  <c r="A24" i="64"/>
  <c r="D22" i="64"/>
  <c r="A22" i="64"/>
  <c r="D21" i="64"/>
  <c r="A21" i="64"/>
  <c r="A20" i="64"/>
  <c r="R12" i="64"/>
  <c r="Q12" i="64"/>
  <c r="P12" i="64"/>
  <c r="R11" i="64"/>
  <c r="D115" i="64" s="1"/>
  <c r="Q11" i="64"/>
  <c r="D116" i="64" s="1"/>
  <c r="P11" i="64"/>
  <c r="R10" i="64"/>
  <c r="Q10" i="64"/>
  <c r="P10" i="64"/>
  <c r="R9" i="64"/>
  <c r="Q9" i="64"/>
  <c r="D90" i="64" s="1"/>
  <c r="P9" i="64"/>
  <c r="R8" i="64"/>
  <c r="D137" i="64" s="1"/>
  <c r="Q8" i="64"/>
  <c r="D138" i="64" s="1"/>
  <c r="P8" i="64"/>
  <c r="R7" i="64"/>
  <c r="Q7" i="64"/>
  <c r="P7" i="64"/>
  <c r="R6" i="64"/>
  <c r="Q6" i="64"/>
  <c r="P6" i="64"/>
  <c r="R5" i="64"/>
  <c r="Q5" i="64"/>
  <c r="P5" i="64"/>
  <c r="R4" i="64"/>
  <c r="Q4" i="64"/>
  <c r="P4" i="64"/>
  <c r="D25" i="62"/>
  <c r="A25" i="62"/>
  <c r="D24" i="62"/>
  <c r="A24" i="62"/>
  <c r="D22" i="62"/>
  <c r="A22" i="62"/>
  <c r="D21" i="62"/>
  <c r="A21" i="62"/>
  <c r="A20" i="62"/>
  <c r="R12" i="62"/>
  <c r="Q12" i="62"/>
  <c r="P12" i="62"/>
  <c r="R11" i="62"/>
  <c r="D109" i="62" s="1"/>
  <c r="Q11" i="62"/>
  <c r="D110" i="62" s="1"/>
  <c r="P11" i="62"/>
  <c r="R10" i="62"/>
  <c r="Q10" i="62"/>
  <c r="P10" i="62"/>
  <c r="R9" i="62"/>
  <c r="Q9" i="62"/>
  <c r="D84" i="62" s="1"/>
  <c r="P9" i="62"/>
  <c r="R8" i="62"/>
  <c r="D131" i="62" s="1"/>
  <c r="Q8" i="62"/>
  <c r="D132" i="62" s="1"/>
  <c r="P8" i="62"/>
  <c r="R7" i="62"/>
  <c r="Q7" i="62"/>
  <c r="P7" i="62"/>
  <c r="R6" i="62"/>
  <c r="Q6" i="62"/>
  <c r="P6" i="62"/>
  <c r="R5" i="62"/>
  <c r="Q5" i="62"/>
  <c r="P5" i="62"/>
  <c r="R4" i="62"/>
  <c r="Q4" i="62"/>
  <c r="P4" i="62"/>
  <c r="D25" i="63"/>
  <c r="A25" i="63"/>
  <c r="D24" i="63"/>
  <c r="A24" i="63"/>
  <c r="D22" i="63"/>
  <c r="A22" i="63"/>
  <c r="D21" i="63"/>
  <c r="A21" i="63"/>
  <c r="A20" i="63"/>
  <c r="R12" i="63"/>
  <c r="Q12" i="63"/>
  <c r="P12" i="63"/>
  <c r="R11" i="63"/>
  <c r="D115" i="63" s="1"/>
  <c r="Q11" i="63"/>
  <c r="D116" i="63" s="1"/>
  <c r="P11" i="63"/>
  <c r="R10" i="63"/>
  <c r="Q10" i="63"/>
  <c r="P10" i="63"/>
  <c r="R9" i="63"/>
  <c r="Q9" i="63"/>
  <c r="D90" i="63" s="1"/>
  <c r="P9" i="63"/>
  <c r="R8" i="63"/>
  <c r="D137" i="63" s="1"/>
  <c r="Q8" i="63"/>
  <c r="D138" i="63" s="1"/>
  <c r="P8" i="63"/>
  <c r="R7" i="63"/>
  <c r="Q7" i="63"/>
  <c r="P7" i="63"/>
  <c r="R6" i="63"/>
  <c r="Q6" i="63"/>
  <c r="P6" i="63"/>
  <c r="R5" i="63"/>
  <c r="Q5" i="63"/>
  <c r="P5" i="63"/>
  <c r="R4" i="63"/>
  <c r="Q4" i="63"/>
  <c r="P4" i="63"/>
  <c r="F53" i="58"/>
  <c r="D417" i="56"/>
  <c r="D411" i="56"/>
  <c r="D453" i="56"/>
  <c r="D163" i="56"/>
  <c r="D158" i="56"/>
  <c r="D447" i="56"/>
  <c r="D153" i="56"/>
  <c r="D148" i="56"/>
  <c r="D143" i="56"/>
  <c r="D138" i="56"/>
  <c r="D133" i="56"/>
  <c r="D128" i="56"/>
  <c r="D503" i="56"/>
  <c r="D435" i="56"/>
  <c r="D405" i="56"/>
  <c r="D283" i="56"/>
  <c r="D278" i="56"/>
  <c r="D499" i="56"/>
  <c r="D429" i="56"/>
  <c r="D399" i="56"/>
  <c r="D273" i="56"/>
  <c r="D268" i="56"/>
  <c r="D387" i="56"/>
  <c r="D335" i="56"/>
  <c r="D233" i="56"/>
  <c r="D228" i="56"/>
  <c r="D478" i="56"/>
  <c r="D472" i="56"/>
  <c r="D381" i="56"/>
  <c r="D325" i="56"/>
  <c r="D223" i="56"/>
  <c r="D218" i="56"/>
  <c r="D31" i="56"/>
  <c r="A31" i="56"/>
  <c r="D30" i="56"/>
  <c r="A30" i="56"/>
  <c r="D29" i="56"/>
  <c r="A29" i="56"/>
  <c r="D28" i="56"/>
  <c r="A28" i="56"/>
  <c r="D27" i="56"/>
  <c r="A27" i="56"/>
  <c r="D26" i="56"/>
  <c r="A26" i="56"/>
  <c r="D25" i="56"/>
  <c r="D24" i="56"/>
  <c r="A24" i="56"/>
  <c r="A22" i="56"/>
  <c r="D21" i="56"/>
  <c r="A21" i="56"/>
  <c r="D20" i="56"/>
  <c r="A20" i="56"/>
  <c r="R12" i="56"/>
  <c r="Q12" i="56"/>
  <c r="P12" i="56"/>
  <c r="R11" i="56"/>
  <c r="D299" i="56" s="1"/>
  <c r="Q11" i="56"/>
  <c r="D297" i="56" s="1"/>
  <c r="P11" i="56"/>
  <c r="R10" i="56"/>
  <c r="Q10" i="56"/>
  <c r="P10" i="56"/>
  <c r="R9" i="56"/>
  <c r="D289" i="56" s="1"/>
  <c r="Q9" i="56"/>
  <c r="P9" i="56"/>
  <c r="R8" i="56"/>
  <c r="Q8" i="56"/>
  <c r="P8" i="56"/>
  <c r="R7" i="56"/>
  <c r="Q7" i="56"/>
  <c r="P7" i="56"/>
  <c r="R6" i="56"/>
  <c r="Q6" i="56"/>
  <c r="P6" i="56"/>
  <c r="R5" i="56"/>
  <c r="Q5" i="56"/>
  <c r="P5" i="56"/>
  <c r="R4" i="56"/>
  <c r="Q4" i="56"/>
  <c r="P4" i="56"/>
  <c r="F50" i="57"/>
  <c r="D99" i="56" l="1"/>
  <c r="D109" i="56"/>
  <c r="D97" i="56"/>
  <c r="D107" i="56"/>
  <c r="D89" i="56"/>
  <c r="D87" i="56"/>
  <c r="D351" i="56"/>
  <c r="D311" i="56"/>
  <c r="D339" i="56"/>
  <c r="D309" i="56"/>
  <c r="D75" i="64"/>
  <c r="D44" i="64"/>
  <c r="D58" i="64"/>
  <c r="D76" i="64"/>
  <c r="D47" i="64"/>
  <c r="D57" i="64"/>
  <c r="D47" i="62"/>
  <c r="D70" i="62"/>
  <c r="D51" i="62"/>
  <c r="D44" i="62"/>
  <c r="D69" i="62"/>
  <c r="D52" i="62"/>
  <c r="D76" i="63"/>
  <c r="D47" i="63"/>
  <c r="D57" i="63"/>
  <c r="D75" i="63"/>
  <c r="D44" i="63"/>
  <c r="D58" i="63"/>
  <c r="D207" i="56"/>
  <c r="D187" i="56"/>
  <c r="D167" i="56"/>
  <c r="D147" i="56"/>
  <c r="D127" i="56"/>
  <c r="D177" i="56"/>
  <c r="D137" i="56"/>
  <c r="D197" i="56"/>
  <c r="D157" i="56"/>
  <c r="D117" i="56"/>
  <c r="D129" i="56"/>
  <c r="D169" i="56"/>
  <c r="D199" i="56"/>
  <c r="D159" i="56"/>
  <c r="D119" i="56"/>
  <c r="D189" i="56"/>
  <c r="D179" i="56"/>
  <c r="D139" i="56"/>
  <c r="D209" i="56"/>
  <c r="D149" i="56"/>
  <c r="D277" i="56"/>
  <c r="D227" i="56"/>
  <c r="D79" i="62"/>
  <c r="D92" i="62"/>
  <c r="D83" i="62"/>
  <c r="D85" i="64"/>
  <c r="D98" i="64"/>
  <c r="D89" i="64"/>
  <c r="D98" i="63"/>
  <c r="D89" i="63"/>
  <c r="D85" i="63"/>
  <c r="D31" i="64"/>
  <c r="D33" i="64"/>
  <c r="D127" i="64"/>
  <c r="D128" i="64"/>
  <c r="D97" i="64"/>
  <c r="D86" i="64"/>
  <c r="D121" i="62"/>
  <c r="D122" i="62"/>
  <c r="D31" i="62"/>
  <c r="D32" i="62"/>
  <c r="D91" i="62"/>
  <c r="D80" i="62"/>
  <c r="D127" i="63"/>
  <c r="D128" i="63"/>
  <c r="D31" i="63"/>
  <c r="D32" i="63"/>
  <c r="D97" i="63"/>
  <c r="D86" i="63"/>
  <c r="D39" i="56"/>
  <c r="D229" i="56"/>
  <c r="D239" i="56"/>
  <c r="D247" i="56"/>
  <c r="D259" i="56"/>
  <c r="D267" i="56"/>
  <c r="D269" i="56"/>
  <c r="D287" i="56"/>
  <c r="D329" i="56"/>
  <c r="D331" i="56"/>
  <c r="D341" i="56"/>
  <c r="D349" i="56"/>
  <c r="D49" i="56"/>
  <c r="D57" i="56"/>
  <c r="D59" i="56"/>
  <c r="D77" i="56"/>
  <c r="D79" i="56"/>
  <c r="D37" i="56"/>
  <c r="D217" i="56"/>
  <c r="D219" i="56"/>
  <c r="D237" i="56"/>
  <c r="D249" i="56"/>
  <c r="D257" i="56"/>
  <c r="D279" i="56"/>
  <c r="D319" i="56"/>
  <c r="D321" i="56"/>
  <c r="D47" i="56"/>
  <c r="D67" i="56"/>
  <c r="D69" i="56"/>
  <c r="D461" i="55"/>
  <c r="D455" i="55"/>
  <c r="D503" i="55"/>
  <c r="D163" i="55"/>
  <c r="D158" i="55"/>
  <c r="D497" i="55"/>
  <c r="D153" i="55"/>
  <c r="D148" i="55"/>
  <c r="D143" i="55"/>
  <c r="D138" i="55"/>
  <c r="D133" i="55"/>
  <c r="D128" i="55"/>
  <c r="D383" i="55"/>
  <c r="D485" i="55"/>
  <c r="D449" i="55"/>
  <c r="D283" i="55"/>
  <c r="D278" i="55"/>
  <c r="D379" i="55"/>
  <c r="D479" i="55"/>
  <c r="D443" i="55"/>
  <c r="D273" i="55"/>
  <c r="D268" i="55"/>
  <c r="D528" i="55"/>
  <c r="D431" i="55"/>
  <c r="D335" i="55"/>
  <c r="D233" i="55"/>
  <c r="D228" i="55"/>
  <c r="D522" i="55"/>
  <c r="D425" i="55"/>
  <c r="D325" i="55"/>
  <c r="D223" i="55"/>
  <c r="D218" i="55"/>
  <c r="D32" i="55"/>
  <c r="A32" i="55"/>
  <c r="D31" i="55"/>
  <c r="A31" i="55"/>
  <c r="D30" i="55"/>
  <c r="A30" i="55"/>
  <c r="D29" i="55"/>
  <c r="A29" i="55"/>
  <c r="D28" i="55"/>
  <c r="A28" i="55"/>
  <c r="D27" i="55"/>
  <c r="A27" i="55"/>
  <c r="D26" i="55"/>
  <c r="A26" i="55"/>
  <c r="D25" i="55"/>
  <c r="A25" i="55"/>
  <c r="D24" i="55"/>
  <c r="A24" i="55"/>
  <c r="A22" i="55"/>
  <c r="D21" i="55"/>
  <c r="A21" i="55"/>
  <c r="D20" i="55"/>
  <c r="A20" i="55"/>
  <c r="R12" i="55"/>
  <c r="Q12" i="55"/>
  <c r="P12" i="55"/>
  <c r="R11" i="55"/>
  <c r="D299" i="55" s="1"/>
  <c r="Q11" i="55"/>
  <c r="D297" i="55" s="1"/>
  <c r="P11" i="55"/>
  <c r="R10" i="55"/>
  <c r="Q10" i="55"/>
  <c r="P10" i="55"/>
  <c r="R9" i="55"/>
  <c r="D289" i="55" s="1"/>
  <c r="Q9" i="55"/>
  <c r="D277" i="55" s="1"/>
  <c r="P9" i="55"/>
  <c r="R8" i="55"/>
  <c r="Q8" i="55"/>
  <c r="P8" i="55"/>
  <c r="R7" i="55"/>
  <c r="Q7" i="55"/>
  <c r="P7" i="55"/>
  <c r="R6" i="55"/>
  <c r="Q6" i="55"/>
  <c r="P6" i="55"/>
  <c r="R5" i="55"/>
  <c r="Q5" i="55"/>
  <c r="P5" i="55"/>
  <c r="R4" i="55"/>
  <c r="Q4" i="55"/>
  <c r="P4" i="55"/>
  <c r="D97" i="55" l="1"/>
  <c r="D107" i="55"/>
  <c r="D99" i="55"/>
  <c r="D109" i="55"/>
  <c r="D39" i="55"/>
  <c r="D49" i="55"/>
  <c r="D47" i="55"/>
  <c r="D37" i="55"/>
  <c r="D339" i="55"/>
  <c r="D309" i="55"/>
  <c r="D351" i="55"/>
  <c r="D311" i="55"/>
  <c r="D77" i="55"/>
  <c r="D87" i="55"/>
  <c r="D149" i="55"/>
  <c r="D129" i="55"/>
  <c r="D199" i="55"/>
  <c r="D179" i="55"/>
  <c r="D169" i="55"/>
  <c r="D189" i="55"/>
  <c r="D139" i="55"/>
  <c r="D119" i="55"/>
  <c r="D209" i="55"/>
  <c r="D159" i="55"/>
  <c r="D79" i="55"/>
  <c r="D89" i="55"/>
  <c r="D197" i="55"/>
  <c r="D177" i="55"/>
  <c r="D167" i="55"/>
  <c r="D147" i="55"/>
  <c r="D127" i="55"/>
  <c r="D207" i="55"/>
  <c r="D157" i="55"/>
  <c r="D187" i="55"/>
  <c r="D137" i="55"/>
  <c r="D117" i="55"/>
  <c r="D59" i="55"/>
  <c r="D227" i="55"/>
  <c r="D229" i="55"/>
  <c r="D239" i="55"/>
  <c r="D247" i="55"/>
  <c r="D259" i="55"/>
  <c r="D267" i="55"/>
  <c r="D269" i="55"/>
  <c r="D287" i="55"/>
  <c r="D329" i="55"/>
  <c r="D331" i="55"/>
  <c r="D341" i="55"/>
  <c r="D349" i="55"/>
  <c r="D67" i="55"/>
  <c r="D69" i="55"/>
  <c r="D57" i="55"/>
  <c r="D217" i="55"/>
  <c r="D219" i="55"/>
  <c r="D237" i="55"/>
  <c r="D249" i="55"/>
  <c r="D257" i="55"/>
  <c r="D279" i="55"/>
  <c r="D319" i="55"/>
  <c r="D321" i="55"/>
  <c r="R12" i="53" l="1"/>
  <c r="Q12" i="53"/>
  <c r="P12" i="53"/>
  <c r="R11" i="53"/>
  <c r="Q11" i="53"/>
  <c r="P11" i="53"/>
  <c r="R10" i="53"/>
  <c r="Q10" i="53"/>
  <c r="P10" i="53"/>
  <c r="R9" i="53"/>
  <c r="Q9" i="53"/>
  <c r="P9" i="53"/>
  <c r="R8" i="53"/>
  <c r="Q8" i="53"/>
  <c r="P8" i="53"/>
  <c r="R7" i="53"/>
  <c r="Q7" i="53"/>
  <c r="P7" i="53"/>
  <c r="R6" i="53"/>
  <c r="Q6" i="53"/>
  <c r="P6" i="53"/>
  <c r="R5" i="53"/>
  <c r="Q5" i="53"/>
  <c r="P5" i="53"/>
  <c r="R4" i="53"/>
  <c r="Q4" i="53"/>
  <c r="P4" i="53"/>
  <c r="D21" i="49" l="1"/>
  <c r="D20" i="39"/>
  <c r="D20" i="34"/>
  <c r="D21" i="18"/>
  <c r="D21" i="15"/>
  <c r="D21" i="14"/>
  <c r="D21" i="11"/>
  <c r="D20" i="51"/>
  <c r="D20" i="13"/>
  <c r="D20" i="22"/>
  <c r="D20" i="3"/>
  <c r="D89" i="39"/>
  <c r="D451" i="3" l="1"/>
  <c r="D37" i="51" l="1"/>
  <c r="A37" i="51"/>
  <c r="D36" i="51"/>
  <c r="A36" i="51"/>
  <c r="D35" i="51"/>
  <c r="A35" i="51"/>
  <c r="D34" i="51"/>
  <c r="A34" i="51"/>
  <c r="D33" i="51"/>
  <c r="A33" i="51"/>
  <c r="D32" i="51"/>
  <c r="A32" i="51"/>
  <c r="D31" i="51"/>
  <c r="A31" i="51"/>
  <c r="D30" i="51"/>
  <c r="A30" i="51"/>
  <c r="D29" i="51"/>
  <c r="A29" i="51"/>
  <c r="D22" i="51"/>
  <c r="A22" i="51"/>
  <c r="A21" i="51"/>
  <c r="A20" i="51"/>
  <c r="R12" i="51"/>
  <c r="Q12" i="51"/>
  <c r="P12" i="51"/>
  <c r="R11" i="51"/>
  <c r="D369" i="51" s="1"/>
  <c r="Q11" i="51"/>
  <c r="D368" i="51" s="1"/>
  <c r="P11" i="51"/>
  <c r="R10" i="51"/>
  <c r="Q10" i="51"/>
  <c r="P10" i="51"/>
  <c r="R9" i="51"/>
  <c r="Q9" i="51"/>
  <c r="D348" i="51" s="1"/>
  <c r="P9" i="51"/>
  <c r="R8" i="51"/>
  <c r="Q8" i="51"/>
  <c r="P8" i="51"/>
  <c r="R7" i="51"/>
  <c r="Q7" i="51"/>
  <c r="P7" i="51"/>
  <c r="R6" i="51"/>
  <c r="Q6" i="51"/>
  <c r="P6" i="51"/>
  <c r="R5" i="51"/>
  <c r="D49" i="51" s="1"/>
  <c r="Q5" i="51"/>
  <c r="D48" i="51" s="1"/>
  <c r="P5" i="51"/>
  <c r="R4" i="51"/>
  <c r="Q4" i="51"/>
  <c r="P4" i="51"/>
  <c r="D58" i="51" l="1"/>
  <c r="D128" i="51"/>
  <c r="D118" i="51"/>
  <c r="D108" i="51"/>
  <c r="D138" i="51"/>
  <c r="D109" i="51"/>
  <c r="D139" i="51"/>
  <c r="D119" i="51"/>
  <c r="D129" i="51"/>
  <c r="D420" i="51"/>
  <c r="D430" i="51"/>
  <c r="D431" i="51"/>
  <c r="D421" i="51"/>
  <c r="D380" i="51"/>
  <c r="D381" i="51"/>
  <c r="D249" i="51"/>
  <c r="D229" i="51"/>
  <c r="D209" i="51"/>
  <c r="D189" i="51"/>
  <c r="D169" i="51"/>
  <c r="D151" i="51"/>
  <c r="D199" i="51"/>
  <c r="D259" i="51"/>
  <c r="D239" i="51"/>
  <c r="D219" i="51"/>
  <c r="D179" i="51"/>
  <c r="D159" i="51"/>
  <c r="D258" i="51"/>
  <c r="D238" i="51"/>
  <c r="D218" i="51"/>
  <c r="D198" i="51"/>
  <c r="D178" i="51"/>
  <c r="D158" i="51"/>
  <c r="D248" i="51"/>
  <c r="D228" i="51"/>
  <c r="D208" i="51"/>
  <c r="D188" i="51"/>
  <c r="D168" i="51"/>
  <c r="D148" i="51"/>
  <c r="D61" i="51"/>
  <c r="D329" i="51"/>
  <c r="D289" i="51"/>
  <c r="D359" i="51"/>
  <c r="D319" i="51"/>
  <c r="D279" i="51"/>
  <c r="D349" i="51"/>
  <c r="D309" i="51"/>
  <c r="D269" i="51"/>
  <c r="D339" i="51"/>
  <c r="D299" i="51"/>
  <c r="D268" i="51"/>
  <c r="D288" i="51"/>
  <c r="D308" i="51"/>
  <c r="D328" i="51"/>
  <c r="D410" i="51"/>
  <c r="D411" i="51"/>
  <c r="D68" i="51"/>
  <c r="D69" i="51"/>
  <c r="D88" i="51"/>
  <c r="D89" i="51"/>
  <c r="D358" i="51"/>
  <c r="D278" i="51"/>
  <c r="D298" i="51"/>
  <c r="D318" i="51"/>
  <c r="D338" i="51"/>
  <c r="D390" i="51"/>
  <c r="D391" i="51"/>
  <c r="D400" i="51"/>
  <c r="D401" i="51"/>
  <c r="D78" i="51"/>
  <c r="D79" i="51"/>
  <c r="D98" i="51"/>
  <c r="D99" i="51"/>
  <c r="D22" i="49" l="1"/>
  <c r="A22" i="49"/>
  <c r="A21" i="49"/>
  <c r="A20" i="49"/>
  <c r="R12" i="49"/>
  <c r="Q12" i="49"/>
  <c r="D33" i="49" s="1"/>
  <c r="P12" i="49"/>
  <c r="R11" i="49"/>
  <c r="D24" i="49" s="1"/>
  <c r="Q11" i="49"/>
  <c r="D25" i="49" s="1"/>
  <c r="P11" i="49"/>
  <c r="R10" i="49"/>
  <c r="Q10" i="49"/>
  <c r="P10" i="49"/>
  <c r="R9" i="49"/>
  <c r="Q9" i="49"/>
  <c r="P9" i="49"/>
  <c r="R8" i="49"/>
  <c r="Q8" i="49"/>
  <c r="P8" i="49"/>
  <c r="R7" i="49"/>
  <c r="Q7" i="49"/>
  <c r="P7" i="49"/>
  <c r="R6" i="49"/>
  <c r="Q6" i="49"/>
  <c r="P6" i="49"/>
  <c r="R5" i="49"/>
  <c r="Q5" i="49"/>
  <c r="P5" i="49"/>
  <c r="R4" i="49"/>
  <c r="Q4" i="49"/>
  <c r="P4" i="49"/>
  <c r="A28" i="3" l="1"/>
  <c r="A27" i="3"/>
  <c r="A26" i="3"/>
  <c r="A25" i="3"/>
  <c r="A24" i="3"/>
  <c r="A22" i="3"/>
  <c r="A21" i="3"/>
  <c r="A20" i="3"/>
  <c r="A27" i="39"/>
  <c r="A26" i="39"/>
  <c r="A25" i="39"/>
  <c r="A24" i="39"/>
  <c r="A22" i="39"/>
  <c r="A21" i="39"/>
  <c r="A20" i="39"/>
  <c r="A35" i="34"/>
  <c r="A34" i="34"/>
  <c r="A33" i="34"/>
  <c r="A32" i="34"/>
  <c r="A31" i="34"/>
  <c r="A30" i="34"/>
  <c r="A29" i="34"/>
  <c r="A22" i="34"/>
  <c r="A21" i="34"/>
  <c r="A20" i="34"/>
  <c r="A31" i="18"/>
  <c r="A30" i="18"/>
  <c r="A29" i="18"/>
  <c r="A28" i="18"/>
  <c r="A22" i="18"/>
  <c r="A21" i="18"/>
  <c r="A20" i="18"/>
  <c r="A22" i="15"/>
  <c r="A21" i="15"/>
  <c r="A20" i="15"/>
  <c r="A28" i="14"/>
  <c r="A27" i="14"/>
  <c r="A26" i="14"/>
  <c r="A25" i="14"/>
  <c r="A24" i="14"/>
  <c r="A22" i="14"/>
  <c r="A21" i="14"/>
  <c r="A20" i="14"/>
  <c r="A33" i="11"/>
  <c r="A32" i="11"/>
  <c r="A31" i="11"/>
  <c r="A30" i="11"/>
  <c r="A29" i="11"/>
  <c r="A28" i="11"/>
  <c r="A22" i="11"/>
  <c r="A21" i="11"/>
  <c r="A20" i="11"/>
  <c r="A41" i="13"/>
  <c r="A40" i="13"/>
  <c r="A39" i="13"/>
  <c r="A38" i="13"/>
  <c r="A37" i="13"/>
  <c r="A36" i="13"/>
  <c r="A35" i="13"/>
  <c r="A34" i="13"/>
  <c r="A33" i="13"/>
  <c r="A32" i="13"/>
  <c r="A31" i="13"/>
  <c r="A30" i="13"/>
  <c r="A22" i="13"/>
  <c r="A21" i="13"/>
  <c r="A20" i="13"/>
  <c r="A30" i="22"/>
  <c r="A29" i="22"/>
  <c r="A28" i="22"/>
  <c r="A27" i="22"/>
  <c r="A26" i="22"/>
  <c r="A25" i="22"/>
  <c r="A24" i="22"/>
  <c r="A22" i="22"/>
  <c r="A21" i="22"/>
  <c r="A20" i="22"/>
  <c r="A26" i="19"/>
  <c r="A25" i="19"/>
  <c r="A24" i="19"/>
  <c r="A22" i="19"/>
  <c r="A21" i="19"/>
  <c r="A20" i="19"/>
  <c r="D227" i="15"/>
  <c r="D7" i="47" l="1"/>
  <c r="D27" i="39"/>
  <c r="D26" i="39"/>
  <c r="D25" i="39"/>
  <c r="D24" i="39"/>
  <c r="D21" i="39"/>
  <c r="R12" i="39"/>
  <c r="Q12" i="39"/>
  <c r="P12" i="39"/>
  <c r="R11" i="39"/>
  <c r="Q11" i="39"/>
  <c r="P11" i="39"/>
  <c r="R10" i="39"/>
  <c r="Q10" i="39"/>
  <c r="P10" i="39"/>
  <c r="R9" i="39"/>
  <c r="Q9" i="39"/>
  <c r="P9" i="39"/>
  <c r="R8" i="39"/>
  <c r="Q8" i="39"/>
  <c r="P8" i="39"/>
  <c r="R7" i="39"/>
  <c r="Q7" i="39"/>
  <c r="P7" i="39"/>
  <c r="R6" i="39"/>
  <c r="D71" i="39" s="1"/>
  <c r="Q6" i="39"/>
  <c r="D70" i="39" s="1"/>
  <c r="P6" i="39"/>
  <c r="R5" i="39"/>
  <c r="Q5" i="39"/>
  <c r="D43" i="39" s="1"/>
  <c r="P5" i="39"/>
  <c r="R4" i="39"/>
  <c r="Q4" i="39"/>
  <c r="P4" i="39"/>
  <c r="D44" i="39" l="1"/>
  <c r="D53" i="39"/>
  <c r="D79" i="39"/>
  <c r="D80" i="39"/>
  <c r="D52" i="39"/>
  <c r="D61" i="39"/>
  <c r="D62" i="39"/>
  <c r="D31" i="18" l="1"/>
  <c r="D35" i="34" l="1"/>
  <c r="D34" i="34"/>
  <c r="D33" i="34"/>
  <c r="D32" i="34"/>
  <c r="D31" i="34"/>
  <c r="D30" i="34"/>
  <c r="D29" i="34"/>
  <c r="D22" i="34"/>
  <c r="R12" i="34"/>
  <c r="Q12" i="34"/>
  <c r="P12" i="34"/>
  <c r="R11" i="34"/>
  <c r="D221" i="34" s="1"/>
  <c r="Q11" i="34"/>
  <c r="D220" i="34" s="1"/>
  <c r="P11" i="34"/>
  <c r="R10" i="34"/>
  <c r="Q10" i="34"/>
  <c r="P10" i="34"/>
  <c r="R9" i="34"/>
  <c r="Q9" i="34"/>
  <c r="P9" i="34"/>
  <c r="R8" i="34"/>
  <c r="Q8" i="34"/>
  <c r="P8" i="34"/>
  <c r="R7" i="34"/>
  <c r="Q7" i="34"/>
  <c r="P7" i="34"/>
  <c r="R6" i="34"/>
  <c r="Q6" i="34"/>
  <c r="P6" i="34"/>
  <c r="R5" i="34"/>
  <c r="Q5" i="34"/>
  <c r="P5" i="34"/>
  <c r="R4" i="34"/>
  <c r="Q4" i="34"/>
  <c r="P4" i="34"/>
  <c r="D362" i="34" l="1"/>
  <c r="D363" i="34"/>
  <c r="D110" i="34"/>
  <c r="D100" i="34"/>
  <c r="D112" i="34"/>
  <c r="D102" i="34"/>
  <c r="D92" i="34"/>
  <c r="D82" i="34"/>
  <c r="D90" i="34"/>
  <c r="D80" i="34"/>
  <c r="D41" i="34"/>
  <c r="D40" i="34"/>
  <c r="D312" i="34"/>
  <c r="D352" i="34"/>
  <c r="D313" i="34"/>
  <c r="D353" i="34"/>
  <c r="D190" i="34"/>
  <c r="D120" i="34"/>
  <c r="D170" i="34"/>
  <c r="D210" i="34"/>
  <c r="D160" i="34"/>
  <c r="D140" i="34"/>
  <c r="D200" i="34"/>
  <c r="D180" i="34"/>
  <c r="D130" i="34"/>
  <c r="D150" i="34"/>
  <c r="D211" i="34"/>
  <c r="D161" i="34"/>
  <c r="D141" i="34"/>
  <c r="D131" i="34"/>
  <c r="D191" i="34"/>
  <c r="D123" i="34"/>
  <c r="D181" i="34"/>
  <c r="D171" i="34"/>
  <c r="D151" i="34"/>
  <c r="D201" i="34"/>
  <c r="D333" i="34"/>
  <c r="D343" i="34"/>
  <c r="D323" i="34"/>
  <c r="D60" i="34"/>
  <c r="D50" i="34"/>
  <c r="D70" i="34"/>
  <c r="D51" i="34"/>
  <c r="D73" i="34"/>
  <c r="D61" i="34"/>
  <c r="D242" i="34"/>
  <c r="D282" i="34"/>
  <c r="D272" i="34"/>
  <c r="D252" i="34"/>
  <c r="D292" i="34"/>
  <c r="D232" i="34"/>
  <c r="D262" i="34"/>
  <c r="D302" i="34"/>
  <c r="D342" i="34"/>
  <c r="D322" i="34"/>
  <c r="D332" i="34"/>
  <c r="D263" i="34"/>
  <c r="D303" i="34"/>
  <c r="D253" i="34"/>
  <c r="D233" i="34"/>
  <c r="D273" i="34"/>
  <c r="D293" i="34"/>
  <c r="D243" i="34"/>
  <c r="D283" i="34"/>
  <c r="D28" i="11" l="1"/>
  <c r="D28" i="14"/>
  <c r="D27" i="14"/>
  <c r="D26" i="14"/>
  <c r="D25" i="14"/>
  <c r="D24" i="14"/>
  <c r="D33" i="11"/>
  <c r="D32" i="11"/>
  <c r="D31" i="11"/>
  <c r="D30" i="11"/>
  <c r="D29" i="11"/>
  <c r="D30" i="18"/>
  <c r="D29" i="18"/>
  <c r="D28" i="18"/>
  <c r="D41" i="13" l="1"/>
  <c r="D40" i="13"/>
  <c r="D39" i="13"/>
  <c r="D30" i="22"/>
  <c r="D29" i="22"/>
  <c r="D28" i="22"/>
  <c r="D27" i="22"/>
  <c r="D26" i="22"/>
  <c r="D25" i="22"/>
  <c r="D38" i="13"/>
  <c r="D37" i="13"/>
  <c r="D36" i="13"/>
  <c r="D35" i="13"/>
  <c r="D34" i="13"/>
  <c r="D33" i="13"/>
  <c r="D32" i="13"/>
  <c r="D31" i="13"/>
  <c r="D25" i="19"/>
  <c r="D28" i="3"/>
  <c r="D24" i="22"/>
  <c r="A5" i="29" l="1"/>
  <c r="A6" i="29"/>
  <c r="A7" i="29"/>
  <c r="A4" i="29"/>
  <c r="D7" i="29"/>
  <c r="F7" i="9"/>
  <c r="F36" i="9" l="1"/>
  <c r="F11" i="9"/>
  <c r="F9" i="9"/>
  <c r="F8" i="9"/>
  <c r="F10" i="9"/>
  <c r="F42" i="9"/>
  <c r="D30" i="13" l="1"/>
  <c r="D24" i="19"/>
  <c r="D27" i="3"/>
  <c r="D26" i="3"/>
  <c r="D25" i="3"/>
  <c r="D24" i="3"/>
  <c r="D21" i="22" l="1"/>
  <c r="R12" i="22"/>
  <c r="Q12" i="22"/>
  <c r="P12" i="22"/>
  <c r="R11" i="22"/>
  <c r="Q11" i="22"/>
  <c r="P11" i="22"/>
  <c r="R10" i="22"/>
  <c r="Q10" i="22"/>
  <c r="P10" i="22"/>
  <c r="R9" i="22"/>
  <c r="Q9" i="22"/>
  <c r="P9" i="22"/>
  <c r="R8" i="22"/>
  <c r="D229" i="22" s="1"/>
  <c r="Q8" i="22"/>
  <c r="D227" i="22" s="1"/>
  <c r="P8" i="22"/>
  <c r="R7" i="22"/>
  <c r="Q7" i="22"/>
  <c r="P7" i="22"/>
  <c r="R6" i="22"/>
  <c r="D67" i="22" s="1"/>
  <c r="Q6" i="22"/>
  <c r="D65" i="22" s="1"/>
  <c r="P6" i="22"/>
  <c r="R5" i="22"/>
  <c r="Q5" i="22"/>
  <c r="P5" i="22"/>
  <c r="R4" i="22"/>
  <c r="Q4" i="22"/>
  <c r="P4" i="22"/>
  <c r="D21" i="19"/>
  <c r="R12" i="19"/>
  <c r="Q12" i="19"/>
  <c r="P12" i="19"/>
  <c r="R11" i="19"/>
  <c r="D75" i="19" s="1"/>
  <c r="Q11" i="19"/>
  <c r="D73" i="19" s="1"/>
  <c r="P11" i="19"/>
  <c r="R10" i="19"/>
  <c r="D65" i="19" s="1"/>
  <c r="Q10" i="19"/>
  <c r="D63" i="19" s="1"/>
  <c r="P10" i="19"/>
  <c r="R9" i="19"/>
  <c r="D55" i="19" s="1"/>
  <c r="Q9" i="19"/>
  <c r="D53" i="19" s="1"/>
  <c r="P9" i="19"/>
  <c r="R8" i="19"/>
  <c r="Q8" i="19"/>
  <c r="P8" i="19"/>
  <c r="R7" i="19"/>
  <c r="Q7" i="19"/>
  <c r="P7" i="19"/>
  <c r="R6" i="19"/>
  <c r="D35" i="19" s="1"/>
  <c r="Q6" i="19"/>
  <c r="D33" i="19" s="1"/>
  <c r="P6" i="19"/>
  <c r="R5" i="19"/>
  <c r="Q5" i="19"/>
  <c r="P5" i="19"/>
  <c r="R4" i="19"/>
  <c r="Q4" i="19"/>
  <c r="P4" i="19"/>
  <c r="D45" i="22" l="1"/>
  <c r="D55" i="22"/>
  <c r="D47" i="22"/>
  <c r="D57" i="22"/>
  <c r="D45" i="19"/>
  <c r="D43" i="19"/>
  <c r="D115" i="22"/>
  <c r="D95" i="22"/>
  <c r="D75" i="22"/>
  <c r="D125" i="22"/>
  <c r="D105" i="22"/>
  <c r="D85" i="22"/>
  <c r="D117" i="22"/>
  <c r="D97" i="22"/>
  <c r="D77" i="22"/>
  <c r="D127" i="22"/>
  <c r="D107" i="22"/>
  <c r="D87" i="22"/>
  <c r="D185" i="22"/>
  <c r="D187" i="22"/>
  <c r="D199" i="22"/>
  <c r="D165" i="22"/>
  <c r="D145" i="22"/>
  <c r="D175" i="22"/>
  <c r="D209" i="22"/>
  <c r="D35" i="22"/>
  <c r="D137" i="22"/>
  <c r="D157" i="22"/>
  <c r="D217" i="22"/>
  <c r="D197" i="22"/>
  <c r="D37" i="22"/>
  <c r="D135" i="22"/>
  <c r="D147" i="22"/>
  <c r="D155" i="22"/>
  <c r="D167" i="22"/>
  <c r="D177" i="22"/>
  <c r="D207" i="22"/>
  <c r="D219" i="22"/>
  <c r="D85" i="19"/>
  <c r="D87" i="19"/>
  <c r="D22" i="18"/>
  <c r="R12" i="18"/>
  <c r="Q12" i="18"/>
  <c r="P12" i="18"/>
  <c r="R11" i="18"/>
  <c r="D115" i="18" s="1"/>
  <c r="Q11" i="18"/>
  <c r="D116" i="18" s="1"/>
  <c r="P11" i="18"/>
  <c r="R10" i="18"/>
  <c r="Q10" i="18"/>
  <c r="P10" i="18"/>
  <c r="R9" i="18"/>
  <c r="Q9" i="18"/>
  <c r="D90" i="18" s="1"/>
  <c r="P9" i="18"/>
  <c r="R8" i="18"/>
  <c r="D127" i="18" s="1"/>
  <c r="Q8" i="18"/>
  <c r="D138" i="18" s="1"/>
  <c r="P8" i="18"/>
  <c r="R7" i="18"/>
  <c r="Q7" i="18"/>
  <c r="P7" i="18"/>
  <c r="R6" i="18"/>
  <c r="Q6" i="18"/>
  <c r="P6" i="18"/>
  <c r="R5" i="18"/>
  <c r="Q5" i="18"/>
  <c r="P5" i="18"/>
  <c r="R4" i="18"/>
  <c r="Q4" i="18"/>
  <c r="P4" i="18"/>
  <c r="D22" i="15"/>
  <c r="R12" i="15"/>
  <c r="Q12" i="15"/>
  <c r="D240" i="15" s="1"/>
  <c r="P12" i="15"/>
  <c r="R11" i="15"/>
  <c r="D43" i="15" s="1"/>
  <c r="Q11" i="15"/>
  <c r="D44" i="15" s="1"/>
  <c r="P11" i="15"/>
  <c r="R10" i="15"/>
  <c r="Q10" i="15"/>
  <c r="P10" i="15"/>
  <c r="R9" i="15"/>
  <c r="Q9" i="15"/>
  <c r="D207" i="15" s="1"/>
  <c r="P9" i="15"/>
  <c r="R8" i="15"/>
  <c r="D65" i="15" s="1"/>
  <c r="Q8" i="15"/>
  <c r="D66" i="15" s="1"/>
  <c r="P8" i="15"/>
  <c r="R7" i="15"/>
  <c r="Q7" i="15"/>
  <c r="P7" i="15"/>
  <c r="R6" i="15"/>
  <c r="D269" i="15" s="1"/>
  <c r="Q6" i="15"/>
  <c r="D173" i="15" s="1"/>
  <c r="P6" i="15"/>
  <c r="R5" i="15"/>
  <c r="D272" i="15" s="1"/>
  <c r="Q5" i="15"/>
  <c r="D271" i="15" s="1"/>
  <c r="P5" i="15"/>
  <c r="R4" i="15"/>
  <c r="Q4" i="15"/>
  <c r="P4" i="15"/>
  <c r="D22" i="14"/>
  <c r="R12" i="14"/>
  <c r="Q12" i="14"/>
  <c r="P12" i="14"/>
  <c r="R11" i="14"/>
  <c r="D165" i="14" s="1"/>
  <c r="Q11" i="14"/>
  <c r="D166" i="14" s="1"/>
  <c r="P11" i="14"/>
  <c r="R10" i="14"/>
  <c r="Q10" i="14"/>
  <c r="P10" i="14"/>
  <c r="R9" i="14"/>
  <c r="Q9" i="14"/>
  <c r="D146" i="14" s="1"/>
  <c r="P9" i="14"/>
  <c r="R8" i="14"/>
  <c r="D177" i="14" s="1"/>
  <c r="Q8" i="14"/>
  <c r="D178" i="14" s="1"/>
  <c r="P8" i="14"/>
  <c r="R7" i="14"/>
  <c r="Q7" i="14"/>
  <c r="P7" i="14"/>
  <c r="R6" i="14"/>
  <c r="Q6" i="14"/>
  <c r="P6" i="14"/>
  <c r="R5" i="14"/>
  <c r="D34" i="14" s="1"/>
  <c r="Q5" i="14"/>
  <c r="D33" i="14" s="1"/>
  <c r="P5" i="14"/>
  <c r="R4" i="14"/>
  <c r="Q4" i="14"/>
  <c r="P4" i="14"/>
  <c r="D75" i="18" l="1"/>
  <c r="D50" i="18"/>
  <c r="D58" i="18"/>
  <c r="D53" i="18"/>
  <c r="D57" i="18"/>
  <c r="D76" i="18"/>
  <c r="D84" i="14"/>
  <c r="D75" i="14"/>
  <c r="D105" i="14"/>
  <c r="D63" i="14"/>
  <c r="D94" i="14"/>
  <c r="D106" i="14"/>
  <c r="D66" i="14"/>
  <c r="D93" i="14"/>
  <c r="D83" i="14"/>
  <c r="D76" i="14"/>
  <c r="D85" i="18"/>
  <c r="D98" i="18"/>
  <c r="D89" i="18"/>
  <c r="D114" i="14"/>
  <c r="D154" i="14"/>
  <c r="D145" i="14"/>
  <c r="D125" i="14"/>
  <c r="D135" i="14"/>
  <c r="D215" i="15"/>
  <c r="D187" i="14"/>
  <c r="D188" i="14"/>
  <c r="D86" i="18"/>
  <c r="D97" i="18"/>
  <c r="D128" i="18"/>
  <c r="D37" i="18"/>
  <c r="D137" i="18"/>
  <c r="D38" i="18"/>
  <c r="D76" i="15"/>
  <c r="D110" i="15"/>
  <c r="D113" i="15"/>
  <c r="D144" i="15"/>
  <c r="D203" i="15"/>
  <c r="D206" i="15"/>
  <c r="D132" i="15"/>
  <c r="D134" i="15"/>
  <c r="D155" i="15"/>
  <c r="D172" i="15"/>
  <c r="D174" i="15"/>
  <c r="D193" i="15"/>
  <c r="D214" i="15"/>
  <c r="D270" i="15"/>
  <c r="D75" i="15"/>
  <c r="D145" i="15"/>
  <c r="D202" i="15"/>
  <c r="D133" i="15"/>
  <c r="D135" i="15"/>
  <c r="D154" i="15"/>
  <c r="D175" i="15"/>
  <c r="D192" i="15"/>
  <c r="D44" i="14"/>
  <c r="D136" i="14"/>
  <c r="D55" i="14"/>
  <c r="D126" i="14"/>
  <c r="D56" i="14"/>
  <c r="D43" i="14"/>
  <c r="D113" i="14"/>
  <c r="D153" i="14"/>
  <c r="D22" i="11"/>
  <c r="D21" i="3" l="1"/>
  <c r="D22" i="13"/>
  <c r="R12" i="13"/>
  <c r="Q12" i="13"/>
  <c r="P12" i="13"/>
  <c r="R11" i="13"/>
  <c r="D293" i="13" s="1"/>
  <c r="Q11" i="13"/>
  <c r="D292" i="13" s="1"/>
  <c r="P11" i="13"/>
  <c r="R10" i="13"/>
  <c r="Q10" i="13"/>
  <c r="P10" i="13"/>
  <c r="R9" i="13"/>
  <c r="D305" i="13" s="1"/>
  <c r="Q9" i="13"/>
  <c r="D414" i="13" s="1"/>
  <c r="P9" i="13"/>
  <c r="R8" i="13"/>
  <c r="D485" i="13" s="1"/>
  <c r="Q8" i="13"/>
  <c r="D484" i="13" s="1"/>
  <c r="P8" i="13"/>
  <c r="R7" i="13"/>
  <c r="D153" i="13" s="1"/>
  <c r="Q7" i="13"/>
  <c r="D152" i="13" s="1"/>
  <c r="P7" i="13"/>
  <c r="R6" i="13"/>
  <c r="Q6" i="13"/>
  <c r="P6" i="13"/>
  <c r="R5" i="13"/>
  <c r="D53" i="13" s="1"/>
  <c r="Q5" i="13"/>
  <c r="D52" i="13" s="1"/>
  <c r="P5" i="13"/>
  <c r="R4" i="13"/>
  <c r="Q4" i="13"/>
  <c r="P4" i="13"/>
  <c r="D133" i="13" l="1"/>
  <c r="D143" i="13"/>
  <c r="D132" i="13"/>
  <c r="D142" i="13"/>
  <c r="D112" i="13"/>
  <c r="D122" i="13"/>
  <c r="D113" i="13"/>
  <c r="D123" i="13"/>
  <c r="D495" i="13"/>
  <c r="D424" i="13"/>
  <c r="D494" i="13"/>
  <c r="D425" i="13"/>
  <c r="D455" i="13"/>
  <c r="D272" i="13"/>
  <c r="D282" i="13"/>
  <c r="D283" i="13"/>
  <c r="D273" i="13"/>
  <c r="D202" i="13"/>
  <c r="D162" i="13"/>
  <c r="D232" i="13"/>
  <c r="D262" i="13"/>
  <c r="D242" i="13"/>
  <c r="D222" i="13"/>
  <c r="D182" i="13"/>
  <c r="D212" i="13"/>
  <c r="D192" i="13"/>
  <c r="D172" i="13"/>
  <c r="D252" i="13"/>
  <c r="D263" i="13"/>
  <c r="D243" i="13"/>
  <c r="D223" i="13"/>
  <c r="D183" i="13"/>
  <c r="D173" i="13"/>
  <c r="D203" i="13"/>
  <c r="D165" i="13"/>
  <c r="D213" i="13"/>
  <c r="D253" i="13"/>
  <c r="D233" i="13"/>
  <c r="D193" i="13"/>
  <c r="D315" i="13"/>
  <c r="D385" i="13"/>
  <c r="D345" i="13"/>
  <c r="D355" i="13"/>
  <c r="D415" i="13"/>
  <c r="D375" i="13"/>
  <c r="D335" i="13"/>
  <c r="D405" i="13"/>
  <c r="D365" i="13"/>
  <c r="D325" i="13"/>
  <c r="D395" i="13"/>
  <c r="D62" i="13"/>
  <c r="D465" i="13"/>
  <c r="D474" i="13"/>
  <c r="D324" i="13"/>
  <c r="D364" i="13"/>
  <c r="D404" i="13"/>
  <c r="D73" i="13"/>
  <c r="D435" i="13"/>
  <c r="D475" i="13"/>
  <c r="D344" i="13"/>
  <c r="D384" i="13"/>
  <c r="D304" i="13"/>
  <c r="D93" i="13"/>
  <c r="D65" i="13"/>
  <c r="D82" i="13"/>
  <c r="D102" i="13"/>
  <c r="D444" i="13"/>
  <c r="D464" i="13"/>
  <c r="D314" i="13"/>
  <c r="D334" i="13"/>
  <c r="D354" i="13"/>
  <c r="D374" i="13"/>
  <c r="D394" i="13"/>
  <c r="D72" i="13"/>
  <c r="D92" i="13"/>
  <c r="D434" i="13"/>
  <c r="D454" i="13"/>
  <c r="D83" i="13"/>
  <c r="D103" i="13"/>
  <c r="D445" i="13"/>
  <c r="R12" i="11"/>
  <c r="Q12" i="11"/>
  <c r="P12" i="11"/>
  <c r="R11" i="11"/>
  <c r="D106" i="11" s="1"/>
  <c r="Q11" i="11"/>
  <c r="D107" i="11" s="1"/>
  <c r="P11" i="11"/>
  <c r="R10" i="11"/>
  <c r="Q10" i="11"/>
  <c r="P10" i="11"/>
  <c r="R9" i="11"/>
  <c r="Q9" i="11"/>
  <c r="P9" i="11"/>
  <c r="R8" i="11"/>
  <c r="Q8" i="11"/>
  <c r="P8" i="11"/>
  <c r="R7" i="11"/>
  <c r="Q7" i="11"/>
  <c r="P7" i="11"/>
  <c r="R6" i="11"/>
  <c r="Q6" i="11"/>
  <c r="P6" i="11"/>
  <c r="R5" i="11"/>
  <c r="Q5" i="11"/>
  <c r="P5" i="11"/>
  <c r="R4" i="11"/>
  <c r="Q4" i="11"/>
  <c r="P4" i="11"/>
  <c r="D97" i="11" l="1"/>
  <c r="D77" i="11"/>
  <c r="D57" i="11"/>
  <c r="D87" i="11"/>
  <c r="D67" i="11"/>
  <c r="D56" i="11"/>
  <c r="D96" i="11"/>
  <c r="D76" i="11"/>
  <c r="D66" i="11"/>
  <c r="D86" i="11"/>
  <c r="D158" i="11"/>
  <c r="D128" i="11"/>
  <c r="D148" i="11"/>
  <c r="D138" i="11"/>
  <c r="D118" i="11"/>
  <c r="D46" i="11"/>
  <c r="D139" i="11"/>
  <c r="D149" i="11"/>
  <c r="D159" i="11"/>
  <c r="D129" i="11"/>
  <c r="D119" i="11"/>
  <c r="D47" i="11"/>
  <c r="D168" i="11"/>
  <c r="D188" i="11"/>
  <c r="D178" i="11"/>
  <c r="D198" i="11"/>
  <c r="D199" i="11"/>
  <c r="D189" i="11"/>
  <c r="D179" i="11"/>
  <c r="D169" i="11"/>
  <c r="P10" i="3"/>
  <c r="Q10" i="3"/>
  <c r="D215" i="3" s="1"/>
  <c r="R10" i="3"/>
  <c r="D217" i="3" s="1"/>
  <c r="P11" i="3"/>
  <c r="Q11" i="3"/>
  <c r="D153" i="3" s="1"/>
  <c r="R11" i="3"/>
  <c r="D155" i="3" s="1"/>
  <c r="P12" i="3"/>
  <c r="Q12" i="3"/>
  <c r="R12" i="3"/>
  <c r="P4" i="3" l="1"/>
  <c r="Q4" i="3"/>
  <c r="R4" i="3"/>
  <c r="P5" i="3"/>
  <c r="Q5" i="3"/>
  <c r="D44" i="3" s="1"/>
  <c r="R5" i="3"/>
  <c r="D45" i="3" s="1"/>
  <c r="P6" i="3"/>
  <c r="Q6" i="3"/>
  <c r="D55" i="3" s="1"/>
  <c r="R6" i="3"/>
  <c r="D54" i="3" s="1"/>
  <c r="P7" i="3"/>
  <c r="Q7" i="3"/>
  <c r="D134" i="3" s="1"/>
  <c r="R7" i="3"/>
  <c r="D135" i="3" s="1"/>
  <c r="P8" i="3"/>
  <c r="Q8" i="3"/>
  <c r="D166" i="3" s="1"/>
  <c r="R8" i="3"/>
  <c r="D165" i="3" s="1"/>
  <c r="P9" i="3"/>
  <c r="Q9" i="3"/>
  <c r="D143" i="3" s="1"/>
  <c r="R9" i="3"/>
  <c r="D144" i="3" s="1"/>
  <c r="D95" i="3" l="1"/>
  <c r="D115" i="3"/>
  <c r="D125" i="3"/>
  <c r="D105" i="3"/>
  <c r="D94" i="3"/>
  <c r="D114" i="3"/>
  <c r="D124" i="3"/>
  <c r="D104" i="3"/>
  <c r="D177" i="3"/>
  <c r="D207" i="3"/>
  <c r="D187" i="3"/>
  <c r="D197" i="3"/>
  <c r="D205" i="3"/>
  <c r="D185" i="3"/>
  <c r="D195" i="3"/>
  <c r="D175" i="3"/>
  <c r="D84" i="3"/>
  <c r="D85" i="3"/>
  <c r="D75" i="3"/>
  <c r="D74" i="3"/>
  <c r="D34" i="3"/>
  <c r="D64" i="3"/>
  <c r="D35" i="3"/>
  <c r="D65" i="3"/>
  <c r="B4" i="121" l="1"/>
  <c r="B6" i="144" l="1"/>
  <c r="C6" i="144"/>
  <c r="D6" i="144"/>
  <c r="D5" i="144"/>
  <c r="I5" i="144"/>
  <c r="E6" i="144" l="1"/>
  <c r="E5" i="14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IM_sp_MON" type="6" refreshedVersion="3" deleted="1" background="1" saveData="1">
    <textPr codePage="1251" sourceFile="C:\Users\GA\Desktop\IM_sp_MON.csv" decimal="," thousands=" " comma="1">
      <textFields count="4">
        <textField/>
        <textField/>
        <textField/>
        <textField/>
      </textFields>
    </textPr>
  </connection>
  <connection id="2" xr16:uid="{00000000-0015-0000-FFFF-FFFF01000000}" name="IM_sp_MON1" type="6" refreshedVersion="3" deleted="1" background="1" saveData="1">
    <textPr codePage="1251" sourceFile="C:\Users\GA\Desktop\IM_sp_MON.csv" decimal="," thousands=" " comma="1">
      <textFields count="4">
        <textField/>
        <textField/>
        <textField/>
        <textField/>
      </textFields>
    </textPr>
  </connection>
  <connection id="3" xr16:uid="{00000000-0015-0000-FFFF-FFFF02000000}" name="IM_sp_MON11" type="6" refreshedVersion="3" deleted="1" background="1" saveData="1">
    <textPr codePage="1251" sourceFile="C:\Users\GA\Desktop\IM_sp_MON.csv" decimal="," thousands=" " comma="1">
      <textFields count="4">
        <textField/>
        <textField/>
        <textField/>
        <textField/>
      </textFields>
    </textPr>
  </connection>
  <connection id="4" xr16:uid="{00000000-0015-0000-FFFF-FFFF03000000}" name="IM_sp_MON21" type="6" refreshedVersion="3" deleted="1" background="1" saveData="1">
    <textPr codePage="1251" sourceFile="C:\Users\GA\Desktop\IM_sp_MON.csv" decimal="," thousands=" " comma="1">
      <textFields count="4">
        <textField/>
        <textField/>
        <textField/>
        <textField/>
      </textFields>
    </textPr>
  </connection>
  <connection id="5" xr16:uid="{00000000-0015-0000-FFFF-FFFF04000000}" name="IM_sp_MON22" type="6" refreshedVersion="3" deleted="1" background="1" saveData="1">
    <textPr codePage="1251" sourceFile="C:\Users\GA\Desktop\IM_sp_MON.csv" decimal="," thousands=" " comma="1">
      <textFields count="4">
        <textField/>
        <textField/>
        <textField/>
        <textField/>
      </textFields>
    </textPr>
  </connection>
  <connection id="6" xr16:uid="{00000000-0015-0000-FFFF-FFFF05000000}" name="IM_sp_MON221" type="6" refreshedVersion="3" deleted="1" background="1" saveData="1">
    <textPr codePage="1251" sourceFile="C:\Users\GA\Desktop\IM_sp_MON.csv" decimal="," thousands=" " comma="1">
      <textFields count="4">
        <textField/>
        <textField/>
        <textField/>
        <textField/>
      </textFields>
    </textPr>
  </connection>
  <connection id="7" xr16:uid="{00000000-0015-0000-FFFF-FFFF06000000}" name="IM_sp_MON222" type="6" refreshedVersion="3" deleted="1" background="1" saveData="1">
    <textPr codePage="1251" sourceFile="C:\Users\GA\Desktop\IM_sp_MON.csv" decimal="," thousands=" " comma="1">
      <textFields count="4">
        <textField/>
        <textField/>
        <textField/>
        <textField/>
      </textFields>
    </textPr>
  </connection>
  <connection id="8" xr16:uid="{00000000-0015-0000-FFFF-FFFF07000000}" name="IM_st_MON" type="6" refreshedVersion="3" deleted="1" background="1" saveData="1">
    <textPr sourceFile="C:\Users\GA\Desktop\IM_st_MON.csv" decimal="," thousands=" " tab="0" comma="1">
      <textFields count="4">
        <textField/>
        <textField/>
        <textField/>
        <textField/>
      </textFields>
    </textPr>
  </connection>
</connections>
</file>

<file path=xl/sharedStrings.xml><?xml version="1.0" encoding="utf-8"?>
<sst xmlns="http://schemas.openxmlformats.org/spreadsheetml/2006/main" count="54909" uniqueCount="5191">
  <si>
    <t>vt_bstr</t>
  </si>
  <si>
    <t>vt_i2</t>
  </si>
  <si>
    <t>vt_bool</t>
  </si>
  <si>
    <t xml:space="preserve"> False</t>
  </si>
  <si>
    <t>vt_ui2</t>
  </si>
  <si>
    <t>vt_ui4</t>
  </si>
  <si>
    <t>vt_i4</t>
  </si>
  <si>
    <t>Блокировка по сработке верхней аварийной уставки</t>
  </si>
  <si>
    <t>Блокировка по сработке верхней предупредительной уставки</t>
  </si>
  <si>
    <t>Блокировка по сработке нижней аварийной уставки</t>
  </si>
  <si>
    <t>Блокировка по сработке нижней предупредительной уставки</t>
  </si>
  <si>
    <t>Выведен из алгоритма</t>
  </si>
  <si>
    <t>Режим формирования верхней аварийной сигнализации</t>
  </si>
  <si>
    <t>Режим формирования верхней предупредительной сигнализации</t>
  </si>
  <si>
    <t>Режим формирования нижней аварийной сигнализации</t>
  </si>
  <si>
    <t>Режим формирования нижней предупредительной сигнализации</t>
  </si>
  <si>
    <t>Вывести из алгоритма от оператора</t>
  </si>
  <si>
    <t>Режим формирования верхней аварийной уставки</t>
  </si>
  <si>
    <t>Режим формирования верхней предупредительной уставки</t>
  </si>
  <si>
    <t>Включить имитацию от оператора</t>
  </si>
  <si>
    <t>Режим формирования нижней аварийной уставки</t>
  </si>
  <si>
    <t>Режим формирования нижней предупредительной уставки</t>
  </si>
  <si>
    <t>Режим отсечки нуля</t>
  </si>
  <si>
    <t>Мёртвая зона</t>
  </si>
  <si>
    <t>Лимит выхода параметра за границу шкалы</t>
  </si>
  <si>
    <t>Время фильтрации</t>
  </si>
  <si>
    <t>Уставка верхняя аварийная</t>
  </si>
  <si>
    <t>Верхняя шкала датчика</t>
  </si>
  <si>
    <t>Уставка верхняя предупредительная</t>
  </si>
  <si>
    <t>Задание имитации</t>
  </si>
  <si>
    <t>Уставка нижняя аварийная</t>
  </si>
  <si>
    <t>Нижняя шкала датчика</t>
  </si>
  <si>
    <t>Уставка нижняя предупредительная</t>
  </si>
  <si>
    <t>Уставка скорости изменения параметра</t>
  </si>
  <si>
    <t>Время задержки срабатывания сигнализации</t>
  </si>
  <si>
    <t>Уставка значения отсечки нуля</t>
  </si>
  <si>
    <t>Обрыв цепи</t>
  </si>
  <si>
    <t>КЗ цепи</t>
  </si>
  <si>
    <t>Выход за верхний предел шкалы датчика</t>
  </si>
  <si>
    <t>Выход за нижний предел шкалы датчика</t>
  </si>
  <si>
    <t>Предельная скорость изменения параметра</t>
  </si>
  <si>
    <t>Сигнализация отсечки нуля</t>
  </si>
  <si>
    <t>Входное значение</t>
  </si>
  <si>
    <t>___</t>
  </si>
  <si>
    <t>Верхняя шкала входного значения</t>
  </si>
  <si>
    <t>Нижняя шкала входного значения</t>
  </si>
  <si>
    <t>Сработка верхней аварийной сигнализации</t>
  </si>
  <si>
    <t>Сработка верхней предупредительной сигнализации</t>
  </si>
  <si>
    <t>Сработка нижней аварийной сигнализации</t>
  </si>
  <si>
    <t>Сработка нижней предупредительной сигнализации</t>
  </si>
  <si>
    <t>Выходное значение в процентах</t>
  </si>
  <si>
    <t>Мнемосхема</t>
  </si>
  <si>
    <t>OPC сервер</t>
  </si>
  <si>
    <t>OPC путь</t>
  </si>
  <si>
    <t>Звук</t>
  </si>
  <si>
    <t>Важность</t>
  </si>
  <si>
    <t>Событие</t>
  </si>
  <si>
    <t>Name</t>
  </si>
  <si>
    <t>Type</t>
  </si>
  <si>
    <t>ADDR_MOD</t>
  </si>
  <si>
    <t>Library</t>
  </si>
  <si>
    <t>Length</t>
  </si>
  <si>
    <t>Value</t>
  </si>
  <si>
    <t>Attribute</t>
  </si>
  <si>
    <t>Save</t>
  </si>
  <si>
    <t>Access</t>
  </si>
  <si>
    <t>MOD_BUS</t>
  </si>
  <si>
    <t>EDU</t>
  </si>
  <si>
    <t>Comment</t>
  </si>
  <si>
    <t>R</t>
  </si>
  <si>
    <t>0.000000</t>
  </si>
  <si>
    <t>Internal</t>
  </si>
  <si>
    <t>FALSE</t>
  </si>
  <si>
    <t>RW</t>
  </si>
  <si>
    <t>B</t>
  </si>
  <si>
    <t>20.000000</t>
  </si>
  <si>
    <t>TRUE</t>
  </si>
  <si>
    <t>4.000000</t>
  </si>
  <si>
    <t>I</t>
  </si>
  <si>
    <t xml:space="preserve">Префикс </t>
  </si>
  <si>
    <t>vt_r4</t>
  </si>
  <si>
    <t>Имитация</t>
  </si>
  <si>
    <t>Сработка сигнализации отсечки нуля</t>
  </si>
  <si>
    <t>Недостоверное значение</t>
  </si>
  <si>
    <t>Фильтр</t>
  </si>
  <si>
    <t>Сработка верхней аварийной уставки</t>
  </si>
  <si>
    <t>Сработка верхней предупредительной уставки</t>
  </si>
  <si>
    <t>Сработка нижней аварийной уставки</t>
  </si>
  <si>
    <t>Сработка нижней предупредительной уставки</t>
  </si>
  <si>
    <t>Ремонт</t>
  </si>
  <si>
    <t>Ремонт (команда)</t>
  </si>
  <si>
    <t>if(#1.FXXX) {#1.XVLX.3=0;} else {#1.XVLX.3=192;}</t>
  </si>
  <si>
    <t>Входное значение Отключен (физ сигнал)</t>
  </si>
  <si>
    <t>Входное значение тележка Вкачена (физ сигнал)</t>
  </si>
  <si>
    <t>Команда перевести в ручной режим управления</t>
  </si>
  <si>
    <t>Недостоверное Входное значение тележка Вкачена</t>
  </si>
  <si>
    <t>Недостоверность: входное значение Вкачен</t>
  </si>
  <si>
    <t>Недостоверное Входное значение Отключен</t>
  </si>
  <si>
    <t>Недостоверность: входное значение Отключен</t>
  </si>
  <si>
    <t>Недостоверное Выходное  значение включить</t>
  </si>
  <si>
    <t>Недостоверность: выходное значение Включить</t>
  </si>
  <si>
    <t>Недостоверное Выходное значение отключить</t>
  </si>
  <si>
    <t>Недостоверность: выходное значение Отключить</t>
  </si>
  <si>
    <t>Недостоверное Выходное значение Стоп</t>
  </si>
  <si>
    <t>Недостоверность: входное значение Неисправность</t>
  </si>
  <si>
    <t>Недостоверность: входное значение Дистанционное управление</t>
  </si>
  <si>
    <t>Входное значение тележка Выкачена (физ сигнал)</t>
  </si>
  <si>
    <t>Входное значение Включен (физ сигнал)</t>
  </si>
  <si>
    <t>Входное значение аварийное отключение НО (физ сигнал)</t>
  </si>
  <si>
    <t>Входное значение аварийное отключение НЗ (физ сигнал)</t>
  </si>
  <si>
    <t>Неисправность</t>
  </si>
  <si>
    <t>Команда оператора стоп</t>
  </si>
  <si>
    <t>Команда оператора включить</t>
  </si>
  <si>
    <t>Команда оператора вывести в ремонт</t>
  </si>
  <si>
    <t>Команда сброс ошибок</t>
  </si>
  <si>
    <t>Разрешение на перевод в ручной режим</t>
  </si>
  <si>
    <t>Сброс наработки</t>
  </si>
  <si>
    <t>Недостоверное Входное значение аварийное отключение НО (физ сигнал)</t>
  </si>
  <si>
    <t>Недостоверность: входное значение Аварийное отключение</t>
  </si>
  <si>
    <t>Недостоверное Входное значение аварийное отключение НЗ (физ сигнал)</t>
  </si>
  <si>
    <t>Недостоверное Входное значение тележка Выкачена</t>
  </si>
  <si>
    <t>Недостоверность: входное значение Выкачен</t>
  </si>
  <si>
    <t>Недостоверное Входное значение Включен</t>
  </si>
  <si>
    <t>Недостоверность: входное значение Включен</t>
  </si>
  <si>
    <t>Команда оператора отключить</t>
  </si>
  <si>
    <t>Уставка наработки по концевикам</t>
  </si>
  <si>
    <t>Уставка наработки по аварийному отключению</t>
  </si>
  <si>
    <t>Время подачи команды</t>
  </si>
  <si>
    <t>Время перестановки</t>
  </si>
  <si>
    <t>Время дожима концевика</t>
  </si>
  <si>
    <t xml:space="preserve"> True</t>
  </si>
  <si>
    <t>Выходное значение включить</t>
  </si>
  <si>
    <t>Выходное значение Отключить</t>
  </si>
  <si>
    <t>Выходное значение Стоп</t>
  </si>
  <si>
    <t>Ручное управление</t>
  </si>
  <si>
    <t>Выходное значение Выполняется дожим концевика</t>
  </si>
  <si>
    <t>Дистанционное управление</t>
  </si>
  <si>
    <t>Выходное значение Выведен в ремонт</t>
  </si>
  <si>
    <t>Постоянная команда включить</t>
  </si>
  <si>
    <t>Обобщенная неисправность</t>
  </si>
  <si>
    <t>Аварийно отключен</t>
  </si>
  <si>
    <t>Аварийное отключение</t>
  </si>
  <si>
    <t>Несанкционированное выключение</t>
  </si>
  <si>
    <t>Несанкционированное отключение</t>
  </si>
  <si>
    <t>Выходное значение Включен</t>
  </si>
  <si>
    <t>Постоянная команда выключить</t>
  </si>
  <si>
    <t>Выходное значение Отключен</t>
  </si>
  <si>
    <t>Выходное значение Включается</t>
  </si>
  <si>
    <t>Несанкционированное включение</t>
  </si>
  <si>
    <t>Противоречивость команд</t>
  </si>
  <si>
    <t>Не отключился</t>
  </si>
  <si>
    <t>Неопределенно положение тележки</t>
  </si>
  <si>
    <t>Неопределенное положение тележки</t>
  </si>
  <si>
    <t>Неопределенно положение</t>
  </si>
  <si>
    <t>Неопределенное положение</t>
  </si>
  <si>
    <t>Неопределенно положение аварийного отключения</t>
  </si>
  <si>
    <t>Неопределенное положение аварийного отключения</t>
  </si>
  <si>
    <t>Предельная наработка по концевикам</t>
  </si>
  <si>
    <t>Предельная наработка по времени</t>
  </si>
  <si>
    <t>Автоматическая команда Включить блокирована</t>
  </si>
  <si>
    <t>Двойное положение тележки</t>
  </si>
  <si>
    <t>Двойное положение</t>
  </si>
  <si>
    <t>Двойное положение аварийного отключения</t>
  </si>
  <si>
    <t>Не включился</t>
  </si>
  <si>
    <t>Запрет включения</t>
  </si>
  <si>
    <t>Запрет отключения</t>
  </si>
  <si>
    <t>Недостоверность: входное значение Местное управление</t>
  </si>
  <si>
    <t>Неопределенный режим управления</t>
  </si>
  <si>
    <t>Двойной режим управления</t>
  </si>
  <si>
    <t>Местное управление</t>
  </si>
  <si>
    <t>Выходное значение Отключается</t>
  </si>
  <si>
    <t>Выходное значение Останавливается</t>
  </si>
  <si>
    <t>Счетчик отработки концевика Включен</t>
  </si>
  <si>
    <t>Счетчик отработки концевика Отключен</t>
  </si>
  <si>
    <t>Счетчик наработки аварийного Отключения</t>
  </si>
  <si>
    <t>False</t>
  </si>
  <si>
    <t>Входное значение Неисправность</t>
  </si>
  <si>
    <t>Предельная наработка по аварийному отключению</t>
  </si>
  <si>
    <t>.</t>
  </si>
  <si>
    <t>Блокировка по сработке</t>
  </si>
  <si>
    <t>Выведен из алгоритма (выход)</t>
  </si>
  <si>
    <t>Выведен в ремонт</t>
  </si>
  <si>
    <t>Включить имитацию (команда)</t>
  </si>
  <si>
    <t>Вывести из алгоритма (команда)</t>
  </si>
  <si>
    <t>Режим фильтрации</t>
  </si>
  <si>
    <t xml:space="preserve">Задание имитации </t>
  </si>
  <si>
    <t>Список цветов для иконки DI</t>
  </si>
  <si>
    <t>Красный</t>
  </si>
  <si>
    <t xml:space="preserve">Местное управление </t>
  </si>
  <si>
    <t>Недостоверность: выходное  значение Стоп</t>
  </si>
  <si>
    <t>Состояние Стоп</t>
  </si>
  <si>
    <t>Выходное значение Включить/Открыть</t>
  </si>
  <si>
    <t>Уставка наработки по часам</t>
  </si>
  <si>
    <t>Дистанционный режим</t>
  </si>
  <si>
    <t>Местный режим</t>
  </si>
  <si>
    <t>Неисправность (вход)</t>
  </si>
  <si>
    <t>Регулятор открыт</t>
  </si>
  <si>
    <t>Регулятор закрыт</t>
  </si>
  <si>
    <t>Ошибка рассогласования</t>
  </si>
  <si>
    <t>Ручной режим (выход)</t>
  </si>
  <si>
    <t>Регулятор Открыт</t>
  </si>
  <si>
    <t>Регулятор Закрыт</t>
  </si>
  <si>
    <t>Ручной режим (команда)</t>
  </si>
  <si>
    <t>Включение обратного закона регулирования</t>
  </si>
  <si>
    <t>Инициализация с АРМ</t>
  </si>
  <si>
    <t>Входное значение - текущее положение мА</t>
  </si>
  <si>
    <t>Входное значение - регулируемый параметр (параметрическое)</t>
  </si>
  <si>
    <t>Входное значение - текущее положение %</t>
  </si>
  <si>
    <t>Пропорциональный коэффициент</t>
  </si>
  <si>
    <t>Дифференциальный  коэффициент</t>
  </si>
  <si>
    <t>Интегральный коэффициент</t>
  </si>
  <si>
    <t>Скорость балансировки</t>
  </si>
  <si>
    <t>Скорость работы блока</t>
  </si>
  <si>
    <t>Уставка регулирования</t>
  </si>
  <si>
    <t>Верхняя шкала регулируемого параметра</t>
  </si>
  <si>
    <t>Нижняя шкала регулируемого параметра</t>
  </si>
  <si>
    <t>Верхняя шакала управления в %</t>
  </si>
  <si>
    <t>Нижняя шакала управления в %</t>
  </si>
  <si>
    <t>Задание процента открытия от оператора</t>
  </si>
  <si>
    <t>Мертвая зона</t>
  </si>
  <si>
    <t>Уставка процента открытия в режиме ПАЗ</t>
  </si>
  <si>
    <t>Уставка рассогласования</t>
  </si>
  <si>
    <t>Уставка времени рассогласования</t>
  </si>
  <si>
    <t>Верхняя линия под напряжением</t>
  </si>
  <si>
    <t>Нижняя линия под напряжением</t>
  </si>
  <si>
    <r>
      <rPr>
        <b/>
        <sz val="11"/>
        <color theme="1"/>
        <rFont val="Calibri"/>
        <family val="2"/>
        <charset val="204"/>
        <scheme val="minor"/>
      </rPr>
      <t>Изменения по сравнению с версией 1.0.0</t>
    </r>
    <r>
      <rPr>
        <sz val="11"/>
        <color theme="1"/>
        <rFont val="Calibri"/>
        <family val="2"/>
        <scheme val="minor"/>
      </rPr>
      <t xml:space="preserve">
1. Исправлена формула в FXXX(AI)
2. Добавлен шаблон блока IM_stp
3. Добавлен шаблон блока IM_st_MON
4. Аналог переименован в AI
5. Добавлен шаблон блока IM_sp_MON
6. Добавлен шаблон блока IM_tp_MON
7. Добавлен шаблон блока IM_s_p_v_MON
8. Добавлен шаблон блока IM_t_MON
9. Добавлен шаблон блока DI
10. Добавлен шаблон блока IM
11. Добавлен шаблон блока REG</t>
    </r>
  </si>
  <si>
    <t>Желтый</t>
  </si>
  <si>
    <t>Зеленый</t>
  </si>
  <si>
    <r>
      <rPr>
        <b/>
        <sz val="11"/>
        <color theme="1"/>
        <rFont val="Calibri"/>
        <family val="2"/>
        <charset val="204"/>
        <scheme val="minor"/>
      </rPr>
      <t>Изменения по сравнению с версией 2.0</t>
    </r>
    <r>
      <rPr>
        <sz val="11"/>
        <color theme="1"/>
        <rFont val="Calibri"/>
        <family val="2"/>
        <scheme val="minor"/>
      </rPr>
      <t xml:space="preserve">
1. Добавлено ограничение на редактирование ячеек, не участвующих в конфигурировании 
2. Блок AI : 
     - исправлена привязка сигнала XDAX в шаблоне
     -добавлены команды на ввод диапазона входных значений
     -вспомогательные сигналы (ед.изм., позиция, тип и тд.) перенесены в свойства объекта для уменьшения кол-ва лицензируемых сигналов
3. Блок DI : 
     - сигнал "sTypeMsg" перенесён в свойства объекта
     - добавлена возможность ввода адреса в таблице подключений
4. Блок IM_stp : 
     - сигнал "sColor" перенесён в свойства объекта</t>
    </r>
  </si>
  <si>
    <t>Авария</t>
  </si>
  <si>
    <t>Предупреждение</t>
  </si>
  <si>
    <t>Телесигнализация</t>
  </si>
  <si>
    <t>Недостоверность</t>
  </si>
  <si>
    <r>
      <rPr>
        <b/>
        <sz val="11"/>
        <color theme="1"/>
        <rFont val="Calibri"/>
        <family val="2"/>
        <charset val="204"/>
        <scheme val="minor"/>
      </rPr>
      <t>Изменения по сравнению с версией 2.1</t>
    </r>
    <r>
      <rPr>
        <sz val="11"/>
        <color theme="1"/>
        <rFont val="Calibri"/>
        <family val="2"/>
        <scheme val="minor"/>
      </rPr>
      <t xml:space="preserve">
1. Выставлены приоритеты сообщений по умолчанию
2. AI: Сигналы Commands (SHVX, SLVX, CDAX) исправлены с "Входящие" на "Исходящие"</t>
    </r>
  </si>
  <si>
    <t>Выходное значение</t>
  </si>
  <si>
    <t>Команда оператора Вывести в ремонт</t>
  </si>
  <si>
    <t>Входное значение Местное управление</t>
  </si>
  <si>
    <t>Constant</t>
  </si>
  <si>
    <t>FRD</t>
  </si>
  <si>
    <r>
      <rPr>
        <b/>
        <sz val="11"/>
        <color theme="1"/>
        <rFont val="Calibri"/>
        <family val="2"/>
        <charset val="204"/>
        <scheme val="minor"/>
      </rPr>
      <t>Изменения по сравнению с версией 2.2</t>
    </r>
    <r>
      <rPr>
        <sz val="11"/>
        <color theme="1"/>
        <rFont val="Calibri"/>
        <family val="2"/>
        <scheme val="minor"/>
      </rPr>
      <t xml:space="preserve">
1. Добавлены шаблоны блоков TREI для AI, DI, IM
</t>
    </r>
  </si>
  <si>
    <t>Параметр 1</t>
  </si>
  <si>
    <t>Параметр 2</t>
  </si>
  <si>
    <t>Параметр 3</t>
  </si>
  <si>
    <t>Значения BOOL</t>
  </si>
  <si>
    <t>KTP_T_v_KTP</t>
  </si>
  <si>
    <t>KTP_SEC1_NOT_U</t>
  </si>
  <si>
    <t>ZRU_OL1</t>
  </si>
  <si>
    <t>T</t>
  </si>
  <si>
    <t>C</t>
  </si>
  <si>
    <t>ЗРУ</t>
  </si>
  <si>
    <t>ТСМ</t>
  </si>
  <si>
    <t>Настройка перехода ручной\автоматический</t>
  </si>
  <si>
    <t>Выходное значение Включен\Вкачена</t>
  </si>
  <si>
    <t>Состояние Включен\Вкачена</t>
  </si>
  <si>
    <t>Выходное значение Отключен\Выкачена</t>
  </si>
  <si>
    <t>Состояние Отключен\Выкачена</t>
  </si>
  <si>
    <t>Входное значение Включен\Вкачена (физ сигнал)</t>
  </si>
  <si>
    <t>Входное значение Отключен\Выкачена (физ сигнал)</t>
  </si>
  <si>
    <t>Неопределенное положение трансформатора\тележки</t>
  </si>
  <si>
    <t>Двойное положение трансформатора\тележки</t>
  </si>
  <si>
    <t>Недостоверное Входное значение Включен\Вкачена</t>
  </si>
  <si>
    <t>Недостоверность: входное значение Включен\Вкачена</t>
  </si>
  <si>
    <t>Недостоверность: входное значение Отключен\Выкачена</t>
  </si>
  <si>
    <t>Недостоверное Входное значение Отключен\Выкачена</t>
  </si>
  <si>
    <t>KNS_P1</t>
  </si>
  <si>
    <t>KNS_P2</t>
  </si>
  <si>
    <t>True</t>
  </si>
  <si>
    <t>Параметр 4</t>
  </si>
  <si>
    <t>Префикс</t>
  </si>
  <si>
    <t>Комментарий</t>
  </si>
  <si>
    <r>
      <rPr>
        <b/>
        <sz val="11"/>
        <color theme="1"/>
        <rFont val="Calibri"/>
        <family val="2"/>
        <charset val="204"/>
        <scheme val="minor"/>
      </rPr>
      <t>Изменения по сравнению с версией 2.3</t>
    </r>
    <r>
      <rPr>
        <sz val="11"/>
        <color theme="1"/>
        <rFont val="Calibri"/>
        <family val="2"/>
        <scheme val="minor"/>
      </rPr>
      <t xml:space="preserve">
1. Добавлена возможность создания csv файла для сервера истории Infinity (для AI и REG блоков)
2. В связи с изменениями в структуре конфигурации орс сервера TREI во всех привязках  заменён "/" на "\".
3. Добавлены отсутствующие сигналы Commands в REG, IM
4. Блок AI: 
     - в конфигурацию TREI добавлены поля для ввода верхнего и нижнего предела датчика
5. Добавлен блок IM_stp в конфигурацию TREI
</t>
    </r>
  </si>
  <si>
    <t>Выходное значение Включить</t>
  </si>
  <si>
    <t>Недостоверное Выходное  значение Включить</t>
  </si>
  <si>
    <t>Включить режим фильтрации</t>
  </si>
  <si>
    <t>Время подачи команды Включить</t>
  </si>
  <si>
    <t>Время подачи команды Отключить</t>
  </si>
  <si>
    <t>Параметр 5</t>
  </si>
  <si>
    <t>Параметр 6</t>
  </si>
  <si>
    <t>vt_r8</t>
  </si>
  <si>
    <t>Плакат ''Работа на линии'' установлен</t>
  </si>
  <si>
    <t>Плакат '' Работают люди''  установлен</t>
  </si>
  <si>
    <t>Плакат '' Заземлено''  установлен</t>
  </si>
  <si>
    <t>Плакат '' Под напряжением''  установлен</t>
  </si>
  <si>
    <t xml:space="preserve">Команда установить плакат '' Работа на линии'' </t>
  </si>
  <si>
    <t xml:space="preserve">Команда установить плакат '' Работают люди'' </t>
  </si>
  <si>
    <t xml:space="preserve">Команда установить плакат '' Заземлено'' </t>
  </si>
  <si>
    <t xml:space="preserve">Команда установить плакат '' Под напряжением'' </t>
  </si>
  <si>
    <t xml:space="preserve">Счетчик отработки концевика '' Включен'' </t>
  </si>
  <si>
    <t xml:space="preserve">Счетчик отработки концевика '' Отключен'' </t>
  </si>
  <si>
    <t xml:space="preserve">Счетчик наработки аварийного '' Отключения'' </t>
  </si>
  <si>
    <t xml:space="preserve">Счетчик отработки концевика '' Включен\Вкачена'' </t>
  </si>
  <si>
    <t xml:space="preserve">Счетчик отработки концевика '' Отключен\Выкачена'' </t>
  </si>
  <si>
    <t>iftrue(#1.CHWX==1,#1.SHWX,#1.SHSX+10000)</t>
  </si>
  <si>
    <t>-</t>
  </si>
  <si>
    <t>iftrue(#1.CLWX==1,#1.SLWX,#1.SLSX-10000)</t>
  </si>
  <si>
    <t>С</t>
  </si>
  <si>
    <t>0.1</t>
  </si>
  <si>
    <t>0.2</t>
  </si>
  <si>
    <t>ZRU_OL1_sp</t>
  </si>
  <si>
    <t>ZRU_OL1_ZEM</t>
  </si>
  <si>
    <t>ZRU_OL1_st</t>
  </si>
  <si>
    <t>Расшифровка цветов в SCADA</t>
  </si>
  <si>
    <t>Желто-зеленый</t>
  </si>
  <si>
    <t>Голубой</t>
  </si>
  <si>
    <t>Коричневый</t>
  </si>
  <si>
    <t>Фиолетовый</t>
  </si>
  <si>
    <t>Сине-зелёный</t>
  </si>
  <si>
    <t>Синий</t>
  </si>
  <si>
    <t>Светло-коричневый</t>
  </si>
  <si>
    <t>Темно-зеленый</t>
  </si>
  <si>
    <t>220кВ (200:200:0)</t>
  </si>
  <si>
    <t>110кВ (0:180:200)</t>
  </si>
  <si>
    <t>35(20)кВ (130:100:50)</t>
  </si>
  <si>
    <t>10кВ (100:0:100)</t>
  </si>
  <si>
    <t>6кВ (0:255:255)</t>
  </si>
  <si>
    <t>0.4(0.6)кВ (0:0:255)</t>
  </si>
  <si>
    <t>(=) 220(110)В (200:150:100)</t>
  </si>
  <si>
    <t>(=)24(27)В (0:192:0)</t>
  </si>
  <si>
    <t>(0:255:0)</t>
  </si>
  <si>
    <t>(255:255:0)</t>
  </si>
  <si>
    <t>(255:0:0)</t>
  </si>
  <si>
    <t>#3</t>
  </si>
  <si>
    <t>#4</t>
  </si>
  <si>
    <t>#1.CIMX</t>
  </si>
  <si>
    <t>ZRU_OL1_s</t>
  </si>
  <si>
    <t>Контроль цепи</t>
  </si>
  <si>
    <t>!АСУЭ.ЗРУиКТП.DI_1.XVLX.value &amp;&amp; АСУЭ.ЗРУиКТП.IMstp_1.XTON.value</t>
  </si>
  <si>
    <t>!АСУЭ.ЗРУиКТП.DI_1.XVLX.value &amp;&amp; АСУЭ.ЗРУиКТП.IMstp_1.XONX.value &amp;&amp; АСУЭ.ЗРУиКТП.IMstp_1.XTON.value</t>
  </si>
  <si>
    <t>Префикс для TREI
Тэг ОРС для INFINITY</t>
  </si>
  <si>
    <t>DI</t>
  </si>
  <si>
    <t>AI</t>
  </si>
  <si>
    <t>SEPAM</t>
  </si>
  <si>
    <t>BMRZ</t>
  </si>
  <si>
    <t>BMPA</t>
  </si>
  <si>
    <t>Внешнее отключение</t>
  </si>
  <si>
    <t>Сраб. ускорения МТЗ</t>
  </si>
  <si>
    <t>Отключен</t>
  </si>
  <si>
    <t>Включен</t>
  </si>
  <si>
    <t>Вызов</t>
  </si>
  <si>
    <t>Не отключился за заданное время</t>
  </si>
  <si>
    <t>Не включился за заданное время</t>
  </si>
  <si>
    <t>Двойное состояние</t>
  </si>
  <si>
    <t>Неопределённое состояние</t>
  </si>
  <si>
    <t>Количество отключений</t>
  </si>
  <si>
    <t>Количество отключений по току</t>
  </si>
  <si>
    <t>Количество отключений по току КЗ</t>
  </si>
  <si>
    <t>Энергия активная(+)</t>
  </si>
  <si>
    <t>Энергия активная(-)</t>
  </si>
  <si>
    <t>Энергия реактивная(+)</t>
  </si>
  <si>
    <t>Энергия реактивная(-)</t>
  </si>
  <si>
    <t>#1.Commands.smCntSumOff</t>
  </si>
  <si>
    <t>Ресурс выключателя по количеству отключений</t>
  </si>
  <si>
    <t>#1.Commands.smCntSumOffI</t>
  </si>
  <si>
    <t>Ресурс выключателя по количеству отключений по току</t>
  </si>
  <si>
    <t>Ресурс выключателя по количеству отключений по току КЗ</t>
  </si>
  <si>
    <t>Косинус Phi</t>
  </si>
  <si>
    <t>Частота</t>
  </si>
  <si>
    <t>Ток нулевой последовательности</t>
  </si>
  <si>
    <t>Среднее значение тока Ia</t>
  </si>
  <si>
    <t>Среднее значение тока Ib</t>
  </si>
  <si>
    <t>Среднее значение тока Ic</t>
  </si>
  <si>
    <t>Текущее значение тока Ia</t>
  </si>
  <si>
    <t>Текущее значение тока Ib</t>
  </si>
  <si>
    <t>Текущее значение тока Ic</t>
  </si>
  <si>
    <t>Ток отключения Ia</t>
  </si>
  <si>
    <t>Ток отключения Ib</t>
  </si>
  <si>
    <t>Ток отключения Ic</t>
  </si>
  <si>
    <t>Ток максиметра Ia</t>
  </si>
  <si>
    <t>Ток максиметра Ib</t>
  </si>
  <si>
    <t>Ток максиметра Ic</t>
  </si>
  <si>
    <t>Максимальная мощность активная</t>
  </si>
  <si>
    <t>Максимальная мощность реактивная</t>
  </si>
  <si>
    <t>Напряжение обр. посл-ти</t>
  </si>
  <si>
    <t>Напряжение 0-ой посл-ти</t>
  </si>
  <si>
    <t>Напряжение прям. посл-ти</t>
  </si>
  <si>
    <t>Мощность активная</t>
  </si>
  <si>
    <t>Мощность реактивная</t>
  </si>
  <si>
    <t>Мощность полная</t>
  </si>
  <si>
    <t>Линейное напряжение U13</t>
  </si>
  <si>
    <t>Линейное напряжение U21</t>
  </si>
  <si>
    <t>Линейное напряжение U32</t>
  </si>
  <si>
    <t>Сброс максиметров мощности</t>
  </si>
  <si>
    <t>Сброс максиметров тока</t>
  </si>
  <si>
    <t>Включить</t>
  </si>
  <si>
    <t>Отключить</t>
  </si>
  <si>
    <t>#2.wNotOn = 0;#2.wNotOff = 0</t>
  </si>
  <si>
    <t>Сброс неисправностей</t>
  </si>
  <si>
    <t>Неисправность цепей управления</t>
  </si>
  <si>
    <t>Неисправность выключателя</t>
  </si>
  <si>
    <t>Неисправность БМПА</t>
  </si>
  <si>
    <t xml:space="preserve">Сброс максиметров </t>
  </si>
  <si>
    <t>Предельная наработка по количеству отключений</t>
  </si>
  <si>
    <t>Предельная наработка по количеству отключений по току</t>
  </si>
  <si>
    <t>Предельная наработка по количеству отключений по току КЗ</t>
  </si>
  <si>
    <t>#1.mCntSumOff &gt; #1.smCntSumOff</t>
  </si>
  <si>
    <t>#1.mCntSumOffI &gt; #1.smCntSumOffI</t>
  </si>
  <si>
    <t>sleep(1);if (#1.stOn &amp;&amp; #1.stOff) {#1.wDbl = 1;} else {#1.wDbl = 0;};if (!#1.stOn &amp;&amp; !#1.stOff) {#1.wUnkw = 1;} else {#1.wUnkw = 0;}</t>
  </si>
  <si>
    <t>Комментарий для TREI и INFINITY</t>
  </si>
  <si>
    <t>ТЭГ в дереве INFINITY Server</t>
  </si>
  <si>
    <t>История изменений</t>
  </si>
  <si>
    <r>
      <rPr>
        <b/>
        <sz val="11"/>
        <color theme="1"/>
        <rFont val="Calibri"/>
        <family val="2"/>
        <charset val="204"/>
        <scheme val="minor"/>
      </rPr>
      <t>Изменения по сравнению с версией 5.3</t>
    </r>
    <r>
      <rPr>
        <sz val="11"/>
        <color theme="1"/>
        <rFont val="Calibri"/>
        <family val="2"/>
        <charset val="204"/>
        <scheme val="minor"/>
      </rPr>
      <t xml:space="preserve">
1. Удалены лишние сигналы во всех блоках, где есть папка Commands в связи с их ненадобностью. Существенно уменьшилось кол-во сигналов.</t>
    </r>
  </si>
  <si>
    <r>
      <rPr>
        <b/>
        <sz val="11"/>
        <color theme="1"/>
        <rFont val="Calibri"/>
        <family val="2"/>
        <charset val="204"/>
        <scheme val="minor"/>
      </rPr>
      <t>Изменения по сравнению с версией 5.2</t>
    </r>
    <r>
      <rPr>
        <sz val="11"/>
        <color theme="1"/>
        <rFont val="Calibri"/>
        <family val="2"/>
        <charset val="204"/>
        <scheme val="minor"/>
      </rPr>
      <t xml:space="preserve">
1. Исправлена формула для формирования fNolink.Device
2. S_AI:
     - Добавлено свойство 3000203 (Flash) для индикации имитации на тренде
3. Добавлен новый блок S_IMs в INFINITY и TREI
4. S_DI:
     - сообщение перенесено со входа IVXX на выход XVLX
5.S_REG:
     - сигналы INT заменены на сигналы FLOAT (кроме SWSX и SMVT)
6. S_IM:
     - изменён столбец "Наличие контроля цепи" на странице "Таблица"
     - добавлены сообщения на сигналы от ПАЗ
7. Закреплены верхняя и левые строки на листе "Таблица".</t>
    </r>
  </si>
  <si>
    <r>
      <rPr>
        <b/>
        <sz val="11"/>
        <color theme="1"/>
        <rFont val="Calibri"/>
        <family val="2"/>
        <charset val="204"/>
        <scheme val="minor"/>
      </rPr>
      <t>Изменения по сравнению с версией 4.0</t>
    </r>
    <r>
      <rPr>
        <sz val="11"/>
        <color theme="1"/>
        <rFont val="Calibri"/>
        <family val="2"/>
        <charset val="204"/>
        <scheme val="minor"/>
      </rPr>
      <t xml:space="preserve">
1. Блок IM_stp:
     - STCX заменён на TCON, TCOF
2. Блок IM:
     - страница Таблица. Добавлен столбец выбора наличия контроля цепи управления. 
3. Блок AI: 
     - вставлены условия формирования линий пределов и индикации цвета на тренде
4. Добавлен блок S_IM_s_p_v_MON в TREI
5. Все сигналы Commands получили адрес ОРС клиента Infinity на 1 больше чем задан в Таблице. См. справку.
6. Переработана система сохранения в csv файл. В связи с этим везде исправлена формула на fNoLink.Device. Теперь не нужно производить автозамен после сохранения в csv файл- это делается автоматически.
7. Блок DI:
     - Добавлено свойство с типом измерений (dP,L и тп.). Номер свойства 11122.
8. Добавлен блок  IM_t_MON в TREI</t>
    </r>
  </si>
  <si>
    <r>
      <rPr>
        <b/>
        <sz val="11"/>
        <color theme="1"/>
        <rFont val="Calibri"/>
        <family val="2"/>
        <charset val="204"/>
        <scheme val="minor"/>
      </rPr>
      <t>Изменения по сравнению с версией 3.0</t>
    </r>
    <r>
      <rPr>
        <sz val="11"/>
        <color theme="1"/>
        <rFont val="Calibri"/>
        <family val="2"/>
        <charset val="204"/>
        <scheme val="minor"/>
      </rPr>
      <t xml:space="preserve">
1. Блок AI:
     - Commands.SHVX (BOOL) -&gt; Commands.SHVX (FLOAT) 
     - Commands.SLVX (BOOL) -&gt; Commands.SLVX (FLOAT) 
2. Блок DI:
     - BVLS (OPC Client: BLVS) -&gt; BVLS (OPC Client: BVLS)
     - добавлен Commands.CFTX
3. Блок REG:
     - .FOCM -&gt; .FDCM
     - Добавлены единицы измерения
     - Добавлены поля ввода сигналов таблицы подключений
4. Блок IM:
     - добавлено поле Тип ИМ (для разделения сообщений открыт/включен и тп.)
     - XOFX исправлено сообщение
     - Добавлены поля ввода сигналов таблицы подключений
5. IM_stp:
      - Добавлены поля ввода сигналов таблицы подключений
6. Поля для таблицы подключений для AI и DI на странице "Таблица" сигналов перенесена в соответствующий раздел этой страницы, где находятся все поля для ввода этих параметров
7. Во всех блоках исправлено формирование диагностического сигнала fNoLink.OPC. Теперь он задаётся в fNoLink и формулой инвертируется в fNoLink.OPC.
8. Обновлена справка - читать, что выделено красным цветом
9. На страницу Таблица добавлен фильтр отображения столбцов</t>
    </r>
  </si>
  <si>
    <r>
      <rPr>
        <b/>
        <sz val="11"/>
        <color theme="1"/>
        <rFont val="Calibri"/>
        <family val="2"/>
        <charset val="204"/>
        <scheme val="minor"/>
      </rPr>
      <t>Изменения по сравнению с версией 5.4</t>
    </r>
    <r>
      <rPr>
        <sz val="11"/>
        <color theme="1"/>
        <rFont val="Calibri"/>
        <family val="2"/>
        <charset val="204"/>
        <scheme val="minor"/>
      </rPr>
      <t xml:space="preserve">
1. Добавлен блок DI
2. Добавлен блок AI
3. Добавлен блок SEPAM
4. Добавлен блок BMRZ
5. Добавлен блок BMPA
6. На странице "Таблица" столбцы префикс для TREI и ТЭГ для Infinity объеденены в один. Столбец ТЭГ для Infinity скрыт и больше недоступен. Для импорта данных из предыдущих версий необходимо скопировать все данные кроме этого столбца, в этот столбец ничего не копировать
7. S_IMt_MON:
     - добавлена возможность выбора цвета и формул наличия напряжения  на странице "Таблица"</t>
    </r>
  </si>
  <si>
    <r>
      <rPr>
        <b/>
        <sz val="11"/>
        <color theme="1"/>
        <rFont val="Calibri"/>
        <family val="2"/>
        <charset val="204"/>
        <scheme val="minor"/>
      </rPr>
      <t>Изменения по сравнению с версией 5.0</t>
    </r>
    <r>
      <rPr>
        <sz val="11"/>
        <color theme="1"/>
        <rFont val="Calibri"/>
        <family val="2"/>
        <charset val="204"/>
        <scheme val="minor"/>
      </rPr>
      <t xml:space="preserve">
1. Все блоки переименованы (см. расшифровку блоков)
2. Добавлен блок REG в TREI
3. Настройки сообщений вынесены на отдельный лист настройки
4. Теперь на листе Таблица можно вставлять и удалять строки
5. Добавлен блок IMsp_MON в TREI
6. Добавлен блок IMst_MON в TREI
7. Добавлена возможность вставки диагностики для блоков IMst_MON, IMsp_MON, IMt_MON,IM_s_p_v_MON на странице Таблица
8. Добавлены цвета для линий выключателя при наличии напряжения согласно СТО ЧМИ</t>
    </r>
  </si>
  <si>
    <t>Смена положения</t>
  </si>
  <si>
    <t>IMv_SIM</t>
  </si>
  <si>
    <t>Команда оператора Включить</t>
  </si>
  <si>
    <t>Команда оператора Отключить</t>
  </si>
  <si>
    <t>Недостоверность: входное значение Открыт</t>
  </si>
  <si>
    <t>Недостоверность: входное значение Закрыт</t>
  </si>
  <si>
    <t>Состояние Открыт</t>
  </si>
  <si>
    <t>Не открылся</t>
  </si>
  <si>
    <t>Несанкционированное открытие</t>
  </si>
  <si>
    <t>Несанкционированное закрытие</t>
  </si>
  <si>
    <t>Выходное значение Открыть</t>
  </si>
  <si>
    <t>Выходное значение Закрыть</t>
  </si>
  <si>
    <t>Не закрылся</t>
  </si>
  <si>
    <t>Состояние Закрыт</t>
  </si>
  <si>
    <t>Выключатель под напряжением</t>
  </si>
  <si>
    <t>Нет цвета</t>
  </si>
  <si>
    <t>S_SHPS</t>
  </si>
  <si>
    <t>S_SHOP</t>
  </si>
  <si>
    <t>Состояние норма</t>
  </si>
  <si>
    <t>Внимание</t>
  </si>
  <si>
    <t>Пожар</t>
  </si>
  <si>
    <t>Состояние сброса системы (шлейфов)</t>
  </si>
  <si>
    <t>Шлейф пожарной сигнализации</t>
  </si>
  <si>
    <t>Цепь управления в норме\Состояние Отключен</t>
  </si>
  <si>
    <t>Цепь управления в норме\Состояние Включен</t>
  </si>
  <si>
    <t>Шлейф оповещения о пожаре</t>
  </si>
  <si>
    <r>
      <rPr>
        <b/>
        <sz val="11"/>
        <color theme="1"/>
        <rFont val="Calibri"/>
        <family val="2"/>
        <charset val="204"/>
        <scheme val="minor"/>
      </rPr>
      <t>Изменения по сравнению с версией 6.1</t>
    </r>
    <r>
      <rPr>
        <sz val="11"/>
        <color theme="1"/>
        <rFont val="Calibri"/>
        <family val="2"/>
        <scheme val="minor"/>
      </rPr>
      <t xml:space="preserve">
1. S_IM, S_IMp, S_IMv:
     - Добавлена возможность ввода начальных значений времени подачи команд и перестановки в ТРЕЙ
2. Добавлен выбор цвета заливки контура ДЭС для блока S_IMp. 
3. S_IMs, S_IMsp:
     - Добавлена возможность ввода формулы для цвета окраски иконки при наличии напряжения и выбор самого цвета
4. S_DI:
     - добавлена возможность выбора времени фильтрации в ТРЕЙ 
5. S_IMt_MON:
     - добавлена возможность ввода цвета и формулы для наличия цвета включённого трансформатора
6.  Добавлен блок S_SHPS в INFINITY
7. Добавлен блок S_SHOP в INFINITY</t>
    </r>
  </si>
  <si>
    <r>
      <rPr>
        <b/>
        <sz val="11"/>
        <color theme="1"/>
        <rFont val="Calibri"/>
        <family val="2"/>
        <charset val="204"/>
        <scheme val="minor"/>
      </rPr>
      <t>Изменения по сравнению с версией 6.0</t>
    </r>
    <r>
      <rPr>
        <sz val="11"/>
        <color theme="1"/>
        <rFont val="Calibri"/>
        <family val="2"/>
        <scheme val="minor"/>
      </rPr>
      <t xml:space="preserve">
1. S_AI и AI:
     - отредактирован XVLX, для трендов
2. Во всех блоках Infinity в комментариях автоматически добавляется точка, если в старой версии в комментарии у вас была точка в конце, её необходимо удалить
3. Добавлен блок DO
4. На Листе "Таблица" добавлен автофильтр по каждому столбцу, фильтрация по строкам, добавленная в версии 5.4 убрана из чекбоксов
5. Добавлены блоки S_IMp, S_IMv
6. Добавлены блоки  S_IMp_MON, S_IMv_MON, S_IMs_MON
7. Блоки S_IM, S_IM_s_p_v оставлены для совместимости с уже настроеными проектами, будут удалены после создания в библиотеке TREI аналогичных блоков
8. Чекбоксы фильтрации удалены, использовать фильтрацию по столбцам</t>
    </r>
  </si>
  <si>
    <t>Обобщённая неисправность</t>
  </si>
  <si>
    <t>DI_DIAG</t>
  </si>
  <si>
    <t>Недостоверность: Опробование сигнализации</t>
  </si>
  <si>
    <t>Команда оператора включить/отключить</t>
  </si>
  <si>
    <t>Датчик в состоянии Норма</t>
  </si>
  <si>
    <t>Сработка 1-го порога</t>
  </si>
  <si>
    <t>Сработка 2-го порога</t>
  </si>
  <si>
    <t>Уставка 1-го порога</t>
  </si>
  <si>
    <t>Уставка 2-го порога</t>
  </si>
  <si>
    <t>#1.ST1X</t>
  </si>
  <si>
    <t>#1.ST2X</t>
  </si>
  <si>
    <t>Zagaz_v_KTP</t>
  </si>
  <si>
    <t>%</t>
  </si>
  <si>
    <t>Q</t>
  </si>
  <si>
    <t>Обрыв связи</t>
  </si>
  <si>
    <t>PING</t>
  </si>
  <si>
    <t>200.1.11.40</t>
  </si>
  <si>
    <t>Формула для fNoLink.Device</t>
  </si>
  <si>
    <t>Команда оператора</t>
  </si>
  <si>
    <t>Тревога</t>
  </si>
  <si>
    <t>Тушение</t>
  </si>
  <si>
    <t>Сброс шлейфа</t>
  </si>
  <si>
    <t>Загрязнение оптики</t>
  </si>
  <si>
    <t>Недостоверное значение Порог 1</t>
  </si>
  <si>
    <t>Недостоверное значение Неисправность</t>
  </si>
  <si>
    <t>Недостоверное значение Порог 2</t>
  </si>
  <si>
    <t>Автоматика включена</t>
  </si>
  <si>
    <t>Автоматика включена/отключена</t>
  </si>
  <si>
    <t>Автоматика отключена</t>
  </si>
  <si>
    <t>Несанкционированный выпуск ОТВ</t>
  </si>
  <si>
    <t>Идет\Начался отсчет до запуска тушения</t>
  </si>
  <si>
    <t>Команда УПИ включить автоматический режим</t>
  </si>
  <si>
    <t>Команда УПИ отключить автоматический режим</t>
  </si>
  <si>
    <t>Команда ВП включить автоматический режим</t>
  </si>
  <si>
    <t>Команда ВП отключить автоматический режим</t>
  </si>
  <si>
    <t>Команда УПИ пуск тушения</t>
  </si>
  <si>
    <t>Команда УПИ стоп тушения</t>
  </si>
  <si>
    <t>Команда ВП пуск тушения</t>
  </si>
  <si>
    <t>Команда ВП стоп тушения</t>
  </si>
  <si>
    <t>Время задержки до запуска тушения (выходное значение)</t>
  </si>
  <si>
    <t>Команда оператора включить автоматический режим</t>
  </si>
  <si>
    <t>Команда оператора отключить автоматический режим</t>
  </si>
  <si>
    <t>Команда оператора пуск тушения</t>
  </si>
  <si>
    <t>Команда оператора стоп тушения</t>
  </si>
  <si>
    <t>КЗ цепи управления открыть</t>
  </si>
  <si>
    <t>Обрыв цепи управления открыть</t>
  </si>
  <si>
    <t>Состояние Открывается</t>
  </si>
  <si>
    <t>Состояние Закрывается</t>
  </si>
  <si>
    <t>Команда алгоритма открыть</t>
  </si>
  <si>
    <t>Команда алгоритма закрыть</t>
  </si>
  <si>
    <t>Команда от кнопки по месту закрыть</t>
  </si>
  <si>
    <t>Команда от кнопки по месту открыть</t>
  </si>
  <si>
    <t>Команда оператора открыть</t>
  </si>
  <si>
    <t>Команда оператора закрыть</t>
  </si>
  <si>
    <t>Огнезадерживающий клапан, клапан дымоудаления</t>
  </si>
  <si>
    <t>Клапаны однокомандные с КЦ (клапан соленоид)</t>
  </si>
  <si>
    <r>
      <rPr>
        <b/>
        <sz val="11"/>
        <color theme="1"/>
        <rFont val="Calibri"/>
        <family val="2"/>
        <charset val="204"/>
        <scheme val="minor"/>
      </rPr>
      <t>Изменения по сравнению с версией 6.5</t>
    </r>
    <r>
      <rPr>
        <sz val="11"/>
        <color theme="1"/>
        <rFont val="Calibri"/>
        <family val="2"/>
        <scheme val="minor"/>
      </rPr>
      <t xml:space="preserve">
1. Исправлен блок S_SHPS в TREI
2. Блок S_QSA добавлен в INFINITY HISTORY
3. Исправлен блок S_SHOP в TREI
Изменения по сравнению с версией 6.4
1. Добавлен блок S_QSA в INFINITY и TREI
2. DI_DIAG
     - Добавлены сообщения на XVLX- "включен" и "отключен".</t>
    </r>
  </si>
  <si>
    <r>
      <rPr>
        <b/>
        <sz val="11"/>
        <color theme="1"/>
        <rFont val="Calibri"/>
        <family val="2"/>
        <charset val="204"/>
        <scheme val="minor"/>
      </rPr>
      <t xml:space="preserve">
Изменения по сравнению с версией 6.3</t>
    </r>
    <r>
      <rPr>
        <sz val="11"/>
        <color theme="1"/>
        <rFont val="Calibri"/>
        <family val="2"/>
        <scheme val="minor"/>
      </rPr>
      <t xml:space="preserve">
1. S_SHPS: 
     - Добавлен элемент "кнопка". Выбрать 5 в столбце N.
2. Добавлен блок S_QOP в INFINITY и TREI
3. Добавлен блок S_SHOP в TREI
4. Добавлен блок S_SHPS в TREI</t>
    </r>
  </si>
  <si>
    <r>
      <rPr>
        <b/>
        <sz val="11"/>
        <color theme="1"/>
        <rFont val="Calibri"/>
        <family val="2"/>
        <charset val="204"/>
        <scheme val="minor"/>
      </rPr>
      <t xml:space="preserve">
Изменения по сравнению с версией 6.2</t>
    </r>
    <r>
      <rPr>
        <sz val="11"/>
        <color theme="1"/>
        <rFont val="Calibri"/>
        <family val="2"/>
        <scheme val="minor"/>
      </rPr>
      <t xml:space="preserve">
1. S_SHOP: 
     - Добавлена возможность ввода текста оповещателя
2. Добавлен блок S_DIAG в INFINITY и TREI</t>
    </r>
  </si>
  <si>
    <t>Двери закрыты</t>
  </si>
  <si>
    <t>Команда от кнопки по месту пуск тушения</t>
  </si>
  <si>
    <t>Команда от кнопки по месту стоп тушения</t>
  </si>
  <si>
    <t>Команда алгоритма пуск тушения</t>
  </si>
  <si>
    <t>Команда алгоритма стоп тушения</t>
  </si>
  <si>
    <t>Тушение пенное</t>
  </si>
  <si>
    <t>Тушение газовое</t>
  </si>
  <si>
    <t xml:space="preserve">АУПТ не сработала 2 очередь </t>
  </si>
  <si>
    <t>АУПТ сработала 2 очередь</t>
  </si>
  <si>
    <t>VV1_Sepam_S82</t>
  </si>
  <si>
    <t>VV1_BMRZ-04VV</t>
  </si>
  <si>
    <t>SV_BMPA</t>
  </si>
  <si>
    <t>S_IM_ADES</t>
  </si>
  <si>
    <t>Не включилась</t>
  </si>
  <si>
    <t>Не отключилась</t>
  </si>
  <si>
    <t>Входное значение Перегрузка</t>
  </si>
  <si>
    <t>Перегрузка</t>
  </si>
  <si>
    <t>Готовность</t>
  </si>
  <si>
    <t>Сработала защита</t>
  </si>
  <si>
    <t>Единицы измерений</t>
  </si>
  <si>
    <t>. Недостоверное значение</t>
  </si>
  <si>
    <r>
      <rPr>
        <b/>
        <sz val="11"/>
        <color theme="1"/>
        <rFont val="Calibri"/>
        <family val="2"/>
        <charset val="204"/>
        <scheme val="minor"/>
      </rPr>
      <t>Изменения по сравнению с версией 6.6</t>
    </r>
    <r>
      <rPr>
        <sz val="11"/>
        <color theme="1"/>
        <rFont val="Calibri"/>
        <family val="2"/>
        <scheme val="minor"/>
      </rPr>
      <t xml:space="preserve">
1. Добавлен блок PING в INFINITY. Предназначен для конфигурации сигнала наличия связи с оборудованием по TCP/IP используя модуль ICMP INFINITY. Сигнал об отсутствии связи формируется после 3х подряд неудачных посылок запрос-ответ модуля ICMP.
2. Во всех блоках удалены сообщения на fNoLink.Device и fNoLink.OPC.
3. Во всех блоках появилась возможность ввода формулы для расчёта fNoLink.Device.
4. Время вычислений сокращено на треть. Убрано мелькание экрана. Во время генерации теперь можно сворачивать программу и работать в других приложениях.
5. Добавлен Progress bar c возможностью отмены вычисления. </t>
    </r>
  </si>
  <si>
    <r>
      <rPr>
        <b/>
        <sz val="11"/>
        <color theme="1"/>
        <rFont val="Calibri"/>
        <family val="2"/>
        <charset val="204"/>
        <scheme val="minor"/>
      </rPr>
      <t>Изменения по сравнению с версией 7.0</t>
    </r>
    <r>
      <rPr>
        <sz val="11"/>
        <color theme="1"/>
        <rFont val="Calibri"/>
        <family val="2"/>
        <scheme val="minor"/>
      </rPr>
      <t xml:space="preserve">
1. Исправлена ошибка при вызове макроса.
2. На экран "Таблица" добавлены кнопки "Полноэкранный режим" и "Скопировать содержимое" (удобно при экспорте данных из старой версии в новую)</t>
    </r>
  </si>
  <si>
    <r>
      <rPr>
        <b/>
        <sz val="11"/>
        <color theme="1"/>
        <rFont val="Calibri"/>
        <family val="2"/>
        <charset val="204"/>
        <scheme val="minor"/>
      </rPr>
      <t>Изменения по сравнению с версией 7.1</t>
    </r>
    <r>
      <rPr>
        <sz val="11"/>
        <color theme="1"/>
        <rFont val="Calibri"/>
        <family val="2"/>
        <scheme val="minor"/>
      </rPr>
      <t xml:space="preserve">
1. В блок S_SHPS в TREI и INFINITY добавлены сигналы CSIM и SIMX</t>
    </r>
  </si>
  <si>
    <r>
      <rPr>
        <b/>
        <sz val="11"/>
        <color theme="1"/>
        <rFont val="Calibri"/>
        <family val="2"/>
        <charset val="204"/>
        <scheme val="minor"/>
      </rPr>
      <t>Изменения по сравнению с версией 7.2</t>
    </r>
    <r>
      <rPr>
        <sz val="11"/>
        <color theme="1"/>
        <rFont val="Calibri"/>
        <family val="2"/>
        <scheme val="minor"/>
      </rPr>
      <t xml:space="preserve">
1. Добавлен блок S_BTF в INFINITY и TREI
2. Добавлен блок S_UPT в INFINITY и TREI
3. Добавлен блок S_KL_UPT в INFINITY и TREI
4. Добавлен блок S_OZK_KD в INFINITY и TREI
5. Блоки S_QOP, S_SHOP, S_SHPS, S_QSA исправлены согласно текущей номенклатуре (INFINITY)
6. Убран полноэкранный режим при старте. Теперь в полноэкранный режим можно перейти через кнопку, повторное нажатие приведёт к выходу из полноэкранного режима
7. Исправлены приоритеты в классах алармов, добавлены классы "Неисправность", "Тушение", "Тревога"</t>
    </r>
  </si>
  <si>
    <r>
      <rPr>
        <b/>
        <sz val="11"/>
        <color theme="1"/>
        <rFont val="Calibri"/>
        <family val="2"/>
        <charset val="204"/>
        <scheme val="minor"/>
      </rPr>
      <t>Изменения по сравнению с версией 7.3</t>
    </r>
    <r>
      <rPr>
        <sz val="11"/>
        <color theme="1"/>
        <rFont val="Calibri"/>
        <family val="2"/>
        <scheme val="minor"/>
      </rPr>
      <t xml:space="preserve">
1. Исправлена адресация блоков SEPAM, BMRZ, BMPA
2. Добавлен блок S_IM_ADES в INFINITY и TREI
3. Исправлены ошибки в блоках S_BTF и S_SHPS
4. Испавлены классы сообщений для всех блоков, согласно текущей номенклатуре</t>
    </r>
  </si>
  <si>
    <t>АУПТ сработала</t>
  </si>
  <si>
    <t>Недостоверное Входное значение Неисправность</t>
  </si>
  <si>
    <t>Входное значение Порог 1</t>
  </si>
  <si>
    <t>Входное значение Порог 2</t>
  </si>
  <si>
    <t>Блокирована система ПТ</t>
  </si>
  <si>
    <t>DO_OPC</t>
  </si>
  <si>
    <t>Автоматическая команда Отключить блокирована</t>
  </si>
  <si>
    <t>Постоянная команда Включить</t>
  </si>
  <si>
    <r>
      <rPr>
        <b/>
        <sz val="11"/>
        <color theme="1"/>
        <rFont val="Calibri"/>
        <family val="2"/>
        <charset val="204"/>
        <scheme val="minor"/>
      </rPr>
      <t>Изменения по сравнению с версией 7.4</t>
    </r>
    <r>
      <rPr>
        <sz val="11"/>
        <color theme="1"/>
        <rFont val="Calibri"/>
        <family val="2"/>
        <scheme val="minor"/>
      </rPr>
      <t xml:space="preserve">
1. Исправлен fNoLink в SEPAM, BMRZ, BMPA.
2. В блоке DI_DIAG убрано сообщение на Off в XVLX</t>
    </r>
  </si>
  <si>
    <t>. Выведен из алгоритма</t>
  </si>
  <si>
    <t>. Имитация</t>
  </si>
  <si>
    <t>. Ремонт</t>
  </si>
  <si>
    <t>. Блокировка по сработке</t>
  </si>
  <si>
    <t>. Ручное управление</t>
  </si>
  <si>
    <t>. Дистанционное управление</t>
  </si>
  <si>
    <t>. Недостоверность: входное значение Дистанционное управление</t>
  </si>
  <si>
    <t>. Автоматическая команда Включить блокирована</t>
  </si>
  <si>
    <t>. Автоматическая команда Отключить блокирована</t>
  </si>
  <si>
    <t>. Противоречивость команд</t>
  </si>
  <si>
    <t>. Недостоверность: выходное  значение  Включить</t>
  </si>
  <si>
    <t>. Недостоверность: выходное  значение  Отключить</t>
  </si>
  <si>
    <t>Недостоверное Выходное значение  Отключить</t>
  </si>
  <si>
    <t>Постоянная команда Отключить</t>
  </si>
  <si>
    <t>Запрет Отключения</t>
  </si>
  <si>
    <t>Запрет Включения</t>
  </si>
  <si>
    <r>
      <rPr>
        <b/>
        <sz val="11"/>
        <color theme="1"/>
        <rFont val="Calibri"/>
        <family val="2"/>
        <charset val="204"/>
        <scheme val="minor"/>
      </rPr>
      <t>Изменения по сравнению с версией 7.5</t>
    </r>
    <r>
      <rPr>
        <sz val="11"/>
        <color theme="1"/>
        <rFont val="Calibri"/>
        <family val="2"/>
        <scheme val="minor"/>
      </rPr>
      <t xml:space="preserve">
1. Добавлена кнопка "Вставить содержимое" на странице "Таблица" для быстрого импорта данных из старых версий
2. В INFINITY HISTORY добавлена генерация комментариев для всех аналоговых сигналов, теперь в дереве истории INFINITY Trends будет нормальное отображение названий аналоговых параметров.
Также добавлены единицы измерений, отображаются на тренде. 
Также добавлена архивация уставок и архивация режима имитации, без архивации этих параметров цвет линии меняться не будет.
3. DI_DIAG:
     - Изменён шаблон  INFINITY. На странице "Таблица" добавлены новые параметры: Инверсия сигнала, цвет иконки, класс сообщения. Теперь в столбце "" необходимо явно указывать название сигнала, например "Автомат S1 отключен" или "Дверь шкафа открыта".
4. Во всех блоках сигнал XMMX (Ручное управление) перенесён из класса "Предупреждение" в класс "Телесигнализация".
5. S_AI:
     - Уставки в блоке TREI теперь имеют относительные значения по умолчанию. Они зависят от значений нижнего и верхнего пределов измеряемой величины. 
6. DI:
     - На странице "Таблица" добавлен новый параметр: Инверсия сигнала.
7. Внесены недостоющие надписи названия блоков в заголовке столбцов листа "Таблица" 
8. Во всех блоках проверены типы сигналов на соответствие текущей номенклатуре
9. Исправлены шаблоны S_SHOP, S_SHPS, S_QOP, S_QSA, S_BTF, S_UPP, S_UPG, S_KL_UPT, S_OZK_KD для ТРЕЙ и Инфинити.
10. На всех листах уменьшен масштаб для более детального отображения на маленьком экране
11. На листе "Справка" поле "Руководство разработчика шаблонов" переименовано в "Руководство по импорту сгенерированных файлов". Добавлена важная информация в этот файл. Перед импортом данных рекомендуется тщательно изучить эти рекомендации. 
</t>
    </r>
  </si>
  <si>
    <t>Обратный отсчет до запуска ПТ приостановлен</t>
  </si>
  <si>
    <t>Останов пожаротушения (запуск пожаротушения отменен)</t>
  </si>
  <si>
    <t>Останов пожаротушения</t>
  </si>
  <si>
    <t>Выполнен досрочный принудительный запуск ПТ</t>
  </si>
  <si>
    <t>АУПТ не сработала</t>
  </si>
  <si>
    <t>Команда оператора отсчет времени до запуска тушения приостановить</t>
  </si>
  <si>
    <t>Команда оператора отсчет времени до запуска тушения возобновить</t>
  </si>
  <si>
    <t>Команда оператора на увеличение времени до запуска тушения</t>
  </si>
  <si>
    <t>Команда оператора на уменьшение времени до запуска тушения</t>
  </si>
  <si>
    <t>Команда УПИ отсчет времени до запуска тушения приостановить</t>
  </si>
  <si>
    <t>Команда УПИ отсчет времени до запуска тушения возобновить</t>
  </si>
  <si>
    <t>Команда ВП отсчет времени до запуска тушения приостановить</t>
  </si>
  <si>
    <t>Команда ВП отсчет времени до запуска тушения возобновить</t>
  </si>
  <si>
    <t>Команда УПИ на увеличение времени до запуска тушения</t>
  </si>
  <si>
    <t>Команда УПИ на уменьшение времени до запуска тушения</t>
  </si>
  <si>
    <t>Команда ВП на увеличение времени до запуска тушения</t>
  </si>
  <si>
    <t>Команда ВП на уменьшение времени до запуска тушения</t>
  </si>
  <si>
    <t>iftrue(#1.CHAX==1,#1.SHAX,#1.SHSX+10001)</t>
  </si>
  <si>
    <t>iftrue(#1.CLAX==1,#1.SLAX,#1.SLSX-10001)</t>
  </si>
  <si>
    <t>Обрыв цепи сигнала Неисправность</t>
  </si>
  <si>
    <t>КЗ цепи сигнала Неисправность</t>
  </si>
  <si>
    <t>Тест не пройден</t>
  </si>
  <si>
    <t>Тест пройден</t>
  </si>
  <si>
    <t>Тестирование извещателя</t>
  </si>
  <si>
    <t>Тестовый экран</t>
  </si>
  <si>
    <t>Входное значение Открыт (физ сигнал)</t>
  </si>
  <si>
    <t>Входное значение Закрыт (физ сигнал)</t>
  </si>
  <si>
    <t>Выходное значение для алгоритмов</t>
  </si>
  <si>
    <t>Недостоверное Входное значение Дистанционное управление</t>
  </si>
  <si>
    <t>Выходное значение Ручное управление</t>
  </si>
  <si>
    <t>Выходное значение Дистанционное управление</t>
  </si>
  <si>
    <t>Входное значение Дистанционное управление (физ сигнал)</t>
  </si>
  <si>
    <t>Входное значение Местное управление (физ сигнал)</t>
  </si>
  <si>
    <t>Недостоверное Входное значение Местное управление</t>
  </si>
  <si>
    <t>Выходное значение в мА</t>
  </si>
  <si>
    <t>Входное значение Дистанционное управление</t>
  </si>
  <si>
    <t>Блокировка системы ПТ от алгоритмов</t>
  </si>
  <si>
    <t>Нажата кнопка Опробование сигнализации</t>
  </si>
  <si>
    <t>Команда оператора включить блокировку</t>
  </si>
  <si>
    <t>Команда оператора отключить блокировку</t>
  </si>
  <si>
    <t>Время идущего тушения (выходное значение) (2 очередь)</t>
  </si>
  <si>
    <t>Выходная команда на запуск тушения (Идет тушение) (1 очередь)</t>
  </si>
  <si>
    <t>Идёт тушение</t>
  </si>
  <si>
    <t>Время идущего тушения (выходное значение) (1 очередь)</t>
  </si>
  <si>
    <t xml:space="preserve">Время идущего тушения (выходное значение) </t>
  </si>
  <si>
    <t>Метан</t>
  </si>
  <si>
    <t>FB_AI_S</t>
  </si>
  <si>
    <t>FB_DI_S</t>
  </si>
  <si>
    <t>FB_DO_S</t>
  </si>
  <si>
    <t>FB_IMp_S</t>
  </si>
  <si>
    <t>FB_IMv_S</t>
  </si>
  <si>
    <t>FB_REG_S</t>
  </si>
  <si>
    <t>FB_IMstp_S</t>
  </si>
  <si>
    <t>FB_IMsp_S</t>
  </si>
  <si>
    <t>FB_IMs_S</t>
  </si>
  <si>
    <t>FB_IMst_MON_S</t>
  </si>
  <si>
    <t>FB_IMt_MON_S</t>
  </si>
  <si>
    <t>FB_IMsp_MON_S</t>
  </si>
  <si>
    <t>FB_IMtp_MON_S</t>
  </si>
  <si>
    <t>FB_IMs_MON_S</t>
  </si>
  <si>
    <t>FB_IMp_MON_S</t>
  </si>
  <si>
    <t>FB_IMv_MON_S</t>
  </si>
  <si>
    <t>FB_SHPS_S</t>
  </si>
  <si>
    <t>FB_SHOP_S</t>
  </si>
  <si>
    <t>FB_QSA_S</t>
  </si>
  <si>
    <t>FB_BTF_S</t>
  </si>
  <si>
    <t>FB_UPP_S</t>
  </si>
  <si>
    <t>FB_UPG_S</t>
  </si>
  <si>
    <t>FB_KL_UPT_S</t>
  </si>
  <si>
    <t>FB_OZK_KD_S</t>
  </si>
  <si>
    <t>FB_IM_ADES_S</t>
  </si>
  <si>
    <r>
      <rPr>
        <b/>
        <sz val="11"/>
        <color theme="1"/>
        <rFont val="Calibri"/>
        <family val="2"/>
        <charset val="204"/>
        <scheme val="minor"/>
      </rPr>
      <t>Изменения по сравнению с версией 8.1</t>
    </r>
    <r>
      <rPr>
        <sz val="11"/>
        <color theme="1"/>
        <rFont val="Calibri"/>
        <family val="2"/>
        <scheme val="minor"/>
      </rPr>
      <t xml:space="preserve">
1. В столбце "Префикс для TREI Тэг ОРС для INFINITY" можно использовать сивол "\" для создания иерархии сигналов в глобальном словаре TREI. При генерации он автоматически будет преобразован в "|".</t>
    </r>
  </si>
  <si>
    <r>
      <rPr>
        <b/>
        <sz val="11"/>
        <color theme="1"/>
        <rFont val="Calibri"/>
        <family val="2"/>
        <charset val="204"/>
        <scheme val="minor"/>
      </rPr>
      <t>Изменения по сравнению с версией 8.0</t>
    </r>
    <r>
      <rPr>
        <sz val="11"/>
        <color theme="1"/>
        <rFont val="Calibri"/>
        <family val="2"/>
        <scheme val="minor"/>
      </rPr>
      <t xml:space="preserve">
1. S_AI, AI:
     - Добавлено свойство для хранения параметра, необходимого для отображения точности параметра на мнемосхеме из всплывающего списка
2. S_DI:
     - Добавлено свойство типа и позици датчика
3. Добавлен блок S_DO в Infinity и TREI
4. Введено ограничение на ввод данных в столбец "Префикс для TREI Тэг ОРС для INFINITY" - максимум 17 символов.</t>
    </r>
  </si>
  <si>
    <t>INT</t>
  </si>
  <si>
    <t>Тип ИП пламени</t>
  </si>
  <si>
    <t>FB_UPG_S5</t>
  </si>
  <si>
    <r>
      <t>Изменения по сравнению с версией 8.6</t>
    </r>
    <r>
      <rPr>
        <sz val="11"/>
        <color theme="1"/>
        <rFont val="Calibri"/>
        <family val="2"/>
        <charset val="204"/>
        <scheme val="minor"/>
      </rPr>
      <t xml:space="preserve">
1. Полностью удалены блоки S_IM и S_IM_s_p_v_MON как устаревшие
2. Все блоки переименованы согласно текущей номенклатуре
3. DO:
    - На листе "Таблица" убран столбец "Название тега INFINITY  для выходного значения". Теперь в Infinity команда формируется по другому.
    - Убрано "commands" в названии сигнала.
    - добавлен сигнал в конфигурацию TREI
4. Все FB:
     - сигнал IFXX переименован в IFXX
     - сигнал DFXX переименован в DFXX
5. FB_REG_S
     - добавлены сигналы CBXX, SFTX, SDTX, SBPX в TREI и Infinity.
Изменения по сравнению с версией 8.5
1. Исправлены блоки S_UPP, S_UPG в Infinity и TREI.
2. S_QSA свойство "Позиция датчика" переименовано в "Тип контролируемого газа"
Изменения по сравнению с версией 8.4
1. Исправлены блоки S_SHOP, S_BTF, S_UPG, S_UPP, S_QOP, S_QSA в Infinity и TREI.
2. Теперь CTRL+V сразу вставляет данные как значения. Результат отменить нельзя
Изменения по сравнению с версией 8.3
1. Блокам SEPAM, BMRZ, BMPA добавлен сигнал NotConnected.
2. Исправлены блоки S_SHPS, S_BTF, S_UPG, S_UPP, S_OZK_KD в Infinity и TREI.
3. На экран "Таблица" добавлена кнопка "Очистить содержимое"
4. Удалены лишние сигналы в блоках S_IMp, S_IMv, S_IMstp, S_IMsp, S_IMs в INFINITY и TREI согласно текущей номенклатуре.
Изменения по сравнению с версией 8.2
1. Отменено ограничение на количество символов в столбце "Префикс для TREI Тэг ОРС для INFINITY" введённое ранее в версии 8.0. Как оказалось ограничений нет.
2. Исправлены блоки S_UPP и S_UPG в TREi и INFINITY в соответствии с текущей номенклатурой
</t>
    </r>
  </si>
  <si>
    <t>Постоянная времени фильтра (сек)</t>
  </si>
  <si>
    <t>Постоянная времени дифференцирования (сек)</t>
  </si>
  <si>
    <t>Уставка процента открытия в режиме Блокировка</t>
  </si>
  <si>
    <r>
      <rPr>
        <b/>
        <sz val="11"/>
        <color theme="1"/>
        <rFont val="Calibri"/>
        <family val="2"/>
        <charset val="204"/>
        <scheme val="minor"/>
      </rPr>
      <t>Изменения по сравнению с версией 8.4</t>
    </r>
    <r>
      <rPr>
        <sz val="11"/>
        <color theme="1"/>
        <rFont val="Calibri"/>
        <family val="2"/>
        <scheme val="minor"/>
      </rPr>
      <t xml:space="preserve">
1. Исправлены блоки S_SHOP, S_BTF, S_UPG, S_UPP, S_QOP, S_QSA в Infinity и TREI.
2. Теперь CTRL+V сразу вставляет данные как значения. Результат отменить нельзя</t>
    </r>
  </si>
  <si>
    <r>
      <rPr>
        <b/>
        <sz val="11"/>
        <color theme="1"/>
        <rFont val="Calibri"/>
        <family val="2"/>
        <charset val="204"/>
        <scheme val="minor"/>
      </rPr>
      <t>Изменения по сравнению с версией 8.3</t>
    </r>
    <r>
      <rPr>
        <sz val="11"/>
        <color theme="1"/>
        <rFont val="Calibri"/>
        <family val="2"/>
        <scheme val="minor"/>
      </rPr>
      <t xml:space="preserve">
1. Блокам SEPAM, BMRZ, BMPA добавлен сигнал NotConnected.
2. Исправлены блоки S_SHPS, S_BTF, S_UPG, S_UPP, S_OZK_KD в Infinity и TREI.
3. На экран "Таблица" добавлена кнопка "Очистить содержимое"
4. Удалены лишние сигналы в блоках S_IMp, S_IMv, S_IMstp, S_IMsp, S_IMs в INFINITY и TREI согласно текущей номенклатуре.</t>
    </r>
  </si>
  <si>
    <r>
      <rPr>
        <b/>
        <sz val="11"/>
        <color theme="1"/>
        <rFont val="Calibri"/>
        <family val="2"/>
        <charset val="204"/>
        <scheme val="minor"/>
      </rPr>
      <t>Изменения по сравнению с версией 8.2</t>
    </r>
    <r>
      <rPr>
        <sz val="11"/>
        <color theme="1"/>
        <rFont val="Calibri"/>
        <family val="2"/>
        <scheme val="minor"/>
      </rPr>
      <t xml:space="preserve">
1. Отменено ограничение на количество символов в столбце "Префикс для TREI Тэг ОРС для INFINITY" введённое ранее в версии 8.0. Как оказалось ограничений нет.
2. Исправлены блоки S_UPP и S_UPG в TREi и INFINITY в соответствии с текущей номенклатурой</t>
    </r>
  </si>
  <si>
    <t>iftrue (#2.fNoLink == 1,0,1)</t>
  </si>
  <si>
    <t>255.255.255.0</t>
  </si>
  <si>
    <t>192.168.78.10</t>
  </si>
  <si>
    <t>iso.org.dod.internet.private.enterprises.tsw.portStatusTab.port1.port1Link;1.3.6.1.4.1.77.3.1.1</t>
  </si>
  <si>
    <t>iso.org.dod.internet.private.enterprises.tsw.portStatusTab.port10.port10Link;1.3.6.1.4.1.77.3.10.1</t>
  </si>
  <si>
    <t>iso.org.dod.internet.private.enterprises.tsw.portStatusTab.port2.port2Link;1.3.6.1.4.1.77.3.2.1</t>
  </si>
  <si>
    <t>iso.org.dod.internet.private.enterprises.tsw.portStatusTab.port3.port3Link;1.3.6.1.4.1.77.3.3.1</t>
  </si>
  <si>
    <t>iso.org.dod.internet.private.enterprises.tsw.portStatusTab.port5.port5Link;1.3.6.1.4.1.77.3.5.1</t>
  </si>
  <si>
    <t>iso.org.dod.internet.private.enterprises.tsw.portStatusTab.port6.port6Link;1.3.6.1.4.1.77.3.6.1</t>
  </si>
  <si>
    <t>iso.org.dod.internet.private.enterprises.tsw.portStatusTab.port7.port7Link;1.3.6.1.4.1.77.3.7.1</t>
  </si>
  <si>
    <t>iso.org.dod.internet.private.enterprises.tsw.portStatusTab.port8.port8Link;1.3.6.1.4.1.77.3.8.1</t>
  </si>
  <si>
    <t>iso.org.dod.internet.private.enterprises.tsw.portStatusTab.port9.port9Link;1.3.6.1.4.1.77.3.9.1</t>
  </si>
  <si>
    <t>SW_S301</t>
  </si>
  <si>
    <t>Коммутатор TREI S301</t>
  </si>
  <si>
    <t>@(CodeMsg)</t>
  </si>
  <si>
    <t>ENUM</t>
  </si>
  <si>
    <t>Electon\S20220\REG57</t>
  </si>
  <si>
    <t>iso.org.dod.internet.private.enterprises.tsw.portStatusTab.port4.port4Link;1.3.6.1.4.1.77.3.4.1</t>
  </si>
  <si>
    <t>Свободное место</t>
  </si>
  <si>
    <t>FindSubStr(ДИАГНОСТИКА_СИСТЕМЫ.Сервер_1.hrStorageSize.n1</t>
  </si>
  <si>
    <t>G)-4)</t>
  </si>
  <si>
    <t>Мало места на диске С</t>
  </si>
  <si>
    <t>Свободное место - пересчитанное значение</t>
  </si>
  <si>
    <t>,</t>
  </si>
  <si>
    <t>.)</t>
  </si>
  <si>
    <t>SYS_DIAG</t>
  </si>
  <si>
    <t>Порог 2</t>
  </si>
  <si>
    <t>Порог 1</t>
  </si>
  <si>
    <t>Отключение</t>
  </si>
  <si>
    <t>Размер ОЗУ</t>
  </si>
  <si>
    <t>Размер ОЗУ (доступно)</t>
  </si>
  <si>
    <t>Суммарный объем дисков</t>
  </si>
  <si>
    <t>Число запущенных процессов</t>
  </si>
  <si>
    <t>StrToNum(#2.hrMemoryFreeSize)/1048576</t>
  </si>
  <si>
    <t>StrToNum(#2.hrMemorySize)/1048576</t>
  </si>
  <si>
    <t>#1.hrStorageSize.Display-#1.FreeSize.Display</t>
  </si>
  <si>
    <t>StrTonum(#1.Point)</t>
  </si>
  <si>
    <t>iso.org.dod.internet.private.enterprises.elesy.admin_info.Computer.CompName;1.3.6.1.4.1.41796.5.4.1</t>
  </si>
  <si>
    <t>iso.org.dod.internet.private.enterprises.elesy.admin_info.Memory.MemPhysAvail;1.3.6.1.4.1.41796.5.6.3</t>
  </si>
  <si>
    <t>iso.org.dod.internet.private.enterprises.elesy.admin_info.Memory.MemPhysAll;1.3.6.1.4.1.41796.5.6.1</t>
  </si>
  <si>
    <t>iso.org.dod.internet.private.enterprises.elesy.admin_info.Computer.OS;1.3.6.1.4.1.41796.5.4.4</t>
  </si>
  <si>
    <t>iso.org.dod.internet.private.enterprises.elesy.admin_info.ProcessCount;1.3.6.1.4.1.41796.5.7</t>
  </si>
  <si>
    <t>Используемый объем диска</t>
  </si>
  <si>
    <t>Общий объем диска</t>
  </si>
  <si>
    <t>Мало места на диске D</t>
  </si>
  <si>
    <t>iso.org.dod.internet.private.enterprises.elesy.admin_info.LocalDiskTable.LocalDiskEntry.LocalDiskInfo;1.3.6.1.4.1.41796.5.3.1.1;1</t>
  </si>
  <si>
    <t>iso.org.dod.internet.private.enterprises.elesy.admin_info.LocalDiskTable.LocalDiskEntry.LocalDiskInfo;1.3.6.1.4.1.41796.5.3.1.1;2</t>
  </si>
  <si>
    <t>Общий объем диска - пересчитанное значение</t>
  </si>
  <si>
    <t>iftrue(#1.Display&lt;#2.minsize1,1,0)</t>
  </si>
  <si>
    <t>#1.Commands.minsize1</t>
  </si>
  <si>
    <t>iftrue(#1.Display&lt;#2.minsize2,1,0)</t>
  </si>
  <si>
    <t>#1.Commands.minsize2</t>
  </si>
  <si>
    <t>Аппаратная неисправность</t>
  </si>
  <si>
    <t>Аппаратная неисправность входное значение Неисправность</t>
  </si>
  <si>
    <t>Информация</t>
  </si>
  <si>
    <t>Команда алгоритма на включение оповещения</t>
  </si>
  <si>
    <t>Тушение невозможно Двери открыты</t>
  </si>
  <si>
    <t>Открыт</t>
  </si>
  <si>
    <t>Команда алгоритма на открытие</t>
  </si>
  <si>
    <t>Аппаратная неисправность входное значение Открыт</t>
  </si>
  <si>
    <t>Аппаратная неисправность входное значение Закрыт</t>
  </si>
  <si>
    <t>Аппаратная неисправность выходное значение Открыть</t>
  </si>
  <si>
    <t>Аппаратная неисправность выходное значение Закрыть</t>
  </si>
  <si>
    <t>Команда алгоритма на отрытие</t>
  </si>
  <si>
    <t>Команда алгоритма на закрытие</t>
  </si>
  <si>
    <t>FB_SH_ALL</t>
  </si>
  <si>
    <t>FB_SHOP_ALL</t>
  </si>
  <si>
    <t>FB_QSA_ALL</t>
  </si>
  <si>
    <t>Сбор обобщенных сигналов c датчиков по позиции</t>
  </si>
  <si>
    <t>Сбор обобщенных сигналов c оповещателей по позиции</t>
  </si>
  <si>
    <t>Сбор обобщенных сигналов газоанализаторов по позиции</t>
  </si>
  <si>
    <t>Идет сброс системы</t>
  </si>
  <si>
    <r>
      <rPr>
        <b/>
        <sz val="11"/>
        <color theme="1"/>
        <rFont val="Calibri"/>
        <family val="2"/>
        <charset val="204"/>
        <scheme val="minor"/>
      </rPr>
      <t>Изменения по сравнению с версией 8.5</t>
    </r>
    <r>
      <rPr>
        <sz val="11"/>
        <color theme="1"/>
        <rFont val="Calibri"/>
        <family val="2"/>
        <scheme val="minor"/>
      </rPr>
      <t xml:space="preserve">
1. Исправлены блоки S_UPP, S_UPG в Infinity и TREI.
2. S_QSA свойство "Позиция датчика" переименовано в "Тип контролируемого газа"</t>
    </r>
  </si>
  <si>
    <r>
      <rPr>
        <b/>
        <sz val="11"/>
        <color theme="1"/>
        <rFont val="Calibri"/>
        <family val="2"/>
        <charset val="204"/>
        <scheme val="minor"/>
      </rPr>
      <t>Изменения по сравнению с версией 8.6</t>
    </r>
    <r>
      <rPr>
        <sz val="11"/>
        <color theme="1"/>
        <rFont val="Calibri"/>
        <family val="2"/>
        <scheme val="minor"/>
      </rPr>
      <t xml:space="preserve">
1. Полностью удалены блоки S_IM и S_IM_s_p_v_MON как устаревшие
2. Все блоки переименованы согласно текущей номенклатуре
3. DO:
    - На листе "Таблица" убран столбец "Название тега INFINITY  для выходного значения". Теперь в Infinity команда формируется по другому.
    - Убрано "commands" в названии сигнала.
    - добавлен сигнал в конфигурацию TREI
4. Все FB:
     - сигнал IFLT переименован в IFXX
     - сигнал DFLT переименован в DFXX
5. FB_REG_S
     - добавлены сигналы CBXX, SFTX, SDTX, SBPX в TREI и Infinity.
6. FB_BTF: 
    - В Infinity добавлен сигнал STYP.
    - На лист "Таблица" добавлено свойство STYP.
 7. Исправлены блоки FB_UPP и FB_UPG в TREI</t>
    </r>
  </si>
  <si>
    <r>
      <rPr>
        <b/>
        <sz val="11"/>
        <color theme="1"/>
        <rFont val="Calibri"/>
        <family val="2"/>
        <charset val="204"/>
        <scheme val="minor"/>
      </rPr>
      <t>Набор сигналов, передаваемых с блоков TREI:</t>
    </r>
    <r>
      <rPr>
        <sz val="11"/>
        <color theme="1"/>
        <rFont val="Calibri"/>
        <family val="2"/>
        <charset val="204"/>
        <scheme val="minor"/>
      </rPr>
      <t xml:space="preserve">
1. FB_AI_S - Аналоговый сигнал
2. FB_DI_S - Дискретный сигнал
3. FB_ REG_S - Регулятор 
4. FB_IMstp_S - Выключатель электрический
5. FB_IMst_MON_S - Выключатель эл. без управления с тележкой
6. FB_ IMsp_MON_S - Выключатель эл. без управления и без тележки с защитой
7. FB_ IMtp_MON_S - Тележка с защитой
8. FB_IMp_MON - Насос без управления
9. FB_IMv_MON - Задвижка без управления
10. FB_IMs_MON - Выключатель без управления
11. FB_IMt_MON_S - Тележка без защит
12. FB_IMs_S - Выключатель без тележки и без защит с управлением
13. FB_IMsp_S - Выключатель без тележки c защитой и управлением
14. FB_SHPS_S - Извещатель пожарный
15. FB_SHOP_S - Оповещатель о пожаре
16. FB_IMp_S - Насос с управлением
17. FB_IMv_S - Задвижка с управлением
18. FB_QOP_S - Оповещение о загазованности
</t>
    </r>
  </si>
  <si>
    <t>Команда УПИ сброс системы</t>
  </si>
  <si>
    <t>Команда ВП сброс системы</t>
  </si>
  <si>
    <t>Команда оператора сброс системы</t>
  </si>
  <si>
    <t>Включено</t>
  </si>
  <si>
    <t>Свет</t>
  </si>
  <si>
    <t>REAL</t>
  </si>
  <si>
    <t>Диагностика поканальная</t>
  </si>
  <si>
    <t>Пожар в зоне</t>
  </si>
  <si>
    <t>Неисправность датчика</t>
  </si>
  <si>
    <t>Команда оператора на отключение оповещения</t>
  </si>
  <si>
    <t>sleep(2);#1.COOF=0</t>
  </si>
  <si>
    <r>
      <t xml:space="preserve">
</t>
    </r>
    <r>
      <rPr>
        <b/>
        <sz val="11"/>
        <color theme="1"/>
        <rFont val="Calibri"/>
        <family val="2"/>
        <charset val="204"/>
        <scheme val="minor"/>
      </rPr>
      <t>Изменения по сравнению с версией 9.0</t>
    </r>
    <r>
      <rPr>
        <sz val="11"/>
        <color theme="1"/>
        <rFont val="Calibri"/>
        <family val="2"/>
        <scheme val="minor"/>
      </rPr>
      <t xml:space="preserve">
1. Исправлено формирование INFINITY-HISTORY.
2. Исключен "!" из формулы fNoLink.OPC во всех блоках. Формула работала некорректно в последних версиях Infinity Server.
3. Оптимизированы скрипты- время работы программы сущесвенно уменьшилось
4. Убраны лишние вкладки
5. Добавлен новый блок SW_S301 (Коммутатор TREI S301) в INFINITY.
6. Добавлен блок ENUM (Перечисление) в INFINITY. Необходим для использования совместно с xml файлом, в котором содержится перечисление значения сигнала с соответствующими сообщениями.
7. Добавлены стрелки "К первой записи" и "К нижней записи" на экране "Таблица".
8. Добавлены кнопки "Снять все" и "Поставить всё" на экране "Таблица"
9. Исправлены ошибки при генерации  с применением фильтров на листе "Таблица"
10. Добавлен блок SYS_DIAG в INFINITY. Предназначен для создания диагностики серверов и АРМов по SNMP.
11. Добавлены блоки FB_SH_ALL, FB_SHOP_ALL, FB_QSA_ALL d TREI и INFINITY
12. В блоки FB_QOP_S, FB_QSA_S, FB_BTF_S, FB_UPP_S, FB_UPG_S, FB_KL_UPT_S, FB_OZK_KD_S   внесены изменения согласно текущей номенклатуре
13. FB_SHPS_S 
     - На листе "Таблица" добавлена возможность выбрать аларменный класс переменой XFRX для SB.
14. Добавлены новые аларменные классы: Тушение, Пожар, Порог 1, Порог 2, Отключение, Информация
15. Изменён приоритет для аларменного класса "Авария" - 2.</t>
    </r>
  </si>
  <si>
    <t>REG_test</t>
  </si>
  <si>
    <t>Регулируемый параметр выведен из алгоритма</t>
  </si>
  <si>
    <t>SW_MAYAK</t>
  </si>
  <si>
    <t>iso.org.dod.internet.mgmt.mib-2.interfaces.ifTable.ifEntry.ifOperStatus;1.3.6.1.2.1.2.2.1.8;3</t>
  </si>
  <si>
    <t>iso.org.dod.internet.mgmt.mib-2.interfaces.ifTable.ifEntry.ifOperStatus;1.3.6.1.2.1.2.2.1.8;4</t>
  </si>
  <si>
    <t>iso.org.dod.internet.mgmt.mib-2.interfaces.ifTable.ifEntry.ifOperStatus;1.3.6.1.2.1.2.2.1.8;5</t>
  </si>
  <si>
    <t>iso.org.dod.internet.mgmt.mib-2.interfaces.ifTable.ifEntry.ifOperStatus;1.3.6.1.2.1.2.2.1.8;6</t>
  </si>
  <si>
    <t>iso.org.dod.internet.mgmt.mib-2.interfaces.ifTable.ifEntry.ifOperStatus;1.3.6.1.2.1.2.2.1.8;7</t>
  </si>
  <si>
    <t>iso.org.dod.internet.mgmt.mib-2.interfaces.ifTable.ifEntry.ifOperStatus;1.3.6.1.2.1.2.2.1.8;8</t>
  </si>
  <si>
    <t>iso.org.dod.internet.mgmt.mib-2.interfaces.ifTable.ifEntry.ifOperStatus;1.3.6.1.2.1.2.2.1.8;9</t>
  </si>
  <si>
    <t>iso.org.dod.internet.mgmt.mib-2.interfaces.ifTable.ifEntry.ifOperStatus;1.3.6.1.2.1.2.2.1.8;10</t>
  </si>
  <si>
    <t>iso.org.dod.internet.mgmt.mib-2.interfaces.ifTable.ifEntry.ifOperStatus;1.3.6.1.2.1.2.2.1.8;11</t>
  </si>
  <si>
    <t>iso.org.dod.internet.mgmt.mib-2.interfaces.ifTable.ifEntry.ifOperStatus;1.3.6.1.2.1.2.2.1.8;12</t>
  </si>
  <si>
    <t>iso.org.dod.internet.mgmt.mib-2.interfaces.ifTable.ifEntry.ifOperStatus;1.3.6.1.2.1.2.2.1.8;1</t>
  </si>
  <si>
    <t>iso.org.dod.internet.mgmt.mib-2.interfaces.ifTable.ifEntry.ifOperStatus;1.3.6.1.2.1.2.2.1.8;2</t>
  </si>
  <si>
    <t>Коммутатор MAYAK</t>
  </si>
  <si>
    <t>iso.org.dod.internet.mgmt.mib-2.interfaces.ifTable.ifEntry.ifOperStatus;1.3.6.1.2.1.2.2.1.8;13</t>
  </si>
  <si>
    <t>iso.org.dod.internet.mgmt.mib-2.interfaces.ifTable.ifEntry.ifOperStatus;1.3.6.1.2.1.2.2.1.8;14</t>
  </si>
  <si>
    <t>iso.org.dod.internet.mgmt.mib-2.interfaces.ifTable.ifEntry.ifOperStatus;1.3.6.1.2.1.2.2.1.8;15</t>
  </si>
  <si>
    <t>iso.org.dod.internet.mgmt.mib-2.interfaces.ifTable.ifEntry.ifOperStatus;1.3.6.1.2.1.2.2.1.8;16</t>
  </si>
  <si>
    <t>iso.org.dod.internet.mgmt.mib-2.interfaces.ifTable.ifEntry.ifOperStatus;1.3.6.1.2.1.2.2.1.8;17</t>
  </si>
  <si>
    <t>iso.org.dod.internet.mgmt.mib-2.interfaces.ifTable.ifEntry.ifOperStatus;1.3.6.1.2.1.2.2.1.8;18</t>
  </si>
  <si>
    <t>iso.org.dod.internet.mgmt.mib-2.interfaces.ifTable.ifEntry.ifOperStatus;1.3.6.1.2.1.2.2.1.8;19</t>
  </si>
  <si>
    <t>iso.org.dod.internet.mgmt.mib-2.interfaces.ifTable.ifEntry.ifOperStatus;1.3.6.1.2.1.2.2.1.8;20</t>
  </si>
  <si>
    <t>iso.org.dod.internet.mgmt.mib-2.interfaces.ifTable.ifEntry.ifOperStatus;1.3.6.1.2.1.2.2.1.8;21</t>
  </si>
  <si>
    <t>iso.org.dod.internet.mgmt.mib-2.interfaces.ifTable.ifEntry.ifOperStatus;1.3.6.1.2.1.2.2.1.8;22</t>
  </si>
  <si>
    <t>iso.org.dod.internet.mgmt.mib-2.interfaces.ifTable.ifEntry.ifOperStatus;1.3.6.1.2.1.2.2.1.8;23</t>
  </si>
  <si>
    <t>iso.org.dod.internet.mgmt.mib-2.interfaces.ifTable.ifEntry.ifOperStatus;1.3.6.1.2.1.2.2.1.8;24</t>
  </si>
  <si>
    <t>iso.org.dod.internet.mgmt.mib-2.interfaces.ifTable.ifEntry.ifOperStatus;1.3.6.1.2.1.2.2.1.8;25</t>
  </si>
  <si>
    <t>iso.org.dod.internet.mgmt.mib-2.interfaces.ifTable.ifEntry.ifOperStatus;1.3.6.1.2.1.2.2.1.8;26</t>
  </si>
  <si>
    <r>
      <rPr>
        <b/>
        <sz val="11"/>
        <color theme="1"/>
        <rFont val="Calibri"/>
        <family val="2"/>
        <charset val="204"/>
        <scheme val="minor"/>
      </rPr>
      <t>Изменения по сравнению с версией 10.1</t>
    </r>
    <r>
      <rPr>
        <sz val="11"/>
        <color theme="1"/>
        <rFont val="Calibri"/>
        <family val="2"/>
        <scheme val="minor"/>
      </rPr>
      <t xml:space="preserve">
1. Добавлена генерация тегов TREI для блока AI
2. Добавлена генерация тегов TREI для блока ENUM
3. В блоке ENUM добавлены сигналы fNoLink.
4. На листе "Таблица" добавлен выбор типа переменной блока AI для TREI. </t>
    </r>
  </si>
  <si>
    <r>
      <rPr>
        <b/>
        <sz val="11"/>
        <color theme="1"/>
        <rFont val="Calibri"/>
        <family val="2"/>
        <charset val="204"/>
        <scheme val="minor"/>
      </rPr>
      <t>Изменения по сравнению с версией 10.0</t>
    </r>
    <r>
      <rPr>
        <sz val="11"/>
        <color theme="1"/>
        <rFont val="Calibri"/>
        <family val="2"/>
        <scheme val="minor"/>
      </rPr>
      <t xml:space="preserve">
1. Исправлены ошибки в блоке ENUM.
2. Исправлен приоритет аларменного класса "Авария" - 4 
3. Исправлена ошибка в блоке PING </t>
    </r>
  </si>
  <si>
    <t>АСУЭ.SEPAM</t>
  </si>
  <si>
    <t>Диагностика.DI_DIAG</t>
  </si>
  <si>
    <t>АСУЭ.BMRZ</t>
  </si>
  <si>
    <t>АСУЭ.BMPA</t>
  </si>
  <si>
    <t>АСПС.FB_BTF_S</t>
  </si>
  <si>
    <t>АСПС.FB_UPP_S</t>
  </si>
  <si>
    <t>АСПС.FB_UPG_S5</t>
  </si>
  <si>
    <t>АСПС.FB_KL_UPT_S</t>
  </si>
  <si>
    <t>АСПС.FB_OZK_KD_S</t>
  </si>
  <si>
    <t>Диагностика.TREI_S301</t>
  </si>
  <si>
    <t>АСПС.FB_SH_ALL</t>
  </si>
  <si>
    <t>АСПС.FB_SHOP_ALL</t>
  </si>
  <si>
    <t>АСПС.FB_QSA_ALL</t>
  </si>
  <si>
    <t>Диагностика.MAYAK</t>
  </si>
  <si>
    <t>Аналоговый датчик</t>
  </si>
  <si>
    <t>Аналоговый датчик FB</t>
  </si>
  <si>
    <t>Дискретный датчик FB</t>
  </si>
  <si>
    <t>Насос FB</t>
  </si>
  <si>
    <t>Задвижка FB</t>
  </si>
  <si>
    <t>АДЭС FB</t>
  </si>
  <si>
    <t>Регулятор FB</t>
  </si>
  <si>
    <t>Выключатель электрический</t>
  </si>
  <si>
    <t>Выключатель электрический без тележки</t>
  </si>
  <si>
    <t>Выключатель электрический без тележки и защит</t>
  </si>
  <si>
    <t>Выключатель электрический без защит</t>
  </si>
  <si>
    <t>Выключатель с защитой без управления и без тележки</t>
  </si>
  <si>
    <t>Выключатель с защитой без управления, без тележки и без защит</t>
  </si>
  <si>
    <t>Насос без управления</t>
  </si>
  <si>
    <t>Задвижка без управления</t>
  </si>
  <si>
    <t>Загазованность</t>
  </si>
  <si>
    <t>Дискретный выход FB</t>
  </si>
  <si>
    <t>Перечисление</t>
  </si>
  <si>
    <t>Диагностика системы АРМа, сервера</t>
  </si>
  <si>
    <t>Диагностика.PING</t>
  </si>
  <si>
    <t>АСУЭ.FB_IM_ADES_S</t>
  </si>
  <si>
    <t>АСУЭ.FB_IMstp_S</t>
  </si>
  <si>
    <t>АСУЭ.FB_IMsp_S</t>
  </si>
  <si>
    <t>АСУЭ.FB_IMs_S</t>
  </si>
  <si>
    <t>АСУЭ.FB_IMst_MON_S</t>
  </si>
  <si>
    <t>АСУЭ.FB_IMsp_MON_S</t>
  </si>
  <si>
    <t>АСУЭ.FB_IMs_MON_S</t>
  </si>
  <si>
    <t>Диагностика.SYS_DIAG</t>
  </si>
  <si>
    <t>АСПС.FB_QSA_S</t>
  </si>
  <si>
    <t>АСПС.FB_SHPS_S</t>
  </si>
  <si>
    <t>АСПС.FB_SHOP_S</t>
  </si>
  <si>
    <t>ZRU_SR_TEL4</t>
  </si>
  <si>
    <t>FB_DO_STB_S</t>
  </si>
  <si>
    <t>АСПС.FB_DO_STB_S</t>
  </si>
  <si>
    <t>Input</t>
  </si>
  <si>
    <t xml:space="preserve"> </t>
  </si>
  <si>
    <t>Наличие динамических ошибок выполнения приложения</t>
  </si>
  <si>
    <t>Нулевой код запуска приложения/обнаружен сброс модуля</t>
  </si>
  <si>
    <t>Приложение находится в режиме отладки</t>
  </si>
  <si>
    <t>Наличие аппаратных ошибок работы модулей (с модуля в/в)</t>
  </si>
  <si>
    <t>Наличие ошибок конфигурации модулей (с модуля в/в)</t>
  </si>
  <si>
    <t>Наличие аппаратных ошибок работы юнитов (с модуля в/в)</t>
  </si>
  <si>
    <t>Наличие ошибок чтения метрологических констант (с модуля в/в)</t>
  </si>
  <si>
    <t>Наличие ошибок внешних цепей юнитов (с модуля в/в)</t>
  </si>
  <si>
    <t>Наличие ошибок шины STBUS (с модуля в/в)</t>
  </si>
  <si>
    <t>Наличие ошибок RS232/RS485</t>
  </si>
  <si>
    <t>Наличие ошибок контроллера Ethernet</t>
  </si>
  <si>
    <t>Наличие ошибок горячего резервирования</t>
  </si>
  <si>
    <t>Холодный старт</t>
  </si>
  <si>
    <t>Признак "Backup" контроллера</t>
  </si>
  <si>
    <t>Выполнять технологическое приложение на резервном контроллере</t>
  </si>
  <si>
    <t>Статус мастера "основной"-"резервный"</t>
  </si>
  <si>
    <t>Ошибки мастера аппаратные</t>
  </si>
  <si>
    <t>Ошибки обмена с модулями</t>
  </si>
  <si>
    <t>IfTrue(#1.SFTX==3,1,0)</t>
  </si>
  <si>
    <t>Закрыт</t>
  </si>
  <si>
    <t>sleep(4);#1.CORS=0</t>
  </si>
  <si>
    <t>sleep(2);#1.COON=0</t>
  </si>
  <si>
    <t>vt_filetime</t>
  </si>
  <si>
    <r>
      <rPr>
        <b/>
        <sz val="11"/>
        <color theme="1"/>
        <rFont val="Calibri"/>
        <family val="2"/>
        <charset val="204"/>
        <scheme val="minor"/>
      </rPr>
      <t>Изменения по сравнению с версией 10.2</t>
    </r>
    <r>
      <rPr>
        <sz val="11"/>
        <color theme="1"/>
        <rFont val="Calibri"/>
        <family val="2"/>
        <scheme val="minor"/>
      </rPr>
      <t xml:space="preserve">
1. FB_AI_S:
     - сигнал CSLX удалён за ненадобностью в INFINITY и TREI
     - добавлен CRST в INFINITY и TREI
     - добавлен DSTX в TREI
     - сигнал SDLX в TREI рассчитывается по формуле (SHSX-SLCX)*0,015
2. FB_DI_S:
     - добавлен CRST в TREI</t>
    </r>
  </si>
  <si>
    <r>
      <rPr>
        <b/>
        <sz val="11"/>
        <color theme="1"/>
        <rFont val="Calibri"/>
        <family val="2"/>
        <charset val="204"/>
        <scheme val="minor"/>
      </rPr>
      <t>Изменения по сравнению с версией 10.3</t>
    </r>
    <r>
      <rPr>
        <sz val="11"/>
        <color theme="1"/>
        <rFont val="Calibri"/>
        <family val="2"/>
        <scheme val="minor"/>
      </rPr>
      <t xml:space="preserve">
1.    Блок FB_SHPS_S – добавлена переменная FXXX в шаблон низа
2.    Блок FB_BTF_S – переменные IFXX, DFXX переименованы в IFEX, DFEX (для низа и верха), у переменной FXXX убрано аларменное сообщение, добавлена переменная FEXX с алармом, у переменной STYP добавлено еще одно значение (0-5);
3.    Блок FB_SHOP_S – добавлена переменная FXXX в шаблон низа (во вложении);
4.    Блоки FB_UPG_S, FB_UPP_S – добавлена переменная XFRX c алармом для низа и верха
5.    Блок FB_QSA_S – переменные IFXX, DFXX переименованы в IFEX, DFEX (для низа и верха), у переменной FXXX убрано аларменное сообщение, добавлена переменная FEXX с алармом, добавлена переменная XNXX, удалена переменная CSLX, добавлена переменная CRST, расчет SDLX в TREI рассчитывается по формуле (SHSX-SLSX)*0,065
6.    Блок FB_KL_UPT – добавлена переменная FXXX в шаблон низа и верха
7.    Блок FB_OZK_KD_S – добавлена в конфигуратор надстройка переменной STYP (0 - ОЗК, 1 – КД);
8.    Блок FB_SHOP_ALL – добавлена переменная COOF в шаблон низа и верха (во вложении) и в шаблон инфинити добавлена формула
9.    Блок FB_SH_ALL – у переменной CORS в шаблоне Инфинити добавлена формула</t>
    </r>
  </si>
  <si>
    <t>Сработка</t>
  </si>
  <si>
    <r>
      <t xml:space="preserve">Для TREI
FB_AI_S, FB_QSA_S: </t>
    </r>
    <r>
      <rPr>
        <sz val="11"/>
        <color theme="1"/>
        <rFont val="Calibri"/>
        <family val="2"/>
        <charset val="204"/>
      </rPr>
      <t>Верхний предел датчика</t>
    </r>
    <r>
      <rPr>
        <b/>
        <sz val="11"/>
        <color theme="1"/>
        <rFont val="Calibri"/>
        <family val="2"/>
        <charset val="204"/>
      </rPr>
      <t xml:space="preserve">
FB_IMp_S, FB_IMv_S, FB_IM_ADES_S, FB_OZK_KD_S: </t>
    </r>
    <r>
      <rPr>
        <sz val="11"/>
        <color theme="1"/>
        <rFont val="Calibri"/>
        <family val="2"/>
        <charset val="204"/>
      </rPr>
      <t>Время перестановки</t>
    </r>
  </si>
  <si>
    <t>Уставка на запоминание состояния Сработки</t>
  </si>
  <si>
    <t>Параметр 7</t>
  </si>
  <si>
    <r>
      <rPr>
        <b/>
        <sz val="11"/>
        <color theme="1"/>
        <rFont val="Calibri"/>
        <family val="2"/>
        <charset val="204"/>
        <scheme val="minor"/>
      </rPr>
      <t>Изменения по сравнению с версией 10.4</t>
    </r>
    <r>
      <rPr>
        <sz val="11"/>
        <color theme="1"/>
        <rFont val="Calibri"/>
        <family val="2"/>
        <scheme val="minor"/>
      </rPr>
      <t xml:space="preserve">
1. Добавлен блок SW_MAYAK (Коммутатор МАЯК) в Infinity
2. Блок FB_REG_S обновлен в соответствии с номенклатурой v2.3
3. Добавлен блок FB_DO_STB_S в Infinity и TREI
4. Добавлен блок CPU_DIAG в Infinity и TREI
5. Блок FB_AI_S – добавлен сигнал XVXX в INFINITY и TREI, XVLX переименован в "Выходное значение для алгоритма"</t>
    </r>
  </si>
  <si>
    <t>в</t>
  </si>
  <si>
    <r>
      <rPr>
        <b/>
        <sz val="11"/>
        <color theme="1"/>
        <rFont val="Calibri"/>
        <family val="2"/>
        <charset val="204"/>
        <scheme val="minor"/>
      </rPr>
      <t>Изменения по сравнению с версией 10.5</t>
    </r>
    <r>
      <rPr>
        <sz val="11"/>
        <color theme="1"/>
        <rFont val="Calibri"/>
        <family val="2"/>
        <scheme val="minor"/>
      </rPr>
      <t xml:space="preserve">
1. Блок FB_KL_UPT - у переменной XNON для блока  Infinity исправлен комментарий с «Открыт» на «Закрыт»
2. Блок FB_SH_ALL - удалена переменная OXON в блоке  для Infinity
3. Блок FB_SHOP_ALL - для Infinity формула для формирования адреса OPC переменной COOF исправлена
4. Блок FB_SH_ALL - для Infinity для переменной XFRX исправлен комментарий
5. Блок FB_QSA_S - для Трэя выставлено значение по умолчанию для переменной SSLX не 100, а 0.
6. Блок FB_SH_ALL - для переменной CORS сделана задержку (sleep) не 2 сек, а 4 сек
7. Блок FB_UPG_S и FB_UPP_S - Для выходной переменной COON блока  и  добавлена задержка в 2 сек, удалена точка чтения COON</t>
    </r>
  </si>
  <si>
    <t>IDIG_1_1</t>
  </si>
  <si>
    <t>IDIG_2_2</t>
  </si>
  <si>
    <t>IDIG_1_2</t>
  </si>
  <si>
    <t>IDIG_2_1</t>
  </si>
  <si>
    <t>IDIG_3_1</t>
  </si>
  <si>
    <t>IDIG_3_2</t>
  </si>
  <si>
    <t>IDIG_4_1</t>
  </si>
  <si>
    <t>IDIG_4_2</t>
  </si>
  <si>
    <t>IDIG_5_1</t>
  </si>
  <si>
    <t>IDIG_5_2</t>
  </si>
  <si>
    <t>IDIG_6_1</t>
  </si>
  <si>
    <t>IDIG_6_2</t>
  </si>
  <si>
    <t>IDIG_7_1</t>
  </si>
  <si>
    <t>IDIG_7_2</t>
  </si>
  <si>
    <t>IDIG_8_1</t>
  </si>
  <si>
    <t>IDIG_8_2</t>
  </si>
  <si>
    <t>;</t>
  </si>
  <si>
    <t>Модуль</t>
  </si>
  <si>
    <t>Номер канала</t>
  </si>
  <si>
    <t>ILCX</t>
  </si>
  <si>
    <t>IRCX</t>
  </si>
  <si>
    <t>IFXX</t>
  </si>
  <si>
    <t>OXON</t>
  </si>
  <si>
    <t>OXOF</t>
  </si>
  <si>
    <t>IPTC</t>
  </si>
  <si>
    <t>ITON</t>
  </si>
  <si>
    <t>ITOF</t>
  </si>
  <si>
    <t>IPTO</t>
  </si>
  <si>
    <t>Модули</t>
  </si>
  <si>
    <t>IONX</t>
  </si>
  <si>
    <t>IOFX</t>
  </si>
  <si>
    <t>M943DR</t>
  </si>
  <si>
    <t>M942A</t>
  </si>
  <si>
    <t>IANS_1_1</t>
  </si>
  <si>
    <t>IANS_2_2</t>
  </si>
  <si>
    <t>IANS_3_3</t>
  </si>
  <si>
    <t>IANS_4_4</t>
  </si>
  <si>
    <t>IANS_1_2</t>
  </si>
  <si>
    <t>IANS_1_3</t>
  </si>
  <si>
    <t>IANS_1_4</t>
  </si>
  <si>
    <t>IANS_2_1</t>
  </si>
  <si>
    <t>IANS_3_1</t>
  </si>
  <si>
    <t>IANS_4_1</t>
  </si>
  <si>
    <t>IANS_4_2</t>
  </si>
  <si>
    <t>IANS_4_3</t>
  </si>
  <si>
    <t>IANS_5_1</t>
  </si>
  <si>
    <t>IANS_6_1</t>
  </si>
  <si>
    <t>IANS_7_1</t>
  </si>
  <si>
    <t>IANS_8_1</t>
  </si>
  <si>
    <t>IANS_8_2</t>
  </si>
  <si>
    <t>IANS_8_3</t>
  </si>
  <si>
    <t>IANS_8_4</t>
  </si>
  <si>
    <t>IANS_6_2</t>
  </si>
  <si>
    <t>IANS_6_3</t>
  </si>
  <si>
    <t>IANS_6_4</t>
  </si>
  <si>
    <t>IANS_7_2</t>
  </si>
  <si>
    <t>IANS_7_3</t>
  </si>
  <si>
    <t>IANS_7_4</t>
  </si>
  <si>
    <t>IANS_2_3</t>
  </si>
  <si>
    <t>IANS_2_4</t>
  </si>
  <si>
    <t>IANS_3_2</t>
  </si>
  <si>
    <t>IANS_3_4</t>
  </si>
  <si>
    <t>IANS_5_2</t>
  </si>
  <si>
    <t>IANS_5_3</t>
  </si>
  <si>
    <t>IANS_5_4</t>
  </si>
  <si>
    <t>out0</t>
  </si>
  <si>
    <t>out1</t>
  </si>
  <si>
    <t>out2</t>
  </si>
  <si>
    <t>out3</t>
  </si>
  <si>
    <t>out4</t>
  </si>
  <si>
    <t>out5</t>
  </si>
  <si>
    <t>out6</t>
  </si>
  <si>
    <t>out7</t>
  </si>
  <si>
    <t>out8</t>
  </si>
  <si>
    <t>out9</t>
  </si>
  <si>
    <t>out10</t>
  </si>
  <si>
    <t>out11</t>
  </si>
  <si>
    <t>out12</t>
  </si>
  <si>
    <t>out13</t>
  </si>
  <si>
    <t>out14</t>
  </si>
  <si>
    <t>out15</t>
  </si>
  <si>
    <t>out16</t>
  </si>
  <si>
    <t>out17</t>
  </si>
  <si>
    <t>out18</t>
  </si>
  <si>
    <t>out19</t>
  </si>
  <si>
    <t>out20</t>
  </si>
  <si>
    <t>out21</t>
  </si>
  <si>
    <t>out22</t>
  </si>
  <si>
    <t>out23</t>
  </si>
  <si>
    <t>out24</t>
  </si>
  <si>
    <t>out25</t>
  </si>
  <si>
    <t>out26</t>
  </si>
  <si>
    <t>out27</t>
  </si>
  <si>
    <t>out28</t>
  </si>
  <si>
    <t>out29</t>
  </si>
  <si>
    <t>out30</t>
  </si>
  <si>
    <t>out31</t>
  </si>
  <si>
    <t>M957D</t>
  </si>
  <si>
    <t>M957O</t>
  </si>
  <si>
    <t>M947R</t>
  </si>
  <si>
    <t>M931V</t>
  </si>
  <si>
    <t>ODIG_1</t>
  </si>
  <si>
    <t>ODIG_2</t>
  </si>
  <si>
    <t>ODIG_3</t>
  </si>
  <si>
    <t>ODIG_4</t>
  </si>
  <si>
    <t>ODIG_5</t>
  </si>
  <si>
    <t>ODIG_6</t>
  </si>
  <si>
    <t>ODIG_7</t>
  </si>
  <si>
    <t>ODIG_8</t>
  </si>
  <si>
    <t>ODIG_9</t>
  </si>
  <si>
    <t>ODIG_10</t>
  </si>
  <si>
    <t>ODIG_11</t>
  </si>
  <si>
    <t>ODIG_12</t>
  </si>
  <si>
    <t>ODIG_13</t>
  </si>
  <si>
    <t>ODIG_14</t>
  </si>
  <si>
    <t>ODIG_15</t>
  </si>
  <si>
    <t>ODIG_16</t>
  </si>
  <si>
    <t>OAN_1_1</t>
  </si>
  <si>
    <t>OAN_2_1</t>
  </si>
  <si>
    <t>OAN_3_1</t>
  </si>
  <si>
    <t>OAN_4_1</t>
  </si>
  <si>
    <t>OAN_5_1</t>
  </si>
  <si>
    <t>OAN_6_1</t>
  </si>
  <si>
    <t>OAN_7_1</t>
  </si>
  <si>
    <t>OAN_8_1</t>
  </si>
  <si>
    <t>M931T</t>
  </si>
  <si>
    <t>M547A</t>
  </si>
  <si>
    <t>M537V</t>
  </si>
  <si>
    <t>M557D</t>
  </si>
  <si>
    <t>M557O</t>
  </si>
  <si>
    <t>Canal_01</t>
  </si>
  <si>
    <t>Canal_02</t>
  </si>
  <si>
    <t>Canal_03</t>
  </si>
  <si>
    <t>Canal_04</t>
  </si>
  <si>
    <t>Canal_05</t>
  </si>
  <si>
    <t>Canal_06</t>
  </si>
  <si>
    <t>Canal_07</t>
  </si>
  <si>
    <t>Canal_08</t>
  </si>
  <si>
    <t>Canal_09</t>
  </si>
  <si>
    <t>Canal_10</t>
  </si>
  <si>
    <t>Canal_11</t>
  </si>
  <si>
    <t>Canal_12</t>
  </si>
  <si>
    <t>Canal_13</t>
  </si>
  <si>
    <t>Canal_14</t>
  </si>
  <si>
    <t>Canal_15</t>
  </si>
  <si>
    <t>Canal_16</t>
  </si>
  <si>
    <t>Canal_17</t>
  </si>
  <si>
    <t>Canal_18</t>
  </si>
  <si>
    <t>Canal_19</t>
  </si>
  <si>
    <t>Canal_20</t>
  </si>
  <si>
    <t>Canal_21</t>
  </si>
  <si>
    <t>Canal_22</t>
  </si>
  <si>
    <t>Canal_23</t>
  </si>
  <si>
    <t>Canal_24</t>
  </si>
  <si>
    <t>Canal_25</t>
  </si>
  <si>
    <t>Canal_26</t>
  </si>
  <si>
    <t>Canal_27</t>
  </si>
  <si>
    <t>Canal_28</t>
  </si>
  <si>
    <t>Canal_29</t>
  </si>
  <si>
    <t>Canal_30</t>
  </si>
  <si>
    <t>Canal_31</t>
  </si>
  <si>
    <t>Canal_32</t>
  </si>
  <si>
    <t>BR1</t>
  </si>
  <si>
    <t>BR2</t>
  </si>
  <si>
    <t>BR3</t>
  </si>
  <si>
    <t>BR4</t>
  </si>
  <si>
    <t>BR5</t>
  </si>
  <si>
    <t>BR6</t>
  </si>
  <si>
    <t>BR7</t>
  </si>
  <si>
    <t>BR8</t>
  </si>
  <si>
    <t>BR9</t>
  </si>
  <si>
    <t>BR10</t>
  </si>
  <si>
    <t>BR11</t>
  </si>
  <si>
    <t>BR12</t>
  </si>
  <si>
    <t>BR13</t>
  </si>
  <si>
    <t>BR14</t>
  </si>
  <si>
    <t>BR15</t>
  </si>
  <si>
    <t>BR16</t>
  </si>
  <si>
    <t>BR17</t>
  </si>
  <si>
    <t>BR18</t>
  </si>
  <si>
    <t>BR19</t>
  </si>
  <si>
    <t>BR20</t>
  </si>
  <si>
    <t>BR21</t>
  </si>
  <si>
    <t>BR22</t>
  </si>
  <si>
    <t>BR23</t>
  </si>
  <si>
    <t>BR24</t>
  </si>
  <si>
    <t>BR25</t>
  </si>
  <si>
    <t>BR26</t>
  </si>
  <si>
    <t>BR27</t>
  </si>
  <si>
    <t>BR28</t>
  </si>
  <si>
    <t>BR29</t>
  </si>
  <si>
    <t>BR30</t>
  </si>
  <si>
    <t>BR31</t>
  </si>
  <si>
    <t>BR32</t>
  </si>
  <si>
    <t>BR33</t>
  </si>
  <si>
    <t>BR34</t>
  </si>
  <si>
    <t>BR35</t>
  </si>
  <si>
    <t>BR36</t>
  </si>
  <si>
    <t>BR37</t>
  </si>
  <si>
    <t>BR38</t>
  </si>
  <si>
    <t>BR39</t>
  </si>
  <si>
    <t>BR40</t>
  </si>
  <si>
    <t>//</t>
  </si>
  <si>
    <t>IVXX</t>
  </si>
  <si>
    <t>OXSP</t>
  </si>
  <si>
    <t>IOLD</t>
  </si>
  <si>
    <t>IRAD</t>
  </si>
  <si>
    <t>ICPX</t>
  </si>
  <si>
    <t>INT_TO_BIT_BR1</t>
  </si>
  <si>
    <t>F</t>
  </si>
  <si>
    <t>INT_TO_BIT</t>
  </si>
  <si>
    <t>Выделение битов из байта для BR1</t>
  </si>
  <si>
    <t>Отсутствие связи с BR1</t>
  </si>
  <si>
    <t>INT_TO_BIT_BR2</t>
  </si>
  <si>
    <t>Выделение битов из байта для BR2</t>
  </si>
  <si>
    <t>INT_TO_BIT_BR3</t>
  </si>
  <si>
    <t>Выделение битов из байта для BR3</t>
  </si>
  <si>
    <t>INT_TO_BIT_BR4</t>
  </si>
  <si>
    <t>Выделение битов из байта для BR4</t>
  </si>
  <si>
    <t>INT_TO_BIT_BR5</t>
  </si>
  <si>
    <t>Выделение битов из байта для BR5</t>
  </si>
  <si>
    <t>INT_TO_BIT_BR6</t>
  </si>
  <si>
    <t>Выделение битов из байта для BR6</t>
  </si>
  <si>
    <t>INT_TO_BIT_BR7</t>
  </si>
  <si>
    <t>Выделение битов из байта для BR7</t>
  </si>
  <si>
    <t>INT_TO_BIT_BR8</t>
  </si>
  <si>
    <t>Выделение битов из байта для BR8</t>
  </si>
  <si>
    <t>INT_TO_BIT_BR9</t>
  </si>
  <si>
    <t>Выделение битов из байта для BR9</t>
  </si>
  <si>
    <t>INT_TO_BIT_BR10</t>
  </si>
  <si>
    <t>Выделение битов из байта для BR10</t>
  </si>
  <si>
    <t>INT_TO_BIT_BR11</t>
  </si>
  <si>
    <t>Выделение битов из байта для BR11</t>
  </si>
  <si>
    <t>INT_TO_BIT_BR12</t>
  </si>
  <si>
    <t>Выделение битов из байта для BR12</t>
  </si>
  <si>
    <t>INT_TO_BIT_BR13</t>
  </si>
  <si>
    <t>Выделение битов из байта для BR13</t>
  </si>
  <si>
    <t>INT_TO_BIT_BR14</t>
  </si>
  <si>
    <t>Выделение битов из байта для BR14</t>
  </si>
  <si>
    <t>INT_TO_BIT_BR15</t>
  </si>
  <si>
    <t>Выделение битов из байта для BR15</t>
  </si>
  <si>
    <t>INT_TO_BIT_BR16</t>
  </si>
  <si>
    <t>Выделение битов из байта для BR16</t>
  </si>
  <si>
    <t>INT_TO_BIT_BR17</t>
  </si>
  <si>
    <t>Выделение битов из байта для BR17</t>
  </si>
  <si>
    <t>INT_TO_BIT_BR18</t>
  </si>
  <si>
    <t>Выделение битов из байта для BR18</t>
  </si>
  <si>
    <t>INT_TO_BIT_BR19</t>
  </si>
  <si>
    <t>Выделение битов из байта для BR19</t>
  </si>
  <si>
    <t>INT_TO_BIT_BR20</t>
  </si>
  <si>
    <t>Выделение битов из байта для BR20</t>
  </si>
  <si>
    <t>INT_TO_BIT_BR21</t>
  </si>
  <si>
    <t>Выделение битов из байта для BR21</t>
  </si>
  <si>
    <t>INT_TO_BIT_BR22</t>
  </si>
  <si>
    <t>Выделение битов из байта для BR22</t>
  </si>
  <si>
    <t>INT_TO_BIT_BR23</t>
  </si>
  <si>
    <t>Выделение битов из байта для BR23</t>
  </si>
  <si>
    <t>INT_TO_BIT_BR24</t>
  </si>
  <si>
    <t>Выделение битов из байта для BR24</t>
  </si>
  <si>
    <t>INT_TO_BIT_BR25</t>
  </si>
  <si>
    <t>Выделение битов из байта для BR25</t>
  </si>
  <si>
    <t>INT_TO_BIT_BR26</t>
  </si>
  <si>
    <t>Выделение битов из байта для BR26</t>
  </si>
  <si>
    <t>INT_TO_BIT_BR27</t>
  </si>
  <si>
    <t>Выделение битов из байта для BR27</t>
  </si>
  <si>
    <t>INT_TO_BIT_BR28</t>
  </si>
  <si>
    <t>Выделение битов из байта для BR28</t>
  </si>
  <si>
    <t>INT_TO_BIT_BR29</t>
  </si>
  <si>
    <t>Выделение битов из байта для BR29</t>
  </si>
  <si>
    <t>INT_TO_BIT_BR30</t>
  </si>
  <si>
    <t>Выделение битов из байта для BR30</t>
  </si>
  <si>
    <t>Отсутствие связи с BR2</t>
  </si>
  <si>
    <t>Отсутствие связи с BR3</t>
  </si>
  <si>
    <t>Отсутствие связи с BR4</t>
  </si>
  <si>
    <t>Отсутствие связи с BR5</t>
  </si>
  <si>
    <t>Отсутствие связи с BR6</t>
  </si>
  <si>
    <t>Отсутствие связи с BR7</t>
  </si>
  <si>
    <t>Отсутствие связи с BR8</t>
  </si>
  <si>
    <t>Отсутствие связи с BR9</t>
  </si>
  <si>
    <t>Отсутствие связи с BR10</t>
  </si>
  <si>
    <t>Отсутствие связи с BR11</t>
  </si>
  <si>
    <t>Отсутствие связи с BR12</t>
  </si>
  <si>
    <t>Отсутствие связи с BR13</t>
  </si>
  <si>
    <t>Отсутствие связи с BR14</t>
  </si>
  <si>
    <t>Отсутствие связи с BR15</t>
  </si>
  <si>
    <t>Отсутствие связи с BR16</t>
  </si>
  <si>
    <t>Отсутствие связи с BR17</t>
  </si>
  <si>
    <t>Отсутствие связи с BR18</t>
  </si>
  <si>
    <t>Отсутствие связи с BR19</t>
  </si>
  <si>
    <t>Отсутствие связи с BR20</t>
  </si>
  <si>
    <t>Отсутствие связи с BR21</t>
  </si>
  <si>
    <t>Отсутствие связи с BR22</t>
  </si>
  <si>
    <t>Отсутствие связи с BR23</t>
  </si>
  <si>
    <t>Отсутствие связи с BR24</t>
  </si>
  <si>
    <t>Отсутствие связи с BR25</t>
  </si>
  <si>
    <t>Отсутствие связи с BR26</t>
  </si>
  <si>
    <t>Отсутствие связи с BR27</t>
  </si>
  <si>
    <t>Отсутствие связи с BR28</t>
  </si>
  <si>
    <t>Отсутствие связи с BR29</t>
  </si>
  <si>
    <t>Отсутствие связи с BR30</t>
  </si>
  <si>
    <t>Отсутствие связи с BR31</t>
  </si>
  <si>
    <t>Отсутствие связи с BR32</t>
  </si>
  <si>
    <t>Отсутствие связи с BR33</t>
  </si>
  <si>
    <t>Отсутствие связи с BR34</t>
  </si>
  <si>
    <t>Отсутствие связи с BR35</t>
  </si>
  <si>
    <t>Отсутствие связи с BR36</t>
  </si>
  <si>
    <t>Отсутствие связи с BR37</t>
  </si>
  <si>
    <t>Отсутствие связи с BR38</t>
  </si>
  <si>
    <t>Отсутствие связи с BR39</t>
  </si>
  <si>
    <t>Отсутствие связи с BR40</t>
  </si>
  <si>
    <t>INT_TO_BIT_BR31</t>
  </si>
  <si>
    <t>Выделение битов из байта для BR31</t>
  </si>
  <si>
    <t>INT_TO_BIT_BR32</t>
  </si>
  <si>
    <t>Выделение битов из байта для BR32</t>
  </si>
  <si>
    <t>INT_TO_BIT_BR33</t>
  </si>
  <si>
    <t>Выделение битов из байта для BR33</t>
  </si>
  <si>
    <t>INT_TO_BIT_BR34</t>
  </si>
  <si>
    <t>Выделение битов из байта для BR34</t>
  </si>
  <si>
    <t>INT_TO_BIT_BR35</t>
  </si>
  <si>
    <t>Выделение битов из байта для BR35</t>
  </si>
  <si>
    <t>INT_TO_BIT_BR36</t>
  </si>
  <si>
    <t>Выделение битов из байта для BR36</t>
  </si>
  <si>
    <t>INT_TO_BIT_BR37</t>
  </si>
  <si>
    <t>Выделение битов из байта для BR37</t>
  </si>
  <si>
    <t>INT_TO_BIT_BR38</t>
  </si>
  <si>
    <t>Выделение битов из байта для BR38</t>
  </si>
  <si>
    <t>INT_TO_BIT_BR39</t>
  </si>
  <si>
    <t>Выделение битов из байта для BR39</t>
  </si>
  <si>
    <t>INT_TO_BIT_BR40</t>
  </si>
  <si>
    <t>Выделение битов из байта для BR40</t>
  </si>
  <si>
    <t>7\8</t>
  </si>
  <si>
    <t>1\2</t>
  </si>
  <si>
    <t>3\4</t>
  </si>
  <si>
    <t>5\6</t>
  </si>
  <si>
    <t>9\10</t>
  </si>
  <si>
    <t>11\12</t>
  </si>
  <si>
    <t>13\14</t>
  </si>
  <si>
    <t>15\16</t>
  </si>
  <si>
    <t>17\18</t>
  </si>
  <si>
    <t>19\20</t>
  </si>
  <si>
    <t>21\22</t>
  </si>
  <si>
    <t>23\24</t>
  </si>
  <si>
    <r>
      <t xml:space="preserve">FB_IMstp_S, FB_IMsp_S, FB_IMs_S, FB_IMp_S, FB_IMv_S, FB_IM_ADES_S, FB_OZK_KD_S, FB_DO_S: </t>
    </r>
    <r>
      <rPr>
        <sz val="11"/>
        <color theme="1"/>
        <rFont val="Calibri"/>
        <family val="2"/>
        <charset val="204"/>
      </rPr>
      <t xml:space="preserve">OXOF
</t>
    </r>
    <r>
      <rPr>
        <b/>
        <sz val="11"/>
        <color theme="1"/>
        <rFont val="Calibri"/>
        <family val="2"/>
        <charset val="204"/>
      </rPr>
      <t>SW_S301:</t>
    </r>
    <r>
      <rPr>
        <sz val="11"/>
        <color theme="1"/>
        <rFont val="Calibri"/>
        <family val="2"/>
        <charset val="204"/>
      </rPr>
      <t xml:space="preserve"> Подключение к порту 8
</t>
    </r>
    <r>
      <rPr>
        <b/>
        <sz val="11"/>
        <color theme="1"/>
        <rFont val="Calibri"/>
        <family val="2"/>
        <charset val="204"/>
      </rPr>
      <t xml:space="preserve">SW_MAYAK: </t>
    </r>
    <r>
      <rPr>
        <sz val="11"/>
        <color theme="1"/>
        <rFont val="Calibri"/>
        <family val="2"/>
        <charset val="204"/>
      </rPr>
      <t>Подключение к порту 15,16 (через "\")</t>
    </r>
    <r>
      <rPr>
        <b/>
        <sz val="11"/>
        <color theme="1"/>
        <rFont val="Calibri"/>
        <family val="2"/>
        <charset val="204"/>
      </rPr>
      <t xml:space="preserve">
</t>
    </r>
  </si>
  <si>
    <r>
      <t>FB_IM_ADES_S, FB_IMp_S, FB_IMv_S:</t>
    </r>
    <r>
      <rPr>
        <sz val="11"/>
        <color theme="1"/>
        <rFont val="Calibri"/>
        <family val="2"/>
        <charset val="204"/>
      </rPr>
      <t xml:space="preserve"> OXSP</t>
    </r>
    <r>
      <rPr>
        <b/>
        <sz val="11"/>
        <color theme="1"/>
        <rFont val="Calibri"/>
        <family val="2"/>
        <charset val="204"/>
      </rPr>
      <t xml:space="preserve">
FB_IMstp_S, FB_IMsp_S, FB_IMsp_MON_S:</t>
    </r>
    <r>
      <rPr>
        <sz val="11"/>
        <color theme="1"/>
        <rFont val="Calibri"/>
        <family val="2"/>
        <charset val="204"/>
      </rPr>
      <t xml:space="preserve"> IPTC
</t>
    </r>
    <r>
      <rPr>
        <b/>
        <sz val="11"/>
        <color theme="1"/>
        <rFont val="Calibri"/>
        <family val="2"/>
        <charset val="204"/>
      </rPr>
      <t>SW_S301:</t>
    </r>
    <r>
      <rPr>
        <sz val="11"/>
        <color theme="1"/>
        <rFont val="Calibri"/>
        <family val="2"/>
        <charset val="204"/>
      </rPr>
      <t xml:space="preserve"> Подключение к порту 9
</t>
    </r>
    <r>
      <rPr>
        <b/>
        <sz val="11"/>
        <color theme="1"/>
        <rFont val="Calibri"/>
        <family val="2"/>
        <charset val="204"/>
      </rPr>
      <t>SW_MAYAK:</t>
    </r>
    <r>
      <rPr>
        <sz val="11"/>
        <color theme="1"/>
        <rFont val="Calibri"/>
        <family val="2"/>
        <charset val="204"/>
      </rPr>
      <t xml:space="preserve"> Подключение к порту 17,18 (через "\")</t>
    </r>
    <r>
      <rPr>
        <b/>
        <sz val="11"/>
        <color theme="1"/>
        <rFont val="Calibri"/>
        <family val="2"/>
        <charset val="204"/>
      </rPr>
      <t xml:space="preserve">
</t>
    </r>
  </si>
  <si>
    <r>
      <t xml:space="preserve">FB_IMstp_S, FB_IMst_MON_S, FB_IMt_MON_S: </t>
    </r>
    <r>
      <rPr>
        <sz val="11"/>
        <color theme="1"/>
        <rFont val="Calibri"/>
        <family val="2"/>
        <charset val="204"/>
      </rPr>
      <t>ITON</t>
    </r>
    <r>
      <rPr>
        <b/>
        <sz val="11"/>
        <color theme="1"/>
        <rFont val="Calibri"/>
        <family val="2"/>
        <charset val="204"/>
      </rPr>
      <t xml:space="preserve">
FB_IM_ADES_S: </t>
    </r>
    <r>
      <rPr>
        <sz val="11"/>
        <color theme="1"/>
        <rFont val="Calibri"/>
        <family val="2"/>
        <charset val="204"/>
      </rPr>
      <t xml:space="preserve">IOLD
</t>
    </r>
    <r>
      <rPr>
        <b/>
        <sz val="11"/>
        <color theme="1"/>
        <rFont val="Calibri"/>
        <family val="2"/>
        <charset val="204"/>
      </rPr>
      <t>SW_S301:</t>
    </r>
    <r>
      <rPr>
        <sz val="11"/>
        <color theme="1"/>
        <rFont val="Calibri"/>
        <family val="2"/>
        <charset val="204"/>
      </rPr>
      <t xml:space="preserve"> Подключение к порту 10
</t>
    </r>
    <r>
      <rPr>
        <b/>
        <sz val="11"/>
        <color theme="1"/>
        <rFont val="Calibri"/>
        <family val="2"/>
        <charset val="204"/>
      </rPr>
      <t>SW_MAYAK:</t>
    </r>
    <r>
      <rPr>
        <sz val="11"/>
        <color theme="1"/>
        <rFont val="Calibri"/>
        <family val="2"/>
        <charset val="204"/>
      </rPr>
      <t xml:space="preserve"> Подключение к порту 19,20 (через "\")</t>
    </r>
    <r>
      <rPr>
        <b/>
        <sz val="11"/>
        <color theme="1"/>
        <rFont val="Calibri"/>
        <family val="2"/>
        <charset val="204"/>
      </rPr>
      <t xml:space="preserve">
</t>
    </r>
  </si>
  <si>
    <r>
      <t xml:space="preserve">FB_IMstp_S, FB_IMst_MON_S, FB_IMt_MON_S: </t>
    </r>
    <r>
      <rPr>
        <sz val="11"/>
        <color theme="1"/>
        <rFont val="Calibri"/>
        <family val="2"/>
        <charset val="204"/>
      </rPr>
      <t>ITOF</t>
    </r>
    <r>
      <rPr>
        <b/>
        <sz val="11"/>
        <color theme="1"/>
        <rFont val="Calibri"/>
        <family val="2"/>
        <charset val="204"/>
      </rPr>
      <t xml:space="preserve">
FB_IM_ADES_S: </t>
    </r>
    <r>
      <rPr>
        <sz val="11"/>
        <color theme="1"/>
        <rFont val="Calibri"/>
        <family val="2"/>
        <charset val="204"/>
      </rPr>
      <t xml:space="preserve">IRAD
</t>
    </r>
    <r>
      <rPr>
        <b/>
        <sz val="11"/>
        <color theme="1"/>
        <rFont val="Calibri"/>
        <family val="2"/>
        <charset val="204"/>
      </rPr>
      <t>SW_MAYAK:</t>
    </r>
    <r>
      <rPr>
        <sz val="11"/>
        <color theme="1"/>
        <rFont val="Calibri"/>
        <family val="2"/>
        <charset val="204"/>
      </rPr>
      <t xml:space="preserve"> Подключение к порту 21,22 (через "\")</t>
    </r>
  </si>
  <si>
    <r>
      <t>FB_IMstp_S, FB_IMsp_S, FB_IMsp_MON_S, FB_IM_ADES_S:</t>
    </r>
    <r>
      <rPr>
        <sz val="11"/>
        <color theme="1"/>
        <rFont val="Calibri"/>
        <family val="2"/>
        <charset val="204"/>
      </rPr>
      <t xml:space="preserve"> IPTO
</t>
    </r>
    <r>
      <rPr>
        <b/>
        <sz val="11"/>
        <color theme="1"/>
        <rFont val="Calibri"/>
        <family val="2"/>
        <charset val="204"/>
      </rPr>
      <t>SW_MAYAK:</t>
    </r>
    <r>
      <rPr>
        <sz val="11"/>
        <color theme="1"/>
        <rFont val="Calibri"/>
        <family val="2"/>
        <charset val="204"/>
      </rPr>
      <t xml:space="preserve"> Подключение к порту 23,24 (через "\")</t>
    </r>
    <r>
      <rPr>
        <b/>
        <sz val="11"/>
        <color theme="1"/>
        <rFont val="Calibri"/>
        <family val="2"/>
        <charset val="204"/>
      </rPr>
      <t xml:space="preserve">
</t>
    </r>
  </si>
  <si>
    <r>
      <t xml:space="preserve">FB_IMstp_S, FB_IMsp_S, FB_IMs_S, FB_IMp_S, FB_IMv_S, FB_KL_UPT_S, FB_IM_ADES_S, FB_OZK_KD_S, FB_DO_S:  </t>
    </r>
    <r>
      <rPr>
        <sz val="11"/>
        <color theme="1"/>
        <rFont val="Calibri"/>
        <family val="2"/>
        <charset val="204"/>
      </rPr>
      <t>OXON</t>
    </r>
    <r>
      <rPr>
        <b/>
        <sz val="11"/>
        <color theme="1"/>
        <rFont val="Calibri"/>
        <family val="2"/>
        <charset val="204"/>
      </rPr>
      <t xml:space="preserve">
FB_REG_S: </t>
    </r>
    <r>
      <rPr>
        <sz val="11"/>
        <color theme="1"/>
        <rFont val="Calibri"/>
        <family val="2"/>
        <charset val="204"/>
      </rPr>
      <t>OSPX</t>
    </r>
    <r>
      <rPr>
        <b/>
        <sz val="11"/>
        <color theme="1"/>
        <rFont val="Calibri"/>
        <family val="2"/>
        <charset val="204"/>
      </rPr>
      <t xml:space="preserve">
SW_S301: </t>
    </r>
    <r>
      <rPr>
        <sz val="11"/>
        <color theme="1"/>
        <rFont val="Calibri"/>
        <family val="2"/>
        <charset val="204"/>
      </rPr>
      <t xml:space="preserve">Подключение к порту 7
</t>
    </r>
    <r>
      <rPr>
        <b/>
        <sz val="11"/>
        <color theme="1"/>
        <rFont val="Calibri"/>
        <family val="2"/>
        <charset val="204"/>
      </rPr>
      <t>SW_MAYAK:</t>
    </r>
    <r>
      <rPr>
        <sz val="11"/>
        <color theme="1"/>
        <rFont val="Calibri"/>
        <family val="2"/>
        <charset val="204"/>
      </rPr>
      <t xml:space="preserve"> Подключение к порту 13,14 (через "\")</t>
    </r>
  </si>
  <si>
    <r>
      <t>FB_IMstp_S, FB_IMsp_S, FB_IMs_S, FB_IMp_S, FB_IMv_S, FB_IMst_MON_S, FB_IMsp_MON_S, FB_IMt_MON_S, FB_IMs_MON_S, FB_IMp_MON_S, FB_IMv_MON_S, FB_REG_S, FB_QSA_S, FB_IM_ADES_S, FB_OZK_KD_S :</t>
    </r>
    <r>
      <rPr>
        <sz val="11"/>
        <color theme="1"/>
        <rFont val="Calibri"/>
        <family val="2"/>
        <charset val="204"/>
      </rPr>
      <t xml:space="preserve"> IFXX</t>
    </r>
    <r>
      <rPr>
        <b/>
        <sz val="11"/>
        <color theme="1"/>
        <rFont val="Calibri"/>
        <family val="2"/>
        <charset val="204"/>
      </rPr>
      <t xml:space="preserve">
FB_QOP_S: </t>
    </r>
    <r>
      <rPr>
        <sz val="11"/>
        <color theme="1"/>
        <rFont val="Calibri"/>
        <family val="2"/>
        <charset val="204"/>
      </rPr>
      <t xml:space="preserve">OS2N
</t>
    </r>
    <r>
      <rPr>
        <b/>
        <sz val="11"/>
        <color theme="1"/>
        <rFont val="Calibri"/>
        <family val="2"/>
        <charset val="204"/>
      </rPr>
      <t>SW_S301:</t>
    </r>
    <r>
      <rPr>
        <sz val="11"/>
        <color theme="1"/>
        <rFont val="Calibri"/>
        <family val="2"/>
        <charset val="204"/>
      </rPr>
      <t xml:space="preserve"> Подключение к порту 6
</t>
    </r>
    <r>
      <rPr>
        <b/>
        <sz val="11"/>
        <color theme="1"/>
        <rFont val="Calibri"/>
        <family val="2"/>
        <charset val="204"/>
      </rPr>
      <t>SW_MAYAK:</t>
    </r>
    <r>
      <rPr>
        <sz val="11"/>
        <color theme="1"/>
        <rFont val="Calibri"/>
        <family val="2"/>
        <charset val="204"/>
      </rPr>
      <t xml:space="preserve"> Подключение к порту 11,12 (через "\")</t>
    </r>
  </si>
  <si>
    <r>
      <t xml:space="preserve">FB_IMstp_S, FB_IMsp_S, FB_IMs_S, FB_IMp_S, FB_IMv_S, FB_REG_S, FB_IM_ADES_S, FB_DO_S : </t>
    </r>
    <r>
      <rPr>
        <sz val="11"/>
        <color theme="1"/>
        <rFont val="Calibri"/>
        <family val="2"/>
        <charset val="204"/>
      </rPr>
      <t>IRCX</t>
    </r>
    <r>
      <rPr>
        <b/>
        <sz val="11"/>
        <color theme="1"/>
        <rFont val="Calibri"/>
        <family val="2"/>
        <charset val="204"/>
      </rPr>
      <t xml:space="preserve">
FB_QOP_S:</t>
    </r>
    <r>
      <rPr>
        <sz val="11"/>
        <color theme="1"/>
        <rFont val="Calibri"/>
        <family val="2"/>
        <charset val="204"/>
      </rPr>
      <t xml:space="preserve"> OS1N
</t>
    </r>
    <r>
      <rPr>
        <b/>
        <sz val="11"/>
        <color theme="1"/>
        <rFont val="Calibri"/>
        <family val="2"/>
        <charset val="204"/>
      </rPr>
      <t>SW_S301:</t>
    </r>
    <r>
      <rPr>
        <sz val="11"/>
        <color theme="1"/>
        <rFont val="Calibri"/>
        <family val="2"/>
        <charset val="204"/>
      </rPr>
      <t xml:space="preserve"> Подключение к порту 5
</t>
    </r>
    <r>
      <rPr>
        <b/>
        <sz val="11"/>
        <color theme="1"/>
        <rFont val="Calibri"/>
        <family val="2"/>
        <charset val="204"/>
      </rPr>
      <t xml:space="preserve">SW_MAYAK: </t>
    </r>
    <r>
      <rPr>
        <sz val="11"/>
        <color theme="1"/>
        <rFont val="Calibri"/>
        <family val="2"/>
        <charset val="204"/>
      </rPr>
      <t>Подключение к порту 9,10 (через "\")</t>
    </r>
    <r>
      <rPr>
        <b/>
        <sz val="11"/>
        <color theme="1"/>
        <rFont val="Calibri"/>
        <family val="2"/>
        <charset val="204"/>
      </rPr>
      <t xml:space="preserve">
</t>
    </r>
  </si>
  <si>
    <r>
      <t xml:space="preserve">FB_IMstp_S, FB_IMsp_S, FB_IMs_S, FB_IMp_S, FB_IMv_S, FB_IMst_MON_S, FB_IMsp_MON_S,  FB_IMs_MON_S, FB_IMp_MON_S, FB_IMv_MON_S, FB_IM_ADES_S, FB_OZK_KD_S:  </t>
    </r>
    <r>
      <rPr>
        <sz val="11"/>
        <color theme="1"/>
        <rFont val="Calibri"/>
        <family val="2"/>
        <charset val="204"/>
      </rPr>
      <t>IOFX</t>
    </r>
    <r>
      <rPr>
        <b/>
        <sz val="11"/>
        <color theme="1"/>
        <rFont val="Calibri"/>
        <family val="2"/>
        <charset val="204"/>
      </rPr>
      <t xml:space="preserve">
FB_REG_S: </t>
    </r>
    <r>
      <rPr>
        <sz val="11"/>
        <color theme="1"/>
        <rFont val="Calibri"/>
        <family val="2"/>
        <charset val="204"/>
      </rPr>
      <t>ICPX</t>
    </r>
    <r>
      <rPr>
        <b/>
        <sz val="11"/>
        <color theme="1"/>
        <rFont val="Calibri"/>
        <family val="2"/>
        <charset val="204"/>
      </rPr>
      <t xml:space="preserve">
FB_QOP_S: </t>
    </r>
    <r>
      <rPr>
        <sz val="11"/>
        <color theme="1"/>
        <rFont val="Calibri"/>
        <family val="2"/>
        <charset val="204"/>
      </rPr>
      <t>OL1N</t>
    </r>
    <r>
      <rPr>
        <b/>
        <sz val="11"/>
        <color theme="1"/>
        <rFont val="Calibri"/>
        <family val="2"/>
        <charset val="204"/>
      </rPr>
      <t xml:space="preserve">
FB_QSA_S: </t>
    </r>
    <r>
      <rPr>
        <sz val="11"/>
        <color theme="1"/>
        <rFont val="Calibri"/>
        <family val="2"/>
        <charset val="204"/>
      </rPr>
      <t>IT2X</t>
    </r>
    <r>
      <rPr>
        <b/>
        <sz val="11"/>
        <color theme="1"/>
        <rFont val="Calibri"/>
        <family val="2"/>
        <charset val="204"/>
      </rPr>
      <t xml:space="preserve">
SW_S301: </t>
    </r>
    <r>
      <rPr>
        <sz val="11"/>
        <color theme="1"/>
        <rFont val="Calibri"/>
        <family val="2"/>
        <charset val="204"/>
      </rPr>
      <t>Подключение к порту 3</t>
    </r>
    <r>
      <rPr>
        <b/>
        <sz val="11"/>
        <color theme="1"/>
        <rFont val="Calibri"/>
        <family val="2"/>
        <charset val="204"/>
      </rPr>
      <t xml:space="preserve">
SW_MAYAK: </t>
    </r>
    <r>
      <rPr>
        <sz val="11"/>
        <color theme="1"/>
        <rFont val="Calibri"/>
        <family val="2"/>
        <charset val="204"/>
      </rPr>
      <t>Подключение к порту 5,6 (через "\")</t>
    </r>
  </si>
  <si>
    <r>
      <t xml:space="preserve">FB_IMstp_S, FB_IMsp_S, FB_IMs_S, FB_IMp_S, FB_IMv_S, FB_IMst_MON_S, FB_IMsp_MON_S, FB_IMs_MON_S, FB_IMp_MON_S, FB_IMv_MON_S, FB_IM_ADES_S, FB_OZK_KD_S: </t>
    </r>
    <r>
      <rPr>
        <sz val="11"/>
        <color theme="1"/>
        <rFont val="Calibri"/>
        <family val="2"/>
        <charset val="204"/>
      </rPr>
      <t>IONX</t>
    </r>
    <r>
      <rPr>
        <b/>
        <sz val="11"/>
        <color theme="1"/>
        <rFont val="Calibri"/>
        <family val="2"/>
        <charset val="204"/>
      </rPr>
      <t xml:space="preserve">
FB_REG_S: </t>
    </r>
    <r>
      <rPr>
        <sz val="11"/>
        <color theme="1"/>
        <rFont val="Calibri"/>
        <family val="2"/>
        <charset val="204"/>
      </rPr>
      <t>IAPX</t>
    </r>
    <r>
      <rPr>
        <b/>
        <sz val="11"/>
        <color theme="1"/>
        <rFont val="Calibri"/>
        <family val="2"/>
        <charset val="204"/>
      </rPr>
      <t xml:space="preserve">
FB_QOP_S: </t>
    </r>
    <r>
      <rPr>
        <sz val="11"/>
        <color theme="1"/>
        <rFont val="Calibri"/>
        <family val="2"/>
        <charset val="204"/>
      </rPr>
      <t>IBOX</t>
    </r>
    <r>
      <rPr>
        <b/>
        <sz val="11"/>
        <color theme="1"/>
        <rFont val="Calibri"/>
        <family val="2"/>
        <charset val="204"/>
      </rPr>
      <t xml:space="preserve">
FB_QSA_S: </t>
    </r>
    <r>
      <rPr>
        <sz val="11"/>
        <color theme="1"/>
        <rFont val="Calibri"/>
        <family val="2"/>
        <charset val="204"/>
      </rPr>
      <t xml:space="preserve">IT1X
</t>
    </r>
    <r>
      <rPr>
        <b/>
        <sz val="11"/>
        <color theme="1"/>
        <rFont val="Calibri"/>
        <family val="2"/>
        <charset val="204"/>
      </rPr>
      <t>SW_S301:</t>
    </r>
    <r>
      <rPr>
        <sz val="11"/>
        <color theme="1"/>
        <rFont val="Calibri"/>
        <family val="2"/>
        <charset val="204"/>
      </rPr>
      <t xml:space="preserve"> Подключение к порту 2
</t>
    </r>
    <r>
      <rPr>
        <b/>
        <sz val="11"/>
        <color theme="1"/>
        <rFont val="Calibri"/>
        <family val="2"/>
        <charset val="204"/>
      </rPr>
      <t>SW_MAYAK:</t>
    </r>
    <r>
      <rPr>
        <sz val="11"/>
        <color theme="1"/>
        <rFont val="Calibri"/>
        <family val="2"/>
        <charset val="204"/>
      </rPr>
      <t xml:space="preserve"> Подключение к порту 3,4 (через "\")</t>
    </r>
  </si>
  <si>
    <t>Имя канала</t>
  </si>
  <si>
    <t>*</t>
  </si>
  <si>
    <t>IVXX[0]</t>
  </si>
  <si>
    <t>IVXX[1]</t>
  </si>
  <si>
    <t>IVXX[2]</t>
  </si>
  <si>
    <t>IVXX[3]</t>
  </si>
  <si>
    <t>IVXX[4]</t>
  </si>
  <si>
    <t>IVXX[5]</t>
  </si>
  <si>
    <t>IVXX[6]</t>
  </si>
  <si>
    <t>IVXX[7]</t>
  </si>
  <si>
    <t>FB_MPS_S</t>
  </si>
  <si>
    <t>A</t>
  </si>
  <si>
    <t>0..7</t>
  </si>
  <si>
    <t>MOPS</t>
  </si>
  <si>
    <t>OCCH[0]</t>
  </si>
  <si>
    <t>OCCH[1]</t>
  </si>
  <si>
    <t>OCCH[3]</t>
  </si>
  <si>
    <t>OCCH[2]</t>
  </si>
  <si>
    <t>OCCH[4]</t>
  </si>
  <si>
    <t>OCCH[5]</t>
  </si>
  <si>
    <t>OCCH[6]</t>
  </si>
  <si>
    <t>OCCH[7]</t>
  </si>
  <si>
    <t>МУПС_1</t>
  </si>
  <si>
    <t>MUPS_1</t>
  </si>
  <si>
    <t>АСПС.FB_MPS_S.MUPS_1</t>
  </si>
  <si>
    <r>
      <t xml:space="preserve">Для TREI
FB_QSA_S: </t>
    </r>
    <r>
      <rPr>
        <sz val="11"/>
        <color theme="1"/>
        <rFont val="Calibri"/>
        <family val="2"/>
        <charset val="204"/>
      </rPr>
      <t xml:space="preserve">2-й порог
</t>
    </r>
    <r>
      <rPr>
        <b/>
        <sz val="11"/>
        <color theme="1"/>
        <rFont val="Calibri"/>
        <family val="2"/>
        <charset val="204"/>
      </rPr>
      <t>FB_MPS_S:</t>
    </r>
    <r>
      <rPr>
        <sz val="11"/>
        <color theme="1"/>
        <rFont val="Calibri"/>
        <family val="2"/>
        <charset val="204"/>
      </rPr>
      <t xml:space="preserve"> Начальный адрес Modbus (OCCH)</t>
    </r>
  </si>
  <si>
    <t>MUPS</t>
  </si>
  <si>
    <t>ISON</t>
  </si>
  <si>
    <t>M941A</t>
  </si>
  <si>
    <t>DO_DIAG</t>
  </si>
  <si>
    <t>Диагностика.DO_DIAG</t>
  </si>
  <si>
    <t>XVLX</t>
  </si>
  <si>
    <t>BR</t>
  </si>
  <si>
    <t>3+5</t>
  </si>
  <si>
    <t>1+1</t>
  </si>
  <si>
    <t>1+3</t>
  </si>
  <si>
    <t>1+4</t>
  </si>
  <si>
    <t>1+5</t>
  </si>
  <si>
    <t>7+10</t>
  </si>
  <si>
    <t>2+1</t>
  </si>
  <si>
    <t>2+2</t>
  </si>
  <si>
    <t>2+3</t>
  </si>
  <si>
    <t>7+6</t>
  </si>
  <si>
    <t>7+7</t>
  </si>
  <si>
    <t>7+8</t>
  </si>
  <si>
    <t>7+9</t>
  </si>
  <si>
    <t>7+11</t>
  </si>
  <si>
    <t>2+4</t>
  </si>
  <si>
    <t>2+5</t>
  </si>
  <si>
    <t>1+7</t>
  </si>
  <si>
    <t>1+8</t>
  </si>
  <si>
    <t>1+9</t>
  </si>
  <si>
    <t>1+10</t>
  </si>
  <si>
    <t>1+11</t>
  </si>
  <si>
    <t>!2+7</t>
  </si>
  <si>
    <t>2+8</t>
  </si>
  <si>
    <t>2+9</t>
  </si>
  <si>
    <t>1+12</t>
  </si>
  <si>
    <t>1+13</t>
  </si>
  <si>
    <t>1+14</t>
  </si>
  <si>
    <t>3+2</t>
  </si>
  <si>
    <t>3+3</t>
  </si>
  <si>
    <t>1+15</t>
  </si>
  <si>
    <t>1+16</t>
  </si>
  <si>
    <t>1+17</t>
  </si>
  <si>
    <t>4+1</t>
  </si>
  <si>
    <t>1+18</t>
  </si>
  <si>
    <t>1+19</t>
  </si>
  <si>
    <t>1+20</t>
  </si>
  <si>
    <t>1+21</t>
  </si>
  <si>
    <t>1+22</t>
  </si>
  <si>
    <t>2+10</t>
  </si>
  <si>
    <t>2+11</t>
  </si>
  <si>
    <t>1+23</t>
  </si>
  <si>
    <t>1+24</t>
  </si>
  <si>
    <t>1+25</t>
  </si>
  <si>
    <t>1+26</t>
  </si>
  <si>
    <t>1+27</t>
  </si>
  <si>
    <t>1+28</t>
  </si>
  <si>
    <t>1+29</t>
  </si>
  <si>
    <t>1+30</t>
  </si>
  <si>
    <t>1+31</t>
  </si>
  <si>
    <t>2+12</t>
  </si>
  <si>
    <t>2+13</t>
  </si>
  <si>
    <t>1+32</t>
  </si>
  <si>
    <t>6+1</t>
  </si>
  <si>
    <t>6+2</t>
  </si>
  <si>
    <t>6+3</t>
  </si>
  <si>
    <t>6+4</t>
  </si>
  <si>
    <t>6+5</t>
  </si>
  <si>
    <t>6+6</t>
  </si>
  <si>
    <t>2+14</t>
  </si>
  <si>
    <t>2+15</t>
  </si>
  <si>
    <t>6+27</t>
  </si>
  <si>
    <t>6+28</t>
  </si>
  <si>
    <t>6+7</t>
  </si>
  <si>
    <t>6+17</t>
  </si>
  <si>
    <t>6+22</t>
  </si>
  <si>
    <t>6+11</t>
  </si>
  <si>
    <t>6+21</t>
  </si>
  <si>
    <t>6+26</t>
  </si>
  <si>
    <t>6+30</t>
  </si>
  <si>
    <t>7+2</t>
  </si>
  <si>
    <t>6+12</t>
  </si>
  <si>
    <t>6+16</t>
  </si>
  <si>
    <t>6+29</t>
  </si>
  <si>
    <t>6+31</t>
  </si>
  <si>
    <t>7+3</t>
  </si>
  <si>
    <t>6+13</t>
  </si>
  <si>
    <t>6+32</t>
  </si>
  <si>
    <t>7+4</t>
  </si>
  <si>
    <t>6+14</t>
  </si>
  <si>
    <t>7+1</t>
  </si>
  <si>
    <t>7+5</t>
  </si>
  <si>
    <t>6+15</t>
  </si>
  <si>
    <t>8+1</t>
  </si>
  <si>
    <t>2+16</t>
  </si>
  <si>
    <t>MOPS3+1</t>
  </si>
  <si>
    <t>MUPS1+1</t>
  </si>
  <si>
    <t>MOPS2+1</t>
  </si>
  <si>
    <t>MUPS1+2</t>
  </si>
  <si>
    <t>MUPS3+1</t>
  </si>
  <si>
    <t>MUPS3+2</t>
  </si>
  <si>
    <t>7+12</t>
  </si>
  <si>
    <t>MOPS3+4</t>
  </si>
  <si>
    <t>MOPS3+5</t>
  </si>
  <si>
    <t>Генерировать привязку диагностики</t>
  </si>
  <si>
    <t>Вставлять только значения</t>
  </si>
  <si>
    <t>Исх.</t>
  </si>
  <si>
    <t>Преобр.</t>
  </si>
  <si>
    <t>Имя</t>
  </si>
  <si>
    <t>Активация для имитации</t>
  </si>
  <si>
    <t>Задание для имитации</t>
  </si>
  <si>
    <t>Активация для имитации (команда)</t>
  </si>
  <si>
    <t>M954D</t>
  </si>
  <si>
    <t>IDIG_1_3</t>
  </si>
  <si>
    <t>IDIG_1_4</t>
  </si>
  <si>
    <t>IDIG_2_3</t>
  </si>
  <si>
    <t>IDIG_2_4</t>
  </si>
  <si>
    <t>IDIG_3_3</t>
  </si>
  <si>
    <t>IDIG_3_4</t>
  </si>
  <si>
    <t>IDIG_4_3</t>
  </si>
  <si>
    <t>IDIG_4_4</t>
  </si>
  <si>
    <t>IDIG_5_3</t>
  </si>
  <si>
    <t>IDIG_5_4</t>
  </si>
  <si>
    <t>IDIG_6_3</t>
  </si>
  <si>
    <t>IDIG_6_4</t>
  </si>
  <si>
    <t>IDIG_7_3</t>
  </si>
  <si>
    <t>IDIG_7_4</t>
  </si>
  <si>
    <t>IDIG_8_3</t>
  </si>
  <si>
    <t>IDIG_8_4</t>
  </si>
  <si>
    <t>FB_RIM_S</t>
  </si>
  <si>
    <r>
      <t xml:space="preserve">Для TREI
FB_QSA_S: </t>
    </r>
    <r>
      <rPr>
        <sz val="11"/>
        <color theme="1"/>
        <rFont val="Calibri"/>
        <family val="2"/>
        <charset val="204"/>
      </rPr>
      <t xml:space="preserve">1-й порог
</t>
    </r>
    <r>
      <rPr>
        <b/>
        <sz val="11"/>
        <color theme="1"/>
        <rFont val="Calibri"/>
        <family val="2"/>
        <charset val="204"/>
      </rPr>
      <t>FB_MPS_S:</t>
    </r>
    <r>
      <rPr>
        <sz val="11"/>
        <color theme="1"/>
        <rFont val="Calibri"/>
        <family val="2"/>
        <charset val="204"/>
      </rPr>
      <t xml:space="preserve"> Начальный адрес Modbus (IVXX)
</t>
    </r>
    <r>
      <rPr>
        <b/>
        <sz val="11"/>
        <color theme="1"/>
        <rFont val="Calibri"/>
        <family val="2"/>
        <charset val="204"/>
      </rPr>
      <t xml:space="preserve">FB_RIM_S: </t>
    </r>
    <r>
      <rPr>
        <sz val="11"/>
        <color theme="1"/>
        <rFont val="Calibri"/>
        <family val="2"/>
        <charset val="204"/>
      </rPr>
      <t>Доступное кол-во ИМ (2-6)</t>
    </r>
  </si>
  <si>
    <t>H1_H2_RIM</t>
  </si>
  <si>
    <t>3+6</t>
  </si>
  <si>
    <t>10+7</t>
  </si>
  <si>
    <t>10+8</t>
  </si>
  <si>
    <t>10+9</t>
  </si>
  <si>
    <t>IT1X</t>
  </si>
  <si>
    <t>IT2X</t>
  </si>
  <si>
    <r>
      <t xml:space="preserve">FB_IMstp_S, FB_IMsp_S, FB_IMs_S, FB_REG_S, FB_IM_ADES_S : </t>
    </r>
    <r>
      <rPr>
        <sz val="11"/>
        <color theme="1"/>
        <rFont val="Calibri"/>
        <family val="2"/>
        <charset val="204"/>
      </rPr>
      <t>ILCX</t>
    </r>
    <r>
      <rPr>
        <b/>
        <sz val="11"/>
        <color theme="1"/>
        <rFont val="Calibri"/>
        <family val="2"/>
        <charset val="204"/>
      </rPr>
      <t xml:space="preserve">
FB_QOP_S: </t>
    </r>
    <r>
      <rPr>
        <sz val="11"/>
        <color theme="1"/>
        <rFont val="Calibri"/>
        <family val="2"/>
        <charset val="204"/>
      </rPr>
      <t xml:space="preserve">OL2N
</t>
    </r>
    <r>
      <rPr>
        <b/>
        <sz val="11"/>
        <color theme="1"/>
        <rFont val="Calibri"/>
        <family val="2"/>
        <charset val="204"/>
      </rPr>
      <t>SW_S301:</t>
    </r>
    <r>
      <rPr>
        <sz val="11"/>
        <color theme="1"/>
        <rFont val="Calibri"/>
        <family val="2"/>
        <charset val="204"/>
      </rPr>
      <t xml:space="preserve"> Подключение к порту 4
</t>
    </r>
    <r>
      <rPr>
        <b/>
        <sz val="11"/>
        <color theme="1"/>
        <rFont val="Calibri"/>
        <family val="2"/>
        <charset val="204"/>
      </rPr>
      <t>SW_MAYAK:</t>
    </r>
    <r>
      <rPr>
        <sz val="11"/>
        <color theme="1"/>
        <rFont val="Calibri"/>
        <family val="2"/>
        <charset val="204"/>
      </rPr>
      <t xml:space="preserve"> Подключение к порту 7,8 (через "\")</t>
    </r>
  </si>
  <si>
    <t>IFEX</t>
  </si>
  <si>
    <r>
      <t xml:space="preserve">FB_AI_S, FB_DI_S, FB_QSA_S, FB_DO_S, FB_SHPS_S, FB_SHOP_S, FB_BTF_S: </t>
    </r>
    <r>
      <rPr>
        <sz val="11"/>
        <color theme="1"/>
        <rFont val="Calibri"/>
        <family val="2"/>
        <charset val="204"/>
      </rPr>
      <t>IVXX</t>
    </r>
    <r>
      <rPr>
        <b/>
        <sz val="11"/>
        <color theme="1"/>
        <rFont val="Calibri"/>
        <family val="2"/>
        <charset val="204"/>
      </rPr>
      <t xml:space="preserve">
FB_QOP_S: </t>
    </r>
    <r>
      <rPr>
        <sz val="11"/>
        <color theme="1"/>
        <rFont val="Calibri"/>
        <family val="2"/>
        <charset val="204"/>
      </rPr>
      <t xml:space="preserve">IBTX
</t>
    </r>
    <r>
      <rPr>
        <b/>
        <sz val="11"/>
        <color theme="1"/>
        <rFont val="Calibri"/>
        <family val="2"/>
        <charset val="204"/>
      </rPr>
      <t>FB_KL_UPT_S:</t>
    </r>
    <r>
      <rPr>
        <sz val="11"/>
        <color theme="1"/>
        <rFont val="Calibri"/>
        <family val="2"/>
        <charset val="204"/>
      </rPr>
      <t xml:space="preserve"> ISON
</t>
    </r>
    <r>
      <rPr>
        <b/>
        <sz val="11"/>
        <color theme="1"/>
        <rFont val="Calibri"/>
        <family val="2"/>
        <charset val="204"/>
      </rPr>
      <t>SW_S301:</t>
    </r>
    <r>
      <rPr>
        <sz val="11"/>
        <color theme="1"/>
        <rFont val="Calibri"/>
        <family val="2"/>
        <charset val="204"/>
      </rPr>
      <t xml:space="preserve"> Подключение к порту 1
</t>
    </r>
    <r>
      <rPr>
        <b/>
        <sz val="11"/>
        <color theme="1"/>
        <rFont val="Calibri"/>
        <family val="2"/>
        <charset val="204"/>
      </rPr>
      <t>SW_MAYAK:</t>
    </r>
    <r>
      <rPr>
        <sz val="11"/>
        <color theme="1"/>
        <rFont val="Calibri"/>
        <family val="2"/>
        <charset val="204"/>
      </rPr>
      <t xml:space="preserve"> Подключение к порту 1,2 (через "\")
</t>
    </r>
    <r>
      <rPr>
        <b/>
        <sz val="11"/>
        <color theme="1"/>
        <rFont val="Calibri"/>
        <family val="2"/>
        <charset val="204"/>
      </rPr>
      <t>DI_DIAG, DO_DIAG:</t>
    </r>
    <r>
      <rPr>
        <sz val="11"/>
        <color theme="1"/>
        <rFont val="Calibri"/>
        <family val="2"/>
        <charset val="204"/>
      </rPr>
      <t xml:space="preserve"> XVLX</t>
    </r>
  </si>
  <si>
    <t>11+5</t>
  </si>
  <si>
    <t>11+6</t>
  </si>
  <si>
    <t>10+10</t>
  </si>
  <si>
    <t>10+11</t>
  </si>
  <si>
    <t>Тип датчика</t>
  </si>
  <si>
    <r>
      <rPr>
        <b/>
        <sz val="11"/>
        <color theme="1"/>
        <rFont val="Calibri"/>
        <family val="2"/>
        <charset val="204"/>
        <scheme val="minor"/>
      </rPr>
      <t>Изменения по сравнению с версией 11.0</t>
    </r>
    <r>
      <rPr>
        <sz val="11"/>
        <color theme="1"/>
        <rFont val="Calibri"/>
        <family val="2"/>
        <charset val="204"/>
        <scheme val="minor"/>
      </rPr>
      <t xml:space="preserve">
1. В INFINITY во все блоках целочисленным значениям задан тип LONG.
2. В INFINITY во все блоках сигналу XRPX назначена формула, блокирующая появление сообщений при установке его в TRUE.</t>
    </r>
  </si>
  <si>
    <r>
      <rPr>
        <b/>
        <sz val="11"/>
        <color theme="1"/>
        <rFont val="Calibri"/>
        <family val="2"/>
        <charset val="204"/>
        <scheme val="minor"/>
      </rPr>
      <t>Изменения по сравнению с версией 12.0</t>
    </r>
    <r>
      <rPr>
        <sz val="11"/>
        <color theme="1"/>
        <rFont val="Calibri"/>
        <family val="2"/>
        <charset val="204"/>
        <scheme val="minor"/>
      </rPr>
      <t xml:space="preserve">
1. Блок AI - исправлено плохое качество сигналов при старте</t>
    </r>
  </si>
  <si>
    <r>
      <rPr>
        <b/>
        <sz val="11"/>
        <color theme="1"/>
        <rFont val="Calibri"/>
        <family val="2"/>
        <charset val="204"/>
        <scheme val="minor"/>
      </rPr>
      <t>Изменения по сравнению с версией 12.1</t>
    </r>
    <r>
      <rPr>
        <sz val="11"/>
        <color theme="1"/>
        <rFont val="Calibri"/>
        <family val="2"/>
        <scheme val="minor"/>
      </rPr>
      <t xml:space="preserve">
1. Добавлен механизм автоматической генерации привязок физических сигналов в TREI
2. Поля на экране "Таблица", используемые ранее для описания сигналов из таблицы подключения теперь используются для автоматической генерации тегов привязок
3. Добавлен механизм автоматической генерации тегов TREI, необходимых для привязки физических сигналов. Генерация доступна с экрана Результат(TREI2).
4. В автоматическую генерацию привязок физических сигналов добавлены блоки:
FB_AI_S, FB_DI_S, FB_IMp_S, FB_IMv_S, FB_IM_ADES_S, FB_REG_S, FB_IMstp_S, FB_IMsp_S, FB_IMs_S, FB_IMst_MON_S, FB_IMt_MON_S, FB_IMsp_MON_S, FB_IMs_MON_S, FB_IMp_MON_S,
 FB_IMv_MON_S.
5. В файл конфигурации TREI добавлены модули M537V, M547A, M557D, M557O, M931T, M931V, M942A, M943DR, M947R, M957D, M957O.
6. Справка обновлена</t>
    </r>
  </si>
  <si>
    <t>SW_AR550</t>
  </si>
  <si>
    <t>Коммутатор Huawei AR550</t>
  </si>
  <si>
    <t>Диагностика.Huawei_AR550</t>
  </si>
  <si>
    <t>192.168.78.11</t>
  </si>
  <si>
    <t>Порт 1</t>
  </si>
  <si>
    <t>Порт 2</t>
  </si>
  <si>
    <t>Порт 3</t>
  </si>
  <si>
    <t>Порт 4</t>
  </si>
  <si>
    <t>Порт 5</t>
  </si>
  <si>
    <t>Порт 6</t>
  </si>
  <si>
    <t>Порт 7</t>
  </si>
  <si>
    <t>Порт 8</t>
  </si>
  <si>
    <t>Порт 9</t>
  </si>
  <si>
    <t>Порт 10</t>
  </si>
  <si>
    <t>Порт 11</t>
  </si>
  <si>
    <t>Порт 12</t>
  </si>
  <si>
    <t>TREI_DIAG</t>
  </si>
  <si>
    <t>Ошибки измерений в АЦП 1</t>
  </si>
  <si>
    <t>Не все каналы откалиброваны в АЦП 1</t>
  </si>
  <si>
    <t>Ошибка связи с АЦП 1</t>
  </si>
  <si>
    <t>Не все каналы откалиброваны в АЦП 2</t>
  </si>
  <si>
    <t>Ошибки измерений в АЦП 2</t>
  </si>
  <si>
    <t>Ошибка связи с АЦП 2</t>
  </si>
  <si>
    <t>Ошибка связи с мастером 1</t>
  </si>
  <si>
    <t>Ошибка связи с мастером 2</t>
  </si>
  <si>
    <t>Отсутствие опорн. напряжения в АЦП 2</t>
  </si>
  <si>
    <t>Отсутствие опорн. напряжения в АЦП 1</t>
  </si>
  <si>
    <t>AO</t>
  </si>
  <si>
    <t>M557DR</t>
  </si>
  <si>
    <t>!1+2</t>
  </si>
  <si>
    <t>Генерировать Modbus адреса</t>
  </si>
  <si>
    <t>Y</t>
  </si>
  <si>
    <t>Префикс для TREI</t>
  </si>
  <si>
    <t>);</t>
  </si>
  <si>
    <t>PACK_TO_INT|STATE|</t>
  </si>
  <si>
    <t>PACK_TO_INT|FAULT|</t>
  </si>
  <si>
    <t>TT_VOS</t>
  </si>
  <si>
    <t>@</t>
  </si>
  <si>
    <t>Заголовок</t>
  </si>
  <si>
    <t>Напряжение одного из входов питания вышло из заданного диапазона</t>
  </si>
  <si>
    <t>Выкл. автозапуск приложения</t>
  </si>
  <si>
    <t>Конфигурация по умолчанию</t>
  </si>
  <si>
    <t>Технологический режим</t>
  </si>
  <si>
    <t>Состояние дискретного выхода OUTPUT</t>
  </si>
  <si>
    <t>Состояние дискретного входа INPUT</t>
  </si>
  <si>
    <t>AVR_OK</t>
  </si>
  <si>
    <t>Неисправность модуля</t>
  </si>
  <si>
    <t>KMZ1</t>
  </si>
  <si>
    <t>ALARM_SOUND</t>
  </si>
  <si>
    <t>MK1</t>
  </si>
  <si>
    <t>Мастер модуль</t>
  </si>
  <si>
    <t>M915E</t>
  </si>
  <si>
    <t>M903E</t>
  </si>
  <si>
    <t>Состояние переключателя RUN-STOP</t>
  </si>
  <si>
    <t>Состояние дискретного выхода DOUT (при резервировании)</t>
  </si>
  <si>
    <t>Состояние дискретного входа DIN1 (при резервировании)</t>
  </si>
  <si>
    <t>Состояние дискретного входа DIN2 (при резервировании)</t>
  </si>
  <si>
    <t>CPU</t>
  </si>
  <si>
    <t>№ Модуля</t>
  </si>
  <si>
    <r>
      <rPr>
        <b/>
        <sz val="11"/>
        <color theme="1"/>
        <rFont val="Calibri"/>
        <family val="2"/>
        <charset val="204"/>
        <scheme val="minor"/>
      </rPr>
      <t>Изменения по сравнению с версией 13.0</t>
    </r>
    <r>
      <rPr>
        <sz val="11"/>
        <color theme="1"/>
        <rFont val="Calibri"/>
        <family val="2"/>
        <scheme val="minor"/>
      </rPr>
      <t xml:space="preserve">
1. Генерация кода для TREI. Исправлена проблема совместимости с более более ранними версиями EXCEL (гарантированно работает на 2010 и старше).</t>
    </r>
  </si>
  <si>
    <r>
      <rPr>
        <b/>
        <sz val="11"/>
        <color theme="1"/>
        <rFont val="Calibri"/>
        <family val="2"/>
        <charset val="204"/>
        <scheme val="minor"/>
      </rPr>
      <t>Изменения по сравнению с версией 13.1</t>
    </r>
    <r>
      <rPr>
        <sz val="11"/>
        <color theme="1"/>
        <rFont val="Calibri"/>
        <family val="2"/>
        <scheme val="minor"/>
      </rPr>
      <t xml:space="preserve">
1. Блок REG в TREI- добавлен сигнал CIOX.
2. Добавлен блок разделитель "-", удобен чтобы отделять строки друг от друга когда нужно выделить группу параметров или отделить строки проектные строчки от примера, никакой функциональной нагрузки не несёт.
3. Добавлен блок DO_DIAG в TREI и INFINITY - дискретный выходной сигнал с диагностикой.
4. Знак разделителя модуля и канала для автоматической генерации привязок изменён с "." на "+".
5. На экран "Таблица" добавлен чекбокс "Генерировать привязки NOT_LINK_BR+шапка"
6. Добавлен блок резервирования FB_RIM_S в TREI. 
7. Исправлены критические ошибки при генерировании  входных/выходных физических привязок 
8. Добавлены привязки физических сигналов к блокам АСПС, использующие МУПС/МОПС.
9. Добавлены кнопки "Скопировать конфигурацию" и "Вставить конфигурацию" на экран "Таблица".
</t>
    </r>
  </si>
  <si>
    <t>Диагностика.TREI</t>
  </si>
  <si>
    <t>Диагностика.CPU.NOT_LINK.noLink</t>
  </si>
  <si>
    <t xml:space="preserve">Номер модуля OPC клиента
PING: Номер модуля ICMP
SW_S301, SW_MAYAK, SYS_DIAG: Номер модуля SNMP </t>
  </si>
  <si>
    <t xml:space="preserve">FB_AI_S, AI, FB_QSA_S: Тип.изм.(P,L,dP,F)
SW_S301, SW_MAYAK, SYS_DIAG: Номер клиента SNMP
FB_DI_S: Тип.изм.(dP,L)
FB_IMstp_S, FB_IMt_MON_S, FB_IMst_MON_S: Формула для цвета верх. линии при нал. напряж.
ENUM: Номер файла перечисления
CPU_DIAG: Модель ЦПУ (915, 903, 991)
</t>
  </si>
  <si>
    <t>FB_AI_S, FB_REG_S, AI, FB_QSA_S: Ед.изм.
FB_IMstp_S, FB_IMt_MON_S, FB_IMst_MON_S: Формула для цвета нижней линии при нал. напряж., формула цвета верхней обмотки трансформатора
FB_IMs_S,FB_IMsp_S: формула для цвета высоков. выкл.
ENUM: Номер перечисляемого элемента</t>
  </si>
  <si>
    <t>FB_IMt_MON_S: Только для трансформатора. Цвет нижних обмоток(-ки) при наличии напряжения</t>
  </si>
  <si>
    <t>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Маска подсети
FB_SHOP_S: Тип оповещения (Свет, Звук)</t>
  </si>
  <si>
    <t xml:space="preserve">FB_AI_S, AI, FB_QSA_S, FB_DI_S: Тип прибора
FB_SHOP_S: Текст оповещателя
PING: IP адрес абонента
DI_DIAG, DI, FB_MPS_S: Инвертировать XVLX (0-нет, 1-да)
SW_S301, SW_MAYAK: IP адрес
FB_SHPS_S(SB): Сообщение для XFRX
</t>
  </si>
  <si>
    <t xml:space="preserve">FB_DI_S, FB_DO_S, DI, DI_DIAG: Тип сигнализации (Авария, предупреждение, телесигнализация и тд.)
FB_SHPS_S(SB), FB_BTF_S: Тип сигнализации XFRX
</t>
  </si>
  <si>
    <t>FB_IMstp_S, FB_IMs_S, FB_IMsp_S, S_ IMst_MON, FB_IMt_MON_S: Цвет линии при наличии напряжения 
FB_DI_S, FB_DO_S, DI, DI_DIAG: Цвет иконки
FB_IM_ADES_S: Цвет состояния работа</t>
  </si>
  <si>
    <t>AI: Тип переменной (INT,REAL)</t>
  </si>
  <si>
    <t>FB_AI_S, FB_DI_S, FB_QSA_S, FB_DO_S, FB_SHPS_S, FB_SHOP_S, FB_BTF_S: IVXX
FB_QOP_S: IBTX
FB_KL_UPT_S: ISON
SW_S301: Подключение к порту 1
SW_MAYAK: Подключение к порту 1,2 (через "\")
DI_DIAG, DO_DIAG: XVLX</t>
  </si>
  <si>
    <t>FB_IMstp_S, FB_IMsp_S, FB_IMs_S, FB_IMp_S, FB_IMv_S, FB_IMst_MON_S, FB_IMsp_MON_S, FB_IMs_MON_S, FB_IMp_MON_S, FB_IMv_MON_S, FB_IM_ADES_S, FB_OZK_KD_S: IONX
FB_REG_S: IAPX
FB_QOP_S: IBOX
FB_QSA_S: IT1X
SW_S301: Подключение к порту 2
SW_MAYAK: Подключение к порту 3,4 (через "\")</t>
  </si>
  <si>
    <t>FB_IMstp_S, FB_IMsp_S, FB_IMs_S, FB_IMp_S, FB_IMv_S, FB_IMst_MON_S, FB_IMsp_MON_S,  FB_IMs_MON_S, FB_IMp_MON_S, FB_IMv_MON_S, FB_IM_ADES_S, FB_OZK_KD_S:  IOFX
FB_REG_S: ICPX
FB_QOP_S: OL1N
FB_QSA_S: IT2X
SW_S301: Подключение к порту 3
SW_MAYAK: Подключение к порту 5,6 (через "\")</t>
  </si>
  <si>
    <t>FB_IMstp_S, FB_IMsp_S, FB_IMs_S, FB_REG_S, FB_IM_ADES_S : ILCX
FB_QOP_S: OL2N
SW_S301: Подключение к порту 4
SW_MAYAK: Подключение к порту 7,8 (через "\")</t>
  </si>
  <si>
    <t xml:space="preserve">FB_IMstp_S, FB_IMsp_S, FB_IMs_S, FB_IMp_S, FB_IMv_S, FB_REG_S, FB_IM_ADES_S, FB_DO_S : IRCX
FB_QOP_S: OS1N
SW_S301: Подключение к порту 5
SW_MAYAK: Подключение к порту 9,10 (через "\")
</t>
  </si>
  <si>
    <t>FB_IMstp_S, FB_IMsp_S, FB_IMs_S, FB_IMp_S, FB_IMv_S, FB_IMst_MON_S, FB_IMsp_MON_S, FB_IMt_MON_S, FB_IMs_MON_S, FB_IMp_MON_S, FB_IMv_MON_S, FB_REG_S, FB_QSA_S, FB_IM_ADES_S, FB_OZK_KD_S : IFXX
FB_QOP_S: OS2N
SW_S301: Подключение к порту 6
SW_MAYAK: Подключение к порту 11,12 (через "\")</t>
  </si>
  <si>
    <t>FB_IMstp_S, FB_IMsp_S, FB_IMs_S, FB_IMp_S, FB_IMv_S, FB_KL_UPT_S, FB_IM_ADES_S, FB_OZK_KD_S, FB_DO_S:  OXON
FB_REG_S: OSPX
SW_S301: Подключение к порту 7
SW_MAYAK: Подключение к порту 13,14 (через "\")</t>
  </si>
  <si>
    <t xml:space="preserve">FB_IMstp_S, FB_IMsp_S, FB_IMs_S, FB_IMp_S, FB_IMv_S, FB_IM_ADES_S, FB_OZK_KD_S, FB_DO_S: OXOF
SW_S301: Подключение к порту 8
SW_MAYAK: Подключение к порту 15,16 (через "\")
</t>
  </si>
  <si>
    <t xml:space="preserve">FB_IM_ADES_S, FB_IMp_S, FB_IMv_S: OXSP
FB_IMstp_S, FB_IMsp_S, FB_IMsp_MON_S: IPTC
SW_S301: Подключение к порту 9
SW_MAYAK: Подключение к порту 17,18 (через "\")
</t>
  </si>
  <si>
    <t xml:space="preserve">FB_IMstp_S, FB_IMst_MON_S, FB_IMt_MON_S: ITON
FB_IM_ADES_S: IOLD
SW_S301: Подключение к порту 10
SW_MAYAK: Подключение к порту 19,20 (через "\")
</t>
  </si>
  <si>
    <t>FB_IMstp_S, FB_IMst_MON_S, FB_IMt_MON_S: ITOF
FB_IM_ADES_S: IRAD
SW_MAYAK: Подключение к порту 21,22 (через "\")</t>
  </si>
  <si>
    <t xml:space="preserve">FB_IMstp_S, FB_IMsp_S, FB_IMsp_MON_S, FB_IM_ADES_S: IPTO
SW_MAYAK: Подключение к порту 23,24 (через "\")
</t>
  </si>
  <si>
    <t>Для TREI
FB_AI_S, FB_QSA_S: Тип входного значения( 0-мА; 1-мВ; 2-цифровое)
FB_DI_S: Время фильтрации
FB_IMp_S, FB_IMv_S, FB_IM_ADES_S: Время подачи команды
AI, AO: Тип переменной (INT, REAL)
CPU_DIAG: Модель ЦПУ (915, 903)
FB_SHPS_S(SB): SMEM (0,1)</t>
  </si>
  <si>
    <t xml:space="preserve">Для TREI
FB_IMstp_S, FB_IMs_S, FB_IMp_S, FB_IMv_S, FB_IM_ADES_S: Настройка перехода ручной-/автоматический-(TRUE/FALSE) </t>
  </si>
  <si>
    <t>Для TREI
FB_AI_S, FB_QSA_S: Нижний предел датчика
FB_BTF_S: Тип ИП пламени (0-5)
FB_OZK_KD_S: Тип датчика (0 - ОЗК, 1- КД)
AO: Начальное значение</t>
  </si>
  <si>
    <t>Для TREI
FB_AI_S, FB_QSA_S: Верхний предел датчика
FB_IMp_S, FB_IMv_S, FB_IM_ADES_S, FB_OZK_KD_S: Время перестановки</t>
  </si>
  <si>
    <t>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t>
  </si>
  <si>
    <t>Для TREI
FB_AI_S, FB_QSA_S: Нижний предел датчика
FB_BTF_S: Тип ИП пламени (0-5)
FB_OZK_KD_S: Тип датчика (0 - ОЗК, 1- КД)</t>
  </si>
  <si>
    <t>Ошибка канала 01</t>
  </si>
  <si>
    <t>Ошибка канала 02</t>
  </si>
  <si>
    <t>Ошибка канала 03</t>
  </si>
  <si>
    <t>Ошибка канала 04</t>
  </si>
  <si>
    <t>Ошибка канала 05</t>
  </si>
  <si>
    <t>Ошибка канала 06</t>
  </si>
  <si>
    <t>Ошибка канала 07</t>
  </si>
  <si>
    <t>Ошибка канала 08</t>
  </si>
  <si>
    <t>Ошибка канала 09</t>
  </si>
  <si>
    <t>Ошибка канала 10</t>
  </si>
  <si>
    <t>Ошибка канала 11</t>
  </si>
  <si>
    <t>Ошибка канала 12</t>
  </si>
  <si>
    <t>Ошибка канала 13</t>
  </si>
  <si>
    <t>Ошибка канала 14</t>
  </si>
  <si>
    <t>Ошибка канала 15</t>
  </si>
  <si>
    <t>Ошибка канала 16</t>
  </si>
  <si>
    <t>Ошибка ЦАП</t>
  </si>
  <si>
    <t>Наименование модуля по КД ( для сообщений)</t>
  </si>
  <si>
    <t>2BR6</t>
  </si>
  <si>
    <t>1BR1</t>
  </si>
  <si>
    <t>1BR2</t>
  </si>
  <si>
    <t>1BR3</t>
  </si>
  <si>
    <t>1BR4</t>
  </si>
  <si>
    <t>1BR5</t>
  </si>
  <si>
    <t>1BR6</t>
  </si>
  <si>
    <t>Путь TREI для сигналов NOT_LINK</t>
  </si>
  <si>
    <r>
      <rPr>
        <b/>
        <sz val="11"/>
        <color theme="1"/>
        <rFont val="Calibri"/>
        <family val="2"/>
        <charset val="204"/>
        <scheme val="minor"/>
      </rPr>
      <t>Изменения по сравнению с версией 13.2</t>
    </r>
    <r>
      <rPr>
        <sz val="11"/>
        <color theme="1"/>
        <rFont val="Calibri"/>
        <family val="2"/>
        <scheme val="minor"/>
      </rPr>
      <t xml:space="preserve">
1. Функционал автоматической привязки сигналов TREI реализован для всех блоков
2. FB_BTF_S - добавлена надстройка, если тип датчика (столбец AM) выбран любой, кроме 3, то в присвоение переменной FB_BTF_S|IVXX добавляется преобразование типа int в real.
3. Добавлен блок SW_AR550 - коммутатор Huawei AR550 в  конфигурацию Infinity.
4. FB_MPS_S - в конфигурации Infinity к адресу сигнала value добавлен DVXX
5. Блокам SW_S301, SW_MAYAK, SW_AR550 добавлена возможность ввода формулы fNoLink.Device.
6. Добавлен блок TREI_DIAG в конфигурацию INFINITY. Создаёт диагностические переменные для модулей TREI, опираясь на информацию с листа "Конфигурация TREI". На данный момент доступна генерация конфигурации модулей M547A, M557DR, M557D, M557O.
7. Блок DO в INFINITY -  добавлен тег, отвечающий за регистрацию действия пользователя.
8. Добавлен блок AO в INFINITY - аналоговый выходной сигнал.</t>
    </r>
  </si>
  <si>
    <t>#1.SHSX</t>
  </si>
  <si>
    <t>#1.SLSX</t>
  </si>
  <si>
    <t>Период архивации</t>
  </si>
  <si>
    <t>Типы Sepam</t>
  </si>
  <si>
    <t>OL</t>
  </si>
  <si>
    <t>SV</t>
  </si>
  <si>
    <t>VV</t>
  </si>
  <si>
    <t>TN</t>
  </si>
  <si>
    <t>DO</t>
  </si>
  <si>
    <t>#1.XHAS.AE_AlarmsEnableMask=IfTrue(#0,2147483648,2147483680);#1.XLAS.AE_AlarmsEnableMask=IfTrue(#0,2147483648,2147483680);#1.XDAX.AE_AlarmsEnableMask=IfTrue(#0,2147483648,2147483680);#1.XHWS.AE_AlarmsEnableMask=IfTrue(#0,2147483648,2147483680);#1.XLWS.AE_AlarmsEnableMask=IfTrue(#0,2147483648,2147483680);#1.FSLX.AE_AlarmsEnableMask=IfTrue(#0,2147483648,2147483680);#1.FZCX.AE_AlarmsEnableMask=IfTrue(#0,2147483648,2147483680);#1.FBXX.AE_AlarmsEnableMask=IfTrue(#0,2147483648,2147483680);#1.FSCX.AE_AlarmsEnableMask=IfTrue(#0,2147483648,2147483680);#1.FHSX.AE_AlarmsEnableMask=IfTrue(#0,2147483648,2147483680);#1.FLSX.AE_AlarmsEnableMask=IfTrue(#0,2147483648,2147483680);#1.FSTX.AE_AlarmsEnableMask=IfTrue(#0,2147483648,2147483680);#1.DVXX.AE_AlarmsEnableMask=IfTrue(#0,2147483648,2147483680);#1.BHAX.AE_AlarmsEnableMask=IfTrue(#0,2147483648,2147483680);#1.BHWX.AE_AlarmsEnableMask=IfTrue(#0,2147483648,2147483680);#1.BLAX.AE_AlarmsEnableMask=IfTrue(#0,2147483648,2147483680);#1.BLWX.AE_AlarmsEnableMask=IfTrue(#0,2147483648,2147483680);#1.CIMX.AE_AlarmsEnableMask=IfTrue(#0,2147483648,2147483680)</t>
  </si>
  <si>
    <t>#1.XDAX.AE_AlarmsEnableMask=IfTrue(#0,2147483648,2147483680);#1.XVLX.AE_AlarmsEnableMask=IfTrue(#0,2147483648,2147483680);#1.DVXX.AE_AlarmsEnableMask=IfTrue(#0,2147483648,2147483680);#1.CIMX.AE_AlarmsEnableMask=IfTrue(#0,2147483648,2147483680);#1.BVLS.AE_AlarmsEnableMask=IfTrue(#0,2147483648,2147483680)</t>
  </si>
  <si>
    <t>#1.LAON.AE_AlarmsEnableMask=IfTrue(#0,2147483648,2147483680);#1.LAOF.AE_AlarmsEnableMask=IfTrue(#0,2147483648,2147483680);#1.CEON.AE_AlarmsEnableMask=IfTrue(#0,2147483648,2147483680);#1.CEOF.AE_AlarmsEnableMask=IfTrue(#0,2147483648,2147483680);#1.FCOM.AE_AlarmsEnableMask=IfTrue(#0,2147483648,2147483680);#1.DOON.AE_AlarmsEnableMask=IfTrue(#0,2147483648,2147483680);#1.DOOF.AE_AlarmsEnableMask=IfTrue(#0,2147483648,2147483680);#1.DRCX.AE_AlarmsEnableMask=IfTrue(#0,2147483648,2147483680);#1.DVXX.AE_AlarmsEnableMask=IfTrue(#0,2147483648,2147483680);#1.XMMX.AE_AlarmsEnableMask=IfTrue(#0,2147483648,2147483680);#1.XRCX.AE_AlarmsEnableMask=IfTrue(#0,2147483648,2147483680);#1.XVLX.AE_AlarmsEnableMask=IfTrue(#0,2147483648,2147483680)</t>
  </si>
  <si>
    <t>#1.ILCX.AE_AlarmsEnableMask=IfTrue(#0,2147483648,2147483680);#1.FRQX.AE_AlarmsEnableMask=IfTrue(#0,2147483648,2147483680);#1.LAON.AE_AlarmsEnableMask=IfTrue(#0,2147483648,2147483680);#1.LAOF.AE_AlarmsEnableMask=IfTrue(#0,2147483648,2147483680);#1.CEON.AE_AlarmsEnableMask=IfTrue(#0,2147483648,2147483680);#1.CEOF.AE_AlarmsEnableMask=IfTrue(#0,2147483648,2147483680);#1.IFXX.AE_AlarmsEnableMask=IfTrue(#0,2147483648,2147483680);#1.FONX.AE_AlarmsEnableMask=IfTrue(#0,2147483648,2147483680);#1.FOFX.AE_AlarmsEnableMask=IfTrue(#0,2147483648,2147483680);#1.FFON.AE_AlarmsEnableMask=IfTrue(#0,2147483648,2147483680);#1.FFOF.AE_AlarmsEnableMask=IfTrue(#0,2147483648,2147483680);#1.FUSX.AE_AlarmsEnableMask=IfTrue(#0,2147483648,2147483680);#1.FDSX.AE_AlarmsEnableMask=IfTrue(#0,2147483648,2147483680);#1.FUCX.AE_AlarmsEnableMask=IfTrue(#0,2147483648,2147483680);#1.FDCX.AE_AlarmsEnableMask=IfTrue(#0,2147483648,2147483680);#1.FCOM.AE_AlarmsEnableMask=IfTrue(#0,2147483648,2147483680);#1.DONX.AE_AlarmsEnableMask=IfTrue(#0,2147483648,2147483680);#1.DOFX.AE_AlarmsEnableMask=IfTrue(#0,2147483648,2147483680);#1.DLCX.AE_AlarmsEnableMask=IfTrue(#0,2147483648,2147483680);#1.DRCX.AE_AlarmsEnableMask=IfTrue(#0,2147483648,2147483680);#1.DFXX.AE_AlarmsEnableMask=IfTrue(#0,2147483648,2147483680);#1.DOON.AE_AlarmsEnableMask=IfTrue(#0,2147483648,2147483680);#1.DOOF.AE_AlarmsEnableMask=IfTrue(#0,2147483648,2147483680);#1.DOSP.AE_AlarmsEnableMask=IfTrue(#0,2147483648,2147483680);#1.XMMX.AE_AlarmsEnableMask=IfTrue(#0,2147483648,2147483680);#1.XONX.AE_AlarmsEnableMask=IfTrue(#0,2147483648,2147483680);#1.XOFX.AE_AlarmsEnableMask=IfTrue(#0,2147483648,2147483680);#1.XRCX.AE_AlarmsEnableMask=IfTrue(#0,2147483648,2147483680);#1.OXSP.AE_AlarmsEnableMask=IfTrue(#0,2147483648,2147483680)</t>
  </si>
  <si>
    <t>#1.ILCX.AE_AlarmsEnableMask=IfTrue(#0,2147483648,2147483680);#1.FRTX.AE_AlarmsEnableMask=IfTrue(#0,2147483648,2147483680);#1.LAON.AE_AlarmsEnableMask=IfTrue(#0,2147483648,2147483680);#1.LAOF.AE_AlarmsEnableMask=IfTrue(#0,2147483648,2147483680);#1.CEON.AE_AlarmsEnableMask=IfTrue(#0,2147483648,2147483680);#1.CEOF.AE_AlarmsEnableMask=IfTrue(#0,2147483648,2147483680);#1.IFXX.AE_AlarmsEnableMask=IfTrue(#0,2147483648,2147483680);#1.FONX.AE_AlarmsEnableMask=IfTrue(#0,2147483648,2147483680);#1.FOFX.AE_AlarmsEnableMask=IfTrue(#0,2147483648,2147483680);#1.FFON.AE_AlarmsEnableMask=IfTrue(#0,2147483648,2147483680);#1.FFOF.AE_AlarmsEnableMask=IfTrue(#0,2147483648,2147483680);#1.FUSX.AE_AlarmsEnableMask=IfTrue(#0,2147483648,2147483680);#1.FDSX.AE_AlarmsEnableMask=IfTrue(#0,2147483648,2147483680);#1.FUCX.AE_AlarmsEnableMask=IfTrue(#0,2147483648,2147483680);#1.FDCX.AE_AlarmsEnableMask=IfTrue(#0,2147483648,2147483680);#1.FCOM.AE_AlarmsEnableMask=IfTrue(#0,2147483648,2147483680);#1.DONX.AE_AlarmsEnableMask=IfTrue(#0,2147483648,2147483680);#1.DOFX.AE_AlarmsEnableMask=IfTrue(#0,2147483648,2147483680);#1.DLCX.AE_AlarmsEnableMask=IfTrue(#0,2147483648,2147483680);#1.DRCX.AE_AlarmsEnableMask=IfTrue(#0,2147483648,2147483680);#1.DFXX.AE_AlarmsEnableMask=IfTrue(#0,2147483648,2147483680);#1.DOON.AE_AlarmsEnableMask=IfTrue(#0,2147483648,2147483680);#1.DOOF.AE_AlarmsEnableMask=IfTrue(#0,2147483648,2147483680);#1.DOSP.AE_AlarmsEnableMask=IfTrue(#0,2147483648,2147483680);#1.XMMX.AE_AlarmsEnableMask=IfTrue(#0,2147483648,2147483680);#1.XONX.AE_AlarmsEnableMask=IfTrue(#0,2147483648,2147483680);#1.XOFX.AE_AlarmsEnableMask=IfTrue(#0,2147483648,2147483680);#1.XRCX.AE_AlarmsEnableMask=IfTrue(#0,2147483648,2147483680);#1.OXSP.AE_AlarmsEnableMask=IfTrue(#0,2147483648,2147483680)</t>
  </si>
  <si>
    <t>#1.IOLD.AE_AlarmsEnableMask=IfTrue(#0,2147483648,2147483680);#1.IRAD.AE_AlarmsEnableMask=IfTrue(#0,2147483648,2147483680);#1.IPTO.AE_AlarmsEnableMask=IfTrue(#0,2147483648,2147483680);#1.ILCX.AE_AlarmsEnableMask=IfTrue(#0,2147483648,2147483680);#1.FRTX.AE_AlarmsEnableMask=IfTrue(#0,2147483648,2147483680);#1.LAON.AE_AlarmsEnableMask=IfTrue(#0,2147483648,2147483680);#1.LAOF.AE_AlarmsEnableMask=IfTrue(#0,2147483648,2147483680);#1.CEON.AE_AlarmsEnableMask=IfTrue(#0,2147483648,2147483680);#1.CEOF.AE_AlarmsEnableMask=IfTrue(#0,2147483648,2147483680);#1.IFXX.AE_AlarmsEnableMask=IfTrue(#0,2147483648,2147483680);#1.FONX.AE_AlarmsEnableMask=IfTrue(#0,2147483648,2147483680);#1.FOFX.AE_AlarmsEnableMask=IfTrue(#0,2147483648,2147483680);#1.FFON.AE_AlarmsEnableMask=IfTrue(#0,2147483648,2147483680);#1.FFOF.AE_AlarmsEnableMask=IfTrue(#0,2147483648,2147483680);#1.FUSX.AE_AlarmsEnableMask=IfTrue(#0,2147483648,2147483680);#1.FDSX.AE_AlarmsEnableMask=IfTrue(#0,2147483648,2147483680);#1.FUCX.AE_AlarmsEnableMask=IfTrue(#0,2147483648,2147483680);#1.FDCX.AE_AlarmsEnableMask=IfTrue(#0,2147483648,2147483680);#1.FCOM.AE_AlarmsEnableMask=IfTrue(#0,2147483648,2147483680);#1.DOLD.AE_AlarmsEnableMask=IfTrue(#0,2147483648,2147483680);#1.DRAD.AE_AlarmsEnableMask=IfTrue(#0,2147483648,2147483680);#1.DPTO.AE_AlarmsEnableMask=IfTrue(#0,2147483648,2147483680);#1.DONX.AE_AlarmsEnableMask=IfTrue(#0,2147483648,2147483680);#1.DOFX.AE_AlarmsEnableMask=IfTrue(#0,2147483648,2147483680);#1.DLCX.AE_AlarmsEnableMask=IfTrue(#0,2147483648,2147483680);#1.DRCX.AE_AlarmsEnableMask=IfTrue(#0,2147483648,2147483680);#1.DFXX.AE_AlarmsEnableMask=IfTrue(#0,2147483648,2147483680);#1.DOON.AE_AlarmsEnableMask=IfTrue(#0,2147483648,2147483680);#1.DOOF.AE_AlarmsEnableMask=IfTrue(#0,2147483648,2147483680);#1.DOSP.AE_AlarmsEnableMask=IfTrue(#0,2147483648,2147483680);#1.XMMX.AE_AlarmsEnableMask=IfTrue(#0,2147483648,2147483680);#1.XONX.AE_AlarmsEnableMask=IfTrue(#0,2147483648,2147483680);#1.XOFX.AE_AlarmsEnableMask=IfTrue(#0,2147483648,2147483680);#1.XRCX.AE_AlarmsEnableMask=IfTrue(#0,2147483648,2147483680);#1.OXSP.AE_AlarmsEnableMask=IfTrue(#0,2147483648,2147483680)</t>
  </si>
  <si>
    <t>#1.ILCX.AE_AlarmsEnableMask=IfTrue(#0,2147483648,2147483680);#1.CBXX.AE_AlarmsEnableMask=IfTrue(#0,2147483648,2147483680);#1.IFXX.AE_AlarmsEnableMask=IfTrue(#0,2147483648,2147483680);#1.FSCX.AE_AlarmsEnableMask=IfTrue(#0,2147483648,2147483680);#1.FBXX.AE_AlarmsEnableMask=IfTrue(#0,2147483648,2147483680);#1.FMVX.AE_AlarmsEnableMask=IfTrue(#0,2147483648,2147483680);#1.FUCM.AE_AlarmsEnableMask=IfTrue(#0,2147483648,2147483680);#1.FDCM.AE_AlarmsEnableMask=IfTrue(#0,2147483648,2147483680);#1.DLCX.AE_AlarmsEnableMask=IfTrue(#0,2147483648,2147483680);#1.DRCX.AE_AlarmsEnableMask=IfTrue(#0,2147483648,2147483680);#1.DFXX.AE_AlarmsEnableMask=IfTrue(#0,2147483648,2147483680);#1.DCPX.AE_AlarmsEnableMask=IfTrue(#0,2147483648,2147483680);#1.DAPX.AE_AlarmsEnableMask=IfTrue(#0,2147483648,2147483680);#1.DSPX.AE_AlarmsEnableMask=IfTrue(#0,2147483648,2147483680);#1.CAPA.AE_AlarmsEnableMask=IfTrue(#0,2147483648,2147483680);#1.XMMX.AE_AlarmsEnableMask=IfTrue(#0,2147483648,2147483680);#1.IRCX.AE_AlarmsEnableMask=IfTrue(#0,2147483648,2147483680);#1.XONX.AE_AlarmsEnableMask=IfTrue(#0,2147483648,2147483680);#1.XOFX.AE_AlarmsEnableMask=IfTrue(#0,2147483648,2147483680);#1.XRCX.AE_AlarmsEnableMask=IfTrue(#0,2147483648,2147483680)</t>
  </si>
  <si>
    <t>#1.FPTX.AE_AlarmsEnableMask=IfTrue(#0,2147483648,2147483680);#1.ILCX.AE_AlarmsEnableMask=IfTrue(#0,2147483648,2147483680);#1.FRQX.AE_AlarmsEnableMask=IfTrue(#0,2147483648,2147483680);#1.FRPT.AE_AlarmsEnableMask=IfTrue(#0,2147483648,2147483680);#1.LAON.AE_AlarmsEnableMask=IfTrue(#0,2147483648,2147483680);#1.LAOF.AE_AlarmsEnableMask=IfTrue(#0,2147483648,2147483680);#1.FFOF.AE_AlarmsEnableMask=IfTrue(#0,2147483648,2147483680);#1.IFXX.AE_AlarmsEnableMask=IfTrue(#0,2147483648,2147483680);#1.FFON.AE_AlarmsEnableMask=IfTrue(#0,2147483648,2147483680);#1.FCOM.AE_AlarmsEnableMask=IfTrue(#0,2147483648,2147483680);#1.FOFX.AE_AlarmsEnableMask=IfTrue(#0,2147483648,2147483680);#1.FUTX.AE_AlarmsEnableMask=IfTrue(#0,2147483648,2147483680);#1.FUSX.AE_AlarmsEnableMask=IfTrue(#0,2147483648,2147483680);#1.FUPT.AE_AlarmsEnableMask=IfTrue(#0,2147483648,2147483680);#1.FDTX.AE_AlarmsEnableMask=IfTrue(#0,2147483648,2147483680);#1.FDSX.AE_AlarmsEnableMask=IfTrue(#0,2147483648,2147483680);#1.FDPT.AE_AlarmsEnableMask=IfTrue(#0,2147483648,2147483680);#1.FONX.AE_AlarmsEnableMask=IfTrue(#0,2147483648,2147483680);#1.FUCX.AE_AlarmsEnableMask=IfTrue(#0,2147483648,2147483680);#1.FDCX.AE_AlarmsEnableMask=IfTrue(#0,2147483648,2147483680);#1.DLCX.AE_AlarmsEnableMask=IfTrue(#0,2147483648,2147483680);#1.DTON.AE_AlarmsEnableMask=IfTrue(#0,2147483648,2147483680);#1.DOFX.AE_AlarmsEnableMask=IfTrue(#0,2147483648,2147483680);#1.DOON.AE_AlarmsEnableMask=IfTrue(#0,2147483648,2147483680);#1.DOOF.AE_AlarmsEnableMask=IfTrue(#0,2147483648,2147483680);#1.DOSP.AE_AlarmsEnableMask=IfTrue(#0,2147483648,2147483680);#1.DFXX.AE_AlarmsEnableMask=IfTrue(#0,2147483648,2147483680);#1.DRCX.AE_AlarmsEnableMask=IfTrue(#0,2147483648,2147483680);#1.DPTO.AE_AlarmsEnableMask=IfTrue(#0,2147483648,2147483680);#1.DPTC.AE_AlarmsEnableMask=IfTrue(#0,2147483648,2147483680);#1.DTOF.AE_AlarmsEnableMask=IfTrue(#0,2147483648,2147483680);#1.DONX.AE_AlarmsEnableMask=IfTrue(#0,2147483648,2147483680);#1.XMMX.AE_AlarmsEnableMask=IfTrue(#0,2147483648,2147483680);#1.XTON.AE_AlarmsEnableMask=IfTrue(#0,2147483648,2147483680);#1.XRCX.AE_AlarmsEnableMask=IfTrue(#0,2147483648,2147483680);#1.XONX.AE_AlarmsEnableMask=IfTrue(#0,2147483648,2147483680);#1.XTOF.AE_AlarmsEnableMask=IfTrue(#0,2147483648,2147483680);#1.XOFX.AE_AlarmsEnableMask=IfTrue(#0,2147483648,2147483680);#1.CPSL.AE_AlarmsEnableMask=IfTrue(#0,2147483648,2147483680);#1.CPSP.AE_AlarmsEnableMask=IfTrue(#0,2147483648,2147483680);#1.CPSG.AE_AlarmsEnableMask=IfTrue(#0,2147483648,2147483680);#1.CPSV.AE_AlarmsEnableMask=IfTrue(#0,2147483648,2147483680)</t>
  </si>
  <si>
    <t>#1.FPTX.AE_AlarmsEnableMask=IfTrue(#0,2147483648,2147483680);#1.ILCX.AE_AlarmsEnableMask=IfTrue(#0,2147483648,2147483680);#1.FRQX.AE_AlarmsEnableMask=IfTrue(#0,2147483648,2147483680);#1.FRPT.AE_AlarmsEnableMask=IfTrue(#0,2147483648,2147483680);#1.LAON.AE_AlarmsEnableMask=IfTrue(#0,2147483648,2147483680);#1.LAOF.AE_AlarmsEnableMask=IfTrue(#0,2147483648,2147483680);#1.FFOF.AE_AlarmsEnableMask=IfTrue(#0,2147483648,2147483680);#1.IFXX.AE_AlarmsEnableMask=IfTrue(#0,2147483648,2147483680);#1.FFON.AE_AlarmsEnableMask=IfTrue(#0,2147483648,2147483680);#1.FCOM.AE_AlarmsEnableMask=IfTrue(#0,2147483648,2147483680);#1.FOFX.AE_AlarmsEnableMask=IfTrue(#0,2147483648,2147483680);#1.FUSX.AE_AlarmsEnableMask=IfTrue(#0,2147483648,2147483680);#1.FUPT.AE_AlarmsEnableMask=IfTrue(#0,2147483648,2147483680);#1.FDTX.AE_AlarmsEnableMask=IfTrue(#0,2147483648,2147483680);#1.FDSX.AE_AlarmsEnableMask=IfTrue(#0,2147483648,2147483680);#1.FDPT.AE_AlarmsEnableMask=IfTrue(#0,2147483648,2147483680);#1.FONX.AE_AlarmsEnableMask=IfTrue(#0,2147483648,2147483680);#1.FUCX.AE_AlarmsEnableMask=IfTrue(#0,2147483648,2147483680);#1.FDCX.AE_AlarmsEnableMask=IfTrue(#0,2147483648,2147483680);#1.DLCX.AE_AlarmsEnableMask=IfTrue(#0,2147483648,2147483680);#1.DOFX.AE_AlarmsEnableMask=IfTrue(#0,2147483648,2147483680);#1.DOON.AE_AlarmsEnableMask=IfTrue(#0,2147483648,2147483680);#1.DOOF.AE_AlarmsEnableMask=IfTrue(#0,2147483648,2147483680);#1.DOSP.AE_AlarmsEnableMask=IfTrue(#0,2147483648,2147483680);#1.DFXX.AE_AlarmsEnableMask=IfTrue(#0,2147483648,2147483680);#1.DRCX.AE_AlarmsEnableMask=IfTrue(#0,2147483648,2147483680);#1.DPTO.AE_AlarmsEnableMask=IfTrue(#0,2147483648,2147483680);#1.DPTC.AE_AlarmsEnableMask=IfTrue(#0,2147483648,2147483680);#1.DONX.AE_AlarmsEnableMask=IfTrue(#0,2147483648,2147483680);#1.XMMX.AE_AlarmsEnableMask=IfTrue(#0,2147483648,2147483680);#1.XRCX.AE_AlarmsEnableMask=IfTrue(#0,2147483648,2147483680);#1.XONX.AE_AlarmsEnableMask=IfTrue(#0,2147483648,2147483680);#1.XTOF.AE_AlarmsEnableMask=IfTrue(#0,2147483648,2147483680);#1.XOFX.AE_AlarmsEnableMask=IfTrue(#0,2147483648,2147483680);#1.CPSL.AE_AlarmsEnableMask=IfTrue(#0,2147483648,2147483680);#1.CPSP.AE_AlarmsEnableMask=IfTrue(#0,2147483648,2147483680);#1.CPSG.AE_AlarmsEnableMask=IfTrue(#0,2147483648,2147483680);#1.CPSV.AE_AlarmsEnableMask=IfTrue(#0,2147483648,2147483680)</t>
  </si>
  <si>
    <t>#1.FRQX.AE_AlarmsEnableMask=IfTrue(#0,2147483648,2147483680);#1.FDTX.AE_AlarmsEnableMask=IfTrue(#0,2147483648,2147483680);#1.IFXX.AE_AlarmsEnableMask=IfTrue(#0,2147483648,2147483680);#1.FUSX.AE_AlarmsEnableMask=IfTrue(#0,2147483648,2147483680);#1.FDSX.AE_AlarmsEnableMask=IfTrue(#0,2147483648,2147483680);#1.FUTX.AE_AlarmsEnableMask=IfTrue(#0,2147483648,2147483680);#1.DOFX.AE_AlarmsEnableMask=IfTrue(#0,2147483648,2147483680);#1.DTON.AE_AlarmsEnableMask=IfTrue(#0,2147483648,2147483680);#1.DTOF.AE_AlarmsEnableMask=IfTrue(#0,2147483648,2147483680);#1.DFXX.AE_AlarmsEnableMask=IfTrue(#0,2147483648,2147483680);#1.DONX.AE_AlarmsEnableMask=IfTrue(#0,2147483648,2147483680);#1.XTON.AE_AlarmsEnableMask=IfTrue(#0,2147483648,2147483680);#1.XONX.AE_AlarmsEnableMask=IfTrue(#0,2147483648,2147483680);#1.XTOF.AE_AlarmsEnableMask=IfTrue(#0,2147483648,2147483680);#1.XOFX.AE_AlarmsEnableMask=IfTrue(#0,2147483648,2147483680)</t>
  </si>
  <si>
    <t>#1.FPTX.AE_AlarmsEnableMask=IfTrue(#0,2147483648,2147483680);#1.FRQX.AE_AlarmsEnableMask=IfTrue(#0,2147483648,2147483680);#1.FRPT.AE_AlarmsEnableMask=IfTrue(#0,2147483648,2147483680);#1.IFXX.AE_AlarmsEnableMask=IfTrue(#0,2147483648,2147483680);#1.FUPT.AE_AlarmsEnableMask=IfTrue(#0,2147483648,2147483680);#1.FUSX.AE_AlarmsEnableMask=IfTrue(#0,2147483648,2147483680);#1.FDPT.AE_AlarmsEnableMask=IfTrue(#0,2147483648,2147483680);#1.FDSX.AE_AlarmsEnableMask=IfTrue(#0,2147483648,2147483680);#1.DPTO.AE_AlarmsEnableMask=IfTrue(#0,2147483648,2147483680);#1.DPTC.AE_AlarmsEnableMask=IfTrue(#0,2147483648,2147483680);#1.DONX.AE_AlarmsEnableMask=IfTrue(#0,2147483648,2147483680);#1.DOFX.AE_AlarmsEnableMask=IfTrue(#0,2147483648,2147483680);#1.DFXX.AE_AlarmsEnableMask=IfTrue(#0,2147483648,2147483680);#1.XONX.AE_AlarmsEnableMask=IfTrue(#0,2147483648,2147483680);#1.XOFX.AE_AlarmsEnableMask=IfTrue(#0,2147483648,2147483680)</t>
  </si>
  <si>
    <t>#1.FRQX.AE_AlarmsEnableMask=IfTrue(#0,2147483648,2147483680);#1.IFXX.AE_AlarmsEnableMask=IfTrue(#0,2147483648,2147483680);#1.FUSX.AE_AlarmsEnableMask=IfTrue(#0,2147483648,2147483680);#1.FDSX.AE_AlarmsEnableMask=IfTrue(#0,2147483648,2147483680);#1.DONX.AE_AlarmsEnableMask=IfTrue(#0,2147483648,2147483680);#1.DOFX.AE_AlarmsEnableMask=IfTrue(#0,2147483648,2147483680);#1.DFXX.AE_AlarmsEnableMask=IfTrue(#0,2147483648,2147483680);#1.XONX.AE_AlarmsEnableMask=IfTrue(#0,2147483648,2147483680);#1.XOFX.AE_AlarmsEnableMask=IfTrue(#0,2147483648,2147483680)</t>
  </si>
  <si>
    <t>#1.FRTX.AE_AlarmsEnableMask=IfTrue(#0,2147483648,2147483680);#1.IFXX.AE_AlarmsEnableMask=IfTrue(#0,2147483648,2147483680);#1.FUSX.AE_AlarmsEnableMask=IfTrue(#0,2147483648,2147483680);#1.FDSX.AE_AlarmsEnableMask=IfTrue(#0,2147483648,2147483680);#1.DONX.AE_AlarmsEnableMask=IfTrue(#0,2147483648,2147483680);#1.DOFX.AE_AlarmsEnableMask=IfTrue(#0,2147483648,2147483680);#1.DFXX.AE_AlarmsEnableMask=IfTrue(#0,2147483648,2147483680);#1.XONX.AE_AlarmsEnableMask=IfTrue(#0,2147483648,2147483680);#1.XOFX.AE_AlarmsEnableMask=IfTrue(#0,2147483648,2147483680)</t>
  </si>
  <si>
    <t>#1.FRQX.AE_AlarmsEnableMask=IfTrue(#0,2147483648,2147483680);#1.IFXX.AE_AlarmsEnableMask=IfTrue(#0,2147483648,2147483680);#1.FUTX.AE_AlarmsEnableMask=IfTrue(#0,2147483648,2147483680);#1.FDTX.AE_AlarmsEnableMask=IfTrue(#0,2147483648,2147483680);#1.DTON.AE_AlarmsEnableMask=IfTrue(#0,2147483648,2147483680);#1.DTOF.AE_AlarmsEnableMask=IfTrue(#0,2147483648,2147483680);#1.DFXX.AE_AlarmsEnableMask=IfTrue(#0,2147483648,2147483680);#1.XTON.AE_AlarmsEnableMask=IfTrue(#0,2147483648,2147483680);#1.XTOF.AE_AlarmsEnableMask=IfTrue(#0,2147483648,2147483680)</t>
  </si>
  <si>
    <t>#2.aL.AE_AlarmsEnableMask=IfTrue(#0,2147483648,2147483680);#2.aH.AE_AlarmsEnableMask=IfTrue(#0,2147483648,2147483680);#2.wH.AE_AlarmsEnableMask=IfTrue(#0,2147483648,2147483680);#2.wL.AE_AlarmsEnableMask=IfTrue(#0,2147483648,2147483680)</t>
  </si>
  <si>
    <t>#1.XT2X.AE_AlarmsEnableMask=IfTrue(#0,2147483648,2147483680);#1.FBXX.AE_AlarmsEnableMask=IfTrue(#0,2147483648,2147483680);#1.FSCX.AE_AlarmsEnableMask=IfTrue(#0,2147483648,2147483680);#1.FHSX.AE_AlarmsEnableMask=IfTrue(#0,2147483648,2147483680);#1.FLSX.AE_AlarmsEnableMask=IfTrue(#0,2147483648,2147483680);#1.FSLX.AE_AlarmsEnableMask=IfTrue(#0,2147483648,2147483680);#1.FEXX.AE_AlarmsEnableMask=IfTrue(#0,2147483648,2147483680);#1.XT1X.AE_AlarmsEnableMask=IfTrue(#0,2147483648,2147483680);#1.XDAX.AE_AlarmsEnableMask=IfTrue(#0,2147483648,2147483680);#1.DVXX.AE_AlarmsEnableMask=IfTrue(#0,2147483648,2147483680);#1.DFEX.AE_AlarmsEnableMask=IfTrue(#0,2147483648,2147483680);#1.DT1X.AE_AlarmsEnableMask=IfTrue(#0,2147483648,2147483680);#1.DT2X.AE_AlarmsEnableMask=IfTrue(#0,2147483648,2147483680);#1.CIMX.AE_AlarmsEnableMask=IfTrue(#0,2147483648,2147483680)</t>
  </si>
  <si>
    <t>#1.FCON.AE_AlarmsEnableMask=IfTrue(#0,2147483648,2147483680);#1.FBON.AE_AlarmsEnableMask=IfTrue(#0,2147483648,2147483680);#1.DSON.AE_AlarmsEnableMask=IfTrue(#0,2147483648,2147483680);#1.XONX.AE_AlarmsEnableMask=IfTrue(#0,2147483648,2147483680);#1.CAON.AE_AlarmsEnableMask=IfTrue(#0,2147483648,2147483680)</t>
  </si>
  <si>
    <t>#1.DONX.AE_AlarmsEnableMask=IfTrue(#0,2147483680,2147483680);#1.DOFX.AE_AlarmsEnableMask=IfTrue(#0,2147483680,2147483680);#1.DFXX.AE_AlarmsEnableMask=IfTrue(#0,2147483680,2147483680);#1.DOON.AE_AlarmsEnableMask=IfTrue(#0,2147483680,2147483680);#1.DOOF.AE_AlarmsEnableMask=IfTrue(#0,2147483680,2147483680);#1.FONX.AE_AlarmsEnableMask=IfTrue(#0,2147483680,2147483680);#1.FOFX.AE_AlarmsEnableMask=IfTrue(#0,2147483680,2147483680);#1.FFON.AE_AlarmsEnableMask=IfTrue(#0,2147483680,2147483680);#1.FFOF.AE_AlarmsEnableMask=IfTrue(#0,2147483680,2147483680);#1.FUSX.AE_AlarmsEnableMask=IfTrue(#0,2147483680,2147483680);#1.FRQX.AE_AlarmsEnableMask=IfTrue(#0,2147483680,2147483680);#1.FDSN.AE_AlarmsEnableMask=IfTrue(#0,2147483680,2147483680);#1.FCOM.AE_AlarmsEnableMask=IfTrue(#0,2147483680,2147483680);#1.XONX.AE_AlarmsEnableMask=IfTrue(#0,2147483680,2147483680);#1.XOFX.AE_AlarmsEnableMask=IfTrue(#0,2147483680,2147483680);#1.CEON.AE_AlarmsEnableMask=IfTrue(#0,2147483680,2147483680);#1.CEOF.AE_AlarmsEnableMask=IfTrue(#0,2147483680,2147483680)</t>
  </si>
  <si>
    <t>#1.DVXX.AE_AlarmsEnableMask=IfTrue(#0,2147483648,2147483680);#1.FBON.AE_AlarmsEnableMask=IfTrue(#0,2147483648,2147483680);#1.OXON.AE_AlarmsEnableMask=IfTrue(#0,2147483648,2147483680);#1.BVLS.AE_AlarmsEnableMask=IfTrue(#0,2147483648,2147483680)</t>
  </si>
  <si>
    <t>Сраб. АЧР</t>
  </si>
  <si>
    <t>Сраб. ЧАПВ</t>
  </si>
  <si>
    <t>Сраб. ДГЗ ячейки при КЗ</t>
  </si>
  <si>
    <t>Сраб. токовой отсечки</t>
  </si>
  <si>
    <t>Сраб. ЛЗЛ</t>
  </si>
  <si>
    <t>Сраб. УРОВ</t>
  </si>
  <si>
    <t>Сраб. ЗМН</t>
  </si>
  <si>
    <t>#1.mCntSumOffIKZ &gt; #1.smCntSumOffIKZ</t>
  </si>
  <si>
    <t>АПВ введено</t>
  </si>
  <si>
    <t>Сраб. АПВ цикл 1</t>
  </si>
  <si>
    <t>Сраб. АПВ цикл 2</t>
  </si>
  <si>
    <t>ЧАПВ введено</t>
  </si>
  <si>
    <t>Контроль неисправности ЦВ введен</t>
  </si>
  <si>
    <t>Батарея разряжена</t>
  </si>
  <si>
    <t>U питания низкое</t>
  </si>
  <si>
    <t>Включено от АПВ</t>
  </si>
  <si>
    <t>Неуспешное АПВ</t>
  </si>
  <si>
    <t>Блокировка АПВ2 при ОЗЗ на линии</t>
  </si>
  <si>
    <t>Неисправность цепи включения</t>
  </si>
  <si>
    <t>Несоответствие команде ТУ</t>
  </si>
  <si>
    <t>Неисправность трансформатора тока</t>
  </si>
  <si>
    <t>Готовность АПВ</t>
  </si>
  <si>
    <t>Успешное АПВ</t>
  </si>
  <si>
    <t>#1.Commands.smCntSumOffIKZ</t>
  </si>
  <si>
    <t>Отключение от ДГЗ, УРОВ</t>
  </si>
  <si>
    <t>Внешнее отключение без запрета АВР</t>
  </si>
  <si>
    <t>Внешнее отключение с запретом АВР</t>
  </si>
  <si>
    <t>Сраб. ЛЗШ</t>
  </si>
  <si>
    <t>Сраб. МТЗ</t>
  </si>
  <si>
    <t>Отключение при автом. ВНР</t>
  </si>
  <si>
    <t>Обратное вращение фаз</t>
  </si>
  <si>
    <t>Низкое давление SF6 в выкл-ле</t>
  </si>
  <si>
    <t>ВНР введено</t>
  </si>
  <si>
    <t>Отключение от АВР</t>
  </si>
  <si>
    <t>Отключение от защит трансформатора</t>
  </si>
  <si>
    <t>АВР СВ включен</t>
  </si>
  <si>
    <t>Неисправность ТН</t>
  </si>
  <si>
    <t>Выключатель ТН отключен</t>
  </si>
  <si>
    <t>Путь TREI для сигналов CPU</t>
  </si>
  <si>
    <t>Нижний предел</t>
  </si>
  <si>
    <t>Верхний предел</t>
  </si>
  <si>
    <r>
      <rPr>
        <b/>
        <sz val="11"/>
        <color theme="1"/>
        <rFont val="Calibri"/>
        <family val="2"/>
        <charset val="204"/>
        <scheme val="minor"/>
      </rPr>
      <t>Изменения по сравнению с версией 13.3</t>
    </r>
    <r>
      <rPr>
        <sz val="11"/>
        <color theme="1"/>
        <rFont val="Calibri"/>
        <family val="2"/>
        <scheme val="minor"/>
      </rPr>
      <t xml:space="preserve">
1. Добавлена возможность генерации адресов modbus для панелей Weintek и кода для упаковки тегов (используется только отделом ПР). Данная возможность доступна для блоков FB_AI_S, FB_DI_S, FB_DO_S,FB_IMv,FB_IMp_MON_S,DI,DI_DIAG,DO_DIAG,AO,DO,AI.
2. AO - добавлена генерация TREI. В INFINITY добавлен сигнал обратной связи. Добавлена возможность ввода начального значения. Добавлена возможность выбора типа переменной, INT или REAL
3. В блок TREI_DIAG добавлена возможность выбора мастер-модуля. Весь функционал блока CPU_DIAG перенесён в TREI_DIAG. CPU_DIAG оставлен для поддержания старых конфигураций
4. В CPU_DIAG и TREI_DIAG класс сообщений отредактирован.
</t>
    </r>
  </si>
  <si>
    <t>\\SERVER-ASCUER\Relematika.Modbus.OPCDAServer</t>
  </si>
  <si>
    <t>ЗРУ10кВ</t>
  </si>
  <si>
    <t>DIAG.PING.USO_E2.Comm_1.noLink &amp; DIAG.PING.USO_E2.Comm_3.noLink</t>
  </si>
  <si>
    <t>Сраб. клапана ДГЗ</t>
  </si>
  <si>
    <t>Сраб. МТЗ I&gt;&gt;</t>
  </si>
  <si>
    <t>Сраб. МТЗ I&gt;</t>
  </si>
  <si>
    <t>Сраб. защиты от ОЗЗ</t>
  </si>
  <si>
    <t>Блокировка записи осциллограмм включена</t>
  </si>
  <si>
    <t>Отказ управления</t>
  </si>
  <si>
    <t>Неисправность цепей привода</t>
  </si>
  <si>
    <t>Автоматическое скачивание осциллограмм включено</t>
  </si>
  <si>
    <t>Запрет телерегулировки (дист.настр.защит)</t>
  </si>
  <si>
    <t>Статус осциллограмм</t>
  </si>
  <si>
    <t>Разрешить осциллограммы аварийного режима</t>
  </si>
  <si>
    <t>Блокирование чтения осциллограмм</t>
  </si>
  <si>
    <t>Ручной запуск осциллограмм</t>
  </si>
  <si>
    <t>Считывание счетчиков отключений</t>
  </si>
  <si>
    <t>ZRU10kV_line_8</t>
  </si>
  <si>
    <t>Включение СВ по АВР</t>
  </si>
  <si>
    <t>АВР СВ отключен</t>
  </si>
  <si>
    <t>Включить АВР СВ</t>
  </si>
  <si>
    <t>Отключить АВР СВ</t>
  </si>
  <si>
    <t>VV8</t>
  </si>
  <si>
    <t>ГП-3.ЗРУ 10кВ (поз.11). Ячейка №8. Ввод №2. Выключатель</t>
  </si>
  <si>
    <t>ASUES.ES.ZRU10kV.VV8.QF</t>
  </si>
  <si>
    <t>SHTN10</t>
  </si>
  <si>
    <t>ГП-3.ЗРУ 10кВ (поз.11). Ячейка №10. Шинный трансформатор напряжения №2</t>
  </si>
  <si>
    <t>ASUES.ES.ZRU10kV.SHTN10.TEL</t>
  </si>
  <si>
    <t>Срабатывание АЧР 1 очереди</t>
  </si>
  <si>
    <t>Срабатывание АЧР 2 очереди</t>
  </si>
  <si>
    <t>Сраб. АВР при обрыве фаз U2&gt;</t>
  </si>
  <si>
    <t>Сраб. АВР по U&lt;</t>
  </si>
  <si>
    <t>Сраб. защиты от феррорезонанса</t>
  </si>
  <si>
    <t>Сраб. ЗМН 1 ступени</t>
  </si>
  <si>
    <t>Сраб. ЗМН 2 ступени</t>
  </si>
  <si>
    <t>Самоподхват ДГЗ, УРОВ не снят</t>
  </si>
  <si>
    <t>U питания высокое</t>
  </si>
  <si>
    <t>Обрыв фаз питающей ЛЭП</t>
  </si>
  <si>
    <t>Земля в сети 6-10 кВ</t>
  </si>
  <si>
    <t>АЧР включена</t>
  </si>
  <si>
    <t>АВР введен при обрыве фаз U2&gt;</t>
  </si>
  <si>
    <t>ЗМН введена по U&gt;0,8</t>
  </si>
  <si>
    <t>АВР АВ Включен</t>
  </si>
  <si>
    <t>АВР отключить</t>
  </si>
  <si>
    <t>АВР включить</t>
  </si>
  <si>
    <t>№ Модуля commands</t>
  </si>
  <si>
    <t>Гц</t>
  </si>
  <si>
    <t>кВт</t>
  </si>
  <si>
    <t>кВАр</t>
  </si>
  <si>
    <t>В</t>
  </si>
  <si>
    <t>кВА</t>
  </si>
  <si>
    <t>А</t>
  </si>
  <si>
    <t>МВт*ч</t>
  </si>
  <si>
    <t>M915E(рез)</t>
  </si>
  <si>
    <t>M903E(рез)</t>
  </si>
  <si>
    <t>Диагностика линии резервирования B</t>
  </si>
  <si>
    <t>Диагностика контроллера №1</t>
  </si>
  <si>
    <t>ТЕСТ</t>
  </si>
  <si>
    <t xml:space="preserve"> -</t>
  </si>
  <si>
    <t>Диагностика контроллера №2</t>
  </si>
  <si>
    <t>0)</t>
  </si>
  <si>
    <t>Тег для корректной работы с тегами папки CONTR</t>
  </si>
  <si>
    <t>Диагностика линии резервирования A</t>
  </si>
  <si>
    <t>Диагностика.CPU_2.NOT_LINK.noLink</t>
  </si>
  <si>
    <r>
      <rPr>
        <b/>
        <sz val="11"/>
        <color theme="1"/>
        <rFont val="Calibri"/>
        <family val="2"/>
        <charset val="204"/>
        <scheme val="minor"/>
      </rPr>
      <t>Изменения по сравнению с версией 14.0</t>
    </r>
    <r>
      <rPr>
        <sz val="11"/>
        <color theme="1"/>
        <rFont val="Calibri"/>
        <family val="2"/>
        <scheme val="minor"/>
      </rPr>
      <t xml:space="preserve">
1. Добавлен модуль M537V в блок TREI_DIAG
2. Добавлена поканальная диагностика модулей M537V и М547А
3. Исправлена замедление генерации тегов TREI при отсутствии генерации адресов Modbus</t>
    </r>
  </si>
  <si>
    <r>
      <rPr>
        <b/>
        <sz val="11"/>
        <color theme="1"/>
        <rFont val="Calibri"/>
        <family val="2"/>
        <charset val="204"/>
        <scheme val="minor"/>
      </rPr>
      <t>Изменения по сравнению с версией 14.1</t>
    </r>
    <r>
      <rPr>
        <sz val="11"/>
        <color theme="1"/>
        <rFont val="Calibri"/>
        <family val="2"/>
        <scheme val="minor"/>
      </rPr>
      <t xml:space="preserve">
1. Исправлено свойство 101 в блоке TREI_DIAG для обновлений версии 14.1
2. TREI_DIAG. Исправлено отображение имени модуля в сообщении. Теперь оно берется из столбца "С" листа "Конфигурация TREI".
3. Добавлено поле "Путь TREI для сигналов NOT_LINK" на лист "Конфигурация TREI".
4. Убрана архивация уставок для всех архивируемых значений (засоряет архив, а смысла от неё нет)
5. Добавлена настройка периода архивации на лист "Таблица" для всех архивируемых параметров. По умолчанию 1000 мс. 
6. Добавлены свойства в FB_AI_S отвечающие за отображение тренда в масштабе диапазона выходной величины HiLimit и LoLimit.</t>
    </r>
  </si>
  <si>
    <t>M991S</t>
  </si>
  <si>
    <t>`</t>
  </si>
  <si>
    <t>Блок резервирования насосов</t>
  </si>
  <si>
    <t>AV</t>
  </si>
  <si>
    <t>BMCS</t>
  </si>
  <si>
    <t>АСУЭ.BMCS</t>
  </si>
  <si>
    <t>Канал 1</t>
  </si>
  <si>
    <t>Сообщение канала</t>
  </si>
  <si>
    <t>Канал 2</t>
  </si>
  <si>
    <t>Канал 3</t>
  </si>
  <si>
    <t>Канал 4</t>
  </si>
  <si>
    <t>Канал 5</t>
  </si>
  <si>
    <t>Канал 6</t>
  </si>
  <si>
    <t>Канал 7</t>
  </si>
  <si>
    <t>Канал 8</t>
  </si>
  <si>
    <t>Канал 9</t>
  </si>
  <si>
    <t>Канал 10</t>
  </si>
  <si>
    <t>Канал 11</t>
  </si>
  <si>
    <t>Канал 12</t>
  </si>
  <si>
    <t>Канал 13</t>
  </si>
  <si>
    <t>Канал 14</t>
  </si>
  <si>
    <t>Канал 15</t>
  </si>
  <si>
    <t>Канал 16</t>
  </si>
  <si>
    <t>Канал 17</t>
  </si>
  <si>
    <t>Канал 18</t>
  </si>
  <si>
    <t>Канал 19</t>
  </si>
  <si>
    <t>Канал 20</t>
  </si>
  <si>
    <t>Канал 21</t>
  </si>
  <si>
    <t>Канал 22</t>
  </si>
  <si>
    <t>Канал 23</t>
  </si>
  <si>
    <t>Канал 24</t>
  </si>
  <si>
    <t>Канал 25</t>
  </si>
  <si>
    <t>Канал 26</t>
  </si>
  <si>
    <t>Канал 27</t>
  </si>
  <si>
    <t>Канал 28</t>
  </si>
  <si>
    <t>Канал 29</t>
  </si>
  <si>
    <t>Канал 30</t>
  </si>
  <si>
    <t>Канал 31</t>
  </si>
  <si>
    <t>Канал 32</t>
  </si>
  <si>
    <t>Установлено</t>
  </si>
  <si>
    <t>Сброшено</t>
  </si>
  <si>
    <t>Включен. Установлено</t>
  </si>
  <si>
    <t>Включен. Сброшено</t>
  </si>
  <si>
    <t>Отключен. Установлено</t>
  </si>
  <si>
    <t>Отключен. Сброшено</t>
  </si>
  <si>
    <t>Местное управление. Установлено</t>
  </si>
  <si>
    <t>Местное управление. Сброшено</t>
  </si>
  <si>
    <t>Дистанционное управление. Установлено</t>
  </si>
  <si>
    <t>Дистанционное управление. Сброшено</t>
  </si>
  <si>
    <t>Неисправность. Установлено</t>
  </si>
  <si>
    <t>Неисправность. Сброшено</t>
  </si>
  <si>
    <t>Вкачен. Установлено</t>
  </si>
  <si>
    <t>Вкачен. Сброшено</t>
  </si>
  <si>
    <t>Выкачен. Установлено</t>
  </si>
  <si>
    <t>Выкачен. Сброшено</t>
  </si>
  <si>
    <t>Аварийно отключен (НО). Сброшено</t>
  </si>
  <si>
    <t>Аварийно отключен (НО). Установлено</t>
  </si>
  <si>
    <t>Аварийно отключен (НЗ). Сброшено</t>
  </si>
  <si>
    <t>Аварийно отключен (НЗ). Установлено</t>
  </si>
  <si>
    <t>Номер модуля IEC 4</t>
  </si>
  <si>
    <t>Номер КП модуля IEC 4</t>
  </si>
  <si>
    <t>Включена. Установлено</t>
  </si>
  <si>
    <t>Включена. Сброшено</t>
  </si>
  <si>
    <t>Отключена. Установлено</t>
  </si>
  <si>
    <t>Отключена. Сброшено</t>
  </si>
  <si>
    <t>Перегрузка. Установлено</t>
  </si>
  <si>
    <t>Перегрузка. Сброшено</t>
  </si>
  <si>
    <t>Готовность. Установлено</t>
  </si>
  <si>
    <t>Готовность. Сброшено</t>
  </si>
  <si>
    <t>Сработала защита. Установлено</t>
  </si>
  <si>
    <t>Сработала защита. Сброшено</t>
  </si>
  <si>
    <t>Путь INFINITY для меток времени</t>
  </si>
  <si>
    <t>TimeStampSignals.УСО18</t>
  </si>
  <si>
    <r>
      <t xml:space="preserve">Для TREI
FB_IMstp_S, FB_IMs_S, FB_IMp_S, FB_IMv_S, FB_IM_ADES_S: </t>
    </r>
    <r>
      <rPr>
        <sz val="11"/>
        <color theme="1"/>
        <rFont val="Calibri"/>
        <family val="2"/>
        <charset val="204"/>
      </rPr>
      <t xml:space="preserve">Настройка перехода ручной-/автоматический-(TRUE/FALSE) 
</t>
    </r>
    <r>
      <rPr>
        <b/>
        <sz val="11"/>
        <color theme="1"/>
        <rFont val="Calibri"/>
        <family val="2"/>
        <charset val="204"/>
      </rPr>
      <t>FB_DI_S:</t>
    </r>
    <r>
      <rPr>
        <sz val="11"/>
        <color theme="1"/>
        <rFont val="Calibri"/>
        <family val="2"/>
        <charset val="204"/>
      </rPr>
      <t xml:space="preserve"> Генерировать метки времени (TRUE/FALSE)</t>
    </r>
  </si>
  <si>
    <t>Включение выкл-ля при автом. ВНР</t>
  </si>
  <si>
    <t>Неисправность цепей V0</t>
  </si>
  <si>
    <t>Неисправность трансформатора</t>
  </si>
  <si>
    <t>Шаблон Бованы ГП-3</t>
  </si>
  <si>
    <t>Напряжение ввода фазы А</t>
  </si>
  <si>
    <t>Напряжение ввода фазы B</t>
  </si>
  <si>
    <t>Напряжение ввода фазы C</t>
  </si>
  <si>
    <t>Текущее значение активной трехфазной мощности P</t>
  </si>
  <si>
    <t>Текущее значение реактивной трехфазной мощности Q</t>
  </si>
  <si>
    <t>Текущее значение полной трехфазной мощности S</t>
  </si>
  <si>
    <t>Косинус</t>
  </si>
  <si>
    <t>Cold_start</t>
  </si>
  <si>
    <t>Index</t>
  </si>
  <si>
    <t>Ar_count</t>
  </si>
  <si>
    <t>Ar_period</t>
  </si>
  <si>
    <t>Ar_filter</t>
  </si>
  <si>
    <t>0..31</t>
  </si>
  <si>
    <t>M943DR_TO_HDA</t>
  </si>
  <si>
    <t>XXXX</t>
  </si>
  <si>
    <t>treiOPCDA.CoOPCserv.1\pcmaster</t>
  </si>
  <si>
    <t>\\Setup_rza\Modbus.OPCServer\ZRU_Sepam</t>
  </si>
  <si>
    <t>\\Setup_rza\Modbus.OPCServer\KTP_BMRZ</t>
  </si>
  <si>
    <t>\\Setup_rza\Modbus.OPCServer\KTP_BMPA</t>
  </si>
  <si>
    <t>\\Setup_rza\Modbus.OPCServer\KTP_BMCS</t>
  </si>
  <si>
    <r>
      <rPr>
        <b/>
        <sz val="11"/>
        <color theme="1"/>
        <rFont val="Calibri"/>
        <family val="2"/>
        <charset val="204"/>
        <scheme val="minor"/>
      </rPr>
      <t>Изменения по сравнению с версией 15.0</t>
    </r>
    <r>
      <rPr>
        <sz val="11"/>
        <color theme="1"/>
        <rFont val="Calibri"/>
        <family val="2"/>
        <scheme val="minor"/>
      </rPr>
      <t xml:space="preserve">
1. Добавлена возможность генерации файла аналоговых сигналов для трендов TrendAnpList.txt. Актуально для библиотеки Infinity 7.1 и выше. Блоки, для которых генерируются список сигналов: FB_AI_S, AI, FB_REG_S, FB_QSA_S.</t>
    </r>
  </si>
  <si>
    <r>
      <rPr>
        <b/>
        <sz val="11"/>
        <color theme="1"/>
        <rFont val="Calibri"/>
        <family val="2"/>
        <charset val="204"/>
        <scheme val="minor"/>
      </rPr>
      <t>Изменения по сравнению с версией 14.2</t>
    </r>
    <r>
      <rPr>
        <sz val="11"/>
        <color theme="1"/>
        <rFont val="Calibri"/>
        <family val="2"/>
        <scheme val="minor"/>
      </rPr>
      <t xml:space="preserve">
1. Для блока SEPAM добавлен выбор шаблона на листе "Таблица". Добавлены шаблоны OL, SV,VV,TN
2. Для всех блоков обновлена блокировка сообщений при ремонте. Ранее наблюдалась проблема зависания сообщений и невозможность квитирования.
3. Исправлено название блока "DO". Была русская буква "О" вместо латинской.
4. FB_SHPS. Исправлен класс сообщения XFRX по умолчанию. На листе "Таблица" столбцы "О" и "Р" доступны вне зависимости от значения столбца "N".
5. На листе "Таблица" добавлена настройка выбора экрана Диагностики для окон управления Infinity (с описанием по Табл. подкл. или без). Актуально для Библиотеки Infinity 7.0 и старше.
6. На лист "Конфигурация TREI" добавлена возможность выбора пути тегов TREI для  CPU
7. FB_AI_S - Добавлены свойства сигнала XVLX (BorderHi, BorderLow) для формирования пределов измеряемой величины на трендах. Свойство Flash изменено на simulOn (для формирования признака имитации на трендах). Актуально для версии Infinity 4.1.3 и выше.
</t>
    </r>
  </si>
  <si>
    <r>
      <t xml:space="preserve">Для TREI
FB_IMp_S, FB_IMv_S, FB_IM_ADES_S: </t>
    </r>
    <r>
      <rPr>
        <sz val="11"/>
        <color theme="1"/>
        <rFont val="Calibri"/>
        <family val="2"/>
        <charset val="204"/>
      </rPr>
      <t>Наличие контроля цепи управления (0 -нет, 1 - цепь состояния, 2- цепь управления,3 - цепь управления + цепь состояния, 4- через МОПС, 5- через МУПС, 6 - МОПС+МУПС)</t>
    </r>
  </si>
  <si>
    <r>
      <rPr>
        <b/>
        <sz val="11"/>
        <color theme="1"/>
        <rFont val="Calibri"/>
        <family val="2"/>
        <charset val="204"/>
        <scheme val="minor"/>
      </rPr>
      <t>Изменения по сравнению с версией 15.1</t>
    </r>
    <r>
      <rPr>
        <sz val="11"/>
        <color theme="1"/>
        <rFont val="Calibri"/>
        <family val="2"/>
        <scheme val="minor"/>
      </rPr>
      <t xml:space="preserve">
1. Полностью оптимизировано сохранение файлов в csv. Ранее наблюдалось периодическое зависание при сохранении. Исправлено некорректное сохранение файлов csv, добавленное в версии 15.0. </t>
    </r>
  </si>
  <si>
    <t>АСУТП</t>
  </si>
  <si>
    <t>АСУЭ</t>
  </si>
  <si>
    <t>АСПС</t>
  </si>
  <si>
    <r>
      <t xml:space="preserve">FB_DI_S, FB_DO_S, DI, DI_DIAG: </t>
    </r>
    <r>
      <rPr>
        <sz val="11"/>
        <color theme="1"/>
        <rFont val="Calibri"/>
        <family val="2"/>
        <charset val="204"/>
      </rPr>
      <t>Тип сигнализации (Авария, предупреждение, телесигнализация и тд.)</t>
    </r>
    <r>
      <rPr>
        <b/>
        <sz val="11"/>
        <color theme="1"/>
        <rFont val="Calibri"/>
        <family val="2"/>
        <charset val="204"/>
      </rPr>
      <t/>
    </r>
  </si>
  <si>
    <r>
      <t xml:space="preserve">FB_DI_S, FB_DO_S, DI, DI_DIAG: </t>
    </r>
    <r>
      <rPr>
        <sz val="11"/>
        <color theme="1"/>
        <rFont val="Calibri"/>
        <family val="2"/>
        <charset val="204"/>
      </rPr>
      <t>Цвет иконки</t>
    </r>
  </si>
  <si>
    <r>
      <t>SW_MAYAK:</t>
    </r>
    <r>
      <rPr>
        <sz val="11"/>
        <color theme="1"/>
        <rFont val="Calibri"/>
        <family val="2"/>
        <charset val="204"/>
      </rPr>
      <t xml:space="preserve"> Подключение к порту 21,22 (через "\")</t>
    </r>
  </si>
  <si>
    <r>
      <t>SW_MAYAK:</t>
    </r>
    <r>
      <rPr>
        <sz val="11"/>
        <color theme="1"/>
        <rFont val="Calibri"/>
        <family val="2"/>
        <charset val="204"/>
      </rPr>
      <t xml:space="preserve"> Подключение к порту 23,24 (через "\")</t>
    </r>
    <r>
      <rPr>
        <b/>
        <sz val="11"/>
        <color theme="1"/>
        <rFont val="Calibri"/>
        <family val="2"/>
        <charset val="204"/>
      </rPr>
      <t xml:space="preserve">
</t>
    </r>
  </si>
  <si>
    <r>
      <t xml:space="preserve">Для TREI
FB_IMp_S, FB_IMv_S: </t>
    </r>
    <r>
      <rPr>
        <sz val="11"/>
        <color theme="1"/>
        <rFont val="Calibri"/>
        <family val="2"/>
        <charset val="204"/>
      </rPr>
      <t xml:space="preserve">Настройка перехода ручной-/автоматический-(TRUE/FALSE) 
</t>
    </r>
    <r>
      <rPr>
        <b/>
        <sz val="11"/>
        <color theme="1"/>
        <rFont val="Calibri"/>
        <family val="2"/>
        <charset val="204"/>
      </rPr>
      <t>FB_DI_S:</t>
    </r>
    <r>
      <rPr>
        <sz val="11"/>
        <color theme="1"/>
        <rFont val="Calibri"/>
        <family val="2"/>
        <charset val="204"/>
      </rPr>
      <t xml:space="preserve"> Генерировать метки времени (TRUE/FALSE)</t>
    </r>
  </si>
  <si>
    <r>
      <t xml:space="preserve">Для TREI
FB_AI_S: </t>
    </r>
    <r>
      <rPr>
        <sz val="11"/>
        <color theme="1"/>
        <rFont val="Calibri"/>
        <family val="2"/>
        <charset val="204"/>
      </rPr>
      <t>Верхний предел датчика</t>
    </r>
    <r>
      <rPr>
        <b/>
        <sz val="11"/>
        <color theme="1"/>
        <rFont val="Calibri"/>
        <family val="2"/>
        <charset val="204"/>
      </rPr>
      <t xml:space="preserve">
FB_IMp_S, FB_IMv_S: </t>
    </r>
    <r>
      <rPr>
        <sz val="11"/>
        <color theme="1"/>
        <rFont val="Calibri"/>
        <family val="2"/>
        <charset val="204"/>
      </rPr>
      <t>Время перестановки</t>
    </r>
  </si>
  <si>
    <r>
      <t xml:space="preserve">Для TREI
FB_IMp_S, FB_IMv_S: </t>
    </r>
    <r>
      <rPr>
        <sz val="11"/>
        <color theme="1"/>
        <rFont val="Calibri"/>
        <family val="2"/>
        <charset val="204"/>
      </rPr>
      <t>Наличие контроля цепи управления (0 -нет, 1 - цепь состояния, 2- цепь управления,3 - цепь управления + цепь состояния, 4- через МОПС, 5- через МУПС, 6 - МОПС+МУПС)</t>
    </r>
  </si>
  <si>
    <r>
      <t xml:space="preserve">Для TREI
FB_IMp_S, FB_IMv_S: </t>
    </r>
    <r>
      <rPr>
        <sz val="11"/>
        <color theme="1"/>
        <rFont val="Calibri"/>
        <family val="2"/>
        <charset val="204"/>
      </rPr>
      <t>Наличие контроля цепи управления (0 -нет, 1 - цепь состояния, 2- цепь управления,3 - цепь управления + цепь состояния)</t>
    </r>
  </si>
  <si>
    <r>
      <t>Для TREI</t>
    </r>
    <r>
      <rPr>
        <sz val="11"/>
        <color theme="1"/>
        <rFont val="Calibri"/>
        <family val="2"/>
        <charset val="204"/>
      </rPr>
      <t xml:space="preserve">
</t>
    </r>
    <r>
      <rPr>
        <b/>
        <sz val="11"/>
        <color theme="1"/>
        <rFont val="Calibri"/>
        <family val="2"/>
        <charset val="204"/>
      </rPr>
      <t xml:space="preserve">FB_RIM_S: </t>
    </r>
    <r>
      <rPr>
        <sz val="11"/>
        <color theme="1"/>
        <rFont val="Calibri"/>
        <family val="2"/>
        <charset val="204"/>
      </rPr>
      <t>Доступное кол-во ИМ (2-6)</t>
    </r>
  </si>
  <si>
    <t>Для TREI</t>
  </si>
  <si>
    <t>АСУТП+АСПС</t>
  </si>
  <si>
    <r>
      <t>Для TREI</t>
    </r>
    <r>
      <rPr>
        <sz val="11"/>
        <color theme="1"/>
        <rFont val="Calibri"/>
        <family val="2"/>
        <charset val="204"/>
      </rPr>
      <t xml:space="preserve">
</t>
    </r>
    <r>
      <rPr>
        <b/>
        <sz val="11"/>
        <color theme="1"/>
        <rFont val="Calibri"/>
        <family val="2"/>
        <charset val="204"/>
      </rPr>
      <t>FB_DI_S:</t>
    </r>
    <r>
      <rPr>
        <sz val="11"/>
        <color theme="1"/>
        <rFont val="Calibri"/>
        <family val="2"/>
        <charset val="204"/>
      </rPr>
      <t xml:space="preserve"> Генерировать метки времени (TRUE/FALSE)</t>
    </r>
  </si>
  <si>
    <r>
      <t xml:space="preserve">Для TREI
FB_AI_S: </t>
    </r>
    <r>
      <rPr>
        <sz val="11"/>
        <color theme="1"/>
        <rFont val="Calibri"/>
        <family val="2"/>
        <charset val="204"/>
      </rPr>
      <t>Верхний предел датчика</t>
    </r>
  </si>
  <si>
    <r>
      <t>Для TREI</t>
    </r>
    <r>
      <rPr>
        <b/>
        <sz val="11"/>
        <color theme="1"/>
        <rFont val="Calibri"/>
        <family val="2"/>
        <charset val="204"/>
      </rPr>
      <t/>
    </r>
  </si>
  <si>
    <r>
      <t xml:space="preserve">Для TREI
FB_AI_S, FB_QSA_S: </t>
    </r>
    <r>
      <rPr>
        <sz val="11"/>
        <color theme="1"/>
        <rFont val="Calibri"/>
        <family val="2"/>
        <charset val="204"/>
      </rPr>
      <t>Верхний предел датчика</t>
    </r>
    <r>
      <rPr>
        <b/>
        <sz val="11"/>
        <color theme="1"/>
        <rFont val="Calibri"/>
        <family val="2"/>
        <charset val="204"/>
      </rPr>
      <t xml:space="preserve">
FB_IMp_S, FB_IMv_S, FB_OZK_KD_S: </t>
    </r>
    <r>
      <rPr>
        <sz val="11"/>
        <color theme="1"/>
        <rFont val="Calibri"/>
        <family val="2"/>
        <charset val="204"/>
      </rPr>
      <t>Время перестановки</t>
    </r>
  </si>
  <si>
    <r>
      <t xml:space="preserve">Для TREI
FB_AI_S, FB_QSA_S: </t>
    </r>
    <r>
      <rPr>
        <sz val="11"/>
        <color theme="1"/>
        <rFont val="Calibri"/>
        <family val="2"/>
        <charset val="204"/>
      </rPr>
      <t>Верхний предел датчика</t>
    </r>
    <r>
      <rPr>
        <b/>
        <sz val="11"/>
        <color theme="1"/>
        <rFont val="Calibri"/>
        <family val="2"/>
        <charset val="204"/>
      </rPr>
      <t xml:space="preserve">
FB_OZK_KD_S: </t>
    </r>
    <r>
      <rPr>
        <sz val="11"/>
        <color theme="1"/>
        <rFont val="Calibri"/>
        <family val="2"/>
        <charset val="204"/>
      </rPr>
      <t>Время перестановки</t>
    </r>
  </si>
  <si>
    <r>
      <t xml:space="preserve">Для TREI
FB_QSA_S: </t>
    </r>
    <r>
      <rPr>
        <sz val="11"/>
        <color theme="1"/>
        <rFont val="Calibri"/>
        <family val="2"/>
        <charset val="204"/>
      </rPr>
      <t xml:space="preserve">1-й порог
</t>
    </r>
    <r>
      <rPr>
        <b/>
        <sz val="11"/>
        <color theme="1"/>
        <rFont val="Calibri"/>
        <family val="2"/>
        <charset val="204"/>
      </rPr>
      <t>FB_MPS_S:</t>
    </r>
    <r>
      <rPr>
        <sz val="11"/>
        <color theme="1"/>
        <rFont val="Calibri"/>
        <family val="2"/>
        <charset val="204"/>
      </rPr>
      <t xml:space="preserve"> Начальный адрес Modbus (IVXX)</t>
    </r>
    <r>
      <rPr>
        <b/>
        <sz val="11"/>
        <color theme="1"/>
        <rFont val="Calibri"/>
        <family val="2"/>
        <charset val="204"/>
      </rPr>
      <t/>
    </r>
  </si>
  <si>
    <r>
      <t xml:space="preserve">FB_DI_S, FB_DO_S, DI, DI_DIAG: </t>
    </r>
    <r>
      <rPr>
        <sz val="11"/>
        <color theme="1"/>
        <rFont val="Calibri"/>
        <family val="2"/>
        <charset val="204"/>
      </rPr>
      <t>Тип сигнализации (Авария, предупреждение, телесигнализация и тд.)</t>
    </r>
    <r>
      <rPr>
        <sz val="11"/>
        <color theme="1"/>
        <rFont val="Calibri"/>
        <family val="2"/>
        <charset val="204"/>
      </rPr>
      <t xml:space="preserve">
</t>
    </r>
    <r>
      <rPr>
        <b/>
        <sz val="11"/>
        <color theme="1"/>
        <rFont val="Calibri"/>
        <family val="2"/>
        <charset val="204"/>
      </rPr>
      <t/>
    </r>
  </si>
  <si>
    <r>
      <t xml:space="preserve">Для TREI
FB_AI_S: </t>
    </r>
    <r>
      <rPr>
        <sz val="11"/>
        <color theme="1"/>
        <rFont val="Calibri"/>
        <family val="2"/>
        <charset val="204"/>
      </rPr>
      <t>Верхний предел датчика</t>
    </r>
    <r>
      <rPr>
        <b/>
        <sz val="11"/>
        <color theme="1"/>
        <rFont val="Calibri"/>
        <family val="2"/>
        <charset val="204"/>
      </rPr>
      <t xml:space="preserve">
FB_IMp_S, FB_IMv_S, FB_IM_ADES_S: </t>
    </r>
    <r>
      <rPr>
        <sz val="11"/>
        <color theme="1"/>
        <rFont val="Calibri"/>
        <family val="2"/>
        <charset val="204"/>
      </rPr>
      <t>Время перестановки</t>
    </r>
  </si>
  <si>
    <r>
      <t xml:space="preserve">Для TREI
FB_IMp_S, FB_IMv_S, FB_IM_ADES_S: </t>
    </r>
    <r>
      <rPr>
        <sz val="11"/>
        <color theme="1"/>
        <rFont val="Calibri"/>
        <family val="2"/>
        <charset val="204"/>
      </rPr>
      <t>Наличие контроля цепи управления (0 -нет, 1 - цепь состояния, 2- цепь управления,3 - цепь управления + цепь состояния)</t>
    </r>
  </si>
  <si>
    <r>
      <t xml:space="preserve">Для TREI
</t>
    </r>
    <r>
      <rPr>
        <b/>
        <sz val="11"/>
        <color theme="1"/>
        <rFont val="Calibri"/>
        <family val="2"/>
        <charset val="204"/>
      </rPr>
      <t xml:space="preserve">FB_RIM_S: </t>
    </r>
    <r>
      <rPr>
        <sz val="11"/>
        <color theme="1"/>
        <rFont val="Calibri"/>
        <family val="2"/>
        <charset val="204"/>
      </rPr>
      <t>Доступное кол-во ИМ (2-6)</t>
    </r>
  </si>
  <si>
    <r>
      <t xml:space="preserve">Для TREI
FB_IMstp_S, FB_IMs_S, FB_IM_ADES_S: </t>
    </r>
    <r>
      <rPr>
        <sz val="11"/>
        <color theme="1"/>
        <rFont val="Calibri"/>
        <family val="2"/>
        <charset val="204"/>
      </rPr>
      <t xml:space="preserve">Настройка перехода ручной-/автоматический-(TRUE/FALSE) 
</t>
    </r>
    <r>
      <rPr>
        <b/>
        <sz val="11"/>
        <color theme="1"/>
        <rFont val="Calibri"/>
        <family val="2"/>
        <charset val="204"/>
      </rPr>
      <t>FB_DI_S:</t>
    </r>
    <r>
      <rPr>
        <sz val="11"/>
        <color theme="1"/>
        <rFont val="Calibri"/>
        <family val="2"/>
        <charset val="204"/>
      </rPr>
      <t xml:space="preserve"> Генерировать метки времени (TRUE/FALSE)</t>
    </r>
  </si>
  <si>
    <r>
      <t xml:space="preserve">Для TREI
FB_AI_S: </t>
    </r>
    <r>
      <rPr>
        <sz val="11"/>
        <color theme="1"/>
        <rFont val="Calibri"/>
        <family val="2"/>
        <charset val="204"/>
      </rPr>
      <t>Верхний предел датчика</t>
    </r>
    <r>
      <rPr>
        <b/>
        <sz val="11"/>
        <color theme="1"/>
        <rFont val="Calibri"/>
        <family val="2"/>
        <charset val="204"/>
      </rPr>
      <t xml:space="preserve">
FB_IM_ADES_S: </t>
    </r>
    <r>
      <rPr>
        <sz val="11"/>
        <color theme="1"/>
        <rFont val="Calibri"/>
        <family val="2"/>
        <charset val="204"/>
      </rPr>
      <t>Время перестановки</t>
    </r>
  </si>
  <si>
    <r>
      <t xml:space="preserve">Для TREI
FB_IM_ADES_S: </t>
    </r>
    <r>
      <rPr>
        <sz val="11"/>
        <color theme="1"/>
        <rFont val="Calibri"/>
        <family val="2"/>
        <charset val="204"/>
      </rPr>
      <t>Наличие контроля цепи управления (0 -нет, 1 - цепь состояния, 2- цепь управления,3 - цепь управления + цепь состояния)</t>
    </r>
  </si>
  <si>
    <r>
      <t xml:space="preserve">Для TREI
FB_AI_S, FB_QSA_S: </t>
    </r>
    <r>
      <rPr>
        <sz val="11"/>
        <color theme="1"/>
        <rFont val="Calibri"/>
        <family val="2"/>
        <charset val="204"/>
      </rPr>
      <t>Верхний предел датчика</t>
    </r>
    <r>
      <rPr>
        <b/>
        <sz val="11"/>
        <color theme="1"/>
        <rFont val="Calibri"/>
        <family val="2"/>
        <charset val="204"/>
      </rPr>
      <t xml:space="preserve">
FB_IM_ADES_S, FB_OZK_KD_S: </t>
    </r>
    <r>
      <rPr>
        <sz val="11"/>
        <color theme="1"/>
        <rFont val="Calibri"/>
        <family val="2"/>
        <charset val="204"/>
      </rPr>
      <t>Время перестановки</t>
    </r>
  </si>
  <si>
    <r>
      <t xml:space="preserve">Для TREI
FB_IM_ADES_S: </t>
    </r>
    <r>
      <rPr>
        <sz val="11"/>
        <color theme="1"/>
        <rFont val="Calibri"/>
        <family val="2"/>
        <charset val="204"/>
      </rPr>
      <t>Наличие контроля цепи управления (0 -нет, 1 - цепь состояния, 2- цепь управления,3 - цепь управления + цепь состояния, 4- через МОПС, 5- через МУПС, 6 - МОПС+МУПС)</t>
    </r>
  </si>
  <si>
    <t>Начальный регистр</t>
  </si>
  <si>
    <t>Начальная ячейка</t>
  </si>
  <si>
    <t>Восстановить модули при импорте</t>
  </si>
  <si>
    <t>АСУЭС</t>
  </si>
  <si>
    <t>АСУЭС+АСУТП</t>
  </si>
  <si>
    <t>АСУЭС+АСПС</t>
  </si>
  <si>
    <t>АСУТП+АСУЭС+СТБ</t>
  </si>
  <si>
    <r>
      <rPr>
        <b/>
        <sz val="11"/>
        <color theme="1"/>
        <rFont val="Calibri"/>
        <family val="2"/>
        <charset val="204"/>
        <scheme val="minor"/>
      </rPr>
      <t>Изменения по сравнению с версией 15.2</t>
    </r>
    <r>
      <rPr>
        <sz val="11"/>
        <color theme="1"/>
        <rFont val="Calibri"/>
        <family val="2"/>
        <scheme val="minor"/>
      </rPr>
      <t xml:space="preserve">
1. Теперь номер модуля Infinity для команд задаётся через соответствующую настройку на листе "Таблица". Данное нововведение необходимо для уменьшения количества модулей ОРС в Infinity, поскольку их максимальное количество ограничено.
2. Введён новый механизм импорта данных листов "Таблица", "Конфигурация TREI" в новую версию программы. Теперь это делается через кнопку "Импортировать данные" на листе "Таблица" путём выбора фалйа - источника данных. 
3. Обновлена конфигурация Infinity блоков SEPAM OL, SV,VV,TN.
4. Обновлена конфигурация Infinity блоков BMRZ, BMPA.
5. Добавлена архивация измерений SEPAM в конфигурацию Infinity-History.
6. TREI_DIAG - откорректирована конфигурация TREI и INFINITY. Добавлена возможность конфигурации тегов TREI и INFINITY для резервированных контроллеров.
7. BMRZ - Добавлен выбор  шаблона на листе "Таблица". Добавлены шаблоны VV, AV
8. Добавлен блок BMCS
9. FB_SH_ALL, FB_SHOP_ALL,FB_QSA_ALL - для сигнала XRPX убрана формула блокировки алармов
10. FB_SH_ALL - тип XFRX исправлен модуль с исходящего на входящий
11. FB_MPS_S - устранен дефект генерации адресов
12. Удалён блок CPU_DIAG. Все его функции выполняет TREI_DIAG
13. Добавлена автоматическая генерация меток времени IEC 104 INFINITY для всех сигналов по электрике (на основании данных по физическим привязкам) </t>
    </r>
  </si>
  <si>
    <t>AI_SLIM</t>
  </si>
  <si>
    <t>Аналоговый сигнал облегченный</t>
  </si>
  <si>
    <r>
      <t xml:space="preserve">FB_AI_S, FB_REG_S, AI, AI_SLIM: </t>
    </r>
    <r>
      <rPr>
        <sz val="11"/>
        <color theme="1"/>
        <rFont val="Calibri"/>
        <family val="2"/>
        <charset val="204"/>
      </rPr>
      <t xml:space="preserve">Ед.изм.
</t>
    </r>
    <r>
      <rPr>
        <b/>
        <sz val="11"/>
        <color theme="1"/>
        <rFont val="Calibri"/>
        <family val="2"/>
        <charset val="204"/>
      </rPr>
      <t>ENUM:</t>
    </r>
    <r>
      <rPr>
        <sz val="11"/>
        <color theme="1"/>
        <rFont val="Calibri"/>
        <family val="2"/>
        <charset val="204"/>
      </rPr>
      <t xml:space="preserve"> Номер перечисляемого элемента</t>
    </r>
  </si>
  <si>
    <r>
      <t xml:space="preserve">Для TREI
FB_AI_S, FB_QSA_S: </t>
    </r>
    <r>
      <rPr>
        <sz val="11"/>
        <color theme="1"/>
        <rFont val="Calibri"/>
        <family val="2"/>
        <charset val="204"/>
      </rPr>
      <t>Тип входного значения( 0-мА; 1-мВ; 2-цифровое)</t>
    </r>
    <r>
      <rPr>
        <b/>
        <sz val="11"/>
        <color theme="1"/>
        <rFont val="Calibri"/>
        <family val="2"/>
        <charset val="204"/>
      </rPr>
      <t xml:space="preserve">
FB_DI_S: </t>
    </r>
    <r>
      <rPr>
        <sz val="11"/>
        <color theme="1"/>
        <rFont val="Calibri"/>
        <family val="2"/>
        <charset val="204"/>
      </rPr>
      <t>Время фильтрации</t>
    </r>
    <r>
      <rPr>
        <b/>
        <sz val="11"/>
        <color theme="1"/>
        <rFont val="Calibri"/>
        <family val="2"/>
        <charset val="204"/>
      </rPr>
      <t xml:space="preserve">
FB_IMp_S, FB_IMv_S, FB_IM_ADES_S: </t>
    </r>
    <r>
      <rPr>
        <sz val="11"/>
        <color theme="1"/>
        <rFont val="Calibri"/>
        <family val="2"/>
        <charset val="204"/>
      </rPr>
      <t xml:space="preserve">Время подачи команды
</t>
    </r>
    <r>
      <rPr>
        <b/>
        <sz val="11"/>
        <color theme="1"/>
        <rFont val="Calibri"/>
        <family val="2"/>
        <charset val="204"/>
      </rPr>
      <t>AI, AO, AI_SLIM:</t>
    </r>
    <r>
      <rPr>
        <sz val="11"/>
        <color theme="1"/>
        <rFont val="Calibri"/>
        <family val="2"/>
        <charset val="204"/>
      </rPr>
      <t xml:space="preserve"> Тип переменной (INT, REAL)
</t>
    </r>
    <r>
      <rPr>
        <b/>
        <sz val="11"/>
        <color theme="1"/>
        <rFont val="Calibri"/>
        <family val="2"/>
        <charset val="204"/>
      </rPr>
      <t xml:space="preserve">FB_SHPS_S(SB): </t>
    </r>
    <r>
      <rPr>
        <sz val="11"/>
        <color theme="1"/>
        <rFont val="Calibri"/>
        <family val="2"/>
        <charset val="204"/>
      </rPr>
      <t>SMEM (0,1)</t>
    </r>
  </si>
  <si>
    <r>
      <t xml:space="preserve">Для TREI
FB_AI_S: </t>
    </r>
    <r>
      <rPr>
        <sz val="11"/>
        <color theme="1"/>
        <rFont val="Calibri"/>
        <family val="2"/>
        <charset val="204"/>
      </rPr>
      <t>Тип входного значения( 0-мА; 1-мВ; 2-цифровое)</t>
    </r>
    <r>
      <rPr>
        <b/>
        <sz val="11"/>
        <color theme="1"/>
        <rFont val="Calibri"/>
        <family val="2"/>
        <charset val="204"/>
      </rPr>
      <t xml:space="preserve">
FB_DI_S: </t>
    </r>
    <r>
      <rPr>
        <sz val="11"/>
        <color theme="1"/>
        <rFont val="Calibri"/>
        <family val="2"/>
        <charset val="204"/>
      </rPr>
      <t>Время фильтрации</t>
    </r>
    <r>
      <rPr>
        <b/>
        <sz val="11"/>
        <color theme="1"/>
        <rFont val="Calibri"/>
        <family val="2"/>
        <charset val="204"/>
      </rPr>
      <t xml:space="preserve">
FB_IMp_S, FB_IMv_S: </t>
    </r>
    <r>
      <rPr>
        <sz val="11"/>
        <color theme="1"/>
        <rFont val="Calibri"/>
        <family val="2"/>
        <charset val="204"/>
      </rPr>
      <t xml:space="preserve">Время подачи команды
</t>
    </r>
    <r>
      <rPr>
        <b/>
        <sz val="11"/>
        <color theme="1"/>
        <rFont val="Calibri"/>
        <family val="2"/>
        <charset val="204"/>
      </rPr>
      <t>AI, AO, AI_SLIM:</t>
    </r>
    <r>
      <rPr>
        <sz val="11"/>
        <color theme="1"/>
        <rFont val="Calibri"/>
        <family val="2"/>
        <charset val="204"/>
      </rPr>
      <t xml:space="preserve"> Тип переменной (INT, REAL)
</t>
    </r>
    <r>
      <rPr>
        <b/>
        <sz val="11"/>
        <color theme="1"/>
        <rFont val="Calibri"/>
        <family val="2"/>
        <charset val="204"/>
      </rPr>
      <t/>
    </r>
  </si>
  <si>
    <r>
      <t xml:space="preserve">Для TREI
FB_AI_S: </t>
    </r>
    <r>
      <rPr>
        <sz val="11"/>
        <color theme="1"/>
        <rFont val="Calibri"/>
        <family val="2"/>
        <charset val="204"/>
      </rPr>
      <t>Тип входного значения( 0-мА; 1-мВ; 2-цифровое)</t>
    </r>
    <r>
      <rPr>
        <b/>
        <sz val="11"/>
        <color theme="1"/>
        <rFont val="Calibri"/>
        <family val="2"/>
        <charset val="204"/>
      </rPr>
      <t xml:space="preserve">
FB_DI_S: </t>
    </r>
    <r>
      <rPr>
        <sz val="11"/>
        <color theme="1"/>
        <rFont val="Calibri"/>
        <family val="2"/>
        <charset val="204"/>
      </rPr>
      <t>Время фильтрации</t>
    </r>
    <r>
      <rPr>
        <b/>
        <sz val="11"/>
        <color theme="1"/>
        <rFont val="Calibri"/>
        <family val="2"/>
        <charset val="204"/>
      </rPr>
      <t xml:space="preserve">
FB_IM_ADES_S: </t>
    </r>
    <r>
      <rPr>
        <sz val="11"/>
        <color theme="1"/>
        <rFont val="Calibri"/>
        <family val="2"/>
        <charset val="204"/>
      </rPr>
      <t xml:space="preserve">Время подачи команды
</t>
    </r>
    <r>
      <rPr>
        <b/>
        <sz val="11"/>
        <color theme="1"/>
        <rFont val="Calibri"/>
        <family val="2"/>
        <charset val="204"/>
      </rPr>
      <t>AI, AO, AI_SLIM:</t>
    </r>
    <r>
      <rPr>
        <sz val="11"/>
        <color theme="1"/>
        <rFont val="Calibri"/>
        <family val="2"/>
        <charset val="204"/>
      </rPr>
      <t xml:space="preserve"> Тип переменной (INT, REAL)
</t>
    </r>
    <r>
      <rPr>
        <b/>
        <sz val="11"/>
        <color theme="1"/>
        <rFont val="Calibri"/>
        <family val="2"/>
        <charset val="204"/>
      </rPr>
      <t/>
    </r>
  </si>
  <si>
    <r>
      <t xml:space="preserve">Для TREI
FB_AI_S, FB_QSA_S: </t>
    </r>
    <r>
      <rPr>
        <sz val="11"/>
        <color theme="1"/>
        <rFont val="Calibri"/>
        <family val="2"/>
        <charset val="204"/>
      </rPr>
      <t>Тип входного значения( 0-мА; 1-мВ; 2-цифровое)</t>
    </r>
    <r>
      <rPr>
        <b/>
        <sz val="11"/>
        <color theme="1"/>
        <rFont val="Calibri"/>
        <family val="2"/>
        <charset val="204"/>
      </rPr>
      <t xml:space="preserve">
FB_DI_S: </t>
    </r>
    <r>
      <rPr>
        <sz val="11"/>
        <color theme="1"/>
        <rFont val="Calibri"/>
        <family val="2"/>
        <charset val="204"/>
      </rPr>
      <t>Время фильтрации</t>
    </r>
    <r>
      <rPr>
        <b/>
        <sz val="11"/>
        <color theme="1"/>
        <rFont val="Calibri"/>
        <family val="2"/>
        <charset val="204"/>
      </rPr>
      <t xml:space="preserve">
AI, AO, AI_SLIM:</t>
    </r>
    <r>
      <rPr>
        <sz val="11"/>
        <color theme="1"/>
        <rFont val="Calibri"/>
        <family val="2"/>
        <charset val="204"/>
      </rPr>
      <t xml:space="preserve"> Тип переменной (INT, REAL)
</t>
    </r>
    <r>
      <rPr>
        <b/>
        <sz val="11"/>
        <color theme="1"/>
        <rFont val="Calibri"/>
        <family val="2"/>
        <charset val="204"/>
      </rPr>
      <t xml:space="preserve">FB_SHPS_S(SB): </t>
    </r>
    <r>
      <rPr>
        <sz val="11"/>
        <color theme="1"/>
        <rFont val="Calibri"/>
        <family val="2"/>
        <charset val="204"/>
      </rPr>
      <t>SMEM (0,1)</t>
    </r>
  </si>
  <si>
    <r>
      <t xml:space="preserve">Для TREI
FB_AI_S, FB_QSA_S: </t>
    </r>
    <r>
      <rPr>
        <sz val="11"/>
        <color theme="1"/>
        <rFont val="Calibri"/>
        <family val="2"/>
        <charset val="204"/>
      </rPr>
      <t>Тип входного значения( 0-мА; 1-мВ; 2-цифровое)</t>
    </r>
    <r>
      <rPr>
        <b/>
        <sz val="11"/>
        <color theme="1"/>
        <rFont val="Calibri"/>
        <family val="2"/>
        <charset val="204"/>
      </rPr>
      <t xml:space="preserve">
FB_DI_S: </t>
    </r>
    <r>
      <rPr>
        <sz val="11"/>
        <color theme="1"/>
        <rFont val="Calibri"/>
        <family val="2"/>
        <charset val="204"/>
      </rPr>
      <t>Время фильтрации</t>
    </r>
    <r>
      <rPr>
        <b/>
        <sz val="11"/>
        <color theme="1"/>
        <rFont val="Calibri"/>
        <family val="2"/>
        <charset val="204"/>
      </rPr>
      <t xml:space="preserve">
FB_IM_ADES_S: </t>
    </r>
    <r>
      <rPr>
        <sz val="11"/>
        <color theme="1"/>
        <rFont val="Calibri"/>
        <family val="2"/>
        <charset val="204"/>
      </rPr>
      <t xml:space="preserve">Время подачи команды
</t>
    </r>
    <r>
      <rPr>
        <b/>
        <sz val="11"/>
        <color theme="1"/>
        <rFont val="Calibri"/>
        <family val="2"/>
        <charset val="204"/>
      </rPr>
      <t>AI, AO, AI_SLIM:</t>
    </r>
    <r>
      <rPr>
        <sz val="11"/>
        <color theme="1"/>
        <rFont val="Calibri"/>
        <family val="2"/>
        <charset val="204"/>
      </rPr>
      <t xml:space="preserve"> Тип переменной (INT, REAL)
</t>
    </r>
    <r>
      <rPr>
        <b/>
        <sz val="11"/>
        <color theme="1"/>
        <rFont val="Calibri"/>
        <family val="2"/>
        <charset val="204"/>
      </rPr>
      <t xml:space="preserve">FB_SHPS_S(SB): </t>
    </r>
    <r>
      <rPr>
        <sz val="11"/>
        <color theme="1"/>
        <rFont val="Calibri"/>
        <family val="2"/>
        <charset val="204"/>
      </rPr>
      <t>SMEM (0,1)</t>
    </r>
  </si>
  <si>
    <r>
      <t xml:space="preserve">Для TREI
FB_AI_S, FB_QSA_S: </t>
    </r>
    <r>
      <rPr>
        <sz val="11"/>
        <color theme="1"/>
        <rFont val="Calibri"/>
        <family val="2"/>
        <charset val="204"/>
      </rPr>
      <t>Тип входного значения( 0-мА; 1-мВ; 2-цифровое)</t>
    </r>
    <r>
      <rPr>
        <b/>
        <sz val="11"/>
        <color theme="1"/>
        <rFont val="Calibri"/>
        <family val="2"/>
        <charset val="204"/>
      </rPr>
      <t xml:space="preserve">
FB_DI_S: </t>
    </r>
    <r>
      <rPr>
        <sz val="11"/>
        <color theme="1"/>
        <rFont val="Calibri"/>
        <family val="2"/>
        <charset val="204"/>
      </rPr>
      <t>Время фильтрации</t>
    </r>
    <r>
      <rPr>
        <b/>
        <sz val="11"/>
        <color theme="1"/>
        <rFont val="Calibri"/>
        <family val="2"/>
        <charset val="204"/>
      </rPr>
      <t xml:space="preserve">
FB_IMp_S, FB_IMv_S: </t>
    </r>
    <r>
      <rPr>
        <sz val="11"/>
        <color theme="1"/>
        <rFont val="Calibri"/>
        <family val="2"/>
        <charset val="204"/>
      </rPr>
      <t xml:space="preserve">Время подачи команды
</t>
    </r>
    <r>
      <rPr>
        <b/>
        <sz val="11"/>
        <color theme="1"/>
        <rFont val="Calibri"/>
        <family val="2"/>
        <charset val="204"/>
      </rPr>
      <t>AI, AO, AI_SLIM:</t>
    </r>
    <r>
      <rPr>
        <sz val="11"/>
        <color theme="1"/>
        <rFont val="Calibri"/>
        <family val="2"/>
        <charset val="204"/>
      </rPr>
      <t xml:space="preserve"> Тип переменной (INT, REAL)
</t>
    </r>
    <r>
      <rPr>
        <b/>
        <sz val="11"/>
        <color theme="1"/>
        <rFont val="Calibri"/>
        <family val="2"/>
        <charset val="204"/>
      </rPr>
      <t xml:space="preserve">FB_SHPS_S(SB): </t>
    </r>
    <r>
      <rPr>
        <sz val="11"/>
        <color theme="1"/>
        <rFont val="Calibri"/>
        <family val="2"/>
        <charset val="204"/>
      </rPr>
      <t>SMEM (0,1)</t>
    </r>
  </si>
  <si>
    <r>
      <t xml:space="preserve">Для TREI
FB_AI_S: </t>
    </r>
    <r>
      <rPr>
        <sz val="11"/>
        <color theme="1"/>
        <rFont val="Calibri"/>
        <family val="2"/>
        <charset val="204"/>
      </rPr>
      <t>Тип входного значения( 0-мА; 1-мВ; 2-цифровое)</t>
    </r>
    <r>
      <rPr>
        <b/>
        <sz val="11"/>
        <color theme="1"/>
        <rFont val="Calibri"/>
        <family val="2"/>
        <charset val="204"/>
      </rPr>
      <t xml:space="preserve">
FB_DI_S: </t>
    </r>
    <r>
      <rPr>
        <sz val="11"/>
        <color theme="1"/>
        <rFont val="Calibri"/>
        <family val="2"/>
        <charset val="204"/>
      </rPr>
      <t>Время фильтрации</t>
    </r>
    <r>
      <rPr>
        <b/>
        <sz val="11"/>
        <color theme="1"/>
        <rFont val="Calibri"/>
        <family val="2"/>
        <charset val="204"/>
      </rPr>
      <t xml:space="preserve">
AI, AO, AI_SLIM:</t>
    </r>
    <r>
      <rPr>
        <sz val="11"/>
        <color theme="1"/>
        <rFont val="Calibri"/>
        <family val="2"/>
        <charset val="204"/>
      </rPr>
      <t xml:space="preserve"> Тип переменной (INT, REAL)
</t>
    </r>
    <r>
      <rPr>
        <b/>
        <sz val="11"/>
        <color theme="1"/>
        <rFont val="Calibri"/>
        <family val="2"/>
        <charset val="204"/>
      </rPr>
      <t/>
    </r>
  </si>
  <si>
    <t>Аналоговый сигнал (уставки и ремонт в INFINITY)</t>
  </si>
  <si>
    <t>Аналоговый сигнал облегченный (только один сигнал)</t>
  </si>
  <si>
    <t>Дискретный вход (только один сигнал)</t>
  </si>
  <si>
    <t>Дискретный вход (XVLX+DVXX)</t>
  </si>
  <si>
    <t>Дискретный выход (XVLX+DVXX)</t>
  </si>
  <si>
    <t>Аналоговый выход (задание уставок)</t>
  </si>
  <si>
    <t>Дискретный выход (для кнопок)</t>
  </si>
  <si>
    <t>Контроллер TREI</t>
  </si>
  <si>
    <t xml:space="preserve">         Тип блока</t>
  </si>
  <si>
    <r>
      <rPr>
        <b/>
        <sz val="11"/>
        <color theme="1"/>
        <rFont val="Calibri"/>
        <family val="2"/>
        <charset val="204"/>
        <scheme val="minor"/>
      </rPr>
      <t>Изменения по сравнению с версией 16.0</t>
    </r>
    <r>
      <rPr>
        <sz val="11"/>
        <color theme="1"/>
        <rFont val="Calibri"/>
        <family val="2"/>
        <scheme val="minor"/>
      </rPr>
      <t xml:space="preserve">
1. В импорте данных добавлена возможность выбора режима вставки:"Только значения", "Значения с форматом ячеек".
2. В импорте данных исправлен импорт из файла, где на листе  "Таблица" применены фильтры, теперь импортируются все данные игнорируя примененные фильтры.
3. При импорте данных в случае если в файл источник и текущий файл имеют одинаковые имена выдается предупреждение и импорт не происходит
4. S_IMsp_MON в шаблоне TREI добавлено начальное значение уставок наработки по концевикам и аварийному отключению
5. S_IMst_MON в шаблоне TREI добавлено начальное значение уставок наработки по концевикам
6. Всем шаблонам TREI в CSV добавлены столбцы "Холодный старт" (по умолчанию установлен в 1), "Параметры архивации" (по умолчанию отсутствуют), "Индекс" (по умолчанию отсутствует). Данный функционал доступен в Unimod начиная с версии 1.70
7. Добавлена возможность генерации меток времени для TREI, ST кода TREI меток времени, а также шаблона XML для меток времени
8. Столбцы "ОРС сервер" и "ОРС путь" листа "Таблица" объединены в один. При импорте из версий программы ниже 17.0 объединение будет произведено автоматически 
9. Если на листе "Таблица применяются фильтры по столбцам, то по нажатию на кнопку "Генерировать всё" отметятся только отфильтрованные строки, остальные будут сброшены
10. В окне выбора пути сохранения файла в csv  по умолчанию - "Рабочий стол".
</t>
    </r>
  </si>
  <si>
    <r>
      <rPr>
        <b/>
        <sz val="11"/>
        <color theme="1"/>
        <rFont val="Calibri"/>
        <family val="2"/>
        <charset val="204"/>
        <scheme val="minor"/>
      </rPr>
      <t>Изменения по сравнению с версией 17.0</t>
    </r>
    <r>
      <rPr>
        <sz val="11"/>
        <color theme="1"/>
        <rFont val="Calibri"/>
        <family val="2"/>
        <scheme val="minor"/>
      </rPr>
      <t xml:space="preserve">
1. Исправлена ошибка импорта конфигурации TREI в Unimode.
2. Исправлено не полное слияние столбцов "ОРС сервер" и "ОРС путь" при импорте из версий ниже 17.0.
3. Добавлены сигналы отсутствия связи с модулями в конфигурацию Infinity для 5ХХ модулей TREI</t>
    </r>
  </si>
  <si>
    <r>
      <rPr>
        <b/>
        <sz val="11"/>
        <color theme="1"/>
        <rFont val="Calibri"/>
        <family val="2"/>
        <charset val="204"/>
        <scheme val="minor"/>
      </rPr>
      <t>Изменения по сравнению с версией 17.1</t>
    </r>
    <r>
      <rPr>
        <sz val="11"/>
        <color theme="1"/>
        <rFont val="Calibri"/>
        <family val="2"/>
        <scheme val="minor"/>
      </rPr>
      <t xml:space="preserve">
1. Благодаря внутренней оптимизации  размер файла уменьшен в 4 раза (влияет на скорость открытия, скорость импорта)
2. Реализована модульная структура. На листе "Таблица" можно отключить неиспользуемые модули "АСУЭС", "АСУТП", "АСПС". При этом будет изменено: 1) Перечень выбора типа блоков. 2) Заголовки в столбцах ввода данных. 3) Будут безвозвратно удалены листы, связанные с удаленным модулем- размер файла ещё уменьшится. Вернуть модули возможно будет только при импорте в полную версию программы, предварительно установив в Настройках  галочку "Восстановить модули при импорте". При отсутствии этой настройки при импорте будет автоматически удалены модули, отмеченные ранее.
3. На листе "Таблица" удалены кнопки навигации, кнопка "Во весь экран". Все меню настроек перенесены на окно "Настройки". Данное окно появляется по щелчку на кнопку "Настройки".
4. Изменен внешний вид листа "Таблица"</t>
    </r>
  </si>
  <si>
    <r>
      <rPr>
        <b/>
        <sz val="11"/>
        <color theme="1"/>
        <rFont val="Calibri"/>
        <family val="2"/>
        <charset val="204"/>
        <scheme val="minor"/>
      </rPr>
      <t>Изменения по сравнению с версией 17.2</t>
    </r>
    <r>
      <rPr>
        <sz val="11"/>
        <color theme="1"/>
        <rFont val="Calibri"/>
        <family val="2"/>
        <scheme val="minor"/>
      </rPr>
      <t xml:space="preserve">
1. Устранено появления окон предупреждения при удалении модуля
2. Снята настройка "Восстановить модули при импорте" по умолчанию</t>
    </r>
  </si>
  <si>
    <t>if(#1.fNolinkDevice||#0) {#1.XVLX.3=0;} else {#1.XVLX.3=192;}</t>
  </si>
  <si>
    <t>if(#0.fNolinkDevice||#0.FXXX) {#0.XVLX.3=0;} else {#0.XVLX.3=192;}</t>
  </si>
  <si>
    <t>if(#0.fNolinkDevice) {#0.XVLX.3=0;} else {#0.XVLX.3=192;}</t>
  </si>
  <si>
    <t>if(#0.fNolinkDevice) {#0.XONX.3=0;#0.XOFX.3=0;} else {#0.XONX.3=192;#0.XOFX.3=192;}</t>
  </si>
  <si>
    <t>if(#0.fNolinkDevice) {#0.XTON.3=0;#0.XTOF.3=0;} else {#0.XTON.3=192;#0.XTOF.3=192;}</t>
  </si>
  <si>
    <t>if(#0.fNolinkDevice) {#0.Value.3=0;} else {#0.Value.3=192;}</t>
  </si>
  <si>
    <t>if(#0.fNolinkDevice) {#0.3=0;} else {#0.3=192;}</t>
  </si>
  <si>
    <t>Отображение Таблицы подлючений в диаг.</t>
  </si>
  <si>
    <t>if(#0.fNolinkDevice) {#0.stOn.3=0;#0.stOff.3=0;} else {#0.stOn.3=192;#0.stOff.3=192;}</t>
  </si>
  <si>
    <t>#0.2=0;if(#0.fNolinkDevice) {#0.3=0;} else {#0.3=192;}</t>
  </si>
  <si>
    <t>Перегрузка по одному из каналов</t>
  </si>
  <si>
    <t>Перегрев по одной из групп</t>
  </si>
  <si>
    <t>Нет питания для выходных групп</t>
  </si>
  <si>
    <t>Нет питания 1</t>
  </si>
  <si>
    <t>Нет питания 2</t>
  </si>
  <si>
    <r>
      <rPr>
        <b/>
        <sz val="11"/>
        <color theme="1"/>
        <rFont val="Calibri"/>
        <family val="2"/>
        <charset val="204"/>
        <scheme val="minor"/>
      </rPr>
      <t>Изменения по сравнению с версией 17.3</t>
    </r>
    <r>
      <rPr>
        <sz val="11"/>
        <color theme="1"/>
        <rFont val="Calibri"/>
        <family val="2"/>
        <scheme val="minor"/>
      </rPr>
      <t xml:space="preserve">
1. При импорте конфигурации теперь импортируются уникальные листы, измененные по сравнению с  базовой версией программы. Чтобы листы импортировались достаточно сделать их видимыми в исходной конфигурации. После окончания импорта эти листы будут видимыми в конечном файле и подсвечены красным цветом.
2. В конфигурацию INFINITY и TREI добавлен новый блок AI_SLIM - аналоговый сигнал, состоящий из одной переменной. Доступна генерация трендов и архивного сервера
3. Снята защита с листа Таблица, все инструменты работы с  листом восстановлены
4. Исправлена ошибка генерации данных с применненым фильтром на листе "Таблица"
5. Новый механизм импорта при котором автоматически в имени создаваемого файла номер версии файла меняется на текущий номер версии программы, а в случае отсутствия такового создается автоматически. Сам новый файл помещается в ту же директорию, где и его исходник.
6. Удаление всего, что связано с метками времени при удалении модуля "АСУЭС"</t>
    </r>
  </si>
  <si>
    <t>FB_AI_BUF_S</t>
  </si>
  <si>
    <t>Аналоговый датчик FB с буферизацией</t>
  </si>
  <si>
    <t>FB_DI_BUF_S</t>
  </si>
  <si>
    <t>Блоки с буферизацией</t>
  </si>
  <si>
    <t>Блоки результат</t>
  </si>
  <si>
    <t>Буферизация</t>
  </si>
  <si>
    <t>FB_IMv_BUF_S</t>
  </si>
  <si>
    <t>Дискретный датчик FB с буферизацией</t>
  </si>
  <si>
    <t>FB_DO_BUF_S</t>
  </si>
  <si>
    <t>FB_REG_BUF_S</t>
  </si>
  <si>
    <t>Важность для буфер.</t>
  </si>
  <si>
    <t>Период расчета отклонения (сек)</t>
  </si>
  <si>
    <t>Отклонение 1 порог</t>
  </si>
  <si>
    <t>Приращение 1 порог</t>
  </si>
  <si>
    <t>Приращение 2 порог</t>
  </si>
  <si>
    <t>Приращение 3 порог</t>
  </si>
  <si>
    <t>Отклонение 3 порог</t>
  </si>
  <si>
    <t>Отклонение 2 порог</t>
  </si>
  <si>
    <t>AI_BUF</t>
  </si>
  <si>
    <t>DO_BUF</t>
  </si>
  <si>
    <t>DI_BUF</t>
  </si>
  <si>
    <t>DI_DIAG_BUF</t>
  </si>
  <si>
    <t>Диагностика.DI_DIAG_BUF</t>
  </si>
  <si>
    <t>AI_SLIM_BUF</t>
  </si>
  <si>
    <t xml:space="preserve"> := BIT_TO_INT(</t>
  </si>
  <si>
    <t>Глубина архивации</t>
  </si>
  <si>
    <r>
      <rPr>
        <b/>
        <sz val="11"/>
        <color theme="1"/>
        <rFont val="Calibri"/>
        <family val="2"/>
        <charset val="204"/>
        <scheme val="minor"/>
      </rPr>
      <t>Изменения по сравнению с версией 17.5</t>
    </r>
    <r>
      <rPr>
        <sz val="11"/>
        <color theme="1"/>
        <rFont val="Calibri"/>
        <family val="2"/>
        <scheme val="minor"/>
      </rPr>
      <t xml:space="preserve">
1. Исправлено автоматическое закрытие других открытых файлов EXCEL при нажатии на кнопку  "Сохранить и выйти" на листе Таблица.
2. Исправлено некорректное отображение фильтра периода архивации аналоговых значений для сервера истории Infinity
3. Убрано автоматическое открытие окна без верхней панели при запуске
4. У всех блоков в конфигурации Infinity убраны сигналы fnoLink, fnoLink_OPC, fnoLink_Device. Вместо этого используется свойство в сервере в/в fNoLinkDevice.
5. У всех блоков в конфигурации Infinity убран сигнал cmd_operator. Вместо них используется один общий сигнал cmd_operator, расположенный в папке "Настройки_проекта" сервера в/в.
6. Добавлена автоматическая очистка результатов генераций при закрытии файла. Сделано для уменьшения размера файла.
7. В конфигурации глобального словаря TREI для всех блоков АСПС в столбце комментария добавлен префикс комментария из листа "Таблица"</t>
    </r>
  </si>
  <si>
    <t>Задвижка FB с буферизацией</t>
  </si>
  <si>
    <t>Дискретный выход FB с буферизацией</t>
  </si>
  <si>
    <t>Аналоговый сигнал (уставки и ремонт в INFINITY) с буферизацией</t>
  </si>
  <si>
    <t>Дискретный выход (для кнопок) с буферизацией</t>
  </si>
  <si>
    <t>Дискретный вход (только один сигнал) с буферизацией</t>
  </si>
  <si>
    <t>Дискретный вход (XVLX+DVXX) с буферизацией</t>
  </si>
  <si>
    <t>Аналоговый сигнал облегченный (только один сигнал) с буферизацией</t>
  </si>
  <si>
    <t>FB_dREG_BUF_S</t>
  </si>
  <si>
    <t>dREG_test</t>
  </si>
  <si>
    <t>Дискретный регулятор FB с буферизацией</t>
  </si>
  <si>
    <t>FB_dREG_S</t>
  </si>
  <si>
    <t>KMZ1_BUF</t>
  </si>
  <si>
    <t>DINT</t>
  </si>
  <si>
    <r>
      <rPr>
        <b/>
        <sz val="11"/>
        <color theme="1"/>
        <rFont val="Calibri"/>
        <family val="2"/>
        <charset val="204"/>
        <scheme val="minor"/>
      </rPr>
      <t>Изменения по сравнению с версией 18.0</t>
    </r>
    <r>
      <rPr>
        <sz val="11"/>
        <color theme="1"/>
        <rFont val="Calibri"/>
        <family val="2"/>
        <scheme val="minor"/>
      </rPr>
      <t xml:space="preserve">
1. Исправлены возможные ошибки при импорте конфигурации с удаленным модулем АСУЭ
2. Добавлена возможность импортировать любые листы в новую версию программы, даже если их названия нет в перечне текущих листов программы
3. Исправлена формула для fNoLinkDevice для SEPAM, БМРЗ, БМПА.
4. Исправлены названия каналов модуля M942A для привязки в ST
5. Для блока DO Infinity исправлена ошибка самопроизвольной подачи команды при перезагрузке шлюза TREI
6. Для модуля M557O добавлены сигналы "Перегрузка по одному из каналов", "Перегрев по одной из групп", "Нет питания для выходных групп" в диагностику TREI для Infinity
7. Исправлены сообщения отсутствия питания модулей в диагностике TREI для Infinity</t>
    </r>
  </si>
  <si>
    <t>Блок</t>
  </si>
  <si>
    <t>кВар</t>
  </si>
  <si>
    <t>кВТ</t>
  </si>
  <si>
    <t>. Команда алгоритма: Включить</t>
  </si>
  <si>
    <t>. Команда алгоритма: Отключить</t>
  </si>
  <si>
    <t>. Команда ПАЗ: Включить</t>
  </si>
  <si>
    <t>. Команда ПАЗ: Отключить</t>
  </si>
  <si>
    <t>. Команда блокировки: Включить</t>
  </si>
  <si>
    <t>. Команда блокировки: Отключить</t>
  </si>
  <si>
    <t>Команда алгоритма Включить блокирована</t>
  </si>
  <si>
    <t>Команда алгоритма Отключить блокирована</t>
  </si>
  <si>
    <t>Команда ПАЗ: Включить</t>
  </si>
  <si>
    <t>Команда ПАЗ: Отключить</t>
  </si>
  <si>
    <t>Команда блокировки: Включить</t>
  </si>
  <si>
    <t>Команда блокировки: Отключить</t>
  </si>
  <si>
    <t>Команда алгоритма: Включить</t>
  </si>
  <si>
    <t>Команда алгоритма: Отключить</t>
  </si>
  <si>
    <t>Команда алгоритма Открыть блокирована</t>
  </si>
  <si>
    <t>Команда алгоритма Закрыть блокирована</t>
  </si>
  <si>
    <t>Команда алгоритма: Открыть</t>
  </si>
  <si>
    <t>Команда алгоритма: Закрыть</t>
  </si>
  <si>
    <t>Команда ПАЗ: Открыть</t>
  </si>
  <si>
    <t>Команда ПАЗ: Закрыть</t>
  </si>
  <si>
    <t>Команда блокировки: Открыть</t>
  </si>
  <si>
    <t>Команда блокировки: Закрыть</t>
  </si>
  <si>
    <t>Недостоверность: выходное значение Стоп</t>
  </si>
  <si>
    <t>Выключатель Вкачен</t>
  </si>
  <si>
    <t>Выключатель Выкачен</t>
  </si>
  <si>
    <t>Включена</t>
  </si>
  <si>
    <t>Отключена</t>
  </si>
  <si>
    <t>Неопределенное положение выключателя</t>
  </si>
  <si>
    <t>Двойное положение выключателя</t>
  </si>
  <si>
    <t>Включен\Вкачена</t>
  </si>
  <si>
    <t>Отключен\Выкачена</t>
  </si>
  <si>
    <t>Идет тушение 2 очередь</t>
  </si>
  <si>
    <t>Команда алгоритма на включение</t>
  </si>
  <si>
    <t>:=</t>
  </si>
  <si>
    <t>|</t>
  </si>
  <si>
    <t>Блок дискретного выхода включен</t>
  </si>
  <si>
    <r>
      <t xml:space="preserve">FB_DI_S, FB_DO_S, DI, DI_DIAG, FB_DO_STB_S: </t>
    </r>
    <r>
      <rPr>
        <sz val="11"/>
        <color theme="1"/>
        <rFont val="Calibri"/>
        <family val="2"/>
        <charset val="204"/>
      </rPr>
      <t xml:space="preserve">Тип сигнализации (Авария, предупреждение, телесигнализация и тд.)
</t>
    </r>
    <r>
      <rPr>
        <b/>
        <sz val="11"/>
        <color theme="1"/>
        <rFont val="Calibri"/>
        <family val="2"/>
        <charset val="204"/>
      </rPr>
      <t xml:space="preserve">FB_SHPS_S(SB), FB_BTF_S: </t>
    </r>
    <r>
      <rPr>
        <sz val="11"/>
        <color theme="1"/>
        <rFont val="Calibri"/>
        <family val="2"/>
        <charset val="204"/>
      </rPr>
      <t xml:space="preserve">Тип сигнализации XFRX
</t>
    </r>
  </si>
  <si>
    <r>
      <t xml:space="preserve">FB_DI_S, FB_DO_S, DI, DI_DIAG: </t>
    </r>
    <r>
      <rPr>
        <sz val="11"/>
        <color theme="1"/>
        <rFont val="Calibri"/>
        <family val="2"/>
        <charset val="204"/>
      </rPr>
      <t>Тип сигнализации (Авария, предупреждение, телесигнализация и тд.)</t>
    </r>
  </si>
  <si>
    <t>8+8</t>
  </si>
  <si>
    <t>2+6</t>
  </si>
  <si>
    <t>FB_HA_UPI_S</t>
  </si>
  <si>
    <t>Нажата кнопка Отключить звук</t>
  </si>
  <si>
    <t>Команда оператора блокировка оповещения</t>
  </si>
  <si>
    <t>Ключ доступа Включен/Отключен</t>
  </si>
  <si>
    <t>sleep(2);#1.COBN=0</t>
  </si>
  <si>
    <t>Ключ доступа Включен</t>
  </si>
  <si>
    <t>Ключ доступа Отключен</t>
  </si>
  <si>
    <t>АСПС.FB_HA_UPI_S</t>
  </si>
  <si>
    <t>19. FB_QSA_S - Датчик загазованности
20. FB_BTF_S - Шлейф пожарной сигнализации
21. FB_UPP_S - Тушение пенное
22. FB_UPG_S - Тушение газовое
23. FB_KL_UPT_S - Клапан однокомандный с КЦ
24. FB_OZK_KD_S - Огнезадерживающий клапан
25. FB_IM_ADES_S - АДЭС
26. FB_DO_S - Дискретный выходной сигнал
27. FB_SH_ALL - Сбор обобщенных сигналов c датчиков по позиции
28. FB_SHOP_ALL - Сбор обобщенных сигналов c оповещателей по позиции
29. FB_QSA_ALL - Сбор обобщенных сигналов газоанализаторов по позиции
30. FB_RIM_S - Блок резервирования
31. FB_HA_UPI_S - Сбор обобщенных сигналов c датчиков по позиции</t>
  </si>
  <si>
    <t>Шаблон Бованы ГП-3 (все по цифре)</t>
  </si>
  <si>
    <t>!#1.stTOff</t>
  </si>
  <si>
    <t>M558D</t>
  </si>
  <si>
    <t>M558O</t>
  </si>
  <si>
    <t>M548A</t>
  </si>
  <si>
    <t>M541HR</t>
  </si>
  <si>
    <t>Время ожидания ответа истекло</t>
  </si>
  <si>
    <t>Ошибка интерфейса UART</t>
  </si>
  <si>
    <t>Ошибка контрольной суммы принятого пакета</t>
  </si>
  <si>
    <t>Ошибка формата принятого пакета</t>
  </si>
  <si>
    <t>Ошибка пакета на отправку</t>
  </si>
  <si>
    <t>Происходит инициализация модуля</t>
  </si>
  <si>
    <t>Доступен принятый пакет</t>
  </si>
  <si>
    <t>Идет передача по HART</t>
  </si>
  <si>
    <t>VG</t>
  </si>
  <si>
    <t>TZN</t>
  </si>
  <si>
    <t>Отключ. от защ. возбуд.</t>
  </si>
  <si>
    <t>Сраб. ускорения МТЗ (TS 68)</t>
  </si>
  <si>
    <t>Сраб. ускорения МТЗ (TS 238)</t>
  </si>
  <si>
    <t>Отключение от ДЗШ, ДГЗ, УРОВ</t>
  </si>
  <si>
    <t>Сраб. 1 ст. защ. от несимм. режимов</t>
  </si>
  <si>
    <t>Сраб. МТЗ 1 ст.</t>
  </si>
  <si>
    <t>Сраб. МТЗ 2 ст.</t>
  </si>
  <si>
    <t>Сраб. 1 ст. тепловой защиты от генератора</t>
  </si>
  <si>
    <t>Сраб. 2 ст. тепловой защиты от генератора</t>
  </si>
  <si>
    <t>Сраб. защ. минимального защитного сопротивления</t>
  </si>
  <si>
    <t>Сраб. защ. от ошибочного включения генератора в сеть</t>
  </si>
  <si>
    <t>Сраб. защ. от потери синхронизма</t>
  </si>
  <si>
    <t>Сраб. дифзащиты</t>
  </si>
  <si>
    <t xml:space="preserve">Сраб. дифзащиты </t>
  </si>
  <si>
    <t>Отключение от САУ ЭБ</t>
  </si>
  <si>
    <t>Сраб. защ. от ОЗЗ</t>
  </si>
  <si>
    <t>Сраб. защ. от дв. замыканий</t>
  </si>
  <si>
    <t>Сраб. защ. от дв. Замыканий</t>
  </si>
  <si>
    <t>Сраб. защ. от повыш. напряжения</t>
  </si>
  <si>
    <t>Сраб. защ. от повыш. Напряжения</t>
  </si>
  <si>
    <t>Сраб. направл. защ. от ОЗЗ</t>
  </si>
  <si>
    <t>Сраб. 2 ст. защ. от несимм. реж.</t>
  </si>
  <si>
    <t>Сраб. защ. от обратн. P&gt;</t>
  </si>
  <si>
    <t>Сраб. защ. от обратн. Q&gt;</t>
  </si>
  <si>
    <t>Сраб. защ. от асинхр. реж. с потерей возбуждения</t>
  </si>
  <si>
    <t>Сраб. защ. от F&gt;</t>
  </si>
  <si>
    <t>Сраб. защ. от F&lt;</t>
  </si>
  <si>
    <t>Сраб. 1 ст. защ. от насыщения</t>
  </si>
  <si>
    <t>Сраб. 2 ст. защ. от насыщения</t>
  </si>
  <si>
    <t>Останов энергоблока</t>
  </si>
  <si>
    <t>Сраб. ДГЗ ячейки</t>
  </si>
  <si>
    <t>Разрешение ТУ</t>
  </si>
  <si>
    <t>Неисправность V0</t>
  </si>
  <si>
    <t>Неисправность дополнительного ТТ</t>
  </si>
  <si>
    <t>Сигнал "Несимметрия"</t>
  </si>
  <si>
    <t>Запрет включения выключателя по ТУ</t>
  </si>
  <si>
    <t>Отключение возбуждения</t>
  </si>
  <si>
    <t>Неисправность основного трансформатора тока</t>
  </si>
  <si>
    <t>Выкачен</t>
  </si>
  <si>
    <t>Блокировка защиты от ОЗЗ при U0&lt; введена</t>
  </si>
  <si>
    <t>Запрет АВР при оперативном останове ЭБ введен</t>
  </si>
  <si>
    <t>Шаблон КГКМ ЭСН</t>
  </si>
  <si>
    <t>Сраб. отсечки I</t>
  </si>
  <si>
    <t>Сраб. защиты от ОЗЗ (откл.1)</t>
  </si>
  <si>
    <t>Сраб. защиты от ОЗЗ (откл.2)</t>
  </si>
  <si>
    <t>Сраб. защиты от ОЗЗ 1 ст.</t>
  </si>
  <si>
    <t>Сраб. защиты от ОЗЗ 2 ст.</t>
  </si>
  <si>
    <t>Сраб. автоматика ТЗН</t>
  </si>
  <si>
    <t>Неисправность ЦУ</t>
  </si>
  <si>
    <t>Несоответствие ТУ</t>
  </si>
  <si>
    <t>Автоматика ТЗН включена</t>
  </si>
  <si>
    <t>Параллельная работа ТЗН</t>
  </si>
  <si>
    <t>АВР СВ Включен</t>
  </si>
  <si>
    <t>АВР СВ отключить</t>
  </si>
  <si>
    <t>АВР СВ включить</t>
  </si>
  <si>
    <r>
      <rPr>
        <b/>
        <sz val="11"/>
        <color theme="1"/>
        <rFont val="Calibri"/>
        <family val="2"/>
        <charset val="204"/>
        <scheme val="minor"/>
      </rPr>
      <t>Изменения по сравнению с версией 18.1</t>
    </r>
    <r>
      <rPr>
        <sz val="11"/>
        <color theme="1"/>
        <rFont val="Calibri"/>
        <family val="2"/>
        <scheme val="minor"/>
      </rPr>
      <t xml:space="preserve">
1. FB_SHPS_S - исправлена формула для класса сообщения
2. Добавлена возможность генерации тегов TREI и INFINITY для блоков с буферизацией, возможность генерации xml файла для тегов с буферизацией. 
3. Добавлены блоки FB_AI_BUF_S, FB_DI_BUF_S, FB_IMv_BUF_S, FB_REG_BUF_S, DI_DIAG_BUF, DI_BUF, AI_BUF,DO_BUF,AI_SLIM_BUF в Infinity и Trei - блоки с возможностью буферизации
4. Добавлена генерация модбас адресов для сигналов диагностики CPU для панели Weintek.</t>
    </r>
  </si>
  <si>
    <t>BR41</t>
  </si>
  <si>
    <t>BR42</t>
  </si>
  <si>
    <t>BR43</t>
  </si>
  <si>
    <t>BR44</t>
  </si>
  <si>
    <t>BR45</t>
  </si>
  <si>
    <t>BR46</t>
  </si>
  <si>
    <t>BR47</t>
  </si>
  <si>
    <t>BR48</t>
  </si>
  <si>
    <t>BR49</t>
  </si>
  <si>
    <t>BR50</t>
  </si>
  <si>
    <t>BR51</t>
  </si>
  <si>
    <t>BR52</t>
  </si>
  <si>
    <t>BR53</t>
  </si>
  <si>
    <t>BR54</t>
  </si>
  <si>
    <t>BR55</t>
  </si>
  <si>
    <t>BR56</t>
  </si>
  <si>
    <t>BR57</t>
  </si>
  <si>
    <t>BR58</t>
  </si>
  <si>
    <t>BR59</t>
  </si>
  <si>
    <t>BR60</t>
  </si>
  <si>
    <t>InfinityServer</t>
  </si>
  <si>
    <t>InfinityHMI</t>
  </si>
  <si>
    <t>InfinityTools</t>
  </si>
  <si>
    <t>InfinityDualSource</t>
  </si>
  <si>
    <t>InfinityAlarms</t>
  </si>
  <si>
    <t>InfinityTrends</t>
  </si>
  <si>
    <t>InfinityClientSecurity</t>
  </si>
  <si>
    <t>InfinityInformationSecurity</t>
  </si>
  <si>
    <t>InfinityMonitoring</t>
  </si>
  <si>
    <t>InfinityHistoryServer</t>
  </si>
  <si>
    <t>InfinityHistoryServer x32</t>
  </si>
  <si>
    <t>InfinityServer x64</t>
  </si>
  <si>
    <t>InfinityServer x32</t>
  </si>
  <si>
    <t>InfinityHistoryServer x64</t>
  </si>
  <si>
    <t>C:\Windows\system32\haeps.dll</t>
  </si>
  <si>
    <t>C:\Program Files (x86)\Common Files\Aladdin Shared\Hasp\haspvlib_61937.dll</t>
  </si>
  <si>
    <t>C:\Program Files (x86)\EleSy\SCADA Infinity\InfinityAlarms\InfinityAlarms.exe</t>
  </si>
  <si>
    <t>C:\Program Files (x86)\EleSy\SCADA Infinity\InfinityAlarms\InfinityWebAlarms.OPCAEControl.ocx</t>
  </si>
  <si>
    <t>C:\Program Files (x86)\EleSy\SCADA Infinity\InfinityAlarms\InfinityAlarmViewProj.ocx</t>
  </si>
  <si>
    <t>C:\Program Files (x86)\EleSy\SCADA Infinity\InfinityAlarms\Sound\alarm.wav</t>
  </si>
  <si>
    <t>C:\Program Files (x86)\EleSy\SCADA Infinity\InfinityTools\InfinityCompleteness.exe</t>
  </si>
  <si>
    <t>C:\Program Files (x86)\EleSy\SCADA Infinity\InfinityTools\ignore.files</t>
  </si>
  <si>
    <t>C:\Windows\system32\Localize.dll</t>
  </si>
  <si>
    <t>C:\Program Files (x86)\EleSy\SCADA Infinity\InfinityTools\SystemCnfg.exe</t>
  </si>
  <si>
    <t>C:\Program Files (x86)\EleSy\SCADA Infinity\InfinityTools\SystemCnfg.dat</t>
  </si>
  <si>
    <t>C:\Program Files (x86)\EleSy\SCADA Infinity\InfinityTools\LogViewer\View_ICS.dll</t>
  </si>
  <si>
    <t>C:\Program Files (x86)\EleSy\SCADA Infinity\InfinityClientSecurity\ICSWatcher.exe</t>
  </si>
  <si>
    <t>C:\Program Files (x86)\EleSy\SCADA Infinity\InfinityClientSecurity\ICShook.dll</t>
  </si>
  <si>
    <t>C:\Program Files (x86)\EleSy\SCADA Infinity\InfinityClientSecurity\ISM.exe</t>
  </si>
  <si>
    <t>C:\Program Files (x86)\EleSy\SCADA Infinity\InfinityClientSecurity\InfinitySecurity.exe</t>
  </si>
  <si>
    <t>C:\Program Files (x86)\EleSy\SCADA Infinity\InfinityClientSecurity\SSMon.exe</t>
  </si>
  <si>
    <t>C:\Program Files (x86)\EleSy\SCADA Infinity\InfinityTools\LogViewer\LogViewer.exe</t>
  </si>
  <si>
    <t>C:\Windows\system32\log2.dll</t>
  </si>
  <si>
    <t>C:\Program Files (x86)\EleSy\SCADA Infinity\InfinityTools\HotReserveManager.exe</t>
  </si>
  <si>
    <t>C:\Program Files (x86)\Common Files\EleSy\System\SecurityCtx_PS.dll</t>
  </si>
  <si>
    <t>C:\Program Files (x86)\Common Files\EleSy\System\SecurityMgt_PS.dll</t>
  </si>
  <si>
    <t>C:\Program Files (x86)\Common Files\EleSy\Infinity\Resources\ru\hagentmc.dll.ru</t>
  </si>
  <si>
    <t>C:\Windows\system32\hagentps.dll</t>
  </si>
  <si>
    <t>C:\Program Files (x86)\EleSy\SCADA Infinity\InfinityTools\ApplCfg.exe</t>
  </si>
  <si>
    <t>C:\Program Files (x86)\EleSy\SCADA Infinity\InfinityOPCAEDualSource\OPCAEDualSource.dll</t>
  </si>
  <si>
    <t>C:\Program Files (x86)\EleSy\SCADA Infinity\InfinityHAEDualSource\HAEDualSource.dll</t>
  </si>
  <si>
    <t>C:\Program Files (x86)\EleSy\SCADA Infinity\InfinityOPCHDADualSource\OPCHDADualSource.dll</t>
  </si>
  <si>
    <t>C:\Program Files (x86)\EleSy\SCADA Infinity\InfinityOPCDualSource\InfinityOPCDualSource.exe</t>
  </si>
  <si>
    <t>C:\Program Files (x86)\EleSy\SCADA Infinity\InfinityOPCDualSource\OPCDualSource.dll</t>
  </si>
  <si>
    <t>C:\Program Files (x86)\EleSy\SCADA Infinity\InfinityHistoryServer3.0\svrcfgtr.dll</t>
  </si>
  <si>
    <t>C:\Program Files (x86)\EleSy\SCADA Infinity\InfinityHistoryServer3.0\opcrs.dll</t>
  </si>
  <si>
    <t>C:\Program Files (x86)\EleSy\SCADA Infinity\InfinityHistoryServer3.0\datsprt.dll</t>
  </si>
  <si>
    <t>C:\Program Files (x86)\EleSy\SCADA Infinity\InfinityHistoryServer3.0\config.dll</t>
  </si>
  <si>
    <t>C:\Program Files (x86)\EleSy\SCADA Infinity\InfinityHistoryServer3.0\dsc.dll</t>
  </si>
  <si>
    <t>C:\Program Files (x86)\EleSy\SCADA Infinity\InfinityHistoryServer3.0\hsvrkrnl.dll</t>
  </si>
  <si>
    <t>C:\Program Files (x86)\EleSy\SCADA Infinity\InfinityHistoryServer3.0\opcda.dll</t>
  </si>
  <si>
    <t>C:\Program Files (x86)\EleSy\SCADA Infinity\InfinityHistoryServer3.0\hsvrcfg.exe</t>
  </si>
  <si>
    <t>C:\Program Files (x86)\EleSy\SCADA Infinity\InfinityHistoryServer3.0\cfgstg.dll</t>
  </si>
  <si>
    <t>C:\Windows\system32\svrappmgt_ps.dll</t>
  </si>
  <si>
    <t>C:\Program Files (x86)\EleSy\SCADA Infinity\InfinityHistoryServer3.0\cfgmf.dll</t>
  </si>
  <si>
    <t>C:\Program Files (x86)\EleSy\SCADA Infinity\InfinityHistoryServer3.0\opcae.dll</t>
  </si>
  <si>
    <t>C:\Program Files (x86)\EleSy\SCADA Infinity\InfinityHistoryServer3.0\ihsds.dll</t>
  </si>
  <si>
    <t>C:\Program Files (x86)\EleSy\SCADA Infinity\InfinityHistoryServer3.0\hscimp.imx</t>
  </si>
  <si>
    <t>C:\Windows\system32\usp.dll</t>
  </si>
  <si>
    <t>C:\Windows\system32\ihflib.dll</t>
  </si>
  <si>
    <t>C:\Windows\system32\afinprocsvchost.dll</t>
  </si>
  <si>
    <t>C:\Program Files (x86)\EleSy\SCADA Infinity\InfinityTools\LogViewer\View_IHS3x.dll</t>
  </si>
  <si>
    <t>C:\Program Files (x86)\EleSy\SCADA Infinity\InfinityHistoryServer3.0\hsvrcfg.exe.manifest</t>
  </si>
  <si>
    <t>C:\Program Files (x86)\Common Files\Elesy\System\dbghelp.dll</t>
  </si>
  <si>
    <t>C:\Program Files (x86)\EleSy\SCADA Infinity\InfinityHistoryServer3.0\cas.dll</t>
  </si>
  <si>
    <t>C:\Program Files (x86)\EleSy\SCADA Infinity\InfinityHistoryServer3.0\dq.dll</t>
  </si>
  <si>
    <t>C:\Program Files (x86)\EleSy\SCADA Infinity\InfinityHistoryServer3.0\dtbufsmgr.dll</t>
  </si>
  <si>
    <t>C:\Program Files (x86)\EleSy\SCADA Infinity\InfinityHistoryServer3.0\clctr.exe</t>
  </si>
  <si>
    <t>C:\Program Files (x86)\EleSy\SCADA Infinity\InfinityHistoryServer3.0\stat.dll</t>
  </si>
  <si>
    <t>C:\Program Files (x86)\EleSy\SCADA Infinity\InfinityHistoryServer3.0\hcsipclnt.dll</t>
  </si>
  <si>
    <t>C:\Program Files (x86)\EleSy\SCADA Infinity\InfinityHistoryServer3.0\appmgr.dll</t>
  </si>
  <si>
    <t>C:\Program Files (x86)\EleSy\SCADA Infinity\InfinityHistoryServer3.0\clsfac.dll</t>
  </si>
  <si>
    <t>C:\Program Files (x86)\EleSy\SCADA Infinity\InfinityHistoryServer3.0\storage.dll</t>
  </si>
  <si>
    <t>C:\Program Files (x86)\EleSy\SCADA Infinity\InfinityHistoryServer3.0\opchda.dll</t>
  </si>
  <si>
    <t>C:\Program Files (x86)\EleSy\SCADA Infinity\InfinityHistoryServer3.0\hcsipsvr.dll</t>
  </si>
  <si>
    <t>C:\Program Files (x86)\EleSy\SCADA Infinity\InfinityHistoryServer3.0\hae.dll</t>
  </si>
  <si>
    <t>C:\Program Files (x86)\EleSy\SCADA Infinity\InfinityHistoryServer3.0\TCPNetModule.dll</t>
  </si>
  <si>
    <t>C:\Windows\system32\appfrmwrk.dll</t>
  </si>
  <si>
    <t>C:\Program Files (x86)\EleSy\SCADA Infinity\InfinityHistoryServer3.0\hcvtlib.dll</t>
  </si>
  <si>
    <t>C:\Program Files (x86)\EleSy\SCADA Infinity\InfinityHistoryServer3.0\hsvr.exe</t>
  </si>
  <si>
    <t>C:\Windows\system32\EleSyLogging.dll</t>
  </si>
  <si>
    <t>C:\Program Files (x86)\EleSy\SCADA Infinity\InfinityTools\ViewEventLog.exe</t>
  </si>
  <si>
    <t>C:\Program Files (x86)\EleSy\SCADA Infinity\InfinityTools\EleSyStatViewer.exe</t>
  </si>
  <si>
    <t>C:\Program Files (x86)\Common Files\EleSy\System\EleSyStatistic.dll</t>
  </si>
  <si>
    <t>C:\Program Files (x86)\EleSy\SCADA Infinity\InfinityHistoryServer3.0\hs2xdb.dll</t>
  </si>
  <si>
    <t>C:\Program Files (x86)\EleSy\SCADA Infinity\InfinityHistoryServer3.0\hdw.dll</t>
  </si>
  <si>
    <t>C:\Program Files (x86)\EleSy\SCADA Infinity\InfinityHistoryServer3.0\ibcvt.dll</t>
  </si>
  <si>
    <t>C:\Windows\SysWOW64\appfrmwrk.dll</t>
  </si>
  <si>
    <t>C:\Windows\SysWOW64\TCPNetModule.dll</t>
  </si>
  <si>
    <t>C:\Windows\system32\TCPNetModule.dll</t>
  </si>
  <si>
    <t>C:\Windows\SysWOW64\haeps.dll</t>
  </si>
  <si>
    <t>C:\Windows\SysWOW64\svrappmgt_ps.dll</t>
  </si>
  <si>
    <t>C:\Windows\SysWOW64\afinprocsvchost.dll</t>
  </si>
  <si>
    <t>C:\Windows\SysWOW64\borlndmm.dll</t>
  </si>
  <si>
    <t>C:\Windows\SysWOW64\log2.dll</t>
  </si>
  <si>
    <t>C:\Windows\SysWOW64\EleSyLogging.dll</t>
  </si>
  <si>
    <t>C:\Windows\SysWOW64\dnaccbrw.dll</t>
  </si>
  <si>
    <t>C:\Windows\SysWOW64\SecurityEditor.dll</t>
  </si>
  <si>
    <t>C:\Windows\SysWOW64\hagentps.dll</t>
  </si>
  <si>
    <t>C:\Windows\SysWOW64\Localize.dll</t>
  </si>
  <si>
    <t>C:\Windows\SysWOW64\msvcp60.dll</t>
  </si>
  <si>
    <t>C:\Windows\SysWOW64\msxml4.dll</t>
  </si>
  <si>
    <t>C:\Windows\SysWOW64\msxml4r.dll</t>
  </si>
  <si>
    <t>C:\Windows\SysWOW64\usp.dll</t>
  </si>
  <si>
    <t>C:\Windows\SysWOW64\ihflib.dll</t>
  </si>
  <si>
    <t>C:\Program Files (x86)\EleSy\SCADA Infinity\InfinityHMI\HMISecurityAdapter.dll</t>
  </si>
  <si>
    <t>C:\Program Files (x86)\EleSy\SCADA Infinity\InfinityHMI\InfinityHMI.exe</t>
  </si>
  <si>
    <t>C:\Program Files (x86)\Common Files\Microsoft Shared\VBA\VBA6\VBE6.DLL</t>
  </si>
  <si>
    <t>C:\Program Files (x86)\EleSy\SCADA Infinity\InfinityHMI\WebHMIRegUtil.exe</t>
  </si>
  <si>
    <t>C:\Program Files (x86)\EleSy\SCADA Infinity\InfinityHMI\InfinityHMIOle.tlb</t>
  </si>
  <si>
    <t>C:\Program Files (x86)\Common Files\Microsoft Shared\VBA\VBA6\APC63.dll</t>
  </si>
  <si>
    <t>C:\Program Files (x86)\Common Files\Microsoft Shared\VBA\VBA6\1033\APC60itl.dll</t>
  </si>
  <si>
    <t>C:\Program Files (x86)\Common Files\Microsoft Shared\VBA\VBA6\vb6debug.dll</t>
  </si>
  <si>
    <t>C:\Program Files (x86)\Common Files\Designer\mtdsr.dll</t>
  </si>
  <si>
    <t>C:\Program Files (x86)\Common Files\Microsoft Shared\VBA\VBA6\mspdb60.dll</t>
  </si>
  <si>
    <t>C:\Program Files (x86)\Common Files\Microsoft Shared\VBA\VBA6\link.exe</t>
  </si>
  <si>
    <t>C:\Program Files (x86)\Common Files\Microsoft Shared\VBA\VBA6\vba6mtrt.dll</t>
  </si>
  <si>
    <t>C:\Program Files (x86)\Microsoft Office\Office10\SIGNER.DLL</t>
  </si>
  <si>
    <t>C:\Program Files (x86)\Microsoft Office\Office10\SELFCERT.EXE</t>
  </si>
  <si>
    <t>C:\Program Files (x86)\Microsoft Office\Office10\MAKECERT.EXE</t>
  </si>
  <si>
    <t>C:\Program Files (x86)\Common Files\Microsoft Shared\Office10\RICHED20.DLL</t>
  </si>
  <si>
    <t>C:\Program Files (x86)\Common Files\Microsoft Shared\Office10\MSO.DLL</t>
  </si>
  <si>
    <t>C:\Program Files (x86)\Common Files\Microsoft Shared\Office10\MSO7FTP.EXE</t>
  </si>
  <si>
    <t>C:\Program Files (x86)\Common Files\Microsoft Shared\Office10\MSO7FTPA.EXE</t>
  </si>
  <si>
    <t>C:\Program Files (x86)\Common Files\Microsoft Shared\Office10\MSO7FTPS.EXE</t>
  </si>
  <si>
    <t>C:\Program Files (x86)\Common Files\Microsoft Shared\Office10\1033\MSOINTL.DLL</t>
  </si>
  <si>
    <t>C:\Office10\1033\VBAOF10.AW</t>
  </si>
  <si>
    <t>C:\Office10\1033\ADO210.AW</t>
  </si>
  <si>
    <t>C:\Office10\1033\DAO360.AW</t>
  </si>
  <si>
    <t>C:\Office10\1033\FM20.AW</t>
  </si>
  <si>
    <t>C:\Office10\1033\VEEN3.AW</t>
  </si>
  <si>
    <t>C:\Program Files (x86)\Common Files\Microsoft Shared\VBA\VBA6\VBE6EXT.OLB</t>
  </si>
  <si>
    <t>C:\Program Files (x86)\Common Files\Microsoft Shared\VBA\VBA6\1033\VBE6INTL.DLL</t>
  </si>
  <si>
    <t>C:\Program Files (x86)\Common Files\Microsoft Shared\VBA\VBA6\1033\vbob6.cnt</t>
  </si>
  <si>
    <t>C:\Program Files (x86)\Microsoft Office\Office10\1033\vbaof10.cnt</t>
  </si>
  <si>
    <t>C:\Program Files (x86)\Common Files\Microsoft Shared\VBA\VBA6\1033\fm20.cnt</t>
  </si>
  <si>
    <t>C:\Program Files (x86)\Common Files\Microsoft Shared\VBA\VBA6\1033\vbui6.cnt</t>
  </si>
  <si>
    <t>C:\Program Files (x86)\Common Files\Microsoft Shared\VBA\VBA6\1033\vblr6.cnt</t>
  </si>
  <si>
    <t>C:\Program Files (x86)\Common Files\Microsoft Shared\VBA\VBA6\1033\vbcn6.cnt</t>
  </si>
  <si>
    <t>C:\Program Files (x86)\Common Files\Microsoft Shared\VBA\VBA6\1033\vbendf98.cnt</t>
  </si>
  <si>
    <t>C:\Program Files (x86)\Common Files\Microsoft Shared\VBA\VBA6\1033\vbhw6.cnt</t>
  </si>
  <si>
    <t>C:\Program Files (x86)\EleSy\SCADA Infinity\InfinityInformationSecurity\SecurityJournalService.exe</t>
  </si>
  <si>
    <t>C:\Program Files (x86)\EleSy\SCADA Infinity\InfinityInformationSecurity\SecurityJournalViewer.exe</t>
  </si>
  <si>
    <t>C:\Program Files (x86)\EleSy\SCADA Infinity\InfinityInformationSecurity\SecurityManagementTCPService.exe</t>
  </si>
  <si>
    <t>C:\Program Files (x86)\EleSy\SCADA Infinity\InfinityInformationSecurity\SecuritySettings.exe</t>
  </si>
  <si>
    <t>C:\Program Files (x86)\EleSy\SCADA Infinity\InfinityInformationSecurity\hasp_windows_61937.dll</t>
  </si>
  <si>
    <t>C:\Program Files (x86)\EleSy\SCADA Infinity\InfinityInformationSecurity\hasp_net_windows.dll</t>
  </si>
  <si>
    <t>C:\Program Files (x86)\EleSy\SCADA Infinity\InfinityInformationSecurity\apidsp_windows.dll</t>
  </si>
  <si>
    <t>C:\Program Files (x86)\EleSy\SCADA Infinity\InfinityTools\ProjectManager\ProjectManager.exe</t>
  </si>
  <si>
    <t>C:\Program Files (x86)\EleSy\SCADA Infinity\InfinityTools\ProjectManager\ProjectManager.tlb</t>
  </si>
  <si>
    <t>C:\Program Files (x86)\EleSy\SCADA Infinity\InfinityTools\LogViewer\View_IPM.dll</t>
  </si>
  <si>
    <t>C:\Program Files (x86)\EleSy\SCADA Infinity\InfinityTools\LogViewer\View_Monitoring.dll</t>
  </si>
  <si>
    <t>C:\Program Files (x86)\EleSy\SCADA Infinity\InfinityMonitoring\InfinityMonitoring.exe</t>
  </si>
  <si>
    <t>C:\Program Files (x86)\EleSy\SCADA Infinity\InfinityMonitoring\InfinityMonitoringService.exe</t>
  </si>
  <si>
    <t>C:\Program Files (x86)\EleSy\SCADA Infinity\InfinityMonitoring\Web\Index.htm</t>
  </si>
  <si>
    <t>C:\Program Files (x86)\EleSy\SCADA Infinity\InfinityMonitoring\MonitoringActivity.exe</t>
  </si>
  <si>
    <t>C:\Program Files (x86)\EleSy\SCADA Infinity\InfinityServer\Server\si.exe</t>
  </si>
  <si>
    <t>C:\Program Files (x86)\EleSy\SCADA Infinity\InfinityServer\Reserve\HotReserveAgent.exe</t>
  </si>
  <si>
    <t>C:\Program Files (x86)\EleSy\SCADA Infinity\InfinityTools\LogViewer\View_HRAInterComm.dll</t>
  </si>
  <si>
    <t>C:\Program Files (x86)\Common Files\EleSy\System\dbghelp.dll</t>
  </si>
  <si>
    <t>C:\Program Files (x86)\Common Files\EleSy\System\HistoryProxy.dll</t>
  </si>
  <si>
    <t>C:\Program Files (x86)\EleSy\SCADA Infinity\InfinityServer\Server\InfinityServer.exe</t>
  </si>
  <si>
    <t>C:\Windows\system32\InfinityServerMgt_ps.dll</t>
  </si>
  <si>
    <t>C:\Program Files (x86)\EleSy\SCADA Infinity\InfinityServer\Security\InfinityDBAccessCfg.exe</t>
  </si>
  <si>
    <t>C:\Program Files (x86)\EleSy\SCADA Infinity\InfinityTools\LogViewer\View_Audit.dll</t>
  </si>
  <si>
    <t>C:\Program Files (x86)\EleSy\SCADA Infinity\InfinityTools\LogViewer\View_MBTCP.dll</t>
  </si>
  <si>
    <t>C:\Program Files (x86)\EleSy\SCADA Infinity\InfinityTools\LogViewer\View_Miec4.dll</t>
  </si>
  <si>
    <t>C:\Program Files (x86)\EleSy\SCADA Infinity\InfinityTools\LogViewer\View_SNMP.dll</t>
  </si>
  <si>
    <t>C:\Program Files (x86)\EleSy\SCADA Infinity\InfinityTools\IB_WISQL.exe</t>
  </si>
  <si>
    <t>C:\Windows\system32\fbclient.dll</t>
  </si>
  <si>
    <t>C:\Program Files (x86)\EleSy\SCADA Infinity\InfinityServer\Configuration\Modules\CfgAddr.dll</t>
  </si>
  <si>
    <t>C:\Program Files (x86)\EleSy\SCADA Infinity\InfinityServer\Configuration\Modules\CfgFtpFileAccessComp.dll</t>
  </si>
  <si>
    <t>C:\Program Files (x86)\EleSy\SCADA Infinity\InfinityServer\Configuration\Modules\CfgICMPComp.dll</t>
  </si>
  <si>
    <t>C:\Program Files (x86)\EleSy\SCADA Infinity\InfinityServer\Configuration\Modules\CfgImportExport.dll</t>
  </si>
  <si>
    <t>C:\Program Files (x86)\EleSy\SCADA Infinity\InfinityServer\Configuration\Modules\CfgLogic2.dll</t>
  </si>
  <si>
    <t>C:\Program Files (x86)\EleSy\SCADA Infinity\InfinityServer\Configuration\Modules\CfgMiec4StdComp.dll</t>
  </si>
  <si>
    <t>C:\Program Files (x86)\EleSy\SCADA Infinity\InfinityServer\Configuration\Modules\CfgModbusComp.dll</t>
  </si>
  <si>
    <t>C:\Program Files (x86)\EleSy\SCADA Infinity\InfinityServer\Configuration\Modules\CfgModbusTCPIPMaster.dll</t>
  </si>
  <si>
    <t>C:\Program Files (x86)\EleSy\SCADA Infinity\InfinityServer\Configuration\Modules\CfgNodeProp.dll</t>
  </si>
  <si>
    <t>C:\Program Files (x86)\EleSy\SCADA Infinity\InfinityServer\Configuration\Modules\CfgNodeProp2.dll</t>
  </si>
  <si>
    <t>C:\Program Files (x86)\EleSy\SCADA Infinity\InfinityServer\Configuration\Modules\CfgOPCAEServer.dll</t>
  </si>
  <si>
    <t>C:\Program Files (x86)\EleSy\SCADA Infinity\InfinityServer\Configuration\Modules\CfgOPCClientComp.dll</t>
  </si>
  <si>
    <t>C:\Program Files (x86)\EleSy\SCADA Infinity\InfinityServer\Configuration\Modules\CfgOPCComp.dll</t>
  </si>
  <si>
    <t>C:\Program Files (x86)\EleSy\SCADA Infinity\InfinityServer\Configuration\Modules\CfgOPCUADataComp.dll</t>
  </si>
  <si>
    <t>C:\Program Files (x86)\EleSy\SCADA Infinity\InfinityServer\Configuration\Modules\CfgRange.dll</t>
  </si>
  <si>
    <t>C:\Program Files (x86)\EleSy\SCADA Infinity\InfinityServer\Configuration\Modules\CfgStatClient.dll</t>
  </si>
  <si>
    <t>C:\Windows\system32\ElesyCalc.dll</t>
  </si>
  <si>
    <t>C:\Program Files (x86)\Common Files\EleSy\System\EleSyConfiguration.dll</t>
  </si>
  <si>
    <t>C:\Program Files (x86)\Common Files\EleSy\System\ElesyServerMgt.dll</t>
  </si>
  <si>
    <t>C:\Program Files (x86)\EleSy\SCADA Infinity\InfinityServer\Configuration\InfinityCfg.exe</t>
  </si>
  <si>
    <t>C:\Program Files (x86)\EleSy\SCADA Infinity\InfinityServer\Configuration\Modules\CfgSiec4StdComp.dll</t>
  </si>
  <si>
    <t>C:\Program Files (x86)\EleSy\SCADA Infinity\InfinityServer\Configuration\Modules\CfgMiec103StdComp.dll</t>
  </si>
  <si>
    <t>C:\Program Files (x86)\EleSy\SCADA Infinity\InfinityServer\Configuration\Modules\CfgOPCClientPropSync.dll</t>
  </si>
  <si>
    <t>C:\Program Files (x86)\EleSy\SCADA Infinity\InfinityServer\Configuration\Modules\CfgOPCUAAEComp.dll</t>
  </si>
  <si>
    <t>C:\Program Files (x86)\EleSy\SCADA Infinity\InfinityServer\Configuration\Modules\CfgSNMPMaster.dll</t>
  </si>
  <si>
    <t>C:\Program Files (x86)\EleSy\SCADA Infinity\InfinityServer\Server\OPCClientPropSync.dll</t>
  </si>
  <si>
    <t>C:\Program Files (x86)\EleSy\SCADA Infinity\InfinityServer\Server\MIEC103StdComp.dll</t>
  </si>
  <si>
    <t>C:\Program Files (x86)\EleSy\SCADA Infinity\InfinityServer\Server\OPCUAAEComp.dll</t>
  </si>
  <si>
    <t>C:\Program Files (x86)\EleSy\SCADA Infinity\InfinityServer\Server\OPCUADataClientComp.dll</t>
  </si>
  <si>
    <t>C:\Program Files (x86)\EleSy\SCADA Infinity\InfinityServer\Server\Logic2.dll</t>
  </si>
  <si>
    <t>C:\Program Files (x86)\EleSy\SCADA Infinity\InfinityServer\Server\ModbusComp.dll</t>
  </si>
  <si>
    <t>C:\Program Files (x86)\EleSy\SCADA Infinity\InfinityServer\Server\ModbusTCPIPMaster.dll</t>
  </si>
  <si>
    <t>C:\Program Files (x86)\EleSy\SCADA Infinity\InfinityServer\Server\OPCAEServer.dll</t>
  </si>
  <si>
    <t>C:\Program Files (x86)\EleSy\SCADA Infinity\InfinityServer\Server\OPCClientComp.dll</t>
  </si>
  <si>
    <t>C:\Program Files (x86)\EleSy\SCADA Infinity\InfinityServer\Server\OPCComp.dll</t>
  </si>
  <si>
    <t>C:\Program Files (x86)\EleSy\SCADA Infinity\InfinityServer\Server\TCPDevice.dll</t>
  </si>
  <si>
    <t>C:\Program Files (x86)\EleSy\SCADA Infinity\InfinityServer\Server\EleSyLog.dll</t>
  </si>
  <si>
    <t>C:\Program Files (x86)\EleSy\SCADA Infinity\InfinityServer\Server\EleSyCS.dll</t>
  </si>
  <si>
    <t>C:\Program Files (x86)\EleSy\SCADA Infinity\InfinityServer\Server\StatClient.dll</t>
  </si>
  <si>
    <t>C:\Program Files (x86)\EleSy\SCADA Infinity\InfinityServer\Server\ICMPComp.dll</t>
  </si>
  <si>
    <t>C:\Program Files (x86)\EleSy\SCADA Infinity\InfinityServer\Server\Siec4StdComp.dll</t>
  </si>
  <si>
    <t>C:\Program Files (x86)\EleSy\SCADA Infinity\InfinityServer\Server\COMPortDevice.dll</t>
  </si>
  <si>
    <t>C:\Program Files (x86)\EleSy\SCADA Infinity\InfinityServer\Server\Miec4StdComp.dll</t>
  </si>
  <si>
    <t>C:\Program Files (x86)\EleSy\SCADA Infinity\InfinityServer\Server\OPCUADataComp.dll</t>
  </si>
  <si>
    <t>C:\Program Files (x86)\EleSy\SCADA Infinity\InfinityServer\Server\FtpFileAccessComp.dll</t>
  </si>
  <si>
    <t>C:\Program Files (x86)\EleSy\SCADA Infinity\InfinityServer\Server\SNMPMaster.dll</t>
  </si>
  <si>
    <t>C:\Program Files (x86)\EleSy\SCADA Infinity\InfinityServer\Server\DeviceFileCatalog.dll</t>
  </si>
  <si>
    <t>C:\Program Files (x86)\EleSy\SCADA Infinity\InfinityServer\Server\InfinitySvrCore.dll</t>
  </si>
  <si>
    <t>C:\Program Files (x86)\EleSy\SCADA Infinity\InfinityServer\Reserve\si3.exe</t>
  </si>
  <si>
    <t>C:\Windows\system32\SecurityModule.dll</t>
  </si>
  <si>
    <t>C:\Data\RESTORE.BAT</t>
  </si>
  <si>
    <t>C:\Data\BACKUP.BAT</t>
  </si>
  <si>
    <t>C:\Data\EleSyDB.sql</t>
  </si>
  <si>
    <t>C:\Data\Infdb.exe</t>
  </si>
  <si>
    <t>C:\Program Files (x86)\EleSy\SCADA Infinity\InfinityTools\LogViewer\View_ISMgt.dll</t>
  </si>
  <si>
    <t>C:\Program Files (x86)\EleSy\SCADA Infinity\InfinityTools\LogViewer\View_HAgent.dll</t>
  </si>
  <si>
    <t>C:\Program Files (x86)\EleSy\SCADA Infinity\InfinityTools\LogViewer\View_SIEC4Std.dll</t>
  </si>
  <si>
    <t>C:\Program Files (x86)\EleSy\SCADA Infinity\InfinityTools\LogViewer\View_MIEC103COM.dll</t>
  </si>
  <si>
    <t>C:\Program Files (x86)\EleSy\SCADA Infinity\InfinityTools\LogViewer\View_MIEC103.dll</t>
  </si>
  <si>
    <t>C:\Program Files (x86)\EleSy\SCADA Infinity\InfinityTools\LogViewer\View_FtpFileAccessComp.dll</t>
  </si>
  <si>
    <t>C:\PKI\Trusted\Certs\InfinityServer.OPCUAEventServer.pem</t>
  </si>
  <si>
    <t>C:\PKI\Trusted\Certs\InfinityServer.OPCUAEventServer.der</t>
  </si>
  <si>
    <t>C:\PKI\Trusted\Certs\InfinityServer.OPCUADataServer.pem</t>
  </si>
  <si>
    <t>C:\PKI\Trusted\Certs\InfinityServer.OPCUADataServer.der</t>
  </si>
  <si>
    <t>C:\PKI\Trusted\Certs\InfinityServer.OPCUADataClient.pem</t>
  </si>
  <si>
    <t>C:\PKI\Trusted\Certs\InfinityServer.OPCUADataClient.der</t>
  </si>
  <si>
    <t>C:\Program Files (x86)\EleSy\SCADA Infinity\InfinityTools\OPCtools.exe</t>
  </si>
  <si>
    <t>C:\Windows\SysWOW64\InfinityServerMgt_ps.dll</t>
  </si>
  <si>
    <t>C:\Windows\SysWOW64\log.dll</t>
  </si>
  <si>
    <t>C:\Windows\SysWOW64\MSVCP60.DLL</t>
  </si>
  <si>
    <t>C:\Windows\SysWOW64\fbclient.dll</t>
  </si>
  <si>
    <t>C:\Windows\SysWOW64\ElesyCalc.dll</t>
  </si>
  <si>
    <t>C:\Program Files (x86)\Common Files\Elesy\System\EleSyConfiguration.dll</t>
  </si>
  <si>
    <t>C:\Program Files (x86)\Common Files\Elesy\System\EleSyServerMgt.dll</t>
  </si>
  <si>
    <t>C:\Windows\SysWOW64\scl.dll</t>
  </si>
  <si>
    <t>C:\Windows\SysWOW64\rtl70.bpl</t>
  </si>
  <si>
    <t>C:\Windows\SysWOW64\vcl70.bpl</t>
  </si>
  <si>
    <t>C:\Windows\system32\log.dll</t>
  </si>
  <si>
    <t>C:\Windows\SysWOW64\ElesyDB.dll</t>
  </si>
  <si>
    <t>C:\Windows\SysWOW64\EleSyScDB.dll</t>
  </si>
  <si>
    <t>C:\Windows\SysWOW64\InfinityDatabase.dll</t>
  </si>
  <si>
    <t>C:\Windows\SysWOW64\MFC42.DLL</t>
  </si>
  <si>
    <t>C:\Windows\SysWOW64\VCL50.BPL</t>
  </si>
  <si>
    <t>C:\Windows\SysWOW64\SecurityModule.dll</t>
  </si>
  <si>
    <t>C:\Data\infdb.exe</t>
  </si>
  <si>
    <t>C:\Windows\system32\ElesyDB.dll</t>
  </si>
  <si>
    <t>C:\Program Files (x86)\EleSy\SCADA Infinity\InfinityTools\HASPUpdater.exe</t>
  </si>
  <si>
    <t>C:\Program Files (x86)\EleSy\SCADA Infinity\InfinityTools\Просмотр лицензий.url</t>
  </si>
  <si>
    <t>C:\Program Files (x86)\EleSy\SCADA Infinity\InfinityTools\AOModeler\AOModeler.exe</t>
  </si>
  <si>
    <t>C:\Program Files (x86)\EleSy\SCADA Infinity\InfinityTools\AOModeler\DIO144.dll</t>
  </si>
  <si>
    <t>C:\Program Files (x86)\EleSy\SCADA Infinity\InfinityTools\AOModeler\PCI1724.dll</t>
  </si>
  <si>
    <t>C:\Program Files (x86)\EleSy\SCADA Infinity\InfinityTools\AOModeler\PISO32AI.dll</t>
  </si>
  <si>
    <t>C:\Windows\Inf\DIO144.INF</t>
  </si>
  <si>
    <t>C:\Windows\Inf\PISO813.INF</t>
  </si>
  <si>
    <t>C:\Program Files (x86)\EleSy\SCADA Infinity\InfinityTools\AOModeler\ElsyTM.dll</t>
  </si>
  <si>
    <t>C:\Program Files (x86)\EleSy\SCADA Infinity\InfinityTools\AOModeler\ElsyTMA.dll</t>
  </si>
  <si>
    <t>C:\Program Files (x86)\EleSy\SCADA Infinity\InfinityTools\AOModeler\ICP-DAS\DIO.dll</t>
  </si>
  <si>
    <t>C:\Program Files (x86)\EleSy\SCADA Infinity\InfinityTools\AOModeler\ICP-DAS\DIO144.INF</t>
  </si>
  <si>
    <t>C:\Program Files (x86)\EleSy\SCADA Infinity\InfinityTools\AOModeler\ICP-DAS\NAPDIO.sys</t>
  </si>
  <si>
    <t>C:\Program Files (x86)\EleSy\SCADA Infinity\InfinityTools\AOModeler\ICP-DAS\PISO813.DLL</t>
  </si>
  <si>
    <t>C:\Program Files (x86)\EleSy\SCADA Infinity\InfinityTools\AOModeler\ICP-DAS\PISO813.INF</t>
  </si>
  <si>
    <t>C:\Program Files (x86)\EleSy\SCADA Infinity\InfinityTools\AOModeler\ICP-DAS\PISO813.SYS</t>
  </si>
  <si>
    <t>C:\Program Files (x86)\EleSy\SCADA Infinity\InfinityTools\AOModeler\IECSlaveTCP.dll</t>
  </si>
  <si>
    <t>C:\Program Files (x86)\EleSy\SCADA Infinity\InfinityTools\AOModeler\LogicAnd.dll</t>
  </si>
  <si>
    <t>C:\Program Files (x86)\EleSy\SCADA Infinity\InfinityTools\AOModeler\LogicFront.dll</t>
  </si>
  <si>
    <t>C:\Program Files (x86)\EleSy\SCADA Infinity\InfinityTools\AOModeler\LogicNot.dll</t>
  </si>
  <si>
    <t>C:\Program Files (x86)\EleSy\SCADA Infinity\InfinityTools\AOModeler\LogicOr.dll</t>
  </si>
  <si>
    <t>C:\Program Files (x86)\EleSy\SCADA Infinity\InfinityTools\AOModeler\BKS01.dll</t>
  </si>
  <si>
    <t>C:\Program Files (x86)\EleSy\SCADA Infinity\InfinityTools\AOModeler\BU50.dll</t>
  </si>
  <si>
    <t>C:\Program Files (x86)\EleSy\SCADA Infinity\InfinityTools\AOModeler\BurTD.dll</t>
  </si>
  <si>
    <t>C:\Program Files (x86)\EleSy\SCADA Infinity\InfinityTools\AOModeler\BurTD_TEC.dll</t>
  </si>
  <si>
    <t>C:\Program Files (x86)\EleSy\SCADA Infinity\InfinityTools\AOModeler\COMs.dll</t>
  </si>
  <si>
    <t>C:\Program Files (x86)\EleSy\SCADA Infinity\InfinityTools\AOModeler\Elekton.dll</t>
  </si>
  <si>
    <t>C:\Program Files (x86)\EleSy\SCADA Infinity\InfinityTools\AOModeler\ESDVC.dll</t>
  </si>
  <si>
    <t>C:\Program Files (x86)\EleSy\SCADA Infinity\InfinityTools\AOModeler\ESDVCX.dll</t>
  </si>
  <si>
    <t>C:\Program Files (x86)\EleSy\SCADA Infinity\InfinityTools\AOModeler\ET101M.dll</t>
  </si>
  <si>
    <t>C:\Program Files (x86)\EleSy\SCADA Infinity\InfinityTools\AOModeler\ET420M.dll</t>
  </si>
  <si>
    <t>C:\Program Files (x86)\EleSy\SCADA Infinity\InfinityTools\AOModeler\ET7186.dll</t>
  </si>
  <si>
    <t>C:\Program Files (x86)\EleSy\SCADA Infinity\InfinityTools\AOModeler\ET7382.dll</t>
  </si>
  <si>
    <t>C:\Program Files (x86)\EleSy\SCADA Infinity\InfinityTools\AOModeler\ET7481.dll</t>
  </si>
  <si>
    <t>C:\Program Files (x86)\EleSy\SCADA Infinity\InfinityTools\AOModeler\ET7482.dll</t>
  </si>
  <si>
    <t>C:\Program Files (x86)\EleSy\SCADA Infinity\InfinityTools\AOModeler\ET7491.dll</t>
  </si>
  <si>
    <t>C:\Program Files (x86)\EleSy\SCADA Infinity\InfinityTools\AOModeler\IPCES.dll</t>
  </si>
  <si>
    <t>C:\Program Files (x86)\EleSy\SCADA Infinity\InfinityTools\AOModeler\IPES.dll</t>
  </si>
  <si>
    <t>C:\Program Files (x86)\EleSy\SCADA Infinity\InfinityTools\AOModeler\ModBusClient.dll</t>
  </si>
  <si>
    <t>C:\Program Files (x86)\EleSy\SCADA Infinity\InfinityTools\AOModeler\ModBusServer.dll</t>
  </si>
  <si>
    <t>C:\Program Files (x86)\EleSy\SCADA Infinity\InfinityTools\AOModeler\ModBusSlave.dll</t>
  </si>
  <si>
    <t>C:\Program Files (x86)\EleSy\SCADA Infinity\InfinityTools\AOModeler\MSAP01.dll</t>
  </si>
  <si>
    <t>C:\Program Files (x86)\EleSy\SCADA Infinity\InfinityTools\AOModeler\MSAP01MK.dll</t>
  </si>
  <si>
    <t>C:\Program Files (x86)\EleSy\SCADA Infinity\InfinityTools\AOModeler\RotorkIQ.dll</t>
  </si>
  <si>
    <t>C:\Program Files (x86)\EleSy\SCADA Infinity\InfinityTools\AOModeler\SGOES.dll</t>
  </si>
  <si>
    <t>C:\Program Files (x86)\EleSy\SCADA Infinity\InfinityTools\AOModeler\SHA259.dll</t>
  </si>
  <si>
    <t>C:\Program Files (x86)\EleSy\SCADA Infinity\InfinityTools\AOModeler\TMA301.dll</t>
  </si>
  <si>
    <t>C:\Program Files (x86)\EleSy\SCADA Infinity\InfinityTools\AOModeler\TMD101.dll</t>
  </si>
  <si>
    <t>C:\Program Files (x86)\EleSy\SCADA Infinity\InfinityTools\AOModeler\TMD201.dll</t>
  </si>
  <si>
    <t>C:\Program Files (x86)\EleSy\SCADA Infinity\InfinityTools\AOModeler\OPCClient.dll</t>
  </si>
  <si>
    <t>C:\Program Files (x86)\EleSy\SCADA Infinity\InfinityTools\AOModeler\Valve.dll</t>
  </si>
  <si>
    <t>C:\Program Files (x86)\EleSy\SCADA Infinity\InfinityTools\AOModeler\Tank.dll</t>
  </si>
  <si>
    <t>C:\Program Files (x86)\EleSy\SCADA Infinity\InfinityTools\AOModeler\Switch.dll</t>
  </si>
  <si>
    <t>C:\Program Files (x86)\EleSy\SCADA Infinity\InfinityTools\AOModeler\Shutter.dll</t>
  </si>
  <si>
    <t>C:\Program Files (x86)\EleSy\SCADA Infinity\InfinityTools\AOModeler\Pump.dll</t>
  </si>
  <si>
    <t>C:\Program Files (x86)\EleSy\SCADA Infinity\InfinityTools\AOModeler\Pulse.dll</t>
  </si>
  <si>
    <t>C:\Program Files (x86)\EleSy\SCADA Infinity\InfinityTools\AOModeler\OutSelector.dll</t>
  </si>
  <si>
    <t>C:\Program Files (x86)\EleSy\SCADA Infinity\InfinityTools\AOModeler\Lamp.dll</t>
  </si>
  <si>
    <t>C:\Program Files (x86)\EleSy\SCADA Infinity\InfinityTools\AOModeler\Knob.dll</t>
  </si>
  <si>
    <t>C:\Program Files (x86)\EleSy\SCADA Infinity\InfinityTools\AOModeler\InSelector.dll</t>
  </si>
  <si>
    <t>C:\Program Files (x86)\EleSy\SCADA Infinity\InfinityTools\AOModeler\HVSwitch.dll</t>
  </si>
  <si>
    <t>C:\Program Files (x86)\EleSy\SCADA Infinity\InfinityTools\AOModeler\Gate.dll</t>
  </si>
  <si>
    <t>C:\Program Files (x86)\EleSy\SCADA Infinity\InfinityTools\AOModeler\Fan.dll</t>
  </si>
  <si>
    <t>C:\Program Files (x86)\EleSy\SCADA Infinity\InfinityTools\AOModeler\ASin.dll</t>
  </si>
  <si>
    <t>C:\Program Files (x86)\EleSy\SCADA Infinity\InfinityTools\AOModeler\S7PlcSim.dll</t>
  </si>
  <si>
    <t>C:\Program Files (x86)\EleSy\SCADA Infinity\InfinityTools\AOModeler\IntToBit.dll</t>
  </si>
  <si>
    <t>C:\Program Files (x86)\EleSy\SCADA Infinity\InfinityTools\AOModeler\Scaler.dll</t>
  </si>
  <si>
    <t>C:\Program Files (x86)\EleSy\SCADA Infinity\InfinityTools\AOModeler\BitToInt.dll</t>
  </si>
  <si>
    <t>C:\Program Files (x86)\EleSy\SCADA Infinity\InfinityTools\AOModeler\Counter.dll</t>
  </si>
  <si>
    <t>C:\Program Files (x86)\EleSy\SCADA Infinity\InfinityTools\AOModeler\PID.dll</t>
  </si>
  <si>
    <t>C:\Program Files (x86)\EleSy\SCADA Infinity\InfinityTools\AOModeler\Calc.dll</t>
  </si>
  <si>
    <t>C:\Program Files (x86)\EleSy\SCADA Infinity\InfinityTools\LogViewer\View_MIEC4.dll</t>
  </si>
  <si>
    <t>C:\Program Files (x86)\EleSy\SCADA Infinity\InfinityTools\LogViewer\View_Sender.dll</t>
  </si>
  <si>
    <t>C:\Program Files (x86)\EleSy\SCADA Infinity\InfinityTrends\InfinityTrendViewProj.ocx</t>
  </si>
  <si>
    <t>C:\Program Files (x86)\EleSy\SCADA Infinity\InfinityTrends\InfinityTrends.exe</t>
  </si>
  <si>
    <t>C:\Program Files (x86)\EleSy\SCADA Infinity\InfinityTrends\InfinityTrendsViewer.exe</t>
  </si>
  <si>
    <t>C:\Program Files (x86)\EleSy\SCADA Infinity\InfinityTrends\InfinityWebTrends.OPCDAControl.ocx</t>
  </si>
  <si>
    <t>C:\Program Files (x86)\EleSy\SCADA Infinity\InfinityTrends\InfinityWebTrends.OPCHDAControl.ocx</t>
  </si>
  <si>
    <t xml:space="preserve"> &lt;F ID=©</t>
  </si>
  <si>
    <t>©/&gt;</t>
  </si>
  <si>
    <t>Путь к проекту</t>
  </si>
  <si>
    <t>HMIFolder</t>
  </si>
  <si>
    <t>SubStr(#2.OS,1,FindSubStr(#2.OS,©(©)-1)</t>
  </si>
  <si>
    <t>SubStr(#2.n1,4,FindSubStr(#2.n1,©G©)-4)</t>
  </si>
  <si>
    <t>ReplaceSubStr(#2.FreeSize,©,©,©.©)</t>
  </si>
  <si>
    <t>SubStr(#2.n1,FindSubStr(#2.n1,©;©)+2,StrLen(#2.n1)-FindSubStr(#2.n1,©;©)-3)</t>
  </si>
  <si>
    <t>ReplaceSubStr(#2.hrStorageSize,©,©,©.©)</t>
  </si>
  <si>
    <t>SubStr(#2.n2,4,FindSubStr(#2.n2,©G©)-4)</t>
  </si>
  <si>
    <t>SubStr(#2.n2,FindSubStr(#2.n2,©;©)+2,StrLen(#2.n2)-FindSubStr(#2.n2,©;©)-3)</t>
  </si>
  <si>
    <t>Изменения по сравнению с версией 17.4
1. Исправлен блок AI в формировании Infinity Trends (файл TrendAnpList) - XVLX заменен на Value.
2. Сохранение txt файла для Infinity Trends по умолчанию с именем текущей книги, для добавления в папку "TrendAnpList (по объектам)". Если файл был сохранен в в папку "TrendAnpList (по объектам)" он будет автоматически объединен с другими файлами txt в этой папке в единый файл "TrendAnpList.txt", который используется для формирования списка трендов в Infinity HMI. Содержимое этого файла будет отсортировано в алфавитном порядке автоматически. Если файл был сохранен в другой каталог его также можно объединить с другими файлами, скопировав его в папку "TrendAnpList (по объектам)" и запустив файл "©Объединить файлы©.bat" в этой папке.
3. На экран "Таблица" добавлено меню с кнопками "Полноэкранный режим", "Отмена полноэкранного режим", "Сброс фильтров", "Сохранить и выйти", "Сохранить", "Переместиться вверх таблицы", "Переместиться вниз таблицы".
4. По умолчанию программа открывается на весь экран.</t>
  </si>
  <si>
    <r>
      <rPr>
        <b/>
        <sz val="11"/>
        <color theme="1"/>
        <rFont val="Calibri"/>
        <family val="2"/>
        <charset val="204"/>
        <scheme val="minor"/>
      </rPr>
      <t>Изменения по сравнению с версией 19.0</t>
    </r>
    <r>
      <rPr>
        <sz val="11"/>
        <color theme="1"/>
        <rFont val="Calibri"/>
        <family val="2"/>
        <scheme val="minor"/>
      </rPr>
      <t xml:space="preserve">
1. В настройках добавлена возможность ввода глубины архивации для блоков с буферизацией 
2. Добавлена возможность генерации кода ST для блоков с буферизацией
3. Добавлена возможность генерации упаковки Modbus для панели Weintek для блоков с буферизацией
4. Добавлен блок FB_REG_S в генерацию упаковки Modbus для панели Weintek (с буферизацией и без)</t>
    </r>
  </si>
  <si>
    <r>
      <rPr>
        <b/>
        <sz val="11"/>
        <color theme="1"/>
        <rFont val="Calibri"/>
        <family val="2"/>
        <charset val="204"/>
        <scheme val="minor"/>
      </rPr>
      <t>Изменения по сравнению с версией 19.1</t>
    </r>
    <r>
      <rPr>
        <sz val="11"/>
        <color theme="1"/>
        <rFont val="Calibri"/>
        <family val="2"/>
        <scheme val="minor"/>
      </rPr>
      <t xml:space="preserve">
1. Исправлена ошибка формирования глубины архивации для блоков с буферизацией
2. FB_AI_S, FB_AI_BUF_S: изменен класс сообщения для сообщения (Сработка сигнализации отсечки нуля) на телесигнализацию
3. В блоки FB_DO_S, FB_IMp_S, FB_IMv_S, FB_DO_BUF_S, FB​_IMv_BUF_S добавлены сообщения на сигналы CAON, CAOF, CBON, CBOF
4. Добавлен новый блок FB_dREG_BUF_S - Дискретный регулятор с буферизацией
5. В блоки FB_REG_S, FB_REG_BUF_S, FB_dREG_BUF_S добавлено сообщение на сигнал FCPX
6. Исправлены блоки FB_DO_BUF_S, FB​_IMv_BUF_S в INFINITY и TREI</t>
    </r>
  </si>
  <si>
    <r>
      <rPr>
        <b/>
        <sz val="11"/>
        <color theme="1"/>
        <rFont val="Calibri"/>
        <family val="2"/>
        <charset val="204"/>
        <scheme val="minor"/>
      </rPr>
      <t>Изменения по сравнению с версией 19.2</t>
    </r>
    <r>
      <rPr>
        <sz val="11"/>
        <color theme="1"/>
        <rFont val="Calibri"/>
        <family val="2"/>
        <scheme val="minor"/>
      </rPr>
      <t xml:space="preserve">
1. Для блоков AI, AI_SLIM, AO, AI_BUF, AI_BUF_SLIM добавлена возможность выбора типа переменной - DINT
2. Добавлена конфигурация тегов истории и трендов для BMRZ
3. Обновлены сообщения согласно текущей номенклатуре
4. Внесены корректировки согласно замечаниям ОСТБ
5. Добавлен новый блок в Infinity и TREI FB_HA_UPI_S - Сбор обобщенных сигналов c датчиков по позиции</t>
    </r>
  </si>
  <si>
    <t>iftrue(#1.Commands.coEnwH==1,#1.Commands.sBndwH,#0+10000)</t>
  </si>
  <si>
    <t>iftrue(#1.Commands.coEnaH==1,#1.Commands.sBndaH,#0+10001)</t>
  </si>
  <si>
    <t>iftrue(#1.Commands.coEnwL==1,#1.Commands.sBndwL,#0-10000)</t>
  </si>
  <si>
    <t>iftrue(#1.Commands.coEnaL==1,#1.Commands.sBndaL,#0-10001)</t>
  </si>
  <si>
    <t>#1.Commands.coEnwL &amp;&amp; (#1.Value &lt; #1.Commands.sBndwL) &amp;&amp; !#1.Commands.coRepair</t>
  </si>
  <si>
    <t>#1.Commands.coEnwH &amp;&amp; (#1.Value &gt; #1.Commands.sBndwH) &amp;&amp; !#1.Commands.coRepair</t>
  </si>
  <si>
    <t>#1.Commands.coEnaH &amp;&amp; (#1.Value &gt; #1.Commands.sBndaH) &amp;&amp; !#1.Commands.coRepair</t>
  </si>
  <si>
    <t>#1.Commands.coEnaL &amp;&amp; (#1.Value &lt; #1.Commands.sBndaL) &amp;&amp; !#1.Commands.coRepair</t>
  </si>
  <si>
    <t>sleep(#1.sTOn_Off);if (#2.stOff==0) {#2.wNotOff = 1;} else {#2.wNotOff = 0;}</t>
  </si>
  <si>
    <t>sleep(#1.sTOn_Off);if (#2.stOn==0) {#2.wNotOn = 1;} else {#2.wNotOn = 0;}</t>
  </si>
  <si>
    <t>sleep(1);if (#1.wLoc &amp;&amp; #1.wRem) {#1.wCtrlDbl = 1;} else {#1.wCtrlDbl = 0;};if (!#1.wLoc &amp;&amp; !#1.wRem) {#1.wCtrlUnkw = 1;} else {#1.wCtrlUnkw = 0;}</t>
  </si>
  <si>
    <t>#1.mCntHours &gt;=#1.Commands.smCntHours</t>
  </si>
  <si>
    <t>#1.mCntSumPrt &gt;=#1.Commands.smCntSumPrt</t>
  </si>
  <si>
    <t xml:space="preserve">(#1.mCntSumOn &gt;=#1.Commands.smCntSumOffOn) || (#1.mCntSumOff &gt;=#1.Commands.smCntSumOffOn) </t>
  </si>
  <si>
    <t>IMp</t>
  </si>
  <si>
    <t>IMv</t>
  </si>
  <si>
    <t>IMp_MON</t>
  </si>
  <si>
    <t>IMv_MON</t>
  </si>
  <si>
    <t>IMs_MON</t>
  </si>
  <si>
    <t>IMsp_MON</t>
  </si>
  <si>
    <t>IMt_MON</t>
  </si>
  <si>
    <t>АСУ ТП</t>
  </si>
  <si>
    <t>IMsp</t>
  </si>
  <si>
    <t xml:space="preserve">Изменения по сравнению с версией 8.6
1. Полностью удалены блоки S_IM и S_IM_s_p_v_MON как устаревшие
2. Все блоки переименованы согласно текущей номенклатуре
3. DO:
    - На листе "Таблица" убран столбец "Название тега INFINITY  для выходного значения". Теперь в Infinity команда формируется по другому.
    - Убрано "commands" в названии сигнала.
    - добавлен сигнал в конфигурацию TREI
4. Все FB:
     - сигнал fFault переименован в fFault
     - сигнал DFXX переименован в DFXX
5. FB_REG_S
     - добавлены сигналы CBXX, SFTX, SDTX, SBPX в TREI и Infinity.
Изменения по сравнению с версией 8.5
1. Исправлены блоки S_UPP, S_UPG в Infinity и TREI.
2. S_QSA свойство "Позиция датчика" переименовано в "Тип контролируемого газа"
Изменения по сравнению с версией 8.4
1. Исправлены блоки S_SHOP, S_BTF, S_UPG, S_UPP, S_QOP, S_QSA в Infinity и TREI.
2. Теперь CTRL+V сразу вставляет данные как значения. Результат отменить нельзя
Изменения по сравнению с версией 8.3
1. Блокам SEPAM, BMRZ, BMPA добавлен сигнал NotConnected.
2. Исправлены блоки S_SHPS, S_BTF, S_UPG, S_UPP, S_OZK_KD в Infinity и TREI.
3. На экран "Таблица" добавлена кнопка "Очистить содержимое"
4. Удалены лишние сигналы в блоках S_IMp, S_IMv, S_IMstp, S_IMsp, S_IMs в INFINITY и TREI согласно текущей номенклатуре.
Изменения по сравнению с версией 8.2
1. Отменено ограничение на количество символов в столбце "Префикс для TREI Тэг ОРС для INFINITY" введённое ранее в версии 8.0. Как оказалось ограничений нет.
2. Исправлены блоки S_UPP и S_UPG в TREi и INFINITY в соответствии с текущей номенклатурой
</t>
  </si>
  <si>
    <t>АСУЭ.IMsp</t>
  </si>
  <si>
    <t>АСУЭ.IMs_MON</t>
  </si>
  <si>
    <t>АСУЭ.IMt_MON</t>
  </si>
  <si>
    <t>АСУЭ.IMsp_MON</t>
  </si>
  <si>
    <t>!АСУЭ.ЗРУиКТП.DI_1.Value &amp;&amp; АСУЭ.ЗРУиКТП.IMstp_1.Value</t>
  </si>
  <si>
    <t>!АСУЭ.ЗРУиКТП.DI_1.Value &amp;&amp;</t>
  </si>
  <si>
    <r>
      <rPr>
        <b/>
        <sz val="11"/>
        <color theme="1"/>
        <rFont val="Calibri"/>
        <family val="2"/>
        <charset val="204"/>
        <scheme val="minor"/>
      </rPr>
      <t>Сигналы, передаваемые по ОРС (не используя стандартные блоки шаблонов TREI):</t>
    </r>
    <r>
      <rPr>
        <sz val="11"/>
        <color theme="1"/>
        <rFont val="Calibri"/>
        <family val="2"/>
        <scheme val="minor"/>
      </rPr>
      <t xml:space="preserve">
1. DI - Дискретный входной сигнал (только состояние)
2. DO - Дискретный выходной сигнал (только состояние)
3. AI - Аналоговый входной сигнал
4. SEPAM - Набор сигналов SEPAM
5. BMRZ -Набор сигналов БМРЗ
6. BMPA - Набор сигналов БМПА
7. IMv_SIM - Имитатор задвижки
8. DI_DIAG - Упрощённый дискретный входной сигнал (только для TREI, постфиксы .XVLX и .DVXX добавляются автоматически)
9. DO_DIAG - Упрощённый дискретный выходной сигнал (только для TREI, постфиксы .XVLX и .DVXX добавляются автоматически)
10. PING - Наличие связи с оборудованием через модуль ICMP</t>
    </r>
  </si>
  <si>
    <t>Отсутствие связи с BR41</t>
  </si>
  <si>
    <t>Отсутствие связи с BR42</t>
  </si>
  <si>
    <t>Отсутствие связи с BR43</t>
  </si>
  <si>
    <t>Отсутствие связи с BR44</t>
  </si>
  <si>
    <t>Отсутствие связи с BR45</t>
  </si>
  <si>
    <t>Отсутствие связи с BR46</t>
  </si>
  <si>
    <t>Отсутствие связи с BR47</t>
  </si>
  <si>
    <t>Отсутствие связи с BR48</t>
  </si>
  <si>
    <t>Отсутствие связи с BR49</t>
  </si>
  <si>
    <t>Отсутствие связи с BR50</t>
  </si>
  <si>
    <t>Отсутствие связи с BR51</t>
  </si>
  <si>
    <t>Отсутствие связи с BR52</t>
  </si>
  <si>
    <t>Отсутствие связи с BR53</t>
  </si>
  <si>
    <t>Отсутствие связи с BR54</t>
  </si>
  <si>
    <t>Отсутствие связи с BR55</t>
  </si>
  <si>
    <t>Отсутствие связи с BR56</t>
  </si>
  <si>
    <t>Отсутствие связи с BR57</t>
  </si>
  <si>
    <t>Отсутствие связи с BR58</t>
  </si>
  <si>
    <t>Отсутствие связи с BR59</t>
  </si>
  <si>
    <t>Отсутствие связи с BR60</t>
  </si>
  <si>
    <t>INT_TO_BIT_BR41</t>
  </si>
  <si>
    <t>Выделение битов из байта для BR41</t>
  </si>
  <si>
    <t>INT_TO_BIT_BR42</t>
  </si>
  <si>
    <t>Выделение битов из байта для BR42</t>
  </si>
  <si>
    <t>INT_TO_BIT_BR43</t>
  </si>
  <si>
    <t>Выделение битов из байта для BR43</t>
  </si>
  <si>
    <t>INT_TO_BIT_BR44</t>
  </si>
  <si>
    <t>Выделение битов из байта для BR44</t>
  </si>
  <si>
    <t>INT_TO_BIT_BR45</t>
  </si>
  <si>
    <t>Выделение битов из байта для BR45</t>
  </si>
  <si>
    <t>INT_TO_BIT_BR46</t>
  </si>
  <si>
    <t>Выделение битов из байта для BR46</t>
  </si>
  <si>
    <t>INT_TO_BIT_BR47</t>
  </si>
  <si>
    <t>Выделение битов из байта для BR47</t>
  </si>
  <si>
    <t>INT_TO_BIT_BR48</t>
  </si>
  <si>
    <t>Выделение битов из байта для BR48</t>
  </si>
  <si>
    <t>INT_TO_BIT_BR49</t>
  </si>
  <si>
    <t>Выделение битов из байта для BR49</t>
  </si>
  <si>
    <t>INT_TO_BIT_BR50</t>
  </si>
  <si>
    <t>Выделение битов из байта для BR50</t>
  </si>
  <si>
    <t>INT_TO_BIT_BR51</t>
  </si>
  <si>
    <t>Выделение битов из байта для BR51</t>
  </si>
  <si>
    <t>INT_TO_BIT_BR52</t>
  </si>
  <si>
    <t>Выделение битов из байта для BR52</t>
  </si>
  <si>
    <t>INT_TO_BIT_BR53</t>
  </si>
  <si>
    <t>Выделение битов из байта для BR53</t>
  </si>
  <si>
    <t>INT_TO_BIT_BR54</t>
  </si>
  <si>
    <t>Выделение битов из байта для BR54</t>
  </si>
  <si>
    <t>INT_TO_BIT_BR55</t>
  </si>
  <si>
    <t>Выделение битов из байта для BR55</t>
  </si>
  <si>
    <t>INT_TO_BIT_BR56</t>
  </si>
  <si>
    <t>Выделение битов из байта для BR56</t>
  </si>
  <si>
    <t>INT_TO_BIT_BR57</t>
  </si>
  <si>
    <t>Выделение битов из байта для BR57</t>
  </si>
  <si>
    <t>INT_TO_BIT_BR58</t>
  </si>
  <si>
    <t>Выделение битов из байта для BR58</t>
  </si>
  <si>
    <t>INT_TO_BIT_BR59</t>
  </si>
  <si>
    <t>Выделение битов из байта для BR59</t>
  </si>
  <si>
    <t>INT_TO_BIT_BR60</t>
  </si>
  <si>
    <t>Выделение битов из байта для BR60</t>
  </si>
  <si>
    <t>INT_TO_BIT_BR61</t>
  </si>
  <si>
    <t>Выделение битов из байта для BR61</t>
  </si>
  <si>
    <t>INT_TO_BIT_BR62</t>
  </si>
  <si>
    <t>Выделение битов из байта для BR62</t>
  </si>
  <si>
    <t>INT_TO_BIT_BR63</t>
  </si>
  <si>
    <t>Выделение битов из байта для BR63</t>
  </si>
  <si>
    <t>INT_TO_BIT_BR64</t>
  </si>
  <si>
    <t>Выделение битов из байта для BR64</t>
  </si>
  <si>
    <t>INT_TO_BIT_BR65</t>
  </si>
  <si>
    <t>Выделение битов из байта для BR65</t>
  </si>
  <si>
    <t>INT_TO_BIT_BR66</t>
  </si>
  <si>
    <t>Выделение битов из байта для BR66</t>
  </si>
  <si>
    <t>INT_TO_BIT_BR67</t>
  </si>
  <si>
    <t>Выделение битов из байта для BR67</t>
  </si>
  <si>
    <t>INT_TO_BIT_BR68</t>
  </si>
  <si>
    <t>Выделение битов из байта для BR68</t>
  </si>
  <si>
    <t>INT_TO_BIT_BR69</t>
  </si>
  <si>
    <t>Выделение битов из байта для BR69</t>
  </si>
  <si>
    <t>INT_TO_BIT_BR70</t>
  </si>
  <si>
    <t>Выделение битов из байта для BR70</t>
  </si>
  <si>
    <t>INT_TO_BIT_BR71</t>
  </si>
  <si>
    <t>Выделение битов из байта для BR71</t>
  </si>
  <si>
    <t>INT_TO_BIT_BR72</t>
  </si>
  <si>
    <t>Выделение битов из байта для BR72</t>
  </si>
  <si>
    <t>INT_TO_BIT_BR73</t>
  </si>
  <si>
    <t>Выделение битов из байта для BR73</t>
  </si>
  <si>
    <t>INT_TO_BIT_BR74</t>
  </si>
  <si>
    <t>Выделение битов из байта для BR74</t>
  </si>
  <si>
    <t>INT_TO_BIT_BR75</t>
  </si>
  <si>
    <t>Выделение битов из байта для BR75</t>
  </si>
  <si>
    <t>INT_TO_BIT_BR76</t>
  </si>
  <si>
    <t>Выделение битов из байта для BR76</t>
  </si>
  <si>
    <t>INT_TO_BIT_BR77</t>
  </si>
  <si>
    <t>Выделение битов из байта для BR77</t>
  </si>
  <si>
    <t>INT_TO_BIT_BR78</t>
  </si>
  <si>
    <t>Выделение битов из байта для BR78</t>
  </si>
  <si>
    <t>INT_TO_BIT_BR79</t>
  </si>
  <si>
    <t>Выделение битов из байта для BR79</t>
  </si>
  <si>
    <t>INT_TO_BIT_BR80</t>
  </si>
  <si>
    <t>Выделение битов из байта для BR80</t>
  </si>
  <si>
    <t>INT_TO_BIT_BR81</t>
  </si>
  <si>
    <t>Выделение битов из байта для BR81</t>
  </si>
  <si>
    <t>INT_TO_BIT_BR82</t>
  </si>
  <si>
    <t>Выделение битов из байта для BR82</t>
  </si>
  <si>
    <t>INT_TO_BIT_BR83</t>
  </si>
  <si>
    <t>Выделение битов из байта для BR83</t>
  </si>
  <si>
    <t>INT_TO_BIT_BR84</t>
  </si>
  <si>
    <t>Выделение битов из байта для BR84</t>
  </si>
  <si>
    <t>INT_TO_BIT_BR85</t>
  </si>
  <si>
    <t>Выделение битов из байта для BR85</t>
  </si>
  <si>
    <t>INT_TO_BIT_BR86</t>
  </si>
  <si>
    <t>Выделение битов из байта для BR86</t>
  </si>
  <si>
    <t>INT_TO_BIT_BR87</t>
  </si>
  <si>
    <t>Выделение битов из байта для BR87</t>
  </si>
  <si>
    <t>INT_TO_BIT_BR88</t>
  </si>
  <si>
    <t>Выделение битов из байта для BR88</t>
  </si>
  <si>
    <t>INT_TO_BIT_BR89</t>
  </si>
  <si>
    <t>Выделение битов из байта для BR89</t>
  </si>
  <si>
    <t>INT_TO_BIT_BR90</t>
  </si>
  <si>
    <t>Выделение битов из байта для BR90</t>
  </si>
  <si>
    <t>INT_TO_BIT_BR91</t>
  </si>
  <si>
    <t>Выделение битов из байта для BR91</t>
  </si>
  <si>
    <t>INT_TO_BIT_BR92</t>
  </si>
  <si>
    <t>Выделение битов из байта для BR92</t>
  </si>
  <si>
    <t>INT_TO_BIT_BR93</t>
  </si>
  <si>
    <t>Выделение битов из байта для BR93</t>
  </si>
  <si>
    <t>INT_TO_BIT_BR94</t>
  </si>
  <si>
    <t>Выделение битов из байта для BR94</t>
  </si>
  <si>
    <t>INT_TO_BIT_BR95</t>
  </si>
  <si>
    <t>Выделение битов из байта для BR95</t>
  </si>
  <si>
    <t>INT_TO_BIT_BR96</t>
  </si>
  <si>
    <t>Выделение битов из байта для BR96</t>
  </si>
  <si>
    <t>INT_TO_BIT_BR97</t>
  </si>
  <si>
    <t>Выделение битов из байта для BR97</t>
  </si>
  <si>
    <t>INT_TO_BIT_BR98</t>
  </si>
  <si>
    <t>Выделение битов из байта для BR98</t>
  </si>
  <si>
    <t>INT_TO_BIT_BR99</t>
  </si>
  <si>
    <t>Выделение битов из байта для BR99</t>
  </si>
  <si>
    <t>INT_TO_BIT_BR100</t>
  </si>
  <si>
    <t>Выделение битов из байта для BR100</t>
  </si>
  <si>
    <t>Отсутствие связи с BR61</t>
  </si>
  <si>
    <t>Отсутствие связи с BR62</t>
  </si>
  <si>
    <t>Отсутствие связи с BR63</t>
  </si>
  <si>
    <t>Отсутствие связи с BR64</t>
  </si>
  <si>
    <t>Отсутствие связи с BR65</t>
  </si>
  <si>
    <t>Отсутствие связи с BR66</t>
  </si>
  <si>
    <t>Отсутствие связи с BR67</t>
  </si>
  <si>
    <t>Отсутствие связи с BR68</t>
  </si>
  <si>
    <t>Отсутствие связи с BR69</t>
  </si>
  <si>
    <t>Отсутствие связи с BR70</t>
  </si>
  <si>
    <t>Отсутствие связи с BR71</t>
  </si>
  <si>
    <t>Отсутствие связи с BR72</t>
  </si>
  <si>
    <t>Отсутствие связи с BR73</t>
  </si>
  <si>
    <t>Отсутствие связи с BR74</t>
  </si>
  <si>
    <t>Отсутствие связи с BR75</t>
  </si>
  <si>
    <t>Отсутствие связи с BR76</t>
  </si>
  <si>
    <t>Отсутствие связи с BR77</t>
  </si>
  <si>
    <t>Отсутствие связи с BR78</t>
  </si>
  <si>
    <t>Отсутствие связи с BR79</t>
  </si>
  <si>
    <t>Отсутствие связи с BR80</t>
  </si>
  <si>
    <t>Отсутствие связи с BR81</t>
  </si>
  <si>
    <t>Отсутствие связи с BR82</t>
  </si>
  <si>
    <t>Отсутствие связи с BR83</t>
  </si>
  <si>
    <t>Отсутствие связи с BR84</t>
  </si>
  <si>
    <t>Отсутствие связи с BR85</t>
  </si>
  <si>
    <t>Отсутствие связи с BR86</t>
  </si>
  <si>
    <t>Отсутствие связи с BR87</t>
  </si>
  <si>
    <t>Отсутствие связи с BR88</t>
  </si>
  <si>
    <t>Отсутствие связи с BR89</t>
  </si>
  <si>
    <t>Отсутствие связи с BR90</t>
  </si>
  <si>
    <t>Отсутствие связи с BR91</t>
  </si>
  <si>
    <t>Отсутствие связи с BR92</t>
  </si>
  <si>
    <t>Отсутствие связи с BR93</t>
  </si>
  <si>
    <t>Отсутствие связи с BR94</t>
  </si>
  <si>
    <t>Отсутствие связи с BR95</t>
  </si>
  <si>
    <t>Отсутствие связи с BR96</t>
  </si>
  <si>
    <t>Отсутствие связи с BR97</t>
  </si>
  <si>
    <t>Отсутствие связи с BR98</t>
  </si>
  <si>
    <t>Отсутствие связи с BR99</t>
  </si>
  <si>
    <t>Отсутствие связи с BR100</t>
  </si>
  <si>
    <t>BR61</t>
  </si>
  <si>
    <t>BR62</t>
  </si>
  <si>
    <t>BR63</t>
  </si>
  <si>
    <t>BR64</t>
  </si>
  <si>
    <t>BR65</t>
  </si>
  <si>
    <t>BR66</t>
  </si>
  <si>
    <t>BR67</t>
  </si>
  <si>
    <t>BR68</t>
  </si>
  <si>
    <t>BR69</t>
  </si>
  <si>
    <t>BR70</t>
  </si>
  <si>
    <t>BR71</t>
  </si>
  <si>
    <t>BR72</t>
  </si>
  <si>
    <t>BR73</t>
  </si>
  <si>
    <t>BR74</t>
  </si>
  <si>
    <t>BR75</t>
  </si>
  <si>
    <t>BR76</t>
  </si>
  <si>
    <t>BR77</t>
  </si>
  <si>
    <t>BR78</t>
  </si>
  <si>
    <t>BR79</t>
  </si>
  <si>
    <t>BR80</t>
  </si>
  <si>
    <t>BR81</t>
  </si>
  <si>
    <t>BR82</t>
  </si>
  <si>
    <t>BR83</t>
  </si>
  <si>
    <t>BR84</t>
  </si>
  <si>
    <t>BR85</t>
  </si>
  <si>
    <t>BR86</t>
  </si>
  <si>
    <t>BR87</t>
  </si>
  <si>
    <t>BR88</t>
  </si>
  <si>
    <t>BR89</t>
  </si>
  <si>
    <t>BR90</t>
  </si>
  <si>
    <t>BR91</t>
  </si>
  <si>
    <t>BR92</t>
  </si>
  <si>
    <t>BR93</t>
  </si>
  <si>
    <t>BR94</t>
  </si>
  <si>
    <t>BR95</t>
  </si>
  <si>
    <t>BR96</t>
  </si>
  <si>
    <t>BR97</t>
  </si>
  <si>
    <t>BR98</t>
  </si>
  <si>
    <t>BR99</t>
  </si>
  <si>
    <t>BR100</t>
  </si>
  <si>
    <t>1</t>
  </si>
  <si>
    <t>5</t>
  </si>
  <si>
    <t>6</t>
  </si>
  <si>
    <t>7</t>
  </si>
  <si>
    <t>8</t>
  </si>
  <si>
    <t>9</t>
  </si>
  <si>
    <t>10</t>
  </si>
  <si>
    <t>11</t>
  </si>
  <si>
    <t>12</t>
  </si>
  <si>
    <t>13</t>
  </si>
  <si>
    <t>2</t>
  </si>
  <si>
    <t>3</t>
  </si>
  <si>
    <t>4</t>
  </si>
  <si>
    <r>
      <rPr>
        <b/>
        <sz val="11"/>
        <color theme="1"/>
        <rFont val="Calibri"/>
        <family val="2"/>
        <charset val="204"/>
        <scheme val="minor"/>
      </rPr>
      <t>Изменения по сравнению с версией 19.3</t>
    </r>
    <r>
      <rPr>
        <sz val="11"/>
        <color theme="1"/>
        <rFont val="Calibri"/>
        <family val="2"/>
        <scheme val="minor"/>
      </rPr>
      <t xml:space="preserve">
1. Для блоков BMRZ и BMPA добавлена возможность выбора цвета и формулы для окрашивания тележки под напряжением - для шаблонов в которых состояние тележки приходит по цифре
2. В конфигурации добавлены новые модули для выбора M548A, M558D, M558O, M541HR
3. В SEPAM добавлена возможность выбора нового типа ячейки - VG (ввод от генератора), TZN (трансформатор заземления нейтрали)</t>
    </r>
  </si>
  <si>
    <t>if (#0 &amp;&amp; !#1.stOff) {#1.mCntSeconds=#1.mCntSeconds+1;}</t>
  </si>
  <si>
    <t>vt_i1</t>
  </si>
  <si>
    <t>if (#0.coReset) {#1.mCntHours=0; #1.mCntMinutes=0; #1.mCntSeconds=0; sleep(1); #0.coReset=0;}</t>
  </si>
  <si>
    <t>if (#0.coRst) {#1.wNotOff=0; #1.wNotOn=0; sleep(1); #0.coRst=0;}</t>
  </si>
  <si>
    <t>Наработка Часы</t>
  </si>
  <si>
    <t>if (#0.mCntMinutes&gt;59) {#0.mCntHours=#0.mCntHours+1; #0.mCntMinutes=0;}</t>
  </si>
  <si>
    <t>Наработка Минуты</t>
  </si>
  <si>
    <t>if (#0.mCntSeconds&gt;59) {#0.mCntMinutes=#0.mCntMinutes+1; #0.mCntSeconds=0;}</t>
  </si>
  <si>
    <t>Наработка Секунды</t>
  </si>
  <si>
    <t>#0.fFault || #0.fOverload || #0.wNotOff|| #0.wNotOn|| #0.wUnkw || #0.wDbl || #0.wCtrlUnkw || #0.wCtrlDbl</t>
  </si>
  <si>
    <t>Нет связи с устройством</t>
  </si>
  <si>
    <t>Уставка наработки по переключениям</t>
  </si>
  <si>
    <t>if (#0.coReset) {#1.mCntSumOff=0; #1.mCntSumOn=0; sleep(1); #0.coReset=0;}</t>
  </si>
  <si>
    <t>Количество включений</t>
  </si>
  <si>
    <t xml:space="preserve"> #0.fFault || #0.wNotOff|| #0.wNotOn|| #0.wUnkw || #0.wDbl || #0.wCtrlUnkw || #0.wCtrlDbl</t>
  </si>
  <si>
    <t>Плакат "Заземлено"</t>
  </si>
  <si>
    <t>Плакат "Работа на линии"</t>
  </si>
  <si>
    <t>Плакат "Работают люди"</t>
  </si>
  <si>
    <t>Плакат "Под напряжением"</t>
  </si>
  <si>
    <t>Уставка наработки по авар. отключениям</t>
  </si>
  <si>
    <t>if (#0.coReset) {#1.mCntSumPrt=0; #1.mCntSumOff=0; #1.mCntSumOn=0; sleep(1); #0.coReset=0;}</t>
  </si>
  <si>
    <t>Диспетчерская метка</t>
  </si>
  <si>
    <t>Количество аварийных отключений</t>
  </si>
  <si>
    <t>#0.aPrt || #0.fFault || #0.wNotOff|| #0.wNotOn|| #0.wUnkw || #0.wDbl || #0.wCtrlUnkw || #0.wCtrlDbl</t>
  </si>
  <si>
    <t>#0.fFault || #0.wUnkw || #0.wDbl</t>
  </si>
  <si>
    <t>#0.aPrt || #0.fFault || #0.wUnkw || #0.wDbl</t>
  </si>
  <si>
    <t>#0.fFault || #0.wTUnkw || #0.wTDbl</t>
  </si>
  <si>
    <t>if(#0.fNolinkDevice) {#0.stTOn.3=0;#0.stTOff.3=0;} else {#0.stTOn.3=192;#0.stTOff.3=192;}</t>
  </si>
  <si>
    <t>sleep(1); if (#1.stTOn &amp;&amp; #1.stTOff) {#1.wTDbl = 1;} else {#1.wTDbl = 0;}; if (!#1.stTOn &amp;&amp; !#1.stTOff) {#1.wTUnkw = 1;} else {#1.wTUnkw = 0;}</t>
  </si>
  <si>
    <t>#0.aPrt || #0.fFault || #0.wNotOff|| #0.wNotOn|| #0.wUnkw || #0.wDbl || #0.wCtrlUnkw || #0.wCtrlDbl || #0.wTUnkw || #0.wTDbl</t>
  </si>
  <si>
    <t>IMstp</t>
  </si>
  <si>
    <t>IM_ADES</t>
  </si>
  <si>
    <t>АСУЭ.IM_ADES</t>
  </si>
  <si>
    <t>АСУЭ.IMstp</t>
  </si>
  <si>
    <r>
      <t xml:space="preserve">FB_IMt_MON_S, IMt_MON: </t>
    </r>
    <r>
      <rPr>
        <sz val="11"/>
        <color theme="1"/>
        <rFont val="Calibri"/>
        <family val="2"/>
        <charset val="204"/>
      </rPr>
      <t>Только для трансформатора. Цвет нижних обмоток(-ки) при наличии напряжения</t>
    </r>
  </si>
  <si>
    <r>
      <t xml:space="preserve">FB_IMstp_S, FB_IMs_S, FB_IMsp_S, S_ IMst_MON, FB_IMt_MON_S, BMRZ, BMPA, IMstp, IMs_MON, IMt_MON: </t>
    </r>
    <r>
      <rPr>
        <sz val="11"/>
        <color theme="1"/>
        <rFont val="Calibri"/>
        <family val="2"/>
        <charset val="204"/>
      </rPr>
      <t xml:space="preserve">Цвет линии при наличии напряжения </t>
    </r>
    <r>
      <rPr>
        <b/>
        <sz val="11"/>
        <color theme="1"/>
        <rFont val="Calibri"/>
        <family val="2"/>
        <charset val="204"/>
      </rPr>
      <t xml:space="preserve">
FB_DI_S, FB_DO_S, DI, DI_DIAG: </t>
    </r>
    <r>
      <rPr>
        <sz val="11"/>
        <color theme="1"/>
        <rFont val="Calibri"/>
        <family val="2"/>
        <charset val="204"/>
      </rPr>
      <t>Цвет иконки</t>
    </r>
    <r>
      <rPr>
        <b/>
        <sz val="11"/>
        <color theme="1"/>
        <rFont val="Calibri"/>
        <family val="2"/>
        <charset val="204"/>
      </rPr>
      <t xml:space="preserve">
FB_IM_ADES_S, IM_ADES: </t>
    </r>
    <r>
      <rPr>
        <sz val="11"/>
        <color theme="1"/>
        <rFont val="Calibri"/>
        <family val="2"/>
        <charset val="204"/>
      </rPr>
      <t>Цвет состояния работа</t>
    </r>
  </si>
  <si>
    <r>
      <t xml:space="preserve">Для TREI
FB_AI_S: </t>
    </r>
    <r>
      <rPr>
        <sz val="11"/>
        <color theme="1"/>
        <rFont val="Calibri"/>
        <family val="2"/>
        <charset val="204"/>
      </rPr>
      <t>Тип входного значения( 0-мА; 1-мВ; 2-цифровое)</t>
    </r>
    <r>
      <rPr>
        <b/>
        <sz val="11"/>
        <color theme="1"/>
        <rFont val="Calibri"/>
        <family val="2"/>
        <charset val="204"/>
      </rPr>
      <t xml:space="preserve">
FB_DI_S: </t>
    </r>
    <r>
      <rPr>
        <sz val="11"/>
        <color theme="1"/>
        <rFont val="Calibri"/>
        <family val="2"/>
        <charset val="204"/>
      </rPr>
      <t>Время фильтрации</t>
    </r>
    <r>
      <rPr>
        <b/>
        <sz val="11"/>
        <color theme="1"/>
        <rFont val="Calibri"/>
        <family val="2"/>
        <charset val="204"/>
      </rPr>
      <t xml:space="preserve">
FB_IMp_S, FB_IMv_S, FB_IM_ADES_S: </t>
    </r>
    <r>
      <rPr>
        <sz val="11"/>
        <color theme="1"/>
        <rFont val="Calibri"/>
        <family val="2"/>
        <charset val="204"/>
      </rPr>
      <t xml:space="preserve">Время подачи команды
</t>
    </r>
    <r>
      <rPr>
        <b/>
        <sz val="11"/>
        <color theme="1"/>
        <rFont val="Calibri"/>
        <family val="2"/>
        <charset val="204"/>
      </rPr>
      <t>AI, AO, AI_SLIM:</t>
    </r>
    <r>
      <rPr>
        <sz val="11"/>
        <color theme="1"/>
        <rFont val="Calibri"/>
        <family val="2"/>
        <charset val="204"/>
      </rPr>
      <t xml:space="preserve"> Тип переменной (INT, REAL)
</t>
    </r>
  </si>
  <si>
    <r>
      <rPr>
        <b/>
        <sz val="11"/>
        <color theme="1"/>
        <rFont val="Calibri"/>
        <family val="2"/>
        <charset val="204"/>
        <scheme val="minor"/>
      </rPr>
      <t>Изменения по сравнению с версией 19.4</t>
    </r>
    <r>
      <rPr>
        <sz val="11"/>
        <color theme="1"/>
        <rFont val="Calibri"/>
        <family val="2"/>
        <scheme val="minor"/>
      </rPr>
      <t xml:space="preserve">
1. FB_AI_S в Infinity - добавлено новое свойство для отображения единицы измерений входного параметра на окне управления (мА, В, цифр.)
2. БМПА в Infinity - в сообщении АВ переименовано на СВ
3. Для блоков с буферизацией и меток времени изменен порядок формирования индекса в глобальном журанле TREI, теперь он формирутеся сверху вниз, а не наоборот как раньше  </t>
    </r>
  </si>
  <si>
    <t>C:\Program Files\EleSy\SCADA Infinity\InfinityServer\Server\si.exe</t>
  </si>
  <si>
    <t>C:\Program Files\Common Files\EleSy\System\SecurityMgt_PS.dll</t>
  </si>
  <si>
    <t>C:\Program Files\EleSy\SCADA Infinity\InfinityServer\Server\InfinitySvrCore.dll</t>
  </si>
  <si>
    <t>C:\Program Files\Common Files\Elesy\System\EleSyConfiguration.dll</t>
  </si>
  <si>
    <t>C:\Program Files\Common Files\Elesy\System\EleSyServerMgt.dll</t>
  </si>
  <si>
    <t>C:\Program Files\EleSy\SCADA Infinity\InfinityServer\Server\InfinityServer.exe</t>
  </si>
  <si>
    <t>C:\Program Files\EleSy\SCADA Infinity\InfinityServer\Server\Siec4StdComp.dll</t>
  </si>
  <si>
    <t>C:\Program Files\EleSy\SCADA Infinity\InfinityServer\Server\EleSyCS.dll</t>
  </si>
  <si>
    <t>C:\Program Files\EleSy\SCADA Infinity\InfinityServer\Server\Logic2.dll</t>
  </si>
  <si>
    <t>C:\Program Files\EleSy\SCADA Infinity\InfinityServer\Server\ICMPComp.dll</t>
  </si>
  <si>
    <t>C:\Program Files\EleSy\SCADA Infinity\InfinityServer\Server\SNMPMaster.dll</t>
  </si>
  <si>
    <t>C:\Program Files\EleSy\SCADA Infinity\InfinityServer\Server\OPCAEServer.dll</t>
  </si>
  <si>
    <t>C:\Program Files\EleSy\SCADA Infinity\InfinityServer\Server\TCPDevice.dll</t>
  </si>
  <si>
    <t>C:\Program Files\EleSy\SCADA Infinity\InfinityServer\Server\OPCComp.dll</t>
  </si>
  <si>
    <t>C:\Program Files\EleSy\SCADA Infinity\InfinityServer\Server\ModbusComp.dll</t>
  </si>
  <si>
    <t>C:\Program Files\EleSy\SCADA Infinity\InfinityServer\Server\EleSyLog.dll</t>
  </si>
  <si>
    <t>C:\Program Files\EleSy\SCADA Infinity\InfinityServer\Server\StatClient.dll</t>
  </si>
  <si>
    <t>C:\Program Files\Common Files\EleSy\System\EleSyStatistic.dll</t>
  </si>
  <si>
    <t>C:\Program Files\EleSy\SCADA Infinity\InfinityHistoryServer3.0\svrcfgtr.dll</t>
  </si>
  <si>
    <t>C:\Program Files\EleSy\SCADA Infinity\InfinityHistoryServer3.0\opcrs.dll</t>
  </si>
  <si>
    <t>C:\Program Files\EleSy\SCADA Infinity\InfinityHistoryServer3.0\datsprt.dll</t>
  </si>
  <si>
    <t>C:\Program Files\EleSy\SCADA Infinity\InfinityHistoryServer3.0\config.dll</t>
  </si>
  <si>
    <t>C:\Program Files\EleSy\SCADA Infinity\InfinityHistoryServer3.0\dsc.dll</t>
  </si>
  <si>
    <t>C:\Program Files\EleSy\SCADA Infinity\InfinityHistoryServer3.0\hsvrkrnl.dll</t>
  </si>
  <si>
    <t>C:\Program Files\EleSy\SCADA Infinity\InfinityHistoryServer3.0\opcda.dll</t>
  </si>
  <si>
    <t>C:\Program Files\EleSy\SCADA Infinity\InfinityHistoryServer3.0\hsvrcfg.exe</t>
  </si>
  <si>
    <t>C:\Program Files\EleSy\SCADA Infinity\InfinityHistoryServer3.0\cfgstg.dll</t>
  </si>
  <si>
    <t>C:\Program Files\EleSy\SCADA Infinity\InfinityHistoryServer3.0\cfgmf.dll</t>
  </si>
  <si>
    <t>C:\Program Files\EleSy\SCADA Infinity\InfinityHistoryServer3.0\opcae.dll</t>
  </si>
  <si>
    <t>C:\Program Files\EleSy\SCADA Infinity\InfinityHistoryServer3.0\ihsds.dll</t>
  </si>
  <si>
    <t>C:\Program Files\EleSy\SCADA Infinity\InfinityHistoryServer3.0\hscimp.imx</t>
  </si>
  <si>
    <t>C:\Program Files\EleSy\SCADA Infinity\InfinityHistoryServer3.0\cas.dll</t>
  </si>
  <si>
    <t>C:\Program Files\EleSy\SCADA Infinity\InfinityHistoryServer3.0\dq.dll</t>
  </si>
  <si>
    <t>C:\Program Files\EleSy\SCADA Infinity\InfinityHistoryServer3.0\dtbufsmgr.dll</t>
  </si>
  <si>
    <t>C:\Program Files\EleSy\SCADA Infinity\InfinityHistoryServer3.0\clctr.exe</t>
  </si>
  <si>
    <t>C:\Program Files\EleSy\SCADA Infinity\InfinityHistoryServer3.0\stat.dll</t>
  </si>
  <si>
    <t>C:\Program Files\EleSy\SCADA Infinity\InfinityHistoryServer3.0\hcsipclnt.dll</t>
  </si>
  <si>
    <t>C:\Program Files\EleSy\SCADA Infinity\InfinityHistoryServer3.0\appmgr.dll</t>
  </si>
  <si>
    <t>C:\Program Files\EleSy\SCADA Infinity\InfinityHistoryServer3.0\clsfac.dll</t>
  </si>
  <si>
    <t>C:\Program Files\EleSy\SCADA Infinity\InfinityHistoryServer3.0\storage.dll</t>
  </si>
  <si>
    <t>C:\Program Files\EleSy\SCADA Infinity\InfinityHistoryServer3.0\opchda.dll</t>
  </si>
  <si>
    <t>C:\Program Files\EleSy\SCADA Infinity\InfinityHistoryServer3.0\hcsipsvr.dll</t>
  </si>
  <si>
    <t>C:\Program Files\EleSy\SCADA Infinity\InfinityHistoryServer3.0\hae.dll</t>
  </si>
  <si>
    <t>C:\Program Files\EleSy\SCADA Infinity\InfinityHistoryServer3.0\hs2xdb.dll</t>
  </si>
  <si>
    <t>C:\Program Files\EleSy\SCADA Infinity\InfinityHistoryServer3.0\hdw.dll</t>
  </si>
  <si>
    <t>C:\Program Files\EleSy\SCADA Infinity\InfinityHistoryServer3.0\hcvtlib.dll</t>
  </si>
  <si>
    <t>C:\Program Files\EleSy\SCADA Infinity\InfinityHistoryServer3.0\ibcvt.dll</t>
  </si>
  <si>
    <t>C:\Program Files\EleSy\SCADA Infinity\InfinityHistoryServer3.0\hsvr.exe</t>
  </si>
  <si>
    <t>M558DR</t>
  </si>
  <si>
    <t>Значения модуля не достоверны</t>
  </si>
  <si>
    <t>M538V</t>
  </si>
  <si>
    <t>Питание 1 каналов ниже нормы</t>
  </si>
  <si>
    <t>Питание 1 каналов выше нормы</t>
  </si>
  <si>
    <t>Питание 2 каналов ниже нормы</t>
  </si>
  <si>
    <t>Питание 2 каналов выше нормы</t>
  </si>
  <si>
    <r>
      <rPr>
        <b/>
        <sz val="11"/>
        <color theme="1"/>
        <rFont val="Calibri"/>
        <family val="2"/>
        <charset val="204"/>
        <scheme val="minor"/>
      </rPr>
      <t>Изменения по сравнению с версией 19.5</t>
    </r>
    <r>
      <rPr>
        <sz val="11"/>
        <color theme="1"/>
        <rFont val="Calibri"/>
        <family val="2"/>
        <scheme val="minor"/>
      </rPr>
      <t xml:space="preserve">
1. Исправлена ошибка формирования индексов файла XML для блоков с буферизацией
2. В блоках FB_REG_S, FB_dREG_BUF_S для Infinity тип сигнала SAPV исправлен с INT на REAL
3. Количество добавляемых модулей на листе "Конфигурация TREI" увеличено до 60.
4. FB_BTF_S (Infinity) – исправлена ошибка в названии переменной FFSC (КЗ цепи сигнала Неисправность)
5. Для блоков FB_SHPS_S(TREI), FB_BTF_S(TREI), FB_UPP_S(TREI), FB_UPG_S(TREI), FB_KL_UPT_S(TREI), FB_OZK_KD_S(TREI), FB_SHOP_S(TREI), FB_QSA_S(TREI), FB_SH_ALL(TREI), FB_SHOP_ALL(TREI), FB_QSA_ALL(TREI), FB_DO_STB_S(TREI), FB_MPS_S (TREI) изменен параметр «Хранить/резерв» на TRUE для всех входных переменных.
6. Добавлена возможность генерации файла контрольных сумм модулей Infinity и папки проекта Infinity.
7. В блоках AI(INFINITY) и AI_BUF(INFINITY) удалены сигналы sBndaH, sBndaL, sBndwH, sBndwL как избыточные. Формулы на остальные сигналах этих блоков скорректированы. Обновление иконки и окна управления не требуется.
8. FB_dREG_S - сигналу CBXX изменен класс сообщения на Телесигнализация
9. Добавлено формирование списка трендов для блоков FB_AI_BUF_S, AI_SLIM_BUF, AI_BUF, FB_dREG_BUF_S</t>
    </r>
  </si>
  <si>
    <r>
      <t xml:space="preserve">FB_IMstp_S, FB_IMs_S, FB_IMsp_S, S_ IMst_MON, FB_IMt_MON_S, BMRZ, BMPA, IMstp, IMs_MON, IMt_MON: </t>
    </r>
    <r>
      <rPr>
        <sz val="11"/>
        <color theme="1"/>
        <rFont val="Calibri"/>
        <family val="2"/>
        <charset val="204"/>
      </rPr>
      <t xml:space="preserve">Цвет линии при наличии напряжения </t>
    </r>
    <r>
      <rPr>
        <b/>
        <sz val="11"/>
        <color theme="1"/>
        <rFont val="Calibri"/>
        <family val="2"/>
        <charset val="204"/>
      </rPr>
      <t xml:space="preserve">
FB_DI_S, FB_DO_S, DI, DI_DIAG, FB_DO_STB_S, FB_SHOP_S, FB_SHPS_S: </t>
    </r>
    <r>
      <rPr>
        <sz val="11"/>
        <color theme="1"/>
        <rFont val="Calibri"/>
        <family val="2"/>
        <charset val="204"/>
      </rPr>
      <t>Цвет иконки</t>
    </r>
    <r>
      <rPr>
        <b/>
        <sz val="11"/>
        <color theme="1"/>
        <rFont val="Calibri"/>
        <family val="2"/>
        <charset val="204"/>
      </rPr>
      <t xml:space="preserve">
FB_IM_ADES_S, IM_ADES: </t>
    </r>
    <r>
      <rPr>
        <sz val="11"/>
        <color theme="1"/>
        <rFont val="Calibri"/>
        <family val="2"/>
        <charset val="204"/>
      </rPr>
      <t>Цвет состояния работа</t>
    </r>
  </si>
  <si>
    <r>
      <t xml:space="preserve">FB_DI_S, FB_DO_S, DI, DI_DIAG, FB_DO_STB_S, FB_SHOP_S, FB_SHPS_S: </t>
    </r>
    <r>
      <rPr>
        <sz val="11"/>
        <color theme="1"/>
        <rFont val="Calibri"/>
        <family val="2"/>
        <charset val="204"/>
      </rPr>
      <t>Цвет иконки</t>
    </r>
  </si>
  <si>
    <t>#2.stAPV_Ready.AE_AlarmsEnableMask=IfTrue(#0,32,2147483680); #2.stAPV_In.AE_AlarmsEnableMask=IfTrue(#0,32,2147483680); #2.stCHAPV_In.AE_AlarmsEnableMask=IfTrue(#0,32,2147483680); #2.stCtrlCircuitOn.AE_AlarmsEnableMask=IfTrue(#0,32,2147483680); #2.stOn.AE_AlarmsEnableMask=IfTrue(#0,32,2147483680); #2.stOff.AE_AlarmsEnableMask=IfTrue(#0,32,2147483680); #2.stOscilAutoDL.AE_AlarmsEnableMask=IfTrue(#0,32,2147483680); #2.stDisTeleregul.AE_AlarmsEnableMask=IfTrue(#0,32,2147483680); #2.aAccelMTZ.AE_AlarmsEnableMask=IfTrue(#0,32,2147483680); #2.aACHR.AE_AlarmsEnableMask=IfTrue(#0,32,2147483680); #2.aDGZ_KZ.AE_AlarmsEnableMask=IfTrue(#0,32,2147483680); #2.aDGZ_Valve.AE_AlarmsEnableMask=IfTrue(#0,32,2147483680); #2.aExtTrip.AE_AlarmsEnableMask=IfTrue(#0,32,2147483680); #2.aI_Cutoff.AE_AlarmsEnableMask=IfTrue(#0,32,2147483680); #2.aLZL.AE_AlarmsEnableMask=IfTrue(#0,32,2147483680); #2.aMTZ1I.AE_AlarmsEnableMask=IfTrue(#0,32,2147483680); #2.aMTZ2I.AE_AlarmsEnableMask=IfTrue(#0,32,2147483680); #2.aOZZ_Off.AE_AlarmsEnableMask=IfTrue(#0,32,2147483680); #2.aPrt.AE_AlarmsEnableMask=IfTrue(#0,32,2147483680); #2.aUROV.AE_AlarmsEnableMask=IfTrue(#0,32,2147483680); #2.aZMN.AE_AlarmsEnableMask=IfTrue(#0,32,2147483680); #2.wAPV_Success.AE_AlarmsEnableMask=IfTrue(#0,32,2147483680); #2.wAPV1.AE_AlarmsEnableMask=IfTrue(#0,32,2147483680); #2.wAPV2.AE_AlarmsEnableMask=IfTrue(#0,32,2147483680); #2.wCHAPV.AE_AlarmsEnableMask=IfTrue(#0,32,2147483680); #2.wLowBat.AE_AlarmsEnableMask=IfTrue(#0,32,2147483680); #2.wLowU.AE_AlarmsEnableMask=IfTrue(#0,32,2147483680); #2.wOnFromAPV.AE_AlarmsEnableMask=IfTrue(#0,32,2147483680); #2.wOscilBlkRec.AE_AlarmsEnableMask=IfTrue(#0,32,2147483680); #2.wPhaseReverse.AE_AlarmsEnableMask=IfTrue(#0,32,2147483680); #2.wSF6LowPressure.AE_AlarmsEnableMask=IfTrue(#0,32,2147483680); #2.wCall.AE_AlarmsEnableMask=IfTrue(#0,32,2147483680); #2.wCntLimit.AE_AlarmsEnableMask=IfTrue(#0,32,2147483680); #2.wCntLimitI.AE_AlarmsEnableMask=IfTrue(#0,32,2147483680); #2.wCntLimitIKZ.AE_AlarmsEnableMask=IfTrue(#0,32,2147483680); #2.wLoc.AE_AlarmsEnableMask=IfTrue(#0,32,2147483680); #2.wAPV_Unsuccess.AE_AlarmsEnableMask=IfTrue(#0,32,2147483680); #2.wAPV2_Block_when_OZZ.AE_AlarmsEnableMask=IfTrue(#0,32,2147483680); #2.wCmdCircuitFlt.AE_AlarmsEnableMask=IfTrue(#0,32,2147483680); #2.wCmdFlt.AE_AlarmsEnableMask=IfTrue(#0,32,2147483680); #2.wGenFlt.AE_AlarmsEnableMask=IfTrue(#0,32,2147483680); #2.wMotorSpringFlt.AE_AlarmsEnableMask=IfTrue(#0,32,2147483680); #2.wCircuitOnFlt.AE_AlarmsEnableMask=IfTrue(#0,32,2147483680); #2.wOverload.AE_AlarmsEnableMask=IfTrue(#0,32,2147483680); #2.wStateMismatch.AE_AlarmsEnableMask=IfTrue(#0,32,2147483680); #2.wTT_Flt.AE_AlarmsEnableMask=IfTrue(#0,32,2147483680); #2.wNotOn.AE_AlarmsEnableMask=IfTrue(#0,32,2147483680); #2.wNotOff.AE_AlarmsEnableMask=IfTrue(#0,32,2147483680); #2.wDbl.AE_AlarmsEnableMask=IfTrue(#0,32,2147483680); #2.wUnkw.AE_AlarmsEnableMask=IfTrue(#0,32,2147483680); #2.NotConnected.AE_AlarmsEnableMask=IfTrue(#0,32,2147483680);</t>
  </si>
  <si>
    <t>#2.stCtrlCircuitOn.AE_AlarmsEnableMask=IfTrue(#0,32,2147483680); #2.stOn.AE_AlarmsEnableMask=IfTrue(#0,32,2147483680); #2.stOff.AE_AlarmsEnableMask=IfTrue(#0,32,2147483680); #2.stOscilAutoDL.AE_AlarmsEnableMask=IfTrue(#0,32,2147483680); #2.stVNR_In.AE_AlarmsEnableMask=IfTrue(#0,32,2147483680); #2.stDisTeleregul.AE_AlarmsEnableMask=IfTrue(#0,32,2147483680); #2.aAccelMTZ.AE_AlarmsEnableMask=IfTrue(#0,32,2147483680); #2.aDGZ_UROV.AE_AlarmsEnableMask=IfTrue(#0,32,2147483680); #2.aDGZ_Valve.AE_AlarmsEnableMask=IfTrue(#0,32,2147483680); #2.aExtTrip1.AE_AlarmsEnableMask=IfTrue(#0,32,2147483680); #2.aExtTrip2.AE_AlarmsEnableMask=IfTrue(#0,32,2147483680); #2.aLZSH.AE_AlarmsEnableMask=IfTrue(#0,32,2147483680); #2.aMTZ2I.AE_AlarmsEnableMask=IfTrue(#0,32,2147483680); #2.aPrt.AE_AlarmsEnableMask=IfTrue(#0,32,2147483680); #2.aUROV.AE_AlarmsEnableMask=IfTrue(#0,32,2147483680); #2.aVNR.AE_AlarmsEnableMask=IfTrue(#0,32,2147483680); #2.wSV_On_From_AVR.AE_AlarmsEnableMask=IfTrue(#0,32,2147483680); #2.wLowBat.AE_AlarmsEnableMask=IfTrue(#0,32,2147483680); #2.wLowU.AE_AlarmsEnableMask=IfTrue(#0,32,2147483680); #2.wOscilBlkRec.AE_AlarmsEnableMask=IfTrue(#0,32,2147483680); #2.wPhaseReverse.AE_AlarmsEnableMask=IfTrue(#0,32,2147483680); #2.wSF6LowPressure.AE_AlarmsEnableMask=IfTrue(#0,32,2147483680); #2.wCall.AE_AlarmsEnableMask=IfTrue(#0,32,2147483680); #2.wCntLimit.AE_AlarmsEnableMask=IfTrue(#0,32,2147483680); #2.wCntLimitI.AE_AlarmsEnableMask=IfTrue(#0,32,2147483680); #2.wCntLimitIKZ.AE_AlarmsEnableMask=IfTrue(#0,32,2147483680); #2.wLoc.AE_AlarmsEnableMask=IfTrue(#0,32,2147483680); #2.wCmdCircuitFlt.AE_AlarmsEnableMask=IfTrue(#0,32,2147483680); #2.wCmdFlt.AE_AlarmsEnableMask=IfTrue(#0,32,2147483680); #2.wGenFlt.AE_AlarmsEnableMask=IfTrue(#0,32,2147483680); #2.wMotorSpringFlt.AE_AlarmsEnableMask=IfTrue(#0,32,2147483680); #2.wCircuitOnFlt.AE_AlarmsEnableMask=IfTrue(#0,32,2147483680); #2.wStateMismatch.AE_AlarmsEnableMask=IfTrue(#0,32,2147483680); #2.wTT_Flt.AE_AlarmsEnableMask=IfTrue(#0,32,2147483680); #2.wNotOn.AE_AlarmsEnableMask=IfTrue(#0,32,2147483680); #2.wNotOff.AE_AlarmsEnableMask=IfTrue(#0,32,2147483680); #2.wDbl.AE_AlarmsEnableMask=IfTrue(#0,32,2147483680); #2.wUnkw.AE_AlarmsEnableMask=IfTrue(#0,32,2147483680); #2.NotConnected.AE_AlarmsEnableMask=IfTrue(#0,32,2147483680);</t>
  </si>
  <si>
    <t>#2.stCtrlCircuitOn.AE_AlarmsEnableMask=IfTrue(#0,32,2147483680); #2.stOn.AE_AlarmsEnableMask=IfTrue(#0,32,2147483680); #2.stOff.AE_AlarmsEnableMask=IfTrue(#0,32,2147483680); #2.stOscilAutoDL.AE_AlarmsEnableMask=IfTrue(#0,32,2147483680); #2.stDisTeleregul.AE_AlarmsEnableMask=IfTrue(#0,32,2147483680); #2.aAccelMTZ.AE_AlarmsEnableMask=IfTrue(#0,32,2147483680); #2.aAVR_Trip.AE_AlarmsEnableMask=IfTrue(#0,32,2147483680); #2.aDGZ_KZ.AE_AlarmsEnableMask=IfTrue(#0,32,2147483680); #2.aDGZ_UROV.AE_AlarmsEnableMask=IfTrue(#0,32,2147483680); #2.aDGZ_Valve.AE_AlarmsEnableMask=IfTrue(#0,32,2147483680); #2.aExtTrip1.AE_AlarmsEnableMask=IfTrue(#0,32,2147483680); #2.aExtTrip2.AE_AlarmsEnableMask=IfTrue(#0,32,2147483680); #2.aLZSH.AE_AlarmsEnableMask=IfTrue(#0,32,2147483680); #2.aMTZ2I.AE_AlarmsEnableMask=IfTrue(#0,32,2147483680); #2.aPrt.AE_AlarmsEnableMask=IfTrue(#0,32,2147483680); #2.aPrtTN.AE_AlarmsEnableMask=IfTrue(#0,32,2147483680); #2.aUROV.AE_AlarmsEnableMask=IfTrue(#0,32,2147483680); #2.aSV_On_From_AVR.AE_AlarmsEnableMask=IfTrue(#0,32,2147483680); #2.wLowBat.AE_AlarmsEnableMask=IfTrue(#0,32,2147483680); #2.wLowU.AE_AlarmsEnableMask=IfTrue(#0,32,2147483680); #2.wOscilBlkRec.AE_AlarmsEnableMask=IfTrue(#0,32,2147483680); #2.wPhaseReverse.AE_AlarmsEnableMask=IfTrue(#0,32,2147483680); #2.wSF6LowPressure.AE_AlarmsEnableMask=IfTrue(#0,32,2147483680); #2.wTN_Flt.AE_AlarmsEnableMask=IfTrue(#0,32,2147483680); #2.wTN_Off.AE_AlarmsEnableMask=IfTrue(#0,32,2147483680); #2.aOn_from_VNR.AE_AlarmsEnableMask=IfTrue(#0,32,2147483680); #2.wCall.AE_AlarmsEnableMask=IfTrue(#0,32,2147483680); #2.wCntLimit.AE_AlarmsEnableMask=IfTrue(#0,32,2147483680); #2.wCntLimitI.AE_AlarmsEnableMask=IfTrue(#0,32,2147483680); #2.wCntLimitIKZ.AE_AlarmsEnableMask=IfTrue(#0,32,2147483680); #2.wLoc.AE_AlarmsEnableMask=IfTrue(#0,32,2147483680); #2.wCmdCircuitFlt.AE_AlarmsEnableMask=IfTrue(#0,32,2147483680); #2.wCmdFlt.AE_AlarmsEnableMask=IfTrue(#0,32,2147483680); #2.wGenFlt.AE_AlarmsEnableMask=IfTrue(#0,32,2147483680); #2.wMotorSpringFlt.AE_AlarmsEnableMask=IfTrue(#0,32,2147483680); #2.wCircuitOnFlt.AE_AlarmsEnableMask=IfTrue(#0,32,2147483680); #2.wOverload.AE_AlarmsEnableMask=IfTrue(#0,32,2147483680); #2.wStateMismatch.AE_AlarmsEnableMask=IfTrue(#0,32,2147483680); #2.wTT_Flt.AE_AlarmsEnableMask=IfTrue(#0,32,2147483680); #2.wNotOn.AE_AlarmsEnableMask=IfTrue(#0,32,2147483680); #2.wNotOff.AE_AlarmsEnableMask=IfTrue(#0,32,2147483680); #2.wDbl.AE_AlarmsEnableMask=IfTrue(#0,32,2147483680); #2.wUnkw.AE_AlarmsEnableMask=IfTrue(#0,32,2147483680); #2.NotConnected.AE_AlarmsEnableMask=IfTrue(#0,32,2147483680);</t>
  </si>
  <si>
    <t>#2.wACHR_On.AE_AlarmsEnableMask=IfTrue(#0,32,2147483680); #2.stZMN_In.AE_AlarmsEnableMask=IfTrue(#0,32,2147483680); #2.stOscilAutoDL.AE_AlarmsEnableMask=IfTrue(#0,32,2147483680); #2.stDisTeleregul.AE_AlarmsEnableMask=IfTrue(#0,32,2147483680); #2.stAVR_In_BrkPhase_U2.AE_AlarmsEnableMask=IfTrue(#0,32,2147483680); #2.aACHR1.AE_AlarmsEnableMask=IfTrue(#0,32,2147483680); #2.aACHR2.AE_AlarmsEnableMask=IfTrue(#0,32,2147483680); #2.aAVR_BrkPhase_U2.AE_AlarmsEnableMask=IfTrue(#0,32,2147483680); #2.aAVR_U.AE_AlarmsEnableMask=IfTrue(#0,32,2147483680); #2.aDGZ_Valve.AE_AlarmsEnableMask=IfTrue(#0,32,2147483680); #2.aFerrorez.AE_AlarmsEnableMask=IfTrue(#0,32,2147483680); #2.aZMN1.AE_AlarmsEnableMask=IfTrue(#0,32,2147483680); #2.aZMN2.AE_AlarmsEnableMask=IfTrue(#0,32,2147483680); #2.wDGZ_Grab.AE_AlarmsEnableMask=IfTrue(#0,32,2147483680); #2.wHighU.AE_AlarmsEnableMask=IfTrue(#0,32,2147483680); #2.wLowBat.AE_AlarmsEnableMask=IfTrue(#0,32,2147483680); #2.wLowU.AE_AlarmsEnableMask=IfTrue(#0,32,2147483680); #2.wOscilBlkRec.AE_AlarmsEnableMask=IfTrue(#0,32,2147483680); #2.wPhaseReverse.AE_AlarmsEnableMask=IfTrue(#0,32,2147483680); #2.wTN_Off.AE_AlarmsEnableMask=IfTrue(#0,32,2147483680); #2.wCall.AE_AlarmsEnableMask=IfTrue(#0,32,2147483680); #2.wCntLimit.AE_AlarmsEnableMask=IfTrue(#0,32,2147483680); #2.wCntLimitI.AE_AlarmsEnableMask=IfTrue(#0,32,2147483680); #2.wCntLimitIKZ.AE_AlarmsEnableMask=IfTrue(#0,32,2147483680); #2.wBrkPhaseLEP.AE_AlarmsEnableMask=IfTrue(#0,32,2147483680); #2.wV0_Flt.AE_AlarmsEnableMask=IfTrue(#0,32,2147483680); #2.wTN_Flt.AE_AlarmsEnableMask=IfTrue(#0,32,2147483680); #2.wGenFlt.AE_AlarmsEnableMask=IfTrue(#0,32,2147483680); #2.wGndInCircuit.AE_AlarmsEnableMask=IfTrue(#0,32,2147483680); #2.wDbl.AE_AlarmsEnableMask=IfTrue(#0,32,2147483680); #2.wUnkw.AE_AlarmsEnableMask=IfTrue(#0,32,2147483680); #2.NotConnected.AE_AlarmsEnableMask=IfTrue(#0,32,2147483680);</t>
  </si>
  <si>
    <t>sleep(#2.Commands.sTOn_Off);if (#2.stOn==0) {#2.wNotOn = 1;} else {#2.wNotOn = 0;}</t>
  </si>
  <si>
    <t>sleep(#2.Commands.sTOn_Off);if (#2.stOff==0) {#2.wNotOff = 1;} else {#2.wNotOff = 0;}</t>
  </si>
  <si>
    <t>Триггер Включен</t>
  </si>
  <si>
    <t>if (#0.trigOn) {#0.mCntSumOn=#0.mCntSumOn+1;}</t>
  </si>
  <si>
    <t>Триггер Отключен</t>
  </si>
  <si>
    <t>if (#0.trigOff) {#0.mCntSumOff=#0.mCntSumOff+1;}</t>
  </si>
  <si>
    <t>if (#0) {#1.trigOn=1;} else {#1.trigOn=0;}; sleep(1); if (#1.stOn &amp;&amp; #1.stOff) {#1.wDbl = 1;} else {#1.wDbl = 0;}; if (!#1.stOn &amp;&amp; !#1.stOff) {#1.wUnkw = 1;} else {#1.wUnkw = 0;}</t>
  </si>
  <si>
    <t>if (#0) {#1.trigOff=1;} else {#1.trigOff=0;}; sleep(1); if (#1.stOn &amp;&amp; #1.stOff) {#1.wDbl = 1;} else {#1.wDbl = 0;}; if (!#1.stOn &amp;&amp; !#1.stOff) {#1.wUnkw = 1;} else {#1.wUnkw = 0;}</t>
  </si>
  <si>
    <t>Триггер Аварийное отключение</t>
  </si>
  <si>
    <t>if (#0.trigPrt) {#0.mCntSumPrt=#0.mCntSumPrt+1;}</t>
  </si>
  <si>
    <t>if (#0) {#1.trigPrt=1;} else {#1.trigPrt=0;}</t>
  </si>
  <si>
    <t>if (#0) {#1.trigOn=1;} else {#1.trigOn=0;}; sleep(1); if (#1.stTOn &amp;&amp; #1.stTOff) {#1.wTDbl = 1;} else {#1.wTDbl = 0;}; if (!#1.stTOn &amp;&amp; !#1.stTOff) {#1.wTUnkw = 1;} else {#1.wTUnkw = 0;}</t>
  </si>
  <si>
    <t>if (#0) {#1.trigOff=1;} else {#1.trigOff=0;}; sleep(1); if (#1.stTOn &amp;&amp; #1.stTOff) {#1.wTDbl = 1;} else {#1.wTDbl = 0;}; if (!#1.stTOn &amp;&amp; !#1.stTOff) {#1.wTUnkw = 1;} else {#1.wTUnkw = 0;}</t>
  </si>
  <si>
    <t>#2.stCtrlCircuitOn.AE_AlarmsEnableMask=IfTrue(#0,32,2147483680); #2.stOn.AE_AlarmsEnableMask=IfTrue(#0,32,2147483680); #2.stOff.AE_AlarmsEnableMask=IfTrue(#0,32,2147483680); #2.stOscilAutoDL.AE_AlarmsEnableMask=IfTrue(#0,32,2147483680); #2.stDisTeleregul.AE_AlarmsEnableMask=IfTrue(#0,32,2147483680); #2.aAccelMTZ.AE_AlarmsEnableMask=IfTrue(#0,32,2147483680); #2.aAVR_Trip.AE_AlarmsEnableMask=IfTrue(#0,32,2147483680); #2.aDGZ_KZ.AE_AlarmsEnableMask=IfTrue(#0,32,2147483680); #2.aDGZ_UROV.AE_AlarmsEnableMask=IfTrue(#0,32,2147483680); #2.aDGZ_Valve.AE_AlarmsEnableMask=IfTrue(#0,32,2147483680); #2.aExtTrip1.AE_AlarmsEnableMask=IfTrue(#0,32,2147483680); #2.aExtTrip2.AE_AlarmsEnableMask=IfTrue(#0,32,2147483680); #2.aLZSH.AE_AlarmsEnableMask=IfTrue(#0,32,2147483680); #2.aMTZ2I.AE_AlarmsEnableMask=IfTrue(#0,32,2147483680); #2.aPrt.AE_AlarmsEnableMask=IfTrue(#0,32,2147483680); #2.aPrtTN.AE_AlarmsEnableMask=IfTrue(#0,32,2147483680); #2.aUROV.AE_AlarmsEnableMask=IfTrue(#0,32,2147483680); #2.aSV_On_From_AVR.AE_AlarmsEnableMask=IfTrue(#0,32,2147483680); #2.wLowBat.AE_AlarmsEnableMask=IfTrue(#0,32,2147483680); #2.wLowU.AE_AlarmsEnableMask=IfTrue(#0,32,2147483680); #2.wOscilBlkRec.AE_AlarmsEnableMask=IfTrue(#0,32,2147483680); #2.wPhaseReverse.AE_AlarmsEnableMask=IfTrue(#0,32,2147483680); #2.wSF6LowPressure.AE_AlarmsEnableMask=IfTrue(#0,32,2147483680); #2.wTN_Flt.AE_AlarmsEnableMask=IfTrue(#0,32,2147483680); #2.wTN_Off.AE_AlarmsEnableMask=IfTrue(#0,32,2147483680); #2.aOn_from_VNR.AE_AlarmsEnableMask=IfTrue(#0,32,2147483680); #2.wCall.AE_AlarmsEnableMask=IfTrue(#0,32,2147483680); #2.wCntLimit.AE_AlarmsEnableMask=IfTrue(#0,32,2147483680); #2.wCntLimitI.AE_AlarmsEnableMask=IfTrue(#0,32,2147483680); #2.wCntLimitIKZ.AE_AlarmsEnableMask=IfTrue(#0,32,2147483680); #2.wLoc.AE_AlarmsEnableMask=IfTrue(#0,32,2147483680); #2.wCmdCircuitFlt.AE_AlarmsEnableMask=IfTrue(#0,32,2147483680); #2.wCmdFlt.AE_AlarmsEnableMask=IfTrue(#0,32,2147483680); #2.wGenFlt.AE_AlarmsEnableMask=IfTrue(#0,32,2147483680); #2.wMotorSpringFlt.AE_AlarmsEnableMask=IfTrue(#0,32,2147483680); #2.wCircuitOnFlt.AE_AlarmsEnableMask=IfTrue(#0,32,2147483680); #2.wOverload.AE_AlarmsEnableMask=IfTrue(#0,32,2147483680); #2.wStateMismatch.AE_AlarmsEnableMask=IfTrue(#0,32,2147483680); #2.wTT_Flt.AE_AlarmsEnableMask=IfTrue(#0,32,2147483680); #2.wDbl.AE_AlarmsEnableMask=IfTrue(#0,32,2147483680); #2.wUnkw.AE_AlarmsEnableMask=IfTrue(#0,32,2147483680); #2.NotConnected.AE_AlarmsEnableMask=IfTrue(#0,32,2147483680);</t>
  </si>
  <si>
    <t>Шаблон Modbus over TCP</t>
  </si>
  <si>
    <t>OPC путь 
№ маршрута Modbus TCP, Modbus RTU, Modbus over TCP (1-255)
№ КП IEC104 (1-65534)</t>
  </si>
  <si>
    <t>Задвижка (шаблон Modbus RTU/over TCP)</t>
  </si>
  <si>
    <t>65</t>
  </si>
  <si>
    <t>63</t>
  </si>
  <si>
    <t>64</t>
  </si>
  <si>
    <t>Насос (шаблон Modbus TCP/IP)</t>
  </si>
  <si>
    <t>Выключатель электрический без тележки (шаблон IEC 104)</t>
  </si>
  <si>
    <t>66</t>
  </si>
  <si>
    <t>67</t>
  </si>
  <si>
    <t>68</t>
  </si>
  <si>
    <t>69</t>
  </si>
  <si>
    <t>70</t>
  </si>
  <si>
    <t>71</t>
  </si>
  <si>
    <t>Выключатель электрический (шаблон по OPC)</t>
  </si>
  <si>
    <t>Секционный разъединитель, тележка (шаблон по OPC)</t>
  </si>
  <si>
    <t>Выключатель с защитой без управления и без тележки (шаблон по OPC)</t>
  </si>
  <si>
    <t>АДЭС (шаблон по OPC)</t>
  </si>
  <si>
    <t>Задвижка без управления (шаблон по OPC)</t>
  </si>
  <si>
    <t>Насос без управления (шаблон по OPC)</t>
  </si>
  <si>
    <t>C:\Program Files (x86)\EleSy\SCADA Infinity\InfinityTools\HotReserveManager.ini</t>
  </si>
  <si>
    <t>C:\Program Files (x86)\EleSy\SCADA Infinity\InfinityServer\Reserve\HotReserveAgent.ini</t>
  </si>
  <si>
    <t>C:\Program Files (x86)\EleSy\SCADA Infinity\InfinityHAEDualSource\HAEDualSource.ini</t>
  </si>
  <si>
    <t>C:\Program Files (x86)\EleSy\SCADA Infinity\InfinityOPCAEDualSource\OPCAEDualSource.ini</t>
  </si>
  <si>
    <t>C:\Program Files (x86)\EleSy\SCADA Infinity\InfinityOPCHDADualSource\OPCHDADualSource.ini</t>
  </si>
  <si>
    <t>C:\Program Files (x86)\EleSy\SCADA Infinity\InfinityOPCDualSource\InfinityOPCDualSource.ini</t>
  </si>
  <si>
    <t>C:\Program Files (x86)\EleSy\SCADA Infinity\InfinityOPCDualSource\OPCDualSource.ini</t>
  </si>
  <si>
    <t>C:\Program Files (x86)\EleSy\SCADA Infinity\InfinityServer\Server\InfinityServer.ini</t>
  </si>
  <si>
    <t>C:\Program Files (x86)\EleSy\SCADA Infinity\InfinityServer\Server\Security.ini</t>
  </si>
  <si>
    <t>C:\Program Files (x86)\EleSy\SCADA Infinity\InfinityServer\Reserve\Security.ini</t>
  </si>
  <si>
    <t>Файлы ini</t>
  </si>
  <si>
    <t>Конфигуратор приложений, настройки OPCDualSource</t>
  </si>
  <si>
    <t>Конфигуратор приложений, настройки InfinityOPCDualSource</t>
  </si>
  <si>
    <t>Конфигуратор приложений, настройки OPCHDADualSource</t>
  </si>
  <si>
    <t>Конфигуратор приложений, настройки HAEDualSource</t>
  </si>
  <si>
    <t>Конфигуратор приложений, настройки OPCAEDualSource</t>
  </si>
  <si>
    <t>Конфигуратор приложений, настройки Управляющего</t>
  </si>
  <si>
    <t>Настройки резервирования в управляющем, конф приложений</t>
  </si>
  <si>
    <t>Конфигуратор приложений, настройки сервера</t>
  </si>
  <si>
    <t>Конфигуратор приложений, настройки безопасность сервера</t>
  </si>
  <si>
    <t>Конфигуратор приложений, настройки безопасность агента</t>
  </si>
  <si>
    <t>Файл конфигурации настроек прав Пользователей</t>
  </si>
  <si>
    <t>iso.org.dod.internet.private.enterprises.tsw.portStatusTab.port1.port1Link</t>
  </si>
  <si>
    <t>iso.org.dod.internet.private.enterprises.tsw.portStatusTab.port1.port2Link</t>
  </si>
  <si>
    <t>iso.org.dod.internet.private.enterprises.tsw.portStatusTab.port1.port3Link</t>
  </si>
  <si>
    <t>Выключатель электрический без тележки и защит (шаблон по SNMP)</t>
  </si>
  <si>
    <t>#1.ILCX.AE_AlarmsEnableMask=IfTrue(#0,2147483648,2147483680);#1.CBXX.AE_AlarmsEnableMask=IfTrue(#0,2147483648,2147483680);#1.IFXX.AE_AlarmsEnableMask=IfTrue(#0,2147483648,2147483680);#1.FSCX.AE_AlarmsEnableMask=IfTrue(#0,2147483648,2147483680);#1.FBXX.AE_AlarmsEnableMask=IfTrue(#0,2147483648,2147483680);#1.FMVX.AE_AlarmsEnableMask=IfTrue(#0,2147483648,2147483680);#1.FUCM.AE_AlarmsEnableMask=IfTrue(#0,2147483648,2147483680);#1.FDCM.AE_AlarmsEnableMask=IfTrue(#0,2147483648,2147483680);#1.DLCX.AE_AlarmsEnableMask=IfTrue(#0,2147483648,2147483680);#1.DRCX.AE_AlarmsEnableMask=IfTrue(#0,2147483648,2147483680);#1.DFXX.AE_AlarmsEnableMask=IfTrue(#0,2147483648,2147483680);#1.DCPX.AE_AlarmsEnableMask=IfTrue(#0,2147483648,2147483680);#1.DAPX.AE_AlarmsEnableMask=IfTrue(#0,2147483648,2147483680);#1.DSPX.AE_AlarmsEnableMask=IfTrue(#0,2147483648,2147483680);#1.XMMX.AE_AlarmsEnableMask=IfTrue(#0,2147483648,2147483680);#1.IRCX.AE_AlarmsEnableMask=IfTrue(#0,2147483648,2147483680);#1.XONX.AE_AlarmsEnableMask=IfTrue(#0,2147483648,2147483680);#1.XOFX.AE_AlarmsEnableMask=IfTrue(#0,2147483648,2147483680);#1.XRCX.AE_AlarmsEnableMask=IfTrue(#0,2147483648,2147483680)</t>
  </si>
  <si>
    <t>XPVX</t>
  </si>
  <si>
    <t>Выходное значение - управяющее воздействие в мА</t>
  </si>
  <si>
    <t>OCAX</t>
  </si>
  <si>
    <t>Выходное значение - управяющее воздействие в процентах</t>
  </si>
  <si>
    <t>Недостоверность: входное значение Текущее положение</t>
  </si>
  <si>
    <t>Недостоверность: Входное значение Местное управление</t>
  </si>
  <si>
    <t>Недостоверность: выходное значение Управляющее воздействие</t>
  </si>
  <si>
    <t>КЗ цепи текущего положения</t>
  </si>
  <si>
    <t>Обрыв цепи текущего положения</t>
  </si>
  <si>
    <t>Неисправность цепи текущего положения</t>
  </si>
  <si>
    <t>Команда ПАЗ: перейти в заданное положение</t>
  </si>
  <si>
    <t>Команда блокировки: перейти в заданное положение</t>
  </si>
  <si>
    <t>Регулятор не в работе</t>
  </si>
  <si>
    <t>Вывод регулятора из работы (команда)</t>
  </si>
  <si>
    <t>Шаг изменения процента открытия (ограничение)</t>
  </si>
  <si>
    <t>Время изменения процента открытия (ограничение)</t>
  </si>
  <si>
    <t>TOR</t>
  </si>
  <si>
    <t>VV1_TOR</t>
  </si>
  <si>
    <t>АСУЭ.TOR</t>
  </si>
  <si>
    <t>BK</t>
  </si>
  <si>
    <r>
      <t xml:space="preserve">SEPAM: </t>
    </r>
    <r>
      <rPr>
        <sz val="11"/>
        <color theme="1"/>
        <rFont val="Calibri"/>
        <family val="2"/>
        <charset val="204"/>
      </rPr>
      <t xml:space="preserve">Тип ячейки (OL,SV,VV,TN)
</t>
    </r>
    <r>
      <rPr>
        <b/>
        <sz val="11"/>
        <color theme="1"/>
        <rFont val="Calibri"/>
        <family val="2"/>
        <charset val="204"/>
      </rPr>
      <t>BMRZ:</t>
    </r>
    <r>
      <rPr>
        <sz val="11"/>
        <color theme="1"/>
        <rFont val="Calibri"/>
        <family val="2"/>
        <charset val="204"/>
      </rPr>
      <t xml:space="preserve"> Тип ячейки (VV,AV)
</t>
    </r>
    <r>
      <rPr>
        <b/>
        <sz val="11"/>
        <color theme="1"/>
        <rFont val="Calibri"/>
        <family val="2"/>
        <charset val="204"/>
      </rPr>
      <t>TOR:</t>
    </r>
    <r>
      <rPr>
        <sz val="11"/>
        <color theme="1"/>
        <rFont val="Calibri"/>
        <family val="2"/>
        <charset val="204"/>
      </rPr>
      <t xml:space="preserve"> Тип ячейки (OL,SV,VV,TN,BK)</t>
    </r>
  </si>
  <si>
    <r>
      <t xml:space="preserve">FB_AI_S, AI, AI_SLIM: </t>
    </r>
    <r>
      <rPr>
        <sz val="11"/>
        <color theme="1"/>
        <rFont val="Calibri"/>
        <family val="2"/>
        <charset val="204"/>
      </rPr>
      <t xml:space="preserve">Тип.изм.(P,L,dP,F)
</t>
    </r>
    <r>
      <rPr>
        <b/>
        <sz val="11"/>
        <color theme="1"/>
        <rFont val="Calibri"/>
        <family val="2"/>
        <charset val="204"/>
      </rPr>
      <t>SW_S301, SW_MAYAK, SYS_DIAG:</t>
    </r>
    <r>
      <rPr>
        <sz val="11"/>
        <color theme="1"/>
        <rFont val="Calibri"/>
        <family val="2"/>
        <charset val="204"/>
      </rPr>
      <t xml:space="preserve"> Номер клиента SNMP</t>
    </r>
    <r>
      <rPr>
        <b/>
        <sz val="11"/>
        <color theme="1"/>
        <rFont val="Calibri"/>
        <family val="2"/>
        <charset val="204"/>
      </rPr>
      <t xml:space="preserve">
FB_DI_S: </t>
    </r>
    <r>
      <rPr>
        <sz val="11"/>
        <color theme="1"/>
        <rFont val="Calibri"/>
        <family val="2"/>
        <charset val="204"/>
      </rPr>
      <t>Тип.изм.(dP,L)</t>
    </r>
    <r>
      <rPr>
        <b/>
        <sz val="11"/>
        <color theme="1"/>
        <rFont val="Calibri"/>
        <family val="2"/>
        <charset val="204"/>
      </rPr>
      <t xml:space="preserve">
FB_IMstp_S, FB_IMt_MON_S, FB_IMst_MON_S, BMRZ, BMPA, IMstp, IMt_MON, TOR: </t>
    </r>
    <r>
      <rPr>
        <sz val="11"/>
        <color theme="1"/>
        <rFont val="Calibri"/>
        <family val="2"/>
        <charset val="204"/>
      </rPr>
      <t xml:space="preserve">Формула для цвета верх. линии при нал. напряж.
</t>
    </r>
    <r>
      <rPr>
        <b/>
        <sz val="11"/>
        <color theme="1"/>
        <rFont val="Calibri"/>
        <family val="2"/>
        <charset val="204"/>
      </rPr>
      <t>ENUM:</t>
    </r>
    <r>
      <rPr>
        <sz val="11"/>
        <color theme="1"/>
        <rFont val="Calibri"/>
        <family val="2"/>
        <charset val="204"/>
      </rPr>
      <t xml:space="preserve"> Номер файла перечисления</t>
    </r>
    <r>
      <rPr>
        <b/>
        <sz val="11"/>
        <color theme="1"/>
        <rFont val="Calibri"/>
        <family val="2"/>
        <charset val="204"/>
      </rPr>
      <t xml:space="preserve">
</t>
    </r>
  </si>
  <si>
    <t>TOR200_VVR</t>
  </si>
  <si>
    <t>ТОР 200 16 ВВР</t>
  </si>
  <si>
    <t>АСУЭ.TOR.VVR</t>
  </si>
  <si>
    <t>Шаблон (ТОР 200-16 КЛ)</t>
  </si>
  <si>
    <t>Вызов в КРУ</t>
  </si>
  <si>
    <t>Срабатывание клапанов дуговой защиты</t>
  </si>
  <si>
    <t>Срабатывание МТЗ 1 ступени</t>
  </si>
  <si>
    <t>Срабатывание МТЗ 1 ступени (на отключение СВ)</t>
  </si>
  <si>
    <t>Срабатывание МТЗ 2 ступени</t>
  </si>
  <si>
    <t>Срабатывание ускорения МТЗ при включении выключателя</t>
  </si>
  <si>
    <t xml:space="preserve">Срабатывание направленной защиты от однофазных замыканий на землю </t>
  </si>
  <si>
    <t>Срабатывание УРОВ</t>
  </si>
  <si>
    <t>Отключение защитой минимального напряжения</t>
  </si>
  <si>
    <t>Отключение от АЧР</t>
  </si>
  <si>
    <t xml:space="preserve">Несоответствие положения выключателя последней команде телеуправления </t>
  </si>
  <si>
    <t>Низкое давление в выключателе</t>
  </si>
  <si>
    <t>Обобщенный сигнал неисправности</t>
  </si>
  <si>
    <t>Срабатывание защиты от однофазных замыканий на землю</t>
  </si>
  <si>
    <t>Срабатывание частотного АПВ</t>
  </si>
  <si>
    <t>Срабатывание 1-го цикла АПВ</t>
  </si>
  <si>
    <t>Срабатывание 2-го цикла АПВ</t>
  </si>
  <si>
    <t>Автоматический выключатель ТН отключен</t>
  </si>
  <si>
    <t>Разрешение телеуправления</t>
  </si>
  <si>
    <t>Выключатель эл. мотора завода пружины привода отключен</t>
  </si>
  <si>
    <t>Контроль неисправности цепи включения введен</t>
  </si>
  <si>
    <t>РПВ (Реле положения «Включено»)</t>
  </si>
  <si>
    <t>РПО (Реле положения «Отключено»)</t>
  </si>
  <si>
    <t>Контроль цепи включения</t>
  </si>
  <si>
    <t>Заземлитель отключен</t>
  </si>
  <si>
    <t>#1.aCall.AE_AlarmsEnableMask=IfTrue(#0,2147483648,2147483680);#1.aDGZ.AE_AlarmsEnableMask=IfTrue(#0,2147483648,2147483680);#1.aMTZ1st.AE_AlarmsEnableMask=IfTrue(#0,2147483648,2147483680);#1.aMTZ1st_SVoff.AE_AlarmsEnableMask=IfTrue(#0,2147483648,2147483680);#1.aMTZ2st.AE_AlarmsEnableMask=IfTrue(#0,2147483648,2147483680);#1.aAccelMTZ.AE_AlarmsEnableMask=IfTrue(#0,2147483648,2147483680);#1.aOverload.AE_AlarmsEnableMask=IfTrue(#0,2147483648,2147483680);#1.aOZZ_dir.AE_AlarmsEnableMask=IfTrue(#0,2147483648,2147483680);#1.aUROV.AE_AlarmsEnableMask=IfTrue(#0,2147483648,2147483680);#1.aZMN.AE_AlarmsEnableMask=IfTrue(#0,2147483648,2147483680);#1.aACHR.AE_AlarmsEnableMask=IfTrue(#0,2147483648,2147483680);#1.aPrt.AE_AlarmsEnableMask=IfTrue(#0,2147483648,2147483680);#1.aExtTrip.AE_AlarmsEnableMask=IfTrue(#0,2147483648,2147483680);#1.aCmdCircuitFlt_on.AE_AlarmsEnableMask=IfTrue(#0,2147483648,2147483680);#1.wCmdCircuitFlt_con.AE_AlarmsEnableMask=IfTrue(#0,2147483648,2147483680);#1.wStateMismatch.AE_AlarmsEnableMask=IfTrue(#0,2147483648,2147483680);#1.wP_low.AE_AlarmsEnableMask=IfTrue(#0,2147483648,2147483680);#1.wGenFlt.AE_AlarmsEnableMask=IfTrue(#0,2147483648,2147483680);#1.wOZZ.AE_AlarmsEnableMask=IfTrue(#0,2147483648,2147483680);#1.wCHAPV.AE_AlarmsEnableMask=IfTrue(#0,2147483648,2147483680);#1.wAPV.AE_AlarmsEnableMask=IfTrue(#0,2147483648,2147483680);#1.wAPV1.AE_AlarmsEnableMask=IfTrue(#0,2147483648,2147483680);#1.wAPV2.AE_AlarmsEnableMask=IfTrue(#0,2147483648,2147483680);#1.wTT_Flt.AE_AlarmsEnableMask=IfTrue(#0,2147483648,2147483680);#1.NotConnected.AE_AlarmsEnableMask=IfTrue(#0,2147483648,2147483680);#1.wNotOff.AE_AlarmsEnableMask=IfTrue(#0,2147483648,2147483680);#1.wNotOn.AE_AlarmsEnableMask=IfTrue(#0,2147483648,2147483680);#1.wDbl.AE_AlarmsEnableMask=IfTrue#0,2147483648,2147483680);#1.wUnkw.AE_AlarmsEnableMask=IfTrue(#0,2147483648,2147483680);#1.stOff.AE_AlarmsEnableMask=IfTrue#0,2147483648,2147483680);#1.stOn.AE_AlarmsEnableMask=IfTrue(#0,2147483648,2147483680);#1.stLoc.AE_AlarmsEnableMask=IfTrue#0,2147483648,2147483680);#1.stCHAPV_on.AE_AlarmsEnableMask=IfTrue(#0,2147483648,2147483680);#1.stMotorOff.AE_AlarmsEnableMask=IfTrue(#0,2147483648,2147483680);#1.stCircuitOnFlt.AE_AlarmsEnableMask=IfTrue(#0,2147483648,2147483680);#1.stRPV.AE_AlarmsEnableMask=IfTrue(#0,2147483648,2147483680);#1.stRPO.AE_AlarmsEnableMask=IfTrue(#0,2147483648,2147483680);#1.stCtrlCircuitOn.AE_AlarmsEnableMask=IfTrue(#0,2147483648,2147483680);#1.stTOn.AE_AlarmsEnableMask=IfTrue(#0,2147483648,2147483680);#1.stTOff.AE_AlarmsEnableMask=IfTrue(#0,2147483648,2147483680);#1.stZROff.AE_AlarmsEnableMask=IfTrue(#0,2147483648,2147483680);</t>
  </si>
  <si>
    <t>Квитирование аварийной и предупредительной сигнализации</t>
  </si>
  <si>
    <t>Ручной запуск осциллограмм аварийных режимов</t>
  </si>
  <si>
    <t>Линейное напряжение АВ</t>
  </si>
  <si>
    <t>Линейное напряжение ВС</t>
  </si>
  <si>
    <t>Линейное напряжение АС</t>
  </si>
  <si>
    <t>Коэффициент мощности (косинус)</t>
  </si>
  <si>
    <t>Счетчик коммутаций</t>
  </si>
  <si>
    <t>Счетчик коммутаций междуфазных КЗ</t>
  </si>
  <si>
    <t>Шаблон (ТОР 200-16 ВВР)</t>
  </si>
  <si>
    <t>Неисправность трансформатора напряжения</t>
  </si>
  <si>
    <t>Неисправность трансформатора -напряжения</t>
  </si>
  <si>
    <t>Перегорание предохранителя трансформатора напряжения</t>
  </si>
  <si>
    <t>#1.aCall.AE_AlarmsEnableMask=IfTrue(#0,2147483648,2147483680);#1.aDGZ.AE_AlarmsEnableMask=IfTrue(#0,2147483648,2147483680);#1.aMTZ2st.AE_AlarmsEnableMask=IfTrue(#0,2147483648,2147483680);#1.aAccelMTZ.AE_AlarmsEnableMask=IfTrue(#0,2147483648,2147483680);#1.aOverload.AE_AlarmsEnableMask=IfTrue(#0,2147483648,2147483680);#1.aUROV.AE_AlarmsEnableMask=IfTrue(#0,2147483648,2147483680);#1.aPrt.AE_AlarmsEnableMask=IfTrue(#0,2147483648,2147483680);#1.aExtTrip.AE_AlarmsEnableMask=IfTrue(#0,2147483648,2147483680);#1.aCmdCircuitFlt_on.AE_AlarmsEnableMask=IfTrue(#0,2147483648,2147483680);#1.wCmdCircuitFlt_con.AE_AlarmsEnableMask=IfTrue(#0,2147483648,2147483680);#1.wStateMismatch.AE_AlarmsEnableMask=IfTrue(#0,2147483648,2147483680);#1.wGenFlt.AE_AlarmsEnableMask=IfTrue(#0,2147483648,2147483680);#1.wTT_Flt.AE_AlarmsEnableMask=IfTrue(#0,2147483648,2147483680);#1.wTN_Flt.AE_AlarmsEnableMask=IfTrue(#0,2147483648,2147483680);#1.wTN_FU.AE_AlarmsEnableMask=IfTrue(#0,2147483648,2147483680);#1.NotConnected.AE_AlarmsEnableMask=IfTrue(#0,2147483648,2147483680);#1.wNotOff.AE_AlarmsEnableMask=IfTrue(#0,2147483648,2147483680);#1.wNotOn.AE_AlarmsEnableMask=IfTrue(#0,2147483648,2147483680);#1.wDbl.AE_AlarmsEnableMask=IfTrue#0,2147483648,2147483680);#1.wUnkw.AE_AlarmsEnableMask=IfTrue(#0,2147483648,2147483680);#1.stOff.AE_AlarmsEnableMask=IfTrue#0,2147483648,2147483680);#1.stOn.AE_AlarmsEnableMask=IfTrue(#0,2147483648,2147483680);#1.stLoc.AE_AlarmsEnableMask=IfTrue#0,2147483648,2147483680);#1.stMotorOff.AE_AlarmsEnableMask=IfTrue(#0,2147483648,2147483680);#1.stCircuitOnFlt.AE_AlarmsEnableMask=IfTrue(#0,2147483648,2147483680);#1.stRPV.AE_AlarmsEnableMask=IfTrue(#0,2147483648,2147483680);#1.stRPO.AE_AlarmsEnableMask=IfTrue(#0,2147483648,2147483680);#1.stCtrlCircuitOn.AE_AlarmsEnableMask=IfTrue(#0,2147483648,2147483680);#1.stTOn.AE_AlarmsEnableMask=IfTrue(#0,2147483648,2147483680);#1.stTOff.AE_AlarmsEnableMask=IfTrue(#0,2147483648,2147483680);#1.stZROff.AE_AlarmsEnableMask=IfTrue(#0,2147483648,2147483680);</t>
  </si>
  <si>
    <t>Шаблон (ТОР 200-16 CВР)</t>
  </si>
  <si>
    <t>Отключение выключателя при автоматическом ВНР</t>
  </si>
  <si>
    <t>Срабатывание АВР</t>
  </si>
  <si>
    <t>Устройство АВР включено</t>
  </si>
  <si>
    <t>Устройство АВР отключено</t>
  </si>
  <si>
    <t>Напряжение на вводе «смежной» с.ш. в норме</t>
  </si>
  <si>
    <t>Выключатель ввода «своей» с.ш. Включен</t>
  </si>
  <si>
    <t>Выключатель ввода «смежной» с.ш. Включен</t>
  </si>
  <si>
    <t>Напряжение на вводе «своей» с.ш. в норме</t>
  </si>
  <si>
    <t>#1.aCall.AE_AlarmsEnableMask=IfTrue(#0,2147483648,2147483680);#1.aDGZ.AE_AlarmsEnableMask=IfTrue(#0,2147483648,2147483680);#1.aAccelMTZ.AE_AlarmsEnableMask=IfTrue(#0,2147483648,2147483680);#1.aUROV.AE_AlarmsEnableMask=IfTrue(#0,2147483648,2147483680);#1.aPrt.AE_AlarmsEnableMask=IfTrue(#0,2147483648,2147483680);#1.aExtTrip.AE_AlarmsEnableMask=IfTrue(#0,2147483648,2147483680);#1.aCmdCircuitFlt_on.AE_AlarmsEnableMask=IfTrue(#0,2147483648,2147483680);#1.wCmdCircuitFlt_con.AE_AlarmsEnableMask=IfTrue(#0,2147483648,2147483680);#1.wStateMismatch.AE_AlarmsEnableMask=IfTrue(#0,2147483648,2147483680);#1.wGenFlt.AE_AlarmsEnableMask=IfTrue(#0,2147483648,2147483680);#1.wVNR.AE_AlarmsEnableMask=IfTrue(#0,2147483648,2147483680);#1.wSV_On_From_AVR.AE_AlarmsEnableMask=IfTrue(#0,2147483648,2147483680);#1.wTT_Flt.AE_AlarmsEnableMask=IfTrue(#0,2147483648,2147483680);#1.NotConnected.AE_AlarmsEnableMask=IfTrue(#0,2147483648,2147483680);#1.wNotOff.AE_AlarmsEnableMask=IfTrue(#0,2147483648,2147483680);#1.wNotOn.AE_AlarmsEnableMask=IfTrue(#0,2147483648,2147483680);#1.wDbl.AE_AlarmsEnableMask=IfTrue#0,2147483648,2147483680);#1.wUnkw.AE_AlarmsEnableMask=IfTrue(#0,2147483648,2147483680);#1.stOff.AE_AlarmsEnableMask=IfTrue#0,2147483648,2147483680);#1.stOn.AE_AlarmsEnableMask=IfTrue(#0,2147483648,2147483680);#1.stLoc.AE_AlarmsEnableMask=IfTrue#0,2147483648,2147483680);#1.stMotorOff.AE_AlarmsEnableMask=IfTrue(#0,2147483648,2147483680);#1.stCircuitOnFlt.AE_AlarmsEnableMask=IfTrue(#0,2147483648,2147483680);#1.stAVR_SV_on.AE_AlarmsEnableMask=IfTrue(#0,2147483648,2147483680);#1.stAVR_SV_off.AE_AlarmsEnableMask=IfTrue(#0,2147483648,2147483680);#1.stRPV.AE_AlarmsEnableMask=IfTrue(#0,2147483648,2147483680);#1.stRPO.AE_AlarmsEnableMask=IfTrue(#0,2147483648,2147483680);#1.stUvv_ssh.AE_AlarmsEnableMask=IfTrue(#0,2147483648,2147483680);#1.stOn_sev_ssh.AE_AlarmsEnableMask=IfTrue(#0,2147483648,2147483680);#1.stOn_neigh_ssh.AE_AlarmsEnableMask=IfTrue(#0,2147483648,2147483680);#1.stUvv_sev_ssh.AE_AlarmsEnableMask=IfTrue(#0,2147483648,2147483680);#1.stCtrlCircuitOn.AE_AlarmsEnableMask=IfTrue(#0,2147483648,2147483680);#1.stTOn.AE_AlarmsEnableMask=IfTrue(#0,2147483648,2147483680);#1.stTOff.AE_AlarmsEnableMask=IfTrue(#0,2147483648,2147483680);#1.stZROff.AE_AlarmsEnableMask=IfTrue(#0,2147483648,2147483680);</t>
  </si>
  <si>
    <t>Команда "Включить АВР"</t>
  </si>
  <si>
    <t>Команда "Отключить АВР"</t>
  </si>
  <si>
    <t>Шаблон (ТОР 200-16 ТНР)</t>
  </si>
  <si>
    <t>Срабатывание АЧР 1 очередь</t>
  </si>
  <si>
    <t>Срабатывание АЧР 2 очередь</t>
  </si>
  <si>
    <t>Срабатывание защиты минимального напряжения 1 ст.</t>
  </si>
  <si>
    <t>Срабатывание защиты минимального напряжения 2 ст.</t>
  </si>
  <si>
    <t>Срабатывание пускового органа АВР по напряжению</t>
  </si>
  <si>
    <t>Срабатывание пускового органа АВР при обрыве фаз</t>
  </si>
  <si>
    <t>Предупредительная сигнализация</t>
  </si>
  <si>
    <t>Переключатель АЧР включен</t>
  </si>
  <si>
    <t>Выключатель ввода или СВ включен</t>
  </si>
  <si>
    <t>Напряжение на «смежной» с.ш. в норме</t>
  </si>
  <si>
    <t>Сигнал из ввода «U обр. послед. больше»</t>
  </si>
  <si>
    <t>Автоматический выключатель ТН включен</t>
  </si>
  <si>
    <t>Цепи ТН собраны</t>
  </si>
  <si>
    <t>Напряжение смежной секции шин U&gt;0,8</t>
  </si>
  <si>
    <t>Наличие питания на секции 10 кВ</t>
  </si>
  <si>
    <t>Контроль рабочего положения выкатного элемента</t>
  </si>
  <si>
    <t>Контроль общесекционных автоматов</t>
  </si>
  <si>
    <t>Автоматический выключатель в цепи дуг. защит отключен</t>
  </si>
  <si>
    <t>ДГЗ в ТН</t>
  </si>
  <si>
    <t>Автоматический выключатель в цепи разомкнутого треугольника отключен</t>
  </si>
  <si>
    <t>Тележка секционного разъединителя вкачена</t>
  </si>
  <si>
    <t>Тележка секционного разъединителя выкачена</t>
  </si>
  <si>
    <t>Автоматический выключатель цепей напряжения счет. тех. учета отключен</t>
  </si>
  <si>
    <t>sleep(1);if (#1.stTOn &amp;&amp; #1.stTOff) {#1.wDbl = 1;} else {#1.wDbl = 0;};if (!#1.stTOn &amp;&amp; !#1.stTOff) {#1.wUnkw = 1;} else {#1.wUnkw = 0;}</t>
  </si>
  <si>
    <t>Тележка с трансформатором напряжения выкачена</t>
  </si>
  <si>
    <t>Тележка с трансформатором напряжения вкачена</t>
  </si>
  <si>
    <t>Заземлитель замкнут</t>
  </si>
  <si>
    <t>#1.aGenFlt.AE_AlarmsEnableMask=IfTrue(#0,2147483648,2147483680);#1.aGnd.AE_AlarmsEnableMask=IfTrue(#0,2147483648,2147483680);#1.aACHR1.AE_AlarmsEnableMask=IfTrue(#0,2147483648,2147483680);#1.aACHR2.AE_AlarmsEnableMask=IfTrue(#0,2147483648,2147483680);#1.aZMN1st.AE_AlarmsEnableMask=IfTrue(#0,2147483648,2147483680);#1.aZMN2st.AE_AlarmsEnableMask=IfTrue(#0,2147483648,2147483680);#1.wDGZ.AE_AlarmsEnableMask=IfTrue(#0,2147483648,2147483680);#1.wAVR_Ulow_dir.AE_AlarmsEnableMask=IfTrue(#0,2147483648,2147483680);#1.wTN_Flt.AE_AlarmsEnableMask=IfTrue(#0,2147483648,2147483680);#1.wAVR_U2high.AE_AlarmsEnableMask=IfTrue(#0,2147483648,2147483680);#1.wWarning_alrm.AE_AlarmsEnableMask=IfTrue(#0,2147483648,2147483680);#1.NotConnected.AE_AlarmsEnableMask=IfTrue(#0,2147483648,2147483680);#1.wNotOff.AE_AlarmsEnableMask=IfTrue(#0,2147483648,2147483680);#1.wNotOn.AE_AlarmsEnableMask=IfTrue(#0,2147483648,2147483680);#1.wDbl.AE_AlarmsEnableMask=IfTrue#0,2147483648,2147483680);#1.wUnkw.AE_AlarmsEnableMask=IfTrue(#0,2147483648,2147483680);#1.stTOff.AE_AlarmsEnableMask=IfTrue#0,2147483648,2147483680);#1.stTOn.AE_AlarmsEnableMask=IfTrue(#0,2147483648,2147483680);#1.stACHR_off.AE_AlarmsEnableMask=IfTrue#0,2147483648,2147483680);#1.stVV_SV_off.AE_AlarmsEnableMask=IfTrue(#0,2147483648,2147483680);#1.stUvv_ssh.AE_AlarmsEnableMask=IfTrue(#0,2147483648,2147483680);#1.stAVR_on.AE_AlarmsEnableMask=IfTrue(#0,2147483648,2147483680);#1.stUobr_high.AE_AlarmsEnableMask=IfTrue(#0,2147483648,2147483680);#1.stTN_off.AE_AlarmsEnableMask=IfTrue(#0,2147483648,2147483680);#1.stCircuitTN.AE_AlarmsEnableMask=IfTrue(#0,2147483648,2147483680);#1.stU08.AE_AlarmsEnableMask=IfTrue(#0,2147483648,2147483680);#1.stU10.AE_AlarmsEnableMask=IfTrue(#0,2147483648,2147483680);#1.stT_work.AE_AlarmsEnableMask=IfTrue(#0,2147483648,2147483680);#1.stGen_sw.AE_AlarmsEnableMask=IfTrue(#0,2147483648,2147483680);#1.stDQZ_sw_off.AE_AlarmsEnableMask=IfTrue(#0,2147483648,2147483680);#1.stDQZ_TN.AE_AlarmsEnableMask=IfTrue(#0,2147483648,2147483680);#1.stOpen_trngl_off.AE_AlarmsEnableMask=IfTrue(#0,2147483648,2147483680);#1.stTel_SV_on.AE_AlarmsEnableMask=IfTrue(#0,2147483648,2147483680);#1.stTel_SV_off.AE_AlarmsEnableMask=IfTrue(#0,2147483648,2147483680);#1.stMeter_SW_off.AE_AlarmsEnableMask=IfTrue(#0,2147483648,2147483680);#1.stZROff.AE_AlarmsEnableMask=IfTrue(#0,2147483648,2147483680);</t>
  </si>
  <si>
    <t>АСУЭ.TOR_VV</t>
  </si>
  <si>
    <t>ТОР 200-16 ВВР</t>
  </si>
  <si>
    <r>
      <rPr>
        <b/>
        <sz val="11"/>
        <rFont val="Calibri"/>
        <family val="2"/>
        <scheme val="minor"/>
      </rPr>
      <t>Руководство пользователя</t>
    </r>
    <r>
      <rPr>
        <sz val="11"/>
        <rFont val="Calibri"/>
        <family val="2"/>
        <scheme val="minor"/>
      </rPr>
      <t xml:space="preserve">
     Управление осуществляется путём нажатия на кнопки управления. Работа с программой начинается с Листа ТАБЛИЦА. Изменения пользователем делаются только на Листе ТАБЛИЦА.
     Заполните таблицу. Для начала заполните столбец "Тип блока". Для этого в каждом столбце нужно выбрать тип из раскрывающегося списка. Количество созданных программой блоков равно количеству заполненных ячеек в этом столбце. Далее необходимо заполнить оставшиеся столбцы. После заполнения необходимых столбцов для создания конфигурации необходимо нажать соответствующую кнопку после чего начнётся процесс создания конфигурации и закончится переносом на соответствующий лист с результатом. Для сохранения в нужном формате нажать на соответсвующую кнопку на этом листе. 
</t>
    </r>
    <r>
      <rPr>
        <sz val="11"/>
        <color rgb="FFFF0000"/>
        <rFont val="Calibri"/>
        <family val="2"/>
        <charset val="204"/>
        <scheme val="minor"/>
      </rPr>
      <t>Внимание!</t>
    </r>
    <r>
      <rPr>
        <sz val="11"/>
        <rFont val="Calibri"/>
        <family val="2"/>
        <scheme val="minor"/>
      </rPr>
      <t xml:space="preserve"> В Таблице в столбце с типом блока не должно быть пустых промежуточных строк. Для логического разделения данных можно использовать блок "-".
</t>
    </r>
    <r>
      <rPr>
        <b/>
        <sz val="11"/>
        <rFont val="Calibri"/>
        <family val="2"/>
        <scheme val="minor"/>
      </rPr>
      <t>Руководство по импорту сгенерированных файлов</t>
    </r>
    <r>
      <rPr>
        <sz val="11"/>
        <rFont val="Calibri"/>
        <family val="2"/>
        <scheme val="minor"/>
      </rPr>
      <t xml:space="preserve">
     После импорта файла csv в Infinity необходимо в обязательном порядке отключить, а затем включить Infinity Server для применения новых настроек. 
</t>
    </r>
  </si>
  <si>
    <r>
      <t xml:space="preserve">Руководство по генерации файла с привязками физических сигналов TREI
</t>
    </r>
    <r>
      <rPr>
        <sz val="11"/>
        <color theme="1"/>
        <rFont val="Calibri"/>
        <family val="2"/>
        <charset val="204"/>
        <scheme val="minor"/>
      </rPr>
      <t xml:space="preserve">1 шаг. Перейти на экран "Конфигурация TREI" c экрана "Таблица" по кнопке. Набить конфигурацию контроллера, выбирая модули из выпадающего списка.
2 шаг. На экране "Таблица" заполнить соответствующие столбцы по привязкам переменных для каждого блока. Необходимо заполнять по строго определённому формату: </t>
    </r>
    <r>
      <rPr>
        <sz val="11"/>
        <color theme="5" tint="-0.249977111117893"/>
        <rFont val="Calibri"/>
        <family val="2"/>
        <charset val="204"/>
        <scheme val="minor"/>
      </rPr>
      <t>{номер модуля}+{порядковый номер канала}</t>
    </r>
    <r>
      <rPr>
        <sz val="11"/>
        <color theme="1"/>
        <rFont val="Calibri"/>
        <family val="2"/>
        <charset val="204"/>
        <scheme val="minor"/>
      </rPr>
      <t xml:space="preserve">. Если требуется инвертировать физический сигнал, то перед значением ставится знак "!", например </t>
    </r>
    <r>
      <rPr>
        <sz val="11"/>
        <color theme="5" tint="-0.249977111117893"/>
        <rFont val="Calibri"/>
        <family val="2"/>
        <charset val="204"/>
        <scheme val="minor"/>
      </rPr>
      <t>!2+14</t>
    </r>
    <r>
      <rPr>
        <sz val="11"/>
        <color theme="1"/>
        <rFont val="Calibri"/>
        <family val="2"/>
        <charset val="204"/>
        <scheme val="minor"/>
      </rPr>
      <t>. Допускается применение пробелов. Пример: 2+14 (2- номер модуля, 14- номер канала модуля 2). Любое другое значение, формат которого не соответствует будет игнорироваться при расчёте.
3 шаг. Нажать кнопку "Расчёт TREI, входа" и "Расчёт TREI, выхода" соответственно если требуется сгенерировать файл с физическими привязками входов или выходов контроллера. 
4 шаг. После расчёта программа автоматически перейдёт на экран "Результат(ST-TREI)". Убедиться в правильности расчёта и нажать кнопку "Сохранить". В результате будет сохранён текстовый файл.
5 шаг. Открыть сохранённый текстовый файл. Скопировать всё. Открыть пустой файл ST TREI. Вставить текст. Необходимо создать 2 файла ST для каждого контроллера- один с привязками входов (расположить в самом начале списка программ) и с привязками к выходам (расположить в самом конце списка программ).
Для более подробного описания можно обратиться к "Руководство по генерации физических привязок.pdf"
По всем вопросам обращаться по тел. 21-15 Антонову Сергею.</t>
    </r>
  </si>
  <si>
    <t>Тележка выключателя вкачена</t>
  </si>
  <si>
    <t>Тележка выключателя выкачена</t>
  </si>
  <si>
    <t xml:space="preserve">Запрет включения выключателя по ТУ </t>
  </si>
  <si>
    <t>Тележка с выключателем вкачена</t>
  </si>
  <si>
    <t xml:space="preserve">Тележка с выключателем выкачена </t>
  </si>
  <si>
    <t>Земля в сети 10 кВ</t>
  </si>
  <si>
    <t>Коммутатор S301. Нет связи с устройством</t>
  </si>
  <si>
    <t>C:\Windows\SysWOW64\OPCUAClientLibWrapperNew.dll</t>
  </si>
  <si>
    <t>C:\Program Files (x86)\EleSy\SCADA Infinity\InfinityClientSecurity\ICSWatcher64.exe</t>
  </si>
  <si>
    <t>C:\Program Files (x86)\EleSy\SCADA Infinity\InfinityClientSecurity\ICShook64.dll</t>
  </si>
  <si>
    <t>C:\Program Files (x86)\EleSy\SCADA Infinity\InfinityClientSecurity\ishelp_ps.dll</t>
  </si>
  <si>
    <t>C:\Program Files (x86)\EleSy\SCADA Infinity\InfinityClientSecurity\x64\ishelp_ps.dll</t>
  </si>
  <si>
    <t>C:\Program Files (x86)\EleSy\SCADA Infinity\InfinityClientSecurity\ishelper.exe</t>
  </si>
  <si>
    <t>C:\Program Files (x86)\EleSy\SCADA Infinity\InfinityClientSecurity\x64\ishelper.exe</t>
  </si>
  <si>
    <t>C:\Program    Files\EleSy\SCADA    Infinity\InfinityHistoryServer3.0\hsvrcfg.exe.manifest</t>
  </si>
  <si>
    <t>C:\Windows\SysWOW64\OPCDAAuto.dll</t>
  </si>
  <si>
    <t>C:\Windows\SysWOW64\comcat.dll</t>
  </si>
  <si>
    <t>C:\Windows\SysWOW64\msstdfmt.dll</t>
  </si>
  <si>
    <t>C:\Windows\SysWOW64\msstkprp.dll</t>
  </si>
  <si>
    <t>C:\Windows\SysWOW64\msvbvm60.dll</t>
  </si>
  <si>
    <t>C:\Windows\SysWOW64\olepro32.dll</t>
  </si>
  <si>
    <t>C:\Windows\SysWOW64\stdole2.tlb</t>
  </si>
  <si>
    <t>C:\Windows\SysWOW64\asycfilt.dll</t>
  </si>
  <si>
    <t>C:\Windows\SysWOW64\oleaut32.dll</t>
  </si>
  <si>
    <t>C:\Windows\SysWOW64\FM20.DLL</t>
  </si>
  <si>
    <t>C:\Windows\SysWOW64\SCP32.DLL</t>
  </si>
  <si>
    <t>C:\Windows\SysWOW64\VBAME.DLL</t>
  </si>
  <si>
    <t>C:\Windows\SysWOW64\FM20ENU.DLL</t>
  </si>
  <si>
    <t>C:\Windows\SysWOW64\GDS32.DLL</t>
  </si>
  <si>
    <t>C:\Windows\SysWOW64\EleSyDB.dll</t>
  </si>
  <si>
    <t>C:\Windows\SysWOW64\Log.dll</t>
  </si>
  <si>
    <t>C:\Program    Files\EleSy\SCADA    Infinity\InfinityServer\Server\OPCClientPropSync.dll</t>
  </si>
  <si>
    <t>C:\Program   Files\EleSy\SCADA   Infinity\InfinityServer\Server\MIEC103StdComp.dll</t>
  </si>
  <si>
    <t>C:\Program    Files\EleSy\SCADA    Infinity\InfinityServer\Server\FtpFileAccessComp.dll</t>
  </si>
  <si>
    <t>C:\Program   Files\EleSy\SCADA   Infinity\InfinityServer\Server\OPCUAAEComp.dll</t>
  </si>
  <si>
    <t>C:\Program   Files\EleSy\SCADA   Infinity\InfinityServer\Server\OPCUADataComp.dll</t>
  </si>
  <si>
    <t>C:\Program    Files\EleSy\SCADA    Infinity\InfinityServer\Server\ModbusTCPIPMaster.dll</t>
  </si>
  <si>
    <t>C:\Program   Files\EleSy\SCADA   Infinity\InfinityServer\Server\MIEC4StdComp.dll</t>
  </si>
  <si>
    <t>C:\Program   Files\EleSy\SCADA   Infinity\InfinityServer\Server\COMPortDevice.dll</t>
  </si>
  <si>
    <t>C:\Program   Files\EleSy\SCADA   Infinity\InfinityServer\Server\DeviceFileCatalog.dll</t>
  </si>
  <si>
    <t>C:\Program   Files\EleSy\SCADA   Infinity\InfinityServer\Server\OPCClientComp.dll</t>
  </si>
  <si>
    <t>C:\Program    Files\EleSy\SCADA    Infinity\InfinityServer\Server\OPCUADataClientComp.dll</t>
  </si>
  <si>
    <t>C:\Windows\SysWOW64\Drivers\NAPDIO.sys</t>
  </si>
  <si>
    <t>C:\Windows\SysWOW64\Drivers\PISO813.SYS</t>
  </si>
  <si>
    <t>C:\Windows\SysWOW64\DIO.dll</t>
  </si>
  <si>
    <t>C:\Windows\SysWOW64\PISO813.DLL</t>
  </si>
  <si>
    <t>C:\Windows\SysWOW64\rtl150.bpl</t>
  </si>
  <si>
    <t>C:\Windows\SysWOW64\vcl150.bpl</t>
  </si>
  <si>
    <t>C:\Program Files (x86)\EleSy\SCADA Infinity\InfinityTools\UserManager.exe</t>
  </si>
  <si>
    <t>C:\Windows\SysWOW64\ftd2xx.dll</t>
  </si>
  <si>
    <t>InfinityHistoryServer (x64)</t>
  </si>
  <si>
    <t>InfinityServer (x64)</t>
  </si>
  <si>
    <t>C:\Program Files (x86)\EleSy\SCADA Infinity\InfinityServer\Configuration\Modules\CfgOPCUADataClientComp.dll</t>
  </si>
  <si>
    <t>C:\Program Files (x86)\EleSy\SCADA Infinity\InfinityClientSecurity\security.isam</t>
  </si>
  <si>
    <t>#2.wLoc.AE_AlarmsEnableMask=IfTrue(#0,2147483648,2147483680);#2.wCntLimit.AE_AlarmsEnableMask=IfTrue(#0,2147483648,2147483680);#2.fFault.AE_AlarmsEnableMask=IfTrue(#0,2147483648,2147483680);#2.wNotOn.AE_AlarmsEnableMask=IfTrue(#0,2147483648,2147483680);#2.wNotOff.AE_AlarmsEnableMask=IfTrue(#0,2147483648,2147483680);#2.wUnkw.AE_AlarmsEnableMask=IfTrue(#0,2147483648,2147483680);#2.wDbl.AE_AlarmsEnableMask=IfTrue(#0,2147483648,2147483680);#2.wCtrlUnkw.AE_AlarmsEnableMask=IfTrue(#0,2147483648,2147483680);#2.wCtrlDbl.AE_AlarmsEnableMask=IfTrue(#0,2147483648,2147483680);#2.wMnlMd.AE_AlarmsEnableMask=IfTrue(#0,2147483648,2147483680);#2.stOn.AE_AlarmsEnableMask=IfTrue(#0,2147483648,2147483680);#2.stOff.AE_AlarmsEnableMask=IfTrue(#0,2147483648,2147483680);#2.wRem.AE_AlarmsEnableMask=IfTrue(#0,2147483648,2147483680)</t>
  </si>
  <si>
    <t>#2.wLoc.AE_AlarmsEnableMask=IfTrue(#0,2147483648,2147483680);#2.wCntLimit.AE_AlarmsEnableMask=IfTrue(#0,2147483648,2147483680);#2.fFault.AE_AlarmsEnableMask=IfTrue(#0,2147483648,2147483680);#2.wUnkw.AE_AlarmsEnableMask=IfTrue(#0,2147483648,2147483680);#2.wDbl.AE_AlarmsEnableMask=IfTrue(#0,2147483648,2147483680);#2.wCtrlUnkw.AE_AlarmsEnableMask=IfTrue(#0,2147483648,2147483680);#2.wCtrlDbl.AE_AlarmsEnableMask=IfTrue(#0,2147483648,2147483680);#2.wMnlMd.AE_AlarmsEnableMask=IfTrue(#0,2147483648,2147483680);#2.stOn.AE_AlarmsEnableMask=IfTrue(#0,2147483648,2147483680);#2.stOff.AE_AlarmsEnableMask=IfTrue(#0,2147483648,2147483680);#2.wNotOff.AE_AlarmsEnableMask=IfTrue(#0,2147483648,2147483680);#2.wNotOn.AE_AlarmsEnableMask=IfTrue(#0,2147483648,2147483680);#2.wRem.AE_AlarmsEnableMask=IfTrue(#0,2147483648,2147483680)</t>
  </si>
  <si>
    <t>#2.wCntLimit.AE_AlarmsEnableMask=IfTrue(#0,2147483648,2147483680);#2.fFault.AE_AlarmsEnableMask=IfTrue(#0,2147483648,2147483680);#2.wUnkw.AE_AlarmsEnableMask=IfTrue(#0,2147483648,2147483680);#2.wDbl.AE_AlarmsEnableMask=IfTrue(#0,2147483648,2147483680);#2.stOn.AE_AlarmsEnableMask=IfTrue(#0,2147483648,2147483680);#2.stOff.AE_AlarmsEnableMask=IfTrue(#0,2147483648,2147483680)</t>
  </si>
  <si>
    <t>#2.aPrt.AE_AlarmsEnableMask=IfTrue(#0,2147483648,2147483680);#2.wLoc.AE_AlarmsEnableMask=IfTrue(#0,2147483648,2147483680);#2.wCntLimit.AE_AlarmsEnableMask=IfTrue(#0,2147483648,2147483680);#2.wCntLimitPrt.AE_AlarmsEnableMask=IfTrue(#0,2147483648,2147483680);#2.fFault.AE_AlarmsEnableMask=IfTrue(#0,2147483648,2147483680);#2.wNotOff.AE_AlarmsEnableMask=IfTrue(#0,2147483648,2147483680);#2.wTUnkw.AE_AlarmsEnableMask=IfTrue(#0,2147483648,2147483680);#2.wUnkw.AE_AlarmsEnableMask=IfTrue(#0,2147483648,2147483680);#2.wTDbl.AE_AlarmsEnableMask=IfTrue(#0,2147483648,2147483680);#2.wDbl.AE_AlarmsEnableMask=IfTrue(#0,2147483648,2147483680);#2.wNotOn.AE_AlarmsEnableMask=IfTrue(#0,2147483648,2147483680);#2.wCtrlUnkw.AE_AlarmsEnableMask=IfTrue(#0,2147483648,2147483680);#2.wCtrlDbl.AE_AlarmsEnableMask=IfTrue(#0,2147483648,2147483680);#2.stTOn.AE_AlarmsEnableMask=IfTrue(#0,2147483648,2147483680);#2.wRem.AE_AlarmsEnableMask=IfTrue(#0,2147483648,2147483680);#2.stOn.AE_AlarmsEnableMask=IfTrue(#0,2147483648,2147483680);#2.stTOff.AE_AlarmsEnableMask=IfTrue(#0,2147483648,2147483680);#2.stOff.AE_AlarmsEnableMask=IfTrue(#0,2147483648,2147483680)</t>
  </si>
  <si>
    <t>#2.wCntLimit.AE_AlarmsEnableMask=IfTrue(#0,2147483648,2147483680);#2.fFault.AE_AlarmsEnableMask=IfTrue(#0,2147483648,2147483680);#2.wUnkw.AE_AlarmsEnableMask=IfTrue(#0,2147483648,2147483680);#2.wDbl.AE_AlarmsEnableMask=IfTrue(#0,2147483648,2147483680);#2.stOn.AE_AlarmsEnableMask=IfTrue(#0,2147483648,2147483680);#2.stOff.AE_AlarmsEnableMask=IfTrue(#0,2147483648,2147483680);#2.aPrt.AE_AlarmsEnableMask=IfTrue(#0,2147483648,2147483680);#2.wCntLimitPrt.AE_AlarmsEnableMask=IfTrue(#0,2147483648,2147483680)</t>
  </si>
  <si>
    <t>#2.wCntLimit.AE_AlarmsEnableMask=IfTrue(#0,2147483648,2147483680);#2.fFault.AE_AlarmsEnableMask=IfTrue(#0,2147483648,2147483680);#2.wTUnkw.AE_AlarmsEnableMask=IfTrue(#0,2147483648,2147483680);#2.wTDbl.AE_AlarmsEnableMask=IfTrue(#0,2147483648,2147483680);#2.stTOn.AE_AlarmsEnableMask=IfTrue(#0,2147483648,2147483680);#2.stTOff.AE_AlarmsEnableMask=IfTrue(#0,2147483648,2147483680)</t>
  </si>
  <si>
    <t>#2.aPrt.AE_AlarmsEnableMask=IfTrue(#0,2147483648,2147483680);#2.wCall.AE_AlarmsEnableMask=IfTrue(#0,2147483648,2147483680);#2.wLoc.AE_AlarmsEnableMask=IfTrue(#0,2147483648,2147483680);#2.wCtrlCircuitFault.AE_AlarmsEnableMask=IfTrue(#0,2147483648,2147483680);#2.wQFFault.AE_AlarmsEnableMask=IfTrue(#0,2147483648,2147483680);#2.fBMPAFault.AE_AlarmsEnableMask=IfTrue(#0,2147483648,2147483680);#2.wNotOff.AE_AlarmsEnableMask=IfTrue(#0,2147483648,2147483680);#2.wNotOn.AE_AlarmsEnableMask=IfTrue(#0,2147483648,2147483680);#2.wDbl.AE_AlarmsEnableMask=IfTrue(#0,2147483648,2147483680);#2.wUnkw.AE_AlarmsEnableMask=IfTrue(#0,2147483648,2147483680);#2.stOff.AE_AlarmsEnableMask=IfTrue(#0,2147483648,2147483680);#2.stOn.AE_AlarmsEnableMask=IfTrue(#0,2147483648,2147483680);#2.avrOn.AE_AlarmsEnableMask=IfTrue(#0,2147483648,2147483680)</t>
  </si>
  <si>
    <t>#2.aPrt.AE_AlarmsEnableMask=IfTrue(#0,2147483648,2147483680);#2.wCall.AE_AlarmsEnableMask=IfTrue(#0,2147483648,2147483680);#2.wLoc.AE_AlarmsEnableMask=IfTrue(#0,2147483648,2147483680);#2.wNotOff.AE_AlarmsEnableMask=IfTrue(#0,2147483648,2147483680);#2.wNotOn.AE_AlarmsEnableMask=IfTrue(#0,2147483648,2147483680);#2.wDbl.AE_AlarmsEnableMask=IfTrue(#0,2147483648,2147483680);#2.wUnkw.AE_AlarmsEnableMask=IfTrue(#0,2147483648,2147483680);#2.stOff.AE_AlarmsEnableMask=IfTrue(#0,2147483648,2147483680);#2.stOn.AE_AlarmsEnableMask=IfTrue(#0,2147483648,2147483680);#2.avrOn.AE_AlarmsEnableMask=IfTrue(#0,2147483648,2147483680)</t>
  </si>
  <si>
    <t>#2.aPrt.AE_AlarmsEnableMask=IfTrue(#0,2147483648,2147483680);#2.wCall.AE_AlarmsEnableMask=IfTrue(#0,2147483648,2147483680);#2.wLoc.AE_AlarmsEnableMask=IfTrue(#0,2147483648,2147483680);#2.wNotOff.AE_AlarmsEnableMask=IfTrue(#0,2147483648,2147483680);#2.wNotOn.AE_AlarmsEnableMask=IfTrue(#0,2147483648,2147483680);#2.wDbl.AE_AlarmsEnableMask=IfTrue(#0,2147483648,2147483680);#2.wUnkw.AE_AlarmsEnableMask=IfTrue(#0,2147483648,2147483680);#2.stOff.AE_AlarmsEnableMask=IfTrue(#0,2147483648,2147483680);#2.stOn.AE_AlarmsEnableMask=IfTrue(#0,2147483648,2147483680)</t>
  </si>
  <si>
    <t>#2.wLoc.AE_AlarmsEnableMask=IfTrue(#0,2147483648,2147483680);#2.wCntLimit.AE_AlarmsEnableMask=IfTrue(#0,2147483648,2147483680);#2.fFault.AE_AlarmsEnableMask=IfTrue(#0,2147483648,2147483680);#2.wNotOn.AE_AlarmsEnableMask=IfTrue(#0,2147483648,2147483680);#2.wNotOff.AE_AlarmsEnableMask=IfTrue(#0,2147483648,2147483680);#2.wUnkw.AE_AlarmsEnableMask=IfTrue(#0,2147483648,2147483680);#2.wDbl.AE_AlarmsEnableMask=IfTrue(#0,2147483648,2147483680);#2.wCtrlUnkw.AE_AlarmsEnableMask=IfTrue(#0,2147483648,2147483680);#2.wCtrlDbl.AE_AlarmsEnableMask=IfTrue(#0,2147483648,2147483680);#2.stOn.AE_AlarmsEnableMask=IfTrue(#0,2147483648,2147483680);#2.stOff.AE_AlarmsEnableMask=IfTrue(#0,2147483648,2147483680);#2.wRem.AE_AlarmsEnableMask=IfTrue(#0,2147483648,2147483680)</t>
  </si>
  <si>
    <t>#2.aPrt.AE_AlarmsEnableMask=IfTrue(#0,2147483648,2147483680);#2.wLoc.AE_AlarmsEnableMask=IfTrue(#0,2147483648,2147483680);#2.wRem.AE_AlarmsEnableMask=IfTrue(#0,2147483648,2147483680);#2.wCntLimit.AE_AlarmsEnableMask=IfTrue(#0,2147483648,2147483680);#2.wCntLimitPrt.AE_AlarmsEnableMask=IfTrue(#0,2147483648,2147483680);#2.fFault.AE_AlarmsEnableMask=IfTrue(#0,2147483648,2147483680);#2.wNotOff.AE_AlarmsEnableMask=IfTrue(#0,2147483648,2147483680);#2.wNotOn.AE_AlarmsEnableMask=IfTrue(#0,2147483648,2147483680);#2.wUnkw.AE_AlarmsEnableMask=IfTrue(#0,2147483648,2147483680);#2.wDbl.AE_AlarmsEnableMask=IfTrue(#0,2147483648,2147483680);#2.wCtrlUnkw.AE_AlarmsEnableMask=IfTrue(#0,2147483648,2147483680);#2.wCtrlDbl.AE_AlarmsEnableMask=IfTrue(#0,2147483648,2147483680);#2.stOn.AE_AlarmsEnableMask=IfTrue(#0,2147483648,2147483680);#2.stOff.AE_AlarmsEnableMask=IfTrue(#0,2147483648,2147483680)</t>
  </si>
  <si>
    <t>Регулируемый параметр выведен из алгоритма (вход)</t>
  </si>
  <si>
    <t>Входное значение Регулируемый параметр (параметрическое)</t>
  </si>
  <si>
    <t>Выходное значение Управляющее воздействие (проценты)</t>
  </si>
  <si>
    <t>Регулятор FB с буферизацией</t>
  </si>
  <si>
    <t>Верхняя шкала управления в %</t>
  </si>
  <si>
    <t>Нижняя шкала управления в %</t>
  </si>
  <si>
    <t>3+4</t>
  </si>
  <si>
    <r>
      <rPr>
        <b/>
        <sz val="11"/>
        <color theme="1"/>
        <rFont val="Calibri"/>
        <family val="2"/>
        <charset val="204"/>
        <scheme val="minor"/>
      </rPr>
      <t>Изменения по сравнению с версией 19.6</t>
    </r>
    <r>
      <rPr>
        <sz val="11"/>
        <color theme="1"/>
        <rFont val="Calibri"/>
        <family val="2"/>
        <scheme val="minor"/>
      </rPr>
      <t xml:space="preserve">
1. Выполнен откат изм.5, введенных в версии  19.6
2. Добавлены новые блоки в конфигурацию Infinity: IMp,IMv,IMp_MON,IMv_MON,IMsp,IMsp_MON,IMs_MON,IMt_MON, IMstp, IM_ADES - блоки с подключением по интерфейсу, минуя TREI. Привязка сигналов настраивается правкой шаблона с использованием полей столбцов "J-AJ" листа "Таблица". Можно конфигурировать любой тип подключений.
3. При конфигурации блоков с буферизацией порядок индексов не меняется в случае если какие-то из добавленных блоков не выбраны 
4. Количество добавляемых модулей на листе "Конфигурация TREI" увеличено до 100. 
5. Добавлена возможность конфигурировать шаблоны блоков с привязкой по ModbusTCP (на примере шаблона IMp) и IEC104 (на примере шаблона IMsp)
6. FB_IMstp_S, FB_IMs_S, FB_IMsp_S - убраны сообщения установки плакатов. Сигнал label перенесен в свойства. Удален сигнал notblock - нигде не используется
7. SEPAM_OL, SEPAM_VV, SEPAM_SV, SEPAM_OL, SEPAM_TN, SEPAM_VG, SEPAM_TZN, BMRZ_AV, BMRV_VV, BMPA - убраны сообщения установки плакатов, сами сигналы перенесены в свойства. Сигнал label перенесен в свойства
8. AI, AI_BUF - сигналы coEnaH, coEnaL, coEnwH, coEnwL, sBndaH, sBndaL, sBndwH, sBndwH переведены в свойства
9. FB_IMstp_S, FB_IMs_S, FB_IMsp_S, FB_IMst_MON_S, FB_IMt_MON_S - сигналы Properties.U_High, Properties.U_Low, Properties.U переведены в свойства
10. В блоках DI, DI_BUF и DO, DO_BUF теперь нет вложенного сигнала .Value. Формирование происходит в самом сигнале.
11. В блок SEPAM добавлены сигналы wNotOn, wNotOff и sTOn_Off.
12. Исправлена ошибка при генерации списка файлов контрольных сумм для x64 приложений Infinity.</t>
    </r>
  </si>
  <si>
    <r>
      <rPr>
        <b/>
        <sz val="11"/>
        <color theme="1"/>
        <rFont val="Calibri"/>
        <family val="2"/>
        <charset val="204"/>
        <scheme val="minor"/>
      </rPr>
      <t>Изменения по сравнению с версией 20.0</t>
    </r>
    <r>
      <rPr>
        <sz val="11"/>
        <color theme="1"/>
        <rFont val="Calibri"/>
        <family val="2"/>
        <scheme val="minor"/>
      </rPr>
      <t xml:space="preserve">
1. Добавлено удаление дубликатов строк в файле xml контрольных сумм.
2. Конфигурация Infinity для модулей M538V, M558O, M558D, M548A дополнена
3. FB_SHOP_S, FB_SHPS_S - добавлено поле цвет иконки на листе "Таблица"
4. Обновлены блоки AI, AI_BUF, SEPAM, BMRZ,BMPA, FB_IMstp_S, FB_IMs_S, FB_IMsp_S,IMp, IMv, IMp_MON, IMv_MON, IMsp, IMsp_MON, IMs_MON, IMt_MON, IMstp, IM_ADES - добавлены обязательные свойства.
5. Добавлена возможность конфигурировать шаблоны блоков с привязкой по Modbus RTU и Modbus over TCP (на примере шаблона IMv)
6. Добавлена возможность конфигурировать шаблоны блоков с привязкой по SNMP (на примере шаблона IMs_MON)
7. FB_dREG_BUF_S - приведен в соответствии с текущей номенклатурой (v2.7)
8. FB_BTF_S - добавлена возможность выбора типа (столбец N листа "Таблица)
9. В Infinity добавлена возможность конфигурирования блока TOR для терминалов ТОР, производства "Релематика". Доступны ячейки OL,SV,VV,TN,BK.
10. Обновлена справка
11. В блоке PING в INFINITY убран лишний обобщающий сигнал
12. Обновлен список файлов контрольных сумм модулей Infinity в соответствии с версией 4.3.1
</t>
    </r>
  </si>
  <si>
    <t>Комментарии блоков в гл. словаре</t>
  </si>
  <si>
    <t>G1\G2</t>
  </si>
  <si>
    <r>
      <t xml:space="preserve">FB_AI_S, FB_REG_S, AI, FB_QSA_S, AI_SLIM: </t>
    </r>
    <r>
      <rPr>
        <sz val="11"/>
        <color theme="1"/>
        <rFont val="Calibri"/>
        <family val="2"/>
        <charset val="204"/>
      </rPr>
      <t>Ед.изм.</t>
    </r>
    <r>
      <rPr>
        <b/>
        <sz val="11"/>
        <color theme="1"/>
        <rFont val="Calibri"/>
        <family val="2"/>
        <charset val="204"/>
      </rPr>
      <t xml:space="preserve">
FB_IMstp_S, FB_IMt_MON_S, FB_IMst_MON_S, BMRZ, BMPA, IMstp, IMt_MON, TOR:</t>
    </r>
    <r>
      <rPr>
        <sz val="11"/>
        <color theme="1"/>
        <rFont val="Calibri"/>
        <family val="2"/>
        <charset val="204"/>
      </rPr>
      <t xml:space="preserve"> Формула для цвета нижней линии при нал. напряж., формула цвета верхней обмотки трансформатора</t>
    </r>
    <r>
      <rPr>
        <b/>
        <sz val="11"/>
        <color theme="1"/>
        <rFont val="Calibri"/>
        <family val="2"/>
        <charset val="204"/>
      </rPr>
      <t xml:space="preserve">
FB_IMs_S,FB_IMsp_S, IMsp: </t>
    </r>
    <r>
      <rPr>
        <sz val="11"/>
        <color theme="1"/>
        <rFont val="Calibri"/>
        <family val="2"/>
        <charset val="204"/>
      </rPr>
      <t xml:space="preserve">формула для цвета высоков. выкл.
</t>
    </r>
    <r>
      <rPr>
        <b/>
        <sz val="11"/>
        <color theme="1"/>
        <rFont val="Calibri"/>
        <family val="2"/>
        <charset val="204"/>
      </rPr>
      <t>ENUM:</t>
    </r>
    <r>
      <rPr>
        <sz val="11"/>
        <color theme="1"/>
        <rFont val="Calibri"/>
        <family val="2"/>
        <charset val="204"/>
      </rPr>
      <t xml:space="preserve"> Номер перечисляемого элемента
</t>
    </r>
    <r>
      <rPr>
        <b/>
        <sz val="11"/>
        <color theme="1"/>
        <rFont val="Calibri"/>
        <family val="2"/>
        <charset val="204"/>
      </rPr>
      <t>SW_MAYAK:</t>
    </r>
    <r>
      <rPr>
        <sz val="11"/>
        <color theme="1"/>
        <rFont val="Calibri"/>
        <family val="2"/>
        <charset val="204"/>
      </rPr>
      <t xml:space="preserve"> Подключение к порту G1,G2 (через "\")</t>
    </r>
  </si>
  <si>
    <r>
      <t xml:space="preserve">FB_AI_S, FB_REG_S, AI, AI_SLIM: </t>
    </r>
    <r>
      <rPr>
        <sz val="11"/>
        <color theme="1"/>
        <rFont val="Calibri"/>
        <family val="2"/>
        <charset val="204"/>
      </rPr>
      <t xml:space="preserve">Ед.изм.
</t>
    </r>
    <r>
      <rPr>
        <b/>
        <sz val="11"/>
        <color theme="1"/>
        <rFont val="Calibri"/>
        <family val="2"/>
        <charset val="204"/>
      </rPr>
      <t>ENUM:</t>
    </r>
    <r>
      <rPr>
        <sz val="11"/>
        <color theme="1"/>
        <rFont val="Calibri"/>
        <family val="2"/>
        <charset val="204"/>
      </rPr>
      <t xml:space="preserve"> Номер перечисляемого элемента
</t>
    </r>
    <r>
      <rPr>
        <b/>
        <sz val="11"/>
        <color theme="1"/>
        <rFont val="Calibri"/>
        <family val="2"/>
        <charset val="204"/>
      </rPr>
      <t>SW_MAYAK:</t>
    </r>
    <r>
      <rPr>
        <sz val="11"/>
        <color theme="1"/>
        <rFont val="Calibri"/>
        <family val="2"/>
        <charset val="204"/>
      </rPr>
      <t xml:space="preserve"> Подключение к порту G1,G2 (через "\")</t>
    </r>
  </si>
  <si>
    <r>
      <t xml:space="preserve">FB_AI_S, AI, AI_SLIM: </t>
    </r>
    <r>
      <rPr>
        <sz val="11"/>
        <color theme="1"/>
        <rFont val="Calibri"/>
        <family val="2"/>
        <charset val="204"/>
      </rPr>
      <t>Ед.изм.</t>
    </r>
    <r>
      <rPr>
        <b/>
        <sz val="11"/>
        <color theme="1"/>
        <rFont val="Calibri"/>
        <family val="2"/>
        <charset val="204"/>
      </rPr>
      <t xml:space="preserve">
FB_IMstp_S, FB_IMt_MON_S, FB_IMst_MON_S, BMRZ, BMPA, IMstp, IMt_MON, TOR:</t>
    </r>
    <r>
      <rPr>
        <sz val="11"/>
        <color theme="1"/>
        <rFont val="Calibri"/>
        <family val="2"/>
        <charset val="204"/>
      </rPr>
      <t xml:space="preserve"> Формула для цвета нижней линии при нал. напряж., формула цвета верхней обмотки трансформатора</t>
    </r>
    <r>
      <rPr>
        <b/>
        <sz val="11"/>
        <color theme="1"/>
        <rFont val="Calibri"/>
        <family val="2"/>
        <charset val="204"/>
      </rPr>
      <t xml:space="preserve">
FB_IMs_S,FB_IMsp_S, IMsp: </t>
    </r>
    <r>
      <rPr>
        <sz val="11"/>
        <color theme="1"/>
        <rFont val="Calibri"/>
        <family val="2"/>
        <charset val="204"/>
      </rPr>
      <t xml:space="preserve">формула для цвета высоков. выкл.
</t>
    </r>
    <r>
      <rPr>
        <b/>
        <sz val="11"/>
        <color theme="1"/>
        <rFont val="Calibri"/>
        <family val="2"/>
        <charset val="204"/>
      </rPr>
      <t>ENUM:</t>
    </r>
    <r>
      <rPr>
        <sz val="11"/>
        <color theme="1"/>
        <rFont val="Calibri"/>
        <family val="2"/>
        <charset val="204"/>
      </rPr>
      <t xml:space="preserve"> Номер перечисляемого элемента
</t>
    </r>
    <r>
      <rPr>
        <b/>
        <sz val="11"/>
        <color theme="1"/>
        <rFont val="Calibri"/>
        <family val="2"/>
        <charset val="204"/>
      </rPr>
      <t>SW_MAYAK:</t>
    </r>
    <r>
      <rPr>
        <sz val="11"/>
        <color theme="1"/>
        <rFont val="Calibri"/>
        <family val="2"/>
        <charset val="204"/>
      </rPr>
      <t xml:space="preserve"> Подключение к порту G1,G2 (через "\")</t>
    </r>
  </si>
  <si>
    <r>
      <t xml:space="preserve">FB_AI_S, AI, FB_QSA_S, AI_SLIM: </t>
    </r>
    <r>
      <rPr>
        <sz val="11"/>
        <color theme="1"/>
        <rFont val="Calibri"/>
        <family val="2"/>
        <charset val="204"/>
      </rPr>
      <t xml:space="preserve">Ед.изм.
</t>
    </r>
    <r>
      <rPr>
        <b/>
        <sz val="11"/>
        <color theme="1"/>
        <rFont val="Calibri"/>
        <family val="2"/>
        <charset val="204"/>
      </rPr>
      <t>ENUM:</t>
    </r>
    <r>
      <rPr>
        <sz val="11"/>
        <color theme="1"/>
        <rFont val="Calibri"/>
        <family val="2"/>
        <charset val="204"/>
      </rPr>
      <t xml:space="preserve"> Номер перечисляемого элемента
</t>
    </r>
    <r>
      <rPr>
        <b/>
        <sz val="11"/>
        <color theme="1"/>
        <rFont val="Calibri"/>
        <family val="2"/>
        <charset val="204"/>
      </rPr>
      <t>SW_MAYAK:</t>
    </r>
    <r>
      <rPr>
        <sz val="11"/>
        <color theme="1"/>
        <rFont val="Calibri"/>
        <family val="2"/>
        <charset val="204"/>
      </rPr>
      <t xml:space="preserve"> Подключение к порту G1,G2 (через "\")</t>
    </r>
  </si>
  <si>
    <r>
      <t xml:space="preserve">FB_AI_S, FB_REG_S, AI, AI_SLIM: </t>
    </r>
    <r>
      <rPr>
        <sz val="11"/>
        <color theme="1"/>
        <rFont val="Calibri"/>
        <family val="2"/>
        <charset val="204"/>
      </rPr>
      <t>Ед.изм.</t>
    </r>
    <r>
      <rPr>
        <b/>
        <sz val="11"/>
        <color theme="1"/>
        <rFont val="Calibri"/>
        <family val="2"/>
        <charset val="204"/>
      </rPr>
      <t xml:space="preserve">
FB_IMstp_S, FB_IMt_MON_S, FB_IMst_MON_S, BMRZ, BMPA, IMstp, IMt_MON, TOR:</t>
    </r>
    <r>
      <rPr>
        <sz val="11"/>
        <color theme="1"/>
        <rFont val="Calibri"/>
        <family val="2"/>
        <charset val="204"/>
      </rPr>
      <t xml:space="preserve"> Формула для цвета нижней линии при нал. напряж., формула цвета верхней обмотки трансформатора</t>
    </r>
    <r>
      <rPr>
        <b/>
        <sz val="11"/>
        <color theme="1"/>
        <rFont val="Calibri"/>
        <family val="2"/>
        <charset val="204"/>
      </rPr>
      <t xml:space="preserve">
FB_IMs_S,FB_IMsp_S, IMsp: </t>
    </r>
    <r>
      <rPr>
        <sz val="11"/>
        <color theme="1"/>
        <rFont val="Calibri"/>
        <family val="2"/>
        <charset val="204"/>
      </rPr>
      <t xml:space="preserve">формула для цвета высоков. выкл.
</t>
    </r>
    <r>
      <rPr>
        <b/>
        <sz val="11"/>
        <color theme="1"/>
        <rFont val="Calibri"/>
        <family val="2"/>
        <charset val="204"/>
      </rPr>
      <t>ENUM:</t>
    </r>
    <r>
      <rPr>
        <sz val="11"/>
        <color theme="1"/>
        <rFont val="Calibri"/>
        <family val="2"/>
        <charset val="204"/>
      </rPr>
      <t xml:space="preserve"> Номер перечисляемого элемента
</t>
    </r>
    <r>
      <rPr>
        <b/>
        <sz val="11"/>
        <color theme="1"/>
        <rFont val="Calibri"/>
        <family val="2"/>
        <charset val="204"/>
      </rPr>
      <t>SW_MAYAK:</t>
    </r>
    <r>
      <rPr>
        <sz val="11"/>
        <color theme="1"/>
        <rFont val="Calibri"/>
        <family val="2"/>
        <charset val="204"/>
      </rPr>
      <t xml:space="preserve"> Подключение к порту G1,G2 (через "\")</t>
    </r>
  </si>
  <si>
    <r>
      <t xml:space="preserve">FB_AI_S, FB_REG_S, AI, FB_QSA_S, AI_SLIM: </t>
    </r>
    <r>
      <rPr>
        <sz val="11"/>
        <color theme="1"/>
        <rFont val="Calibri"/>
        <family val="2"/>
        <charset val="204"/>
      </rPr>
      <t xml:space="preserve">Ед.изм.
</t>
    </r>
    <r>
      <rPr>
        <b/>
        <sz val="11"/>
        <color theme="1"/>
        <rFont val="Calibri"/>
        <family val="2"/>
        <charset val="204"/>
      </rPr>
      <t>ENUM:</t>
    </r>
    <r>
      <rPr>
        <sz val="11"/>
        <color theme="1"/>
        <rFont val="Calibri"/>
        <family val="2"/>
        <charset val="204"/>
      </rPr>
      <t xml:space="preserve"> Номер перечисляемого элемента
</t>
    </r>
    <r>
      <rPr>
        <b/>
        <sz val="11"/>
        <color theme="1"/>
        <rFont val="Calibri"/>
        <family val="2"/>
        <charset val="204"/>
      </rPr>
      <t>SW_MAYAK:</t>
    </r>
    <r>
      <rPr>
        <sz val="11"/>
        <color theme="1"/>
        <rFont val="Calibri"/>
        <family val="2"/>
        <charset val="204"/>
      </rPr>
      <t xml:space="preserve"> Подключение к порту G1,G2 (через "\")</t>
    </r>
  </si>
  <si>
    <r>
      <t xml:space="preserve">FB_AI_S, AI, AI_SLIM: </t>
    </r>
    <r>
      <rPr>
        <sz val="11"/>
        <color theme="1"/>
        <rFont val="Calibri"/>
        <family val="2"/>
        <charset val="204"/>
      </rPr>
      <t xml:space="preserve">Ед.изм.
</t>
    </r>
    <r>
      <rPr>
        <b/>
        <sz val="11"/>
        <color theme="1"/>
        <rFont val="Calibri"/>
        <family val="2"/>
        <charset val="204"/>
      </rPr>
      <t>ENUM:</t>
    </r>
    <r>
      <rPr>
        <sz val="11"/>
        <color theme="1"/>
        <rFont val="Calibri"/>
        <family val="2"/>
        <charset val="204"/>
      </rPr>
      <t xml:space="preserve"> Номер перечисляемого элемента
</t>
    </r>
    <r>
      <rPr>
        <b/>
        <sz val="11"/>
        <color theme="1"/>
        <rFont val="Calibri"/>
        <family val="2"/>
        <charset val="204"/>
      </rPr>
      <t>SW_MAYAK:</t>
    </r>
    <r>
      <rPr>
        <sz val="11"/>
        <color theme="1"/>
        <rFont val="Calibri"/>
        <family val="2"/>
        <charset val="204"/>
      </rPr>
      <t xml:space="preserve"> Подключение к порту G1,G2 (через "\")</t>
    </r>
  </si>
  <si>
    <t>#1.XFRX.AE_AlarmsEnableMask=IfTrue(#0,2147483648,2147483680);#1.XWRX.AE_AlarmsEnableMask=IfTrue(#0,2147483648,2147483680);#1.FSCX.AE_AlarmsEnableMask=IfTrue(#0,2147483648,2147483680);#1.FBXX.AE_AlarmsEnableMask=IfTrue(#0,2147483648,2147483680);#1.FCOX.AE_AlarmsEnableMask=IfTrue(#0,2147483648,2147483680);#1.FFBX.AE_AlarmsEnableMask=IfTrue(#0,2147483648,2147483680);#1.FFSC.AE_AlarmsEnableMask=IfTrue(#0,2147483648,2147483680);#1.DVXX.AE_AlarmsEnableMask=IfTrue(#0,2147483648,2147483680);#1.DFEX.AE_AlarmsEnableMask=IfTrue(#0,2147483648,2147483680);#1.FEXX.AE_AlarmsEnableMask=IfTrue(#0,2147483648,2147483680);#1.XTPX.AE_AlarmsEnableMask=IfTrue(#0,2147483648,2147483680);#1.XTFX.AE_AlarmsEnableMask=IfTrue(#0,2147483648,2147483680);#1.CIMX.AE_AlarmsEnableMask=IfTrue(#0,2147483648,2147483680)</t>
  </si>
  <si>
    <r>
      <t xml:space="preserve">Для TREI
FB_AI_S: </t>
    </r>
    <r>
      <rPr>
        <sz val="11"/>
        <color theme="1"/>
        <rFont val="Calibri"/>
        <family val="2"/>
        <charset val="204"/>
      </rPr>
      <t>Нижний предел датчика</t>
    </r>
    <r>
      <rPr>
        <b/>
        <sz val="11"/>
        <color theme="1"/>
        <rFont val="Calibri"/>
        <family val="2"/>
        <charset val="204"/>
      </rPr>
      <t xml:space="preserve">
AO: </t>
    </r>
    <r>
      <rPr>
        <sz val="11"/>
        <color theme="1"/>
        <rFont val="Calibri"/>
        <family val="2"/>
        <charset val="204"/>
      </rPr>
      <t>Начальное значение</t>
    </r>
  </si>
  <si>
    <t>#1.XFRX.AE_AlarmsEnableMask=IfTrue(#0,2147483648,2147483680);#1.XWRX.AE_AlarmsEnableMask=IfTrue(#0,2147483648,2147483680);#1.FSCX.AE_AlarmsEnableMask=IfTrue(#0,2147483648,2147483680);#1.FBXX.AE_AlarmsEnableMask=IfTrue(#0,2147483648,2147483680);#1.FEXX.AE_AlarmsEnableMask=IfTrue(#0,2147483648,2147483680);#1.DVXX.AE_AlarmsEnableMask=IfTrue(#0,2147483648,2147483680);#1.CIMX.AE_AlarmsEnableMask=IfTrue(#0,2147483648,2147483680)</t>
  </si>
  <si>
    <t>#1.FBXX.AE_AlarmsEnableMask=IfTrue(#0,2147483648,2147483680);#1.FSCX.AE_AlarmsEnableMask=IfTrue(#0,2147483648,2147483680);#1.DVXX.AE_AlarmsEnableMask=IfTrue(#0,2147483648,2147483680);#1.XONX.AE_AlarmsEnableMask=IfTrue(#0,2147483648,2147483680);#1.CAON.AE_AlarmsEnableMask=IfTrue(#0,2147483648,2147483680)</t>
  </si>
  <si>
    <r>
      <t xml:space="preserve">Для TREI
FB_AI_S, FB_QSA_S: </t>
    </r>
    <r>
      <rPr>
        <sz val="11"/>
        <color theme="1"/>
        <rFont val="Calibri"/>
        <family val="2"/>
        <charset val="204"/>
      </rPr>
      <t>Нижний предел датчика</t>
    </r>
    <r>
      <rPr>
        <b/>
        <sz val="11"/>
        <color theme="1"/>
        <rFont val="Calibri"/>
        <family val="2"/>
        <charset val="204"/>
      </rPr>
      <t xml:space="preserve">
FB_BTF_S: </t>
    </r>
    <r>
      <rPr>
        <sz val="11"/>
        <color theme="1"/>
        <rFont val="Calibri"/>
        <family val="2"/>
        <charset val="204"/>
      </rPr>
      <t xml:space="preserve">Тип ИП пламени (0-5)
</t>
    </r>
    <r>
      <rPr>
        <b/>
        <sz val="11"/>
        <color theme="1"/>
        <rFont val="Calibri"/>
        <family val="2"/>
        <charset val="204"/>
      </rPr>
      <t>FB_OZK_KD_S</t>
    </r>
    <r>
      <rPr>
        <sz val="11"/>
        <color theme="1"/>
        <rFont val="Calibri"/>
        <family val="2"/>
        <charset val="204"/>
      </rPr>
      <t xml:space="preserve">: Тип датчика (0 - ОЗК, 1- КД)
</t>
    </r>
    <r>
      <rPr>
        <b/>
        <sz val="11"/>
        <color theme="1"/>
        <rFont val="Calibri"/>
        <family val="2"/>
        <charset val="204"/>
      </rPr>
      <t xml:space="preserve">AO: </t>
    </r>
    <r>
      <rPr>
        <sz val="11"/>
        <color theme="1"/>
        <rFont val="Calibri"/>
        <family val="2"/>
        <charset val="204"/>
      </rPr>
      <t xml:space="preserve">Начальное значение
</t>
    </r>
    <r>
      <rPr>
        <b/>
        <sz val="11"/>
        <color theme="1"/>
        <rFont val="Calibri"/>
        <family val="2"/>
        <charset val="204"/>
      </rPr>
      <t xml:space="preserve">FB_SHPS_S: </t>
    </r>
    <r>
      <rPr>
        <sz val="11"/>
        <color theme="1"/>
        <rFont val="Calibri"/>
        <family val="2"/>
        <charset val="204"/>
      </rPr>
      <t xml:space="preserve">Тип датчика (0 - МОПС, 1- Рубеж (Пожар), 2- Рубеж (Внимание))
</t>
    </r>
    <r>
      <rPr>
        <b/>
        <sz val="11"/>
        <color theme="1"/>
        <rFont val="Calibri"/>
        <family val="2"/>
        <charset val="204"/>
      </rPr>
      <t>FB_SHOP_S:</t>
    </r>
    <r>
      <rPr>
        <sz val="11"/>
        <color theme="1"/>
        <rFont val="Calibri"/>
        <family val="2"/>
        <charset val="204"/>
      </rPr>
      <t xml:space="preserve"> Тип датчика (0 - МУПС, 1- Рубеж)</t>
    </r>
  </si>
  <si>
    <r>
      <t xml:space="preserve">Для TREI
FB_AI_S, FB_QSA_S: </t>
    </r>
    <r>
      <rPr>
        <sz val="11"/>
        <color theme="1"/>
        <rFont val="Calibri"/>
        <family val="2"/>
        <charset val="204"/>
      </rPr>
      <t>Нижний предел датчика</t>
    </r>
    <r>
      <rPr>
        <b/>
        <sz val="11"/>
        <color theme="1"/>
        <rFont val="Calibri"/>
        <family val="2"/>
        <charset val="204"/>
      </rPr>
      <t xml:space="preserve">
FB_BTF_S: </t>
    </r>
    <r>
      <rPr>
        <sz val="11"/>
        <color theme="1"/>
        <rFont val="Calibri"/>
        <family val="2"/>
        <charset val="204"/>
      </rPr>
      <t xml:space="preserve">Тип ИП пламени (0-5)
</t>
    </r>
    <r>
      <rPr>
        <b/>
        <sz val="11"/>
        <color theme="1"/>
        <rFont val="Calibri"/>
        <family val="2"/>
        <charset val="204"/>
      </rPr>
      <t>FB_OZK_KD_S</t>
    </r>
    <r>
      <rPr>
        <sz val="11"/>
        <color theme="1"/>
        <rFont val="Calibri"/>
        <family val="2"/>
        <charset val="204"/>
      </rPr>
      <t xml:space="preserve">: Тип датчика (0 - ОЗК, 1- КД)
</t>
    </r>
    <r>
      <rPr>
        <b/>
        <sz val="11"/>
        <color theme="1"/>
        <rFont val="Calibri"/>
        <family val="2"/>
        <charset val="204"/>
      </rPr>
      <t xml:space="preserve">AO: </t>
    </r>
    <r>
      <rPr>
        <sz val="11"/>
        <color theme="1"/>
        <rFont val="Calibri"/>
        <family val="2"/>
        <charset val="204"/>
      </rPr>
      <t xml:space="preserve">Начальное значение
</t>
    </r>
    <r>
      <rPr>
        <b/>
        <sz val="11"/>
        <color theme="1"/>
        <rFont val="Calibri"/>
        <family val="2"/>
        <charset val="204"/>
      </rPr>
      <t>FB_SHPS_S:</t>
    </r>
    <r>
      <rPr>
        <sz val="11"/>
        <color theme="1"/>
        <rFont val="Calibri"/>
        <family val="2"/>
        <charset val="204"/>
      </rPr>
      <t xml:space="preserve"> Тип датчика (0 - МОПС, 1- Рубеж (Пожар), 2- Рубеж (Внимание))
</t>
    </r>
    <r>
      <rPr>
        <b/>
        <sz val="11"/>
        <color theme="1"/>
        <rFont val="Calibri"/>
        <family val="2"/>
        <charset val="204"/>
      </rPr>
      <t>FB_SHOP_S:</t>
    </r>
    <r>
      <rPr>
        <sz val="11"/>
        <color theme="1"/>
        <rFont val="Calibri"/>
        <family val="2"/>
        <charset val="204"/>
      </rPr>
      <t xml:space="preserve"> Тип датчика (0 - МУПС, 1- Рубеж)</t>
    </r>
  </si>
  <si>
    <t>Норма системы ПТ</t>
  </si>
  <si>
    <t>IM_V1</t>
  </si>
  <si>
    <t>Тег (формула) отсутствия связи (для резервного CPU)</t>
  </si>
  <si>
    <t>iso.org.dod.internet.mgmt.mib-2.interfaces.ifTable.ifEntry.ifOperStatus;1.3.6.1.2.1.2.2.1.8;49</t>
  </si>
  <si>
    <t>iso.org.dod.internet.mgmt.mib-2.interfaces.ifTable.ifEntry.ifOperStatus;1.3.6.1.2.1.2.2.1.8;50</t>
  </si>
  <si>
    <t>iso.org.dod.internet.mgmt.mib-2.interfaces.ifTable.ifEntry.ifOperStatus;1.3.6.1.2.1.2.2.1.8;51</t>
  </si>
  <si>
    <t>iso.org.dod.internet.mgmt.mib-2.interfaces.ifTable.ifEntry.ifOperStatus;1.3.6.1.2.1.2.2.1.8;52</t>
  </si>
  <si>
    <t>iso.org.dod.internet.mgmt.mib-2.interfaces.ifTable.ifEntry.ifOperStatus;1.3.6.1.2.1.2.2.1.8;53</t>
  </si>
  <si>
    <t>iso.org.dod.internet.mgmt.mib-2.interfaces.ifTable.ifEntry.ifOperStatus;1.3.6.1.2.1.2.2.1.8;54</t>
  </si>
  <si>
    <t>iso.org.dod.internet.mgmt.mib-2.interfaces.ifTable.ifEntry.ifOperStatus;1.3.6.1.2.1.2.2.1.8;55</t>
  </si>
  <si>
    <t>iso.org.dod.internet.mgmt.mib-2.interfaces.ifTable.ifEntry.ifOperStatus;1.3.6.1.2.1.2.2.1.8;56</t>
  </si>
  <si>
    <t>iso.org.dod.internet.mgmt.mib-2.interfaces.ifTable.ifEntry.ifOperStatus;1.3.6.1.2.1.2.2.1.8;57</t>
  </si>
  <si>
    <t>iso.org.dod.internet.mgmt.mib-2.interfaces.ifTable.ifEntry.ifOperStatus;1.3.6.1.2.1.2.2.1.8;58</t>
  </si>
  <si>
    <t>iso.org.dod.internet.mgmt.mib-2.interfaces.ifTable.ifEntry.ifOperStatus;1.3.6.1.2.1.2.2.1.8;59</t>
  </si>
  <si>
    <t>iso.org.dod.internet.mgmt.mib-2.interfaces.ifTable.ifEntry.ifOperStatus;1.3.6.1.2.1.2.2.1.8;60</t>
  </si>
  <si>
    <t>iso.org.dod.internet.mgmt.mib-2.interfaces.ifTable.ifEntry.ifOperStatus;1.3.6.1.2.1.2.2.1.8;61</t>
  </si>
  <si>
    <t>iso.org.dod.internet.mgmt.mib-2.interfaces.ifTable.ifEntry.ifOperStatus;1.3.6.1.2.1.2.2.1.8;62</t>
  </si>
  <si>
    <t>iso.org.dod.internet.mgmt.mib-2.interfaces.ifTable.ifEntry.ifOperStatus;1.3.6.1.2.1.2.2.1.8;63</t>
  </si>
  <si>
    <t>iso.org.dod.internet.mgmt.mib-2.interfaces.ifTable.ifEntry.ifOperStatus;1.3.6.1.2.1.2.2.1.8;64</t>
  </si>
  <si>
    <t>iso.org.dod.internet.mgmt.mib-2.interfaces.ifTable.ifEntry.ifOperStatus;1.3.6.1.2.1.2.2.1.8;65</t>
  </si>
  <si>
    <t>iso.org.dod.internet.mgmt.mib-2.interfaces.ifTable.ifEntry.ifOperStatus;1.3.6.1.2.1.2.2.1.8;66</t>
  </si>
  <si>
    <t>iso.org.dod.internet.mgmt.mib-2.interfaces.ifTable.ifEntry.ifOperStatus;1.3.6.1.2.1.2.2.1.8;67</t>
  </si>
  <si>
    <t>iso.org.dod.internet.mgmt.mib-2.interfaces.ifTable.ifEntry.ifOperStatus;1.3.6.1.2.1.2.2.1.8;68</t>
  </si>
  <si>
    <t>iso.org.dod.internet.mgmt.mib-2.interfaces.ifTable.ifEntry.ifOperStatus;1.3.6.1.2.1.2.2.1.8;69</t>
  </si>
  <si>
    <t>iso.org.dod.internet.mgmt.mib-2.interfaces.ifTable.ifEntry.ifOperStatus;1.3.6.1.2.1.2.2.1.8;70</t>
  </si>
  <si>
    <t>iso.org.dod.internet.mgmt.mib-2.interfaces.ifTable.ifEntry.ifOperStatus;1.3.6.1.2.1.2.2.1.8;71</t>
  </si>
  <si>
    <t>iso.org.dod.internet.mgmt.mib-2.interfaces.ifTable.ifEntry.ifOperStatus;1.3.6.1.2.1.2.2.1.8;72</t>
  </si>
  <si>
    <t>iso.org.dod.internet.mgmt.mib-2.interfaces.ifTable.ifEntry.ifOperStatus;1.3.6.1.2.1.2.2.1.8;73</t>
  </si>
  <si>
    <t>iso.org.dod.internet.mgmt.mib-2.interfaces.ifTable.ifEntry.ifOperStatus;1.3.6.1.2.1.2.2.1.8;74</t>
  </si>
  <si>
    <t>iso.org.dod.internet.mgmt.mib-2.interfaces.ifTable.ifEntry.ifOperStatus;1.3.6.1.2.1.2.2.1.8;75</t>
  </si>
  <si>
    <t>iso.org.dod.internet.mgmt.mib-2.interfaces.ifTable.ifEntry.ifOperStatus;1.3.6.1.2.1.2.2.1.8;76</t>
  </si>
  <si>
    <t>iso.org.dod.internet.mgmt.mib-2.interfaces.ifTable.ifEntry.ifOperStatus;1.3.6.1.2.1.2.2.1.8;77</t>
  </si>
  <si>
    <t>iso.org.dod.internet.mgmt.mib-2.interfaces.ifTable.ifEntry.ifOperStatus;1.3.6.1.2.1.2.2.1.8;78</t>
  </si>
  <si>
    <t>iso.org.dod.internet.mgmt.mib-2.interfaces.ifTable.ifEntry.ifOperStatus;1.3.6.1.2.1.2.2.1.8;79</t>
  </si>
  <si>
    <t>iso.org.dod.internet.mgmt.mib-2.interfaces.ifTable.ifEntry.ifOperStatus;1.3.6.1.2.1.2.2.1.8;80</t>
  </si>
  <si>
    <t>iso.org.dod.internet.mgmt.mib-2.interfaces.ifTable.ifEntry.ifOperStatus;1.3.6.1.2.1.2.2.1.8;81</t>
  </si>
  <si>
    <t>iso.org.dod.internet.mgmt.mib-2.interfaces.ifTable.ifEntry.ifOperStatus;1.3.6.1.2.1.2.2.1.8;82</t>
  </si>
  <si>
    <t>iso.org.dod.internet.mgmt.mib-2.interfaces.ifTable.ifEntry.ifOperStatus;1.3.6.1.2.1.2.2.1.8;83</t>
  </si>
  <si>
    <t>iso.org.dod.internet.mgmt.mib-2.interfaces.ifTable.ifEntry.ifOperStatus;1.3.6.1.2.1.2.2.1.8;84</t>
  </si>
  <si>
    <t>iso.org.dod.internet.mgmt.mib-2.interfaces.ifTable.ifEntry.ifOperStatus;1.3.6.1.2.1.2.2.1.8;85</t>
  </si>
  <si>
    <t>iso.org.dod.internet.mgmt.mib-2.interfaces.ifTable.ifEntry.ifOperStatus;1.3.6.1.2.1.2.2.1.8;86</t>
  </si>
  <si>
    <t>iso.org.dod.internet.mgmt.mib-2.interfaces.ifTable.ifEntry.ifOperStatus;1.3.6.1.2.1.2.2.1.8;87</t>
  </si>
  <si>
    <t>iso.org.dod.internet.mgmt.mib-2.interfaces.ifTable.ifEntry.ifOperStatus;1.3.6.1.2.1.2.2.1.8;88</t>
  </si>
  <si>
    <t>iso.org.dod.internet.mgmt.mib-2.interfaces.ifTable.ifEntry.ifOperStatus;1.3.6.1.2.1.2.2.1.8;89</t>
  </si>
  <si>
    <t>iso.org.dod.internet.mgmt.mib-2.interfaces.ifTable.ifEntry.ifOperStatus;1.3.6.1.2.1.2.2.1.8;90</t>
  </si>
  <si>
    <t>iso.org.dod.internet.mgmt.mib-2.interfaces.ifTable.ifEntry.ifOperStatus;1.3.6.1.2.1.2.2.1.8;91</t>
  </si>
  <si>
    <t>iso.org.dod.internet.mgmt.mib-2.interfaces.ifTable.ifEntry.ifOperStatus;1.3.6.1.2.1.2.2.1.8;92</t>
  </si>
  <si>
    <t>iso.org.dod.internet.mgmt.mib-2.interfaces.ifTable.ifEntry.ifOperStatus;1.3.6.1.2.1.2.2.1.8;93</t>
  </si>
  <si>
    <t>iso.org.dod.internet.mgmt.mib-2.interfaces.ifTable.ifEntry.ifOperStatus;1.3.6.1.2.1.2.2.1.8;94</t>
  </si>
  <si>
    <t>iso.org.dod.internet.mgmt.mib-2.interfaces.ifTable.ifEntry.ifOperStatus;1.3.6.1.2.1.2.2.1.8;95</t>
  </si>
  <si>
    <t>iso.org.dod.internet.mgmt.mib-2.interfaces.ifTable.ifEntry.ifOperStatus;1.3.6.1.2.1.2.2.1.8;96</t>
  </si>
  <si>
    <t>SW_MES3508</t>
  </si>
  <si>
    <t>SW_MES3348F</t>
  </si>
  <si>
    <t>Диагностика.Eltex_MES3508</t>
  </si>
  <si>
    <t>Диагностика.Eltex_MES3348F</t>
  </si>
  <si>
    <t>ELTEX MES3508</t>
  </si>
  <si>
    <t>ELTEX MES3348F</t>
  </si>
  <si>
    <t>192.168.78.12</t>
  </si>
  <si>
    <t>192.168.78.13</t>
  </si>
  <si>
    <t>11. SW_S301 - Коммутатор TREI S301
12. ENUM - Перечисление
13. SYS_DIAG - Диагностика АРМов и серверов
14. SW_MAYAK - Коммутатор MAYAK
15. SW_AR550 - Коммутатор Huawei AR550
16. AO - Аналоговый выходной сигнал
17. TREI_DIAG - Диагностика модулей TREI
18. BMCS - Набор сигналов БМЦС
19. AI_SLIM - Упрощённый аналоговый  сигнал, состоящий из одной точки
20. IMp - Насос (связь по интерфейсу)
21. IMv - Задвижка (связь по интерфейсу)
22. IMp_MON - Насос без управления (связь по интерфейсу)
23. IMv_MON - Задвижка без управления (связь по интерфейсу)
24. IMsp - Выключатель электрический без тележки (связь по интерфейсу)
25. IMsp_MON - Выключатель с защитой без управления и без тележки (связь по интерфейсу)
26. IMs_MON - Выключатель электрический без тележки и защит (связь по интерфейсу)
27. IMt_MON - Секционный разъединитель, тележка (связь по интерфейсу)
28. IMstp - Выключатель электрический (связь по интерфейсу)
29. IM_ADES -  - АДЭС (связь по интерфейсу)
30. TOR - Набор сигналов ТОР
31. SW_MES3508 -коммутатор Eltex MES3508
32. SW_MES3348F -коммутатор Eltex MES3348F</t>
  </si>
  <si>
    <r>
      <t xml:space="preserve">FB_AI_S, AI, FB_QSA_S, AI_SLIM: </t>
    </r>
    <r>
      <rPr>
        <sz val="11"/>
        <color theme="1"/>
        <rFont val="Calibri"/>
        <family val="2"/>
        <charset val="204"/>
      </rPr>
      <t xml:space="preserve">Тип.изм.(P,L,dP,F)
</t>
    </r>
    <r>
      <rPr>
        <b/>
        <sz val="11"/>
        <color theme="1"/>
        <rFont val="Calibri"/>
        <family val="2"/>
        <charset val="204"/>
      </rPr>
      <t>SW_S301, SW_MAYAK, SYS_DIAG, SW_MES3508, SW_MES3348F:</t>
    </r>
    <r>
      <rPr>
        <sz val="11"/>
        <color theme="1"/>
        <rFont val="Calibri"/>
        <family val="2"/>
        <charset val="204"/>
      </rPr>
      <t xml:space="preserve"> Номер клиента SNMP</t>
    </r>
    <r>
      <rPr>
        <b/>
        <sz val="11"/>
        <color theme="1"/>
        <rFont val="Calibri"/>
        <family val="2"/>
        <charset val="204"/>
      </rPr>
      <t xml:space="preserve">
FB_DI_S: </t>
    </r>
    <r>
      <rPr>
        <sz val="11"/>
        <color theme="1"/>
        <rFont val="Calibri"/>
        <family val="2"/>
        <charset val="204"/>
      </rPr>
      <t>Тип.изм.(dP,L)</t>
    </r>
    <r>
      <rPr>
        <b/>
        <sz val="11"/>
        <color theme="1"/>
        <rFont val="Calibri"/>
        <family val="2"/>
        <charset val="204"/>
      </rPr>
      <t xml:space="preserve">
FB_IMstp_S, FB_IMt_MON_S, FB_IMst_MON_S, BMRZ, BMPA, IMstp, IMt_MON, TOR: </t>
    </r>
    <r>
      <rPr>
        <sz val="11"/>
        <color theme="1"/>
        <rFont val="Calibri"/>
        <family val="2"/>
        <charset val="204"/>
      </rPr>
      <t xml:space="preserve">Формула для цвета верх. линии при нал. напряж.
</t>
    </r>
    <r>
      <rPr>
        <b/>
        <sz val="11"/>
        <color theme="1"/>
        <rFont val="Calibri"/>
        <family val="2"/>
        <charset val="204"/>
      </rPr>
      <t>ENUM:</t>
    </r>
    <r>
      <rPr>
        <sz val="11"/>
        <color theme="1"/>
        <rFont val="Calibri"/>
        <family val="2"/>
        <charset val="204"/>
      </rPr>
      <t xml:space="preserve"> Номер файла перечисления</t>
    </r>
    <r>
      <rPr>
        <b/>
        <sz val="11"/>
        <color theme="1"/>
        <rFont val="Calibri"/>
        <family val="2"/>
        <charset val="204"/>
      </rPr>
      <t xml:space="preserve">
</t>
    </r>
  </si>
  <si>
    <r>
      <t xml:space="preserve">FB_AI_S, AI, AI_SLIM: </t>
    </r>
    <r>
      <rPr>
        <sz val="11"/>
        <color theme="1"/>
        <rFont val="Calibri"/>
        <family val="2"/>
        <charset val="204"/>
      </rPr>
      <t xml:space="preserve">Тип.изм.(P,L,dP,F)
</t>
    </r>
    <r>
      <rPr>
        <b/>
        <sz val="11"/>
        <color theme="1"/>
        <rFont val="Calibri"/>
        <family val="2"/>
        <charset val="204"/>
      </rPr>
      <t>SW_S301, SW_MAYAK, SYS_DIAG, SW_MES3508, SW_MES3348F:</t>
    </r>
    <r>
      <rPr>
        <sz val="11"/>
        <color theme="1"/>
        <rFont val="Calibri"/>
        <family val="2"/>
        <charset val="204"/>
      </rPr>
      <t xml:space="preserve"> Номер клиента SNMP</t>
    </r>
    <r>
      <rPr>
        <b/>
        <sz val="11"/>
        <color theme="1"/>
        <rFont val="Calibri"/>
        <family val="2"/>
        <charset val="204"/>
      </rPr>
      <t xml:space="preserve">
FB_DI_S: </t>
    </r>
    <r>
      <rPr>
        <sz val="11"/>
        <color theme="1"/>
        <rFont val="Calibri"/>
        <family val="2"/>
        <charset val="204"/>
      </rPr>
      <t xml:space="preserve">Тип.изм.(dP,L)
</t>
    </r>
    <r>
      <rPr>
        <b/>
        <sz val="11"/>
        <color theme="1"/>
        <rFont val="Calibri"/>
        <family val="2"/>
        <charset val="204"/>
      </rPr>
      <t>ENUM:</t>
    </r>
    <r>
      <rPr>
        <sz val="11"/>
        <color theme="1"/>
        <rFont val="Calibri"/>
        <family val="2"/>
        <charset val="204"/>
      </rPr>
      <t xml:space="preserve"> Номер файла перечисления</t>
    </r>
    <r>
      <rPr>
        <b/>
        <sz val="11"/>
        <color theme="1"/>
        <rFont val="Calibri"/>
        <family val="2"/>
        <charset val="204"/>
      </rPr>
      <t xml:space="preserve">
</t>
    </r>
  </si>
  <si>
    <r>
      <t xml:space="preserve">FB_AI_S, AI, FB_QSA_S, AI_SLIM: </t>
    </r>
    <r>
      <rPr>
        <sz val="11"/>
        <color theme="1"/>
        <rFont val="Calibri"/>
        <family val="2"/>
        <charset val="204"/>
      </rPr>
      <t xml:space="preserve">Тип.изм.(P,L,dP,F)
</t>
    </r>
    <r>
      <rPr>
        <b/>
        <sz val="11"/>
        <color theme="1"/>
        <rFont val="Calibri"/>
        <family val="2"/>
        <charset val="204"/>
      </rPr>
      <t>SW_S301, SW_MAYAK, SYS_DIAG, SW_MES3508, SW_MES3348F:</t>
    </r>
    <r>
      <rPr>
        <sz val="11"/>
        <color theme="1"/>
        <rFont val="Calibri"/>
        <family val="2"/>
        <charset val="204"/>
      </rPr>
      <t xml:space="preserve"> Номер клиента SNMP</t>
    </r>
    <r>
      <rPr>
        <b/>
        <sz val="11"/>
        <color theme="1"/>
        <rFont val="Calibri"/>
        <family val="2"/>
        <charset val="204"/>
      </rPr>
      <t xml:space="preserve">
FB_DI_S: </t>
    </r>
    <r>
      <rPr>
        <sz val="11"/>
        <color theme="1"/>
        <rFont val="Calibri"/>
        <family val="2"/>
        <charset val="204"/>
      </rPr>
      <t xml:space="preserve">Тип.изм.(dP,L)
</t>
    </r>
    <r>
      <rPr>
        <b/>
        <sz val="11"/>
        <color theme="1"/>
        <rFont val="Calibri"/>
        <family val="2"/>
        <charset val="204"/>
      </rPr>
      <t>ENUM:</t>
    </r>
    <r>
      <rPr>
        <sz val="11"/>
        <color theme="1"/>
        <rFont val="Calibri"/>
        <family val="2"/>
        <charset val="204"/>
      </rPr>
      <t xml:space="preserve"> Номер файла перечисления</t>
    </r>
    <r>
      <rPr>
        <b/>
        <sz val="11"/>
        <color theme="1"/>
        <rFont val="Calibri"/>
        <family val="2"/>
        <charset val="204"/>
      </rPr>
      <t xml:space="preserve">
</t>
    </r>
  </si>
  <si>
    <r>
      <t xml:space="preserve">FB_AI_S, AI, AI_SLIM: </t>
    </r>
    <r>
      <rPr>
        <sz val="11"/>
        <color theme="1"/>
        <rFont val="Calibri"/>
        <family val="2"/>
        <charset val="204"/>
      </rPr>
      <t xml:space="preserve">Тип.изм.(P,L,dP,F)
</t>
    </r>
    <r>
      <rPr>
        <b/>
        <sz val="11"/>
        <color theme="1"/>
        <rFont val="Calibri"/>
        <family val="2"/>
        <charset val="204"/>
      </rPr>
      <t>SW_S301, SW_MAYAK, SYS_DIAG, SW_MES3508, SW_MES3348F:</t>
    </r>
    <r>
      <rPr>
        <sz val="11"/>
        <color theme="1"/>
        <rFont val="Calibri"/>
        <family val="2"/>
        <charset val="204"/>
      </rPr>
      <t xml:space="preserve"> Номер клиента SNMP</t>
    </r>
    <r>
      <rPr>
        <b/>
        <sz val="11"/>
        <color theme="1"/>
        <rFont val="Calibri"/>
        <family val="2"/>
        <charset val="204"/>
      </rPr>
      <t xml:space="preserve">
FB_DI_S: </t>
    </r>
    <r>
      <rPr>
        <sz val="11"/>
        <color theme="1"/>
        <rFont val="Calibri"/>
        <family val="2"/>
        <charset val="204"/>
      </rPr>
      <t>Тип.изм.(dP,L)</t>
    </r>
    <r>
      <rPr>
        <b/>
        <sz val="11"/>
        <color theme="1"/>
        <rFont val="Calibri"/>
        <family val="2"/>
        <charset val="204"/>
      </rPr>
      <t xml:space="preserve">
FB_IMstp_S, FB_IMt_MON_S, FB_IMst_MON_S, BMRZ, BMPA, IMstp, IMt_MON, TOR: </t>
    </r>
    <r>
      <rPr>
        <sz val="11"/>
        <color theme="1"/>
        <rFont val="Calibri"/>
        <family val="2"/>
        <charset val="204"/>
      </rPr>
      <t xml:space="preserve">Формула для цвета верх. линии при нал. напряж.
</t>
    </r>
    <r>
      <rPr>
        <b/>
        <sz val="11"/>
        <color theme="1"/>
        <rFont val="Calibri"/>
        <family val="2"/>
        <charset val="204"/>
      </rPr>
      <t>ENUM:</t>
    </r>
    <r>
      <rPr>
        <sz val="11"/>
        <color theme="1"/>
        <rFont val="Calibri"/>
        <family val="2"/>
        <charset val="204"/>
      </rPr>
      <t xml:space="preserve"> Номер файла перечисления</t>
    </r>
    <r>
      <rPr>
        <b/>
        <sz val="11"/>
        <color theme="1"/>
        <rFont val="Calibri"/>
        <family val="2"/>
        <charset val="204"/>
      </rPr>
      <t xml:space="preserve">
</t>
    </r>
  </si>
  <si>
    <r>
      <t xml:space="preserve">FB_AI_S, FB_DI_S, AI: </t>
    </r>
    <r>
      <rPr>
        <sz val="11"/>
        <color theme="1"/>
        <rFont val="Calibri"/>
        <family val="2"/>
        <charset val="204"/>
      </rPr>
      <t>Позиция датчика</t>
    </r>
    <r>
      <rPr>
        <b/>
        <sz val="11"/>
        <color theme="1"/>
        <rFont val="Calibri"/>
        <family val="2"/>
        <charset val="204"/>
      </rPr>
      <t xml:space="preserve">
FB_SHPS_S: </t>
    </r>
    <r>
      <rPr>
        <sz val="11"/>
        <color theme="1"/>
        <rFont val="Calibri"/>
        <family val="2"/>
        <charset val="204"/>
      </rPr>
      <t>Тип датчика (1-BTH, 2- не используется, 3- BTM, 4-BTK, 5-SB)</t>
    </r>
    <r>
      <rPr>
        <b/>
        <sz val="11"/>
        <color theme="1"/>
        <rFont val="Calibri"/>
        <family val="2"/>
        <charset val="204"/>
      </rPr>
      <t xml:space="preserve">
PING: </t>
    </r>
    <r>
      <rPr>
        <sz val="11"/>
        <color theme="1"/>
        <rFont val="Calibri"/>
        <family val="2"/>
        <charset val="204"/>
      </rPr>
      <t>Интервал отсылки пакетов модуля ICMP, с</t>
    </r>
    <r>
      <rPr>
        <b/>
        <sz val="11"/>
        <color theme="1"/>
        <rFont val="Calibri"/>
        <family val="2"/>
        <charset val="204"/>
      </rPr>
      <t xml:space="preserve">
FB_UPG_S: </t>
    </r>
    <r>
      <rPr>
        <sz val="11"/>
        <color theme="1"/>
        <rFont val="Calibri"/>
        <family val="2"/>
        <charset val="204"/>
      </rPr>
      <t>Наличие 2-й очереди (1-есть, 0- нет)</t>
    </r>
    <r>
      <rPr>
        <b/>
        <sz val="11"/>
        <color theme="1"/>
        <rFont val="Calibri"/>
        <family val="2"/>
        <charset val="204"/>
      </rPr>
      <t xml:space="preserve">
FB_QSA_S: </t>
    </r>
    <r>
      <rPr>
        <sz val="11"/>
        <color theme="1"/>
        <rFont val="Calibri"/>
        <family val="2"/>
        <charset val="204"/>
      </rPr>
      <t xml:space="preserve">Тип контроллируемого газа
</t>
    </r>
    <r>
      <rPr>
        <b/>
        <sz val="11"/>
        <color theme="1"/>
        <rFont val="Calibri"/>
        <family val="2"/>
        <charset val="204"/>
      </rPr>
      <t>SW_S301, SW_MAYAK, SW_MES3508, SW_MES3348F:</t>
    </r>
    <r>
      <rPr>
        <sz val="11"/>
        <color theme="1"/>
        <rFont val="Calibri"/>
        <family val="2"/>
        <charset val="204"/>
      </rPr>
      <t xml:space="preserve"> Маска подсети
</t>
    </r>
    <r>
      <rPr>
        <b/>
        <sz val="11"/>
        <color theme="1"/>
        <rFont val="Calibri"/>
        <family val="2"/>
        <charset val="204"/>
      </rPr>
      <t>FB_SHOP_S:</t>
    </r>
    <r>
      <rPr>
        <sz val="11"/>
        <color theme="1"/>
        <rFont val="Calibri"/>
        <family val="2"/>
        <charset val="204"/>
      </rPr>
      <t xml:space="preserve"> Тип оповещения (Свет, Звук)
</t>
    </r>
    <r>
      <rPr>
        <b/>
        <sz val="11"/>
        <color theme="1"/>
        <rFont val="Calibri"/>
        <family val="2"/>
        <charset val="204"/>
      </rPr>
      <t>IMp, IMv, IMstp, IMsp, IM_ADES:</t>
    </r>
    <r>
      <rPr>
        <sz val="11"/>
        <color theme="1"/>
        <rFont val="Calibri"/>
        <family val="2"/>
        <charset val="204"/>
      </rPr>
      <t xml:space="preserve"> Время перестановки</t>
    </r>
  </si>
  <si>
    <r>
      <t xml:space="preserve">FB_AI_S, FB_DI_S, AI: </t>
    </r>
    <r>
      <rPr>
        <sz val="11"/>
        <color theme="1"/>
        <rFont val="Calibri"/>
        <family val="2"/>
        <charset val="204"/>
      </rPr>
      <t>Позиция датчика</t>
    </r>
    <r>
      <rPr>
        <b/>
        <sz val="11"/>
        <color theme="1"/>
        <rFont val="Calibri"/>
        <family val="2"/>
        <charset val="204"/>
      </rPr>
      <t xml:space="preserve">
PING: </t>
    </r>
    <r>
      <rPr>
        <sz val="11"/>
        <color theme="1"/>
        <rFont val="Calibri"/>
        <family val="2"/>
        <charset val="204"/>
      </rPr>
      <t xml:space="preserve">Интервал отсылки пакетов модуля ICMP, с
</t>
    </r>
    <r>
      <rPr>
        <b/>
        <sz val="11"/>
        <color theme="1"/>
        <rFont val="Calibri"/>
        <family val="2"/>
        <charset val="204"/>
      </rPr>
      <t xml:space="preserve">SW_S301, SW_MAYAK, SW_MES3508, SW_MES3348F: </t>
    </r>
    <r>
      <rPr>
        <sz val="11"/>
        <color theme="1"/>
        <rFont val="Calibri"/>
        <family val="2"/>
        <charset val="204"/>
      </rPr>
      <t>Маска подсети</t>
    </r>
    <r>
      <rPr>
        <b/>
        <sz val="11"/>
        <color theme="1"/>
        <rFont val="Calibri"/>
        <family val="2"/>
        <charset val="204"/>
      </rPr>
      <t xml:space="preserve">
IMp, IMv:</t>
    </r>
    <r>
      <rPr>
        <sz val="11"/>
        <color theme="1"/>
        <rFont val="Calibri"/>
        <family val="2"/>
        <charset val="204"/>
      </rPr>
      <t xml:space="preserve"> Время перестановки</t>
    </r>
  </si>
  <si>
    <r>
      <t xml:space="preserve">FB_AI_S, FB_DI_S, AI: </t>
    </r>
    <r>
      <rPr>
        <sz val="11"/>
        <color theme="1"/>
        <rFont val="Calibri"/>
        <family val="2"/>
        <charset val="204"/>
      </rPr>
      <t>Позиция датчика</t>
    </r>
    <r>
      <rPr>
        <b/>
        <sz val="11"/>
        <color theme="1"/>
        <rFont val="Calibri"/>
        <family val="2"/>
        <charset val="204"/>
      </rPr>
      <t xml:space="preserve">
PING: </t>
    </r>
    <r>
      <rPr>
        <sz val="11"/>
        <color theme="1"/>
        <rFont val="Calibri"/>
        <family val="2"/>
        <charset val="204"/>
      </rPr>
      <t xml:space="preserve">Интервал отсылки пакетов модуля ICMP, с
</t>
    </r>
    <r>
      <rPr>
        <b/>
        <sz val="11"/>
        <color theme="1"/>
        <rFont val="Calibri"/>
        <family val="2"/>
        <charset val="204"/>
      </rPr>
      <t>SW_S301, SW_MAYAK, SW_MES3508, SW_MES3348F:</t>
    </r>
    <r>
      <rPr>
        <sz val="11"/>
        <color theme="1"/>
        <rFont val="Calibri"/>
        <family val="2"/>
        <charset val="204"/>
      </rPr>
      <t xml:space="preserve"> Маска подсети
</t>
    </r>
  </si>
  <si>
    <r>
      <t xml:space="preserve">FB_AI_S, FB_DI_S, AI: </t>
    </r>
    <r>
      <rPr>
        <sz val="11"/>
        <color theme="1"/>
        <rFont val="Calibri"/>
        <family val="2"/>
        <charset val="204"/>
      </rPr>
      <t>Позиция датчика</t>
    </r>
    <r>
      <rPr>
        <b/>
        <sz val="11"/>
        <color theme="1"/>
        <rFont val="Calibri"/>
        <family val="2"/>
        <charset val="204"/>
      </rPr>
      <t xml:space="preserve">
FB_SHPS_S: </t>
    </r>
    <r>
      <rPr>
        <sz val="11"/>
        <color theme="1"/>
        <rFont val="Calibri"/>
        <family val="2"/>
        <charset val="204"/>
      </rPr>
      <t>Тип датчика (1-BTH, 2- не используется, 3- BTM, 4-BTK, 5-SB)</t>
    </r>
    <r>
      <rPr>
        <b/>
        <sz val="11"/>
        <color theme="1"/>
        <rFont val="Calibri"/>
        <family val="2"/>
        <charset val="204"/>
      </rPr>
      <t xml:space="preserve">
PING: </t>
    </r>
    <r>
      <rPr>
        <sz val="11"/>
        <color theme="1"/>
        <rFont val="Calibri"/>
        <family val="2"/>
        <charset val="204"/>
      </rPr>
      <t>Интервал отсылки пакетов модуля ICMP, с</t>
    </r>
    <r>
      <rPr>
        <b/>
        <sz val="11"/>
        <color theme="1"/>
        <rFont val="Calibri"/>
        <family val="2"/>
        <charset val="204"/>
      </rPr>
      <t xml:space="preserve">
FB_UPG_S: </t>
    </r>
    <r>
      <rPr>
        <sz val="11"/>
        <color theme="1"/>
        <rFont val="Calibri"/>
        <family val="2"/>
        <charset val="204"/>
      </rPr>
      <t>Наличие 2-й очереди (1-есть, 0- нет)</t>
    </r>
    <r>
      <rPr>
        <b/>
        <sz val="11"/>
        <color theme="1"/>
        <rFont val="Calibri"/>
        <family val="2"/>
        <charset val="204"/>
      </rPr>
      <t xml:space="preserve">
FB_QSA_S: </t>
    </r>
    <r>
      <rPr>
        <sz val="11"/>
        <color theme="1"/>
        <rFont val="Calibri"/>
        <family val="2"/>
        <charset val="204"/>
      </rPr>
      <t xml:space="preserve">Тип контроллируемого газа
</t>
    </r>
    <r>
      <rPr>
        <b/>
        <sz val="11"/>
        <color theme="1"/>
        <rFont val="Calibri"/>
        <family val="2"/>
        <charset val="204"/>
      </rPr>
      <t>SW_S301, SW_MAYAK, SW_MES3508, SW_MES3348F:</t>
    </r>
    <r>
      <rPr>
        <sz val="11"/>
        <color theme="1"/>
        <rFont val="Calibri"/>
        <family val="2"/>
        <charset val="204"/>
      </rPr>
      <t xml:space="preserve"> Маска подсети
</t>
    </r>
    <r>
      <rPr>
        <b/>
        <sz val="11"/>
        <color theme="1"/>
        <rFont val="Calibri"/>
        <family val="2"/>
        <charset val="204"/>
      </rPr>
      <t>FB_SHOP_S:</t>
    </r>
    <r>
      <rPr>
        <sz val="11"/>
        <color theme="1"/>
        <rFont val="Calibri"/>
        <family val="2"/>
        <charset val="204"/>
      </rPr>
      <t xml:space="preserve"> Тип оповещения (Свет, Звук)</t>
    </r>
  </si>
  <si>
    <r>
      <t xml:space="preserve">FB_AI_S, FB_DI_S, AI: </t>
    </r>
    <r>
      <rPr>
        <sz val="11"/>
        <color theme="1"/>
        <rFont val="Calibri"/>
        <family val="2"/>
        <charset val="204"/>
      </rPr>
      <t>Позиция датчика</t>
    </r>
    <r>
      <rPr>
        <b/>
        <sz val="11"/>
        <color theme="1"/>
        <rFont val="Calibri"/>
        <family val="2"/>
        <charset val="204"/>
      </rPr>
      <t xml:space="preserve">
PING: </t>
    </r>
    <r>
      <rPr>
        <sz val="11"/>
        <color theme="1"/>
        <rFont val="Calibri"/>
        <family val="2"/>
        <charset val="204"/>
      </rPr>
      <t xml:space="preserve">Интервал отсылки пакетов модуля ICMP, с
</t>
    </r>
    <r>
      <rPr>
        <b/>
        <sz val="11"/>
        <color theme="1"/>
        <rFont val="Calibri"/>
        <family val="2"/>
        <charset val="204"/>
      </rPr>
      <t>SW_S301, SW_MAYAK, SW_MES3508, SW_MES3348F:</t>
    </r>
    <r>
      <rPr>
        <sz val="11"/>
        <color theme="1"/>
        <rFont val="Calibri"/>
        <family val="2"/>
        <charset val="204"/>
      </rPr>
      <t xml:space="preserve"> Маска подсети
</t>
    </r>
    <r>
      <rPr>
        <b/>
        <sz val="11"/>
        <color theme="1"/>
        <rFont val="Calibri"/>
        <family val="2"/>
        <charset val="204"/>
      </rPr>
      <t>IMp, IMv, IMstp, IMsp, IM_ADES:</t>
    </r>
    <r>
      <rPr>
        <sz val="11"/>
        <color theme="1"/>
        <rFont val="Calibri"/>
        <family val="2"/>
        <charset val="204"/>
      </rPr>
      <t xml:space="preserve"> Время перестановки
</t>
    </r>
  </si>
  <si>
    <r>
      <t xml:space="preserve">FB_AI_S, FB_DI_S, AI: </t>
    </r>
    <r>
      <rPr>
        <sz val="11"/>
        <color theme="1"/>
        <rFont val="Calibri"/>
        <family val="2"/>
        <charset val="204"/>
      </rPr>
      <t>Позиция датчика</t>
    </r>
    <r>
      <rPr>
        <b/>
        <sz val="11"/>
        <color theme="1"/>
        <rFont val="Calibri"/>
        <family val="2"/>
        <charset val="204"/>
      </rPr>
      <t xml:space="preserve">
FB_SHPS_S: </t>
    </r>
    <r>
      <rPr>
        <sz val="11"/>
        <color theme="1"/>
        <rFont val="Calibri"/>
        <family val="2"/>
        <charset val="204"/>
      </rPr>
      <t>Тип датчика (1-BTH, 2- не используется, 3- BTM, 4-BTK, 5-SB)</t>
    </r>
    <r>
      <rPr>
        <b/>
        <sz val="11"/>
        <color theme="1"/>
        <rFont val="Calibri"/>
        <family val="2"/>
        <charset val="204"/>
      </rPr>
      <t xml:space="preserve">
PING: </t>
    </r>
    <r>
      <rPr>
        <sz val="11"/>
        <color theme="1"/>
        <rFont val="Calibri"/>
        <family val="2"/>
        <charset val="204"/>
      </rPr>
      <t>Интервал отсылки пакетов модуля ICMP, с</t>
    </r>
    <r>
      <rPr>
        <b/>
        <sz val="11"/>
        <color theme="1"/>
        <rFont val="Calibri"/>
        <family val="2"/>
        <charset val="204"/>
      </rPr>
      <t xml:space="preserve">
FB_UPG_S: </t>
    </r>
    <r>
      <rPr>
        <sz val="11"/>
        <color theme="1"/>
        <rFont val="Calibri"/>
        <family val="2"/>
        <charset val="204"/>
      </rPr>
      <t>Наличие 2-й очереди (1-есть, 0- нет)</t>
    </r>
    <r>
      <rPr>
        <b/>
        <sz val="11"/>
        <color theme="1"/>
        <rFont val="Calibri"/>
        <family val="2"/>
        <charset val="204"/>
      </rPr>
      <t xml:space="preserve">
FB_QSA_S: </t>
    </r>
    <r>
      <rPr>
        <sz val="11"/>
        <color theme="1"/>
        <rFont val="Calibri"/>
        <family val="2"/>
        <charset val="204"/>
      </rPr>
      <t xml:space="preserve">Тип контроллируемого газа
</t>
    </r>
    <r>
      <rPr>
        <b/>
        <sz val="11"/>
        <color theme="1"/>
        <rFont val="Calibri"/>
        <family val="2"/>
        <charset val="204"/>
      </rPr>
      <t>SW_S301, SW_MAYAK, SW_MES3508, SW_MES3348F:</t>
    </r>
    <r>
      <rPr>
        <sz val="11"/>
        <color theme="1"/>
        <rFont val="Calibri"/>
        <family val="2"/>
        <charset val="204"/>
      </rPr>
      <t xml:space="preserve"> Маска подсети
</t>
    </r>
    <r>
      <rPr>
        <b/>
        <sz val="11"/>
        <color theme="1"/>
        <rFont val="Calibri"/>
        <family val="2"/>
        <charset val="204"/>
      </rPr>
      <t>FB_SHOP_S:</t>
    </r>
    <r>
      <rPr>
        <sz val="11"/>
        <color theme="1"/>
        <rFont val="Calibri"/>
        <family val="2"/>
        <charset val="204"/>
      </rPr>
      <t xml:space="preserve"> Тип оповещения (Свет, Звук)
</t>
    </r>
    <r>
      <rPr>
        <b/>
        <sz val="11"/>
        <color theme="1"/>
        <rFont val="Calibri"/>
        <family val="2"/>
        <charset val="204"/>
      </rPr>
      <t>IMstp, IMsp, IM_ADES:</t>
    </r>
    <r>
      <rPr>
        <sz val="11"/>
        <color theme="1"/>
        <rFont val="Calibri"/>
        <family val="2"/>
        <charset val="204"/>
      </rPr>
      <t xml:space="preserve"> Время перестановки</t>
    </r>
  </si>
  <si>
    <r>
      <t xml:space="preserve">FB_AI_S, FB_DI_S, AI: </t>
    </r>
    <r>
      <rPr>
        <sz val="11"/>
        <color theme="1"/>
        <rFont val="Calibri"/>
        <family val="2"/>
        <charset val="204"/>
      </rPr>
      <t>Позиция датчика</t>
    </r>
    <r>
      <rPr>
        <b/>
        <sz val="11"/>
        <color theme="1"/>
        <rFont val="Calibri"/>
        <family val="2"/>
        <charset val="204"/>
      </rPr>
      <t xml:space="preserve">
FB_SHPS_S: </t>
    </r>
    <r>
      <rPr>
        <sz val="11"/>
        <color theme="1"/>
        <rFont val="Calibri"/>
        <family val="2"/>
        <charset val="204"/>
      </rPr>
      <t>Тип датчика (1-BTH, 2- не используется, 3- BTM, 4-BTK, 5-SB)</t>
    </r>
    <r>
      <rPr>
        <b/>
        <sz val="11"/>
        <color theme="1"/>
        <rFont val="Calibri"/>
        <family val="2"/>
        <charset val="204"/>
      </rPr>
      <t xml:space="preserve">
PING: </t>
    </r>
    <r>
      <rPr>
        <sz val="11"/>
        <color theme="1"/>
        <rFont val="Calibri"/>
        <family val="2"/>
        <charset val="204"/>
      </rPr>
      <t>Интервал отсылки пакетов модуля ICMP, с</t>
    </r>
    <r>
      <rPr>
        <b/>
        <sz val="11"/>
        <color theme="1"/>
        <rFont val="Calibri"/>
        <family val="2"/>
        <charset val="204"/>
      </rPr>
      <t xml:space="preserve">
FB_UPG_S: </t>
    </r>
    <r>
      <rPr>
        <sz val="11"/>
        <color theme="1"/>
        <rFont val="Calibri"/>
        <family val="2"/>
        <charset val="204"/>
      </rPr>
      <t>Наличие 2-й очереди (1-есть, 0- нет)</t>
    </r>
    <r>
      <rPr>
        <b/>
        <sz val="11"/>
        <color theme="1"/>
        <rFont val="Calibri"/>
        <family val="2"/>
        <charset val="204"/>
      </rPr>
      <t xml:space="preserve">
FB_QSA_S: </t>
    </r>
    <r>
      <rPr>
        <sz val="11"/>
        <color theme="1"/>
        <rFont val="Calibri"/>
        <family val="2"/>
        <charset val="204"/>
      </rPr>
      <t xml:space="preserve">Тип контроллируемого газа
</t>
    </r>
    <r>
      <rPr>
        <b/>
        <sz val="11"/>
        <color theme="1"/>
        <rFont val="Calibri"/>
        <family val="2"/>
        <charset val="204"/>
      </rPr>
      <t>SW_S301, SW_MAYAK, SW_MES3508, SW_MES3348F:</t>
    </r>
    <r>
      <rPr>
        <sz val="11"/>
        <color theme="1"/>
        <rFont val="Calibri"/>
        <family val="2"/>
        <charset val="204"/>
      </rPr>
      <t xml:space="preserve"> Маска подсети
</t>
    </r>
    <r>
      <rPr>
        <b/>
        <sz val="11"/>
        <color theme="1"/>
        <rFont val="Calibri"/>
        <family val="2"/>
        <charset val="204"/>
      </rPr>
      <t>FB_SHOP_S:</t>
    </r>
    <r>
      <rPr>
        <sz val="11"/>
        <color theme="1"/>
        <rFont val="Calibri"/>
        <family val="2"/>
        <charset val="204"/>
      </rPr>
      <t xml:space="preserve"> Тип оповещения (Свет, Звук)
</t>
    </r>
    <r>
      <rPr>
        <b/>
        <sz val="11"/>
        <color theme="1"/>
        <rFont val="Calibri"/>
        <family val="2"/>
        <charset val="204"/>
      </rPr>
      <t>IMp, IMv:</t>
    </r>
    <r>
      <rPr>
        <sz val="11"/>
        <color theme="1"/>
        <rFont val="Calibri"/>
        <family val="2"/>
        <charset val="204"/>
      </rPr>
      <t xml:space="preserve"> Время перестановки</t>
    </r>
  </si>
  <si>
    <r>
      <t xml:space="preserve">FB_AI_S, FB_DI_S, AI: </t>
    </r>
    <r>
      <rPr>
        <sz val="11"/>
        <color theme="1"/>
        <rFont val="Calibri"/>
        <family val="2"/>
        <charset val="204"/>
      </rPr>
      <t>Позиция датчика</t>
    </r>
    <r>
      <rPr>
        <b/>
        <sz val="11"/>
        <color theme="1"/>
        <rFont val="Calibri"/>
        <family val="2"/>
        <charset val="204"/>
      </rPr>
      <t xml:space="preserve">
PING: </t>
    </r>
    <r>
      <rPr>
        <sz val="11"/>
        <color theme="1"/>
        <rFont val="Calibri"/>
        <family val="2"/>
        <charset val="204"/>
      </rPr>
      <t xml:space="preserve">Интервал отсылки пакетов модуля ICMP, с
</t>
    </r>
    <r>
      <rPr>
        <b/>
        <sz val="11"/>
        <color theme="1"/>
        <rFont val="Calibri"/>
        <family val="2"/>
        <charset val="204"/>
      </rPr>
      <t>SW_S301, SW_MAYAK, SW_MES3508, SW_MES3348F:</t>
    </r>
    <r>
      <rPr>
        <sz val="11"/>
        <color theme="1"/>
        <rFont val="Calibri"/>
        <family val="2"/>
        <charset val="204"/>
      </rPr>
      <t xml:space="preserve"> Маска подсети</t>
    </r>
  </si>
  <si>
    <r>
      <t xml:space="preserve">FB_AI_S, AI, FB_QSA_S, FB_DI_S: </t>
    </r>
    <r>
      <rPr>
        <sz val="11"/>
        <color theme="1"/>
        <rFont val="Calibri"/>
        <family val="2"/>
        <charset val="204"/>
      </rPr>
      <t>Тип прибора</t>
    </r>
    <r>
      <rPr>
        <b/>
        <sz val="11"/>
        <color theme="1"/>
        <rFont val="Calibri"/>
        <family val="2"/>
        <charset val="204"/>
      </rPr>
      <t xml:space="preserve">
PING:</t>
    </r>
    <r>
      <rPr>
        <sz val="11"/>
        <color theme="1"/>
        <rFont val="Calibri"/>
        <family val="2"/>
        <charset val="204"/>
      </rPr>
      <t xml:space="preserve"> IP адрес абонента</t>
    </r>
    <r>
      <rPr>
        <b/>
        <sz val="11"/>
        <color theme="1"/>
        <rFont val="Calibri"/>
        <family val="2"/>
        <charset val="204"/>
      </rPr>
      <t xml:space="preserve">
DI_DIAG, DI, FB_MPS_S: </t>
    </r>
    <r>
      <rPr>
        <sz val="11"/>
        <color theme="1"/>
        <rFont val="Calibri"/>
        <family val="2"/>
        <charset val="204"/>
      </rPr>
      <t xml:space="preserve">Инвертировать XVLX (0-нет, 1-да)
</t>
    </r>
    <r>
      <rPr>
        <b/>
        <sz val="11"/>
        <color theme="1"/>
        <rFont val="Calibri"/>
        <family val="2"/>
        <charset val="204"/>
      </rPr>
      <t>SW_S301, SW_MAYAK, SW_MES3508, SW_MES3348F:</t>
    </r>
    <r>
      <rPr>
        <sz val="11"/>
        <color theme="1"/>
        <rFont val="Calibri"/>
        <family val="2"/>
        <charset val="204"/>
      </rPr>
      <t xml:space="preserve"> IP адрес
</t>
    </r>
    <r>
      <rPr>
        <b/>
        <sz val="11"/>
        <color theme="1"/>
        <rFont val="Calibri"/>
        <family val="2"/>
        <charset val="204"/>
      </rPr>
      <t>FB_SHPS_S(SB):</t>
    </r>
    <r>
      <rPr>
        <sz val="11"/>
        <color theme="1"/>
        <rFont val="Calibri"/>
        <family val="2"/>
        <charset val="204"/>
      </rPr>
      <t xml:space="preserve"> Сообщение для XFRX
</t>
    </r>
    <r>
      <rPr>
        <b/>
        <sz val="11"/>
        <color theme="1"/>
        <rFont val="Calibri"/>
        <family val="2"/>
        <charset val="204"/>
      </rPr>
      <t>BMCS</t>
    </r>
    <r>
      <rPr>
        <sz val="11"/>
        <color theme="1"/>
        <rFont val="Calibri"/>
        <family val="2"/>
        <charset val="204"/>
      </rPr>
      <t xml:space="preserve">: Кол-во сигналов (1-40)
</t>
    </r>
    <r>
      <rPr>
        <b/>
        <sz val="11"/>
        <color theme="1"/>
        <rFont val="Calibri"/>
        <family val="2"/>
        <charset val="204"/>
      </rPr>
      <t>FB_BTF_S:</t>
    </r>
    <r>
      <rPr>
        <sz val="11"/>
        <color theme="1"/>
        <rFont val="Calibri"/>
        <family val="2"/>
        <charset val="204"/>
      </rPr>
      <t xml:space="preserve"> Тип (0-DI,1-DI+FEXX  без КЦ,2-DI+FEXX  с КЦ,3-AI,4-AI+FEXX  без КЦ,5-AI+FEXX  с КЦ,6-RS485)
</t>
    </r>
  </si>
  <si>
    <r>
      <t xml:space="preserve">FB_AI_S, AI, FB_DI_S: </t>
    </r>
    <r>
      <rPr>
        <sz val="11"/>
        <color theme="1"/>
        <rFont val="Calibri"/>
        <family val="2"/>
        <charset val="204"/>
      </rPr>
      <t>Тип прибора</t>
    </r>
    <r>
      <rPr>
        <b/>
        <sz val="11"/>
        <color theme="1"/>
        <rFont val="Calibri"/>
        <family val="2"/>
        <charset val="204"/>
      </rPr>
      <t xml:space="preserve">
PING:</t>
    </r>
    <r>
      <rPr>
        <sz val="11"/>
        <color theme="1"/>
        <rFont val="Calibri"/>
        <family val="2"/>
        <charset val="204"/>
      </rPr>
      <t xml:space="preserve"> IP адрес абонента</t>
    </r>
    <r>
      <rPr>
        <b/>
        <sz val="11"/>
        <color theme="1"/>
        <rFont val="Calibri"/>
        <family val="2"/>
        <charset val="204"/>
      </rPr>
      <t xml:space="preserve">
DI_DIAG, DI: </t>
    </r>
    <r>
      <rPr>
        <sz val="11"/>
        <color theme="1"/>
        <rFont val="Calibri"/>
        <family val="2"/>
        <charset val="204"/>
      </rPr>
      <t xml:space="preserve">Инвертировать XVLX (0-нет, 1-да)
</t>
    </r>
    <r>
      <rPr>
        <b/>
        <sz val="11"/>
        <color theme="1"/>
        <rFont val="Calibri"/>
        <family val="2"/>
        <charset val="204"/>
      </rPr>
      <t>SW_S301, SW_MAYAK, SW_MES3508, SW_MES3348F:</t>
    </r>
    <r>
      <rPr>
        <sz val="11"/>
        <color theme="1"/>
        <rFont val="Calibri"/>
        <family val="2"/>
        <charset val="204"/>
      </rPr>
      <t xml:space="preserve"> IP адрес
</t>
    </r>
  </si>
  <si>
    <r>
      <t xml:space="preserve">FB_AI_S, AI, FB_DI_S: </t>
    </r>
    <r>
      <rPr>
        <sz val="11"/>
        <color theme="1"/>
        <rFont val="Calibri"/>
        <family val="2"/>
        <charset val="204"/>
      </rPr>
      <t>Тип прибора</t>
    </r>
    <r>
      <rPr>
        <b/>
        <sz val="11"/>
        <color theme="1"/>
        <rFont val="Calibri"/>
        <family val="2"/>
        <charset val="204"/>
      </rPr>
      <t xml:space="preserve">
PING:</t>
    </r>
    <r>
      <rPr>
        <sz val="11"/>
        <color theme="1"/>
        <rFont val="Calibri"/>
        <family val="2"/>
        <charset val="204"/>
      </rPr>
      <t xml:space="preserve"> IP адрес абонента</t>
    </r>
    <r>
      <rPr>
        <b/>
        <sz val="11"/>
        <color theme="1"/>
        <rFont val="Calibri"/>
        <family val="2"/>
        <charset val="204"/>
      </rPr>
      <t xml:space="preserve">
DI_DIAG, DI: </t>
    </r>
    <r>
      <rPr>
        <sz val="11"/>
        <color theme="1"/>
        <rFont val="Calibri"/>
        <family val="2"/>
        <charset val="204"/>
      </rPr>
      <t xml:space="preserve">Инвертировать XVLX (0-нет, 1-да)
</t>
    </r>
    <r>
      <rPr>
        <b/>
        <sz val="11"/>
        <color theme="1"/>
        <rFont val="Calibri"/>
        <family val="2"/>
        <charset val="204"/>
      </rPr>
      <t>SW_S301, SW_MAYAK, SW_MES3508, SW_MES3348F:</t>
    </r>
    <r>
      <rPr>
        <sz val="11"/>
        <color theme="1"/>
        <rFont val="Calibri"/>
        <family val="2"/>
        <charset val="204"/>
      </rPr>
      <t xml:space="preserve"> IP адрес
</t>
    </r>
    <r>
      <rPr>
        <b/>
        <sz val="11"/>
        <color theme="1"/>
        <rFont val="Calibri"/>
        <family val="2"/>
        <charset val="204"/>
      </rPr>
      <t>BMCS</t>
    </r>
    <r>
      <rPr>
        <sz val="11"/>
        <color theme="1"/>
        <rFont val="Calibri"/>
        <family val="2"/>
        <charset val="204"/>
      </rPr>
      <t xml:space="preserve">: Кол-во сигналов (1-40)
</t>
    </r>
  </si>
  <si>
    <r>
      <t xml:space="preserve">FB_AI_S, AI, FB_QSA_S, FB_DI_S: </t>
    </r>
    <r>
      <rPr>
        <sz val="11"/>
        <color theme="1"/>
        <rFont val="Calibri"/>
        <family val="2"/>
        <charset val="204"/>
      </rPr>
      <t>Тип прибора</t>
    </r>
    <r>
      <rPr>
        <b/>
        <sz val="11"/>
        <color theme="1"/>
        <rFont val="Calibri"/>
        <family val="2"/>
        <charset val="204"/>
      </rPr>
      <t xml:space="preserve">
PING:</t>
    </r>
    <r>
      <rPr>
        <sz val="11"/>
        <color theme="1"/>
        <rFont val="Calibri"/>
        <family val="2"/>
        <charset val="204"/>
      </rPr>
      <t xml:space="preserve"> IP адрес абонента</t>
    </r>
    <r>
      <rPr>
        <b/>
        <sz val="11"/>
        <color theme="1"/>
        <rFont val="Calibri"/>
        <family val="2"/>
        <charset val="204"/>
      </rPr>
      <t xml:space="preserve">
DI_DIAG, DI, FB_MPS_S: </t>
    </r>
    <r>
      <rPr>
        <sz val="11"/>
        <color theme="1"/>
        <rFont val="Calibri"/>
        <family val="2"/>
        <charset val="204"/>
      </rPr>
      <t xml:space="preserve">Инвертировать XVLX (0-нет, 1-да)
</t>
    </r>
    <r>
      <rPr>
        <b/>
        <sz val="11"/>
        <color theme="1"/>
        <rFont val="Calibri"/>
        <family val="2"/>
        <charset val="204"/>
      </rPr>
      <t>SW_S301, SW_MAYAK, SW_MES3508, SW_MES3348F:</t>
    </r>
    <r>
      <rPr>
        <sz val="11"/>
        <color theme="1"/>
        <rFont val="Calibri"/>
        <family val="2"/>
        <charset val="204"/>
      </rPr>
      <t xml:space="preserve"> IP адрес
</t>
    </r>
    <r>
      <rPr>
        <b/>
        <sz val="11"/>
        <color theme="1"/>
        <rFont val="Calibri"/>
        <family val="2"/>
        <charset val="204"/>
      </rPr>
      <t>FB_SHPS_S(SB):</t>
    </r>
    <r>
      <rPr>
        <sz val="11"/>
        <color theme="1"/>
        <rFont val="Calibri"/>
        <family val="2"/>
        <charset val="204"/>
      </rPr>
      <t xml:space="preserve"> Сообщение для XFRX
</t>
    </r>
    <r>
      <rPr>
        <b/>
        <sz val="11"/>
        <color theme="1"/>
        <rFont val="Calibri"/>
        <family val="2"/>
        <charset val="204"/>
      </rPr>
      <t>FB_BTF_S:</t>
    </r>
    <r>
      <rPr>
        <sz val="11"/>
        <color theme="1"/>
        <rFont val="Calibri"/>
        <family val="2"/>
        <charset val="204"/>
      </rPr>
      <t xml:space="preserve"> Тип (0-DI,1-DI+FEXX  без КЦ,2-DI+FEXX  с КЦ,3-AI,4-AI+FEXX  без КЦ,5-AI+FEXX  с КЦ,6-RS485)
</t>
    </r>
  </si>
  <si>
    <r>
      <t xml:space="preserve">FB_AI_S, FB_DI_S, FB_QSA_S, FB_DO_S, FB_SHPS_S, FB_SHOP_S, FB_BTF_S: </t>
    </r>
    <r>
      <rPr>
        <sz val="11"/>
        <color theme="1"/>
        <rFont val="Calibri"/>
        <family val="2"/>
        <charset val="204"/>
      </rPr>
      <t xml:space="preserve">IVXX
</t>
    </r>
    <r>
      <rPr>
        <b/>
        <sz val="11"/>
        <color theme="1"/>
        <rFont val="Calibri"/>
        <family val="2"/>
        <charset val="204"/>
      </rPr>
      <t>FB_KL_UPT_S:</t>
    </r>
    <r>
      <rPr>
        <sz val="11"/>
        <color theme="1"/>
        <rFont val="Calibri"/>
        <family val="2"/>
        <charset val="204"/>
      </rPr>
      <t xml:space="preserve"> ISON
</t>
    </r>
    <r>
      <rPr>
        <b/>
        <sz val="11"/>
        <color theme="1"/>
        <rFont val="Calibri"/>
        <family val="2"/>
        <charset val="204"/>
      </rPr>
      <t>SW_S301, SW_MES3508:</t>
    </r>
    <r>
      <rPr>
        <sz val="11"/>
        <color theme="1"/>
        <rFont val="Calibri"/>
        <family val="2"/>
        <charset val="204"/>
      </rPr>
      <t xml:space="preserve"> Подключение к порту 1
</t>
    </r>
    <r>
      <rPr>
        <b/>
        <sz val="11"/>
        <color theme="1"/>
        <rFont val="Calibri"/>
        <family val="2"/>
        <charset val="204"/>
      </rPr>
      <t>SW_MAYAK:</t>
    </r>
    <r>
      <rPr>
        <sz val="11"/>
        <color theme="1"/>
        <rFont val="Calibri"/>
        <family val="2"/>
        <charset val="204"/>
      </rPr>
      <t xml:space="preserve"> Подключение к порту 1,2 (через "\")
</t>
    </r>
    <r>
      <rPr>
        <b/>
        <sz val="11"/>
        <color theme="1"/>
        <rFont val="Calibri"/>
        <family val="2"/>
        <charset val="204"/>
      </rPr>
      <t>DI_DIAG, DO_DIAG:</t>
    </r>
    <r>
      <rPr>
        <sz val="11"/>
        <color theme="1"/>
        <rFont val="Calibri"/>
        <family val="2"/>
        <charset val="204"/>
      </rPr>
      <t xml:space="preserve"> XVLX</t>
    </r>
  </si>
  <si>
    <r>
      <t xml:space="preserve">FB_AI_S, FB_DI_S, FB_DO_S: </t>
    </r>
    <r>
      <rPr>
        <sz val="11"/>
        <color theme="1"/>
        <rFont val="Calibri"/>
        <family val="2"/>
        <charset val="204"/>
      </rPr>
      <t xml:space="preserve">IVXX
</t>
    </r>
    <r>
      <rPr>
        <b/>
        <sz val="11"/>
        <color theme="1"/>
        <rFont val="Calibri"/>
        <family val="2"/>
        <charset val="204"/>
      </rPr>
      <t>SW_S301, SW_MES3508:</t>
    </r>
    <r>
      <rPr>
        <sz val="11"/>
        <color theme="1"/>
        <rFont val="Calibri"/>
        <family val="2"/>
        <charset val="204"/>
      </rPr>
      <t xml:space="preserve"> Подключение к порту 1
</t>
    </r>
    <r>
      <rPr>
        <b/>
        <sz val="11"/>
        <color theme="1"/>
        <rFont val="Calibri"/>
        <family val="2"/>
        <charset val="204"/>
      </rPr>
      <t>SW_MAYAK:</t>
    </r>
    <r>
      <rPr>
        <sz val="11"/>
        <color theme="1"/>
        <rFont val="Calibri"/>
        <family val="2"/>
        <charset val="204"/>
      </rPr>
      <t xml:space="preserve"> Подключение к порту 1,2 (через "\")
</t>
    </r>
    <r>
      <rPr>
        <b/>
        <sz val="11"/>
        <color theme="1"/>
        <rFont val="Calibri"/>
        <family val="2"/>
        <charset val="204"/>
      </rPr>
      <t>DI_DIAG, DO_DIAG:</t>
    </r>
    <r>
      <rPr>
        <sz val="11"/>
        <color theme="1"/>
        <rFont val="Calibri"/>
        <family val="2"/>
        <charset val="204"/>
      </rPr>
      <t xml:space="preserve"> XVLX</t>
    </r>
  </si>
  <si>
    <r>
      <t xml:space="preserve">FB_IMstp_S, FB_IMsp_S, FB_IMs_S, FB_IMp_S, FB_IMv_S, FB_IMst_MON_S, FB_IMsp_MON_S, FB_IMs_MON_S, FB_IMp_MON_S, FB_IMv_MON_S, FB_IM_ADES_S, FB_OZK_KD_S: </t>
    </r>
    <r>
      <rPr>
        <sz val="11"/>
        <color theme="1"/>
        <rFont val="Calibri"/>
        <family val="2"/>
        <charset val="204"/>
      </rPr>
      <t>IONX</t>
    </r>
    <r>
      <rPr>
        <b/>
        <sz val="11"/>
        <color theme="1"/>
        <rFont val="Calibri"/>
        <family val="2"/>
        <charset val="204"/>
      </rPr>
      <t xml:space="preserve">
FB_QSA_S: </t>
    </r>
    <r>
      <rPr>
        <sz val="11"/>
        <color theme="1"/>
        <rFont val="Calibri"/>
        <family val="2"/>
        <charset val="204"/>
      </rPr>
      <t xml:space="preserve">IT1X
</t>
    </r>
    <r>
      <rPr>
        <b/>
        <sz val="11"/>
        <color theme="1"/>
        <rFont val="Calibri"/>
        <family val="2"/>
        <charset val="204"/>
      </rPr>
      <t>SW_S301, SW_MES3508:</t>
    </r>
    <r>
      <rPr>
        <sz val="11"/>
        <color theme="1"/>
        <rFont val="Calibri"/>
        <family val="2"/>
        <charset val="204"/>
      </rPr>
      <t xml:space="preserve"> Подключение к порту 2
</t>
    </r>
    <r>
      <rPr>
        <b/>
        <sz val="11"/>
        <color theme="1"/>
        <rFont val="Calibri"/>
        <family val="2"/>
        <charset val="204"/>
      </rPr>
      <t>SW_MAYAK:</t>
    </r>
    <r>
      <rPr>
        <sz val="11"/>
        <color theme="1"/>
        <rFont val="Calibri"/>
        <family val="2"/>
        <charset val="204"/>
      </rPr>
      <t xml:space="preserve"> Подключение к порту 3,4 (через "\")</t>
    </r>
  </si>
  <si>
    <r>
      <t xml:space="preserve">FB_IMp_S, FB_IMv_S, FB_IMp_MON_S, FB_IMv_MON_S: </t>
    </r>
    <r>
      <rPr>
        <sz val="11"/>
        <color theme="1"/>
        <rFont val="Calibri"/>
        <family val="2"/>
        <charset val="204"/>
      </rPr>
      <t xml:space="preserve">IONX
</t>
    </r>
    <r>
      <rPr>
        <b/>
        <sz val="11"/>
        <color theme="1"/>
        <rFont val="Calibri"/>
        <family val="2"/>
        <charset val="204"/>
      </rPr>
      <t>SW_S301, SW_MES3508:</t>
    </r>
    <r>
      <rPr>
        <sz val="11"/>
        <color theme="1"/>
        <rFont val="Calibri"/>
        <family val="2"/>
        <charset val="204"/>
      </rPr>
      <t xml:space="preserve"> Подключение к порту 2
</t>
    </r>
    <r>
      <rPr>
        <b/>
        <sz val="11"/>
        <color theme="1"/>
        <rFont val="Calibri"/>
        <family val="2"/>
        <charset val="204"/>
      </rPr>
      <t>SW_MAYAK:</t>
    </r>
    <r>
      <rPr>
        <sz val="11"/>
        <color theme="1"/>
        <rFont val="Calibri"/>
        <family val="2"/>
        <charset val="204"/>
      </rPr>
      <t xml:space="preserve"> Подключение к порту 3,4 (через "\")</t>
    </r>
  </si>
  <si>
    <r>
      <t xml:space="preserve">FB_IMstp_S, FB_IMsp_S, FB_IMs_S, FB_IMst_MON_S, FB_IMsp_MON_S, FB_IMs_MON_S, FB_IM_ADES_S: </t>
    </r>
    <r>
      <rPr>
        <sz val="11"/>
        <color theme="1"/>
        <rFont val="Calibri"/>
        <family val="2"/>
        <charset val="204"/>
      </rPr>
      <t xml:space="preserve">IONX
</t>
    </r>
    <r>
      <rPr>
        <b/>
        <sz val="11"/>
        <color theme="1"/>
        <rFont val="Calibri"/>
        <family val="2"/>
        <charset val="204"/>
      </rPr>
      <t>SW_S301, SW_MES3508:</t>
    </r>
    <r>
      <rPr>
        <sz val="11"/>
        <color theme="1"/>
        <rFont val="Calibri"/>
        <family val="2"/>
        <charset val="204"/>
      </rPr>
      <t xml:space="preserve"> Подключение к порту 2
</t>
    </r>
    <r>
      <rPr>
        <b/>
        <sz val="11"/>
        <color theme="1"/>
        <rFont val="Calibri"/>
        <family val="2"/>
        <charset val="204"/>
      </rPr>
      <t>SW_MAYAK:</t>
    </r>
    <r>
      <rPr>
        <sz val="11"/>
        <color theme="1"/>
        <rFont val="Calibri"/>
        <family val="2"/>
        <charset val="204"/>
      </rPr>
      <t xml:space="preserve"> Подключение к порту 3,4 (через "\")</t>
    </r>
  </si>
  <si>
    <r>
      <t xml:space="preserve">FB_OZK_KD_S: </t>
    </r>
    <r>
      <rPr>
        <sz val="11"/>
        <color theme="1"/>
        <rFont val="Calibri"/>
        <family val="2"/>
        <charset val="204"/>
      </rPr>
      <t>IONX</t>
    </r>
    <r>
      <rPr>
        <b/>
        <sz val="11"/>
        <color theme="1"/>
        <rFont val="Calibri"/>
        <family val="2"/>
        <charset val="204"/>
      </rPr>
      <t xml:space="preserve">
FB_QSA_S: </t>
    </r>
    <r>
      <rPr>
        <sz val="11"/>
        <color theme="1"/>
        <rFont val="Calibri"/>
        <family val="2"/>
        <charset val="204"/>
      </rPr>
      <t xml:space="preserve">IT1X
</t>
    </r>
    <r>
      <rPr>
        <b/>
        <sz val="11"/>
        <color theme="1"/>
        <rFont val="Calibri"/>
        <family val="2"/>
        <charset val="204"/>
      </rPr>
      <t>SW_S301, SW_MES3508:</t>
    </r>
    <r>
      <rPr>
        <sz val="11"/>
        <color theme="1"/>
        <rFont val="Calibri"/>
        <family val="2"/>
        <charset val="204"/>
      </rPr>
      <t xml:space="preserve"> Подключение к порту 2
</t>
    </r>
    <r>
      <rPr>
        <b/>
        <sz val="11"/>
        <color theme="1"/>
        <rFont val="Calibri"/>
        <family val="2"/>
        <charset val="204"/>
      </rPr>
      <t>SW_MAYAK:</t>
    </r>
    <r>
      <rPr>
        <sz val="11"/>
        <color theme="1"/>
        <rFont val="Calibri"/>
        <family val="2"/>
        <charset val="204"/>
      </rPr>
      <t xml:space="preserve"> Подключение к порту 3,4 (через "\")</t>
    </r>
  </si>
  <si>
    <r>
      <t xml:space="preserve">FB_IMstp_S, FB_IMsp_S, FB_IMs_S, FB_IMp_S, FB_IMv_S, FB_IMst_MON_S, FB_IMsp_MON_S, FB_IMs_MON_S, FB_IMp_MON_S, FB_IMv_MON_S: </t>
    </r>
    <r>
      <rPr>
        <sz val="11"/>
        <color theme="1"/>
        <rFont val="Calibri"/>
        <family val="2"/>
        <charset val="204"/>
      </rPr>
      <t>IONX</t>
    </r>
    <r>
      <rPr>
        <b/>
        <sz val="11"/>
        <color theme="1"/>
        <rFont val="Calibri"/>
        <family val="2"/>
        <charset val="204"/>
      </rPr>
      <t xml:space="preserve"> </t>
    </r>
    <r>
      <rPr>
        <sz val="11"/>
        <color theme="1"/>
        <rFont val="Calibri"/>
        <family val="2"/>
        <charset val="204"/>
      </rPr>
      <t xml:space="preserve">
</t>
    </r>
    <r>
      <rPr>
        <b/>
        <sz val="11"/>
        <color theme="1"/>
        <rFont val="Calibri"/>
        <family val="2"/>
        <charset val="204"/>
      </rPr>
      <t>SW_S301, SW_MES3508:</t>
    </r>
    <r>
      <rPr>
        <sz val="11"/>
        <color theme="1"/>
        <rFont val="Calibri"/>
        <family val="2"/>
        <charset val="204"/>
      </rPr>
      <t xml:space="preserve"> Подключение к порту 2
</t>
    </r>
    <r>
      <rPr>
        <b/>
        <sz val="11"/>
        <color theme="1"/>
        <rFont val="Calibri"/>
        <family val="2"/>
        <charset val="204"/>
      </rPr>
      <t>SW_MAYAK:</t>
    </r>
    <r>
      <rPr>
        <sz val="11"/>
        <color theme="1"/>
        <rFont val="Calibri"/>
        <family val="2"/>
        <charset val="204"/>
      </rPr>
      <t xml:space="preserve"> Подключение к порту 3,4 (через "\")</t>
    </r>
  </si>
  <si>
    <r>
      <t xml:space="preserve">FB_IMstp_S, FB_IMsp_S, FB_IMs_S, FB_IMst_MON_S, FB_IMsp_MON_S, FB_IMs_MON_S, FB_IM_ADES_S, FB_OZK_KD_S: </t>
    </r>
    <r>
      <rPr>
        <sz val="11"/>
        <color theme="1"/>
        <rFont val="Calibri"/>
        <family val="2"/>
        <charset val="204"/>
      </rPr>
      <t>IONX</t>
    </r>
    <r>
      <rPr>
        <b/>
        <sz val="11"/>
        <color theme="1"/>
        <rFont val="Calibri"/>
        <family val="2"/>
        <charset val="204"/>
      </rPr>
      <t xml:space="preserve">
FB_QSA_S: </t>
    </r>
    <r>
      <rPr>
        <sz val="11"/>
        <color theme="1"/>
        <rFont val="Calibri"/>
        <family val="2"/>
        <charset val="204"/>
      </rPr>
      <t xml:space="preserve">IT1X
</t>
    </r>
    <r>
      <rPr>
        <b/>
        <sz val="11"/>
        <color theme="1"/>
        <rFont val="Calibri"/>
        <family val="2"/>
        <charset val="204"/>
      </rPr>
      <t>SW_S301, SW_MES3508:</t>
    </r>
    <r>
      <rPr>
        <sz val="11"/>
        <color theme="1"/>
        <rFont val="Calibri"/>
        <family val="2"/>
        <charset val="204"/>
      </rPr>
      <t xml:space="preserve"> Подключение к порту 2
</t>
    </r>
    <r>
      <rPr>
        <b/>
        <sz val="11"/>
        <color theme="1"/>
        <rFont val="Calibri"/>
        <family val="2"/>
        <charset val="204"/>
      </rPr>
      <t>SW_MAYAK:</t>
    </r>
    <r>
      <rPr>
        <sz val="11"/>
        <color theme="1"/>
        <rFont val="Calibri"/>
        <family val="2"/>
        <charset val="204"/>
      </rPr>
      <t xml:space="preserve"> Подключение к порту 3,4 (через "\")</t>
    </r>
  </si>
  <si>
    <r>
      <t xml:space="preserve">FB_IMp_S, FB_IMv_S, FB_IMp_MON_S, FB_IMv_MON_S, FB_OZK_KD_S: </t>
    </r>
    <r>
      <rPr>
        <sz val="11"/>
        <color theme="1"/>
        <rFont val="Calibri"/>
        <family val="2"/>
        <charset val="204"/>
      </rPr>
      <t>IONX</t>
    </r>
    <r>
      <rPr>
        <b/>
        <sz val="11"/>
        <color theme="1"/>
        <rFont val="Calibri"/>
        <family val="2"/>
        <charset val="204"/>
      </rPr>
      <t xml:space="preserve">
FB_QSA_S: </t>
    </r>
    <r>
      <rPr>
        <sz val="11"/>
        <color theme="1"/>
        <rFont val="Calibri"/>
        <family val="2"/>
        <charset val="204"/>
      </rPr>
      <t xml:space="preserve">IT1X
</t>
    </r>
    <r>
      <rPr>
        <b/>
        <sz val="11"/>
        <color theme="1"/>
        <rFont val="Calibri"/>
        <family val="2"/>
        <charset val="204"/>
      </rPr>
      <t>SW_S301, SW_MES3508:</t>
    </r>
    <r>
      <rPr>
        <sz val="11"/>
        <color theme="1"/>
        <rFont val="Calibri"/>
        <family val="2"/>
        <charset val="204"/>
      </rPr>
      <t xml:space="preserve"> Подключение к порту 2
</t>
    </r>
    <r>
      <rPr>
        <b/>
        <sz val="11"/>
        <color theme="1"/>
        <rFont val="Calibri"/>
        <family val="2"/>
        <charset val="204"/>
      </rPr>
      <t>SW_MAYAK:</t>
    </r>
    <r>
      <rPr>
        <sz val="11"/>
        <color theme="1"/>
        <rFont val="Calibri"/>
        <family val="2"/>
        <charset val="204"/>
      </rPr>
      <t xml:space="preserve"> Подключение к порту 3,4 (через "\")</t>
    </r>
  </si>
  <si>
    <r>
      <t>SW_S301, SW_MES3508:</t>
    </r>
    <r>
      <rPr>
        <sz val="11"/>
        <color theme="1"/>
        <rFont val="Calibri"/>
        <family val="2"/>
        <charset val="204"/>
      </rPr>
      <t xml:space="preserve"> Подключение к порту 2
</t>
    </r>
    <r>
      <rPr>
        <b/>
        <sz val="11"/>
        <color theme="1"/>
        <rFont val="Calibri"/>
        <family val="2"/>
        <charset val="204"/>
      </rPr>
      <t>SW_MAYAK:</t>
    </r>
    <r>
      <rPr>
        <sz val="11"/>
        <color theme="1"/>
        <rFont val="Calibri"/>
        <family val="2"/>
        <charset val="204"/>
      </rPr>
      <t xml:space="preserve"> Подключение к порту 3,4 (через "\")</t>
    </r>
  </si>
  <si>
    <r>
      <t xml:space="preserve">FB_IMstp_S, FB_IMsp_S, FB_IMs_S, FB_IMp_S, FB_IMv_S, FB_IMst_MON_S, FB_IMsp_MON_S,  FB_IMs_MON_S, FB_IMp_MON_S, FB_IMv_MON_S, FB_IM_ADES_S, FB_OZK_KD_S:  </t>
    </r>
    <r>
      <rPr>
        <sz val="11"/>
        <color theme="1"/>
        <rFont val="Calibri"/>
        <family val="2"/>
        <charset val="204"/>
      </rPr>
      <t>IOFX</t>
    </r>
    <r>
      <rPr>
        <b/>
        <sz val="11"/>
        <color theme="1"/>
        <rFont val="Calibri"/>
        <family val="2"/>
        <charset val="204"/>
      </rPr>
      <t xml:space="preserve">
FB_REG_S: </t>
    </r>
    <r>
      <rPr>
        <sz val="11"/>
        <color theme="1"/>
        <rFont val="Calibri"/>
        <family val="2"/>
        <charset val="204"/>
      </rPr>
      <t>ICPX</t>
    </r>
    <r>
      <rPr>
        <b/>
        <sz val="11"/>
        <color theme="1"/>
        <rFont val="Calibri"/>
        <family val="2"/>
        <charset val="204"/>
      </rPr>
      <t xml:space="preserve">
FB_QSA_S: </t>
    </r>
    <r>
      <rPr>
        <sz val="11"/>
        <color theme="1"/>
        <rFont val="Calibri"/>
        <family val="2"/>
        <charset val="204"/>
      </rPr>
      <t>IT2X</t>
    </r>
    <r>
      <rPr>
        <b/>
        <sz val="11"/>
        <color theme="1"/>
        <rFont val="Calibri"/>
        <family val="2"/>
        <charset val="204"/>
      </rPr>
      <t xml:space="preserve">
SW_S301, SW_MES3508: </t>
    </r>
    <r>
      <rPr>
        <sz val="11"/>
        <color theme="1"/>
        <rFont val="Calibri"/>
        <family val="2"/>
        <charset val="204"/>
      </rPr>
      <t>Подключение к порту 3</t>
    </r>
    <r>
      <rPr>
        <b/>
        <sz val="11"/>
        <color theme="1"/>
        <rFont val="Calibri"/>
        <family val="2"/>
        <charset val="204"/>
      </rPr>
      <t xml:space="preserve">
SW_MAYAK: </t>
    </r>
    <r>
      <rPr>
        <sz val="11"/>
        <color theme="1"/>
        <rFont val="Calibri"/>
        <family val="2"/>
        <charset val="204"/>
      </rPr>
      <t>Подключение к порту 5,6 (через "\")</t>
    </r>
  </si>
  <si>
    <r>
      <t xml:space="preserve">FB_IMp_S, FB_IMv_S, FB_IMp_MON_S, FB_IMv_MON_S:  </t>
    </r>
    <r>
      <rPr>
        <sz val="11"/>
        <color theme="1"/>
        <rFont val="Calibri"/>
        <family val="2"/>
        <charset val="204"/>
      </rPr>
      <t>IOFX</t>
    </r>
    <r>
      <rPr>
        <b/>
        <sz val="11"/>
        <color theme="1"/>
        <rFont val="Calibri"/>
        <family val="2"/>
        <charset val="204"/>
      </rPr>
      <t xml:space="preserve">
FB_REG_S: </t>
    </r>
    <r>
      <rPr>
        <sz val="11"/>
        <color theme="1"/>
        <rFont val="Calibri"/>
        <family val="2"/>
        <charset val="204"/>
      </rPr>
      <t>ICPX</t>
    </r>
    <r>
      <rPr>
        <b/>
        <sz val="11"/>
        <color theme="1"/>
        <rFont val="Calibri"/>
        <family val="2"/>
        <charset val="204"/>
      </rPr>
      <t xml:space="preserve">
SW_S301, SW_MES3508: </t>
    </r>
    <r>
      <rPr>
        <sz val="11"/>
        <color theme="1"/>
        <rFont val="Calibri"/>
        <family val="2"/>
        <charset val="204"/>
      </rPr>
      <t>Подключение к порту 3</t>
    </r>
    <r>
      <rPr>
        <b/>
        <sz val="11"/>
        <color theme="1"/>
        <rFont val="Calibri"/>
        <family val="2"/>
        <charset val="204"/>
      </rPr>
      <t xml:space="preserve">
SW_MAYAK: </t>
    </r>
    <r>
      <rPr>
        <sz val="11"/>
        <color theme="1"/>
        <rFont val="Calibri"/>
        <family val="2"/>
        <charset val="204"/>
      </rPr>
      <t>Подключение к порту 5,6 (через "\")</t>
    </r>
  </si>
  <si>
    <r>
      <t xml:space="preserve">FB_IMstp_S, FB_IMsp_S, FB_IMs_S, FB_IMst_MON_S, FB_IMsp_MON_S,  FB_IMs_MON_S, FB_IM_ADES_S:  </t>
    </r>
    <r>
      <rPr>
        <sz val="11"/>
        <color theme="1"/>
        <rFont val="Calibri"/>
        <family val="2"/>
        <charset val="204"/>
      </rPr>
      <t>IOFX</t>
    </r>
    <r>
      <rPr>
        <b/>
        <sz val="11"/>
        <color theme="1"/>
        <rFont val="Calibri"/>
        <family val="2"/>
        <charset val="204"/>
      </rPr>
      <t xml:space="preserve">
SW_S301, SW_MES3508: </t>
    </r>
    <r>
      <rPr>
        <sz val="11"/>
        <color theme="1"/>
        <rFont val="Calibri"/>
        <family val="2"/>
        <charset val="204"/>
      </rPr>
      <t>Подключение к порту 3</t>
    </r>
    <r>
      <rPr>
        <b/>
        <sz val="11"/>
        <color theme="1"/>
        <rFont val="Calibri"/>
        <family val="2"/>
        <charset val="204"/>
      </rPr>
      <t xml:space="preserve">
SW_MAYAK: </t>
    </r>
    <r>
      <rPr>
        <sz val="11"/>
        <color theme="1"/>
        <rFont val="Calibri"/>
        <family val="2"/>
        <charset val="204"/>
      </rPr>
      <t>Подключение к порту 5,6 (через "\")</t>
    </r>
  </si>
  <si>
    <r>
      <t xml:space="preserve">FB_OZK_KD_S:  </t>
    </r>
    <r>
      <rPr>
        <sz val="11"/>
        <color theme="1"/>
        <rFont val="Calibri"/>
        <family val="2"/>
        <charset val="204"/>
      </rPr>
      <t>IOFX</t>
    </r>
    <r>
      <rPr>
        <b/>
        <sz val="11"/>
        <color theme="1"/>
        <rFont val="Calibri"/>
        <family val="2"/>
        <charset val="204"/>
      </rPr>
      <t xml:space="preserve">
FB_QSA_S: </t>
    </r>
    <r>
      <rPr>
        <sz val="11"/>
        <color theme="1"/>
        <rFont val="Calibri"/>
        <family val="2"/>
        <charset val="204"/>
      </rPr>
      <t>IT2X</t>
    </r>
    <r>
      <rPr>
        <b/>
        <sz val="11"/>
        <color theme="1"/>
        <rFont val="Calibri"/>
        <family val="2"/>
        <charset val="204"/>
      </rPr>
      <t xml:space="preserve">
SW_S301, SW_MES3508: </t>
    </r>
    <r>
      <rPr>
        <sz val="11"/>
        <color theme="1"/>
        <rFont val="Calibri"/>
        <family val="2"/>
        <charset val="204"/>
      </rPr>
      <t>Подключение к порту 3</t>
    </r>
    <r>
      <rPr>
        <b/>
        <sz val="11"/>
        <color theme="1"/>
        <rFont val="Calibri"/>
        <family val="2"/>
        <charset val="204"/>
      </rPr>
      <t xml:space="preserve">
SW_MAYAK: </t>
    </r>
    <r>
      <rPr>
        <sz val="11"/>
        <color theme="1"/>
        <rFont val="Calibri"/>
        <family val="2"/>
        <charset val="204"/>
      </rPr>
      <t>Подключение к порту 5,6 (через "\")</t>
    </r>
  </si>
  <si>
    <r>
      <t xml:space="preserve">FB_IMstp_S, FB_IMsp_S, FB_IMs_S, FB_IMp_S, FB_IMv_S, FB_IMst_MON_S, FB_IMsp_MON_S,  FB_IMs_MON_S, FB_IMp_MON_S, FB_IMv_MON_S, FB_IM_ADES_S:  </t>
    </r>
    <r>
      <rPr>
        <sz val="11"/>
        <color theme="1"/>
        <rFont val="Calibri"/>
        <family val="2"/>
        <charset val="204"/>
      </rPr>
      <t>IOFX</t>
    </r>
    <r>
      <rPr>
        <b/>
        <sz val="11"/>
        <color theme="1"/>
        <rFont val="Calibri"/>
        <family val="2"/>
        <charset val="204"/>
      </rPr>
      <t xml:space="preserve">
FB_REG_S: </t>
    </r>
    <r>
      <rPr>
        <sz val="11"/>
        <color theme="1"/>
        <rFont val="Calibri"/>
        <family val="2"/>
        <charset val="204"/>
      </rPr>
      <t>ICPX</t>
    </r>
    <r>
      <rPr>
        <b/>
        <sz val="11"/>
        <color theme="1"/>
        <rFont val="Calibri"/>
        <family val="2"/>
        <charset val="204"/>
      </rPr>
      <t xml:space="preserve">
SW_S301, SW_MES3508: </t>
    </r>
    <r>
      <rPr>
        <sz val="11"/>
        <color theme="1"/>
        <rFont val="Calibri"/>
        <family val="2"/>
        <charset val="204"/>
      </rPr>
      <t>Подключение к порту 3</t>
    </r>
    <r>
      <rPr>
        <b/>
        <sz val="11"/>
        <color theme="1"/>
        <rFont val="Calibri"/>
        <family val="2"/>
        <charset val="204"/>
      </rPr>
      <t xml:space="preserve">
SW_MAYAK: </t>
    </r>
    <r>
      <rPr>
        <sz val="11"/>
        <color theme="1"/>
        <rFont val="Calibri"/>
        <family val="2"/>
        <charset val="204"/>
      </rPr>
      <t>Подключение к порту 5,6 (через "\")</t>
    </r>
  </si>
  <si>
    <r>
      <t xml:space="preserve">FB_IMstp_S, FB_IMsp_S, FB_IMs_S, FB_IMst_MON_S, FB_IMsp_MON_S,  FB_IMs_MON_S, FB_IM_ADES_S, FB_OZK_KD_S:  </t>
    </r>
    <r>
      <rPr>
        <sz val="11"/>
        <color theme="1"/>
        <rFont val="Calibri"/>
        <family val="2"/>
        <charset val="204"/>
      </rPr>
      <t>IOFX</t>
    </r>
    <r>
      <rPr>
        <b/>
        <sz val="11"/>
        <color theme="1"/>
        <rFont val="Calibri"/>
        <family val="2"/>
        <charset val="204"/>
      </rPr>
      <t xml:space="preserve">
FB_QSA_S: </t>
    </r>
    <r>
      <rPr>
        <sz val="11"/>
        <color theme="1"/>
        <rFont val="Calibri"/>
        <family val="2"/>
        <charset val="204"/>
      </rPr>
      <t>IT2X</t>
    </r>
    <r>
      <rPr>
        <b/>
        <sz val="11"/>
        <color theme="1"/>
        <rFont val="Calibri"/>
        <family val="2"/>
        <charset val="204"/>
      </rPr>
      <t xml:space="preserve">
SW_S301, SW_MES3508: </t>
    </r>
    <r>
      <rPr>
        <sz val="11"/>
        <color theme="1"/>
        <rFont val="Calibri"/>
        <family val="2"/>
        <charset val="204"/>
      </rPr>
      <t>Подключение к порту 3</t>
    </r>
    <r>
      <rPr>
        <b/>
        <sz val="11"/>
        <color theme="1"/>
        <rFont val="Calibri"/>
        <family val="2"/>
        <charset val="204"/>
      </rPr>
      <t xml:space="preserve">
SW_MAYAK: </t>
    </r>
    <r>
      <rPr>
        <sz val="11"/>
        <color theme="1"/>
        <rFont val="Calibri"/>
        <family val="2"/>
        <charset val="204"/>
      </rPr>
      <t>Подключение к порту 5,6 (через "\")</t>
    </r>
  </si>
  <si>
    <r>
      <t xml:space="preserve">FB_IMp_S, FB_IMv_S, FB_IMp_MON_S, FB_IMv_MON_S, FB_OZK_KD_S:  </t>
    </r>
    <r>
      <rPr>
        <sz val="11"/>
        <color theme="1"/>
        <rFont val="Calibri"/>
        <family val="2"/>
        <charset val="204"/>
      </rPr>
      <t>IOFX</t>
    </r>
    <r>
      <rPr>
        <b/>
        <sz val="11"/>
        <color theme="1"/>
        <rFont val="Calibri"/>
        <family val="2"/>
        <charset val="204"/>
      </rPr>
      <t xml:space="preserve">
FB_REG_S: </t>
    </r>
    <r>
      <rPr>
        <sz val="11"/>
        <color theme="1"/>
        <rFont val="Calibri"/>
        <family val="2"/>
        <charset val="204"/>
      </rPr>
      <t>ICPX</t>
    </r>
    <r>
      <rPr>
        <b/>
        <sz val="11"/>
        <color theme="1"/>
        <rFont val="Calibri"/>
        <family val="2"/>
        <charset val="204"/>
      </rPr>
      <t xml:space="preserve">
FB_QSA_S: </t>
    </r>
    <r>
      <rPr>
        <sz val="11"/>
        <color theme="1"/>
        <rFont val="Calibri"/>
        <family val="2"/>
        <charset val="204"/>
      </rPr>
      <t>IT2X</t>
    </r>
    <r>
      <rPr>
        <b/>
        <sz val="11"/>
        <color theme="1"/>
        <rFont val="Calibri"/>
        <family val="2"/>
        <charset val="204"/>
      </rPr>
      <t xml:space="preserve">
SW_S301, SW_MES3508: </t>
    </r>
    <r>
      <rPr>
        <sz val="11"/>
        <color theme="1"/>
        <rFont val="Calibri"/>
        <family val="2"/>
        <charset val="204"/>
      </rPr>
      <t>Подключение к порту 3</t>
    </r>
    <r>
      <rPr>
        <b/>
        <sz val="11"/>
        <color theme="1"/>
        <rFont val="Calibri"/>
        <family val="2"/>
        <charset val="204"/>
      </rPr>
      <t xml:space="preserve">
SW_MAYAK: </t>
    </r>
    <r>
      <rPr>
        <sz val="11"/>
        <color theme="1"/>
        <rFont val="Calibri"/>
        <family val="2"/>
        <charset val="204"/>
      </rPr>
      <t>Подключение к порту 5,6 (через "\")</t>
    </r>
  </si>
  <si>
    <r>
      <t xml:space="preserve">SW_S301, SW_MES3508: </t>
    </r>
    <r>
      <rPr>
        <sz val="11"/>
        <color theme="1"/>
        <rFont val="Calibri"/>
        <family val="2"/>
        <charset val="204"/>
      </rPr>
      <t>Подключение к порту 3</t>
    </r>
    <r>
      <rPr>
        <b/>
        <sz val="11"/>
        <color theme="1"/>
        <rFont val="Calibri"/>
        <family val="2"/>
        <charset val="204"/>
      </rPr>
      <t xml:space="preserve">
SW_MAYAK: </t>
    </r>
    <r>
      <rPr>
        <sz val="11"/>
        <color theme="1"/>
        <rFont val="Calibri"/>
        <family val="2"/>
        <charset val="204"/>
      </rPr>
      <t>Подключение к порту 5,6 (через "\")</t>
    </r>
  </si>
  <si>
    <r>
      <t xml:space="preserve">FB_IMstp_S, FB_IMsp_S, FB_IMs_S, FB_REG_S, FB_IM_ADES_S : </t>
    </r>
    <r>
      <rPr>
        <sz val="11"/>
        <color theme="1"/>
        <rFont val="Calibri"/>
        <family val="2"/>
        <charset val="204"/>
      </rPr>
      <t xml:space="preserve">ILCX
</t>
    </r>
    <r>
      <rPr>
        <b/>
        <sz val="11"/>
        <color theme="1"/>
        <rFont val="Calibri"/>
        <family val="2"/>
        <charset val="204"/>
      </rPr>
      <t>SW_S301:</t>
    </r>
    <r>
      <rPr>
        <sz val="11"/>
        <color theme="1"/>
        <rFont val="Calibri"/>
        <family val="2"/>
        <charset val="204"/>
      </rPr>
      <t xml:space="preserve"> Подключение к порту 4
</t>
    </r>
    <r>
      <rPr>
        <b/>
        <sz val="11"/>
        <color theme="1"/>
        <rFont val="Calibri"/>
        <family val="2"/>
        <charset val="204"/>
      </rPr>
      <t>SW_MAYAK, SW_MES3508:</t>
    </r>
    <r>
      <rPr>
        <sz val="11"/>
        <color theme="1"/>
        <rFont val="Calibri"/>
        <family val="2"/>
        <charset val="204"/>
      </rPr>
      <t xml:space="preserve"> Подключение к порту 7,8 (через "\")</t>
    </r>
  </si>
  <si>
    <r>
      <t xml:space="preserve">FB_REG_S: </t>
    </r>
    <r>
      <rPr>
        <sz val="11"/>
        <color theme="1"/>
        <rFont val="Calibri"/>
        <family val="2"/>
        <charset val="204"/>
      </rPr>
      <t xml:space="preserve">ILCX
</t>
    </r>
    <r>
      <rPr>
        <b/>
        <sz val="11"/>
        <color theme="1"/>
        <rFont val="Calibri"/>
        <family val="2"/>
        <charset val="204"/>
      </rPr>
      <t>SW_S301, SW_MES3508:</t>
    </r>
    <r>
      <rPr>
        <sz val="11"/>
        <color theme="1"/>
        <rFont val="Calibri"/>
        <family val="2"/>
        <charset val="204"/>
      </rPr>
      <t xml:space="preserve"> Подключение к порту 4
</t>
    </r>
    <r>
      <rPr>
        <b/>
        <sz val="11"/>
        <color theme="1"/>
        <rFont val="Calibri"/>
        <family val="2"/>
        <charset val="204"/>
      </rPr>
      <t>SW_MAYAK:</t>
    </r>
    <r>
      <rPr>
        <sz val="11"/>
        <color theme="1"/>
        <rFont val="Calibri"/>
        <family val="2"/>
        <charset val="204"/>
      </rPr>
      <t xml:space="preserve"> Подключение к порту 7,8 (через "\")</t>
    </r>
  </si>
  <si>
    <r>
      <t xml:space="preserve">FB_IMstp_S, FB_IMsp_S, FB_IMs_S, FB_IM_ADES_S : </t>
    </r>
    <r>
      <rPr>
        <sz val="11"/>
        <color theme="1"/>
        <rFont val="Calibri"/>
        <family val="2"/>
        <charset val="204"/>
      </rPr>
      <t xml:space="preserve">ILCX
</t>
    </r>
    <r>
      <rPr>
        <b/>
        <sz val="11"/>
        <color theme="1"/>
        <rFont val="Calibri"/>
        <family val="2"/>
        <charset val="204"/>
      </rPr>
      <t>SW_S301, SW_MES3508:</t>
    </r>
    <r>
      <rPr>
        <sz val="11"/>
        <color theme="1"/>
        <rFont val="Calibri"/>
        <family val="2"/>
        <charset val="204"/>
      </rPr>
      <t xml:space="preserve"> Подключение к порту 4
</t>
    </r>
    <r>
      <rPr>
        <b/>
        <sz val="11"/>
        <color theme="1"/>
        <rFont val="Calibri"/>
        <family val="2"/>
        <charset val="204"/>
      </rPr>
      <t>SW_MAYAK:</t>
    </r>
    <r>
      <rPr>
        <sz val="11"/>
        <color theme="1"/>
        <rFont val="Calibri"/>
        <family val="2"/>
        <charset val="204"/>
      </rPr>
      <t xml:space="preserve"> Подключение к порту 7,8 (через "\")</t>
    </r>
  </si>
  <si>
    <r>
      <t>SW_S301, SW_MES3508:</t>
    </r>
    <r>
      <rPr>
        <sz val="11"/>
        <color theme="1"/>
        <rFont val="Calibri"/>
        <family val="2"/>
        <charset val="204"/>
      </rPr>
      <t xml:space="preserve"> Подключение к порту 4
</t>
    </r>
    <r>
      <rPr>
        <b/>
        <sz val="11"/>
        <color theme="1"/>
        <rFont val="Calibri"/>
        <family val="2"/>
        <charset val="204"/>
      </rPr>
      <t>SW_MAYAK:</t>
    </r>
    <r>
      <rPr>
        <sz val="11"/>
        <color theme="1"/>
        <rFont val="Calibri"/>
        <family val="2"/>
        <charset val="204"/>
      </rPr>
      <t xml:space="preserve"> Подключение к порту 7,8 (через "\")</t>
    </r>
  </si>
  <si>
    <r>
      <t xml:space="preserve">FB_IMstp_S, FB_IMsp_S, FB_IMs_S, FB_REG_S, FB_IM_ADES_S : </t>
    </r>
    <r>
      <rPr>
        <sz val="11"/>
        <color theme="1"/>
        <rFont val="Calibri"/>
        <family val="2"/>
        <charset val="204"/>
      </rPr>
      <t xml:space="preserve">ILCX
</t>
    </r>
    <r>
      <rPr>
        <b/>
        <sz val="11"/>
        <color theme="1"/>
        <rFont val="Calibri"/>
        <family val="2"/>
        <charset val="204"/>
      </rPr>
      <t>SW_S301, SW_MES3508:</t>
    </r>
    <r>
      <rPr>
        <sz val="11"/>
        <color theme="1"/>
        <rFont val="Calibri"/>
        <family val="2"/>
        <charset val="204"/>
      </rPr>
      <t xml:space="preserve"> Подключение к порту 4
</t>
    </r>
    <r>
      <rPr>
        <b/>
        <sz val="11"/>
        <color theme="1"/>
        <rFont val="Calibri"/>
        <family val="2"/>
        <charset val="204"/>
      </rPr>
      <t>SW_MAYAK:</t>
    </r>
    <r>
      <rPr>
        <sz val="11"/>
        <color theme="1"/>
        <rFont val="Calibri"/>
        <family val="2"/>
        <charset val="204"/>
      </rPr>
      <t xml:space="preserve"> Подключение к порту 7,8 (через "\")</t>
    </r>
  </si>
  <si>
    <r>
      <t xml:space="preserve">FB_REG_S : </t>
    </r>
    <r>
      <rPr>
        <sz val="11"/>
        <color theme="1"/>
        <rFont val="Calibri"/>
        <family val="2"/>
        <charset val="204"/>
      </rPr>
      <t xml:space="preserve">ILCX
</t>
    </r>
    <r>
      <rPr>
        <b/>
        <sz val="11"/>
        <color theme="1"/>
        <rFont val="Calibri"/>
        <family val="2"/>
        <charset val="204"/>
      </rPr>
      <t>SW_S301, SW_MES3508:</t>
    </r>
    <r>
      <rPr>
        <sz val="11"/>
        <color theme="1"/>
        <rFont val="Calibri"/>
        <family val="2"/>
        <charset val="204"/>
      </rPr>
      <t xml:space="preserve"> Подключение к порту 4
</t>
    </r>
    <r>
      <rPr>
        <b/>
        <sz val="11"/>
        <color theme="1"/>
        <rFont val="Calibri"/>
        <family val="2"/>
        <charset val="204"/>
      </rPr>
      <t>SW_MAYAK:</t>
    </r>
    <r>
      <rPr>
        <sz val="11"/>
        <color theme="1"/>
        <rFont val="Calibri"/>
        <family val="2"/>
        <charset val="204"/>
      </rPr>
      <t xml:space="preserve"> Подключение к порту 7,8 (через "\")</t>
    </r>
  </si>
  <si>
    <r>
      <t xml:space="preserve">FB_IMstp_S, FB_IMsp_S, FB_IMs_S, FB_IMp_S, FB_IMv_S, FB_REG_S, FB_IM_ADES_S, FB_DO_S : </t>
    </r>
    <r>
      <rPr>
        <sz val="11"/>
        <color theme="1"/>
        <rFont val="Calibri"/>
        <family val="2"/>
        <charset val="204"/>
      </rPr>
      <t xml:space="preserve">IRCX
</t>
    </r>
    <r>
      <rPr>
        <b/>
        <sz val="11"/>
        <color theme="1"/>
        <rFont val="Calibri"/>
        <family val="2"/>
        <charset val="204"/>
      </rPr>
      <t>SW_S301, SW_MES3508:</t>
    </r>
    <r>
      <rPr>
        <sz val="11"/>
        <color theme="1"/>
        <rFont val="Calibri"/>
        <family val="2"/>
        <charset val="204"/>
      </rPr>
      <t xml:space="preserve"> Подключение к порту 5
</t>
    </r>
    <r>
      <rPr>
        <b/>
        <sz val="11"/>
        <color theme="1"/>
        <rFont val="Calibri"/>
        <family val="2"/>
        <charset val="204"/>
      </rPr>
      <t xml:space="preserve">SW_MAYAK: </t>
    </r>
    <r>
      <rPr>
        <sz val="11"/>
        <color theme="1"/>
        <rFont val="Calibri"/>
        <family val="2"/>
        <charset val="204"/>
      </rPr>
      <t>Подключение к порту 9,10 (через "\")</t>
    </r>
    <r>
      <rPr>
        <b/>
        <sz val="11"/>
        <color theme="1"/>
        <rFont val="Calibri"/>
        <family val="2"/>
        <charset val="204"/>
      </rPr>
      <t xml:space="preserve">
</t>
    </r>
  </si>
  <si>
    <r>
      <t xml:space="preserve">FB_IMp_S, FB_IMv_S, FB_REG_S, FB_DO_S : </t>
    </r>
    <r>
      <rPr>
        <sz val="11"/>
        <color theme="1"/>
        <rFont val="Calibri"/>
        <family val="2"/>
        <charset val="204"/>
      </rPr>
      <t xml:space="preserve">IRCX
</t>
    </r>
    <r>
      <rPr>
        <b/>
        <sz val="11"/>
        <color theme="1"/>
        <rFont val="Calibri"/>
        <family val="2"/>
        <charset val="204"/>
      </rPr>
      <t>SW_S301, SW_MES3508:</t>
    </r>
    <r>
      <rPr>
        <sz val="11"/>
        <color theme="1"/>
        <rFont val="Calibri"/>
        <family val="2"/>
        <charset val="204"/>
      </rPr>
      <t xml:space="preserve"> Подключение к порту 5
</t>
    </r>
    <r>
      <rPr>
        <b/>
        <sz val="11"/>
        <color theme="1"/>
        <rFont val="Calibri"/>
        <family val="2"/>
        <charset val="204"/>
      </rPr>
      <t xml:space="preserve">SW_MAYAK: </t>
    </r>
    <r>
      <rPr>
        <sz val="11"/>
        <color theme="1"/>
        <rFont val="Calibri"/>
        <family val="2"/>
        <charset val="204"/>
      </rPr>
      <t>Подключение к порту 9,10 (через "\")</t>
    </r>
    <r>
      <rPr>
        <b/>
        <sz val="11"/>
        <color theme="1"/>
        <rFont val="Calibri"/>
        <family val="2"/>
        <charset val="204"/>
      </rPr>
      <t xml:space="preserve">
</t>
    </r>
  </si>
  <si>
    <r>
      <t xml:space="preserve">FB_IMstp_S, FB_IMsp_S, FB_IMs_S, FB_IM_ADES_S, FB_DO_S : </t>
    </r>
    <r>
      <rPr>
        <sz val="11"/>
        <color theme="1"/>
        <rFont val="Calibri"/>
        <family val="2"/>
        <charset val="204"/>
      </rPr>
      <t xml:space="preserve">IRCX
</t>
    </r>
    <r>
      <rPr>
        <b/>
        <sz val="11"/>
        <color theme="1"/>
        <rFont val="Calibri"/>
        <family val="2"/>
        <charset val="204"/>
      </rPr>
      <t>SW_S301, SW_MES3508:</t>
    </r>
    <r>
      <rPr>
        <sz val="11"/>
        <color theme="1"/>
        <rFont val="Calibri"/>
        <family val="2"/>
        <charset val="204"/>
      </rPr>
      <t xml:space="preserve"> Подключение к порту 5
</t>
    </r>
    <r>
      <rPr>
        <b/>
        <sz val="11"/>
        <color theme="1"/>
        <rFont val="Calibri"/>
        <family val="2"/>
        <charset val="204"/>
      </rPr>
      <t xml:space="preserve">SW_MAYAK: </t>
    </r>
    <r>
      <rPr>
        <sz val="11"/>
        <color theme="1"/>
        <rFont val="Calibri"/>
        <family val="2"/>
        <charset val="204"/>
      </rPr>
      <t>Подключение к порту 9,10 (через "\")</t>
    </r>
    <r>
      <rPr>
        <b/>
        <sz val="11"/>
        <color theme="1"/>
        <rFont val="Calibri"/>
        <family val="2"/>
        <charset val="204"/>
      </rPr>
      <t xml:space="preserve">
</t>
    </r>
  </si>
  <si>
    <r>
      <t xml:space="preserve">FB_DO_S : </t>
    </r>
    <r>
      <rPr>
        <sz val="11"/>
        <color theme="1"/>
        <rFont val="Calibri"/>
        <family val="2"/>
        <charset val="204"/>
      </rPr>
      <t xml:space="preserve">IRCX
</t>
    </r>
    <r>
      <rPr>
        <b/>
        <sz val="11"/>
        <color theme="1"/>
        <rFont val="Calibri"/>
        <family val="2"/>
        <charset val="204"/>
      </rPr>
      <t>SW_S301, SW_MES3508:</t>
    </r>
    <r>
      <rPr>
        <sz val="11"/>
        <color theme="1"/>
        <rFont val="Calibri"/>
        <family val="2"/>
        <charset val="204"/>
      </rPr>
      <t xml:space="preserve"> Подключение к порту 5
</t>
    </r>
    <r>
      <rPr>
        <b/>
        <sz val="11"/>
        <color theme="1"/>
        <rFont val="Calibri"/>
        <family val="2"/>
        <charset val="204"/>
      </rPr>
      <t xml:space="preserve">SW_MAYAK: </t>
    </r>
    <r>
      <rPr>
        <sz val="11"/>
        <color theme="1"/>
        <rFont val="Calibri"/>
        <family val="2"/>
        <charset val="204"/>
      </rPr>
      <t>Подключение к порту 9,10 (через "\")</t>
    </r>
    <r>
      <rPr>
        <b/>
        <sz val="11"/>
        <color theme="1"/>
        <rFont val="Calibri"/>
        <family val="2"/>
        <charset val="204"/>
      </rPr>
      <t xml:space="preserve">
</t>
    </r>
  </si>
  <si>
    <r>
      <t xml:space="preserve">FB_IMstp_S, FB_IMsp_S, FB_IMs_S,  FB_IM_ADES_S, FB_DO_S : </t>
    </r>
    <r>
      <rPr>
        <sz val="11"/>
        <color theme="1"/>
        <rFont val="Calibri"/>
        <family val="2"/>
        <charset val="204"/>
      </rPr>
      <t xml:space="preserve">IRCX
</t>
    </r>
    <r>
      <rPr>
        <b/>
        <sz val="11"/>
        <color theme="1"/>
        <rFont val="Calibri"/>
        <family val="2"/>
        <charset val="204"/>
      </rPr>
      <t>SW_S301, SW_MES3508:</t>
    </r>
    <r>
      <rPr>
        <sz val="11"/>
        <color theme="1"/>
        <rFont val="Calibri"/>
        <family val="2"/>
        <charset val="204"/>
      </rPr>
      <t xml:space="preserve"> Подключение к порту 5
</t>
    </r>
    <r>
      <rPr>
        <b/>
        <sz val="11"/>
        <color theme="1"/>
        <rFont val="Calibri"/>
        <family val="2"/>
        <charset val="204"/>
      </rPr>
      <t xml:space="preserve">SW_MAYAK: </t>
    </r>
    <r>
      <rPr>
        <sz val="11"/>
        <color theme="1"/>
        <rFont val="Calibri"/>
        <family val="2"/>
        <charset val="204"/>
      </rPr>
      <t>Подключение к порту 9,10 (через "\")</t>
    </r>
    <r>
      <rPr>
        <b/>
        <sz val="11"/>
        <color theme="1"/>
        <rFont val="Calibri"/>
        <family val="2"/>
        <charset val="204"/>
      </rPr>
      <t xml:space="preserve">
</t>
    </r>
  </si>
  <si>
    <r>
      <t>FB_IMstp_S, FB_IMsp_S, FB_IMs_S, FB_IMp_S, FB_IMv_S, FB_IMst_MON_S, FB_IMsp_MON_S, FB_IMt_MON_S, FB_IMs_MON_S, FB_IMp_MON_S, FB_IMv_MON_S, FB_REG_S, FB_QSA_S, FB_IM_ADES_S, FB_OZK_KD_S :</t>
    </r>
    <r>
      <rPr>
        <sz val="11"/>
        <color theme="1"/>
        <rFont val="Calibri"/>
        <family val="2"/>
        <charset val="204"/>
      </rPr>
      <t xml:space="preserve"> IFXX
</t>
    </r>
    <r>
      <rPr>
        <b/>
        <sz val="11"/>
        <color theme="1"/>
        <rFont val="Calibri"/>
        <family val="2"/>
        <charset val="204"/>
      </rPr>
      <t>FB_BTF_S:</t>
    </r>
    <r>
      <rPr>
        <sz val="11"/>
        <color theme="1"/>
        <rFont val="Calibri"/>
        <family val="2"/>
        <charset val="204"/>
      </rPr>
      <t xml:space="preserve"> IFEX
</t>
    </r>
    <r>
      <rPr>
        <b/>
        <sz val="11"/>
        <color theme="1"/>
        <rFont val="Calibri"/>
        <family val="2"/>
        <charset val="204"/>
      </rPr>
      <t>SW_S301, SW_MES3508:</t>
    </r>
    <r>
      <rPr>
        <sz val="11"/>
        <color theme="1"/>
        <rFont val="Calibri"/>
        <family val="2"/>
        <charset val="204"/>
      </rPr>
      <t xml:space="preserve"> Подключение к порту 6
</t>
    </r>
    <r>
      <rPr>
        <b/>
        <sz val="11"/>
        <color theme="1"/>
        <rFont val="Calibri"/>
        <family val="2"/>
        <charset val="204"/>
      </rPr>
      <t>SW_MAYAK:</t>
    </r>
    <r>
      <rPr>
        <sz val="11"/>
        <color theme="1"/>
        <rFont val="Calibri"/>
        <family val="2"/>
        <charset val="204"/>
      </rPr>
      <t xml:space="preserve"> Подключение к порту 11,12 (через "\")</t>
    </r>
  </si>
  <si>
    <r>
      <t>FB_IMp_S, FB_IMv_S, FB_IMp_MON_S, FB_IMv_MON_S, FB_REG_S :</t>
    </r>
    <r>
      <rPr>
        <sz val="11"/>
        <color theme="1"/>
        <rFont val="Calibri"/>
        <family val="2"/>
        <charset val="204"/>
      </rPr>
      <t xml:space="preserve"> IFXX
</t>
    </r>
    <r>
      <rPr>
        <b/>
        <sz val="11"/>
        <color theme="1"/>
        <rFont val="Calibri"/>
        <family val="2"/>
        <charset val="204"/>
      </rPr>
      <t>SW_S301, SW_MES3508:</t>
    </r>
    <r>
      <rPr>
        <sz val="11"/>
        <color theme="1"/>
        <rFont val="Calibri"/>
        <family val="2"/>
        <charset val="204"/>
      </rPr>
      <t xml:space="preserve"> Подключение к порту 6
</t>
    </r>
    <r>
      <rPr>
        <b/>
        <sz val="11"/>
        <color theme="1"/>
        <rFont val="Calibri"/>
        <family val="2"/>
        <charset val="204"/>
      </rPr>
      <t>SW_MAYAK:</t>
    </r>
    <r>
      <rPr>
        <sz val="11"/>
        <color theme="1"/>
        <rFont val="Calibri"/>
        <family val="2"/>
        <charset val="204"/>
      </rPr>
      <t xml:space="preserve"> Подключение к порту 11,12 (через "\")</t>
    </r>
  </si>
  <si>
    <r>
      <t>FB_IMstp_S, FB_IMsp_S, FB_IMs_S, FB_IMst_MON_S, FB_IMsp_MON_S, FB_IMt_MON_S, FB_IMs_MON_S, FB_IM_ADES_S :</t>
    </r>
    <r>
      <rPr>
        <sz val="11"/>
        <color theme="1"/>
        <rFont val="Calibri"/>
        <family val="2"/>
        <charset val="204"/>
      </rPr>
      <t xml:space="preserve"> IFXX
</t>
    </r>
    <r>
      <rPr>
        <b/>
        <sz val="11"/>
        <color theme="1"/>
        <rFont val="Calibri"/>
        <family val="2"/>
        <charset val="204"/>
      </rPr>
      <t>SW_S301, SW_MES3508:</t>
    </r>
    <r>
      <rPr>
        <sz val="11"/>
        <color theme="1"/>
        <rFont val="Calibri"/>
        <family val="2"/>
        <charset val="204"/>
      </rPr>
      <t xml:space="preserve"> Подключение к порту 6
</t>
    </r>
    <r>
      <rPr>
        <b/>
        <sz val="11"/>
        <color theme="1"/>
        <rFont val="Calibri"/>
        <family val="2"/>
        <charset val="204"/>
      </rPr>
      <t>SW_MAYAK:</t>
    </r>
    <r>
      <rPr>
        <sz val="11"/>
        <color theme="1"/>
        <rFont val="Calibri"/>
        <family val="2"/>
        <charset val="204"/>
      </rPr>
      <t xml:space="preserve"> Подключение к порту 11,12 (через "\")</t>
    </r>
  </si>
  <si>
    <r>
      <t>FB_QSA_S, FB_OZK_KD_S :</t>
    </r>
    <r>
      <rPr>
        <sz val="11"/>
        <color theme="1"/>
        <rFont val="Calibri"/>
        <family val="2"/>
        <charset val="204"/>
      </rPr>
      <t xml:space="preserve"> IFXX
</t>
    </r>
    <r>
      <rPr>
        <b/>
        <sz val="11"/>
        <color theme="1"/>
        <rFont val="Calibri"/>
        <family val="2"/>
        <charset val="204"/>
      </rPr>
      <t>FB_BTF_S:</t>
    </r>
    <r>
      <rPr>
        <sz val="11"/>
        <color theme="1"/>
        <rFont val="Calibri"/>
        <family val="2"/>
        <charset val="204"/>
      </rPr>
      <t xml:space="preserve"> IFEX
</t>
    </r>
    <r>
      <rPr>
        <b/>
        <sz val="11"/>
        <color theme="1"/>
        <rFont val="Calibri"/>
        <family val="2"/>
        <charset val="204"/>
      </rPr>
      <t>SW_S301, SW_MES3508:</t>
    </r>
    <r>
      <rPr>
        <sz val="11"/>
        <color theme="1"/>
        <rFont val="Calibri"/>
        <family val="2"/>
        <charset val="204"/>
      </rPr>
      <t xml:space="preserve"> Подключение к порту 6
</t>
    </r>
    <r>
      <rPr>
        <b/>
        <sz val="11"/>
        <color theme="1"/>
        <rFont val="Calibri"/>
        <family val="2"/>
        <charset val="204"/>
      </rPr>
      <t>SW_MAYAK:</t>
    </r>
    <r>
      <rPr>
        <sz val="11"/>
        <color theme="1"/>
        <rFont val="Calibri"/>
        <family val="2"/>
        <charset val="204"/>
      </rPr>
      <t xml:space="preserve"> Подключение к порту 11,12 (через "\")</t>
    </r>
  </si>
  <si>
    <r>
      <t>FB_IMstp_S, FB_IMsp_S, FB_IMs_S, FB_IMp_S, FB_IMv_S, FB_IMst_MON_S, FB_IMsp_MON_S, FB_IMt_MON_S, FB_IMs_MON_S, FB_IMp_MON_S, FB_IMv_MON_S, FB_REG_S, FB_IM_ADES_S :</t>
    </r>
    <r>
      <rPr>
        <sz val="11"/>
        <color theme="1"/>
        <rFont val="Calibri"/>
        <family val="2"/>
        <charset val="204"/>
      </rPr>
      <t xml:space="preserve"> IFXX
</t>
    </r>
    <r>
      <rPr>
        <b/>
        <sz val="11"/>
        <color theme="1"/>
        <rFont val="Calibri"/>
        <family val="2"/>
        <charset val="204"/>
      </rPr>
      <t>SW_S301, SW_MES3508:</t>
    </r>
    <r>
      <rPr>
        <sz val="11"/>
        <color theme="1"/>
        <rFont val="Calibri"/>
        <family val="2"/>
        <charset val="204"/>
      </rPr>
      <t xml:space="preserve"> Подключение к порту 6
</t>
    </r>
    <r>
      <rPr>
        <b/>
        <sz val="11"/>
        <color theme="1"/>
        <rFont val="Calibri"/>
        <family val="2"/>
        <charset val="204"/>
      </rPr>
      <t>SW_MAYAK:</t>
    </r>
    <r>
      <rPr>
        <sz val="11"/>
        <color theme="1"/>
        <rFont val="Calibri"/>
        <family val="2"/>
        <charset val="204"/>
      </rPr>
      <t xml:space="preserve"> Подключение к порту 11,12 (через "\")</t>
    </r>
  </si>
  <si>
    <r>
      <t>FB_IMstp_S, FB_IMsp_S, FB_IMs_S, FB_IMst_MON_S, FB_IMsp_MON_S, FB_IMt_MON_S, FB_IMs_MON_S, FB_REG_S, FB_QSA_S, FB_IM_ADES_S, FB_OZK_KD_S :</t>
    </r>
    <r>
      <rPr>
        <sz val="11"/>
        <color theme="1"/>
        <rFont val="Calibri"/>
        <family val="2"/>
        <charset val="204"/>
      </rPr>
      <t xml:space="preserve"> IFXX
</t>
    </r>
    <r>
      <rPr>
        <b/>
        <sz val="11"/>
        <color theme="1"/>
        <rFont val="Calibri"/>
        <family val="2"/>
        <charset val="204"/>
      </rPr>
      <t>FB_BTF_S</t>
    </r>
    <r>
      <rPr>
        <sz val="11"/>
        <color theme="1"/>
        <rFont val="Calibri"/>
        <family val="2"/>
        <charset val="204"/>
      </rPr>
      <t xml:space="preserve">: IFEX
</t>
    </r>
    <r>
      <rPr>
        <b/>
        <sz val="11"/>
        <color theme="1"/>
        <rFont val="Calibri"/>
        <family val="2"/>
        <charset val="204"/>
      </rPr>
      <t>SW_S301, SW_MES3508:</t>
    </r>
    <r>
      <rPr>
        <sz val="11"/>
        <color theme="1"/>
        <rFont val="Calibri"/>
        <family val="2"/>
        <charset val="204"/>
      </rPr>
      <t xml:space="preserve"> Подключение к порту 6
</t>
    </r>
    <r>
      <rPr>
        <b/>
        <sz val="11"/>
        <color theme="1"/>
        <rFont val="Calibri"/>
        <family val="2"/>
        <charset val="204"/>
      </rPr>
      <t>SW_MAYAK:</t>
    </r>
    <r>
      <rPr>
        <sz val="11"/>
        <color theme="1"/>
        <rFont val="Calibri"/>
        <family val="2"/>
        <charset val="204"/>
      </rPr>
      <t xml:space="preserve"> Подключение к порту 11,12 (через "\")</t>
    </r>
  </si>
  <si>
    <r>
      <t xml:space="preserve">FB_IMp_S, FB_IMv_S, FB_IMp_MON_S, FB_IMv_MON_S, FB_REG_S, FB_QSA_S, FB_OZK_KD_S </t>
    </r>
    <r>
      <rPr>
        <sz val="11"/>
        <color theme="1"/>
        <rFont val="Calibri"/>
        <family val="2"/>
        <charset val="204"/>
      </rPr>
      <t>: IFXX</t>
    </r>
    <r>
      <rPr>
        <b/>
        <sz val="11"/>
        <color theme="1"/>
        <rFont val="Calibri"/>
        <family val="2"/>
        <charset val="204"/>
      </rPr>
      <t xml:space="preserve">
FB_BTF_S</t>
    </r>
    <r>
      <rPr>
        <sz val="11"/>
        <color theme="1"/>
        <rFont val="Calibri"/>
        <family val="2"/>
        <charset val="204"/>
      </rPr>
      <t xml:space="preserve">: IFEX
</t>
    </r>
    <r>
      <rPr>
        <b/>
        <sz val="11"/>
        <color theme="1"/>
        <rFont val="Calibri"/>
        <family val="2"/>
        <charset val="204"/>
      </rPr>
      <t>SW_S301, SW_MES3508:</t>
    </r>
    <r>
      <rPr>
        <sz val="11"/>
        <color theme="1"/>
        <rFont val="Calibri"/>
        <family val="2"/>
        <charset val="204"/>
      </rPr>
      <t xml:space="preserve"> Подключение к порту 6
</t>
    </r>
    <r>
      <rPr>
        <b/>
        <sz val="11"/>
        <color theme="1"/>
        <rFont val="Calibri"/>
        <family val="2"/>
        <charset val="204"/>
      </rPr>
      <t>SW_MAYAK:</t>
    </r>
    <r>
      <rPr>
        <sz val="11"/>
        <color theme="1"/>
        <rFont val="Calibri"/>
        <family val="2"/>
        <charset val="204"/>
      </rPr>
      <t xml:space="preserve"> Подключение к порту 11,12 (через "\")</t>
    </r>
  </si>
  <si>
    <r>
      <t>SW_S301, SW_MES3508:</t>
    </r>
    <r>
      <rPr>
        <sz val="11"/>
        <color theme="1"/>
        <rFont val="Calibri"/>
        <family val="2"/>
        <charset val="204"/>
      </rPr>
      <t xml:space="preserve"> Подключение к порту 6
</t>
    </r>
    <r>
      <rPr>
        <b/>
        <sz val="11"/>
        <color theme="1"/>
        <rFont val="Calibri"/>
        <family val="2"/>
        <charset val="204"/>
      </rPr>
      <t>SW_MAYAK:</t>
    </r>
    <r>
      <rPr>
        <sz val="11"/>
        <color theme="1"/>
        <rFont val="Calibri"/>
        <family val="2"/>
        <charset val="204"/>
      </rPr>
      <t xml:space="preserve"> Подключение к порту 11,12 (через "\")</t>
    </r>
  </si>
  <si>
    <r>
      <t xml:space="preserve">FB_IMstp_S, FB_IMsp_S, FB_IMs_S, FB_IMp_S, FB_IMv_S, FB_KL_UPT_S, FB_IM_ADES_S, FB_OZK_KD_S, FB_DO_S, FB_DO_STB_S:  </t>
    </r>
    <r>
      <rPr>
        <sz val="11"/>
        <color theme="1"/>
        <rFont val="Calibri"/>
        <family val="2"/>
        <charset val="204"/>
      </rPr>
      <t>OXON</t>
    </r>
    <r>
      <rPr>
        <b/>
        <sz val="11"/>
        <color theme="1"/>
        <rFont val="Calibri"/>
        <family val="2"/>
        <charset val="204"/>
      </rPr>
      <t xml:space="preserve">
FB_REG_S:</t>
    </r>
    <r>
      <rPr>
        <sz val="11"/>
        <color theme="1"/>
        <rFont val="Calibri"/>
        <family val="2"/>
        <charset val="204"/>
      </rPr>
      <t xml:space="preserve"> OCAX</t>
    </r>
    <r>
      <rPr>
        <b/>
        <sz val="11"/>
        <color theme="1"/>
        <rFont val="Calibri"/>
        <family val="2"/>
        <charset val="204"/>
      </rPr>
      <t xml:space="preserve">
SW_S301, SW_MES3508: </t>
    </r>
    <r>
      <rPr>
        <sz val="11"/>
        <color theme="1"/>
        <rFont val="Calibri"/>
        <family val="2"/>
        <charset val="204"/>
      </rPr>
      <t xml:space="preserve">Подключение к порту 7
</t>
    </r>
    <r>
      <rPr>
        <b/>
        <sz val="11"/>
        <color theme="1"/>
        <rFont val="Calibri"/>
        <family val="2"/>
        <charset val="204"/>
      </rPr>
      <t>SW_MAYAK:</t>
    </r>
    <r>
      <rPr>
        <sz val="11"/>
        <color theme="1"/>
        <rFont val="Calibri"/>
        <family val="2"/>
        <charset val="204"/>
      </rPr>
      <t xml:space="preserve"> Подключение к порту 13,14 (через "\")</t>
    </r>
  </si>
  <si>
    <r>
      <t xml:space="preserve">FB_IMp_S, FB_IMv_S, FB_DO_S:  </t>
    </r>
    <r>
      <rPr>
        <sz val="11"/>
        <color theme="1"/>
        <rFont val="Calibri"/>
        <family val="2"/>
        <charset val="204"/>
      </rPr>
      <t>OXON</t>
    </r>
    <r>
      <rPr>
        <b/>
        <sz val="11"/>
        <color theme="1"/>
        <rFont val="Calibri"/>
        <family val="2"/>
        <charset val="204"/>
      </rPr>
      <t xml:space="preserve">
FB_REG_S:</t>
    </r>
    <r>
      <rPr>
        <sz val="11"/>
        <color theme="1"/>
        <rFont val="Calibri"/>
        <family val="2"/>
        <charset val="204"/>
      </rPr>
      <t xml:space="preserve"> OCAX</t>
    </r>
    <r>
      <rPr>
        <b/>
        <sz val="11"/>
        <color theme="1"/>
        <rFont val="Calibri"/>
        <family val="2"/>
        <charset val="204"/>
      </rPr>
      <t xml:space="preserve">
SW_S301, SW_MES3508: </t>
    </r>
    <r>
      <rPr>
        <sz val="11"/>
        <color theme="1"/>
        <rFont val="Calibri"/>
        <family val="2"/>
        <charset val="204"/>
      </rPr>
      <t xml:space="preserve">Подключение к порту 7
</t>
    </r>
    <r>
      <rPr>
        <b/>
        <sz val="11"/>
        <color theme="1"/>
        <rFont val="Calibri"/>
        <family val="2"/>
        <charset val="204"/>
      </rPr>
      <t>SW_MAYAK:</t>
    </r>
    <r>
      <rPr>
        <sz val="11"/>
        <color theme="1"/>
        <rFont val="Calibri"/>
        <family val="2"/>
        <charset val="204"/>
      </rPr>
      <t xml:space="preserve"> Подключение к порту 13,14 (через "\")</t>
    </r>
  </si>
  <si>
    <r>
      <t xml:space="preserve">FB_IMstp_S, FB_IMsp_S, FB_IMs_S, FB_IM_ADES_S, FB_DO_S:  </t>
    </r>
    <r>
      <rPr>
        <sz val="11"/>
        <color theme="1"/>
        <rFont val="Calibri"/>
        <family val="2"/>
        <charset val="204"/>
      </rPr>
      <t>OXON</t>
    </r>
    <r>
      <rPr>
        <b/>
        <sz val="11"/>
        <color theme="1"/>
        <rFont val="Calibri"/>
        <family val="2"/>
        <charset val="204"/>
      </rPr>
      <t xml:space="preserve">
SW_S301, SW_MES3508: </t>
    </r>
    <r>
      <rPr>
        <sz val="11"/>
        <color theme="1"/>
        <rFont val="Calibri"/>
        <family val="2"/>
        <charset val="204"/>
      </rPr>
      <t xml:space="preserve">Подключение к порту 7
</t>
    </r>
    <r>
      <rPr>
        <b/>
        <sz val="11"/>
        <color theme="1"/>
        <rFont val="Calibri"/>
        <family val="2"/>
        <charset val="204"/>
      </rPr>
      <t>SW_MAYAK:</t>
    </r>
    <r>
      <rPr>
        <sz val="11"/>
        <color theme="1"/>
        <rFont val="Calibri"/>
        <family val="2"/>
        <charset val="204"/>
      </rPr>
      <t xml:space="preserve"> Подключение к порту 13,14 (через "\")</t>
    </r>
  </si>
  <si>
    <r>
      <t xml:space="preserve">FB_OZK_KD_S, FB_DO_S, FB_DO_STB_S:  </t>
    </r>
    <r>
      <rPr>
        <sz val="11"/>
        <color theme="1"/>
        <rFont val="Calibri"/>
        <family val="2"/>
        <charset val="204"/>
      </rPr>
      <t>OXON</t>
    </r>
    <r>
      <rPr>
        <b/>
        <sz val="11"/>
        <color theme="1"/>
        <rFont val="Calibri"/>
        <family val="2"/>
        <charset val="204"/>
      </rPr>
      <t xml:space="preserve">
SW_S301, SW_MES3508: </t>
    </r>
    <r>
      <rPr>
        <sz val="11"/>
        <color theme="1"/>
        <rFont val="Calibri"/>
        <family val="2"/>
        <charset val="204"/>
      </rPr>
      <t xml:space="preserve">Подключение к порту 7
</t>
    </r>
    <r>
      <rPr>
        <b/>
        <sz val="11"/>
        <color theme="1"/>
        <rFont val="Calibri"/>
        <family val="2"/>
        <charset val="204"/>
      </rPr>
      <t>SW_MAYAK:</t>
    </r>
    <r>
      <rPr>
        <sz val="11"/>
        <color theme="1"/>
        <rFont val="Calibri"/>
        <family val="2"/>
        <charset val="204"/>
      </rPr>
      <t xml:space="preserve"> Подключение к порту 13,14 (через "\")</t>
    </r>
  </si>
  <si>
    <r>
      <t xml:space="preserve">FB_IMstp_S, FB_IMsp_S, FB_IMs_S, FB_IMp_S, FB_IMv_S, FB_IM_ADES_S, FB_DO_S:  </t>
    </r>
    <r>
      <rPr>
        <sz val="11"/>
        <color theme="1"/>
        <rFont val="Calibri"/>
        <family val="2"/>
        <charset val="204"/>
      </rPr>
      <t>OXON</t>
    </r>
    <r>
      <rPr>
        <b/>
        <sz val="11"/>
        <color theme="1"/>
        <rFont val="Calibri"/>
        <family val="2"/>
        <charset val="204"/>
      </rPr>
      <t xml:space="preserve">
FB_REG_S: </t>
    </r>
    <r>
      <rPr>
        <sz val="11"/>
        <color theme="1"/>
        <rFont val="Calibri"/>
        <family val="2"/>
        <charset val="204"/>
      </rPr>
      <t>OCAX</t>
    </r>
    <r>
      <rPr>
        <b/>
        <sz val="11"/>
        <color theme="1"/>
        <rFont val="Calibri"/>
        <family val="2"/>
        <charset val="204"/>
      </rPr>
      <t xml:space="preserve">
SW_S301, SW_MES3508: </t>
    </r>
    <r>
      <rPr>
        <sz val="11"/>
        <color theme="1"/>
        <rFont val="Calibri"/>
        <family val="2"/>
        <charset val="204"/>
      </rPr>
      <t xml:space="preserve">Подключение к порту 7
</t>
    </r>
    <r>
      <rPr>
        <b/>
        <sz val="11"/>
        <color theme="1"/>
        <rFont val="Calibri"/>
        <family val="2"/>
        <charset val="204"/>
      </rPr>
      <t>SW_MAYAK:</t>
    </r>
    <r>
      <rPr>
        <sz val="11"/>
        <color theme="1"/>
        <rFont val="Calibri"/>
        <family val="2"/>
        <charset val="204"/>
      </rPr>
      <t xml:space="preserve"> Подключение к порту 13,14 (через "\")</t>
    </r>
  </si>
  <si>
    <r>
      <t xml:space="preserve">FB_IMstp_S, FB_IMsp_S, FB_IMs_S, FB_KL_UPT_S, FB_IM_ADES_S, FB_OZK_KD_S, FB_DO_S, FB_DO_STB_S:  </t>
    </r>
    <r>
      <rPr>
        <sz val="11"/>
        <color theme="1"/>
        <rFont val="Calibri"/>
        <family val="2"/>
        <charset val="204"/>
      </rPr>
      <t>OXON</t>
    </r>
    <r>
      <rPr>
        <b/>
        <sz val="11"/>
        <color theme="1"/>
        <rFont val="Calibri"/>
        <family val="2"/>
        <charset val="204"/>
      </rPr>
      <t xml:space="preserve">
SW_S301, SW_MES3508: </t>
    </r>
    <r>
      <rPr>
        <sz val="11"/>
        <color theme="1"/>
        <rFont val="Calibri"/>
        <family val="2"/>
        <charset val="204"/>
      </rPr>
      <t xml:space="preserve">Подключение к порту 7
</t>
    </r>
    <r>
      <rPr>
        <b/>
        <sz val="11"/>
        <color theme="1"/>
        <rFont val="Calibri"/>
        <family val="2"/>
        <charset val="204"/>
      </rPr>
      <t>SW_MAYAK:</t>
    </r>
    <r>
      <rPr>
        <sz val="11"/>
        <color theme="1"/>
        <rFont val="Calibri"/>
        <family val="2"/>
        <charset val="204"/>
      </rPr>
      <t xml:space="preserve"> Подключение к порту 13,14 (через "\")</t>
    </r>
  </si>
  <si>
    <r>
      <t xml:space="preserve">FB_IMp_S, FB_IMv_S, FB_KL_UPT_S, FB_OZK_KD_S, FB_DO_S, FB_DO_STB_S:  </t>
    </r>
    <r>
      <rPr>
        <sz val="11"/>
        <color theme="1"/>
        <rFont val="Calibri"/>
        <family val="2"/>
        <charset val="204"/>
      </rPr>
      <t xml:space="preserve">OXON
</t>
    </r>
    <r>
      <rPr>
        <b/>
        <sz val="11"/>
        <color theme="1"/>
        <rFont val="Calibri"/>
        <family val="2"/>
        <charset val="204"/>
      </rPr>
      <t>FB_REG_S:</t>
    </r>
    <r>
      <rPr>
        <sz val="11"/>
        <color theme="1"/>
        <rFont val="Calibri"/>
        <family val="2"/>
        <charset val="204"/>
      </rPr>
      <t xml:space="preserve"> OCAX</t>
    </r>
    <r>
      <rPr>
        <b/>
        <sz val="11"/>
        <color theme="1"/>
        <rFont val="Calibri"/>
        <family val="2"/>
        <charset val="204"/>
      </rPr>
      <t xml:space="preserve">
SW_S301, SW_MES3508: </t>
    </r>
    <r>
      <rPr>
        <sz val="11"/>
        <color theme="1"/>
        <rFont val="Calibri"/>
        <family val="2"/>
        <charset val="204"/>
      </rPr>
      <t xml:space="preserve">Подключение к порту 7
</t>
    </r>
    <r>
      <rPr>
        <b/>
        <sz val="11"/>
        <color theme="1"/>
        <rFont val="Calibri"/>
        <family val="2"/>
        <charset val="204"/>
      </rPr>
      <t>SW_MAYAK:</t>
    </r>
    <r>
      <rPr>
        <sz val="11"/>
        <color theme="1"/>
        <rFont val="Calibri"/>
        <family val="2"/>
        <charset val="204"/>
      </rPr>
      <t xml:space="preserve"> Подключение к порту 13,14 (через "\")</t>
    </r>
  </si>
  <si>
    <r>
      <t xml:space="preserve">FB_DO_S:  </t>
    </r>
    <r>
      <rPr>
        <sz val="11"/>
        <color theme="1"/>
        <rFont val="Calibri"/>
        <family val="2"/>
        <charset val="204"/>
      </rPr>
      <t>OXON</t>
    </r>
    <r>
      <rPr>
        <b/>
        <sz val="11"/>
        <color theme="1"/>
        <rFont val="Calibri"/>
        <family val="2"/>
        <charset val="204"/>
      </rPr>
      <t xml:space="preserve">
SW_S301, SW_MES3508: </t>
    </r>
    <r>
      <rPr>
        <sz val="11"/>
        <color theme="1"/>
        <rFont val="Calibri"/>
        <family val="2"/>
        <charset val="204"/>
      </rPr>
      <t xml:space="preserve">Подключение к порту 7
</t>
    </r>
    <r>
      <rPr>
        <b/>
        <sz val="11"/>
        <color theme="1"/>
        <rFont val="Calibri"/>
        <family val="2"/>
        <charset val="204"/>
      </rPr>
      <t>SW_MAYAK:</t>
    </r>
    <r>
      <rPr>
        <sz val="11"/>
        <color theme="1"/>
        <rFont val="Calibri"/>
        <family val="2"/>
        <charset val="204"/>
      </rPr>
      <t xml:space="preserve"> Подключение к порту 13,14 (через "\")</t>
    </r>
  </si>
  <si>
    <r>
      <t xml:space="preserve">FB_IMstp_S, FB_IMsp_S, FB_IMs_S, FB_IMp_S, FB_IMv_S, FB_IM_ADES_S, FB_OZK_KD_S, FB_DO_S: </t>
    </r>
    <r>
      <rPr>
        <sz val="11"/>
        <color theme="1"/>
        <rFont val="Calibri"/>
        <family val="2"/>
        <charset val="204"/>
      </rPr>
      <t xml:space="preserve">OXOF
</t>
    </r>
    <r>
      <rPr>
        <b/>
        <sz val="11"/>
        <color theme="1"/>
        <rFont val="Calibri"/>
        <family val="2"/>
        <charset val="204"/>
      </rPr>
      <t>SW_S301, SW_MES3508:</t>
    </r>
    <r>
      <rPr>
        <sz val="11"/>
        <color theme="1"/>
        <rFont val="Calibri"/>
        <family val="2"/>
        <charset val="204"/>
      </rPr>
      <t xml:space="preserve"> Подключение к порту 8
</t>
    </r>
    <r>
      <rPr>
        <b/>
        <sz val="11"/>
        <color theme="1"/>
        <rFont val="Calibri"/>
        <family val="2"/>
        <charset val="204"/>
      </rPr>
      <t xml:space="preserve">SW_MAYAK: </t>
    </r>
    <r>
      <rPr>
        <sz val="11"/>
        <color theme="1"/>
        <rFont val="Calibri"/>
        <family val="2"/>
        <charset val="204"/>
      </rPr>
      <t>Подключение к порту 15,16 (через "\")</t>
    </r>
    <r>
      <rPr>
        <b/>
        <sz val="11"/>
        <color theme="1"/>
        <rFont val="Calibri"/>
        <family val="2"/>
        <charset val="204"/>
      </rPr>
      <t xml:space="preserve">
</t>
    </r>
  </si>
  <si>
    <r>
      <t xml:space="preserve">FB_IMp_S, FB_IMv_S, FB_DO_S: </t>
    </r>
    <r>
      <rPr>
        <sz val="11"/>
        <color theme="1"/>
        <rFont val="Calibri"/>
        <family val="2"/>
        <charset val="204"/>
      </rPr>
      <t xml:space="preserve">OXOF
</t>
    </r>
    <r>
      <rPr>
        <b/>
        <sz val="11"/>
        <color theme="1"/>
        <rFont val="Calibri"/>
        <family val="2"/>
        <charset val="204"/>
      </rPr>
      <t>SW_S301, SW_MES3508:</t>
    </r>
    <r>
      <rPr>
        <sz val="11"/>
        <color theme="1"/>
        <rFont val="Calibri"/>
        <family val="2"/>
        <charset val="204"/>
      </rPr>
      <t xml:space="preserve"> Подключение к порту 8
</t>
    </r>
    <r>
      <rPr>
        <b/>
        <sz val="11"/>
        <color theme="1"/>
        <rFont val="Calibri"/>
        <family val="2"/>
        <charset val="204"/>
      </rPr>
      <t xml:space="preserve">SW_MAYAK: </t>
    </r>
    <r>
      <rPr>
        <sz val="11"/>
        <color theme="1"/>
        <rFont val="Calibri"/>
        <family val="2"/>
        <charset val="204"/>
      </rPr>
      <t>Подключение к порту 15,16 (через "\")</t>
    </r>
    <r>
      <rPr>
        <b/>
        <sz val="11"/>
        <color theme="1"/>
        <rFont val="Calibri"/>
        <family val="2"/>
        <charset val="204"/>
      </rPr>
      <t xml:space="preserve">
</t>
    </r>
  </si>
  <si>
    <r>
      <t xml:space="preserve">FB_IMstp_S, FB_IMsp_S, FB_IMs_S, FB_IM_ADES_S, FB_DO_S: </t>
    </r>
    <r>
      <rPr>
        <sz val="11"/>
        <color theme="1"/>
        <rFont val="Calibri"/>
        <family val="2"/>
        <charset val="204"/>
      </rPr>
      <t xml:space="preserve">OXOF
</t>
    </r>
    <r>
      <rPr>
        <b/>
        <sz val="11"/>
        <color theme="1"/>
        <rFont val="Calibri"/>
        <family val="2"/>
        <charset val="204"/>
      </rPr>
      <t>SW_S301, SW_MES3508:</t>
    </r>
    <r>
      <rPr>
        <sz val="11"/>
        <color theme="1"/>
        <rFont val="Calibri"/>
        <family val="2"/>
        <charset val="204"/>
      </rPr>
      <t xml:space="preserve"> Подключение к порту 8
</t>
    </r>
    <r>
      <rPr>
        <b/>
        <sz val="11"/>
        <color theme="1"/>
        <rFont val="Calibri"/>
        <family val="2"/>
        <charset val="204"/>
      </rPr>
      <t xml:space="preserve">SW_MAYAK: </t>
    </r>
    <r>
      <rPr>
        <sz val="11"/>
        <color theme="1"/>
        <rFont val="Calibri"/>
        <family val="2"/>
        <charset val="204"/>
      </rPr>
      <t>Подключение к порту 15,16 (через "\")</t>
    </r>
    <r>
      <rPr>
        <b/>
        <sz val="11"/>
        <color theme="1"/>
        <rFont val="Calibri"/>
        <family val="2"/>
        <charset val="204"/>
      </rPr>
      <t xml:space="preserve">
</t>
    </r>
  </si>
  <si>
    <r>
      <t xml:space="preserve">FB_OZK_KD_S, FB_DO_S: </t>
    </r>
    <r>
      <rPr>
        <sz val="11"/>
        <color theme="1"/>
        <rFont val="Calibri"/>
        <family val="2"/>
        <charset val="204"/>
      </rPr>
      <t xml:space="preserve">OXOF
</t>
    </r>
    <r>
      <rPr>
        <b/>
        <sz val="11"/>
        <color theme="1"/>
        <rFont val="Calibri"/>
        <family val="2"/>
        <charset val="204"/>
      </rPr>
      <t>SW_S301, SW_MES3508:</t>
    </r>
    <r>
      <rPr>
        <sz val="11"/>
        <color theme="1"/>
        <rFont val="Calibri"/>
        <family val="2"/>
        <charset val="204"/>
      </rPr>
      <t xml:space="preserve"> Подключение к порту 8
</t>
    </r>
    <r>
      <rPr>
        <b/>
        <sz val="11"/>
        <color theme="1"/>
        <rFont val="Calibri"/>
        <family val="2"/>
        <charset val="204"/>
      </rPr>
      <t xml:space="preserve">SW_MAYAK: </t>
    </r>
    <r>
      <rPr>
        <sz val="11"/>
        <color theme="1"/>
        <rFont val="Calibri"/>
        <family val="2"/>
        <charset val="204"/>
      </rPr>
      <t>Подключение к порту 15,16 (через "\")</t>
    </r>
    <r>
      <rPr>
        <b/>
        <sz val="11"/>
        <color theme="1"/>
        <rFont val="Calibri"/>
        <family val="2"/>
        <charset val="204"/>
      </rPr>
      <t xml:space="preserve">
</t>
    </r>
  </si>
  <si>
    <r>
      <t xml:space="preserve">FB_IMstp_S, FB_IMsp_S, FB_IMs_S, FB_IMp_S, FB_IMv_S, FB_IM_ADES_S, FB_DO_S: </t>
    </r>
    <r>
      <rPr>
        <sz val="11"/>
        <color theme="1"/>
        <rFont val="Calibri"/>
        <family val="2"/>
        <charset val="204"/>
      </rPr>
      <t xml:space="preserve">OXOF
</t>
    </r>
    <r>
      <rPr>
        <b/>
        <sz val="11"/>
        <color theme="1"/>
        <rFont val="Calibri"/>
        <family val="2"/>
        <charset val="204"/>
      </rPr>
      <t>SW_S301, SW_MES3508:</t>
    </r>
    <r>
      <rPr>
        <sz val="11"/>
        <color theme="1"/>
        <rFont val="Calibri"/>
        <family val="2"/>
        <charset val="204"/>
      </rPr>
      <t xml:space="preserve"> Подключение к порту 8
</t>
    </r>
    <r>
      <rPr>
        <b/>
        <sz val="11"/>
        <color theme="1"/>
        <rFont val="Calibri"/>
        <family val="2"/>
        <charset val="204"/>
      </rPr>
      <t xml:space="preserve">SW_MAYAK: </t>
    </r>
    <r>
      <rPr>
        <sz val="11"/>
        <color theme="1"/>
        <rFont val="Calibri"/>
        <family val="2"/>
        <charset val="204"/>
      </rPr>
      <t>Подключение к порту 15,16 (через "\")</t>
    </r>
    <r>
      <rPr>
        <b/>
        <sz val="11"/>
        <color theme="1"/>
        <rFont val="Calibri"/>
        <family val="2"/>
        <charset val="204"/>
      </rPr>
      <t xml:space="preserve">
</t>
    </r>
  </si>
  <si>
    <r>
      <t xml:space="preserve">FB_IMstp_S, FB_IMsp_S, FB_IMs_S, FB_IM_ADES_S, FB_OZK_KD_S, FB_DO_S: </t>
    </r>
    <r>
      <rPr>
        <sz val="11"/>
        <color theme="1"/>
        <rFont val="Calibri"/>
        <family val="2"/>
        <charset val="204"/>
      </rPr>
      <t xml:space="preserve">OXOF
</t>
    </r>
    <r>
      <rPr>
        <b/>
        <sz val="11"/>
        <color theme="1"/>
        <rFont val="Calibri"/>
        <family val="2"/>
        <charset val="204"/>
      </rPr>
      <t>SW_S301, SW_MES3508:</t>
    </r>
    <r>
      <rPr>
        <sz val="11"/>
        <color theme="1"/>
        <rFont val="Calibri"/>
        <family val="2"/>
        <charset val="204"/>
      </rPr>
      <t xml:space="preserve"> Подключение к порту 8
</t>
    </r>
    <r>
      <rPr>
        <b/>
        <sz val="11"/>
        <color theme="1"/>
        <rFont val="Calibri"/>
        <family val="2"/>
        <charset val="204"/>
      </rPr>
      <t xml:space="preserve">SW_MAYAK: </t>
    </r>
    <r>
      <rPr>
        <sz val="11"/>
        <color theme="1"/>
        <rFont val="Calibri"/>
        <family val="2"/>
        <charset val="204"/>
      </rPr>
      <t>Подключение к порту 15,16 (через "\")</t>
    </r>
    <r>
      <rPr>
        <b/>
        <sz val="11"/>
        <color theme="1"/>
        <rFont val="Calibri"/>
        <family val="2"/>
        <charset val="204"/>
      </rPr>
      <t xml:space="preserve">
</t>
    </r>
  </si>
  <si>
    <r>
      <t xml:space="preserve">FB_IMp_S, FB_IMv_S, FB_OZK_KD_S, FB_DO_S: </t>
    </r>
    <r>
      <rPr>
        <sz val="11"/>
        <color theme="1"/>
        <rFont val="Calibri"/>
        <family val="2"/>
        <charset val="204"/>
      </rPr>
      <t xml:space="preserve">OXOF
</t>
    </r>
    <r>
      <rPr>
        <b/>
        <sz val="11"/>
        <color theme="1"/>
        <rFont val="Calibri"/>
        <family val="2"/>
        <charset val="204"/>
      </rPr>
      <t>SW_S301, SW_MES3508:</t>
    </r>
    <r>
      <rPr>
        <sz val="11"/>
        <color theme="1"/>
        <rFont val="Calibri"/>
        <family val="2"/>
        <charset val="204"/>
      </rPr>
      <t xml:space="preserve"> Подключение к порту 8
</t>
    </r>
    <r>
      <rPr>
        <b/>
        <sz val="11"/>
        <color theme="1"/>
        <rFont val="Calibri"/>
        <family val="2"/>
        <charset val="204"/>
      </rPr>
      <t xml:space="preserve">SW_MAYAK: </t>
    </r>
    <r>
      <rPr>
        <sz val="11"/>
        <color theme="1"/>
        <rFont val="Calibri"/>
        <family val="2"/>
        <charset val="204"/>
      </rPr>
      <t>Подключение к порту 15,16 (через "\")</t>
    </r>
    <r>
      <rPr>
        <b/>
        <sz val="11"/>
        <color theme="1"/>
        <rFont val="Calibri"/>
        <family val="2"/>
        <charset val="204"/>
      </rPr>
      <t xml:space="preserve">
</t>
    </r>
  </si>
  <si>
    <r>
      <t xml:space="preserve">FB_DO_S: </t>
    </r>
    <r>
      <rPr>
        <sz val="11"/>
        <color theme="1"/>
        <rFont val="Calibri"/>
        <family val="2"/>
        <charset val="204"/>
      </rPr>
      <t xml:space="preserve">OXOF
</t>
    </r>
    <r>
      <rPr>
        <b/>
        <sz val="11"/>
        <color theme="1"/>
        <rFont val="Calibri"/>
        <family val="2"/>
        <charset val="204"/>
      </rPr>
      <t>SW_S301, SW_MES3508:</t>
    </r>
    <r>
      <rPr>
        <sz val="11"/>
        <color theme="1"/>
        <rFont val="Calibri"/>
        <family val="2"/>
        <charset val="204"/>
      </rPr>
      <t xml:space="preserve"> Подключение к порту 8
</t>
    </r>
    <r>
      <rPr>
        <b/>
        <sz val="11"/>
        <color theme="1"/>
        <rFont val="Calibri"/>
        <family val="2"/>
        <charset val="204"/>
      </rPr>
      <t xml:space="preserve">SW_MAYAK: </t>
    </r>
    <r>
      <rPr>
        <sz val="11"/>
        <color theme="1"/>
        <rFont val="Calibri"/>
        <family val="2"/>
        <charset val="204"/>
      </rPr>
      <t>Подключение к порту 15,16 (через "\")</t>
    </r>
    <r>
      <rPr>
        <b/>
        <sz val="11"/>
        <color theme="1"/>
        <rFont val="Calibri"/>
        <family val="2"/>
        <charset val="204"/>
      </rPr>
      <t xml:space="preserve">
</t>
    </r>
  </si>
  <si>
    <r>
      <t>FB_IM_ADES_S, FB_IMp_S, FB_IMv_S:</t>
    </r>
    <r>
      <rPr>
        <sz val="11"/>
        <color theme="1"/>
        <rFont val="Calibri"/>
        <family val="2"/>
        <charset val="204"/>
      </rPr>
      <t xml:space="preserve"> OXSP</t>
    </r>
    <r>
      <rPr>
        <b/>
        <sz val="11"/>
        <color theme="1"/>
        <rFont val="Calibri"/>
        <family val="2"/>
        <charset val="204"/>
      </rPr>
      <t xml:space="preserve">
FB_IMstp_S, FB_IMsp_S, FB_IMsp_MON_S:</t>
    </r>
    <r>
      <rPr>
        <sz val="11"/>
        <color theme="1"/>
        <rFont val="Calibri"/>
        <family val="2"/>
        <charset val="204"/>
      </rPr>
      <t xml:space="preserve"> IPTC
</t>
    </r>
    <r>
      <rPr>
        <b/>
        <sz val="11"/>
        <color theme="1"/>
        <rFont val="Calibri"/>
        <family val="2"/>
        <charset val="204"/>
      </rPr>
      <t>SW_S301, SW_MES3508:</t>
    </r>
    <r>
      <rPr>
        <sz val="11"/>
        <color theme="1"/>
        <rFont val="Calibri"/>
        <family val="2"/>
        <charset val="204"/>
      </rPr>
      <t xml:space="preserve"> Подключение к порту 9
</t>
    </r>
    <r>
      <rPr>
        <b/>
        <sz val="11"/>
        <color theme="1"/>
        <rFont val="Calibri"/>
        <family val="2"/>
        <charset val="204"/>
      </rPr>
      <t>SW_MAYAK:</t>
    </r>
    <r>
      <rPr>
        <sz val="11"/>
        <color theme="1"/>
        <rFont val="Calibri"/>
        <family val="2"/>
        <charset val="204"/>
      </rPr>
      <t xml:space="preserve"> Подключение к порту 17,18 (через "\")</t>
    </r>
    <r>
      <rPr>
        <b/>
        <sz val="11"/>
        <color theme="1"/>
        <rFont val="Calibri"/>
        <family val="2"/>
        <charset val="204"/>
      </rPr>
      <t xml:space="preserve">
</t>
    </r>
  </si>
  <si>
    <r>
      <t>FB_IMp_S, FB_IMv_S:</t>
    </r>
    <r>
      <rPr>
        <sz val="11"/>
        <color theme="1"/>
        <rFont val="Calibri"/>
        <family val="2"/>
        <charset val="204"/>
      </rPr>
      <t xml:space="preserve"> OXSP
</t>
    </r>
    <r>
      <rPr>
        <b/>
        <sz val="11"/>
        <color theme="1"/>
        <rFont val="Calibri"/>
        <family val="2"/>
        <charset val="204"/>
      </rPr>
      <t>SW_S301, SW_MES3508:</t>
    </r>
    <r>
      <rPr>
        <sz val="11"/>
        <color theme="1"/>
        <rFont val="Calibri"/>
        <family val="2"/>
        <charset val="204"/>
      </rPr>
      <t xml:space="preserve"> Подключение к порту 9
</t>
    </r>
    <r>
      <rPr>
        <b/>
        <sz val="11"/>
        <color theme="1"/>
        <rFont val="Calibri"/>
        <family val="2"/>
        <charset val="204"/>
      </rPr>
      <t>SW_MAYAK:</t>
    </r>
    <r>
      <rPr>
        <sz val="11"/>
        <color theme="1"/>
        <rFont val="Calibri"/>
        <family val="2"/>
        <charset val="204"/>
      </rPr>
      <t xml:space="preserve"> Подключение к порту 17,18 (через "\")</t>
    </r>
    <r>
      <rPr>
        <b/>
        <sz val="11"/>
        <color theme="1"/>
        <rFont val="Calibri"/>
        <family val="2"/>
        <charset val="204"/>
      </rPr>
      <t xml:space="preserve">
</t>
    </r>
  </si>
  <si>
    <r>
      <t>FB_IM_ADES_S:</t>
    </r>
    <r>
      <rPr>
        <sz val="11"/>
        <color theme="1"/>
        <rFont val="Calibri"/>
        <family val="2"/>
        <charset val="204"/>
      </rPr>
      <t xml:space="preserve"> OXSP</t>
    </r>
    <r>
      <rPr>
        <b/>
        <sz val="11"/>
        <color theme="1"/>
        <rFont val="Calibri"/>
        <family val="2"/>
        <charset val="204"/>
      </rPr>
      <t xml:space="preserve">
FB_IMstp_S, FB_IMsp_S, FB_IMsp_MON_S:</t>
    </r>
    <r>
      <rPr>
        <sz val="11"/>
        <color theme="1"/>
        <rFont val="Calibri"/>
        <family val="2"/>
        <charset val="204"/>
      </rPr>
      <t xml:space="preserve"> IPTC
</t>
    </r>
    <r>
      <rPr>
        <b/>
        <sz val="11"/>
        <color theme="1"/>
        <rFont val="Calibri"/>
        <family val="2"/>
        <charset val="204"/>
      </rPr>
      <t>SW_S301, SW_MES3508:</t>
    </r>
    <r>
      <rPr>
        <sz val="11"/>
        <color theme="1"/>
        <rFont val="Calibri"/>
        <family val="2"/>
        <charset val="204"/>
      </rPr>
      <t xml:space="preserve"> Подключение к порту 9
</t>
    </r>
    <r>
      <rPr>
        <b/>
        <sz val="11"/>
        <color theme="1"/>
        <rFont val="Calibri"/>
        <family val="2"/>
        <charset val="204"/>
      </rPr>
      <t>SW_MAYAK:</t>
    </r>
    <r>
      <rPr>
        <sz val="11"/>
        <color theme="1"/>
        <rFont val="Calibri"/>
        <family val="2"/>
        <charset val="204"/>
      </rPr>
      <t xml:space="preserve"> Подключение к порту 17,18 (через "\")</t>
    </r>
    <r>
      <rPr>
        <b/>
        <sz val="11"/>
        <color theme="1"/>
        <rFont val="Calibri"/>
        <family val="2"/>
        <charset val="204"/>
      </rPr>
      <t xml:space="preserve">
</t>
    </r>
  </si>
  <si>
    <r>
      <t>SW_S301, SW_MES3508:</t>
    </r>
    <r>
      <rPr>
        <sz val="11"/>
        <color theme="1"/>
        <rFont val="Calibri"/>
        <family val="2"/>
        <charset val="204"/>
      </rPr>
      <t xml:space="preserve"> Подключение к порту 9
</t>
    </r>
    <r>
      <rPr>
        <b/>
        <sz val="11"/>
        <color theme="1"/>
        <rFont val="Calibri"/>
        <family val="2"/>
        <charset val="204"/>
      </rPr>
      <t>SW_MAYAK:</t>
    </r>
    <r>
      <rPr>
        <sz val="11"/>
        <color theme="1"/>
        <rFont val="Calibri"/>
        <family val="2"/>
        <charset val="204"/>
      </rPr>
      <t xml:space="preserve"> Подключение к порту 17,18 (через "\")</t>
    </r>
    <r>
      <rPr>
        <b/>
        <sz val="11"/>
        <color theme="1"/>
        <rFont val="Calibri"/>
        <family val="2"/>
        <charset val="204"/>
      </rPr>
      <t xml:space="preserve">
</t>
    </r>
  </si>
  <si>
    <r>
      <t xml:space="preserve">FB_IMstp_S, FB_IMst_MON_S, FB_IMt_MON_S: </t>
    </r>
    <r>
      <rPr>
        <sz val="11"/>
        <color theme="1"/>
        <rFont val="Calibri"/>
        <family val="2"/>
        <charset val="204"/>
      </rPr>
      <t>ITON</t>
    </r>
    <r>
      <rPr>
        <b/>
        <sz val="11"/>
        <color theme="1"/>
        <rFont val="Calibri"/>
        <family val="2"/>
        <charset val="204"/>
      </rPr>
      <t xml:space="preserve">
FB_IM_ADES_S: </t>
    </r>
    <r>
      <rPr>
        <sz val="11"/>
        <color theme="1"/>
        <rFont val="Calibri"/>
        <family val="2"/>
        <charset val="204"/>
      </rPr>
      <t xml:space="preserve">IOLD
</t>
    </r>
    <r>
      <rPr>
        <b/>
        <sz val="11"/>
        <color theme="1"/>
        <rFont val="Calibri"/>
        <family val="2"/>
        <charset val="204"/>
      </rPr>
      <t>SW_S301, SW_MES3508:</t>
    </r>
    <r>
      <rPr>
        <sz val="11"/>
        <color theme="1"/>
        <rFont val="Calibri"/>
        <family val="2"/>
        <charset val="204"/>
      </rPr>
      <t xml:space="preserve"> Подключение к порту 10
</t>
    </r>
    <r>
      <rPr>
        <b/>
        <sz val="11"/>
        <color theme="1"/>
        <rFont val="Calibri"/>
        <family val="2"/>
        <charset val="204"/>
      </rPr>
      <t>SW_MAYAK:</t>
    </r>
    <r>
      <rPr>
        <sz val="11"/>
        <color theme="1"/>
        <rFont val="Calibri"/>
        <family val="2"/>
        <charset val="204"/>
      </rPr>
      <t xml:space="preserve"> Подключение к порту 19,20 (через "\")</t>
    </r>
    <r>
      <rPr>
        <b/>
        <sz val="11"/>
        <color theme="1"/>
        <rFont val="Calibri"/>
        <family val="2"/>
        <charset val="204"/>
      </rPr>
      <t xml:space="preserve">
</t>
    </r>
  </si>
  <si>
    <r>
      <t>SW_S301, SW_MES3508:</t>
    </r>
    <r>
      <rPr>
        <sz val="11"/>
        <color theme="1"/>
        <rFont val="Calibri"/>
        <family val="2"/>
        <charset val="204"/>
      </rPr>
      <t xml:space="preserve"> Подключение к порту 10
</t>
    </r>
    <r>
      <rPr>
        <b/>
        <sz val="11"/>
        <color theme="1"/>
        <rFont val="Calibri"/>
        <family val="2"/>
        <charset val="204"/>
      </rPr>
      <t>SW_MAYAK:</t>
    </r>
    <r>
      <rPr>
        <sz val="11"/>
        <color theme="1"/>
        <rFont val="Calibri"/>
        <family val="2"/>
        <charset val="204"/>
      </rPr>
      <t xml:space="preserve"> Подключение к порту 19,20 (через "\")</t>
    </r>
    <r>
      <rPr>
        <b/>
        <sz val="11"/>
        <color theme="1"/>
        <rFont val="Calibri"/>
        <family val="2"/>
        <charset val="204"/>
      </rPr>
      <t xml:space="preserve">
</t>
    </r>
  </si>
  <si>
    <t xml:space="preserve">№ модуля OPC клиента(0-25)
№ канала Modbus TCP(0-20)
№ модуля IEC204, Modbus RTU, Modbus over TCP(2-26)
PING: Номер модуля ICMP
SW_S302, SW_MAYAK, SW_MES3508, SW_MES3348F, SYS_DIAG: Номер модуля SNMP </t>
  </si>
  <si>
    <r>
      <rPr>
        <b/>
        <sz val="11"/>
        <color theme="1"/>
        <rFont val="Calibri"/>
        <family val="2"/>
        <charset val="204"/>
        <scheme val="minor"/>
      </rPr>
      <t>Изменения по сравнению с версией 20.1</t>
    </r>
    <r>
      <rPr>
        <sz val="11"/>
        <color theme="1"/>
        <rFont val="Calibri"/>
        <family val="2"/>
        <scheme val="minor"/>
      </rPr>
      <t xml:space="preserve">
1. FB_REG_S, FB_dREG_BUF_S  - изменен шаблон блока в соответствии с номенклатурой 2.7.
2. Добавлен новый блок - FB_REG_BUF_S
3. Для блоков FB_AI_S, FB_REG_S, FB_dREG_S, FB_QSA_S, FB_BTF_S при генерации кода привязок ST в случае использования модулей М547А,М548А, М537V, M538V дополнительно формируется условие для сигнала недостоверности, например: CRU|ST1|T1|DVXX:=DIAG|NOT_LINK|BR10 OR (BR10.Err_Canal_01 &lt;&gt; 0);</t>
    </r>
  </si>
  <si>
    <r>
      <rPr>
        <b/>
        <sz val="11"/>
        <color theme="1"/>
        <rFont val="Calibri"/>
        <family val="2"/>
        <charset val="204"/>
        <scheme val="minor"/>
      </rPr>
      <t>Изменения по сравнению с версией 20.2</t>
    </r>
    <r>
      <rPr>
        <sz val="11"/>
        <color theme="1"/>
        <rFont val="Calibri"/>
        <family val="2"/>
        <scheme val="minor"/>
      </rPr>
      <t xml:space="preserve">
1. В блоках AI и FB_AI_S удалены свойства, отвечающие за подсветку трендов при выходе за уставки (не используется)
2. В конфигурацию TREI добавлен модуль M558DR
3. FB_REG_S - убран сигнал XPVX из конфигурации привязки входов TREI- этот параметр привязывется в FBD с блока FB_AI_S.</t>
    </r>
  </si>
  <si>
    <t>Версия 20.8</t>
  </si>
  <si>
    <t>Обрыв цепи управления</t>
  </si>
  <si>
    <t>M501E</t>
  </si>
  <si>
    <t>M501E(рез)</t>
  </si>
  <si>
    <t>Наличие ошибок шины STBUS</t>
  </si>
  <si>
    <t>(SW1) Холодный старт</t>
  </si>
  <si>
    <t>(SW2) Выкл. автозапуск приложения</t>
  </si>
  <si>
    <t>(SW3) Признак "Backup" контроллера</t>
  </si>
  <si>
    <t>(SW4) Конфигурация по умолчанию</t>
  </si>
  <si>
    <t>(SW5) Резервирование</t>
  </si>
  <si>
    <t>(SW6) Технологический режим</t>
  </si>
  <si>
    <t>Состояние дискретного выхода DO</t>
  </si>
  <si>
    <t>Состояние дискретного входа DI</t>
  </si>
  <si>
    <r>
      <rPr>
        <b/>
        <sz val="11"/>
        <color theme="1"/>
        <rFont val="Calibri"/>
        <family val="2"/>
        <charset val="204"/>
        <scheme val="minor"/>
      </rPr>
      <t xml:space="preserve">Изменения по сравнению с версией 20.7
</t>
    </r>
    <r>
      <rPr>
        <sz val="11"/>
        <color theme="1"/>
        <rFont val="Calibri"/>
        <family val="2"/>
        <charset val="204"/>
        <scheme val="minor"/>
      </rPr>
      <t xml:space="preserve">1. В блоке FB_SHPS_S в генерации "ST TREI входа" DVXX изменено на DVIX
2. В блоке FB_DO_STB_S в Infinity исправлены сообщения на FBON и OXON
3. Для резервируемых контроллеров в глобальном словаре убран тег CONTR_TAG за ненадобностью
4. В конфигурацию TREI добавлен контроллер M501E и M501E(рез)
</t>
    </r>
    <r>
      <rPr>
        <b/>
        <sz val="11"/>
        <color theme="1"/>
        <rFont val="Calibri"/>
        <family val="2"/>
        <charset val="204"/>
        <scheme val="minor"/>
      </rPr>
      <t xml:space="preserve">
Изменения по сравнению с версией 20.6
</t>
    </r>
    <r>
      <rPr>
        <sz val="11"/>
        <color theme="1"/>
        <rFont val="Calibri"/>
        <family val="2"/>
        <charset val="204"/>
        <scheme val="minor"/>
      </rPr>
      <t>1. Добавлена упаковка Modbus блоков FB_IMp_MON_S и FB_IMv_MON_S для Weintek
2. Исправлена упаковка Modbus блоков FB_IMp_S и FB_IMv_S для Weintek
3. Исправлена упаковка Modbus блоков FB_AI_S и FB_DI_S для Weintek - добавлено "NOT FXXX"
4. Тип диагностических переменных для резервируемого контроллера исправлен на Internal
5. Исправлено формирование тегов отсутствия связи для резервируемых контроллеров
6. Добавлен блок SW_MES3508 - конфигурация портов коммутатора ELTEX MES3508 в Infinity
7. Добавлен блок SW_MES3508 - конфигурация портов коммутатора ELTEX MES3348F в Infinity</t>
    </r>
    <r>
      <rPr>
        <b/>
        <sz val="11"/>
        <color theme="1"/>
        <rFont val="Calibri"/>
        <family val="2"/>
        <charset val="204"/>
        <scheme val="minor"/>
      </rPr>
      <t xml:space="preserve">
Изменения по сравнению с версией 20.5
</t>
    </r>
    <r>
      <rPr>
        <sz val="11"/>
        <color theme="1"/>
        <rFont val="Calibri"/>
        <family val="2"/>
        <charset val="204"/>
        <scheme val="minor"/>
      </rPr>
      <t xml:space="preserve">1. Для блоков FB_AI_S, FB_REG_S, FB_dREG_S, FB_QSA_S, FB_BTF_S для сигналов NOT_LINK_BR изменена формула  с " OR (BRXX.Err_Canal_XX &lt;&gt;0)" на " OR (BRXX.Err_Canal_XX =3)"
2. Для блоков FB_UPP_S и FB_UPG_S добавлен сигнал XNXX в Infinity и Trei
</t>
    </r>
    <r>
      <rPr>
        <b/>
        <sz val="11"/>
        <color theme="1"/>
        <rFont val="Calibri"/>
        <family val="2"/>
        <charset val="204"/>
        <scheme val="minor"/>
      </rPr>
      <t xml:space="preserve">
Изменения по сравнению с версией 20.4
</t>
    </r>
    <r>
      <rPr>
        <sz val="11"/>
        <color theme="1"/>
        <rFont val="Calibri"/>
        <family val="2"/>
        <charset val="204"/>
        <scheme val="minor"/>
      </rPr>
      <t>1. В блоке FB_OZK_KD_S испправлена привязка для сигнала OXOF
2. AI - исправлены некорректные формулы для формирования сработки уставок, добавленные в версии 20.3
3. FB_SHPS_S, FB_BTF_S, FB_SHOP_S, FB_DO_STB_S, FB_KL_UPT_S, FB_OZK_KD_S- внесены изменения в конфигурацию Infinity и TREI в соответствии с последней версией номенклатуры</t>
    </r>
    <r>
      <rPr>
        <b/>
        <sz val="11"/>
        <color theme="1"/>
        <rFont val="Calibri"/>
        <family val="2"/>
        <charset val="204"/>
        <scheme val="minor"/>
      </rPr>
      <t xml:space="preserve">
Изменения по сравнению с версией 20.3
</t>
    </r>
    <r>
      <rPr>
        <sz val="11"/>
        <color theme="1"/>
        <rFont val="Calibri"/>
        <family val="2"/>
        <charset val="204"/>
        <scheme val="minor"/>
      </rPr>
      <t xml:space="preserve">1. FB_BTF_S - изменен код формирования привязок ST TREI. Добавлена возможность привязки сигнала IFEX.
2. Для блоков TOR, BMRZ добавлена возможность генерации тегов истории и списка для трендов
3. Удален блок FB_QOP
4. В настройках (кнопка настройка на экране "Таблица") добавлена возможность генерации комментариев для глобального словаря TREI из комментария блока. По умолчанию снято
5. Для блоков SW_S301, SW_MAYAK, SW_AR550 добавлено сообщения о0брыва связи с оптическим портом (сообщение генерируется только если заполнено поле комментария соответствующего порта на листе "Таблица"
6. Для блока SW_MAYAK на листе "Таблица открыт столбец L - Подключение к порту G1,G2 (через "\")
7. Для блока DO убрано формирование свойства fNoLinkDevice- ранее была возможна самопроизвольная подача команды при изменении значения этого свойства. В библиотеке графических элементов кнопка будет обновлена- будет убрана сетка "нет связи"
</t>
    </r>
    <r>
      <rPr>
        <b/>
        <sz val="11"/>
        <color theme="1"/>
        <rFont val="Calibri"/>
        <family val="2"/>
        <charset val="204"/>
        <scheme val="minor"/>
      </rPr>
      <t xml:space="preserve">
</t>
    </r>
  </si>
  <si>
    <t>D:\INFINITY+TREI\INFINITY\Библиотека (актуальная)\Библиотека INFINITY v8.3\Папка проекта</t>
  </si>
  <si>
    <t>GP001_BTF_36_04</t>
  </si>
  <si>
    <t>ГП 1. ИП пламени BTF36/4</t>
  </si>
  <si>
    <t>2+7</t>
  </si>
  <si>
    <t>3+1</t>
  </si>
  <si>
    <t>4+2</t>
  </si>
  <si>
    <t>4+3</t>
  </si>
  <si>
    <t>4+4</t>
  </si>
  <si>
    <t>4+5</t>
  </si>
  <si>
    <t>4+6</t>
  </si>
  <si>
    <t>4+7</t>
  </si>
  <si>
    <t>4+8</t>
  </si>
  <si>
    <t>4+9</t>
  </si>
  <si>
    <t>4+10</t>
  </si>
  <si>
    <t>17+1</t>
  </si>
  <si>
    <t>MOPS03_07+1</t>
  </si>
  <si>
    <t>11+1</t>
  </si>
  <si>
    <t>10+1</t>
  </si>
  <si>
    <t>17+2</t>
  </si>
  <si>
    <t>MOPS03_07+2</t>
  </si>
  <si>
    <t>11+2</t>
  </si>
  <si>
    <t>10+2</t>
  </si>
  <si>
    <t>17+3</t>
  </si>
  <si>
    <t>MOPS03_07+3</t>
  </si>
  <si>
    <t>11+3</t>
  </si>
  <si>
    <t>10+3</t>
  </si>
  <si>
    <t>17+4</t>
  </si>
  <si>
    <t>MOPS03_07+4</t>
  </si>
  <si>
    <t>11+4</t>
  </si>
  <si>
    <t>10+4</t>
  </si>
  <si>
    <t>17+5</t>
  </si>
  <si>
    <t>MOPS03_07+5</t>
  </si>
  <si>
    <t>10+5</t>
  </si>
  <si>
    <t>17+6</t>
  </si>
  <si>
    <t>MOPS03_07+6</t>
  </si>
  <si>
    <t>10+6</t>
  </si>
  <si>
    <t>17+7</t>
  </si>
  <si>
    <t>MOPS03_07+7</t>
  </si>
  <si>
    <t>11+7</t>
  </si>
  <si>
    <t>17+8</t>
  </si>
  <si>
    <t>MOPS03_07+8</t>
  </si>
  <si>
    <t>11+8</t>
  </si>
  <si>
    <t>17+9</t>
  </si>
  <si>
    <t>MOPS03_08+1</t>
  </si>
  <si>
    <t>11+9</t>
  </si>
  <si>
    <t>13+18</t>
  </si>
  <si>
    <t>13+17</t>
  </si>
  <si>
    <t>13+20</t>
  </si>
  <si>
    <t>13+19</t>
  </si>
  <si>
    <t>13+22</t>
  </si>
  <si>
    <t>13+21</t>
  </si>
  <si>
    <t>13+24</t>
  </si>
  <si>
    <t>13+23</t>
  </si>
  <si>
    <t>13+26</t>
  </si>
  <si>
    <t>13+25</t>
  </si>
  <si>
    <t>13+28</t>
  </si>
  <si>
    <t>13+27</t>
  </si>
  <si>
    <t>13+30</t>
  </si>
  <si>
    <t>13+29</t>
  </si>
  <si>
    <t>13+32</t>
  </si>
  <si>
    <t>13+31</t>
  </si>
  <si>
    <t>14+2</t>
  </si>
  <si>
    <t>14+1</t>
  </si>
  <si>
    <t>14+4</t>
  </si>
  <si>
    <t>14+3</t>
  </si>
  <si>
    <t>14+6</t>
  </si>
  <si>
    <t>14+5</t>
  </si>
  <si>
    <t>14+8</t>
  </si>
  <si>
    <t>14+7</t>
  </si>
  <si>
    <t>14+10</t>
  </si>
  <si>
    <t>14+9</t>
  </si>
  <si>
    <t>14+12</t>
  </si>
  <si>
    <t>14+11</t>
  </si>
  <si>
    <t>14+14</t>
  </si>
  <si>
    <t>14+13</t>
  </si>
  <si>
    <t>14+16</t>
  </si>
  <si>
    <t>14+15</t>
  </si>
  <si>
    <t>14+17</t>
  </si>
  <si>
    <t>17+22</t>
  </si>
  <si>
    <t>17+23</t>
  </si>
  <si>
    <t>17+24</t>
  </si>
  <si>
    <t>17+25</t>
  </si>
  <si>
    <t>17+26</t>
  </si>
  <si>
    <t>17+27</t>
  </si>
  <si>
    <t>8+3</t>
  </si>
  <si>
    <t>8+2</t>
  </si>
  <si>
    <t>17+28</t>
  </si>
  <si>
    <t>8+5</t>
  </si>
  <si>
    <t>8+4</t>
  </si>
  <si>
    <t>17+29</t>
  </si>
  <si>
    <t>8+7</t>
  </si>
  <si>
    <t>8+6</t>
  </si>
  <si>
    <t>17+30</t>
  </si>
  <si>
    <t>8+9</t>
  </si>
  <si>
    <t>17+31</t>
  </si>
  <si>
    <t>8+11</t>
  </si>
  <si>
    <t>8+10</t>
  </si>
  <si>
    <t>17+32</t>
  </si>
  <si>
    <t>8+13</t>
  </si>
  <si>
    <t>8+12</t>
  </si>
  <si>
    <t>18+1</t>
  </si>
  <si>
    <t>8+15</t>
  </si>
  <si>
    <t>8+14</t>
  </si>
  <si>
    <t>18+2</t>
  </si>
  <si>
    <t>8+17</t>
  </si>
  <si>
    <t>8+16</t>
  </si>
  <si>
    <t>18+3</t>
  </si>
  <si>
    <t>8+19</t>
  </si>
  <si>
    <t>8+18</t>
  </si>
  <si>
    <t>18+4</t>
  </si>
  <si>
    <t>8+21</t>
  </si>
  <si>
    <t>8+20</t>
  </si>
  <si>
    <t>18+5</t>
  </si>
  <si>
    <t>8+23</t>
  </si>
  <si>
    <t>8+22</t>
  </si>
  <si>
    <t>18+6</t>
  </si>
  <si>
    <t>8+25</t>
  </si>
  <si>
    <t>8+24</t>
  </si>
  <si>
    <t>18+7</t>
  </si>
  <si>
    <t>8+27</t>
  </si>
  <si>
    <t>8+26</t>
  </si>
  <si>
    <t>18+8</t>
  </si>
  <si>
    <t>8+29</t>
  </si>
  <si>
    <t>8+28</t>
  </si>
  <si>
    <t>18+9</t>
  </si>
  <si>
    <t>8+31</t>
  </si>
  <si>
    <t>8+30</t>
  </si>
  <si>
    <t>18+10</t>
  </si>
  <si>
    <t>9+1</t>
  </si>
  <si>
    <t>8+32</t>
  </si>
  <si>
    <t>20+2</t>
  </si>
  <si>
    <t>20+1</t>
  </si>
  <si>
    <t>20+4</t>
  </si>
  <si>
    <t>20+3</t>
  </si>
  <si>
    <t>20+6</t>
  </si>
  <si>
    <t>20+5</t>
  </si>
  <si>
    <t>20+8</t>
  </si>
  <si>
    <t>20+7</t>
  </si>
  <si>
    <t>20+10</t>
  </si>
  <si>
    <t>20+9</t>
  </si>
  <si>
    <t>20+12</t>
  </si>
  <si>
    <t>20+11</t>
  </si>
  <si>
    <t>20+14</t>
  </si>
  <si>
    <t>20+13</t>
  </si>
  <si>
    <t>20+16</t>
  </si>
  <si>
    <t>20+15</t>
  </si>
  <si>
    <t>20+18</t>
  </si>
  <si>
    <t>20+17</t>
  </si>
  <si>
    <t>20+20</t>
  </si>
  <si>
    <t>20+19</t>
  </si>
  <si>
    <t>20+22</t>
  </si>
  <si>
    <t>20+21</t>
  </si>
  <si>
    <t>20+24</t>
  </si>
  <si>
    <t>20+23</t>
  </si>
  <si>
    <t>20+26</t>
  </si>
  <si>
    <t>20+25</t>
  </si>
  <si>
    <t>20+28</t>
  </si>
  <si>
    <t>20+27</t>
  </si>
  <si>
    <t>20+30</t>
  </si>
  <si>
    <t>20+29</t>
  </si>
  <si>
    <t>20+32</t>
  </si>
  <si>
    <t>20+31</t>
  </si>
  <si>
    <t>21+2</t>
  </si>
  <si>
    <t>21+1</t>
  </si>
  <si>
    <t>21+4</t>
  </si>
  <si>
    <t>21+3</t>
  </si>
  <si>
    <t>21+6</t>
  </si>
  <si>
    <t>21+5</t>
  </si>
  <si>
    <t>21+8</t>
  </si>
  <si>
    <t>21+7</t>
  </si>
  <si>
    <t>21+10</t>
  </si>
  <si>
    <t>21+9</t>
  </si>
  <si>
    <t>21+12</t>
  </si>
  <si>
    <t>21+11</t>
  </si>
  <si>
    <t>21+14</t>
  </si>
  <si>
    <t>21+13</t>
  </si>
  <si>
    <t>21+16</t>
  </si>
  <si>
    <t>21+15</t>
  </si>
  <si>
    <t>21+18</t>
  </si>
  <si>
    <t>21+17</t>
  </si>
  <si>
    <t>21+20</t>
  </si>
  <si>
    <t>21+19</t>
  </si>
  <si>
    <t>21+22</t>
  </si>
  <si>
    <t>21+21</t>
  </si>
  <si>
    <t>21+24</t>
  </si>
  <si>
    <t>21+23</t>
  </si>
  <si>
    <t>21+26</t>
  </si>
  <si>
    <t>21+25</t>
  </si>
  <si>
    <t>21+28</t>
  </si>
  <si>
    <t>21+27</t>
  </si>
  <si>
    <t>23+2</t>
  </si>
  <si>
    <t>23+1</t>
  </si>
  <si>
    <t>23+4</t>
  </si>
  <si>
    <t>23+3</t>
  </si>
  <si>
    <t>23+6</t>
  </si>
  <si>
    <t>23+5</t>
  </si>
  <si>
    <t>23+8</t>
  </si>
  <si>
    <t>23+7</t>
  </si>
  <si>
    <t>23+10</t>
  </si>
  <si>
    <t>23+9</t>
  </si>
  <si>
    <t>GP001_Z_06_02</t>
  </si>
  <si>
    <t>ГП 1. Затвор З.6.2</t>
  </si>
  <si>
    <t>23+12</t>
  </si>
  <si>
    <t>23+11</t>
  </si>
  <si>
    <t>MUPS03_06+1</t>
  </si>
  <si>
    <t>MUPS03_06+2</t>
  </si>
  <si>
    <t>MUPS03_06+3</t>
  </si>
  <si>
    <t>MUPS03_06+4</t>
  </si>
  <si>
    <t>MUPS03_07+1</t>
  </si>
  <si>
    <t>9+2</t>
  </si>
  <si>
    <t>9+3</t>
  </si>
  <si>
    <t>9+4</t>
  </si>
  <si>
    <t>9+5</t>
  </si>
  <si>
    <t>9+6</t>
  </si>
  <si>
    <t>9+7</t>
  </si>
  <si>
    <t>9+8</t>
  </si>
  <si>
    <t>9+9</t>
  </si>
  <si>
    <t>9+10</t>
  </si>
  <si>
    <t>GP058_N_STOP</t>
  </si>
  <si>
    <t>9+11</t>
  </si>
  <si>
    <t>GP058_N_PUSK</t>
  </si>
  <si>
    <t>9+12</t>
  </si>
  <si>
    <t>15+2</t>
  </si>
  <si>
    <t>15+3</t>
  </si>
  <si>
    <t>15+4</t>
  </si>
  <si>
    <t>15+5</t>
  </si>
  <si>
    <t>15+6</t>
  </si>
  <si>
    <t>15+7</t>
  </si>
  <si>
    <t>15+8</t>
  </si>
  <si>
    <t>15+9</t>
  </si>
  <si>
    <t>15+1</t>
  </si>
  <si>
    <t>17+10</t>
  </si>
  <si>
    <t>17+11</t>
  </si>
  <si>
    <t>17+12</t>
  </si>
  <si>
    <t>17+13</t>
  </si>
  <si>
    <t>17+14</t>
  </si>
  <si>
    <t>17+15</t>
  </si>
  <si>
    <t>17+16</t>
  </si>
  <si>
    <t>17+17</t>
  </si>
  <si>
    <t>17+18</t>
  </si>
  <si>
    <t>17+19</t>
  </si>
  <si>
    <t>17+20</t>
  </si>
  <si>
    <t>17+21</t>
  </si>
  <si>
    <t>MOPS03_05+1</t>
  </si>
  <si>
    <t>MOPS03_05+2</t>
  </si>
  <si>
    <t>MOPS03_05+3</t>
  </si>
  <si>
    <t>MOPS03_05+4</t>
  </si>
  <si>
    <t>MOPS03_05+5</t>
  </si>
  <si>
    <t>MOPS03_05+6</t>
  </si>
  <si>
    <t>MOPS03_05+7</t>
  </si>
  <si>
    <t>MOPS03_05+8</t>
  </si>
  <si>
    <t>MOPS03_06+1</t>
  </si>
  <si>
    <t>MOPS03_06+2</t>
  </si>
  <si>
    <t>MOPS03_06+3</t>
  </si>
  <si>
    <t>MOPS03_06+4</t>
  </si>
  <si>
    <t>MOPS03_06+5</t>
  </si>
  <si>
    <t>MOPS03_06+6</t>
  </si>
  <si>
    <t>18+18</t>
  </si>
  <si>
    <t>MOPS03_06+7</t>
  </si>
  <si>
    <t>MOPS03_06+8</t>
  </si>
  <si>
    <t>13+1</t>
  </si>
  <si>
    <t>13+2</t>
  </si>
  <si>
    <t>13+3</t>
  </si>
  <si>
    <t>13+4</t>
  </si>
  <si>
    <t>13+5</t>
  </si>
  <si>
    <t>13+6</t>
  </si>
  <si>
    <t>13+7</t>
  </si>
  <si>
    <t>13+8</t>
  </si>
  <si>
    <t>13+9</t>
  </si>
  <si>
    <t>13+10</t>
  </si>
  <si>
    <t>13+11</t>
  </si>
  <si>
    <t>13+12</t>
  </si>
  <si>
    <t>13+13</t>
  </si>
  <si>
    <t>13+14</t>
  </si>
  <si>
    <t>13+15</t>
  </si>
  <si>
    <t>13+16</t>
  </si>
  <si>
    <t>23+13</t>
  </si>
  <si>
    <t>18+14</t>
  </si>
  <si>
    <t>18+15</t>
  </si>
  <si>
    <t>18+16</t>
  </si>
  <si>
    <t>18+17</t>
  </si>
  <si>
    <t>18+11</t>
  </si>
  <si>
    <t>18+12</t>
  </si>
  <si>
    <t>18+13</t>
  </si>
  <si>
    <t>MUPS04_11+1</t>
  </si>
  <si>
    <t>MUPS04_11+2</t>
  </si>
  <si>
    <t>MUPS04_11+3</t>
  </si>
  <si>
    <t>MUPS04_11+4</t>
  </si>
  <si>
    <t>MUPS04_12+1</t>
  </si>
  <si>
    <t>MUPS04_12+2</t>
  </si>
  <si>
    <t>MUPS04_12+3</t>
  </si>
  <si>
    <t>MUPS05_16+1</t>
  </si>
  <si>
    <t>MUPS05_16+2</t>
  </si>
  <si>
    <t>MUPS05_16+3</t>
  </si>
  <si>
    <t>MUPS05_16+4</t>
  </si>
  <si>
    <t>MUPS05_17+1</t>
  </si>
  <si>
    <t>MUPS05_17+2</t>
  </si>
  <si>
    <t>MUPS05_17+3</t>
  </si>
  <si>
    <t>MUPS05_17+4</t>
  </si>
  <si>
    <t>4+13</t>
  </si>
  <si>
    <t>4+11</t>
  </si>
  <si>
    <t>4+12</t>
  </si>
  <si>
    <t>4+14</t>
  </si>
  <si>
    <t>MUPS05_18+1</t>
  </si>
  <si>
    <t>MUPS05_18+2</t>
  </si>
  <si>
    <t>5+1</t>
  </si>
  <si>
    <t>MUPS05_18+3</t>
  </si>
  <si>
    <t>MUPS05_18+4</t>
  </si>
  <si>
    <t>5+2</t>
  </si>
  <si>
    <t>MUPS05_19+2</t>
  </si>
  <si>
    <t>MUPS05_19+3</t>
  </si>
  <si>
    <t>MUPS05_19+1</t>
  </si>
  <si>
    <t>15+17</t>
  </si>
  <si>
    <t>15+18</t>
  </si>
  <si>
    <t>15+19</t>
  </si>
  <si>
    <t>18+21</t>
  </si>
  <si>
    <t>18+22</t>
  </si>
  <si>
    <t>18+19</t>
  </si>
  <si>
    <t>18+20</t>
  </si>
  <si>
    <t>MOPS03_08+2</t>
  </si>
  <si>
    <t>MOPS03_08+3</t>
  </si>
  <si>
    <t>GP001_UPP_08</t>
  </si>
  <si>
    <t>ГП 1. Пенное тушение Зона №8</t>
  </si>
  <si>
    <t>1BR7</t>
  </si>
  <si>
    <t>1BR8</t>
  </si>
  <si>
    <t>1BR9</t>
  </si>
  <si>
    <t>1BR10</t>
  </si>
  <si>
    <t>1BR11</t>
  </si>
  <si>
    <t>2BR12</t>
  </si>
  <si>
    <t>2BR13</t>
  </si>
  <si>
    <t>2BR14</t>
  </si>
  <si>
    <t>2BR15</t>
  </si>
  <si>
    <t>18+23</t>
  </si>
  <si>
    <t>GP001_CB_SB_09</t>
  </si>
  <si>
    <t>ГП 1. Кнопка "Отключить вентиляцию" СВ-SB9</t>
  </si>
  <si>
    <t>GP301_BTH_01</t>
  </si>
  <si>
    <t>MOPS05_29+1</t>
  </si>
  <si>
    <t>GP301_BTH_02</t>
  </si>
  <si>
    <t>MOPS05_29+2</t>
  </si>
  <si>
    <t>GP301_BTH_03</t>
  </si>
  <si>
    <t>MOPS05_29+3</t>
  </si>
  <si>
    <t>GP301_BTK_04</t>
  </si>
  <si>
    <t>MOPS05_29+4</t>
  </si>
  <si>
    <t>GP301_BTH_05</t>
  </si>
  <si>
    <t>MOPS05_29+5</t>
  </si>
  <si>
    <t>GP301_BTH_06</t>
  </si>
  <si>
    <t>MOPS05_29+6</t>
  </si>
  <si>
    <t>GP301_BTH_07</t>
  </si>
  <si>
    <t>MOPS05_29+7</t>
  </si>
  <si>
    <t>GP301_BTH_08</t>
  </si>
  <si>
    <t>MOPS05_29+8</t>
  </si>
  <si>
    <t>GP301_BTH_08_01</t>
  </si>
  <si>
    <t>MOPS05_30+1</t>
  </si>
  <si>
    <t>GP301_BTH_09</t>
  </si>
  <si>
    <t>MOPS05_30+2</t>
  </si>
  <si>
    <t>GP301_BTK_10</t>
  </si>
  <si>
    <t>MOPS05_30+3</t>
  </si>
  <si>
    <t>GP301_BTH_11</t>
  </si>
  <si>
    <t>MOPS05_30+4</t>
  </si>
  <si>
    <t>GP301_BTH_12</t>
  </si>
  <si>
    <t>MOPS05_30+5</t>
  </si>
  <si>
    <t>GP301_BTK_13</t>
  </si>
  <si>
    <t>MOPS05_30+6</t>
  </si>
  <si>
    <t>GP301_BTK_14</t>
  </si>
  <si>
    <t>MOPS05_30+7</t>
  </si>
  <si>
    <t>GP301_BTH_15</t>
  </si>
  <si>
    <t>MOPS05_30+8</t>
  </si>
  <si>
    <t>GP301_BTH_15_01</t>
  </si>
  <si>
    <t>MOPS05_31+1</t>
  </si>
  <si>
    <t>GP301_BTH_16</t>
  </si>
  <si>
    <t>MOPS05_31+2</t>
  </si>
  <si>
    <t>GP301_BTH_17</t>
  </si>
  <si>
    <t>MOPS05_31+3</t>
  </si>
  <si>
    <t>GP301_BTH_17_01</t>
  </si>
  <si>
    <t>MOPS05_31+4</t>
  </si>
  <si>
    <t>GP301_BTH_18</t>
  </si>
  <si>
    <t>MOPS05_31+5</t>
  </si>
  <si>
    <t>GP301_BTH_18_01</t>
  </si>
  <si>
    <t>MOPS05_31+6</t>
  </si>
  <si>
    <t>GP301_BTH_19</t>
  </si>
  <si>
    <t>MOPS05_31+7</t>
  </si>
  <si>
    <t>GP301_BTH_20</t>
  </si>
  <si>
    <t>MOPS05_31+8</t>
  </si>
  <si>
    <t>GP301_BTH_20_01</t>
  </si>
  <si>
    <t>MOPS05_32+1</t>
  </si>
  <si>
    <t>GP301_BTH_21</t>
  </si>
  <si>
    <t>MOPS05_32+2</t>
  </si>
  <si>
    <t>GP301_BTH_21_01</t>
  </si>
  <si>
    <t>MOPS05_32+3</t>
  </si>
  <si>
    <t>GP301_BTH_22</t>
  </si>
  <si>
    <t>MOPS05_32+4</t>
  </si>
  <si>
    <t>GP301_BTH_23</t>
  </si>
  <si>
    <t>MOPS05_32+5</t>
  </si>
  <si>
    <t>GP301_BTH_24</t>
  </si>
  <si>
    <t>MOPS05_32+6</t>
  </si>
  <si>
    <t>GP301_BTH_25</t>
  </si>
  <si>
    <t>MOPS05_32+7</t>
  </si>
  <si>
    <t>GP301_BTH_26</t>
  </si>
  <si>
    <t>MOPS05_32+8</t>
  </si>
  <si>
    <t>GP301_BTH_27</t>
  </si>
  <si>
    <t>MOPS05_33+1</t>
  </si>
  <si>
    <t>GP301_BTH_27_01</t>
  </si>
  <si>
    <t>MOPS05_33+2</t>
  </si>
  <si>
    <t>GP301_BTH_28</t>
  </si>
  <si>
    <t>MOPS05_33+3</t>
  </si>
  <si>
    <t>GP301_BTH_28_01</t>
  </si>
  <si>
    <t>MOPS05_33+4</t>
  </si>
  <si>
    <t>GP301_BTM_29</t>
  </si>
  <si>
    <t>MOPS05_33+5</t>
  </si>
  <si>
    <t>GP301_BTM_30</t>
  </si>
  <si>
    <t>MOPS05_33+6</t>
  </si>
  <si>
    <t>GP301_BTM_31</t>
  </si>
  <si>
    <t>MOPS05_33+7</t>
  </si>
  <si>
    <t>GP301_BTM_32</t>
  </si>
  <si>
    <t>MOPS05_33+8</t>
  </si>
  <si>
    <t>GP301_BTM_33</t>
  </si>
  <si>
    <t>MOPS05_34+1</t>
  </si>
  <si>
    <t>GP301_BTM_34</t>
  </si>
  <si>
    <t>MOPS05_34+2</t>
  </si>
  <si>
    <t>GP301_BTM_35</t>
  </si>
  <si>
    <t>MOPS05_34+3</t>
  </si>
  <si>
    <t>GP301_BTM_36</t>
  </si>
  <si>
    <t>MOPS05_34+4</t>
  </si>
  <si>
    <t>GP301_BTM_37</t>
  </si>
  <si>
    <t>MOPS05_34+5</t>
  </si>
  <si>
    <t>GP301_BTM_38</t>
  </si>
  <si>
    <t>MOPS05_34+6</t>
  </si>
  <si>
    <t>GP301_BTM_39</t>
  </si>
  <si>
    <t>MOPS05_34+7</t>
  </si>
  <si>
    <t>GP301_BTK_40</t>
  </si>
  <si>
    <t>MOPS05_34+8</t>
  </si>
  <si>
    <t>GP301_BTK_41</t>
  </si>
  <si>
    <t>MOPS05_35+1</t>
  </si>
  <si>
    <t>GP301_BTH_42</t>
  </si>
  <si>
    <t>MOPS05_35+2</t>
  </si>
  <si>
    <t>GP301_BTH_43</t>
  </si>
  <si>
    <t>MOPS05_35+3</t>
  </si>
  <si>
    <t>GP301_BTH_44</t>
  </si>
  <si>
    <t>MOPS05_35+4</t>
  </si>
  <si>
    <t>GP301_BTH_45</t>
  </si>
  <si>
    <t>MOPS05_35+5</t>
  </si>
  <si>
    <t>GP301_BIAS_01</t>
  </si>
  <si>
    <t>MUPS05_15+1</t>
  </si>
  <si>
    <t>GP301_BIAS_02</t>
  </si>
  <si>
    <t>MUPS05_15+2</t>
  </si>
  <si>
    <t>GP301_BIAS_03</t>
  </si>
  <si>
    <t>MUPS05_15+3</t>
  </si>
  <si>
    <t>GP301_BIAS_04</t>
  </si>
  <si>
    <t>MUPS05_15+4</t>
  </si>
  <si>
    <t>GP301_BIAS_05</t>
  </si>
  <si>
    <t>GP301_BIAS_06</t>
  </si>
  <si>
    <t>GP301_BIAS_07</t>
  </si>
  <si>
    <t>GP301_BIAS_08</t>
  </si>
  <si>
    <t>GP301_BIAS_09</t>
  </si>
  <si>
    <t>GP301_BIAS_10</t>
  </si>
  <si>
    <t>GP301_BIAS_11</t>
  </si>
  <si>
    <t>GP301_BIAS_12</t>
  </si>
  <si>
    <t>GP301_BIAS_13</t>
  </si>
  <si>
    <t>GP301_BIAS_14</t>
  </si>
  <si>
    <t>GP301_BIAS_15</t>
  </si>
  <si>
    <t>GP301_BIAS_16</t>
  </si>
  <si>
    <t>GP301_BIAS_17</t>
  </si>
  <si>
    <t>GP301_BIAS_18</t>
  </si>
  <si>
    <t>GP301_BIAS_19</t>
  </si>
  <si>
    <t>GP301_YA_01</t>
  </si>
  <si>
    <t>ГП 301. ОЗК системы П2</t>
  </si>
  <si>
    <t>31+16</t>
  </si>
  <si>
    <t>MOPS04_22+5</t>
  </si>
  <si>
    <t>22+14</t>
  </si>
  <si>
    <t>GP301_YA_02</t>
  </si>
  <si>
    <t>ГП 301. ОЗК системы 1П3</t>
  </si>
  <si>
    <t>31+17</t>
  </si>
  <si>
    <t>MOPS04_22+6</t>
  </si>
  <si>
    <t>22+15</t>
  </si>
  <si>
    <t>GP301_YA_03</t>
  </si>
  <si>
    <t>ГП 301. ОЗК системы 2П3</t>
  </si>
  <si>
    <t>31+18</t>
  </si>
  <si>
    <t>MOPS04_22+7</t>
  </si>
  <si>
    <t>22+16</t>
  </si>
  <si>
    <t>GP301_YA_04</t>
  </si>
  <si>
    <t>ГП 301. ОЗК системы 3П3</t>
  </si>
  <si>
    <t>31+19</t>
  </si>
  <si>
    <t>MOPS04_22+8</t>
  </si>
  <si>
    <t>22+17</t>
  </si>
  <si>
    <t>GP301_YA_05</t>
  </si>
  <si>
    <t>ГП 301. ОЗК системы 1П5</t>
  </si>
  <si>
    <t>31+20</t>
  </si>
  <si>
    <t>MOPS04_23+1</t>
  </si>
  <si>
    <t>22+18</t>
  </si>
  <si>
    <t>GP301_YA_06</t>
  </si>
  <si>
    <t>ГП 301. ОЗК системы 2П5</t>
  </si>
  <si>
    <t>31+21</t>
  </si>
  <si>
    <t>MOPS04_23+2</t>
  </si>
  <si>
    <t>22+19</t>
  </si>
  <si>
    <t>GP301_YA_07</t>
  </si>
  <si>
    <t>ГП 301. ОЗК системы 3П5</t>
  </si>
  <si>
    <t>31+22</t>
  </si>
  <si>
    <t>MOPS04_23+3</t>
  </si>
  <si>
    <t>22+20</t>
  </si>
  <si>
    <t>GP301_YA_08</t>
  </si>
  <si>
    <t>ГП 301. ОЗК системы 4П5</t>
  </si>
  <si>
    <t>31+23</t>
  </si>
  <si>
    <t>MOPS04_23+4</t>
  </si>
  <si>
    <t>22+21</t>
  </si>
  <si>
    <t>GP301_YA_09</t>
  </si>
  <si>
    <t>ГП 301. ОЗК системы 5П5</t>
  </si>
  <si>
    <t>31+24</t>
  </si>
  <si>
    <t>MOPS04_23+5</t>
  </si>
  <si>
    <t>22+22</t>
  </si>
  <si>
    <t>GP301_YA_10</t>
  </si>
  <si>
    <t>ГП 301. ОЗК системы 6П5</t>
  </si>
  <si>
    <t>31+25</t>
  </si>
  <si>
    <t>MOPS04_23+6</t>
  </si>
  <si>
    <t>22+23</t>
  </si>
  <si>
    <t>GP301_YA_11</t>
  </si>
  <si>
    <t>ГП 301. ОЗК системы 7П5</t>
  </si>
  <si>
    <t>31+26</t>
  </si>
  <si>
    <t>MOPS04_23+7</t>
  </si>
  <si>
    <t>22+24</t>
  </si>
  <si>
    <t>GP301_YA_12</t>
  </si>
  <si>
    <t>ГП 301. ОЗК системы В2</t>
  </si>
  <si>
    <t>31+27</t>
  </si>
  <si>
    <t>MOPS04_23+8</t>
  </si>
  <si>
    <t>22+25</t>
  </si>
  <si>
    <t>GP301_YA_13</t>
  </si>
  <si>
    <t>ГП 301. ОЗК системы 1В6</t>
  </si>
  <si>
    <t>31+28</t>
  </si>
  <si>
    <t>MOPS04_24+1</t>
  </si>
  <si>
    <t>22+26</t>
  </si>
  <si>
    <t>GP301_YA_14</t>
  </si>
  <si>
    <t>ГП 301. ОЗК системы 2В6</t>
  </si>
  <si>
    <t>31+29</t>
  </si>
  <si>
    <t>MOPS04_24+2</t>
  </si>
  <si>
    <t>22+27</t>
  </si>
  <si>
    <t>GP301_YA_15</t>
  </si>
  <si>
    <t>ГП 301. ОЗК системы 3В6</t>
  </si>
  <si>
    <t>31+30</t>
  </si>
  <si>
    <t>MOPS04_24+3</t>
  </si>
  <si>
    <t>22+28</t>
  </si>
  <si>
    <t>GP301_YA_16</t>
  </si>
  <si>
    <t>ГП 301. ОЗК системы 4В6</t>
  </si>
  <si>
    <t>31+31</t>
  </si>
  <si>
    <t>MOPS04_24+4</t>
  </si>
  <si>
    <t>22+29</t>
  </si>
  <si>
    <t>21+29</t>
  </si>
  <si>
    <t>GP301_YA_17</t>
  </si>
  <si>
    <t>ГП 301. ОЗК системы 5В6</t>
  </si>
  <si>
    <t>31+32</t>
  </si>
  <si>
    <t>MOPS04_24+5</t>
  </si>
  <si>
    <t>22+30</t>
  </si>
  <si>
    <t>21+30</t>
  </si>
  <si>
    <t>GP301_YA_18</t>
  </si>
  <si>
    <t>ГП 301. ОЗК системы 6В6</t>
  </si>
  <si>
    <t>32+1</t>
  </si>
  <si>
    <t>MOPS04_24+6</t>
  </si>
  <si>
    <t>22+31</t>
  </si>
  <si>
    <t>21+31</t>
  </si>
  <si>
    <t>GP301_YA_19</t>
  </si>
  <si>
    <t>ГП 301. ОЗК системы 7В6</t>
  </si>
  <si>
    <t>32+2</t>
  </si>
  <si>
    <t>MOPS04_24+7</t>
  </si>
  <si>
    <t>22+32</t>
  </si>
  <si>
    <t>21+32</t>
  </si>
  <si>
    <t>GP301_YA_20</t>
  </si>
  <si>
    <t>ГП 301. ОЗК системы 8В6</t>
  </si>
  <si>
    <t>32+3</t>
  </si>
  <si>
    <t>MOPS04_24+8</t>
  </si>
  <si>
    <t>24+1</t>
  </si>
  <si>
    <t>GP301_YA_21</t>
  </si>
  <si>
    <t>ГП 301. ОЗК системы 9В6</t>
  </si>
  <si>
    <t>32+4</t>
  </si>
  <si>
    <t>MOPS04_25+1</t>
  </si>
  <si>
    <t>24+2</t>
  </si>
  <si>
    <t>GP301_YA_22</t>
  </si>
  <si>
    <t>ГП 301. ОЗК системы В13</t>
  </si>
  <si>
    <t>32+5</t>
  </si>
  <si>
    <t>MOPS04_25+2</t>
  </si>
  <si>
    <t>24+3</t>
  </si>
  <si>
    <t>GP301_YA_23</t>
  </si>
  <si>
    <t>ГП 301. ОЗК системы В16</t>
  </si>
  <si>
    <t>32+6</t>
  </si>
  <si>
    <t>MOPS04_25+3</t>
  </si>
  <si>
    <t>24+4</t>
  </si>
  <si>
    <t>GP301_YA_24</t>
  </si>
  <si>
    <t>ГП 301. ОЗК системы В17</t>
  </si>
  <si>
    <t>32+7</t>
  </si>
  <si>
    <t>MOPS04_25+4</t>
  </si>
  <si>
    <t>24+5</t>
  </si>
  <si>
    <t>GP301_YA_25</t>
  </si>
  <si>
    <t>ГП 301. ОЗК системы 1В18</t>
  </si>
  <si>
    <t>32+8</t>
  </si>
  <si>
    <t>MOPS04_25+5</t>
  </si>
  <si>
    <t>24+6</t>
  </si>
  <si>
    <t>GP301_YA_26</t>
  </si>
  <si>
    <t>ГП 301. ОЗК системы 2В18</t>
  </si>
  <si>
    <t>32+9</t>
  </si>
  <si>
    <t>MOPS04_25+6</t>
  </si>
  <si>
    <t>24+7</t>
  </si>
  <si>
    <t>GP301_YA_27</t>
  </si>
  <si>
    <t>ГП 301. ОЗК системы В20</t>
  </si>
  <si>
    <t>32+10</t>
  </si>
  <si>
    <t>MOPS04_25+7</t>
  </si>
  <si>
    <t>24+8</t>
  </si>
  <si>
    <t>GP301_YA_28</t>
  </si>
  <si>
    <t>ГП 301. Клапан дымоудаления системы ДВ1</t>
  </si>
  <si>
    <t>MOPS04_25+8</t>
  </si>
  <si>
    <t>32+11</t>
  </si>
  <si>
    <t>22+4</t>
  </si>
  <si>
    <t>GP301_YA_29</t>
  </si>
  <si>
    <t>ГП 301. Клапан дымоудаления системы 1ДВ2</t>
  </si>
  <si>
    <t>MOPS04_26+1</t>
  </si>
  <si>
    <t>32+12</t>
  </si>
  <si>
    <t>22+5</t>
  </si>
  <si>
    <t>GP301_YA_30</t>
  </si>
  <si>
    <t>ГП 301. Клапан дымоудаления системы 2ДВ2</t>
  </si>
  <si>
    <t>MOPS04_26+2</t>
  </si>
  <si>
    <t>32+13</t>
  </si>
  <si>
    <t>22+6</t>
  </si>
  <si>
    <t>GP301_YA_31</t>
  </si>
  <si>
    <t>ГП 301. Клапан дымоудаления системы 3ДВ2</t>
  </si>
  <si>
    <t>MOPS04_26+3</t>
  </si>
  <si>
    <t>32+14</t>
  </si>
  <si>
    <t>22+7</t>
  </si>
  <si>
    <t>GP301_YA_32</t>
  </si>
  <si>
    <t>ГП 301. Клапан дымоудаления системы 4ДВ2</t>
  </si>
  <si>
    <t>MOPS04_26+4</t>
  </si>
  <si>
    <t>32+15</t>
  </si>
  <si>
    <t>22+8</t>
  </si>
  <si>
    <t>GP301_YA_33</t>
  </si>
  <si>
    <t>ГП 301. Клапан дымоудаления системы 5ДВ2</t>
  </si>
  <si>
    <t>MOPS04_26+5</t>
  </si>
  <si>
    <t>32+16</t>
  </si>
  <si>
    <t>22+9</t>
  </si>
  <si>
    <t>GP301_YA_34</t>
  </si>
  <si>
    <t>ГП 301. Клапан дымоудаления системы 6ДВ2</t>
  </si>
  <si>
    <t>MOPS04_26+6</t>
  </si>
  <si>
    <t>32+17</t>
  </si>
  <si>
    <t>22+10</t>
  </si>
  <si>
    <t>GP301_YA_35</t>
  </si>
  <si>
    <t>ГП 301. Клапан дымоудаления системы ДВ3</t>
  </si>
  <si>
    <t>MOPS04_26+7</t>
  </si>
  <si>
    <t>32+18</t>
  </si>
  <si>
    <t>22+11</t>
  </si>
  <si>
    <t>GP301_YA_36</t>
  </si>
  <si>
    <t>ГП 301. Клапан дымоудаления системы ДП1</t>
  </si>
  <si>
    <t>MOPS04_26+8</t>
  </si>
  <si>
    <t>32+19</t>
  </si>
  <si>
    <t>22+12</t>
  </si>
  <si>
    <t>GP301_YA_37</t>
  </si>
  <si>
    <t>ГП 301. Клапан дымоудаления системы ДП2</t>
  </si>
  <si>
    <t>MOPS04_27+1</t>
  </si>
  <si>
    <t>32+20</t>
  </si>
  <si>
    <t>22+13</t>
  </si>
  <si>
    <t>GP301_V_01</t>
  </si>
  <si>
    <t>ГП 301. Вентилятор В1</t>
  </si>
  <si>
    <t>34+13</t>
  </si>
  <si>
    <t>!34+13</t>
  </si>
  <si>
    <t>16+30</t>
  </si>
  <si>
    <t>16+29</t>
  </si>
  <si>
    <t>GP301_V_02</t>
  </si>
  <si>
    <t>ГП 301. Вентилятор В2</t>
  </si>
  <si>
    <t>34+14</t>
  </si>
  <si>
    <t>!34+14</t>
  </si>
  <si>
    <t>16+32</t>
  </si>
  <si>
    <t>16+31</t>
  </si>
  <si>
    <t>GP301_V_03</t>
  </si>
  <si>
    <t>ГП 301. Вентилятор В3</t>
  </si>
  <si>
    <t>34+15</t>
  </si>
  <si>
    <t>!34+15</t>
  </si>
  <si>
    <t>GP301_V_04</t>
  </si>
  <si>
    <t>ГП 301. Вентилятор В4</t>
  </si>
  <si>
    <t>34+16</t>
  </si>
  <si>
    <t>!34+16</t>
  </si>
  <si>
    <t>GP301_V_05</t>
  </si>
  <si>
    <t>ГП 301. Вентилятор В5</t>
  </si>
  <si>
    <t>34+17</t>
  </si>
  <si>
    <t>!34+17</t>
  </si>
  <si>
    <t>GP301_V_06</t>
  </si>
  <si>
    <t>ГП 301. Вентилятор В6</t>
  </si>
  <si>
    <t>34+18</t>
  </si>
  <si>
    <t>!34+18</t>
  </si>
  <si>
    <t>GP301_V_07</t>
  </si>
  <si>
    <t>ГП 301. Вентилятор В7</t>
  </si>
  <si>
    <t>34+19</t>
  </si>
  <si>
    <t>!34+19</t>
  </si>
  <si>
    <t>GP301_V_08</t>
  </si>
  <si>
    <t>ГП 301. Вентилятор В8</t>
  </si>
  <si>
    <t>34+20</t>
  </si>
  <si>
    <t>!34+20</t>
  </si>
  <si>
    <t>GP301_V_09</t>
  </si>
  <si>
    <t>ГП 301. Вентилятор В9</t>
  </si>
  <si>
    <t>34+21</t>
  </si>
  <si>
    <t>!34+21</t>
  </si>
  <si>
    <t>GP301_V_10</t>
  </si>
  <si>
    <t>ГП 301. Вентилятор В10</t>
  </si>
  <si>
    <t>34+22</t>
  </si>
  <si>
    <t>!34+22</t>
  </si>
  <si>
    <t>GP301_V_11</t>
  </si>
  <si>
    <t>ГП 301. Вентилятор В11</t>
  </si>
  <si>
    <t>34+23</t>
  </si>
  <si>
    <t>!34+23</t>
  </si>
  <si>
    <t>GP301_V_12</t>
  </si>
  <si>
    <t>ГП 301. Вентилятор В12</t>
  </si>
  <si>
    <t>34+24</t>
  </si>
  <si>
    <t>!34+24</t>
  </si>
  <si>
    <t>GP301_V_13</t>
  </si>
  <si>
    <t>ГП 301. Вентилятор В13</t>
  </si>
  <si>
    <t>34+25</t>
  </si>
  <si>
    <t>!34+25</t>
  </si>
  <si>
    <t>GP301_V_14</t>
  </si>
  <si>
    <t>ГП 301. Вентилятор В14</t>
  </si>
  <si>
    <t>34+26</t>
  </si>
  <si>
    <t>!34+26</t>
  </si>
  <si>
    <t>GP301_V_15</t>
  </si>
  <si>
    <t>ГП 301. Вентилятор В15</t>
  </si>
  <si>
    <t>34+27</t>
  </si>
  <si>
    <t>!34+27</t>
  </si>
  <si>
    <t>GP301_V_16</t>
  </si>
  <si>
    <t>ГП 301. Вентилятор В16</t>
  </si>
  <si>
    <t>34+28</t>
  </si>
  <si>
    <t>!34+28</t>
  </si>
  <si>
    <t>GP301_V_17</t>
  </si>
  <si>
    <t>ГП 301. Вентилятор В17</t>
  </si>
  <si>
    <t>34+29</t>
  </si>
  <si>
    <t>!34+29</t>
  </si>
  <si>
    <t>GP301_V_18</t>
  </si>
  <si>
    <t>ГП 301. Вентилятор В18</t>
  </si>
  <si>
    <t>34+30</t>
  </si>
  <si>
    <t>!34+30</t>
  </si>
  <si>
    <t>GP301_V_19</t>
  </si>
  <si>
    <t>ГП 301. Вентилятор В19</t>
  </si>
  <si>
    <t>34+31</t>
  </si>
  <si>
    <t>!34+31</t>
  </si>
  <si>
    <t>GP301_V_20</t>
  </si>
  <si>
    <t>ГП 301. Вентилятор В20</t>
  </si>
  <si>
    <t>34+32</t>
  </si>
  <si>
    <t>!34+32</t>
  </si>
  <si>
    <t>GP301_V_21</t>
  </si>
  <si>
    <t>ГП 301. Вентилятор В21</t>
  </si>
  <si>
    <t>35+1</t>
  </si>
  <si>
    <t>!35+1</t>
  </si>
  <si>
    <t>GP301_V_22</t>
  </si>
  <si>
    <t>ГП 301. Вентилятор В22</t>
  </si>
  <si>
    <t>35+2</t>
  </si>
  <si>
    <t>!35+2</t>
  </si>
  <si>
    <t>GP301_DP_01</t>
  </si>
  <si>
    <t>ГП 301. Вентилятор дымоудаления ДП1</t>
  </si>
  <si>
    <t>MOPS05_38+1</t>
  </si>
  <si>
    <t>24+9</t>
  </si>
  <si>
    <t>GP301_DP_02</t>
  </si>
  <si>
    <t>ГП 301. Вентилятор дымоудаления ДП2</t>
  </si>
  <si>
    <t>MOPS05_38+2</t>
  </si>
  <si>
    <t>24+10</t>
  </si>
  <si>
    <t>GP301_DV_01</t>
  </si>
  <si>
    <t>ГП 301. Вентилятор дымоудаления ДВ1</t>
  </si>
  <si>
    <t>MOPS05_38+3</t>
  </si>
  <si>
    <t>24+11</t>
  </si>
  <si>
    <t>GP301_DV_02</t>
  </si>
  <si>
    <t>ГП 301. Вентилятор дымоудаления ДВ2</t>
  </si>
  <si>
    <t>MOPS05_38+4</t>
  </si>
  <si>
    <t>24+12</t>
  </si>
  <si>
    <t>GP301_DV_03</t>
  </si>
  <si>
    <t>ГП 301. Вентилятор дымоудаления ДВ3</t>
  </si>
  <si>
    <t>MOPS05_38+5</t>
  </si>
  <si>
    <t>24+13</t>
  </si>
  <si>
    <t>GP301_K_01_01</t>
  </si>
  <si>
    <t>ГП 301. Сигнал "Систему K1.1(раб) отключить при пожаре"</t>
  </si>
  <si>
    <t>GP301_K_01_01p</t>
  </si>
  <si>
    <t>ГП 301. Сигнал "Систему K1.1(рез) отключить при пожаре"</t>
  </si>
  <si>
    <t>GP301_K_02_01</t>
  </si>
  <si>
    <t>ГП 301. Сигнал "Систему K2.1(раб) отключить при пожаре"</t>
  </si>
  <si>
    <t>GP301_K_02_01p</t>
  </si>
  <si>
    <t>ГП 301. Сигнал "Систему K2.1(рез) отключить при пожаре"</t>
  </si>
  <si>
    <t>GP301_K_03_01</t>
  </si>
  <si>
    <t>ГП 301. Сигнал "Систему K3.1(раб) отключить при пожаре"</t>
  </si>
  <si>
    <t>GP301_K_03_01p</t>
  </si>
  <si>
    <t>ГП 301. Сигнал "Систему K3.1(рез) отключить при пожаре"</t>
  </si>
  <si>
    <t>GP301_K_04_01</t>
  </si>
  <si>
    <t>ГП 301. Сигнал "Систему K4.1 отключить при пожаре"</t>
  </si>
  <si>
    <t>GP301_K_04_02</t>
  </si>
  <si>
    <t>ГП 301. Сигнал "Систему K4.2 отключить при пожаре"</t>
  </si>
  <si>
    <t>GP301_K_04_03</t>
  </si>
  <si>
    <t>ГП 301. Сигнал "Систему K4.3 отключить при пожаре"</t>
  </si>
  <si>
    <t>GP301_K_04_04</t>
  </si>
  <si>
    <t>ГП 301. Сигнал "Систему K4.4 отключить при пожаре"</t>
  </si>
  <si>
    <t>GP301_K_04_05</t>
  </si>
  <si>
    <t>ГП 301. Сигнал "Систему K4.5 отключить при пожаре"</t>
  </si>
  <si>
    <t>18+24</t>
  </si>
  <si>
    <t>GP301_K_04_06</t>
  </si>
  <si>
    <t>ГП 301. Сигнал "Систему K4.6 отключить при пожаре"</t>
  </si>
  <si>
    <t>18+25</t>
  </si>
  <si>
    <t>GP301_K_04_07</t>
  </si>
  <si>
    <t>ГП 301. Сигнал "Систему K4.7 отключить при пожаре"</t>
  </si>
  <si>
    <t>18+26</t>
  </si>
  <si>
    <t>GP301_K_04_08</t>
  </si>
  <si>
    <t>ГП 301. Сигнал "Систему K4.8 отключить при пожаре"</t>
  </si>
  <si>
    <t>18+27</t>
  </si>
  <si>
    <t>GP301_P_01</t>
  </si>
  <si>
    <t>ГП 301. Сигнал в ШСАУ "Систему П1 отключить при пожаре"</t>
  </si>
  <si>
    <t>29+3</t>
  </si>
  <si>
    <t>GP301_P_02</t>
  </si>
  <si>
    <t>ГП 301. Сигнал в ШСАУ "Систему П2 отключить при пожаре"</t>
  </si>
  <si>
    <t>29+4</t>
  </si>
  <si>
    <t>GP301_P_03</t>
  </si>
  <si>
    <t>ГП 301. Сигнал в ШСАУ "Систему П3 отключить при пожаре"</t>
  </si>
  <si>
    <t>29+5</t>
  </si>
  <si>
    <t>GP301_P_04</t>
  </si>
  <si>
    <t>ГП 301. Сигнал в ШСАУ "Систему П4 отключить при пожаре"</t>
  </si>
  <si>
    <t>29+6</t>
  </si>
  <si>
    <t>GP301_P_05_01</t>
  </si>
  <si>
    <t>ГП 301. Сигнал в ШСАУ "Систему П5.1 отключить при пожаре"</t>
  </si>
  <si>
    <t>29+7</t>
  </si>
  <si>
    <t>GP301_P_05_02</t>
  </si>
  <si>
    <t>ГП 301. Сигнал в ШСАУ "Систему П5.2 отключить при пожаре"</t>
  </si>
  <si>
    <t>29+8</t>
  </si>
  <si>
    <t>GP301_P_06</t>
  </si>
  <si>
    <t>ГП 301. Сигнал в ШСАУ "Систему П6 отключить при пожаре"</t>
  </si>
  <si>
    <t>29+9</t>
  </si>
  <si>
    <t>ГП 301. Сигнал в САУ насосной - Стоп пожнасосов</t>
  </si>
  <si>
    <t>29+1</t>
  </si>
  <si>
    <t>ГП 301. Сигнал в САУ насосной - Пуск пожнасосов</t>
  </si>
  <si>
    <t>29+2</t>
  </si>
  <si>
    <t>TO_SKUD_GP301_XFRX</t>
  </si>
  <si>
    <t>ГП 301. Сигнал в СКУД "Пожар обобщенный"</t>
  </si>
  <si>
    <t>18+28</t>
  </si>
  <si>
    <t>GP301_ZE_05</t>
  </si>
  <si>
    <t>ГП 301. Задвижка ЗЭ-5</t>
  </si>
  <si>
    <t>GP301_SB1_05</t>
  </si>
  <si>
    <t>ГП 301. Кнопка "Дист. Пуск газового ПТ" 5SB1</t>
  </si>
  <si>
    <t>MOPS05_36+6</t>
  </si>
  <si>
    <t>GP301_SB3_05</t>
  </si>
  <si>
    <t>ГП 301. Кнопка "Дист. Пуск газового ПТ" 5SB3</t>
  </si>
  <si>
    <t>MOPS05_36+7</t>
  </si>
  <si>
    <t>GP301_SB2_05</t>
  </si>
  <si>
    <t>ГП 301. Кнопка "Опробование сигнализации тушения" 5SB2</t>
  </si>
  <si>
    <t>MOPS05_36+8</t>
  </si>
  <si>
    <t>GP301_SB4_05</t>
  </si>
  <si>
    <t>ГП 301. Кнопка "Опробование сигнализации тушения" 5SB4</t>
  </si>
  <si>
    <t>MOPS05_37+1</t>
  </si>
  <si>
    <t>GP301_SQ_01</t>
  </si>
  <si>
    <t>ГП 301. Дверь SQ1</t>
  </si>
  <si>
    <t>MOPS05_35+8</t>
  </si>
  <si>
    <t>GP301_SQ_02</t>
  </si>
  <si>
    <t>ГП 301. Дверь SQ2</t>
  </si>
  <si>
    <t>MOPS05_36+1</t>
  </si>
  <si>
    <t>GP301_SK_01</t>
  </si>
  <si>
    <t>ГП 301. Контроль массы газа SK1</t>
  </si>
  <si>
    <t>MOPS05_35+6</t>
  </si>
  <si>
    <t>GP301_HP_01</t>
  </si>
  <si>
    <t>ГП 301. Сигнализация давления газа HP1</t>
  </si>
  <si>
    <t>MOPS05_35+7</t>
  </si>
  <si>
    <t>GP301_SB_01</t>
  </si>
  <si>
    <t>ГП 301. Шлейф кнопок "Пуск пож. кранов" 1SB1…1SB2</t>
  </si>
  <si>
    <t>MOPS05_36+4</t>
  </si>
  <si>
    <t>GP301_SB_03</t>
  </si>
  <si>
    <t>ГП 301. Шлейф кнопок "Пуск пож. кранов" 1SB3…1SB8</t>
  </si>
  <si>
    <t>MOPS05_36+5</t>
  </si>
  <si>
    <t>GP301_SB1_04</t>
  </si>
  <si>
    <t>ГП 301. Кнопка "Пуск системы дымоудаления ДВ1" 4SB1</t>
  </si>
  <si>
    <t>MOPS05_37+2</t>
  </si>
  <si>
    <t>GP301_SB9_04</t>
  </si>
  <si>
    <t>ГП 301. Шлейф кнопок "Пуск системы дымоудаления ДВ3" 4SB9..SB11</t>
  </si>
  <si>
    <t>MOPS05_37+3</t>
  </si>
  <si>
    <t>GP301_SB2_04</t>
  </si>
  <si>
    <t>ГП 301. Шлейф кнопок "Пуск системы дымоудаления ДВ2" 4SB2..SB5</t>
  </si>
  <si>
    <t>MOPS05_37+4</t>
  </si>
  <si>
    <t>GP301_SB6_04</t>
  </si>
  <si>
    <t>ГП 301. Кнопка "Пуск системы дымоудаления ДВ2" 4SB6</t>
  </si>
  <si>
    <t>MOPS05_37+5</t>
  </si>
  <si>
    <t>GP301_SB7_04</t>
  </si>
  <si>
    <t>ГП 301. Кнопка "Пуск системы дымоудаления ДВ2" 4SB7</t>
  </si>
  <si>
    <t>MOPS05_37+6</t>
  </si>
  <si>
    <t>GP301_SB8_04</t>
  </si>
  <si>
    <t>ГП 301. Кнопка "Пуск системы дымоудаления ДВ2" 4SB8</t>
  </si>
  <si>
    <t>MOPS05_37+7</t>
  </si>
  <si>
    <t>GP301_SB12_04</t>
  </si>
  <si>
    <t>ГП 301. Кнопка "Пуск системы дымоудаления ДВ2" 4SB12</t>
  </si>
  <si>
    <t>MOPS05_37+8</t>
  </si>
  <si>
    <t>GP301_SB1_02</t>
  </si>
  <si>
    <t>ГП 301. Кнопка "Отключить вентиляцию" 2SB1</t>
  </si>
  <si>
    <t>34+3</t>
  </si>
  <si>
    <t>GP301_SB2_02</t>
  </si>
  <si>
    <t>ГП 301. Кнопка "Отключить вентиляцию" 2SB2</t>
  </si>
  <si>
    <t>34+4</t>
  </si>
  <si>
    <t>GP301_SB3_02</t>
  </si>
  <si>
    <t>ГП 301. Кнопка "Отключить вентиляцию" 2SB3</t>
  </si>
  <si>
    <t>34+5</t>
  </si>
  <si>
    <t>GP301_SB4_02</t>
  </si>
  <si>
    <t>ГП 301. Кнопка "Отключить вентиляцию" 2SB4</t>
  </si>
  <si>
    <t>34+6</t>
  </si>
  <si>
    <t>GP301_SB5_02</t>
  </si>
  <si>
    <t>ГП 301. Кнопка "Отключить вентиляцию" 2SB5</t>
  </si>
  <si>
    <t>34+7</t>
  </si>
  <si>
    <t>GP301_HAF_01</t>
  </si>
  <si>
    <t>ГП 301. Светозвуковое табло "Газ Уходи" HAF1</t>
  </si>
  <si>
    <t>MUPS05_19+4</t>
  </si>
  <si>
    <t>GP301_HAF_02</t>
  </si>
  <si>
    <t>ГП 301. Светозвуковое табло "Газ Уходи" HAF2</t>
  </si>
  <si>
    <t>MUPS05_20+1</t>
  </si>
  <si>
    <t>GP301_HL_02</t>
  </si>
  <si>
    <t>ГП 301. Табло "Автоматика отключена" 1HL2</t>
  </si>
  <si>
    <t>MUPS05_20+2</t>
  </si>
  <si>
    <t>GP301_HL_04</t>
  </si>
  <si>
    <t>ГП 301. Табло "Автоматика отключена" 1HL4</t>
  </si>
  <si>
    <t>MUPS05_20+3</t>
  </si>
  <si>
    <t>GP301_HL_01</t>
  </si>
  <si>
    <t>ГП 301. Табло "Газ не входи" 1HL1</t>
  </si>
  <si>
    <t>MUPS05_20+4</t>
  </si>
  <si>
    <t>GP301_HL_03</t>
  </si>
  <si>
    <t>ГП 301. Табло "Газ не входи" 1HL3</t>
  </si>
  <si>
    <t>MUPS05_21+1</t>
  </si>
  <si>
    <t>GP301_EK_01</t>
  </si>
  <si>
    <t>ГП 301. Электромагнитный клапан EK1</t>
  </si>
  <si>
    <t>MUPS05_21+2</t>
  </si>
  <si>
    <t>GP304_BTH_01</t>
  </si>
  <si>
    <t>GP304_BTH_02</t>
  </si>
  <si>
    <t>GP304_BTH_03</t>
  </si>
  <si>
    <t>GP304_BTH_04</t>
  </si>
  <si>
    <t>GP304_BTH_05</t>
  </si>
  <si>
    <t>GP304_BTM_06</t>
  </si>
  <si>
    <t>MOPS03_08+4</t>
  </si>
  <si>
    <t>GP304_BTM_07</t>
  </si>
  <si>
    <t>MOPS03_08+5</t>
  </si>
  <si>
    <t>GP304_BTH_08</t>
  </si>
  <si>
    <t>MOPS03_08+6</t>
  </si>
  <si>
    <t>GP304_BTH_09</t>
  </si>
  <si>
    <t>MOPS03_08+7</t>
  </si>
  <si>
    <t>GP304_BTH_10</t>
  </si>
  <si>
    <t>MOPS03_08+8</t>
  </si>
  <si>
    <t>GP304_BTH_11</t>
  </si>
  <si>
    <t>MOPS03_09+1</t>
  </si>
  <si>
    <t>GP304_BTH_12</t>
  </si>
  <si>
    <t>MOPS03_09+2</t>
  </si>
  <si>
    <t>GP304_BTH_13</t>
  </si>
  <si>
    <t>MOPS03_09+3</t>
  </si>
  <si>
    <t>GP304_BTK_14</t>
  </si>
  <si>
    <t>MOPS03_09+4</t>
  </si>
  <si>
    <t>GP304_BTK_15</t>
  </si>
  <si>
    <t>MOPS03_09+5</t>
  </si>
  <si>
    <t>GP304_BTK_16</t>
  </si>
  <si>
    <t>ГП 304. ИП тепловой BTK16</t>
  </si>
  <si>
    <t>MOPS03_09+6</t>
  </si>
  <si>
    <t>GP304_BTH_17</t>
  </si>
  <si>
    <t>MOPS03_09+7</t>
  </si>
  <si>
    <t>GP304_BTH_18</t>
  </si>
  <si>
    <t>MOPS03_09+8</t>
  </si>
  <si>
    <t>GP304_BTH_19</t>
  </si>
  <si>
    <t>MOPS03_10+1</t>
  </si>
  <si>
    <t>GP304_BTH_20</t>
  </si>
  <si>
    <t>MOPS03_10+2</t>
  </si>
  <si>
    <t>GP304_BTH_21</t>
  </si>
  <si>
    <t>MOPS03_10+3</t>
  </si>
  <si>
    <t>GP304_BTM_22</t>
  </si>
  <si>
    <t>MOPS03_10+4</t>
  </si>
  <si>
    <t>GP304_BTM_23</t>
  </si>
  <si>
    <t>MOPS03_10+5</t>
  </si>
  <si>
    <t>GP304_BTM_24</t>
  </si>
  <si>
    <t>MOPS03_10+6</t>
  </si>
  <si>
    <t>GP304_BTM_25</t>
  </si>
  <si>
    <t>MOPS03_10+7</t>
  </si>
  <si>
    <t>GP304_BTK_26</t>
  </si>
  <si>
    <t>ГП 304. ИП тепловой BTK26</t>
  </si>
  <si>
    <t>MOPS03_10+8</t>
  </si>
  <si>
    <t>GP304_BIAS_01</t>
  </si>
  <si>
    <t>MUPS03_03+2</t>
  </si>
  <si>
    <t>GP304_BIAS_02</t>
  </si>
  <si>
    <t>MUPS03_03+3</t>
  </si>
  <si>
    <t>GP304_BIAS_03</t>
  </si>
  <si>
    <t>MUPS03_03+4</t>
  </si>
  <si>
    <t>GP304_BIAS_04</t>
  </si>
  <si>
    <t>MUPS03_04+1</t>
  </si>
  <si>
    <t>GP304_BIAS_05</t>
  </si>
  <si>
    <t>MUPS03_04+2</t>
  </si>
  <si>
    <t>GP304_BIAS_06</t>
  </si>
  <si>
    <t>MUPS03_04+3</t>
  </si>
  <si>
    <t>GP304_BIAS_07</t>
  </si>
  <si>
    <t>MUPS03_04+4</t>
  </si>
  <si>
    <t>GP304_BIAS_08</t>
  </si>
  <si>
    <t>MUPS03_05+1</t>
  </si>
  <si>
    <t>GP304_BIAS_09</t>
  </si>
  <si>
    <t>MUPS03_05+2</t>
  </si>
  <si>
    <t>GP304_BIAS_10</t>
  </si>
  <si>
    <t>MUPS03_05+3</t>
  </si>
  <si>
    <t>GP304_BIAS_11</t>
  </si>
  <si>
    <t>MUPS03_05+4</t>
  </si>
  <si>
    <t>GP304_BIAS_12</t>
  </si>
  <si>
    <t>GP304_OK_01</t>
  </si>
  <si>
    <t>ГП 304. ОЗК системы 1П1</t>
  </si>
  <si>
    <t>26+32</t>
  </si>
  <si>
    <t>MOPS03_04+1</t>
  </si>
  <si>
    <t>9+21</t>
  </si>
  <si>
    <t>GP304_OK_02</t>
  </si>
  <si>
    <t>ГП 304. ОЗК системы 2П1</t>
  </si>
  <si>
    <t>27+1</t>
  </si>
  <si>
    <t>MOPS03_04+2</t>
  </si>
  <si>
    <t>9+22</t>
  </si>
  <si>
    <t>GP304_OK_03</t>
  </si>
  <si>
    <t>ГП 304. ОЗК системы 3П1</t>
  </si>
  <si>
    <t>27+2</t>
  </si>
  <si>
    <t>MOPS03_04+3</t>
  </si>
  <si>
    <t>9+23</t>
  </si>
  <si>
    <t>GP304_OK_04</t>
  </si>
  <si>
    <t>ГП 304. ОЗК системы 4П1</t>
  </si>
  <si>
    <t>27+3</t>
  </si>
  <si>
    <t>MOPS03_04+4</t>
  </si>
  <si>
    <t>9+24</t>
  </si>
  <si>
    <t>GP304_OK_05</t>
  </si>
  <si>
    <t>ГП 304. ОЗК системы 5П1</t>
  </si>
  <si>
    <t>27+4</t>
  </si>
  <si>
    <t>MOPS03_04+5</t>
  </si>
  <si>
    <t>9+25</t>
  </si>
  <si>
    <t>GP304_OK_06</t>
  </si>
  <si>
    <t>ГП 304. ОЗК системы П3</t>
  </si>
  <si>
    <t>27+5</t>
  </si>
  <si>
    <t>MOPS03_04+6</t>
  </si>
  <si>
    <t>9+26</t>
  </si>
  <si>
    <t>GP304_OK_07</t>
  </si>
  <si>
    <t>ГП 304. ОЗК системы 1В3</t>
  </si>
  <si>
    <t>27+6</t>
  </si>
  <si>
    <t>MOPS03_04+7</t>
  </si>
  <si>
    <t>9+27</t>
  </si>
  <si>
    <t>GP304_OK_08</t>
  </si>
  <si>
    <t>ГП 304. ОЗК системы 2В3</t>
  </si>
  <si>
    <t>27+7</t>
  </si>
  <si>
    <t>MOPS03_04+8</t>
  </si>
  <si>
    <t>9+28</t>
  </si>
  <si>
    <t>GP304_OK_09</t>
  </si>
  <si>
    <t>ГП 304. ОЗК системы 3В3</t>
  </si>
  <si>
    <t>27+8</t>
  </si>
  <si>
    <t>9+29</t>
  </si>
  <si>
    <t>GP304_OK_10</t>
  </si>
  <si>
    <t>ГП 304. ОЗК системы 4В3</t>
  </si>
  <si>
    <t>27+9</t>
  </si>
  <si>
    <t>9+30</t>
  </si>
  <si>
    <t>GP304_OK_11</t>
  </si>
  <si>
    <t>ГП 304. ОЗК системы 5В3</t>
  </si>
  <si>
    <t>27+10</t>
  </si>
  <si>
    <t>9+31</t>
  </si>
  <si>
    <t>GP304_OK_12</t>
  </si>
  <si>
    <t>ГП 304. ОЗК системы 6В3</t>
  </si>
  <si>
    <t>27+11</t>
  </si>
  <si>
    <t>9+32</t>
  </si>
  <si>
    <t>GP304_OK_13</t>
  </si>
  <si>
    <t>ГП 304. ОЗК системы 7В3</t>
  </si>
  <si>
    <t>27+12</t>
  </si>
  <si>
    <t>GP304_OK_14</t>
  </si>
  <si>
    <t>ГП 304. ОЗК системы 8В3</t>
  </si>
  <si>
    <t>27+13</t>
  </si>
  <si>
    <t>GP304_OK_15</t>
  </si>
  <si>
    <t>ГП 304. ОЗК системы 9В3</t>
  </si>
  <si>
    <t>27+14</t>
  </si>
  <si>
    <t>GP304_OK_16</t>
  </si>
  <si>
    <t>ГП 304. ОЗК системы 10В3</t>
  </si>
  <si>
    <t>27+15</t>
  </si>
  <si>
    <t>GP304_OK_17</t>
  </si>
  <si>
    <t>ГП 304. ОЗК системы 11В3</t>
  </si>
  <si>
    <t>27+16</t>
  </si>
  <si>
    <t>GP304_OK_18</t>
  </si>
  <si>
    <t>ГП 304. ОЗК системы 12В3</t>
  </si>
  <si>
    <t>27+17</t>
  </si>
  <si>
    <t>GP304_OK_19</t>
  </si>
  <si>
    <t>ГП 304. ОЗК системы В4</t>
  </si>
  <si>
    <t>27+18</t>
  </si>
  <si>
    <t>GP304_OK_20</t>
  </si>
  <si>
    <t>ГП 304. ОЗК системы В5</t>
  </si>
  <si>
    <t>27+19</t>
  </si>
  <si>
    <t>GP304_KD_01</t>
  </si>
  <si>
    <t>ГП 304. Клапан дымоудаления системы ДВ1</t>
  </si>
  <si>
    <t>MOPS03_02+7</t>
  </si>
  <si>
    <t>26+22</t>
  </si>
  <si>
    <t>GP304_KD_02</t>
  </si>
  <si>
    <t>ГП 304. Клапан дымоудаления системы 1ДВ2</t>
  </si>
  <si>
    <t>MOPS03_02+8</t>
  </si>
  <si>
    <t>26+23</t>
  </si>
  <si>
    <t>GP304_KD_03</t>
  </si>
  <si>
    <t>ГП 304. Клапан дымоудаления системы 2ДВ2</t>
  </si>
  <si>
    <t>MOPS03_03+1</t>
  </si>
  <si>
    <t>26+24</t>
  </si>
  <si>
    <t>9+13</t>
  </si>
  <si>
    <t>GP304_KD_04</t>
  </si>
  <si>
    <t>ГП 304. Клапан дымоудаления системы 3ДВ2</t>
  </si>
  <si>
    <t>MOPS03_03+2</t>
  </si>
  <si>
    <t>26+25</t>
  </si>
  <si>
    <t>9+14</t>
  </si>
  <si>
    <t>GP304_KD_05_01</t>
  </si>
  <si>
    <t>ГП 304. Клапан дымоудаления системы 1ДПЕ1</t>
  </si>
  <si>
    <t>MOPS03_03+3</t>
  </si>
  <si>
    <t>26+26</t>
  </si>
  <si>
    <t>9+15</t>
  </si>
  <si>
    <t>GP304_KD_05_02</t>
  </si>
  <si>
    <t>ГП 304. Клапан дымоудаления системы 2ДПЕ1</t>
  </si>
  <si>
    <t>MOPS03_03+4</t>
  </si>
  <si>
    <t>26+27</t>
  </si>
  <si>
    <t>9+16</t>
  </si>
  <si>
    <t>GP304_KD_06_01</t>
  </si>
  <si>
    <t>ГП 304. Клапан дымоудаления системы 1ДПЕ2</t>
  </si>
  <si>
    <t>MOPS03_03+5</t>
  </si>
  <si>
    <t>26+28</t>
  </si>
  <si>
    <t>9+17</t>
  </si>
  <si>
    <t>GP304_KD_06_02</t>
  </si>
  <si>
    <t>ГП 304. Клапан дымоудаления системы 2ДПЕ2</t>
  </si>
  <si>
    <t>MOPS03_03+6</t>
  </si>
  <si>
    <t>26+29</t>
  </si>
  <si>
    <t>9+18</t>
  </si>
  <si>
    <t>GP304_KD_07_01</t>
  </si>
  <si>
    <t>ГП 304. Клапан дымоудаления системы 1ДПЕ3</t>
  </si>
  <si>
    <t>MOPS03_03+7</t>
  </si>
  <si>
    <t>26+30</t>
  </si>
  <si>
    <t>9+19</t>
  </si>
  <si>
    <t>GP304_KD_07_02</t>
  </si>
  <si>
    <t>ГП 304. Клапан дымоудаления системы 2ДПЕ3</t>
  </si>
  <si>
    <t>MOPS03_03+8</t>
  </si>
  <si>
    <t>26+31</t>
  </si>
  <si>
    <t>9+20</t>
  </si>
  <si>
    <t>GP304_V_02</t>
  </si>
  <si>
    <t>ГП 304. Вентилятор В2</t>
  </si>
  <si>
    <t>27+20</t>
  </si>
  <si>
    <t>!27+20</t>
  </si>
  <si>
    <t>5+15</t>
  </si>
  <si>
    <t>5+14</t>
  </si>
  <si>
    <t>GP304_V_03</t>
  </si>
  <si>
    <t>ГП 304. Вентилятор В3</t>
  </si>
  <si>
    <t>27+21</t>
  </si>
  <si>
    <t>!27+21</t>
  </si>
  <si>
    <t>5+17</t>
  </si>
  <si>
    <t>5+16</t>
  </si>
  <si>
    <t>GP304_V_04</t>
  </si>
  <si>
    <t>ГП 304. Вентилятор В4</t>
  </si>
  <si>
    <t>27+22</t>
  </si>
  <si>
    <t>!27+22</t>
  </si>
  <si>
    <t>5+19</t>
  </si>
  <si>
    <t>5+18</t>
  </si>
  <si>
    <t>GP304_V_05</t>
  </si>
  <si>
    <t>ГП 304. Вентилятор В5</t>
  </si>
  <si>
    <t>27+23</t>
  </si>
  <si>
    <t>!27+23</t>
  </si>
  <si>
    <t>5+21</t>
  </si>
  <si>
    <t>5+20</t>
  </si>
  <si>
    <t>GP304_V_06</t>
  </si>
  <si>
    <t>ГП 304. Вентилятор В6</t>
  </si>
  <si>
    <t>27+24</t>
  </si>
  <si>
    <t>!27+24</t>
  </si>
  <si>
    <t>5+23</t>
  </si>
  <si>
    <t>5+22</t>
  </si>
  <si>
    <t>GP304_VD_01</t>
  </si>
  <si>
    <t>ГП 304. Вентилятор дымоудаления системы ВД1</t>
  </si>
  <si>
    <t>5+24</t>
  </si>
  <si>
    <t>GP304_VD_02</t>
  </si>
  <si>
    <t>ГП 304. Вентилятор дымоудаления системы ВД2</t>
  </si>
  <si>
    <t>11+10</t>
  </si>
  <si>
    <t>5+25</t>
  </si>
  <si>
    <t>GP304_P_01</t>
  </si>
  <si>
    <t>ГП 304. Сигнал в ШСАУ "Систему П1 отключить при пожаре"</t>
  </si>
  <si>
    <t>5+26</t>
  </si>
  <si>
    <t>GP304_P_02</t>
  </si>
  <si>
    <t>ГП 304. Сигнал в ШСАУ "Систему П2 отключить при пожаре"</t>
  </si>
  <si>
    <t>5+27</t>
  </si>
  <si>
    <t>GP304_P_03</t>
  </si>
  <si>
    <t>ГП 304. Сигнал в ШСАУ "Систему П3 отключить при пожаре"</t>
  </si>
  <si>
    <t>5+28</t>
  </si>
  <si>
    <t>GP304_PU_V_01</t>
  </si>
  <si>
    <t>ГП 304. Сигнал "Систему пылеулавливателя В1 отключить при пожаре"</t>
  </si>
  <si>
    <t>5+29</t>
  </si>
  <si>
    <t>GP304_U_01</t>
  </si>
  <si>
    <t>ГП 304. Сигнал "Тепловую завесу У1 отключить при пожаре"</t>
  </si>
  <si>
    <t>5+30</t>
  </si>
  <si>
    <t>GP304_U_02</t>
  </si>
  <si>
    <t>ГП 304. Сигнал "Тепловую завесу У2 отключить при пожаре"</t>
  </si>
  <si>
    <t>5+31</t>
  </si>
  <si>
    <t>GP304_SB1_PK_01</t>
  </si>
  <si>
    <t>ГП 304. Шлейф кнопок "Пуск пож.кранов" ПК1-SB1..ПК1-SB5</t>
  </si>
  <si>
    <t>GP304_SB1_PK_02</t>
  </si>
  <si>
    <t>ГП 304. Шлейф кнопок "Пуск пож.кранов" ПК2-SB1..ПК2-SB3</t>
  </si>
  <si>
    <t>GP304_SB1_PK_03</t>
  </si>
  <si>
    <t>ГП 304. Шлейф кнопок "Пуск пож.кранов" ПК3-SB1..ПК3-SB3</t>
  </si>
  <si>
    <t>GP304_VD2_1_SB1</t>
  </si>
  <si>
    <t>ГП 304. Шлейф кнопок "Пуск системы ДВ2" ДВ2.1-SB1</t>
  </si>
  <si>
    <t>GP304_VD2_2_SB1</t>
  </si>
  <si>
    <t>ГП 304. Шлейф кнопок "Пуск системы ДВ2" ДВ2.2-SB1</t>
  </si>
  <si>
    <t>GP304_VD1_SB1</t>
  </si>
  <si>
    <t>ГП 304. Шлейф кнопок "Пуск системы ДВ1" ДВ1-SB1..ДВ1-SB9</t>
  </si>
  <si>
    <t>GP304_CB_SB1</t>
  </si>
  <si>
    <t>ГП 304. Шлейф кнопок "Отключить вентиляцию" CB-SB1..CB-SB6</t>
  </si>
  <si>
    <t>27+25</t>
  </si>
  <si>
    <t>GP305_BTH_01</t>
  </si>
  <si>
    <t>MOPS03_11+1</t>
  </si>
  <si>
    <t>GP305_BTH_02</t>
  </si>
  <si>
    <t>MOPS03_11+2</t>
  </si>
  <si>
    <t>GP305_BTM_03</t>
  </si>
  <si>
    <t>MOPS03_11+3</t>
  </si>
  <si>
    <t>GP305_BTH_04</t>
  </si>
  <si>
    <t>MOPS03_11+4</t>
  </si>
  <si>
    <t>GP305_BTH_05</t>
  </si>
  <si>
    <t>MOPS03_11+5</t>
  </si>
  <si>
    <t>GP305_BTM_06</t>
  </si>
  <si>
    <t>MOPS03_11+6</t>
  </si>
  <si>
    <t>GP305_BTK_07</t>
  </si>
  <si>
    <t>MOPS03_11+7</t>
  </si>
  <si>
    <t>GP305_BTM_08</t>
  </si>
  <si>
    <t>MOPS03_11+8</t>
  </si>
  <si>
    <t>GP305_BTK_09</t>
  </si>
  <si>
    <t>MOPS03_12+1</t>
  </si>
  <si>
    <t>GP305_BTM_10</t>
  </si>
  <si>
    <t>MOPS03_12+2</t>
  </si>
  <si>
    <t>GP305_SB_PK_01</t>
  </si>
  <si>
    <t>ГП 305. Шлейф кнопок "Пуск пож.кранов" ПК1-SB..ПК2-SB</t>
  </si>
  <si>
    <t>MOPS03_12+3</t>
  </si>
  <si>
    <t>GP305_BIAS_01</t>
  </si>
  <si>
    <t>GP305_BIAS_02</t>
  </si>
  <si>
    <t>GP305_BIAS_03</t>
  </si>
  <si>
    <t>GP305_BIAS_04</t>
  </si>
  <si>
    <t>GP315_BTH_01</t>
  </si>
  <si>
    <t>MOPS03_01+8</t>
  </si>
  <si>
    <t>GP315_BTK_02</t>
  </si>
  <si>
    <t>MOPS03_02+1</t>
  </si>
  <si>
    <t>GP315_BTH_03</t>
  </si>
  <si>
    <t>MOPS03_02+2</t>
  </si>
  <si>
    <t>GP315_BTK_04</t>
  </si>
  <si>
    <t>ГП 315. ИП тепловой BTK4</t>
  </si>
  <si>
    <t>MOPS03_02+3</t>
  </si>
  <si>
    <t>GP315_BTM_05</t>
  </si>
  <si>
    <t>MOPS03_02+4</t>
  </si>
  <si>
    <t>GP315_BTM_06</t>
  </si>
  <si>
    <t>MOPS03_02+5</t>
  </si>
  <si>
    <t>GP315_BTM_07</t>
  </si>
  <si>
    <t>MOPS03_02+6</t>
  </si>
  <si>
    <t>GP315_BIAS_01</t>
  </si>
  <si>
    <t>MUPS03_01+1</t>
  </si>
  <si>
    <t>GP315_BIAS_02</t>
  </si>
  <si>
    <t>MUPS03_01+2</t>
  </si>
  <si>
    <t>GP315_BIAS_03</t>
  </si>
  <si>
    <t>MUPS03_01+3</t>
  </si>
  <si>
    <t>GP315_BIAS_04</t>
  </si>
  <si>
    <t>MUPS03_01+4</t>
  </si>
  <si>
    <t>GP315_BIAS_05</t>
  </si>
  <si>
    <t>MUPS03_02+1</t>
  </si>
  <si>
    <t>GP315_GA_01</t>
  </si>
  <si>
    <t>ГП 315. Газоанализатор GA1</t>
  </si>
  <si>
    <t>CO</t>
  </si>
  <si>
    <t>GP315_GA_02</t>
  </si>
  <si>
    <t>ГП 315. Газоанализатор GA2</t>
  </si>
  <si>
    <t>GP315_GA_03</t>
  </si>
  <si>
    <t>ГП 315. Газоанализатор GA3</t>
  </si>
  <si>
    <t>GP315_GA_04</t>
  </si>
  <si>
    <t>ГП 315. Газоанализатор GA4</t>
  </si>
  <si>
    <t>GP315_GA_05</t>
  </si>
  <si>
    <t>ГП 315. Газоанализатор GA5</t>
  </si>
  <si>
    <t>GP315_GA_06</t>
  </si>
  <si>
    <t>ГП 315. Газоанализатор GA6</t>
  </si>
  <si>
    <t>GP315_OK_YA_01</t>
  </si>
  <si>
    <t>ГП 315. ОЗК системы П1</t>
  </si>
  <si>
    <t>26+3</t>
  </si>
  <si>
    <t>MOPS03_01+3</t>
  </si>
  <si>
    <t>GP315_OK_YA_02</t>
  </si>
  <si>
    <t>ГП 315. ОЗК системы В1</t>
  </si>
  <si>
    <t>26+4</t>
  </si>
  <si>
    <t>MOPS03_01+4</t>
  </si>
  <si>
    <t>GP315_PE_YA_01</t>
  </si>
  <si>
    <t>ГП 315. Клапан системы ПЕ1</t>
  </si>
  <si>
    <t>26+6</t>
  </si>
  <si>
    <t>26+5</t>
  </si>
  <si>
    <t>GP315_PE_YA_02</t>
  </si>
  <si>
    <t>ГП 315. Клапан системы ПЕ2</t>
  </si>
  <si>
    <t>26+8</t>
  </si>
  <si>
    <t>26+7</t>
  </si>
  <si>
    <t>GP315_VA_YA_01</t>
  </si>
  <si>
    <t>ГП 315. Клапан системы ВА1</t>
  </si>
  <si>
    <t>26+10</t>
  </si>
  <si>
    <t>26+9</t>
  </si>
  <si>
    <t>5+3</t>
  </si>
  <si>
    <t>GP315_VA_YA_02</t>
  </si>
  <si>
    <t>ГП 315. Клапан системы ВА2</t>
  </si>
  <si>
    <t>26+12</t>
  </si>
  <si>
    <t>26+11</t>
  </si>
  <si>
    <t>5+4</t>
  </si>
  <si>
    <t>GP315_PD_YA_01</t>
  </si>
  <si>
    <t>ГП 315. Клапан дымоудаления системы ПД1</t>
  </si>
  <si>
    <t>MOPS03_01+1</t>
  </si>
  <si>
    <t>26+1</t>
  </si>
  <si>
    <t>GP315_VD_YA_01</t>
  </si>
  <si>
    <t>ГП 315. Клапан дымоудаления системы ВД1</t>
  </si>
  <si>
    <t>MOPS03_01+2</t>
  </si>
  <si>
    <t>26+2</t>
  </si>
  <si>
    <t>GP315_VA_01</t>
  </si>
  <si>
    <t>ГП 315. Вентилятор ВА1</t>
  </si>
  <si>
    <t>MOPS03_14+2</t>
  </si>
  <si>
    <t>5+5</t>
  </si>
  <si>
    <t>GP315_VA_02</t>
  </si>
  <si>
    <t>ГП 315. Вентилятор ВА2</t>
  </si>
  <si>
    <t>MOPS03_14+3</t>
  </si>
  <si>
    <t>5+6</t>
  </si>
  <si>
    <t>GP315_PD_01</t>
  </si>
  <si>
    <t>ГП 315. Вентилятор дымоудаления системы ПД1</t>
  </si>
  <si>
    <t>5+7</t>
  </si>
  <si>
    <t>GP315_VD_01</t>
  </si>
  <si>
    <t>ГП 315. Вентилятор дымоудаления системы ВД1</t>
  </si>
  <si>
    <t>5+8</t>
  </si>
  <si>
    <t>GP315_V_01_01</t>
  </si>
  <si>
    <t>ГП 315. Вентилятор В1.1</t>
  </si>
  <si>
    <t>MOPS03_14+4</t>
  </si>
  <si>
    <t>5+9</t>
  </si>
  <si>
    <t>GP315_V_01_02</t>
  </si>
  <si>
    <t>ГП 315. Вентилятор В1.2</t>
  </si>
  <si>
    <t>MOPS03_14+5</t>
  </si>
  <si>
    <t>5+10</t>
  </si>
  <si>
    <t>GP315_V_02</t>
  </si>
  <si>
    <t>ГП 315. Вентилятор В2</t>
  </si>
  <si>
    <t>26+21</t>
  </si>
  <si>
    <t>!26+21</t>
  </si>
  <si>
    <t>5+12</t>
  </si>
  <si>
    <t>5+11</t>
  </si>
  <si>
    <t>GP315_P_01</t>
  </si>
  <si>
    <t>ГП 315. Сигнал в ШСАУ "Систему П1 отключить при пожаре"</t>
  </si>
  <si>
    <t>5+13</t>
  </si>
  <si>
    <t>GP315_SB_01</t>
  </si>
  <si>
    <t>ГП 315. Шлейф кнопок "Пуск пож.кранов" SB1..SB4</t>
  </si>
  <si>
    <t>MOPS03_01+7</t>
  </si>
  <si>
    <t>GP315_VD_SB1</t>
  </si>
  <si>
    <t>ГП 315. Шлейф кнопок "Пуск системы ВД1" BД-SB1..BД-SB2</t>
  </si>
  <si>
    <t>MOPS03_01+5</t>
  </si>
  <si>
    <t>GP315_VD_SB3</t>
  </si>
  <si>
    <t>ГП 315. Шлейф кнопок "Пуск системы ВД1" BД-SB3..BД-SB5</t>
  </si>
  <si>
    <t>MOPS03_01+6</t>
  </si>
  <si>
    <t>GP315_V_SB1</t>
  </si>
  <si>
    <t>ГП 315. Шлейф кнопок "Отключить вентиляцию" В-SB1..В-SB2</t>
  </si>
  <si>
    <t>26+13</t>
  </si>
  <si>
    <t>GP315_V_SB3</t>
  </si>
  <si>
    <t>ГП 315. Шлейф кнопок "Отключить вентиляцию" В-SB3..В-SB5</t>
  </si>
  <si>
    <t>26+14</t>
  </si>
  <si>
    <t>GP315_VA1_SB1</t>
  </si>
  <si>
    <t>ГП 315. Шлейф кнопок "Пуск системы ВА1-ВА2" ВА1-SB1..SB2</t>
  </si>
  <si>
    <t>26+15</t>
  </si>
  <si>
    <t>GP315_VA1_SB3</t>
  </si>
  <si>
    <t>ГП 315. Шлейф кнопок "Пуск системы ВА1-ВА2" ВА1-SB3..SB5</t>
  </si>
  <si>
    <t>26+16</t>
  </si>
  <si>
    <t>GP315_HL_01</t>
  </si>
  <si>
    <t>ГП 315. Табло "Загазованность" HL1..HL4</t>
  </si>
  <si>
    <t>MUPS03_02+2</t>
  </si>
  <si>
    <t>GP315_HL_02</t>
  </si>
  <si>
    <t>ГП 315. Табло "Загазованность" HL5..HL10</t>
  </si>
  <si>
    <t>MUPS03_02+3</t>
  </si>
  <si>
    <t>GP315_HA_01</t>
  </si>
  <si>
    <t>ГП 315. Сирена "Загазованность" HА1..HA4</t>
  </si>
  <si>
    <t>MUPS03_02+4</t>
  </si>
  <si>
    <t>GP315_HA_02</t>
  </si>
  <si>
    <t>ГП 315. Сирена "Загазованность" HА5..HA10</t>
  </si>
  <si>
    <t>MUPS03_03+1</t>
  </si>
  <si>
    <t>GP315_T_01</t>
  </si>
  <si>
    <t>ГП 315. Температура T1</t>
  </si>
  <si>
    <t>GP450_BTH_01</t>
  </si>
  <si>
    <t>MOPS04_18+3</t>
  </si>
  <si>
    <t>GP450_BTH_02</t>
  </si>
  <si>
    <t>MOPS04_18+4</t>
  </si>
  <si>
    <t>GP450_BTH_03</t>
  </si>
  <si>
    <t>MOPS04_18+5</t>
  </si>
  <si>
    <t>GP450_BTH_04</t>
  </si>
  <si>
    <t>MOPS04_18+6</t>
  </si>
  <si>
    <t>GP450_BTH_05</t>
  </si>
  <si>
    <t>MOPS04_18+7</t>
  </si>
  <si>
    <t>GP450_BTH_06</t>
  </si>
  <si>
    <t>MOPS04_18+8</t>
  </si>
  <si>
    <t>GP450_BTH_07</t>
  </si>
  <si>
    <t>MOPS04_19+1</t>
  </si>
  <si>
    <t>GP450_BTH_08</t>
  </si>
  <si>
    <t>MOPS04_19+2</t>
  </si>
  <si>
    <t>GP450_BTH_09</t>
  </si>
  <si>
    <t>MOPS04_19+3</t>
  </si>
  <si>
    <t>GP450_BTH_10</t>
  </si>
  <si>
    <t>MOPS04_19+4</t>
  </si>
  <si>
    <t>GP450_BTH_11</t>
  </si>
  <si>
    <t>MOPS04_19+5</t>
  </si>
  <si>
    <t>GP450_BTH_12</t>
  </si>
  <si>
    <t>MOPS04_19+6</t>
  </si>
  <si>
    <t>GP450_BTH_13</t>
  </si>
  <si>
    <t>MOPS04_19+7</t>
  </si>
  <si>
    <t>GP450_BTH_14</t>
  </si>
  <si>
    <t>MOPS04_19+8</t>
  </si>
  <si>
    <t>GP450_BTH_15</t>
  </si>
  <si>
    <t>MOPS04_20+1</t>
  </si>
  <si>
    <t>GP450_BTH_16</t>
  </si>
  <si>
    <t>MOPS04_20+2</t>
  </si>
  <si>
    <t>GP450_BTK_17</t>
  </si>
  <si>
    <t>MOPS03_14+6</t>
  </si>
  <si>
    <t>GP450_BTM_18</t>
  </si>
  <si>
    <t>MOPS04_20+4</t>
  </si>
  <si>
    <t>GP450_BTM_19</t>
  </si>
  <si>
    <t>MOPS04_20+5</t>
  </si>
  <si>
    <t>GP450_BTM_20</t>
  </si>
  <si>
    <t>MOPS04_20+6</t>
  </si>
  <si>
    <t>GP450_BTM_21</t>
  </si>
  <si>
    <t>MOPS04_20+7</t>
  </si>
  <si>
    <t>GP450_BTM_22</t>
  </si>
  <si>
    <t>MOPS04_20+8</t>
  </si>
  <si>
    <t>GP450_BTM_23</t>
  </si>
  <si>
    <t>MOPS04_21+1</t>
  </si>
  <si>
    <t>GP450_BTM_24</t>
  </si>
  <si>
    <t>MOPS04_21+2</t>
  </si>
  <si>
    <t>GP450_GA_01</t>
  </si>
  <si>
    <t>ГП 450. Газоанализатор G1</t>
  </si>
  <si>
    <t>GP450_GA_02</t>
  </si>
  <si>
    <t>ГП 450. Газоанализатор G2</t>
  </si>
  <si>
    <t>GP450_GA_03</t>
  </si>
  <si>
    <t>ГП 450. Газоанализатор G3</t>
  </si>
  <si>
    <t>GP450_GA_04</t>
  </si>
  <si>
    <t>ГП 450. Газоанализатор G4</t>
  </si>
  <si>
    <t>GP450_GA_05</t>
  </si>
  <si>
    <t>ГП 450. Газоанализатор G5</t>
  </si>
  <si>
    <t>GP450_GA_06</t>
  </si>
  <si>
    <t>ГП 450. Газоанализатор G6</t>
  </si>
  <si>
    <t>GP450_BIAS_01</t>
  </si>
  <si>
    <t>MUPS04_08+1</t>
  </si>
  <si>
    <t>GP450_BIAS_02</t>
  </si>
  <si>
    <t>MUPS04_08+2</t>
  </si>
  <si>
    <t>GP450_BIAS_03</t>
  </si>
  <si>
    <t>MUPS04_08+3</t>
  </si>
  <si>
    <t>GP450_BIAS_04</t>
  </si>
  <si>
    <t>MUPS04_08+4</t>
  </si>
  <si>
    <t>GP450_BIAS_05</t>
  </si>
  <si>
    <t>MUPS04_09+1</t>
  </si>
  <si>
    <t>GP450_BIAS_06</t>
  </si>
  <si>
    <t>MUPS04_09+2</t>
  </si>
  <si>
    <t>GP450_BIAS_07</t>
  </si>
  <si>
    <t>MUPS04_09+3</t>
  </si>
  <si>
    <t>GP450_BIAS_08</t>
  </si>
  <si>
    <t>MUPS04_09+4</t>
  </si>
  <si>
    <t>GP450_BIAS_09</t>
  </si>
  <si>
    <t>MUPS04_10+1</t>
  </si>
  <si>
    <t>GP450_BIAS_10</t>
  </si>
  <si>
    <t>MUPS04_10+2</t>
  </si>
  <si>
    <t>GP450_BIAS_11</t>
  </si>
  <si>
    <t>MUPS04_10+3</t>
  </si>
  <si>
    <t>GP450_OK_01</t>
  </si>
  <si>
    <t>ГП 450. ОЗК системы П1</t>
  </si>
  <si>
    <t>31+1</t>
  </si>
  <si>
    <t>MOPS04_15+1</t>
  </si>
  <si>
    <t>19+1</t>
  </si>
  <si>
    <t>GP450_OK_02</t>
  </si>
  <si>
    <t>ГП 450. ОЗК системы 1П3</t>
  </si>
  <si>
    <t>31+2</t>
  </si>
  <si>
    <t>MOPS04_15+2</t>
  </si>
  <si>
    <t>19+2</t>
  </si>
  <si>
    <t>GP450_OK_03</t>
  </si>
  <si>
    <t>ГП 450. ОЗК системы 2П3</t>
  </si>
  <si>
    <t>31+3</t>
  </si>
  <si>
    <t>MOPS04_15+3</t>
  </si>
  <si>
    <t>19+3</t>
  </si>
  <si>
    <t>GP450_OK_04</t>
  </si>
  <si>
    <t>ГП 450. ОЗК системы 1П5</t>
  </si>
  <si>
    <t>31+4</t>
  </si>
  <si>
    <t>MOPS04_15+4</t>
  </si>
  <si>
    <t>19+4</t>
  </si>
  <si>
    <t>GP450_OK_05</t>
  </si>
  <si>
    <t>ГП 450. ОЗК системы 2П5</t>
  </si>
  <si>
    <t>31+5</t>
  </si>
  <si>
    <t>MOPS04_15+5</t>
  </si>
  <si>
    <t>19+5</t>
  </si>
  <si>
    <t>GP450_OK_06</t>
  </si>
  <si>
    <t>ГП 450. ОЗК системы П4</t>
  </si>
  <si>
    <t>31+6</t>
  </si>
  <si>
    <t>MOPS04_15+6</t>
  </si>
  <si>
    <t>19+6</t>
  </si>
  <si>
    <t>GP450_OK_07</t>
  </si>
  <si>
    <t>ГП 450. ОЗК системы В1</t>
  </si>
  <si>
    <t>31+7</t>
  </si>
  <si>
    <t>MOPS04_15+7</t>
  </si>
  <si>
    <t>19+7</t>
  </si>
  <si>
    <t>GP450_OK_08</t>
  </si>
  <si>
    <t>ГП 450. ОЗК системы В3</t>
  </si>
  <si>
    <t>31+8</t>
  </si>
  <si>
    <t>MOPS04_15+8</t>
  </si>
  <si>
    <t>19+8</t>
  </si>
  <si>
    <t>GP450_OK_09</t>
  </si>
  <si>
    <t>ГП 450. ОЗК системы 1В4</t>
  </si>
  <si>
    <t>31+9</t>
  </si>
  <si>
    <t>MOPS04_16+1</t>
  </si>
  <si>
    <t>19+9</t>
  </si>
  <si>
    <t>GP450_OK_10</t>
  </si>
  <si>
    <t>ГП 450. ОЗК системы 2В4</t>
  </si>
  <si>
    <t>31+10</t>
  </si>
  <si>
    <t>MOPS04_16+2</t>
  </si>
  <si>
    <t>19+10</t>
  </si>
  <si>
    <t>GP450_OK_11</t>
  </si>
  <si>
    <t>ГП 450. ОЗК системы 1В6</t>
  </si>
  <si>
    <t>31+11</t>
  </si>
  <si>
    <t>MOPS04_16+3</t>
  </si>
  <si>
    <t>19+11</t>
  </si>
  <si>
    <t>GP450_OK_12</t>
  </si>
  <si>
    <t>ГП 450. ОЗК системы 2В6</t>
  </si>
  <si>
    <t>31+12</t>
  </si>
  <si>
    <t>MOPS04_16+4</t>
  </si>
  <si>
    <t>19+12</t>
  </si>
  <si>
    <t>GP450_OK_13</t>
  </si>
  <si>
    <t>ГП 450. ОЗК системы 3В6</t>
  </si>
  <si>
    <t>31+13</t>
  </si>
  <si>
    <t>MOPS04_16+5</t>
  </si>
  <si>
    <t>19+13</t>
  </si>
  <si>
    <t>GP450_OK_14</t>
  </si>
  <si>
    <t>ГП 450. ОЗК системы 4В6</t>
  </si>
  <si>
    <t>31+14</t>
  </si>
  <si>
    <t>MOPS04_16+6</t>
  </si>
  <si>
    <t>19+14</t>
  </si>
  <si>
    <t>GP450_OK_15</t>
  </si>
  <si>
    <t>ГП 450. ОЗК системы В8</t>
  </si>
  <si>
    <t>31+15</t>
  </si>
  <si>
    <t>MOPS04_16+7</t>
  </si>
  <si>
    <t>19+15</t>
  </si>
  <si>
    <t>GP450_KD_01</t>
  </si>
  <si>
    <t>ГП 450. Клапан дымоудаления системы ДВ1</t>
  </si>
  <si>
    <t>MOPS03_12+4</t>
  </si>
  <si>
    <t>27+26</t>
  </si>
  <si>
    <t>19+16</t>
  </si>
  <si>
    <t>GP450_KD_02</t>
  </si>
  <si>
    <t>ГП 450. Клапан дымоудаления системы ДВ2</t>
  </si>
  <si>
    <t>MOPS03_12+5</t>
  </si>
  <si>
    <t>27+27</t>
  </si>
  <si>
    <t>19+17</t>
  </si>
  <si>
    <t>GP450_KD_03</t>
  </si>
  <si>
    <t>ГП 450. Клапан дымоудаления системы ДВ3</t>
  </si>
  <si>
    <t>MOPS03_12+6</t>
  </si>
  <si>
    <t>27+28</t>
  </si>
  <si>
    <t>19+18</t>
  </si>
  <si>
    <t>GP450_KD_04</t>
  </si>
  <si>
    <t>ГП 450. Клапан дымоудаления системы ДВ4</t>
  </si>
  <si>
    <t>MOPS03_12+7</t>
  </si>
  <si>
    <t>27+29</t>
  </si>
  <si>
    <t>19+19</t>
  </si>
  <si>
    <t>GP450_KD_05_01</t>
  </si>
  <si>
    <t>ГП 450. Клапан дымоудаления системы 1ДПЕ1</t>
  </si>
  <si>
    <t>MOPS03_12+8</t>
  </si>
  <si>
    <t>27+30</t>
  </si>
  <si>
    <t>19+20</t>
  </si>
  <si>
    <t>GP450_KD_05_02</t>
  </si>
  <si>
    <t>ГП 450. Клапан дымоудаления системы 2ДПЕ1</t>
  </si>
  <si>
    <t>MOPS03_13+1</t>
  </si>
  <si>
    <t>27+31</t>
  </si>
  <si>
    <t>19+21</t>
  </si>
  <si>
    <t>GP450_KD_06_01</t>
  </si>
  <si>
    <t>ГП 450. Клапан дымоудаления системы 1ДПЕ2</t>
  </si>
  <si>
    <t>MOPS03_13+2</t>
  </si>
  <si>
    <t>27+32</t>
  </si>
  <si>
    <t>19+22</t>
  </si>
  <si>
    <t>GP450_KD_06_02</t>
  </si>
  <si>
    <t>ГП 450. Клапан дымоудаления системы 2ДПЕ2</t>
  </si>
  <si>
    <t>MOPS03_13+3</t>
  </si>
  <si>
    <t>28+1</t>
  </si>
  <si>
    <t>19+23</t>
  </si>
  <si>
    <t>GP450_KD_07_01</t>
  </si>
  <si>
    <t>ГП 450. Клапан дымоудаления системы 1ДПЕ3</t>
  </si>
  <si>
    <t>MOPS03_13+4</t>
  </si>
  <si>
    <t>28+2</t>
  </si>
  <si>
    <t>19+24</t>
  </si>
  <si>
    <t>GP450_KD_07_02</t>
  </si>
  <si>
    <t>ГП 450. Клапан дымоудаления системы 2ДПЕ3</t>
  </si>
  <si>
    <t>MOPS03_13+5</t>
  </si>
  <si>
    <t>28+3</t>
  </si>
  <si>
    <t>19+25</t>
  </si>
  <si>
    <t>GP450_KD_08</t>
  </si>
  <si>
    <t>ГП 450. Клапан дымоудаления системы ДП1</t>
  </si>
  <si>
    <t>MOPS03_13+6</t>
  </si>
  <si>
    <t>28+4</t>
  </si>
  <si>
    <t>19+26</t>
  </si>
  <si>
    <t>GP450_KD_09</t>
  </si>
  <si>
    <t>ГП 450. Клапан дымоудаления системы ДП2</t>
  </si>
  <si>
    <t>MOPS03_13+7</t>
  </si>
  <si>
    <t>28+5</t>
  </si>
  <si>
    <t>19+27</t>
  </si>
  <si>
    <t>GP450_V_01</t>
  </si>
  <si>
    <t>ГП 450. Вентилятор В1</t>
  </si>
  <si>
    <t>28+6</t>
  </si>
  <si>
    <t>GP450_V_02</t>
  </si>
  <si>
    <t>ГП 450. Вентилятор В2</t>
  </si>
  <si>
    <t>28+7</t>
  </si>
  <si>
    <t>15+10</t>
  </si>
  <si>
    <t>GP450_V_03</t>
  </si>
  <si>
    <t>ГП 450. Вентилятор В3</t>
  </si>
  <si>
    <t>28+8</t>
  </si>
  <si>
    <t>15+12</t>
  </si>
  <si>
    <t>15+11</t>
  </si>
  <si>
    <t>GP450_V_04</t>
  </si>
  <si>
    <t>ГП 450. Вентилятор В4</t>
  </si>
  <si>
    <t>28+9</t>
  </si>
  <si>
    <t>15+14</t>
  </si>
  <si>
    <t>15+13</t>
  </si>
  <si>
    <t>GP450_V_05</t>
  </si>
  <si>
    <t>ГП 450. Вентилятор В5</t>
  </si>
  <si>
    <t>28+10</t>
  </si>
  <si>
    <t>15+16</t>
  </si>
  <si>
    <t>15+15</t>
  </si>
  <si>
    <t>GP450_V_06</t>
  </si>
  <si>
    <t>ГП 450. Вентилятор В6</t>
  </si>
  <si>
    <t>28+11</t>
  </si>
  <si>
    <t>GP450_V_07</t>
  </si>
  <si>
    <t>ГП 450. Вентилятор В7</t>
  </si>
  <si>
    <t>28+12</t>
  </si>
  <si>
    <t>15+20</t>
  </si>
  <si>
    <t>GP450_V_08</t>
  </si>
  <si>
    <t>ГП 450. Вентилятор В8</t>
  </si>
  <si>
    <t>28+13</t>
  </si>
  <si>
    <t>15+22</t>
  </si>
  <si>
    <t>15+21</t>
  </si>
  <si>
    <t>GP450_V_11</t>
  </si>
  <si>
    <t>ГП 450. Вентилятор В11</t>
  </si>
  <si>
    <t>28+14</t>
  </si>
  <si>
    <t>15+24</t>
  </si>
  <si>
    <t>15+23</t>
  </si>
  <si>
    <t>GP450_V_12</t>
  </si>
  <si>
    <t>ГП 450. Вентилятор В12</t>
  </si>
  <si>
    <t>28+15</t>
  </si>
  <si>
    <t>15+26</t>
  </si>
  <si>
    <t>15+25</t>
  </si>
  <si>
    <t>GP450_V_13_01</t>
  </si>
  <si>
    <t>ГП 450. Вентилятор В13.1</t>
  </si>
  <si>
    <t>28+16</t>
  </si>
  <si>
    <t>15+28</t>
  </si>
  <si>
    <t>15+27</t>
  </si>
  <si>
    <t>GP450_V_13_02</t>
  </si>
  <si>
    <t>ГП 450. Вентилятор В13.2</t>
  </si>
  <si>
    <t>28+17</t>
  </si>
  <si>
    <t>15+30</t>
  </si>
  <si>
    <t>15+29</t>
  </si>
  <si>
    <t>GP450_V_14</t>
  </si>
  <si>
    <t>ГП 450. Вентилятор В14</t>
  </si>
  <si>
    <t>28+18</t>
  </si>
  <si>
    <t>15+32</t>
  </si>
  <si>
    <t>15+31</t>
  </si>
  <si>
    <t>GP450_DP_01</t>
  </si>
  <si>
    <t>ГП 450. Вентилятор дымоудаления системы ДП1</t>
  </si>
  <si>
    <t>MOPS04_17+5</t>
  </si>
  <si>
    <t>19+28</t>
  </si>
  <si>
    <t>GP450_DP_02</t>
  </si>
  <si>
    <t>ГП 450. Вентилятор дымоудаления системы ДП2</t>
  </si>
  <si>
    <t>MOPS04_17+6</t>
  </si>
  <si>
    <t>19+29</t>
  </si>
  <si>
    <t>GP450_DV_01</t>
  </si>
  <si>
    <t>ГП 450. Вентилятор дымоудаления системы ДВ1</t>
  </si>
  <si>
    <t>MOPS04_17+7</t>
  </si>
  <si>
    <t>19+30</t>
  </si>
  <si>
    <t>GP450_DV_02</t>
  </si>
  <si>
    <t>ГП 450. Вентилятор дымоудаления системы ДВ2</t>
  </si>
  <si>
    <t>MOPS04_17+8</t>
  </si>
  <si>
    <t>19+31</t>
  </si>
  <si>
    <t>GP450_DV_03</t>
  </si>
  <si>
    <t>ГП 450. Вентилятор дымоудаления системы ДВ3</t>
  </si>
  <si>
    <t>MOPS04_18+1</t>
  </si>
  <si>
    <t>19+32</t>
  </si>
  <si>
    <t>GP450_DV_04</t>
  </si>
  <si>
    <t>ГП 450. Вентилятор дымоудаления системы ДВ4</t>
  </si>
  <si>
    <t>MOPS04_18+2</t>
  </si>
  <si>
    <t>22+1</t>
  </si>
  <si>
    <t>GP450_P_01</t>
  </si>
  <si>
    <t>ГП 450. Сигнал в ШСАУ "Систему П1 отключить при пожаре"</t>
  </si>
  <si>
    <t>16+1</t>
  </si>
  <si>
    <t>GP450_P_02</t>
  </si>
  <si>
    <t>ГП 450. Сигнал в ШСАУ "Систему П2 отключить при пожаре"</t>
  </si>
  <si>
    <t>16+2</t>
  </si>
  <si>
    <t>GP450_P_03</t>
  </si>
  <si>
    <t>ГП 450. Сигнал в ШСАУ "Систему П3 отключить при пожаре"</t>
  </si>
  <si>
    <t>16+3</t>
  </si>
  <si>
    <t>GP450_P_04</t>
  </si>
  <si>
    <t>ГП 450. Сигнал в ШСАУ "Систему П4 отключить при пожаре"</t>
  </si>
  <si>
    <t>16+4</t>
  </si>
  <si>
    <t>GP450_P_05</t>
  </si>
  <si>
    <t>ГП 450. Сигнал в ШСАУ "Систему П5 отключить при пожаре"</t>
  </si>
  <si>
    <t>16+5</t>
  </si>
  <si>
    <t>GP450_V_10</t>
  </si>
  <si>
    <t>ГП 450. Сигнал "Компрессор системы В10 отключить при пожаре"</t>
  </si>
  <si>
    <t>16+6</t>
  </si>
  <si>
    <t>GP450_V_10_01</t>
  </si>
  <si>
    <t>ГП 450. Сигнал "Компрессор системы В10.1 отключить при пожаре"</t>
  </si>
  <si>
    <t>16+7</t>
  </si>
  <si>
    <t>GP450_V_09</t>
  </si>
  <si>
    <t>ГП 450. Сигнал "Компрессор системы В9 отключить при пожаре"</t>
  </si>
  <si>
    <t>16+8</t>
  </si>
  <si>
    <t>GP450_V_09_01</t>
  </si>
  <si>
    <t>ГП 450. Сигнал "Компрессор системы В9.1 отключить при пожаре"</t>
  </si>
  <si>
    <t>16+9</t>
  </si>
  <si>
    <t>GP450_U_01</t>
  </si>
  <si>
    <t>ГП 450. Сигнал "Тепловую завесу У1 отключить при пожаре"</t>
  </si>
  <si>
    <t>16+10</t>
  </si>
  <si>
    <t>GP450_U_02</t>
  </si>
  <si>
    <t>ГП 450. Сигнал "Тепловую завесу У2 отключить при пожаре"</t>
  </si>
  <si>
    <t>16+11</t>
  </si>
  <si>
    <t>GP450_U_03</t>
  </si>
  <si>
    <t>ГП 450. Сигнал "Тепловую завесу У3 отключить при пожаре"</t>
  </si>
  <si>
    <t>16+12</t>
  </si>
  <si>
    <t>GP450_U_04</t>
  </si>
  <si>
    <t>ГП 450. Сигнал "Тепловую завесу У4 отключить при пожаре"</t>
  </si>
  <si>
    <t>16+13</t>
  </si>
  <si>
    <t>GP450_U_05</t>
  </si>
  <si>
    <t>ГП 450. Сигнал "Тепловую завесу У5 отключить при пожаре"</t>
  </si>
  <si>
    <t>16+14</t>
  </si>
  <si>
    <t>TO_SKUD_GP450_XFRX</t>
  </si>
  <si>
    <t>ГП 450. Сигнал в СКУД "Пожар обобщенный"</t>
  </si>
  <si>
    <t>18+29</t>
  </si>
  <si>
    <t>GP450_CB_SB_01</t>
  </si>
  <si>
    <t>ГП 450. Шлейф кнопок "Отключить вентиляцию" CВ-SB1..SB8</t>
  </si>
  <si>
    <t>28+19</t>
  </si>
  <si>
    <t>GP450_DV_SB_01</t>
  </si>
  <si>
    <t>ГП 450. Шлейф кнопок "Пуск системы ДВ1" ДВ1-SB1..SB5</t>
  </si>
  <si>
    <t>MOPS04_16+8</t>
  </si>
  <si>
    <t>GP450_DV_SB_02</t>
  </si>
  <si>
    <t>ГП 450. Шлейф кнопок "Пуск системы ДВ2-ДВ3" ДВ2-SB1..SB4</t>
  </si>
  <si>
    <t>MOPS04_17+1</t>
  </si>
  <si>
    <t>GP450_DV_SB_03</t>
  </si>
  <si>
    <t>ГП 450. Шлейф кнопок "Пуск системы ДВ4" ДВ3-SB1..SB7</t>
  </si>
  <si>
    <t>MOPS04_17+2</t>
  </si>
  <si>
    <t>GP450_SB_PK_01</t>
  </si>
  <si>
    <t>ГП 450. Шлейф кнопок "Пуск пож.кранов" ПК1-SB..ПК4-SB</t>
  </si>
  <si>
    <t>MOPS04_17+3</t>
  </si>
  <si>
    <t>GP450_SB_PK_05</t>
  </si>
  <si>
    <t>ГП 450. Шлейф кнопок "Пуск пож.кранов" ПК5-SB..ПК9-SB</t>
  </si>
  <si>
    <t>MOPS04_17+4</t>
  </si>
  <si>
    <t>GP450_HL_01</t>
  </si>
  <si>
    <t>ГП 450. Табло "Загазованность" HL1</t>
  </si>
  <si>
    <t>MUPS04_10+4</t>
  </si>
  <si>
    <t>GP450_HL_02</t>
  </si>
  <si>
    <t>ГП 450. Табло "Загазованность" HL2</t>
  </si>
  <si>
    <t>GP450_HA_01</t>
  </si>
  <si>
    <t>ГП 450. Сирена "Загазованность" HA1</t>
  </si>
  <si>
    <t>GP450_HA_02</t>
  </si>
  <si>
    <t>ГП 450. Сирена "Загазованность" HA2</t>
  </si>
  <si>
    <t>GP050_BTH_01</t>
  </si>
  <si>
    <t>MOPS04_21+3</t>
  </si>
  <si>
    <t>GP050_BTH_02</t>
  </si>
  <si>
    <t>MOPS04_21+4</t>
  </si>
  <si>
    <t>GP050_BTH_03</t>
  </si>
  <si>
    <t>MOPS04_21+5</t>
  </si>
  <si>
    <t>GP050_BTH_04</t>
  </si>
  <si>
    <t>MOPS04_21+6</t>
  </si>
  <si>
    <t>GP050_BTH_05</t>
  </si>
  <si>
    <t>MOPS04_21+7</t>
  </si>
  <si>
    <t>GP050_BTH_06</t>
  </si>
  <si>
    <t>MOPS04_21+8</t>
  </si>
  <si>
    <t>GP050_BTM_7</t>
  </si>
  <si>
    <t>MOPS04_22+1</t>
  </si>
  <si>
    <t>GP050_BTM_8</t>
  </si>
  <si>
    <t>MOPS04_22+2</t>
  </si>
  <si>
    <t>GP050_BTM_9</t>
  </si>
  <si>
    <t>MOPS04_22+3</t>
  </si>
  <si>
    <t>GP050_BTH_10</t>
  </si>
  <si>
    <t>MOPS04_22+4</t>
  </si>
  <si>
    <t>GP050_BIAS_01</t>
  </si>
  <si>
    <t>GP050_BIAS_02</t>
  </si>
  <si>
    <t>GP050_BIAS_03</t>
  </si>
  <si>
    <t>GP050_BIAS_04</t>
  </si>
  <si>
    <t>ГП 50. Сирена "Пожар" BIAS4</t>
  </si>
  <si>
    <t>GP050_OK_01</t>
  </si>
  <si>
    <t>ГП 50. ОЗК системы П1</t>
  </si>
  <si>
    <t>28+23</t>
  </si>
  <si>
    <t>MOPS03_13+8</t>
  </si>
  <si>
    <t>22+2</t>
  </si>
  <si>
    <t>GP050_OK_02</t>
  </si>
  <si>
    <t>ГП 50. ОЗК системы В2</t>
  </si>
  <si>
    <t>28+24</t>
  </si>
  <si>
    <t>MOPS03_14+1</t>
  </si>
  <si>
    <t>22+3</t>
  </si>
  <si>
    <t>GP050_V_01</t>
  </si>
  <si>
    <t>ГП 50. Вентилятор B1</t>
  </si>
  <si>
    <t>28+20</t>
  </si>
  <si>
    <t>!28+20</t>
  </si>
  <si>
    <t>16+16</t>
  </si>
  <si>
    <t>16+15</t>
  </si>
  <si>
    <t>GP050_V_02_01</t>
  </si>
  <si>
    <t>ГП 50. Вентилятор B2.1</t>
  </si>
  <si>
    <t>28+21</t>
  </si>
  <si>
    <t>!28+21</t>
  </si>
  <si>
    <t>16+18</t>
  </si>
  <si>
    <t>16+17</t>
  </si>
  <si>
    <t>GP050_V_02_02</t>
  </si>
  <si>
    <t>ГП 50. Вентилятор B2.2</t>
  </si>
  <si>
    <t>28+22</t>
  </si>
  <si>
    <t>!28+22</t>
  </si>
  <si>
    <t>16+20</t>
  </si>
  <si>
    <t>16+19</t>
  </si>
  <si>
    <t>GP050_K_01_01</t>
  </si>
  <si>
    <t>ГП 50. Сигнал "Систему K1.1 отключить при пожаре"</t>
  </si>
  <si>
    <t>16+21</t>
  </si>
  <si>
    <t>GP050_K_01_02</t>
  </si>
  <si>
    <t>ГП 50. Сигнал "Систему K1.2 отключить при пожаре"</t>
  </si>
  <si>
    <t>16+22</t>
  </si>
  <si>
    <t>GP050_K_02_01</t>
  </si>
  <si>
    <t>ГП 50. Сигнал "Систему K2.1 отключить при пожаре"</t>
  </si>
  <si>
    <t>16+23</t>
  </si>
  <si>
    <t>GP050_K_02_02</t>
  </si>
  <si>
    <t>ГП 50. Сигнал "Систему K2.2 отключить при пожаре"</t>
  </si>
  <si>
    <t>16+24</t>
  </si>
  <si>
    <t>GP050_K_03</t>
  </si>
  <si>
    <t>ГП 50. Сигнал "Систему K3 отключить при пожаре"</t>
  </si>
  <si>
    <t>16+25</t>
  </si>
  <si>
    <t>GP050_P_01</t>
  </si>
  <si>
    <t>ГП 50. Сигнал в ШСАУ "Систему П1 отключить при пожаре"</t>
  </si>
  <si>
    <t>16+26</t>
  </si>
  <si>
    <t>GP050_U_01</t>
  </si>
  <si>
    <t>ГП 50. Сигнал "Систему У1 отключить при пожаре"</t>
  </si>
  <si>
    <t>16+27</t>
  </si>
  <si>
    <t>GP050_U_02</t>
  </si>
  <si>
    <t>ГП 50. Сигнал "Систему У2 отключить при пожаре"</t>
  </si>
  <si>
    <t>16+28</t>
  </si>
  <si>
    <t>TO_SKUD_GP050_XFRX</t>
  </si>
  <si>
    <t>ГП 50. Сигнал в СКУД "Пожар обобщенный"</t>
  </si>
  <si>
    <t>18+30</t>
  </si>
  <si>
    <t>GP050_V_SB1</t>
  </si>
  <si>
    <t>ГП 50. Шлейф кнопок "Отключить вентиляцию" В-SB1..В-SB6</t>
  </si>
  <si>
    <t>28+25</t>
  </si>
  <si>
    <t>FROM_SAU52_KL_OXOF</t>
  </si>
  <si>
    <t>ГП 52. Сработка газового отсечного клапана</t>
  </si>
  <si>
    <t>28+26</t>
  </si>
  <si>
    <t>FROM_SAU52_XT1X</t>
  </si>
  <si>
    <t xml:space="preserve">ГП 52. Загазованность 10% </t>
  </si>
  <si>
    <t>28+27</t>
  </si>
  <si>
    <t>FROM_SAU52_XT2X</t>
  </si>
  <si>
    <t xml:space="preserve">ГП 52. Загазованность 20% </t>
  </si>
  <si>
    <t>28+28</t>
  </si>
  <si>
    <t>FROM_SAU52_FXXX</t>
  </si>
  <si>
    <t>ГП 52. Неисправность системы КЗ</t>
  </si>
  <si>
    <t>28+29</t>
  </si>
  <si>
    <t>FROM_SAU52_CO_XT1X</t>
  </si>
  <si>
    <t>ГП 52. Содержание СО 1 порог</t>
  </si>
  <si>
    <t>28+30</t>
  </si>
  <si>
    <t>FROM_SAU52_CO_XT2X</t>
  </si>
  <si>
    <t>ГП 52. Содержание СО 2 порог</t>
  </si>
  <si>
    <t>28+31</t>
  </si>
  <si>
    <t>VS_SB_PG36_STOP</t>
  </si>
  <si>
    <t>ВС. Шлейф кнопок "Стоп пож.гидрантов" ПГ36-SB..ПГ38-SB</t>
  </si>
  <si>
    <t>34+1</t>
  </si>
  <si>
    <t>VS_SB_PG39_STOP</t>
  </si>
  <si>
    <t>ВС. Шлейф кнопок "Стоп пож.гидрантов" ПГ39-SB..ПГ40-SB</t>
  </si>
  <si>
    <t>34+2</t>
  </si>
  <si>
    <t>VS_SB_PG36_PUSK</t>
  </si>
  <si>
    <t>ВС. Шлейф кнопок "Пуск пож.гидрантов" ПГ36-SB..ПГ38-SB</t>
  </si>
  <si>
    <t>MOPS05_36+2</t>
  </si>
  <si>
    <t>VS_SB_PG39_PUSK</t>
  </si>
  <si>
    <t>ВС. Шлейф кнопок "Пуск пож.гидрантов" ПГ39-SB..ПГ40-SB</t>
  </si>
  <si>
    <t>MOPS05_36+3</t>
  </si>
  <si>
    <t>GP301</t>
  </si>
  <si>
    <t>GP301_OP</t>
  </si>
  <si>
    <t>GP301_UPG_01</t>
  </si>
  <si>
    <t xml:space="preserve">ГП 301. Газовое тушение </t>
  </si>
  <si>
    <t>GP304</t>
  </si>
  <si>
    <t>GP304_OP</t>
  </si>
  <si>
    <t>GP305</t>
  </si>
  <si>
    <t>GP305_OP</t>
  </si>
  <si>
    <t>GP315</t>
  </si>
  <si>
    <t>GP315_OP</t>
  </si>
  <si>
    <t>GP315_QSA</t>
  </si>
  <si>
    <t>GP450</t>
  </si>
  <si>
    <t>GP450_OP</t>
  </si>
  <si>
    <t>GP450_QSA</t>
  </si>
  <si>
    <t>GP050</t>
  </si>
  <si>
    <t>ГП 50</t>
  </si>
  <si>
    <t>GP050_OP</t>
  </si>
  <si>
    <t>ГП 50. Оповещение</t>
  </si>
  <si>
    <t>GP052_QSA</t>
  </si>
  <si>
    <t>ГП 52. Загазованность</t>
  </si>
  <si>
    <t>!28+6</t>
  </si>
  <si>
    <t>!28+7</t>
  </si>
  <si>
    <t>!28+8</t>
  </si>
  <si>
    <t>!28+9</t>
  </si>
  <si>
    <t>!28+10</t>
  </si>
  <si>
    <t>!28+11</t>
  </si>
  <si>
    <t>!28+12</t>
  </si>
  <si>
    <t>!28+13</t>
  </si>
  <si>
    <t>!28+14</t>
  </si>
  <si>
    <t>!28+15</t>
  </si>
  <si>
    <t>!28+16</t>
  </si>
  <si>
    <t>!28+17</t>
  </si>
  <si>
    <t>!28+18</t>
  </si>
  <si>
    <t>2BR16</t>
  </si>
  <si>
    <t>2BR17</t>
  </si>
  <si>
    <t>2BR18</t>
  </si>
  <si>
    <t>2BR19</t>
  </si>
  <si>
    <t>2BR20</t>
  </si>
  <si>
    <t>2BR21</t>
  </si>
  <si>
    <t>2BR22</t>
  </si>
  <si>
    <t>2BR23</t>
  </si>
  <si>
    <t>2BR24</t>
  </si>
  <si>
    <t>3BR25</t>
  </si>
  <si>
    <t>3BR26</t>
  </si>
  <si>
    <t>3BR27</t>
  </si>
  <si>
    <t>3BR28</t>
  </si>
  <si>
    <t>3BR29</t>
  </si>
  <si>
    <t>4BR30</t>
  </si>
  <si>
    <t>4BR31</t>
  </si>
  <si>
    <t>4BR32</t>
  </si>
  <si>
    <t>5BR33</t>
  </si>
  <si>
    <t>5BR34</t>
  </si>
  <si>
    <t>5BR35</t>
  </si>
  <si>
    <t>ГП301</t>
  </si>
  <si>
    <t>ГП304</t>
  </si>
  <si>
    <t>ГП305</t>
  </si>
  <si>
    <t>ГП315</t>
  </si>
  <si>
    <t>ГП450</t>
  </si>
  <si>
    <t>ГП050</t>
  </si>
  <si>
    <t>ГП052</t>
  </si>
  <si>
    <t>Основная</t>
  </si>
  <si>
    <t>. Сработка</t>
  </si>
  <si>
    <t>. Открыта</t>
  </si>
  <si>
    <t>. Утечка</t>
  </si>
  <si>
    <t>. Пожар</t>
  </si>
  <si>
    <t>ГП 301. ИП ручной BTM29/1</t>
  </si>
  <si>
    <t>ГП 301. ИП ручной BTM30/1</t>
  </si>
  <si>
    <t>ГП 301. ИП ручной BTM31/1</t>
  </si>
  <si>
    <t>ГП 301. ИП ручной BTM32/1</t>
  </si>
  <si>
    <t>ГП 301. ИП ручной BTM33/1</t>
  </si>
  <si>
    <t>ГП 301. ИП ручной BTM34/1</t>
  </si>
  <si>
    <t>ГП 301. ИП ручной BTM35/1</t>
  </si>
  <si>
    <t>ГП 301. ИП ручной BTM36/1</t>
  </si>
  <si>
    <t>ГП 301. ИП ручной BTM37/1</t>
  </si>
  <si>
    <t>ГП 301. ИП ручной BTM38/1</t>
  </si>
  <si>
    <t>ГП 301. ИП ручной BTM39/1</t>
  </si>
  <si>
    <t>ГП 305. ИП ручной BTM3/1</t>
  </si>
  <si>
    <t>ГП 305. ИП ручной BTM6/1</t>
  </si>
  <si>
    <t>ГП 305. ИП ручной BTM8/1</t>
  </si>
  <si>
    <t>ГП 305. ИП ручной BTM10/1</t>
  </si>
  <si>
    <t>ГП 305. Сирена "Пожар" BIAS2/1</t>
  </si>
  <si>
    <t>ГП 305. Сирена "Пожар" BIAS4/1</t>
  </si>
  <si>
    <t>ГП 315. ИП ручной BTM6/1</t>
  </si>
  <si>
    <t>ГП 315. ИП ручной BTM7/1</t>
  </si>
  <si>
    <t>ГП 315. Сирена "Пожар" BIAS2/1</t>
  </si>
  <si>
    <t>ГП 315. Сирена "Пожар" BIAS4/1</t>
  </si>
  <si>
    <t>ГП 315. Сирена "Пожар" BIAS5/1</t>
  </si>
  <si>
    <t>ГП 450. ИП тепловой BTK17/1</t>
  </si>
  <si>
    <t>ГП 450. ИП ручной BTM18/1</t>
  </si>
  <si>
    <t>ГП 450. ИП ручной BTM21/1</t>
  </si>
  <si>
    <t>ГП 450. ИП ручной BTM22/1</t>
  </si>
  <si>
    <t>ГП 450. ИП ручной BTM23/1</t>
  </si>
  <si>
    <t>ГП 50. ИП ручной BTM7/1</t>
  </si>
  <si>
    <t>ГП 50. ИП ручной BTM9/1</t>
  </si>
  <si>
    <t>ГП 301. ИП дымовой BTH1/1..11</t>
  </si>
  <si>
    <t>ГП 301. ИП дымовой BTH2/1..12</t>
  </si>
  <si>
    <t>ГП 301. ИП дымовой BTH3/1..6</t>
  </si>
  <si>
    <t>ГП 301. ИП тепловой BTK4/1..3</t>
  </si>
  <si>
    <t>ГП 301. ИП дымовой BTH5/1..9</t>
  </si>
  <si>
    <t>ГП 301. ИП дымовой BTH6/1..9</t>
  </si>
  <si>
    <t>ГП 301. ИП дымовой BTH7/1..3</t>
  </si>
  <si>
    <t>ГП 301. ИП дымовой BTH8/1..9</t>
  </si>
  <si>
    <t>ГП 301. ИП дымовой BTH8.1/1..9</t>
  </si>
  <si>
    <t>ГП 301. ИП дымовой BTH9/1..10</t>
  </si>
  <si>
    <t>ГП 301. ИП тепловой BTK10/1..3</t>
  </si>
  <si>
    <t>ГП 301. ИП дымовой BTH11/1..12</t>
  </si>
  <si>
    <t>ГП 301. ИП дымовой BTH12/1..6</t>
  </si>
  <si>
    <t>ГП 301. ИП тепловой BTK13/1..3</t>
  </si>
  <si>
    <t>ГП 301. ИП тепловой BTK14/1..5</t>
  </si>
  <si>
    <t>ГП 301. ИП дымовой BTH15/1..13</t>
  </si>
  <si>
    <t>ГП 301. ИП дымовой BTH15.1/1..13</t>
  </si>
  <si>
    <t>ГП 301. ИП дымовой BTH16/1..6</t>
  </si>
  <si>
    <t>ГП 301. ИП дымовой BTH17/1..4</t>
  </si>
  <si>
    <t>ГП 301. ИП дымовой BTH17.1/1..4</t>
  </si>
  <si>
    <t>ГП 301. ИП дымовой BTH18/1..14</t>
  </si>
  <si>
    <t>ГП 301. ИП дымовой BTH18.1/1..14</t>
  </si>
  <si>
    <t>ГП 301. ИП дымовой BTH19/1..3</t>
  </si>
  <si>
    <t>ГП 301. ИП дымовой BTH20/1..6</t>
  </si>
  <si>
    <t>ГП 301. ИП дымовой BTH20.1/1..6</t>
  </si>
  <si>
    <t>ГП 301. ИП дымовой BTH21/1..3</t>
  </si>
  <si>
    <t>ГП 301. ИП дымовой BTH21.1/1..3</t>
  </si>
  <si>
    <t>ГП 301. ИП дымовой BTH22/1..12</t>
  </si>
  <si>
    <t>ГП 301. ИП дымовой BTH23/1..12</t>
  </si>
  <si>
    <t>ГП 301. ИП дымовой BTH24/1..12</t>
  </si>
  <si>
    <t>ГП 301. ИП дымовой BTH25/1..12</t>
  </si>
  <si>
    <t>ГП 301. ИП дымовой BTH26/1..9</t>
  </si>
  <si>
    <t>ГП 301. ИП дымовой BTH27/1..4</t>
  </si>
  <si>
    <t>ГП 301. ИП дымовой BTH27.1/1..5</t>
  </si>
  <si>
    <t>ГП 301. ИП дымовой BTH28/1..7</t>
  </si>
  <si>
    <t>ГП 301. ИП дымовой BTH28.1/1..8</t>
  </si>
  <si>
    <t>ГП 301. ИП тепловой BTK40/1..3</t>
  </si>
  <si>
    <t>ГП 301. ИП тепловой BTK41/1..3</t>
  </si>
  <si>
    <t>ГП 301. ИП дымовой BTH42/1..3</t>
  </si>
  <si>
    <t>ГП 301. ИП дымовой BTH43/1..3</t>
  </si>
  <si>
    <t>ГП 301. ИП дымовой BTH44/1..3</t>
  </si>
  <si>
    <t>ГП 301. ИП дымовой BTH45/1..3</t>
  </si>
  <si>
    <t>ГП 301. Сирена "Пожар" BIAS1/1..6</t>
  </si>
  <si>
    <t>ГП 301. Сирена "Пожар" BIAS2/1..8</t>
  </si>
  <si>
    <t>ГП 301. Сирена "Пожар" BIAS3/1..6</t>
  </si>
  <si>
    <t>ГП 301. Сирена "Пожар" BIAS4/1..4</t>
  </si>
  <si>
    <t>ГП 301. Сирена "Пожар" BIAS5/1..6</t>
  </si>
  <si>
    <t>ГП 301. Сирена "Пожар" BIAS6/1..5</t>
  </si>
  <si>
    <t>ГП 301. Сирена "Пожар" BIAS7/1..4</t>
  </si>
  <si>
    <t>ГП 301. Сирена "Пожар" BIAS8/1..6</t>
  </si>
  <si>
    <t>ГП 301. Сирена "Пожар" BIAS9/1..5</t>
  </si>
  <si>
    <t>ГП 301. Сирена "Пожар" BIAS10/1..9</t>
  </si>
  <si>
    <t>ГП 301. Сирена "Пожар" BIAS11/1..5</t>
  </si>
  <si>
    <t>ГП 301. Сирена "Пожар" BIAS12/1..5</t>
  </si>
  <si>
    <t>ГП 301. Сирена "Пожар" BIAS13/1..5</t>
  </si>
  <si>
    <t>ГП 301. Сирена "Пожар" BIAS14/1..5</t>
  </si>
  <si>
    <t>ГП 301. Сирена "Пожар" BIAS15/1..7</t>
  </si>
  <si>
    <t>ГП 301. Сирена "Пожар" BIAS16/1..4</t>
  </si>
  <si>
    <t>ГП 301. Сирена "Пожар" BIAS17/1..6</t>
  </si>
  <si>
    <t>ГП 301. Сирена "Пожар" BIAS18/1..7</t>
  </si>
  <si>
    <t>ГП 301. Сирена "Пожар" BIAS19/1..4</t>
  </si>
  <si>
    <t>ГП 304. ИП дымовой BTH1/1..4</t>
  </si>
  <si>
    <t>ГП 304. ИП дымовой BTH2/1..3</t>
  </si>
  <si>
    <t>ГП 304. ИП дымовой BTH3/1..9</t>
  </si>
  <si>
    <t>ГП 304. ИП дымовой BTH4/1..12</t>
  </si>
  <si>
    <t>ГП 304. ИП дымовой BTH5/1..2</t>
  </si>
  <si>
    <t>ГП 304. ИП ручной BTM6/1..2</t>
  </si>
  <si>
    <t>ГП 304. ИП ручной BTM7/1..2</t>
  </si>
  <si>
    <t>ГП 304. ИП дымовой BTH8/1..12</t>
  </si>
  <si>
    <t>ГП 304. ИП дымовой BTH9/1..13</t>
  </si>
  <si>
    <t>ГП 304. ИП дымовой BTH10/1..6</t>
  </si>
  <si>
    <t>ГП 304. ИП дымовой BTH11/1..4</t>
  </si>
  <si>
    <t>ГП 304. ИП дымовой BTH12/1..3</t>
  </si>
  <si>
    <t>ГП 304. ИП дымовой BTH13/1..6</t>
  </si>
  <si>
    <t>ГП 304. ИП тепловой BTK14/1..4</t>
  </si>
  <si>
    <t>ГП 304. ИП тепловой BTK15/1..4</t>
  </si>
  <si>
    <t>ГП 304. ИП дымовой BTH17/1..9</t>
  </si>
  <si>
    <t>ГП 304. ИП дымовой BTH18/1..6</t>
  </si>
  <si>
    <t>ГП 304. ИП дымовой BTH19/1..9</t>
  </si>
  <si>
    <t>ГП 304. ИП дымовой BTH20/1..7</t>
  </si>
  <si>
    <t>ГП 304. ИП дымовой BTH21/1..9</t>
  </si>
  <si>
    <t>ГП 304. ИП ручной BTM22/1..2</t>
  </si>
  <si>
    <t>ГП 304. ИП ручной BTM23/1..2</t>
  </si>
  <si>
    <t>ГП 304. ИП ручной BTM24/1..2</t>
  </si>
  <si>
    <t>ГП 304. ИП ручной BTM25/1..4</t>
  </si>
  <si>
    <t>ГП 304. Сирена "Пожар" BIAS1/1..6</t>
  </si>
  <si>
    <t>ГП 304. Сирена "Пожар" BIAS2/1..7</t>
  </si>
  <si>
    <t>ГП 304. Сирена "Пожар" BIAS3/1..6</t>
  </si>
  <si>
    <t>ГП 304. Сирена "Пожар" BIAS4/1..5</t>
  </si>
  <si>
    <t>ГП 304. Сирена "Пожар" BIAS5/1..8</t>
  </si>
  <si>
    <t>ГП 304. Сирена "Пожар" BIAS6/1..4</t>
  </si>
  <si>
    <t>ГП 304. Сирена "Пожар" BIAS7/1..4</t>
  </si>
  <si>
    <t>ГП 304. Сирена "Пожар" BIAS8/1..2</t>
  </si>
  <si>
    <t>ГП 304. Сирена "Пожар" BIAS9/1..2</t>
  </si>
  <si>
    <t>ГП 304. Сирена "Пожар" BIAS10/1..6</t>
  </si>
  <si>
    <t>ГП 304. Сирена "Пожар" BIAS11/1..6</t>
  </si>
  <si>
    <t>ГП 304. Сирена "Пожар" BIAS12/1..7</t>
  </si>
  <si>
    <t>ГП 305. ИП дымовой BTH1/1..6</t>
  </si>
  <si>
    <t>ГП 305. ИП дымовой BTH2/1..3</t>
  </si>
  <si>
    <t>ГП 305. ИП дымовой BTH4/1..5</t>
  </si>
  <si>
    <t>ГП 305. ИП дымовой BTH5/1..3</t>
  </si>
  <si>
    <t>ГП 305. ИП тепловой BTK7/1..3</t>
  </si>
  <si>
    <t>ГП 305. ИП тепловой BTK9/1..5</t>
  </si>
  <si>
    <t>ГП 305. Сирена "Пожар" BIAS1/1..4</t>
  </si>
  <si>
    <t>ГП 305. Сирена "Пожар" BIAS3/1..5</t>
  </si>
  <si>
    <t>ГП 315. ИП дымовой BTH1/1..3</t>
  </si>
  <si>
    <t>ГП 315. ИП тепловой BTK2/1..3</t>
  </si>
  <si>
    <t>ГП 315. ИП дымовой BTH3/1..3</t>
  </si>
  <si>
    <t>ГП 315. ИП ручной BTM5/1..5</t>
  </si>
  <si>
    <t>ГП 315. Сирена "Пожар" BIAS1/1..4</t>
  </si>
  <si>
    <t>ГП 315. Сирена "Пожар" BIAS3/1..3</t>
  </si>
  <si>
    <t>ГП 450. ИП дымовой BTH1/1..12</t>
  </si>
  <si>
    <t>ГП 450. ИП дымовой BTH2/1..12</t>
  </si>
  <si>
    <t>ГП 450. ИП дымовой BTH3/1..3</t>
  </si>
  <si>
    <t>ГП 450. ИП дымовой BTH4/1..3</t>
  </si>
  <si>
    <t>ГП 450. ИП дымовой BTH5/1..6</t>
  </si>
  <si>
    <t>ГП 450. ИП дымовой BTH6/1..9</t>
  </si>
  <si>
    <t>ГП 450. ИП дымовой BTH7/1..6</t>
  </si>
  <si>
    <t>ГП 450. ИП дымовой BTH8/1..3</t>
  </si>
  <si>
    <t>ГП 450. ИП дымовой BTH9/1..12</t>
  </si>
  <si>
    <t>ГП 450. ИП дымовой BTH10/1..6</t>
  </si>
  <si>
    <t>ГП 450. ИП дымовой BTH11/1..3</t>
  </si>
  <si>
    <t>ГП 450. ИП дымовой BTH12/1..9</t>
  </si>
  <si>
    <t>ГП 450. ИП дымовой BTH13/1..9</t>
  </si>
  <si>
    <t>ГП 450. ИП дымовой BTH14/1..14</t>
  </si>
  <si>
    <t>ГП 450. ИП дымовой BTH15/1..14</t>
  </si>
  <si>
    <t>ГП 450. ИП дымовой BTH16/1..9</t>
  </si>
  <si>
    <t>ГП 450. ИП ручной BTM19/1..2</t>
  </si>
  <si>
    <t>ГП 450. ИП ручной BTM20/1..2</t>
  </si>
  <si>
    <t>ГП 450. ИП ручной BTM24/1..2</t>
  </si>
  <si>
    <t>ГП 450. Сирена "Пожар" BIAS1/1..6</t>
  </si>
  <si>
    <t>ГП 450. Сирена "Пожар" BIAS2/1..6</t>
  </si>
  <si>
    <t>ГП 450. Сирена "Пожар" BIAS3/1..6</t>
  </si>
  <si>
    <t>ГП 450. Сирена "Пожар" BIAS4/1..5</t>
  </si>
  <si>
    <t>ГП 450. Сирена "Пожар" BIAS5/1..6</t>
  </si>
  <si>
    <t>ГП 450. Сирена "Пожар" BIAS6/1..6</t>
  </si>
  <si>
    <t>ГП 450. Сирена "Пожар" BIAS7/1..4</t>
  </si>
  <si>
    <t>ГП 450. Сирена "Пожар" BIAS8/1..2</t>
  </si>
  <si>
    <t>ГП 450. Сирена "Пожар" BIAS9/1..4</t>
  </si>
  <si>
    <t>ГП 450. Сирена "Пожар" BIAS10/1..3</t>
  </si>
  <si>
    <t>ГП 450. Сирена "Пожар" BIAS11/1..2</t>
  </si>
  <si>
    <t>ГП 50. ИП дымовой BTH1/1..3</t>
  </si>
  <si>
    <t>ГП 50. ИП дымовой BTH2/1..9</t>
  </si>
  <si>
    <t>ГП 50. ИП дымовой BTH3/1..12</t>
  </si>
  <si>
    <t>ГП 50. ИП дымовой BTH4/1..6</t>
  </si>
  <si>
    <t>ГП 50. ИП дымовой BTH5/1..9</t>
  </si>
  <si>
    <t>ГП 50. ИП дымовой BTH6/1..6</t>
  </si>
  <si>
    <t>ГП 50. ИП ручной BTM8/1..3</t>
  </si>
  <si>
    <t>ГП 50. ИП дымовой BTH10/1..6</t>
  </si>
  <si>
    <t>ГП 50. Сирена "Пожар" BIAS1/1..4</t>
  </si>
  <si>
    <t>ГП 50. Сирена "Пожар" BIAS2/1..5</t>
  </si>
  <si>
    <t>ГП 50. Сирена "Пожар" BIAS3/1..5</t>
  </si>
  <si>
    <t>ГП 50. Сирена "Пожар" BIAS4/1..4</t>
  </si>
  <si>
    <t>ГП 305. Склад материалов и оборудования (С-150)</t>
  </si>
  <si>
    <t>ГП 305. Склад материалов и оборудования (С-150). Оповещение</t>
  </si>
  <si>
    <t>ГП 315. Стоянка автотранспорта</t>
  </si>
  <si>
    <t>ГП 315. Стоянка автотранспорта. Оповещение</t>
  </si>
  <si>
    <t>ГП 315. Стоянка автотранспорта. Загазованность</t>
  </si>
  <si>
    <t>ГП 301. Служебно-эксплутационный блок</t>
  </si>
  <si>
    <t>ГП 301. Служебно-эксплутационный блок. Оповещение</t>
  </si>
  <si>
    <t>ГП 304. Ремонтно-эксплутационный блок</t>
  </si>
  <si>
    <t>ГП 304. Ремонтно-эксплутационный блок. Оповещение</t>
  </si>
  <si>
    <t>ГП 450. Пожарное депо на 4 автомобиля</t>
  </si>
  <si>
    <t>ГП 450. Пожарное депо на 4 автомобиля. Оповещение</t>
  </si>
  <si>
    <t>ГП 450. Пожарное депо на 4 автомобиля. Загазованность</t>
  </si>
  <si>
    <t>ГП 50. Контрольно-пропускной пункт</t>
  </si>
  <si>
    <t>ГП 50. Контрольно-пропускной пункт. Оповещение</t>
  </si>
  <si>
    <t>ГП 52. Котельная. Загазованность</t>
  </si>
  <si>
    <t xml:space="preserve">ГП 301. Серверная. Газовое тушение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</si>
</sst>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b/>
      <sz val="18"/>
      <color theme="3"/>
      <name val="Cambria"/>
      <family val="2"/>
      <charset val="204"/>
      <scheme val="major"/>
    </font>
    <font>
      <sz val="10"/>
      <name val="Arial"/>
      <family val="2"/>
      <charset val="204"/>
    </font>
    <font>
      <sz val="11"/>
      <color theme="1"/>
      <name val="Calibri"/>
      <family val="2"/>
    </font>
    <font>
      <b/>
      <sz val="11"/>
      <color theme="1"/>
      <name val="GOST type A"/>
      <family val="2"/>
    </font>
    <font>
      <b/>
      <sz val="12"/>
      <color theme="1"/>
      <name val="Calibri"/>
      <family val="2"/>
      <charset val="204"/>
    </font>
    <font>
      <b/>
      <sz val="11"/>
      <color theme="1"/>
      <name val="Calibri"/>
      <family val="2"/>
      <charset val="204"/>
    </font>
    <font>
      <sz val="11"/>
      <color theme="1"/>
      <name val="Calibri"/>
      <family val="2"/>
      <charset val="204"/>
    </font>
    <font>
      <b/>
      <sz val="8"/>
      <color theme="1"/>
      <name val="Calibri"/>
      <family val="2"/>
    </font>
    <font>
      <sz val="8"/>
      <color theme="1"/>
      <name val="Calibri"/>
      <family val="2"/>
      <scheme val="minor"/>
    </font>
    <font>
      <b/>
      <sz val="11"/>
      <color theme="4" tint="-0.249977111117893"/>
      <name val="Calibri"/>
      <family val="2"/>
      <charset val="204"/>
    </font>
    <font>
      <sz val="11"/>
      <color indexed="8"/>
      <name val="Calibri"/>
      <family val="2"/>
      <charset val="204"/>
      <scheme val="minor"/>
    </font>
    <font>
      <sz val="11"/>
      <name val="Calibri"/>
      <family val="2"/>
      <scheme val="minor"/>
    </font>
    <font>
      <b/>
      <sz val="11"/>
      <name val="Calibri"/>
      <family val="2"/>
      <charset val="204"/>
    </font>
    <font>
      <sz val="11"/>
      <color theme="5" tint="-0.249977111117893"/>
      <name val="Calibri"/>
      <family val="2"/>
      <charset val="204"/>
      <scheme val="minor"/>
    </font>
    <font>
      <sz val="8"/>
      <name val="Calibri"/>
      <family val="2"/>
      <scheme val="minor"/>
    </font>
    <font>
      <sz val="11"/>
      <color rgb="FFFF0000"/>
      <name val="Calibri"/>
      <family val="2"/>
      <scheme val="minor"/>
    </font>
    <font>
      <b/>
      <sz val="11"/>
      <name val="Calibri"/>
      <family val="2"/>
      <scheme val="minor"/>
    </font>
  </fonts>
  <fills count="6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0"/>
        <bgColor indexed="64"/>
      </patternFill>
    </fill>
    <fill>
      <patternFill patternType="solid">
        <fgColor rgb="FFFF0000"/>
        <bgColor indexed="64"/>
      </patternFill>
    </fill>
    <fill>
      <patternFill patternType="solid">
        <fgColor rgb="FFCC99FF"/>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rgb="FFFFC000"/>
        <bgColor indexed="64"/>
      </patternFill>
    </fill>
    <fill>
      <patternFill patternType="solid">
        <fgColor rgb="FFFFFFCC"/>
        <bgColor indexed="64"/>
      </patternFill>
    </fill>
    <fill>
      <patternFill patternType="solid">
        <fgColor theme="9" tint="0.59999389629810485"/>
        <bgColor indexed="64"/>
      </patternFill>
    </fill>
    <fill>
      <patternFill patternType="solid">
        <fgColor rgb="FF00B0F0"/>
        <bgColor indexed="64"/>
      </patternFill>
    </fill>
    <fill>
      <patternFill patternType="solid">
        <fgColor rgb="FF00B050"/>
        <bgColor indexed="64"/>
      </patternFill>
    </fill>
    <fill>
      <patternFill patternType="solid">
        <fgColor rgb="FFFFD966"/>
        <bgColor indexed="64"/>
      </patternFill>
    </fill>
    <fill>
      <patternFill patternType="solid">
        <fgColor indexed="65"/>
        <bgColor indexed="64"/>
      </patternFill>
    </fill>
    <fill>
      <patternFill patternType="solid">
        <fgColor rgb="FF0099FF"/>
        <bgColor indexed="64"/>
      </patternFill>
    </fill>
    <fill>
      <patternFill patternType="solid">
        <fgColor rgb="FF99FFCC"/>
        <bgColor indexed="64"/>
      </patternFill>
    </fill>
    <fill>
      <patternFill patternType="solid">
        <fgColor rgb="FF990000"/>
        <bgColor indexed="64"/>
      </patternFill>
    </fill>
    <fill>
      <patternFill patternType="solid">
        <fgColor rgb="FFCCFF99"/>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rgb="FF92D050"/>
        <bgColor indexed="64"/>
      </patternFill>
    </fill>
    <fill>
      <patternFill patternType="solid">
        <fgColor rgb="FF7030A0"/>
        <bgColor indexed="64"/>
      </patternFill>
    </fill>
    <fill>
      <patternFill patternType="solid">
        <fgColor rgb="FFFFCC66"/>
        <bgColor indexed="64"/>
      </patternFill>
    </fill>
  </fills>
  <borders count="3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thin">
        <color theme="4" tint="-0.249977111117893"/>
      </right>
      <top style="medium">
        <color indexed="64"/>
      </top>
      <bottom/>
      <diagonal/>
    </border>
    <border>
      <left style="thin">
        <color theme="4" tint="-0.249977111117893"/>
      </left>
      <right style="thin">
        <color theme="4" tint="-0.249977111117893"/>
      </right>
      <top style="thin">
        <color theme="4" tint="-0.249977111117893"/>
      </top>
      <bottom style="thin">
        <color theme="4" tint="-0.249977111117893"/>
      </bottom>
      <diagonal/>
    </border>
    <border>
      <left/>
      <right style="thin">
        <color theme="4" tint="-0.249977111117893"/>
      </right>
      <top style="thin">
        <color theme="4" tint="-0.249977111117893"/>
      </top>
      <bottom style="thin">
        <color theme="4" tint="-0.249977111117893"/>
      </bottom>
      <diagonal/>
    </border>
    <border>
      <left style="medium">
        <color indexed="64"/>
      </left>
      <right style="thin">
        <color theme="4" tint="-0.249977111117893"/>
      </right>
      <top/>
      <bottom/>
      <diagonal/>
    </border>
    <border>
      <left style="thin">
        <color indexed="64"/>
      </left>
      <right style="thin">
        <color theme="4" tint="-0.249977111117893"/>
      </right>
      <top/>
      <bottom/>
      <diagonal/>
    </border>
    <border>
      <left style="thin">
        <color theme="4" tint="-0.249977111117893"/>
      </left>
      <right style="thin">
        <color theme="4" tint="-0.249977111117893"/>
      </right>
      <top style="thin">
        <color theme="4" tint="-0.249977111117893"/>
      </top>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right/>
      <top style="thin">
        <color theme="0"/>
      </top>
      <bottom/>
      <diagonal/>
    </border>
    <border>
      <left style="medium">
        <color indexed="64"/>
      </left>
      <right/>
      <top style="medium">
        <color indexed="64"/>
      </top>
      <bottom/>
      <diagonal/>
    </border>
    <border>
      <left style="thin">
        <color indexed="64"/>
      </left>
      <right style="thin">
        <color indexed="64"/>
      </right>
      <top/>
      <bottom/>
      <diagonal/>
    </border>
  </borders>
  <cellStyleXfs count="73">
    <xf numFmtId="0" fontId="0" fillId="0" borderId="0"/>
    <xf numFmtId="0" fontId="49" fillId="0" borderId="1" applyNumberFormat="0" applyFill="0" applyAlignment="0" applyProtection="0"/>
    <xf numFmtId="0" fontId="50" fillId="0" borderId="2" applyNumberFormat="0" applyFill="0" applyAlignment="0" applyProtection="0"/>
    <xf numFmtId="0" fontId="51" fillId="0" borderId="3" applyNumberFormat="0" applyFill="0" applyAlignment="0" applyProtection="0"/>
    <xf numFmtId="0" fontId="51" fillId="0" borderId="0" applyNumberFormat="0" applyFill="0" applyBorder="0" applyAlignment="0" applyProtection="0"/>
    <xf numFmtId="0" fontId="52" fillId="2" borderId="0" applyNumberFormat="0" applyBorder="0" applyAlignment="0" applyProtection="0"/>
    <xf numFmtId="0" fontId="53" fillId="3" borderId="0" applyNumberFormat="0" applyBorder="0" applyAlignment="0" applyProtection="0"/>
    <xf numFmtId="0" fontId="54" fillId="4" borderId="0" applyNumberFormat="0" applyBorder="0" applyAlignment="0" applyProtection="0"/>
    <xf numFmtId="0" fontId="55" fillId="5" borderId="4" applyNumberFormat="0" applyAlignment="0" applyProtection="0"/>
    <xf numFmtId="0" fontId="56" fillId="6" borderId="5" applyNumberFormat="0" applyAlignment="0" applyProtection="0"/>
    <xf numFmtId="0" fontId="57" fillId="6" borderId="4" applyNumberFormat="0" applyAlignment="0" applyProtection="0"/>
    <xf numFmtId="0" fontId="58" fillId="0" borderId="6" applyNumberFormat="0" applyFill="0" applyAlignment="0" applyProtection="0"/>
    <xf numFmtId="0" fontId="59" fillId="7" borderId="7" applyNumberFormat="0" applyAlignment="0" applyProtection="0"/>
    <xf numFmtId="0" fontId="60" fillId="0" borderId="0" applyNumberFormat="0" applyFill="0" applyBorder="0" applyAlignment="0" applyProtection="0"/>
    <xf numFmtId="0" fontId="61" fillId="0" borderId="0" applyNumberFormat="0" applyFill="0" applyBorder="0" applyAlignment="0" applyProtection="0"/>
    <xf numFmtId="0" fontId="62" fillId="0" borderId="9" applyNumberFormat="0" applyFill="0" applyAlignment="0" applyProtection="0"/>
    <xf numFmtId="0" fontId="63" fillId="9" borderId="0" applyNumberFormat="0" applyBorder="0" applyAlignment="0" applyProtection="0"/>
    <xf numFmtId="0" fontId="48" fillId="10" borderId="0" applyNumberFormat="0" applyBorder="0" applyAlignment="0" applyProtection="0"/>
    <xf numFmtId="0" fontId="48" fillId="11" borderId="0" applyNumberFormat="0" applyBorder="0" applyAlignment="0" applyProtection="0"/>
    <xf numFmtId="0" fontId="63" fillId="12" borderId="0" applyNumberFormat="0" applyBorder="0" applyAlignment="0" applyProtection="0"/>
    <xf numFmtId="0" fontId="63" fillId="13" borderId="0" applyNumberFormat="0" applyBorder="0" applyAlignment="0" applyProtection="0"/>
    <xf numFmtId="0" fontId="48" fillId="14" borderId="0" applyNumberFormat="0" applyBorder="0" applyAlignment="0" applyProtection="0"/>
    <xf numFmtId="0" fontId="48" fillId="15" borderId="0" applyNumberFormat="0" applyBorder="0" applyAlignment="0" applyProtection="0"/>
    <xf numFmtId="0" fontId="63" fillId="16" borderId="0" applyNumberFormat="0" applyBorder="0" applyAlignment="0" applyProtection="0"/>
    <xf numFmtId="0" fontId="63" fillId="17" borderId="0" applyNumberFormat="0" applyBorder="0" applyAlignment="0" applyProtection="0"/>
    <xf numFmtId="0" fontId="48" fillId="18" borderId="0" applyNumberFormat="0" applyBorder="0" applyAlignment="0" applyProtection="0"/>
    <xf numFmtId="0" fontId="48" fillId="19" borderId="0" applyNumberFormat="0" applyBorder="0" applyAlignment="0" applyProtection="0"/>
    <xf numFmtId="0" fontId="63" fillId="20" borderId="0" applyNumberFormat="0" applyBorder="0" applyAlignment="0" applyProtection="0"/>
    <xf numFmtId="0" fontId="63" fillId="21" borderId="0" applyNumberFormat="0" applyBorder="0" applyAlignment="0" applyProtection="0"/>
    <xf numFmtId="0" fontId="48" fillId="22" borderId="0" applyNumberFormat="0" applyBorder="0" applyAlignment="0" applyProtection="0"/>
    <xf numFmtId="0" fontId="48" fillId="23" borderId="0" applyNumberFormat="0" applyBorder="0" applyAlignment="0" applyProtection="0"/>
    <xf numFmtId="0" fontId="63" fillId="24" borderId="0" applyNumberFormat="0" applyBorder="0" applyAlignment="0" applyProtection="0"/>
    <xf numFmtId="0" fontId="63" fillId="25" borderId="0" applyNumberFormat="0" applyBorder="0" applyAlignment="0" applyProtection="0"/>
    <xf numFmtId="0" fontId="48" fillId="26" borderId="0" applyNumberFormat="0" applyBorder="0" applyAlignment="0" applyProtection="0"/>
    <xf numFmtId="0" fontId="48" fillId="27" borderId="0" applyNumberFormat="0" applyBorder="0" applyAlignment="0" applyProtection="0"/>
    <xf numFmtId="0" fontId="63" fillId="28" borderId="0" applyNumberFormat="0" applyBorder="0" applyAlignment="0" applyProtection="0"/>
    <xf numFmtId="0" fontId="63" fillId="29" borderId="0" applyNumberFormat="0" applyBorder="0" applyAlignment="0" applyProtection="0"/>
    <xf numFmtId="0" fontId="48" fillId="30" borderId="0" applyNumberFormat="0" applyBorder="0" applyAlignment="0" applyProtection="0"/>
    <xf numFmtId="0" fontId="48" fillId="31" borderId="0" applyNumberFormat="0" applyBorder="0" applyAlignment="0" applyProtection="0"/>
    <xf numFmtId="0" fontId="63" fillId="32" borderId="0" applyNumberFormat="0" applyBorder="0" applyAlignment="0" applyProtection="0"/>
    <xf numFmtId="0" fontId="48" fillId="0" borderId="0"/>
    <xf numFmtId="0" fontId="64" fillId="0" borderId="0" applyNumberFormat="0" applyFill="0" applyBorder="0" applyAlignment="0" applyProtection="0"/>
    <xf numFmtId="0" fontId="48" fillId="8" borderId="8" applyNumberFormat="0" applyFont="0" applyAlignment="0" applyProtection="0"/>
    <xf numFmtId="0" fontId="65" fillId="0" borderId="0"/>
    <xf numFmtId="0" fontId="48" fillId="0" borderId="0"/>
    <xf numFmtId="0" fontId="65" fillId="0" borderId="0"/>
    <xf numFmtId="0" fontId="64" fillId="0" borderId="0" applyNumberFormat="0" applyFill="0" applyBorder="0" applyAlignment="0" applyProtection="0"/>
    <xf numFmtId="0" fontId="47" fillId="0" borderId="0"/>
    <xf numFmtId="0" fontId="47" fillId="8" borderId="8" applyNumberFormat="0" applyFont="0" applyAlignment="0" applyProtection="0"/>
    <xf numFmtId="0" fontId="47" fillId="10" borderId="0" applyNumberFormat="0" applyBorder="0" applyAlignment="0" applyProtection="0"/>
    <xf numFmtId="0" fontId="47" fillId="11" borderId="0" applyNumberFormat="0" applyBorder="0" applyAlignment="0" applyProtection="0"/>
    <xf numFmtId="0" fontId="47" fillId="14" borderId="0" applyNumberFormat="0" applyBorder="0" applyAlignment="0" applyProtection="0"/>
    <xf numFmtId="0" fontId="47" fillId="15" borderId="0" applyNumberFormat="0" applyBorder="0" applyAlignment="0" applyProtection="0"/>
    <xf numFmtId="0" fontId="47" fillId="18" borderId="0" applyNumberFormat="0" applyBorder="0" applyAlignment="0" applyProtection="0"/>
    <xf numFmtId="0" fontId="47" fillId="19" borderId="0" applyNumberFormat="0" applyBorder="0" applyAlignment="0" applyProtection="0"/>
    <xf numFmtId="0" fontId="47" fillId="22" borderId="0" applyNumberFormat="0" applyBorder="0" applyAlignment="0" applyProtection="0"/>
    <xf numFmtId="0" fontId="47" fillId="23" borderId="0" applyNumberFormat="0" applyBorder="0" applyAlignment="0" applyProtection="0"/>
    <xf numFmtId="0" fontId="47" fillId="26" borderId="0" applyNumberFormat="0" applyBorder="0" applyAlignment="0" applyProtection="0"/>
    <xf numFmtId="0" fontId="47" fillId="27" borderId="0" applyNumberFormat="0" applyBorder="0" applyAlignment="0" applyProtection="0"/>
    <xf numFmtId="0" fontId="47" fillId="30" borderId="0" applyNumberFormat="0" applyBorder="0" applyAlignment="0" applyProtection="0"/>
    <xf numFmtId="0" fontId="47" fillId="31" borderId="0" applyNumberFormat="0" applyBorder="0" applyAlignment="0" applyProtection="0"/>
    <xf numFmtId="0" fontId="12" fillId="0" borderId="0"/>
    <xf numFmtId="0" fontId="12" fillId="0" borderId="0"/>
    <xf numFmtId="0" fontId="11" fillId="0" borderId="0"/>
    <xf numFmtId="0" fontId="11" fillId="0" borderId="0"/>
    <xf numFmtId="0" fontId="9" fillId="0" borderId="0"/>
    <xf numFmtId="0" fontId="9" fillId="0" borderId="0"/>
    <xf numFmtId="0" fontId="9" fillId="0" borderId="0"/>
    <xf numFmtId="0" fontId="9" fillId="0" borderId="0"/>
    <xf numFmtId="0" fontId="9" fillId="0" borderId="0"/>
    <xf numFmtId="0" fontId="9" fillId="0" borderId="0"/>
    <xf numFmtId="0" fontId="7" fillId="0" borderId="0"/>
    <xf numFmtId="0" fontId="7" fillId="0" borderId="0"/>
  </cellStyleXfs>
  <cellXfs count="785">
    <xf numFmtId="0" fontId="0" fillId="0" borderId="0" xfId="0"/>
    <xf numFmtId="0" fontId="0" fillId="0" borderId="0" xfId="0" applyBorder="1"/>
    <xf numFmtId="0" fontId="0" fillId="0" borderId="12" xfId="0" applyBorder="1"/>
    <xf numFmtId="0" fontId="0" fillId="0" borderId="12" xfId="0" applyBorder="1" applyAlignment="1">
      <alignment horizontal="center"/>
    </xf>
    <xf numFmtId="0" fontId="0" fillId="0" borderId="0" xfId="0" applyFill="1"/>
    <xf numFmtId="0" fontId="0" fillId="0" borderId="12" xfId="0" applyFill="1" applyBorder="1" applyAlignment="1">
      <alignment horizontal="center" vertical="center"/>
    </xf>
    <xf numFmtId="0" fontId="0" fillId="0" borderId="12" xfId="0" applyFill="1" applyBorder="1" applyAlignment="1">
      <alignment vertical="center"/>
    </xf>
    <xf numFmtId="0" fontId="62" fillId="34" borderId="12" xfId="0" applyFont="1" applyFill="1" applyBorder="1"/>
    <xf numFmtId="0" fontId="0" fillId="0" borderId="11" xfId="0" applyFill="1" applyBorder="1"/>
    <xf numFmtId="0" fontId="0" fillId="33" borderId="0" xfId="0" applyFont="1" applyFill="1"/>
    <xf numFmtId="0" fontId="0" fillId="33" borderId="0" xfId="0" applyFill="1"/>
    <xf numFmtId="0" fontId="0" fillId="0" borderId="0" xfId="0" applyFill="1" applyBorder="1"/>
    <xf numFmtId="0" fontId="0" fillId="0" borderId="12" xfId="0" applyFill="1" applyBorder="1" applyAlignment="1">
      <alignment horizontal="center"/>
    </xf>
    <xf numFmtId="0" fontId="62" fillId="33" borderId="0" xfId="0" applyFont="1" applyFill="1" applyBorder="1"/>
    <xf numFmtId="0" fontId="0" fillId="33" borderId="0" xfId="0" applyFill="1" applyBorder="1"/>
    <xf numFmtId="0" fontId="0" fillId="34" borderId="0" xfId="0" applyFill="1"/>
    <xf numFmtId="0" fontId="0" fillId="0" borderId="14" xfId="0" applyFill="1" applyBorder="1"/>
    <xf numFmtId="0" fontId="0" fillId="0" borderId="15" xfId="0" applyFill="1" applyBorder="1"/>
    <xf numFmtId="0" fontId="0" fillId="0" borderId="16" xfId="0" applyFill="1" applyBorder="1"/>
    <xf numFmtId="0" fontId="0" fillId="0" borderId="17" xfId="0" applyFill="1" applyBorder="1"/>
    <xf numFmtId="0" fontId="0" fillId="0" borderId="18" xfId="0" applyFill="1" applyBorder="1"/>
    <xf numFmtId="0" fontId="0" fillId="0" borderId="19" xfId="0" applyFill="1" applyBorder="1"/>
    <xf numFmtId="0" fontId="0" fillId="0" borderId="20" xfId="0" applyFill="1" applyBorder="1"/>
    <xf numFmtId="0" fontId="0" fillId="0" borderId="14" xfId="0" applyBorder="1"/>
    <xf numFmtId="0" fontId="0" fillId="0" borderId="15" xfId="0" applyBorder="1"/>
    <xf numFmtId="0" fontId="0" fillId="0" borderId="16" xfId="0" applyBorder="1"/>
    <xf numFmtId="0" fontId="0" fillId="0" borderId="19" xfId="0" applyBorder="1"/>
    <xf numFmtId="0" fontId="0" fillId="0" borderId="11" xfId="0" applyBorder="1"/>
    <xf numFmtId="0" fontId="0" fillId="0" borderId="20" xfId="0" applyBorder="1"/>
    <xf numFmtId="0" fontId="0" fillId="0" borderId="17" xfId="0" applyBorder="1"/>
    <xf numFmtId="0" fontId="0" fillId="0" borderId="18" xfId="0" applyBorder="1"/>
    <xf numFmtId="0" fontId="0" fillId="0" borderId="17" xfId="0" applyNumberFormat="1" applyFill="1" applyBorder="1"/>
    <xf numFmtId="0" fontId="66" fillId="0" borderId="14" xfId="0" applyFont="1" applyFill="1" applyBorder="1"/>
    <xf numFmtId="0" fontId="66" fillId="0" borderId="15" xfId="0" applyFont="1" applyFill="1" applyBorder="1"/>
    <xf numFmtId="0" fontId="66" fillId="0" borderId="16" xfId="0" applyFont="1" applyFill="1" applyBorder="1"/>
    <xf numFmtId="0" fontId="66" fillId="0" borderId="17" xfId="0" applyFont="1" applyFill="1" applyBorder="1"/>
    <xf numFmtId="0" fontId="66" fillId="0" borderId="0" xfId="0" applyFont="1" applyFill="1" applyBorder="1"/>
    <xf numFmtId="0" fontId="66" fillId="0" borderId="18" xfId="0" applyFont="1" applyFill="1" applyBorder="1"/>
    <xf numFmtId="0" fontId="66" fillId="0" borderId="19" xfId="0" applyFont="1" applyFill="1" applyBorder="1"/>
    <xf numFmtId="0" fontId="66" fillId="0" borderId="11" xfId="0" applyFont="1" applyFill="1" applyBorder="1"/>
    <xf numFmtId="0" fontId="66" fillId="0" borderId="20" xfId="0" applyFont="1" applyFill="1" applyBorder="1"/>
    <xf numFmtId="0" fontId="62" fillId="0" borderId="0" xfId="0" applyFont="1"/>
    <xf numFmtId="0" fontId="0" fillId="33" borderId="0" xfId="0" applyFont="1" applyFill="1" applyAlignment="1">
      <alignment vertical="top"/>
    </xf>
    <xf numFmtId="0" fontId="0" fillId="34" borderId="0" xfId="0" applyFill="1" applyProtection="1"/>
    <xf numFmtId="0" fontId="0" fillId="34" borderId="12" xfId="0" applyFill="1" applyBorder="1" applyAlignment="1" applyProtection="1">
      <alignment vertical="center" wrapText="1"/>
    </xf>
    <xf numFmtId="0" fontId="0" fillId="34" borderId="12" xfId="0" applyFill="1" applyBorder="1" applyAlignment="1" applyProtection="1">
      <alignment horizontal="center" vertical="center"/>
    </xf>
    <xf numFmtId="0" fontId="0" fillId="34" borderId="12" xfId="0" applyFill="1" applyBorder="1" applyAlignment="1" applyProtection="1">
      <alignment horizontal="center"/>
    </xf>
    <xf numFmtId="0" fontId="0" fillId="34" borderId="0" xfId="0" applyFill="1" applyBorder="1" applyProtection="1"/>
    <xf numFmtId="0" fontId="0" fillId="0" borderId="13" xfId="0" applyFill="1" applyBorder="1" applyAlignment="1" applyProtection="1">
      <alignment horizontal="center" vertical="center"/>
      <protection locked="0"/>
    </xf>
    <xf numFmtId="0" fontId="0" fillId="0" borderId="12" xfId="0" applyFill="1" applyBorder="1" applyAlignment="1" applyProtection="1">
      <alignment horizontal="center" vertical="center"/>
      <protection locked="0"/>
    </xf>
    <xf numFmtId="49" fontId="0" fillId="0" borderId="12" xfId="0" applyNumberFormat="1" applyFill="1" applyBorder="1" applyAlignment="1" applyProtection="1">
      <alignment horizontal="center" vertical="center"/>
      <protection locked="0"/>
    </xf>
    <xf numFmtId="0" fontId="0" fillId="34" borderId="13" xfId="0" applyFill="1" applyBorder="1" applyAlignment="1" applyProtection="1">
      <alignment vertical="center" wrapText="1"/>
    </xf>
    <xf numFmtId="0" fontId="0" fillId="37" borderId="0" xfId="0" applyFill="1"/>
    <xf numFmtId="0" fontId="0" fillId="0" borderId="0" xfId="0" applyAlignment="1">
      <alignment horizontal="center" vertical="center"/>
    </xf>
    <xf numFmtId="0" fontId="62" fillId="38" borderId="12" xfId="0" applyFont="1" applyFill="1" applyBorder="1" applyAlignment="1">
      <alignment horizontal="center" vertical="center"/>
    </xf>
    <xf numFmtId="49" fontId="0" fillId="0" borderId="0" xfId="0" applyNumberFormat="1"/>
    <xf numFmtId="0" fontId="0" fillId="0" borderId="0" xfId="0" applyNumberFormat="1"/>
    <xf numFmtId="49" fontId="0" fillId="33" borderId="0" xfId="0" applyNumberFormat="1" applyFill="1"/>
    <xf numFmtId="0" fontId="0" fillId="0" borderId="14" xfId="0" applyNumberFormat="1" applyFill="1" applyBorder="1"/>
    <xf numFmtId="0" fontId="47" fillId="0" borderId="0" xfId="47" applyFill="1"/>
    <xf numFmtId="0" fontId="0" fillId="34" borderId="24" xfId="0" applyFill="1" applyBorder="1" applyAlignment="1" applyProtection="1">
      <alignment horizontal="center"/>
    </xf>
    <xf numFmtId="49" fontId="0" fillId="34" borderId="12" xfId="0" applyNumberFormat="1" applyFill="1" applyBorder="1" applyAlignment="1" applyProtection="1">
      <alignment horizontal="center" vertical="center"/>
    </xf>
    <xf numFmtId="0" fontId="47" fillId="0" borderId="0" xfId="47" applyFill="1" applyBorder="1"/>
    <xf numFmtId="0" fontId="0" fillId="37" borderId="17" xfId="0" applyFill="1" applyBorder="1"/>
    <xf numFmtId="0" fontId="0" fillId="37" borderId="0" xfId="0" applyFill="1" applyBorder="1"/>
    <xf numFmtId="0" fontId="0" fillId="37" borderId="18" xfId="0" applyFill="1" applyBorder="1"/>
    <xf numFmtId="0" fontId="0" fillId="37" borderId="19" xfId="0" applyFill="1" applyBorder="1"/>
    <xf numFmtId="0" fontId="0" fillId="37" borderId="11" xfId="0" applyFill="1" applyBorder="1"/>
    <xf numFmtId="0" fontId="0" fillId="37" borderId="20" xfId="0" applyFill="1" applyBorder="1"/>
    <xf numFmtId="0" fontId="0" fillId="37" borderId="14" xfId="0" applyFill="1" applyBorder="1"/>
    <xf numFmtId="0" fontId="0" fillId="37" borderId="15" xfId="0" applyFill="1" applyBorder="1"/>
    <xf numFmtId="0" fontId="0" fillId="37" borderId="16" xfId="0" applyFill="1" applyBorder="1"/>
    <xf numFmtId="0" fontId="0" fillId="0" borderId="18" xfId="0" applyFill="1" applyBorder="1" applyAlignment="1">
      <alignment vertical="top" wrapText="1"/>
    </xf>
    <xf numFmtId="0" fontId="0" fillId="0" borderId="12" xfId="0" applyBorder="1" applyAlignment="1">
      <alignment vertical="center" wrapText="1"/>
    </xf>
    <xf numFmtId="0" fontId="0" fillId="0" borderId="12" xfId="0" applyBorder="1" applyAlignment="1">
      <alignment wrapText="1"/>
    </xf>
    <xf numFmtId="0" fontId="45" fillId="0" borderId="0" xfId="0" applyFont="1" applyFill="1" applyAlignment="1" applyProtection="1">
      <alignment vertical="top" wrapText="1"/>
      <protection locked="0"/>
    </xf>
    <xf numFmtId="0" fontId="45" fillId="0" borderId="0" xfId="0" applyFont="1" applyFill="1" applyAlignment="1" applyProtection="1">
      <alignment wrapText="1"/>
      <protection locked="0"/>
    </xf>
    <xf numFmtId="0" fontId="45" fillId="0" borderId="0" xfId="0" applyFont="1" applyFill="1" applyAlignment="1" applyProtection="1">
      <alignment horizontal="left" vertical="top" wrapText="1"/>
      <protection locked="0"/>
    </xf>
    <xf numFmtId="0" fontId="0" fillId="34" borderId="0" xfId="0" applyFill="1" applyAlignment="1" applyProtection="1">
      <alignment horizontal="center"/>
    </xf>
    <xf numFmtId="0" fontId="0" fillId="34" borderId="0" xfId="0" applyFill="1" applyBorder="1" applyAlignment="1" applyProtection="1">
      <alignment horizontal="center"/>
    </xf>
    <xf numFmtId="0" fontId="0" fillId="34" borderId="0" xfId="0" applyFill="1" applyBorder="1" applyAlignment="1" applyProtection="1">
      <alignment horizontal="center" vertical="center"/>
    </xf>
    <xf numFmtId="0" fontId="0" fillId="0" borderId="0" xfId="0" applyNumberFormat="1" applyFill="1" applyBorder="1"/>
    <xf numFmtId="0" fontId="0" fillId="0" borderId="0" xfId="0" applyNumberFormat="1" applyFill="1" applyBorder="1" applyAlignment="1">
      <alignment wrapText="1"/>
    </xf>
    <xf numFmtId="0" fontId="0" fillId="0" borderId="0" xfId="0" applyFill="1" applyBorder="1" applyAlignment="1">
      <alignment horizontal="left"/>
    </xf>
    <xf numFmtId="0" fontId="62" fillId="34" borderId="0" xfId="0" applyFont="1" applyFill="1" applyBorder="1" applyAlignment="1" applyProtection="1">
      <alignment vertical="top" wrapText="1"/>
    </xf>
    <xf numFmtId="0" fontId="62" fillId="34" borderId="0" xfId="0" applyFont="1" applyFill="1" applyBorder="1" applyProtection="1"/>
    <xf numFmtId="0" fontId="62" fillId="34" borderId="0" xfId="0" applyFont="1" applyFill="1" applyBorder="1" applyAlignment="1" applyProtection="1">
      <alignment horizontal="center"/>
    </xf>
    <xf numFmtId="0" fontId="46" fillId="34" borderId="0" xfId="0" applyFont="1" applyFill="1" applyBorder="1" applyProtection="1"/>
    <xf numFmtId="0" fontId="67" fillId="34" borderId="0" xfId="0" applyFont="1" applyFill="1" applyProtection="1"/>
    <xf numFmtId="0" fontId="0" fillId="0" borderId="0" xfId="0" applyFill="1" applyProtection="1"/>
    <xf numFmtId="0" fontId="62" fillId="34" borderId="0" xfId="0" applyFont="1" applyFill="1" applyBorder="1" applyAlignment="1" applyProtection="1">
      <alignment vertical="top" wrapText="1"/>
      <protection locked="0"/>
    </xf>
    <xf numFmtId="0" fontId="62" fillId="34" borderId="21" xfId="0" applyFont="1" applyFill="1" applyBorder="1" applyAlignment="1" applyProtection="1">
      <alignment horizontal="center" vertical="top"/>
    </xf>
    <xf numFmtId="0" fontId="62" fillId="34" borderId="10" xfId="0" applyFont="1" applyFill="1" applyBorder="1" applyAlignment="1" applyProtection="1">
      <alignment horizontal="center" vertical="top"/>
    </xf>
    <xf numFmtId="0" fontId="62" fillId="34" borderId="12" xfId="0" applyFont="1" applyFill="1" applyBorder="1" applyAlignment="1" applyProtection="1">
      <alignment horizontal="center" vertical="top"/>
    </xf>
    <xf numFmtId="0" fontId="62" fillId="34" borderId="24" xfId="0" applyFont="1" applyFill="1" applyBorder="1" applyAlignment="1" applyProtection="1">
      <alignment horizontal="center" vertical="top"/>
    </xf>
    <xf numFmtId="0" fontId="62" fillId="40" borderId="0" xfId="0" applyFont="1" applyFill="1" applyBorder="1" applyAlignment="1" applyProtection="1">
      <alignment vertical="top" wrapText="1"/>
    </xf>
    <xf numFmtId="0" fontId="0" fillId="0" borderId="20" xfId="0" applyNumberFormat="1" applyFill="1" applyBorder="1" applyAlignment="1">
      <alignment wrapText="1"/>
    </xf>
    <xf numFmtId="0" fontId="0" fillId="0" borderId="18" xfId="0" applyFill="1" applyBorder="1" applyAlignment="1">
      <alignment horizontal="left"/>
    </xf>
    <xf numFmtId="0" fontId="0" fillId="37" borderId="18" xfId="0" applyFill="1" applyBorder="1" applyAlignment="1">
      <alignment horizontal="left"/>
    </xf>
    <xf numFmtId="0" fontId="0" fillId="37" borderId="18" xfId="0" applyNumberFormat="1" applyFill="1" applyBorder="1"/>
    <xf numFmtId="0" fontId="0" fillId="36" borderId="17" xfId="0" applyFill="1" applyBorder="1"/>
    <xf numFmtId="0" fontId="0" fillId="36" borderId="0" xfId="0" applyFill="1" applyBorder="1"/>
    <xf numFmtId="0" fontId="0" fillId="36" borderId="18" xfId="0" applyFill="1" applyBorder="1" applyAlignment="1">
      <alignment horizontal="left"/>
    </xf>
    <xf numFmtId="0" fontId="0" fillId="36" borderId="18" xfId="0" applyFill="1" applyBorder="1"/>
    <xf numFmtId="0" fontId="0" fillId="36" borderId="18" xfId="0" applyNumberFormat="1" applyFill="1" applyBorder="1"/>
    <xf numFmtId="0" fontId="0" fillId="43" borderId="17" xfId="0" applyFill="1" applyBorder="1"/>
    <xf numFmtId="0" fontId="0" fillId="43" borderId="0" xfId="0" applyFill="1" applyBorder="1"/>
    <xf numFmtId="0" fontId="0" fillId="43" borderId="18" xfId="0" applyFill="1" applyBorder="1" applyAlignment="1">
      <alignment horizontal="left"/>
    </xf>
    <xf numFmtId="0" fontId="0" fillId="43" borderId="18" xfId="0" applyFill="1" applyBorder="1"/>
    <xf numFmtId="0" fontId="0" fillId="43" borderId="18" xfId="0" applyNumberFormat="1" applyFill="1" applyBorder="1"/>
    <xf numFmtId="0" fontId="0" fillId="42" borderId="17" xfId="0" applyFill="1" applyBorder="1"/>
    <xf numFmtId="0" fontId="0" fillId="42" borderId="0" xfId="0" applyFill="1" applyBorder="1"/>
    <xf numFmtId="0" fontId="0" fillId="42" borderId="18" xfId="0" applyFill="1" applyBorder="1"/>
    <xf numFmtId="0" fontId="0" fillId="42" borderId="18" xfId="0" applyNumberFormat="1" applyFill="1" applyBorder="1"/>
    <xf numFmtId="0" fontId="0" fillId="44" borderId="17" xfId="0" applyFill="1" applyBorder="1"/>
    <xf numFmtId="0" fontId="0" fillId="44" borderId="0" xfId="0" applyFill="1" applyBorder="1"/>
    <xf numFmtId="0" fontId="0" fillId="44" borderId="18" xfId="0" applyFill="1" applyBorder="1" applyAlignment="1">
      <alignment horizontal="left"/>
    </xf>
    <xf numFmtId="0" fontId="0" fillId="44" borderId="18" xfId="0" applyFill="1" applyBorder="1"/>
    <xf numFmtId="0" fontId="0" fillId="44" borderId="18" xfId="0" applyNumberFormat="1" applyFill="1" applyBorder="1"/>
    <xf numFmtId="0" fontId="0" fillId="41" borderId="17" xfId="0" applyFill="1" applyBorder="1"/>
    <xf numFmtId="0" fontId="0" fillId="41" borderId="15" xfId="0" applyFill="1" applyBorder="1"/>
    <xf numFmtId="0" fontId="0" fillId="41" borderId="0" xfId="0" applyFill="1" applyBorder="1"/>
    <xf numFmtId="0" fontId="0" fillId="41" borderId="18" xfId="0" applyFill="1" applyBorder="1"/>
    <xf numFmtId="0" fontId="0" fillId="42" borderId="15" xfId="0" applyFill="1" applyBorder="1"/>
    <xf numFmtId="0" fontId="0" fillId="42" borderId="16" xfId="0" applyFill="1" applyBorder="1" applyAlignment="1">
      <alignment horizontal="left"/>
    </xf>
    <xf numFmtId="0" fontId="0" fillId="45" borderId="18" xfId="0" applyFill="1" applyBorder="1"/>
    <xf numFmtId="0" fontId="0" fillId="46" borderId="17" xfId="0" applyFill="1" applyBorder="1"/>
    <xf numFmtId="0" fontId="0" fillId="46" borderId="0" xfId="0" applyFill="1" applyBorder="1"/>
    <xf numFmtId="0" fontId="0" fillId="46" borderId="18" xfId="0" applyFill="1" applyBorder="1"/>
    <xf numFmtId="49" fontId="0" fillId="37" borderId="18" xfId="0" applyNumberFormat="1" applyFill="1" applyBorder="1"/>
    <xf numFmtId="0" fontId="0" fillId="47" borderId="14" xfId="0" applyFill="1" applyBorder="1"/>
    <xf numFmtId="0" fontId="0" fillId="47" borderId="15" xfId="0" applyFill="1" applyBorder="1"/>
    <xf numFmtId="0" fontId="0" fillId="47" borderId="16" xfId="0" applyFill="1" applyBorder="1" applyAlignment="1">
      <alignment horizontal="left"/>
    </xf>
    <xf numFmtId="0" fontId="0" fillId="47" borderId="17" xfId="0" applyFill="1" applyBorder="1"/>
    <xf numFmtId="0" fontId="0" fillId="47" borderId="0" xfId="0" applyFill="1" applyBorder="1"/>
    <xf numFmtId="0" fontId="0" fillId="47" borderId="18" xfId="0" applyFill="1" applyBorder="1"/>
    <xf numFmtId="0" fontId="0" fillId="47" borderId="18" xfId="0" applyNumberFormat="1" applyFill="1" applyBorder="1"/>
    <xf numFmtId="0" fontId="0" fillId="48" borderId="14" xfId="0" applyFill="1" applyBorder="1"/>
    <xf numFmtId="0" fontId="0" fillId="48" borderId="15" xfId="0" applyFill="1" applyBorder="1"/>
    <xf numFmtId="0" fontId="0" fillId="48" borderId="16" xfId="0" applyFill="1" applyBorder="1" applyAlignment="1">
      <alignment horizontal="left"/>
    </xf>
    <xf numFmtId="0" fontId="0" fillId="48" borderId="17" xfId="0" applyFill="1" applyBorder="1"/>
    <xf numFmtId="0" fontId="0" fillId="48" borderId="0" xfId="0" applyFill="1" applyBorder="1"/>
    <xf numFmtId="0" fontId="0" fillId="48" borderId="18" xfId="0" applyFill="1" applyBorder="1"/>
    <xf numFmtId="0" fontId="0" fillId="48" borderId="18" xfId="0" applyNumberFormat="1" applyFill="1" applyBorder="1"/>
    <xf numFmtId="0" fontId="0" fillId="37" borderId="16" xfId="0" applyFill="1" applyBorder="1" applyAlignment="1">
      <alignment horizontal="left"/>
    </xf>
    <xf numFmtId="0" fontId="0" fillId="49" borderId="17" xfId="0" applyFill="1" applyBorder="1"/>
    <xf numFmtId="0" fontId="0" fillId="49" borderId="0" xfId="0" applyFill="1" applyBorder="1"/>
    <xf numFmtId="0" fontId="0" fillId="49" borderId="18" xfId="0" applyFill="1" applyBorder="1"/>
    <xf numFmtId="0" fontId="0" fillId="45" borderId="17" xfId="0" applyFill="1" applyBorder="1"/>
    <xf numFmtId="0" fontId="0" fillId="45" borderId="0" xfId="0" applyFill="1" applyBorder="1"/>
    <xf numFmtId="0" fontId="0" fillId="45" borderId="18" xfId="0" applyFill="1" applyBorder="1" applyAlignment="1">
      <alignment horizontal="left"/>
    </xf>
    <xf numFmtId="49" fontId="0" fillId="45" borderId="18" xfId="0" applyNumberFormat="1" applyFill="1" applyBorder="1"/>
    <xf numFmtId="0" fontId="0" fillId="49" borderId="14" xfId="0" applyFill="1" applyBorder="1"/>
    <xf numFmtId="0" fontId="0" fillId="49" borderId="15" xfId="0" applyFill="1" applyBorder="1"/>
    <xf numFmtId="0" fontId="0" fillId="49" borderId="16" xfId="0" applyFill="1" applyBorder="1" applyAlignment="1">
      <alignment horizontal="left"/>
    </xf>
    <xf numFmtId="0" fontId="0" fillId="49" borderId="18" xfId="0" applyNumberFormat="1" applyFill="1" applyBorder="1"/>
    <xf numFmtId="0" fontId="0" fillId="45" borderId="14" xfId="0" applyFill="1" applyBorder="1"/>
    <xf numFmtId="0" fontId="0" fillId="45" borderId="15" xfId="0" applyFill="1" applyBorder="1"/>
    <xf numFmtId="0" fontId="0" fillId="45" borderId="18" xfId="0" applyNumberFormat="1" applyFill="1" applyBorder="1"/>
    <xf numFmtId="0" fontId="0" fillId="36" borderId="14" xfId="0" applyFill="1" applyBorder="1"/>
    <xf numFmtId="0" fontId="0" fillId="36" borderId="15" xfId="0" applyFill="1" applyBorder="1"/>
    <xf numFmtId="0" fontId="0" fillId="36" borderId="16" xfId="0" applyFill="1" applyBorder="1" applyAlignment="1">
      <alignment horizontal="left"/>
    </xf>
    <xf numFmtId="0" fontId="0" fillId="41" borderId="14" xfId="0" applyFill="1" applyBorder="1"/>
    <xf numFmtId="0" fontId="0" fillId="42" borderId="14" xfId="0" applyFill="1" applyBorder="1"/>
    <xf numFmtId="0" fontId="0" fillId="42" borderId="19" xfId="0" applyFill="1" applyBorder="1"/>
    <xf numFmtId="0" fontId="0" fillId="42" borderId="11" xfId="0" applyFill="1" applyBorder="1"/>
    <xf numFmtId="0" fontId="0" fillId="42" borderId="20" xfId="0" applyFill="1" applyBorder="1"/>
    <xf numFmtId="0" fontId="0" fillId="45" borderId="19" xfId="0" applyFill="1" applyBorder="1"/>
    <xf numFmtId="0" fontId="0" fillId="45" borderId="11" xfId="0" applyFill="1" applyBorder="1"/>
    <xf numFmtId="0" fontId="0" fillId="45" borderId="20" xfId="0" applyFill="1" applyBorder="1"/>
    <xf numFmtId="0" fontId="0" fillId="36" borderId="19" xfId="0" applyFill="1" applyBorder="1"/>
    <xf numFmtId="0" fontId="0" fillId="36" borderId="11" xfId="0" applyFill="1" applyBorder="1"/>
    <xf numFmtId="0" fontId="0" fillId="36" borderId="20" xfId="0" applyFill="1" applyBorder="1"/>
    <xf numFmtId="0" fontId="0" fillId="41" borderId="19" xfId="0" applyFill="1" applyBorder="1"/>
    <xf numFmtId="0" fontId="0" fillId="41" borderId="11" xfId="0" applyFill="1" applyBorder="1"/>
    <xf numFmtId="0" fontId="0" fillId="41" borderId="20" xfId="0" applyFill="1" applyBorder="1"/>
    <xf numFmtId="0" fontId="66" fillId="37" borderId="17" xfId="0" applyFont="1" applyFill="1" applyBorder="1"/>
    <xf numFmtId="0" fontId="66" fillId="37" borderId="0" xfId="0" applyFont="1" applyFill="1" applyBorder="1"/>
    <xf numFmtId="0" fontId="66" fillId="37" borderId="19" xfId="0" applyFont="1" applyFill="1" applyBorder="1"/>
    <xf numFmtId="0" fontId="66" fillId="37" borderId="11" xfId="0" applyFont="1" applyFill="1" applyBorder="1"/>
    <xf numFmtId="0" fontId="66" fillId="37" borderId="20" xfId="0" applyFont="1" applyFill="1" applyBorder="1"/>
    <xf numFmtId="0" fontId="66" fillId="37" borderId="18" xfId="0" applyFont="1" applyFill="1" applyBorder="1"/>
    <xf numFmtId="0" fontId="66" fillId="36" borderId="17" xfId="0" applyFont="1" applyFill="1" applyBorder="1"/>
    <xf numFmtId="0" fontId="66" fillId="36" borderId="0" xfId="0" applyFont="1" applyFill="1" applyBorder="1"/>
    <xf numFmtId="0" fontId="66" fillId="36" borderId="18" xfId="0" applyFont="1" applyFill="1" applyBorder="1"/>
    <xf numFmtId="0" fontId="66" fillId="36" borderId="19" xfId="0" applyFont="1" applyFill="1" applyBorder="1"/>
    <xf numFmtId="0" fontId="66" fillId="36" borderId="11" xfId="0" applyFont="1" applyFill="1" applyBorder="1"/>
    <xf numFmtId="0" fontId="66" fillId="36" borderId="20" xfId="0" applyFont="1" applyFill="1" applyBorder="1"/>
    <xf numFmtId="0" fontId="66" fillId="48" borderId="17" xfId="0" applyFont="1" applyFill="1" applyBorder="1"/>
    <xf numFmtId="0" fontId="66" fillId="48" borderId="0" xfId="0" applyFont="1" applyFill="1" applyBorder="1"/>
    <xf numFmtId="0" fontId="66" fillId="48" borderId="18" xfId="0" applyFont="1" applyFill="1" applyBorder="1"/>
    <xf numFmtId="0" fontId="66" fillId="42" borderId="17" xfId="0" applyFont="1" applyFill="1" applyBorder="1"/>
    <xf numFmtId="0" fontId="66" fillId="42" borderId="0" xfId="0" applyFont="1" applyFill="1" applyBorder="1"/>
    <xf numFmtId="0" fontId="66" fillId="42" borderId="18" xfId="0" applyFont="1" applyFill="1" applyBorder="1"/>
    <xf numFmtId="0" fontId="66" fillId="42" borderId="19" xfId="0" applyFont="1" applyFill="1" applyBorder="1"/>
    <xf numFmtId="0" fontId="66" fillId="42" borderId="11" xfId="0" applyFont="1" applyFill="1" applyBorder="1"/>
    <xf numFmtId="0" fontId="66" fillId="42" borderId="20" xfId="0" applyFont="1" applyFill="1" applyBorder="1"/>
    <xf numFmtId="0" fontId="0" fillId="45" borderId="16" xfId="0" applyFill="1" applyBorder="1"/>
    <xf numFmtId="0" fontId="0" fillId="42" borderId="16" xfId="0" applyFill="1" applyBorder="1"/>
    <xf numFmtId="0" fontId="0" fillId="37" borderId="18" xfId="0" applyFill="1" applyBorder="1" applyAlignment="1">
      <alignment horizontal="right"/>
    </xf>
    <xf numFmtId="0" fontId="0" fillId="37" borderId="16" xfId="0" applyFill="1" applyBorder="1" applyAlignment="1">
      <alignment horizontal="right"/>
    </xf>
    <xf numFmtId="0" fontId="0" fillId="36" borderId="16" xfId="0" applyFill="1" applyBorder="1"/>
    <xf numFmtId="0" fontId="0" fillId="48" borderId="16" xfId="0" applyFill="1" applyBorder="1"/>
    <xf numFmtId="0" fontId="0" fillId="50" borderId="17" xfId="0" applyFill="1" applyBorder="1"/>
    <xf numFmtId="0" fontId="0" fillId="50" borderId="0" xfId="0" applyFill="1" applyBorder="1"/>
    <xf numFmtId="0" fontId="0" fillId="50" borderId="18" xfId="0" applyFill="1" applyBorder="1"/>
    <xf numFmtId="0" fontId="0" fillId="34" borderId="12" xfId="0" applyFill="1" applyBorder="1" applyProtection="1"/>
    <xf numFmtId="0" fontId="0" fillId="0" borderId="12" xfId="0" applyFill="1" applyBorder="1" applyAlignment="1" applyProtection="1">
      <alignment horizontal="center"/>
    </xf>
    <xf numFmtId="0" fontId="0" fillId="50" borderId="19" xfId="0" applyFill="1" applyBorder="1"/>
    <xf numFmtId="0" fontId="0" fillId="50" borderId="11" xfId="0" applyFill="1" applyBorder="1"/>
    <xf numFmtId="0" fontId="0" fillId="50" borderId="20" xfId="0" applyFill="1" applyBorder="1"/>
    <xf numFmtId="0" fontId="0" fillId="51" borderId="17" xfId="0" applyFill="1" applyBorder="1"/>
    <xf numFmtId="0" fontId="0" fillId="51" borderId="0" xfId="0" applyFill="1" applyBorder="1"/>
    <xf numFmtId="0" fontId="0" fillId="51" borderId="18" xfId="0" applyFill="1" applyBorder="1"/>
    <xf numFmtId="0" fontId="0" fillId="51" borderId="19" xfId="0" applyFill="1" applyBorder="1"/>
    <xf numFmtId="0" fontId="0" fillId="51" borderId="11" xfId="0" applyFill="1" applyBorder="1"/>
    <xf numFmtId="0" fontId="0" fillId="51" borderId="20" xfId="0" applyFill="1" applyBorder="1"/>
    <xf numFmtId="0" fontId="0" fillId="51" borderId="14" xfId="0" applyFill="1" applyBorder="1"/>
    <xf numFmtId="0" fontId="0" fillId="51" borderId="15" xfId="0" applyFill="1" applyBorder="1"/>
    <xf numFmtId="0" fontId="0" fillId="51" borderId="16" xfId="0" applyFill="1" applyBorder="1" applyAlignment="1">
      <alignment horizontal="left"/>
    </xf>
    <xf numFmtId="0" fontId="0" fillId="51" borderId="18" xfId="0" applyNumberFormat="1" applyFill="1" applyBorder="1"/>
    <xf numFmtId="0" fontId="0" fillId="51" borderId="18" xfId="0" applyFill="1" applyBorder="1" applyAlignment="1">
      <alignment horizontal="left"/>
    </xf>
    <xf numFmtId="0" fontId="0" fillId="39" borderId="14" xfId="0" applyFill="1" applyBorder="1"/>
    <xf numFmtId="0" fontId="0" fillId="39" borderId="15" xfId="0" applyFill="1" applyBorder="1"/>
    <xf numFmtId="0" fontId="0" fillId="39" borderId="16" xfId="0" applyFill="1" applyBorder="1" applyAlignment="1">
      <alignment horizontal="left"/>
    </xf>
    <xf numFmtId="0" fontId="0" fillId="39" borderId="17" xfId="0" applyFill="1" applyBorder="1"/>
    <xf numFmtId="0" fontId="0" fillId="39" borderId="0" xfId="0" applyFill="1" applyBorder="1"/>
    <xf numFmtId="0" fontId="0" fillId="39" borderId="18" xfId="0" applyFill="1" applyBorder="1"/>
    <xf numFmtId="0" fontId="0" fillId="39" borderId="18" xfId="0" applyNumberFormat="1" applyFill="1" applyBorder="1"/>
    <xf numFmtId="0" fontId="43" fillId="0" borderId="0" xfId="0" applyFont="1" applyAlignment="1">
      <alignment wrapText="1"/>
    </xf>
    <xf numFmtId="0" fontId="44" fillId="0" borderId="0" xfId="0" applyFont="1" applyAlignment="1">
      <alignment vertical="top" wrapText="1"/>
    </xf>
    <xf numFmtId="0" fontId="0" fillId="51" borderId="16" xfId="0" applyFill="1" applyBorder="1"/>
    <xf numFmtId="0" fontId="66" fillId="51" borderId="17" xfId="0" applyFont="1" applyFill="1" applyBorder="1"/>
    <xf numFmtId="0" fontId="66" fillId="51" borderId="0" xfId="0" applyFont="1" applyFill="1" applyBorder="1"/>
    <xf numFmtId="0" fontId="66" fillId="51" borderId="18" xfId="0" applyFont="1" applyFill="1" applyBorder="1"/>
    <xf numFmtId="0" fontId="66" fillId="51" borderId="19" xfId="0" applyFont="1" applyFill="1" applyBorder="1"/>
    <xf numFmtId="0" fontId="66" fillId="51" borderId="11" xfId="0" applyFont="1" applyFill="1" applyBorder="1"/>
    <xf numFmtId="0" fontId="66" fillId="51" borderId="20" xfId="0" applyFont="1" applyFill="1" applyBorder="1"/>
    <xf numFmtId="0" fontId="0" fillId="51" borderId="18" xfId="0" applyFill="1" applyBorder="1" applyAlignment="1">
      <alignment horizontal="right"/>
    </xf>
    <xf numFmtId="0" fontId="0" fillId="0" borderId="0" xfId="0" applyBorder="1" applyAlignment="1">
      <alignment vertical="center" wrapText="1"/>
    </xf>
    <xf numFmtId="0" fontId="0" fillId="50" borderId="0" xfId="0" applyFill="1"/>
    <xf numFmtId="0" fontId="0" fillId="52" borderId="14" xfId="0" applyFill="1" applyBorder="1"/>
    <xf numFmtId="0" fontId="0" fillId="52" borderId="15" xfId="0" applyFill="1" applyBorder="1"/>
    <xf numFmtId="0" fontId="0" fillId="52" borderId="16" xfId="0" applyFill="1" applyBorder="1" applyAlignment="1">
      <alignment horizontal="left"/>
    </xf>
    <xf numFmtId="0" fontId="0" fillId="52" borderId="17" xfId="0" applyFill="1" applyBorder="1"/>
    <xf numFmtId="0" fontId="0" fillId="52" borderId="0" xfId="0" applyFill="1" applyBorder="1"/>
    <xf numFmtId="0" fontId="0" fillId="52" borderId="18" xfId="0" applyFill="1" applyBorder="1"/>
    <xf numFmtId="0" fontId="0" fillId="52" borderId="18" xfId="0" applyNumberFormat="1" applyFill="1" applyBorder="1"/>
    <xf numFmtId="0" fontId="0" fillId="0" borderId="20" xfId="0" quotePrefix="1" applyBorder="1"/>
    <xf numFmtId="0" fontId="42" fillId="0" borderId="0" xfId="0" applyFont="1" applyAlignment="1">
      <alignment wrapText="1"/>
    </xf>
    <xf numFmtId="0" fontId="62" fillId="40" borderId="0" xfId="0" applyFont="1" applyFill="1" applyBorder="1" applyAlignment="1" applyProtection="1">
      <alignment vertical="top" wrapText="1"/>
      <protection locked="0"/>
    </xf>
    <xf numFmtId="0" fontId="71" fillId="34" borderId="10" xfId="44" applyFont="1" applyFill="1" applyBorder="1" applyAlignment="1" applyProtection="1">
      <alignment horizontal="center" vertical="center" wrapText="1"/>
    </xf>
    <xf numFmtId="0" fontId="71" fillId="34" borderId="10" xfId="40" applyFont="1" applyFill="1" applyBorder="1" applyAlignment="1" applyProtection="1">
      <alignment horizontal="center" vertical="center" wrapText="1"/>
    </xf>
    <xf numFmtId="0" fontId="71" fillId="34" borderId="10" xfId="44" applyFont="1" applyFill="1" applyBorder="1" applyAlignment="1" applyProtection="1">
      <alignment horizontal="center" vertical="center"/>
    </xf>
    <xf numFmtId="0" fontId="71" fillId="34" borderId="10" xfId="44" applyFont="1" applyFill="1" applyBorder="1" applyAlignment="1" applyProtection="1">
      <alignment horizontal="left" vertical="top" wrapText="1"/>
    </xf>
    <xf numFmtId="0" fontId="71" fillId="39" borderId="10" xfId="44" applyFont="1" applyFill="1" applyBorder="1" applyAlignment="1" applyProtection="1">
      <alignment horizontal="left" vertical="top" wrapText="1"/>
    </xf>
    <xf numFmtId="0" fontId="71" fillId="36" borderId="25" xfId="44" applyFont="1" applyFill="1" applyBorder="1" applyAlignment="1" applyProtection="1">
      <alignment horizontal="center" vertical="center" wrapText="1"/>
    </xf>
    <xf numFmtId="0" fontId="72" fillId="33" borderId="0" xfId="0" applyFont="1" applyFill="1"/>
    <xf numFmtId="0" fontId="72" fillId="0" borderId="0" xfId="0" applyFont="1"/>
    <xf numFmtId="0" fontId="72" fillId="0" borderId="0" xfId="0" applyFont="1" applyFill="1"/>
    <xf numFmtId="0" fontId="72" fillId="33" borderId="0" xfId="0" applyFont="1" applyFill="1" applyAlignment="1">
      <alignment horizontal="left" vertical="top"/>
    </xf>
    <xf numFmtId="0" fontId="71" fillId="36" borderId="10" xfId="44" applyFont="1" applyFill="1" applyBorder="1" applyAlignment="1" applyProtection="1">
      <alignment horizontal="center" vertical="center" wrapText="1"/>
    </xf>
    <xf numFmtId="0" fontId="72" fillId="33" borderId="0" xfId="0" applyFont="1" applyFill="1" applyAlignment="1">
      <alignment vertical="top"/>
    </xf>
    <xf numFmtId="0" fontId="71" fillId="34" borderId="10" xfId="0" applyFont="1" applyFill="1" applyBorder="1" applyAlignment="1" applyProtection="1">
      <alignment horizontal="center" vertical="center" wrapText="1"/>
    </xf>
    <xf numFmtId="0" fontId="71" fillId="39" borderId="10" xfId="0" applyFont="1" applyFill="1" applyBorder="1" applyAlignment="1" applyProtection="1">
      <alignment horizontal="center" vertical="center" wrapText="1"/>
    </xf>
    <xf numFmtId="0" fontId="71" fillId="39" borderId="10" xfId="44" applyFont="1" applyFill="1" applyBorder="1" applyAlignment="1" applyProtection="1">
      <alignment horizontal="center" vertical="center" wrapText="1"/>
    </xf>
    <xf numFmtId="0" fontId="0" fillId="54" borderId="14" xfId="0" applyFill="1" applyBorder="1"/>
    <xf numFmtId="0" fontId="0" fillId="54" borderId="15" xfId="0" applyFill="1" applyBorder="1"/>
    <xf numFmtId="0" fontId="0" fillId="54" borderId="16" xfId="0" applyFill="1" applyBorder="1"/>
    <xf numFmtId="0" fontId="0" fillId="54" borderId="17" xfId="0" applyFill="1" applyBorder="1"/>
    <xf numFmtId="0" fontId="0" fillId="54" borderId="0" xfId="0" applyFill="1" applyBorder="1"/>
    <xf numFmtId="0" fontId="0" fillId="54" borderId="18" xfId="0" applyFill="1" applyBorder="1"/>
    <xf numFmtId="0" fontId="0" fillId="54" borderId="19" xfId="0" applyFill="1" applyBorder="1"/>
    <xf numFmtId="0" fontId="0" fillId="54" borderId="11" xfId="0" applyFill="1" applyBorder="1"/>
    <xf numFmtId="0" fontId="0" fillId="54" borderId="20" xfId="0" applyFill="1" applyBorder="1"/>
    <xf numFmtId="0" fontId="0" fillId="55" borderId="14" xfId="0" applyFill="1" applyBorder="1"/>
    <xf numFmtId="0" fontId="0" fillId="55" borderId="15" xfId="0" applyFill="1" applyBorder="1"/>
    <xf numFmtId="0" fontId="0" fillId="55" borderId="16" xfId="0" applyFill="1" applyBorder="1"/>
    <xf numFmtId="0" fontId="0" fillId="55" borderId="17" xfId="0" applyFill="1" applyBorder="1"/>
    <xf numFmtId="0" fontId="0" fillId="55" borderId="0" xfId="0" applyFill="1" applyBorder="1"/>
    <xf numFmtId="0" fontId="0" fillId="55" borderId="18" xfId="0" applyFill="1" applyBorder="1"/>
    <xf numFmtId="0" fontId="0" fillId="55" borderId="19" xfId="0" applyFill="1" applyBorder="1"/>
    <xf numFmtId="0" fontId="0" fillId="55" borderId="11" xfId="0" applyFill="1" applyBorder="1"/>
    <xf numFmtId="0" fontId="0" fillId="55" borderId="20" xfId="0" applyFill="1" applyBorder="1"/>
    <xf numFmtId="49" fontId="0" fillId="55" borderId="18" xfId="0" applyNumberFormat="1" applyFill="1" applyBorder="1"/>
    <xf numFmtId="0" fontId="0" fillId="55" borderId="18" xfId="0" applyFill="1" applyBorder="1" applyAlignment="1"/>
    <xf numFmtId="0" fontId="47" fillId="55" borderId="17" xfId="47" applyFill="1" applyBorder="1"/>
    <xf numFmtId="0" fontId="47" fillId="55" borderId="19" xfId="47" applyFill="1" applyBorder="1"/>
    <xf numFmtId="0" fontId="0" fillId="53" borderId="17" xfId="0" applyFill="1" applyBorder="1"/>
    <xf numFmtId="0" fontId="0" fillId="53" borderId="0" xfId="0" applyFill="1" applyBorder="1"/>
    <xf numFmtId="0" fontId="0" fillId="53" borderId="18" xfId="0" applyFill="1" applyBorder="1"/>
    <xf numFmtId="0" fontId="0" fillId="53" borderId="19" xfId="0" applyFill="1" applyBorder="1"/>
    <xf numFmtId="0" fontId="0" fillId="53" borderId="11" xfId="0" applyFill="1" applyBorder="1"/>
    <xf numFmtId="0" fontId="0" fillId="53" borderId="20" xfId="0" applyFill="1" applyBorder="1"/>
    <xf numFmtId="0" fontId="0" fillId="53" borderId="14" xfId="0" applyFill="1" applyBorder="1"/>
    <xf numFmtId="0" fontId="0" fillId="53" borderId="15" xfId="0" applyFill="1" applyBorder="1"/>
    <xf numFmtId="0" fontId="0" fillId="53" borderId="16" xfId="0" applyFill="1" applyBorder="1"/>
    <xf numFmtId="0" fontId="66" fillId="54" borderId="14" xfId="0" applyFont="1" applyFill="1" applyBorder="1"/>
    <xf numFmtId="0" fontId="66" fillId="54" borderId="15" xfId="0" applyFont="1" applyFill="1" applyBorder="1"/>
    <xf numFmtId="0" fontId="66" fillId="54" borderId="16" xfId="0" applyFont="1" applyFill="1" applyBorder="1"/>
    <xf numFmtId="0" fontId="66" fillId="54" borderId="17" xfId="0" applyFont="1" applyFill="1" applyBorder="1"/>
    <xf numFmtId="0" fontId="66" fillId="54" borderId="0" xfId="0" applyFont="1" applyFill="1" applyBorder="1"/>
    <xf numFmtId="0" fontId="66" fillId="54" borderId="18" xfId="0" applyFont="1" applyFill="1" applyBorder="1"/>
    <xf numFmtId="0" fontId="66" fillId="54" borderId="19" xfId="0" applyFont="1" applyFill="1" applyBorder="1"/>
    <xf numFmtId="0" fontId="66" fillId="54" borderId="11" xfId="0" applyFont="1" applyFill="1" applyBorder="1"/>
    <xf numFmtId="0" fontId="66" fillId="54" borderId="20" xfId="0" applyFont="1" applyFill="1" applyBorder="1"/>
    <xf numFmtId="0" fontId="0" fillId="55" borderId="20" xfId="0" applyFill="1" applyBorder="1" applyAlignment="1"/>
    <xf numFmtId="0" fontId="62" fillId="40" borderId="0" xfId="0" applyFont="1" applyFill="1" applyAlignment="1" applyProtection="1">
      <alignment horizontal="left" vertical="top" wrapText="1"/>
      <protection locked="0"/>
    </xf>
    <xf numFmtId="0" fontId="41" fillId="0" borderId="0" xfId="0" applyFont="1" applyAlignment="1">
      <alignment wrapText="1"/>
    </xf>
    <xf numFmtId="0" fontId="40" fillId="0" borderId="0" xfId="0" applyFont="1" applyAlignment="1">
      <alignment vertical="top" wrapText="1"/>
    </xf>
    <xf numFmtId="49" fontId="0" fillId="0" borderId="0" xfId="0" applyNumberFormat="1" applyFill="1" applyBorder="1"/>
    <xf numFmtId="0" fontId="72" fillId="33" borderId="0" xfId="0" applyNumberFormat="1" applyFont="1" applyFill="1"/>
    <xf numFmtId="0" fontId="0" fillId="33" borderId="0" xfId="0" applyNumberFormat="1" applyFont="1" applyFill="1"/>
    <xf numFmtId="0" fontId="0" fillId="0" borderId="16" xfId="0" applyNumberFormat="1" applyFill="1" applyBorder="1"/>
    <xf numFmtId="0" fontId="0" fillId="0" borderId="18" xfId="0" applyNumberFormat="1" applyFill="1" applyBorder="1"/>
    <xf numFmtId="0" fontId="0" fillId="0" borderId="20" xfId="0" applyNumberFormat="1" applyFill="1" applyBorder="1"/>
    <xf numFmtId="0" fontId="0" fillId="51" borderId="18" xfId="0" applyNumberFormat="1" applyFill="1" applyBorder="1" applyAlignment="1">
      <alignment horizontal="left"/>
    </xf>
    <xf numFmtId="0" fontId="0" fillId="37" borderId="18" xfId="0" applyNumberFormat="1" applyFill="1" applyBorder="1" applyAlignment="1">
      <alignment horizontal="left"/>
    </xf>
    <xf numFmtId="0" fontId="0" fillId="42" borderId="16" xfId="0" applyNumberFormat="1" applyFill="1" applyBorder="1" applyAlignment="1">
      <alignment horizontal="left"/>
    </xf>
    <xf numFmtId="0" fontId="0" fillId="44" borderId="18" xfId="0" applyNumberFormat="1" applyFill="1" applyBorder="1" applyAlignment="1">
      <alignment horizontal="left"/>
    </xf>
    <xf numFmtId="0" fontId="0" fillId="48" borderId="16" xfId="0" applyNumberFormat="1" applyFill="1" applyBorder="1" applyAlignment="1">
      <alignment horizontal="left"/>
    </xf>
    <xf numFmtId="0" fontId="0" fillId="55" borderId="16" xfId="0" applyNumberFormat="1" applyFill="1" applyBorder="1"/>
    <xf numFmtId="0" fontId="0" fillId="55" borderId="18" xfId="0" applyNumberFormat="1" applyFill="1" applyBorder="1"/>
    <xf numFmtId="0" fontId="0" fillId="55" borderId="20" xfId="0" applyNumberFormat="1" applyFill="1" applyBorder="1"/>
    <xf numFmtId="0" fontId="0" fillId="54" borderId="16" xfId="0" applyNumberFormat="1" applyFill="1" applyBorder="1"/>
    <xf numFmtId="0" fontId="0" fillId="54" borderId="18" xfId="0" applyNumberFormat="1" applyFill="1" applyBorder="1"/>
    <xf numFmtId="0" fontId="0" fillId="54" borderId="20" xfId="0" applyNumberFormat="1" applyFill="1" applyBorder="1"/>
    <xf numFmtId="0" fontId="0" fillId="55" borderId="18" xfId="0" applyNumberFormat="1" applyFill="1" applyBorder="1" applyAlignment="1"/>
    <xf numFmtId="0" fontId="0" fillId="0" borderId="0" xfId="0" applyNumberFormat="1" applyFill="1"/>
    <xf numFmtId="0" fontId="39" fillId="0" borderId="0" xfId="0" applyFont="1" applyAlignment="1">
      <alignment wrapText="1"/>
    </xf>
    <xf numFmtId="0" fontId="62" fillId="33" borderId="0" xfId="0" applyFont="1" applyFill="1" applyAlignment="1">
      <alignment wrapText="1"/>
    </xf>
    <xf numFmtId="0" fontId="74" fillId="33" borderId="0" xfId="0" applyFont="1" applyFill="1"/>
    <xf numFmtId="0" fontId="37" fillId="0" borderId="0" xfId="0" applyFont="1" applyAlignment="1">
      <alignment wrapText="1"/>
    </xf>
    <xf numFmtId="1" fontId="0" fillId="0" borderId="16" xfId="0" applyNumberFormat="1" applyBorder="1"/>
    <xf numFmtId="1" fontId="0" fillId="0" borderId="18" xfId="0" applyNumberFormat="1" applyBorder="1"/>
    <xf numFmtId="1" fontId="0" fillId="0" borderId="20" xfId="0" applyNumberFormat="1" applyBorder="1"/>
    <xf numFmtId="0" fontId="0" fillId="0" borderId="11" xfId="0" applyBorder="1" applyAlignment="1">
      <alignment wrapText="1"/>
    </xf>
    <xf numFmtId="0" fontId="0" fillId="40" borderId="12" xfId="0" applyFill="1" applyBorder="1" applyAlignment="1" applyProtection="1">
      <alignment horizontal="center" vertical="center"/>
    </xf>
    <xf numFmtId="49" fontId="0" fillId="37" borderId="16" xfId="0" applyNumberFormat="1" applyFill="1" applyBorder="1"/>
    <xf numFmtId="0" fontId="0" fillId="57" borderId="17" xfId="0" applyFill="1" applyBorder="1"/>
    <xf numFmtId="0" fontId="0" fillId="57" borderId="0" xfId="0" applyFill="1" applyBorder="1"/>
    <xf numFmtId="0" fontId="0" fillId="57" borderId="18" xfId="0" applyFill="1" applyBorder="1"/>
    <xf numFmtId="0" fontId="0" fillId="58" borderId="14" xfId="0" applyFill="1" applyBorder="1"/>
    <xf numFmtId="0" fontId="0" fillId="58" borderId="15" xfId="0" applyFill="1" applyBorder="1"/>
    <xf numFmtId="0" fontId="0" fillId="58" borderId="16" xfId="0" applyFill="1" applyBorder="1" applyAlignment="1">
      <alignment horizontal="left"/>
    </xf>
    <xf numFmtId="0" fontId="0" fillId="58" borderId="17" xfId="0" applyFill="1" applyBorder="1"/>
    <xf numFmtId="0" fontId="0" fillId="58" borderId="0" xfId="0" applyFill="1" applyBorder="1"/>
    <xf numFmtId="0" fontId="0" fillId="58" borderId="18" xfId="0" applyFill="1" applyBorder="1"/>
    <xf numFmtId="0" fontId="0" fillId="58" borderId="18" xfId="0" applyNumberFormat="1" applyFill="1" applyBorder="1"/>
    <xf numFmtId="0" fontId="0" fillId="41" borderId="18" xfId="0" applyFill="1" applyBorder="1" applyAlignment="1">
      <alignment horizontal="left"/>
    </xf>
    <xf numFmtId="0" fontId="0" fillId="41" borderId="18" xfId="0" applyNumberFormat="1" applyFill="1" applyBorder="1"/>
    <xf numFmtId="0" fontId="0" fillId="41" borderId="16" xfId="0" applyFill="1" applyBorder="1" applyAlignment="1">
      <alignment horizontal="left"/>
    </xf>
    <xf numFmtId="0" fontId="0" fillId="59" borderId="17" xfId="0" applyFill="1" applyBorder="1"/>
    <xf numFmtId="0" fontId="0" fillId="59" borderId="0" xfId="0" applyFill="1" applyBorder="1"/>
    <xf numFmtId="0" fontId="0" fillId="59" borderId="18" xfId="0" applyNumberFormat="1" applyFill="1" applyBorder="1" applyAlignment="1">
      <alignment horizontal="left"/>
    </xf>
    <xf numFmtId="0" fontId="0" fillId="59" borderId="18" xfId="0" applyNumberFormat="1" applyFill="1" applyBorder="1"/>
    <xf numFmtId="0" fontId="0" fillId="55" borderId="18" xfId="0" applyNumberFormat="1" applyFill="1" applyBorder="1" applyAlignment="1">
      <alignment horizontal="left"/>
    </xf>
    <xf numFmtId="0" fontId="0" fillId="60" borderId="17" xfId="0" applyFill="1" applyBorder="1"/>
    <xf numFmtId="0" fontId="0" fillId="60" borderId="0" xfId="0" applyFill="1" applyBorder="1"/>
    <xf numFmtId="0" fontId="0" fillId="60" borderId="18" xfId="0" applyFill="1" applyBorder="1"/>
    <xf numFmtId="0" fontId="0" fillId="60" borderId="19" xfId="0" applyFill="1" applyBorder="1"/>
    <xf numFmtId="0" fontId="0" fillId="60" borderId="11" xfId="0" applyFill="1" applyBorder="1"/>
    <xf numFmtId="0" fontId="0" fillId="60" borderId="20" xfId="0" applyFill="1" applyBorder="1"/>
    <xf numFmtId="0" fontId="36" fillId="0" borderId="0" xfId="0" applyFont="1" applyAlignment="1">
      <alignment wrapText="1"/>
    </xf>
    <xf numFmtId="0" fontId="62" fillId="0" borderId="0" xfId="0" applyFont="1" applyFill="1" applyBorder="1" applyAlignment="1" applyProtection="1">
      <alignment vertical="top" wrapText="1"/>
    </xf>
    <xf numFmtId="0" fontId="0" fillId="50" borderId="14" xfId="0" applyFill="1" applyBorder="1"/>
    <xf numFmtId="0" fontId="0" fillId="50" borderId="15" xfId="0" applyFill="1" applyBorder="1"/>
    <xf numFmtId="0" fontId="0" fillId="50" borderId="16" xfId="0" applyFill="1" applyBorder="1"/>
    <xf numFmtId="0" fontId="0" fillId="58" borderId="18" xfId="0" applyFill="1" applyBorder="1" applyAlignment="1">
      <alignment horizontal="left"/>
    </xf>
    <xf numFmtId="0" fontId="0" fillId="57" borderId="14" xfId="0" applyFill="1" applyBorder="1"/>
    <xf numFmtId="0" fontId="0" fillId="57" borderId="15" xfId="0" applyFill="1" applyBorder="1"/>
    <xf numFmtId="0" fontId="0" fillId="57" borderId="16" xfId="0" applyFill="1" applyBorder="1"/>
    <xf numFmtId="0" fontId="0" fillId="0" borderId="0" xfId="0" quotePrefix="1"/>
    <xf numFmtId="0" fontId="75" fillId="0" borderId="0" xfId="0" applyFont="1"/>
    <xf numFmtId="0" fontId="75" fillId="33" borderId="0" xfId="0" applyFont="1" applyFill="1"/>
    <xf numFmtId="0" fontId="35" fillId="0" borderId="0" xfId="0" applyFont="1" applyAlignment="1">
      <alignment wrapText="1"/>
    </xf>
    <xf numFmtId="0" fontId="0" fillId="0" borderId="0" xfId="0" applyAlignment="1">
      <alignment wrapText="1"/>
    </xf>
    <xf numFmtId="49" fontId="0" fillId="33" borderId="0" xfId="0" applyNumberFormat="1" applyFont="1" applyFill="1"/>
    <xf numFmtId="49" fontId="0" fillId="0" borderId="12" xfId="0" applyNumberFormat="1" applyBorder="1"/>
    <xf numFmtId="49" fontId="0" fillId="0" borderId="12" xfId="0" applyNumberFormat="1" applyBorder="1" applyAlignment="1">
      <alignment horizontal="center"/>
    </xf>
    <xf numFmtId="49" fontId="0" fillId="0" borderId="12" xfId="0" applyNumberFormat="1" applyFill="1" applyBorder="1" applyAlignment="1">
      <alignment horizontal="center"/>
    </xf>
    <xf numFmtId="49" fontId="0" fillId="0" borderId="0" xfId="0" applyNumberFormat="1" applyFill="1"/>
    <xf numFmtId="0" fontId="34" fillId="0" borderId="0" xfId="0" applyFont="1" applyAlignment="1">
      <alignment horizontal="left" vertical="top" wrapText="1"/>
    </xf>
    <xf numFmtId="0" fontId="69" fillId="34" borderId="27" xfId="44" applyNumberFormat="1" applyFont="1" applyFill="1" applyBorder="1" applyAlignment="1" applyProtection="1">
      <alignment horizontal="left" vertical="top" wrapText="1"/>
      <protection locked="0"/>
    </xf>
    <xf numFmtId="0" fontId="0" fillId="0" borderId="13" xfId="0" applyNumberFormat="1" applyFill="1" applyBorder="1" applyAlignment="1" applyProtection="1">
      <alignment horizontal="center" vertical="center" wrapText="1"/>
      <protection locked="0"/>
    </xf>
    <xf numFmtId="0" fontId="0" fillId="34" borderId="0" xfId="0" applyNumberFormat="1" applyFill="1" applyProtection="1">
      <protection locked="0"/>
    </xf>
    <xf numFmtId="0" fontId="0" fillId="56" borderId="26" xfId="0" applyNumberFormat="1" applyFill="1" applyBorder="1" applyAlignment="1" applyProtection="1">
      <protection locked="0"/>
    </xf>
    <xf numFmtId="0" fontId="68" fillId="34" borderId="28" xfId="0" applyNumberFormat="1" applyFont="1" applyFill="1" applyBorder="1" applyAlignment="1" applyProtection="1">
      <alignment vertical="center"/>
      <protection locked="0"/>
    </xf>
    <xf numFmtId="0" fontId="73" fillId="34" borderId="27" xfId="0" applyNumberFormat="1" applyFont="1" applyFill="1" applyBorder="1" applyAlignment="1" applyProtection="1">
      <alignment vertical="center"/>
      <protection locked="0"/>
    </xf>
    <xf numFmtId="0" fontId="73" fillId="34" borderId="27" xfId="44" applyNumberFormat="1" applyFont="1" applyFill="1" applyBorder="1" applyAlignment="1" applyProtection="1">
      <alignment horizontal="center" vertical="center" wrapText="1"/>
      <protection locked="0"/>
    </xf>
    <xf numFmtId="0" fontId="73" fillId="34" borderId="27" xfId="44" applyNumberFormat="1" applyFont="1" applyFill="1" applyBorder="1" applyAlignment="1" applyProtection="1">
      <alignment horizontal="center" vertical="center"/>
      <protection locked="0"/>
    </xf>
    <xf numFmtId="0" fontId="69" fillId="34" borderId="27" xfId="44" applyNumberFormat="1" applyFont="1" applyFill="1" applyBorder="1" applyAlignment="1" applyProtection="1">
      <alignment horizontal="center" vertical="center" wrapText="1"/>
      <protection locked="0"/>
    </xf>
    <xf numFmtId="0" fontId="69" fillId="36" borderId="27" xfId="44" applyNumberFormat="1" applyFont="1" applyFill="1" applyBorder="1" applyAlignment="1" applyProtection="1">
      <alignment horizontal="center" vertical="center" wrapText="1"/>
      <protection locked="0"/>
    </xf>
    <xf numFmtId="0" fontId="0" fillId="34" borderId="29" xfId="0" applyNumberFormat="1" applyFill="1" applyBorder="1" applyAlignment="1" applyProtection="1">
      <protection locked="0"/>
    </xf>
    <xf numFmtId="0" fontId="0" fillId="35" borderId="24" xfId="0" applyNumberFormat="1" applyFill="1" applyBorder="1" applyAlignment="1" applyProtection="1">
      <alignment horizontal="center" vertical="center"/>
      <protection locked="0"/>
    </xf>
    <xf numFmtId="0" fontId="0" fillId="0" borderId="13" xfId="0" applyNumberFormat="1" applyFill="1" applyBorder="1" applyAlignment="1" applyProtection="1">
      <alignment horizontal="center" vertical="center"/>
      <protection locked="0"/>
    </xf>
    <xf numFmtId="0" fontId="0" fillId="0" borderId="12" xfId="0" applyNumberFormat="1" applyFill="1" applyBorder="1" applyAlignment="1" applyProtection="1">
      <alignment horizontal="center" vertical="center" wrapText="1"/>
      <protection locked="0"/>
    </xf>
    <xf numFmtId="0" fontId="0" fillId="34" borderId="0" xfId="0" applyNumberFormat="1" applyFill="1" applyBorder="1" applyAlignment="1" applyProtection="1">
      <protection locked="0"/>
    </xf>
    <xf numFmtId="0" fontId="0" fillId="34" borderId="30" xfId="0" applyNumberFormat="1" applyFill="1" applyBorder="1" applyAlignment="1" applyProtection="1">
      <protection locked="0"/>
    </xf>
    <xf numFmtId="0" fontId="0" fillId="34" borderId="17" xfId="0" applyNumberFormat="1" applyFill="1" applyBorder="1" applyAlignment="1" applyProtection="1">
      <protection locked="0"/>
    </xf>
    <xf numFmtId="0" fontId="0" fillId="34" borderId="0" xfId="0" applyNumberFormat="1" applyFill="1" applyAlignment="1" applyProtection="1">
      <protection locked="0"/>
    </xf>
    <xf numFmtId="0" fontId="0" fillId="0" borderId="0" xfId="0" applyNumberFormat="1" applyFill="1" applyProtection="1">
      <protection locked="0"/>
    </xf>
    <xf numFmtId="0" fontId="33" fillId="0" borderId="0" xfId="0" applyFont="1" applyAlignment="1">
      <alignment wrapText="1"/>
    </xf>
    <xf numFmtId="0" fontId="33" fillId="0" borderId="0" xfId="0" applyFont="1" applyFill="1" applyAlignment="1" applyProtection="1">
      <alignment vertical="top" wrapText="1"/>
      <protection locked="0"/>
    </xf>
    <xf numFmtId="0" fontId="0" fillId="44" borderId="14" xfId="0" applyFill="1" applyBorder="1"/>
    <xf numFmtId="0" fontId="0" fillId="44" borderId="15" xfId="0" applyFill="1" applyBorder="1"/>
    <xf numFmtId="0" fontId="0" fillId="44" borderId="16" xfId="0" applyFill="1" applyBorder="1" applyAlignment="1">
      <alignment horizontal="left"/>
    </xf>
    <xf numFmtId="0" fontId="0" fillId="61" borderId="17" xfId="0" applyFill="1" applyBorder="1"/>
    <xf numFmtId="0" fontId="0" fillId="61" borderId="0" xfId="0" applyFill="1" applyBorder="1"/>
    <xf numFmtId="0" fontId="0" fillId="61" borderId="18" xfId="0" applyFill="1" applyBorder="1"/>
    <xf numFmtId="0" fontId="0" fillId="0" borderId="12" xfId="0" applyNumberFormat="1" applyFill="1" applyBorder="1" applyAlignment="1" applyProtection="1">
      <alignment horizontal="center"/>
      <protection locked="0"/>
    </xf>
    <xf numFmtId="0" fontId="0" fillId="0" borderId="0" xfId="0" applyNumberFormat="1" applyFill="1" applyAlignment="1" applyProtection="1">
      <alignment horizontal="center"/>
      <protection locked="0"/>
    </xf>
    <xf numFmtId="0" fontId="69" fillId="36" borderId="31" xfId="44" applyNumberFormat="1" applyFont="1" applyFill="1" applyBorder="1" applyAlignment="1" applyProtection="1">
      <alignment horizontal="center" vertical="center" wrapText="1"/>
      <protection locked="0"/>
    </xf>
    <xf numFmtId="0" fontId="0" fillId="34" borderId="0" xfId="0" applyNumberFormat="1" applyFill="1" applyAlignment="1" applyProtection="1">
      <alignment horizontal="center"/>
      <protection locked="0"/>
    </xf>
    <xf numFmtId="0" fontId="32" fillId="0" borderId="0" xfId="0" applyFont="1" applyAlignment="1">
      <alignment wrapText="1"/>
    </xf>
    <xf numFmtId="0" fontId="0" fillId="0" borderId="18" xfId="0" applyBorder="1" applyAlignment="1">
      <alignment wrapText="1"/>
    </xf>
    <xf numFmtId="0" fontId="31" fillId="0" borderId="0" xfId="0" applyFont="1" applyAlignment="1">
      <alignment wrapText="1"/>
    </xf>
    <xf numFmtId="0" fontId="0" fillId="0" borderId="13" xfId="0" applyNumberFormat="1" applyFill="1" applyBorder="1" applyAlignment="1" applyProtection="1">
      <alignment horizontal="left" vertical="center" wrapText="1"/>
      <protection locked="0"/>
    </xf>
    <xf numFmtId="0" fontId="0" fillId="34" borderId="0" xfId="0" applyNumberFormat="1" applyFill="1" applyAlignment="1" applyProtection="1">
      <alignment horizontal="left"/>
      <protection locked="0"/>
    </xf>
    <xf numFmtId="0" fontId="73" fillId="34" borderId="27" xfId="0" applyNumberFormat="1" applyFont="1" applyFill="1" applyBorder="1" applyAlignment="1" applyProtection="1">
      <alignment horizontal="center" vertical="center" wrapText="1"/>
      <protection locked="0"/>
    </xf>
    <xf numFmtId="0" fontId="73" fillId="34" borderId="27" xfId="40" applyNumberFormat="1" applyFont="1" applyFill="1" applyBorder="1" applyAlignment="1" applyProtection="1">
      <alignment horizontal="center" vertical="center" wrapText="1"/>
      <protection locked="0"/>
    </xf>
    <xf numFmtId="0" fontId="0" fillId="34" borderId="0" xfId="0" applyFill="1" applyAlignment="1">
      <alignment horizontal="center" vertical="center"/>
    </xf>
    <xf numFmtId="0" fontId="62" fillId="34" borderId="12" xfId="0" applyFont="1" applyFill="1" applyBorder="1" applyAlignment="1" applyProtection="1">
      <alignment horizontal="center"/>
    </xf>
    <xf numFmtId="0" fontId="76" fillId="36" borderId="27" xfId="44" applyNumberFormat="1" applyFont="1" applyFill="1" applyBorder="1" applyAlignment="1" applyProtection="1">
      <alignment horizontal="center" vertical="center" wrapText="1"/>
      <protection locked="0"/>
    </xf>
    <xf numFmtId="0" fontId="0" fillId="36" borderId="12" xfId="0" applyFill="1" applyBorder="1" applyAlignment="1">
      <alignment horizontal="center"/>
    </xf>
    <xf numFmtId="0" fontId="0" fillId="36" borderId="12" xfId="0" applyFill="1" applyBorder="1"/>
    <xf numFmtId="0" fontId="0" fillId="36" borderId="12" xfId="0" applyFill="1" applyBorder="1" applyAlignment="1">
      <alignment horizontal="center" vertical="center"/>
    </xf>
    <xf numFmtId="49" fontId="0" fillId="0" borderId="0" xfId="0" applyNumberFormat="1" applyAlignment="1">
      <alignment horizontal="center"/>
    </xf>
    <xf numFmtId="49" fontId="0" fillId="36" borderId="12" xfId="0" applyNumberFormat="1" applyFill="1" applyBorder="1" applyAlignment="1">
      <alignment horizontal="center"/>
    </xf>
    <xf numFmtId="49" fontId="0" fillId="36" borderId="12" xfId="0" applyNumberFormat="1" applyFill="1" applyBorder="1"/>
    <xf numFmtId="49" fontId="0" fillId="34" borderId="12" xfId="0" applyNumberFormat="1" applyFill="1" applyBorder="1"/>
    <xf numFmtId="49" fontId="0" fillId="36" borderId="12" xfId="0" applyNumberFormat="1" applyFill="1" applyBorder="1" applyAlignment="1">
      <alignment horizontal="center" vertical="center"/>
    </xf>
    <xf numFmtId="0" fontId="0" fillId="36" borderId="12" xfId="0" applyFill="1" applyBorder="1" applyAlignment="1" applyProtection="1">
      <alignment horizontal="center"/>
    </xf>
    <xf numFmtId="0" fontId="0" fillId="34" borderId="12" xfId="0" applyNumberFormat="1" applyFill="1" applyBorder="1" applyAlignment="1">
      <alignment horizontal="center" vertical="center"/>
    </xf>
    <xf numFmtId="0" fontId="62" fillId="34" borderId="12" xfId="0" applyFont="1" applyFill="1" applyBorder="1" applyAlignment="1">
      <alignment horizontal="center"/>
    </xf>
    <xf numFmtId="49" fontId="62" fillId="34" borderId="22" xfId="0" applyNumberFormat="1" applyFont="1" applyFill="1" applyBorder="1" applyAlignment="1" applyProtection="1">
      <alignment horizontal="center" vertical="center"/>
    </xf>
    <xf numFmtId="49" fontId="30" fillId="34" borderId="12" xfId="0" applyNumberFormat="1" applyFont="1" applyFill="1" applyBorder="1" applyAlignment="1" applyProtection="1">
      <alignment horizontal="center" vertical="center"/>
    </xf>
    <xf numFmtId="49" fontId="0" fillId="34" borderId="0" xfId="0" applyNumberFormat="1" applyFill="1" applyAlignment="1" applyProtection="1">
      <alignment horizontal="center" vertical="center"/>
    </xf>
    <xf numFmtId="49" fontId="62" fillId="36" borderId="12" xfId="0" applyNumberFormat="1" applyFont="1" applyFill="1" applyBorder="1" applyAlignment="1">
      <alignment horizontal="center"/>
    </xf>
    <xf numFmtId="0" fontId="62" fillId="36" borderId="12" xfId="0" applyFont="1" applyFill="1" applyBorder="1" applyAlignment="1" applyProtection="1">
      <alignment horizontal="center" vertical="center"/>
    </xf>
    <xf numFmtId="49" fontId="69" fillId="62" borderId="27" xfId="44" applyNumberFormat="1" applyFont="1" applyFill="1" applyBorder="1" applyAlignment="1" applyProtection="1">
      <alignment horizontal="left" vertical="top" wrapText="1"/>
      <protection locked="0"/>
    </xf>
    <xf numFmtId="49" fontId="0" fillId="0" borderId="13" xfId="0" applyNumberFormat="1" applyFill="1" applyBorder="1" applyAlignment="1" applyProtection="1">
      <alignment horizontal="center" vertical="center" wrapText="1"/>
      <protection locked="0"/>
    </xf>
    <xf numFmtId="49" fontId="0" fillId="0" borderId="12" xfId="0" applyNumberFormat="1" applyFill="1" applyBorder="1" applyAlignment="1" applyProtection="1">
      <alignment horizontal="center" vertical="center" wrapText="1"/>
      <protection locked="0"/>
    </xf>
    <xf numFmtId="49" fontId="0" fillId="34" borderId="0" xfId="0" applyNumberFormat="1" applyFill="1" applyProtection="1">
      <protection locked="0"/>
    </xf>
    <xf numFmtId="0" fontId="0" fillId="34" borderId="0" xfId="0" applyNumberFormat="1" applyFill="1"/>
    <xf numFmtId="0" fontId="0" fillId="0" borderId="0" xfId="0" applyFill="1" applyBorder="1" applyAlignment="1">
      <alignment horizontal="center" vertical="center"/>
    </xf>
    <xf numFmtId="0" fontId="0" fillId="38" borderId="0" xfId="0" applyNumberFormat="1" applyFill="1" applyBorder="1"/>
    <xf numFmtId="0" fontId="0" fillId="0" borderId="0" xfId="0" applyBorder="1" applyAlignment="1">
      <alignment horizontal="center" vertical="center"/>
    </xf>
    <xf numFmtId="0" fontId="0" fillId="38" borderId="0" xfId="0" applyNumberFormat="1" applyFill="1" applyBorder="1" applyAlignment="1">
      <alignment wrapText="1"/>
    </xf>
    <xf numFmtId="0" fontId="0" fillId="0" borderId="22" xfId="0" applyBorder="1"/>
    <xf numFmtId="0" fontId="0" fillId="0" borderId="12" xfId="0" applyNumberFormat="1" applyBorder="1"/>
    <xf numFmtId="0" fontId="0" fillId="0" borderId="12" xfId="0" applyNumberFormat="1" applyBorder="1" applyAlignment="1">
      <alignment horizontal="center"/>
    </xf>
    <xf numFmtId="0" fontId="0" fillId="36" borderId="12" xfId="0" applyNumberFormat="1" applyFill="1" applyBorder="1" applyAlignment="1">
      <alignment horizontal="center"/>
    </xf>
    <xf numFmtId="0" fontId="0" fillId="36" borderId="12" xfId="0" applyNumberFormat="1" applyFill="1" applyBorder="1"/>
    <xf numFmtId="0" fontId="0" fillId="0" borderId="12" xfId="0" applyNumberFormat="1" applyBorder="1" applyAlignment="1">
      <alignment horizontal="center" vertical="center"/>
    </xf>
    <xf numFmtId="0" fontId="0" fillId="38" borderId="0" xfId="0" applyFill="1" applyBorder="1"/>
    <xf numFmtId="0" fontId="0" fillId="0" borderId="0" xfId="0" applyAlignment="1">
      <alignment horizontal="center"/>
    </xf>
    <xf numFmtId="0" fontId="0" fillId="38" borderId="0" xfId="0" applyFill="1" applyBorder="1" applyAlignment="1">
      <alignment wrapText="1"/>
    </xf>
    <xf numFmtId="0" fontId="0" fillId="0" borderId="0" xfId="0" applyFill="1" applyAlignment="1">
      <alignment horizontal="center"/>
    </xf>
    <xf numFmtId="0" fontId="0" fillId="0" borderId="0" xfId="0" applyBorder="1" applyAlignment="1">
      <alignment horizontal="center"/>
    </xf>
    <xf numFmtId="0" fontId="0" fillId="0" borderId="0" xfId="0" applyNumberFormat="1" applyFill="1" applyBorder="1" applyAlignment="1">
      <alignment horizontal="center"/>
    </xf>
    <xf numFmtId="0" fontId="0" fillId="36" borderId="24" xfId="0" applyFill="1" applyBorder="1" applyAlignment="1">
      <alignment horizontal="center"/>
    </xf>
    <xf numFmtId="0" fontId="0" fillId="0" borderId="0" xfId="0" applyFill="1" applyBorder="1" applyAlignment="1">
      <alignment horizontal="center"/>
    </xf>
    <xf numFmtId="0" fontId="0" fillId="36" borderId="13" xfId="0" applyFill="1" applyBorder="1" applyAlignment="1">
      <alignment horizontal="center"/>
    </xf>
    <xf numFmtId="0" fontId="0" fillId="36" borderId="22" xfId="0" applyFill="1" applyBorder="1"/>
    <xf numFmtId="0" fontId="0" fillId="0" borderId="0" xfId="0" applyNumberFormat="1" applyBorder="1"/>
    <xf numFmtId="0" fontId="0" fillId="38" borderId="14" xfId="0" applyNumberFormat="1" applyFill="1" applyBorder="1" applyAlignment="1">
      <alignment wrapText="1"/>
    </xf>
    <xf numFmtId="0" fontId="0" fillId="38" borderId="15" xfId="0" applyNumberFormat="1" applyFill="1" applyBorder="1" applyAlignment="1">
      <alignment wrapText="1"/>
    </xf>
    <xf numFmtId="0" fontId="0" fillId="38" borderId="15" xfId="0" applyNumberFormat="1" applyFill="1" applyBorder="1"/>
    <xf numFmtId="0" fontId="0" fillId="0" borderId="15" xfId="0" applyBorder="1" applyAlignment="1">
      <alignment horizontal="center" vertical="center"/>
    </xf>
    <xf numFmtId="0" fontId="0" fillId="0" borderId="16" xfId="0" applyNumberFormat="1" applyFill="1" applyBorder="1" applyAlignment="1">
      <alignment horizontal="center"/>
    </xf>
    <xf numFmtId="0" fontId="0" fillId="38" borderId="17" xfId="0" applyNumberFormat="1" applyFill="1" applyBorder="1" applyAlignment="1">
      <alignment wrapText="1"/>
    </xf>
    <xf numFmtId="0" fontId="0" fillId="0" borderId="18" xfId="0" applyNumberFormat="1" applyFill="1" applyBorder="1" applyAlignment="1">
      <alignment horizontal="center"/>
    </xf>
    <xf numFmtId="0" fontId="0" fillId="38" borderId="19" xfId="0" applyNumberFormat="1" applyFill="1" applyBorder="1" applyAlignment="1">
      <alignment wrapText="1"/>
    </xf>
    <xf numFmtId="0" fontId="0" fillId="38" borderId="11" xfId="0" applyNumberFormat="1" applyFill="1" applyBorder="1" applyAlignment="1">
      <alignment wrapText="1"/>
    </xf>
    <xf numFmtId="0" fontId="0" fillId="38" borderId="11" xfId="0" applyNumberFormat="1" applyFill="1" applyBorder="1"/>
    <xf numFmtId="0" fontId="0" fillId="0" borderId="11" xfId="0" applyBorder="1" applyAlignment="1">
      <alignment horizontal="center" vertical="center"/>
    </xf>
    <xf numFmtId="0" fontId="0" fillId="0" borderId="20" xfId="0" applyNumberFormat="1" applyFill="1" applyBorder="1" applyAlignment="1">
      <alignment horizontal="center"/>
    </xf>
    <xf numFmtId="0" fontId="0" fillId="38" borderId="14" xfId="0" applyNumberFormat="1" applyFill="1" applyBorder="1"/>
    <xf numFmtId="0" fontId="0" fillId="0" borderId="16" xfId="0" applyBorder="1" applyAlignment="1">
      <alignment horizontal="center"/>
    </xf>
    <xf numFmtId="0" fontId="0" fillId="0" borderId="17" xfId="0" applyNumberFormat="1" applyFill="1" applyBorder="1" applyAlignment="1">
      <alignment wrapText="1"/>
    </xf>
    <xf numFmtId="0" fontId="0" fillId="0" borderId="18" xfId="0" applyBorder="1" applyAlignment="1">
      <alignment horizontal="center"/>
    </xf>
    <xf numFmtId="0" fontId="0" fillId="0" borderId="15" xfId="0" applyFill="1" applyBorder="1" applyAlignment="1">
      <alignment horizontal="center" vertical="center"/>
    </xf>
    <xf numFmtId="0" fontId="0" fillId="38" borderId="17" xfId="0" applyFill="1" applyBorder="1" applyAlignment="1">
      <alignment wrapText="1"/>
    </xf>
    <xf numFmtId="0" fontId="0" fillId="0" borderId="11" xfId="0" applyFill="1" applyBorder="1" applyAlignment="1">
      <alignment horizontal="center" vertical="center"/>
    </xf>
    <xf numFmtId="0" fontId="0" fillId="38" borderId="14" xfId="0" applyFill="1" applyBorder="1" applyAlignment="1">
      <alignment wrapText="1"/>
    </xf>
    <xf numFmtId="0" fontId="0" fillId="38" borderId="15" xfId="0" applyFill="1" applyBorder="1" applyAlignment="1">
      <alignment wrapText="1"/>
    </xf>
    <xf numFmtId="0" fontId="0" fillId="38" borderId="15" xfId="0" applyFill="1" applyBorder="1"/>
    <xf numFmtId="0" fontId="0" fillId="34" borderId="22" xfId="0" applyFill="1" applyBorder="1" applyAlignment="1" applyProtection="1">
      <alignment horizontal="center"/>
    </xf>
    <xf numFmtId="0" fontId="0" fillId="38" borderId="0" xfId="0" applyFill="1" applyBorder="1" applyAlignment="1">
      <alignment horizontal="center" vertical="center"/>
    </xf>
    <xf numFmtId="0" fontId="0" fillId="38" borderId="0" xfId="0" applyFill="1" applyBorder="1" applyAlignment="1">
      <alignment horizontal="center"/>
    </xf>
    <xf numFmtId="0" fontId="0" fillId="38" borderId="0" xfId="0" applyFill="1" applyAlignment="1">
      <alignment horizontal="center"/>
    </xf>
    <xf numFmtId="49" fontId="0" fillId="0" borderId="0" xfId="0" applyNumberFormat="1" applyBorder="1" applyAlignment="1">
      <alignment horizontal="center"/>
    </xf>
    <xf numFmtId="0" fontId="0" fillId="36" borderId="22" xfId="0" applyFill="1" applyBorder="1" applyAlignment="1">
      <alignment horizontal="center"/>
    </xf>
    <xf numFmtId="49" fontId="0" fillId="0" borderId="14" xfId="0" applyNumberFormat="1" applyBorder="1" applyAlignment="1">
      <alignment horizontal="center"/>
    </xf>
    <xf numFmtId="49" fontId="0" fillId="0" borderId="15" xfId="0" applyNumberFormat="1" applyBorder="1" applyAlignment="1">
      <alignment horizontal="center"/>
    </xf>
    <xf numFmtId="0" fontId="0" fillId="0" borderId="16" xfId="0" applyNumberFormat="1" applyBorder="1" applyAlignment="1">
      <alignment horizontal="center"/>
    </xf>
    <xf numFmtId="49" fontId="0" fillId="0" borderId="17" xfId="0" applyNumberFormat="1" applyBorder="1" applyAlignment="1">
      <alignment horizontal="center"/>
    </xf>
    <xf numFmtId="0" fontId="0" fillId="0" borderId="18" xfId="0" applyNumberFormat="1" applyBorder="1" applyAlignment="1">
      <alignment horizontal="center"/>
    </xf>
    <xf numFmtId="49" fontId="0" fillId="0" borderId="19" xfId="0" applyNumberFormat="1" applyBorder="1" applyAlignment="1">
      <alignment horizontal="center"/>
    </xf>
    <xf numFmtId="49" fontId="0" fillId="0" borderId="11" xfId="0" applyNumberFormat="1" applyBorder="1" applyAlignment="1">
      <alignment horizontal="center"/>
    </xf>
    <xf numFmtId="0" fontId="0" fillId="0" borderId="20" xfId="0" applyNumberFormat="1" applyBorder="1" applyAlignment="1">
      <alignment horizontal="center"/>
    </xf>
    <xf numFmtId="49" fontId="0" fillId="0" borderId="22" xfId="0" applyNumberFormat="1" applyBorder="1" applyAlignment="1">
      <alignment horizontal="center"/>
    </xf>
    <xf numFmtId="49" fontId="0" fillId="0" borderId="23" xfId="0" applyNumberFormat="1" applyBorder="1" applyAlignment="1">
      <alignment horizontal="center"/>
    </xf>
    <xf numFmtId="0" fontId="0" fillId="0" borderId="24" xfId="0" applyNumberFormat="1" applyBorder="1" applyAlignment="1">
      <alignment horizontal="center"/>
    </xf>
    <xf numFmtId="49" fontId="0" fillId="0" borderId="0" xfId="0" applyNumberFormat="1" applyFill="1" applyBorder="1" applyAlignment="1">
      <alignment horizontal="center"/>
    </xf>
    <xf numFmtId="49" fontId="0" fillId="50" borderId="12" xfId="0" applyNumberFormat="1" applyFill="1" applyBorder="1" applyAlignment="1">
      <alignment horizontal="center"/>
    </xf>
    <xf numFmtId="0" fontId="29" fillId="0" borderId="0" xfId="0" applyFont="1" applyAlignment="1">
      <alignment wrapText="1"/>
    </xf>
    <xf numFmtId="49" fontId="0" fillId="0" borderId="18" xfId="0" applyNumberFormat="1" applyBorder="1"/>
    <xf numFmtId="0" fontId="0" fillId="0" borderId="18" xfId="0" applyNumberFormat="1" applyBorder="1"/>
    <xf numFmtId="0" fontId="0" fillId="0" borderId="20" xfId="0" applyNumberFormat="1" applyBorder="1"/>
    <xf numFmtId="0" fontId="0" fillId="0" borderId="0" xfId="0" applyFill="1" applyBorder="1" applyAlignment="1">
      <alignment vertical="center"/>
    </xf>
    <xf numFmtId="0" fontId="0" fillId="63" borderId="0" xfId="0" applyFont="1" applyFill="1"/>
    <xf numFmtId="0" fontId="0" fillId="37" borderId="0" xfId="0" quotePrefix="1" applyFill="1"/>
    <xf numFmtId="0" fontId="0" fillId="53" borderId="0" xfId="0" applyFill="1"/>
    <xf numFmtId="0" fontId="0" fillId="64" borderId="0" xfId="0" applyFill="1"/>
    <xf numFmtId="0" fontId="0" fillId="36" borderId="24" xfId="0" applyFill="1" applyBorder="1" applyAlignment="1">
      <alignment horizontal="center" vertical="center"/>
    </xf>
    <xf numFmtId="0" fontId="0" fillId="63" borderId="0" xfId="0" applyFont="1" applyFill="1" applyBorder="1"/>
    <xf numFmtId="0" fontId="0" fillId="0" borderId="12" xfId="0" applyBorder="1" applyAlignment="1">
      <alignment horizontal="center" vertical="center"/>
    </xf>
    <xf numFmtId="0" fontId="0" fillId="0" borderId="24" xfId="0" applyBorder="1" applyAlignment="1">
      <alignment horizontal="center"/>
    </xf>
    <xf numFmtId="49" fontId="0" fillId="34" borderId="0" xfId="0" applyNumberFormat="1" applyFill="1" applyBorder="1" applyAlignment="1" applyProtection="1">
      <alignment horizontal="center" vertical="center"/>
    </xf>
    <xf numFmtId="0" fontId="0" fillId="63" borderId="22" xfId="0" applyFont="1" applyFill="1" applyBorder="1"/>
    <xf numFmtId="0" fontId="0" fillId="63" borderId="23" xfId="0" applyFont="1" applyFill="1" applyBorder="1"/>
    <xf numFmtId="0" fontId="0" fillId="63" borderId="24" xfId="0" applyFont="1" applyFill="1" applyBorder="1"/>
    <xf numFmtId="0" fontId="62" fillId="38" borderId="12" xfId="0" applyFont="1" applyFill="1" applyBorder="1" applyAlignment="1">
      <alignment horizontal="center"/>
    </xf>
    <xf numFmtId="0" fontId="28" fillId="0" borderId="0" xfId="0" applyFont="1" applyAlignment="1">
      <alignment wrapText="1"/>
    </xf>
    <xf numFmtId="0" fontId="0" fillId="38" borderId="0" xfId="0" applyFill="1" applyBorder="1" applyAlignment="1"/>
    <xf numFmtId="0" fontId="0" fillId="0" borderId="0" xfId="0" applyAlignment="1"/>
    <xf numFmtId="49" fontId="0" fillId="0" borderId="0" xfId="0" applyNumberFormat="1" applyAlignment="1"/>
    <xf numFmtId="0" fontId="0" fillId="0" borderId="0" xfId="0" applyBorder="1" applyAlignment="1"/>
    <xf numFmtId="49" fontId="0" fillId="0" borderId="19" xfId="0" applyNumberFormat="1" applyFill="1" applyBorder="1" applyAlignment="1" applyProtection="1">
      <alignment horizontal="center" vertical="center"/>
      <protection locked="0"/>
    </xf>
    <xf numFmtId="0" fontId="27" fillId="0" borderId="0" xfId="0" applyFont="1" applyAlignment="1">
      <alignment wrapText="1"/>
    </xf>
    <xf numFmtId="0" fontId="62" fillId="34" borderId="12" xfId="0" applyFont="1" applyFill="1" applyBorder="1" applyProtection="1"/>
    <xf numFmtId="0" fontId="0" fillId="34" borderId="12" xfId="0" applyNumberFormat="1" applyFill="1" applyBorder="1" applyProtection="1"/>
    <xf numFmtId="49" fontId="0" fillId="0" borderId="22" xfId="0" applyNumberFormat="1" applyFill="1" applyBorder="1" applyAlignment="1" applyProtection="1">
      <alignment horizontal="center" vertical="center"/>
      <protection locked="0"/>
    </xf>
    <xf numFmtId="0" fontId="0" fillId="45" borderId="18" xfId="0" applyFill="1" applyBorder="1" applyAlignment="1">
      <alignment horizontal="right"/>
    </xf>
    <xf numFmtId="0" fontId="0" fillId="36" borderId="18" xfId="0" applyFill="1" applyBorder="1" applyAlignment="1">
      <alignment horizontal="right"/>
    </xf>
    <xf numFmtId="0" fontId="0" fillId="0" borderId="12" xfId="0" applyBorder="1" applyAlignment="1">
      <alignment horizontal="center" vertical="center" wrapText="1"/>
    </xf>
    <xf numFmtId="0" fontId="0" fillId="33" borderId="0" xfId="0" applyNumberFormat="1" applyFill="1"/>
    <xf numFmtId="0" fontId="26" fillId="0" borderId="0" xfId="0" applyFont="1" applyAlignment="1">
      <alignment wrapText="1"/>
    </xf>
    <xf numFmtId="49" fontId="71" fillId="34" borderId="10" xfId="0" applyNumberFormat="1" applyFont="1" applyFill="1" applyBorder="1" applyAlignment="1" applyProtection="1">
      <alignment horizontal="center" vertical="center" wrapText="1"/>
    </xf>
    <xf numFmtId="49" fontId="71" fillId="39" borderId="10" xfId="0" applyNumberFormat="1" applyFont="1" applyFill="1" applyBorder="1" applyAlignment="1" applyProtection="1">
      <alignment horizontal="center" vertical="center" wrapText="1"/>
    </xf>
    <xf numFmtId="49" fontId="71" fillId="39" borderId="10" xfId="44" applyNumberFormat="1" applyFont="1" applyFill="1" applyBorder="1" applyAlignment="1" applyProtection="1">
      <alignment horizontal="center" vertical="center" wrapText="1"/>
    </xf>
    <xf numFmtId="49" fontId="0" fillId="0" borderId="12" xfId="0" applyNumberFormat="1" applyFill="1" applyBorder="1" applyAlignment="1">
      <alignment horizontal="center" vertical="center"/>
    </xf>
    <xf numFmtId="49" fontId="71" fillId="34" borderId="10" xfId="44" applyNumberFormat="1" applyFont="1" applyFill="1" applyBorder="1" applyAlignment="1" applyProtection="1">
      <alignment horizontal="center" vertical="center"/>
    </xf>
    <xf numFmtId="49" fontId="71" fillId="39" borderId="10" xfId="44" applyNumberFormat="1" applyFont="1" applyFill="1" applyBorder="1" applyAlignment="1" applyProtection="1">
      <alignment horizontal="left" vertical="top" wrapText="1"/>
    </xf>
    <xf numFmtId="0" fontId="0" fillId="34" borderId="0" xfId="0" applyFill="1" applyAlignment="1" applyProtection="1">
      <alignment horizontal="center"/>
    </xf>
    <xf numFmtId="0" fontId="62" fillId="34" borderId="22" xfId="0" applyFont="1" applyFill="1" applyBorder="1" applyAlignment="1" applyProtection="1">
      <alignment horizontal="center"/>
    </xf>
    <xf numFmtId="0" fontId="62" fillId="34" borderId="0" xfId="0" applyFont="1" applyFill="1" applyAlignment="1">
      <alignment horizontal="center"/>
    </xf>
    <xf numFmtId="0" fontId="0" fillId="0" borderId="22" xfId="0" applyNumberFormat="1" applyBorder="1"/>
    <xf numFmtId="0" fontId="0" fillId="0" borderId="23" xfId="0" applyFill="1" applyBorder="1"/>
    <xf numFmtId="0" fontId="0" fillId="0" borderId="23" xfId="0" applyBorder="1"/>
    <xf numFmtId="0" fontId="0" fillId="0" borderId="24" xfId="0" applyBorder="1"/>
    <xf numFmtId="0" fontId="62" fillId="38" borderId="12" xfId="0" applyFont="1" applyFill="1" applyBorder="1" applyAlignment="1" applyProtection="1">
      <alignment horizontal="center"/>
    </xf>
    <xf numFmtId="0" fontId="62" fillId="38" borderId="0" xfId="0" applyFont="1" applyFill="1" applyAlignment="1" applyProtection="1">
      <alignment horizontal="center" vertical="center"/>
    </xf>
    <xf numFmtId="0" fontId="62" fillId="38" borderId="12" xfId="0" applyFont="1" applyFill="1" applyBorder="1" applyProtection="1"/>
    <xf numFmtId="0" fontId="0" fillId="38" borderId="0" xfId="0" applyFill="1" applyProtection="1"/>
    <xf numFmtId="0" fontId="0" fillId="38" borderId="0" xfId="0" applyFill="1" applyAlignment="1" applyProtection="1">
      <alignment horizontal="center" vertical="center"/>
    </xf>
    <xf numFmtId="0" fontId="0" fillId="0" borderId="12" xfId="0" applyFill="1" applyBorder="1" applyAlignment="1" applyProtection="1">
      <alignment horizontal="center"/>
      <protection locked="0"/>
    </xf>
    <xf numFmtId="0" fontId="0" fillId="0" borderId="12" xfId="0" applyFill="1" applyBorder="1" applyProtection="1">
      <protection locked="0"/>
    </xf>
    <xf numFmtId="0" fontId="25" fillId="0" borderId="0" xfId="0" applyFont="1" applyAlignment="1">
      <alignment wrapText="1"/>
    </xf>
    <xf numFmtId="0" fontId="0" fillId="34" borderId="0" xfId="0" applyFill="1" applyAlignment="1" applyProtection="1">
      <alignment horizontal="center"/>
    </xf>
    <xf numFmtId="0" fontId="62" fillId="34" borderId="0" xfId="0" applyFont="1" applyFill="1"/>
    <xf numFmtId="0" fontId="0" fillId="0" borderId="14" xfId="0" applyFill="1" applyBorder="1" applyAlignment="1"/>
    <xf numFmtId="0" fontId="0" fillId="0" borderId="15" xfId="0" applyFill="1" applyBorder="1" applyAlignment="1"/>
    <xf numFmtId="0" fontId="0" fillId="0" borderId="16" xfId="0" applyFill="1" applyBorder="1" applyAlignment="1"/>
    <xf numFmtId="0" fontId="0" fillId="0" borderId="17" xfId="0" applyFill="1" applyBorder="1" applyAlignment="1"/>
    <xf numFmtId="0" fontId="0" fillId="0" borderId="0" xfId="0" applyFill="1" applyBorder="1" applyAlignment="1"/>
    <xf numFmtId="0" fontId="0" fillId="0" borderId="18" xfId="0" applyFill="1" applyBorder="1" applyAlignment="1"/>
    <xf numFmtId="0" fontId="0" fillId="0" borderId="19" xfId="0" applyFill="1" applyBorder="1" applyAlignment="1"/>
    <xf numFmtId="0" fontId="0" fillId="0" borderId="11" xfId="0" applyFill="1" applyBorder="1" applyAlignment="1"/>
    <xf numFmtId="0" fontId="0" fillId="0" borderId="20" xfId="0" applyFill="1" applyBorder="1" applyAlignment="1"/>
    <xf numFmtId="0" fontId="0" fillId="45" borderId="17" xfId="0" applyFill="1" applyBorder="1" applyAlignment="1"/>
    <xf numFmtId="0" fontId="0" fillId="45" borderId="0" xfId="0" applyFill="1" applyBorder="1" applyAlignment="1"/>
    <xf numFmtId="0" fontId="0" fillId="45" borderId="18" xfId="0" applyFill="1" applyBorder="1" applyAlignment="1"/>
    <xf numFmtId="0" fontId="0" fillId="45" borderId="18" xfId="0" applyNumberFormat="1" applyFill="1" applyBorder="1" applyAlignment="1"/>
    <xf numFmtId="0" fontId="0" fillId="37" borderId="14" xfId="0" applyFill="1" applyBorder="1" applyAlignment="1"/>
    <xf numFmtId="0" fontId="0" fillId="37" borderId="15" xfId="0" applyFill="1" applyBorder="1" applyAlignment="1"/>
    <xf numFmtId="0" fontId="0" fillId="37" borderId="16" xfId="0" applyFill="1" applyBorder="1" applyAlignment="1"/>
    <xf numFmtId="0" fontId="0" fillId="37" borderId="17" xfId="0" applyFill="1" applyBorder="1" applyAlignment="1"/>
    <xf numFmtId="0" fontId="0" fillId="37" borderId="0" xfId="0" applyFill="1" applyBorder="1" applyAlignment="1"/>
    <xf numFmtId="0" fontId="0" fillId="37" borderId="18" xfId="0" applyFill="1" applyBorder="1" applyAlignment="1"/>
    <xf numFmtId="0" fontId="0" fillId="37" borderId="18" xfId="0" applyNumberFormat="1" applyFill="1" applyBorder="1" applyAlignment="1"/>
    <xf numFmtId="0" fontId="0" fillId="51" borderId="14" xfId="0" applyFill="1" applyBorder="1" applyAlignment="1"/>
    <xf numFmtId="0" fontId="0" fillId="51" borderId="15" xfId="0" applyFill="1" applyBorder="1" applyAlignment="1"/>
    <xf numFmtId="0" fontId="0" fillId="51" borderId="16" xfId="0" applyFill="1" applyBorder="1" applyAlignment="1"/>
    <xf numFmtId="0" fontId="0" fillId="51" borderId="17" xfId="0" applyFill="1" applyBorder="1" applyAlignment="1"/>
    <xf numFmtId="0" fontId="0" fillId="51" borderId="0" xfId="0" applyFill="1" applyBorder="1" applyAlignment="1"/>
    <xf numFmtId="0" fontId="0" fillId="51" borderId="18" xfId="0" applyFill="1" applyBorder="1" applyAlignment="1"/>
    <xf numFmtId="0" fontId="0" fillId="0" borderId="18" xfId="0" applyFill="1" applyBorder="1" applyAlignment="1">
      <alignment vertical="top"/>
    </xf>
    <xf numFmtId="0" fontId="0" fillId="48" borderId="17" xfId="0" applyFill="1" applyBorder="1" applyAlignment="1"/>
    <xf numFmtId="0" fontId="0" fillId="48" borderId="0" xfId="0" applyFill="1" applyBorder="1" applyAlignment="1"/>
    <xf numFmtId="0" fontId="0" fillId="48" borderId="18" xfId="0" applyFill="1" applyBorder="1" applyAlignment="1"/>
    <xf numFmtId="0" fontId="0" fillId="0" borderId="17" xfId="0" applyBorder="1" applyAlignment="1"/>
    <xf numFmtId="0" fontId="0" fillId="0" borderId="19" xfId="0" applyBorder="1" applyAlignment="1"/>
    <xf numFmtId="0" fontId="0" fillId="0" borderId="11" xfId="0" applyBorder="1" applyAlignment="1"/>
    <xf numFmtId="0" fontId="0" fillId="0" borderId="20" xfId="0" applyBorder="1" applyAlignment="1"/>
    <xf numFmtId="0" fontId="0" fillId="51" borderId="18" xfId="0" applyNumberFormat="1" applyFill="1" applyBorder="1" applyAlignment="1"/>
    <xf numFmtId="0" fontId="0" fillId="55" borderId="16" xfId="0" applyNumberFormat="1" applyFill="1" applyBorder="1" applyAlignment="1">
      <alignment horizontal="left"/>
    </xf>
    <xf numFmtId="0" fontId="0" fillId="63" borderId="17" xfId="0" applyFill="1" applyBorder="1"/>
    <xf numFmtId="0" fontId="0" fillId="63" borderId="0" xfId="0" applyFill="1" applyBorder="1"/>
    <xf numFmtId="0" fontId="0" fillId="63" borderId="18" xfId="0" applyFill="1" applyBorder="1"/>
    <xf numFmtId="0" fontId="0" fillId="62" borderId="17" xfId="0" applyFill="1" applyBorder="1"/>
    <xf numFmtId="0" fontId="0" fillId="62" borderId="0" xfId="0" applyFill="1" applyBorder="1"/>
    <xf numFmtId="0" fontId="0" fillId="62" borderId="18" xfId="0" applyFill="1" applyBorder="1" applyAlignment="1">
      <alignment horizontal="left"/>
    </xf>
    <xf numFmtId="0" fontId="0" fillId="62" borderId="18" xfId="0" applyFill="1" applyBorder="1"/>
    <xf numFmtId="0" fontId="62" fillId="34" borderId="0" xfId="0" applyNumberFormat="1" applyFont="1" applyFill="1" applyAlignment="1">
      <alignment horizontal="center"/>
    </xf>
    <xf numFmtId="0" fontId="62" fillId="0" borderId="0" xfId="0" applyNumberFormat="1" applyFont="1" applyFill="1" applyAlignment="1">
      <alignment horizontal="center"/>
    </xf>
    <xf numFmtId="0" fontId="62" fillId="34" borderId="0" xfId="0" applyFont="1" applyFill="1" applyAlignment="1">
      <alignment horizontal="left"/>
    </xf>
    <xf numFmtId="0" fontId="62" fillId="33" borderId="0" xfId="0" applyFont="1" applyFill="1" applyAlignment="1">
      <alignment horizontal="left"/>
    </xf>
    <xf numFmtId="0" fontId="0" fillId="33" borderId="0" xfId="0" applyFill="1" applyAlignment="1">
      <alignment horizontal="center"/>
    </xf>
    <xf numFmtId="0" fontId="0" fillId="37" borderId="18" xfId="0" applyFill="1" applyBorder="1" applyAlignment="1">
      <alignment wrapText="1"/>
    </xf>
    <xf numFmtId="0" fontId="0" fillId="36" borderId="17" xfId="0" applyFill="1" applyBorder="1" applyAlignment="1"/>
    <xf numFmtId="0" fontId="0" fillId="36" borderId="0" xfId="0" applyFill="1" applyBorder="1" applyAlignment="1"/>
    <xf numFmtId="0" fontId="0" fillId="36" borderId="18" xfId="0" applyFill="1" applyBorder="1" applyAlignment="1"/>
    <xf numFmtId="0" fontId="0" fillId="36" borderId="18" xfId="0" applyNumberFormat="1" applyFill="1" applyBorder="1" applyAlignment="1"/>
    <xf numFmtId="0" fontId="0" fillId="33" borderId="0" xfId="0" applyFill="1" applyAlignment="1">
      <alignment horizontal="center" vertical="center"/>
    </xf>
    <xf numFmtId="0" fontId="0" fillId="38" borderId="12" xfId="0" applyFill="1" applyBorder="1" applyAlignment="1" applyProtection="1">
      <alignment horizontal="center"/>
      <protection locked="0"/>
    </xf>
    <xf numFmtId="0" fontId="24" fillId="0" borderId="0" xfId="0" applyFont="1" applyAlignment="1">
      <alignment wrapText="1"/>
    </xf>
    <xf numFmtId="0" fontId="23" fillId="0" borderId="0" xfId="0" applyFont="1" applyAlignment="1">
      <alignment wrapText="1"/>
    </xf>
    <xf numFmtId="49" fontId="0" fillId="36" borderId="33" xfId="0" applyNumberFormat="1" applyFill="1" applyBorder="1" applyAlignment="1">
      <alignment horizontal="center"/>
    </xf>
    <xf numFmtId="49" fontId="0" fillId="0" borderId="33" xfId="0" applyNumberFormat="1" applyFill="1" applyBorder="1" applyAlignment="1">
      <alignment horizontal="center"/>
    </xf>
    <xf numFmtId="0" fontId="0" fillId="0" borderId="33" xfId="0" applyFill="1" applyBorder="1" applyAlignment="1" applyProtection="1">
      <alignment horizontal="center"/>
    </xf>
    <xf numFmtId="0" fontId="0" fillId="0" borderId="0" xfId="0" applyFill="1" applyBorder="1" applyAlignment="1" applyProtection="1">
      <alignment horizontal="center"/>
    </xf>
    <xf numFmtId="49" fontId="0" fillId="0" borderId="15" xfId="0" applyNumberFormat="1" applyFill="1" applyBorder="1" applyAlignment="1">
      <alignment horizontal="center"/>
    </xf>
    <xf numFmtId="0" fontId="0" fillId="0" borderId="15" xfId="0" applyFill="1" applyBorder="1" applyAlignment="1" applyProtection="1">
      <alignment horizontal="center"/>
    </xf>
    <xf numFmtId="49" fontId="0" fillId="0" borderId="15" xfId="0" applyNumberFormat="1" applyFill="1" applyBorder="1"/>
    <xf numFmtId="0" fontId="0" fillId="0" borderId="15" xfId="0" applyFill="1" applyBorder="1" applyAlignment="1">
      <alignment horizontal="center"/>
    </xf>
    <xf numFmtId="49" fontId="0" fillId="34" borderId="33" xfId="0" applyNumberFormat="1" applyFill="1" applyBorder="1" applyAlignment="1" applyProtection="1">
      <alignment horizontal="center" vertical="center"/>
    </xf>
    <xf numFmtId="0" fontId="0" fillId="34" borderId="33" xfId="0" applyNumberFormat="1" applyFill="1" applyBorder="1" applyAlignment="1">
      <alignment horizontal="center" vertical="center"/>
    </xf>
    <xf numFmtId="0" fontId="0" fillId="36" borderId="33" xfId="0" applyFill="1" applyBorder="1" applyAlignment="1" applyProtection="1">
      <alignment horizontal="center"/>
    </xf>
    <xf numFmtId="0" fontId="0" fillId="34" borderId="33" xfId="0" applyFill="1" applyBorder="1" applyAlignment="1" applyProtection="1">
      <alignment horizontal="center"/>
    </xf>
    <xf numFmtId="0" fontId="0" fillId="36" borderId="33" xfId="0" applyFill="1" applyBorder="1" applyAlignment="1">
      <alignment horizontal="center"/>
    </xf>
    <xf numFmtId="0" fontId="0" fillId="34" borderId="0" xfId="0" applyNumberFormat="1" applyFill="1" applyBorder="1" applyAlignment="1">
      <alignment horizontal="center" vertical="center"/>
    </xf>
    <xf numFmtId="49" fontId="0" fillId="34" borderId="15" xfId="0" applyNumberFormat="1" applyFill="1" applyBorder="1" applyAlignment="1" applyProtection="1">
      <alignment horizontal="center" vertical="center"/>
    </xf>
    <xf numFmtId="0" fontId="0" fillId="34" borderId="15" xfId="0" applyNumberFormat="1" applyFill="1" applyBorder="1" applyAlignment="1">
      <alignment horizontal="center" vertical="center"/>
    </xf>
    <xf numFmtId="0" fontId="0" fillId="34" borderId="15" xfId="0" applyFill="1" applyBorder="1" applyAlignment="1" applyProtection="1">
      <alignment horizontal="center"/>
    </xf>
    <xf numFmtId="0" fontId="0" fillId="34" borderId="0" xfId="0" applyFill="1" applyAlignment="1" applyProtection="1">
      <alignment horizontal="center"/>
    </xf>
    <xf numFmtId="0" fontId="69" fillId="34" borderId="28" xfId="44" applyNumberFormat="1" applyFont="1" applyFill="1" applyBorder="1" applyAlignment="1" applyProtection="1">
      <alignment horizontal="left" vertical="top" wrapText="1"/>
      <protection locked="0"/>
    </xf>
    <xf numFmtId="0" fontId="62" fillId="34" borderId="33" xfId="0" applyFont="1" applyFill="1" applyBorder="1" applyAlignment="1" applyProtection="1">
      <alignment horizontal="center"/>
    </xf>
    <xf numFmtId="0" fontId="0" fillId="44" borderId="12" xfId="0" applyFill="1" applyBorder="1" applyAlignment="1" applyProtection="1">
      <alignment horizontal="center" vertical="center"/>
    </xf>
    <xf numFmtId="0" fontId="0" fillId="44" borderId="12" xfId="0" applyFill="1" applyBorder="1" applyAlignment="1" applyProtection="1">
      <alignment horizontal="center"/>
    </xf>
    <xf numFmtId="0" fontId="22" fillId="0" borderId="0" xfId="0" applyFont="1" applyAlignment="1">
      <alignment wrapText="1"/>
    </xf>
    <xf numFmtId="0" fontId="21" fillId="0" borderId="0" xfId="0" applyFont="1" applyAlignment="1">
      <alignment wrapText="1"/>
    </xf>
    <xf numFmtId="0" fontId="20" fillId="0" borderId="0" xfId="0" applyFont="1" applyFill="1" applyAlignment="1">
      <alignment horizontal="center"/>
    </xf>
    <xf numFmtId="0" fontId="19" fillId="0" borderId="0" xfId="0" applyFont="1" applyAlignment="1">
      <alignment wrapText="1"/>
    </xf>
    <xf numFmtId="0" fontId="62" fillId="0" borderId="0" xfId="0" applyFont="1" applyAlignment="1">
      <alignment horizontal="center"/>
    </xf>
    <xf numFmtId="0" fontId="0" fillId="34" borderId="22" xfId="0" applyFill="1" applyBorder="1" applyAlignment="1">
      <alignment horizontal="center" vertical="center"/>
    </xf>
    <xf numFmtId="0" fontId="62" fillId="34" borderId="12" xfId="0" applyFont="1" applyFill="1" applyBorder="1" applyAlignment="1">
      <alignment horizontal="center" vertical="top"/>
    </xf>
    <xf numFmtId="0" fontId="0" fillId="34" borderId="12" xfId="0" applyFill="1" applyBorder="1" applyAlignment="1">
      <alignment horizontal="center"/>
    </xf>
    <xf numFmtId="0" fontId="0" fillId="43" borderId="14" xfId="0" applyFill="1" applyBorder="1"/>
    <xf numFmtId="0" fontId="0" fillId="43" borderId="15" xfId="0" applyFill="1" applyBorder="1"/>
    <xf numFmtId="0" fontId="0" fillId="43" borderId="16" xfId="0" applyFill="1" applyBorder="1" applyAlignment="1">
      <alignment horizontal="left"/>
    </xf>
    <xf numFmtId="0" fontId="0" fillId="42" borderId="18" xfId="0" applyFill="1" applyBorder="1" applyAlignment="1">
      <alignment horizontal="left"/>
    </xf>
    <xf numFmtId="0" fontId="0" fillId="52" borderId="16" xfId="0" applyFill="1" applyBorder="1"/>
    <xf numFmtId="0" fontId="0" fillId="52" borderId="18" xfId="0" applyFill="1" applyBorder="1" applyAlignment="1">
      <alignment horizontal="left"/>
    </xf>
    <xf numFmtId="0" fontId="18" fillId="0" borderId="0" xfId="0" applyFont="1" applyAlignment="1">
      <alignment horizontal="center"/>
    </xf>
    <xf numFmtId="0" fontId="0" fillId="0" borderId="13" xfId="0" applyNumberFormat="1" applyFill="1" applyBorder="1" applyAlignment="1" applyProtection="1">
      <alignment horizontal="center" wrapText="1"/>
      <protection locked="0"/>
    </xf>
    <xf numFmtId="0" fontId="0" fillId="0" borderId="13" xfId="0" applyNumberFormat="1" applyFill="1" applyBorder="1" applyAlignment="1" applyProtection="1">
      <alignment horizontal="center" vertical="top" wrapText="1"/>
      <protection locked="0"/>
    </xf>
    <xf numFmtId="0" fontId="0" fillId="34" borderId="0" xfId="0" applyNumberFormat="1" applyFill="1" applyAlignment="1" applyProtection="1">
      <alignment vertical="top"/>
      <protection locked="0"/>
    </xf>
    <xf numFmtId="0" fontId="0" fillId="0" borderId="12" xfId="0" applyNumberFormat="1" applyFill="1" applyBorder="1" applyAlignment="1" applyProtection="1">
      <alignment horizontal="center" vertical="top" wrapText="1"/>
      <protection locked="0"/>
    </xf>
    <xf numFmtId="0" fontId="17" fillId="0" borderId="0" xfId="0" applyFont="1" applyAlignment="1">
      <alignment wrapText="1"/>
    </xf>
    <xf numFmtId="0" fontId="0" fillId="0" borderId="13" xfId="0" applyNumberFormat="1" applyFill="1" applyBorder="1" applyAlignment="1" applyProtection="1">
      <alignment horizontal="left" vertical="top" wrapText="1"/>
      <protection locked="0"/>
    </xf>
    <xf numFmtId="0" fontId="0" fillId="34" borderId="0" xfId="0" applyNumberFormat="1" applyFill="1" applyAlignment="1" applyProtection="1">
      <alignment horizontal="left" vertical="top"/>
      <protection locked="0"/>
    </xf>
    <xf numFmtId="0" fontId="0" fillId="65" borderId="14" xfId="0" applyFill="1" applyBorder="1"/>
    <xf numFmtId="0" fontId="0" fillId="65" borderId="15" xfId="0" applyFill="1" applyBorder="1"/>
    <xf numFmtId="0" fontId="0" fillId="65" borderId="18" xfId="0" applyFill="1" applyBorder="1"/>
    <xf numFmtId="0" fontId="0" fillId="65" borderId="17" xfId="0" applyFill="1" applyBorder="1"/>
    <xf numFmtId="0" fontId="0" fillId="65" borderId="0" xfId="0" applyFill="1" applyBorder="1"/>
    <xf numFmtId="0" fontId="0" fillId="65" borderId="19" xfId="0" applyFill="1" applyBorder="1"/>
    <xf numFmtId="0" fontId="0" fillId="65" borderId="11" xfId="0" applyFill="1" applyBorder="1"/>
    <xf numFmtId="0" fontId="0" fillId="65" borderId="20" xfId="0" applyFill="1" applyBorder="1"/>
    <xf numFmtId="0" fontId="0" fillId="65" borderId="16" xfId="0" applyFill="1" applyBorder="1"/>
    <xf numFmtId="0" fontId="16" fillId="0" borderId="0" xfId="0" applyFont="1" applyAlignment="1">
      <alignment wrapText="1"/>
    </xf>
    <xf numFmtId="0" fontId="62" fillId="38" borderId="0" xfId="0" applyFont="1" applyFill="1" applyAlignment="1">
      <alignment horizontal="center"/>
    </xf>
    <xf numFmtId="0" fontId="0" fillId="0" borderId="13" xfId="0" applyBorder="1"/>
    <xf numFmtId="0" fontId="0" fillId="34" borderId="0" xfId="0" applyFill="1" applyAlignment="1" applyProtection="1">
      <alignment horizontal="center"/>
    </xf>
    <xf numFmtId="0" fontId="0" fillId="51" borderId="0" xfId="0" applyFill="1"/>
    <xf numFmtId="0" fontId="0" fillId="42" borderId="0" xfId="0" applyFill="1"/>
    <xf numFmtId="0" fontId="0" fillId="36" borderId="0" xfId="0" applyFill="1"/>
    <xf numFmtId="0" fontId="0" fillId="38" borderId="16" xfId="0" applyNumberFormat="1" applyFill="1" applyBorder="1"/>
    <xf numFmtId="0" fontId="0" fillId="38" borderId="20" xfId="0" applyNumberFormat="1" applyFill="1" applyBorder="1"/>
    <xf numFmtId="0" fontId="15" fillId="40" borderId="0" xfId="0" applyFont="1" applyFill="1" applyAlignment="1" applyProtection="1">
      <alignment horizontal="left" vertical="top" wrapText="1"/>
    </xf>
    <xf numFmtId="0" fontId="0" fillId="45" borderId="0" xfId="0" applyFill="1"/>
    <xf numFmtId="0" fontId="0" fillId="45" borderId="16" xfId="0" applyFill="1" applyBorder="1" applyAlignment="1">
      <alignment horizontal="right"/>
    </xf>
    <xf numFmtId="0" fontId="0" fillId="0" borderId="18" xfId="0" applyBorder="1" applyAlignment="1">
      <alignment vertical="top" wrapText="1"/>
    </xf>
    <xf numFmtId="0" fontId="0" fillId="36" borderId="16" xfId="0" applyFill="1" applyBorder="1" applyAlignment="1">
      <alignment horizontal="right"/>
    </xf>
    <xf numFmtId="0" fontId="0" fillId="48" borderId="0" xfId="0" applyFill="1"/>
    <xf numFmtId="0" fontId="0" fillId="55" borderId="0" xfId="0" applyFill="1"/>
    <xf numFmtId="0" fontId="14" fillId="0" borderId="0" xfId="0" applyFont="1" applyAlignment="1">
      <alignment wrapText="1"/>
    </xf>
    <xf numFmtId="0" fontId="0" fillId="63" borderId="0" xfId="0" applyFill="1"/>
    <xf numFmtId="0" fontId="13" fillId="0" borderId="0" xfId="0" applyFont="1" applyAlignment="1">
      <alignment wrapText="1"/>
    </xf>
    <xf numFmtId="0" fontId="0" fillId="40" borderId="18" xfId="0" applyFill="1" applyBorder="1"/>
    <xf numFmtId="0" fontId="0" fillId="40" borderId="17" xfId="0" applyFill="1" applyBorder="1"/>
    <xf numFmtId="0" fontId="0" fillId="40" borderId="18" xfId="0" applyFill="1" applyBorder="1" applyAlignment="1">
      <alignment wrapText="1"/>
    </xf>
    <xf numFmtId="0" fontId="0" fillId="37" borderId="12" xfId="0" applyFill="1" applyBorder="1" applyAlignment="1" applyProtection="1">
      <alignment horizontal="center" vertical="center"/>
    </xf>
    <xf numFmtId="0" fontId="0" fillId="37" borderId="12" xfId="0" applyFill="1" applyBorder="1" applyAlignment="1" applyProtection="1">
      <alignment horizontal="center"/>
    </xf>
    <xf numFmtId="0" fontId="0" fillId="37" borderId="24" xfId="0" applyFill="1" applyBorder="1" applyAlignment="1" applyProtection="1">
      <alignment horizontal="center"/>
    </xf>
    <xf numFmtId="0" fontId="0" fillId="34" borderId="12" xfId="0" applyFill="1" applyBorder="1" applyAlignment="1">
      <alignment horizontal="center" vertical="center"/>
    </xf>
    <xf numFmtId="0" fontId="0" fillId="44" borderId="24" xfId="0" applyFill="1" applyBorder="1" applyAlignment="1" applyProtection="1">
      <alignment horizontal="center"/>
    </xf>
    <xf numFmtId="0" fontId="0" fillId="54" borderId="0" xfId="0" applyFill="1"/>
    <xf numFmtId="0" fontId="0" fillId="0" borderId="20" xfId="0" applyBorder="1" applyAlignment="1">
      <alignment wrapText="1"/>
    </xf>
    <xf numFmtId="0" fontId="0" fillId="47" borderId="0" xfId="0" applyFill="1"/>
    <xf numFmtId="0" fontId="0" fillId="0" borderId="12" xfId="0" applyBorder="1" applyAlignment="1">
      <alignment vertical="center"/>
    </xf>
    <xf numFmtId="0" fontId="71" fillId="34" borderId="10" xfId="0" applyFont="1" applyFill="1" applyBorder="1" applyAlignment="1">
      <alignment horizontal="center" vertical="center" wrapText="1"/>
    </xf>
    <xf numFmtId="0" fontId="0" fillId="47" borderId="18" xfId="0" applyFill="1" applyBorder="1" applyAlignment="1">
      <alignment horizontal="left"/>
    </xf>
    <xf numFmtId="0" fontId="0" fillId="0" borderId="34" xfId="0" applyFill="1" applyBorder="1" applyAlignment="1" applyProtection="1">
      <alignment vertical="top" wrapText="1"/>
    </xf>
    <xf numFmtId="11" fontId="0" fillId="50" borderId="18" xfId="0" applyNumberFormat="1" applyFill="1" applyBorder="1"/>
    <xf numFmtId="49" fontId="0" fillId="0" borderId="12" xfId="0" applyNumberFormat="1" applyBorder="1" applyAlignment="1">
      <alignment horizontal="center" vertical="center"/>
    </xf>
    <xf numFmtId="0" fontId="10" fillId="0" borderId="0" xfId="0" applyFont="1" applyAlignment="1">
      <alignment wrapText="1"/>
    </xf>
    <xf numFmtId="0" fontId="0" fillId="54" borderId="24" xfId="0" applyFill="1" applyBorder="1"/>
    <xf numFmtId="0" fontId="0" fillId="54" borderId="23" xfId="0" applyFill="1" applyBorder="1"/>
    <xf numFmtId="0" fontId="0" fillId="54" borderId="22" xfId="0" applyFill="1" applyBorder="1"/>
    <xf numFmtId="0" fontId="0" fillId="0" borderId="18" xfId="0" applyBorder="1" applyAlignment="1">
      <alignment horizontal="left" vertical="top" wrapText="1"/>
    </xf>
    <xf numFmtId="0" fontId="9" fillId="0" borderId="0" xfId="0" applyFont="1" applyAlignment="1">
      <alignment horizontal="center"/>
    </xf>
    <xf numFmtId="0" fontId="71" fillId="36" borderId="10" xfId="65" applyFont="1" applyFill="1" applyBorder="1" applyAlignment="1">
      <alignment horizontal="center" vertical="center" wrapText="1"/>
    </xf>
    <xf numFmtId="0" fontId="71" fillId="34" borderId="10" xfId="65" applyFont="1" applyFill="1" applyBorder="1" applyAlignment="1">
      <alignment horizontal="left" vertical="top" wrapText="1"/>
    </xf>
    <xf numFmtId="0" fontId="71" fillId="34" borderId="10" xfId="65" applyFont="1" applyFill="1" applyBorder="1" applyAlignment="1">
      <alignment horizontal="center" vertical="center" wrapText="1"/>
    </xf>
    <xf numFmtId="0" fontId="71" fillId="34" borderId="10" xfId="65" applyFont="1" applyFill="1" applyBorder="1" applyAlignment="1">
      <alignment horizontal="center" vertical="center"/>
    </xf>
    <xf numFmtId="0" fontId="71" fillId="34" borderId="10" xfId="66" applyFont="1" applyFill="1" applyBorder="1" applyAlignment="1">
      <alignment horizontal="center" vertical="center" wrapText="1"/>
    </xf>
    <xf numFmtId="0" fontId="71" fillId="36" borderId="10" xfId="67" applyFont="1" applyFill="1" applyBorder="1" applyAlignment="1">
      <alignment horizontal="center" vertical="center" wrapText="1"/>
    </xf>
    <xf numFmtId="49" fontId="71" fillId="39" borderId="10" xfId="67" applyNumberFormat="1" applyFont="1" applyFill="1" applyBorder="1" applyAlignment="1">
      <alignment horizontal="left" vertical="top" wrapText="1"/>
    </xf>
    <xf numFmtId="0" fontId="71" fillId="34" borderId="10" xfId="67" applyFont="1" applyFill="1" applyBorder="1" applyAlignment="1">
      <alignment horizontal="left" vertical="top" wrapText="1"/>
    </xf>
    <xf numFmtId="0" fontId="71" fillId="34" borderId="10" xfId="67" applyFont="1" applyFill="1" applyBorder="1" applyAlignment="1">
      <alignment horizontal="center" vertical="center" wrapText="1"/>
    </xf>
    <xf numFmtId="0" fontId="71" fillId="34" borderId="10" xfId="67" applyFont="1" applyFill="1" applyBorder="1" applyAlignment="1">
      <alignment horizontal="center" vertical="center"/>
    </xf>
    <xf numFmtId="49" fontId="71" fillId="34" borderId="10" xfId="67" applyNumberFormat="1" applyFont="1" applyFill="1" applyBorder="1" applyAlignment="1">
      <alignment horizontal="center" vertical="center"/>
    </xf>
    <xf numFmtId="0" fontId="71" fillId="34" borderId="10" xfId="68" applyFont="1" applyFill="1" applyBorder="1" applyAlignment="1">
      <alignment horizontal="center" vertical="center" wrapText="1"/>
    </xf>
    <xf numFmtId="0" fontId="71" fillId="36" borderId="10" xfId="69" applyFont="1" applyFill="1" applyBorder="1" applyAlignment="1">
      <alignment horizontal="center" vertical="center" wrapText="1"/>
    </xf>
    <xf numFmtId="49" fontId="71" fillId="39" borderId="10" xfId="69" applyNumberFormat="1" applyFont="1" applyFill="1" applyBorder="1" applyAlignment="1">
      <alignment horizontal="left" vertical="top" wrapText="1"/>
    </xf>
    <xf numFmtId="0" fontId="71" fillId="34" borderId="10" xfId="69" applyFont="1" applyFill="1" applyBorder="1" applyAlignment="1">
      <alignment horizontal="left" vertical="top" wrapText="1"/>
    </xf>
    <xf numFmtId="0" fontId="71" fillId="34" borderId="10" xfId="69" applyFont="1" applyFill="1" applyBorder="1" applyAlignment="1">
      <alignment horizontal="center" vertical="center" wrapText="1"/>
    </xf>
    <xf numFmtId="0" fontId="71" fillId="34" borderId="10" xfId="69" applyFont="1" applyFill="1" applyBorder="1" applyAlignment="1">
      <alignment horizontal="center" vertical="center"/>
    </xf>
    <xf numFmtId="49" fontId="71" fillId="34" borderId="10" xfId="69" applyNumberFormat="1" applyFont="1" applyFill="1" applyBorder="1" applyAlignment="1">
      <alignment horizontal="center" vertical="center" wrapText="1"/>
    </xf>
    <xf numFmtId="0" fontId="71" fillId="34" borderId="10" xfId="70" applyFont="1" applyFill="1" applyBorder="1" applyAlignment="1">
      <alignment horizontal="center" vertical="center" wrapText="1"/>
    </xf>
    <xf numFmtId="0" fontId="79" fillId="0" borderId="0" xfId="0" applyFont="1"/>
    <xf numFmtId="49" fontId="71" fillId="34" borderId="10" xfId="69" applyNumberFormat="1" applyFont="1" applyFill="1" applyBorder="1" applyAlignment="1">
      <alignment horizontal="center" vertical="center"/>
    </xf>
    <xf numFmtId="0" fontId="0" fillId="40" borderId="0" xfId="0" applyFill="1"/>
    <xf numFmtId="0" fontId="71" fillId="36" borderId="25" xfId="69" applyFont="1" applyFill="1" applyBorder="1" applyAlignment="1">
      <alignment horizontal="center" vertical="center" wrapText="1"/>
    </xf>
    <xf numFmtId="49" fontId="71" fillId="34" borderId="10" xfId="65" applyNumberFormat="1" applyFont="1" applyFill="1" applyBorder="1" applyAlignment="1">
      <alignment horizontal="center" vertical="center"/>
    </xf>
    <xf numFmtId="49" fontId="71" fillId="39" borderId="10" xfId="65" applyNumberFormat="1" applyFont="1" applyFill="1" applyBorder="1" applyAlignment="1">
      <alignment horizontal="left" vertical="top" wrapText="1"/>
    </xf>
    <xf numFmtId="0" fontId="69" fillId="34" borderId="0" xfId="0" applyNumberFormat="1" applyFont="1" applyFill="1" applyAlignment="1" applyProtection="1">
      <alignment wrapText="1"/>
      <protection locked="0"/>
    </xf>
    <xf numFmtId="0" fontId="8" fillId="0" borderId="0" xfId="0" applyFont="1" applyAlignment="1">
      <alignment wrapText="1"/>
    </xf>
    <xf numFmtId="0" fontId="0" fillId="0" borderId="20" xfId="0" applyFill="1" applyBorder="1" applyAlignment="1">
      <alignment wrapText="1"/>
    </xf>
    <xf numFmtId="0" fontId="0" fillId="40" borderId="19" xfId="0" applyFill="1" applyBorder="1"/>
    <xf numFmtId="0" fontId="0" fillId="40" borderId="11" xfId="0" applyFill="1" applyBorder="1"/>
    <xf numFmtId="0" fontId="0" fillId="40" borderId="20" xfId="0" applyFill="1" applyBorder="1"/>
    <xf numFmtId="0" fontId="0" fillId="0" borderId="13" xfId="0" applyBorder="1" applyAlignment="1">
      <alignment horizontal="center" vertical="center"/>
    </xf>
    <xf numFmtId="0" fontId="0" fillId="0" borderId="22" xfId="0" applyFill="1" applyBorder="1"/>
    <xf numFmtId="0" fontId="0" fillId="0" borderId="24" xfId="0" applyFill="1" applyBorder="1"/>
    <xf numFmtId="0" fontId="0" fillId="0" borderId="18" xfId="0" applyFill="1" applyBorder="1" applyAlignment="1">
      <alignment wrapText="1"/>
    </xf>
    <xf numFmtId="0" fontId="0" fillId="0" borderId="18" xfId="0" applyFill="1" applyBorder="1" applyAlignment="1">
      <alignment horizontal="left" vertical="top" wrapText="1"/>
    </xf>
    <xf numFmtId="1" fontId="0" fillId="50" borderId="18" xfId="0" applyNumberFormat="1" applyFill="1" applyBorder="1"/>
    <xf numFmtId="0" fontId="69" fillId="34" borderId="27" xfId="44" applyFont="1" applyFill="1" applyBorder="1" applyAlignment="1" applyProtection="1">
      <alignment horizontal="left" vertical="top" wrapText="1"/>
      <protection locked="0"/>
    </xf>
    <xf numFmtId="0" fontId="71" fillId="34" borderId="10" xfId="71" applyFont="1" applyFill="1" applyBorder="1" applyAlignment="1" applyProtection="1">
      <alignment horizontal="center" vertical="center" wrapText="1"/>
    </xf>
    <xf numFmtId="0" fontId="71" fillId="34" borderId="10" xfId="72" applyFont="1" applyFill="1" applyBorder="1" applyAlignment="1" applyProtection="1">
      <alignment horizontal="center" vertical="center" wrapText="1"/>
    </xf>
    <xf numFmtId="49" fontId="71" fillId="34" borderId="10" xfId="71" applyNumberFormat="1" applyFont="1" applyFill="1" applyBorder="1" applyAlignment="1" applyProtection="1">
      <alignment horizontal="center" vertical="center"/>
    </xf>
    <xf numFmtId="0" fontId="71" fillId="34" borderId="10" xfId="71" applyFont="1" applyFill="1" applyBorder="1" applyAlignment="1" applyProtection="1">
      <alignment horizontal="center" vertical="center"/>
    </xf>
    <xf numFmtId="0" fontId="71" fillId="34" borderId="10" xfId="71" applyFont="1" applyFill="1" applyBorder="1" applyAlignment="1" applyProtection="1">
      <alignment horizontal="left" vertical="top" wrapText="1"/>
    </xf>
    <xf numFmtId="49" fontId="71" fillId="39" borderId="10" xfId="71" applyNumberFormat="1" applyFont="1" applyFill="1" applyBorder="1" applyAlignment="1" applyProtection="1">
      <alignment horizontal="left" vertical="top" wrapText="1"/>
    </xf>
    <xf numFmtId="0" fontId="71" fillId="36" borderId="25" xfId="71" applyFont="1" applyFill="1" applyBorder="1" applyAlignment="1" applyProtection="1">
      <alignment horizontal="center" vertical="center" wrapText="1"/>
    </xf>
    <xf numFmtId="0" fontId="0" fillId="45" borderId="16" xfId="0" applyFill="1" applyBorder="1" applyAlignment="1">
      <alignment horizontal="left"/>
    </xf>
    <xf numFmtId="49" fontId="0" fillId="36" borderId="18" xfId="0" applyNumberFormat="1" applyFill="1" applyBorder="1"/>
    <xf numFmtId="0" fontId="6" fillId="0" borderId="0" xfId="0" applyFont="1" applyFill="1" applyAlignment="1" applyProtection="1">
      <alignment wrapText="1"/>
    </xf>
    <xf numFmtId="0" fontId="75" fillId="0" borderId="0" xfId="0" applyFont="1" applyFill="1" applyAlignment="1" applyProtection="1">
      <alignment vertical="top" wrapText="1"/>
      <protection locked="0"/>
    </xf>
    <xf numFmtId="0" fontId="0" fillId="38" borderId="0" xfId="0" applyFill="1"/>
    <xf numFmtId="0" fontId="47" fillId="0" borderId="17" xfId="47" applyFill="1" applyBorder="1"/>
    <xf numFmtId="0" fontId="5" fillId="0" borderId="0" xfId="0" applyFont="1" applyAlignment="1">
      <alignment wrapText="1"/>
    </xf>
    <xf numFmtId="49" fontId="73" fillId="34" borderId="27" xfId="44" applyNumberFormat="1" applyFont="1" applyFill="1" applyBorder="1" applyAlignment="1" applyProtection="1">
      <alignment horizontal="center" vertical="top" wrapText="1"/>
      <protection locked="0"/>
    </xf>
    <xf numFmtId="49" fontId="0" fillId="0" borderId="13" xfId="0" applyNumberFormat="1" applyFill="1" applyBorder="1" applyAlignment="1" applyProtection="1">
      <alignment horizontal="center" vertical="top" wrapText="1"/>
      <protection locked="0"/>
    </xf>
    <xf numFmtId="49" fontId="0" fillId="34" borderId="0" xfId="0" applyNumberFormat="1" applyFill="1" applyAlignment="1" applyProtection="1">
      <alignment vertical="top"/>
      <protection locked="0"/>
    </xf>
    <xf numFmtId="0" fontId="0" fillId="63" borderId="0" xfId="0" applyNumberFormat="1" applyFont="1" applyFill="1" applyBorder="1"/>
    <xf numFmtId="0" fontId="0" fillId="0" borderId="0" xfId="0" quotePrefix="1" applyNumberFormat="1" applyFill="1" applyBorder="1"/>
    <xf numFmtId="0" fontId="4" fillId="0" borderId="0" xfId="0" applyFont="1" applyAlignment="1">
      <alignment wrapText="1"/>
    </xf>
    <xf numFmtId="0" fontId="0" fillId="0" borderId="0" xfId="0" quotePrefix="1" applyFill="1"/>
    <xf numFmtId="0" fontId="3" fillId="0" borderId="0" xfId="0" applyFont="1" applyAlignment="1">
      <alignment wrapText="1"/>
    </xf>
    <xf numFmtId="0" fontId="0" fillId="34" borderId="0" xfId="0" applyFill="1" applyAlignment="1" applyProtection="1">
      <alignment horizontal="center"/>
    </xf>
    <xf numFmtId="0" fontId="2" fillId="0" borderId="0" xfId="0" applyFont="1" applyFill="1" applyBorder="1" applyAlignment="1" applyProtection="1">
      <alignment horizontal="left" vertical="top" wrapText="1"/>
      <protection locked="0"/>
    </xf>
    <xf numFmtId="0" fontId="38" fillId="0" borderId="0" xfId="0" applyFont="1" applyFill="1" applyBorder="1" applyAlignment="1" applyProtection="1">
      <alignment horizontal="left" vertical="top" wrapText="1"/>
      <protection locked="0"/>
    </xf>
    <xf numFmtId="0" fontId="0" fillId="0" borderId="33" xfId="0" applyBorder="1" applyAlignment="1">
      <alignment horizontal="center" vertical="center" wrapText="1"/>
    </xf>
    <xf numFmtId="0" fontId="0" fillId="0" borderId="13" xfId="0" applyBorder="1" applyAlignment="1">
      <alignment horizontal="center" vertical="center" wrapText="1"/>
    </xf>
    <xf numFmtId="0" fontId="0" fillId="0" borderId="36" xfId="0" applyBorder="1" applyAlignment="1">
      <alignment horizontal="center" vertical="center" wrapText="1"/>
    </xf>
    <xf numFmtId="0" fontId="0" fillId="50" borderId="35" xfId="0" applyFill="1" applyBorder="1" applyAlignment="1">
      <alignment horizontal="center"/>
    </xf>
    <xf numFmtId="0" fontId="0" fillId="50" borderId="32" xfId="0" applyFill="1" applyBorder="1" applyAlignment="1">
      <alignment horizontal="center"/>
    </xf>
    <xf numFmtId="0" fontId="0" fillId="50" borderId="21" xfId="0" applyFill="1" applyBorder="1" applyAlignment="1">
      <alignment horizontal="center"/>
    </xf>
    <xf numFmtId="0" fontId="0" fillId="54" borderId="12" xfId="0" applyFill="1" applyBorder="1" applyAlignment="1">
      <alignment horizontal="center" vertical="center"/>
    </xf>
  </cellXfs>
  <cellStyles count="73">
    <cellStyle name="20% - Accent1" xfId="17" builtinId="30" customBuiltin="1"/>
    <cellStyle name="20% - Accent2" xfId="21" builtinId="34" customBuiltin="1"/>
    <cellStyle name="20% - Accent3" xfId="25" builtinId="38" customBuiltin="1"/>
    <cellStyle name="20% - Accent4" xfId="29" builtinId="42" customBuiltin="1"/>
    <cellStyle name="20% - Accent5" xfId="33" builtinId="46" customBuiltin="1"/>
    <cellStyle name="20% - Accent6" xfId="37" builtinId="50" customBuiltin="1"/>
    <cellStyle name="20% - Акцент1 2" xfId="49" xr:uid="{00000000-0005-0000-0000-000001000000}"/>
    <cellStyle name="20% - Акцент2 2" xfId="51" xr:uid="{00000000-0005-0000-0000-000003000000}"/>
    <cellStyle name="20% - Акцент3 2" xfId="53" xr:uid="{00000000-0005-0000-0000-000005000000}"/>
    <cellStyle name="20% - Акцент4 2" xfId="55" xr:uid="{00000000-0005-0000-0000-000007000000}"/>
    <cellStyle name="20% - Акцент5 2" xfId="57" xr:uid="{00000000-0005-0000-0000-000009000000}"/>
    <cellStyle name="20% - Акцент6 2" xfId="59" xr:uid="{00000000-0005-0000-0000-00000B000000}"/>
    <cellStyle name="40% - Accent1" xfId="18" builtinId="31" customBuiltin="1"/>
    <cellStyle name="40% - Accent2" xfId="22" builtinId="35" customBuiltin="1"/>
    <cellStyle name="40% - Accent3" xfId="26" builtinId="39" customBuiltin="1"/>
    <cellStyle name="40% - Accent4" xfId="30" builtinId="43" customBuiltin="1"/>
    <cellStyle name="40% - Accent5" xfId="34" builtinId="47" customBuiltin="1"/>
    <cellStyle name="40% - Accent6" xfId="38" builtinId="51" customBuiltin="1"/>
    <cellStyle name="40% - Акцент1 2" xfId="50" xr:uid="{00000000-0005-0000-0000-00000D000000}"/>
    <cellStyle name="40% - Акцент2 2" xfId="52" xr:uid="{00000000-0005-0000-0000-00000F000000}"/>
    <cellStyle name="40% - Акцент3 2" xfId="54" xr:uid="{00000000-0005-0000-0000-000011000000}"/>
    <cellStyle name="40% - Акцент4 2" xfId="56" xr:uid="{00000000-0005-0000-0000-000013000000}"/>
    <cellStyle name="40% - Акцент5 2" xfId="58" xr:uid="{00000000-0005-0000-0000-000015000000}"/>
    <cellStyle name="40% - Акцент6 2" xfId="60" xr:uid="{00000000-0005-0000-0000-000017000000}"/>
    <cellStyle name="60% - Accent1" xfId="19" builtinId="32" customBuiltin="1"/>
    <cellStyle name="60% - Accent2" xfId="23" builtinId="36" customBuiltin="1"/>
    <cellStyle name="60% - Accent3" xfId="27" builtinId="40" customBuiltin="1"/>
    <cellStyle name="60% - Accent4" xfId="31" builtinId="44" customBuiltin="1"/>
    <cellStyle name="60% - Accent5" xfId="35" builtinId="48" customBuiltin="1"/>
    <cellStyle name="60% - Accent6" xfId="39" builtinId="52" customBuiltin="1"/>
    <cellStyle name="Accent1" xfId="16" builtinId="29" customBuiltin="1"/>
    <cellStyle name="Accent2" xfId="20" builtinId="33" customBuiltin="1"/>
    <cellStyle name="Accent3" xfId="24" builtinId="37" customBuiltin="1"/>
    <cellStyle name="Accent4" xfId="28" builtinId="41" customBuiltin="1"/>
    <cellStyle name="Accent5" xfId="32" builtinId="45" customBuiltin="1"/>
    <cellStyle name="Accent6" xfId="36" builtinId="49" customBuiltin="1"/>
    <cellStyle name="Bad" xfId="6" builtinId="27" customBuiltin="1"/>
    <cellStyle name="Calculation" xfId="10" builtinId="22" customBuiltin="1"/>
    <cellStyle name="Check Cell" xfId="12" builtinId="23" customBuiltin="1"/>
    <cellStyle name="Explanatory Text" xfId="14" builtinId="53" customBuiltin="1"/>
    <cellStyle name="Good" xfId="5" builtinId="26" customBuiltin="1"/>
    <cellStyle name="Heading 1" xfId="1" builtinId="16" customBuiltin="1"/>
    <cellStyle name="Heading 2" xfId="2" builtinId="17" customBuiltin="1"/>
    <cellStyle name="Heading 3" xfId="3" builtinId="18" customBuiltin="1"/>
    <cellStyle name="Heading 4" xfId="4" builtinId="19" customBuiltin="1"/>
    <cellStyle name="Input" xfId="8" builtinId="20" customBuiltin="1"/>
    <cellStyle name="Linked Cell" xfId="11" builtinId="24" customBuiltin="1"/>
    <cellStyle name="Neutral" xfId="7" builtinId="28" customBuiltin="1"/>
    <cellStyle name="Normal" xfId="0" builtinId="0"/>
    <cellStyle name="Output" xfId="9" builtinId="21" customBuiltin="1"/>
    <cellStyle name="Title" xfId="46" builtinId="15" customBuiltin="1"/>
    <cellStyle name="Total" xfId="15" builtinId="25" customBuiltin="1"/>
    <cellStyle name="Warning Text" xfId="13" builtinId="11" customBuiltin="1"/>
    <cellStyle name="Название 2" xfId="41" xr:uid="{00000000-0005-0000-0000-00002E000000}"/>
    <cellStyle name="Обычный 2" xfId="43" xr:uid="{00000000-0005-0000-0000-000031000000}"/>
    <cellStyle name="Обычный 3" xfId="45" xr:uid="{00000000-0005-0000-0000-000032000000}"/>
    <cellStyle name="Обычный 3 6" xfId="44" xr:uid="{00000000-0005-0000-0000-000033000000}"/>
    <cellStyle name="Обычный 3 6 2" xfId="61" xr:uid="{00000000-0005-0000-0000-000034000000}"/>
    <cellStyle name="Обычный 3 6 2 2" xfId="69" xr:uid="{00000000-0005-0000-0000-000035000000}"/>
    <cellStyle name="Обычный 3 6 3" xfId="63" xr:uid="{00000000-0005-0000-0000-000036000000}"/>
    <cellStyle name="Обычный 3 6 3 2" xfId="67" xr:uid="{00000000-0005-0000-0000-000037000000}"/>
    <cellStyle name="Обычный 3 6 4" xfId="65" xr:uid="{00000000-0005-0000-0000-000038000000}"/>
    <cellStyle name="Обычный 3 6 5" xfId="71" xr:uid="{00000000-0005-0000-0000-000039000000}"/>
    <cellStyle name="Обычный 4" xfId="40" xr:uid="{00000000-0005-0000-0000-00003A000000}"/>
    <cellStyle name="Обычный 4 2" xfId="62" xr:uid="{00000000-0005-0000-0000-00003B000000}"/>
    <cellStyle name="Обычный 4 2 2" xfId="70" xr:uid="{00000000-0005-0000-0000-00003C000000}"/>
    <cellStyle name="Обычный 4 3" xfId="64" xr:uid="{00000000-0005-0000-0000-00003D000000}"/>
    <cellStyle name="Обычный 4 3 2" xfId="68" xr:uid="{00000000-0005-0000-0000-00003E000000}"/>
    <cellStyle name="Обычный 4 4" xfId="66" xr:uid="{00000000-0005-0000-0000-00003F000000}"/>
    <cellStyle name="Обычный 4 5" xfId="72" xr:uid="{00000000-0005-0000-0000-000040000000}"/>
    <cellStyle name="Обычный 5" xfId="47" xr:uid="{00000000-0005-0000-0000-000041000000}"/>
    <cellStyle name="Примечание 2" xfId="42" xr:uid="{00000000-0005-0000-0000-000044000000}"/>
    <cellStyle name="Примечание 3" xfId="48" xr:uid="{00000000-0005-0000-0000-000045000000}"/>
  </cellStyles>
  <dxfs count="110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00B050"/>
        </patternFill>
      </fill>
    </dxf>
    <dxf>
      <fill>
        <patternFill>
          <bgColor theme="6"/>
        </patternFill>
      </fill>
    </dxf>
    <dxf>
      <fill>
        <patternFill>
          <bgColor theme="8" tint="0.39994506668294322"/>
        </patternFill>
      </fill>
    </dxf>
    <dxf>
      <fill>
        <patternFill>
          <bgColor rgb="FF00B0F0"/>
        </patternFill>
      </fill>
    </dxf>
    <dxf>
      <fill>
        <patternFill>
          <bgColor theme="6" tint="-0.24994659260841701"/>
        </patternFill>
      </fill>
    </dxf>
    <dxf>
      <fill>
        <patternFill>
          <bgColor theme="0" tint="-0.24994659260841701"/>
        </patternFill>
      </fill>
    </dxf>
    <dxf>
      <fill>
        <patternFill>
          <bgColor rgb="FFA623AD"/>
        </patternFill>
      </fill>
    </dxf>
    <dxf>
      <fill>
        <patternFill patternType="lightUp"/>
      </fill>
    </dxf>
    <dxf>
      <fill>
        <patternFill patternType="lightUp"/>
      </fill>
    </dxf>
    <dxf>
      <fill>
        <patternFill>
          <bgColor theme="9" tint="0.79998168889431442"/>
        </patternFill>
      </fill>
    </dxf>
    <dxf>
      <fill>
        <patternFill>
          <bgColor theme="0" tint="-0.14996795556505021"/>
        </patternFill>
      </fill>
    </dxf>
    <dxf>
      <fill>
        <patternFill>
          <bgColor rgb="FFFFFF00"/>
        </patternFill>
      </fill>
    </dxf>
    <dxf>
      <fill>
        <patternFill>
          <bgColor theme="2" tint="-0.24994659260841701"/>
        </patternFill>
      </fill>
    </dxf>
    <dxf>
      <fill>
        <patternFill>
          <bgColor theme="6" tint="0.39994506668294322"/>
        </patternFill>
      </fill>
    </dxf>
    <dxf>
      <fill>
        <patternFill>
          <bgColor theme="2" tint="-9.9948118533890809E-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8" tint="0.79998168889431442"/>
        </patternFill>
      </fill>
    </dxf>
    <dxf>
      <fill>
        <patternFill>
          <bgColor theme="0" tint="-4.9989318521683403E-2"/>
        </patternFill>
      </fill>
    </dxf>
    <dxf>
      <fill>
        <patternFill>
          <bgColor theme="6" tint="-0.24994659260841701"/>
        </patternFill>
      </fill>
    </dxf>
    <dxf>
      <fill>
        <patternFill>
          <bgColor theme="0" tint="-0.34998626667073579"/>
        </patternFill>
      </fill>
    </dxf>
    <dxf>
      <fill>
        <patternFill>
          <bgColor rgb="FFFF5050"/>
        </patternFill>
      </fill>
    </dxf>
    <dxf>
      <fill>
        <patternFill>
          <bgColor theme="8" tint="-0.24994659260841701"/>
        </patternFill>
      </fill>
    </dxf>
    <dxf>
      <fill>
        <patternFill>
          <bgColor rgb="FFCE0299"/>
        </patternFill>
      </fill>
    </dxf>
    <dxf>
      <fill>
        <patternFill>
          <bgColor theme="3" tint="0.39994506668294322"/>
        </patternFill>
      </fill>
    </dxf>
    <dxf>
      <fill>
        <patternFill>
          <bgColor rgb="FF4DFFF7"/>
        </patternFill>
      </fill>
    </dxf>
    <dxf>
      <fill>
        <patternFill>
          <bgColor rgb="FF92D050"/>
        </patternFill>
      </fill>
    </dxf>
    <dxf>
      <fill>
        <patternFill>
          <bgColor theme="8" tint="0.79998168889431442"/>
        </patternFill>
      </fill>
    </dxf>
    <dxf>
      <fill>
        <patternFill patternType="lightUp"/>
      </fill>
    </dxf>
    <dxf>
      <fill>
        <patternFill patternType="lightUp"/>
      </fill>
    </dxf>
    <dxf>
      <fill>
        <patternFill patternType="lightUp"/>
      </fill>
    </dxf>
    <dxf>
      <font>
        <color rgb="FF9C6500"/>
      </font>
      <fill>
        <patternFill>
          <bgColor rgb="FFFFEB9C"/>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solid">
          <bgColor theme="9" tint="0.39985351115451523"/>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numFmt numFmtId="0" formatCode="General"/>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ont>
        <color rgb="FF9C6500"/>
      </font>
      <fill>
        <patternFill>
          <bgColor rgb="FFFFEB9C"/>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solid">
          <bgColor theme="9" tint="0.39985351115451523"/>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numFmt numFmtId="0" formatCode="General"/>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ont>
        <color rgb="FF9C6500"/>
      </font>
      <fill>
        <patternFill>
          <bgColor rgb="FFFFEB9C"/>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solid">
          <bgColor theme="9" tint="0.39985351115451523"/>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numFmt numFmtId="0" formatCode="General"/>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ont>
        <color rgb="FF9C6500"/>
      </font>
      <fill>
        <patternFill>
          <bgColor rgb="FFFFEB9C"/>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solid">
          <bgColor theme="9" tint="0.39985351115451523"/>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numFmt numFmtId="0" formatCode="General"/>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ont>
        <color rgb="FF9C6500"/>
      </font>
      <fill>
        <patternFill>
          <bgColor rgb="FFFFEB9C"/>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solid">
          <bgColor theme="9" tint="0.39985351115451523"/>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numFmt numFmtId="0" formatCode="General"/>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ont>
        <color rgb="FF9C6500"/>
      </font>
      <fill>
        <patternFill>
          <bgColor rgb="FFFFEB9C"/>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solid">
          <bgColor theme="9" tint="0.39985351115451523"/>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numFmt numFmtId="0" formatCode="General"/>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ont>
        <color rgb="FF9C6500"/>
      </font>
      <fill>
        <patternFill>
          <bgColor rgb="FFFFEB9C"/>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solid">
          <bgColor theme="9" tint="0.39985351115451523"/>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numFmt numFmtId="0" formatCode="General"/>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ont>
        <color rgb="FF9C6500"/>
      </font>
      <fill>
        <patternFill>
          <bgColor rgb="FFFFEB9C"/>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solid">
          <bgColor theme="9" tint="0.39985351115451523"/>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numFmt numFmtId="0" formatCode="General"/>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ont>
        <color rgb="FF9C6500"/>
      </font>
      <fill>
        <patternFill>
          <bgColor rgb="FFFFEB9C"/>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solid">
          <bgColor theme="9" tint="0.39985351115451523"/>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numFmt numFmtId="0" formatCode="General"/>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ont>
        <color rgb="FF9C6500"/>
      </font>
      <fill>
        <patternFill>
          <bgColor rgb="FFFFEB9C"/>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solid">
          <bgColor theme="9" tint="0.39985351115451523"/>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numFmt numFmtId="0" formatCode="General"/>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ont>
        <color rgb="FF9C6500"/>
      </font>
      <fill>
        <patternFill>
          <bgColor rgb="FFFFEB9C"/>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solid">
          <bgColor theme="9" tint="0.39985351115451523"/>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numFmt numFmtId="0" formatCode="General"/>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ont>
        <color rgb="FF9C6500"/>
      </font>
      <fill>
        <patternFill>
          <bgColor rgb="FFFFEB9C"/>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bgColor theme="6" tint="0.59996337778862885"/>
        </patternFill>
      </fill>
    </dxf>
    <dxf>
      <fill>
        <patternFill>
          <bgColor theme="9" tint="0.79998168889431442"/>
        </patternFill>
      </fill>
    </dxf>
    <dxf>
      <fill>
        <patternFill>
          <bgColor theme="7" tint="0.79998168889431442"/>
        </patternFill>
      </fill>
    </dxf>
    <dxf>
      <fill>
        <patternFill>
          <bgColor theme="3" tint="0.39994506668294322"/>
        </patternFill>
      </fill>
    </dxf>
    <dxf>
      <fill>
        <patternFill>
          <bgColor theme="0" tint="-0.14996795556505021"/>
        </patternFill>
      </fill>
    </dxf>
    <dxf>
      <fill>
        <patternFill>
          <bgColor theme="5" tint="0.59996337778862885"/>
        </patternFill>
      </fill>
    </dxf>
    <dxf>
      <fill>
        <patternFill>
          <bgColor theme="2" tint="-0.24994659260841701"/>
        </patternFill>
      </fill>
    </dxf>
    <dxf>
      <fill>
        <patternFill>
          <bgColor rgb="FF00B0F0"/>
        </patternFill>
      </fill>
    </dxf>
    <dxf>
      <fill>
        <patternFill>
          <fgColor auto="1"/>
          <bgColor rgb="FFFFFF00"/>
        </patternFill>
      </fill>
    </dxf>
    <dxf>
      <fill>
        <patternFill>
          <bgColor theme="3" tint="0.79998168889431442"/>
        </patternFill>
      </fill>
    </dxf>
    <dxf>
      <fill>
        <patternFill>
          <bgColor rgb="FF00B050"/>
        </patternFill>
      </fill>
    </dxf>
    <dxf>
      <fill>
        <patternFill>
          <bgColor rgb="FF7030A0"/>
        </patternFill>
      </fill>
    </dxf>
    <dxf>
      <fill>
        <patternFill patternType="solid">
          <bgColor rgb="FFFFC000"/>
        </patternFill>
      </fill>
    </dxf>
    <dxf>
      <fill>
        <patternFill>
          <bgColor theme="0" tint="-0.499984740745262"/>
        </patternFill>
      </fill>
    </dxf>
    <dxf>
      <fill>
        <patternFill>
          <bgColor rgb="FFFF66CC"/>
        </patternFill>
      </fill>
    </dxf>
    <dxf>
      <fill>
        <patternFill>
          <bgColor rgb="FF66FF33"/>
        </patternFill>
      </fill>
    </dxf>
    <dxf>
      <fill>
        <patternFill>
          <bgColor rgb="FFCC66FF"/>
        </patternFill>
      </fill>
    </dxf>
    <dxf>
      <fill>
        <patternFill>
          <bgColor rgb="FFFF0000"/>
        </patternFill>
      </fill>
    </dxf>
    <dxf>
      <fill>
        <patternFill>
          <bgColor rgb="FFCC99FF"/>
        </patternFill>
      </fill>
    </dxf>
    <dxf>
      <fill>
        <patternFill>
          <bgColor rgb="FF66FFCC"/>
        </patternFill>
      </fill>
    </dxf>
    <dxf>
      <fill>
        <patternFill>
          <bgColor theme="2"/>
        </patternFill>
      </fill>
    </dxf>
    <dxf>
      <fill>
        <patternFill>
          <bgColor theme="6" tint="-0.24994659260841701"/>
        </patternFill>
      </fill>
    </dxf>
    <dxf>
      <fill>
        <patternFill>
          <bgColor theme="8" tint="0.39994506668294322"/>
        </patternFill>
      </fill>
    </dxf>
    <dxf>
      <fill>
        <patternFill>
          <bgColor theme="8" tint="-0.24994659260841701"/>
        </patternFill>
      </fill>
    </dxf>
    <dxf>
      <fill>
        <patternFill>
          <bgColor rgb="FF99FF99"/>
        </patternFill>
      </fill>
    </dxf>
    <dxf>
      <fill>
        <patternFill>
          <bgColor rgb="FF00CC00"/>
        </patternFill>
      </fill>
    </dxf>
    <dxf>
      <fill>
        <patternFill>
          <bgColor theme="9" tint="-0.499984740745262"/>
        </patternFill>
      </fill>
    </dxf>
    <dxf>
      <fill>
        <patternFill>
          <bgColor rgb="FF7030A0"/>
        </patternFill>
      </fill>
    </dxf>
    <dxf>
      <fill>
        <patternFill>
          <bgColor rgb="FFFFFF00"/>
        </patternFill>
      </fill>
    </dxf>
    <dxf>
      <fill>
        <patternFill>
          <bgColor rgb="FFFFC000"/>
        </patternFill>
      </fill>
    </dxf>
    <dxf>
      <fill>
        <patternFill>
          <bgColor theme="0" tint="-0.34998626667073579"/>
        </patternFill>
      </fill>
    </dxf>
    <dxf>
      <fill>
        <patternFill>
          <bgColor rgb="FF945C74"/>
        </patternFill>
      </fill>
    </dxf>
    <dxf>
      <fill>
        <patternFill>
          <bgColor rgb="FF0099FF"/>
        </patternFill>
      </fill>
    </dxf>
    <dxf>
      <fill>
        <patternFill>
          <bgColor theme="9" tint="-0.24994659260841701"/>
        </patternFill>
      </fill>
    </dxf>
    <dxf>
      <fill>
        <patternFill>
          <bgColor theme="0" tint="-0.499984740745262"/>
        </patternFill>
      </fill>
    </dxf>
    <dxf>
      <fill>
        <patternFill>
          <bgColor rgb="FF99FFCC"/>
        </patternFill>
      </fill>
    </dxf>
    <dxf>
      <fill>
        <patternFill>
          <bgColor rgb="FFCC3300"/>
        </patternFill>
      </fill>
    </dxf>
    <dxf>
      <fill>
        <patternFill>
          <bgColor rgb="FF00FF00"/>
        </patternFill>
      </fill>
    </dxf>
    <dxf>
      <fill>
        <patternFill>
          <bgColor rgb="FF49A759"/>
        </patternFill>
      </fill>
    </dxf>
    <dxf>
      <fill>
        <patternFill>
          <bgColor rgb="FFFF00FF"/>
        </patternFill>
      </fill>
    </dxf>
    <dxf>
      <fill>
        <patternFill>
          <bgColor rgb="FF8EBB6D"/>
        </patternFill>
      </fill>
    </dxf>
    <dxf>
      <fill>
        <patternFill>
          <bgColor rgb="FFDEDE7E"/>
        </patternFill>
      </fill>
    </dxf>
    <dxf>
      <fill>
        <patternFill>
          <bgColor rgb="FF666699"/>
        </patternFill>
      </fill>
    </dxf>
    <dxf>
      <fill>
        <patternFill>
          <bgColor rgb="FF6600FF"/>
        </patternFill>
      </fill>
    </dxf>
    <dxf>
      <fill>
        <patternFill>
          <bgColor rgb="FF859DE1"/>
        </patternFill>
      </fill>
    </dxf>
    <dxf>
      <fill>
        <patternFill>
          <bgColor rgb="FF2FBEC1"/>
        </patternFill>
      </fill>
    </dxf>
    <dxf>
      <fill>
        <patternFill>
          <bgColor rgb="FF99FF33"/>
        </patternFill>
      </fill>
    </dxf>
    <dxf>
      <fill>
        <patternFill>
          <bgColor theme="2" tint="-0.499984740745262"/>
        </patternFill>
      </fill>
    </dxf>
    <dxf>
      <fill>
        <patternFill>
          <bgColor theme="8" tint="-0.24994659260841701"/>
        </patternFill>
      </fill>
    </dxf>
    <dxf>
      <fill>
        <patternFill>
          <bgColor rgb="FF088FD2"/>
        </patternFill>
      </fill>
    </dxf>
    <dxf>
      <fill>
        <patternFill>
          <bgColor rgb="FFAFECED"/>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solid">
          <bgColor theme="9" tint="0.39985351115451523"/>
        </patternFill>
      </fill>
    </dxf>
    <dxf>
      <fill>
        <patternFill patternType="lightUp"/>
      </fill>
    </dxf>
    <dxf>
      <fill>
        <patternFill patternType="lightUp"/>
      </fill>
    </dxf>
    <dxf>
      <fill>
        <patternFill patternType="lightUp"/>
      </fill>
    </dxf>
    <dxf>
      <fill>
        <patternFill>
          <bgColor rgb="FFCCCC00"/>
        </patternFill>
      </fill>
    </dxf>
    <dxf>
      <fill>
        <patternFill>
          <bgColor rgb="FF848CC8"/>
        </patternFill>
      </fill>
    </dxf>
    <dxf>
      <fill>
        <patternFill>
          <bgColor theme="8" tint="0.59996337778862885"/>
        </patternFill>
      </fill>
    </dxf>
    <dxf>
      <fill>
        <patternFill>
          <bgColor theme="0" tint="-0.14996795556505021"/>
        </patternFill>
      </fill>
    </dxf>
    <dxf>
      <fill>
        <patternFill>
          <bgColor rgb="FF90E0C0"/>
        </patternFill>
      </fill>
    </dxf>
    <dxf>
      <fill>
        <patternFill>
          <bgColor rgb="FF66FFFF"/>
        </patternFill>
      </fill>
    </dxf>
    <dxf>
      <fill>
        <patternFill>
          <bgColor rgb="FF33CC33"/>
        </patternFill>
      </fill>
    </dxf>
    <dxf>
      <fill>
        <patternFill>
          <bgColor rgb="FF0070C0"/>
        </patternFill>
      </fill>
    </dxf>
    <dxf>
      <fill>
        <patternFill>
          <bgColor rgb="FFFFFF99"/>
        </patternFill>
      </fill>
    </dxf>
    <dxf>
      <fill>
        <patternFill>
          <bgColor rgb="FFFF3399"/>
        </patternFill>
      </fill>
    </dxf>
    <dxf>
      <fill>
        <patternFill>
          <bgColor rgb="FF00FF00"/>
        </patternFill>
      </fill>
    </dxf>
    <dxf>
      <fill>
        <patternFill>
          <bgColor rgb="FFCCFF33"/>
        </patternFill>
      </fill>
    </dxf>
    <dxf>
      <fill>
        <patternFill>
          <bgColor rgb="FF0099FF"/>
        </patternFill>
      </fill>
    </dxf>
    <dxf>
      <fill>
        <patternFill>
          <bgColor rgb="FF9EE286"/>
        </patternFill>
      </fill>
    </dxf>
    <dxf>
      <fill>
        <patternFill>
          <bgColor rgb="FFCFB677"/>
        </patternFill>
      </fill>
    </dxf>
    <dxf>
      <fill>
        <patternFill>
          <bgColor theme="8" tint="0.59996337778862885"/>
        </patternFill>
      </fill>
    </dxf>
    <dxf>
      <fill>
        <patternFill>
          <bgColor rgb="FF974F39"/>
        </patternFill>
      </fill>
    </dxf>
    <dxf>
      <fill>
        <patternFill>
          <bgColor rgb="FFCB5DAC"/>
        </patternFill>
      </fill>
    </dxf>
    <dxf>
      <fill>
        <patternFill>
          <bgColor rgb="FF9DFB69"/>
        </patternFill>
      </fill>
    </dxf>
    <dxf>
      <fill>
        <patternFill>
          <bgColor rgb="FF6C67B1"/>
        </patternFill>
      </fill>
    </dxf>
    <dxf>
      <fill>
        <patternFill>
          <bgColor rgb="FFEC9C9C"/>
        </patternFill>
      </fill>
    </dxf>
    <dxf>
      <fill>
        <patternFill>
          <bgColor rgb="FFA5DBCF"/>
        </patternFill>
      </fill>
    </dxf>
    <dxf>
      <fill>
        <patternFill>
          <bgColor rgb="FFD8D9BF"/>
        </patternFill>
      </fill>
    </dxf>
    <dxf>
      <fill>
        <patternFill>
          <bgColor theme="8" tint="0.79998168889431442"/>
        </patternFill>
      </fill>
    </dxf>
    <dxf>
      <fill>
        <patternFill>
          <bgColor theme="7" tint="0.39994506668294322"/>
        </patternFill>
      </fill>
    </dxf>
    <dxf>
      <fill>
        <patternFill>
          <bgColor rgb="FFDEF4C4"/>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numFmt numFmtId="0" formatCode="General"/>
      <fill>
        <patternFill patternType="lightUp"/>
      </fill>
    </dxf>
    <dxf>
      <fill>
        <patternFill patternType="lightUp"/>
      </fill>
    </dxf>
    <dxf>
      <fill>
        <patternFill patternType="lightUp"/>
      </fill>
    </dxf>
    <dxf>
      <fill>
        <patternFill patternType="lightUp"/>
      </fill>
    </dxf>
    <dxf>
      <fill>
        <patternFill patternType="lightUp"/>
      </fill>
    </dxf>
    <dxf>
      <fill>
        <patternFill>
          <bgColor theme="5" tint="0.79998168889431442"/>
        </patternFill>
      </fill>
    </dxf>
    <dxf>
      <fill>
        <patternFill>
          <bgColor theme="6" tint="0.79998168889431442"/>
        </patternFill>
      </fill>
    </dxf>
    <dxf>
      <fill>
        <patternFill patternType="lightUp"/>
      </fill>
    </dxf>
  </dxfs>
  <tableStyles count="0" defaultTableStyle="TableStyleMedium2" defaultPivotStyle="PivotStyleMedium9"/>
  <colors>
    <mruColors>
      <color rgb="FFA623AD"/>
      <color rgb="FFDEF4C4"/>
      <color rgb="FFA9E8A0"/>
      <color rgb="FFFFFFFF"/>
      <color rgb="FFD8D9BF"/>
      <color rgb="FFA5DBCF"/>
      <color rgb="FFFFFFCC"/>
      <color rgb="FFEC9C9C"/>
      <color rgb="FF6C67B1"/>
      <color rgb="FF9DFB6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13" Type="http://schemas.openxmlformats.org/officeDocument/2006/relationships/worksheet" Target="worksheets/sheet13.xml"/><Relationship Id="rId109" Type="http://schemas.openxmlformats.org/officeDocument/2006/relationships/worksheet" Target="worksheets/sheet109.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calcChain" Target="calcChain.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theme" Target="theme/theme1.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connections" Target="connections.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styles" Target="styles.xml"/><Relationship Id="rId18" Type="http://schemas.openxmlformats.org/officeDocument/2006/relationships/worksheet" Target="worksheets/sheet18.xml"/><Relationship Id="rId39" Type="http://schemas.openxmlformats.org/officeDocument/2006/relationships/worksheet" Target="worksheets/sheet39.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 Type="http://schemas.openxmlformats.org/officeDocument/2006/relationships/worksheet" Target="worksheets/sheet2.xml"/><Relationship Id="rId29" Type="http://schemas.openxmlformats.org/officeDocument/2006/relationships/worksheet" Target="worksheets/sheet29.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sharedStrings" Target="sharedStrings.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absolute">
    <xdr:from>
      <xdr:col>0</xdr:col>
      <xdr:colOff>50007</xdr:colOff>
      <xdr:row>0</xdr:row>
      <xdr:rowOff>952500</xdr:rowOff>
    </xdr:from>
    <xdr:to>
      <xdr:col>0</xdr:col>
      <xdr:colOff>1496787</xdr:colOff>
      <xdr:row>0</xdr:row>
      <xdr:rowOff>1706676</xdr:rowOff>
    </xdr:to>
    <xdr:sp macro="[0]!ПустойМакрос" textlink="">
      <xdr:nvSpPr>
        <xdr:cNvPr id="45" name="Блок-схема: процесс 44">
          <a:extLst>
            <a:ext uri="{FF2B5EF4-FFF2-40B4-BE49-F238E27FC236}">
              <a16:creationId xmlns:a16="http://schemas.microsoft.com/office/drawing/2014/main" id="{00000000-0008-0000-0000-00002D000000}"/>
            </a:ext>
          </a:extLst>
        </xdr:cNvPr>
        <xdr:cNvSpPr/>
      </xdr:nvSpPr>
      <xdr:spPr>
        <a:xfrm>
          <a:off x="50007" y="952500"/>
          <a:ext cx="1446780" cy="754176"/>
        </a:xfrm>
        <a:prstGeom prst="flowChartProcess">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endParaRPr lang="ru-RU" sz="1600"/>
        </a:p>
      </xdr:txBody>
    </xdr:sp>
    <xdr:clientData/>
  </xdr:twoCellAnchor>
  <xdr:twoCellAnchor editAs="absolute">
    <xdr:from>
      <xdr:col>0</xdr:col>
      <xdr:colOff>50007</xdr:colOff>
      <xdr:row>1</xdr:row>
      <xdr:rowOff>47624</xdr:rowOff>
    </xdr:from>
    <xdr:to>
      <xdr:col>0</xdr:col>
      <xdr:colOff>1500187</xdr:colOff>
      <xdr:row>58</xdr:row>
      <xdr:rowOff>19050</xdr:rowOff>
    </xdr:to>
    <xdr:sp macro="[0]!ПустойМакрос" textlink="">
      <xdr:nvSpPr>
        <xdr:cNvPr id="10" name="Блок-схема: процесс 9">
          <a:extLst>
            <a:ext uri="{FF2B5EF4-FFF2-40B4-BE49-F238E27FC236}">
              <a16:creationId xmlns:a16="http://schemas.microsoft.com/office/drawing/2014/main" id="{00000000-0008-0000-0000-00000A000000}"/>
            </a:ext>
          </a:extLst>
        </xdr:cNvPr>
        <xdr:cNvSpPr/>
      </xdr:nvSpPr>
      <xdr:spPr>
        <a:xfrm>
          <a:off x="50007" y="1790699"/>
          <a:ext cx="1450180" cy="10829926"/>
        </a:xfrm>
        <a:prstGeom prst="flowChartProcess">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endParaRPr lang="ru-RU" sz="1600"/>
        </a:p>
      </xdr:txBody>
    </xdr:sp>
    <xdr:clientData/>
  </xdr:twoCellAnchor>
  <xdr:twoCellAnchor editAs="absolute">
    <xdr:from>
      <xdr:col>0</xdr:col>
      <xdr:colOff>101922</xdr:colOff>
      <xdr:row>1</xdr:row>
      <xdr:rowOff>97165</xdr:rowOff>
    </xdr:from>
    <xdr:to>
      <xdr:col>0</xdr:col>
      <xdr:colOff>1437522</xdr:colOff>
      <xdr:row>4</xdr:row>
      <xdr:rowOff>65665</xdr:rowOff>
    </xdr:to>
    <xdr:sp macro="[0]!Расчёт_INFINITY" textlink="">
      <xdr:nvSpPr>
        <xdr:cNvPr id="2" name="Прямоугольник 1">
          <a:extLst>
            <a:ext uri="{FF2B5EF4-FFF2-40B4-BE49-F238E27FC236}">
              <a16:creationId xmlns:a16="http://schemas.microsoft.com/office/drawing/2014/main" id="{00000000-0008-0000-0000-000002000000}"/>
            </a:ext>
          </a:extLst>
        </xdr:cNvPr>
        <xdr:cNvSpPr/>
      </xdr:nvSpPr>
      <xdr:spPr>
        <a:xfrm>
          <a:off x="101922" y="1835478"/>
          <a:ext cx="1335600" cy="540000"/>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l"/>
          <a:r>
            <a:rPr lang="ru-RU" sz="1200"/>
            <a:t>Сервер в/в</a:t>
          </a:r>
        </a:p>
      </xdr:txBody>
    </xdr:sp>
    <xdr:clientData/>
  </xdr:twoCellAnchor>
  <xdr:twoCellAnchor editAs="absolute">
    <xdr:from>
      <xdr:col>0</xdr:col>
      <xdr:colOff>103980</xdr:colOff>
      <xdr:row>44</xdr:row>
      <xdr:rowOff>27773</xdr:rowOff>
    </xdr:from>
    <xdr:to>
      <xdr:col>0</xdr:col>
      <xdr:colOff>1439580</xdr:colOff>
      <xdr:row>47</xdr:row>
      <xdr:rowOff>0</xdr:rowOff>
    </xdr:to>
    <xdr:sp macro="[0]!Очистить_содержимое" textlink="">
      <xdr:nvSpPr>
        <xdr:cNvPr id="47" name="Прямоугольник 46">
          <a:extLst>
            <a:ext uri="{FF2B5EF4-FFF2-40B4-BE49-F238E27FC236}">
              <a16:creationId xmlns:a16="http://schemas.microsoft.com/office/drawing/2014/main" id="{00000000-0008-0000-0000-00002F000000}"/>
            </a:ext>
          </a:extLst>
        </xdr:cNvPr>
        <xdr:cNvSpPr/>
      </xdr:nvSpPr>
      <xdr:spPr>
        <a:xfrm>
          <a:off x="103980" y="9962348"/>
          <a:ext cx="1335600" cy="549066"/>
        </a:xfrm>
        <a:prstGeom prst="rect">
          <a:avLst/>
        </a:prstGeom>
        <a:solidFill>
          <a:schemeClr val="bg1">
            <a:lumMod val="50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r>
            <a:rPr lang="ru-RU" sz="1000" b="0">
              <a:solidFill>
                <a:sysClr val="windowText" lastClr="000000"/>
              </a:solidFill>
              <a:effectLst/>
              <a:latin typeface="+mn-lt"/>
              <a:ea typeface="+mn-ea"/>
              <a:cs typeface="+mn-cs"/>
            </a:rPr>
            <a:t>Очистить</a:t>
          </a:r>
          <a:endParaRPr lang="ru-RU" sz="1000">
            <a:solidFill>
              <a:sysClr val="windowText" lastClr="000000"/>
            </a:solidFill>
            <a:effectLst/>
          </a:endParaRPr>
        </a:p>
        <a:p>
          <a:r>
            <a:rPr lang="ru-RU" sz="1000" b="0">
              <a:solidFill>
                <a:sysClr val="windowText" lastClr="000000"/>
              </a:solidFill>
              <a:effectLst/>
              <a:latin typeface="+mn-lt"/>
              <a:ea typeface="+mn-ea"/>
              <a:cs typeface="+mn-cs"/>
            </a:rPr>
            <a:t>содержимое</a:t>
          </a:r>
          <a:endParaRPr lang="ru-RU" sz="1000">
            <a:solidFill>
              <a:sysClr val="windowText" lastClr="000000"/>
            </a:solidFill>
            <a:effectLst/>
          </a:endParaRPr>
        </a:p>
      </xdr:txBody>
    </xdr:sp>
    <xdr:clientData/>
  </xdr:twoCellAnchor>
  <xdr:twoCellAnchor editAs="absolute">
    <xdr:from>
      <xdr:col>0</xdr:col>
      <xdr:colOff>113504</xdr:colOff>
      <xdr:row>47</xdr:row>
      <xdr:rowOff>41271</xdr:rowOff>
    </xdr:from>
    <xdr:to>
      <xdr:col>0</xdr:col>
      <xdr:colOff>1449104</xdr:colOff>
      <xdr:row>50</xdr:row>
      <xdr:rowOff>18837</xdr:rowOff>
    </xdr:to>
    <xdr:sp macro="[0]!ОкноНастроек" textlink="">
      <xdr:nvSpPr>
        <xdr:cNvPr id="53" name="Прямоугольник 52">
          <a:extLst>
            <a:ext uri="{FF2B5EF4-FFF2-40B4-BE49-F238E27FC236}">
              <a16:creationId xmlns:a16="http://schemas.microsoft.com/office/drawing/2014/main" id="{00000000-0008-0000-0000-000035000000}"/>
            </a:ext>
          </a:extLst>
        </xdr:cNvPr>
        <xdr:cNvSpPr/>
      </xdr:nvSpPr>
      <xdr:spPr>
        <a:xfrm>
          <a:off x="113504" y="10547346"/>
          <a:ext cx="1335600" cy="549066"/>
        </a:xfrm>
        <a:prstGeom prst="rect">
          <a:avLst/>
        </a:prstGeom>
        <a:solidFill>
          <a:schemeClr val="bg1">
            <a:lumMod val="50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r>
            <a:rPr lang="ru-RU" sz="1000">
              <a:solidFill>
                <a:sysClr val="windowText" lastClr="000000"/>
              </a:solidFill>
              <a:effectLst/>
              <a:latin typeface="+mn-lt"/>
              <a:ea typeface="+mn-ea"/>
              <a:cs typeface="+mn-cs"/>
            </a:rPr>
            <a:t>Настройки</a:t>
          </a:r>
          <a:endParaRPr lang="ru-RU" sz="1000">
            <a:solidFill>
              <a:sysClr val="windowText" lastClr="000000"/>
            </a:solidFill>
            <a:effectLst/>
          </a:endParaRPr>
        </a:p>
      </xdr:txBody>
    </xdr:sp>
    <xdr:clientData/>
  </xdr:twoCellAnchor>
  <xdr:twoCellAnchor editAs="absolute">
    <xdr:from>
      <xdr:col>0</xdr:col>
      <xdr:colOff>101922</xdr:colOff>
      <xdr:row>4</xdr:row>
      <xdr:rowOff>101929</xdr:rowOff>
    </xdr:from>
    <xdr:to>
      <xdr:col>0</xdr:col>
      <xdr:colOff>1437522</xdr:colOff>
      <xdr:row>7</xdr:row>
      <xdr:rowOff>70429</xdr:rowOff>
    </xdr:to>
    <xdr:sp macro="[0]!Расчёт_INFINITY_HISTORY" textlink="">
      <xdr:nvSpPr>
        <xdr:cNvPr id="9" name="Прямоугольник 8">
          <a:extLst>
            <a:ext uri="{FF2B5EF4-FFF2-40B4-BE49-F238E27FC236}">
              <a16:creationId xmlns:a16="http://schemas.microsoft.com/office/drawing/2014/main" id="{00000000-0008-0000-0000-000009000000}"/>
            </a:ext>
          </a:extLst>
        </xdr:cNvPr>
        <xdr:cNvSpPr/>
      </xdr:nvSpPr>
      <xdr:spPr>
        <a:xfrm>
          <a:off x="101922" y="2411742"/>
          <a:ext cx="1335600" cy="540000"/>
        </a:xfrm>
        <a:prstGeom prst="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l"/>
          <a:r>
            <a:rPr lang="ru-RU" sz="1200"/>
            <a:t>Сервер</a:t>
          </a:r>
        </a:p>
        <a:p>
          <a:pPr algn="l"/>
          <a:r>
            <a:rPr lang="ru-RU" sz="1200"/>
            <a:t>истории</a:t>
          </a:r>
        </a:p>
      </xdr:txBody>
    </xdr:sp>
    <xdr:clientData/>
  </xdr:twoCellAnchor>
  <xdr:twoCellAnchor editAs="absolute">
    <xdr:from>
      <xdr:col>0</xdr:col>
      <xdr:colOff>107950</xdr:colOff>
      <xdr:row>41</xdr:row>
      <xdr:rowOff>15865</xdr:rowOff>
    </xdr:from>
    <xdr:to>
      <xdr:col>0</xdr:col>
      <xdr:colOff>1443550</xdr:colOff>
      <xdr:row>43</xdr:row>
      <xdr:rowOff>183931</xdr:rowOff>
    </xdr:to>
    <xdr:sp macro="[0]!Импортировать_данные" textlink="">
      <xdr:nvSpPr>
        <xdr:cNvPr id="46" name="Прямоугольник 45">
          <a:extLst>
            <a:ext uri="{FF2B5EF4-FFF2-40B4-BE49-F238E27FC236}">
              <a16:creationId xmlns:a16="http://schemas.microsoft.com/office/drawing/2014/main" id="{00000000-0008-0000-0000-00002E000000}"/>
            </a:ext>
          </a:extLst>
        </xdr:cNvPr>
        <xdr:cNvSpPr/>
      </xdr:nvSpPr>
      <xdr:spPr>
        <a:xfrm>
          <a:off x="107950" y="9378940"/>
          <a:ext cx="1335600" cy="549066"/>
        </a:xfrm>
        <a:prstGeom prst="rect">
          <a:avLst/>
        </a:prstGeom>
        <a:solidFill>
          <a:schemeClr val="bg1">
            <a:lumMod val="50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lIns="90000" rtlCol="0" anchor="ctr"/>
        <a:lstStyle/>
        <a:p>
          <a:r>
            <a:rPr lang="ru-RU" sz="1000" b="0">
              <a:solidFill>
                <a:sysClr val="windowText" lastClr="000000"/>
              </a:solidFill>
              <a:effectLst/>
              <a:latin typeface="+mn-lt"/>
              <a:ea typeface="+mn-ea"/>
              <a:cs typeface="+mn-cs"/>
            </a:rPr>
            <a:t>Импорт</a:t>
          </a:r>
        </a:p>
        <a:p>
          <a:r>
            <a:rPr lang="ru-RU" sz="1000" b="0">
              <a:solidFill>
                <a:sysClr val="windowText" lastClr="000000"/>
              </a:solidFill>
              <a:effectLst/>
              <a:latin typeface="+mn-lt"/>
              <a:ea typeface="+mn-ea"/>
              <a:cs typeface="+mn-cs"/>
            </a:rPr>
            <a:t>данных </a:t>
          </a:r>
          <a:endParaRPr lang="ru-RU" sz="1000">
            <a:solidFill>
              <a:sysClr val="windowText" lastClr="000000"/>
            </a:solidFill>
            <a:effectLst/>
          </a:endParaRPr>
        </a:p>
      </xdr:txBody>
    </xdr:sp>
    <xdr:clientData/>
  </xdr:twoCellAnchor>
  <xdr:twoCellAnchor editAs="oneCell">
    <xdr:from>
      <xdr:col>1</xdr:col>
      <xdr:colOff>31750</xdr:colOff>
      <xdr:row>0</xdr:row>
      <xdr:rowOff>69850</xdr:rowOff>
    </xdr:from>
    <xdr:to>
      <xdr:col>1</xdr:col>
      <xdr:colOff>209550</xdr:colOff>
      <xdr:row>0</xdr:row>
      <xdr:rowOff>234480</xdr:rowOff>
    </xdr:to>
    <xdr:pic macro="[0]!Выбрать_все_флаги">
      <xdr:nvPicPr>
        <xdr:cNvPr id="27" name="Рисунок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08150" y="69850"/>
          <a:ext cx="177800" cy="164630"/>
        </a:xfrm>
        <a:prstGeom prst="rect">
          <a:avLst/>
        </a:prstGeom>
      </xdr:spPr>
    </xdr:pic>
    <xdr:clientData/>
  </xdr:twoCellAnchor>
  <xdr:twoCellAnchor editAs="oneCell">
    <xdr:from>
      <xdr:col>1</xdr:col>
      <xdr:colOff>44450</xdr:colOff>
      <xdr:row>0</xdr:row>
      <xdr:rowOff>260350</xdr:rowOff>
    </xdr:from>
    <xdr:to>
      <xdr:col>1</xdr:col>
      <xdr:colOff>215900</xdr:colOff>
      <xdr:row>0</xdr:row>
      <xdr:rowOff>419100</xdr:rowOff>
    </xdr:to>
    <xdr:pic macro="[0]!Сбросить_все_флаги">
      <xdr:nvPicPr>
        <xdr:cNvPr id="28" name="Рисунок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20850" y="260350"/>
          <a:ext cx="171450" cy="158750"/>
        </a:xfrm>
        <a:prstGeom prst="rect">
          <a:avLst/>
        </a:prstGeom>
      </xdr:spPr>
    </xdr:pic>
    <xdr:clientData/>
  </xdr:twoCellAnchor>
  <xdr:twoCellAnchor editAs="absolute">
    <xdr:from>
      <xdr:col>0</xdr:col>
      <xdr:colOff>111445</xdr:colOff>
      <xdr:row>13</xdr:row>
      <xdr:rowOff>116924</xdr:rowOff>
    </xdr:from>
    <xdr:to>
      <xdr:col>0</xdr:col>
      <xdr:colOff>1447045</xdr:colOff>
      <xdr:row>16</xdr:row>
      <xdr:rowOff>85424</xdr:rowOff>
    </xdr:to>
    <xdr:sp macro="[0]!Расчёт_TREI_входа" textlink="">
      <xdr:nvSpPr>
        <xdr:cNvPr id="21" name="Прямоугольник 20">
          <a:extLst>
            <a:ext uri="{FF2B5EF4-FFF2-40B4-BE49-F238E27FC236}">
              <a16:creationId xmlns:a16="http://schemas.microsoft.com/office/drawing/2014/main" id="{00000000-0008-0000-0000-000015000000}"/>
            </a:ext>
          </a:extLst>
        </xdr:cNvPr>
        <xdr:cNvSpPr/>
      </xdr:nvSpPr>
      <xdr:spPr>
        <a:xfrm>
          <a:off x="111445" y="4141237"/>
          <a:ext cx="1335600" cy="540000"/>
        </a:xfrm>
        <a:prstGeom prst="rect">
          <a:avLst/>
        </a:prstGeom>
        <a:solidFill>
          <a:srgbClr val="00B05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l"/>
          <a:r>
            <a:rPr lang="ru-RU" sz="1000" baseline="0">
              <a:solidFill>
                <a:schemeClr val="tx1"/>
              </a:solidFill>
            </a:rPr>
            <a:t>Код </a:t>
          </a:r>
          <a:r>
            <a:rPr lang="en-US" sz="1000" baseline="0">
              <a:solidFill>
                <a:schemeClr val="tx1"/>
              </a:solidFill>
            </a:rPr>
            <a:t>ST</a:t>
          </a:r>
          <a:r>
            <a:rPr lang="ru-RU" sz="1000" baseline="0">
              <a:solidFill>
                <a:schemeClr val="tx1"/>
              </a:solidFill>
            </a:rPr>
            <a:t> </a:t>
          </a:r>
          <a:r>
            <a:rPr lang="en-US" sz="1000" baseline="0">
              <a:solidFill>
                <a:schemeClr val="tx1"/>
              </a:solidFill>
            </a:rPr>
            <a:t>TREI</a:t>
          </a:r>
          <a:endParaRPr lang="ru-RU" sz="1000" baseline="0">
            <a:solidFill>
              <a:schemeClr val="tx1"/>
            </a:solidFill>
          </a:endParaRPr>
        </a:p>
        <a:p>
          <a:pPr algn="l"/>
          <a:r>
            <a:rPr lang="ru-RU" sz="1000" baseline="0">
              <a:solidFill>
                <a:schemeClr val="tx1"/>
              </a:solidFill>
            </a:rPr>
            <a:t>Входа</a:t>
          </a:r>
          <a:endParaRPr lang="ru-RU" sz="1000">
            <a:solidFill>
              <a:schemeClr val="tx1"/>
            </a:solidFill>
          </a:endParaRPr>
        </a:p>
      </xdr:txBody>
    </xdr:sp>
    <xdr:clientData/>
  </xdr:twoCellAnchor>
  <xdr:twoCellAnchor editAs="absolute">
    <xdr:from>
      <xdr:col>0</xdr:col>
      <xdr:colOff>109067</xdr:colOff>
      <xdr:row>16</xdr:row>
      <xdr:rowOff>117793</xdr:rowOff>
    </xdr:from>
    <xdr:to>
      <xdr:col>0</xdr:col>
      <xdr:colOff>1444667</xdr:colOff>
      <xdr:row>19</xdr:row>
      <xdr:rowOff>86293</xdr:rowOff>
    </xdr:to>
    <xdr:sp macro="[0]!Расчёт_TREI_выхода" textlink="">
      <xdr:nvSpPr>
        <xdr:cNvPr id="22" name="Прямоугольник 21">
          <a:extLst>
            <a:ext uri="{FF2B5EF4-FFF2-40B4-BE49-F238E27FC236}">
              <a16:creationId xmlns:a16="http://schemas.microsoft.com/office/drawing/2014/main" id="{00000000-0008-0000-0000-000016000000}"/>
            </a:ext>
          </a:extLst>
        </xdr:cNvPr>
        <xdr:cNvSpPr/>
      </xdr:nvSpPr>
      <xdr:spPr>
        <a:xfrm>
          <a:off x="109067" y="4713606"/>
          <a:ext cx="1335600" cy="540000"/>
        </a:xfrm>
        <a:prstGeom prst="rect">
          <a:avLst/>
        </a:prstGeom>
        <a:solidFill>
          <a:srgbClr val="00B05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l"/>
          <a:r>
            <a:rPr lang="ru-RU" sz="1000">
              <a:solidFill>
                <a:schemeClr val="tx1"/>
              </a:solidFill>
            </a:rPr>
            <a:t>Код </a:t>
          </a:r>
          <a:r>
            <a:rPr lang="en-US" sz="1000">
              <a:solidFill>
                <a:schemeClr val="tx1"/>
              </a:solidFill>
            </a:rPr>
            <a:t>ST</a:t>
          </a:r>
          <a:r>
            <a:rPr lang="ru-RU" sz="1000">
              <a:solidFill>
                <a:schemeClr val="tx1"/>
              </a:solidFill>
            </a:rPr>
            <a:t> </a:t>
          </a:r>
          <a:r>
            <a:rPr lang="en-US" sz="1000">
              <a:solidFill>
                <a:schemeClr val="tx1"/>
              </a:solidFill>
            </a:rPr>
            <a:t>TREI</a:t>
          </a:r>
          <a:endParaRPr lang="ru-RU" sz="1000">
            <a:solidFill>
              <a:schemeClr val="tx1"/>
            </a:solidFill>
          </a:endParaRPr>
        </a:p>
        <a:p>
          <a:pPr algn="l"/>
          <a:r>
            <a:rPr lang="ru-RU" sz="1000">
              <a:solidFill>
                <a:schemeClr val="tx1"/>
              </a:solidFill>
            </a:rPr>
            <a:t>Выхода</a:t>
          </a:r>
        </a:p>
      </xdr:txBody>
    </xdr:sp>
    <xdr:clientData/>
  </xdr:twoCellAnchor>
  <xdr:twoCellAnchor editAs="absolute">
    <xdr:from>
      <xdr:col>0</xdr:col>
      <xdr:colOff>106687</xdr:colOff>
      <xdr:row>19</xdr:row>
      <xdr:rowOff>121907</xdr:rowOff>
    </xdr:from>
    <xdr:to>
      <xdr:col>0</xdr:col>
      <xdr:colOff>1442287</xdr:colOff>
      <xdr:row>22</xdr:row>
      <xdr:rowOff>90407</xdr:rowOff>
    </xdr:to>
    <xdr:sp macro="[0]!Расчёт_TREI_упаковка_регистров" textlink="">
      <xdr:nvSpPr>
        <xdr:cNvPr id="42" name="Прямоугольник 41">
          <a:extLst>
            <a:ext uri="{FF2B5EF4-FFF2-40B4-BE49-F238E27FC236}">
              <a16:creationId xmlns:a16="http://schemas.microsoft.com/office/drawing/2014/main" id="{00000000-0008-0000-0000-00002A000000}"/>
            </a:ext>
          </a:extLst>
        </xdr:cNvPr>
        <xdr:cNvSpPr/>
      </xdr:nvSpPr>
      <xdr:spPr>
        <a:xfrm>
          <a:off x="106687" y="5289220"/>
          <a:ext cx="1335600" cy="540000"/>
        </a:xfrm>
        <a:prstGeom prst="rect">
          <a:avLst/>
        </a:prstGeom>
        <a:solidFill>
          <a:srgbClr val="00B05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l"/>
          <a:r>
            <a:rPr lang="ru-RU" sz="1000">
              <a:solidFill>
                <a:schemeClr val="tx1"/>
              </a:solidFill>
            </a:rPr>
            <a:t>Код </a:t>
          </a:r>
          <a:r>
            <a:rPr lang="en-US" sz="1000">
              <a:solidFill>
                <a:schemeClr val="tx1"/>
              </a:solidFill>
            </a:rPr>
            <a:t>ST</a:t>
          </a:r>
          <a:r>
            <a:rPr lang="ru-RU" sz="1000">
              <a:solidFill>
                <a:schemeClr val="tx1"/>
              </a:solidFill>
            </a:rPr>
            <a:t> </a:t>
          </a:r>
          <a:r>
            <a:rPr lang="en-US" sz="1000">
              <a:solidFill>
                <a:schemeClr val="tx1"/>
              </a:solidFill>
            </a:rPr>
            <a:t>TREI </a:t>
          </a:r>
          <a:endParaRPr lang="ru-RU" sz="1000">
            <a:solidFill>
              <a:schemeClr val="tx1"/>
            </a:solidFill>
          </a:endParaRPr>
        </a:p>
        <a:p>
          <a:pPr algn="l"/>
          <a:r>
            <a:rPr lang="ru-RU" sz="1000">
              <a:solidFill>
                <a:schemeClr val="tx1"/>
              </a:solidFill>
            </a:rPr>
            <a:t>Упаковка</a:t>
          </a:r>
          <a:r>
            <a:rPr lang="ru-RU" sz="1000" baseline="0">
              <a:solidFill>
                <a:schemeClr val="tx1"/>
              </a:solidFill>
            </a:rPr>
            <a:t> </a:t>
          </a:r>
          <a:r>
            <a:rPr lang="en-US" sz="1000" baseline="0">
              <a:solidFill>
                <a:schemeClr val="tx1"/>
              </a:solidFill>
            </a:rPr>
            <a:t>MB</a:t>
          </a:r>
          <a:endParaRPr lang="ru-RU" sz="1000">
            <a:solidFill>
              <a:schemeClr val="tx1"/>
            </a:solidFill>
          </a:endParaRPr>
        </a:p>
      </xdr:txBody>
    </xdr:sp>
    <xdr:clientData/>
  </xdr:twoCellAnchor>
  <xdr:twoCellAnchor editAs="absolute">
    <xdr:from>
      <xdr:col>0</xdr:col>
      <xdr:colOff>107154</xdr:colOff>
      <xdr:row>7</xdr:row>
      <xdr:rowOff>110398</xdr:rowOff>
    </xdr:from>
    <xdr:to>
      <xdr:col>0</xdr:col>
      <xdr:colOff>1442754</xdr:colOff>
      <xdr:row>10</xdr:row>
      <xdr:rowOff>78898</xdr:rowOff>
    </xdr:to>
    <xdr:sp macro="[0]!Расчёт_INFINITY_TRENDS" textlink="">
      <xdr:nvSpPr>
        <xdr:cNvPr id="39" name="Прямоугольник 38">
          <a:extLst>
            <a:ext uri="{FF2B5EF4-FFF2-40B4-BE49-F238E27FC236}">
              <a16:creationId xmlns:a16="http://schemas.microsoft.com/office/drawing/2014/main" id="{00000000-0008-0000-0000-000027000000}"/>
            </a:ext>
          </a:extLst>
        </xdr:cNvPr>
        <xdr:cNvSpPr/>
      </xdr:nvSpPr>
      <xdr:spPr>
        <a:xfrm>
          <a:off x="107154" y="2991711"/>
          <a:ext cx="1335600" cy="540000"/>
        </a:xfrm>
        <a:prstGeom prst="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l"/>
          <a:r>
            <a:rPr lang="ru-RU" sz="1200" baseline="0"/>
            <a:t>Тренды </a:t>
          </a:r>
          <a:r>
            <a:rPr lang="en-US" sz="1200" baseline="0"/>
            <a:t>HMI</a:t>
          </a:r>
          <a:endParaRPr lang="ru-RU" sz="1200"/>
        </a:p>
      </xdr:txBody>
    </xdr:sp>
    <xdr:clientData/>
  </xdr:twoCellAnchor>
  <xdr:twoCellAnchor editAs="absolute">
    <xdr:from>
      <xdr:col>0</xdr:col>
      <xdr:colOff>107155</xdr:colOff>
      <xdr:row>22</xdr:row>
      <xdr:rowOff>132052</xdr:rowOff>
    </xdr:from>
    <xdr:to>
      <xdr:col>0</xdr:col>
      <xdr:colOff>1442755</xdr:colOff>
      <xdr:row>25</xdr:row>
      <xdr:rowOff>109618</xdr:rowOff>
    </xdr:to>
    <xdr:sp macro="Расчёт_INFINITY_метки_времени" textlink="">
      <xdr:nvSpPr>
        <xdr:cNvPr id="48" name="Прямоугольник 47">
          <a:extLst>
            <a:ext uri="{FF2B5EF4-FFF2-40B4-BE49-F238E27FC236}">
              <a16:creationId xmlns:a16="http://schemas.microsoft.com/office/drawing/2014/main" id="{00000000-0008-0000-0000-000030000000}"/>
            </a:ext>
          </a:extLst>
        </xdr:cNvPr>
        <xdr:cNvSpPr/>
      </xdr:nvSpPr>
      <xdr:spPr>
        <a:xfrm>
          <a:off x="107155" y="5870865"/>
          <a:ext cx="1335600" cy="549066"/>
        </a:xfrm>
        <a:prstGeom prst="rect">
          <a:avLst/>
        </a:prstGeom>
        <a:solidFill>
          <a:srgbClr val="37ACCB"/>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l"/>
          <a:r>
            <a:rPr lang="ru-RU" sz="1000" b="0" cap="none" spc="0" baseline="0">
              <a:ln w="0"/>
              <a:solidFill>
                <a:schemeClr val="tx1"/>
              </a:solidFill>
              <a:effectLst/>
            </a:rPr>
            <a:t>Метки</a:t>
          </a:r>
          <a:r>
            <a:rPr lang="en-US" sz="1000" b="0" cap="none" spc="0" baseline="0">
              <a:ln w="0"/>
              <a:solidFill>
                <a:schemeClr val="tx1"/>
              </a:solidFill>
              <a:effectLst/>
            </a:rPr>
            <a:t> </a:t>
          </a:r>
          <a:r>
            <a:rPr lang="ru-RU" sz="1000" b="0" cap="none" spc="0" baseline="0">
              <a:ln w="0"/>
              <a:solidFill>
                <a:schemeClr val="tx1"/>
              </a:solidFill>
              <a:effectLst/>
            </a:rPr>
            <a:t>времени</a:t>
          </a:r>
        </a:p>
        <a:p>
          <a:pPr algn="l"/>
          <a:r>
            <a:rPr lang="en-US" sz="1000" b="0" cap="none" spc="0" baseline="0">
              <a:ln w="0"/>
              <a:solidFill>
                <a:schemeClr val="tx1"/>
              </a:solidFill>
              <a:effectLst/>
            </a:rPr>
            <a:t>INFINITY</a:t>
          </a:r>
          <a:endParaRPr lang="ru-RU" sz="1000" b="0" cap="none" spc="0">
            <a:ln w="0"/>
            <a:solidFill>
              <a:schemeClr val="tx1"/>
            </a:solidFill>
            <a:effectLst/>
          </a:endParaRPr>
        </a:p>
      </xdr:txBody>
    </xdr:sp>
    <xdr:clientData/>
  </xdr:twoCellAnchor>
  <xdr:twoCellAnchor editAs="absolute">
    <xdr:from>
      <xdr:col>0</xdr:col>
      <xdr:colOff>107158</xdr:colOff>
      <xdr:row>25</xdr:row>
      <xdr:rowOff>137469</xdr:rowOff>
    </xdr:from>
    <xdr:to>
      <xdr:col>0</xdr:col>
      <xdr:colOff>1442758</xdr:colOff>
      <xdr:row>28</xdr:row>
      <xdr:rowOff>115035</xdr:rowOff>
    </xdr:to>
    <xdr:sp macro="Расчёт_TREI_метки_времени" textlink="">
      <xdr:nvSpPr>
        <xdr:cNvPr id="49" name="Прямоугольник 48">
          <a:extLst>
            <a:ext uri="{FF2B5EF4-FFF2-40B4-BE49-F238E27FC236}">
              <a16:creationId xmlns:a16="http://schemas.microsoft.com/office/drawing/2014/main" id="{00000000-0008-0000-0000-000031000000}"/>
            </a:ext>
          </a:extLst>
        </xdr:cNvPr>
        <xdr:cNvSpPr/>
      </xdr:nvSpPr>
      <xdr:spPr>
        <a:xfrm>
          <a:off x="107158" y="6447782"/>
          <a:ext cx="1335600" cy="549066"/>
        </a:xfrm>
        <a:prstGeom prst="rect">
          <a:avLst/>
        </a:prstGeom>
        <a:solidFill>
          <a:srgbClr val="37ACCB"/>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l"/>
          <a:r>
            <a:rPr lang="ru-RU" sz="1000" b="0" cap="none" spc="0" baseline="0">
              <a:ln w="0"/>
              <a:solidFill>
                <a:schemeClr val="tx1"/>
              </a:solidFill>
              <a:effectLst/>
            </a:rPr>
            <a:t>Метки</a:t>
          </a:r>
          <a:r>
            <a:rPr lang="en-US" sz="1000" b="0" cap="none" spc="0" baseline="0">
              <a:ln w="0"/>
              <a:solidFill>
                <a:schemeClr val="tx1"/>
              </a:solidFill>
              <a:effectLst/>
            </a:rPr>
            <a:t> </a:t>
          </a:r>
          <a:r>
            <a:rPr lang="ru-RU" sz="1000" b="0" cap="none" spc="0" baseline="0">
              <a:ln w="0"/>
              <a:solidFill>
                <a:schemeClr val="tx1"/>
              </a:solidFill>
              <a:effectLst/>
            </a:rPr>
            <a:t>времени</a:t>
          </a:r>
          <a:endParaRPr lang="en-US" sz="1000" b="0" cap="none" spc="0" baseline="0">
            <a:ln w="0"/>
            <a:solidFill>
              <a:schemeClr val="tx1"/>
            </a:solidFill>
            <a:effectLst/>
          </a:endParaRPr>
        </a:p>
        <a:p>
          <a:pPr algn="l"/>
          <a:r>
            <a:rPr lang="en-US" sz="1000" b="0" cap="none" spc="0" baseline="0">
              <a:ln w="0"/>
              <a:solidFill>
                <a:schemeClr val="tx1"/>
              </a:solidFill>
              <a:effectLst/>
            </a:rPr>
            <a:t>TREI</a:t>
          </a:r>
          <a:endParaRPr lang="ru-RU" sz="1000" b="0" cap="none" spc="0">
            <a:ln w="0"/>
            <a:solidFill>
              <a:schemeClr val="tx1"/>
            </a:solidFill>
            <a:effectLst/>
          </a:endParaRPr>
        </a:p>
      </xdr:txBody>
    </xdr:sp>
    <xdr:clientData/>
  </xdr:twoCellAnchor>
  <xdr:twoCellAnchor editAs="absolute">
    <xdr:from>
      <xdr:col>0</xdr:col>
      <xdr:colOff>107158</xdr:colOff>
      <xdr:row>28</xdr:row>
      <xdr:rowOff>146129</xdr:rowOff>
    </xdr:from>
    <xdr:to>
      <xdr:col>0</xdr:col>
      <xdr:colOff>1442758</xdr:colOff>
      <xdr:row>31</xdr:row>
      <xdr:rowOff>123695</xdr:rowOff>
    </xdr:to>
    <xdr:sp macro="Расчёт_TREI_ST_меток_времени" textlink="">
      <xdr:nvSpPr>
        <xdr:cNvPr id="50" name="Прямоугольник 49">
          <a:extLst>
            <a:ext uri="{FF2B5EF4-FFF2-40B4-BE49-F238E27FC236}">
              <a16:creationId xmlns:a16="http://schemas.microsoft.com/office/drawing/2014/main" id="{00000000-0008-0000-0000-000032000000}"/>
            </a:ext>
          </a:extLst>
        </xdr:cNvPr>
        <xdr:cNvSpPr/>
      </xdr:nvSpPr>
      <xdr:spPr>
        <a:xfrm>
          <a:off x="107158" y="7027942"/>
          <a:ext cx="1335600" cy="549066"/>
        </a:xfrm>
        <a:prstGeom prst="rect">
          <a:avLst/>
        </a:prstGeom>
        <a:solidFill>
          <a:srgbClr val="37ACCB"/>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l"/>
          <a:r>
            <a:rPr lang="ru-RU" sz="1000" b="0" cap="none" spc="0" baseline="0">
              <a:ln w="0"/>
              <a:solidFill>
                <a:schemeClr val="tx1"/>
              </a:solidFill>
              <a:effectLst/>
            </a:rPr>
            <a:t>Метки времени</a:t>
          </a:r>
        </a:p>
        <a:p>
          <a:pPr algn="l"/>
          <a:r>
            <a:rPr lang="ru-RU" sz="1000" b="0" cap="none" spc="0">
              <a:ln w="0"/>
              <a:solidFill>
                <a:schemeClr val="tx1"/>
              </a:solidFill>
              <a:effectLst/>
            </a:rPr>
            <a:t>Код </a:t>
          </a:r>
          <a:r>
            <a:rPr lang="en-US" sz="1000" b="0" cap="none" spc="0">
              <a:ln w="0"/>
              <a:solidFill>
                <a:schemeClr val="tx1"/>
              </a:solidFill>
              <a:effectLst/>
            </a:rPr>
            <a:t>ST TREI</a:t>
          </a:r>
        </a:p>
        <a:p>
          <a:pPr algn="l"/>
          <a:endParaRPr lang="ru-RU" sz="1000" b="0" cap="none" spc="0">
            <a:ln w="0"/>
            <a:solidFill>
              <a:schemeClr val="tx1"/>
            </a:solidFill>
            <a:effectLst/>
          </a:endParaRPr>
        </a:p>
      </xdr:txBody>
    </xdr:sp>
    <xdr:clientData/>
  </xdr:twoCellAnchor>
  <xdr:twoCellAnchor editAs="absolute">
    <xdr:from>
      <xdr:col>0</xdr:col>
      <xdr:colOff>107157</xdr:colOff>
      <xdr:row>31</xdr:row>
      <xdr:rowOff>160199</xdr:rowOff>
    </xdr:from>
    <xdr:to>
      <xdr:col>0</xdr:col>
      <xdr:colOff>1442757</xdr:colOff>
      <xdr:row>34</xdr:row>
      <xdr:rowOff>137765</xdr:rowOff>
    </xdr:to>
    <xdr:sp macro="Расчёт_XML_метки_времени" textlink="">
      <xdr:nvSpPr>
        <xdr:cNvPr id="51" name="Прямоугольник 50">
          <a:extLst>
            <a:ext uri="{FF2B5EF4-FFF2-40B4-BE49-F238E27FC236}">
              <a16:creationId xmlns:a16="http://schemas.microsoft.com/office/drawing/2014/main" id="{00000000-0008-0000-0000-000033000000}"/>
            </a:ext>
          </a:extLst>
        </xdr:cNvPr>
        <xdr:cNvSpPr/>
      </xdr:nvSpPr>
      <xdr:spPr>
        <a:xfrm>
          <a:off x="107157" y="7613512"/>
          <a:ext cx="1335600" cy="549066"/>
        </a:xfrm>
        <a:prstGeom prst="rect">
          <a:avLst/>
        </a:prstGeom>
        <a:solidFill>
          <a:srgbClr val="37ACCB"/>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l"/>
          <a:r>
            <a:rPr lang="ru-RU" sz="1000" b="0" cap="none" spc="0">
              <a:ln w="0"/>
              <a:solidFill>
                <a:schemeClr val="tx1"/>
              </a:solidFill>
              <a:effectLst/>
              <a:latin typeface="+mn-lt"/>
            </a:rPr>
            <a:t>Расчёт</a:t>
          </a:r>
          <a:r>
            <a:rPr lang="en-US" sz="1000" b="0" cap="none" spc="0" baseline="0">
              <a:ln w="0"/>
              <a:solidFill>
                <a:schemeClr val="tx1"/>
              </a:solidFill>
              <a:effectLst/>
              <a:latin typeface="+mn-lt"/>
            </a:rPr>
            <a:t> XML</a:t>
          </a:r>
        </a:p>
        <a:p>
          <a:pPr algn="l"/>
          <a:r>
            <a:rPr lang="ru-RU" sz="1000" b="0" cap="none" spc="0" baseline="0">
              <a:ln w="0"/>
              <a:solidFill>
                <a:schemeClr val="tx1"/>
              </a:solidFill>
              <a:effectLst/>
              <a:latin typeface="+mn-lt"/>
            </a:rPr>
            <a:t>метки времени</a:t>
          </a:r>
          <a:endParaRPr lang="ru-RU" sz="1000" b="0" cap="none" spc="0">
            <a:ln w="0"/>
            <a:solidFill>
              <a:schemeClr val="tx1"/>
            </a:solidFill>
            <a:effectLst/>
            <a:latin typeface="+mn-lt"/>
          </a:endParaRPr>
        </a:p>
      </xdr:txBody>
    </xdr:sp>
    <xdr:clientData/>
  </xdr:twoCellAnchor>
  <xdr:twoCellAnchor editAs="absolute">
    <xdr:from>
      <xdr:col>0</xdr:col>
      <xdr:colOff>110886</xdr:colOff>
      <xdr:row>10</xdr:row>
      <xdr:rowOff>110386</xdr:rowOff>
    </xdr:from>
    <xdr:to>
      <xdr:col>0</xdr:col>
      <xdr:colOff>1446486</xdr:colOff>
      <xdr:row>13</xdr:row>
      <xdr:rowOff>87952</xdr:rowOff>
    </xdr:to>
    <xdr:sp macro="[0]!Расчёт_TREI" textlink="">
      <xdr:nvSpPr>
        <xdr:cNvPr id="8" name="Прямоугольник 7">
          <a:extLst>
            <a:ext uri="{FF2B5EF4-FFF2-40B4-BE49-F238E27FC236}">
              <a16:creationId xmlns:a16="http://schemas.microsoft.com/office/drawing/2014/main" id="{00000000-0008-0000-0000-000008000000}"/>
            </a:ext>
          </a:extLst>
        </xdr:cNvPr>
        <xdr:cNvSpPr/>
      </xdr:nvSpPr>
      <xdr:spPr>
        <a:xfrm>
          <a:off x="110886" y="3563199"/>
          <a:ext cx="1335600" cy="549066"/>
        </a:xfrm>
        <a:prstGeom prst="rect">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l"/>
          <a:r>
            <a:rPr lang="ru-RU" sz="1200" b="0" cap="none" spc="0">
              <a:ln w="0"/>
              <a:solidFill>
                <a:schemeClr val="tx1"/>
              </a:solidFill>
              <a:effectLst/>
            </a:rPr>
            <a:t>Глобальный</a:t>
          </a:r>
        </a:p>
        <a:p>
          <a:pPr algn="l"/>
          <a:r>
            <a:rPr lang="ru-RU" sz="1200" b="0" cap="none" spc="0">
              <a:ln w="0"/>
              <a:solidFill>
                <a:schemeClr val="tx1"/>
              </a:solidFill>
              <a:effectLst/>
            </a:rPr>
            <a:t>словарь </a:t>
          </a:r>
          <a:r>
            <a:rPr lang="en-US" sz="1200" b="0" cap="none" spc="0" baseline="0">
              <a:ln w="0"/>
              <a:solidFill>
                <a:schemeClr val="tx1"/>
              </a:solidFill>
              <a:effectLst/>
            </a:rPr>
            <a:t>TREI</a:t>
          </a:r>
          <a:endParaRPr lang="ru-RU" sz="1200" b="0" cap="none" spc="0">
            <a:ln w="0"/>
            <a:solidFill>
              <a:schemeClr val="tx1"/>
            </a:solidFill>
            <a:effectLst/>
          </a:endParaRPr>
        </a:p>
      </xdr:txBody>
    </xdr:sp>
    <xdr:clientData/>
  </xdr:twoCellAnchor>
  <xdr:twoCellAnchor editAs="absolute">
    <xdr:from>
      <xdr:col>0</xdr:col>
      <xdr:colOff>100014</xdr:colOff>
      <xdr:row>50</xdr:row>
      <xdr:rowOff>107508</xdr:rowOff>
    </xdr:from>
    <xdr:to>
      <xdr:col>0</xdr:col>
      <xdr:colOff>1445418</xdr:colOff>
      <xdr:row>52</xdr:row>
      <xdr:rowOff>12259</xdr:rowOff>
    </xdr:to>
    <xdr:sp macro="АСУТП_откл" textlink="">
      <xdr:nvSpPr>
        <xdr:cNvPr id="52" name="Прямоугольник 51">
          <a:extLst>
            <a:ext uri="{FF2B5EF4-FFF2-40B4-BE49-F238E27FC236}">
              <a16:creationId xmlns:a16="http://schemas.microsoft.com/office/drawing/2014/main" id="{00000000-0008-0000-0000-000034000000}"/>
            </a:ext>
          </a:extLst>
        </xdr:cNvPr>
        <xdr:cNvSpPr>
          <a:spLocks/>
        </xdr:cNvSpPr>
      </xdr:nvSpPr>
      <xdr:spPr>
        <a:xfrm>
          <a:off x="100014" y="11185083"/>
          <a:ext cx="1345404" cy="285751"/>
        </a:xfrm>
        <a:prstGeom prst="rect">
          <a:avLst/>
        </a:prstGeom>
        <a:solidFill>
          <a:srgbClr val="96BC48"/>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ru-RU" sz="1200">
              <a:solidFill>
                <a:schemeClr val="tx1"/>
              </a:solidFill>
            </a:rPr>
            <a:t>АСУ</a:t>
          </a:r>
          <a:r>
            <a:rPr lang="en-US" sz="1200">
              <a:solidFill>
                <a:schemeClr val="tx1"/>
              </a:solidFill>
            </a:rPr>
            <a:t> </a:t>
          </a:r>
          <a:r>
            <a:rPr lang="ru-RU" sz="1200">
              <a:solidFill>
                <a:schemeClr val="tx1"/>
              </a:solidFill>
            </a:rPr>
            <a:t>ТП</a:t>
          </a:r>
        </a:p>
      </xdr:txBody>
    </xdr:sp>
    <xdr:clientData/>
  </xdr:twoCellAnchor>
  <xdr:twoCellAnchor editAs="absolute">
    <xdr:from>
      <xdr:col>0</xdr:col>
      <xdr:colOff>1047748</xdr:colOff>
      <xdr:row>5</xdr:row>
      <xdr:rowOff>11909</xdr:rowOff>
    </xdr:from>
    <xdr:to>
      <xdr:col>0</xdr:col>
      <xdr:colOff>1407748</xdr:colOff>
      <xdr:row>6</xdr:row>
      <xdr:rowOff>181409</xdr:rowOff>
    </xdr:to>
    <xdr:pic macro="[0]!Расчёт_INFINITY_HISTORY">
      <xdr:nvPicPr>
        <xdr:cNvPr id="25" name="Рисунок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47748" y="2512222"/>
          <a:ext cx="360000" cy="360000"/>
        </a:xfrm>
        <a:prstGeom prst="rect">
          <a:avLst/>
        </a:prstGeom>
      </xdr:spPr>
    </xdr:pic>
    <xdr:clientData/>
  </xdr:twoCellAnchor>
  <xdr:twoCellAnchor editAs="absolute">
    <xdr:from>
      <xdr:col>0</xdr:col>
      <xdr:colOff>1059654</xdr:colOff>
      <xdr:row>8</xdr:row>
      <xdr:rowOff>15155</xdr:rowOff>
    </xdr:from>
    <xdr:to>
      <xdr:col>0</xdr:col>
      <xdr:colOff>1419654</xdr:colOff>
      <xdr:row>9</xdr:row>
      <xdr:rowOff>184655</xdr:rowOff>
    </xdr:to>
    <xdr:pic macro="[0]!Расчёт_INFINITY_TRENDS">
      <xdr:nvPicPr>
        <xdr:cNvPr id="26" name="Рисунок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59654" y="3086968"/>
          <a:ext cx="360000" cy="360000"/>
        </a:xfrm>
        <a:prstGeom prst="rect">
          <a:avLst/>
        </a:prstGeom>
      </xdr:spPr>
    </xdr:pic>
    <xdr:clientData/>
  </xdr:twoCellAnchor>
  <xdr:twoCellAnchor editAs="absolute">
    <xdr:from>
      <xdr:col>0</xdr:col>
      <xdr:colOff>973931</xdr:colOff>
      <xdr:row>13</xdr:row>
      <xdr:rowOff>155650</xdr:rowOff>
    </xdr:from>
    <xdr:to>
      <xdr:col>0</xdr:col>
      <xdr:colOff>1413286</xdr:colOff>
      <xdr:row>16</xdr:row>
      <xdr:rowOff>0</xdr:rowOff>
    </xdr:to>
    <xdr:pic macro="[0]!Расчёт_TREI_входа">
      <xdr:nvPicPr>
        <xdr:cNvPr id="54" name="Рисунок 53">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73931" y="4179963"/>
          <a:ext cx="439355" cy="418680"/>
        </a:xfrm>
        <a:prstGeom prst="rect">
          <a:avLst/>
        </a:prstGeom>
      </xdr:spPr>
    </xdr:pic>
    <xdr:clientData/>
  </xdr:twoCellAnchor>
  <xdr:twoCellAnchor editAs="absolute">
    <xdr:from>
      <xdr:col>0</xdr:col>
      <xdr:colOff>961347</xdr:colOff>
      <xdr:row>16</xdr:row>
      <xdr:rowOff>156517</xdr:rowOff>
    </xdr:from>
    <xdr:to>
      <xdr:col>0</xdr:col>
      <xdr:colOff>1400702</xdr:colOff>
      <xdr:row>19</xdr:row>
      <xdr:rowOff>0</xdr:rowOff>
    </xdr:to>
    <xdr:pic macro="[0]!Расчёт_TREI_выхода">
      <xdr:nvPicPr>
        <xdr:cNvPr id="55" name="Рисунок 54">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61347" y="4755731"/>
          <a:ext cx="439355" cy="418680"/>
        </a:xfrm>
        <a:prstGeom prst="rect">
          <a:avLst/>
        </a:prstGeom>
      </xdr:spPr>
    </xdr:pic>
    <xdr:clientData/>
  </xdr:twoCellAnchor>
  <xdr:twoCellAnchor editAs="absolute">
    <xdr:from>
      <xdr:col>0</xdr:col>
      <xdr:colOff>976316</xdr:colOff>
      <xdr:row>19</xdr:row>
      <xdr:rowOff>146344</xdr:rowOff>
    </xdr:from>
    <xdr:to>
      <xdr:col>0</xdr:col>
      <xdr:colOff>1420433</xdr:colOff>
      <xdr:row>21</xdr:row>
      <xdr:rowOff>184024</xdr:rowOff>
    </xdr:to>
    <xdr:pic macro="[0]!Расчёт_TREI_упаковка_регистров">
      <xdr:nvPicPr>
        <xdr:cNvPr id="56" name="Рисунок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76316" y="5313657"/>
          <a:ext cx="444117" cy="418680"/>
        </a:xfrm>
        <a:prstGeom prst="rect">
          <a:avLst/>
        </a:prstGeom>
      </xdr:spPr>
    </xdr:pic>
    <xdr:clientData/>
  </xdr:twoCellAnchor>
  <xdr:twoCellAnchor editAs="absolute">
    <xdr:from>
      <xdr:col>0</xdr:col>
      <xdr:colOff>989241</xdr:colOff>
      <xdr:row>25</xdr:row>
      <xdr:rowOff>170806</xdr:rowOff>
    </xdr:from>
    <xdr:to>
      <xdr:col>0</xdr:col>
      <xdr:colOff>1428596</xdr:colOff>
      <xdr:row>28</xdr:row>
      <xdr:rowOff>17986</xdr:rowOff>
    </xdr:to>
    <xdr:pic macro="Расчёт_TREI_метки_времени">
      <xdr:nvPicPr>
        <xdr:cNvPr id="58" name="Рисунок 57">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89241" y="6484520"/>
          <a:ext cx="439355" cy="418680"/>
        </a:xfrm>
        <a:prstGeom prst="rect">
          <a:avLst/>
        </a:prstGeom>
      </xdr:spPr>
    </xdr:pic>
    <xdr:clientData/>
  </xdr:twoCellAnchor>
  <xdr:twoCellAnchor editAs="absolute">
    <xdr:from>
      <xdr:col>0</xdr:col>
      <xdr:colOff>1003869</xdr:colOff>
      <xdr:row>28</xdr:row>
      <xdr:rowOff>175381</xdr:rowOff>
    </xdr:from>
    <xdr:to>
      <xdr:col>0</xdr:col>
      <xdr:colOff>1443224</xdr:colOff>
      <xdr:row>31</xdr:row>
      <xdr:rowOff>22561</xdr:rowOff>
    </xdr:to>
    <xdr:pic macro="Расчёт_TREI_ST_меток_времени">
      <xdr:nvPicPr>
        <xdr:cNvPr id="59" name="Рисунок 58">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03869" y="7060595"/>
          <a:ext cx="439355" cy="418680"/>
        </a:xfrm>
        <a:prstGeom prst="rect">
          <a:avLst/>
        </a:prstGeom>
      </xdr:spPr>
    </xdr:pic>
    <xdr:clientData/>
  </xdr:twoCellAnchor>
  <xdr:twoCellAnchor editAs="absolute">
    <xdr:from>
      <xdr:col>0</xdr:col>
      <xdr:colOff>109538</xdr:colOff>
      <xdr:row>52</xdr:row>
      <xdr:rowOff>81314</xdr:rowOff>
    </xdr:from>
    <xdr:to>
      <xdr:col>0</xdr:col>
      <xdr:colOff>1455938</xdr:colOff>
      <xdr:row>53</xdr:row>
      <xdr:rowOff>176565</xdr:rowOff>
    </xdr:to>
    <xdr:sp macro="АСУЭ_откл" textlink="">
      <xdr:nvSpPr>
        <xdr:cNvPr id="62" name="Прямоугольник 61">
          <a:extLst>
            <a:ext uri="{FF2B5EF4-FFF2-40B4-BE49-F238E27FC236}">
              <a16:creationId xmlns:a16="http://schemas.microsoft.com/office/drawing/2014/main" id="{00000000-0008-0000-0000-00003E000000}"/>
            </a:ext>
          </a:extLst>
        </xdr:cNvPr>
        <xdr:cNvSpPr>
          <a:spLocks/>
        </xdr:cNvSpPr>
      </xdr:nvSpPr>
      <xdr:spPr>
        <a:xfrm>
          <a:off x="109538" y="11539889"/>
          <a:ext cx="1346400" cy="285751"/>
        </a:xfrm>
        <a:prstGeom prst="rect">
          <a:avLst/>
        </a:prstGeom>
        <a:solidFill>
          <a:srgbClr val="96BC48"/>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ru-RU" sz="1200">
              <a:solidFill>
                <a:schemeClr val="tx1"/>
              </a:solidFill>
            </a:rPr>
            <a:t>АСУ</a:t>
          </a:r>
          <a:r>
            <a:rPr lang="en-US" sz="1200">
              <a:solidFill>
                <a:schemeClr val="tx1"/>
              </a:solidFill>
            </a:rPr>
            <a:t> </a:t>
          </a:r>
          <a:r>
            <a:rPr lang="ru-RU" sz="1200">
              <a:solidFill>
                <a:schemeClr val="tx1"/>
              </a:solidFill>
            </a:rPr>
            <a:t>ЭС</a:t>
          </a:r>
        </a:p>
      </xdr:txBody>
    </xdr:sp>
    <xdr:clientData/>
  </xdr:twoCellAnchor>
  <xdr:twoCellAnchor editAs="absolute">
    <xdr:from>
      <xdr:col>0</xdr:col>
      <xdr:colOff>107158</xdr:colOff>
      <xdr:row>54</xdr:row>
      <xdr:rowOff>55120</xdr:rowOff>
    </xdr:from>
    <xdr:to>
      <xdr:col>0</xdr:col>
      <xdr:colOff>1453558</xdr:colOff>
      <xdr:row>55</xdr:row>
      <xdr:rowOff>150371</xdr:rowOff>
    </xdr:to>
    <xdr:sp macro="АСПС_откл" textlink="">
      <xdr:nvSpPr>
        <xdr:cNvPr id="63" name="Прямоугольник 62">
          <a:extLst>
            <a:ext uri="{FF2B5EF4-FFF2-40B4-BE49-F238E27FC236}">
              <a16:creationId xmlns:a16="http://schemas.microsoft.com/office/drawing/2014/main" id="{00000000-0008-0000-0000-00003F000000}"/>
            </a:ext>
          </a:extLst>
        </xdr:cNvPr>
        <xdr:cNvSpPr>
          <a:spLocks/>
        </xdr:cNvSpPr>
      </xdr:nvSpPr>
      <xdr:spPr>
        <a:xfrm>
          <a:off x="107158" y="11894695"/>
          <a:ext cx="1346400" cy="285751"/>
        </a:xfrm>
        <a:prstGeom prst="rect">
          <a:avLst/>
        </a:prstGeom>
        <a:solidFill>
          <a:srgbClr val="96BC48"/>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ru-RU" sz="1200">
              <a:solidFill>
                <a:schemeClr val="tx1"/>
              </a:solidFill>
            </a:rPr>
            <a:t>АСПС</a:t>
          </a:r>
        </a:p>
      </xdr:txBody>
    </xdr:sp>
    <xdr:clientData/>
  </xdr:twoCellAnchor>
  <xdr:twoCellAnchor editAs="absolute">
    <xdr:from>
      <xdr:col>0</xdr:col>
      <xdr:colOff>1053170</xdr:colOff>
      <xdr:row>31</xdr:row>
      <xdr:rowOff>160203</xdr:rowOff>
    </xdr:from>
    <xdr:to>
      <xdr:col>0</xdr:col>
      <xdr:colOff>1404936</xdr:colOff>
      <xdr:row>33</xdr:row>
      <xdr:rowOff>130969</xdr:rowOff>
    </xdr:to>
    <xdr:pic macro="Расчёт_XML_метки_времени">
      <xdr:nvPicPr>
        <xdr:cNvPr id="34" name="Рисунок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53170" y="7613516"/>
          <a:ext cx="351766" cy="351766"/>
        </a:xfrm>
        <a:prstGeom prst="rect">
          <a:avLst/>
        </a:prstGeom>
      </xdr:spPr>
    </xdr:pic>
    <xdr:clientData/>
  </xdr:twoCellAnchor>
  <xdr:twoCellAnchor editAs="absolute">
    <xdr:from>
      <xdr:col>0</xdr:col>
      <xdr:colOff>1065706</xdr:colOff>
      <xdr:row>11</xdr:row>
      <xdr:rowOff>24191</xdr:rowOff>
    </xdr:from>
    <xdr:to>
      <xdr:col>0</xdr:col>
      <xdr:colOff>1433854</xdr:colOff>
      <xdr:row>13</xdr:row>
      <xdr:rowOff>11339</xdr:rowOff>
    </xdr:to>
    <xdr:pic macro="[0]!Расчёт_TREI">
      <xdr:nvPicPr>
        <xdr:cNvPr id="5" name="Рисунок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5706" y="3667504"/>
          <a:ext cx="368148" cy="368148"/>
        </a:xfrm>
        <a:prstGeom prst="rect">
          <a:avLst/>
        </a:prstGeom>
      </xdr:spPr>
    </xdr:pic>
    <xdr:clientData/>
  </xdr:twoCellAnchor>
  <xdr:twoCellAnchor editAs="absolute">
    <xdr:from>
      <xdr:col>0</xdr:col>
      <xdr:colOff>787896</xdr:colOff>
      <xdr:row>0</xdr:row>
      <xdr:rowOff>1344613</xdr:rowOff>
    </xdr:from>
    <xdr:to>
      <xdr:col>0</xdr:col>
      <xdr:colOff>1111896</xdr:colOff>
      <xdr:row>0</xdr:row>
      <xdr:rowOff>1668613</xdr:rowOff>
    </xdr:to>
    <xdr:pic macro="[0]!Скролл_вверх">
      <xdr:nvPicPr>
        <xdr:cNvPr id="24" name="Рисунок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87896" y="1344613"/>
          <a:ext cx="324000" cy="324000"/>
        </a:xfrm>
        <a:prstGeom prst="rect">
          <a:avLst/>
        </a:prstGeom>
      </xdr:spPr>
    </xdr:pic>
    <xdr:clientData/>
  </xdr:twoCellAnchor>
  <xdr:twoCellAnchor editAs="absolute">
    <xdr:from>
      <xdr:col>0</xdr:col>
      <xdr:colOff>1134597</xdr:colOff>
      <xdr:row>0</xdr:row>
      <xdr:rowOff>1344614</xdr:rowOff>
    </xdr:from>
    <xdr:to>
      <xdr:col>0</xdr:col>
      <xdr:colOff>1458597</xdr:colOff>
      <xdr:row>0</xdr:row>
      <xdr:rowOff>1668614</xdr:rowOff>
    </xdr:to>
    <xdr:pic macro="[0]!Скролл_вниз">
      <xdr:nvPicPr>
        <xdr:cNvPr id="29" name="Рисунок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34597" y="1344614"/>
          <a:ext cx="324000" cy="324000"/>
        </a:xfrm>
        <a:prstGeom prst="rect">
          <a:avLst/>
        </a:prstGeom>
      </xdr:spPr>
    </xdr:pic>
    <xdr:clientData/>
  </xdr:twoCellAnchor>
  <xdr:twoCellAnchor editAs="absolute">
    <xdr:from>
      <xdr:col>0</xdr:col>
      <xdr:colOff>1056084</xdr:colOff>
      <xdr:row>2</xdr:row>
      <xdr:rowOff>0</xdr:rowOff>
    </xdr:from>
    <xdr:to>
      <xdr:col>0</xdr:col>
      <xdr:colOff>1413272</xdr:colOff>
      <xdr:row>3</xdr:row>
      <xdr:rowOff>175023</xdr:rowOff>
    </xdr:to>
    <xdr:pic macro="[0]!Расчёт_INFINITY">
      <xdr:nvPicPr>
        <xdr:cNvPr id="44" name="Рисунок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56084" y="1941910"/>
          <a:ext cx="357188" cy="357188"/>
        </a:xfrm>
        <a:prstGeom prst="rect">
          <a:avLst/>
        </a:prstGeom>
      </xdr:spPr>
    </xdr:pic>
    <xdr:clientData/>
  </xdr:twoCellAnchor>
  <xdr:twoCellAnchor editAs="absolute">
    <xdr:from>
      <xdr:col>0</xdr:col>
      <xdr:colOff>1073945</xdr:colOff>
      <xdr:row>23</xdr:row>
      <xdr:rowOff>57150</xdr:rowOff>
    </xdr:from>
    <xdr:to>
      <xdr:col>0</xdr:col>
      <xdr:colOff>1421607</xdr:colOff>
      <xdr:row>25</xdr:row>
      <xdr:rowOff>23812</xdr:rowOff>
    </xdr:to>
    <xdr:pic macro="Расчёт_INFINITY_метки_времени">
      <xdr:nvPicPr>
        <xdr:cNvPr id="18" name="Рисунок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73945" y="5986463"/>
          <a:ext cx="347662" cy="347662"/>
        </a:xfrm>
        <a:prstGeom prst="rect">
          <a:avLst/>
        </a:prstGeom>
      </xdr:spPr>
    </xdr:pic>
    <xdr:clientData/>
  </xdr:twoCellAnchor>
  <xdr:twoCellAnchor editAs="absolute">
    <xdr:from>
      <xdr:col>0</xdr:col>
      <xdr:colOff>1028699</xdr:colOff>
      <xdr:row>44</xdr:row>
      <xdr:rowOff>123031</xdr:rowOff>
    </xdr:from>
    <xdr:to>
      <xdr:col>0</xdr:col>
      <xdr:colOff>1385886</xdr:colOff>
      <xdr:row>46</xdr:row>
      <xdr:rowOff>99218</xdr:rowOff>
    </xdr:to>
    <xdr:pic macro="[0]!Очистить_содержимое">
      <xdr:nvPicPr>
        <xdr:cNvPr id="19" name="Рисунок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28699" y="10057606"/>
          <a:ext cx="357187" cy="357187"/>
        </a:xfrm>
        <a:prstGeom prst="rect">
          <a:avLst/>
        </a:prstGeom>
      </xdr:spPr>
    </xdr:pic>
    <xdr:clientData/>
  </xdr:twoCellAnchor>
  <xdr:twoCellAnchor editAs="absolute">
    <xdr:from>
      <xdr:col>0</xdr:col>
      <xdr:colOff>1028699</xdr:colOff>
      <xdr:row>47</xdr:row>
      <xdr:rowOff>137103</xdr:rowOff>
    </xdr:from>
    <xdr:to>
      <xdr:col>0</xdr:col>
      <xdr:colOff>1392381</xdr:colOff>
      <xdr:row>49</xdr:row>
      <xdr:rowOff>119785</xdr:rowOff>
    </xdr:to>
    <xdr:pic macro="[0]!ОкноНастроек">
      <xdr:nvPicPr>
        <xdr:cNvPr id="20" name="Рисунок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28699" y="10643178"/>
          <a:ext cx="363682" cy="363682"/>
        </a:xfrm>
        <a:prstGeom prst="rect">
          <a:avLst/>
        </a:prstGeom>
      </xdr:spPr>
    </xdr:pic>
    <xdr:clientData/>
  </xdr:twoCellAnchor>
  <xdr:twoCellAnchor editAs="absolute">
    <xdr:from>
      <xdr:col>0</xdr:col>
      <xdr:colOff>87312</xdr:colOff>
      <xdr:row>0</xdr:row>
      <xdr:rowOff>1344613</xdr:rowOff>
    </xdr:from>
    <xdr:to>
      <xdr:col>0</xdr:col>
      <xdr:colOff>411312</xdr:colOff>
      <xdr:row>0</xdr:row>
      <xdr:rowOff>1668613</xdr:rowOff>
    </xdr:to>
    <xdr:pic macro="[0]!Полноэкранный_режим_откл">
      <xdr:nvPicPr>
        <xdr:cNvPr id="14" name="Рисунок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7312" y="1344613"/>
          <a:ext cx="324000" cy="324000"/>
        </a:xfrm>
        <a:prstGeom prst="rect">
          <a:avLst/>
        </a:prstGeom>
      </xdr:spPr>
    </xdr:pic>
    <xdr:clientData/>
  </xdr:twoCellAnchor>
  <xdr:twoCellAnchor editAs="absolute">
    <xdr:from>
      <xdr:col>0</xdr:col>
      <xdr:colOff>436564</xdr:colOff>
      <xdr:row>0</xdr:row>
      <xdr:rowOff>1344613</xdr:rowOff>
    </xdr:from>
    <xdr:to>
      <xdr:col>0</xdr:col>
      <xdr:colOff>760564</xdr:colOff>
      <xdr:row>0</xdr:row>
      <xdr:rowOff>1668613</xdr:rowOff>
    </xdr:to>
    <xdr:pic macro="[0]!Полноэкранный_режим_вкл">
      <xdr:nvPicPr>
        <xdr:cNvPr id="15" name="Рисунок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36564" y="1344613"/>
          <a:ext cx="324000" cy="324000"/>
        </a:xfrm>
        <a:prstGeom prst="rect">
          <a:avLst/>
        </a:prstGeom>
      </xdr:spPr>
    </xdr:pic>
    <xdr:clientData/>
  </xdr:twoCellAnchor>
  <xdr:twoCellAnchor editAs="absolute">
    <xdr:from>
      <xdr:col>0</xdr:col>
      <xdr:colOff>83343</xdr:colOff>
      <xdr:row>0</xdr:row>
      <xdr:rowOff>989578</xdr:rowOff>
    </xdr:from>
    <xdr:to>
      <xdr:col>0</xdr:col>
      <xdr:colOff>407343</xdr:colOff>
      <xdr:row>0</xdr:row>
      <xdr:rowOff>1313578</xdr:rowOff>
    </xdr:to>
    <xdr:pic macro="[0]!Сохранить_В_xmls_и_выйти">
      <xdr:nvPicPr>
        <xdr:cNvPr id="4" name="Рисунок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3343" y="989578"/>
          <a:ext cx="324000" cy="324000"/>
        </a:xfrm>
        <a:prstGeom prst="rect">
          <a:avLst/>
        </a:prstGeom>
      </xdr:spPr>
    </xdr:pic>
    <xdr:clientData/>
  </xdr:twoCellAnchor>
  <xdr:twoCellAnchor editAs="absolute">
    <xdr:from>
      <xdr:col>0</xdr:col>
      <xdr:colOff>789844</xdr:colOff>
      <xdr:row>0</xdr:row>
      <xdr:rowOff>991161</xdr:rowOff>
    </xdr:from>
    <xdr:to>
      <xdr:col>0</xdr:col>
      <xdr:colOff>1113844</xdr:colOff>
      <xdr:row>0</xdr:row>
      <xdr:rowOff>1315161</xdr:rowOff>
    </xdr:to>
    <xdr:pic macro="[0]!Обнулить_Фильтры">
      <xdr:nvPicPr>
        <xdr:cNvPr id="6" name="Рисунок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89844" y="991161"/>
          <a:ext cx="324000" cy="324000"/>
        </a:xfrm>
        <a:prstGeom prst="rect">
          <a:avLst/>
        </a:prstGeom>
      </xdr:spPr>
    </xdr:pic>
    <xdr:clientData/>
  </xdr:twoCellAnchor>
  <xdr:twoCellAnchor editAs="absolute">
    <xdr:from>
      <xdr:col>0</xdr:col>
      <xdr:colOff>436317</xdr:colOff>
      <xdr:row>0</xdr:row>
      <xdr:rowOff>990599</xdr:rowOff>
    </xdr:from>
    <xdr:to>
      <xdr:col>0</xdr:col>
      <xdr:colOff>760317</xdr:colOff>
      <xdr:row>0</xdr:row>
      <xdr:rowOff>1314599</xdr:rowOff>
    </xdr:to>
    <xdr:pic macro="[0]!Сохранить_В_xmls">
      <xdr:nvPicPr>
        <xdr:cNvPr id="7" name="Рисунок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36317" y="990599"/>
          <a:ext cx="324000" cy="324000"/>
        </a:xfrm>
        <a:prstGeom prst="rect">
          <a:avLst/>
        </a:prstGeom>
      </xdr:spPr>
    </xdr:pic>
    <xdr:clientData/>
  </xdr:twoCellAnchor>
  <xdr:twoCellAnchor editAs="oneCell">
    <xdr:from>
      <xdr:col>0</xdr:col>
      <xdr:colOff>55939</xdr:colOff>
      <xdr:row>0</xdr:row>
      <xdr:rowOff>78213</xdr:rowOff>
    </xdr:from>
    <xdr:to>
      <xdr:col>0</xdr:col>
      <xdr:colOff>1447380</xdr:colOff>
      <xdr:row>0</xdr:row>
      <xdr:rowOff>762000</xdr:rowOff>
    </xdr:to>
    <xdr:pic macro="[0]!ПустойМакрос">
      <xdr:nvPicPr>
        <xdr:cNvPr id="11" name="Рисунок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5939" y="78213"/>
          <a:ext cx="1391441" cy="683787"/>
        </a:xfrm>
        <a:prstGeom prst="rect">
          <a:avLst/>
        </a:prstGeom>
      </xdr:spPr>
    </xdr:pic>
    <xdr:clientData/>
  </xdr:twoCellAnchor>
  <xdr:twoCellAnchor editAs="absolute">
    <xdr:from>
      <xdr:col>0</xdr:col>
      <xdr:colOff>111126</xdr:colOff>
      <xdr:row>34</xdr:row>
      <xdr:rowOff>170656</xdr:rowOff>
    </xdr:from>
    <xdr:to>
      <xdr:col>0</xdr:col>
      <xdr:colOff>1446726</xdr:colOff>
      <xdr:row>37</xdr:row>
      <xdr:rowOff>148222</xdr:rowOff>
    </xdr:to>
    <xdr:sp macro="Расчёт_XML_буферизация" textlink="">
      <xdr:nvSpPr>
        <xdr:cNvPr id="57" name="Прямоугольник 56">
          <a:extLst>
            <a:ext uri="{FF2B5EF4-FFF2-40B4-BE49-F238E27FC236}">
              <a16:creationId xmlns:a16="http://schemas.microsoft.com/office/drawing/2014/main" id="{00000000-0008-0000-0000-000039000000}"/>
            </a:ext>
          </a:extLst>
        </xdr:cNvPr>
        <xdr:cNvSpPr/>
      </xdr:nvSpPr>
      <xdr:spPr>
        <a:xfrm>
          <a:off x="111126" y="8195469"/>
          <a:ext cx="1335600" cy="549066"/>
        </a:xfrm>
        <a:prstGeom prst="rect">
          <a:avLst/>
        </a:prstGeom>
        <a:solidFill>
          <a:srgbClr val="37ACCB"/>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l"/>
          <a:r>
            <a:rPr lang="ru-RU" sz="1000" b="0" cap="none" spc="0">
              <a:ln w="0"/>
              <a:solidFill>
                <a:schemeClr val="tx1"/>
              </a:solidFill>
              <a:effectLst/>
              <a:latin typeface="+mn-lt"/>
            </a:rPr>
            <a:t>Расчёт</a:t>
          </a:r>
          <a:r>
            <a:rPr lang="en-US" sz="1000" b="0" cap="none" spc="0" baseline="0">
              <a:ln w="0"/>
              <a:solidFill>
                <a:schemeClr val="tx1"/>
              </a:solidFill>
              <a:effectLst/>
              <a:latin typeface="+mn-lt"/>
            </a:rPr>
            <a:t> XML</a:t>
          </a:r>
        </a:p>
        <a:p>
          <a:pPr algn="l"/>
          <a:r>
            <a:rPr lang="ru-RU" sz="1000" b="0" cap="none" spc="0" baseline="0">
              <a:ln w="0"/>
              <a:solidFill>
                <a:schemeClr val="tx1"/>
              </a:solidFill>
              <a:effectLst/>
              <a:latin typeface="+mn-lt"/>
            </a:rPr>
            <a:t>буферизация</a:t>
          </a:r>
          <a:endParaRPr lang="ru-RU" sz="1000" b="0" cap="none" spc="0">
            <a:ln w="0"/>
            <a:solidFill>
              <a:schemeClr val="tx1"/>
            </a:solidFill>
            <a:effectLst/>
            <a:latin typeface="+mn-lt"/>
          </a:endParaRPr>
        </a:p>
      </xdr:txBody>
    </xdr:sp>
    <xdr:clientData/>
  </xdr:twoCellAnchor>
  <xdr:twoCellAnchor editAs="absolute">
    <xdr:from>
      <xdr:col>0</xdr:col>
      <xdr:colOff>1028698</xdr:colOff>
      <xdr:row>41</xdr:row>
      <xdr:rowOff>116227</xdr:rowOff>
    </xdr:from>
    <xdr:to>
      <xdr:col>0</xdr:col>
      <xdr:colOff>1382484</xdr:colOff>
      <xdr:row>43</xdr:row>
      <xdr:rowOff>89013</xdr:rowOff>
    </xdr:to>
    <xdr:pic macro="[0]!Импортировать_данные">
      <xdr:nvPicPr>
        <xdr:cNvPr id="16" name="Рисунок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028698" y="9479302"/>
          <a:ext cx="353786" cy="353786"/>
        </a:xfrm>
        <a:prstGeom prst="rect">
          <a:avLst/>
        </a:prstGeom>
      </xdr:spPr>
    </xdr:pic>
    <xdr:clientData/>
  </xdr:twoCellAnchor>
  <xdr:twoCellAnchor editAs="absolute">
    <xdr:from>
      <xdr:col>0</xdr:col>
      <xdr:colOff>1053171</xdr:colOff>
      <xdr:row>34</xdr:row>
      <xdr:rowOff>144328</xdr:rowOff>
    </xdr:from>
    <xdr:to>
      <xdr:col>0</xdr:col>
      <xdr:colOff>1404937</xdr:colOff>
      <xdr:row>36</xdr:row>
      <xdr:rowOff>115094</xdr:rowOff>
    </xdr:to>
    <xdr:pic macro="Расчёт_XML_буферизация">
      <xdr:nvPicPr>
        <xdr:cNvPr id="60" name="Рисунок 59">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53171" y="8169141"/>
          <a:ext cx="351766" cy="351766"/>
        </a:xfrm>
        <a:prstGeom prst="rect">
          <a:avLst/>
        </a:prstGeom>
      </xdr:spPr>
    </xdr:pic>
    <xdr:clientData/>
  </xdr:twoCellAnchor>
  <xdr:twoCellAnchor editAs="absolute">
    <xdr:from>
      <xdr:col>0</xdr:col>
      <xdr:colOff>103911</xdr:colOff>
      <xdr:row>56</xdr:row>
      <xdr:rowOff>30585</xdr:rowOff>
    </xdr:from>
    <xdr:to>
      <xdr:col>0</xdr:col>
      <xdr:colOff>1450311</xdr:colOff>
      <xdr:row>57</xdr:row>
      <xdr:rowOff>125836</xdr:rowOff>
    </xdr:to>
    <xdr:sp macro="Буферизация_откл" textlink="">
      <xdr:nvSpPr>
        <xdr:cNvPr id="61" name="Прямоугольник 60">
          <a:extLst>
            <a:ext uri="{FF2B5EF4-FFF2-40B4-BE49-F238E27FC236}">
              <a16:creationId xmlns:a16="http://schemas.microsoft.com/office/drawing/2014/main" id="{7B3F4137-F769-4448-A778-CBB919B1A739}"/>
            </a:ext>
          </a:extLst>
        </xdr:cNvPr>
        <xdr:cNvSpPr>
          <a:spLocks/>
        </xdr:cNvSpPr>
      </xdr:nvSpPr>
      <xdr:spPr>
        <a:xfrm>
          <a:off x="103911" y="12251160"/>
          <a:ext cx="1346400" cy="285751"/>
        </a:xfrm>
        <a:prstGeom prst="rect">
          <a:avLst/>
        </a:prstGeom>
        <a:solidFill>
          <a:srgbClr val="96BC48"/>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ru-RU" sz="1200">
              <a:solidFill>
                <a:schemeClr val="tx1"/>
              </a:solidFill>
            </a:rPr>
            <a:t>Буферизация</a:t>
          </a:r>
        </a:p>
      </xdr:txBody>
    </xdr:sp>
    <xdr:clientData/>
  </xdr:twoCellAnchor>
  <xdr:twoCellAnchor editAs="absolute">
    <xdr:from>
      <xdr:col>0</xdr:col>
      <xdr:colOff>109538</xdr:colOff>
      <xdr:row>37</xdr:row>
      <xdr:rowOff>184506</xdr:rowOff>
    </xdr:from>
    <xdr:to>
      <xdr:col>0</xdr:col>
      <xdr:colOff>1445138</xdr:colOff>
      <xdr:row>40</xdr:row>
      <xdr:rowOff>162072</xdr:rowOff>
    </xdr:to>
    <xdr:sp macro="[0]!ОкноКонтрольныхСумм" textlink="">
      <xdr:nvSpPr>
        <xdr:cNvPr id="65" name="Прямоугольник 64">
          <a:extLst>
            <a:ext uri="{FF2B5EF4-FFF2-40B4-BE49-F238E27FC236}">
              <a16:creationId xmlns:a16="http://schemas.microsoft.com/office/drawing/2014/main" id="{4117CE98-BE74-401C-B360-0C7F5B208DEF}"/>
            </a:ext>
          </a:extLst>
        </xdr:cNvPr>
        <xdr:cNvSpPr/>
      </xdr:nvSpPr>
      <xdr:spPr>
        <a:xfrm>
          <a:off x="109538" y="8785581"/>
          <a:ext cx="1335600" cy="549066"/>
        </a:xfrm>
        <a:prstGeom prst="rect">
          <a:avLst/>
        </a:prstGeom>
        <a:solidFill>
          <a:srgbClr val="37ACCB"/>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r>
            <a:rPr lang="ru-RU" sz="1000">
              <a:solidFill>
                <a:sysClr val="windowText" lastClr="000000"/>
              </a:solidFill>
              <a:effectLst/>
              <a:latin typeface="+mn-lt"/>
              <a:ea typeface="+mn-ea"/>
              <a:cs typeface="+mn-cs"/>
            </a:rPr>
            <a:t>Контрольные</a:t>
          </a:r>
          <a:endParaRPr lang="en-US" sz="1000">
            <a:solidFill>
              <a:sysClr val="windowText" lastClr="000000"/>
            </a:solidFill>
            <a:effectLst/>
            <a:latin typeface="+mn-lt"/>
            <a:ea typeface="+mn-ea"/>
            <a:cs typeface="+mn-cs"/>
          </a:endParaRPr>
        </a:p>
        <a:p>
          <a:r>
            <a:rPr lang="ru-RU" sz="1000" baseline="0">
              <a:solidFill>
                <a:sysClr val="windowText" lastClr="000000"/>
              </a:solidFill>
              <a:effectLst/>
              <a:latin typeface="+mn-lt"/>
              <a:ea typeface="+mn-ea"/>
              <a:cs typeface="+mn-cs"/>
            </a:rPr>
            <a:t>суммы </a:t>
          </a:r>
          <a:r>
            <a:rPr lang="en-US" sz="1000" baseline="0">
              <a:solidFill>
                <a:sysClr val="windowText" lastClr="000000"/>
              </a:solidFill>
              <a:effectLst/>
              <a:latin typeface="+mn-lt"/>
              <a:ea typeface="+mn-ea"/>
              <a:cs typeface="+mn-cs"/>
            </a:rPr>
            <a:t>Infinity</a:t>
          </a:r>
          <a:endParaRPr lang="ru-RU" sz="1000">
            <a:solidFill>
              <a:sysClr val="windowText" lastClr="000000"/>
            </a:solidFill>
            <a:effectLst/>
          </a:endParaRPr>
        </a:p>
      </xdr:txBody>
    </xdr:sp>
    <xdr:clientData/>
  </xdr:twoCellAnchor>
  <xdr:twoCellAnchor editAs="absolute">
    <xdr:from>
      <xdr:col>0</xdr:col>
      <xdr:colOff>1049883</xdr:colOff>
      <xdr:row>37</xdr:row>
      <xdr:rowOff>166687</xdr:rowOff>
    </xdr:from>
    <xdr:to>
      <xdr:col>0</xdr:col>
      <xdr:colOff>1401649</xdr:colOff>
      <xdr:row>39</xdr:row>
      <xdr:rowOff>137453</xdr:rowOff>
    </xdr:to>
    <xdr:pic macro="[0]!ОкноКонтрольныхСумм">
      <xdr:nvPicPr>
        <xdr:cNvPr id="66" name="Рисунок 65">
          <a:extLst>
            <a:ext uri="{FF2B5EF4-FFF2-40B4-BE49-F238E27FC236}">
              <a16:creationId xmlns:a16="http://schemas.microsoft.com/office/drawing/2014/main" id="{18052E8C-8169-4D6B-ACFD-3E42A8BBFD2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49883" y="8767762"/>
          <a:ext cx="351766" cy="3517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47626</xdr:colOff>
      <xdr:row>2</xdr:row>
      <xdr:rowOff>59532</xdr:rowOff>
    </xdr:from>
    <xdr:to>
      <xdr:col>3</xdr:col>
      <xdr:colOff>1633538</xdr:colOff>
      <xdr:row>9</xdr:row>
      <xdr:rowOff>11907</xdr:rowOff>
    </xdr:to>
    <xdr:sp macro="[0]!ПустойМакрос" textlink="">
      <xdr:nvSpPr>
        <xdr:cNvPr id="2" name="Блок-схема: процесс 1">
          <a:extLst>
            <a:ext uri="{FF2B5EF4-FFF2-40B4-BE49-F238E27FC236}">
              <a16:creationId xmlns:a16="http://schemas.microsoft.com/office/drawing/2014/main" id="{00000000-0008-0000-0100-000002000000}"/>
            </a:ext>
          </a:extLst>
        </xdr:cNvPr>
        <xdr:cNvSpPr/>
      </xdr:nvSpPr>
      <xdr:spPr>
        <a:xfrm>
          <a:off x="4917282" y="440532"/>
          <a:ext cx="1585912" cy="1285875"/>
        </a:xfrm>
        <a:prstGeom prst="flowChartProcess">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endParaRPr lang="ru-RU" sz="1600"/>
        </a:p>
      </xdr:txBody>
    </xdr:sp>
    <xdr:clientData/>
  </xdr:twoCellAnchor>
  <xdr:twoCellAnchor>
    <xdr:from>
      <xdr:col>3</xdr:col>
      <xdr:colOff>114301</xdr:colOff>
      <xdr:row>2</xdr:row>
      <xdr:rowOff>126206</xdr:rowOff>
    </xdr:from>
    <xdr:to>
      <xdr:col>3</xdr:col>
      <xdr:colOff>1567538</xdr:colOff>
      <xdr:row>5</xdr:row>
      <xdr:rowOff>94706</xdr:rowOff>
    </xdr:to>
    <xdr:sp macro="[0]!Перейти_на_экран_таблица" textlink="">
      <xdr:nvSpPr>
        <xdr:cNvPr id="3" name="Прямоугольник 2">
          <a:extLst>
            <a:ext uri="{FF2B5EF4-FFF2-40B4-BE49-F238E27FC236}">
              <a16:creationId xmlns:a16="http://schemas.microsoft.com/office/drawing/2014/main" id="{00000000-0008-0000-0100-000003000000}"/>
            </a:ext>
          </a:extLst>
        </xdr:cNvPr>
        <xdr:cNvSpPr/>
      </xdr:nvSpPr>
      <xdr:spPr>
        <a:xfrm>
          <a:off x="4983957" y="507206"/>
          <a:ext cx="1453237" cy="540000"/>
        </a:xfrm>
        <a:prstGeom prst="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ru-RU" sz="1000" baseline="0"/>
            <a:t>Перейти на "Таблица"</a:t>
          </a:r>
        </a:p>
      </xdr:txBody>
    </xdr:sp>
    <xdr:clientData/>
  </xdr:twoCellAnchor>
  <xdr:twoCellAnchor>
    <xdr:from>
      <xdr:col>3</xdr:col>
      <xdr:colOff>119063</xdr:colOff>
      <xdr:row>5</xdr:row>
      <xdr:rowOff>154783</xdr:rowOff>
    </xdr:from>
    <xdr:to>
      <xdr:col>3</xdr:col>
      <xdr:colOff>1572301</xdr:colOff>
      <xdr:row>8</xdr:row>
      <xdr:rowOff>123283</xdr:rowOff>
    </xdr:to>
    <xdr:sp macro="[0]!Расчёт_TREI_диагностика" textlink="">
      <xdr:nvSpPr>
        <xdr:cNvPr id="4" name="Прямоугольник 3">
          <a:extLst>
            <a:ext uri="{FF2B5EF4-FFF2-40B4-BE49-F238E27FC236}">
              <a16:creationId xmlns:a16="http://schemas.microsoft.com/office/drawing/2014/main" id="{00000000-0008-0000-0100-000004000000}"/>
            </a:ext>
          </a:extLst>
        </xdr:cNvPr>
        <xdr:cNvSpPr/>
      </xdr:nvSpPr>
      <xdr:spPr>
        <a:xfrm>
          <a:off x="4988719" y="1107283"/>
          <a:ext cx="1453238" cy="540000"/>
        </a:xfrm>
        <a:prstGeom prst="rect">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ru-RU" sz="1400" baseline="0"/>
            <a:t>Расчёт тегов </a:t>
          </a:r>
          <a:r>
            <a:rPr lang="en-US" sz="1400" baseline="0"/>
            <a:t>TREI</a:t>
          </a:r>
          <a:endParaRPr lang="ru-RU" sz="1400" baseline="0"/>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142875</xdr:colOff>
      <xdr:row>0</xdr:row>
      <xdr:rowOff>71437</xdr:rowOff>
    </xdr:from>
    <xdr:to>
      <xdr:col>4</xdr:col>
      <xdr:colOff>1733550</xdr:colOff>
      <xdr:row>7</xdr:row>
      <xdr:rowOff>23812</xdr:rowOff>
    </xdr:to>
    <xdr:sp macro="[0]!ПустойМакрос" textlink="">
      <xdr:nvSpPr>
        <xdr:cNvPr id="7" name="Блок-схема: процесс 6">
          <a:extLst>
            <a:ext uri="{FF2B5EF4-FFF2-40B4-BE49-F238E27FC236}">
              <a16:creationId xmlns:a16="http://schemas.microsoft.com/office/drawing/2014/main" id="{00000000-0008-0000-0200-000007000000}"/>
            </a:ext>
          </a:extLst>
        </xdr:cNvPr>
        <xdr:cNvSpPr/>
      </xdr:nvSpPr>
      <xdr:spPr>
        <a:xfrm>
          <a:off x="7858125" y="71437"/>
          <a:ext cx="1590675" cy="1285875"/>
        </a:xfrm>
        <a:prstGeom prst="flowChartProcess">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endParaRPr lang="ru-RU" sz="1600"/>
        </a:p>
      </xdr:txBody>
    </xdr:sp>
    <xdr:clientData fPrintsWithSheet="0"/>
  </xdr:twoCellAnchor>
  <xdr:twoCellAnchor editAs="absolute">
    <xdr:from>
      <xdr:col>4</xdr:col>
      <xdr:colOff>209550</xdr:colOff>
      <xdr:row>0</xdr:row>
      <xdr:rowOff>128586</xdr:rowOff>
    </xdr:from>
    <xdr:to>
      <xdr:col>4</xdr:col>
      <xdr:colOff>1667550</xdr:colOff>
      <xdr:row>3</xdr:row>
      <xdr:rowOff>97086</xdr:rowOff>
    </xdr:to>
    <xdr:sp macro="[0]!Сохранить_Лист_В_csv_INFINITY" textlink="">
      <xdr:nvSpPr>
        <xdr:cNvPr id="8" name="Прямоугольник 7">
          <a:extLst>
            <a:ext uri="{FF2B5EF4-FFF2-40B4-BE49-F238E27FC236}">
              <a16:creationId xmlns:a16="http://schemas.microsoft.com/office/drawing/2014/main" id="{00000000-0008-0000-0200-000008000000}"/>
            </a:ext>
          </a:extLst>
        </xdr:cNvPr>
        <xdr:cNvSpPr/>
      </xdr:nvSpPr>
      <xdr:spPr>
        <a:xfrm>
          <a:off x="7924800" y="128586"/>
          <a:ext cx="1458000" cy="540000"/>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ru-RU" sz="1400"/>
            <a:t>Сохранить</a:t>
          </a:r>
          <a:r>
            <a:rPr lang="en-US" sz="1400"/>
            <a:t> </a:t>
          </a:r>
          <a:r>
            <a:rPr lang="ru-RU" sz="1400"/>
            <a:t>расчёт в </a:t>
          </a:r>
          <a:r>
            <a:rPr lang="en-US" sz="1400"/>
            <a:t>CSV</a:t>
          </a:r>
          <a:endParaRPr lang="ru-RU" sz="1400"/>
        </a:p>
      </xdr:txBody>
    </xdr:sp>
    <xdr:clientData fPrintsWithSheet="0"/>
  </xdr:twoCellAnchor>
  <xdr:twoCellAnchor editAs="absolute">
    <xdr:from>
      <xdr:col>4</xdr:col>
      <xdr:colOff>209550</xdr:colOff>
      <xdr:row>3</xdr:row>
      <xdr:rowOff>154780</xdr:rowOff>
    </xdr:from>
    <xdr:to>
      <xdr:col>4</xdr:col>
      <xdr:colOff>1667550</xdr:colOff>
      <xdr:row>6</xdr:row>
      <xdr:rowOff>123280</xdr:rowOff>
    </xdr:to>
    <xdr:sp macro="[0]!Перейти_на_экран_таблица" textlink="">
      <xdr:nvSpPr>
        <xdr:cNvPr id="9" name="Прямоугольник 8">
          <a:extLst>
            <a:ext uri="{FF2B5EF4-FFF2-40B4-BE49-F238E27FC236}">
              <a16:creationId xmlns:a16="http://schemas.microsoft.com/office/drawing/2014/main" id="{00000000-0008-0000-0200-000009000000}"/>
            </a:ext>
          </a:extLst>
        </xdr:cNvPr>
        <xdr:cNvSpPr/>
      </xdr:nvSpPr>
      <xdr:spPr>
        <a:xfrm>
          <a:off x="7924800" y="726280"/>
          <a:ext cx="1458000" cy="540000"/>
        </a:xfrm>
        <a:prstGeom prst="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ru-RU" sz="1000" baseline="0"/>
            <a:t>Перейти на "Таблица"</a:t>
          </a: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4</xdr:col>
      <xdr:colOff>57150</xdr:colOff>
      <xdr:row>0</xdr:row>
      <xdr:rowOff>57150</xdr:rowOff>
    </xdr:from>
    <xdr:to>
      <xdr:col>6</xdr:col>
      <xdr:colOff>428625</xdr:colOff>
      <xdr:row>6</xdr:row>
      <xdr:rowOff>190499</xdr:rowOff>
    </xdr:to>
    <xdr:sp macro="[0]!ПустойМакрос" textlink="">
      <xdr:nvSpPr>
        <xdr:cNvPr id="6" name="Блок-схема: процесс 5">
          <a:extLst>
            <a:ext uri="{FF2B5EF4-FFF2-40B4-BE49-F238E27FC236}">
              <a16:creationId xmlns:a16="http://schemas.microsoft.com/office/drawing/2014/main" id="{00000000-0008-0000-0300-000006000000}"/>
            </a:ext>
          </a:extLst>
        </xdr:cNvPr>
        <xdr:cNvSpPr/>
      </xdr:nvSpPr>
      <xdr:spPr>
        <a:xfrm>
          <a:off x="7781925" y="57150"/>
          <a:ext cx="1590675" cy="1276349"/>
        </a:xfrm>
        <a:prstGeom prst="flowChartProcess">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endParaRPr lang="ru-RU" sz="1600"/>
        </a:p>
      </xdr:txBody>
    </xdr:sp>
    <xdr:clientData/>
  </xdr:twoCellAnchor>
  <xdr:twoCellAnchor>
    <xdr:from>
      <xdr:col>4</xdr:col>
      <xdr:colOff>123825</xdr:colOff>
      <xdr:row>0</xdr:row>
      <xdr:rowOff>123825</xdr:rowOff>
    </xdr:from>
    <xdr:to>
      <xdr:col>6</xdr:col>
      <xdr:colOff>362625</xdr:colOff>
      <xdr:row>3</xdr:row>
      <xdr:rowOff>92325</xdr:rowOff>
    </xdr:to>
    <xdr:sp macro="[0]!Сохранить_Лист_В_csv_INFINITY_HISTORY" textlink="">
      <xdr:nvSpPr>
        <xdr:cNvPr id="3" name="Прямоугольник 2">
          <a:extLst>
            <a:ext uri="{FF2B5EF4-FFF2-40B4-BE49-F238E27FC236}">
              <a16:creationId xmlns:a16="http://schemas.microsoft.com/office/drawing/2014/main" id="{00000000-0008-0000-0300-000003000000}"/>
            </a:ext>
          </a:extLst>
        </xdr:cNvPr>
        <xdr:cNvSpPr/>
      </xdr:nvSpPr>
      <xdr:spPr>
        <a:xfrm>
          <a:off x="7848600" y="123825"/>
          <a:ext cx="1458000" cy="540000"/>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ru-RU" sz="1400"/>
            <a:t>Сохранить</a:t>
          </a:r>
          <a:r>
            <a:rPr lang="en-US" sz="1400"/>
            <a:t> </a:t>
          </a:r>
          <a:r>
            <a:rPr lang="ru-RU" sz="1400"/>
            <a:t>расчёт в </a:t>
          </a:r>
          <a:r>
            <a:rPr lang="en-US" sz="1400"/>
            <a:t>CSV</a:t>
          </a:r>
          <a:endParaRPr lang="ru-RU" sz="1400"/>
        </a:p>
      </xdr:txBody>
    </xdr:sp>
    <xdr:clientData/>
  </xdr:twoCellAnchor>
  <xdr:twoCellAnchor>
    <xdr:from>
      <xdr:col>4</xdr:col>
      <xdr:colOff>123825</xdr:colOff>
      <xdr:row>3</xdr:row>
      <xdr:rowOff>152399</xdr:rowOff>
    </xdr:from>
    <xdr:to>
      <xdr:col>6</xdr:col>
      <xdr:colOff>362625</xdr:colOff>
      <xdr:row>6</xdr:row>
      <xdr:rowOff>120899</xdr:rowOff>
    </xdr:to>
    <xdr:sp macro="[0]!Перейти_на_экран_таблица" textlink="">
      <xdr:nvSpPr>
        <xdr:cNvPr id="8" name="Прямоугольник 7">
          <a:extLst>
            <a:ext uri="{FF2B5EF4-FFF2-40B4-BE49-F238E27FC236}">
              <a16:creationId xmlns:a16="http://schemas.microsoft.com/office/drawing/2014/main" id="{00000000-0008-0000-0300-000008000000}"/>
            </a:ext>
          </a:extLst>
        </xdr:cNvPr>
        <xdr:cNvSpPr/>
      </xdr:nvSpPr>
      <xdr:spPr>
        <a:xfrm>
          <a:off x="7848600" y="723899"/>
          <a:ext cx="1458000" cy="540000"/>
        </a:xfrm>
        <a:prstGeom prst="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ru-RU" sz="1000" baseline="0"/>
            <a:t>Перейти на "Таблица"</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59531</xdr:colOff>
      <xdr:row>0</xdr:row>
      <xdr:rowOff>47625</xdr:rowOff>
    </xdr:from>
    <xdr:to>
      <xdr:col>7</xdr:col>
      <xdr:colOff>431007</xdr:colOff>
      <xdr:row>6</xdr:row>
      <xdr:rowOff>180974</xdr:rowOff>
    </xdr:to>
    <xdr:sp macro="[0]!ПустойМакрос" textlink="">
      <xdr:nvSpPr>
        <xdr:cNvPr id="5" name="Блок-схема: процесс 4">
          <a:extLst>
            <a:ext uri="{FF2B5EF4-FFF2-40B4-BE49-F238E27FC236}">
              <a16:creationId xmlns:a16="http://schemas.microsoft.com/office/drawing/2014/main" id="{00000000-0008-0000-0400-000005000000}"/>
            </a:ext>
          </a:extLst>
        </xdr:cNvPr>
        <xdr:cNvSpPr/>
      </xdr:nvSpPr>
      <xdr:spPr>
        <a:xfrm>
          <a:off x="6334125" y="47625"/>
          <a:ext cx="1585913" cy="1276349"/>
        </a:xfrm>
        <a:prstGeom prst="flowChartProcess">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endParaRPr lang="ru-RU" sz="1600"/>
        </a:p>
      </xdr:txBody>
    </xdr:sp>
    <xdr:clientData/>
  </xdr:twoCellAnchor>
  <xdr:twoCellAnchor>
    <xdr:from>
      <xdr:col>5</xdr:col>
      <xdr:colOff>126206</xdr:colOff>
      <xdr:row>0</xdr:row>
      <xdr:rowOff>114300</xdr:rowOff>
    </xdr:from>
    <xdr:to>
      <xdr:col>7</xdr:col>
      <xdr:colOff>365007</xdr:colOff>
      <xdr:row>3</xdr:row>
      <xdr:rowOff>82800</xdr:rowOff>
    </xdr:to>
    <xdr:sp macro="[0]!Сохранить_Лист_В_txt_INFINITY" textlink="">
      <xdr:nvSpPr>
        <xdr:cNvPr id="6" name="Прямоугольник 5">
          <a:extLst>
            <a:ext uri="{FF2B5EF4-FFF2-40B4-BE49-F238E27FC236}">
              <a16:creationId xmlns:a16="http://schemas.microsoft.com/office/drawing/2014/main" id="{00000000-0008-0000-0400-000006000000}"/>
            </a:ext>
          </a:extLst>
        </xdr:cNvPr>
        <xdr:cNvSpPr/>
      </xdr:nvSpPr>
      <xdr:spPr>
        <a:xfrm>
          <a:off x="6400800" y="114300"/>
          <a:ext cx="1453238" cy="540000"/>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ru-RU" sz="1400"/>
            <a:t>Сохранить</a:t>
          </a:r>
          <a:r>
            <a:rPr lang="en-US" sz="1400"/>
            <a:t> </a:t>
          </a:r>
          <a:r>
            <a:rPr lang="ru-RU" sz="1400"/>
            <a:t>расчёт в </a:t>
          </a:r>
          <a:r>
            <a:rPr lang="en-GB" sz="1400"/>
            <a:t>txt</a:t>
          </a:r>
          <a:endParaRPr lang="ru-RU" sz="1400"/>
        </a:p>
      </xdr:txBody>
    </xdr:sp>
    <xdr:clientData/>
  </xdr:twoCellAnchor>
  <xdr:twoCellAnchor>
    <xdr:from>
      <xdr:col>5</xdr:col>
      <xdr:colOff>126206</xdr:colOff>
      <xdr:row>3</xdr:row>
      <xdr:rowOff>142874</xdr:rowOff>
    </xdr:from>
    <xdr:to>
      <xdr:col>7</xdr:col>
      <xdr:colOff>365007</xdr:colOff>
      <xdr:row>6</xdr:row>
      <xdr:rowOff>111374</xdr:rowOff>
    </xdr:to>
    <xdr:sp macro="[0]!Перейти_на_экран_таблица" textlink="">
      <xdr:nvSpPr>
        <xdr:cNvPr id="7" name="Прямоугольник 6">
          <a:extLst>
            <a:ext uri="{FF2B5EF4-FFF2-40B4-BE49-F238E27FC236}">
              <a16:creationId xmlns:a16="http://schemas.microsoft.com/office/drawing/2014/main" id="{00000000-0008-0000-0400-000007000000}"/>
            </a:ext>
          </a:extLst>
        </xdr:cNvPr>
        <xdr:cNvSpPr/>
      </xdr:nvSpPr>
      <xdr:spPr>
        <a:xfrm>
          <a:off x="6400800" y="714374"/>
          <a:ext cx="1453238" cy="540000"/>
        </a:xfrm>
        <a:prstGeom prst="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ru-RU" sz="1000" baseline="0"/>
            <a:t>Перейти на "Таблица"</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18</xdr:col>
      <xdr:colOff>23811</xdr:colOff>
      <xdr:row>0</xdr:row>
      <xdr:rowOff>59530</xdr:rowOff>
    </xdr:from>
    <xdr:to>
      <xdr:col>20</xdr:col>
      <xdr:colOff>395287</xdr:colOff>
      <xdr:row>0</xdr:row>
      <xdr:rowOff>1333499</xdr:rowOff>
    </xdr:to>
    <xdr:sp macro="[0]!ПустойМакрос" textlink="">
      <xdr:nvSpPr>
        <xdr:cNvPr id="6" name="Блок-схема: процесс 5">
          <a:extLst>
            <a:ext uri="{FF2B5EF4-FFF2-40B4-BE49-F238E27FC236}">
              <a16:creationId xmlns:a16="http://schemas.microsoft.com/office/drawing/2014/main" id="{00000000-0008-0000-0500-000006000000}"/>
            </a:ext>
          </a:extLst>
        </xdr:cNvPr>
        <xdr:cNvSpPr/>
      </xdr:nvSpPr>
      <xdr:spPr>
        <a:xfrm>
          <a:off x="13096874" y="59530"/>
          <a:ext cx="1585913" cy="1273969"/>
        </a:xfrm>
        <a:prstGeom prst="flowChartProcess">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endParaRPr lang="ru-RU" sz="1600"/>
        </a:p>
      </xdr:txBody>
    </xdr:sp>
    <xdr:clientData/>
  </xdr:twoCellAnchor>
  <xdr:twoCellAnchor>
    <xdr:from>
      <xdr:col>18</xdr:col>
      <xdr:colOff>100011</xdr:colOff>
      <xdr:row>0</xdr:row>
      <xdr:rowOff>126205</xdr:rowOff>
    </xdr:from>
    <xdr:to>
      <xdr:col>20</xdr:col>
      <xdr:colOff>338812</xdr:colOff>
      <xdr:row>0</xdr:row>
      <xdr:rowOff>666205</xdr:rowOff>
    </xdr:to>
    <xdr:sp macro="[0]!Сохранить_Лист_В_csv_TREI" textlink="">
      <xdr:nvSpPr>
        <xdr:cNvPr id="8" name="Прямоугольник 7">
          <a:extLst>
            <a:ext uri="{FF2B5EF4-FFF2-40B4-BE49-F238E27FC236}">
              <a16:creationId xmlns:a16="http://schemas.microsoft.com/office/drawing/2014/main" id="{00000000-0008-0000-0500-000008000000}"/>
            </a:ext>
          </a:extLst>
        </xdr:cNvPr>
        <xdr:cNvSpPr/>
      </xdr:nvSpPr>
      <xdr:spPr>
        <a:xfrm>
          <a:off x="13173074" y="126205"/>
          <a:ext cx="1453238" cy="540000"/>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ru-RU" sz="1400"/>
            <a:t>Сохранить</a:t>
          </a:r>
          <a:r>
            <a:rPr lang="en-US" sz="1400"/>
            <a:t> </a:t>
          </a:r>
          <a:r>
            <a:rPr lang="ru-RU" sz="1400"/>
            <a:t>расчёт в </a:t>
          </a:r>
          <a:r>
            <a:rPr lang="en-US" sz="1400"/>
            <a:t>CSV</a:t>
          </a:r>
          <a:endParaRPr lang="ru-RU" sz="1400"/>
        </a:p>
      </xdr:txBody>
    </xdr:sp>
    <xdr:clientData/>
  </xdr:twoCellAnchor>
  <xdr:twoCellAnchor>
    <xdr:from>
      <xdr:col>18</xdr:col>
      <xdr:colOff>90486</xdr:colOff>
      <xdr:row>0</xdr:row>
      <xdr:rowOff>726279</xdr:rowOff>
    </xdr:from>
    <xdr:to>
      <xdr:col>20</xdr:col>
      <xdr:colOff>329287</xdr:colOff>
      <xdr:row>0</xdr:row>
      <xdr:rowOff>1266279</xdr:rowOff>
    </xdr:to>
    <xdr:sp macro="[0]!Перейти_на_экран_таблица" textlink="">
      <xdr:nvSpPr>
        <xdr:cNvPr id="10" name="Прямоугольник 9">
          <a:extLst>
            <a:ext uri="{FF2B5EF4-FFF2-40B4-BE49-F238E27FC236}">
              <a16:creationId xmlns:a16="http://schemas.microsoft.com/office/drawing/2014/main" id="{00000000-0008-0000-0500-00000A000000}"/>
            </a:ext>
          </a:extLst>
        </xdr:cNvPr>
        <xdr:cNvSpPr/>
      </xdr:nvSpPr>
      <xdr:spPr>
        <a:xfrm>
          <a:off x="13163549" y="726279"/>
          <a:ext cx="1453238" cy="540000"/>
        </a:xfrm>
        <a:prstGeom prst="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ru-RU" sz="1000" baseline="0"/>
            <a:t>Перейти на "Таблица"</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83343</xdr:colOff>
      <xdr:row>0</xdr:row>
      <xdr:rowOff>83345</xdr:rowOff>
    </xdr:from>
    <xdr:to>
      <xdr:col>8</xdr:col>
      <xdr:colOff>454818</xdr:colOff>
      <xdr:row>0</xdr:row>
      <xdr:rowOff>1357313</xdr:rowOff>
    </xdr:to>
    <xdr:sp macro="[0]!ПустойМакрос" textlink="">
      <xdr:nvSpPr>
        <xdr:cNvPr id="7" name="Блок-схема: процесс 6">
          <a:extLst>
            <a:ext uri="{FF2B5EF4-FFF2-40B4-BE49-F238E27FC236}">
              <a16:creationId xmlns:a16="http://schemas.microsoft.com/office/drawing/2014/main" id="{00000000-0008-0000-0600-000007000000}"/>
            </a:ext>
          </a:extLst>
        </xdr:cNvPr>
        <xdr:cNvSpPr/>
      </xdr:nvSpPr>
      <xdr:spPr>
        <a:xfrm>
          <a:off x="8953499" y="83345"/>
          <a:ext cx="1585913" cy="1273968"/>
        </a:xfrm>
        <a:prstGeom prst="flowChartProcess">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endParaRPr lang="ru-RU" sz="1600"/>
        </a:p>
      </xdr:txBody>
    </xdr:sp>
    <xdr:clientData/>
  </xdr:twoCellAnchor>
  <xdr:twoCellAnchor>
    <xdr:from>
      <xdr:col>6</xdr:col>
      <xdr:colOff>159543</xdr:colOff>
      <xdr:row>0</xdr:row>
      <xdr:rowOff>150019</xdr:rowOff>
    </xdr:from>
    <xdr:to>
      <xdr:col>8</xdr:col>
      <xdr:colOff>398343</xdr:colOff>
      <xdr:row>0</xdr:row>
      <xdr:rowOff>690019</xdr:rowOff>
    </xdr:to>
    <xdr:sp macro="[0]!Сохранить_Лист_В_csv_ST_TREI" textlink="">
      <xdr:nvSpPr>
        <xdr:cNvPr id="8" name="Прямоугольник 7">
          <a:extLst>
            <a:ext uri="{FF2B5EF4-FFF2-40B4-BE49-F238E27FC236}">
              <a16:creationId xmlns:a16="http://schemas.microsoft.com/office/drawing/2014/main" id="{00000000-0008-0000-0600-000008000000}"/>
            </a:ext>
          </a:extLst>
        </xdr:cNvPr>
        <xdr:cNvSpPr/>
      </xdr:nvSpPr>
      <xdr:spPr>
        <a:xfrm>
          <a:off x="6255543" y="150019"/>
          <a:ext cx="1453238" cy="540000"/>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ru-RU" sz="1400"/>
            <a:t>Сохранить</a:t>
          </a:r>
          <a:r>
            <a:rPr lang="en-US" sz="1400"/>
            <a:t> </a:t>
          </a:r>
          <a:r>
            <a:rPr lang="ru-RU" sz="1400"/>
            <a:t>расчёт в </a:t>
          </a:r>
          <a:r>
            <a:rPr lang="en-US" sz="1400"/>
            <a:t>CSV</a:t>
          </a:r>
          <a:endParaRPr lang="ru-RU" sz="1400"/>
        </a:p>
      </xdr:txBody>
    </xdr:sp>
    <xdr:clientData/>
  </xdr:twoCellAnchor>
  <xdr:twoCellAnchor>
    <xdr:from>
      <xdr:col>6</xdr:col>
      <xdr:colOff>150018</xdr:colOff>
      <xdr:row>0</xdr:row>
      <xdr:rowOff>750093</xdr:rowOff>
    </xdr:from>
    <xdr:to>
      <xdr:col>8</xdr:col>
      <xdr:colOff>388818</xdr:colOff>
      <xdr:row>0</xdr:row>
      <xdr:rowOff>1290093</xdr:rowOff>
    </xdr:to>
    <xdr:sp macro="[0]!Перейти_на_экран_таблица" textlink="">
      <xdr:nvSpPr>
        <xdr:cNvPr id="9" name="Прямоугольник 8">
          <a:extLst>
            <a:ext uri="{FF2B5EF4-FFF2-40B4-BE49-F238E27FC236}">
              <a16:creationId xmlns:a16="http://schemas.microsoft.com/office/drawing/2014/main" id="{00000000-0008-0000-0600-000009000000}"/>
            </a:ext>
          </a:extLst>
        </xdr:cNvPr>
        <xdr:cNvSpPr/>
      </xdr:nvSpPr>
      <xdr:spPr>
        <a:xfrm>
          <a:off x="6246018" y="750093"/>
          <a:ext cx="1453238" cy="540000"/>
        </a:xfrm>
        <a:prstGeom prst="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ru-RU" sz="1000" baseline="0"/>
            <a:t>Перейти на "Таблица"</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83343</xdr:colOff>
      <xdr:row>0</xdr:row>
      <xdr:rowOff>83345</xdr:rowOff>
    </xdr:from>
    <xdr:to>
      <xdr:col>8</xdr:col>
      <xdr:colOff>454818</xdr:colOff>
      <xdr:row>0</xdr:row>
      <xdr:rowOff>1381125</xdr:rowOff>
    </xdr:to>
    <xdr:sp macro="[0]!ПустойМакрос" textlink="">
      <xdr:nvSpPr>
        <xdr:cNvPr id="2" name="Блок-схема: процесс 1">
          <a:extLst>
            <a:ext uri="{FF2B5EF4-FFF2-40B4-BE49-F238E27FC236}">
              <a16:creationId xmlns:a16="http://schemas.microsoft.com/office/drawing/2014/main" id="{00000000-0008-0000-0700-000002000000}"/>
            </a:ext>
          </a:extLst>
        </xdr:cNvPr>
        <xdr:cNvSpPr/>
      </xdr:nvSpPr>
      <xdr:spPr>
        <a:xfrm>
          <a:off x="8012906" y="83345"/>
          <a:ext cx="1585912" cy="1297780"/>
        </a:xfrm>
        <a:prstGeom prst="flowChartProcess">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endParaRPr lang="ru-RU" sz="1600"/>
        </a:p>
      </xdr:txBody>
    </xdr:sp>
    <xdr:clientData/>
  </xdr:twoCellAnchor>
  <xdr:twoCellAnchor>
    <xdr:from>
      <xdr:col>6</xdr:col>
      <xdr:colOff>159543</xdr:colOff>
      <xdr:row>0</xdr:row>
      <xdr:rowOff>150019</xdr:rowOff>
    </xdr:from>
    <xdr:to>
      <xdr:col>8</xdr:col>
      <xdr:colOff>398343</xdr:colOff>
      <xdr:row>0</xdr:row>
      <xdr:rowOff>690019</xdr:rowOff>
    </xdr:to>
    <xdr:sp macro="[0]!Сохранить_Лист_В_xml" textlink="">
      <xdr:nvSpPr>
        <xdr:cNvPr id="3" name="Прямоугольник 2">
          <a:extLst>
            <a:ext uri="{FF2B5EF4-FFF2-40B4-BE49-F238E27FC236}">
              <a16:creationId xmlns:a16="http://schemas.microsoft.com/office/drawing/2014/main" id="{00000000-0008-0000-0700-000003000000}"/>
            </a:ext>
          </a:extLst>
        </xdr:cNvPr>
        <xdr:cNvSpPr/>
      </xdr:nvSpPr>
      <xdr:spPr>
        <a:xfrm>
          <a:off x="9036843" y="150019"/>
          <a:ext cx="1458000" cy="540000"/>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ru-RU" sz="1400"/>
            <a:t>Сохранить</a:t>
          </a:r>
          <a:r>
            <a:rPr lang="en-US" sz="1400"/>
            <a:t> </a:t>
          </a:r>
          <a:r>
            <a:rPr lang="ru-RU" sz="1400"/>
            <a:t>расчёт в </a:t>
          </a:r>
          <a:r>
            <a:rPr lang="en-US" sz="1400"/>
            <a:t>XML</a:t>
          </a:r>
          <a:endParaRPr lang="ru-RU" sz="1400"/>
        </a:p>
      </xdr:txBody>
    </xdr:sp>
    <xdr:clientData/>
  </xdr:twoCellAnchor>
  <xdr:twoCellAnchor>
    <xdr:from>
      <xdr:col>6</xdr:col>
      <xdr:colOff>150018</xdr:colOff>
      <xdr:row>0</xdr:row>
      <xdr:rowOff>750093</xdr:rowOff>
    </xdr:from>
    <xdr:to>
      <xdr:col>8</xdr:col>
      <xdr:colOff>388818</xdr:colOff>
      <xdr:row>0</xdr:row>
      <xdr:rowOff>1290093</xdr:rowOff>
    </xdr:to>
    <xdr:sp macro="[0]!Перейти_на_экран_таблица" textlink="">
      <xdr:nvSpPr>
        <xdr:cNvPr id="4" name="Прямоугольник 3">
          <a:extLst>
            <a:ext uri="{FF2B5EF4-FFF2-40B4-BE49-F238E27FC236}">
              <a16:creationId xmlns:a16="http://schemas.microsoft.com/office/drawing/2014/main" id="{00000000-0008-0000-0700-000004000000}"/>
            </a:ext>
          </a:extLst>
        </xdr:cNvPr>
        <xdr:cNvSpPr/>
      </xdr:nvSpPr>
      <xdr:spPr>
        <a:xfrm>
          <a:off x="9027318" y="750093"/>
          <a:ext cx="1458000" cy="540000"/>
        </a:xfrm>
        <a:prstGeom prst="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ru-RU" sz="1000" baseline="0"/>
            <a:t>Перейти на "Таблица"</a:t>
          </a:r>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76200</xdr:colOff>
      <xdr:row>0</xdr:row>
      <xdr:rowOff>57150</xdr:rowOff>
    </xdr:from>
    <xdr:to>
      <xdr:col>0</xdr:col>
      <xdr:colOff>1685925</xdr:colOff>
      <xdr:row>2</xdr:row>
      <xdr:rowOff>304800</xdr:rowOff>
    </xdr:to>
    <xdr:sp macro="[0]!ПустойМакрос" textlink="">
      <xdr:nvSpPr>
        <xdr:cNvPr id="9" name="Блок-схема: процесс 8">
          <a:extLst>
            <a:ext uri="{FF2B5EF4-FFF2-40B4-BE49-F238E27FC236}">
              <a16:creationId xmlns:a16="http://schemas.microsoft.com/office/drawing/2014/main" id="{00000000-0008-0000-0800-000009000000}"/>
            </a:ext>
          </a:extLst>
        </xdr:cNvPr>
        <xdr:cNvSpPr/>
      </xdr:nvSpPr>
      <xdr:spPr>
        <a:xfrm>
          <a:off x="76200" y="57150"/>
          <a:ext cx="1609725" cy="695325"/>
        </a:xfrm>
        <a:prstGeom prst="flowChartProcess">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endParaRPr lang="ru-RU" sz="1600"/>
        </a:p>
      </xdr:txBody>
    </xdr:sp>
    <xdr:clientData/>
  </xdr:twoCellAnchor>
  <xdr:twoCellAnchor editAs="absolute">
    <xdr:from>
      <xdr:col>0</xdr:col>
      <xdr:colOff>152400</xdr:colOff>
      <xdr:row>0</xdr:row>
      <xdr:rowOff>123825</xdr:rowOff>
    </xdr:from>
    <xdr:to>
      <xdr:col>0</xdr:col>
      <xdr:colOff>1610400</xdr:colOff>
      <xdr:row>2</xdr:row>
      <xdr:rowOff>216150</xdr:rowOff>
    </xdr:to>
    <xdr:sp macro="[0]!Перейти_на_экран_таблица" textlink="">
      <xdr:nvSpPr>
        <xdr:cNvPr id="10" name="Прямоугольник 9">
          <a:extLst>
            <a:ext uri="{FF2B5EF4-FFF2-40B4-BE49-F238E27FC236}">
              <a16:creationId xmlns:a16="http://schemas.microsoft.com/office/drawing/2014/main" id="{00000000-0008-0000-0800-00000A000000}"/>
            </a:ext>
          </a:extLst>
        </xdr:cNvPr>
        <xdr:cNvSpPr/>
      </xdr:nvSpPr>
      <xdr:spPr>
        <a:xfrm>
          <a:off x="152400" y="123825"/>
          <a:ext cx="1458000" cy="540000"/>
        </a:xfrm>
        <a:prstGeom prst="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ru-RU" sz="1200" baseline="0"/>
            <a:t>Перейти на "Таблица"</a:t>
          </a:r>
        </a:p>
      </xdr:txBody>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0</xdr:col>
      <xdr:colOff>228600</xdr:colOff>
      <xdr:row>77</xdr:row>
      <xdr:rowOff>2381</xdr:rowOff>
    </xdr:from>
    <xdr:to>
      <xdr:col>0</xdr:col>
      <xdr:colOff>1819275</xdr:colOff>
      <xdr:row>79</xdr:row>
      <xdr:rowOff>2381</xdr:rowOff>
    </xdr:to>
    <xdr:sp macro="" textlink="">
      <xdr:nvSpPr>
        <xdr:cNvPr id="6145" name="CheckBox1" hidden="1">
          <a:extLst>
            <a:ext uri="{63B3BB69-23CF-44E3-9099-C40C66FF867C}">
              <a14:compatExt xmlns:a14="http://schemas.microsoft.com/office/drawing/2010/main" spid="_x0000_s6145"/>
            </a:ext>
            <a:ext uri="{FF2B5EF4-FFF2-40B4-BE49-F238E27FC236}">
              <a16:creationId xmlns:a16="http://schemas.microsoft.com/office/drawing/2014/main" id="{00000000-0008-0000-0900-000001180000}"/>
            </a:ext>
          </a:extLst>
        </xdr:cNvPr>
        <xdr:cNvSpPr/>
      </xdr:nvSpPr>
      <xdr:spPr bwMode="auto">
        <a:xfrm>
          <a:off x="0" y="0"/>
          <a:ext cx="0" cy="0"/>
        </a:xfrm>
        <a:prstGeom prst="rect">
          <a:avLst/>
        </a:prstGeom>
        <a:noFill/>
        <a:ln>
          <a:noFill/>
        </a:ln>
        <a:effectLst/>
        <a:extLst>
          <a:ext uri="{91240B29-F687-4F45-9708-019B960494DF}">
            <a14:hiddenLine xmlns:a14="http://schemas.microsoft.com/office/drawing/2010/main" w="1">
              <a:noFill/>
              <a:miter lim="800000"/>
              <a:headEnd/>
              <a:tailEnd/>
            </a14:hiddenLine>
          </a:ex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228600</xdr:colOff>
      <xdr:row>79</xdr:row>
      <xdr:rowOff>2381</xdr:rowOff>
    </xdr:from>
    <xdr:to>
      <xdr:col>0</xdr:col>
      <xdr:colOff>1714500</xdr:colOff>
      <xdr:row>80</xdr:row>
      <xdr:rowOff>88106</xdr:rowOff>
    </xdr:to>
    <xdr:sp macro="" textlink="">
      <xdr:nvSpPr>
        <xdr:cNvPr id="6146" name="CheckBox2" hidden="1">
          <a:extLst>
            <a:ext uri="{63B3BB69-23CF-44E3-9099-C40C66FF867C}">
              <a14:compatExt xmlns:a14="http://schemas.microsoft.com/office/drawing/2010/main" spid="_x0000_s6146"/>
            </a:ext>
            <a:ext uri="{FF2B5EF4-FFF2-40B4-BE49-F238E27FC236}">
              <a16:creationId xmlns:a16="http://schemas.microsoft.com/office/drawing/2014/main" id="{00000000-0008-0000-0900-000002180000}"/>
            </a:ext>
          </a:extLst>
        </xdr:cNvPr>
        <xdr:cNvSpPr/>
      </xdr:nvSpPr>
      <xdr:spPr bwMode="auto">
        <a:xfrm>
          <a:off x="0" y="0"/>
          <a:ext cx="0" cy="0"/>
        </a:xfrm>
        <a:prstGeom prst="rect">
          <a:avLst/>
        </a:prstGeom>
        <a:noFill/>
        <a:ln>
          <a:noFill/>
        </a:ln>
        <a:effectLst/>
        <a:extLst>
          <a:ext uri="{91240B29-F687-4F45-9708-019B960494DF}">
            <a14:hiddenLine xmlns:a14="http://schemas.microsoft.com/office/drawing/2010/main" w="1">
              <a:noFill/>
              <a:miter lim="800000"/>
              <a:headEnd/>
              <a:tailEnd/>
            </a14:hiddenLine>
          </a:ex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228600</xdr:colOff>
      <xdr:row>80</xdr:row>
      <xdr:rowOff>135731</xdr:rowOff>
    </xdr:from>
    <xdr:to>
      <xdr:col>0</xdr:col>
      <xdr:colOff>762000</xdr:colOff>
      <xdr:row>82</xdr:row>
      <xdr:rowOff>40481</xdr:rowOff>
    </xdr:to>
    <xdr:sp macro="" textlink="">
      <xdr:nvSpPr>
        <xdr:cNvPr id="6147" name="CheckBox3" hidden="1">
          <a:extLst>
            <a:ext uri="{63B3BB69-23CF-44E3-9099-C40C66FF867C}">
              <a14:compatExt xmlns:a14="http://schemas.microsoft.com/office/drawing/2010/main" spid="_x0000_s6147"/>
            </a:ext>
            <a:ext uri="{FF2B5EF4-FFF2-40B4-BE49-F238E27FC236}">
              <a16:creationId xmlns:a16="http://schemas.microsoft.com/office/drawing/2014/main" id="{00000000-0008-0000-0900-000003180000}"/>
            </a:ext>
          </a:extLst>
        </xdr:cNvPr>
        <xdr:cNvSpPr/>
      </xdr:nvSpPr>
      <xdr:spPr bwMode="auto">
        <a:xfrm>
          <a:off x="0" y="0"/>
          <a:ext cx="0" cy="0"/>
        </a:xfrm>
        <a:prstGeom prst="rect">
          <a:avLst/>
        </a:prstGeom>
        <a:noFill/>
        <a:ln>
          <a:noFill/>
        </a:ln>
        <a:effectLst/>
        <a:extLst>
          <a:ext uri="{91240B29-F687-4F45-9708-019B960494DF}">
            <a14:hiddenLine xmlns:a14="http://schemas.microsoft.com/office/drawing/2010/main" w="1">
              <a:noFill/>
              <a:miter lim="800000"/>
              <a:headEnd/>
              <a:tailEnd/>
            </a14:hiddenLine>
          </a:ex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219075</xdr:colOff>
      <xdr:row>82</xdr:row>
      <xdr:rowOff>40481</xdr:rowOff>
    </xdr:from>
    <xdr:to>
      <xdr:col>0</xdr:col>
      <xdr:colOff>742950</xdr:colOff>
      <xdr:row>83</xdr:row>
      <xdr:rowOff>154781</xdr:rowOff>
    </xdr:to>
    <xdr:sp macro="" textlink="">
      <xdr:nvSpPr>
        <xdr:cNvPr id="6148" name="CheckBox4" hidden="1">
          <a:extLst>
            <a:ext uri="{63B3BB69-23CF-44E3-9099-C40C66FF867C}">
              <a14:compatExt xmlns:a14="http://schemas.microsoft.com/office/drawing/2010/main" spid="_x0000_s6148"/>
            </a:ext>
            <a:ext uri="{FF2B5EF4-FFF2-40B4-BE49-F238E27FC236}">
              <a16:creationId xmlns:a16="http://schemas.microsoft.com/office/drawing/2014/main" id="{00000000-0008-0000-0900-000004180000}"/>
            </a:ext>
          </a:extLst>
        </xdr:cNvPr>
        <xdr:cNvSpPr/>
      </xdr:nvSpPr>
      <xdr:spPr bwMode="auto">
        <a:xfrm>
          <a:off x="0" y="0"/>
          <a:ext cx="0" cy="0"/>
        </a:xfrm>
        <a:prstGeom prst="rect">
          <a:avLst/>
        </a:prstGeom>
        <a:noFill/>
        <a:ln>
          <a:noFill/>
        </a:ln>
        <a:effectLst/>
        <a:extLst>
          <a:ext uri="{91240B29-F687-4F45-9708-019B960494DF}">
            <a14:hiddenLine xmlns:a14="http://schemas.microsoft.com/office/drawing/2010/main" w="1">
              <a:noFill/>
              <a:miter lim="800000"/>
              <a:headEnd/>
              <a:tailEnd/>
            </a14:hiddenLine>
          </a:ex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685800</xdr:colOff>
      <xdr:row>80</xdr:row>
      <xdr:rowOff>116681</xdr:rowOff>
    </xdr:from>
    <xdr:to>
      <xdr:col>0</xdr:col>
      <xdr:colOff>1219200</xdr:colOff>
      <xdr:row>82</xdr:row>
      <xdr:rowOff>59531</xdr:rowOff>
    </xdr:to>
    <xdr:sp macro="" textlink="">
      <xdr:nvSpPr>
        <xdr:cNvPr id="6149" name="CheckBox5" hidden="1">
          <a:extLst>
            <a:ext uri="{63B3BB69-23CF-44E3-9099-C40C66FF867C}">
              <a14:compatExt xmlns:a14="http://schemas.microsoft.com/office/drawing/2010/main" spid="_x0000_s6149"/>
            </a:ext>
            <a:ext uri="{FF2B5EF4-FFF2-40B4-BE49-F238E27FC236}">
              <a16:creationId xmlns:a16="http://schemas.microsoft.com/office/drawing/2014/main" id="{00000000-0008-0000-0900-000005180000}"/>
            </a:ext>
          </a:extLst>
        </xdr:cNvPr>
        <xdr:cNvSpPr/>
      </xdr:nvSpPr>
      <xdr:spPr bwMode="auto">
        <a:xfrm>
          <a:off x="0" y="0"/>
          <a:ext cx="0" cy="0"/>
        </a:xfrm>
        <a:prstGeom prst="rect">
          <a:avLst/>
        </a:prstGeom>
        <a:noFill/>
        <a:ln>
          <a:noFill/>
        </a:ln>
        <a:effectLst/>
        <a:extLst>
          <a:ext uri="{91240B29-F687-4F45-9708-019B960494DF}">
            <a14:hiddenLine xmlns:a14="http://schemas.microsoft.com/office/drawing/2010/main" w="1">
              <a:noFill/>
              <a:miter lim="800000"/>
              <a:headEnd/>
              <a:tailEnd/>
            </a14:hiddenLine>
          </a:ex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676275</xdr:colOff>
      <xdr:row>82</xdr:row>
      <xdr:rowOff>40481</xdr:rowOff>
    </xdr:from>
    <xdr:to>
      <xdr:col>0</xdr:col>
      <xdr:colOff>1257300</xdr:colOff>
      <xdr:row>83</xdr:row>
      <xdr:rowOff>154781</xdr:rowOff>
    </xdr:to>
    <xdr:sp macro="" textlink="">
      <xdr:nvSpPr>
        <xdr:cNvPr id="6150" name="CheckBox6" hidden="1">
          <a:extLst>
            <a:ext uri="{63B3BB69-23CF-44E3-9099-C40C66FF867C}">
              <a14:compatExt xmlns:a14="http://schemas.microsoft.com/office/drawing/2010/main" spid="_x0000_s6150"/>
            </a:ext>
            <a:ext uri="{FF2B5EF4-FFF2-40B4-BE49-F238E27FC236}">
              <a16:creationId xmlns:a16="http://schemas.microsoft.com/office/drawing/2014/main" id="{00000000-0008-0000-0900-000006180000}"/>
            </a:ext>
          </a:extLst>
        </xdr:cNvPr>
        <xdr:cNvSpPr/>
      </xdr:nvSpPr>
      <xdr:spPr bwMode="auto">
        <a:xfrm>
          <a:off x="0" y="0"/>
          <a:ext cx="0" cy="0"/>
        </a:xfrm>
        <a:prstGeom prst="rect">
          <a:avLst/>
        </a:prstGeom>
        <a:noFill/>
        <a:ln>
          <a:noFill/>
        </a:ln>
        <a:effectLst/>
        <a:extLst>
          <a:ext uri="{91240B29-F687-4F45-9708-019B960494DF}">
            <a14:hiddenLine xmlns:a14="http://schemas.microsoft.com/office/drawing/2010/main" w="1">
              <a:noFill/>
              <a:miter lim="800000"/>
              <a:headEnd/>
              <a:tailEnd/>
            </a14:hiddenLine>
          </a:ex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1190625</xdr:colOff>
      <xdr:row>80</xdr:row>
      <xdr:rowOff>135731</xdr:rowOff>
    </xdr:from>
    <xdr:to>
      <xdr:col>0</xdr:col>
      <xdr:colOff>1866900</xdr:colOff>
      <xdr:row>82</xdr:row>
      <xdr:rowOff>50006</xdr:rowOff>
    </xdr:to>
    <xdr:sp macro="" textlink="">
      <xdr:nvSpPr>
        <xdr:cNvPr id="6151" name="CheckBox7" hidden="1">
          <a:extLst>
            <a:ext uri="{63B3BB69-23CF-44E3-9099-C40C66FF867C}">
              <a14:compatExt xmlns:a14="http://schemas.microsoft.com/office/drawing/2010/main" spid="_x0000_s6151"/>
            </a:ext>
            <a:ext uri="{FF2B5EF4-FFF2-40B4-BE49-F238E27FC236}">
              <a16:creationId xmlns:a16="http://schemas.microsoft.com/office/drawing/2014/main" id="{00000000-0008-0000-0900-000007180000}"/>
            </a:ext>
          </a:extLst>
        </xdr:cNvPr>
        <xdr:cNvSpPr/>
      </xdr:nvSpPr>
      <xdr:spPr bwMode="auto">
        <a:xfrm>
          <a:off x="0" y="0"/>
          <a:ext cx="0" cy="0"/>
        </a:xfrm>
        <a:prstGeom prst="rect">
          <a:avLst/>
        </a:prstGeom>
        <a:noFill/>
        <a:ln>
          <a:noFill/>
        </a:ln>
        <a:effectLst/>
        <a:extLst>
          <a:ext uri="{91240B29-F687-4F45-9708-019B960494DF}">
            <a14:hiddenLine xmlns:a14="http://schemas.microsoft.com/office/drawing/2010/main" w="1">
              <a:noFill/>
              <a:miter lim="800000"/>
              <a:headEnd/>
              <a:tailEnd/>
            </a14:hiddenLine>
          </a:ex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228600</xdr:colOff>
      <xdr:row>83</xdr:row>
      <xdr:rowOff>145256</xdr:rowOff>
    </xdr:from>
    <xdr:to>
      <xdr:col>0</xdr:col>
      <xdr:colOff>1266825</xdr:colOff>
      <xdr:row>85</xdr:row>
      <xdr:rowOff>69056</xdr:rowOff>
    </xdr:to>
    <xdr:sp macro="" textlink="">
      <xdr:nvSpPr>
        <xdr:cNvPr id="6152" name="CheckBox8" hidden="1">
          <a:extLst>
            <a:ext uri="{63B3BB69-23CF-44E3-9099-C40C66FF867C}">
              <a14:compatExt xmlns:a14="http://schemas.microsoft.com/office/drawing/2010/main" spid="_x0000_s6152"/>
            </a:ext>
            <a:ext uri="{FF2B5EF4-FFF2-40B4-BE49-F238E27FC236}">
              <a16:creationId xmlns:a16="http://schemas.microsoft.com/office/drawing/2014/main" id="{00000000-0008-0000-0900-000008180000}"/>
            </a:ext>
          </a:extLst>
        </xdr:cNvPr>
        <xdr:cNvSpPr/>
      </xdr:nvSpPr>
      <xdr:spPr bwMode="auto">
        <a:xfrm>
          <a:off x="0" y="0"/>
          <a:ext cx="0" cy="0"/>
        </a:xfrm>
        <a:prstGeom prst="rect">
          <a:avLst/>
        </a:prstGeom>
        <a:noFill/>
        <a:ln>
          <a:noFill/>
        </a:ln>
        <a:effectLst/>
        <a:extLst>
          <a:ext uri="{91240B29-F687-4F45-9708-019B960494DF}">
            <a14:hiddenLine xmlns:a14="http://schemas.microsoft.com/office/drawing/2010/main" w="1">
              <a:noFill/>
              <a:miter lim="800000"/>
              <a:headEnd/>
              <a:tailEnd/>
            </a14:hiddenLine>
          </a:ex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228600</xdr:colOff>
      <xdr:row>85</xdr:row>
      <xdr:rowOff>30956</xdr:rowOff>
    </xdr:from>
    <xdr:to>
      <xdr:col>0</xdr:col>
      <xdr:colOff>1266825</xdr:colOff>
      <xdr:row>87</xdr:row>
      <xdr:rowOff>11906</xdr:rowOff>
    </xdr:to>
    <xdr:sp macro="" textlink="">
      <xdr:nvSpPr>
        <xdr:cNvPr id="6153" name="CheckBox9" hidden="1">
          <a:extLst>
            <a:ext uri="{63B3BB69-23CF-44E3-9099-C40C66FF867C}">
              <a14:compatExt xmlns:a14="http://schemas.microsoft.com/office/drawing/2010/main" spid="_x0000_s6153"/>
            </a:ext>
            <a:ext uri="{FF2B5EF4-FFF2-40B4-BE49-F238E27FC236}">
              <a16:creationId xmlns:a16="http://schemas.microsoft.com/office/drawing/2014/main" id="{00000000-0008-0000-0900-000009180000}"/>
            </a:ext>
          </a:extLst>
        </xdr:cNvPr>
        <xdr:cNvSpPr/>
      </xdr:nvSpPr>
      <xdr:spPr bwMode="auto">
        <a:xfrm>
          <a:off x="0" y="0"/>
          <a:ext cx="0" cy="0"/>
        </a:xfrm>
        <a:prstGeom prst="rect">
          <a:avLst/>
        </a:prstGeom>
        <a:noFill/>
        <a:ln>
          <a:noFill/>
        </a:ln>
        <a:effectLst/>
        <a:extLst>
          <a:ext uri="{91240B29-F687-4F45-9708-019B960494DF}">
            <a14:hiddenLine xmlns:a14="http://schemas.microsoft.com/office/drawing/2010/main" w="1">
              <a:noFill/>
              <a:miter lim="800000"/>
              <a:headEnd/>
              <a:tailEnd/>
            </a14:hiddenLine>
          </a:ex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238125</xdr:colOff>
      <xdr:row>86</xdr:row>
      <xdr:rowOff>173831</xdr:rowOff>
    </xdr:from>
    <xdr:to>
      <xdr:col>0</xdr:col>
      <xdr:colOff>1219200</xdr:colOff>
      <xdr:row>88</xdr:row>
      <xdr:rowOff>97631</xdr:rowOff>
    </xdr:to>
    <xdr:sp macro="" textlink="">
      <xdr:nvSpPr>
        <xdr:cNvPr id="6154" name="CheckBox10" hidden="1">
          <a:extLst>
            <a:ext uri="{63B3BB69-23CF-44E3-9099-C40C66FF867C}">
              <a14:compatExt xmlns:a14="http://schemas.microsoft.com/office/drawing/2010/main" spid="_x0000_s6154"/>
            </a:ext>
            <a:ext uri="{FF2B5EF4-FFF2-40B4-BE49-F238E27FC236}">
              <a16:creationId xmlns:a16="http://schemas.microsoft.com/office/drawing/2014/main" id="{00000000-0008-0000-0900-00000A180000}"/>
            </a:ext>
          </a:extLst>
        </xdr:cNvPr>
        <xdr:cNvSpPr/>
      </xdr:nvSpPr>
      <xdr:spPr bwMode="auto">
        <a:xfrm>
          <a:off x="0" y="0"/>
          <a:ext cx="0" cy="0"/>
        </a:xfrm>
        <a:prstGeom prst="rect">
          <a:avLst/>
        </a:prstGeom>
        <a:noFill/>
        <a:ln>
          <a:noFill/>
        </a:ln>
        <a:effectLst/>
        <a:extLst>
          <a:ext uri="{91240B29-F687-4F45-9708-019B960494DF}">
            <a14:hiddenLine xmlns:a14="http://schemas.microsoft.com/office/drawing/2010/main" w="1">
              <a:noFill/>
              <a:miter lim="800000"/>
              <a:headEnd/>
              <a:tailEnd/>
            </a14:hiddenLine>
          </a:ex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238125</xdr:colOff>
      <xdr:row>88</xdr:row>
      <xdr:rowOff>78581</xdr:rowOff>
    </xdr:from>
    <xdr:to>
      <xdr:col>0</xdr:col>
      <xdr:colOff>1543050</xdr:colOff>
      <xdr:row>90</xdr:row>
      <xdr:rowOff>2381</xdr:rowOff>
    </xdr:to>
    <xdr:sp macro="" textlink="">
      <xdr:nvSpPr>
        <xdr:cNvPr id="6155" name="CheckBox11" hidden="1">
          <a:extLst>
            <a:ext uri="{63B3BB69-23CF-44E3-9099-C40C66FF867C}">
              <a14:compatExt xmlns:a14="http://schemas.microsoft.com/office/drawing/2010/main" spid="_x0000_s6155"/>
            </a:ext>
            <a:ext uri="{FF2B5EF4-FFF2-40B4-BE49-F238E27FC236}">
              <a16:creationId xmlns:a16="http://schemas.microsoft.com/office/drawing/2014/main" id="{00000000-0008-0000-0900-00000B180000}"/>
            </a:ext>
          </a:extLst>
        </xdr:cNvPr>
        <xdr:cNvSpPr/>
      </xdr:nvSpPr>
      <xdr:spPr bwMode="auto">
        <a:xfrm>
          <a:off x="0" y="0"/>
          <a:ext cx="0" cy="0"/>
        </a:xfrm>
        <a:prstGeom prst="rect">
          <a:avLst/>
        </a:prstGeom>
        <a:noFill/>
        <a:ln>
          <a:noFill/>
        </a:ln>
        <a:effectLst/>
        <a:extLst>
          <a:ext uri="{91240B29-F687-4F45-9708-019B960494DF}">
            <a14:hiddenLine xmlns:a14="http://schemas.microsoft.com/office/drawing/2010/main" w="1">
              <a:noFill/>
              <a:miter lim="800000"/>
              <a:headEnd/>
              <a:tailEnd/>
            </a14:hiddenLine>
          </a:ex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1209675</xdr:colOff>
      <xdr:row>82</xdr:row>
      <xdr:rowOff>50006</xdr:rowOff>
    </xdr:from>
    <xdr:to>
      <xdr:col>0</xdr:col>
      <xdr:colOff>1819275</xdr:colOff>
      <xdr:row>83</xdr:row>
      <xdr:rowOff>154781</xdr:rowOff>
    </xdr:to>
    <xdr:sp macro="" textlink="">
      <xdr:nvSpPr>
        <xdr:cNvPr id="6156" name="CheckBox12" hidden="1">
          <a:extLst>
            <a:ext uri="{63B3BB69-23CF-44E3-9099-C40C66FF867C}">
              <a14:compatExt xmlns:a14="http://schemas.microsoft.com/office/drawing/2010/main" spid="_x0000_s6156"/>
            </a:ext>
            <a:ext uri="{FF2B5EF4-FFF2-40B4-BE49-F238E27FC236}">
              <a16:creationId xmlns:a16="http://schemas.microsoft.com/office/drawing/2014/main" id="{00000000-0008-0000-0900-00000C180000}"/>
            </a:ext>
          </a:extLst>
        </xdr:cNvPr>
        <xdr:cNvSpPr/>
      </xdr:nvSpPr>
      <xdr:spPr bwMode="auto">
        <a:xfrm>
          <a:off x="0" y="0"/>
          <a:ext cx="0" cy="0"/>
        </a:xfrm>
        <a:prstGeom prst="rect">
          <a:avLst/>
        </a:prstGeom>
        <a:noFill/>
        <a:ln>
          <a:noFill/>
        </a:ln>
        <a:effectLst/>
        <a:extLst>
          <a:ext uri="{91240B29-F687-4F45-9708-019B960494DF}">
            <a14:hiddenLine xmlns:a14="http://schemas.microsoft.com/office/drawing/2010/main" w="1">
              <a:noFill/>
              <a:miter lim="800000"/>
              <a:headEnd/>
              <a:tailEnd/>
            </a14:hiddenLine>
          </a:ex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238125</xdr:colOff>
      <xdr:row>90</xdr:row>
      <xdr:rowOff>2381</xdr:rowOff>
    </xdr:from>
    <xdr:to>
      <xdr:col>0</xdr:col>
      <xdr:colOff>600075</xdr:colOff>
      <xdr:row>91</xdr:row>
      <xdr:rowOff>107156</xdr:rowOff>
    </xdr:to>
    <xdr:sp macro="" textlink="">
      <xdr:nvSpPr>
        <xdr:cNvPr id="6157" name="CheckBox13" hidden="1">
          <a:extLst>
            <a:ext uri="{63B3BB69-23CF-44E3-9099-C40C66FF867C}">
              <a14:compatExt xmlns:a14="http://schemas.microsoft.com/office/drawing/2010/main" spid="_x0000_s6157"/>
            </a:ext>
            <a:ext uri="{FF2B5EF4-FFF2-40B4-BE49-F238E27FC236}">
              <a16:creationId xmlns:a16="http://schemas.microsoft.com/office/drawing/2014/main" id="{00000000-0008-0000-0900-00000D180000}"/>
            </a:ext>
          </a:extLst>
        </xdr:cNvPr>
        <xdr:cNvSpPr/>
      </xdr:nvSpPr>
      <xdr:spPr bwMode="auto">
        <a:xfrm>
          <a:off x="0" y="0"/>
          <a:ext cx="0" cy="0"/>
        </a:xfrm>
        <a:prstGeom prst="rect">
          <a:avLst/>
        </a:prstGeom>
        <a:noFill/>
        <a:ln>
          <a:noFill/>
        </a:ln>
        <a:effectLst/>
        <a:extLst>
          <a:ext uri="{91240B29-F687-4F45-9708-019B960494DF}">
            <a14:hiddenLine xmlns:a14="http://schemas.microsoft.com/office/drawing/2010/main" w="1">
              <a:noFill/>
              <a:miter lim="800000"/>
              <a:headEnd/>
              <a:tailEnd/>
            </a14:hiddenLine>
          </a:ex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619125</xdr:colOff>
      <xdr:row>90</xdr:row>
      <xdr:rowOff>2381</xdr:rowOff>
    </xdr:from>
    <xdr:to>
      <xdr:col>0</xdr:col>
      <xdr:colOff>981075</xdr:colOff>
      <xdr:row>91</xdr:row>
      <xdr:rowOff>116681</xdr:rowOff>
    </xdr:to>
    <xdr:sp macro="" textlink="">
      <xdr:nvSpPr>
        <xdr:cNvPr id="6158" name="CheckBox14" hidden="1">
          <a:extLst>
            <a:ext uri="{63B3BB69-23CF-44E3-9099-C40C66FF867C}">
              <a14:compatExt xmlns:a14="http://schemas.microsoft.com/office/drawing/2010/main" spid="_x0000_s6158"/>
            </a:ext>
            <a:ext uri="{FF2B5EF4-FFF2-40B4-BE49-F238E27FC236}">
              <a16:creationId xmlns:a16="http://schemas.microsoft.com/office/drawing/2014/main" id="{00000000-0008-0000-0900-00000E180000}"/>
            </a:ext>
          </a:extLst>
        </xdr:cNvPr>
        <xdr:cNvSpPr/>
      </xdr:nvSpPr>
      <xdr:spPr bwMode="auto">
        <a:xfrm>
          <a:off x="0" y="0"/>
          <a:ext cx="0" cy="0"/>
        </a:xfrm>
        <a:prstGeom prst="rect">
          <a:avLst/>
        </a:prstGeom>
        <a:noFill/>
        <a:ln>
          <a:noFill/>
        </a:ln>
        <a:effectLst/>
        <a:extLst>
          <a:ext uri="{91240B29-F687-4F45-9708-019B960494DF}">
            <a14:hiddenLine xmlns:a14="http://schemas.microsoft.com/office/drawing/2010/main" w="1">
              <a:noFill/>
              <a:miter lim="800000"/>
              <a:headEnd/>
              <a:tailEnd/>
            </a14:hiddenLine>
          </a:ex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971550</xdr:colOff>
      <xdr:row>93</xdr:row>
      <xdr:rowOff>11906</xdr:rowOff>
    </xdr:from>
    <xdr:to>
      <xdr:col>0</xdr:col>
      <xdr:colOff>1638300</xdr:colOff>
      <xdr:row>94</xdr:row>
      <xdr:rowOff>126206</xdr:rowOff>
    </xdr:to>
    <xdr:sp macro="" textlink="">
      <xdr:nvSpPr>
        <xdr:cNvPr id="6159" name="CheckBox15" hidden="1">
          <a:extLst>
            <a:ext uri="{63B3BB69-23CF-44E3-9099-C40C66FF867C}">
              <a14:compatExt xmlns:a14="http://schemas.microsoft.com/office/drawing/2010/main" spid="_x0000_s6159"/>
            </a:ext>
            <a:ext uri="{FF2B5EF4-FFF2-40B4-BE49-F238E27FC236}">
              <a16:creationId xmlns:a16="http://schemas.microsoft.com/office/drawing/2014/main" id="{00000000-0008-0000-0900-00000F180000}"/>
            </a:ext>
          </a:extLst>
        </xdr:cNvPr>
        <xdr:cNvSpPr/>
      </xdr:nvSpPr>
      <xdr:spPr bwMode="auto">
        <a:xfrm>
          <a:off x="0" y="0"/>
          <a:ext cx="0" cy="0"/>
        </a:xfrm>
        <a:prstGeom prst="rect">
          <a:avLst/>
        </a:prstGeom>
        <a:noFill/>
        <a:ln>
          <a:noFill/>
        </a:ln>
        <a:effectLst/>
        <a:extLst>
          <a:ext uri="{91240B29-F687-4F45-9708-019B960494DF}">
            <a14:hiddenLine xmlns:a14="http://schemas.microsoft.com/office/drawing/2010/main" w="1">
              <a:noFill/>
              <a:miter lim="800000"/>
              <a:headEnd/>
              <a:tailEnd/>
            </a14:hiddenLine>
          </a:ex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238125</xdr:colOff>
      <xdr:row>91</xdr:row>
      <xdr:rowOff>88106</xdr:rowOff>
    </xdr:from>
    <xdr:to>
      <xdr:col>0</xdr:col>
      <xdr:colOff>809625</xdr:colOff>
      <xdr:row>93</xdr:row>
      <xdr:rowOff>11906</xdr:rowOff>
    </xdr:to>
    <xdr:sp macro="" textlink="">
      <xdr:nvSpPr>
        <xdr:cNvPr id="6160" name="CheckBox16" hidden="1">
          <a:extLst>
            <a:ext uri="{63B3BB69-23CF-44E3-9099-C40C66FF867C}">
              <a14:compatExt xmlns:a14="http://schemas.microsoft.com/office/drawing/2010/main" spid="_x0000_s6160"/>
            </a:ext>
            <a:ext uri="{FF2B5EF4-FFF2-40B4-BE49-F238E27FC236}">
              <a16:creationId xmlns:a16="http://schemas.microsoft.com/office/drawing/2014/main" id="{00000000-0008-0000-0900-000010180000}"/>
            </a:ext>
          </a:extLst>
        </xdr:cNvPr>
        <xdr:cNvSpPr/>
      </xdr:nvSpPr>
      <xdr:spPr bwMode="auto">
        <a:xfrm>
          <a:off x="0" y="0"/>
          <a:ext cx="0" cy="0"/>
        </a:xfrm>
        <a:prstGeom prst="rect">
          <a:avLst/>
        </a:prstGeom>
        <a:noFill/>
        <a:ln>
          <a:noFill/>
        </a:ln>
        <a:effectLst/>
        <a:extLst>
          <a:ext uri="{91240B29-F687-4F45-9708-019B960494DF}">
            <a14:hiddenLine xmlns:a14="http://schemas.microsoft.com/office/drawing/2010/main" w="1">
              <a:noFill/>
              <a:miter lim="800000"/>
              <a:headEnd/>
              <a:tailEnd/>
            </a14:hiddenLine>
          </a:ex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857250</xdr:colOff>
      <xdr:row>91</xdr:row>
      <xdr:rowOff>116681</xdr:rowOff>
    </xdr:from>
    <xdr:to>
      <xdr:col>0</xdr:col>
      <xdr:colOff>1428750</xdr:colOff>
      <xdr:row>93</xdr:row>
      <xdr:rowOff>40481</xdr:rowOff>
    </xdr:to>
    <xdr:sp macro="" textlink="">
      <xdr:nvSpPr>
        <xdr:cNvPr id="6161" name="CheckBox17" hidden="1">
          <a:extLst>
            <a:ext uri="{63B3BB69-23CF-44E3-9099-C40C66FF867C}">
              <a14:compatExt xmlns:a14="http://schemas.microsoft.com/office/drawing/2010/main" spid="_x0000_s6161"/>
            </a:ext>
            <a:ext uri="{FF2B5EF4-FFF2-40B4-BE49-F238E27FC236}">
              <a16:creationId xmlns:a16="http://schemas.microsoft.com/office/drawing/2014/main" id="{00000000-0008-0000-0900-000011180000}"/>
            </a:ext>
          </a:extLst>
        </xdr:cNvPr>
        <xdr:cNvSpPr/>
      </xdr:nvSpPr>
      <xdr:spPr bwMode="auto">
        <a:xfrm>
          <a:off x="0" y="0"/>
          <a:ext cx="0" cy="0"/>
        </a:xfrm>
        <a:prstGeom prst="rect">
          <a:avLst/>
        </a:prstGeom>
        <a:noFill/>
        <a:ln>
          <a:noFill/>
        </a:ln>
        <a:effectLst/>
        <a:extLst>
          <a:ext uri="{91240B29-F687-4F45-9708-019B960494DF}">
            <a14:hiddenLine xmlns:a14="http://schemas.microsoft.com/office/drawing/2010/main" w="1">
              <a:noFill/>
              <a:miter lim="800000"/>
              <a:headEnd/>
              <a:tailEnd/>
            </a14:hiddenLine>
          </a:ex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1209675</xdr:colOff>
      <xdr:row>83</xdr:row>
      <xdr:rowOff>145256</xdr:rowOff>
    </xdr:from>
    <xdr:to>
      <xdr:col>0</xdr:col>
      <xdr:colOff>1866900</xdr:colOff>
      <xdr:row>85</xdr:row>
      <xdr:rowOff>69056</xdr:rowOff>
    </xdr:to>
    <xdr:sp macro="" textlink="">
      <xdr:nvSpPr>
        <xdr:cNvPr id="6162" name="CheckBox18" hidden="1">
          <a:extLst>
            <a:ext uri="{63B3BB69-23CF-44E3-9099-C40C66FF867C}">
              <a14:compatExt xmlns:a14="http://schemas.microsoft.com/office/drawing/2010/main" spid="_x0000_s6162"/>
            </a:ext>
            <a:ext uri="{FF2B5EF4-FFF2-40B4-BE49-F238E27FC236}">
              <a16:creationId xmlns:a16="http://schemas.microsoft.com/office/drawing/2014/main" id="{00000000-0008-0000-0900-000012180000}"/>
            </a:ext>
          </a:extLst>
        </xdr:cNvPr>
        <xdr:cNvSpPr/>
      </xdr:nvSpPr>
      <xdr:spPr bwMode="auto">
        <a:xfrm>
          <a:off x="0" y="0"/>
          <a:ext cx="0" cy="0"/>
        </a:xfrm>
        <a:prstGeom prst="rect">
          <a:avLst/>
        </a:prstGeom>
        <a:noFill/>
        <a:ln>
          <a:noFill/>
        </a:ln>
        <a:effectLst/>
        <a:extLst>
          <a:ext uri="{91240B29-F687-4F45-9708-019B960494DF}">
            <a14:hiddenLine xmlns:a14="http://schemas.microsoft.com/office/drawing/2010/main" w="1">
              <a:noFill/>
              <a:miter lim="800000"/>
              <a:headEnd/>
              <a:tailEnd/>
            </a14:hiddenLine>
          </a:ex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238125</xdr:colOff>
      <xdr:row>93</xdr:row>
      <xdr:rowOff>2381</xdr:rowOff>
    </xdr:from>
    <xdr:to>
      <xdr:col>0</xdr:col>
      <xdr:colOff>990600</xdr:colOff>
      <xdr:row>94</xdr:row>
      <xdr:rowOff>116681</xdr:rowOff>
    </xdr:to>
    <xdr:sp macro="" textlink="">
      <xdr:nvSpPr>
        <xdr:cNvPr id="6163" name="CheckBox19" hidden="1">
          <a:extLst>
            <a:ext uri="{63B3BB69-23CF-44E3-9099-C40C66FF867C}">
              <a14:compatExt xmlns:a14="http://schemas.microsoft.com/office/drawing/2010/main" spid="_x0000_s6163"/>
            </a:ext>
            <a:ext uri="{FF2B5EF4-FFF2-40B4-BE49-F238E27FC236}">
              <a16:creationId xmlns:a16="http://schemas.microsoft.com/office/drawing/2014/main" id="{00000000-0008-0000-0900-000013180000}"/>
            </a:ext>
          </a:extLst>
        </xdr:cNvPr>
        <xdr:cNvSpPr/>
      </xdr:nvSpPr>
      <xdr:spPr bwMode="auto">
        <a:xfrm>
          <a:off x="0" y="0"/>
          <a:ext cx="0" cy="0"/>
        </a:xfrm>
        <a:prstGeom prst="rect">
          <a:avLst/>
        </a:prstGeom>
        <a:noFill/>
        <a:ln>
          <a:noFill/>
        </a:ln>
        <a:effectLst/>
        <a:extLst>
          <a:ext uri="{91240B29-F687-4F45-9708-019B960494DF}">
            <a14:hiddenLine xmlns:a14="http://schemas.microsoft.com/office/drawing/2010/main" w="1">
              <a:noFill/>
              <a:miter lim="800000"/>
              <a:headEnd/>
              <a:tailEnd/>
            </a14:hiddenLine>
          </a:ex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1047750</xdr:colOff>
      <xdr:row>90</xdr:row>
      <xdr:rowOff>2381</xdr:rowOff>
    </xdr:from>
    <xdr:to>
      <xdr:col>0</xdr:col>
      <xdr:colOff>1524000</xdr:colOff>
      <xdr:row>91</xdr:row>
      <xdr:rowOff>116681</xdr:rowOff>
    </xdr:to>
    <xdr:sp macro="" textlink="">
      <xdr:nvSpPr>
        <xdr:cNvPr id="6164" name="CheckBox20" hidden="1">
          <a:extLst>
            <a:ext uri="{63B3BB69-23CF-44E3-9099-C40C66FF867C}">
              <a14:compatExt xmlns:a14="http://schemas.microsoft.com/office/drawing/2010/main" spid="_x0000_s6164"/>
            </a:ext>
            <a:ext uri="{FF2B5EF4-FFF2-40B4-BE49-F238E27FC236}">
              <a16:creationId xmlns:a16="http://schemas.microsoft.com/office/drawing/2014/main" id="{00000000-0008-0000-0900-000014180000}"/>
            </a:ext>
          </a:extLst>
        </xdr:cNvPr>
        <xdr:cNvSpPr/>
      </xdr:nvSpPr>
      <xdr:spPr bwMode="auto">
        <a:xfrm>
          <a:off x="0" y="0"/>
          <a:ext cx="0" cy="0"/>
        </a:xfrm>
        <a:prstGeom prst="rect">
          <a:avLst/>
        </a:prstGeom>
        <a:noFill/>
        <a:ln>
          <a:noFill/>
        </a:ln>
        <a:effectLst/>
        <a:extLst>
          <a:ext uri="{91240B29-F687-4F45-9708-019B960494DF}">
            <a14:hiddenLine xmlns:a14="http://schemas.microsoft.com/office/drawing/2010/main" w="1">
              <a:noFill/>
              <a:miter lim="800000"/>
              <a:headEnd/>
              <a:tailEnd/>
            </a14:hiddenLine>
          </a:ex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83344</xdr:colOff>
      <xdr:row>16</xdr:row>
      <xdr:rowOff>119062</xdr:rowOff>
    </xdr:from>
    <xdr:to>
      <xdr:col>0</xdr:col>
      <xdr:colOff>1464941</xdr:colOff>
      <xdr:row>19</xdr:row>
      <xdr:rowOff>100480</xdr:rowOff>
    </xdr:to>
    <xdr:sp macro="[0]!ВосстановитьМодули" textlink="">
      <xdr:nvSpPr>
        <xdr:cNvPr id="22" name="Прямоугольник 21">
          <a:extLst>
            <a:ext uri="{FF2B5EF4-FFF2-40B4-BE49-F238E27FC236}">
              <a16:creationId xmlns:a16="http://schemas.microsoft.com/office/drawing/2014/main" id="{00000000-0008-0000-0900-000016000000}"/>
            </a:ext>
          </a:extLst>
        </xdr:cNvPr>
        <xdr:cNvSpPr>
          <a:spLocks/>
        </xdr:cNvSpPr>
      </xdr:nvSpPr>
      <xdr:spPr>
        <a:xfrm>
          <a:off x="83344" y="3167062"/>
          <a:ext cx="1381597" cy="552918"/>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ru-RU" sz="1200"/>
            <a:t>Восстановить</a:t>
          </a:r>
          <a:r>
            <a:rPr lang="ru-RU" sz="1200" baseline="0"/>
            <a:t> модули</a:t>
          </a:r>
          <a:endParaRPr lang="ru-RU" sz="1200"/>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M_st_MON_1" connectionId="8" xr16:uid="{00000000-0016-0000-1400-000000000000}"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IM_sp_MON" connectionId="1" xr16:uid="{00000000-0016-0000-1500-000001000000}"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IM_sp_MON" connectionId="3" xr16:uid="{00000000-0016-0000-1600-000002000000}"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IM_sp_MON" connectionId="2" xr16:uid="{00000000-0016-0000-1700-000003000000}"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IM_sp_MON" connectionId="5" xr16:uid="{00000000-0016-0000-1800-000004000000}"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IM_sp_MON" connectionId="7" xr16:uid="{00000000-0016-0000-1900-000005000000}"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IM_sp_MON" connectionId="6" xr16:uid="{00000000-0016-0000-1A00-000006000000}"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IM_sp_MON" connectionId="7" xr16:uid="{00000000-0016-0000-2400-000007000000}" autoFormatId="16" applyNumberFormats="0" applyBorderFormats="0" applyFontFormats="1" applyPatternFormats="1" applyAlignmentFormats="0" applyWidthHeightFormats="0"/>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IM_sp_MON_2" connectionId="5" xr16:uid="{00000000-0016-0000-2500-000008000000}" autoFormatId="16" applyNumberFormats="0" applyBorderFormats="0" applyFontFormats="1" applyPatternFormats="1" applyAlignmentFormats="0" applyWidthHeightFormats="0"/>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IM_sp_MON_2" connectionId="5" xr16:uid="{00000000-0016-0000-2900-000009000000}" autoFormatId="16" applyNumberFormats="0" applyBorderFormats="0" applyFontFormats="1" applyPatternFormats="1" applyAlignmentFormats="0" applyWidthHeightFormats="0"/>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IM_sp_MON_2" connectionId="5" xr16:uid="{00000000-0016-0000-2A00-00000A000000}" autoFormatId="16" applyNumberFormats="0" applyBorderFormats="0" applyFontFormats="1" applyPatternFormats="1" applyAlignmentFormats="0" applyWidthHeightFormats="0"/>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IM_sp_MON_2" connectionId="3" xr16:uid="{00000000-0016-0000-2B00-00000B000000}" autoFormatId="16" applyNumberFormats="0" applyBorderFormats="0" applyFontFormats="1" applyPatternFormats="1" applyAlignmentFormats="0" applyWidthHeightFormats="0"/>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IM_sp_MON" connectionId="4" xr16:uid="{00000000-0016-0000-3B00-00000C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23.xml.rels><?xml version="1.0" encoding="UTF-8" standalone="yes"?>
<Relationships xmlns="http://schemas.openxmlformats.org/package/2006/relationships"><Relationship Id="rId2" Type="http://schemas.openxmlformats.org/officeDocument/2006/relationships/queryTable" Target="../queryTables/queryTable3.xml"/><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26.xml.rels><?xml version="1.0" encoding="UTF-8" standalone="yes"?>
<Relationships xmlns="http://schemas.openxmlformats.org/package/2006/relationships"><Relationship Id="rId2" Type="http://schemas.openxmlformats.org/officeDocument/2006/relationships/queryTable" Target="../queryTables/queryTable6.xml"/><Relationship Id="rId1" Type="http://schemas.openxmlformats.org/officeDocument/2006/relationships/printerSettings" Target="../printerSettings/printerSettings17.bin"/></Relationships>
</file>

<file path=xl/worksheets/_rels/sheet27.xml.rels><?xml version="1.0" encoding="UTF-8" standalone="yes"?>
<Relationships xmlns="http://schemas.openxmlformats.org/package/2006/relationships"><Relationship Id="rId2" Type="http://schemas.openxmlformats.org/officeDocument/2006/relationships/queryTable" Target="../queryTables/queryTable7.xml"/><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7.xml.rels><?xml version="1.0" encoding="UTF-8" standalone="yes"?>
<Relationships xmlns="http://schemas.openxmlformats.org/package/2006/relationships"><Relationship Id="rId2" Type="http://schemas.openxmlformats.org/officeDocument/2006/relationships/queryTable" Target="../queryTables/queryTable8.xml"/><Relationship Id="rId1" Type="http://schemas.openxmlformats.org/officeDocument/2006/relationships/printerSettings" Target="../printerSettings/printerSettings22.bin"/></Relationships>
</file>

<file path=xl/worksheets/_rels/sheet38.xml.rels><?xml version="1.0" encoding="UTF-8" standalone="yes"?>
<Relationships xmlns="http://schemas.openxmlformats.org/package/2006/relationships"><Relationship Id="rId2" Type="http://schemas.openxmlformats.org/officeDocument/2006/relationships/queryTable" Target="../queryTables/queryTable9.xml"/><Relationship Id="rId1" Type="http://schemas.openxmlformats.org/officeDocument/2006/relationships/printerSettings" Target="../printerSettings/printerSettings23.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2.xml.rels><?xml version="1.0" encoding="UTF-8" standalone="yes"?>
<Relationships xmlns="http://schemas.openxmlformats.org/package/2006/relationships"><Relationship Id="rId1" Type="http://schemas.openxmlformats.org/officeDocument/2006/relationships/queryTable" Target="../queryTables/queryTable10.xml"/></Relationships>
</file>

<file path=xl/worksheets/_rels/sheet43.xml.rels><?xml version="1.0" encoding="UTF-8" standalone="yes"?>
<Relationships xmlns="http://schemas.openxmlformats.org/package/2006/relationships"><Relationship Id="rId1" Type="http://schemas.openxmlformats.org/officeDocument/2006/relationships/queryTable" Target="../queryTables/queryTable11.xml"/></Relationships>
</file>

<file path=xl/worksheets/_rels/sheet44.xml.rels><?xml version="1.0" encoding="UTF-8" standalone="yes"?>
<Relationships xmlns="http://schemas.openxmlformats.org/package/2006/relationships"><Relationship Id="rId2" Type="http://schemas.openxmlformats.org/officeDocument/2006/relationships/queryTable" Target="../queryTables/queryTable12.xml"/><Relationship Id="rId1" Type="http://schemas.openxmlformats.org/officeDocument/2006/relationships/printerSettings" Target="../printerSettings/printerSettings27.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60.xml.rels><?xml version="1.0" encoding="UTF-8" standalone="yes"?>
<Relationships xmlns="http://schemas.openxmlformats.org/package/2006/relationships"><Relationship Id="rId2" Type="http://schemas.openxmlformats.org/officeDocument/2006/relationships/queryTable" Target="../queryTables/queryTable13.xml"/><Relationship Id="rId1" Type="http://schemas.openxmlformats.org/officeDocument/2006/relationships/printerSettings" Target="../printerSettings/printerSettings34.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20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204.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217.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218.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220.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Лист1">
    <tabColor theme="3" tint="0.79998168889431442"/>
  </sheetPr>
  <dimension ref="A1:AS1646"/>
  <sheetViews>
    <sheetView tabSelected="1" zoomScale="80" zoomScaleNormal="80" workbookViewId="0">
      <pane xSplit="5" ySplit="1" topLeftCell="P2" activePane="bottomRight" state="frozen"/>
      <selection activeCell="B3" sqref="B3"/>
      <selection pane="topRight" activeCell="B3" sqref="B3"/>
      <selection pane="bottomLeft" activeCell="B3" sqref="B3"/>
      <selection pane="bottomRight" activeCell="E6" sqref="E6"/>
    </sheetView>
  </sheetViews>
  <sheetFormatPr defaultColWidth="9.109375" defaultRowHeight="15" customHeight="1"/>
  <cols>
    <col min="1" max="1" width="22.88671875" style="393" customWidth="1"/>
    <col min="2" max="2" width="3.88671875" style="400" customWidth="1"/>
    <col min="3" max="3" width="19" style="385" customWidth="1"/>
    <col min="4" max="4" width="23.44140625" style="418" customWidth="1"/>
    <col min="5" max="5" width="62" style="663" customWidth="1"/>
    <col min="6" max="6" width="13.33203125" style="418" customWidth="1"/>
    <col min="7" max="7" width="43.6640625" style="385" customWidth="1"/>
    <col min="8" max="8" width="5.44140625" style="769" customWidth="1"/>
    <col min="9" max="9" width="5.33203125" style="385" customWidth="1"/>
    <col min="10" max="10" width="18.5546875" style="385" customWidth="1"/>
    <col min="11" max="11" width="43.6640625" style="413" customWidth="1"/>
    <col min="12" max="12" width="51.5546875" style="659" customWidth="1"/>
    <col min="13" max="13" width="30.44140625" style="385" customWidth="1"/>
    <col min="14" max="14" width="63.44140625" style="385" customWidth="1"/>
    <col min="15" max="15" width="49.5546875" style="385" customWidth="1"/>
    <col min="16" max="16" width="27.5546875" style="385" customWidth="1"/>
    <col min="17" max="17" width="37.44140625" style="385" customWidth="1"/>
    <col min="18" max="18" width="16.88671875" style="385" customWidth="1"/>
    <col min="19" max="19" width="3.6640625" style="659" customWidth="1"/>
    <col min="20" max="20" width="3.33203125" style="385" customWidth="1"/>
    <col min="21" max="21" width="4" style="385" customWidth="1"/>
    <col min="22" max="22" width="4.44140625" style="385" customWidth="1"/>
    <col min="23" max="23" width="7.109375" style="385" customWidth="1"/>
    <col min="24" max="24" width="9.5546875" style="385" customWidth="1"/>
    <col min="25" max="25" width="37.5546875" style="443" customWidth="1"/>
    <col min="26" max="26" width="48.88671875" style="443" customWidth="1"/>
    <col min="27" max="27" width="49.44140625" style="443" customWidth="1"/>
    <col min="28" max="29" width="36.6640625" style="443" customWidth="1"/>
    <col min="30" max="30" width="49.44140625" style="443" customWidth="1"/>
    <col min="31" max="31" width="43.6640625" style="443" customWidth="1"/>
    <col min="32" max="36" width="36.6640625" style="443" customWidth="1"/>
    <col min="37" max="37" width="36.33203125" style="401" customWidth="1"/>
    <col min="38" max="38" width="30.44140625" style="401" customWidth="1"/>
    <col min="39" max="39" width="42.88671875" style="401" customWidth="1"/>
    <col min="40" max="40" width="23" style="401" customWidth="1"/>
    <col min="41" max="41" width="33" style="385" customWidth="1"/>
    <col min="42" max="42" width="30" style="411" customWidth="1"/>
    <col min="43" max="43" width="27.44140625" style="411" customWidth="1"/>
    <col min="44" max="44" width="50.44140625" style="385" customWidth="1"/>
    <col min="45" max="45" width="0.109375" style="385" customWidth="1"/>
    <col min="46" max="46" width="27" style="385" customWidth="1"/>
    <col min="47" max="47" width="14.33203125" style="385" customWidth="1"/>
    <col min="48" max="48" width="17.6640625" style="385" customWidth="1"/>
    <col min="49" max="49" width="28.33203125" style="385" customWidth="1"/>
    <col min="50" max="50" width="17" style="385" customWidth="1"/>
    <col min="51" max="51" width="20.109375" style="385" customWidth="1"/>
    <col min="52" max="16384" width="9.109375" style="385"/>
  </cols>
  <sheetData>
    <row r="1" spans="1:45" ht="137.25" customHeight="1">
      <c r="A1" s="386"/>
      <c r="B1" s="387"/>
      <c r="C1" s="388" t="s">
        <v>1762</v>
      </c>
      <c r="D1" s="419" t="s">
        <v>328</v>
      </c>
      <c r="E1" s="389" t="s">
        <v>397</v>
      </c>
      <c r="F1" s="420" t="s">
        <v>398</v>
      </c>
      <c r="G1" s="389" t="s">
        <v>3077</v>
      </c>
      <c r="H1" s="767" t="s">
        <v>2697</v>
      </c>
      <c r="I1" s="390" t="s">
        <v>53</v>
      </c>
      <c r="J1" s="390" t="s">
        <v>51</v>
      </c>
      <c r="K1" s="638" t="s">
        <v>3002</v>
      </c>
      <c r="L1" s="383" t="s">
        <v>2929</v>
      </c>
      <c r="M1" s="383" t="s">
        <v>2616</v>
      </c>
      <c r="N1" s="752" t="s">
        <v>3006</v>
      </c>
      <c r="O1" s="383" t="s">
        <v>3014</v>
      </c>
      <c r="P1" s="383" t="s">
        <v>1863</v>
      </c>
      <c r="Q1" s="383" t="s">
        <v>2676</v>
      </c>
      <c r="R1" s="383" t="s">
        <v>2763</v>
      </c>
      <c r="S1" s="391" t="s">
        <v>451</v>
      </c>
      <c r="T1" s="383"/>
      <c r="U1" s="423"/>
      <c r="V1" s="423"/>
      <c r="W1" s="423"/>
      <c r="X1" s="423"/>
      <c r="Y1" s="440" t="s">
        <v>3018</v>
      </c>
      <c r="Z1" s="440" t="s">
        <v>3020</v>
      </c>
      <c r="AA1" s="440" t="s">
        <v>3028</v>
      </c>
      <c r="AB1" s="440" t="s">
        <v>3036</v>
      </c>
      <c r="AC1" s="440" t="s">
        <v>3042</v>
      </c>
      <c r="AD1" s="440" t="s">
        <v>3047</v>
      </c>
      <c r="AE1" s="440" t="s">
        <v>3055</v>
      </c>
      <c r="AF1" s="440" t="s">
        <v>3063</v>
      </c>
      <c r="AG1" s="440" t="s">
        <v>3071</v>
      </c>
      <c r="AH1" s="440" t="s">
        <v>3075</v>
      </c>
      <c r="AI1" s="440" t="s">
        <v>1174</v>
      </c>
      <c r="AJ1" s="440" t="s">
        <v>1175</v>
      </c>
      <c r="AK1" s="392" t="s">
        <v>1747</v>
      </c>
      <c r="AL1" s="392" t="s">
        <v>1678</v>
      </c>
      <c r="AM1" s="392" t="s">
        <v>2940</v>
      </c>
      <c r="AN1" s="392" t="s">
        <v>823</v>
      </c>
      <c r="AO1" s="392" t="s">
        <v>1705</v>
      </c>
      <c r="AP1" s="412" t="s">
        <v>1333</v>
      </c>
      <c r="AQ1" s="412" t="s">
        <v>1206</v>
      </c>
    </row>
    <row r="2" spans="1:45" ht="15" customHeight="1">
      <c r="B2" s="394">
        <v>1</v>
      </c>
      <c r="C2" s="395" t="s">
        <v>607</v>
      </c>
      <c r="D2" s="417" t="s">
        <v>3429</v>
      </c>
      <c r="E2" s="662" t="s">
        <v>5022</v>
      </c>
      <c r="F2" s="417"/>
      <c r="G2" s="384"/>
      <c r="H2" s="768"/>
      <c r="I2" s="384"/>
      <c r="J2" s="384" t="s">
        <v>4981</v>
      </c>
      <c r="K2" s="657"/>
      <c r="L2" s="658"/>
      <c r="M2" s="384"/>
      <c r="N2" s="384">
        <v>1</v>
      </c>
      <c r="O2" s="384" t="s">
        <v>4992</v>
      </c>
      <c r="P2" s="384" t="s">
        <v>426</v>
      </c>
      <c r="Q2" s="384" t="s">
        <v>187</v>
      </c>
      <c r="R2" s="384"/>
      <c r="S2" s="660"/>
      <c r="T2" s="396"/>
      <c r="U2" s="384"/>
      <c r="V2" s="384"/>
      <c r="W2" s="384"/>
      <c r="X2" s="384"/>
      <c r="Y2" s="442" t="s">
        <v>3430</v>
      </c>
      <c r="Z2" s="442"/>
      <c r="AA2" s="441"/>
      <c r="AB2" s="441"/>
      <c r="AC2" s="441"/>
      <c r="AD2" s="441"/>
      <c r="AE2" s="441"/>
      <c r="AF2" s="441"/>
      <c r="AG2" s="441"/>
      <c r="AH2" s="441"/>
      <c r="AI2" s="441"/>
      <c r="AJ2" s="441"/>
      <c r="AK2" s="395"/>
      <c r="AL2" s="395"/>
      <c r="AM2" s="395">
        <v>0</v>
      </c>
      <c r="AN2" s="395"/>
      <c r="AO2" s="395"/>
      <c r="AP2" s="410"/>
      <c r="AQ2" s="410"/>
      <c r="AS2" s="740" t="s">
        <v>1746</v>
      </c>
    </row>
    <row r="3" spans="1:45" ht="15" customHeight="1">
      <c r="B3" s="394">
        <v>1</v>
      </c>
      <c r="C3" s="395" t="s">
        <v>607</v>
      </c>
      <c r="D3" s="417" t="s">
        <v>3431</v>
      </c>
      <c r="E3" s="662" t="s">
        <v>5023</v>
      </c>
      <c r="F3" s="417"/>
      <c r="G3" s="384"/>
      <c r="H3" s="768"/>
      <c r="I3" s="384"/>
      <c r="J3" s="384" t="s">
        <v>4981</v>
      </c>
      <c r="K3" s="657"/>
      <c r="L3" s="658"/>
      <c r="M3" s="384"/>
      <c r="N3" s="384">
        <v>1</v>
      </c>
      <c r="O3" s="384" t="s">
        <v>4992</v>
      </c>
      <c r="P3" s="384" t="s">
        <v>426</v>
      </c>
      <c r="Q3" s="384" t="s">
        <v>187</v>
      </c>
      <c r="R3" s="384"/>
      <c r="S3" s="660"/>
      <c r="T3" s="396"/>
      <c r="U3" s="384"/>
      <c r="V3" s="384"/>
      <c r="W3" s="384"/>
      <c r="X3" s="384"/>
      <c r="Y3" s="442" t="s">
        <v>3432</v>
      </c>
      <c r="Z3" s="442"/>
      <c r="AA3" s="441"/>
      <c r="AB3" s="441"/>
      <c r="AC3" s="441"/>
      <c r="AD3" s="441"/>
      <c r="AE3" s="441"/>
      <c r="AF3" s="441"/>
      <c r="AG3" s="441"/>
      <c r="AH3" s="441"/>
      <c r="AI3" s="441"/>
      <c r="AJ3" s="441"/>
      <c r="AK3" s="395"/>
      <c r="AL3" s="395"/>
      <c r="AM3" s="395">
        <v>0</v>
      </c>
      <c r="AN3" s="395"/>
      <c r="AO3" s="395"/>
      <c r="AP3" s="410"/>
      <c r="AQ3" s="410"/>
    </row>
    <row r="4" spans="1:45" ht="15" customHeight="1">
      <c r="B4" s="394">
        <v>1</v>
      </c>
      <c r="C4" s="395" t="s">
        <v>607</v>
      </c>
      <c r="D4" s="417" t="s">
        <v>3433</v>
      </c>
      <c r="E4" s="662" t="s">
        <v>5024</v>
      </c>
      <c r="F4" s="417"/>
      <c r="G4" s="384"/>
      <c r="H4" s="768"/>
      <c r="I4" s="384"/>
      <c r="J4" s="384" t="s">
        <v>4981</v>
      </c>
      <c r="K4" s="657"/>
      <c r="L4" s="658"/>
      <c r="M4" s="384"/>
      <c r="N4" s="384">
        <v>1</v>
      </c>
      <c r="O4" s="384" t="s">
        <v>4992</v>
      </c>
      <c r="P4" s="384" t="s">
        <v>426</v>
      </c>
      <c r="Q4" s="384" t="s">
        <v>187</v>
      </c>
      <c r="R4" s="384"/>
      <c r="S4" s="660"/>
      <c r="T4" s="396"/>
      <c r="U4" s="384"/>
      <c r="V4" s="384"/>
      <c r="W4" s="384"/>
      <c r="X4" s="384"/>
      <c r="Y4" s="442" t="s">
        <v>3434</v>
      </c>
      <c r="Z4" s="442"/>
      <c r="AA4" s="441"/>
      <c r="AB4" s="441"/>
      <c r="AC4" s="441"/>
      <c r="AD4" s="441"/>
      <c r="AE4" s="441"/>
      <c r="AF4" s="441"/>
      <c r="AG4" s="441"/>
      <c r="AH4" s="441"/>
      <c r="AI4" s="441"/>
      <c r="AJ4" s="441"/>
      <c r="AK4" s="395"/>
      <c r="AL4" s="395"/>
      <c r="AM4" s="395">
        <v>0</v>
      </c>
      <c r="AN4" s="395"/>
      <c r="AO4" s="395"/>
      <c r="AP4" s="410"/>
      <c r="AQ4" s="410"/>
    </row>
    <row r="5" spans="1:45" ht="15" customHeight="1">
      <c r="B5" s="394">
        <v>1</v>
      </c>
      <c r="C5" s="395" t="s">
        <v>607</v>
      </c>
      <c r="D5" s="417" t="s">
        <v>3435</v>
      </c>
      <c r="E5" s="662" t="s">
        <v>5025</v>
      </c>
      <c r="F5" s="417"/>
      <c r="G5" s="384"/>
      <c r="H5" s="768"/>
      <c r="I5" s="384"/>
      <c r="J5" s="384" t="s">
        <v>4981</v>
      </c>
      <c r="K5" s="657"/>
      <c r="L5" s="658"/>
      <c r="M5" s="384"/>
      <c r="N5" s="384">
        <v>4</v>
      </c>
      <c r="O5" s="384" t="s">
        <v>4992</v>
      </c>
      <c r="P5" s="384" t="s">
        <v>426</v>
      </c>
      <c r="Q5" s="384" t="s">
        <v>187</v>
      </c>
      <c r="R5" s="384"/>
      <c r="S5" s="660"/>
      <c r="T5" s="396"/>
      <c r="U5" s="384"/>
      <c r="V5" s="384"/>
      <c r="W5" s="384"/>
      <c r="X5" s="384"/>
      <c r="Y5" s="442" t="s">
        <v>3436</v>
      </c>
      <c r="Z5" s="442"/>
      <c r="AA5" s="441"/>
      <c r="AB5" s="441"/>
      <c r="AC5" s="441"/>
      <c r="AD5" s="441"/>
      <c r="AE5" s="441"/>
      <c r="AF5" s="441"/>
      <c r="AG5" s="441"/>
      <c r="AH5" s="441"/>
      <c r="AI5" s="441"/>
      <c r="AJ5" s="441"/>
      <c r="AK5" s="395"/>
      <c r="AL5" s="395"/>
      <c r="AM5" s="395">
        <v>0</v>
      </c>
      <c r="AN5" s="395"/>
      <c r="AO5" s="395"/>
      <c r="AP5" s="410"/>
      <c r="AQ5" s="410"/>
    </row>
    <row r="6" spans="1:45" ht="15" customHeight="1">
      <c r="B6" s="394">
        <v>1</v>
      </c>
      <c r="C6" s="395" t="s">
        <v>607</v>
      </c>
      <c r="D6" s="417" t="s">
        <v>3437</v>
      </c>
      <c r="E6" s="662" t="s">
        <v>5026</v>
      </c>
      <c r="F6" s="417"/>
      <c r="G6" s="384"/>
      <c r="H6" s="768"/>
      <c r="I6" s="384"/>
      <c r="J6" s="384" t="s">
        <v>4981</v>
      </c>
      <c r="K6" s="657"/>
      <c r="L6" s="658"/>
      <c r="M6" s="384"/>
      <c r="N6" s="384">
        <v>1</v>
      </c>
      <c r="O6" s="384" t="s">
        <v>4992</v>
      </c>
      <c r="P6" s="384" t="s">
        <v>426</v>
      </c>
      <c r="Q6" s="384" t="s">
        <v>187</v>
      </c>
      <c r="R6" s="384"/>
      <c r="S6" s="660"/>
      <c r="T6" s="396"/>
      <c r="U6" s="384"/>
      <c r="V6" s="384"/>
      <c r="W6" s="384"/>
      <c r="X6" s="384"/>
      <c r="Y6" s="442" t="s">
        <v>3438</v>
      </c>
      <c r="Z6" s="442"/>
      <c r="AA6" s="441"/>
      <c r="AB6" s="441"/>
      <c r="AC6" s="441"/>
      <c r="AD6" s="441"/>
      <c r="AE6" s="441"/>
      <c r="AF6" s="441"/>
      <c r="AG6" s="441"/>
      <c r="AH6" s="441"/>
      <c r="AI6" s="441"/>
      <c r="AJ6" s="441"/>
      <c r="AK6" s="395"/>
      <c r="AL6" s="395"/>
      <c r="AM6" s="395">
        <v>0</v>
      </c>
      <c r="AN6" s="395"/>
      <c r="AO6" s="395"/>
      <c r="AP6" s="410"/>
      <c r="AQ6" s="410"/>
    </row>
    <row r="7" spans="1:45" ht="15" customHeight="1">
      <c r="B7" s="394">
        <v>1</v>
      </c>
      <c r="C7" s="395" t="s">
        <v>607</v>
      </c>
      <c r="D7" s="417" t="s">
        <v>3439</v>
      </c>
      <c r="E7" s="662" t="s">
        <v>5027</v>
      </c>
      <c r="F7" s="417"/>
      <c r="G7" s="384"/>
      <c r="H7" s="768"/>
      <c r="I7" s="384"/>
      <c r="J7" s="384" t="s">
        <v>4981</v>
      </c>
      <c r="K7" s="657"/>
      <c r="L7" s="658"/>
      <c r="M7" s="384"/>
      <c r="N7" s="384">
        <v>1</v>
      </c>
      <c r="O7" s="384" t="s">
        <v>4992</v>
      </c>
      <c r="P7" s="384" t="s">
        <v>426</v>
      </c>
      <c r="Q7" s="384" t="s">
        <v>187</v>
      </c>
      <c r="R7" s="384"/>
      <c r="S7" s="660"/>
      <c r="T7" s="396"/>
      <c r="U7" s="384"/>
      <c r="V7" s="384"/>
      <c r="W7" s="384"/>
      <c r="X7" s="384"/>
      <c r="Y7" s="442" t="s">
        <v>3440</v>
      </c>
      <c r="Z7" s="442"/>
      <c r="AA7" s="441"/>
      <c r="AB7" s="441"/>
      <c r="AC7" s="441"/>
      <c r="AD7" s="441"/>
      <c r="AE7" s="441"/>
      <c r="AF7" s="441"/>
      <c r="AG7" s="441"/>
      <c r="AH7" s="441"/>
      <c r="AI7" s="441"/>
      <c r="AJ7" s="441"/>
      <c r="AK7" s="395"/>
      <c r="AL7" s="395"/>
      <c r="AM7" s="395">
        <v>0</v>
      </c>
      <c r="AN7" s="395"/>
      <c r="AO7" s="395"/>
      <c r="AP7" s="410"/>
      <c r="AQ7" s="410"/>
    </row>
    <row r="8" spans="1:45" ht="15" customHeight="1">
      <c r="B8" s="394">
        <v>1</v>
      </c>
      <c r="C8" s="395" t="s">
        <v>607</v>
      </c>
      <c r="D8" s="417" t="s">
        <v>3441</v>
      </c>
      <c r="E8" s="662" t="s">
        <v>5028</v>
      </c>
      <c r="F8" s="417"/>
      <c r="G8" s="384"/>
      <c r="H8" s="768"/>
      <c r="I8" s="384"/>
      <c r="J8" s="384" t="s">
        <v>4981</v>
      </c>
      <c r="K8" s="657"/>
      <c r="L8" s="658"/>
      <c r="M8" s="384"/>
      <c r="N8" s="384">
        <v>1</v>
      </c>
      <c r="O8" s="384" t="s">
        <v>4992</v>
      </c>
      <c r="P8" s="384" t="s">
        <v>426</v>
      </c>
      <c r="Q8" s="384" t="s">
        <v>187</v>
      </c>
      <c r="R8" s="384"/>
      <c r="S8" s="660"/>
      <c r="T8" s="396"/>
      <c r="U8" s="384"/>
      <c r="V8" s="384"/>
      <c r="W8" s="384"/>
      <c r="X8" s="384"/>
      <c r="Y8" s="442" t="s">
        <v>3442</v>
      </c>
      <c r="Z8" s="442"/>
      <c r="AA8" s="441"/>
      <c r="AB8" s="441"/>
      <c r="AC8" s="441"/>
      <c r="AD8" s="441"/>
      <c r="AE8" s="441"/>
      <c r="AF8" s="441"/>
      <c r="AG8" s="441"/>
      <c r="AH8" s="441"/>
      <c r="AI8" s="441"/>
      <c r="AJ8" s="441"/>
      <c r="AK8" s="395"/>
      <c r="AL8" s="395"/>
      <c r="AM8" s="395">
        <v>0</v>
      </c>
      <c r="AN8" s="395"/>
      <c r="AO8" s="395"/>
      <c r="AP8" s="410"/>
      <c r="AQ8" s="410"/>
    </row>
    <row r="9" spans="1:45" ht="15" customHeight="1">
      <c r="B9" s="394">
        <v>1</v>
      </c>
      <c r="C9" s="395" t="s">
        <v>607</v>
      </c>
      <c r="D9" s="417" t="s">
        <v>3443</v>
      </c>
      <c r="E9" s="662" t="s">
        <v>5029</v>
      </c>
      <c r="F9" s="417"/>
      <c r="G9" s="384"/>
      <c r="H9" s="768"/>
      <c r="I9" s="384"/>
      <c r="J9" s="384" t="s">
        <v>4981</v>
      </c>
      <c r="K9" s="657"/>
      <c r="L9" s="658"/>
      <c r="M9" s="384"/>
      <c r="N9" s="384">
        <v>1</v>
      </c>
      <c r="O9" s="384" t="s">
        <v>4992</v>
      </c>
      <c r="P9" s="384" t="s">
        <v>426</v>
      </c>
      <c r="Q9" s="384" t="s">
        <v>187</v>
      </c>
      <c r="R9" s="384"/>
      <c r="S9" s="660"/>
      <c r="T9" s="396"/>
      <c r="U9" s="384"/>
      <c r="V9" s="384"/>
      <c r="W9" s="384"/>
      <c r="X9" s="384"/>
      <c r="Y9" s="442" t="s">
        <v>3444</v>
      </c>
      <c r="Z9" s="442"/>
      <c r="AA9" s="441"/>
      <c r="AB9" s="441"/>
      <c r="AC9" s="441"/>
      <c r="AD9" s="441"/>
      <c r="AE9" s="441"/>
      <c r="AF9" s="441"/>
      <c r="AG9" s="441"/>
      <c r="AH9" s="441"/>
      <c r="AI9" s="441"/>
      <c r="AJ9" s="441"/>
      <c r="AK9" s="395"/>
      <c r="AL9" s="395"/>
      <c r="AM9" s="395">
        <v>0</v>
      </c>
      <c r="AN9" s="395"/>
      <c r="AO9" s="395"/>
      <c r="AP9" s="410"/>
      <c r="AQ9" s="410"/>
    </row>
    <row r="10" spans="1:45" ht="15" customHeight="1">
      <c r="B10" s="394">
        <v>1</v>
      </c>
      <c r="C10" s="395" t="s">
        <v>607</v>
      </c>
      <c r="D10" s="417" t="s">
        <v>3445</v>
      </c>
      <c r="E10" s="662" t="s">
        <v>5030</v>
      </c>
      <c r="F10" s="417"/>
      <c r="G10" s="384"/>
      <c r="H10" s="768"/>
      <c r="I10" s="384"/>
      <c r="J10" s="384" t="s">
        <v>4981</v>
      </c>
      <c r="K10" s="657"/>
      <c r="L10" s="658"/>
      <c r="M10" s="384"/>
      <c r="N10" s="384">
        <v>1</v>
      </c>
      <c r="O10" s="384" t="s">
        <v>4992</v>
      </c>
      <c r="P10" s="384" t="s">
        <v>426</v>
      </c>
      <c r="Q10" s="384" t="s">
        <v>187</v>
      </c>
      <c r="R10" s="384"/>
      <c r="S10" s="660"/>
      <c r="T10" s="396"/>
      <c r="U10" s="384"/>
      <c r="V10" s="384"/>
      <c r="W10" s="384"/>
      <c r="X10" s="384"/>
      <c r="Y10" s="442" t="s">
        <v>3446</v>
      </c>
      <c r="Z10" s="442"/>
      <c r="AA10" s="441"/>
      <c r="AB10" s="441"/>
      <c r="AC10" s="441"/>
      <c r="AD10" s="441"/>
      <c r="AE10" s="441"/>
      <c r="AF10" s="441"/>
      <c r="AG10" s="441"/>
      <c r="AH10" s="441"/>
      <c r="AI10" s="441"/>
      <c r="AJ10" s="441"/>
      <c r="AK10" s="395"/>
      <c r="AL10" s="395"/>
      <c r="AM10" s="395">
        <v>0</v>
      </c>
      <c r="AN10" s="395"/>
      <c r="AO10" s="395"/>
      <c r="AP10" s="410"/>
      <c r="AQ10" s="410"/>
    </row>
    <row r="11" spans="1:45" ht="15" customHeight="1">
      <c r="B11" s="394">
        <v>1</v>
      </c>
      <c r="C11" s="395" t="s">
        <v>607</v>
      </c>
      <c r="D11" s="417" t="s">
        <v>3447</v>
      </c>
      <c r="E11" s="662" t="s">
        <v>5031</v>
      </c>
      <c r="F11" s="417"/>
      <c r="G11" s="384"/>
      <c r="H11" s="768"/>
      <c r="I11" s="384"/>
      <c r="J11" s="384" t="s">
        <v>4981</v>
      </c>
      <c r="K11" s="657"/>
      <c r="L11" s="658"/>
      <c r="M11" s="384"/>
      <c r="N11" s="384">
        <v>1</v>
      </c>
      <c r="O11" s="384" t="s">
        <v>4992</v>
      </c>
      <c r="P11" s="384" t="s">
        <v>426</v>
      </c>
      <c r="Q11" s="384" t="s">
        <v>187</v>
      </c>
      <c r="R11" s="384"/>
      <c r="S11" s="660"/>
      <c r="T11" s="396"/>
      <c r="U11" s="384"/>
      <c r="V11" s="384"/>
      <c r="W11" s="384"/>
      <c r="X11" s="384"/>
      <c r="Y11" s="442" t="s">
        <v>3448</v>
      </c>
      <c r="Z11" s="442"/>
      <c r="AA11" s="441"/>
      <c r="AB11" s="441"/>
      <c r="AC11" s="441"/>
      <c r="AD11" s="441"/>
      <c r="AE11" s="441"/>
      <c r="AF11" s="441"/>
      <c r="AG11" s="441"/>
      <c r="AH11" s="441"/>
      <c r="AI11" s="441"/>
      <c r="AJ11" s="441"/>
      <c r="AK11" s="395"/>
      <c r="AL11" s="395"/>
      <c r="AM11" s="395">
        <v>0</v>
      </c>
      <c r="AN11" s="395"/>
      <c r="AO11" s="395"/>
      <c r="AP11" s="410"/>
      <c r="AQ11" s="410"/>
    </row>
    <row r="12" spans="1:45" ht="15" customHeight="1">
      <c r="B12" s="394">
        <v>1</v>
      </c>
      <c r="C12" s="395" t="s">
        <v>607</v>
      </c>
      <c r="D12" s="417" t="s">
        <v>3449</v>
      </c>
      <c r="E12" s="662" t="s">
        <v>5032</v>
      </c>
      <c r="F12" s="417"/>
      <c r="G12" s="384"/>
      <c r="H12" s="768"/>
      <c r="I12" s="384"/>
      <c r="J12" s="384" t="s">
        <v>4981</v>
      </c>
      <c r="K12" s="657"/>
      <c r="L12" s="658"/>
      <c r="M12" s="384"/>
      <c r="N12" s="384">
        <v>4</v>
      </c>
      <c r="O12" s="384" t="s">
        <v>4992</v>
      </c>
      <c r="P12" s="384" t="s">
        <v>426</v>
      </c>
      <c r="Q12" s="384" t="s">
        <v>187</v>
      </c>
      <c r="R12" s="384"/>
      <c r="S12" s="660"/>
      <c r="T12" s="396"/>
      <c r="U12" s="384"/>
      <c r="V12" s="384"/>
      <c r="W12" s="384"/>
      <c r="X12" s="384"/>
      <c r="Y12" s="442" t="s">
        <v>3450</v>
      </c>
      <c r="Z12" s="442"/>
      <c r="AA12" s="441"/>
      <c r="AB12" s="441"/>
      <c r="AC12" s="441"/>
      <c r="AD12" s="441"/>
      <c r="AE12" s="441"/>
      <c r="AF12" s="441"/>
      <c r="AG12" s="441"/>
      <c r="AH12" s="441"/>
      <c r="AI12" s="441"/>
      <c r="AJ12" s="441"/>
      <c r="AK12" s="395"/>
      <c r="AL12" s="395"/>
      <c r="AM12" s="395">
        <v>0</v>
      </c>
      <c r="AN12" s="395"/>
      <c r="AO12" s="395"/>
      <c r="AP12" s="410"/>
      <c r="AQ12" s="410"/>
    </row>
    <row r="13" spans="1:45" ht="15" customHeight="1">
      <c r="B13" s="394">
        <v>1</v>
      </c>
      <c r="C13" s="395" t="s">
        <v>607</v>
      </c>
      <c r="D13" s="417" t="s">
        <v>3451</v>
      </c>
      <c r="E13" s="662" t="s">
        <v>5033</v>
      </c>
      <c r="F13" s="417"/>
      <c r="G13" s="384"/>
      <c r="H13" s="768"/>
      <c r="I13" s="384"/>
      <c r="J13" s="384" t="s">
        <v>4981</v>
      </c>
      <c r="K13" s="657"/>
      <c r="L13" s="658"/>
      <c r="M13" s="384"/>
      <c r="N13" s="384">
        <v>1</v>
      </c>
      <c r="O13" s="384" t="s">
        <v>4992</v>
      </c>
      <c r="P13" s="384" t="s">
        <v>426</v>
      </c>
      <c r="Q13" s="384" t="s">
        <v>187</v>
      </c>
      <c r="R13" s="384"/>
      <c r="S13" s="660"/>
      <c r="T13" s="396"/>
      <c r="U13" s="384"/>
      <c r="V13" s="384"/>
      <c r="W13" s="384"/>
      <c r="X13" s="384"/>
      <c r="Y13" s="442" t="s">
        <v>3452</v>
      </c>
      <c r="Z13" s="442"/>
      <c r="AA13" s="441"/>
      <c r="AB13" s="441"/>
      <c r="AC13" s="441"/>
      <c r="AD13" s="441"/>
      <c r="AE13" s="441"/>
      <c r="AF13" s="441"/>
      <c r="AG13" s="441"/>
      <c r="AH13" s="441"/>
      <c r="AI13" s="441"/>
      <c r="AJ13" s="441"/>
      <c r="AK13" s="395"/>
      <c r="AL13" s="395"/>
      <c r="AM13" s="395">
        <v>0</v>
      </c>
      <c r="AN13" s="395"/>
      <c r="AO13" s="395"/>
      <c r="AP13" s="410"/>
      <c r="AQ13" s="410"/>
    </row>
    <row r="14" spans="1:45" ht="15" customHeight="1">
      <c r="B14" s="394">
        <v>1</v>
      </c>
      <c r="C14" s="395" t="s">
        <v>607</v>
      </c>
      <c r="D14" s="417" t="s">
        <v>3453</v>
      </c>
      <c r="E14" s="662" t="s">
        <v>5034</v>
      </c>
      <c r="F14" s="417"/>
      <c r="G14" s="384"/>
      <c r="H14" s="768"/>
      <c r="I14" s="384"/>
      <c r="J14" s="384" t="s">
        <v>4981</v>
      </c>
      <c r="K14" s="657"/>
      <c r="L14" s="658"/>
      <c r="M14" s="384"/>
      <c r="N14" s="384">
        <v>1</v>
      </c>
      <c r="O14" s="384" t="s">
        <v>4992</v>
      </c>
      <c r="P14" s="384" t="s">
        <v>426</v>
      </c>
      <c r="Q14" s="384" t="s">
        <v>187</v>
      </c>
      <c r="R14" s="384"/>
      <c r="S14" s="660"/>
      <c r="T14" s="396"/>
      <c r="U14" s="384"/>
      <c r="V14" s="384"/>
      <c r="W14" s="384"/>
      <c r="X14" s="384"/>
      <c r="Y14" s="442" t="s">
        <v>3454</v>
      </c>
      <c r="Z14" s="442"/>
      <c r="AA14" s="441"/>
      <c r="AB14" s="441"/>
      <c r="AC14" s="441"/>
      <c r="AD14" s="441"/>
      <c r="AE14" s="441"/>
      <c r="AF14" s="441"/>
      <c r="AG14" s="441"/>
      <c r="AH14" s="441"/>
      <c r="AI14" s="441"/>
      <c r="AJ14" s="441"/>
      <c r="AK14" s="395"/>
      <c r="AL14" s="395"/>
      <c r="AM14" s="395">
        <v>0</v>
      </c>
      <c r="AN14" s="395"/>
      <c r="AO14" s="395"/>
      <c r="AP14" s="410"/>
      <c r="AQ14" s="410"/>
    </row>
    <row r="15" spans="1:45" ht="15" customHeight="1">
      <c r="B15" s="394">
        <v>1</v>
      </c>
      <c r="C15" s="395" t="s">
        <v>607</v>
      </c>
      <c r="D15" s="417" t="s">
        <v>3455</v>
      </c>
      <c r="E15" s="662" t="s">
        <v>5035</v>
      </c>
      <c r="F15" s="417"/>
      <c r="G15" s="384"/>
      <c r="H15" s="768"/>
      <c r="I15" s="384"/>
      <c r="J15" s="384" t="s">
        <v>4981</v>
      </c>
      <c r="K15" s="657"/>
      <c r="L15" s="658"/>
      <c r="M15" s="384"/>
      <c r="N15" s="384">
        <v>4</v>
      </c>
      <c r="O15" s="384" t="s">
        <v>4992</v>
      </c>
      <c r="P15" s="384" t="s">
        <v>426</v>
      </c>
      <c r="Q15" s="384" t="s">
        <v>187</v>
      </c>
      <c r="R15" s="384"/>
      <c r="S15" s="660"/>
      <c r="T15" s="396"/>
      <c r="U15" s="384"/>
      <c r="V15" s="384"/>
      <c r="W15" s="384"/>
      <c r="X15" s="384"/>
      <c r="Y15" s="442" t="s">
        <v>3456</v>
      </c>
      <c r="Z15" s="442"/>
      <c r="AA15" s="441"/>
      <c r="AB15" s="441"/>
      <c r="AC15" s="441"/>
      <c r="AD15" s="441"/>
      <c r="AE15" s="441"/>
      <c r="AF15" s="441"/>
      <c r="AG15" s="441"/>
      <c r="AH15" s="441"/>
      <c r="AI15" s="441"/>
      <c r="AJ15" s="441"/>
      <c r="AK15" s="395"/>
      <c r="AL15" s="395"/>
      <c r="AM15" s="395">
        <v>0</v>
      </c>
      <c r="AN15" s="395"/>
      <c r="AO15" s="395"/>
      <c r="AP15" s="410"/>
      <c r="AQ15" s="410"/>
    </row>
    <row r="16" spans="1:45" ht="15" customHeight="1">
      <c r="B16" s="394">
        <v>1</v>
      </c>
      <c r="C16" s="395" t="s">
        <v>607</v>
      </c>
      <c r="D16" s="417" t="s">
        <v>3457</v>
      </c>
      <c r="E16" s="662" t="s">
        <v>5036</v>
      </c>
      <c r="F16" s="417"/>
      <c r="G16" s="384"/>
      <c r="H16" s="768"/>
      <c r="I16" s="384"/>
      <c r="J16" s="384" t="s">
        <v>4981</v>
      </c>
      <c r="K16" s="657"/>
      <c r="L16" s="658"/>
      <c r="M16" s="384"/>
      <c r="N16" s="384">
        <v>4</v>
      </c>
      <c r="O16" s="384" t="s">
        <v>4992</v>
      </c>
      <c r="P16" s="384" t="s">
        <v>426</v>
      </c>
      <c r="Q16" s="384" t="s">
        <v>187</v>
      </c>
      <c r="R16" s="384"/>
      <c r="S16" s="660"/>
      <c r="T16" s="396"/>
      <c r="U16" s="384"/>
      <c r="V16" s="384"/>
      <c r="W16" s="384"/>
      <c r="X16" s="384"/>
      <c r="Y16" s="442" t="s">
        <v>3458</v>
      </c>
      <c r="Z16" s="442"/>
      <c r="AA16" s="441"/>
      <c r="AB16" s="441"/>
      <c r="AC16" s="441"/>
      <c r="AD16" s="441"/>
      <c r="AE16" s="441"/>
      <c r="AF16" s="441"/>
      <c r="AG16" s="441"/>
      <c r="AH16" s="441"/>
      <c r="AI16" s="441"/>
      <c r="AJ16" s="441"/>
      <c r="AK16" s="395"/>
      <c r="AL16" s="395"/>
      <c r="AM16" s="395">
        <v>0</v>
      </c>
      <c r="AN16" s="395"/>
      <c r="AO16" s="395"/>
      <c r="AP16" s="410"/>
      <c r="AQ16" s="410"/>
    </row>
    <row r="17" spans="2:43" ht="15" customHeight="1">
      <c r="B17" s="394">
        <v>1</v>
      </c>
      <c r="C17" s="395" t="s">
        <v>607</v>
      </c>
      <c r="D17" s="417" t="s">
        <v>3459</v>
      </c>
      <c r="E17" s="662" t="s">
        <v>5037</v>
      </c>
      <c r="F17" s="417"/>
      <c r="G17" s="384"/>
      <c r="H17" s="768"/>
      <c r="I17" s="384"/>
      <c r="J17" s="384" t="s">
        <v>4981</v>
      </c>
      <c r="K17" s="657"/>
      <c r="L17" s="658"/>
      <c r="M17" s="384"/>
      <c r="N17" s="384">
        <v>1</v>
      </c>
      <c r="O17" s="384" t="s">
        <v>4992</v>
      </c>
      <c r="P17" s="384" t="s">
        <v>426</v>
      </c>
      <c r="Q17" s="384" t="s">
        <v>187</v>
      </c>
      <c r="R17" s="384"/>
      <c r="S17" s="660"/>
      <c r="T17" s="396"/>
      <c r="U17" s="384"/>
      <c r="V17" s="384"/>
      <c r="W17" s="384"/>
      <c r="X17" s="384"/>
      <c r="Y17" s="442" t="s">
        <v>3460</v>
      </c>
      <c r="Z17" s="442"/>
      <c r="AA17" s="441"/>
      <c r="AB17" s="441"/>
      <c r="AC17" s="441"/>
      <c r="AD17" s="441"/>
      <c r="AE17" s="441"/>
      <c r="AF17" s="441"/>
      <c r="AG17" s="441"/>
      <c r="AH17" s="441"/>
      <c r="AI17" s="441"/>
      <c r="AJ17" s="441"/>
      <c r="AK17" s="395"/>
      <c r="AL17" s="395"/>
      <c r="AM17" s="395">
        <v>0</v>
      </c>
      <c r="AN17" s="395"/>
      <c r="AO17" s="395"/>
      <c r="AP17" s="410"/>
      <c r="AQ17" s="410"/>
    </row>
    <row r="18" spans="2:43" ht="15" customHeight="1">
      <c r="B18" s="394">
        <v>1</v>
      </c>
      <c r="C18" s="395" t="s">
        <v>607</v>
      </c>
      <c r="D18" s="417" t="s">
        <v>3461</v>
      </c>
      <c r="E18" s="662" t="s">
        <v>5038</v>
      </c>
      <c r="F18" s="417"/>
      <c r="G18" s="384"/>
      <c r="H18" s="768"/>
      <c r="I18" s="384"/>
      <c r="J18" s="384" t="s">
        <v>4981</v>
      </c>
      <c r="K18" s="657"/>
      <c r="L18" s="658"/>
      <c r="M18" s="384"/>
      <c r="N18" s="384">
        <v>1</v>
      </c>
      <c r="O18" s="384" t="s">
        <v>4992</v>
      </c>
      <c r="P18" s="384" t="s">
        <v>426</v>
      </c>
      <c r="Q18" s="384" t="s">
        <v>187</v>
      </c>
      <c r="R18" s="384"/>
      <c r="S18" s="660"/>
      <c r="T18" s="396"/>
      <c r="U18" s="384"/>
      <c r="V18" s="384"/>
      <c r="W18" s="384"/>
      <c r="X18" s="384"/>
      <c r="Y18" s="442" t="s">
        <v>3462</v>
      </c>
      <c r="Z18" s="442"/>
      <c r="AA18" s="441"/>
      <c r="AB18" s="441"/>
      <c r="AC18" s="441"/>
      <c r="AD18" s="441"/>
      <c r="AE18" s="441"/>
      <c r="AF18" s="441"/>
      <c r="AG18" s="441"/>
      <c r="AH18" s="441"/>
      <c r="AI18" s="441"/>
      <c r="AJ18" s="441"/>
      <c r="AK18" s="395"/>
      <c r="AL18" s="395"/>
      <c r="AM18" s="395">
        <v>0</v>
      </c>
      <c r="AN18" s="395"/>
      <c r="AO18" s="395"/>
      <c r="AP18" s="410"/>
      <c r="AQ18" s="410"/>
    </row>
    <row r="19" spans="2:43" ht="15" customHeight="1">
      <c r="B19" s="394">
        <v>1</v>
      </c>
      <c r="C19" s="395" t="s">
        <v>607</v>
      </c>
      <c r="D19" s="417" t="s">
        <v>3463</v>
      </c>
      <c r="E19" s="662" t="s">
        <v>5039</v>
      </c>
      <c r="F19" s="417"/>
      <c r="G19" s="384"/>
      <c r="H19" s="768"/>
      <c r="I19" s="384"/>
      <c r="J19" s="384" t="s">
        <v>4981</v>
      </c>
      <c r="K19" s="657"/>
      <c r="L19" s="658"/>
      <c r="M19" s="384"/>
      <c r="N19" s="384">
        <v>1</v>
      </c>
      <c r="O19" s="384" t="s">
        <v>4992</v>
      </c>
      <c r="P19" s="384" t="s">
        <v>426</v>
      </c>
      <c r="Q19" s="384" t="s">
        <v>187</v>
      </c>
      <c r="R19" s="384"/>
      <c r="S19" s="660"/>
      <c r="T19" s="396"/>
      <c r="U19" s="384"/>
      <c r="V19" s="384"/>
      <c r="W19" s="384"/>
      <c r="X19" s="384"/>
      <c r="Y19" s="442" t="s">
        <v>3464</v>
      </c>
      <c r="Z19" s="442"/>
      <c r="AA19" s="441"/>
      <c r="AB19" s="441"/>
      <c r="AC19" s="441"/>
      <c r="AD19" s="441"/>
      <c r="AE19" s="441"/>
      <c r="AF19" s="441"/>
      <c r="AG19" s="441"/>
      <c r="AH19" s="441"/>
      <c r="AI19" s="441"/>
      <c r="AJ19" s="441"/>
      <c r="AK19" s="395"/>
      <c r="AL19" s="395"/>
      <c r="AM19" s="395">
        <v>0</v>
      </c>
      <c r="AN19" s="395"/>
      <c r="AO19" s="395"/>
      <c r="AP19" s="410"/>
      <c r="AQ19" s="410"/>
    </row>
    <row r="20" spans="2:43" ht="15" customHeight="1">
      <c r="B20" s="394">
        <v>1</v>
      </c>
      <c r="C20" s="395" t="s">
        <v>607</v>
      </c>
      <c r="D20" s="417" t="s">
        <v>3465</v>
      </c>
      <c r="E20" s="662" t="s">
        <v>5040</v>
      </c>
      <c r="F20" s="417"/>
      <c r="G20" s="384"/>
      <c r="H20" s="768"/>
      <c r="I20" s="384"/>
      <c r="J20" s="384" t="s">
        <v>4981</v>
      </c>
      <c r="K20" s="657"/>
      <c r="L20" s="658"/>
      <c r="M20" s="384"/>
      <c r="N20" s="384">
        <v>1</v>
      </c>
      <c r="O20" s="384" t="s">
        <v>4992</v>
      </c>
      <c r="P20" s="384" t="s">
        <v>426</v>
      </c>
      <c r="Q20" s="384" t="s">
        <v>187</v>
      </c>
      <c r="R20" s="384"/>
      <c r="S20" s="660"/>
      <c r="T20" s="396"/>
      <c r="U20" s="384"/>
      <c r="V20" s="384"/>
      <c r="W20" s="384"/>
      <c r="X20" s="384"/>
      <c r="Y20" s="442" t="s">
        <v>3466</v>
      </c>
      <c r="Z20" s="442"/>
      <c r="AA20" s="441"/>
      <c r="AB20" s="441"/>
      <c r="AC20" s="441"/>
      <c r="AD20" s="441"/>
      <c r="AE20" s="441"/>
      <c r="AF20" s="441"/>
      <c r="AG20" s="441"/>
      <c r="AH20" s="441"/>
      <c r="AI20" s="441"/>
      <c r="AJ20" s="441"/>
      <c r="AK20" s="395"/>
      <c r="AL20" s="395"/>
      <c r="AM20" s="395">
        <v>0</v>
      </c>
      <c r="AN20" s="395"/>
      <c r="AO20" s="395"/>
      <c r="AP20" s="410"/>
      <c r="AQ20" s="410"/>
    </row>
    <row r="21" spans="2:43" ht="15" customHeight="1">
      <c r="B21" s="394">
        <v>1</v>
      </c>
      <c r="C21" s="395" t="s">
        <v>607</v>
      </c>
      <c r="D21" s="417" t="s">
        <v>3467</v>
      </c>
      <c r="E21" s="662" t="s">
        <v>5041</v>
      </c>
      <c r="F21" s="417"/>
      <c r="G21" s="384"/>
      <c r="H21" s="768"/>
      <c r="I21" s="384"/>
      <c r="J21" s="384" t="s">
        <v>4981</v>
      </c>
      <c r="K21" s="657"/>
      <c r="L21" s="658"/>
      <c r="M21" s="384"/>
      <c r="N21" s="384">
        <v>1</v>
      </c>
      <c r="O21" s="384" t="s">
        <v>4992</v>
      </c>
      <c r="P21" s="384" t="s">
        <v>426</v>
      </c>
      <c r="Q21" s="384" t="s">
        <v>187</v>
      </c>
      <c r="R21" s="384"/>
      <c r="S21" s="660"/>
      <c r="T21" s="396"/>
      <c r="U21" s="384"/>
      <c r="V21" s="384"/>
      <c r="W21" s="384"/>
      <c r="X21" s="384"/>
      <c r="Y21" s="442" t="s">
        <v>3468</v>
      </c>
      <c r="Z21" s="442"/>
      <c r="AA21" s="441"/>
      <c r="AB21" s="441"/>
      <c r="AC21" s="441"/>
      <c r="AD21" s="441"/>
      <c r="AE21" s="441"/>
      <c r="AF21" s="441"/>
      <c r="AG21" s="441"/>
      <c r="AH21" s="441"/>
      <c r="AI21" s="441"/>
      <c r="AJ21" s="441"/>
      <c r="AK21" s="395"/>
      <c r="AL21" s="395"/>
      <c r="AM21" s="395">
        <v>0</v>
      </c>
      <c r="AN21" s="395"/>
      <c r="AO21" s="395"/>
      <c r="AP21" s="410"/>
      <c r="AQ21" s="410"/>
    </row>
    <row r="22" spans="2:43" ht="15" customHeight="1">
      <c r="B22" s="394">
        <v>1</v>
      </c>
      <c r="C22" s="395" t="s">
        <v>607</v>
      </c>
      <c r="D22" s="417" t="s">
        <v>3469</v>
      </c>
      <c r="E22" s="662" t="s">
        <v>5042</v>
      </c>
      <c r="F22" s="417"/>
      <c r="G22" s="384"/>
      <c r="H22" s="768"/>
      <c r="I22" s="384"/>
      <c r="J22" s="384" t="s">
        <v>4981</v>
      </c>
      <c r="K22" s="657"/>
      <c r="L22" s="658"/>
      <c r="M22" s="384"/>
      <c r="N22" s="384">
        <v>1</v>
      </c>
      <c r="O22" s="384" t="s">
        <v>4992</v>
      </c>
      <c r="P22" s="384" t="s">
        <v>426</v>
      </c>
      <c r="Q22" s="384" t="s">
        <v>187</v>
      </c>
      <c r="R22" s="384"/>
      <c r="S22" s="660"/>
      <c r="T22" s="396"/>
      <c r="U22" s="384"/>
      <c r="V22" s="384"/>
      <c r="W22" s="384"/>
      <c r="X22" s="384"/>
      <c r="Y22" s="442" t="s">
        <v>3470</v>
      </c>
      <c r="Z22" s="442"/>
      <c r="AA22" s="441"/>
      <c r="AB22" s="441"/>
      <c r="AC22" s="441"/>
      <c r="AD22" s="441"/>
      <c r="AE22" s="441"/>
      <c r="AF22" s="441"/>
      <c r="AG22" s="441"/>
      <c r="AH22" s="441"/>
      <c r="AI22" s="441"/>
      <c r="AJ22" s="441"/>
      <c r="AK22" s="395"/>
      <c r="AL22" s="395"/>
      <c r="AM22" s="395">
        <v>0</v>
      </c>
      <c r="AN22" s="395"/>
      <c r="AO22" s="395"/>
      <c r="AP22" s="410"/>
      <c r="AQ22" s="410"/>
    </row>
    <row r="23" spans="2:43" ht="15" customHeight="1">
      <c r="B23" s="394">
        <v>1</v>
      </c>
      <c r="C23" s="395" t="s">
        <v>607</v>
      </c>
      <c r="D23" s="417" t="s">
        <v>3471</v>
      </c>
      <c r="E23" s="662" t="s">
        <v>5043</v>
      </c>
      <c r="F23" s="417"/>
      <c r="G23" s="384"/>
      <c r="H23" s="768"/>
      <c r="I23" s="384"/>
      <c r="J23" s="384" t="s">
        <v>4981</v>
      </c>
      <c r="K23" s="657"/>
      <c r="L23" s="658"/>
      <c r="M23" s="384"/>
      <c r="N23" s="384">
        <v>1</v>
      </c>
      <c r="O23" s="384" t="s">
        <v>4992</v>
      </c>
      <c r="P23" s="384" t="s">
        <v>426</v>
      </c>
      <c r="Q23" s="384" t="s">
        <v>187</v>
      </c>
      <c r="R23" s="384"/>
      <c r="S23" s="660"/>
      <c r="T23" s="396"/>
      <c r="U23" s="384"/>
      <c r="V23" s="384"/>
      <c r="W23" s="384"/>
      <c r="X23" s="384"/>
      <c r="Y23" s="442" t="s">
        <v>3472</v>
      </c>
      <c r="Z23" s="442"/>
      <c r="AA23" s="441"/>
      <c r="AB23" s="441"/>
      <c r="AC23" s="441"/>
      <c r="AD23" s="441"/>
      <c r="AE23" s="441"/>
      <c r="AF23" s="441"/>
      <c r="AG23" s="441"/>
      <c r="AH23" s="441"/>
      <c r="AI23" s="441"/>
      <c r="AJ23" s="441"/>
      <c r="AK23" s="395"/>
      <c r="AL23" s="395"/>
      <c r="AM23" s="395">
        <v>0</v>
      </c>
      <c r="AN23" s="395"/>
      <c r="AO23" s="395"/>
      <c r="AP23" s="410"/>
      <c r="AQ23" s="410"/>
    </row>
    <row r="24" spans="2:43" ht="15" customHeight="1">
      <c r="B24" s="394">
        <v>1</v>
      </c>
      <c r="C24" s="395" t="s">
        <v>607</v>
      </c>
      <c r="D24" s="417" t="s">
        <v>3473</v>
      </c>
      <c r="E24" s="662" t="s">
        <v>5044</v>
      </c>
      <c r="F24" s="417"/>
      <c r="G24" s="384"/>
      <c r="H24" s="768"/>
      <c r="I24" s="384"/>
      <c r="J24" s="384" t="s">
        <v>4981</v>
      </c>
      <c r="K24" s="657"/>
      <c r="L24" s="658"/>
      <c r="M24" s="384"/>
      <c r="N24" s="384">
        <v>1</v>
      </c>
      <c r="O24" s="384" t="s">
        <v>4992</v>
      </c>
      <c r="P24" s="384" t="s">
        <v>426</v>
      </c>
      <c r="Q24" s="384" t="s">
        <v>187</v>
      </c>
      <c r="R24" s="384"/>
      <c r="S24" s="660"/>
      <c r="T24" s="396"/>
      <c r="U24" s="384"/>
      <c r="V24" s="384"/>
      <c r="W24" s="384"/>
      <c r="X24" s="384"/>
      <c r="Y24" s="442" t="s">
        <v>3474</v>
      </c>
      <c r="Z24" s="442"/>
      <c r="AA24" s="441"/>
      <c r="AB24" s="441"/>
      <c r="AC24" s="441"/>
      <c r="AD24" s="441"/>
      <c r="AE24" s="441"/>
      <c r="AF24" s="441"/>
      <c r="AG24" s="441"/>
      <c r="AH24" s="441"/>
      <c r="AI24" s="441"/>
      <c r="AJ24" s="441"/>
      <c r="AK24" s="395"/>
      <c r="AL24" s="395"/>
      <c r="AM24" s="395">
        <v>0</v>
      </c>
      <c r="AN24" s="395"/>
      <c r="AO24" s="395"/>
      <c r="AP24" s="410"/>
      <c r="AQ24" s="410"/>
    </row>
    <row r="25" spans="2:43" ht="15" customHeight="1">
      <c r="B25" s="394">
        <v>1</v>
      </c>
      <c r="C25" s="395" t="s">
        <v>607</v>
      </c>
      <c r="D25" s="417" t="s">
        <v>3475</v>
      </c>
      <c r="E25" s="662" t="s">
        <v>5045</v>
      </c>
      <c r="F25" s="417"/>
      <c r="G25" s="384"/>
      <c r="H25" s="768"/>
      <c r="I25" s="384"/>
      <c r="J25" s="384" t="s">
        <v>4981</v>
      </c>
      <c r="K25" s="657"/>
      <c r="L25" s="658"/>
      <c r="M25" s="384"/>
      <c r="N25" s="384">
        <v>1</v>
      </c>
      <c r="O25" s="384" t="s">
        <v>4992</v>
      </c>
      <c r="P25" s="384" t="s">
        <v>426</v>
      </c>
      <c r="Q25" s="384" t="s">
        <v>187</v>
      </c>
      <c r="R25" s="384"/>
      <c r="S25" s="660"/>
      <c r="T25" s="396"/>
      <c r="U25" s="384"/>
      <c r="V25" s="384"/>
      <c r="W25" s="384"/>
      <c r="X25" s="384"/>
      <c r="Y25" s="442" t="s">
        <v>3476</v>
      </c>
      <c r="Z25" s="442"/>
      <c r="AA25" s="441"/>
      <c r="AB25" s="441"/>
      <c r="AC25" s="441"/>
      <c r="AD25" s="441"/>
      <c r="AE25" s="441"/>
      <c r="AF25" s="441"/>
      <c r="AG25" s="441"/>
      <c r="AH25" s="441"/>
      <c r="AI25" s="441"/>
      <c r="AJ25" s="441"/>
      <c r="AK25" s="395"/>
      <c r="AL25" s="395"/>
      <c r="AM25" s="395">
        <v>0</v>
      </c>
      <c r="AN25" s="395"/>
      <c r="AO25" s="395"/>
      <c r="AP25" s="410"/>
      <c r="AQ25" s="410"/>
    </row>
    <row r="26" spans="2:43" ht="15" customHeight="1">
      <c r="B26" s="394">
        <v>1</v>
      </c>
      <c r="C26" s="395" t="s">
        <v>607</v>
      </c>
      <c r="D26" s="417" t="s">
        <v>3477</v>
      </c>
      <c r="E26" s="662" t="s">
        <v>5046</v>
      </c>
      <c r="F26" s="417"/>
      <c r="G26" s="384"/>
      <c r="H26" s="768"/>
      <c r="I26" s="384"/>
      <c r="J26" s="384" t="s">
        <v>4981</v>
      </c>
      <c r="K26" s="657"/>
      <c r="L26" s="658"/>
      <c r="M26" s="384"/>
      <c r="N26" s="384">
        <v>1</v>
      </c>
      <c r="O26" s="384" t="s">
        <v>4992</v>
      </c>
      <c r="P26" s="384" t="s">
        <v>426</v>
      </c>
      <c r="Q26" s="384" t="s">
        <v>187</v>
      </c>
      <c r="R26" s="384"/>
      <c r="S26" s="660"/>
      <c r="T26" s="396"/>
      <c r="U26" s="384"/>
      <c r="V26" s="384"/>
      <c r="W26" s="384"/>
      <c r="X26" s="384"/>
      <c r="Y26" s="442" t="s">
        <v>3478</v>
      </c>
      <c r="Z26" s="442"/>
      <c r="AA26" s="441"/>
      <c r="AB26" s="441"/>
      <c r="AC26" s="441"/>
      <c r="AD26" s="441"/>
      <c r="AE26" s="441"/>
      <c r="AF26" s="441"/>
      <c r="AG26" s="441"/>
      <c r="AH26" s="441"/>
      <c r="AI26" s="441"/>
      <c r="AJ26" s="441"/>
      <c r="AK26" s="395"/>
      <c r="AL26" s="395"/>
      <c r="AM26" s="395">
        <v>0</v>
      </c>
      <c r="AN26" s="395"/>
      <c r="AO26" s="395"/>
      <c r="AP26" s="410"/>
      <c r="AQ26" s="410"/>
    </row>
    <row r="27" spans="2:43" ht="15" customHeight="1">
      <c r="B27" s="394">
        <v>1</v>
      </c>
      <c r="C27" s="395" t="s">
        <v>607</v>
      </c>
      <c r="D27" s="417" t="s">
        <v>3479</v>
      </c>
      <c r="E27" s="662" t="s">
        <v>5047</v>
      </c>
      <c r="F27" s="417"/>
      <c r="G27" s="384"/>
      <c r="H27" s="768"/>
      <c r="I27" s="384"/>
      <c r="J27" s="384" t="s">
        <v>4981</v>
      </c>
      <c r="K27" s="657"/>
      <c r="L27" s="658"/>
      <c r="M27" s="384"/>
      <c r="N27" s="384">
        <v>1</v>
      </c>
      <c r="O27" s="384" t="s">
        <v>4992</v>
      </c>
      <c r="P27" s="384" t="s">
        <v>426</v>
      </c>
      <c r="Q27" s="384" t="s">
        <v>187</v>
      </c>
      <c r="R27" s="384"/>
      <c r="S27" s="660"/>
      <c r="T27" s="396"/>
      <c r="U27" s="384"/>
      <c r="V27" s="384"/>
      <c r="W27" s="384"/>
      <c r="X27" s="384"/>
      <c r="Y27" s="442" t="s">
        <v>3480</v>
      </c>
      <c r="Z27" s="442"/>
      <c r="AA27" s="441"/>
      <c r="AB27" s="441"/>
      <c r="AC27" s="441"/>
      <c r="AD27" s="441"/>
      <c r="AE27" s="441"/>
      <c r="AF27" s="441"/>
      <c r="AG27" s="441"/>
      <c r="AH27" s="441"/>
      <c r="AI27" s="441"/>
      <c r="AJ27" s="441"/>
      <c r="AK27" s="395"/>
      <c r="AL27" s="395"/>
      <c r="AM27" s="395">
        <v>0</v>
      </c>
      <c r="AN27" s="395"/>
      <c r="AO27" s="395"/>
      <c r="AP27" s="410"/>
      <c r="AQ27" s="410"/>
    </row>
    <row r="28" spans="2:43" ht="15" customHeight="1">
      <c r="B28" s="394">
        <v>1</v>
      </c>
      <c r="C28" s="395" t="s">
        <v>607</v>
      </c>
      <c r="D28" s="417" t="s">
        <v>3481</v>
      </c>
      <c r="E28" s="662" t="s">
        <v>5048</v>
      </c>
      <c r="F28" s="417"/>
      <c r="G28" s="384"/>
      <c r="H28" s="768"/>
      <c r="I28" s="384"/>
      <c r="J28" s="384" t="s">
        <v>4981</v>
      </c>
      <c r="K28" s="657"/>
      <c r="L28" s="658"/>
      <c r="M28" s="384"/>
      <c r="N28" s="384">
        <v>1</v>
      </c>
      <c r="O28" s="384" t="s">
        <v>4992</v>
      </c>
      <c r="P28" s="384" t="s">
        <v>426</v>
      </c>
      <c r="Q28" s="384" t="s">
        <v>187</v>
      </c>
      <c r="R28" s="384"/>
      <c r="S28" s="660"/>
      <c r="T28" s="396"/>
      <c r="U28" s="384"/>
      <c r="V28" s="384"/>
      <c r="W28" s="384"/>
      <c r="X28" s="384"/>
      <c r="Y28" s="442" t="s">
        <v>3482</v>
      </c>
      <c r="Z28" s="442"/>
      <c r="AA28" s="441"/>
      <c r="AB28" s="441"/>
      <c r="AC28" s="441"/>
      <c r="AD28" s="441"/>
      <c r="AE28" s="441"/>
      <c r="AF28" s="441"/>
      <c r="AG28" s="441"/>
      <c r="AH28" s="441"/>
      <c r="AI28" s="441"/>
      <c r="AJ28" s="441"/>
      <c r="AK28" s="395"/>
      <c r="AL28" s="395"/>
      <c r="AM28" s="395">
        <v>0</v>
      </c>
      <c r="AN28" s="395"/>
      <c r="AO28" s="395"/>
      <c r="AP28" s="410"/>
      <c r="AQ28" s="410"/>
    </row>
    <row r="29" spans="2:43" ht="15" customHeight="1">
      <c r="B29" s="394">
        <v>1</v>
      </c>
      <c r="C29" s="395" t="s">
        <v>607</v>
      </c>
      <c r="D29" s="417" t="s">
        <v>3483</v>
      </c>
      <c r="E29" s="662" t="s">
        <v>5049</v>
      </c>
      <c r="F29" s="417"/>
      <c r="G29" s="384"/>
      <c r="H29" s="768"/>
      <c r="I29" s="384"/>
      <c r="J29" s="384" t="s">
        <v>4981</v>
      </c>
      <c r="K29" s="657"/>
      <c r="L29" s="658"/>
      <c r="M29" s="384"/>
      <c r="N29" s="384">
        <v>1</v>
      </c>
      <c r="O29" s="384" t="s">
        <v>4992</v>
      </c>
      <c r="P29" s="384" t="s">
        <v>426</v>
      </c>
      <c r="Q29" s="384" t="s">
        <v>187</v>
      </c>
      <c r="R29" s="384"/>
      <c r="S29" s="660"/>
      <c r="T29" s="396"/>
      <c r="U29" s="384"/>
      <c r="V29" s="384"/>
      <c r="W29" s="384"/>
      <c r="X29" s="384"/>
      <c r="Y29" s="442" t="s">
        <v>3484</v>
      </c>
      <c r="Z29" s="442"/>
      <c r="AA29" s="441"/>
      <c r="AB29" s="441"/>
      <c r="AC29" s="441"/>
      <c r="AD29" s="441"/>
      <c r="AE29" s="441"/>
      <c r="AF29" s="441"/>
      <c r="AG29" s="441"/>
      <c r="AH29" s="441"/>
      <c r="AI29" s="441"/>
      <c r="AJ29" s="441"/>
      <c r="AK29" s="395"/>
      <c r="AL29" s="395"/>
      <c r="AM29" s="395">
        <v>0</v>
      </c>
      <c r="AN29" s="395"/>
      <c r="AO29" s="395"/>
      <c r="AP29" s="410"/>
      <c r="AQ29" s="410"/>
    </row>
    <row r="30" spans="2:43" ht="15" customHeight="1">
      <c r="B30" s="394">
        <v>1</v>
      </c>
      <c r="C30" s="395" t="s">
        <v>607</v>
      </c>
      <c r="D30" s="417" t="s">
        <v>3485</v>
      </c>
      <c r="E30" s="662" t="s">
        <v>5050</v>
      </c>
      <c r="F30" s="417"/>
      <c r="G30" s="384"/>
      <c r="H30" s="768"/>
      <c r="I30" s="384"/>
      <c r="J30" s="384" t="s">
        <v>4981</v>
      </c>
      <c r="K30" s="657"/>
      <c r="L30" s="658"/>
      <c r="M30" s="384"/>
      <c r="N30" s="384">
        <v>1</v>
      </c>
      <c r="O30" s="384" t="s">
        <v>4992</v>
      </c>
      <c r="P30" s="384" t="s">
        <v>426</v>
      </c>
      <c r="Q30" s="384" t="s">
        <v>187</v>
      </c>
      <c r="R30" s="384"/>
      <c r="S30" s="660"/>
      <c r="T30" s="396"/>
      <c r="U30" s="384"/>
      <c r="V30" s="384"/>
      <c r="W30" s="384"/>
      <c r="X30" s="384"/>
      <c r="Y30" s="442" t="s">
        <v>3486</v>
      </c>
      <c r="Z30" s="442"/>
      <c r="AA30" s="441"/>
      <c r="AB30" s="441"/>
      <c r="AC30" s="441"/>
      <c r="AD30" s="441"/>
      <c r="AE30" s="441"/>
      <c r="AF30" s="441"/>
      <c r="AG30" s="441"/>
      <c r="AH30" s="441"/>
      <c r="AI30" s="441"/>
      <c r="AJ30" s="441"/>
      <c r="AK30" s="395"/>
      <c r="AL30" s="395"/>
      <c r="AM30" s="395">
        <v>0</v>
      </c>
      <c r="AN30" s="395"/>
      <c r="AO30" s="395"/>
      <c r="AP30" s="410"/>
      <c r="AQ30" s="410"/>
    </row>
    <row r="31" spans="2:43" ht="15" customHeight="1">
      <c r="B31" s="394">
        <v>1</v>
      </c>
      <c r="C31" s="395" t="s">
        <v>607</v>
      </c>
      <c r="D31" s="417" t="s">
        <v>3487</v>
      </c>
      <c r="E31" s="662" t="s">
        <v>5051</v>
      </c>
      <c r="F31" s="417"/>
      <c r="G31" s="384"/>
      <c r="H31" s="768"/>
      <c r="I31" s="384"/>
      <c r="J31" s="384" t="s">
        <v>4981</v>
      </c>
      <c r="K31" s="657"/>
      <c r="L31" s="658"/>
      <c r="M31" s="384"/>
      <c r="N31" s="384">
        <v>1</v>
      </c>
      <c r="O31" s="384" t="s">
        <v>4992</v>
      </c>
      <c r="P31" s="384" t="s">
        <v>426</v>
      </c>
      <c r="Q31" s="384" t="s">
        <v>187</v>
      </c>
      <c r="R31" s="384"/>
      <c r="S31" s="660"/>
      <c r="T31" s="396"/>
      <c r="U31" s="384"/>
      <c r="V31" s="384"/>
      <c r="W31" s="384"/>
      <c r="X31" s="384"/>
      <c r="Y31" s="442" t="s">
        <v>3488</v>
      </c>
      <c r="Z31" s="442"/>
      <c r="AA31" s="441"/>
      <c r="AB31" s="441"/>
      <c r="AC31" s="441"/>
      <c r="AD31" s="441"/>
      <c r="AE31" s="441"/>
      <c r="AF31" s="441"/>
      <c r="AG31" s="441"/>
      <c r="AH31" s="441"/>
      <c r="AI31" s="441"/>
      <c r="AJ31" s="441"/>
      <c r="AK31" s="395"/>
      <c r="AL31" s="395"/>
      <c r="AM31" s="395">
        <v>0</v>
      </c>
      <c r="AN31" s="395"/>
      <c r="AO31" s="395"/>
      <c r="AP31" s="410"/>
      <c r="AQ31" s="410"/>
    </row>
    <row r="32" spans="2:43" ht="15" customHeight="1">
      <c r="B32" s="394">
        <v>1</v>
      </c>
      <c r="C32" s="395" t="s">
        <v>607</v>
      </c>
      <c r="D32" s="417" t="s">
        <v>3489</v>
      </c>
      <c r="E32" s="662" t="s">
        <v>5052</v>
      </c>
      <c r="F32" s="417"/>
      <c r="G32" s="384"/>
      <c r="H32" s="768"/>
      <c r="I32" s="384"/>
      <c r="J32" s="384" t="s">
        <v>4981</v>
      </c>
      <c r="K32" s="657"/>
      <c r="L32" s="658"/>
      <c r="M32" s="384"/>
      <c r="N32" s="384">
        <v>1</v>
      </c>
      <c r="O32" s="384" t="s">
        <v>4992</v>
      </c>
      <c r="P32" s="384" t="s">
        <v>426</v>
      </c>
      <c r="Q32" s="384" t="s">
        <v>187</v>
      </c>
      <c r="R32" s="384"/>
      <c r="S32" s="660"/>
      <c r="T32" s="396"/>
      <c r="U32" s="384"/>
      <c r="V32" s="384"/>
      <c r="W32" s="384"/>
      <c r="X32" s="384"/>
      <c r="Y32" s="442" t="s">
        <v>3490</v>
      </c>
      <c r="Z32" s="442"/>
      <c r="AA32" s="441"/>
      <c r="AB32" s="441"/>
      <c r="AC32" s="441"/>
      <c r="AD32" s="441"/>
      <c r="AE32" s="441"/>
      <c r="AF32" s="441"/>
      <c r="AG32" s="441"/>
      <c r="AH32" s="441"/>
      <c r="AI32" s="441"/>
      <c r="AJ32" s="441"/>
      <c r="AK32" s="395"/>
      <c r="AL32" s="395"/>
      <c r="AM32" s="395">
        <v>0</v>
      </c>
      <c r="AN32" s="395"/>
      <c r="AO32" s="395"/>
      <c r="AP32" s="410"/>
      <c r="AQ32" s="410"/>
    </row>
    <row r="33" spans="2:43" ht="15" customHeight="1">
      <c r="B33" s="394">
        <v>1</v>
      </c>
      <c r="C33" s="395" t="s">
        <v>607</v>
      </c>
      <c r="D33" s="417" t="s">
        <v>3491</v>
      </c>
      <c r="E33" s="662" t="s">
        <v>5053</v>
      </c>
      <c r="F33" s="417"/>
      <c r="G33" s="384"/>
      <c r="H33" s="768"/>
      <c r="I33" s="384"/>
      <c r="J33" s="384" t="s">
        <v>4981</v>
      </c>
      <c r="K33" s="657"/>
      <c r="L33" s="658"/>
      <c r="M33" s="384"/>
      <c r="N33" s="384">
        <v>1</v>
      </c>
      <c r="O33" s="384" t="s">
        <v>4992</v>
      </c>
      <c r="P33" s="384" t="s">
        <v>426</v>
      </c>
      <c r="Q33" s="384" t="s">
        <v>187</v>
      </c>
      <c r="R33" s="384"/>
      <c r="S33" s="660"/>
      <c r="T33" s="396"/>
      <c r="U33" s="384"/>
      <c r="V33" s="384"/>
      <c r="W33" s="384"/>
      <c r="X33" s="384"/>
      <c r="Y33" s="442" t="s">
        <v>3492</v>
      </c>
      <c r="Z33" s="442"/>
      <c r="AA33" s="441"/>
      <c r="AB33" s="441"/>
      <c r="AC33" s="441"/>
      <c r="AD33" s="441"/>
      <c r="AE33" s="441"/>
      <c r="AF33" s="441"/>
      <c r="AG33" s="441"/>
      <c r="AH33" s="441"/>
      <c r="AI33" s="441"/>
      <c r="AJ33" s="441"/>
      <c r="AK33" s="395"/>
      <c r="AL33" s="395"/>
      <c r="AM33" s="395">
        <v>0</v>
      </c>
      <c r="AN33" s="395"/>
      <c r="AO33" s="395"/>
      <c r="AP33" s="410"/>
      <c r="AQ33" s="410"/>
    </row>
    <row r="34" spans="2:43" ht="15" customHeight="1">
      <c r="B34" s="394">
        <v>1</v>
      </c>
      <c r="C34" s="395" t="s">
        <v>607</v>
      </c>
      <c r="D34" s="417" t="s">
        <v>3493</v>
      </c>
      <c r="E34" s="662" t="s">
        <v>5054</v>
      </c>
      <c r="F34" s="417"/>
      <c r="G34" s="384"/>
      <c r="H34" s="768"/>
      <c r="I34" s="384"/>
      <c r="J34" s="384" t="s">
        <v>4981</v>
      </c>
      <c r="K34" s="657"/>
      <c r="L34" s="658"/>
      <c r="M34" s="384"/>
      <c r="N34" s="384">
        <v>1</v>
      </c>
      <c r="O34" s="384" t="s">
        <v>4992</v>
      </c>
      <c r="P34" s="384" t="s">
        <v>426</v>
      </c>
      <c r="Q34" s="384" t="s">
        <v>187</v>
      </c>
      <c r="R34" s="384"/>
      <c r="S34" s="660"/>
      <c r="T34" s="396"/>
      <c r="U34" s="384"/>
      <c r="V34" s="384"/>
      <c r="W34" s="384"/>
      <c r="X34" s="384"/>
      <c r="Y34" s="442" t="s">
        <v>3494</v>
      </c>
      <c r="Z34" s="442"/>
      <c r="AA34" s="441"/>
      <c r="AB34" s="441"/>
      <c r="AC34" s="441"/>
      <c r="AD34" s="441"/>
      <c r="AE34" s="441"/>
      <c r="AF34" s="441"/>
      <c r="AG34" s="441"/>
      <c r="AH34" s="441"/>
      <c r="AI34" s="441"/>
      <c r="AJ34" s="441"/>
      <c r="AK34" s="395"/>
      <c r="AL34" s="395"/>
      <c r="AM34" s="395">
        <v>0</v>
      </c>
      <c r="AN34" s="395"/>
      <c r="AO34" s="395"/>
      <c r="AP34" s="410"/>
      <c r="AQ34" s="410"/>
    </row>
    <row r="35" spans="2:43" ht="15" customHeight="1">
      <c r="B35" s="394">
        <v>1</v>
      </c>
      <c r="C35" s="395" t="s">
        <v>607</v>
      </c>
      <c r="D35" s="417" t="s">
        <v>3495</v>
      </c>
      <c r="E35" s="662" t="s">
        <v>5055</v>
      </c>
      <c r="F35" s="417"/>
      <c r="G35" s="384"/>
      <c r="H35" s="768"/>
      <c r="I35" s="384"/>
      <c r="J35" s="384" t="s">
        <v>4981</v>
      </c>
      <c r="K35" s="657"/>
      <c r="L35" s="658"/>
      <c r="M35" s="384"/>
      <c r="N35" s="384">
        <v>1</v>
      </c>
      <c r="O35" s="384" t="s">
        <v>4992</v>
      </c>
      <c r="P35" s="384" t="s">
        <v>426</v>
      </c>
      <c r="Q35" s="384" t="s">
        <v>187</v>
      </c>
      <c r="R35" s="384"/>
      <c r="S35" s="660"/>
      <c r="T35" s="396"/>
      <c r="U35" s="384"/>
      <c r="V35" s="384"/>
      <c r="W35" s="384"/>
      <c r="X35" s="384"/>
      <c r="Y35" s="442" t="s">
        <v>3496</v>
      </c>
      <c r="Z35" s="442"/>
      <c r="AA35" s="441"/>
      <c r="AB35" s="441"/>
      <c r="AC35" s="441"/>
      <c r="AD35" s="441"/>
      <c r="AE35" s="441"/>
      <c r="AF35" s="441"/>
      <c r="AG35" s="441"/>
      <c r="AH35" s="441"/>
      <c r="AI35" s="441"/>
      <c r="AJ35" s="441"/>
      <c r="AK35" s="395"/>
      <c r="AL35" s="395"/>
      <c r="AM35" s="395">
        <v>0</v>
      </c>
      <c r="AN35" s="395"/>
      <c r="AO35" s="395"/>
      <c r="AP35" s="410"/>
      <c r="AQ35" s="410"/>
    </row>
    <row r="36" spans="2:43" ht="15" customHeight="1">
      <c r="B36" s="394">
        <v>1</v>
      </c>
      <c r="C36" s="395" t="s">
        <v>607</v>
      </c>
      <c r="D36" s="417" t="s">
        <v>3497</v>
      </c>
      <c r="E36" s="662" t="s">
        <v>5056</v>
      </c>
      <c r="F36" s="417"/>
      <c r="G36" s="384"/>
      <c r="H36" s="768"/>
      <c r="I36" s="384"/>
      <c r="J36" s="384" t="s">
        <v>4981</v>
      </c>
      <c r="K36" s="657"/>
      <c r="L36" s="658"/>
      <c r="M36" s="384"/>
      <c r="N36" s="384">
        <v>1</v>
      </c>
      <c r="O36" s="384" t="s">
        <v>4992</v>
      </c>
      <c r="P36" s="384" t="s">
        <v>426</v>
      </c>
      <c r="Q36" s="384" t="s">
        <v>187</v>
      </c>
      <c r="R36" s="384"/>
      <c r="S36" s="660"/>
      <c r="T36" s="396"/>
      <c r="U36" s="384"/>
      <c r="V36" s="384"/>
      <c r="W36" s="384"/>
      <c r="X36" s="384"/>
      <c r="Y36" s="442" t="s">
        <v>3498</v>
      </c>
      <c r="Z36" s="442"/>
      <c r="AA36" s="441"/>
      <c r="AB36" s="441"/>
      <c r="AC36" s="441"/>
      <c r="AD36" s="441"/>
      <c r="AE36" s="441"/>
      <c r="AF36" s="441"/>
      <c r="AG36" s="441"/>
      <c r="AH36" s="441"/>
      <c r="AI36" s="441"/>
      <c r="AJ36" s="441"/>
      <c r="AK36" s="395"/>
      <c r="AL36" s="395"/>
      <c r="AM36" s="395">
        <v>0</v>
      </c>
      <c r="AN36" s="395"/>
      <c r="AO36" s="395"/>
      <c r="AP36" s="410"/>
      <c r="AQ36" s="410"/>
    </row>
    <row r="37" spans="2:43" ht="15" customHeight="1">
      <c r="B37" s="394">
        <v>1</v>
      </c>
      <c r="C37" s="395" t="s">
        <v>607</v>
      </c>
      <c r="D37" s="417" t="s">
        <v>3499</v>
      </c>
      <c r="E37" s="662" t="s">
        <v>5057</v>
      </c>
      <c r="F37" s="417"/>
      <c r="G37" s="384"/>
      <c r="H37" s="768"/>
      <c r="I37" s="384"/>
      <c r="J37" s="384" t="s">
        <v>4981</v>
      </c>
      <c r="K37" s="657"/>
      <c r="L37" s="658"/>
      <c r="M37" s="384"/>
      <c r="N37" s="384">
        <v>1</v>
      </c>
      <c r="O37" s="384" t="s">
        <v>4992</v>
      </c>
      <c r="P37" s="384" t="s">
        <v>426</v>
      </c>
      <c r="Q37" s="384" t="s">
        <v>187</v>
      </c>
      <c r="R37" s="384"/>
      <c r="S37" s="660"/>
      <c r="T37" s="396"/>
      <c r="U37" s="384"/>
      <c r="V37" s="384"/>
      <c r="W37" s="384"/>
      <c r="X37" s="384"/>
      <c r="Y37" s="442" t="s">
        <v>3500</v>
      </c>
      <c r="Z37" s="442"/>
      <c r="AA37" s="441"/>
      <c r="AB37" s="441"/>
      <c r="AC37" s="441"/>
      <c r="AD37" s="441"/>
      <c r="AE37" s="441"/>
      <c r="AF37" s="441"/>
      <c r="AG37" s="441"/>
      <c r="AH37" s="441"/>
      <c r="AI37" s="441"/>
      <c r="AJ37" s="441"/>
      <c r="AK37" s="395"/>
      <c r="AL37" s="395"/>
      <c r="AM37" s="395">
        <v>0</v>
      </c>
      <c r="AN37" s="395"/>
      <c r="AO37" s="395"/>
      <c r="AP37" s="410"/>
      <c r="AQ37" s="410"/>
    </row>
    <row r="38" spans="2:43" ht="15" customHeight="1">
      <c r="B38" s="394">
        <v>1</v>
      </c>
      <c r="C38" s="395" t="s">
        <v>607</v>
      </c>
      <c r="D38" s="417" t="s">
        <v>3501</v>
      </c>
      <c r="E38" s="662" t="s">
        <v>4993</v>
      </c>
      <c r="F38" s="417"/>
      <c r="G38" s="384"/>
      <c r="H38" s="768"/>
      <c r="I38" s="384"/>
      <c r="J38" s="384" t="s">
        <v>4981</v>
      </c>
      <c r="K38" s="657"/>
      <c r="L38" s="658"/>
      <c r="M38" s="384"/>
      <c r="N38" s="384">
        <v>3</v>
      </c>
      <c r="O38" s="384" t="s">
        <v>4992</v>
      </c>
      <c r="P38" s="384" t="s">
        <v>426</v>
      </c>
      <c r="Q38" s="384" t="s">
        <v>187</v>
      </c>
      <c r="R38" s="384"/>
      <c r="S38" s="660"/>
      <c r="T38" s="396"/>
      <c r="U38" s="384"/>
      <c r="V38" s="384"/>
      <c r="W38" s="384"/>
      <c r="X38" s="384"/>
      <c r="Y38" s="442" t="s">
        <v>3502</v>
      </c>
      <c r="Z38" s="442"/>
      <c r="AA38" s="441"/>
      <c r="AB38" s="441"/>
      <c r="AC38" s="441"/>
      <c r="AD38" s="441"/>
      <c r="AE38" s="441"/>
      <c r="AF38" s="441"/>
      <c r="AG38" s="441"/>
      <c r="AH38" s="441"/>
      <c r="AI38" s="441"/>
      <c r="AJ38" s="441"/>
      <c r="AK38" s="395"/>
      <c r="AL38" s="395"/>
      <c r="AM38" s="395">
        <v>0</v>
      </c>
      <c r="AN38" s="395"/>
      <c r="AO38" s="395"/>
      <c r="AP38" s="410"/>
      <c r="AQ38" s="410"/>
    </row>
    <row r="39" spans="2:43" ht="15" customHeight="1">
      <c r="B39" s="394">
        <v>1</v>
      </c>
      <c r="C39" s="395" t="s">
        <v>607</v>
      </c>
      <c r="D39" s="417" t="s">
        <v>3503</v>
      </c>
      <c r="E39" s="662" t="s">
        <v>4994</v>
      </c>
      <c r="F39" s="417"/>
      <c r="G39" s="384"/>
      <c r="H39" s="768"/>
      <c r="I39" s="384"/>
      <c r="J39" s="384" t="s">
        <v>4981</v>
      </c>
      <c r="K39" s="657"/>
      <c r="L39" s="658"/>
      <c r="M39" s="384"/>
      <c r="N39" s="384">
        <v>3</v>
      </c>
      <c r="O39" s="384" t="s">
        <v>4992</v>
      </c>
      <c r="P39" s="384" t="s">
        <v>426</v>
      </c>
      <c r="Q39" s="384" t="s">
        <v>187</v>
      </c>
      <c r="R39" s="384"/>
      <c r="S39" s="660"/>
      <c r="T39" s="396"/>
      <c r="U39" s="384"/>
      <c r="V39" s="384"/>
      <c r="W39" s="384"/>
      <c r="X39" s="384"/>
      <c r="Y39" s="442" t="s">
        <v>3504</v>
      </c>
      <c r="Z39" s="442"/>
      <c r="AA39" s="441"/>
      <c r="AB39" s="441"/>
      <c r="AC39" s="441"/>
      <c r="AD39" s="441"/>
      <c r="AE39" s="441"/>
      <c r="AF39" s="441"/>
      <c r="AG39" s="441"/>
      <c r="AH39" s="441"/>
      <c r="AI39" s="441"/>
      <c r="AJ39" s="441"/>
      <c r="AK39" s="395"/>
      <c r="AL39" s="395"/>
      <c r="AM39" s="395">
        <v>0</v>
      </c>
      <c r="AN39" s="395"/>
      <c r="AO39" s="395"/>
      <c r="AP39" s="410"/>
      <c r="AQ39" s="410"/>
    </row>
    <row r="40" spans="2:43" ht="15" customHeight="1">
      <c r="B40" s="394">
        <v>1</v>
      </c>
      <c r="C40" s="395" t="s">
        <v>607</v>
      </c>
      <c r="D40" s="417" t="s">
        <v>3505</v>
      </c>
      <c r="E40" s="662" t="s">
        <v>4995</v>
      </c>
      <c r="F40" s="417"/>
      <c r="G40" s="384"/>
      <c r="H40" s="768"/>
      <c r="I40" s="384"/>
      <c r="J40" s="384" t="s">
        <v>4981</v>
      </c>
      <c r="K40" s="657"/>
      <c r="L40" s="658"/>
      <c r="M40" s="384"/>
      <c r="N40" s="384">
        <v>3</v>
      </c>
      <c r="O40" s="384" t="s">
        <v>4992</v>
      </c>
      <c r="P40" s="384" t="s">
        <v>426</v>
      </c>
      <c r="Q40" s="384" t="s">
        <v>187</v>
      </c>
      <c r="R40" s="384"/>
      <c r="S40" s="660"/>
      <c r="T40" s="396"/>
      <c r="U40" s="384"/>
      <c r="V40" s="384"/>
      <c r="W40" s="384"/>
      <c r="X40" s="384"/>
      <c r="Y40" s="442" t="s">
        <v>3506</v>
      </c>
      <c r="Z40" s="442"/>
      <c r="AA40" s="441"/>
      <c r="AB40" s="441"/>
      <c r="AC40" s="441"/>
      <c r="AD40" s="441"/>
      <c r="AE40" s="441"/>
      <c r="AF40" s="441"/>
      <c r="AG40" s="441"/>
      <c r="AH40" s="441"/>
      <c r="AI40" s="441"/>
      <c r="AJ40" s="441"/>
      <c r="AK40" s="395"/>
      <c r="AL40" s="395"/>
      <c r="AM40" s="395">
        <v>0</v>
      </c>
      <c r="AN40" s="395"/>
      <c r="AO40" s="395"/>
      <c r="AP40" s="410"/>
      <c r="AQ40" s="410"/>
    </row>
    <row r="41" spans="2:43" ht="15" customHeight="1">
      <c r="B41" s="394">
        <v>1</v>
      </c>
      <c r="C41" s="395" t="s">
        <v>607</v>
      </c>
      <c r="D41" s="417" t="s">
        <v>3507</v>
      </c>
      <c r="E41" s="662" t="s">
        <v>4996</v>
      </c>
      <c r="F41" s="417"/>
      <c r="G41" s="384"/>
      <c r="H41" s="768"/>
      <c r="I41" s="384"/>
      <c r="J41" s="384" t="s">
        <v>4981</v>
      </c>
      <c r="K41" s="657"/>
      <c r="L41" s="658"/>
      <c r="M41" s="384"/>
      <c r="N41" s="384">
        <v>3</v>
      </c>
      <c r="O41" s="384" t="s">
        <v>4992</v>
      </c>
      <c r="P41" s="384" t="s">
        <v>426</v>
      </c>
      <c r="Q41" s="384" t="s">
        <v>187</v>
      </c>
      <c r="R41" s="384"/>
      <c r="S41" s="660"/>
      <c r="T41" s="396"/>
      <c r="U41" s="384"/>
      <c r="V41" s="384"/>
      <c r="W41" s="384"/>
      <c r="X41" s="384"/>
      <c r="Y41" s="442" t="s">
        <v>3508</v>
      </c>
      <c r="Z41" s="442"/>
      <c r="AA41" s="441"/>
      <c r="AB41" s="441"/>
      <c r="AC41" s="441"/>
      <c r="AD41" s="441"/>
      <c r="AE41" s="441"/>
      <c r="AF41" s="441"/>
      <c r="AG41" s="441"/>
      <c r="AH41" s="441"/>
      <c r="AI41" s="441"/>
      <c r="AJ41" s="441"/>
      <c r="AK41" s="395"/>
      <c r="AL41" s="395"/>
      <c r="AM41" s="395">
        <v>0</v>
      </c>
      <c r="AN41" s="395"/>
      <c r="AO41" s="395"/>
      <c r="AP41" s="410"/>
      <c r="AQ41" s="410"/>
    </row>
    <row r="42" spans="2:43" ht="15" customHeight="1">
      <c r="B42" s="394">
        <v>1</v>
      </c>
      <c r="C42" s="395" t="s">
        <v>607</v>
      </c>
      <c r="D42" s="417" t="s">
        <v>3509</v>
      </c>
      <c r="E42" s="662" t="s">
        <v>4997</v>
      </c>
      <c r="F42" s="417"/>
      <c r="G42" s="384"/>
      <c r="H42" s="768"/>
      <c r="I42" s="384"/>
      <c r="J42" s="384" t="s">
        <v>4981</v>
      </c>
      <c r="K42" s="657"/>
      <c r="L42" s="658"/>
      <c r="M42" s="384"/>
      <c r="N42" s="384">
        <v>3</v>
      </c>
      <c r="O42" s="384" t="s">
        <v>4992</v>
      </c>
      <c r="P42" s="384" t="s">
        <v>426</v>
      </c>
      <c r="Q42" s="384" t="s">
        <v>187</v>
      </c>
      <c r="R42" s="384"/>
      <c r="S42" s="660"/>
      <c r="T42" s="396"/>
      <c r="U42" s="384"/>
      <c r="V42" s="384"/>
      <c r="W42" s="384"/>
      <c r="X42" s="384"/>
      <c r="Y42" s="442" t="s">
        <v>3510</v>
      </c>
      <c r="Z42" s="442"/>
      <c r="AA42" s="441"/>
      <c r="AB42" s="441"/>
      <c r="AC42" s="441"/>
      <c r="AD42" s="441"/>
      <c r="AE42" s="441"/>
      <c r="AF42" s="441"/>
      <c r="AG42" s="441"/>
      <c r="AH42" s="441"/>
      <c r="AI42" s="441"/>
      <c r="AJ42" s="441"/>
      <c r="AK42" s="395"/>
      <c r="AL42" s="395"/>
      <c r="AM42" s="395">
        <v>0</v>
      </c>
      <c r="AN42" s="395"/>
      <c r="AO42" s="395"/>
      <c r="AP42" s="410"/>
      <c r="AQ42" s="410"/>
    </row>
    <row r="43" spans="2:43" ht="15" customHeight="1">
      <c r="B43" s="394">
        <v>1</v>
      </c>
      <c r="C43" s="395" t="s">
        <v>607</v>
      </c>
      <c r="D43" s="417" t="s">
        <v>3511</v>
      </c>
      <c r="E43" s="662" t="s">
        <v>4998</v>
      </c>
      <c r="F43" s="417"/>
      <c r="G43" s="384"/>
      <c r="H43" s="768"/>
      <c r="I43" s="384"/>
      <c r="J43" s="384" t="s">
        <v>4981</v>
      </c>
      <c r="K43" s="657"/>
      <c r="L43" s="658"/>
      <c r="M43" s="384"/>
      <c r="N43" s="384">
        <v>3</v>
      </c>
      <c r="O43" s="384" t="s">
        <v>4992</v>
      </c>
      <c r="P43" s="384" t="s">
        <v>426</v>
      </c>
      <c r="Q43" s="384" t="s">
        <v>187</v>
      </c>
      <c r="R43" s="384"/>
      <c r="S43" s="660"/>
      <c r="T43" s="396"/>
      <c r="U43" s="384"/>
      <c r="V43" s="384"/>
      <c r="W43" s="384"/>
      <c r="X43" s="384"/>
      <c r="Y43" s="442" t="s">
        <v>3512</v>
      </c>
      <c r="Z43" s="442"/>
      <c r="AA43" s="441"/>
      <c r="AB43" s="441"/>
      <c r="AC43" s="441"/>
      <c r="AD43" s="441"/>
      <c r="AE43" s="441"/>
      <c r="AF43" s="441"/>
      <c r="AG43" s="441"/>
      <c r="AH43" s="441"/>
      <c r="AI43" s="441"/>
      <c r="AJ43" s="441"/>
      <c r="AK43" s="395"/>
      <c r="AL43" s="395"/>
      <c r="AM43" s="395">
        <v>0</v>
      </c>
      <c r="AN43" s="395"/>
      <c r="AO43" s="395"/>
      <c r="AP43" s="410"/>
      <c r="AQ43" s="410"/>
    </row>
    <row r="44" spans="2:43" ht="15" customHeight="1">
      <c r="B44" s="394">
        <v>1</v>
      </c>
      <c r="C44" s="395" t="s">
        <v>607</v>
      </c>
      <c r="D44" s="417" t="s">
        <v>3513</v>
      </c>
      <c r="E44" s="662" t="s">
        <v>4999</v>
      </c>
      <c r="F44" s="417"/>
      <c r="G44" s="384"/>
      <c r="H44" s="768"/>
      <c r="I44" s="384"/>
      <c r="J44" s="384" t="s">
        <v>4981</v>
      </c>
      <c r="K44" s="657"/>
      <c r="L44" s="658"/>
      <c r="M44" s="384"/>
      <c r="N44" s="384">
        <v>3</v>
      </c>
      <c r="O44" s="384" t="s">
        <v>4992</v>
      </c>
      <c r="P44" s="384" t="s">
        <v>426</v>
      </c>
      <c r="Q44" s="384" t="s">
        <v>187</v>
      </c>
      <c r="R44" s="384"/>
      <c r="S44" s="660"/>
      <c r="T44" s="396"/>
      <c r="U44" s="384"/>
      <c r="V44" s="384"/>
      <c r="W44" s="384"/>
      <c r="X44" s="384"/>
      <c r="Y44" s="442" t="s">
        <v>3514</v>
      </c>
      <c r="Z44" s="442"/>
      <c r="AA44" s="441"/>
      <c r="AB44" s="441"/>
      <c r="AC44" s="441"/>
      <c r="AD44" s="441"/>
      <c r="AE44" s="441"/>
      <c r="AF44" s="441"/>
      <c r="AG44" s="441"/>
      <c r="AH44" s="441"/>
      <c r="AI44" s="441"/>
      <c r="AJ44" s="441"/>
      <c r="AK44" s="395"/>
      <c r="AL44" s="395"/>
      <c r="AM44" s="395">
        <v>0</v>
      </c>
      <c r="AN44" s="395"/>
      <c r="AO44" s="395"/>
      <c r="AP44" s="410"/>
      <c r="AQ44" s="410"/>
    </row>
    <row r="45" spans="2:43" ht="15" customHeight="1">
      <c r="B45" s="394">
        <v>1</v>
      </c>
      <c r="C45" s="395" t="s">
        <v>607</v>
      </c>
      <c r="D45" s="417" t="s">
        <v>3515</v>
      </c>
      <c r="E45" s="662" t="s">
        <v>5000</v>
      </c>
      <c r="F45" s="417"/>
      <c r="G45" s="384"/>
      <c r="H45" s="768"/>
      <c r="I45" s="384"/>
      <c r="J45" s="384" t="s">
        <v>4981</v>
      </c>
      <c r="K45" s="657"/>
      <c r="L45" s="658"/>
      <c r="M45" s="384"/>
      <c r="N45" s="384">
        <v>3</v>
      </c>
      <c r="O45" s="384" t="s">
        <v>4992</v>
      </c>
      <c r="P45" s="384" t="s">
        <v>426</v>
      </c>
      <c r="Q45" s="384" t="s">
        <v>187</v>
      </c>
      <c r="R45" s="384"/>
      <c r="S45" s="660"/>
      <c r="T45" s="396"/>
      <c r="U45" s="384"/>
      <c r="V45" s="384"/>
      <c r="W45" s="384"/>
      <c r="X45" s="384"/>
      <c r="Y45" s="442" t="s">
        <v>3516</v>
      </c>
      <c r="Z45" s="442"/>
      <c r="AA45" s="441"/>
      <c r="AB45" s="441"/>
      <c r="AC45" s="441"/>
      <c r="AD45" s="441"/>
      <c r="AE45" s="441"/>
      <c r="AF45" s="441"/>
      <c r="AG45" s="441"/>
      <c r="AH45" s="441"/>
      <c r="AI45" s="441"/>
      <c r="AJ45" s="441"/>
      <c r="AK45" s="395"/>
      <c r="AL45" s="395"/>
      <c r="AM45" s="395">
        <v>0</v>
      </c>
      <c r="AN45" s="395"/>
      <c r="AO45" s="395"/>
      <c r="AP45" s="410"/>
      <c r="AQ45" s="410"/>
    </row>
    <row r="46" spans="2:43" ht="15" customHeight="1">
      <c r="B46" s="394">
        <v>1</v>
      </c>
      <c r="C46" s="395" t="s">
        <v>607</v>
      </c>
      <c r="D46" s="417" t="s">
        <v>3517</v>
      </c>
      <c r="E46" s="662" t="s">
        <v>5001</v>
      </c>
      <c r="F46" s="417"/>
      <c r="G46" s="384"/>
      <c r="H46" s="768"/>
      <c r="I46" s="384"/>
      <c r="J46" s="384" t="s">
        <v>4981</v>
      </c>
      <c r="K46" s="657"/>
      <c r="L46" s="658"/>
      <c r="M46" s="384"/>
      <c r="N46" s="384">
        <v>3</v>
      </c>
      <c r="O46" s="384" t="s">
        <v>4992</v>
      </c>
      <c r="P46" s="384" t="s">
        <v>426</v>
      </c>
      <c r="Q46" s="384" t="s">
        <v>187</v>
      </c>
      <c r="R46" s="384"/>
      <c r="S46" s="660"/>
      <c r="T46" s="396"/>
      <c r="U46" s="384"/>
      <c r="V46" s="384"/>
      <c r="W46" s="384"/>
      <c r="X46" s="384"/>
      <c r="Y46" s="442" t="s">
        <v>3518</v>
      </c>
      <c r="Z46" s="442"/>
      <c r="AA46" s="441"/>
      <c r="AB46" s="441"/>
      <c r="AC46" s="441"/>
      <c r="AD46" s="441"/>
      <c r="AE46" s="441"/>
      <c r="AF46" s="441"/>
      <c r="AG46" s="441"/>
      <c r="AH46" s="441"/>
      <c r="AI46" s="441"/>
      <c r="AJ46" s="441"/>
      <c r="AK46" s="395"/>
      <c r="AL46" s="395"/>
      <c r="AM46" s="395">
        <v>0</v>
      </c>
      <c r="AN46" s="395"/>
      <c r="AO46" s="395"/>
      <c r="AP46" s="410"/>
      <c r="AQ46" s="410"/>
    </row>
    <row r="47" spans="2:43" ht="15" customHeight="1">
      <c r="B47" s="394">
        <v>1</v>
      </c>
      <c r="C47" s="395" t="s">
        <v>607</v>
      </c>
      <c r="D47" s="417" t="s">
        <v>3519</v>
      </c>
      <c r="E47" s="662" t="s">
        <v>5002</v>
      </c>
      <c r="F47" s="417"/>
      <c r="G47" s="384"/>
      <c r="H47" s="768"/>
      <c r="I47" s="384"/>
      <c r="J47" s="384" t="s">
        <v>4981</v>
      </c>
      <c r="K47" s="657"/>
      <c r="L47" s="658"/>
      <c r="M47" s="384"/>
      <c r="N47" s="384">
        <v>3</v>
      </c>
      <c r="O47" s="384" t="s">
        <v>4992</v>
      </c>
      <c r="P47" s="384" t="s">
        <v>426</v>
      </c>
      <c r="Q47" s="384" t="s">
        <v>187</v>
      </c>
      <c r="R47" s="384"/>
      <c r="S47" s="660"/>
      <c r="T47" s="396"/>
      <c r="U47" s="384"/>
      <c r="V47" s="384"/>
      <c r="W47" s="384"/>
      <c r="X47" s="384"/>
      <c r="Y47" s="442" t="s">
        <v>3520</v>
      </c>
      <c r="Z47" s="442"/>
      <c r="AA47" s="441"/>
      <c r="AB47" s="441"/>
      <c r="AC47" s="441"/>
      <c r="AD47" s="441"/>
      <c r="AE47" s="441"/>
      <c r="AF47" s="441"/>
      <c r="AG47" s="441"/>
      <c r="AH47" s="441"/>
      <c r="AI47" s="441"/>
      <c r="AJ47" s="441"/>
      <c r="AK47" s="395"/>
      <c r="AL47" s="395"/>
      <c r="AM47" s="395">
        <v>0</v>
      </c>
      <c r="AN47" s="395"/>
      <c r="AO47" s="395"/>
      <c r="AP47" s="410"/>
      <c r="AQ47" s="410"/>
    </row>
    <row r="48" spans="2:43" ht="15" customHeight="1">
      <c r="B48" s="394">
        <v>1</v>
      </c>
      <c r="C48" s="395" t="s">
        <v>607</v>
      </c>
      <c r="D48" s="417" t="s">
        <v>3521</v>
      </c>
      <c r="E48" s="662" t="s">
        <v>5003</v>
      </c>
      <c r="F48" s="417"/>
      <c r="G48" s="384"/>
      <c r="H48" s="768"/>
      <c r="I48" s="384"/>
      <c r="J48" s="384" t="s">
        <v>4981</v>
      </c>
      <c r="K48" s="657"/>
      <c r="L48" s="658"/>
      <c r="M48" s="384"/>
      <c r="N48" s="384">
        <v>3</v>
      </c>
      <c r="O48" s="384" t="s">
        <v>4992</v>
      </c>
      <c r="P48" s="384" t="s">
        <v>426</v>
      </c>
      <c r="Q48" s="384" t="s">
        <v>187</v>
      </c>
      <c r="R48" s="384"/>
      <c r="S48" s="660"/>
      <c r="T48" s="396"/>
      <c r="U48" s="384"/>
      <c r="V48" s="384"/>
      <c r="W48" s="384"/>
      <c r="X48" s="384"/>
      <c r="Y48" s="442" t="s">
        <v>3522</v>
      </c>
      <c r="Z48" s="442"/>
      <c r="AA48" s="441"/>
      <c r="AB48" s="441"/>
      <c r="AC48" s="441"/>
      <c r="AD48" s="441"/>
      <c r="AE48" s="441"/>
      <c r="AF48" s="441"/>
      <c r="AG48" s="441"/>
      <c r="AH48" s="441"/>
      <c r="AI48" s="441"/>
      <c r="AJ48" s="441"/>
      <c r="AK48" s="395"/>
      <c r="AL48" s="395"/>
      <c r="AM48" s="395">
        <v>0</v>
      </c>
      <c r="AN48" s="395"/>
      <c r="AO48" s="395"/>
      <c r="AP48" s="410"/>
      <c r="AQ48" s="410"/>
    </row>
    <row r="49" spans="2:43" ht="15" customHeight="1">
      <c r="B49" s="394">
        <v>1</v>
      </c>
      <c r="C49" s="395" t="s">
        <v>607</v>
      </c>
      <c r="D49" s="417" t="s">
        <v>3523</v>
      </c>
      <c r="E49" s="662" t="s">
        <v>5058</v>
      </c>
      <c r="F49" s="417"/>
      <c r="G49" s="384"/>
      <c r="H49" s="768"/>
      <c r="I49" s="384"/>
      <c r="J49" s="384" t="s">
        <v>4981</v>
      </c>
      <c r="K49" s="657"/>
      <c r="L49" s="658"/>
      <c r="M49" s="384"/>
      <c r="N49" s="384">
        <v>4</v>
      </c>
      <c r="O49" s="384" t="s">
        <v>4992</v>
      </c>
      <c r="P49" s="384" t="s">
        <v>426</v>
      </c>
      <c r="Q49" s="384" t="s">
        <v>187</v>
      </c>
      <c r="R49" s="384"/>
      <c r="S49" s="660"/>
      <c r="T49" s="396"/>
      <c r="U49" s="384"/>
      <c r="V49" s="384"/>
      <c r="W49" s="384"/>
      <c r="X49" s="384"/>
      <c r="Y49" s="442" t="s">
        <v>3524</v>
      </c>
      <c r="Z49" s="442"/>
      <c r="AA49" s="441"/>
      <c r="AB49" s="441"/>
      <c r="AC49" s="441"/>
      <c r="AD49" s="441"/>
      <c r="AE49" s="441"/>
      <c r="AF49" s="441"/>
      <c r="AG49" s="441"/>
      <c r="AH49" s="441"/>
      <c r="AI49" s="441"/>
      <c r="AJ49" s="441"/>
      <c r="AK49" s="395"/>
      <c r="AL49" s="395"/>
      <c r="AM49" s="395">
        <v>0</v>
      </c>
      <c r="AN49" s="395"/>
      <c r="AO49" s="395"/>
      <c r="AP49" s="410"/>
      <c r="AQ49" s="410"/>
    </row>
    <row r="50" spans="2:43" ht="15" customHeight="1">
      <c r="B50" s="394">
        <v>1</v>
      </c>
      <c r="C50" s="395" t="s">
        <v>607</v>
      </c>
      <c r="D50" s="417" t="s">
        <v>3525</v>
      </c>
      <c r="E50" s="662" t="s">
        <v>5059</v>
      </c>
      <c r="F50" s="417"/>
      <c r="G50" s="384"/>
      <c r="H50" s="768"/>
      <c r="I50" s="384"/>
      <c r="J50" s="384" t="s">
        <v>4981</v>
      </c>
      <c r="K50" s="657"/>
      <c r="L50" s="658"/>
      <c r="M50" s="384"/>
      <c r="N50" s="384">
        <v>4</v>
      </c>
      <c r="O50" s="384" t="s">
        <v>4992</v>
      </c>
      <c r="P50" s="384" t="s">
        <v>426</v>
      </c>
      <c r="Q50" s="384" t="s">
        <v>187</v>
      </c>
      <c r="R50" s="384"/>
      <c r="S50" s="660"/>
      <c r="T50" s="396"/>
      <c r="U50" s="384"/>
      <c r="V50" s="384"/>
      <c r="W50" s="384"/>
      <c r="X50" s="384"/>
      <c r="Y50" s="442" t="s">
        <v>3526</v>
      </c>
      <c r="Z50" s="442"/>
      <c r="AA50" s="441"/>
      <c r="AB50" s="441"/>
      <c r="AC50" s="441"/>
      <c r="AD50" s="441"/>
      <c r="AE50" s="441"/>
      <c r="AF50" s="441"/>
      <c r="AG50" s="441"/>
      <c r="AH50" s="441"/>
      <c r="AI50" s="441"/>
      <c r="AJ50" s="441"/>
      <c r="AK50" s="395"/>
      <c r="AL50" s="395"/>
      <c r="AM50" s="395">
        <v>0</v>
      </c>
      <c r="AN50" s="395"/>
      <c r="AO50" s="395"/>
      <c r="AP50" s="410"/>
      <c r="AQ50" s="410"/>
    </row>
    <row r="51" spans="2:43" ht="15" customHeight="1">
      <c r="B51" s="394">
        <v>1</v>
      </c>
      <c r="C51" s="395" t="s">
        <v>607</v>
      </c>
      <c r="D51" s="417" t="s">
        <v>3527</v>
      </c>
      <c r="E51" s="662" t="s">
        <v>5060</v>
      </c>
      <c r="F51" s="417"/>
      <c r="G51" s="384"/>
      <c r="H51" s="768"/>
      <c r="I51" s="384"/>
      <c r="J51" s="384" t="s">
        <v>4981</v>
      </c>
      <c r="K51" s="657"/>
      <c r="L51" s="658"/>
      <c r="M51" s="384"/>
      <c r="N51" s="384">
        <v>1</v>
      </c>
      <c r="O51" s="384" t="s">
        <v>4992</v>
      </c>
      <c r="P51" s="384" t="s">
        <v>426</v>
      </c>
      <c r="Q51" s="384" t="s">
        <v>187</v>
      </c>
      <c r="R51" s="384"/>
      <c r="S51" s="660"/>
      <c r="T51" s="396"/>
      <c r="U51" s="384"/>
      <c r="V51" s="384"/>
      <c r="W51" s="384"/>
      <c r="X51" s="384"/>
      <c r="Y51" s="442" t="s">
        <v>3528</v>
      </c>
      <c r="Z51" s="442"/>
      <c r="AA51" s="441"/>
      <c r="AB51" s="441"/>
      <c r="AC51" s="441"/>
      <c r="AD51" s="441"/>
      <c r="AE51" s="441"/>
      <c r="AF51" s="441"/>
      <c r="AG51" s="441"/>
      <c r="AH51" s="441"/>
      <c r="AI51" s="441"/>
      <c r="AJ51" s="441"/>
      <c r="AK51" s="395"/>
      <c r="AL51" s="395"/>
      <c r="AM51" s="395">
        <v>0</v>
      </c>
      <c r="AN51" s="395"/>
      <c r="AO51" s="395"/>
      <c r="AP51" s="410"/>
      <c r="AQ51" s="410"/>
    </row>
    <row r="52" spans="2:43" ht="15" customHeight="1">
      <c r="B52" s="394">
        <v>1</v>
      </c>
      <c r="C52" s="395" t="s">
        <v>607</v>
      </c>
      <c r="D52" s="417" t="s">
        <v>3529</v>
      </c>
      <c r="E52" s="662" t="s">
        <v>5061</v>
      </c>
      <c r="F52" s="417"/>
      <c r="G52" s="384"/>
      <c r="H52" s="768"/>
      <c r="I52" s="384"/>
      <c r="J52" s="384" t="s">
        <v>4981</v>
      </c>
      <c r="K52" s="657"/>
      <c r="L52" s="658"/>
      <c r="M52" s="384"/>
      <c r="N52" s="384">
        <v>1</v>
      </c>
      <c r="O52" s="384" t="s">
        <v>4992</v>
      </c>
      <c r="P52" s="384" t="s">
        <v>426</v>
      </c>
      <c r="Q52" s="384" t="s">
        <v>187</v>
      </c>
      <c r="R52" s="384"/>
      <c r="S52" s="660"/>
      <c r="T52" s="396"/>
      <c r="U52" s="384"/>
      <c r="V52" s="384"/>
      <c r="W52" s="384"/>
      <c r="X52" s="384"/>
      <c r="Y52" s="442" t="s">
        <v>3530</v>
      </c>
      <c r="Z52" s="442"/>
      <c r="AA52" s="441"/>
      <c r="AB52" s="441"/>
      <c r="AC52" s="441"/>
      <c r="AD52" s="441"/>
      <c r="AE52" s="441"/>
      <c r="AF52" s="441"/>
      <c r="AG52" s="441"/>
      <c r="AH52" s="441"/>
      <c r="AI52" s="441"/>
      <c r="AJ52" s="441"/>
      <c r="AK52" s="395"/>
      <c r="AL52" s="395"/>
      <c r="AM52" s="395">
        <v>0</v>
      </c>
      <c r="AN52" s="395"/>
      <c r="AO52" s="395"/>
      <c r="AP52" s="410"/>
      <c r="AQ52" s="410"/>
    </row>
    <row r="53" spans="2:43" ht="15" customHeight="1">
      <c r="B53" s="394">
        <v>1</v>
      </c>
      <c r="C53" s="395" t="s">
        <v>607</v>
      </c>
      <c r="D53" s="417" t="s">
        <v>3531</v>
      </c>
      <c r="E53" s="662" t="s">
        <v>5062</v>
      </c>
      <c r="F53" s="417"/>
      <c r="G53" s="384"/>
      <c r="H53" s="768"/>
      <c r="I53" s="384"/>
      <c r="J53" s="384" t="s">
        <v>4981</v>
      </c>
      <c r="K53" s="657"/>
      <c r="L53" s="658"/>
      <c r="M53" s="384"/>
      <c r="N53" s="384">
        <v>1</v>
      </c>
      <c r="O53" s="384" t="s">
        <v>4992</v>
      </c>
      <c r="P53" s="384" t="s">
        <v>426</v>
      </c>
      <c r="Q53" s="384" t="s">
        <v>187</v>
      </c>
      <c r="R53" s="384"/>
      <c r="S53" s="660"/>
      <c r="T53" s="396"/>
      <c r="U53" s="384"/>
      <c r="V53" s="384"/>
      <c r="W53" s="384"/>
      <c r="X53" s="384"/>
      <c r="Y53" s="442" t="s">
        <v>3532</v>
      </c>
      <c r="Z53" s="442"/>
      <c r="AA53" s="441"/>
      <c r="AB53" s="441"/>
      <c r="AC53" s="441"/>
      <c r="AD53" s="441"/>
      <c r="AE53" s="441"/>
      <c r="AF53" s="441"/>
      <c r="AG53" s="441"/>
      <c r="AH53" s="441"/>
      <c r="AI53" s="441"/>
      <c r="AJ53" s="441"/>
      <c r="AK53" s="395"/>
      <c r="AL53" s="395"/>
      <c r="AM53" s="395">
        <v>0</v>
      </c>
      <c r="AN53" s="395"/>
      <c r="AO53" s="395"/>
      <c r="AP53" s="410"/>
      <c r="AQ53" s="410"/>
    </row>
    <row r="54" spans="2:43" ht="15" customHeight="1">
      <c r="B54" s="394">
        <v>1</v>
      </c>
      <c r="C54" s="395" t="s">
        <v>607</v>
      </c>
      <c r="D54" s="417" t="s">
        <v>3533</v>
      </c>
      <c r="E54" s="662" t="s">
        <v>5063</v>
      </c>
      <c r="F54" s="417"/>
      <c r="G54" s="384"/>
      <c r="H54" s="768"/>
      <c r="I54" s="384"/>
      <c r="J54" s="384" t="s">
        <v>4981</v>
      </c>
      <c r="K54" s="657"/>
      <c r="L54" s="658"/>
      <c r="M54" s="384"/>
      <c r="N54" s="384">
        <v>1</v>
      </c>
      <c r="O54" s="384" t="s">
        <v>4992</v>
      </c>
      <c r="P54" s="384" t="s">
        <v>426</v>
      </c>
      <c r="Q54" s="384" t="s">
        <v>187</v>
      </c>
      <c r="R54" s="384"/>
      <c r="S54" s="660"/>
      <c r="T54" s="396"/>
      <c r="U54" s="384"/>
      <c r="V54" s="384"/>
      <c r="W54" s="384"/>
      <c r="X54" s="384"/>
      <c r="Y54" s="442" t="s">
        <v>3534</v>
      </c>
      <c r="Z54" s="442"/>
      <c r="AA54" s="441"/>
      <c r="AB54" s="441"/>
      <c r="AC54" s="441"/>
      <c r="AD54" s="441"/>
      <c r="AE54" s="441"/>
      <c r="AF54" s="441"/>
      <c r="AG54" s="441"/>
      <c r="AH54" s="441"/>
      <c r="AI54" s="441"/>
      <c r="AJ54" s="441"/>
      <c r="AK54" s="395"/>
      <c r="AL54" s="395"/>
      <c r="AM54" s="395">
        <v>0</v>
      </c>
      <c r="AN54" s="395"/>
      <c r="AO54" s="395"/>
      <c r="AP54" s="410"/>
      <c r="AQ54" s="410"/>
    </row>
    <row r="55" spans="2:43" ht="15" customHeight="1">
      <c r="B55" s="394">
        <v>1</v>
      </c>
      <c r="C55" s="395" t="s">
        <v>608</v>
      </c>
      <c r="D55" s="417" t="s">
        <v>3535</v>
      </c>
      <c r="E55" s="662" t="s">
        <v>5064</v>
      </c>
      <c r="F55" s="417"/>
      <c r="G55" s="384"/>
      <c r="H55" s="768"/>
      <c r="I55" s="384"/>
      <c r="J55" s="384" t="s">
        <v>4981</v>
      </c>
      <c r="K55" s="657"/>
      <c r="L55" s="658"/>
      <c r="M55" s="384"/>
      <c r="N55" s="384" t="s">
        <v>54</v>
      </c>
      <c r="O55" s="384"/>
      <c r="P55" s="384" t="s">
        <v>231</v>
      </c>
      <c r="Q55" s="384" t="s">
        <v>187</v>
      </c>
      <c r="R55" s="384"/>
      <c r="S55" s="660"/>
      <c r="T55" s="396"/>
      <c r="U55" s="384"/>
      <c r="V55" s="384"/>
      <c r="W55" s="384"/>
      <c r="X55" s="384"/>
      <c r="Y55" s="442" t="s">
        <v>3536</v>
      </c>
      <c r="Z55" s="442"/>
      <c r="AA55" s="441"/>
      <c r="AB55" s="441"/>
      <c r="AC55" s="441"/>
      <c r="AD55" s="441"/>
      <c r="AE55" s="441"/>
      <c r="AF55" s="441"/>
      <c r="AG55" s="441"/>
      <c r="AH55" s="441"/>
      <c r="AI55" s="441"/>
      <c r="AJ55" s="441"/>
      <c r="AK55" s="395"/>
      <c r="AL55" s="395"/>
      <c r="AM55" s="395">
        <v>0</v>
      </c>
      <c r="AN55" s="395"/>
      <c r="AO55" s="395"/>
      <c r="AP55" s="410"/>
      <c r="AQ55" s="410"/>
    </row>
    <row r="56" spans="2:43" ht="15" customHeight="1">
      <c r="B56" s="394">
        <v>1</v>
      </c>
      <c r="C56" s="395" t="s">
        <v>608</v>
      </c>
      <c r="D56" s="417" t="s">
        <v>3537</v>
      </c>
      <c r="E56" s="662" t="s">
        <v>5065</v>
      </c>
      <c r="F56" s="417"/>
      <c r="G56" s="384"/>
      <c r="H56" s="768"/>
      <c r="I56" s="384"/>
      <c r="J56" s="384" t="s">
        <v>4981</v>
      </c>
      <c r="K56" s="657"/>
      <c r="L56" s="658"/>
      <c r="M56" s="384"/>
      <c r="N56" s="384" t="s">
        <v>54</v>
      </c>
      <c r="O56" s="384"/>
      <c r="P56" s="384" t="s">
        <v>231</v>
      </c>
      <c r="Q56" s="384" t="s">
        <v>187</v>
      </c>
      <c r="R56" s="384"/>
      <c r="S56" s="660"/>
      <c r="T56" s="396"/>
      <c r="U56" s="384"/>
      <c r="V56" s="384"/>
      <c r="W56" s="384"/>
      <c r="X56" s="384"/>
      <c r="Y56" s="442" t="s">
        <v>3538</v>
      </c>
      <c r="Z56" s="442"/>
      <c r="AA56" s="441"/>
      <c r="AB56" s="441"/>
      <c r="AC56" s="441"/>
      <c r="AD56" s="441"/>
      <c r="AE56" s="441"/>
      <c r="AF56" s="441"/>
      <c r="AG56" s="441"/>
      <c r="AH56" s="441"/>
      <c r="AI56" s="441"/>
      <c r="AJ56" s="441"/>
      <c r="AK56" s="395"/>
      <c r="AL56" s="395"/>
      <c r="AM56" s="395">
        <v>0</v>
      </c>
      <c r="AN56" s="395"/>
      <c r="AO56" s="395"/>
      <c r="AP56" s="410"/>
      <c r="AQ56" s="410"/>
    </row>
    <row r="57" spans="2:43" ht="15" customHeight="1">
      <c r="B57" s="394">
        <v>1</v>
      </c>
      <c r="C57" s="395" t="s">
        <v>608</v>
      </c>
      <c r="D57" s="417" t="s">
        <v>3539</v>
      </c>
      <c r="E57" s="662" t="s">
        <v>5066</v>
      </c>
      <c r="F57" s="417"/>
      <c r="G57" s="384"/>
      <c r="H57" s="768"/>
      <c r="I57" s="384"/>
      <c r="J57" s="384" t="s">
        <v>4981</v>
      </c>
      <c r="K57" s="657"/>
      <c r="L57" s="658"/>
      <c r="M57" s="384"/>
      <c r="N57" s="384" t="s">
        <v>54</v>
      </c>
      <c r="O57" s="384"/>
      <c r="P57" s="384" t="s">
        <v>231</v>
      </c>
      <c r="Q57" s="384" t="s">
        <v>187</v>
      </c>
      <c r="R57" s="384"/>
      <c r="S57" s="660"/>
      <c r="T57" s="396"/>
      <c r="U57" s="384"/>
      <c r="V57" s="384"/>
      <c r="W57" s="384"/>
      <c r="X57" s="384"/>
      <c r="Y57" s="442" t="s">
        <v>3540</v>
      </c>
      <c r="Z57" s="442"/>
      <c r="AA57" s="441"/>
      <c r="AB57" s="441"/>
      <c r="AC57" s="441"/>
      <c r="AD57" s="441"/>
      <c r="AE57" s="441"/>
      <c r="AF57" s="441"/>
      <c r="AG57" s="441"/>
      <c r="AH57" s="441"/>
      <c r="AI57" s="441"/>
      <c r="AJ57" s="441"/>
      <c r="AK57" s="395"/>
      <c r="AL57" s="395"/>
      <c r="AM57" s="395">
        <v>0</v>
      </c>
      <c r="AN57" s="395"/>
      <c r="AO57" s="395"/>
      <c r="AP57" s="410"/>
      <c r="AQ57" s="410"/>
    </row>
    <row r="58" spans="2:43" ht="15" customHeight="1">
      <c r="B58" s="394">
        <v>1</v>
      </c>
      <c r="C58" s="395" t="s">
        <v>608</v>
      </c>
      <c r="D58" s="417" t="s">
        <v>3541</v>
      </c>
      <c r="E58" s="662" t="s">
        <v>5067</v>
      </c>
      <c r="F58" s="417"/>
      <c r="G58" s="384"/>
      <c r="H58" s="768"/>
      <c r="I58" s="384"/>
      <c r="J58" s="384" t="s">
        <v>4981</v>
      </c>
      <c r="K58" s="657"/>
      <c r="L58" s="658"/>
      <c r="M58" s="384"/>
      <c r="N58" s="384" t="s">
        <v>54</v>
      </c>
      <c r="O58" s="384"/>
      <c r="P58" s="384" t="s">
        <v>231</v>
      </c>
      <c r="Q58" s="384" t="s">
        <v>187</v>
      </c>
      <c r="R58" s="384"/>
      <c r="S58" s="660"/>
      <c r="T58" s="396"/>
      <c r="U58" s="384"/>
      <c r="V58" s="384"/>
      <c r="W58" s="384"/>
      <c r="X58" s="384"/>
      <c r="Y58" s="442" t="s">
        <v>3542</v>
      </c>
      <c r="Z58" s="442"/>
      <c r="AA58" s="441"/>
      <c r="AB58" s="441"/>
      <c r="AC58" s="441"/>
      <c r="AD58" s="441"/>
      <c r="AE58" s="441"/>
      <c r="AF58" s="441"/>
      <c r="AG58" s="441"/>
      <c r="AH58" s="441"/>
      <c r="AI58" s="441"/>
      <c r="AJ58" s="441"/>
      <c r="AK58" s="395"/>
      <c r="AL58" s="395"/>
      <c r="AM58" s="395">
        <v>0</v>
      </c>
      <c r="AN58" s="395"/>
      <c r="AO58" s="395"/>
      <c r="AP58" s="410"/>
      <c r="AQ58" s="410"/>
    </row>
    <row r="59" spans="2:43" ht="15" customHeight="1">
      <c r="B59" s="394">
        <v>1</v>
      </c>
      <c r="C59" s="395" t="s">
        <v>608</v>
      </c>
      <c r="D59" s="417" t="s">
        <v>3543</v>
      </c>
      <c r="E59" s="662" t="s">
        <v>5068</v>
      </c>
      <c r="F59" s="417"/>
      <c r="G59" s="384"/>
      <c r="H59" s="768"/>
      <c r="I59" s="384"/>
      <c r="J59" s="384" t="s">
        <v>4981</v>
      </c>
      <c r="K59" s="657"/>
      <c r="L59" s="658"/>
      <c r="M59" s="384"/>
      <c r="N59" s="384" t="s">
        <v>54</v>
      </c>
      <c r="O59" s="384"/>
      <c r="P59" s="384" t="s">
        <v>231</v>
      </c>
      <c r="Q59" s="384" t="s">
        <v>187</v>
      </c>
      <c r="R59" s="384"/>
      <c r="S59" s="660"/>
      <c r="T59" s="396"/>
      <c r="U59" s="384"/>
      <c r="V59" s="384"/>
      <c r="W59" s="384"/>
      <c r="X59" s="384"/>
      <c r="Y59" s="442" t="s">
        <v>3385</v>
      </c>
      <c r="Z59" s="442"/>
      <c r="AA59" s="441"/>
      <c r="AB59" s="441"/>
      <c r="AC59" s="441"/>
      <c r="AD59" s="441"/>
      <c r="AE59" s="441"/>
      <c r="AF59" s="441"/>
      <c r="AG59" s="441"/>
      <c r="AH59" s="441"/>
      <c r="AI59" s="441"/>
      <c r="AJ59" s="441"/>
      <c r="AK59" s="395"/>
      <c r="AL59" s="395"/>
      <c r="AM59" s="395">
        <v>0</v>
      </c>
      <c r="AN59" s="395"/>
      <c r="AO59" s="395"/>
      <c r="AP59" s="410"/>
      <c r="AQ59" s="410"/>
    </row>
    <row r="60" spans="2:43" ht="15" customHeight="1">
      <c r="B60" s="394">
        <v>1</v>
      </c>
      <c r="C60" s="395" t="s">
        <v>608</v>
      </c>
      <c r="D60" s="417" t="s">
        <v>3544</v>
      </c>
      <c r="E60" s="662" t="s">
        <v>5069</v>
      </c>
      <c r="F60" s="417"/>
      <c r="G60" s="384"/>
      <c r="H60" s="768"/>
      <c r="I60" s="384"/>
      <c r="J60" s="384" t="s">
        <v>4981</v>
      </c>
      <c r="K60" s="657"/>
      <c r="L60" s="658"/>
      <c r="M60" s="384"/>
      <c r="N60" s="384" t="s">
        <v>54</v>
      </c>
      <c r="O60" s="384"/>
      <c r="P60" s="384" t="s">
        <v>231</v>
      </c>
      <c r="Q60" s="384" t="s">
        <v>187</v>
      </c>
      <c r="R60" s="384"/>
      <c r="S60" s="660"/>
      <c r="T60" s="396"/>
      <c r="U60" s="384"/>
      <c r="V60" s="384"/>
      <c r="W60" s="384"/>
      <c r="X60" s="384"/>
      <c r="Y60" s="442" t="s">
        <v>3386</v>
      </c>
      <c r="Z60" s="442"/>
      <c r="AA60" s="441"/>
      <c r="AB60" s="441"/>
      <c r="AC60" s="441"/>
      <c r="AD60" s="441"/>
      <c r="AE60" s="441"/>
      <c r="AF60" s="441"/>
      <c r="AG60" s="441"/>
      <c r="AH60" s="441"/>
      <c r="AI60" s="441"/>
      <c r="AJ60" s="441"/>
      <c r="AK60" s="395"/>
      <c r="AL60" s="395"/>
      <c r="AM60" s="395">
        <v>0</v>
      </c>
      <c r="AN60" s="395"/>
      <c r="AO60" s="395"/>
      <c r="AP60" s="410"/>
      <c r="AQ60" s="410"/>
    </row>
    <row r="61" spans="2:43" ht="15" customHeight="1">
      <c r="B61" s="394">
        <v>1</v>
      </c>
      <c r="C61" s="395" t="s">
        <v>608</v>
      </c>
      <c r="D61" s="417" t="s">
        <v>3545</v>
      </c>
      <c r="E61" s="662" t="s">
        <v>5070</v>
      </c>
      <c r="F61" s="417"/>
      <c r="G61" s="384"/>
      <c r="H61" s="768"/>
      <c r="I61" s="384"/>
      <c r="J61" s="384" t="s">
        <v>4981</v>
      </c>
      <c r="K61" s="657"/>
      <c r="L61" s="658"/>
      <c r="M61" s="384"/>
      <c r="N61" s="384" t="s">
        <v>54</v>
      </c>
      <c r="O61" s="384"/>
      <c r="P61" s="384" t="s">
        <v>231</v>
      </c>
      <c r="Q61" s="384" t="s">
        <v>187</v>
      </c>
      <c r="R61" s="384"/>
      <c r="S61" s="660"/>
      <c r="T61" s="396"/>
      <c r="U61" s="384"/>
      <c r="V61" s="384"/>
      <c r="W61" s="384"/>
      <c r="X61" s="384"/>
      <c r="Y61" s="442" t="s">
        <v>3387</v>
      </c>
      <c r="Z61" s="442"/>
      <c r="AA61" s="441"/>
      <c r="AB61" s="441"/>
      <c r="AC61" s="441"/>
      <c r="AD61" s="441"/>
      <c r="AE61" s="441"/>
      <c r="AF61" s="441"/>
      <c r="AG61" s="441"/>
      <c r="AH61" s="441"/>
      <c r="AI61" s="441"/>
      <c r="AJ61" s="441"/>
      <c r="AK61" s="395"/>
      <c r="AL61" s="395"/>
      <c r="AM61" s="395">
        <v>0</v>
      </c>
      <c r="AN61" s="395"/>
      <c r="AO61" s="395"/>
      <c r="AP61" s="410"/>
      <c r="AQ61" s="410"/>
    </row>
    <row r="62" spans="2:43" ht="15" customHeight="1">
      <c r="B62" s="394">
        <v>1</v>
      </c>
      <c r="C62" s="395" t="s">
        <v>608</v>
      </c>
      <c r="D62" s="417" t="s">
        <v>3546</v>
      </c>
      <c r="E62" s="662" t="s">
        <v>5071</v>
      </c>
      <c r="F62" s="417"/>
      <c r="G62" s="384"/>
      <c r="H62" s="768"/>
      <c r="I62" s="384"/>
      <c r="J62" s="384" t="s">
        <v>4981</v>
      </c>
      <c r="K62" s="657"/>
      <c r="L62" s="658"/>
      <c r="M62" s="384"/>
      <c r="N62" s="384" t="s">
        <v>54</v>
      </c>
      <c r="O62" s="384"/>
      <c r="P62" s="384" t="s">
        <v>231</v>
      </c>
      <c r="Q62" s="384" t="s">
        <v>187</v>
      </c>
      <c r="R62" s="384"/>
      <c r="S62" s="660"/>
      <c r="T62" s="396"/>
      <c r="U62" s="384"/>
      <c r="V62" s="384"/>
      <c r="W62" s="384"/>
      <c r="X62" s="384"/>
      <c r="Y62" s="442" t="s">
        <v>3388</v>
      </c>
      <c r="Z62" s="442"/>
      <c r="AA62" s="441"/>
      <c r="AB62" s="441"/>
      <c r="AC62" s="441"/>
      <c r="AD62" s="441"/>
      <c r="AE62" s="441"/>
      <c r="AF62" s="441"/>
      <c r="AG62" s="441"/>
      <c r="AH62" s="441"/>
      <c r="AI62" s="441"/>
      <c r="AJ62" s="441"/>
      <c r="AK62" s="395"/>
      <c r="AL62" s="395"/>
      <c r="AM62" s="395">
        <v>0</v>
      </c>
      <c r="AN62" s="395"/>
      <c r="AO62" s="395"/>
      <c r="AP62" s="410"/>
      <c r="AQ62" s="410"/>
    </row>
    <row r="63" spans="2:43" ht="15" customHeight="1">
      <c r="B63" s="394">
        <v>1</v>
      </c>
      <c r="C63" s="395" t="s">
        <v>608</v>
      </c>
      <c r="D63" s="417" t="s">
        <v>3547</v>
      </c>
      <c r="E63" s="662" t="s">
        <v>5072</v>
      </c>
      <c r="F63" s="417"/>
      <c r="G63" s="384"/>
      <c r="H63" s="768"/>
      <c r="I63" s="384"/>
      <c r="J63" s="384" t="s">
        <v>4981</v>
      </c>
      <c r="K63" s="657"/>
      <c r="L63" s="658"/>
      <c r="M63" s="384"/>
      <c r="N63" s="384" t="s">
        <v>54</v>
      </c>
      <c r="O63" s="384"/>
      <c r="P63" s="384" t="s">
        <v>231</v>
      </c>
      <c r="Q63" s="384" t="s">
        <v>187</v>
      </c>
      <c r="R63" s="384"/>
      <c r="S63" s="660"/>
      <c r="T63" s="396"/>
      <c r="U63" s="384"/>
      <c r="V63" s="384"/>
      <c r="W63" s="384"/>
      <c r="X63" s="384"/>
      <c r="Y63" s="442" t="s">
        <v>3389</v>
      </c>
      <c r="Z63" s="442"/>
      <c r="AA63" s="441"/>
      <c r="AB63" s="441"/>
      <c r="AC63" s="441"/>
      <c r="AD63" s="441"/>
      <c r="AE63" s="441"/>
      <c r="AF63" s="441"/>
      <c r="AG63" s="441"/>
      <c r="AH63" s="441"/>
      <c r="AI63" s="441"/>
      <c r="AJ63" s="441"/>
      <c r="AK63" s="395"/>
      <c r="AL63" s="395"/>
      <c r="AM63" s="395">
        <v>0</v>
      </c>
      <c r="AN63" s="395"/>
      <c r="AO63" s="395"/>
      <c r="AP63" s="410"/>
      <c r="AQ63" s="410"/>
    </row>
    <row r="64" spans="2:43" ht="15" customHeight="1">
      <c r="B64" s="394">
        <v>1</v>
      </c>
      <c r="C64" s="395" t="s">
        <v>608</v>
      </c>
      <c r="D64" s="417" t="s">
        <v>3548</v>
      </c>
      <c r="E64" s="662" t="s">
        <v>5073</v>
      </c>
      <c r="F64" s="417"/>
      <c r="G64" s="384"/>
      <c r="H64" s="768"/>
      <c r="I64" s="384"/>
      <c r="J64" s="384" t="s">
        <v>4981</v>
      </c>
      <c r="K64" s="657"/>
      <c r="L64" s="658"/>
      <c r="M64" s="384"/>
      <c r="N64" s="384" t="s">
        <v>54</v>
      </c>
      <c r="O64" s="384"/>
      <c r="P64" s="384" t="s">
        <v>231</v>
      </c>
      <c r="Q64" s="384" t="s">
        <v>187</v>
      </c>
      <c r="R64" s="384"/>
      <c r="S64" s="660"/>
      <c r="T64" s="396"/>
      <c r="U64" s="384"/>
      <c r="V64" s="384"/>
      <c r="W64" s="384"/>
      <c r="X64" s="384"/>
      <c r="Y64" s="442" t="s">
        <v>3390</v>
      </c>
      <c r="Z64" s="442"/>
      <c r="AA64" s="441"/>
      <c r="AB64" s="441"/>
      <c r="AC64" s="441"/>
      <c r="AD64" s="441"/>
      <c r="AE64" s="441"/>
      <c r="AF64" s="441"/>
      <c r="AG64" s="441"/>
      <c r="AH64" s="441"/>
      <c r="AI64" s="441"/>
      <c r="AJ64" s="441"/>
      <c r="AK64" s="395"/>
      <c r="AL64" s="395"/>
      <c r="AM64" s="395">
        <v>0</v>
      </c>
      <c r="AN64" s="395"/>
      <c r="AO64" s="395"/>
      <c r="AP64" s="410"/>
      <c r="AQ64" s="410"/>
    </row>
    <row r="65" spans="2:43" ht="15" customHeight="1">
      <c r="B65" s="394">
        <v>1</v>
      </c>
      <c r="C65" s="395" t="s">
        <v>608</v>
      </c>
      <c r="D65" s="417" t="s">
        <v>3549</v>
      </c>
      <c r="E65" s="662" t="s">
        <v>5074</v>
      </c>
      <c r="F65" s="417"/>
      <c r="G65" s="384"/>
      <c r="H65" s="768"/>
      <c r="I65" s="384"/>
      <c r="J65" s="384" t="s">
        <v>4981</v>
      </c>
      <c r="K65" s="657"/>
      <c r="L65" s="658"/>
      <c r="M65" s="384"/>
      <c r="N65" s="384" t="s">
        <v>54</v>
      </c>
      <c r="O65" s="384"/>
      <c r="P65" s="384" t="s">
        <v>231</v>
      </c>
      <c r="Q65" s="384" t="s">
        <v>187</v>
      </c>
      <c r="R65" s="384"/>
      <c r="S65" s="660"/>
      <c r="T65" s="396"/>
      <c r="U65" s="384"/>
      <c r="V65" s="384"/>
      <c r="W65" s="384"/>
      <c r="X65" s="384"/>
      <c r="Y65" s="442" t="s">
        <v>3391</v>
      </c>
      <c r="Z65" s="442"/>
      <c r="AA65" s="441"/>
      <c r="AB65" s="441"/>
      <c r="AC65" s="441"/>
      <c r="AD65" s="441"/>
      <c r="AE65" s="441"/>
      <c r="AF65" s="441"/>
      <c r="AG65" s="441"/>
      <c r="AH65" s="441"/>
      <c r="AI65" s="441"/>
      <c r="AJ65" s="441"/>
      <c r="AK65" s="395"/>
      <c r="AL65" s="395"/>
      <c r="AM65" s="395">
        <v>0</v>
      </c>
      <c r="AN65" s="395"/>
      <c r="AO65" s="395"/>
      <c r="AP65" s="410"/>
      <c r="AQ65" s="410"/>
    </row>
    <row r="66" spans="2:43" ht="15" customHeight="1">
      <c r="B66" s="394">
        <v>1</v>
      </c>
      <c r="C66" s="395" t="s">
        <v>608</v>
      </c>
      <c r="D66" s="417" t="s">
        <v>3550</v>
      </c>
      <c r="E66" s="662" t="s">
        <v>5075</v>
      </c>
      <c r="F66" s="417"/>
      <c r="G66" s="384"/>
      <c r="H66" s="768"/>
      <c r="I66" s="384"/>
      <c r="J66" s="384" t="s">
        <v>4981</v>
      </c>
      <c r="K66" s="657"/>
      <c r="L66" s="658"/>
      <c r="M66" s="384"/>
      <c r="N66" s="384" t="s">
        <v>54</v>
      </c>
      <c r="O66" s="384"/>
      <c r="P66" s="384" t="s">
        <v>231</v>
      </c>
      <c r="Q66" s="384" t="s">
        <v>187</v>
      </c>
      <c r="R66" s="384"/>
      <c r="S66" s="660"/>
      <c r="T66" s="396"/>
      <c r="U66" s="384"/>
      <c r="V66" s="384"/>
      <c r="W66" s="384"/>
      <c r="X66" s="384"/>
      <c r="Y66" s="442" t="s">
        <v>3392</v>
      </c>
      <c r="Z66" s="442"/>
      <c r="AA66" s="441"/>
      <c r="AB66" s="441"/>
      <c r="AC66" s="441"/>
      <c r="AD66" s="441"/>
      <c r="AE66" s="441"/>
      <c r="AF66" s="441"/>
      <c r="AG66" s="441"/>
      <c r="AH66" s="441"/>
      <c r="AI66" s="441"/>
      <c r="AJ66" s="441"/>
      <c r="AK66" s="395"/>
      <c r="AL66" s="395"/>
      <c r="AM66" s="395">
        <v>0</v>
      </c>
      <c r="AN66" s="395"/>
      <c r="AO66" s="395"/>
      <c r="AP66" s="410"/>
      <c r="AQ66" s="410"/>
    </row>
    <row r="67" spans="2:43" ht="15" customHeight="1">
      <c r="B67" s="394">
        <v>1</v>
      </c>
      <c r="C67" s="395" t="s">
        <v>608</v>
      </c>
      <c r="D67" s="417" t="s">
        <v>3551</v>
      </c>
      <c r="E67" s="662" t="s">
        <v>5076</v>
      </c>
      <c r="F67" s="417"/>
      <c r="G67" s="384"/>
      <c r="H67" s="768"/>
      <c r="I67" s="384"/>
      <c r="J67" s="384" t="s">
        <v>4981</v>
      </c>
      <c r="K67" s="657"/>
      <c r="L67" s="658"/>
      <c r="M67" s="384"/>
      <c r="N67" s="384" t="s">
        <v>54</v>
      </c>
      <c r="O67" s="384"/>
      <c r="P67" s="384" t="s">
        <v>231</v>
      </c>
      <c r="Q67" s="384" t="s">
        <v>187</v>
      </c>
      <c r="R67" s="384"/>
      <c r="S67" s="660"/>
      <c r="T67" s="396"/>
      <c r="U67" s="384"/>
      <c r="V67" s="384"/>
      <c r="W67" s="384"/>
      <c r="X67" s="384"/>
      <c r="Y67" s="442" t="s">
        <v>3397</v>
      </c>
      <c r="Z67" s="442"/>
      <c r="AA67" s="441"/>
      <c r="AB67" s="441"/>
      <c r="AC67" s="441"/>
      <c r="AD67" s="441"/>
      <c r="AE67" s="441"/>
      <c r="AF67" s="441"/>
      <c r="AG67" s="441"/>
      <c r="AH67" s="441"/>
      <c r="AI67" s="441"/>
      <c r="AJ67" s="441"/>
      <c r="AK67" s="395"/>
      <c r="AL67" s="395"/>
      <c r="AM67" s="395">
        <v>0</v>
      </c>
      <c r="AN67" s="395"/>
      <c r="AO67" s="395"/>
      <c r="AP67" s="410"/>
      <c r="AQ67" s="410"/>
    </row>
    <row r="68" spans="2:43" ht="15" customHeight="1">
      <c r="B68" s="394">
        <v>1</v>
      </c>
      <c r="C68" s="395" t="s">
        <v>608</v>
      </c>
      <c r="D68" s="417" t="s">
        <v>3552</v>
      </c>
      <c r="E68" s="662" t="s">
        <v>5077</v>
      </c>
      <c r="F68" s="417"/>
      <c r="G68" s="384"/>
      <c r="H68" s="768"/>
      <c r="I68" s="384"/>
      <c r="J68" s="384" t="s">
        <v>4981</v>
      </c>
      <c r="K68" s="657"/>
      <c r="L68" s="658"/>
      <c r="M68" s="384"/>
      <c r="N68" s="384" t="s">
        <v>54</v>
      </c>
      <c r="O68" s="384"/>
      <c r="P68" s="384" t="s">
        <v>231</v>
      </c>
      <c r="Q68" s="384" t="s">
        <v>187</v>
      </c>
      <c r="R68" s="384"/>
      <c r="S68" s="660"/>
      <c r="T68" s="396"/>
      <c r="U68" s="384"/>
      <c r="V68" s="384"/>
      <c r="W68" s="384"/>
      <c r="X68" s="384"/>
      <c r="Y68" s="442" t="s">
        <v>3398</v>
      </c>
      <c r="Z68" s="442"/>
      <c r="AA68" s="441"/>
      <c r="AB68" s="441"/>
      <c r="AC68" s="441"/>
      <c r="AD68" s="441"/>
      <c r="AE68" s="441"/>
      <c r="AF68" s="441"/>
      <c r="AG68" s="441"/>
      <c r="AH68" s="441"/>
      <c r="AI68" s="441"/>
      <c r="AJ68" s="441"/>
      <c r="AK68" s="395"/>
      <c r="AL68" s="395"/>
      <c r="AM68" s="395">
        <v>0</v>
      </c>
      <c r="AN68" s="395"/>
      <c r="AO68" s="395"/>
      <c r="AP68" s="410"/>
      <c r="AQ68" s="410"/>
    </row>
    <row r="69" spans="2:43" ht="15" customHeight="1">
      <c r="B69" s="394">
        <v>1</v>
      </c>
      <c r="C69" s="395" t="s">
        <v>608</v>
      </c>
      <c r="D69" s="417" t="s">
        <v>3553</v>
      </c>
      <c r="E69" s="662" t="s">
        <v>5078</v>
      </c>
      <c r="F69" s="417"/>
      <c r="G69" s="384"/>
      <c r="H69" s="768"/>
      <c r="I69" s="384"/>
      <c r="J69" s="384" t="s">
        <v>4981</v>
      </c>
      <c r="K69" s="657"/>
      <c r="L69" s="658"/>
      <c r="M69" s="384"/>
      <c r="N69" s="384" t="s">
        <v>54</v>
      </c>
      <c r="O69" s="384"/>
      <c r="P69" s="384" t="s">
        <v>231</v>
      </c>
      <c r="Q69" s="384" t="s">
        <v>187</v>
      </c>
      <c r="R69" s="384"/>
      <c r="S69" s="660"/>
      <c r="T69" s="396"/>
      <c r="U69" s="384"/>
      <c r="V69" s="384"/>
      <c r="W69" s="384"/>
      <c r="X69" s="384"/>
      <c r="Y69" s="442" t="s">
        <v>3400</v>
      </c>
      <c r="Z69" s="442"/>
      <c r="AA69" s="441"/>
      <c r="AB69" s="441"/>
      <c r="AC69" s="441"/>
      <c r="AD69" s="441"/>
      <c r="AE69" s="441"/>
      <c r="AF69" s="441"/>
      <c r="AG69" s="441"/>
      <c r="AH69" s="441"/>
      <c r="AI69" s="441"/>
      <c r="AJ69" s="441"/>
      <c r="AK69" s="395"/>
      <c r="AL69" s="395"/>
      <c r="AM69" s="395">
        <v>0</v>
      </c>
      <c r="AN69" s="395"/>
      <c r="AO69" s="395"/>
      <c r="AP69" s="410"/>
      <c r="AQ69" s="410"/>
    </row>
    <row r="70" spans="2:43" ht="15" customHeight="1">
      <c r="B70" s="394">
        <v>1</v>
      </c>
      <c r="C70" s="395" t="s">
        <v>608</v>
      </c>
      <c r="D70" s="417" t="s">
        <v>3554</v>
      </c>
      <c r="E70" s="662" t="s">
        <v>5079</v>
      </c>
      <c r="F70" s="417"/>
      <c r="G70" s="384"/>
      <c r="H70" s="768"/>
      <c r="I70" s="384"/>
      <c r="J70" s="384" t="s">
        <v>4981</v>
      </c>
      <c r="K70" s="657"/>
      <c r="L70" s="658"/>
      <c r="M70" s="384"/>
      <c r="N70" s="384" t="s">
        <v>54</v>
      </c>
      <c r="O70" s="384"/>
      <c r="P70" s="384" t="s">
        <v>231</v>
      </c>
      <c r="Q70" s="384" t="s">
        <v>187</v>
      </c>
      <c r="R70" s="384"/>
      <c r="S70" s="660"/>
      <c r="T70" s="396"/>
      <c r="U70" s="384"/>
      <c r="V70" s="384"/>
      <c r="W70" s="384"/>
      <c r="X70" s="384"/>
      <c r="Y70" s="442" t="s">
        <v>3401</v>
      </c>
      <c r="Z70" s="442"/>
      <c r="AA70" s="441"/>
      <c r="AB70" s="441"/>
      <c r="AC70" s="441"/>
      <c r="AD70" s="441"/>
      <c r="AE70" s="441"/>
      <c r="AF70" s="441"/>
      <c r="AG70" s="441"/>
      <c r="AH70" s="441"/>
      <c r="AI70" s="441"/>
      <c r="AJ70" s="441"/>
      <c r="AK70" s="395"/>
      <c r="AL70" s="395"/>
      <c r="AM70" s="395">
        <v>0</v>
      </c>
      <c r="AN70" s="395"/>
      <c r="AO70" s="395"/>
      <c r="AP70" s="410"/>
      <c r="AQ70" s="410"/>
    </row>
    <row r="71" spans="2:43" ht="15" customHeight="1">
      <c r="B71" s="394">
        <v>1</v>
      </c>
      <c r="C71" s="395" t="s">
        <v>608</v>
      </c>
      <c r="D71" s="417" t="s">
        <v>3555</v>
      </c>
      <c r="E71" s="662" t="s">
        <v>5080</v>
      </c>
      <c r="F71" s="417"/>
      <c r="G71" s="384"/>
      <c r="H71" s="768"/>
      <c r="I71" s="384"/>
      <c r="J71" s="384" t="s">
        <v>4981</v>
      </c>
      <c r="K71" s="657"/>
      <c r="L71" s="658"/>
      <c r="M71" s="384"/>
      <c r="N71" s="384" t="s">
        <v>54</v>
      </c>
      <c r="O71" s="384"/>
      <c r="P71" s="384" t="s">
        <v>231</v>
      </c>
      <c r="Q71" s="384" t="s">
        <v>187</v>
      </c>
      <c r="R71" s="384"/>
      <c r="S71" s="660"/>
      <c r="T71" s="396"/>
      <c r="U71" s="384"/>
      <c r="V71" s="384"/>
      <c r="W71" s="384"/>
      <c r="X71" s="384"/>
      <c r="Y71" s="442" t="s">
        <v>3405</v>
      </c>
      <c r="Z71" s="442"/>
      <c r="AA71" s="441"/>
      <c r="AB71" s="441"/>
      <c r="AC71" s="441"/>
      <c r="AD71" s="441"/>
      <c r="AE71" s="441"/>
      <c r="AF71" s="441"/>
      <c r="AG71" s="441"/>
      <c r="AH71" s="441"/>
      <c r="AI71" s="441"/>
      <c r="AJ71" s="441"/>
      <c r="AK71" s="395"/>
      <c r="AL71" s="395"/>
      <c r="AM71" s="395">
        <v>0</v>
      </c>
      <c r="AN71" s="395"/>
      <c r="AO71" s="395"/>
      <c r="AP71" s="410"/>
      <c r="AQ71" s="410"/>
    </row>
    <row r="72" spans="2:43" ht="15" customHeight="1">
      <c r="B72" s="394">
        <v>1</v>
      </c>
      <c r="C72" s="395" t="s">
        <v>608</v>
      </c>
      <c r="D72" s="417" t="s">
        <v>3556</v>
      </c>
      <c r="E72" s="662" t="s">
        <v>5081</v>
      </c>
      <c r="F72" s="417"/>
      <c r="G72" s="384"/>
      <c r="H72" s="768"/>
      <c r="I72" s="384"/>
      <c r="J72" s="384" t="s">
        <v>4981</v>
      </c>
      <c r="K72" s="657"/>
      <c r="L72" s="658"/>
      <c r="M72" s="384"/>
      <c r="N72" s="384" t="s">
        <v>54</v>
      </c>
      <c r="O72" s="384"/>
      <c r="P72" s="384" t="s">
        <v>231</v>
      </c>
      <c r="Q72" s="384" t="s">
        <v>187</v>
      </c>
      <c r="R72" s="384"/>
      <c r="S72" s="660"/>
      <c r="T72" s="396"/>
      <c r="U72" s="384"/>
      <c r="V72" s="384"/>
      <c r="W72" s="384"/>
      <c r="X72" s="384"/>
      <c r="Y72" s="442" t="s">
        <v>3403</v>
      </c>
      <c r="Z72" s="442"/>
      <c r="AA72" s="441"/>
      <c r="AB72" s="441"/>
      <c r="AC72" s="441"/>
      <c r="AD72" s="441"/>
      <c r="AE72" s="441"/>
      <c r="AF72" s="441"/>
      <c r="AG72" s="441"/>
      <c r="AH72" s="441"/>
      <c r="AI72" s="441"/>
      <c r="AJ72" s="441"/>
      <c r="AK72" s="395"/>
      <c r="AL72" s="395"/>
      <c r="AM72" s="395">
        <v>0</v>
      </c>
      <c r="AN72" s="395"/>
      <c r="AO72" s="395"/>
      <c r="AP72" s="410"/>
      <c r="AQ72" s="410"/>
    </row>
    <row r="73" spans="2:43" ht="15" customHeight="1">
      <c r="B73" s="394">
        <v>1</v>
      </c>
      <c r="C73" s="395" t="s">
        <v>608</v>
      </c>
      <c r="D73" s="417" t="s">
        <v>3557</v>
      </c>
      <c r="E73" s="662" t="s">
        <v>5082</v>
      </c>
      <c r="F73" s="417"/>
      <c r="G73" s="384"/>
      <c r="H73" s="768"/>
      <c r="I73" s="384"/>
      <c r="J73" s="384" t="s">
        <v>4981</v>
      </c>
      <c r="K73" s="657"/>
      <c r="L73" s="658"/>
      <c r="M73" s="384"/>
      <c r="N73" s="384" t="s">
        <v>54</v>
      </c>
      <c r="O73" s="384"/>
      <c r="P73" s="384" t="s">
        <v>231</v>
      </c>
      <c r="Q73" s="384" t="s">
        <v>187</v>
      </c>
      <c r="R73" s="384"/>
      <c r="S73" s="660"/>
      <c r="T73" s="396"/>
      <c r="U73" s="384"/>
      <c r="V73" s="384"/>
      <c r="W73" s="384"/>
      <c r="X73" s="384"/>
      <c r="Y73" s="442" t="s">
        <v>3404</v>
      </c>
      <c r="Z73" s="442"/>
      <c r="AA73" s="441"/>
      <c r="AB73" s="441"/>
      <c r="AC73" s="441"/>
      <c r="AD73" s="441"/>
      <c r="AE73" s="441"/>
      <c r="AF73" s="441"/>
      <c r="AG73" s="441"/>
      <c r="AH73" s="441"/>
      <c r="AI73" s="441"/>
      <c r="AJ73" s="441"/>
      <c r="AK73" s="395"/>
      <c r="AL73" s="395"/>
      <c r="AM73" s="395">
        <v>0</v>
      </c>
      <c r="AN73" s="395"/>
      <c r="AO73" s="395"/>
      <c r="AP73" s="410"/>
      <c r="AQ73" s="410"/>
    </row>
    <row r="74" spans="2:43" ht="15" customHeight="1">
      <c r="B74" s="394">
        <v>1</v>
      </c>
      <c r="C74" s="395" t="s">
        <v>614</v>
      </c>
      <c r="D74" s="417" t="s">
        <v>3558</v>
      </c>
      <c r="E74" s="662" t="s">
        <v>3559</v>
      </c>
      <c r="F74" s="417"/>
      <c r="G74" s="384"/>
      <c r="H74" s="768"/>
      <c r="I74" s="384"/>
      <c r="J74" s="384" t="s">
        <v>4981</v>
      </c>
      <c r="K74" s="657"/>
      <c r="L74" s="658"/>
      <c r="M74" s="384"/>
      <c r="N74" s="384"/>
      <c r="O74" s="384"/>
      <c r="P74" s="384"/>
      <c r="Q74" s="384"/>
      <c r="R74" s="384"/>
      <c r="S74" s="660"/>
      <c r="T74" s="396"/>
      <c r="U74" s="384"/>
      <c r="V74" s="384"/>
      <c r="W74" s="384"/>
      <c r="X74" s="384"/>
      <c r="Y74" s="442"/>
      <c r="Z74" s="442" t="s">
        <v>3560</v>
      </c>
      <c r="AA74" s="441" t="s">
        <v>3561</v>
      </c>
      <c r="AB74" s="441"/>
      <c r="AC74" s="441"/>
      <c r="AD74" s="441" t="s">
        <v>3562</v>
      </c>
      <c r="AE74" s="441"/>
      <c r="AF74" s="441" t="s">
        <v>3268</v>
      </c>
      <c r="AG74" s="441"/>
      <c r="AH74" s="441"/>
      <c r="AI74" s="441"/>
      <c r="AJ74" s="441"/>
      <c r="AK74" s="395"/>
      <c r="AL74" s="395"/>
      <c r="AM74" s="395">
        <v>0</v>
      </c>
      <c r="AN74" s="395">
        <v>60</v>
      </c>
      <c r="AO74" s="395"/>
      <c r="AP74" s="410"/>
      <c r="AQ74" s="410"/>
    </row>
    <row r="75" spans="2:43" ht="15" customHeight="1">
      <c r="B75" s="394">
        <v>1</v>
      </c>
      <c r="C75" s="395" t="s">
        <v>614</v>
      </c>
      <c r="D75" s="417" t="s">
        <v>3563</v>
      </c>
      <c r="E75" s="662" t="s">
        <v>3564</v>
      </c>
      <c r="F75" s="417"/>
      <c r="G75" s="384"/>
      <c r="H75" s="768"/>
      <c r="I75" s="384"/>
      <c r="J75" s="384" t="s">
        <v>4981</v>
      </c>
      <c r="K75" s="657"/>
      <c r="L75" s="658"/>
      <c r="M75" s="384"/>
      <c r="N75" s="384"/>
      <c r="O75" s="384"/>
      <c r="P75" s="384"/>
      <c r="Q75" s="384"/>
      <c r="R75" s="384"/>
      <c r="S75" s="660"/>
      <c r="T75" s="396"/>
      <c r="U75" s="384"/>
      <c r="V75" s="384"/>
      <c r="W75" s="384"/>
      <c r="X75" s="384"/>
      <c r="Y75" s="442"/>
      <c r="Z75" s="442" t="s">
        <v>3565</v>
      </c>
      <c r="AA75" s="441" t="s">
        <v>3566</v>
      </c>
      <c r="AB75" s="441"/>
      <c r="AC75" s="441"/>
      <c r="AD75" s="441" t="s">
        <v>3567</v>
      </c>
      <c r="AE75" s="441"/>
      <c r="AF75" s="441" t="s">
        <v>3271</v>
      </c>
      <c r="AG75" s="441"/>
      <c r="AH75" s="441"/>
      <c r="AI75" s="441"/>
      <c r="AJ75" s="441"/>
      <c r="AK75" s="395"/>
      <c r="AL75" s="395"/>
      <c r="AM75" s="395">
        <v>0</v>
      </c>
      <c r="AN75" s="395">
        <v>60</v>
      </c>
      <c r="AO75" s="395"/>
      <c r="AP75" s="410"/>
      <c r="AQ75" s="410"/>
    </row>
    <row r="76" spans="2:43" ht="15" customHeight="1">
      <c r="B76" s="394">
        <v>1</v>
      </c>
      <c r="C76" s="395" t="s">
        <v>614</v>
      </c>
      <c r="D76" s="417" t="s">
        <v>3568</v>
      </c>
      <c r="E76" s="662" t="s">
        <v>3569</v>
      </c>
      <c r="F76" s="417"/>
      <c r="G76" s="384"/>
      <c r="H76" s="768"/>
      <c r="I76" s="384"/>
      <c r="J76" s="384" t="s">
        <v>4981</v>
      </c>
      <c r="K76" s="657"/>
      <c r="L76" s="658"/>
      <c r="M76" s="384"/>
      <c r="N76" s="384"/>
      <c r="O76" s="384"/>
      <c r="P76" s="384"/>
      <c r="Q76" s="384"/>
      <c r="R76" s="384"/>
      <c r="S76" s="660"/>
      <c r="T76" s="396"/>
      <c r="U76" s="384"/>
      <c r="V76" s="384"/>
      <c r="W76" s="384"/>
      <c r="X76" s="384"/>
      <c r="Y76" s="442"/>
      <c r="Z76" s="442" t="s">
        <v>3570</v>
      </c>
      <c r="AA76" s="441" t="s">
        <v>3571</v>
      </c>
      <c r="AB76" s="441"/>
      <c r="AC76" s="441"/>
      <c r="AD76" s="441" t="s">
        <v>3572</v>
      </c>
      <c r="AE76" s="441"/>
      <c r="AF76" s="441" t="s">
        <v>3270</v>
      </c>
      <c r="AG76" s="441"/>
      <c r="AH76" s="441"/>
      <c r="AI76" s="441"/>
      <c r="AJ76" s="441"/>
      <c r="AK76" s="395"/>
      <c r="AL76" s="395"/>
      <c r="AM76" s="395">
        <v>0</v>
      </c>
      <c r="AN76" s="395">
        <v>60</v>
      </c>
      <c r="AO76" s="395"/>
      <c r="AP76" s="410"/>
      <c r="AQ76" s="410"/>
    </row>
    <row r="77" spans="2:43" ht="15" customHeight="1">
      <c r="B77" s="394">
        <v>1</v>
      </c>
      <c r="C77" s="395" t="s">
        <v>614</v>
      </c>
      <c r="D77" s="417" t="s">
        <v>3573</v>
      </c>
      <c r="E77" s="662" t="s">
        <v>3574</v>
      </c>
      <c r="F77" s="417"/>
      <c r="G77" s="384"/>
      <c r="H77" s="768"/>
      <c r="I77" s="384"/>
      <c r="J77" s="384" t="s">
        <v>4981</v>
      </c>
      <c r="K77" s="657"/>
      <c r="L77" s="658"/>
      <c r="M77" s="384"/>
      <c r="N77" s="384"/>
      <c r="O77" s="384"/>
      <c r="P77" s="384"/>
      <c r="Q77" s="384"/>
      <c r="R77" s="384"/>
      <c r="S77" s="660"/>
      <c r="T77" s="396"/>
      <c r="U77" s="384"/>
      <c r="V77" s="384"/>
      <c r="W77" s="384"/>
      <c r="X77" s="384"/>
      <c r="Y77" s="442"/>
      <c r="Z77" s="442" t="s">
        <v>3575</v>
      </c>
      <c r="AA77" s="441" t="s">
        <v>3576</v>
      </c>
      <c r="AB77" s="441"/>
      <c r="AC77" s="441"/>
      <c r="AD77" s="441" t="s">
        <v>3577</v>
      </c>
      <c r="AE77" s="441"/>
      <c r="AF77" s="441" t="s">
        <v>3273</v>
      </c>
      <c r="AG77" s="441"/>
      <c r="AH77" s="441"/>
      <c r="AI77" s="441"/>
      <c r="AJ77" s="441"/>
      <c r="AK77" s="395"/>
      <c r="AL77" s="395"/>
      <c r="AM77" s="395">
        <v>0</v>
      </c>
      <c r="AN77" s="395">
        <v>60</v>
      </c>
      <c r="AO77" s="395"/>
      <c r="AP77" s="410"/>
      <c r="AQ77" s="410"/>
    </row>
    <row r="78" spans="2:43" ht="15" customHeight="1">
      <c r="B78" s="394">
        <v>1</v>
      </c>
      <c r="C78" s="395" t="s">
        <v>614</v>
      </c>
      <c r="D78" s="417" t="s">
        <v>3578</v>
      </c>
      <c r="E78" s="662" t="s">
        <v>3579</v>
      </c>
      <c r="F78" s="417"/>
      <c r="G78" s="384"/>
      <c r="H78" s="768"/>
      <c r="I78" s="384"/>
      <c r="J78" s="384" t="s">
        <v>4981</v>
      </c>
      <c r="K78" s="657"/>
      <c r="L78" s="658"/>
      <c r="M78" s="384"/>
      <c r="N78" s="384"/>
      <c r="O78" s="384"/>
      <c r="P78" s="384"/>
      <c r="Q78" s="384"/>
      <c r="R78" s="384"/>
      <c r="S78" s="660"/>
      <c r="T78" s="396"/>
      <c r="U78" s="384"/>
      <c r="V78" s="384"/>
      <c r="W78" s="384"/>
      <c r="X78" s="384"/>
      <c r="Y78" s="442"/>
      <c r="Z78" s="442" t="s">
        <v>3580</v>
      </c>
      <c r="AA78" s="441" t="s">
        <v>3581</v>
      </c>
      <c r="AB78" s="441"/>
      <c r="AC78" s="441"/>
      <c r="AD78" s="441" t="s">
        <v>3582</v>
      </c>
      <c r="AE78" s="441"/>
      <c r="AF78" s="441" t="s">
        <v>3272</v>
      </c>
      <c r="AG78" s="441"/>
      <c r="AH78" s="441"/>
      <c r="AI78" s="441"/>
      <c r="AJ78" s="441"/>
      <c r="AK78" s="395"/>
      <c r="AL78" s="395"/>
      <c r="AM78" s="395">
        <v>0</v>
      </c>
      <c r="AN78" s="395">
        <v>60</v>
      </c>
      <c r="AO78" s="395"/>
      <c r="AP78" s="410"/>
      <c r="AQ78" s="410"/>
    </row>
    <row r="79" spans="2:43" ht="15" customHeight="1">
      <c r="B79" s="394">
        <v>1</v>
      </c>
      <c r="C79" s="395" t="s">
        <v>614</v>
      </c>
      <c r="D79" s="417" t="s">
        <v>3583</v>
      </c>
      <c r="E79" s="662" t="s">
        <v>3584</v>
      </c>
      <c r="F79" s="417"/>
      <c r="G79" s="384"/>
      <c r="H79" s="768"/>
      <c r="I79" s="384"/>
      <c r="J79" s="384" t="s">
        <v>4981</v>
      </c>
      <c r="K79" s="657"/>
      <c r="L79" s="658"/>
      <c r="M79" s="384"/>
      <c r="N79" s="384"/>
      <c r="O79" s="384"/>
      <c r="P79" s="384"/>
      <c r="Q79" s="384"/>
      <c r="R79" s="384"/>
      <c r="S79" s="660"/>
      <c r="T79" s="396"/>
      <c r="U79" s="384"/>
      <c r="V79" s="384"/>
      <c r="W79" s="384"/>
      <c r="X79" s="384"/>
      <c r="Y79" s="442"/>
      <c r="Z79" s="442" t="s">
        <v>3585</v>
      </c>
      <c r="AA79" s="441" t="s">
        <v>3586</v>
      </c>
      <c r="AB79" s="441"/>
      <c r="AC79" s="441"/>
      <c r="AD79" s="441" t="s">
        <v>3587</v>
      </c>
      <c r="AE79" s="441"/>
      <c r="AF79" s="441" t="s">
        <v>3275</v>
      </c>
      <c r="AG79" s="441"/>
      <c r="AH79" s="441"/>
      <c r="AI79" s="441"/>
      <c r="AJ79" s="441"/>
      <c r="AK79" s="395"/>
      <c r="AL79" s="395"/>
      <c r="AM79" s="395">
        <v>0</v>
      </c>
      <c r="AN79" s="395">
        <v>60</v>
      </c>
      <c r="AO79" s="395"/>
      <c r="AP79" s="410"/>
      <c r="AQ79" s="410"/>
    </row>
    <row r="80" spans="2:43" ht="14.25" customHeight="1">
      <c r="B80" s="394">
        <v>1</v>
      </c>
      <c r="C80" s="395" t="s">
        <v>614</v>
      </c>
      <c r="D80" s="417" t="s">
        <v>3588</v>
      </c>
      <c r="E80" s="662" t="s">
        <v>3589</v>
      </c>
      <c r="F80" s="417"/>
      <c r="G80" s="384"/>
      <c r="H80" s="768"/>
      <c r="I80" s="384"/>
      <c r="J80" s="384" t="s">
        <v>4981</v>
      </c>
      <c r="K80" s="657"/>
      <c r="L80" s="658"/>
      <c r="M80" s="384"/>
      <c r="N80" s="384"/>
      <c r="O80" s="384"/>
      <c r="P80" s="384"/>
      <c r="Q80" s="384"/>
      <c r="R80" s="384"/>
      <c r="S80" s="660"/>
      <c r="T80" s="396"/>
      <c r="U80" s="384"/>
      <c r="V80" s="384"/>
      <c r="W80" s="384"/>
      <c r="X80" s="384"/>
      <c r="Y80" s="442"/>
      <c r="Z80" s="442" t="s">
        <v>3590</v>
      </c>
      <c r="AA80" s="441" t="s">
        <v>3591</v>
      </c>
      <c r="AB80" s="441"/>
      <c r="AC80" s="441"/>
      <c r="AD80" s="441" t="s">
        <v>3592</v>
      </c>
      <c r="AE80" s="441"/>
      <c r="AF80" s="441" t="s">
        <v>3274</v>
      </c>
      <c r="AG80" s="441"/>
      <c r="AH80" s="441"/>
      <c r="AI80" s="441"/>
      <c r="AJ80" s="441"/>
      <c r="AK80" s="395"/>
      <c r="AL80" s="395"/>
      <c r="AM80" s="395">
        <v>0</v>
      </c>
      <c r="AN80" s="395">
        <v>60</v>
      </c>
      <c r="AO80" s="395"/>
      <c r="AP80" s="410"/>
      <c r="AQ80" s="410"/>
    </row>
    <row r="81" spans="2:43" ht="15" customHeight="1">
      <c r="B81" s="394">
        <v>1</v>
      </c>
      <c r="C81" s="395" t="s">
        <v>614</v>
      </c>
      <c r="D81" s="417" t="s">
        <v>3593</v>
      </c>
      <c r="E81" s="662" t="s">
        <v>3594</v>
      </c>
      <c r="F81" s="417"/>
      <c r="G81" s="384"/>
      <c r="H81" s="768"/>
      <c r="I81" s="384"/>
      <c r="J81" s="384" t="s">
        <v>4981</v>
      </c>
      <c r="K81" s="657"/>
      <c r="L81" s="658"/>
      <c r="M81" s="384"/>
      <c r="N81" s="384"/>
      <c r="O81" s="384"/>
      <c r="P81" s="384"/>
      <c r="Q81" s="384"/>
      <c r="R81" s="384"/>
      <c r="S81" s="660"/>
      <c r="T81" s="396"/>
      <c r="U81" s="384"/>
      <c r="V81" s="384"/>
      <c r="W81" s="384"/>
      <c r="X81" s="384"/>
      <c r="Y81" s="442"/>
      <c r="Z81" s="442" t="s">
        <v>3595</v>
      </c>
      <c r="AA81" s="441" t="s">
        <v>3596</v>
      </c>
      <c r="AB81" s="441"/>
      <c r="AC81" s="441"/>
      <c r="AD81" s="441" t="s">
        <v>3597</v>
      </c>
      <c r="AE81" s="441"/>
      <c r="AF81" s="441" t="s">
        <v>3277</v>
      </c>
      <c r="AG81" s="441"/>
      <c r="AH81" s="441"/>
      <c r="AI81" s="441"/>
      <c r="AJ81" s="441"/>
      <c r="AK81" s="395"/>
      <c r="AL81" s="395"/>
      <c r="AM81" s="395">
        <v>0</v>
      </c>
      <c r="AN81" s="395">
        <v>60</v>
      </c>
      <c r="AO81" s="395"/>
      <c r="AP81" s="410"/>
      <c r="AQ81" s="410"/>
    </row>
    <row r="82" spans="2:43" ht="15" customHeight="1">
      <c r="B82" s="394">
        <v>1</v>
      </c>
      <c r="C82" s="395" t="s">
        <v>614</v>
      </c>
      <c r="D82" s="417" t="s">
        <v>3598</v>
      </c>
      <c r="E82" s="662" t="s">
        <v>3599</v>
      </c>
      <c r="F82" s="417"/>
      <c r="G82" s="384"/>
      <c r="H82" s="768"/>
      <c r="I82" s="384"/>
      <c r="J82" s="384" t="s">
        <v>4981</v>
      </c>
      <c r="K82" s="657"/>
      <c r="L82" s="658"/>
      <c r="M82" s="384"/>
      <c r="N82" s="384"/>
      <c r="O82" s="384"/>
      <c r="P82" s="384"/>
      <c r="Q82" s="384"/>
      <c r="R82" s="384"/>
      <c r="S82" s="660"/>
      <c r="T82" s="396"/>
      <c r="U82" s="384"/>
      <c r="V82" s="384"/>
      <c r="W82" s="384"/>
      <c r="X82" s="384"/>
      <c r="Y82" s="442"/>
      <c r="Z82" s="442" t="s">
        <v>3600</v>
      </c>
      <c r="AA82" s="441" t="s">
        <v>3601</v>
      </c>
      <c r="AB82" s="441"/>
      <c r="AC82" s="441"/>
      <c r="AD82" s="441" t="s">
        <v>3602</v>
      </c>
      <c r="AE82" s="441"/>
      <c r="AF82" s="441" t="s">
        <v>3276</v>
      </c>
      <c r="AG82" s="441"/>
      <c r="AH82" s="441"/>
      <c r="AI82" s="441"/>
      <c r="AJ82" s="441"/>
      <c r="AK82" s="395"/>
      <c r="AL82" s="395"/>
      <c r="AM82" s="395">
        <v>0</v>
      </c>
      <c r="AN82" s="395">
        <v>60</v>
      </c>
      <c r="AO82" s="395"/>
      <c r="AP82" s="410"/>
      <c r="AQ82" s="410"/>
    </row>
    <row r="83" spans="2:43" ht="15" customHeight="1">
      <c r="B83" s="394">
        <v>1</v>
      </c>
      <c r="C83" s="395" t="s">
        <v>614</v>
      </c>
      <c r="D83" s="417" t="s">
        <v>3603</v>
      </c>
      <c r="E83" s="662" t="s">
        <v>3604</v>
      </c>
      <c r="F83" s="417"/>
      <c r="G83" s="384"/>
      <c r="H83" s="768"/>
      <c r="I83" s="384"/>
      <c r="J83" s="384" t="s">
        <v>4981</v>
      </c>
      <c r="K83" s="657"/>
      <c r="L83" s="658"/>
      <c r="M83" s="384"/>
      <c r="N83" s="384"/>
      <c r="O83" s="384"/>
      <c r="P83" s="384"/>
      <c r="Q83" s="384"/>
      <c r="R83" s="384"/>
      <c r="S83" s="660"/>
      <c r="T83" s="396"/>
      <c r="U83" s="384"/>
      <c r="V83" s="384"/>
      <c r="W83" s="384"/>
      <c r="X83" s="384"/>
      <c r="Y83" s="442"/>
      <c r="Z83" s="442" t="s">
        <v>3605</v>
      </c>
      <c r="AA83" s="441" t="s">
        <v>3606</v>
      </c>
      <c r="AB83" s="441"/>
      <c r="AC83" s="441"/>
      <c r="AD83" s="441" t="s">
        <v>3607</v>
      </c>
      <c r="AE83" s="441"/>
      <c r="AF83" s="441" t="s">
        <v>3279</v>
      </c>
      <c r="AG83" s="441"/>
      <c r="AH83" s="441"/>
      <c r="AI83" s="441"/>
      <c r="AJ83" s="441"/>
      <c r="AK83" s="395"/>
      <c r="AL83" s="395"/>
      <c r="AM83" s="395">
        <v>0</v>
      </c>
      <c r="AN83" s="395">
        <v>60</v>
      </c>
      <c r="AO83" s="395"/>
      <c r="AP83" s="410"/>
      <c r="AQ83" s="410"/>
    </row>
    <row r="84" spans="2:43" ht="15" customHeight="1">
      <c r="B84" s="394">
        <v>1</v>
      </c>
      <c r="C84" s="395" t="s">
        <v>614</v>
      </c>
      <c r="D84" s="417" t="s">
        <v>3608</v>
      </c>
      <c r="E84" s="662" t="s">
        <v>3609</v>
      </c>
      <c r="F84" s="417"/>
      <c r="G84" s="384"/>
      <c r="H84" s="768"/>
      <c r="I84" s="384"/>
      <c r="J84" s="384" t="s">
        <v>4981</v>
      </c>
      <c r="K84" s="657"/>
      <c r="L84" s="658"/>
      <c r="M84" s="384"/>
      <c r="N84" s="384"/>
      <c r="O84" s="384"/>
      <c r="P84" s="384"/>
      <c r="Q84" s="384"/>
      <c r="R84" s="384"/>
      <c r="S84" s="660"/>
      <c r="T84" s="396"/>
      <c r="U84" s="384"/>
      <c r="V84" s="384"/>
      <c r="W84" s="384"/>
      <c r="X84" s="384"/>
      <c r="Y84" s="442"/>
      <c r="Z84" s="442" t="s">
        <v>3610</v>
      </c>
      <c r="AA84" s="441" t="s">
        <v>3611</v>
      </c>
      <c r="AB84" s="441"/>
      <c r="AC84" s="441"/>
      <c r="AD84" s="441" t="s">
        <v>3612</v>
      </c>
      <c r="AE84" s="441"/>
      <c r="AF84" s="441" t="s">
        <v>3278</v>
      </c>
      <c r="AG84" s="441"/>
      <c r="AH84" s="441"/>
      <c r="AI84" s="441"/>
      <c r="AJ84" s="441"/>
      <c r="AK84" s="395"/>
      <c r="AL84" s="395"/>
      <c r="AM84" s="395">
        <v>0</v>
      </c>
      <c r="AN84" s="395">
        <v>60</v>
      </c>
      <c r="AO84" s="395"/>
      <c r="AP84" s="410"/>
      <c r="AQ84" s="410"/>
    </row>
    <row r="85" spans="2:43" ht="15" customHeight="1">
      <c r="B85" s="394">
        <v>1</v>
      </c>
      <c r="C85" s="395" t="s">
        <v>614</v>
      </c>
      <c r="D85" s="417" t="s">
        <v>3613</v>
      </c>
      <c r="E85" s="662" t="s">
        <v>3614</v>
      </c>
      <c r="F85" s="417"/>
      <c r="G85" s="384"/>
      <c r="H85" s="768"/>
      <c r="I85" s="384"/>
      <c r="J85" s="384" t="s">
        <v>4981</v>
      </c>
      <c r="K85" s="657"/>
      <c r="L85" s="658"/>
      <c r="M85" s="384"/>
      <c r="N85" s="384"/>
      <c r="O85" s="384"/>
      <c r="P85" s="384"/>
      <c r="Q85" s="384"/>
      <c r="R85" s="384"/>
      <c r="S85" s="660"/>
      <c r="T85" s="396"/>
      <c r="U85" s="384"/>
      <c r="V85" s="384"/>
      <c r="W85" s="384"/>
      <c r="X85" s="384"/>
      <c r="Y85" s="442"/>
      <c r="Z85" s="442" t="s">
        <v>3615</v>
      </c>
      <c r="AA85" s="441" t="s">
        <v>3616</v>
      </c>
      <c r="AB85" s="441"/>
      <c r="AC85" s="441"/>
      <c r="AD85" s="441" t="s">
        <v>3617</v>
      </c>
      <c r="AE85" s="441"/>
      <c r="AF85" s="441" t="s">
        <v>3281</v>
      </c>
      <c r="AG85" s="441"/>
      <c r="AH85" s="441"/>
      <c r="AI85" s="441"/>
      <c r="AJ85" s="441"/>
      <c r="AK85" s="395"/>
      <c r="AL85" s="395"/>
      <c r="AM85" s="395">
        <v>0</v>
      </c>
      <c r="AN85" s="395">
        <v>60</v>
      </c>
      <c r="AO85" s="395"/>
      <c r="AP85" s="410"/>
      <c r="AQ85" s="410"/>
    </row>
    <row r="86" spans="2:43" ht="15" customHeight="1">
      <c r="B86" s="394">
        <v>1</v>
      </c>
      <c r="C86" s="395" t="s">
        <v>614</v>
      </c>
      <c r="D86" s="417" t="s">
        <v>3618</v>
      </c>
      <c r="E86" s="662" t="s">
        <v>3619</v>
      </c>
      <c r="F86" s="417"/>
      <c r="G86" s="384"/>
      <c r="H86" s="768"/>
      <c r="I86" s="384"/>
      <c r="J86" s="384" t="s">
        <v>4981</v>
      </c>
      <c r="K86" s="657"/>
      <c r="L86" s="658"/>
      <c r="M86" s="384"/>
      <c r="N86" s="384"/>
      <c r="O86" s="384"/>
      <c r="P86" s="384"/>
      <c r="Q86" s="384"/>
      <c r="R86" s="384"/>
      <c r="S86" s="660"/>
      <c r="T86" s="396"/>
      <c r="U86" s="384"/>
      <c r="V86" s="384"/>
      <c r="W86" s="384"/>
      <c r="X86" s="384"/>
      <c r="Y86" s="442"/>
      <c r="Z86" s="442" t="s">
        <v>3620</v>
      </c>
      <c r="AA86" s="441" t="s">
        <v>3621</v>
      </c>
      <c r="AB86" s="441"/>
      <c r="AC86" s="441"/>
      <c r="AD86" s="441" t="s">
        <v>3622</v>
      </c>
      <c r="AE86" s="441"/>
      <c r="AF86" s="441" t="s">
        <v>3280</v>
      </c>
      <c r="AG86" s="441"/>
      <c r="AH86" s="441"/>
      <c r="AI86" s="441"/>
      <c r="AJ86" s="441"/>
      <c r="AK86" s="395"/>
      <c r="AL86" s="395"/>
      <c r="AM86" s="395">
        <v>0</v>
      </c>
      <c r="AN86" s="395">
        <v>60</v>
      </c>
      <c r="AO86" s="395"/>
      <c r="AP86" s="410"/>
      <c r="AQ86" s="410"/>
    </row>
    <row r="87" spans="2:43" ht="15" customHeight="1">
      <c r="B87" s="394">
        <v>1</v>
      </c>
      <c r="C87" s="395" t="s">
        <v>614</v>
      </c>
      <c r="D87" s="417" t="s">
        <v>3623</v>
      </c>
      <c r="E87" s="662" t="s">
        <v>3624</v>
      </c>
      <c r="F87" s="417"/>
      <c r="G87" s="384"/>
      <c r="H87" s="768"/>
      <c r="I87" s="384"/>
      <c r="J87" s="384" t="s">
        <v>4981</v>
      </c>
      <c r="K87" s="657"/>
      <c r="L87" s="658"/>
      <c r="M87" s="384"/>
      <c r="N87" s="384"/>
      <c r="O87" s="384"/>
      <c r="P87" s="384"/>
      <c r="Q87" s="384"/>
      <c r="R87" s="384"/>
      <c r="S87" s="660"/>
      <c r="T87" s="396"/>
      <c r="U87" s="384"/>
      <c r="V87" s="384"/>
      <c r="W87" s="384"/>
      <c r="X87" s="384"/>
      <c r="Y87" s="442"/>
      <c r="Z87" s="442" t="s">
        <v>3625</v>
      </c>
      <c r="AA87" s="441" t="s">
        <v>3626</v>
      </c>
      <c r="AB87" s="441"/>
      <c r="AC87" s="441"/>
      <c r="AD87" s="441" t="s">
        <v>3627</v>
      </c>
      <c r="AE87" s="441"/>
      <c r="AF87" s="441" t="s">
        <v>3283</v>
      </c>
      <c r="AG87" s="441"/>
      <c r="AH87" s="441"/>
      <c r="AI87" s="441"/>
      <c r="AJ87" s="441"/>
      <c r="AK87" s="395"/>
      <c r="AL87" s="395"/>
      <c r="AM87" s="395">
        <v>0</v>
      </c>
      <c r="AN87" s="395">
        <v>60</v>
      </c>
      <c r="AO87" s="395"/>
      <c r="AP87" s="410"/>
      <c r="AQ87" s="410"/>
    </row>
    <row r="88" spans="2:43" ht="15" customHeight="1">
      <c r="B88" s="394">
        <v>1</v>
      </c>
      <c r="C88" s="395" t="s">
        <v>614</v>
      </c>
      <c r="D88" s="417" t="s">
        <v>3628</v>
      </c>
      <c r="E88" s="662" t="s">
        <v>3629</v>
      </c>
      <c r="F88" s="417"/>
      <c r="G88" s="384"/>
      <c r="H88" s="768"/>
      <c r="I88" s="384"/>
      <c r="J88" s="384" t="s">
        <v>4981</v>
      </c>
      <c r="K88" s="657"/>
      <c r="L88" s="658"/>
      <c r="M88" s="384"/>
      <c r="N88" s="384"/>
      <c r="O88" s="384"/>
      <c r="P88" s="384"/>
      <c r="Q88" s="384"/>
      <c r="R88" s="384"/>
      <c r="S88" s="660"/>
      <c r="T88" s="396"/>
      <c r="U88" s="384"/>
      <c r="V88" s="384"/>
      <c r="W88" s="384"/>
      <c r="X88" s="384"/>
      <c r="Y88" s="442"/>
      <c r="Z88" s="442" t="s">
        <v>3630</v>
      </c>
      <c r="AA88" s="441" t="s">
        <v>3631</v>
      </c>
      <c r="AB88" s="441"/>
      <c r="AC88" s="441"/>
      <c r="AD88" s="441" t="s">
        <v>3632</v>
      </c>
      <c r="AE88" s="441"/>
      <c r="AF88" s="441" t="s">
        <v>3282</v>
      </c>
      <c r="AG88" s="441"/>
      <c r="AH88" s="441"/>
      <c r="AI88" s="441"/>
      <c r="AJ88" s="441"/>
      <c r="AK88" s="395"/>
      <c r="AL88" s="395"/>
      <c r="AM88" s="395">
        <v>0</v>
      </c>
      <c r="AN88" s="395">
        <v>60</v>
      </c>
      <c r="AO88" s="395"/>
      <c r="AP88" s="410"/>
      <c r="AQ88" s="410"/>
    </row>
    <row r="89" spans="2:43" ht="15" customHeight="1">
      <c r="B89" s="394">
        <v>1</v>
      </c>
      <c r="C89" s="395" t="s">
        <v>614</v>
      </c>
      <c r="D89" s="417" t="s">
        <v>3633</v>
      </c>
      <c r="E89" s="662" t="s">
        <v>3634</v>
      </c>
      <c r="F89" s="417"/>
      <c r="G89" s="384"/>
      <c r="H89" s="768"/>
      <c r="I89" s="384"/>
      <c r="J89" s="384" t="s">
        <v>4981</v>
      </c>
      <c r="K89" s="657"/>
      <c r="L89" s="658"/>
      <c r="M89" s="384"/>
      <c r="N89" s="384"/>
      <c r="O89" s="384"/>
      <c r="P89" s="384"/>
      <c r="Q89" s="384"/>
      <c r="R89" s="384"/>
      <c r="S89" s="660"/>
      <c r="T89" s="396"/>
      <c r="U89" s="384"/>
      <c r="V89" s="384"/>
      <c r="W89" s="384"/>
      <c r="X89" s="384"/>
      <c r="Y89" s="442"/>
      <c r="Z89" s="442" t="s">
        <v>3635</v>
      </c>
      <c r="AA89" s="441" t="s">
        <v>3636</v>
      </c>
      <c r="AB89" s="441"/>
      <c r="AC89" s="441"/>
      <c r="AD89" s="441" t="s">
        <v>3637</v>
      </c>
      <c r="AE89" s="441"/>
      <c r="AF89" s="441" t="s">
        <v>3638</v>
      </c>
      <c r="AG89" s="441"/>
      <c r="AH89" s="441"/>
      <c r="AI89" s="441"/>
      <c r="AJ89" s="441"/>
      <c r="AK89" s="395"/>
      <c r="AL89" s="395"/>
      <c r="AM89" s="395">
        <v>0</v>
      </c>
      <c r="AN89" s="395">
        <v>60</v>
      </c>
      <c r="AO89" s="395"/>
      <c r="AP89" s="410"/>
      <c r="AQ89" s="410"/>
    </row>
    <row r="90" spans="2:43" ht="15" customHeight="1">
      <c r="B90" s="394">
        <v>1</v>
      </c>
      <c r="C90" s="395" t="s">
        <v>614</v>
      </c>
      <c r="D90" s="417" t="s">
        <v>3639</v>
      </c>
      <c r="E90" s="662" t="s">
        <v>3640</v>
      </c>
      <c r="F90" s="417"/>
      <c r="G90" s="384"/>
      <c r="H90" s="768"/>
      <c r="I90" s="384"/>
      <c r="J90" s="384" t="s">
        <v>4981</v>
      </c>
      <c r="K90" s="657"/>
      <c r="L90" s="658"/>
      <c r="M90" s="384"/>
      <c r="N90" s="384"/>
      <c r="O90" s="384"/>
      <c r="P90" s="384"/>
      <c r="Q90" s="384"/>
      <c r="R90" s="384"/>
      <c r="S90" s="660"/>
      <c r="T90" s="396"/>
      <c r="U90" s="384"/>
      <c r="V90" s="384"/>
      <c r="W90" s="384"/>
      <c r="X90" s="384"/>
      <c r="Y90" s="442"/>
      <c r="Z90" s="442" t="s">
        <v>3641</v>
      </c>
      <c r="AA90" s="441" t="s">
        <v>3642</v>
      </c>
      <c r="AB90" s="441"/>
      <c r="AC90" s="441"/>
      <c r="AD90" s="441" t="s">
        <v>3643</v>
      </c>
      <c r="AE90" s="441"/>
      <c r="AF90" s="441" t="s">
        <v>3644</v>
      </c>
      <c r="AG90" s="441"/>
      <c r="AH90" s="441"/>
      <c r="AI90" s="441"/>
      <c r="AJ90" s="441"/>
      <c r="AK90" s="395"/>
      <c r="AL90" s="395"/>
      <c r="AM90" s="395">
        <v>0</v>
      </c>
      <c r="AN90" s="395">
        <v>60</v>
      </c>
      <c r="AO90" s="395"/>
      <c r="AP90" s="410"/>
      <c r="AQ90" s="410"/>
    </row>
    <row r="91" spans="2:43" ht="15" customHeight="1">
      <c r="B91" s="394">
        <v>1</v>
      </c>
      <c r="C91" s="395" t="s">
        <v>614</v>
      </c>
      <c r="D91" s="417" t="s">
        <v>3645</v>
      </c>
      <c r="E91" s="662" t="s">
        <v>3646</v>
      </c>
      <c r="F91" s="417"/>
      <c r="G91" s="384"/>
      <c r="H91" s="768"/>
      <c r="I91" s="384"/>
      <c r="J91" s="384" t="s">
        <v>4981</v>
      </c>
      <c r="K91" s="657"/>
      <c r="L91" s="658"/>
      <c r="M91" s="384"/>
      <c r="N91" s="384"/>
      <c r="O91" s="384"/>
      <c r="P91" s="384"/>
      <c r="Q91" s="384"/>
      <c r="R91" s="384"/>
      <c r="S91" s="660"/>
      <c r="T91" s="396"/>
      <c r="U91" s="384"/>
      <c r="V91" s="384"/>
      <c r="W91" s="384"/>
      <c r="X91" s="384"/>
      <c r="Y91" s="442"/>
      <c r="Z91" s="442" t="s">
        <v>3647</v>
      </c>
      <c r="AA91" s="441" t="s">
        <v>3648</v>
      </c>
      <c r="AB91" s="441"/>
      <c r="AC91" s="441"/>
      <c r="AD91" s="441" t="s">
        <v>3649</v>
      </c>
      <c r="AE91" s="441"/>
      <c r="AF91" s="441" t="s">
        <v>3650</v>
      </c>
      <c r="AG91" s="441"/>
      <c r="AH91" s="441"/>
      <c r="AI91" s="441"/>
      <c r="AJ91" s="441"/>
      <c r="AK91" s="395"/>
      <c r="AL91" s="395"/>
      <c r="AM91" s="395">
        <v>0</v>
      </c>
      <c r="AN91" s="395">
        <v>60</v>
      </c>
      <c r="AO91" s="395"/>
      <c r="AP91" s="410"/>
      <c r="AQ91" s="410"/>
    </row>
    <row r="92" spans="2:43" ht="15" customHeight="1">
      <c r="B92" s="394">
        <v>1</v>
      </c>
      <c r="C92" s="395" t="s">
        <v>614</v>
      </c>
      <c r="D92" s="417" t="s">
        <v>3651</v>
      </c>
      <c r="E92" s="662" t="s">
        <v>3652</v>
      </c>
      <c r="F92" s="417"/>
      <c r="G92" s="384"/>
      <c r="H92" s="768"/>
      <c r="I92" s="384"/>
      <c r="J92" s="384" t="s">
        <v>4981</v>
      </c>
      <c r="K92" s="657"/>
      <c r="L92" s="658"/>
      <c r="M92" s="384"/>
      <c r="N92" s="384"/>
      <c r="O92" s="384"/>
      <c r="P92" s="384"/>
      <c r="Q92" s="384"/>
      <c r="R92" s="384"/>
      <c r="S92" s="660"/>
      <c r="T92" s="396"/>
      <c r="U92" s="384"/>
      <c r="V92" s="384"/>
      <c r="W92" s="384"/>
      <c r="X92" s="384"/>
      <c r="Y92" s="442"/>
      <c r="Z92" s="442" t="s">
        <v>3653</v>
      </c>
      <c r="AA92" s="441" t="s">
        <v>3654</v>
      </c>
      <c r="AB92" s="441"/>
      <c r="AC92" s="441"/>
      <c r="AD92" s="441" t="s">
        <v>3655</v>
      </c>
      <c r="AE92" s="441"/>
      <c r="AF92" s="441" t="s">
        <v>3656</v>
      </c>
      <c r="AG92" s="441"/>
      <c r="AH92" s="441"/>
      <c r="AI92" s="441"/>
      <c r="AJ92" s="441"/>
      <c r="AK92" s="395"/>
      <c r="AL92" s="395"/>
      <c r="AM92" s="395">
        <v>0</v>
      </c>
      <c r="AN92" s="395">
        <v>60</v>
      </c>
      <c r="AO92" s="395"/>
      <c r="AP92" s="410"/>
      <c r="AQ92" s="410"/>
    </row>
    <row r="93" spans="2:43" ht="15" customHeight="1">
      <c r="B93" s="394">
        <v>1</v>
      </c>
      <c r="C93" s="395" t="s">
        <v>614</v>
      </c>
      <c r="D93" s="417" t="s">
        <v>3657</v>
      </c>
      <c r="E93" s="662" t="s">
        <v>3658</v>
      </c>
      <c r="F93" s="417"/>
      <c r="G93" s="384"/>
      <c r="H93" s="768"/>
      <c r="I93" s="384"/>
      <c r="J93" s="384" t="s">
        <v>4981</v>
      </c>
      <c r="K93" s="657"/>
      <c r="L93" s="658"/>
      <c r="M93" s="384"/>
      <c r="N93" s="384"/>
      <c r="O93" s="384"/>
      <c r="P93" s="384"/>
      <c r="Q93" s="384"/>
      <c r="R93" s="384"/>
      <c r="S93" s="660"/>
      <c r="T93" s="396"/>
      <c r="U93" s="384"/>
      <c r="V93" s="384"/>
      <c r="W93" s="384"/>
      <c r="X93" s="384"/>
      <c r="Y93" s="442"/>
      <c r="Z93" s="442" t="s">
        <v>3659</v>
      </c>
      <c r="AA93" s="441" t="s">
        <v>3660</v>
      </c>
      <c r="AB93" s="441"/>
      <c r="AC93" s="441"/>
      <c r="AD93" s="441" t="s">
        <v>3661</v>
      </c>
      <c r="AE93" s="441"/>
      <c r="AF93" s="441" t="s">
        <v>3285</v>
      </c>
      <c r="AG93" s="441"/>
      <c r="AH93" s="441"/>
      <c r="AI93" s="441"/>
      <c r="AJ93" s="441"/>
      <c r="AK93" s="395"/>
      <c r="AL93" s="395"/>
      <c r="AM93" s="395">
        <v>0</v>
      </c>
      <c r="AN93" s="395">
        <v>60</v>
      </c>
      <c r="AO93" s="395"/>
      <c r="AP93" s="410"/>
      <c r="AQ93" s="410"/>
    </row>
    <row r="94" spans="2:43" ht="15" customHeight="1">
      <c r="B94" s="394">
        <v>1</v>
      </c>
      <c r="C94" s="395" t="s">
        <v>614</v>
      </c>
      <c r="D94" s="417" t="s">
        <v>3662</v>
      </c>
      <c r="E94" s="662" t="s">
        <v>3663</v>
      </c>
      <c r="F94" s="417"/>
      <c r="G94" s="384"/>
      <c r="H94" s="768"/>
      <c r="I94" s="384"/>
      <c r="J94" s="384" t="s">
        <v>4981</v>
      </c>
      <c r="K94" s="657"/>
      <c r="L94" s="658"/>
      <c r="M94" s="384"/>
      <c r="N94" s="384"/>
      <c r="O94" s="384"/>
      <c r="P94" s="384"/>
      <c r="Q94" s="384"/>
      <c r="R94" s="384"/>
      <c r="S94" s="660"/>
      <c r="T94" s="396"/>
      <c r="U94" s="384"/>
      <c r="V94" s="384"/>
      <c r="W94" s="384"/>
      <c r="X94" s="384"/>
      <c r="Y94" s="442"/>
      <c r="Z94" s="442" t="s">
        <v>3664</v>
      </c>
      <c r="AA94" s="441" t="s">
        <v>3665</v>
      </c>
      <c r="AB94" s="441"/>
      <c r="AC94" s="441"/>
      <c r="AD94" s="441" t="s">
        <v>3666</v>
      </c>
      <c r="AE94" s="441"/>
      <c r="AF94" s="441" t="s">
        <v>3284</v>
      </c>
      <c r="AG94" s="441"/>
      <c r="AH94" s="441"/>
      <c r="AI94" s="441"/>
      <c r="AJ94" s="441"/>
      <c r="AK94" s="395"/>
      <c r="AL94" s="395"/>
      <c r="AM94" s="395">
        <v>0</v>
      </c>
      <c r="AN94" s="395">
        <v>60</v>
      </c>
      <c r="AO94" s="395"/>
      <c r="AP94" s="410"/>
      <c r="AQ94" s="410"/>
    </row>
    <row r="95" spans="2:43" ht="15" customHeight="1">
      <c r="B95" s="394">
        <v>1</v>
      </c>
      <c r="C95" s="395" t="s">
        <v>614</v>
      </c>
      <c r="D95" s="417" t="s">
        <v>3667</v>
      </c>
      <c r="E95" s="662" t="s">
        <v>3668</v>
      </c>
      <c r="F95" s="417"/>
      <c r="G95" s="384"/>
      <c r="H95" s="768"/>
      <c r="I95" s="384"/>
      <c r="J95" s="384" t="s">
        <v>4981</v>
      </c>
      <c r="K95" s="657"/>
      <c r="L95" s="658"/>
      <c r="M95" s="384"/>
      <c r="N95" s="384"/>
      <c r="O95" s="384"/>
      <c r="P95" s="384"/>
      <c r="Q95" s="384"/>
      <c r="R95" s="384"/>
      <c r="S95" s="660"/>
      <c r="T95" s="396"/>
      <c r="U95" s="384"/>
      <c r="V95" s="384"/>
      <c r="W95" s="384"/>
      <c r="X95" s="384"/>
      <c r="Y95" s="442"/>
      <c r="Z95" s="442" t="s">
        <v>3669</v>
      </c>
      <c r="AA95" s="441" t="s">
        <v>3670</v>
      </c>
      <c r="AB95" s="441"/>
      <c r="AC95" s="441"/>
      <c r="AD95" s="441" t="s">
        <v>3671</v>
      </c>
      <c r="AE95" s="441"/>
      <c r="AF95" s="441" t="s">
        <v>3287</v>
      </c>
      <c r="AG95" s="441"/>
      <c r="AH95" s="441"/>
      <c r="AI95" s="441"/>
      <c r="AJ95" s="441"/>
      <c r="AK95" s="395"/>
      <c r="AL95" s="395"/>
      <c r="AM95" s="395">
        <v>0</v>
      </c>
      <c r="AN95" s="395">
        <v>60</v>
      </c>
      <c r="AO95" s="395"/>
      <c r="AP95" s="410"/>
      <c r="AQ95" s="410"/>
    </row>
    <row r="96" spans="2:43" ht="15" customHeight="1">
      <c r="B96" s="394">
        <v>1</v>
      </c>
      <c r="C96" s="395" t="s">
        <v>614</v>
      </c>
      <c r="D96" s="417" t="s">
        <v>3672</v>
      </c>
      <c r="E96" s="662" t="s">
        <v>3673</v>
      </c>
      <c r="F96" s="417"/>
      <c r="G96" s="384"/>
      <c r="H96" s="768"/>
      <c r="I96" s="384"/>
      <c r="J96" s="384" t="s">
        <v>4981</v>
      </c>
      <c r="K96" s="657"/>
      <c r="L96" s="658"/>
      <c r="M96" s="384"/>
      <c r="N96" s="384"/>
      <c r="O96" s="384"/>
      <c r="P96" s="384"/>
      <c r="Q96" s="384"/>
      <c r="R96" s="384"/>
      <c r="S96" s="660"/>
      <c r="T96" s="396"/>
      <c r="U96" s="384"/>
      <c r="V96" s="384"/>
      <c r="W96" s="384"/>
      <c r="X96" s="384"/>
      <c r="Y96" s="442"/>
      <c r="Z96" s="442" t="s">
        <v>3674</v>
      </c>
      <c r="AA96" s="441" t="s">
        <v>3675</v>
      </c>
      <c r="AB96" s="441"/>
      <c r="AC96" s="441"/>
      <c r="AD96" s="441" t="s">
        <v>3676</v>
      </c>
      <c r="AE96" s="441"/>
      <c r="AF96" s="441" t="s">
        <v>3286</v>
      </c>
      <c r="AG96" s="441"/>
      <c r="AH96" s="441"/>
      <c r="AI96" s="441"/>
      <c r="AJ96" s="441"/>
      <c r="AK96" s="395"/>
      <c r="AL96" s="395"/>
      <c r="AM96" s="395">
        <v>0</v>
      </c>
      <c r="AN96" s="395">
        <v>60</v>
      </c>
      <c r="AO96" s="395"/>
      <c r="AP96" s="410"/>
      <c r="AQ96" s="410"/>
    </row>
    <row r="97" spans="2:43" ht="15" customHeight="1">
      <c r="B97" s="394">
        <v>1</v>
      </c>
      <c r="C97" s="395" t="s">
        <v>614</v>
      </c>
      <c r="D97" s="417" t="s">
        <v>3677</v>
      </c>
      <c r="E97" s="662" t="s">
        <v>3678</v>
      </c>
      <c r="F97" s="417"/>
      <c r="G97" s="384"/>
      <c r="H97" s="768"/>
      <c r="I97" s="384"/>
      <c r="J97" s="384" t="s">
        <v>4981</v>
      </c>
      <c r="K97" s="657"/>
      <c r="L97" s="658"/>
      <c r="M97" s="384"/>
      <c r="N97" s="384"/>
      <c r="O97" s="384"/>
      <c r="P97" s="384"/>
      <c r="Q97" s="384"/>
      <c r="R97" s="384"/>
      <c r="S97" s="660"/>
      <c r="T97" s="396"/>
      <c r="U97" s="384"/>
      <c r="V97" s="384"/>
      <c r="W97" s="384"/>
      <c r="X97" s="384"/>
      <c r="Y97" s="442"/>
      <c r="Z97" s="442" t="s">
        <v>3679</v>
      </c>
      <c r="AA97" s="441" t="s">
        <v>3680</v>
      </c>
      <c r="AB97" s="441"/>
      <c r="AC97" s="441"/>
      <c r="AD97" s="441" t="s">
        <v>3681</v>
      </c>
      <c r="AE97" s="441"/>
      <c r="AF97" s="441" t="s">
        <v>3289</v>
      </c>
      <c r="AG97" s="441"/>
      <c r="AH97" s="441"/>
      <c r="AI97" s="441"/>
      <c r="AJ97" s="441"/>
      <c r="AK97" s="395"/>
      <c r="AL97" s="395"/>
      <c r="AM97" s="395">
        <v>0</v>
      </c>
      <c r="AN97" s="395">
        <v>60</v>
      </c>
      <c r="AO97" s="395"/>
      <c r="AP97" s="410"/>
      <c r="AQ97" s="410"/>
    </row>
    <row r="98" spans="2:43" ht="15" customHeight="1">
      <c r="B98" s="394">
        <v>1</v>
      </c>
      <c r="C98" s="395" t="s">
        <v>614</v>
      </c>
      <c r="D98" s="417" t="s">
        <v>3682</v>
      </c>
      <c r="E98" s="662" t="s">
        <v>3683</v>
      </c>
      <c r="F98" s="417"/>
      <c r="G98" s="384"/>
      <c r="H98" s="768"/>
      <c r="I98" s="384"/>
      <c r="J98" s="384" t="s">
        <v>4981</v>
      </c>
      <c r="K98" s="657"/>
      <c r="L98" s="658"/>
      <c r="M98" s="384"/>
      <c r="N98" s="384"/>
      <c r="O98" s="384"/>
      <c r="P98" s="384"/>
      <c r="Q98" s="384"/>
      <c r="R98" s="384"/>
      <c r="S98" s="660"/>
      <c r="T98" s="396"/>
      <c r="U98" s="384"/>
      <c r="V98" s="384"/>
      <c r="W98" s="384"/>
      <c r="X98" s="384"/>
      <c r="Y98" s="442"/>
      <c r="Z98" s="442" t="s">
        <v>3684</v>
      </c>
      <c r="AA98" s="441" t="s">
        <v>3685</v>
      </c>
      <c r="AB98" s="441"/>
      <c r="AC98" s="441"/>
      <c r="AD98" s="441" t="s">
        <v>3686</v>
      </c>
      <c r="AE98" s="441"/>
      <c r="AF98" s="441" t="s">
        <v>3288</v>
      </c>
      <c r="AG98" s="441"/>
      <c r="AH98" s="441"/>
      <c r="AI98" s="441"/>
      <c r="AJ98" s="441"/>
      <c r="AK98" s="395"/>
      <c r="AL98" s="395"/>
      <c r="AM98" s="395">
        <v>0</v>
      </c>
      <c r="AN98" s="395">
        <v>60</v>
      </c>
      <c r="AO98" s="395"/>
      <c r="AP98" s="410"/>
      <c r="AQ98" s="410"/>
    </row>
    <row r="99" spans="2:43" ht="15" customHeight="1">
      <c r="B99" s="394">
        <v>1</v>
      </c>
      <c r="C99" s="395" t="s">
        <v>614</v>
      </c>
      <c r="D99" s="417" t="s">
        <v>3687</v>
      </c>
      <c r="E99" s="662" t="s">
        <v>3688</v>
      </c>
      <c r="F99" s="417"/>
      <c r="G99" s="384"/>
      <c r="H99" s="768"/>
      <c r="I99" s="384"/>
      <c r="J99" s="384" t="s">
        <v>4981</v>
      </c>
      <c r="K99" s="657"/>
      <c r="L99" s="658"/>
      <c r="M99" s="384"/>
      <c r="N99" s="384"/>
      <c r="O99" s="384"/>
      <c r="P99" s="384"/>
      <c r="Q99" s="384"/>
      <c r="R99" s="384"/>
      <c r="S99" s="660"/>
      <c r="T99" s="396"/>
      <c r="U99" s="384"/>
      <c r="V99" s="384"/>
      <c r="W99" s="384"/>
      <c r="X99" s="384"/>
      <c r="Y99" s="442"/>
      <c r="Z99" s="442" t="s">
        <v>3689</v>
      </c>
      <c r="AA99" s="441" t="s">
        <v>3690</v>
      </c>
      <c r="AB99" s="441"/>
      <c r="AC99" s="441"/>
      <c r="AD99" s="441" t="s">
        <v>3691</v>
      </c>
      <c r="AE99" s="441"/>
      <c r="AF99" s="441" t="s">
        <v>3291</v>
      </c>
      <c r="AG99" s="441"/>
      <c r="AH99" s="441"/>
      <c r="AI99" s="441"/>
      <c r="AJ99" s="441"/>
      <c r="AK99" s="395"/>
      <c r="AL99" s="395"/>
      <c r="AM99" s="395">
        <v>0</v>
      </c>
      <c r="AN99" s="395">
        <v>60</v>
      </c>
      <c r="AO99" s="395"/>
      <c r="AP99" s="410"/>
      <c r="AQ99" s="410"/>
    </row>
    <row r="100" spans="2:43" ht="15" customHeight="1">
      <c r="B100" s="394">
        <v>1</v>
      </c>
      <c r="C100" s="395" t="s">
        <v>614</v>
      </c>
      <c r="D100" s="417" t="s">
        <v>3692</v>
      </c>
      <c r="E100" s="662" t="s">
        <v>3693</v>
      </c>
      <c r="F100" s="417"/>
      <c r="G100" s="384"/>
      <c r="H100" s="768"/>
      <c r="I100" s="384"/>
      <c r="J100" s="384" t="s">
        <v>4981</v>
      </c>
      <c r="K100" s="657"/>
      <c r="L100" s="658"/>
      <c r="M100" s="384"/>
      <c r="N100" s="384"/>
      <c r="O100" s="384"/>
      <c r="P100" s="384"/>
      <c r="Q100" s="384"/>
      <c r="R100" s="384"/>
      <c r="S100" s="660"/>
      <c r="T100" s="396"/>
      <c r="U100" s="384"/>
      <c r="V100" s="384"/>
      <c r="W100" s="384"/>
      <c r="X100" s="384"/>
      <c r="Y100" s="442"/>
      <c r="Z100" s="442" t="s">
        <v>3694</v>
      </c>
      <c r="AA100" s="441" t="s">
        <v>3695</v>
      </c>
      <c r="AB100" s="441"/>
      <c r="AC100" s="441"/>
      <c r="AD100" s="441" t="s">
        <v>3696</v>
      </c>
      <c r="AE100" s="441"/>
      <c r="AF100" s="441" t="s">
        <v>3290</v>
      </c>
      <c r="AG100" s="441"/>
      <c r="AH100" s="441"/>
      <c r="AI100" s="441"/>
      <c r="AJ100" s="441"/>
      <c r="AK100" s="395"/>
      <c r="AL100" s="395"/>
      <c r="AM100" s="395">
        <v>0</v>
      </c>
      <c r="AN100" s="395">
        <v>60</v>
      </c>
      <c r="AO100" s="395"/>
      <c r="AP100" s="410"/>
      <c r="AQ100" s="410"/>
    </row>
    <row r="101" spans="2:43" ht="15" customHeight="1">
      <c r="B101" s="394">
        <v>1</v>
      </c>
      <c r="C101" s="395" t="s">
        <v>614</v>
      </c>
      <c r="D101" s="417" t="s">
        <v>3697</v>
      </c>
      <c r="E101" s="662" t="s">
        <v>3698</v>
      </c>
      <c r="F101" s="417"/>
      <c r="G101" s="384"/>
      <c r="H101" s="768"/>
      <c r="I101" s="384"/>
      <c r="J101" s="384" t="s">
        <v>4981</v>
      </c>
      <c r="K101" s="657"/>
      <c r="L101" s="658"/>
      <c r="M101" s="384"/>
      <c r="N101" s="384"/>
      <c r="O101" s="384"/>
      <c r="P101" s="384"/>
      <c r="Q101" s="384"/>
      <c r="R101" s="384"/>
      <c r="S101" s="660"/>
      <c r="T101" s="396"/>
      <c r="U101" s="384"/>
      <c r="V101" s="384"/>
      <c r="W101" s="384"/>
      <c r="X101" s="384"/>
      <c r="Y101" s="442"/>
      <c r="Z101" s="442" t="s">
        <v>3699</v>
      </c>
      <c r="AA101" s="441" t="s">
        <v>3700</v>
      </c>
      <c r="AB101" s="441"/>
      <c r="AC101" s="441"/>
      <c r="AD101" s="441" t="s">
        <v>3701</v>
      </c>
      <c r="AE101" s="441" t="s">
        <v>3258</v>
      </c>
      <c r="AF101" s="441"/>
      <c r="AG101" s="441"/>
      <c r="AH101" s="441"/>
      <c r="AI101" s="441"/>
      <c r="AJ101" s="441"/>
      <c r="AK101" s="395"/>
      <c r="AL101" s="395"/>
      <c r="AM101" s="395">
        <v>1</v>
      </c>
      <c r="AN101" s="395">
        <v>60</v>
      </c>
      <c r="AO101" s="395"/>
      <c r="AP101" s="410"/>
      <c r="AQ101" s="410"/>
    </row>
    <row r="102" spans="2:43" ht="15" customHeight="1">
      <c r="B102" s="394">
        <v>1</v>
      </c>
      <c r="C102" s="395" t="s">
        <v>614</v>
      </c>
      <c r="D102" s="417" t="s">
        <v>3702</v>
      </c>
      <c r="E102" s="662" t="s">
        <v>3703</v>
      </c>
      <c r="F102" s="417"/>
      <c r="G102" s="384"/>
      <c r="H102" s="768"/>
      <c r="I102" s="384"/>
      <c r="J102" s="384" t="s">
        <v>4981</v>
      </c>
      <c r="K102" s="657"/>
      <c r="L102" s="658"/>
      <c r="M102" s="384"/>
      <c r="N102" s="384"/>
      <c r="O102" s="384"/>
      <c r="P102" s="384"/>
      <c r="Q102" s="384"/>
      <c r="R102" s="384"/>
      <c r="S102" s="660"/>
      <c r="T102" s="396"/>
      <c r="U102" s="384"/>
      <c r="V102" s="384"/>
      <c r="W102" s="384"/>
      <c r="X102" s="384"/>
      <c r="Y102" s="442"/>
      <c r="Z102" s="442" t="s">
        <v>3704</v>
      </c>
      <c r="AA102" s="441" t="s">
        <v>3705</v>
      </c>
      <c r="AB102" s="441"/>
      <c r="AC102" s="441"/>
      <c r="AD102" s="441" t="s">
        <v>3706</v>
      </c>
      <c r="AE102" s="441" t="s">
        <v>3261</v>
      </c>
      <c r="AF102" s="441"/>
      <c r="AG102" s="441"/>
      <c r="AH102" s="441"/>
      <c r="AI102" s="441"/>
      <c r="AJ102" s="441"/>
      <c r="AK102" s="395"/>
      <c r="AL102" s="395"/>
      <c r="AM102" s="395">
        <v>1</v>
      </c>
      <c r="AN102" s="395">
        <v>60</v>
      </c>
      <c r="AO102" s="395"/>
      <c r="AP102" s="410"/>
      <c r="AQ102" s="410"/>
    </row>
    <row r="103" spans="2:43" ht="15" customHeight="1">
      <c r="B103" s="394">
        <v>1</v>
      </c>
      <c r="C103" s="395" t="s">
        <v>614</v>
      </c>
      <c r="D103" s="417" t="s">
        <v>3707</v>
      </c>
      <c r="E103" s="662" t="s">
        <v>3708</v>
      </c>
      <c r="F103" s="417"/>
      <c r="G103" s="384"/>
      <c r="H103" s="768"/>
      <c r="I103" s="384"/>
      <c r="J103" s="384" t="s">
        <v>4981</v>
      </c>
      <c r="K103" s="657"/>
      <c r="L103" s="658"/>
      <c r="M103" s="384"/>
      <c r="N103" s="384"/>
      <c r="O103" s="384"/>
      <c r="P103" s="384"/>
      <c r="Q103" s="384"/>
      <c r="R103" s="384"/>
      <c r="S103" s="660"/>
      <c r="T103" s="396"/>
      <c r="U103" s="384"/>
      <c r="V103" s="384"/>
      <c r="W103" s="384"/>
      <c r="X103" s="384"/>
      <c r="Y103" s="442"/>
      <c r="Z103" s="442" t="s">
        <v>3709</v>
      </c>
      <c r="AA103" s="441" t="s">
        <v>3710</v>
      </c>
      <c r="AB103" s="441"/>
      <c r="AC103" s="441"/>
      <c r="AD103" s="441" t="s">
        <v>3711</v>
      </c>
      <c r="AE103" s="441" t="s">
        <v>3260</v>
      </c>
      <c r="AF103" s="441"/>
      <c r="AG103" s="441"/>
      <c r="AH103" s="441"/>
      <c r="AI103" s="441"/>
      <c r="AJ103" s="441"/>
      <c r="AK103" s="395"/>
      <c r="AL103" s="395"/>
      <c r="AM103" s="395">
        <v>1</v>
      </c>
      <c r="AN103" s="395">
        <v>60</v>
      </c>
      <c r="AO103" s="395"/>
      <c r="AP103" s="410"/>
      <c r="AQ103" s="410"/>
    </row>
    <row r="104" spans="2:43" ht="15" customHeight="1">
      <c r="B104" s="394">
        <v>1</v>
      </c>
      <c r="C104" s="395" t="s">
        <v>614</v>
      </c>
      <c r="D104" s="417" t="s">
        <v>3712</v>
      </c>
      <c r="E104" s="662" t="s">
        <v>3713</v>
      </c>
      <c r="F104" s="417"/>
      <c r="G104" s="384"/>
      <c r="H104" s="768"/>
      <c r="I104" s="384"/>
      <c r="J104" s="384" t="s">
        <v>4981</v>
      </c>
      <c r="K104" s="657"/>
      <c r="L104" s="658"/>
      <c r="M104" s="384"/>
      <c r="N104" s="384"/>
      <c r="O104" s="384"/>
      <c r="P104" s="384"/>
      <c r="Q104" s="384"/>
      <c r="R104" s="384"/>
      <c r="S104" s="660"/>
      <c r="T104" s="396"/>
      <c r="U104" s="384"/>
      <c r="V104" s="384"/>
      <c r="W104" s="384"/>
      <c r="X104" s="384"/>
      <c r="Y104" s="442"/>
      <c r="Z104" s="442" t="s">
        <v>3714</v>
      </c>
      <c r="AA104" s="441" t="s">
        <v>3715</v>
      </c>
      <c r="AB104" s="441"/>
      <c r="AC104" s="441"/>
      <c r="AD104" s="441" t="s">
        <v>3716</v>
      </c>
      <c r="AE104" s="441" t="s">
        <v>3263</v>
      </c>
      <c r="AF104" s="441"/>
      <c r="AG104" s="441"/>
      <c r="AH104" s="441"/>
      <c r="AI104" s="441"/>
      <c r="AJ104" s="441"/>
      <c r="AK104" s="395"/>
      <c r="AL104" s="395"/>
      <c r="AM104" s="395">
        <v>1</v>
      </c>
      <c r="AN104" s="395">
        <v>60</v>
      </c>
      <c r="AO104" s="395"/>
      <c r="AP104" s="410"/>
      <c r="AQ104" s="410"/>
    </row>
    <row r="105" spans="2:43" ht="15" customHeight="1">
      <c r="B105" s="394">
        <v>1</v>
      </c>
      <c r="C105" s="395" t="s">
        <v>614</v>
      </c>
      <c r="D105" s="417" t="s">
        <v>3717</v>
      </c>
      <c r="E105" s="662" t="s">
        <v>3718</v>
      </c>
      <c r="F105" s="417"/>
      <c r="G105" s="384"/>
      <c r="H105" s="768"/>
      <c r="I105" s="384"/>
      <c r="J105" s="384" t="s">
        <v>4981</v>
      </c>
      <c r="K105" s="657"/>
      <c r="L105" s="658"/>
      <c r="M105" s="384"/>
      <c r="N105" s="384"/>
      <c r="O105" s="384"/>
      <c r="P105" s="384"/>
      <c r="Q105" s="384"/>
      <c r="R105" s="384"/>
      <c r="S105" s="660"/>
      <c r="T105" s="396"/>
      <c r="U105" s="384"/>
      <c r="V105" s="384"/>
      <c r="W105" s="384"/>
      <c r="X105" s="384"/>
      <c r="Y105" s="442"/>
      <c r="Z105" s="442" t="s">
        <v>3719</v>
      </c>
      <c r="AA105" s="441" t="s">
        <v>3720</v>
      </c>
      <c r="AB105" s="441"/>
      <c r="AC105" s="441"/>
      <c r="AD105" s="441" t="s">
        <v>3721</v>
      </c>
      <c r="AE105" s="441" t="s">
        <v>3262</v>
      </c>
      <c r="AF105" s="441"/>
      <c r="AG105" s="441"/>
      <c r="AH105" s="441"/>
      <c r="AI105" s="441"/>
      <c r="AJ105" s="441"/>
      <c r="AK105" s="395"/>
      <c r="AL105" s="395"/>
      <c r="AM105" s="395">
        <v>1</v>
      </c>
      <c r="AN105" s="395">
        <v>60</v>
      </c>
      <c r="AO105" s="395"/>
      <c r="AP105" s="410"/>
      <c r="AQ105" s="410"/>
    </row>
    <row r="106" spans="2:43" ht="15" customHeight="1">
      <c r="B106" s="394">
        <v>1</v>
      </c>
      <c r="C106" s="395" t="s">
        <v>614</v>
      </c>
      <c r="D106" s="417" t="s">
        <v>3722</v>
      </c>
      <c r="E106" s="662" t="s">
        <v>3723</v>
      </c>
      <c r="F106" s="417"/>
      <c r="G106" s="384"/>
      <c r="H106" s="768"/>
      <c r="I106" s="384"/>
      <c r="J106" s="384" t="s">
        <v>4981</v>
      </c>
      <c r="K106" s="657"/>
      <c r="L106" s="658"/>
      <c r="M106" s="384"/>
      <c r="N106" s="384"/>
      <c r="O106" s="384"/>
      <c r="P106" s="384"/>
      <c r="Q106" s="384"/>
      <c r="R106" s="384"/>
      <c r="S106" s="660"/>
      <c r="T106" s="396"/>
      <c r="U106" s="384"/>
      <c r="V106" s="384"/>
      <c r="W106" s="384"/>
      <c r="X106" s="384"/>
      <c r="Y106" s="442"/>
      <c r="Z106" s="442" t="s">
        <v>3724</v>
      </c>
      <c r="AA106" s="441" t="s">
        <v>3725</v>
      </c>
      <c r="AB106" s="441"/>
      <c r="AC106" s="441"/>
      <c r="AD106" s="441" t="s">
        <v>3726</v>
      </c>
      <c r="AE106" s="441" t="s">
        <v>3265</v>
      </c>
      <c r="AF106" s="441"/>
      <c r="AG106" s="441"/>
      <c r="AH106" s="441"/>
      <c r="AI106" s="441"/>
      <c r="AJ106" s="441"/>
      <c r="AK106" s="395"/>
      <c r="AL106" s="395"/>
      <c r="AM106" s="395">
        <v>1</v>
      </c>
      <c r="AN106" s="395">
        <v>60</v>
      </c>
      <c r="AO106" s="395"/>
      <c r="AP106" s="410"/>
      <c r="AQ106" s="410"/>
    </row>
    <row r="107" spans="2:43" ht="15" customHeight="1">
      <c r="B107" s="394">
        <v>1</v>
      </c>
      <c r="C107" s="395" t="s">
        <v>614</v>
      </c>
      <c r="D107" s="417" t="s">
        <v>3727</v>
      </c>
      <c r="E107" s="662" t="s">
        <v>3728</v>
      </c>
      <c r="F107" s="417"/>
      <c r="G107" s="384"/>
      <c r="H107" s="768"/>
      <c r="I107" s="384"/>
      <c r="J107" s="384" t="s">
        <v>4981</v>
      </c>
      <c r="K107" s="657"/>
      <c r="L107" s="658"/>
      <c r="M107" s="384"/>
      <c r="N107" s="384"/>
      <c r="O107" s="384"/>
      <c r="P107" s="384"/>
      <c r="Q107" s="384"/>
      <c r="R107" s="384"/>
      <c r="S107" s="660"/>
      <c r="T107" s="396"/>
      <c r="U107" s="384"/>
      <c r="V107" s="384"/>
      <c r="W107" s="384"/>
      <c r="X107" s="384"/>
      <c r="Y107" s="442"/>
      <c r="Z107" s="442" t="s">
        <v>3729</v>
      </c>
      <c r="AA107" s="441" t="s">
        <v>3730</v>
      </c>
      <c r="AB107" s="441"/>
      <c r="AC107" s="441"/>
      <c r="AD107" s="441" t="s">
        <v>3731</v>
      </c>
      <c r="AE107" s="441" t="s">
        <v>3264</v>
      </c>
      <c r="AF107" s="441"/>
      <c r="AG107" s="441"/>
      <c r="AH107" s="441"/>
      <c r="AI107" s="441"/>
      <c r="AJ107" s="441"/>
      <c r="AK107" s="395"/>
      <c r="AL107" s="395"/>
      <c r="AM107" s="395">
        <v>1</v>
      </c>
      <c r="AN107" s="395">
        <v>60</v>
      </c>
      <c r="AO107" s="395"/>
      <c r="AP107" s="410"/>
      <c r="AQ107" s="410"/>
    </row>
    <row r="108" spans="2:43" ht="15" customHeight="1">
      <c r="B108" s="394">
        <v>1</v>
      </c>
      <c r="C108" s="395" t="s">
        <v>614</v>
      </c>
      <c r="D108" s="417" t="s">
        <v>3732</v>
      </c>
      <c r="E108" s="662" t="s">
        <v>3733</v>
      </c>
      <c r="F108" s="417"/>
      <c r="G108" s="384"/>
      <c r="H108" s="768"/>
      <c r="I108" s="384"/>
      <c r="J108" s="384" t="s">
        <v>4981</v>
      </c>
      <c r="K108" s="657"/>
      <c r="L108" s="658"/>
      <c r="M108" s="384"/>
      <c r="N108" s="384"/>
      <c r="O108" s="384"/>
      <c r="P108" s="384"/>
      <c r="Q108" s="384"/>
      <c r="R108" s="384"/>
      <c r="S108" s="660"/>
      <c r="T108" s="396"/>
      <c r="U108" s="384"/>
      <c r="V108" s="384"/>
      <c r="W108" s="384"/>
      <c r="X108" s="384"/>
      <c r="Y108" s="442"/>
      <c r="Z108" s="442" t="s">
        <v>3734</v>
      </c>
      <c r="AA108" s="441" t="s">
        <v>3735</v>
      </c>
      <c r="AB108" s="441"/>
      <c r="AC108" s="441"/>
      <c r="AD108" s="441" t="s">
        <v>3736</v>
      </c>
      <c r="AE108" s="441" t="s">
        <v>3267</v>
      </c>
      <c r="AF108" s="441"/>
      <c r="AG108" s="441"/>
      <c r="AH108" s="441"/>
      <c r="AI108" s="441"/>
      <c r="AJ108" s="441"/>
      <c r="AK108" s="395"/>
      <c r="AL108" s="395"/>
      <c r="AM108" s="395">
        <v>1</v>
      </c>
      <c r="AN108" s="395">
        <v>60</v>
      </c>
      <c r="AO108" s="395"/>
      <c r="AP108" s="410"/>
      <c r="AQ108" s="410"/>
    </row>
    <row r="109" spans="2:43" ht="15" customHeight="1">
      <c r="B109" s="394">
        <v>1</v>
      </c>
      <c r="C109" s="395" t="s">
        <v>614</v>
      </c>
      <c r="D109" s="417" t="s">
        <v>3737</v>
      </c>
      <c r="E109" s="662" t="s">
        <v>3738</v>
      </c>
      <c r="F109" s="417"/>
      <c r="G109" s="384"/>
      <c r="H109" s="768"/>
      <c r="I109" s="384"/>
      <c r="J109" s="384" t="s">
        <v>4981</v>
      </c>
      <c r="K109" s="657"/>
      <c r="L109" s="658"/>
      <c r="M109" s="384"/>
      <c r="N109" s="384"/>
      <c r="O109" s="384"/>
      <c r="P109" s="384"/>
      <c r="Q109" s="384"/>
      <c r="R109" s="384"/>
      <c r="S109" s="660"/>
      <c r="T109" s="396"/>
      <c r="U109" s="384"/>
      <c r="V109" s="384"/>
      <c r="W109" s="384"/>
      <c r="X109" s="384"/>
      <c r="Y109" s="442"/>
      <c r="Z109" s="442" t="s">
        <v>3739</v>
      </c>
      <c r="AA109" s="441" t="s">
        <v>3740</v>
      </c>
      <c r="AB109" s="441"/>
      <c r="AC109" s="441"/>
      <c r="AD109" s="441" t="s">
        <v>3741</v>
      </c>
      <c r="AE109" s="441" t="s">
        <v>3266</v>
      </c>
      <c r="AF109" s="441"/>
      <c r="AG109" s="441"/>
      <c r="AH109" s="441"/>
      <c r="AI109" s="441"/>
      <c r="AJ109" s="441"/>
      <c r="AK109" s="395"/>
      <c r="AL109" s="395"/>
      <c r="AM109" s="395">
        <v>1</v>
      </c>
      <c r="AN109" s="395">
        <v>60</v>
      </c>
      <c r="AO109" s="395"/>
      <c r="AP109" s="410"/>
      <c r="AQ109" s="410"/>
    </row>
    <row r="110" spans="2:43" ht="15" customHeight="1">
      <c r="B110" s="394">
        <v>1</v>
      </c>
      <c r="C110" s="395" t="s">
        <v>614</v>
      </c>
      <c r="D110" s="417" t="s">
        <v>3742</v>
      </c>
      <c r="E110" s="662" t="s">
        <v>3743</v>
      </c>
      <c r="F110" s="417"/>
      <c r="G110" s="384"/>
      <c r="H110" s="768"/>
      <c r="I110" s="384"/>
      <c r="J110" s="384" t="s">
        <v>4981</v>
      </c>
      <c r="K110" s="657"/>
      <c r="L110" s="658"/>
      <c r="M110" s="384"/>
      <c r="N110" s="384"/>
      <c r="O110" s="384"/>
      <c r="P110" s="384"/>
      <c r="Q110" s="384"/>
      <c r="R110" s="384"/>
      <c r="S110" s="660"/>
      <c r="T110" s="396"/>
      <c r="U110" s="384"/>
      <c r="V110" s="384"/>
      <c r="W110" s="384"/>
      <c r="X110" s="384"/>
      <c r="Y110" s="442"/>
      <c r="Z110" s="442" t="s">
        <v>3744</v>
      </c>
      <c r="AA110" s="441" t="s">
        <v>3745</v>
      </c>
      <c r="AB110" s="441"/>
      <c r="AC110" s="441"/>
      <c r="AD110" s="441" t="s">
        <v>3746</v>
      </c>
      <c r="AE110" s="441" t="s">
        <v>3269</v>
      </c>
      <c r="AF110" s="441"/>
      <c r="AG110" s="441"/>
      <c r="AH110" s="441"/>
      <c r="AI110" s="441"/>
      <c r="AJ110" s="441"/>
      <c r="AK110" s="395"/>
      <c r="AL110" s="395"/>
      <c r="AM110" s="395">
        <v>1</v>
      </c>
      <c r="AN110" s="395">
        <v>60</v>
      </c>
      <c r="AO110" s="395"/>
      <c r="AP110" s="410"/>
      <c r="AQ110" s="410"/>
    </row>
    <row r="111" spans="2:43" ht="15" customHeight="1">
      <c r="B111" s="394">
        <v>1</v>
      </c>
      <c r="C111" s="395" t="s">
        <v>594</v>
      </c>
      <c r="D111" s="417" t="s">
        <v>3747</v>
      </c>
      <c r="E111" s="662" t="s">
        <v>3748</v>
      </c>
      <c r="F111" s="417"/>
      <c r="G111" s="384"/>
      <c r="H111" s="768"/>
      <c r="I111" s="384"/>
      <c r="J111" s="384" t="s">
        <v>4981</v>
      </c>
      <c r="K111" s="657"/>
      <c r="L111" s="658"/>
      <c r="M111" s="384"/>
      <c r="N111" s="384"/>
      <c r="O111" s="384"/>
      <c r="P111" s="384"/>
      <c r="Q111" s="384"/>
      <c r="R111" s="384"/>
      <c r="S111" s="660"/>
      <c r="T111" s="396"/>
      <c r="U111" s="384"/>
      <c r="V111" s="384"/>
      <c r="W111" s="384"/>
      <c r="X111" s="384"/>
      <c r="Y111" s="442"/>
      <c r="Z111" s="442" t="s">
        <v>3749</v>
      </c>
      <c r="AA111" s="441" t="s">
        <v>3750</v>
      </c>
      <c r="AB111" s="441"/>
      <c r="AC111" s="441"/>
      <c r="AD111" s="441" t="s">
        <v>3149</v>
      </c>
      <c r="AE111" s="441" t="s">
        <v>3751</v>
      </c>
      <c r="AF111" s="441" t="s">
        <v>3752</v>
      </c>
      <c r="AG111" s="441"/>
      <c r="AH111" s="441"/>
      <c r="AI111" s="441"/>
      <c r="AJ111" s="441"/>
      <c r="AK111" s="395">
        <v>2</v>
      </c>
      <c r="AL111" s="395" t="s">
        <v>76</v>
      </c>
      <c r="AM111" s="395"/>
      <c r="AN111" s="395">
        <v>2</v>
      </c>
      <c r="AO111" s="395">
        <v>2</v>
      </c>
      <c r="AP111" s="410"/>
      <c r="AQ111" s="410"/>
    </row>
    <row r="112" spans="2:43" ht="15" customHeight="1">
      <c r="B112" s="394">
        <v>1</v>
      </c>
      <c r="C112" s="395" t="s">
        <v>594</v>
      </c>
      <c r="D112" s="417" t="s">
        <v>3753</v>
      </c>
      <c r="E112" s="662" t="s">
        <v>3754</v>
      </c>
      <c r="F112" s="417"/>
      <c r="G112" s="384"/>
      <c r="H112" s="768"/>
      <c r="I112" s="384"/>
      <c r="J112" s="384" t="s">
        <v>4981</v>
      </c>
      <c r="K112" s="657"/>
      <c r="L112" s="658"/>
      <c r="M112" s="384"/>
      <c r="N112" s="384"/>
      <c r="O112" s="384"/>
      <c r="P112" s="384"/>
      <c r="Q112" s="384"/>
      <c r="R112" s="384"/>
      <c r="S112" s="660"/>
      <c r="T112" s="396"/>
      <c r="U112" s="384"/>
      <c r="V112" s="384"/>
      <c r="W112" s="384"/>
      <c r="X112" s="384"/>
      <c r="Y112" s="442"/>
      <c r="Z112" s="442" t="s">
        <v>3755</v>
      </c>
      <c r="AA112" s="441" t="s">
        <v>3756</v>
      </c>
      <c r="AB112" s="441"/>
      <c r="AC112" s="441"/>
      <c r="AD112" s="441" t="s">
        <v>3152</v>
      </c>
      <c r="AE112" s="441" t="s">
        <v>3757</v>
      </c>
      <c r="AF112" s="441" t="s">
        <v>3758</v>
      </c>
      <c r="AG112" s="441"/>
      <c r="AH112" s="441"/>
      <c r="AI112" s="441"/>
      <c r="AJ112" s="441"/>
      <c r="AK112" s="395">
        <v>2</v>
      </c>
      <c r="AL112" s="395" t="s">
        <v>76</v>
      </c>
      <c r="AM112" s="395"/>
      <c r="AN112" s="395">
        <v>2</v>
      </c>
      <c r="AO112" s="395">
        <v>2</v>
      </c>
      <c r="AP112" s="410"/>
      <c r="AQ112" s="410"/>
    </row>
    <row r="113" spans="2:43" ht="15" customHeight="1">
      <c r="B113" s="394">
        <v>1</v>
      </c>
      <c r="C113" s="395" t="s">
        <v>594</v>
      </c>
      <c r="D113" s="417" t="s">
        <v>3759</v>
      </c>
      <c r="E113" s="662" t="s">
        <v>3760</v>
      </c>
      <c r="F113" s="417"/>
      <c r="G113" s="384"/>
      <c r="H113" s="768"/>
      <c r="I113" s="384"/>
      <c r="J113" s="384" t="s">
        <v>4981</v>
      </c>
      <c r="K113" s="657"/>
      <c r="L113" s="658"/>
      <c r="M113" s="384"/>
      <c r="N113" s="384"/>
      <c r="O113" s="384"/>
      <c r="P113" s="384"/>
      <c r="Q113" s="384"/>
      <c r="R113" s="384"/>
      <c r="S113" s="660"/>
      <c r="T113" s="396"/>
      <c r="U113" s="384"/>
      <c r="V113" s="384"/>
      <c r="W113" s="384"/>
      <c r="X113" s="384"/>
      <c r="Y113" s="442"/>
      <c r="Z113" s="442" t="s">
        <v>3761</v>
      </c>
      <c r="AA113" s="441" t="s">
        <v>3762</v>
      </c>
      <c r="AB113" s="441"/>
      <c r="AC113" s="441"/>
      <c r="AD113" s="441" t="s">
        <v>3151</v>
      </c>
      <c r="AE113" s="441" t="s">
        <v>3112</v>
      </c>
      <c r="AF113" s="441" t="s">
        <v>3108</v>
      </c>
      <c r="AG113" s="441"/>
      <c r="AH113" s="441"/>
      <c r="AI113" s="441"/>
      <c r="AJ113" s="441"/>
      <c r="AK113" s="395">
        <v>2</v>
      </c>
      <c r="AL113" s="395" t="s">
        <v>76</v>
      </c>
      <c r="AM113" s="395"/>
      <c r="AN113" s="395">
        <v>2</v>
      </c>
      <c r="AO113" s="395">
        <v>2</v>
      </c>
      <c r="AP113" s="410"/>
      <c r="AQ113" s="410"/>
    </row>
    <row r="114" spans="2:43" ht="15" customHeight="1">
      <c r="B114" s="394">
        <v>1</v>
      </c>
      <c r="C114" s="395" t="s">
        <v>594</v>
      </c>
      <c r="D114" s="417" t="s">
        <v>3763</v>
      </c>
      <c r="E114" s="662" t="s">
        <v>3764</v>
      </c>
      <c r="F114" s="417"/>
      <c r="G114" s="384"/>
      <c r="H114" s="768"/>
      <c r="I114" s="384"/>
      <c r="J114" s="384" t="s">
        <v>4981</v>
      </c>
      <c r="K114" s="657"/>
      <c r="L114" s="658"/>
      <c r="M114" s="384"/>
      <c r="N114" s="384"/>
      <c r="O114" s="384"/>
      <c r="P114" s="384"/>
      <c r="Q114" s="384"/>
      <c r="R114" s="384"/>
      <c r="S114" s="660"/>
      <c r="T114" s="396"/>
      <c r="U114" s="384"/>
      <c r="V114" s="384"/>
      <c r="W114" s="384"/>
      <c r="X114" s="384"/>
      <c r="Y114" s="442"/>
      <c r="Z114" s="442" t="s">
        <v>3765</v>
      </c>
      <c r="AA114" s="441" t="s">
        <v>3766</v>
      </c>
      <c r="AB114" s="441"/>
      <c r="AC114" s="441"/>
      <c r="AD114" s="441" t="s">
        <v>3154</v>
      </c>
      <c r="AE114" s="441" t="s">
        <v>3120</v>
      </c>
      <c r="AF114" s="441" t="s">
        <v>3116</v>
      </c>
      <c r="AG114" s="441"/>
      <c r="AH114" s="441"/>
      <c r="AI114" s="441"/>
      <c r="AJ114" s="441"/>
      <c r="AK114" s="395">
        <v>2</v>
      </c>
      <c r="AL114" s="395" t="s">
        <v>76</v>
      </c>
      <c r="AM114" s="395"/>
      <c r="AN114" s="395">
        <v>2</v>
      </c>
      <c r="AO114" s="395">
        <v>2</v>
      </c>
      <c r="AP114" s="410"/>
      <c r="AQ114" s="410"/>
    </row>
    <row r="115" spans="2:43" ht="15" customHeight="1">
      <c r="B115" s="394">
        <v>1</v>
      </c>
      <c r="C115" s="395" t="s">
        <v>594</v>
      </c>
      <c r="D115" s="417" t="s">
        <v>3767</v>
      </c>
      <c r="E115" s="662" t="s">
        <v>3768</v>
      </c>
      <c r="F115" s="417"/>
      <c r="G115" s="384"/>
      <c r="H115" s="768"/>
      <c r="I115" s="384"/>
      <c r="J115" s="384" t="s">
        <v>4981</v>
      </c>
      <c r="K115" s="657"/>
      <c r="L115" s="658"/>
      <c r="M115" s="384"/>
      <c r="N115" s="384"/>
      <c r="O115" s="384"/>
      <c r="P115" s="384"/>
      <c r="Q115" s="384"/>
      <c r="R115" s="384"/>
      <c r="S115" s="660"/>
      <c r="T115" s="396"/>
      <c r="U115" s="384"/>
      <c r="V115" s="384"/>
      <c r="W115" s="384"/>
      <c r="X115" s="384"/>
      <c r="Y115" s="442"/>
      <c r="Z115" s="442" t="s">
        <v>3769</v>
      </c>
      <c r="AA115" s="441" t="s">
        <v>3770</v>
      </c>
      <c r="AB115" s="441"/>
      <c r="AC115" s="441"/>
      <c r="AD115" s="441" t="s">
        <v>3153</v>
      </c>
      <c r="AE115" s="441" t="s">
        <v>3127</v>
      </c>
      <c r="AF115" s="441" t="s">
        <v>3124</v>
      </c>
      <c r="AG115" s="441"/>
      <c r="AH115" s="441"/>
      <c r="AI115" s="441"/>
      <c r="AJ115" s="441"/>
      <c r="AK115" s="395">
        <v>2</v>
      </c>
      <c r="AL115" s="395" t="s">
        <v>76</v>
      </c>
      <c r="AM115" s="395"/>
      <c r="AN115" s="395">
        <v>2</v>
      </c>
      <c r="AO115" s="395">
        <v>2</v>
      </c>
      <c r="AP115" s="410"/>
      <c r="AQ115" s="410"/>
    </row>
    <row r="116" spans="2:43" ht="15" customHeight="1">
      <c r="B116" s="394">
        <v>1</v>
      </c>
      <c r="C116" s="395" t="s">
        <v>594</v>
      </c>
      <c r="D116" s="417" t="s">
        <v>3771</v>
      </c>
      <c r="E116" s="662" t="s">
        <v>3772</v>
      </c>
      <c r="F116" s="417"/>
      <c r="G116" s="384"/>
      <c r="H116" s="768"/>
      <c r="I116" s="384"/>
      <c r="J116" s="384" t="s">
        <v>4981</v>
      </c>
      <c r="K116" s="657"/>
      <c r="L116" s="658"/>
      <c r="M116" s="384"/>
      <c r="N116" s="384"/>
      <c r="O116" s="384"/>
      <c r="P116" s="384"/>
      <c r="Q116" s="384"/>
      <c r="R116" s="384"/>
      <c r="S116" s="660"/>
      <c r="T116" s="396"/>
      <c r="U116" s="384"/>
      <c r="V116" s="384"/>
      <c r="W116" s="384"/>
      <c r="X116" s="384"/>
      <c r="Y116" s="442"/>
      <c r="Z116" s="442" t="s">
        <v>3773</v>
      </c>
      <c r="AA116" s="441" t="s">
        <v>3774</v>
      </c>
      <c r="AB116" s="441"/>
      <c r="AC116" s="441"/>
      <c r="AD116" s="441" t="s">
        <v>3156</v>
      </c>
      <c r="AE116" s="441" t="s">
        <v>3133</v>
      </c>
      <c r="AF116" s="441" t="s">
        <v>3130</v>
      </c>
      <c r="AG116" s="441"/>
      <c r="AH116" s="441"/>
      <c r="AI116" s="441"/>
      <c r="AJ116" s="441"/>
      <c r="AK116" s="395">
        <v>2</v>
      </c>
      <c r="AL116" s="395" t="s">
        <v>76</v>
      </c>
      <c r="AM116" s="395"/>
      <c r="AN116" s="395">
        <v>2</v>
      </c>
      <c r="AO116" s="395">
        <v>2</v>
      </c>
      <c r="AP116" s="410"/>
      <c r="AQ116" s="410"/>
    </row>
    <row r="117" spans="2:43" ht="15" customHeight="1">
      <c r="B117" s="394">
        <v>1</v>
      </c>
      <c r="C117" s="395" t="s">
        <v>594</v>
      </c>
      <c r="D117" s="417" t="s">
        <v>3775</v>
      </c>
      <c r="E117" s="662" t="s">
        <v>3776</v>
      </c>
      <c r="F117" s="417"/>
      <c r="G117" s="384"/>
      <c r="H117" s="768"/>
      <c r="I117" s="384"/>
      <c r="J117" s="384" t="s">
        <v>4981</v>
      </c>
      <c r="K117" s="657"/>
      <c r="L117" s="658"/>
      <c r="M117" s="384"/>
      <c r="N117" s="384"/>
      <c r="O117" s="384"/>
      <c r="P117" s="384"/>
      <c r="Q117" s="384"/>
      <c r="R117" s="384"/>
      <c r="S117" s="660"/>
      <c r="T117" s="396"/>
      <c r="U117" s="384"/>
      <c r="V117" s="384"/>
      <c r="W117" s="384"/>
      <c r="X117" s="384"/>
      <c r="Y117" s="442"/>
      <c r="Z117" s="442" t="s">
        <v>3777</v>
      </c>
      <c r="AA117" s="441" t="s">
        <v>3778</v>
      </c>
      <c r="AB117" s="441"/>
      <c r="AC117" s="441"/>
      <c r="AD117" s="441" t="s">
        <v>3155</v>
      </c>
      <c r="AE117" s="441" t="s">
        <v>3325</v>
      </c>
      <c r="AF117" s="441" t="s">
        <v>3136</v>
      </c>
      <c r="AG117" s="441"/>
      <c r="AH117" s="441"/>
      <c r="AI117" s="441"/>
      <c r="AJ117" s="441"/>
      <c r="AK117" s="395">
        <v>2</v>
      </c>
      <c r="AL117" s="395" t="s">
        <v>76</v>
      </c>
      <c r="AM117" s="395"/>
      <c r="AN117" s="395">
        <v>2</v>
      </c>
      <c r="AO117" s="395">
        <v>2</v>
      </c>
      <c r="AP117" s="410"/>
      <c r="AQ117" s="410"/>
    </row>
    <row r="118" spans="2:43" ht="15" customHeight="1">
      <c r="B118" s="394">
        <v>1</v>
      </c>
      <c r="C118" s="395" t="s">
        <v>594</v>
      </c>
      <c r="D118" s="417" t="s">
        <v>3779</v>
      </c>
      <c r="E118" s="662" t="s">
        <v>3780</v>
      </c>
      <c r="F118" s="417"/>
      <c r="G118" s="384"/>
      <c r="H118" s="768"/>
      <c r="I118" s="384"/>
      <c r="J118" s="384" t="s">
        <v>4981</v>
      </c>
      <c r="K118" s="657"/>
      <c r="L118" s="658"/>
      <c r="M118" s="384"/>
      <c r="N118" s="384"/>
      <c r="O118" s="384"/>
      <c r="P118" s="384"/>
      <c r="Q118" s="384"/>
      <c r="R118" s="384"/>
      <c r="S118" s="660"/>
      <c r="T118" s="396"/>
      <c r="U118" s="384"/>
      <c r="V118" s="384"/>
      <c r="W118" s="384"/>
      <c r="X118" s="384"/>
      <c r="Y118" s="442"/>
      <c r="Z118" s="442" t="s">
        <v>3781</v>
      </c>
      <c r="AA118" s="441" t="s">
        <v>3782</v>
      </c>
      <c r="AB118" s="441"/>
      <c r="AC118" s="441"/>
      <c r="AD118" s="441" t="s">
        <v>3158</v>
      </c>
      <c r="AE118" s="441" t="s">
        <v>3327</v>
      </c>
      <c r="AF118" s="441" t="s">
        <v>3326</v>
      </c>
      <c r="AG118" s="441"/>
      <c r="AH118" s="441"/>
      <c r="AI118" s="441"/>
      <c r="AJ118" s="441"/>
      <c r="AK118" s="395">
        <v>2</v>
      </c>
      <c r="AL118" s="395" t="s">
        <v>76</v>
      </c>
      <c r="AM118" s="395"/>
      <c r="AN118" s="395">
        <v>2</v>
      </c>
      <c r="AO118" s="395">
        <v>2</v>
      </c>
      <c r="AP118" s="410"/>
      <c r="AQ118" s="410"/>
    </row>
    <row r="119" spans="2:43" ht="15" customHeight="1">
      <c r="B119" s="394">
        <v>1</v>
      </c>
      <c r="C119" s="395" t="s">
        <v>594</v>
      </c>
      <c r="D119" s="417" t="s">
        <v>3783</v>
      </c>
      <c r="E119" s="662" t="s">
        <v>3784</v>
      </c>
      <c r="F119" s="417"/>
      <c r="G119" s="384"/>
      <c r="H119" s="768"/>
      <c r="I119" s="384"/>
      <c r="J119" s="384" t="s">
        <v>4981</v>
      </c>
      <c r="K119" s="657"/>
      <c r="L119" s="658"/>
      <c r="M119" s="384"/>
      <c r="N119" s="384"/>
      <c r="O119" s="384"/>
      <c r="P119" s="384"/>
      <c r="Q119" s="384"/>
      <c r="R119" s="384"/>
      <c r="S119" s="660"/>
      <c r="T119" s="396"/>
      <c r="U119" s="384"/>
      <c r="V119" s="384"/>
      <c r="W119" s="384"/>
      <c r="X119" s="384"/>
      <c r="Y119" s="442"/>
      <c r="Z119" s="442" t="s">
        <v>3785</v>
      </c>
      <c r="AA119" s="441" t="s">
        <v>3786</v>
      </c>
      <c r="AB119" s="441"/>
      <c r="AC119" s="441"/>
      <c r="AD119" s="441" t="s">
        <v>3157</v>
      </c>
      <c r="AE119" s="441" t="s">
        <v>3329</v>
      </c>
      <c r="AF119" s="441" t="s">
        <v>3328</v>
      </c>
      <c r="AG119" s="441"/>
      <c r="AH119" s="441"/>
      <c r="AI119" s="441"/>
      <c r="AJ119" s="441"/>
      <c r="AK119" s="395">
        <v>2</v>
      </c>
      <c r="AL119" s="395" t="s">
        <v>76</v>
      </c>
      <c r="AM119" s="395"/>
      <c r="AN119" s="395">
        <v>2</v>
      </c>
      <c r="AO119" s="395">
        <v>2</v>
      </c>
      <c r="AP119" s="410"/>
      <c r="AQ119" s="410"/>
    </row>
    <row r="120" spans="2:43" ht="15" customHeight="1">
      <c r="B120" s="394">
        <v>1</v>
      </c>
      <c r="C120" s="395" t="s">
        <v>594</v>
      </c>
      <c r="D120" s="417" t="s">
        <v>3787</v>
      </c>
      <c r="E120" s="662" t="s">
        <v>3788</v>
      </c>
      <c r="F120" s="417"/>
      <c r="G120" s="384"/>
      <c r="H120" s="768"/>
      <c r="I120" s="384"/>
      <c r="J120" s="384" t="s">
        <v>4981</v>
      </c>
      <c r="K120" s="657"/>
      <c r="L120" s="658"/>
      <c r="M120" s="384"/>
      <c r="N120" s="384"/>
      <c r="O120" s="384"/>
      <c r="P120" s="384"/>
      <c r="Q120" s="384"/>
      <c r="R120" s="384"/>
      <c r="S120" s="660"/>
      <c r="T120" s="396"/>
      <c r="U120" s="384"/>
      <c r="V120" s="384"/>
      <c r="W120" s="384"/>
      <c r="X120" s="384"/>
      <c r="Y120" s="442"/>
      <c r="Z120" s="442" t="s">
        <v>3789</v>
      </c>
      <c r="AA120" s="441" t="s">
        <v>3790</v>
      </c>
      <c r="AB120" s="441"/>
      <c r="AC120" s="441"/>
      <c r="AD120" s="441" t="s">
        <v>3160</v>
      </c>
      <c r="AE120" s="441" t="s">
        <v>3331</v>
      </c>
      <c r="AF120" s="441" t="s">
        <v>3330</v>
      </c>
      <c r="AG120" s="441"/>
      <c r="AH120" s="441"/>
      <c r="AI120" s="441"/>
      <c r="AJ120" s="441"/>
      <c r="AK120" s="395">
        <v>2</v>
      </c>
      <c r="AL120" s="395" t="s">
        <v>76</v>
      </c>
      <c r="AM120" s="395"/>
      <c r="AN120" s="395">
        <v>2</v>
      </c>
      <c r="AO120" s="395">
        <v>2</v>
      </c>
      <c r="AP120" s="410"/>
      <c r="AQ120" s="410"/>
    </row>
    <row r="121" spans="2:43" ht="15" customHeight="1">
      <c r="B121" s="394">
        <v>1</v>
      </c>
      <c r="C121" s="395" t="s">
        <v>594</v>
      </c>
      <c r="D121" s="417" t="s">
        <v>3791</v>
      </c>
      <c r="E121" s="662" t="s">
        <v>3792</v>
      </c>
      <c r="F121" s="417"/>
      <c r="G121" s="384"/>
      <c r="H121" s="768"/>
      <c r="I121" s="384"/>
      <c r="J121" s="384" t="s">
        <v>4981</v>
      </c>
      <c r="K121" s="657"/>
      <c r="L121" s="658"/>
      <c r="M121" s="384"/>
      <c r="N121" s="384"/>
      <c r="O121" s="384"/>
      <c r="P121" s="384"/>
      <c r="Q121" s="384"/>
      <c r="R121" s="384"/>
      <c r="S121" s="660"/>
      <c r="T121" s="396"/>
      <c r="U121" s="384"/>
      <c r="V121" s="384"/>
      <c r="W121" s="384"/>
      <c r="X121" s="384"/>
      <c r="Y121" s="442"/>
      <c r="Z121" s="442" t="s">
        <v>3793</v>
      </c>
      <c r="AA121" s="441" t="s">
        <v>3794</v>
      </c>
      <c r="AB121" s="441"/>
      <c r="AC121" s="441"/>
      <c r="AD121" s="441" t="s">
        <v>3159</v>
      </c>
      <c r="AE121" s="441" t="s">
        <v>3333</v>
      </c>
      <c r="AF121" s="441" t="s">
        <v>3332</v>
      </c>
      <c r="AG121" s="441"/>
      <c r="AH121" s="441"/>
      <c r="AI121" s="441"/>
      <c r="AJ121" s="441"/>
      <c r="AK121" s="395">
        <v>2</v>
      </c>
      <c r="AL121" s="395" t="s">
        <v>76</v>
      </c>
      <c r="AM121" s="395"/>
      <c r="AN121" s="395">
        <v>2</v>
      </c>
      <c r="AO121" s="395">
        <v>2</v>
      </c>
      <c r="AP121" s="410"/>
      <c r="AQ121" s="410"/>
    </row>
    <row r="122" spans="2:43" ht="15" customHeight="1">
      <c r="B122" s="394">
        <v>1</v>
      </c>
      <c r="C122" s="395" t="s">
        <v>594</v>
      </c>
      <c r="D122" s="417" t="s">
        <v>3795</v>
      </c>
      <c r="E122" s="662" t="s">
        <v>3796</v>
      </c>
      <c r="F122" s="417"/>
      <c r="G122" s="384"/>
      <c r="H122" s="768"/>
      <c r="I122" s="384"/>
      <c r="J122" s="384" t="s">
        <v>4981</v>
      </c>
      <c r="K122" s="657"/>
      <c r="L122" s="658"/>
      <c r="M122" s="384"/>
      <c r="N122" s="384"/>
      <c r="O122" s="384"/>
      <c r="P122" s="384"/>
      <c r="Q122" s="384"/>
      <c r="R122" s="384"/>
      <c r="S122" s="660"/>
      <c r="T122" s="396"/>
      <c r="U122" s="384"/>
      <c r="V122" s="384"/>
      <c r="W122" s="384"/>
      <c r="X122" s="384"/>
      <c r="Y122" s="442"/>
      <c r="Z122" s="442" t="s">
        <v>3797</v>
      </c>
      <c r="AA122" s="441" t="s">
        <v>3798</v>
      </c>
      <c r="AB122" s="441"/>
      <c r="AC122" s="441"/>
      <c r="AD122" s="441" t="s">
        <v>3162</v>
      </c>
      <c r="AE122" s="441" t="s">
        <v>3335</v>
      </c>
      <c r="AF122" s="441" t="s">
        <v>3334</v>
      </c>
      <c r="AG122" s="441"/>
      <c r="AH122" s="441"/>
      <c r="AI122" s="441"/>
      <c r="AJ122" s="441"/>
      <c r="AK122" s="395">
        <v>2</v>
      </c>
      <c r="AL122" s="395" t="s">
        <v>76</v>
      </c>
      <c r="AM122" s="395"/>
      <c r="AN122" s="395">
        <v>2</v>
      </c>
      <c r="AO122" s="395">
        <v>2</v>
      </c>
      <c r="AP122" s="410"/>
      <c r="AQ122" s="410"/>
    </row>
    <row r="123" spans="2:43" ht="15" customHeight="1">
      <c r="B123" s="394">
        <v>1</v>
      </c>
      <c r="C123" s="395" t="s">
        <v>594</v>
      </c>
      <c r="D123" s="417" t="s">
        <v>3799</v>
      </c>
      <c r="E123" s="662" t="s">
        <v>3800</v>
      </c>
      <c r="F123" s="417"/>
      <c r="G123" s="384"/>
      <c r="H123" s="768"/>
      <c r="I123" s="384"/>
      <c r="J123" s="384" t="s">
        <v>4981</v>
      </c>
      <c r="K123" s="657"/>
      <c r="L123" s="658"/>
      <c r="M123" s="384"/>
      <c r="N123" s="384"/>
      <c r="O123" s="384"/>
      <c r="P123" s="384"/>
      <c r="Q123" s="384"/>
      <c r="R123" s="384"/>
      <c r="S123" s="660"/>
      <c r="T123" s="396"/>
      <c r="U123" s="384"/>
      <c r="V123" s="384"/>
      <c r="W123" s="384"/>
      <c r="X123" s="384"/>
      <c r="Y123" s="442"/>
      <c r="Z123" s="442" t="s">
        <v>3801</v>
      </c>
      <c r="AA123" s="441" t="s">
        <v>3802</v>
      </c>
      <c r="AB123" s="441"/>
      <c r="AC123" s="441"/>
      <c r="AD123" s="441" t="s">
        <v>3161</v>
      </c>
      <c r="AE123" s="441" t="s">
        <v>3172</v>
      </c>
      <c r="AF123" s="441" t="s">
        <v>3336</v>
      </c>
      <c r="AG123" s="441"/>
      <c r="AH123" s="441"/>
      <c r="AI123" s="441"/>
      <c r="AJ123" s="441"/>
      <c r="AK123" s="395">
        <v>2</v>
      </c>
      <c r="AL123" s="395" t="s">
        <v>76</v>
      </c>
      <c r="AM123" s="395"/>
      <c r="AN123" s="395">
        <v>2</v>
      </c>
      <c r="AO123" s="395">
        <v>2</v>
      </c>
      <c r="AP123" s="410"/>
      <c r="AQ123" s="410"/>
    </row>
    <row r="124" spans="2:43" ht="15" customHeight="1">
      <c r="B124" s="394">
        <v>1</v>
      </c>
      <c r="C124" s="395" t="s">
        <v>594</v>
      </c>
      <c r="D124" s="417" t="s">
        <v>3803</v>
      </c>
      <c r="E124" s="662" t="s">
        <v>3804</v>
      </c>
      <c r="F124" s="417"/>
      <c r="G124" s="384"/>
      <c r="H124" s="768"/>
      <c r="I124" s="384"/>
      <c r="J124" s="384" t="s">
        <v>4981</v>
      </c>
      <c r="K124" s="657"/>
      <c r="L124" s="658"/>
      <c r="M124" s="384"/>
      <c r="N124" s="384"/>
      <c r="O124" s="384"/>
      <c r="P124" s="384"/>
      <c r="Q124" s="384"/>
      <c r="R124" s="384"/>
      <c r="S124" s="660"/>
      <c r="T124" s="396"/>
      <c r="U124" s="384"/>
      <c r="V124" s="384"/>
      <c r="W124" s="384"/>
      <c r="X124" s="384"/>
      <c r="Y124" s="442"/>
      <c r="Z124" s="442" t="s">
        <v>3805</v>
      </c>
      <c r="AA124" s="441" t="s">
        <v>3806</v>
      </c>
      <c r="AB124" s="441"/>
      <c r="AC124" s="441"/>
      <c r="AD124" s="441" t="s">
        <v>3164</v>
      </c>
      <c r="AE124" s="441" t="s">
        <v>3174</v>
      </c>
      <c r="AF124" s="441" t="s">
        <v>3173</v>
      </c>
      <c r="AG124" s="441"/>
      <c r="AH124" s="441"/>
      <c r="AI124" s="441"/>
      <c r="AJ124" s="441"/>
      <c r="AK124" s="395">
        <v>2</v>
      </c>
      <c r="AL124" s="395" t="s">
        <v>76</v>
      </c>
      <c r="AM124" s="395"/>
      <c r="AN124" s="395">
        <v>2</v>
      </c>
      <c r="AO124" s="395">
        <v>2</v>
      </c>
      <c r="AP124" s="410"/>
      <c r="AQ124" s="410"/>
    </row>
    <row r="125" spans="2:43" ht="15" customHeight="1">
      <c r="B125" s="394">
        <v>1</v>
      </c>
      <c r="C125" s="395" t="s">
        <v>594</v>
      </c>
      <c r="D125" s="417" t="s">
        <v>3807</v>
      </c>
      <c r="E125" s="662" t="s">
        <v>3808</v>
      </c>
      <c r="F125" s="417"/>
      <c r="G125" s="384"/>
      <c r="H125" s="768"/>
      <c r="I125" s="384"/>
      <c r="J125" s="384" t="s">
        <v>4981</v>
      </c>
      <c r="K125" s="657"/>
      <c r="L125" s="658"/>
      <c r="M125" s="384"/>
      <c r="N125" s="384"/>
      <c r="O125" s="384"/>
      <c r="P125" s="384"/>
      <c r="Q125" s="384"/>
      <c r="R125" s="384"/>
      <c r="S125" s="660"/>
      <c r="T125" s="396"/>
      <c r="U125" s="384"/>
      <c r="V125" s="384"/>
      <c r="W125" s="384"/>
      <c r="X125" s="384"/>
      <c r="Y125" s="442"/>
      <c r="Z125" s="442" t="s">
        <v>3809</v>
      </c>
      <c r="AA125" s="441" t="s">
        <v>3810</v>
      </c>
      <c r="AB125" s="441"/>
      <c r="AC125" s="441"/>
      <c r="AD125" s="441" t="s">
        <v>3163</v>
      </c>
      <c r="AE125" s="441" t="s">
        <v>3176</v>
      </c>
      <c r="AF125" s="441" t="s">
        <v>3175</v>
      </c>
      <c r="AG125" s="441"/>
      <c r="AH125" s="441"/>
      <c r="AI125" s="441"/>
      <c r="AJ125" s="441"/>
      <c r="AK125" s="395">
        <v>2</v>
      </c>
      <c r="AL125" s="395" t="s">
        <v>76</v>
      </c>
      <c r="AM125" s="395"/>
      <c r="AN125" s="395">
        <v>2</v>
      </c>
      <c r="AO125" s="395">
        <v>2</v>
      </c>
      <c r="AP125" s="410"/>
      <c r="AQ125" s="410"/>
    </row>
    <row r="126" spans="2:43" ht="15" customHeight="1">
      <c r="B126" s="394">
        <v>1</v>
      </c>
      <c r="C126" s="395" t="s">
        <v>594</v>
      </c>
      <c r="D126" s="417" t="s">
        <v>3811</v>
      </c>
      <c r="E126" s="662" t="s">
        <v>3812</v>
      </c>
      <c r="F126" s="417"/>
      <c r="G126" s="384"/>
      <c r="H126" s="768"/>
      <c r="I126" s="384"/>
      <c r="J126" s="384" t="s">
        <v>4981</v>
      </c>
      <c r="K126" s="657"/>
      <c r="L126" s="658"/>
      <c r="M126" s="384"/>
      <c r="N126" s="384"/>
      <c r="O126" s="384"/>
      <c r="P126" s="384"/>
      <c r="Q126" s="384"/>
      <c r="R126" s="384"/>
      <c r="S126" s="660"/>
      <c r="T126" s="396"/>
      <c r="U126" s="384"/>
      <c r="V126" s="384"/>
      <c r="W126" s="384"/>
      <c r="X126" s="384"/>
      <c r="Y126" s="442"/>
      <c r="Z126" s="442" t="s">
        <v>3813</v>
      </c>
      <c r="AA126" s="441" t="s">
        <v>3814</v>
      </c>
      <c r="AB126" s="441"/>
      <c r="AC126" s="441"/>
      <c r="AD126" s="441" t="s">
        <v>3166</v>
      </c>
      <c r="AE126" s="441" t="s">
        <v>3180</v>
      </c>
      <c r="AF126" s="441" t="s">
        <v>3177</v>
      </c>
      <c r="AG126" s="441"/>
      <c r="AH126" s="441"/>
      <c r="AI126" s="441"/>
      <c r="AJ126" s="441"/>
      <c r="AK126" s="395">
        <v>2</v>
      </c>
      <c r="AL126" s="395" t="s">
        <v>76</v>
      </c>
      <c r="AM126" s="395"/>
      <c r="AN126" s="395">
        <v>2</v>
      </c>
      <c r="AO126" s="395">
        <v>2</v>
      </c>
      <c r="AP126" s="410"/>
      <c r="AQ126" s="410"/>
    </row>
    <row r="127" spans="2:43" ht="15" customHeight="1">
      <c r="B127" s="394">
        <v>1</v>
      </c>
      <c r="C127" s="395" t="s">
        <v>594</v>
      </c>
      <c r="D127" s="417" t="s">
        <v>3815</v>
      </c>
      <c r="E127" s="662" t="s">
        <v>3816</v>
      </c>
      <c r="F127" s="417"/>
      <c r="G127" s="384"/>
      <c r="H127" s="768"/>
      <c r="I127" s="384"/>
      <c r="J127" s="384" t="s">
        <v>4981</v>
      </c>
      <c r="K127" s="657"/>
      <c r="L127" s="658"/>
      <c r="M127" s="384"/>
      <c r="N127" s="384"/>
      <c r="O127" s="384"/>
      <c r="P127" s="384"/>
      <c r="Q127" s="384"/>
      <c r="R127" s="384"/>
      <c r="S127" s="660"/>
      <c r="T127" s="396"/>
      <c r="U127" s="384"/>
      <c r="V127" s="384"/>
      <c r="W127" s="384"/>
      <c r="X127" s="384"/>
      <c r="Y127" s="442"/>
      <c r="Z127" s="442" t="s">
        <v>3817</v>
      </c>
      <c r="AA127" s="441" t="s">
        <v>3818</v>
      </c>
      <c r="AB127" s="441"/>
      <c r="AC127" s="441"/>
      <c r="AD127" s="441" t="s">
        <v>3165</v>
      </c>
      <c r="AE127" s="441" t="s">
        <v>3186</v>
      </c>
      <c r="AF127" s="441" t="s">
        <v>3183</v>
      </c>
      <c r="AG127" s="441"/>
      <c r="AH127" s="441"/>
      <c r="AI127" s="441"/>
      <c r="AJ127" s="441"/>
      <c r="AK127" s="395">
        <v>2</v>
      </c>
      <c r="AL127" s="395" t="s">
        <v>76</v>
      </c>
      <c r="AM127" s="395"/>
      <c r="AN127" s="395">
        <v>2</v>
      </c>
      <c r="AO127" s="395">
        <v>2</v>
      </c>
      <c r="AP127" s="410"/>
      <c r="AQ127" s="410"/>
    </row>
    <row r="128" spans="2:43" ht="15" customHeight="1">
      <c r="B128" s="394">
        <v>1</v>
      </c>
      <c r="C128" s="395" t="s">
        <v>594</v>
      </c>
      <c r="D128" s="417" t="s">
        <v>3819</v>
      </c>
      <c r="E128" s="662" t="s">
        <v>3820</v>
      </c>
      <c r="F128" s="417"/>
      <c r="G128" s="384"/>
      <c r="H128" s="768"/>
      <c r="I128" s="384"/>
      <c r="J128" s="384" t="s">
        <v>4981</v>
      </c>
      <c r="K128" s="657"/>
      <c r="L128" s="658"/>
      <c r="M128" s="384"/>
      <c r="N128" s="384"/>
      <c r="O128" s="384"/>
      <c r="P128" s="384"/>
      <c r="Q128" s="384"/>
      <c r="R128" s="384"/>
      <c r="S128" s="660"/>
      <c r="T128" s="396"/>
      <c r="U128" s="384"/>
      <c r="V128" s="384"/>
      <c r="W128" s="384"/>
      <c r="X128" s="384"/>
      <c r="Y128" s="442"/>
      <c r="Z128" s="442" t="s">
        <v>3821</v>
      </c>
      <c r="AA128" s="441" t="s">
        <v>3822</v>
      </c>
      <c r="AB128" s="441"/>
      <c r="AC128" s="441"/>
      <c r="AD128" s="441" t="s">
        <v>3168</v>
      </c>
      <c r="AE128" s="441" t="s">
        <v>3191</v>
      </c>
      <c r="AF128" s="441" t="s">
        <v>3188</v>
      </c>
      <c r="AG128" s="441"/>
      <c r="AH128" s="441"/>
      <c r="AI128" s="441"/>
      <c r="AJ128" s="441"/>
      <c r="AK128" s="395">
        <v>2</v>
      </c>
      <c r="AL128" s="395" t="s">
        <v>76</v>
      </c>
      <c r="AM128" s="395"/>
      <c r="AN128" s="395">
        <v>2</v>
      </c>
      <c r="AO128" s="395">
        <v>2</v>
      </c>
      <c r="AP128" s="410"/>
      <c r="AQ128" s="410"/>
    </row>
    <row r="129" spans="2:43" ht="15" customHeight="1">
      <c r="B129" s="394">
        <v>1</v>
      </c>
      <c r="C129" s="395" t="s">
        <v>594</v>
      </c>
      <c r="D129" s="417" t="s">
        <v>3823</v>
      </c>
      <c r="E129" s="662" t="s">
        <v>3824</v>
      </c>
      <c r="F129" s="417"/>
      <c r="G129" s="384"/>
      <c r="H129" s="768"/>
      <c r="I129" s="384"/>
      <c r="J129" s="384" t="s">
        <v>4981</v>
      </c>
      <c r="K129" s="657"/>
      <c r="L129" s="658"/>
      <c r="M129" s="384"/>
      <c r="N129" s="384"/>
      <c r="O129" s="384"/>
      <c r="P129" s="384"/>
      <c r="Q129" s="384"/>
      <c r="R129" s="384"/>
      <c r="S129" s="660"/>
      <c r="T129" s="396"/>
      <c r="U129" s="384"/>
      <c r="V129" s="384"/>
      <c r="W129" s="384"/>
      <c r="X129" s="384"/>
      <c r="Y129" s="442"/>
      <c r="Z129" s="442" t="s">
        <v>3825</v>
      </c>
      <c r="AA129" s="441" t="s">
        <v>3826</v>
      </c>
      <c r="AB129" s="441"/>
      <c r="AC129" s="441"/>
      <c r="AD129" s="441" t="s">
        <v>3167</v>
      </c>
      <c r="AE129" s="441" t="s">
        <v>3197</v>
      </c>
      <c r="AF129" s="441" t="s">
        <v>3194</v>
      </c>
      <c r="AG129" s="441"/>
      <c r="AH129" s="441"/>
      <c r="AI129" s="441"/>
      <c r="AJ129" s="441"/>
      <c r="AK129" s="395">
        <v>2</v>
      </c>
      <c r="AL129" s="395" t="s">
        <v>76</v>
      </c>
      <c r="AM129" s="395"/>
      <c r="AN129" s="395">
        <v>2</v>
      </c>
      <c r="AO129" s="395">
        <v>2</v>
      </c>
      <c r="AP129" s="410"/>
      <c r="AQ129" s="410"/>
    </row>
    <row r="130" spans="2:43" ht="15" customHeight="1">
      <c r="B130" s="394">
        <v>1</v>
      </c>
      <c r="C130" s="395" t="s">
        <v>594</v>
      </c>
      <c r="D130" s="417" t="s">
        <v>3827</v>
      </c>
      <c r="E130" s="662" t="s">
        <v>3828</v>
      </c>
      <c r="F130" s="417"/>
      <c r="G130" s="384"/>
      <c r="H130" s="768"/>
      <c r="I130" s="384"/>
      <c r="J130" s="384" t="s">
        <v>4981</v>
      </c>
      <c r="K130" s="657"/>
      <c r="L130" s="658"/>
      <c r="M130" s="384"/>
      <c r="N130" s="384"/>
      <c r="O130" s="384"/>
      <c r="P130" s="384"/>
      <c r="Q130" s="384"/>
      <c r="R130" s="384"/>
      <c r="S130" s="660"/>
      <c r="T130" s="396"/>
      <c r="U130" s="384"/>
      <c r="V130" s="384"/>
      <c r="W130" s="384"/>
      <c r="X130" s="384"/>
      <c r="Y130" s="442"/>
      <c r="Z130" s="442" t="s">
        <v>3829</v>
      </c>
      <c r="AA130" s="441" t="s">
        <v>3830</v>
      </c>
      <c r="AB130" s="441"/>
      <c r="AC130" s="441"/>
      <c r="AD130" s="441" t="s">
        <v>3170</v>
      </c>
      <c r="AE130" s="441" t="s">
        <v>3203</v>
      </c>
      <c r="AF130" s="441" t="s">
        <v>3200</v>
      </c>
      <c r="AG130" s="441"/>
      <c r="AH130" s="441"/>
      <c r="AI130" s="441"/>
      <c r="AJ130" s="441"/>
      <c r="AK130" s="395">
        <v>2</v>
      </c>
      <c r="AL130" s="395" t="s">
        <v>76</v>
      </c>
      <c r="AM130" s="395"/>
      <c r="AN130" s="395">
        <v>2</v>
      </c>
      <c r="AO130" s="395">
        <v>2</v>
      </c>
      <c r="AP130" s="410"/>
      <c r="AQ130" s="410"/>
    </row>
    <row r="131" spans="2:43" ht="15" customHeight="1">
      <c r="B131" s="394">
        <v>1</v>
      </c>
      <c r="C131" s="395" t="s">
        <v>594</v>
      </c>
      <c r="D131" s="417" t="s">
        <v>3831</v>
      </c>
      <c r="E131" s="662" t="s">
        <v>3832</v>
      </c>
      <c r="F131" s="417"/>
      <c r="G131" s="384"/>
      <c r="H131" s="768"/>
      <c r="I131" s="384"/>
      <c r="J131" s="384" t="s">
        <v>4981</v>
      </c>
      <c r="K131" s="657"/>
      <c r="L131" s="658"/>
      <c r="M131" s="384"/>
      <c r="N131" s="384"/>
      <c r="O131" s="384"/>
      <c r="P131" s="384"/>
      <c r="Q131" s="384"/>
      <c r="R131" s="384"/>
      <c r="S131" s="660"/>
      <c r="T131" s="396"/>
      <c r="U131" s="384"/>
      <c r="V131" s="384"/>
      <c r="W131" s="384"/>
      <c r="X131" s="384"/>
      <c r="Y131" s="442"/>
      <c r="Z131" s="442" t="s">
        <v>3833</v>
      </c>
      <c r="AA131" s="441" t="s">
        <v>3834</v>
      </c>
      <c r="AB131" s="441"/>
      <c r="AC131" s="441"/>
      <c r="AD131" s="441" t="s">
        <v>3169</v>
      </c>
      <c r="AE131" s="441" t="s">
        <v>3209</v>
      </c>
      <c r="AF131" s="441" t="s">
        <v>3206</v>
      </c>
      <c r="AG131" s="441"/>
      <c r="AH131" s="441"/>
      <c r="AI131" s="441"/>
      <c r="AJ131" s="441"/>
      <c r="AK131" s="395">
        <v>2</v>
      </c>
      <c r="AL131" s="395" t="s">
        <v>76</v>
      </c>
      <c r="AM131" s="395"/>
      <c r="AN131" s="395">
        <v>2</v>
      </c>
      <c r="AO131" s="395">
        <v>2</v>
      </c>
      <c r="AP131" s="410"/>
      <c r="AQ131" s="410"/>
    </row>
    <row r="132" spans="2:43" ht="15" customHeight="1">
      <c r="B132" s="394">
        <v>1</v>
      </c>
      <c r="C132" s="395" t="s">
        <v>594</v>
      </c>
      <c r="D132" s="417" t="s">
        <v>3835</v>
      </c>
      <c r="E132" s="662" t="s">
        <v>3836</v>
      </c>
      <c r="F132" s="417"/>
      <c r="G132" s="384"/>
      <c r="H132" s="768"/>
      <c r="I132" s="384"/>
      <c r="J132" s="384" t="s">
        <v>4981</v>
      </c>
      <c r="K132" s="657"/>
      <c r="L132" s="658"/>
      <c r="M132" s="384"/>
      <c r="N132" s="384"/>
      <c r="O132" s="384"/>
      <c r="P132" s="384"/>
      <c r="Q132" s="384"/>
      <c r="R132" s="384"/>
      <c r="S132" s="660"/>
      <c r="T132" s="396"/>
      <c r="U132" s="384"/>
      <c r="V132" s="384"/>
      <c r="W132" s="384"/>
      <c r="X132" s="384"/>
      <c r="Y132" s="442"/>
      <c r="Z132" s="442" t="s">
        <v>3837</v>
      </c>
      <c r="AA132" s="441" t="s">
        <v>3838</v>
      </c>
      <c r="AB132" s="441"/>
      <c r="AC132" s="441"/>
      <c r="AD132" s="441" t="s">
        <v>3171</v>
      </c>
      <c r="AE132" s="441" t="s">
        <v>3215</v>
      </c>
      <c r="AF132" s="441" t="s">
        <v>3212</v>
      </c>
      <c r="AG132" s="441"/>
      <c r="AH132" s="441"/>
      <c r="AI132" s="441"/>
      <c r="AJ132" s="441"/>
      <c r="AK132" s="395">
        <v>2</v>
      </c>
      <c r="AL132" s="395" t="s">
        <v>76</v>
      </c>
      <c r="AM132" s="395"/>
      <c r="AN132" s="395">
        <v>2</v>
      </c>
      <c r="AO132" s="395">
        <v>2</v>
      </c>
      <c r="AP132" s="410"/>
      <c r="AQ132" s="410"/>
    </row>
    <row r="133" spans="2:43" ht="15" customHeight="1">
      <c r="B133" s="394">
        <v>1</v>
      </c>
      <c r="C133" s="395" t="s">
        <v>594</v>
      </c>
      <c r="D133" s="417" t="s">
        <v>3839</v>
      </c>
      <c r="E133" s="662" t="s">
        <v>3840</v>
      </c>
      <c r="F133" s="417"/>
      <c r="G133" s="384"/>
      <c r="H133" s="768"/>
      <c r="I133" s="384"/>
      <c r="J133" s="384" t="s">
        <v>4981</v>
      </c>
      <c r="K133" s="657"/>
      <c r="L133" s="658"/>
      <c r="M133" s="384"/>
      <c r="N133" s="384"/>
      <c r="O133" s="384"/>
      <c r="P133" s="384"/>
      <c r="Q133" s="384"/>
      <c r="R133" s="384"/>
      <c r="S133" s="660"/>
      <c r="T133" s="396"/>
      <c r="U133" s="384"/>
      <c r="V133" s="384"/>
      <c r="W133" s="384"/>
      <c r="X133" s="384"/>
      <c r="Y133" s="442"/>
      <c r="Z133" s="442" t="s">
        <v>3841</v>
      </c>
      <c r="AA133" s="441"/>
      <c r="AB133" s="441"/>
      <c r="AC133" s="441" t="s">
        <v>3842</v>
      </c>
      <c r="AD133" s="441" t="s">
        <v>3146</v>
      </c>
      <c r="AE133" s="441" t="s">
        <v>3293</v>
      </c>
      <c r="AF133" s="441" t="s">
        <v>3218</v>
      </c>
      <c r="AG133" s="441"/>
      <c r="AH133" s="441"/>
      <c r="AI133" s="441"/>
      <c r="AJ133" s="441"/>
      <c r="AK133" s="395">
        <v>2</v>
      </c>
      <c r="AL133" s="395" t="s">
        <v>76</v>
      </c>
      <c r="AM133" s="395"/>
      <c r="AN133" s="395">
        <v>2</v>
      </c>
      <c r="AO133" s="395">
        <v>2</v>
      </c>
      <c r="AP133" s="410"/>
      <c r="AQ133" s="410"/>
    </row>
    <row r="134" spans="2:43" ht="15" customHeight="1">
      <c r="B134" s="394">
        <v>1</v>
      </c>
      <c r="C134" s="395" t="s">
        <v>594</v>
      </c>
      <c r="D134" s="417" t="s">
        <v>3843</v>
      </c>
      <c r="E134" s="662" t="s">
        <v>3844</v>
      </c>
      <c r="F134" s="417"/>
      <c r="G134" s="384"/>
      <c r="H134" s="768"/>
      <c r="I134" s="384"/>
      <c r="J134" s="384" t="s">
        <v>4981</v>
      </c>
      <c r="K134" s="657"/>
      <c r="L134" s="658"/>
      <c r="M134" s="384"/>
      <c r="N134" s="384"/>
      <c r="O134" s="384"/>
      <c r="P134" s="384"/>
      <c r="Q134" s="384"/>
      <c r="R134" s="384"/>
      <c r="S134" s="660"/>
      <c r="T134" s="396"/>
      <c r="U134" s="384"/>
      <c r="V134" s="384"/>
      <c r="W134" s="384"/>
      <c r="X134" s="384"/>
      <c r="Y134" s="442"/>
      <c r="Z134" s="442" t="s">
        <v>3845</v>
      </c>
      <c r="AA134" s="441"/>
      <c r="AB134" s="441"/>
      <c r="AC134" s="441" t="s">
        <v>3846</v>
      </c>
      <c r="AD134" s="441" t="s">
        <v>3145</v>
      </c>
      <c r="AE134" s="441" t="s">
        <v>3292</v>
      </c>
      <c r="AF134" s="441" t="s">
        <v>3221</v>
      </c>
      <c r="AG134" s="441"/>
      <c r="AH134" s="441"/>
      <c r="AI134" s="441"/>
      <c r="AJ134" s="441"/>
      <c r="AK134" s="395">
        <v>2</v>
      </c>
      <c r="AL134" s="395" t="s">
        <v>76</v>
      </c>
      <c r="AM134" s="395"/>
      <c r="AN134" s="395">
        <v>2</v>
      </c>
      <c r="AO134" s="395">
        <v>2</v>
      </c>
      <c r="AP134" s="410"/>
      <c r="AQ134" s="410"/>
    </row>
    <row r="135" spans="2:43" ht="15" customHeight="1">
      <c r="B135" s="394">
        <v>1</v>
      </c>
      <c r="C135" s="395" t="s">
        <v>594</v>
      </c>
      <c r="D135" s="417" t="s">
        <v>3847</v>
      </c>
      <c r="E135" s="662" t="s">
        <v>3848</v>
      </c>
      <c r="F135" s="417"/>
      <c r="G135" s="384"/>
      <c r="H135" s="768"/>
      <c r="I135" s="384"/>
      <c r="J135" s="384" t="s">
        <v>4981</v>
      </c>
      <c r="K135" s="657"/>
      <c r="L135" s="658"/>
      <c r="M135" s="384"/>
      <c r="N135" s="384"/>
      <c r="O135" s="384"/>
      <c r="P135" s="384"/>
      <c r="Q135" s="384"/>
      <c r="R135" s="384"/>
      <c r="S135" s="660"/>
      <c r="T135" s="396"/>
      <c r="U135" s="384"/>
      <c r="V135" s="384"/>
      <c r="W135" s="384"/>
      <c r="X135" s="384"/>
      <c r="Y135" s="442"/>
      <c r="Z135" s="442" t="s">
        <v>3849</v>
      </c>
      <c r="AA135" s="441"/>
      <c r="AB135" s="441"/>
      <c r="AC135" s="441" t="s">
        <v>3850</v>
      </c>
      <c r="AD135" s="441" t="s">
        <v>3148</v>
      </c>
      <c r="AE135" s="441" t="s">
        <v>3297</v>
      </c>
      <c r="AF135" s="441" t="s">
        <v>3375</v>
      </c>
      <c r="AG135" s="441"/>
      <c r="AH135" s="441"/>
      <c r="AI135" s="441"/>
      <c r="AJ135" s="441"/>
      <c r="AK135" s="395">
        <v>2</v>
      </c>
      <c r="AL135" s="395" t="s">
        <v>76</v>
      </c>
      <c r="AM135" s="395"/>
      <c r="AN135" s="395">
        <v>2</v>
      </c>
      <c r="AO135" s="395">
        <v>2</v>
      </c>
      <c r="AP135" s="410"/>
      <c r="AQ135" s="410"/>
    </row>
    <row r="136" spans="2:43" ht="15" customHeight="1">
      <c r="B136" s="394">
        <v>1</v>
      </c>
      <c r="C136" s="395" t="s">
        <v>594</v>
      </c>
      <c r="D136" s="417" t="s">
        <v>3851</v>
      </c>
      <c r="E136" s="662" t="s">
        <v>3852</v>
      </c>
      <c r="F136" s="417"/>
      <c r="G136" s="384"/>
      <c r="H136" s="768"/>
      <c r="I136" s="384"/>
      <c r="J136" s="384" t="s">
        <v>4981</v>
      </c>
      <c r="K136" s="657"/>
      <c r="L136" s="658"/>
      <c r="M136" s="384"/>
      <c r="N136" s="384"/>
      <c r="O136" s="384"/>
      <c r="P136" s="384"/>
      <c r="Q136" s="384"/>
      <c r="R136" s="384"/>
      <c r="S136" s="660"/>
      <c r="T136" s="396"/>
      <c r="U136" s="384"/>
      <c r="V136" s="384"/>
      <c r="W136" s="384"/>
      <c r="X136" s="384"/>
      <c r="Y136" s="442"/>
      <c r="Z136" s="442" t="s">
        <v>3853</v>
      </c>
      <c r="AA136" s="441"/>
      <c r="AB136" s="441"/>
      <c r="AC136" s="441" t="s">
        <v>3854</v>
      </c>
      <c r="AD136" s="441" t="s">
        <v>3147</v>
      </c>
      <c r="AE136" s="441" t="s">
        <v>3296</v>
      </c>
      <c r="AF136" s="441" t="s">
        <v>3376</v>
      </c>
      <c r="AG136" s="441"/>
      <c r="AH136" s="441"/>
      <c r="AI136" s="441"/>
      <c r="AJ136" s="441"/>
      <c r="AK136" s="395">
        <v>2</v>
      </c>
      <c r="AL136" s="395" t="s">
        <v>76</v>
      </c>
      <c r="AM136" s="395"/>
      <c r="AN136" s="395">
        <v>2</v>
      </c>
      <c r="AO136" s="395">
        <v>2</v>
      </c>
      <c r="AP136" s="410"/>
      <c r="AQ136" s="410"/>
    </row>
    <row r="137" spans="2:43" ht="15" customHeight="1">
      <c r="B137" s="394">
        <v>1</v>
      </c>
      <c r="C137" s="395" t="s">
        <v>594</v>
      </c>
      <c r="D137" s="417" t="s">
        <v>3855</v>
      </c>
      <c r="E137" s="662" t="s">
        <v>3856</v>
      </c>
      <c r="F137" s="417"/>
      <c r="G137" s="384"/>
      <c r="H137" s="768"/>
      <c r="I137" s="384"/>
      <c r="J137" s="384" t="s">
        <v>4981</v>
      </c>
      <c r="K137" s="657"/>
      <c r="L137" s="658"/>
      <c r="M137" s="384"/>
      <c r="N137" s="384"/>
      <c r="O137" s="384"/>
      <c r="P137" s="384"/>
      <c r="Q137" s="384"/>
      <c r="R137" s="384"/>
      <c r="S137" s="660"/>
      <c r="T137" s="396"/>
      <c r="U137" s="384"/>
      <c r="V137" s="384"/>
      <c r="W137" s="384"/>
      <c r="X137" s="384"/>
      <c r="Y137" s="442"/>
      <c r="Z137" s="442" t="s">
        <v>3857</v>
      </c>
      <c r="AA137" s="441"/>
      <c r="AB137" s="441"/>
      <c r="AC137" s="441" t="s">
        <v>3858</v>
      </c>
      <c r="AD137" s="441" t="s">
        <v>3150</v>
      </c>
      <c r="AE137" s="441" t="s">
        <v>3370</v>
      </c>
      <c r="AF137" s="441" t="s">
        <v>3377</v>
      </c>
      <c r="AG137" s="441"/>
      <c r="AH137" s="441"/>
      <c r="AI137" s="441"/>
      <c r="AJ137" s="441"/>
      <c r="AK137" s="395">
        <v>2</v>
      </c>
      <c r="AL137" s="395" t="s">
        <v>76</v>
      </c>
      <c r="AM137" s="395"/>
      <c r="AN137" s="395">
        <v>2</v>
      </c>
      <c r="AO137" s="395">
        <v>2</v>
      </c>
      <c r="AP137" s="410"/>
      <c r="AQ137" s="410"/>
    </row>
    <row r="138" spans="2:43" ht="15" customHeight="1">
      <c r="B138" s="394">
        <v>1</v>
      </c>
      <c r="C138" s="395" t="s">
        <v>793</v>
      </c>
      <c r="D138" s="417" t="s">
        <v>3859</v>
      </c>
      <c r="E138" s="662" t="s">
        <v>3860</v>
      </c>
      <c r="F138" s="417"/>
      <c r="G138" s="384"/>
      <c r="H138" s="768"/>
      <c r="I138" s="384"/>
      <c r="J138" s="384" t="s">
        <v>4981</v>
      </c>
      <c r="K138" s="657"/>
      <c r="L138" s="658"/>
      <c r="M138" s="384"/>
      <c r="N138" s="384">
        <v>2</v>
      </c>
      <c r="O138" s="384"/>
      <c r="P138" s="384" t="s">
        <v>231</v>
      </c>
      <c r="Q138" s="384" t="s">
        <v>187</v>
      </c>
      <c r="R138" s="384"/>
      <c r="S138" s="660"/>
      <c r="T138" s="396"/>
      <c r="U138" s="384"/>
      <c r="V138" s="384"/>
      <c r="W138" s="384"/>
      <c r="X138" s="384"/>
      <c r="Y138" s="442"/>
      <c r="Z138" s="442"/>
      <c r="AA138" s="441"/>
      <c r="AB138" s="441"/>
      <c r="AC138" s="441"/>
      <c r="AD138" s="441"/>
      <c r="AE138" s="441" t="s">
        <v>3371</v>
      </c>
      <c r="AF138" s="441"/>
      <c r="AG138" s="441"/>
      <c r="AH138" s="441"/>
      <c r="AI138" s="441"/>
      <c r="AJ138" s="441"/>
      <c r="AK138" s="395"/>
      <c r="AL138" s="395"/>
      <c r="AM138" s="395"/>
      <c r="AN138" s="395"/>
      <c r="AO138" s="395"/>
      <c r="AP138" s="410"/>
      <c r="AQ138" s="410"/>
    </row>
    <row r="139" spans="2:43" ht="15" customHeight="1">
      <c r="B139" s="394">
        <v>1</v>
      </c>
      <c r="C139" s="395" t="s">
        <v>793</v>
      </c>
      <c r="D139" s="417" t="s">
        <v>3861</v>
      </c>
      <c r="E139" s="662" t="s">
        <v>3862</v>
      </c>
      <c r="F139" s="417"/>
      <c r="G139" s="384"/>
      <c r="H139" s="768"/>
      <c r="I139" s="384"/>
      <c r="J139" s="384" t="s">
        <v>4981</v>
      </c>
      <c r="K139" s="657"/>
      <c r="L139" s="658"/>
      <c r="M139" s="384"/>
      <c r="N139" s="384">
        <v>2</v>
      </c>
      <c r="O139" s="384"/>
      <c r="P139" s="384" t="s">
        <v>231</v>
      </c>
      <c r="Q139" s="384" t="s">
        <v>187</v>
      </c>
      <c r="R139" s="384"/>
      <c r="S139" s="660"/>
      <c r="T139" s="396"/>
      <c r="U139" s="384"/>
      <c r="V139" s="384"/>
      <c r="W139" s="384"/>
      <c r="X139" s="384"/>
      <c r="Y139" s="442"/>
      <c r="Z139" s="442"/>
      <c r="AA139" s="441"/>
      <c r="AB139" s="441"/>
      <c r="AC139" s="441"/>
      <c r="AD139" s="441"/>
      <c r="AE139" s="441" t="s">
        <v>3372</v>
      </c>
      <c r="AF139" s="441"/>
      <c r="AG139" s="441"/>
      <c r="AH139" s="441"/>
      <c r="AI139" s="441"/>
      <c r="AJ139" s="441"/>
      <c r="AK139" s="395"/>
      <c r="AL139" s="395"/>
      <c r="AM139" s="395"/>
      <c r="AN139" s="395"/>
      <c r="AO139" s="395"/>
      <c r="AP139" s="410"/>
      <c r="AQ139" s="410"/>
    </row>
    <row r="140" spans="2:43" ht="15" customHeight="1">
      <c r="B140" s="394">
        <v>1</v>
      </c>
      <c r="C140" s="395" t="s">
        <v>793</v>
      </c>
      <c r="D140" s="417" t="s">
        <v>3863</v>
      </c>
      <c r="E140" s="662" t="s">
        <v>3864</v>
      </c>
      <c r="F140" s="417"/>
      <c r="G140" s="384"/>
      <c r="H140" s="768"/>
      <c r="I140" s="384"/>
      <c r="J140" s="384" t="s">
        <v>4981</v>
      </c>
      <c r="K140" s="657"/>
      <c r="L140" s="658"/>
      <c r="M140" s="384"/>
      <c r="N140" s="384">
        <v>2</v>
      </c>
      <c r="O140" s="384"/>
      <c r="P140" s="384" t="s">
        <v>231</v>
      </c>
      <c r="Q140" s="384" t="s">
        <v>187</v>
      </c>
      <c r="R140" s="384"/>
      <c r="S140" s="660"/>
      <c r="T140" s="396"/>
      <c r="U140" s="384"/>
      <c r="V140" s="384"/>
      <c r="W140" s="384"/>
      <c r="X140" s="384"/>
      <c r="Y140" s="442"/>
      <c r="Z140" s="442"/>
      <c r="AA140" s="441"/>
      <c r="AB140" s="441"/>
      <c r="AC140" s="441"/>
      <c r="AD140" s="441"/>
      <c r="AE140" s="441" t="s">
        <v>3373</v>
      </c>
      <c r="AF140" s="441"/>
      <c r="AG140" s="441"/>
      <c r="AH140" s="441"/>
      <c r="AI140" s="441"/>
      <c r="AJ140" s="441"/>
      <c r="AK140" s="395"/>
      <c r="AL140" s="395"/>
      <c r="AM140" s="395"/>
      <c r="AN140" s="395"/>
      <c r="AO140" s="395"/>
      <c r="AP140" s="410"/>
      <c r="AQ140" s="410"/>
    </row>
    <row r="141" spans="2:43" ht="15" customHeight="1">
      <c r="B141" s="394">
        <v>1</v>
      </c>
      <c r="C141" s="395" t="s">
        <v>793</v>
      </c>
      <c r="D141" s="417" t="s">
        <v>3865</v>
      </c>
      <c r="E141" s="662" t="s">
        <v>3866</v>
      </c>
      <c r="F141" s="417"/>
      <c r="G141" s="384"/>
      <c r="H141" s="768"/>
      <c r="I141" s="384"/>
      <c r="J141" s="384" t="s">
        <v>4981</v>
      </c>
      <c r="K141" s="657"/>
      <c r="L141" s="658"/>
      <c r="M141" s="384"/>
      <c r="N141" s="384">
        <v>2</v>
      </c>
      <c r="O141" s="384"/>
      <c r="P141" s="384" t="s">
        <v>231</v>
      </c>
      <c r="Q141" s="384" t="s">
        <v>187</v>
      </c>
      <c r="R141" s="384"/>
      <c r="S141" s="660"/>
      <c r="T141" s="396"/>
      <c r="U141" s="384"/>
      <c r="V141" s="384"/>
      <c r="W141" s="384"/>
      <c r="X141" s="384"/>
      <c r="Y141" s="442"/>
      <c r="Z141" s="442"/>
      <c r="AA141" s="441"/>
      <c r="AB141" s="441"/>
      <c r="AC141" s="441"/>
      <c r="AD141" s="441"/>
      <c r="AE141" s="441" t="s">
        <v>3374</v>
      </c>
      <c r="AF141" s="441"/>
      <c r="AG141" s="441"/>
      <c r="AH141" s="441"/>
      <c r="AI141" s="441"/>
      <c r="AJ141" s="441"/>
      <c r="AK141" s="395"/>
      <c r="AL141" s="395"/>
      <c r="AM141" s="395"/>
      <c r="AN141" s="395"/>
      <c r="AO141" s="395"/>
      <c r="AP141" s="410"/>
      <c r="AQ141" s="410"/>
    </row>
    <row r="142" spans="2:43" ht="15" customHeight="1">
      <c r="B142" s="394">
        <v>1</v>
      </c>
      <c r="C142" s="395" t="s">
        <v>793</v>
      </c>
      <c r="D142" s="417" t="s">
        <v>3867</v>
      </c>
      <c r="E142" s="662" t="s">
        <v>3868</v>
      </c>
      <c r="F142" s="417"/>
      <c r="G142" s="384"/>
      <c r="H142" s="768"/>
      <c r="I142" s="384"/>
      <c r="J142" s="384" t="s">
        <v>4981</v>
      </c>
      <c r="K142" s="657"/>
      <c r="L142" s="658"/>
      <c r="M142" s="384"/>
      <c r="N142" s="384">
        <v>2</v>
      </c>
      <c r="O142" s="384"/>
      <c r="P142" s="384" t="s">
        <v>231</v>
      </c>
      <c r="Q142" s="384" t="s">
        <v>187</v>
      </c>
      <c r="R142" s="384"/>
      <c r="S142" s="660"/>
      <c r="T142" s="396"/>
      <c r="U142" s="384"/>
      <c r="V142" s="384"/>
      <c r="W142" s="384"/>
      <c r="X142" s="384"/>
      <c r="Y142" s="442"/>
      <c r="Z142" s="442"/>
      <c r="AA142" s="441"/>
      <c r="AB142" s="441"/>
      <c r="AC142" s="441"/>
      <c r="AD142" s="441"/>
      <c r="AE142" s="441" t="s">
        <v>3351</v>
      </c>
      <c r="AF142" s="441"/>
      <c r="AG142" s="441"/>
      <c r="AH142" s="441"/>
      <c r="AI142" s="441"/>
      <c r="AJ142" s="441"/>
      <c r="AK142" s="395"/>
      <c r="AL142" s="395"/>
      <c r="AM142" s="395"/>
      <c r="AN142" s="395"/>
      <c r="AO142" s="395"/>
      <c r="AP142" s="410"/>
      <c r="AQ142" s="410"/>
    </row>
    <row r="143" spans="2:43" ht="15" customHeight="1">
      <c r="B143" s="394">
        <v>1</v>
      </c>
      <c r="C143" s="395" t="s">
        <v>793</v>
      </c>
      <c r="D143" s="417" t="s">
        <v>3869</v>
      </c>
      <c r="E143" s="662" t="s">
        <v>3870</v>
      </c>
      <c r="F143" s="417"/>
      <c r="G143" s="384"/>
      <c r="H143" s="768"/>
      <c r="I143" s="384"/>
      <c r="J143" s="384" t="s">
        <v>4981</v>
      </c>
      <c r="K143" s="657"/>
      <c r="L143" s="658"/>
      <c r="M143" s="384"/>
      <c r="N143" s="384">
        <v>2</v>
      </c>
      <c r="O143" s="384"/>
      <c r="P143" s="384" t="s">
        <v>231</v>
      </c>
      <c r="Q143" s="384" t="s">
        <v>187</v>
      </c>
      <c r="R143" s="384"/>
      <c r="S143" s="660"/>
      <c r="T143" s="396"/>
      <c r="U143" s="384"/>
      <c r="V143" s="384"/>
      <c r="W143" s="384"/>
      <c r="X143" s="384"/>
      <c r="Y143" s="442"/>
      <c r="Z143" s="442"/>
      <c r="AA143" s="441"/>
      <c r="AB143" s="441"/>
      <c r="AC143" s="441"/>
      <c r="AD143" s="441"/>
      <c r="AE143" s="441" t="s">
        <v>3411</v>
      </c>
      <c r="AF143" s="441"/>
      <c r="AG143" s="441"/>
      <c r="AH143" s="441"/>
      <c r="AI143" s="441"/>
      <c r="AJ143" s="441"/>
      <c r="AK143" s="395"/>
      <c r="AL143" s="395"/>
      <c r="AM143" s="395"/>
      <c r="AN143" s="395"/>
      <c r="AO143" s="395"/>
      <c r="AP143" s="410"/>
      <c r="AQ143" s="410"/>
    </row>
    <row r="144" spans="2:43" ht="15" customHeight="1">
      <c r="B144" s="394">
        <v>1</v>
      </c>
      <c r="C144" s="395" t="s">
        <v>793</v>
      </c>
      <c r="D144" s="417" t="s">
        <v>3871</v>
      </c>
      <c r="E144" s="662" t="s">
        <v>3872</v>
      </c>
      <c r="F144" s="417"/>
      <c r="G144" s="384"/>
      <c r="H144" s="768"/>
      <c r="I144" s="384"/>
      <c r="J144" s="384" t="s">
        <v>4981</v>
      </c>
      <c r="K144" s="657"/>
      <c r="L144" s="658"/>
      <c r="M144" s="384"/>
      <c r="N144" s="384">
        <v>2</v>
      </c>
      <c r="O144" s="384"/>
      <c r="P144" s="384" t="s">
        <v>231</v>
      </c>
      <c r="Q144" s="384" t="s">
        <v>187</v>
      </c>
      <c r="R144" s="384"/>
      <c r="S144" s="660"/>
      <c r="T144" s="396"/>
      <c r="U144" s="384"/>
      <c r="V144" s="384"/>
      <c r="W144" s="384"/>
      <c r="X144" s="384"/>
      <c r="Y144" s="442"/>
      <c r="Z144" s="442"/>
      <c r="AA144" s="441"/>
      <c r="AB144" s="441"/>
      <c r="AC144" s="441"/>
      <c r="AD144" s="441"/>
      <c r="AE144" s="441" t="s">
        <v>3412</v>
      </c>
      <c r="AF144" s="441"/>
      <c r="AG144" s="441"/>
      <c r="AH144" s="441"/>
      <c r="AI144" s="441"/>
      <c r="AJ144" s="441"/>
      <c r="AK144" s="395"/>
      <c r="AL144" s="395"/>
      <c r="AM144" s="395"/>
      <c r="AN144" s="395"/>
      <c r="AO144" s="395"/>
      <c r="AP144" s="410"/>
      <c r="AQ144" s="410"/>
    </row>
    <row r="145" spans="2:43" ht="15" customHeight="1">
      <c r="B145" s="394">
        <v>1</v>
      </c>
      <c r="C145" s="395" t="s">
        <v>793</v>
      </c>
      <c r="D145" s="417" t="s">
        <v>3873</v>
      </c>
      <c r="E145" s="662" t="s">
        <v>3874</v>
      </c>
      <c r="F145" s="417"/>
      <c r="G145" s="384"/>
      <c r="H145" s="768"/>
      <c r="I145" s="384"/>
      <c r="J145" s="384" t="s">
        <v>4981</v>
      </c>
      <c r="K145" s="657"/>
      <c r="L145" s="658"/>
      <c r="M145" s="384"/>
      <c r="N145" s="384">
        <v>2</v>
      </c>
      <c r="O145" s="384"/>
      <c r="P145" s="384" t="s">
        <v>231</v>
      </c>
      <c r="Q145" s="384" t="s">
        <v>187</v>
      </c>
      <c r="R145" s="384"/>
      <c r="S145" s="660"/>
      <c r="T145" s="396"/>
      <c r="U145" s="384"/>
      <c r="V145" s="384"/>
      <c r="W145" s="384"/>
      <c r="X145" s="384"/>
      <c r="Y145" s="442"/>
      <c r="Z145" s="442"/>
      <c r="AA145" s="441"/>
      <c r="AB145" s="441"/>
      <c r="AC145" s="441"/>
      <c r="AD145" s="441"/>
      <c r="AE145" s="441" t="s">
        <v>3409</v>
      </c>
      <c r="AF145" s="441"/>
      <c r="AG145" s="441"/>
      <c r="AH145" s="441"/>
      <c r="AI145" s="441"/>
      <c r="AJ145" s="441"/>
      <c r="AK145" s="395"/>
      <c r="AL145" s="395"/>
      <c r="AM145" s="395"/>
      <c r="AN145" s="395"/>
      <c r="AO145" s="395"/>
      <c r="AP145" s="410"/>
      <c r="AQ145" s="410"/>
    </row>
    <row r="146" spans="2:43" ht="15" customHeight="1">
      <c r="B146" s="394">
        <v>1</v>
      </c>
      <c r="C146" s="395" t="s">
        <v>793</v>
      </c>
      <c r="D146" s="417" t="s">
        <v>3875</v>
      </c>
      <c r="E146" s="662" t="s">
        <v>3876</v>
      </c>
      <c r="F146" s="417"/>
      <c r="G146" s="384"/>
      <c r="H146" s="768"/>
      <c r="I146" s="384"/>
      <c r="J146" s="384" t="s">
        <v>4981</v>
      </c>
      <c r="K146" s="657"/>
      <c r="L146" s="658"/>
      <c r="M146" s="384"/>
      <c r="N146" s="384">
        <v>2</v>
      </c>
      <c r="O146" s="384"/>
      <c r="P146" s="384" t="s">
        <v>231</v>
      </c>
      <c r="Q146" s="384" t="s">
        <v>187</v>
      </c>
      <c r="R146" s="384"/>
      <c r="S146" s="660"/>
      <c r="T146" s="396"/>
      <c r="U146" s="384"/>
      <c r="V146" s="384"/>
      <c r="W146" s="384"/>
      <c r="X146" s="384"/>
      <c r="Y146" s="442"/>
      <c r="Z146" s="442"/>
      <c r="AA146" s="441"/>
      <c r="AB146" s="441"/>
      <c r="AC146" s="441"/>
      <c r="AD146" s="441"/>
      <c r="AE146" s="441" t="s">
        <v>3410</v>
      </c>
      <c r="AF146" s="441"/>
      <c r="AG146" s="441"/>
      <c r="AH146" s="441"/>
      <c r="AI146" s="441"/>
      <c r="AJ146" s="441"/>
      <c r="AK146" s="395"/>
      <c r="AL146" s="395"/>
      <c r="AM146" s="395"/>
      <c r="AN146" s="395"/>
      <c r="AO146" s="395"/>
      <c r="AP146" s="410"/>
      <c r="AQ146" s="410"/>
    </row>
    <row r="147" spans="2:43" ht="15" customHeight="1">
      <c r="B147" s="394">
        <v>1</v>
      </c>
      <c r="C147" s="395" t="s">
        <v>793</v>
      </c>
      <c r="D147" s="417" t="s">
        <v>3877</v>
      </c>
      <c r="E147" s="662" t="s">
        <v>3878</v>
      </c>
      <c r="F147" s="417"/>
      <c r="G147" s="384"/>
      <c r="H147" s="768"/>
      <c r="I147" s="384"/>
      <c r="J147" s="384" t="s">
        <v>4981</v>
      </c>
      <c r="K147" s="657"/>
      <c r="L147" s="658"/>
      <c r="M147" s="384"/>
      <c r="N147" s="384">
        <v>2</v>
      </c>
      <c r="O147" s="384"/>
      <c r="P147" s="384" t="s">
        <v>231</v>
      </c>
      <c r="Q147" s="384" t="s">
        <v>187</v>
      </c>
      <c r="R147" s="384"/>
      <c r="S147" s="660"/>
      <c r="T147" s="396"/>
      <c r="U147" s="384"/>
      <c r="V147" s="384"/>
      <c r="W147" s="384"/>
      <c r="X147" s="384"/>
      <c r="Y147" s="442"/>
      <c r="Z147" s="442"/>
      <c r="AA147" s="441"/>
      <c r="AB147" s="441"/>
      <c r="AC147" s="441"/>
      <c r="AD147" s="441"/>
      <c r="AE147" s="441" t="s">
        <v>3426</v>
      </c>
      <c r="AF147" s="441"/>
      <c r="AG147" s="441"/>
      <c r="AH147" s="441"/>
      <c r="AI147" s="441"/>
      <c r="AJ147" s="441"/>
      <c r="AK147" s="395"/>
      <c r="AL147" s="395"/>
      <c r="AM147" s="395"/>
      <c r="AN147" s="395"/>
      <c r="AO147" s="395"/>
      <c r="AP147" s="410"/>
      <c r="AQ147" s="410"/>
    </row>
    <row r="148" spans="2:43" ht="15" customHeight="1">
      <c r="B148" s="394">
        <v>1</v>
      </c>
      <c r="C148" s="395" t="s">
        <v>793</v>
      </c>
      <c r="D148" s="417" t="s">
        <v>3879</v>
      </c>
      <c r="E148" s="662" t="s">
        <v>3880</v>
      </c>
      <c r="F148" s="417"/>
      <c r="G148" s="384"/>
      <c r="H148" s="768"/>
      <c r="I148" s="384"/>
      <c r="J148" s="384" t="s">
        <v>4981</v>
      </c>
      <c r="K148" s="657"/>
      <c r="L148" s="658"/>
      <c r="M148" s="384"/>
      <c r="N148" s="384">
        <v>2</v>
      </c>
      <c r="O148" s="384"/>
      <c r="P148" s="384" t="s">
        <v>231</v>
      </c>
      <c r="Q148" s="384" t="s">
        <v>187</v>
      </c>
      <c r="R148" s="384"/>
      <c r="S148" s="660"/>
      <c r="T148" s="396"/>
      <c r="U148" s="384"/>
      <c r="V148" s="384"/>
      <c r="W148" s="384"/>
      <c r="X148" s="384"/>
      <c r="Y148" s="442"/>
      <c r="Z148" s="442"/>
      <c r="AA148" s="441"/>
      <c r="AB148" s="441"/>
      <c r="AC148" s="441"/>
      <c r="AD148" s="441"/>
      <c r="AE148" s="441" t="s">
        <v>3881</v>
      </c>
      <c r="AF148" s="441"/>
      <c r="AG148" s="441"/>
      <c r="AH148" s="441"/>
      <c r="AI148" s="441"/>
      <c r="AJ148" s="441"/>
      <c r="AK148" s="395"/>
      <c r="AL148" s="395"/>
      <c r="AM148" s="395"/>
      <c r="AN148" s="395"/>
      <c r="AO148" s="395"/>
      <c r="AP148" s="410"/>
      <c r="AQ148" s="410"/>
    </row>
    <row r="149" spans="2:43" ht="15" customHeight="1">
      <c r="B149" s="394">
        <v>1</v>
      </c>
      <c r="C149" s="395" t="s">
        <v>793</v>
      </c>
      <c r="D149" s="417" t="s">
        <v>3882</v>
      </c>
      <c r="E149" s="662" t="s">
        <v>3883</v>
      </c>
      <c r="F149" s="417"/>
      <c r="G149" s="384"/>
      <c r="H149" s="768"/>
      <c r="I149" s="384"/>
      <c r="J149" s="384" t="s">
        <v>4981</v>
      </c>
      <c r="K149" s="657"/>
      <c r="L149" s="658"/>
      <c r="M149" s="384"/>
      <c r="N149" s="384">
        <v>2</v>
      </c>
      <c r="O149" s="384"/>
      <c r="P149" s="384" t="s">
        <v>231</v>
      </c>
      <c r="Q149" s="384" t="s">
        <v>187</v>
      </c>
      <c r="R149" s="384"/>
      <c r="S149" s="660"/>
      <c r="T149" s="396"/>
      <c r="U149" s="384"/>
      <c r="V149" s="384"/>
      <c r="W149" s="384"/>
      <c r="X149" s="384"/>
      <c r="Y149" s="442"/>
      <c r="Z149" s="442"/>
      <c r="AA149" s="441"/>
      <c r="AB149" s="441"/>
      <c r="AC149" s="441"/>
      <c r="AD149" s="441"/>
      <c r="AE149" s="441" t="s">
        <v>3884</v>
      </c>
      <c r="AF149" s="441"/>
      <c r="AG149" s="441"/>
      <c r="AH149" s="441"/>
      <c r="AI149" s="441"/>
      <c r="AJ149" s="441"/>
      <c r="AK149" s="395"/>
      <c r="AL149" s="395"/>
      <c r="AM149" s="395"/>
      <c r="AN149" s="395"/>
      <c r="AO149" s="395"/>
      <c r="AP149" s="410"/>
      <c r="AQ149" s="410"/>
    </row>
    <row r="150" spans="2:43" ht="15" customHeight="1">
      <c r="B150" s="394">
        <v>1</v>
      </c>
      <c r="C150" s="395" t="s">
        <v>793</v>
      </c>
      <c r="D150" s="417" t="s">
        <v>3885</v>
      </c>
      <c r="E150" s="662" t="s">
        <v>3886</v>
      </c>
      <c r="F150" s="417"/>
      <c r="G150" s="384"/>
      <c r="H150" s="768"/>
      <c r="I150" s="384"/>
      <c r="J150" s="384" t="s">
        <v>4981</v>
      </c>
      <c r="K150" s="657"/>
      <c r="L150" s="658"/>
      <c r="M150" s="384"/>
      <c r="N150" s="384">
        <v>2</v>
      </c>
      <c r="O150" s="384"/>
      <c r="P150" s="384" t="s">
        <v>231</v>
      </c>
      <c r="Q150" s="384" t="s">
        <v>187</v>
      </c>
      <c r="R150" s="384"/>
      <c r="S150" s="660"/>
      <c r="T150" s="396"/>
      <c r="U150" s="384"/>
      <c r="V150" s="384"/>
      <c r="W150" s="384"/>
      <c r="X150" s="384"/>
      <c r="Y150" s="442"/>
      <c r="Z150" s="442"/>
      <c r="AA150" s="441"/>
      <c r="AB150" s="441"/>
      <c r="AC150" s="441"/>
      <c r="AD150" s="441"/>
      <c r="AE150" s="441" t="s">
        <v>3887</v>
      </c>
      <c r="AF150" s="441"/>
      <c r="AG150" s="441"/>
      <c r="AH150" s="441"/>
      <c r="AI150" s="441"/>
      <c r="AJ150" s="441"/>
      <c r="AK150" s="395"/>
      <c r="AL150" s="395"/>
      <c r="AM150" s="395"/>
      <c r="AN150" s="395"/>
      <c r="AO150" s="395"/>
      <c r="AP150" s="410"/>
      <c r="AQ150" s="410"/>
    </row>
    <row r="151" spans="2:43" ht="15" customHeight="1">
      <c r="B151" s="394">
        <v>1</v>
      </c>
      <c r="C151" s="395" t="s">
        <v>793</v>
      </c>
      <c r="D151" s="417" t="s">
        <v>3888</v>
      </c>
      <c r="E151" s="662" t="s">
        <v>3889</v>
      </c>
      <c r="F151" s="417"/>
      <c r="G151" s="384"/>
      <c r="H151" s="768"/>
      <c r="I151" s="384"/>
      <c r="J151" s="384" t="s">
        <v>4981</v>
      </c>
      <c r="K151" s="657"/>
      <c r="L151" s="658"/>
      <c r="M151" s="384"/>
      <c r="N151" s="384">
        <v>2</v>
      </c>
      <c r="O151" s="384"/>
      <c r="P151" s="384" t="s">
        <v>231</v>
      </c>
      <c r="Q151" s="384" t="s">
        <v>187</v>
      </c>
      <c r="R151" s="384"/>
      <c r="S151" s="660"/>
      <c r="T151" s="396"/>
      <c r="U151" s="384"/>
      <c r="V151" s="384"/>
      <c r="W151" s="384"/>
      <c r="X151" s="384"/>
      <c r="Y151" s="442"/>
      <c r="Z151" s="442"/>
      <c r="AA151" s="441"/>
      <c r="AB151" s="441"/>
      <c r="AC151" s="441"/>
      <c r="AD151" s="441"/>
      <c r="AE151" s="441" t="s">
        <v>3890</v>
      </c>
      <c r="AF151" s="441"/>
      <c r="AG151" s="441"/>
      <c r="AH151" s="441"/>
      <c r="AI151" s="441"/>
      <c r="AJ151" s="441"/>
      <c r="AK151" s="395"/>
      <c r="AL151" s="395"/>
      <c r="AM151" s="395"/>
      <c r="AN151" s="395"/>
      <c r="AO151" s="395"/>
      <c r="AP151" s="410"/>
      <c r="AQ151" s="410"/>
    </row>
    <row r="152" spans="2:43" ht="15" customHeight="1">
      <c r="B152" s="394">
        <v>1</v>
      </c>
      <c r="C152" s="395" t="s">
        <v>793</v>
      </c>
      <c r="D152" s="417" t="s">
        <v>3891</v>
      </c>
      <c r="E152" s="662" t="s">
        <v>3892</v>
      </c>
      <c r="F152" s="417"/>
      <c r="G152" s="384"/>
      <c r="H152" s="768"/>
      <c r="I152" s="384"/>
      <c r="J152" s="384" t="s">
        <v>4981</v>
      </c>
      <c r="K152" s="657"/>
      <c r="L152" s="658"/>
      <c r="M152" s="384"/>
      <c r="N152" s="384">
        <v>2</v>
      </c>
      <c r="O152" s="384"/>
      <c r="P152" s="384" t="s">
        <v>231</v>
      </c>
      <c r="Q152" s="384" t="s">
        <v>187</v>
      </c>
      <c r="R152" s="384"/>
      <c r="S152" s="660"/>
      <c r="T152" s="396"/>
      <c r="U152" s="384"/>
      <c r="V152" s="384"/>
      <c r="W152" s="384"/>
      <c r="X152" s="384"/>
      <c r="Y152" s="442"/>
      <c r="Z152" s="442"/>
      <c r="AA152" s="441"/>
      <c r="AB152" s="441"/>
      <c r="AC152" s="441"/>
      <c r="AD152" s="441"/>
      <c r="AE152" s="441" t="s">
        <v>3893</v>
      </c>
      <c r="AF152" s="441"/>
      <c r="AG152" s="441"/>
      <c r="AH152" s="441"/>
      <c r="AI152" s="441"/>
      <c r="AJ152" s="441"/>
      <c r="AK152" s="395"/>
      <c r="AL152" s="395"/>
      <c r="AM152" s="395"/>
      <c r="AN152" s="395"/>
      <c r="AO152" s="395"/>
      <c r="AP152" s="410"/>
      <c r="AQ152" s="410"/>
    </row>
    <row r="153" spans="2:43" ht="15" customHeight="1">
      <c r="B153" s="394">
        <v>1</v>
      </c>
      <c r="C153" s="395" t="s">
        <v>793</v>
      </c>
      <c r="D153" s="417" t="s">
        <v>3894</v>
      </c>
      <c r="E153" s="662" t="s">
        <v>3895</v>
      </c>
      <c r="F153" s="417"/>
      <c r="G153" s="384"/>
      <c r="H153" s="768"/>
      <c r="I153" s="384"/>
      <c r="J153" s="384" t="s">
        <v>4981</v>
      </c>
      <c r="K153" s="657"/>
      <c r="L153" s="658"/>
      <c r="M153" s="384"/>
      <c r="N153" s="384">
        <v>2</v>
      </c>
      <c r="O153" s="384"/>
      <c r="P153" s="384" t="s">
        <v>231</v>
      </c>
      <c r="Q153" s="384" t="s">
        <v>187</v>
      </c>
      <c r="R153" s="384"/>
      <c r="S153" s="660"/>
      <c r="T153" s="396"/>
      <c r="U153" s="384"/>
      <c r="V153" s="384"/>
      <c r="W153" s="384"/>
      <c r="X153" s="384"/>
      <c r="Y153" s="442"/>
      <c r="Z153" s="442"/>
      <c r="AA153" s="441"/>
      <c r="AB153" s="441"/>
      <c r="AC153" s="441"/>
      <c r="AD153" s="441"/>
      <c r="AE153" s="441" t="s">
        <v>3896</v>
      </c>
      <c r="AF153" s="441"/>
      <c r="AG153" s="441"/>
      <c r="AH153" s="441"/>
      <c r="AI153" s="441"/>
      <c r="AJ153" s="441"/>
      <c r="AK153" s="395"/>
      <c r="AL153" s="395"/>
      <c r="AM153" s="395"/>
      <c r="AN153" s="395"/>
      <c r="AO153" s="395"/>
      <c r="AP153" s="410"/>
      <c r="AQ153" s="410"/>
    </row>
    <row r="154" spans="2:43" ht="15" customHeight="1">
      <c r="B154" s="394">
        <v>1</v>
      </c>
      <c r="C154" s="395" t="s">
        <v>793</v>
      </c>
      <c r="D154" s="417" t="s">
        <v>3897</v>
      </c>
      <c r="E154" s="662" t="s">
        <v>3898</v>
      </c>
      <c r="F154" s="417"/>
      <c r="G154" s="384"/>
      <c r="H154" s="768"/>
      <c r="I154" s="384"/>
      <c r="J154" s="384" t="s">
        <v>4981</v>
      </c>
      <c r="K154" s="657"/>
      <c r="L154" s="658"/>
      <c r="M154" s="384"/>
      <c r="N154" s="384">
        <v>2</v>
      </c>
      <c r="O154" s="384"/>
      <c r="P154" s="384" t="s">
        <v>231</v>
      </c>
      <c r="Q154" s="384" t="s">
        <v>187</v>
      </c>
      <c r="R154" s="384"/>
      <c r="S154" s="660"/>
      <c r="T154" s="396"/>
      <c r="U154" s="384"/>
      <c r="V154" s="384"/>
      <c r="W154" s="384"/>
      <c r="X154" s="384"/>
      <c r="Y154" s="442"/>
      <c r="Z154" s="442"/>
      <c r="AA154" s="441"/>
      <c r="AB154" s="441"/>
      <c r="AC154" s="441"/>
      <c r="AD154" s="441"/>
      <c r="AE154" s="441" t="s">
        <v>3899</v>
      </c>
      <c r="AF154" s="441"/>
      <c r="AG154" s="441"/>
      <c r="AH154" s="441"/>
      <c r="AI154" s="441"/>
      <c r="AJ154" s="441"/>
      <c r="AK154" s="395"/>
      <c r="AL154" s="395"/>
      <c r="AM154" s="395"/>
      <c r="AN154" s="395"/>
      <c r="AO154" s="395"/>
      <c r="AP154" s="410"/>
      <c r="AQ154" s="410"/>
    </row>
    <row r="155" spans="2:43" ht="15" customHeight="1">
      <c r="B155" s="394">
        <v>1</v>
      </c>
      <c r="C155" s="395" t="s">
        <v>793</v>
      </c>
      <c r="D155" s="417" t="s">
        <v>3900</v>
      </c>
      <c r="E155" s="662" t="s">
        <v>3901</v>
      </c>
      <c r="F155" s="417"/>
      <c r="G155" s="384"/>
      <c r="H155" s="768"/>
      <c r="I155" s="384"/>
      <c r="J155" s="384" t="s">
        <v>4981</v>
      </c>
      <c r="K155" s="657"/>
      <c r="L155" s="658"/>
      <c r="M155" s="384"/>
      <c r="N155" s="384">
        <v>2</v>
      </c>
      <c r="O155" s="384"/>
      <c r="P155" s="384" t="s">
        <v>231</v>
      </c>
      <c r="Q155" s="384" t="s">
        <v>187</v>
      </c>
      <c r="R155" s="384"/>
      <c r="S155" s="660"/>
      <c r="T155" s="396"/>
      <c r="U155" s="384"/>
      <c r="V155" s="384"/>
      <c r="W155" s="384"/>
      <c r="X155" s="384"/>
      <c r="Y155" s="442"/>
      <c r="Z155" s="442"/>
      <c r="AA155" s="441"/>
      <c r="AB155" s="441"/>
      <c r="AC155" s="441"/>
      <c r="AD155" s="441"/>
      <c r="AE155" s="441" t="s">
        <v>3902</v>
      </c>
      <c r="AF155" s="441"/>
      <c r="AG155" s="441"/>
      <c r="AH155" s="441"/>
      <c r="AI155" s="441"/>
      <c r="AJ155" s="441"/>
      <c r="AK155" s="395"/>
      <c r="AL155" s="395"/>
      <c r="AM155" s="395"/>
      <c r="AN155" s="395"/>
      <c r="AO155" s="395"/>
      <c r="AP155" s="410"/>
      <c r="AQ155" s="410"/>
    </row>
    <row r="156" spans="2:43" ht="15" customHeight="1">
      <c r="B156" s="394">
        <v>1</v>
      </c>
      <c r="C156" s="395" t="s">
        <v>793</v>
      </c>
      <c r="D156" s="417" t="s">
        <v>3903</v>
      </c>
      <c r="E156" s="662" t="s">
        <v>3904</v>
      </c>
      <c r="F156" s="417"/>
      <c r="G156" s="384"/>
      <c r="H156" s="768"/>
      <c r="I156" s="384"/>
      <c r="J156" s="384" t="s">
        <v>4981</v>
      </c>
      <c r="K156" s="657"/>
      <c r="L156" s="658"/>
      <c r="M156" s="384"/>
      <c r="N156" s="384">
        <v>2</v>
      </c>
      <c r="O156" s="384"/>
      <c r="P156" s="384" t="s">
        <v>231</v>
      </c>
      <c r="Q156" s="384" t="s">
        <v>187</v>
      </c>
      <c r="R156" s="384"/>
      <c r="S156" s="660"/>
      <c r="T156" s="396"/>
      <c r="U156" s="384"/>
      <c r="V156" s="384"/>
      <c r="W156" s="384"/>
      <c r="X156" s="384"/>
      <c r="Y156" s="442"/>
      <c r="Z156" s="442"/>
      <c r="AA156" s="441"/>
      <c r="AB156" s="441"/>
      <c r="AC156" s="441"/>
      <c r="AD156" s="441"/>
      <c r="AE156" s="441" t="s">
        <v>3905</v>
      </c>
      <c r="AF156" s="441"/>
      <c r="AG156" s="441"/>
      <c r="AH156" s="441"/>
      <c r="AI156" s="441"/>
      <c r="AJ156" s="441"/>
      <c r="AK156" s="395"/>
      <c r="AL156" s="395"/>
      <c r="AM156" s="395"/>
      <c r="AN156" s="395"/>
      <c r="AO156" s="395"/>
      <c r="AP156" s="410"/>
      <c r="AQ156" s="410"/>
    </row>
    <row r="157" spans="2:43" ht="15" customHeight="1">
      <c r="B157" s="394">
        <v>1</v>
      </c>
      <c r="C157" s="395" t="s">
        <v>793</v>
      </c>
      <c r="D157" s="417" t="s">
        <v>3906</v>
      </c>
      <c r="E157" s="662" t="s">
        <v>3907</v>
      </c>
      <c r="F157" s="417"/>
      <c r="G157" s="384"/>
      <c r="H157" s="768"/>
      <c r="I157" s="384"/>
      <c r="J157" s="384" t="s">
        <v>4981</v>
      </c>
      <c r="K157" s="657"/>
      <c r="L157" s="658"/>
      <c r="M157" s="384"/>
      <c r="N157" s="384">
        <v>2</v>
      </c>
      <c r="O157" s="384"/>
      <c r="P157" s="384" t="s">
        <v>231</v>
      </c>
      <c r="Q157" s="384" t="s">
        <v>187</v>
      </c>
      <c r="R157" s="384"/>
      <c r="S157" s="660"/>
      <c r="T157" s="396"/>
      <c r="U157" s="384"/>
      <c r="V157" s="384"/>
      <c r="W157" s="384"/>
      <c r="X157" s="384"/>
      <c r="Y157" s="442"/>
      <c r="Z157" s="442"/>
      <c r="AA157" s="441"/>
      <c r="AB157" s="441"/>
      <c r="AC157" s="441"/>
      <c r="AD157" s="441"/>
      <c r="AE157" s="441" t="s">
        <v>3908</v>
      </c>
      <c r="AF157" s="441"/>
      <c r="AG157" s="441"/>
      <c r="AH157" s="441"/>
      <c r="AI157" s="441"/>
      <c r="AJ157" s="441"/>
      <c r="AK157" s="395"/>
      <c r="AL157" s="395"/>
      <c r="AM157" s="395"/>
      <c r="AN157" s="395"/>
      <c r="AO157" s="395"/>
      <c r="AP157" s="410"/>
      <c r="AQ157" s="410"/>
    </row>
    <row r="158" spans="2:43" ht="15" customHeight="1">
      <c r="B158" s="394">
        <v>1</v>
      </c>
      <c r="C158" s="395" t="s">
        <v>793</v>
      </c>
      <c r="D158" s="417" t="s">
        <v>3909</v>
      </c>
      <c r="E158" s="662" t="s">
        <v>3910</v>
      </c>
      <c r="F158" s="417"/>
      <c r="G158" s="384"/>
      <c r="H158" s="768"/>
      <c r="I158" s="384"/>
      <c r="J158" s="384" t="s">
        <v>4981</v>
      </c>
      <c r="K158" s="657"/>
      <c r="L158" s="658"/>
      <c r="M158" s="384"/>
      <c r="N158" s="384">
        <v>2</v>
      </c>
      <c r="O158" s="384"/>
      <c r="P158" s="384" t="s">
        <v>231</v>
      </c>
      <c r="Q158" s="384" t="s">
        <v>187</v>
      </c>
      <c r="R158" s="384"/>
      <c r="S158" s="660"/>
      <c r="T158" s="396"/>
      <c r="U158" s="384"/>
      <c r="V158" s="384"/>
      <c r="W158" s="384"/>
      <c r="X158" s="384"/>
      <c r="Y158" s="442"/>
      <c r="Z158" s="442"/>
      <c r="AA158" s="441"/>
      <c r="AB158" s="441"/>
      <c r="AC158" s="441"/>
      <c r="AD158" s="441"/>
      <c r="AE158" s="441" t="s">
        <v>3911</v>
      </c>
      <c r="AF158" s="441"/>
      <c r="AG158" s="441"/>
      <c r="AH158" s="441"/>
      <c r="AI158" s="441"/>
      <c r="AJ158" s="441"/>
      <c r="AK158" s="395"/>
      <c r="AL158" s="395"/>
      <c r="AM158" s="395"/>
      <c r="AN158" s="395"/>
      <c r="AO158" s="395"/>
      <c r="AP158" s="410"/>
      <c r="AQ158" s="410"/>
    </row>
    <row r="159" spans="2:43" ht="15" customHeight="1">
      <c r="B159" s="394">
        <v>1</v>
      </c>
      <c r="C159" s="395" t="s">
        <v>793</v>
      </c>
      <c r="D159" s="417" t="s">
        <v>3312</v>
      </c>
      <c r="E159" s="662" t="s">
        <v>3912</v>
      </c>
      <c r="F159" s="417"/>
      <c r="G159" s="384"/>
      <c r="H159" s="768"/>
      <c r="I159" s="384"/>
      <c r="J159" s="384" t="s">
        <v>4981</v>
      </c>
      <c r="K159" s="657"/>
      <c r="L159" s="658"/>
      <c r="M159" s="384"/>
      <c r="N159" s="384">
        <v>2</v>
      </c>
      <c r="O159" s="384"/>
      <c r="P159" s="384" t="s">
        <v>231</v>
      </c>
      <c r="Q159" s="384" t="s">
        <v>187</v>
      </c>
      <c r="R159" s="384"/>
      <c r="S159" s="660"/>
      <c r="T159" s="396"/>
      <c r="U159" s="384"/>
      <c r="V159" s="384"/>
      <c r="W159" s="384"/>
      <c r="X159" s="384"/>
      <c r="Y159" s="442"/>
      <c r="Z159" s="442"/>
      <c r="AA159" s="441"/>
      <c r="AB159" s="441"/>
      <c r="AC159" s="441"/>
      <c r="AD159" s="441"/>
      <c r="AE159" s="441" t="s">
        <v>3913</v>
      </c>
      <c r="AF159" s="441"/>
      <c r="AG159" s="441"/>
      <c r="AH159" s="441"/>
      <c r="AI159" s="441"/>
      <c r="AJ159" s="441"/>
      <c r="AK159" s="395"/>
      <c r="AL159" s="395"/>
      <c r="AM159" s="395"/>
      <c r="AN159" s="395"/>
      <c r="AO159" s="395"/>
      <c r="AP159" s="410"/>
      <c r="AQ159" s="410"/>
    </row>
    <row r="160" spans="2:43" ht="15" customHeight="1">
      <c r="B160" s="394">
        <v>1</v>
      </c>
      <c r="C160" s="395" t="s">
        <v>793</v>
      </c>
      <c r="D160" s="417" t="s">
        <v>3314</v>
      </c>
      <c r="E160" s="662" t="s">
        <v>3914</v>
      </c>
      <c r="F160" s="417"/>
      <c r="G160" s="384"/>
      <c r="H160" s="768"/>
      <c r="I160" s="384"/>
      <c r="J160" s="384" t="s">
        <v>4981</v>
      </c>
      <c r="K160" s="657"/>
      <c r="L160" s="658"/>
      <c r="M160" s="384"/>
      <c r="N160" s="384">
        <v>2</v>
      </c>
      <c r="O160" s="384"/>
      <c r="P160" s="384" t="s">
        <v>231</v>
      </c>
      <c r="Q160" s="384" t="s">
        <v>187</v>
      </c>
      <c r="R160" s="384"/>
      <c r="S160" s="660"/>
      <c r="T160" s="396"/>
      <c r="U160" s="384"/>
      <c r="V160" s="384"/>
      <c r="W160" s="384"/>
      <c r="X160" s="384"/>
      <c r="Y160" s="442"/>
      <c r="Z160" s="442"/>
      <c r="AA160" s="441"/>
      <c r="AB160" s="441"/>
      <c r="AC160" s="441"/>
      <c r="AD160" s="441"/>
      <c r="AE160" s="441" t="s">
        <v>3915</v>
      </c>
      <c r="AF160" s="441"/>
      <c r="AG160" s="441"/>
      <c r="AH160" s="441"/>
      <c r="AI160" s="441"/>
      <c r="AJ160" s="441"/>
      <c r="AK160" s="395"/>
      <c r="AL160" s="395"/>
      <c r="AM160" s="395"/>
      <c r="AN160" s="395"/>
      <c r="AO160" s="395"/>
      <c r="AP160" s="410"/>
      <c r="AQ160" s="410"/>
    </row>
    <row r="161" spans="2:43" ht="15" customHeight="1">
      <c r="B161" s="394">
        <v>1</v>
      </c>
      <c r="C161" s="395" t="s">
        <v>793</v>
      </c>
      <c r="D161" s="417" t="s">
        <v>3916</v>
      </c>
      <c r="E161" s="662" t="s">
        <v>3917</v>
      </c>
      <c r="F161" s="417"/>
      <c r="G161" s="384"/>
      <c r="H161" s="768"/>
      <c r="I161" s="384"/>
      <c r="J161" s="384" t="s">
        <v>4981</v>
      </c>
      <c r="K161" s="657"/>
      <c r="L161" s="658"/>
      <c r="M161" s="384"/>
      <c r="N161" s="384">
        <v>2</v>
      </c>
      <c r="O161" s="384"/>
      <c r="P161" s="384" t="s">
        <v>231</v>
      </c>
      <c r="Q161" s="384" t="s">
        <v>187</v>
      </c>
      <c r="R161" s="384"/>
      <c r="S161" s="660"/>
      <c r="T161" s="396"/>
      <c r="U161" s="384"/>
      <c r="V161" s="384"/>
      <c r="W161" s="384"/>
      <c r="X161" s="384"/>
      <c r="Y161" s="442"/>
      <c r="Z161" s="442"/>
      <c r="AA161" s="441"/>
      <c r="AB161" s="441"/>
      <c r="AC161" s="441"/>
      <c r="AD161" s="441"/>
      <c r="AE161" s="441" t="s">
        <v>3918</v>
      </c>
      <c r="AF161" s="441"/>
      <c r="AG161" s="441"/>
      <c r="AH161" s="441"/>
      <c r="AI161" s="441"/>
      <c r="AJ161" s="441"/>
      <c r="AK161" s="395"/>
      <c r="AL161" s="395"/>
      <c r="AM161" s="395"/>
      <c r="AN161" s="395"/>
      <c r="AO161" s="395"/>
      <c r="AP161" s="410"/>
      <c r="AQ161" s="410"/>
    </row>
    <row r="162" spans="2:43" ht="15" customHeight="1">
      <c r="B162" s="394">
        <v>1</v>
      </c>
      <c r="C162" s="395" t="s">
        <v>595</v>
      </c>
      <c r="D162" s="417" t="s">
        <v>3919</v>
      </c>
      <c r="E162" s="662" t="s">
        <v>3920</v>
      </c>
      <c r="F162" s="417"/>
      <c r="G162" s="384"/>
      <c r="H162" s="768"/>
      <c r="I162" s="384"/>
      <c r="J162" s="384" t="s">
        <v>4981</v>
      </c>
      <c r="K162" s="657"/>
      <c r="L162" s="658"/>
      <c r="M162" s="384"/>
      <c r="N162" s="384"/>
      <c r="O162" s="384"/>
      <c r="P162" s="384"/>
      <c r="Q162" s="384"/>
      <c r="R162" s="384"/>
      <c r="S162" s="660"/>
      <c r="T162" s="396"/>
      <c r="U162" s="384"/>
      <c r="V162" s="384"/>
      <c r="W162" s="384"/>
      <c r="X162" s="384"/>
      <c r="Y162" s="442"/>
      <c r="Z162" s="442"/>
      <c r="AA162" s="441"/>
      <c r="AB162" s="441"/>
      <c r="AC162" s="441"/>
      <c r="AD162" s="441"/>
      <c r="AE162" s="441"/>
      <c r="AF162" s="441"/>
      <c r="AG162" s="441"/>
      <c r="AH162" s="441"/>
      <c r="AI162" s="441"/>
      <c r="AJ162" s="441"/>
      <c r="AK162" s="395"/>
      <c r="AL162" s="395" t="s">
        <v>76</v>
      </c>
      <c r="AM162" s="395"/>
      <c r="AN162" s="395">
        <v>60</v>
      </c>
      <c r="AO162" s="395"/>
      <c r="AP162" s="410"/>
      <c r="AQ162" s="410"/>
    </row>
    <row r="163" spans="2:43" ht="15" customHeight="1">
      <c r="B163" s="394">
        <v>1</v>
      </c>
      <c r="C163" s="395" t="s">
        <v>607</v>
      </c>
      <c r="D163" s="417" t="s">
        <v>3921</v>
      </c>
      <c r="E163" s="662" t="s">
        <v>3922</v>
      </c>
      <c r="F163" s="417"/>
      <c r="G163" s="384"/>
      <c r="H163" s="768"/>
      <c r="I163" s="384"/>
      <c r="J163" s="384" t="s">
        <v>4981</v>
      </c>
      <c r="K163" s="657"/>
      <c r="L163" s="658"/>
      <c r="M163" s="384"/>
      <c r="N163" s="384">
        <v>5</v>
      </c>
      <c r="O163" s="384" t="s">
        <v>4992</v>
      </c>
      <c r="P163" s="384" t="s">
        <v>426</v>
      </c>
      <c r="Q163" s="384" t="s">
        <v>187</v>
      </c>
      <c r="R163" s="384"/>
      <c r="S163" s="660"/>
      <c r="T163" s="396"/>
      <c r="U163" s="384"/>
      <c r="V163" s="384"/>
      <c r="W163" s="384"/>
      <c r="X163" s="384"/>
      <c r="Y163" s="442" t="s">
        <v>3923</v>
      </c>
      <c r="Z163" s="442"/>
      <c r="AA163" s="441"/>
      <c r="AB163" s="441"/>
      <c r="AC163" s="441"/>
      <c r="AD163" s="441"/>
      <c r="AE163" s="441"/>
      <c r="AF163" s="441"/>
      <c r="AG163" s="441"/>
      <c r="AH163" s="441"/>
      <c r="AI163" s="441"/>
      <c r="AJ163" s="441"/>
      <c r="AK163" s="395">
        <v>1</v>
      </c>
      <c r="AL163" s="395"/>
      <c r="AM163" s="395">
        <v>0</v>
      </c>
      <c r="AN163" s="395"/>
      <c r="AO163" s="395"/>
      <c r="AP163" s="410"/>
      <c r="AQ163" s="410"/>
    </row>
    <row r="164" spans="2:43" ht="15" customHeight="1">
      <c r="B164" s="394">
        <v>1</v>
      </c>
      <c r="C164" s="395" t="s">
        <v>607</v>
      </c>
      <c r="D164" s="417" t="s">
        <v>3924</v>
      </c>
      <c r="E164" s="662" t="s">
        <v>3925</v>
      </c>
      <c r="F164" s="417"/>
      <c r="G164" s="384"/>
      <c r="H164" s="768"/>
      <c r="I164" s="384"/>
      <c r="J164" s="384" t="s">
        <v>4981</v>
      </c>
      <c r="K164" s="657"/>
      <c r="L164" s="658"/>
      <c r="M164" s="384"/>
      <c r="N164" s="384">
        <v>5</v>
      </c>
      <c r="O164" s="384" t="s">
        <v>4992</v>
      </c>
      <c r="P164" s="384" t="s">
        <v>426</v>
      </c>
      <c r="Q164" s="384" t="s">
        <v>187</v>
      </c>
      <c r="R164" s="384"/>
      <c r="S164" s="660"/>
      <c r="T164" s="396"/>
      <c r="U164" s="384"/>
      <c r="V164" s="384"/>
      <c r="W164" s="384"/>
      <c r="X164" s="384"/>
      <c r="Y164" s="442" t="s">
        <v>3926</v>
      </c>
      <c r="Z164" s="442"/>
      <c r="AA164" s="441"/>
      <c r="AB164" s="441"/>
      <c r="AC164" s="441"/>
      <c r="AD164" s="441"/>
      <c r="AE164" s="441"/>
      <c r="AF164" s="441"/>
      <c r="AG164" s="441"/>
      <c r="AH164" s="441"/>
      <c r="AI164" s="441"/>
      <c r="AJ164" s="441"/>
      <c r="AK164" s="395"/>
      <c r="AL164" s="395"/>
      <c r="AM164" s="395">
        <v>0</v>
      </c>
      <c r="AN164" s="395"/>
      <c r="AO164" s="395"/>
      <c r="AP164" s="410"/>
      <c r="AQ164" s="410"/>
    </row>
    <row r="165" spans="2:43" ht="15" customHeight="1">
      <c r="B165" s="394">
        <v>1</v>
      </c>
      <c r="C165" s="395" t="s">
        <v>607</v>
      </c>
      <c r="D165" s="417" t="s">
        <v>3927</v>
      </c>
      <c r="E165" s="662" t="s">
        <v>3928</v>
      </c>
      <c r="F165" s="417"/>
      <c r="G165" s="384"/>
      <c r="H165" s="768"/>
      <c r="I165" s="384"/>
      <c r="J165" s="384" t="s">
        <v>4981</v>
      </c>
      <c r="K165" s="657"/>
      <c r="L165" s="658"/>
      <c r="M165" s="384"/>
      <c r="N165" s="384">
        <v>6</v>
      </c>
      <c r="O165" s="384" t="s">
        <v>4989</v>
      </c>
      <c r="P165" s="384" t="s">
        <v>231</v>
      </c>
      <c r="Q165" s="384" t="s">
        <v>187</v>
      </c>
      <c r="R165" s="384"/>
      <c r="S165" s="660"/>
      <c r="T165" s="396"/>
      <c r="U165" s="384"/>
      <c r="V165" s="384"/>
      <c r="W165" s="384"/>
      <c r="X165" s="384"/>
      <c r="Y165" s="442" t="s">
        <v>3929</v>
      </c>
      <c r="Z165" s="442"/>
      <c r="AA165" s="441"/>
      <c r="AB165" s="441"/>
      <c r="AC165" s="441"/>
      <c r="AD165" s="441"/>
      <c r="AE165" s="441"/>
      <c r="AF165" s="441"/>
      <c r="AG165" s="441"/>
      <c r="AH165" s="441"/>
      <c r="AI165" s="441"/>
      <c r="AJ165" s="441"/>
      <c r="AK165" s="395"/>
      <c r="AL165" s="395"/>
      <c r="AM165" s="395">
        <v>0</v>
      </c>
      <c r="AN165" s="395"/>
      <c r="AO165" s="395"/>
      <c r="AP165" s="410"/>
      <c r="AQ165" s="410"/>
    </row>
    <row r="166" spans="2:43" ht="15" customHeight="1">
      <c r="B166" s="394">
        <v>1</v>
      </c>
      <c r="C166" s="395" t="s">
        <v>607</v>
      </c>
      <c r="D166" s="417" t="s">
        <v>3930</v>
      </c>
      <c r="E166" s="662" t="s">
        <v>3931</v>
      </c>
      <c r="F166" s="417"/>
      <c r="G166" s="384"/>
      <c r="H166" s="768"/>
      <c r="I166" s="384"/>
      <c r="J166" s="384" t="s">
        <v>4981</v>
      </c>
      <c r="K166" s="657"/>
      <c r="L166" s="658"/>
      <c r="M166" s="384"/>
      <c r="N166" s="384">
        <v>6</v>
      </c>
      <c r="O166" s="384" t="s">
        <v>4989</v>
      </c>
      <c r="P166" s="384" t="s">
        <v>231</v>
      </c>
      <c r="Q166" s="384" t="s">
        <v>187</v>
      </c>
      <c r="R166" s="384"/>
      <c r="S166" s="660"/>
      <c r="T166" s="396"/>
      <c r="U166" s="384"/>
      <c r="V166" s="384"/>
      <c r="W166" s="384"/>
      <c r="X166" s="384"/>
      <c r="Y166" s="442" t="s">
        <v>3932</v>
      </c>
      <c r="Z166" s="442"/>
      <c r="AA166" s="441"/>
      <c r="AB166" s="441"/>
      <c r="AC166" s="441"/>
      <c r="AD166" s="441"/>
      <c r="AE166" s="441"/>
      <c r="AF166" s="441"/>
      <c r="AG166" s="441"/>
      <c r="AH166" s="441"/>
      <c r="AI166" s="441"/>
      <c r="AJ166" s="441"/>
      <c r="AK166" s="395"/>
      <c r="AL166" s="395"/>
      <c r="AM166" s="395">
        <v>0</v>
      </c>
      <c r="AN166" s="395"/>
      <c r="AO166" s="395"/>
      <c r="AP166" s="410"/>
      <c r="AQ166" s="410"/>
    </row>
    <row r="167" spans="2:43" ht="15" customHeight="1">
      <c r="B167" s="394">
        <v>1</v>
      </c>
      <c r="C167" s="395" t="s">
        <v>607</v>
      </c>
      <c r="D167" s="417" t="s">
        <v>3933</v>
      </c>
      <c r="E167" s="662" t="s">
        <v>3934</v>
      </c>
      <c r="F167" s="417"/>
      <c r="G167" s="384"/>
      <c r="H167" s="768"/>
      <c r="I167" s="384"/>
      <c r="J167" s="384" t="s">
        <v>4981</v>
      </c>
      <c r="K167" s="657"/>
      <c r="L167" s="658"/>
      <c r="M167" s="384"/>
      <c r="N167" s="384">
        <v>7</v>
      </c>
      <c r="O167" s="384" t="s">
        <v>4990</v>
      </c>
      <c r="P167" s="384" t="s">
        <v>230</v>
      </c>
      <c r="Q167" s="384" t="s">
        <v>187</v>
      </c>
      <c r="R167" s="384"/>
      <c r="S167" s="660"/>
      <c r="T167" s="396"/>
      <c r="U167" s="384"/>
      <c r="V167" s="384"/>
      <c r="W167" s="384"/>
      <c r="X167" s="384"/>
      <c r="Y167" s="442" t="s">
        <v>3935</v>
      </c>
      <c r="Z167" s="442"/>
      <c r="AA167" s="441"/>
      <c r="AB167" s="441"/>
      <c r="AC167" s="441"/>
      <c r="AD167" s="441"/>
      <c r="AE167" s="441"/>
      <c r="AF167" s="441"/>
      <c r="AG167" s="441"/>
      <c r="AH167" s="441"/>
      <c r="AI167" s="441"/>
      <c r="AJ167" s="441"/>
      <c r="AK167" s="395"/>
      <c r="AL167" s="395"/>
      <c r="AM167" s="395">
        <v>0</v>
      </c>
      <c r="AN167" s="395"/>
      <c r="AO167" s="395"/>
      <c r="AP167" s="410"/>
      <c r="AQ167" s="410"/>
    </row>
    <row r="168" spans="2:43" ht="15" customHeight="1">
      <c r="B168" s="394">
        <v>1</v>
      </c>
      <c r="C168" s="395" t="s">
        <v>607</v>
      </c>
      <c r="D168" s="417" t="s">
        <v>3936</v>
      </c>
      <c r="E168" s="662" t="s">
        <v>3937</v>
      </c>
      <c r="F168" s="417"/>
      <c r="G168" s="384"/>
      <c r="H168" s="768"/>
      <c r="I168" s="384"/>
      <c r="J168" s="384" t="s">
        <v>4981</v>
      </c>
      <c r="K168" s="657"/>
      <c r="L168" s="658"/>
      <c r="M168" s="384"/>
      <c r="N168" s="384">
        <v>7</v>
      </c>
      <c r="O168" s="384" t="s">
        <v>4990</v>
      </c>
      <c r="P168" s="384" t="s">
        <v>230</v>
      </c>
      <c r="Q168" s="384" t="s">
        <v>187</v>
      </c>
      <c r="R168" s="384"/>
      <c r="S168" s="660"/>
      <c r="T168" s="396"/>
      <c r="U168" s="384"/>
      <c r="V168" s="384"/>
      <c r="W168" s="384"/>
      <c r="X168" s="384"/>
      <c r="Y168" s="442" t="s">
        <v>3938</v>
      </c>
      <c r="Z168" s="442"/>
      <c r="AA168" s="441"/>
      <c r="AB168" s="441"/>
      <c r="AC168" s="441"/>
      <c r="AD168" s="441"/>
      <c r="AE168" s="441"/>
      <c r="AF168" s="441"/>
      <c r="AG168" s="441"/>
      <c r="AH168" s="441"/>
      <c r="AI168" s="441"/>
      <c r="AJ168" s="441"/>
      <c r="AK168" s="395"/>
      <c r="AL168" s="395"/>
      <c r="AM168" s="395">
        <v>0</v>
      </c>
      <c r="AN168" s="395"/>
      <c r="AO168" s="395"/>
      <c r="AP168" s="410"/>
      <c r="AQ168" s="410"/>
    </row>
    <row r="169" spans="2:43" ht="15" customHeight="1">
      <c r="B169" s="394">
        <v>1</v>
      </c>
      <c r="C169" s="395" t="s">
        <v>607</v>
      </c>
      <c r="D169" s="417" t="s">
        <v>3939</v>
      </c>
      <c r="E169" s="662" t="s">
        <v>3940</v>
      </c>
      <c r="F169" s="417"/>
      <c r="G169" s="384"/>
      <c r="H169" s="768"/>
      <c r="I169" s="384"/>
      <c r="J169" s="384" t="s">
        <v>4981</v>
      </c>
      <c r="K169" s="657"/>
      <c r="L169" s="658"/>
      <c r="M169" s="384"/>
      <c r="N169" s="384">
        <v>8</v>
      </c>
      <c r="O169" s="384" t="s">
        <v>4991</v>
      </c>
      <c r="P169" s="384" t="s">
        <v>110</v>
      </c>
      <c r="Q169" s="384" t="s">
        <v>187</v>
      </c>
      <c r="R169" s="384"/>
      <c r="S169" s="660"/>
      <c r="T169" s="396"/>
      <c r="U169" s="384"/>
      <c r="V169" s="384"/>
      <c r="W169" s="384"/>
      <c r="X169" s="384"/>
      <c r="Y169" s="442" t="s">
        <v>3941</v>
      </c>
      <c r="Z169" s="442"/>
      <c r="AA169" s="441"/>
      <c r="AB169" s="441"/>
      <c r="AC169" s="441"/>
      <c r="AD169" s="441"/>
      <c r="AE169" s="441"/>
      <c r="AF169" s="441"/>
      <c r="AG169" s="441"/>
      <c r="AH169" s="441"/>
      <c r="AI169" s="441"/>
      <c r="AJ169" s="441"/>
      <c r="AK169" s="395"/>
      <c r="AL169" s="395"/>
      <c r="AM169" s="395">
        <v>0</v>
      </c>
      <c r="AN169" s="395"/>
      <c r="AO169" s="395"/>
      <c r="AP169" s="410"/>
      <c r="AQ169" s="410"/>
    </row>
    <row r="170" spans="2:43" ht="15" customHeight="1">
      <c r="B170" s="394">
        <v>1</v>
      </c>
      <c r="C170" s="395" t="s">
        <v>607</v>
      </c>
      <c r="D170" s="417" t="s">
        <v>3942</v>
      </c>
      <c r="E170" s="662" t="s">
        <v>3943</v>
      </c>
      <c r="F170" s="417"/>
      <c r="G170" s="384"/>
      <c r="H170" s="768"/>
      <c r="I170" s="384"/>
      <c r="J170" s="384" t="s">
        <v>4981</v>
      </c>
      <c r="K170" s="657"/>
      <c r="L170" s="658"/>
      <c r="M170" s="384"/>
      <c r="N170" s="384">
        <v>11</v>
      </c>
      <c r="O170" s="384" t="s">
        <v>4989</v>
      </c>
      <c r="P170" s="384" t="s">
        <v>454</v>
      </c>
      <c r="Q170" s="384" t="s">
        <v>187</v>
      </c>
      <c r="R170" s="384"/>
      <c r="S170" s="660"/>
      <c r="T170" s="396"/>
      <c r="U170" s="384"/>
      <c r="V170" s="384"/>
      <c r="W170" s="384"/>
      <c r="X170" s="384"/>
      <c r="Y170" s="442" t="s">
        <v>3944</v>
      </c>
      <c r="Z170" s="442"/>
      <c r="AA170" s="441"/>
      <c r="AB170" s="441"/>
      <c r="AC170" s="441"/>
      <c r="AD170" s="441"/>
      <c r="AE170" s="441"/>
      <c r="AF170" s="441"/>
      <c r="AG170" s="441"/>
      <c r="AH170" s="441"/>
      <c r="AI170" s="441"/>
      <c r="AJ170" s="441"/>
      <c r="AK170" s="395"/>
      <c r="AL170" s="395"/>
      <c r="AM170" s="395">
        <v>0</v>
      </c>
      <c r="AN170" s="395"/>
      <c r="AO170" s="395"/>
      <c r="AP170" s="410"/>
      <c r="AQ170" s="410"/>
    </row>
    <row r="171" spans="2:43" ht="15" customHeight="1">
      <c r="B171" s="394">
        <v>1</v>
      </c>
      <c r="C171" s="395" t="s">
        <v>607</v>
      </c>
      <c r="D171" s="417" t="s">
        <v>3945</v>
      </c>
      <c r="E171" s="662" t="s">
        <v>3946</v>
      </c>
      <c r="F171" s="417"/>
      <c r="G171" s="384"/>
      <c r="H171" s="768"/>
      <c r="I171" s="384"/>
      <c r="J171" s="384" t="s">
        <v>4981</v>
      </c>
      <c r="K171" s="657"/>
      <c r="L171" s="658"/>
      <c r="M171" s="384"/>
      <c r="N171" s="384">
        <v>6</v>
      </c>
      <c r="O171" s="384" t="s">
        <v>4989</v>
      </c>
      <c r="P171" s="384" t="s">
        <v>230</v>
      </c>
      <c r="Q171" s="384" t="s">
        <v>187</v>
      </c>
      <c r="R171" s="384"/>
      <c r="S171" s="660"/>
      <c r="T171" s="396"/>
      <c r="U171" s="384"/>
      <c r="V171" s="384"/>
      <c r="W171" s="384"/>
      <c r="X171" s="384"/>
      <c r="Y171" s="442" t="s">
        <v>3947</v>
      </c>
      <c r="Z171" s="442"/>
      <c r="AA171" s="441"/>
      <c r="AB171" s="441"/>
      <c r="AC171" s="441"/>
      <c r="AD171" s="441"/>
      <c r="AE171" s="441"/>
      <c r="AF171" s="441"/>
      <c r="AG171" s="441"/>
      <c r="AH171" s="441"/>
      <c r="AI171" s="441"/>
      <c r="AJ171" s="441"/>
      <c r="AK171" s="395"/>
      <c r="AL171" s="395"/>
      <c r="AM171" s="395">
        <v>0</v>
      </c>
      <c r="AN171" s="395"/>
      <c r="AO171" s="395"/>
      <c r="AP171" s="410"/>
      <c r="AQ171" s="410"/>
    </row>
    <row r="172" spans="2:43" ht="15" customHeight="1">
      <c r="B172" s="394">
        <v>1</v>
      </c>
      <c r="C172" s="395" t="s">
        <v>607</v>
      </c>
      <c r="D172" s="417" t="s">
        <v>3948</v>
      </c>
      <c r="E172" s="662" t="s">
        <v>3949</v>
      </c>
      <c r="F172" s="417"/>
      <c r="G172" s="384"/>
      <c r="H172" s="768"/>
      <c r="I172" s="384"/>
      <c r="J172" s="384" t="s">
        <v>4981</v>
      </c>
      <c r="K172" s="657"/>
      <c r="L172" s="658"/>
      <c r="M172" s="384"/>
      <c r="N172" s="384">
        <v>6</v>
      </c>
      <c r="O172" s="384" t="s">
        <v>4989</v>
      </c>
      <c r="P172" s="384" t="s">
        <v>230</v>
      </c>
      <c r="Q172" s="384" t="s">
        <v>187</v>
      </c>
      <c r="R172" s="384"/>
      <c r="S172" s="660"/>
      <c r="T172" s="396"/>
      <c r="U172" s="384"/>
      <c r="V172" s="384"/>
      <c r="W172" s="384"/>
      <c r="X172" s="384"/>
      <c r="Y172" s="442" t="s">
        <v>3950</v>
      </c>
      <c r="Z172" s="442"/>
      <c r="AA172" s="441"/>
      <c r="AB172" s="441"/>
      <c r="AC172" s="441"/>
      <c r="AD172" s="441"/>
      <c r="AE172" s="441"/>
      <c r="AF172" s="441"/>
      <c r="AG172" s="441"/>
      <c r="AH172" s="441"/>
      <c r="AI172" s="441"/>
      <c r="AJ172" s="441"/>
      <c r="AK172" s="395"/>
      <c r="AL172" s="395"/>
      <c r="AM172" s="395">
        <v>0</v>
      </c>
      <c r="AN172" s="395"/>
      <c r="AO172" s="395"/>
      <c r="AP172" s="410"/>
      <c r="AQ172" s="410"/>
    </row>
    <row r="173" spans="2:43" ht="15" customHeight="1">
      <c r="B173" s="394">
        <v>1</v>
      </c>
      <c r="C173" s="395" t="s">
        <v>607</v>
      </c>
      <c r="D173" s="417" t="s">
        <v>3951</v>
      </c>
      <c r="E173" s="662" t="s">
        <v>3952</v>
      </c>
      <c r="F173" s="417"/>
      <c r="G173" s="384"/>
      <c r="H173" s="768"/>
      <c r="I173" s="384"/>
      <c r="J173" s="384" t="s">
        <v>4981</v>
      </c>
      <c r="K173" s="657"/>
      <c r="L173" s="658"/>
      <c r="M173" s="384"/>
      <c r="N173" s="384">
        <v>6</v>
      </c>
      <c r="O173" s="384" t="s">
        <v>4989</v>
      </c>
      <c r="P173" s="384" t="s">
        <v>230</v>
      </c>
      <c r="Q173" s="384" t="s">
        <v>187</v>
      </c>
      <c r="R173" s="384"/>
      <c r="S173" s="660"/>
      <c r="T173" s="396"/>
      <c r="U173" s="384"/>
      <c r="V173" s="384"/>
      <c r="W173" s="384"/>
      <c r="X173" s="384"/>
      <c r="Y173" s="442" t="s">
        <v>3953</v>
      </c>
      <c r="Z173" s="442"/>
      <c r="AA173" s="441"/>
      <c r="AB173" s="441"/>
      <c r="AC173" s="441"/>
      <c r="AD173" s="441"/>
      <c r="AE173" s="441"/>
      <c r="AF173" s="441"/>
      <c r="AG173" s="441"/>
      <c r="AH173" s="441"/>
      <c r="AI173" s="441"/>
      <c r="AJ173" s="441"/>
      <c r="AK173" s="395"/>
      <c r="AL173" s="395"/>
      <c r="AM173" s="395">
        <v>0</v>
      </c>
      <c r="AN173" s="395"/>
      <c r="AO173" s="395"/>
      <c r="AP173" s="410"/>
      <c r="AQ173" s="410"/>
    </row>
    <row r="174" spans="2:43" ht="15" customHeight="1">
      <c r="B174" s="394">
        <v>1</v>
      </c>
      <c r="C174" s="395" t="s">
        <v>607</v>
      </c>
      <c r="D174" s="417" t="s">
        <v>3954</v>
      </c>
      <c r="E174" s="662" t="s">
        <v>3955</v>
      </c>
      <c r="F174" s="417"/>
      <c r="G174" s="384"/>
      <c r="H174" s="768"/>
      <c r="I174" s="384"/>
      <c r="J174" s="384" t="s">
        <v>4981</v>
      </c>
      <c r="K174" s="657"/>
      <c r="L174" s="658"/>
      <c r="M174" s="384"/>
      <c r="N174" s="384">
        <v>6</v>
      </c>
      <c r="O174" s="384" t="s">
        <v>4989</v>
      </c>
      <c r="P174" s="384" t="s">
        <v>230</v>
      </c>
      <c r="Q174" s="384" t="s">
        <v>187</v>
      </c>
      <c r="R174" s="384"/>
      <c r="S174" s="660"/>
      <c r="T174" s="396"/>
      <c r="U174" s="384"/>
      <c r="V174" s="384"/>
      <c r="W174" s="384"/>
      <c r="X174" s="384"/>
      <c r="Y174" s="442" t="s">
        <v>3956</v>
      </c>
      <c r="Z174" s="442"/>
      <c r="AA174" s="441"/>
      <c r="AB174" s="441"/>
      <c r="AC174" s="441"/>
      <c r="AD174" s="441"/>
      <c r="AE174" s="441"/>
      <c r="AF174" s="441"/>
      <c r="AG174" s="441"/>
      <c r="AH174" s="441"/>
      <c r="AI174" s="441"/>
      <c r="AJ174" s="441"/>
      <c r="AK174" s="395"/>
      <c r="AL174" s="395"/>
      <c r="AM174" s="395">
        <v>0</v>
      </c>
      <c r="AN174" s="395"/>
      <c r="AO174" s="395"/>
      <c r="AP174" s="410"/>
      <c r="AQ174" s="410"/>
    </row>
    <row r="175" spans="2:43" ht="15" customHeight="1">
      <c r="B175" s="394">
        <v>1</v>
      </c>
      <c r="C175" s="395" t="s">
        <v>607</v>
      </c>
      <c r="D175" s="417" t="s">
        <v>3957</v>
      </c>
      <c r="E175" s="662" t="s">
        <v>3958</v>
      </c>
      <c r="F175" s="417"/>
      <c r="G175" s="384"/>
      <c r="H175" s="768"/>
      <c r="I175" s="384"/>
      <c r="J175" s="384" t="s">
        <v>4981</v>
      </c>
      <c r="K175" s="657"/>
      <c r="L175" s="658"/>
      <c r="M175" s="384"/>
      <c r="N175" s="384">
        <v>6</v>
      </c>
      <c r="O175" s="384" t="s">
        <v>4989</v>
      </c>
      <c r="P175" s="384" t="s">
        <v>230</v>
      </c>
      <c r="Q175" s="384" t="s">
        <v>187</v>
      </c>
      <c r="R175" s="384"/>
      <c r="S175" s="660"/>
      <c r="T175" s="396"/>
      <c r="U175" s="384"/>
      <c r="V175" s="384"/>
      <c r="W175" s="384"/>
      <c r="X175" s="384"/>
      <c r="Y175" s="442" t="s">
        <v>3959</v>
      </c>
      <c r="Z175" s="442"/>
      <c r="AA175" s="441"/>
      <c r="AB175" s="441"/>
      <c r="AC175" s="441"/>
      <c r="AD175" s="441"/>
      <c r="AE175" s="441"/>
      <c r="AF175" s="441"/>
      <c r="AG175" s="441"/>
      <c r="AH175" s="441"/>
      <c r="AI175" s="441"/>
      <c r="AJ175" s="441"/>
      <c r="AK175" s="395"/>
      <c r="AL175" s="395"/>
      <c r="AM175" s="395">
        <v>0</v>
      </c>
      <c r="AN175" s="395"/>
      <c r="AO175" s="395"/>
      <c r="AP175" s="410"/>
      <c r="AQ175" s="410"/>
    </row>
    <row r="176" spans="2:43" ht="15" customHeight="1">
      <c r="B176" s="394">
        <v>1</v>
      </c>
      <c r="C176" s="395" t="s">
        <v>607</v>
      </c>
      <c r="D176" s="417" t="s">
        <v>3960</v>
      </c>
      <c r="E176" s="662" t="s">
        <v>3961</v>
      </c>
      <c r="F176" s="417"/>
      <c r="G176" s="384"/>
      <c r="H176" s="768"/>
      <c r="I176" s="384"/>
      <c r="J176" s="384" t="s">
        <v>4981</v>
      </c>
      <c r="K176" s="657"/>
      <c r="L176" s="658"/>
      <c r="M176" s="384"/>
      <c r="N176" s="384">
        <v>6</v>
      </c>
      <c r="O176" s="384" t="s">
        <v>4989</v>
      </c>
      <c r="P176" s="384" t="s">
        <v>230</v>
      </c>
      <c r="Q176" s="384" t="s">
        <v>187</v>
      </c>
      <c r="R176" s="384"/>
      <c r="S176" s="660"/>
      <c r="T176" s="396"/>
      <c r="U176" s="384"/>
      <c r="V176" s="384"/>
      <c r="W176" s="384"/>
      <c r="X176" s="384"/>
      <c r="Y176" s="442" t="s">
        <v>3962</v>
      </c>
      <c r="Z176" s="442"/>
      <c r="AA176" s="441"/>
      <c r="AB176" s="441"/>
      <c r="AC176" s="441"/>
      <c r="AD176" s="441"/>
      <c r="AE176" s="441"/>
      <c r="AF176" s="441"/>
      <c r="AG176" s="441"/>
      <c r="AH176" s="441"/>
      <c r="AI176" s="441"/>
      <c r="AJ176" s="441"/>
      <c r="AK176" s="395"/>
      <c r="AL176" s="395"/>
      <c r="AM176" s="395">
        <v>0</v>
      </c>
      <c r="AN176" s="395"/>
      <c r="AO176" s="395"/>
      <c r="AP176" s="410"/>
      <c r="AQ176" s="410"/>
    </row>
    <row r="177" spans="2:43" ht="15" customHeight="1">
      <c r="B177" s="394">
        <v>1</v>
      </c>
      <c r="C177" s="395" t="s">
        <v>607</v>
      </c>
      <c r="D177" s="417" t="s">
        <v>3963</v>
      </c>
      <c r="E177" s="662" t="s">
        <v>3964</v>
      </c>
      <c r="F177" s="417"/>
      <c r="G177" s="384"/>
      <c r="H177" s="768"/>
      <c r="I177" s="384"/>
      <c r="J177" s="384" t="s">
        <v>4981</v>
      </c>
      <c r="K177" s="657"/>
      <c r="L177" s="658"/>
      <c r="M177" s="384"/>
      <c r="N177" s="384">
        <v>6</v>
      </c>
      <c r="O177" s="384" t="s">
        <v>4989</v>
      </c>
      <c r="P177" s="384" t="s">
        <v>230</v>
      </c>
      <c r="Q177" s="384" t="s">
        <v>187</v>
      </c>
      <c r="R177" s="384"/>
      <c r="S177" s="660"/>
      <c r="T177" s="396"/>
      <c r="U177" s="384"/>
      <c r="V177" s="384"/>
      <c r="W177" s="384"/>
      <c r="X177" s="384"/>
      <c r="Y177" s="442" t="s">
        <v>3965</v>
      </c>
      <c r="Z177" s="442"/>
      <c r="AA177" s="441"/>
      <c r="AB177" s="441"/>
      <c r="AC177" s="441"/>
      <c r="AD177" s="441"/>
      <c r="AE177" s="441"/>
      <c r="AF177" s="441"/>
      <c r="AG177" s="441"/>
      <c r="AH177" s="441"/>
      <c r="AI177" s="441"/>
      <c r="AJ177" s="441"/>
      <c r="AK177" s="395"/>
      <c r="AL177" s="395"/>
      <c r="AM177" s="395">
        <v>0</v>
      </c>
      <c r="AN177" s="395"/>
      <c r="AO177" s="395"/>
      <c r="AP177" s="410"/>
      <c r="AQ177" s="410"/>
    </row>
    <row r="178" spans="2:43" ht="15" customHeight="1">
      <c r="B178" s="394">
        <v>1</v>
      </c>
      <c r="C178" s="395" t="s">
        <v>607</v>
      </c>
      <c r="D178" s="417" t="s">
        <v>3966</v>
      </c>
      <c r="E178" s="662" t="s">
        <v>3967</v>
      </c>
      <c r="F178" s="417"/>
      <c r="G178" s="384"/>
      <c r="H178" s="768"/>
      <c r="I178" s="384"/>
      <c r="J178" s="384" t="s">
        <v>4981</v>
      </c>
      <c r="K178" s="657"/>
      <c r="L178" s="658"/>
      <c r="M178" s="384"/>
      <c r="N178" s="384">
        <v>6</v>
      </c>
      <c r="O178" s="384" t="s">
        <v>4989</v>
      </c>
      <c r="P178" s="384" t="s">
        <v>230</v>
      </c>
      <c r="Q178" s="384" t="s">
        <v>187</v>
      </c>
      <c r="R178" s="384"/>
      <c r="S178" s="660"/>
      <c r="T178" s="396"/>
      <c r="U178" s="384"/>
      <c r="V178" s="384"/>
      <c r="W178" s="384"/>
      <c r="X178" s="384"/>
      <c r="Y178" s="442" t="s">
        <v>3968</v>
      </c>
      <c r="Z178" s="442"/>
      <c r="AA178" s="441"/>
      <c r="AB178" s="441"/>
      <c r="AC178" s="441"/>
      <c r="AD178" s="441"/>
      <c r="AE178" s="441"/>
      <c r="AF178" s="441"/>
      <c r="AG178" s="441"/>
      <c r="AH178" s="441"/>
      <c r="AI178" s="441"/>
      <c r="AJ178" s="441"/>
      <c r="AK178" s="395"/>
      <c r="AL178" s="395"/>
      <c r="AM178" s="395">
        <v>0</v>
      </c>
      <c r="AN178" s="395"/>
      <c r="AO178" s="395"/>
      <c r="AP178" s="410"/>
      <c r="AQ178" s="410"/>
    </row>
    <row r="179" spans="2:43" ht="15" customHeight="1">
      <c r="B179" s="394">
        <v>1</v>
      </c>
      <c r="C179" s="395" t="s">
        <v>607</v>
      </c>
      <c r="D179" s="417" t="s">
        <v>3969</v>
      </c>
      <c r="E179" s="662" t="s">
        <v>3970</v>
      </c>
      <c r="F179" s="417"/>
      <c r="G179" s="384"/>
      <c r="H179" s="768"/>
      <c r="I179" s="384"/>
      <c r="J179" s="384" t="s">
        <v>4981</v>
      </c>
      <c r="K179" s="657"/>
      <c r="L179" s="658"/>
      <c r="M179" s="384"/>
      <c r="N179" s="384">
        <v>6</v>
      </c>
      <c r="O179" s="384" t="s">
        <v>4989</v>
      </c>
      <c r="P179" s="384" t="s">
        <v>230</v>
      </c>
      <c r="Q179" s="384" t="s">
        <v>187</v>
      </c>
      <c r="R179" s="384"/>
      <c r="S179" s="660"/>
      <c r="T179" s="396"/>
      <c r="U179" s="384"/>
      <c r="V179" s="384"/>
      <c r="W179" s="384"/>
      <c r="X179" s="384"/>
      <c r="Y179" s="442" t="s">
        <v>3971</v>
      </c>
      <c r="Z179" s="442"/>
      <c r="AA179" s="441"/>
      <c r="AB179" s="441"/>
      <c r="AC179" s="441"/>
      <c r="AD179" s="441"/>
      <c r="AE179" s="441"/>
      <c r="AF179" s="441"/>
      <c r="AG179" s="441"/>
      <c r="AH179" s="441"/>
      <c r="AI179" s="441"/>
      <c r="AJ179" s="441"/>
      <c r="AK179" s="395"/>
      <c r="AL179" s="395"/>
      <c r="AM179" s="395">
        <v>0</v>
      </c>
      <c r="AN179" s="395"/>
      <c r="AO179" s="395"/>
      <c r="AP179" s="410"/>
      <c r="AQ179" s="410"/>
    </row>
    <row r="180" spans="2:43" ht="15" customHeight="1">
      <c r="B180" s="394">
        <v>1</v>
      </c>
      <c r="C180" s="395" t="s">
        <v>592</v>
      </c>
      <c r="D180" s="417" t="s">
        <v>3972</v>
      </c>
      <c r="E180" s="662" t="s">
        <v>3973</v>
      </c>
      <c r="F180" s="417"/>
      <c r="G180" s="384"/>
      <c r="H180" s="768"/>
      <c r="I180" s="384"/>
      <c r="J180" s="384" t="s">
        <v>4981</v>
      </c>
      <c r="K180" s="657"/>
      <c r="L180" s="658"/>
      <c r="M180" s="384"/>
      <c r="N180" s="384">
        <v>6</v>
      </c>
      <c r="O180" s="384" t="s">
        <v>4989</v>
      </c>
      <c r="P180" s="384" t="s">
        <v>230</v>
      </c>
      <c r="Q180" s="384" t="s">
        <v>187</v>
      </c>
      <c r="R180" s="384"/>
      <c r="S180" s="660"/>
      <c r="T180" s="396"/>
      <c r="U180" s="384"/>
      <c r="V180" s="384"/>
      <c r="W180" s="384"/>
      <c r="X180" s="384"/>
      <c r="Y180" s="442" t="s">
        <v>3974</v>
      </c>
      <c r="Z180" s="442"/>
      <c r="AA180" s="441"/>
      <c r="AB180" s="441"/>
      <c r="AC180" s="441"/>
      <c r="AD180" s="441"/>
      <c r="AE180" s="441"/>
      <c r="AF180" s="441"/>
      <c r="AG180" s="441"/>
      <c r="AH180" s="441"/>
      <c r="AI180" s="441"/>
      <c r="AJ180" s="441"/>
      <c r="AK180" s="395">
        <v>0</v>
      </c>
      <c r="AL180" s="395" t="s">
        <v>72</v>
      </c>
      <c r="AM180" s="395"/>
      <c r="AN180" s="395"/>
      <c r="AO180" s="395"/>
      <c r="AP180" s="410"/>
      <c r="AQ180" s="410"/>
    </row>
    <row r="181" spans="2:43" ht="15" customHeight="1">
      <c r="B181" s="394">
        <v>1</v>
      </c>
      <c r="C181" s="395" t="s">
        <v>592</v>
      </c>
      <c r="D181" s="417" t="s">
        <v>3975</v>
      </c>
      <c r="E181" s="662" t="s">
        <v>3976</v>
      </c>
      <c r="F181" s="417"/>
      <c r="G181" s="384"/>
      <c r="H181" s="768"/>
      <c r="I181" s="384"/>
      <c r="J181" s="384" t="s">
        <v>4981</v>
      </c>
      <c r="K181" s="657"/>
      <c r="L181" s="658"/>
      <c r="M181" s="384"/>
      <c r="N181" s="384">
        <v>6</v>
      </c>
      <c r="O181" s="384" t="s">
        <v>4989</v>
      </c>
      <c r="P181" s="384" t="s">
        <v>230</v>
      </c>
      <c r="Q181" s="384" t="s">
        <v>187</v>
      </c>
      <c r="R181" s="384"/>
      <c r="S181" s="660"/>
      <c r="T181" s="396"/>
      <c r="U181" s="384"/>
      <c r="V181" s="384"/>
      <c r="W181" s="384"/>
      <c r="X181" s="384"/>
      <c r="Y181" s="442" t="s">
        <v>3977</v>
      </c>
      <c r="Z181" s="442"/>
      <c r="AA181" s="441"/>
      <c r="AB181" s="441"/>
      <c r="AC181" s="441"/>
      <c r="AD181" s="441"/>
      <c r="AE181" s="441"/>
      <c r="AF181" s="441"/>
      <c r="AG181" s="441"/>
      <c r="AH181" s="441"/>
      <c r="AI181" s="441"/>
      <c r="AJ181" s="441"/>
      <c r="AK181" s="395">
        <v>0</v>
      </c>
      <c r="AL181" s="395" t="s">
        <v>72</v>
      </c>
      <c r="AM181" s="395"/>
      <c r="AN181" s="395"/>
      <c r="AO181" s="395"/>
      <c r="AP181" s="410"/>
      <c r="AQ181" s="410"/>
    </row>
    <row r="182" spans="2:43" ht="15" customHeight="1">
      <c r="B182" s="394">
        <v>1</v>
      </c>
      <c r="C182" s="395" t="s">
        <v>592</v>
      </c>
      <c r="D182" s="417" t="s">
        <v>3978</v>
      </c>
      <c r="E182" s="662" t="s">
        <v>3979</v>
      </c>
      <c r="F182" s="417"/>
      <c r="G182" s="384"/>
      <c r="H182" s="768"/>
      <c r="I182" s="384"/>
      <c r="J182" s="384" t="s">
        <v>4981</v>
      </c>
      <c r="K182" s="657"/>
      <c r="L182" s="658"/>
      <c r="M182" s="384"/>
      <c r="N182" s="384">
        <v>6</v>
      </c>
      <c r="O182" s="384" t="s">
        <v>4989</v>
      </c>
      <c r="P182" s="384" t="s">
        <v>230</v>
      </c>
      <c r="Q182" s="384" t="s">
        <v>187</v>
      </c>
      <c r="R182" s="384"/>
      <c r="S182" s="660"/>
      <c r="T182" s="396"/>
      <c r="U182" s="384"/>
      <c r="V182" s="384"/>
      <c r="W182" s="384"/>
      <c r="X182" s="384"/>
      <c r="Y182" s="442" t="s">
        <v>3980</v>
      </c>
      <c r="Z182" s="442"/>
      <c r="AA182" s="441"/>
      <c r="AB182" s="441"/>
      <c r="AC182" s="441"/>
      <c r="AD182" s="441"/>
      <c r="AE182" s="441"/>
      <c r="AF182" s="441"/>
      <c r="AG182" s="441"/>
      <c r="AH182" s="441"/>
      <c r="AI182" s="441"/>
      <c r="AJ182" s="441"/>
      <c r="AK182" s="395">
        <v>0</v>
      </c>
      <c r="AL182" s="395" t="s">
        <v>72</v>
      </c>
      <c r="AM182" s="395"/>
      <c r="AN182" s="395"/>
      <c r="AO182" s="395"/>
      <c r="AP182" s="410"/>
      <c r="AQ182" s="410"/>
    </row>
    <row r="183" spans="2:43" ht="15" customHeight="1">
      <c r="B183" s="394">
        <v>1</v>
      </c>
      <c r="C183" s="395" t="s">
        <v>592</v>
      </c>
      <c r="D183" s="417" t="s">
        <v>3981</v>
      </c>
      <c r="E183" s="662" t="s">
        <v>3982</v>
      </c>
      <c r="F183" s="417"/>
      <c r="G183" s="384"/>
      <c r="H183" s="768"/>
      <c r="I183" s="384"/>
      <c r="J183" s="384" t="s">
        <v>4981</v>
      </c>
      <c r="K183" s="657"/>
      <c r="L183" s="658"/>
      <c r="M183" s="384"/>
      <c r="N183" s="384">
        <v>6</v>
      </c>
      <c r="O183" s="384" t="s">
        <v>4989</v>
      </c>
      <c r="P183" s="384" t="s">
        <v>230</v>
      </c>
      <c r="Q183" s="384" t="s">
        <v>187</v>
      </c>
      <c r="R183" s="384"/>
      <c r="S183" s="660"/>
      <c r="T183" s="396"/>
      <c r="U183" s="384"/>
      <c r="V183" s="384"/>
      <c r="W183" s="384"/>
      <c r="X183" s="384"/>
      <c r="Y183" s="442" t="s">
        <v>3983</v>
      </c>
      <c r="Z183" s="442"/>
      <c r="AA183" s="441"/>
      <c r="AB183" s="441"/>
      <c r="AC183" s="441"/>
      <c r="AD183" s="441"/>
      <c r="AE183" s="441"/>
      <c r="AF183" s="441"/>
      <c r="AG183" s="441"/>
      <c r="AH183" s="441"/>
      <c r="AI183" s="441"/>
      <c r="AJ183" s="441"/>
      <c r="AK183" s="395">
        <v>0</v>
      </c>
      <c r="AL183" s="395" t="s">
        <v>72</v>
      </c>
      <c r="AM183" s="395"/>
      <c r="AN183" s="395"/>
      <c r="AO183" s="395"/>
      <c r="AP183" s="410"/>
      <c r="AQ183" s="410"/>
    </row>
    <row r="184" spans="2:43" ht="15" customHeight="1">
      <c r="B184" s="394">
        <v>1</v>
      </c>
      <c r="C184" s="395" t="s">
        <v>592</v>
      </c>
      <c r="D184" s="417" t="s">
        <v>3984</v>
      </c>
      <c r="E184" s="662" t="s">
        <v>3985</v>
      </c>
      <c r="F184" s="417"/>
      <c r="G184" s="384"/>
      <c r="H184" s="768"/>
      <c r="I184" s="384"/>
      <c r="J184" s="384" t="s">
        <v>4981</v>
      </c>
      <c r="K184" s="657"/>
      <c r="L184" s="658"/>
      <c r="M184" s="384"/>
      <c r="N184" s="384">
        <v>6</v>
      </c>
      <c r="O184" s="384" t="s">
        <v>4989</v>
      </c>
      <c r="P184" s="384" t="s">
        <v>230</v>
      </c>
      <c r="Q184" s="384" t="s">
        <v>187</v>
      </c>
      <c r="R184" s="384"/>
      <c r="S184" s="660"/>
      <c r="T184" s="396"/>
      <c r="U184" s="384"/>
      <c r="V184" s="384"/>
      <c r="W184" s="384"/>
      <c r="X184" s="384"/>
      <c r="Y184" s="442" t="s">
        <v>3986</v>
      </c>
      <c r="Z184" s="442"/>
      <c r="AA184" s="441"/>
      <c r="AB184" s="441"/>
      <c r="AC184" s="441"/>
      <c r="AD184" s="441"/>
      <c r="AE184" s="441"/>
      <c r="AF184" s="441"/>
      <c r="AG184" s="441"/>
      <c r="AH184" s="441"/>
      <c r="AI184" s="441"/>
      <c r="AJ184" s="441"/>
      <c r="AK184" s="395">
        <v>0</v>
      </c>
      <c r="AL184" s="395" t="s">
        <v>72</v>
      </c>
      <c r="AM184" s="395"/>
      <c r="AN184" s="395"/>
      <c r="AO184" s="395"/>
      <c r="AP184" s="410"/>
      <c r="AQ184" s="410"/>
    </row>
    <row r="185" spans="2:43" ht="15" customHeight="1">
      <c r="B185" s="394">
        <v>1</v>
      </c>
      <c r="C185" s="395" t="s">
        <v>608</v>
      </c>
      <c r="D185" s="417" t="s">
        <v>3987</v>
      </c>
      <c r="E185" s="662" t="s">
        <v>3988</v>
      </c>
      <c r="F185" s="417"/>
      <c r="G185" s="384"/>
      <c r="H185" s="768"/>
      <c r="I185" s="384"/>
      <c r="J185" s="384" t="s">
        <v>4981</v>
      </c>
      <c r="K185" s="657"/>
      <c r="L185" s="658"/>
      <c r="M185" s="384"/>
      <c r="N185" s="384" t="s">
        <v>707</v>
      </c>
      <c r="O185" s="384"/>
      <c r="P185" s="384" t="s">
        <v>231</v>
      </c>
      <c r="Q185" s="384" t="s">
        <v>187</v>
      </c>
      <c r="R185" s="384"/>
      <c r="S185" s="660"/>
      <c r="T185" s="396"/>
      <c r="U185" s="384"/>
      <c r="V185" s="384"/>
      <c r="W185" s="384"/>
      <c r="X185" s="384"/>
      <c r="Y185" s="442" t="s">
        <v>3989</v>
      </c>
      <c r="Z185" s="442"/>
      <c r="AA185" s="441"/>
      <c r="AB185" s="441"/>
      <c r="AC185" s="441"/>
      <c r="AD185" s="441"/>
      <c r="AE185" s="441"/>
      <c r="AF185" s="441"/>
      <c r="AG185" s="441"/>
      <c r="AH185" s="441"/>
      <c r="AI185" s="441"/>
      <c r="AJ185" s="441"/>
      <c r="AK185" s="395"/>
      <c r="AL185" s="395"/>
      <c r="AM185" s="395">
        <v>0</v>
      </c>
      <c r="AN185" s="395"/>
      <c r="AO185" s="395"/>
      <c r="AP185" s="410"/>
      <c r="AQ185" s="410"/>
    </row>
    <row r="186" spans="2:43" ht="15" customHeight="1">
      <c r="B186" s="394">
        <v>1</v>
      </c>
      <c r="C186" s="395" t="s">
        <v>608</v>
      </c>
      <c r="D186" s="417" t="s">
        <v>3990</v>
      </c>
      <c r="E186" s="662" t="s">
        <v>3991</v>
      </c>
      <c r="F186" s="417"/>
      <c r="G186" s="384"/>
      <c r="H186" s="768"/>
      <c r="I186" s="384"/>
      <c r="J186" s="384" t="s">
        <v>4981</v>
      </c>
      <c r="K186" s="657"/>
      <c r="L186" s="658"/>
      <c r="M186" s="384"/>
      <c r="N186" s="384" t="s">
        <v>707</v>
      </c>
      <c r="O186" s="384"/>
      <c r="P186" s="384" t="s">
        <v>231</v>
      </c>
      <c r="Q186" s="384" t="s">
        <v>187</v>
      </c>
      <c r="R186" s="384"/>
      <c r="S186" s="660"/>
      <c r="T186" s="396"/>
      <c r="U186" s="384"/>
      <c r="V186" s="384"/>
      <c r="W186" s="384"/>
      <c r="X186" s="384"/>
      <c r="Y186" s="442" t="s">
        <v>3992</v>
      </c>
      <c r="Z186" s="442"/>
      <c r="AA186" s="441"/>
      <c r="AB186" s="441"/>
      <c r="AC186" s="441"/>
      <c r="AD186" s="441"/>
      <c r="AE186" s="441"/>
      <c r="AF186" s="441"/>
      <c r="AG186" s="441"/>
      <c r="AH186" s="441"/>
      <c r="AI186" s="441"/>
      <c r="AJ186" s="441"/>
      <c r="AK186" s="395"/>
      <c r="AL186" s="395"/>
      <c r="AM186" s="395">
        <v>0</v>
      </c>
      <c r="AN186" s="395"/>
      <c r="AO186" s="395"/>
      <c r="AP186" s="410"/>
      <c r="AQ186" s="410"/>
    </row>
    <row r="187" spans="2:43" ht="15" customHeight="1">
      <c r="B187" s="394">
        <v>1</v>
      </c>
      <c r="C187" s="395" t="s">
        <v>608</v>
      </c>
      <c r="D187" s="417" t="s">
        <v>3993</v>
      </c>
      <c r="E187" s="662" t="s">
        <v>3994</v>
      </c>
      <c r="F187" s="417"/>
      <c r="G187" s="384"/>
      <c r="H187" s="768"/>
      <c r="I187" s="384"/>
      <c r="J187" s="384" t="s">
        <v>4981</v>
      </c>
      <c r="K187" s="657"/>
      <c r="L187" s="658"/>
      <c r="M187" s="384"/>
      <c r="N187" s="384" t="s">
        <v>707</v>
      </c>
      <c r="O187" s="384"/>
      <c r="P187" s="384" t="s">
        <v>231</v>
      </c>
      <c r="Q187" s="384" t="s">
        <v>187</v>
      </c>
      <c r="R187" s="384"/>
      <c r="S187" s="660"/>
      <c r="T187" s="396"/>
      <c r="U187" s="384"/>
      <c r="V187" s="384"/>
      <c r="W187" s="384"/>
      <c r="X187" s="384"/>
      <c r="Y187" s="442" t="s">
        <v>3995</v>
      </c>
      <c r="Z187" s="442"/>
      <c r="AA187" s="441"/>
      <c r="AB187" s="441"/>
      <c r="AC187" s="441"/>
      <c r="AD187" s="441"/>
      <c r="AE187" s="441"/>
      <c r="AF187" s="441"/>
      <c r="AG187" s="441"/>
      <c r="AH187" s="441"/>
      <c r="AI187" s="441"/>
      <c r="AJ187" s="441"/>
      <c r="AK187" s="395"/>
      <c r="AL187" s="395"/>
      <c r="AM187" s="395">
        <v>0</v>
      </c>
      <c r="AN187" s="395"/>
      <c r="AO187" s="395"/>
      <c r="AP187" s="410"/>
      <c r="AQ187" s="410"/>
    </row>
    <row r="188" spans="2:43" ht="15" customHeight="1">
      <c r="B188" s="394">
        <v>1</v>
      </c>
      <c r="C188" s="395" t="s">
        <v>608</v>
      </c>
      <c r="D188" s="417" t="s">
        <v>3996</v>
      </c>
      <c r="E188" s="662" t="s">
        <v>3997</v>
      </c>
      <c r="F188" s="417"/>
      <c r="G188" s="384"/>
      <c r="H188" s="768"/>
      <c r="I188" s="384"/>
      <c r="J188" s="384" t="s">
        <v>4981</v>
      </c>
      <c r="K188" s="657"/>
      <c r="L188" s="658"/>
      <c r="M188" s="384"/>
      <c r="N188" s="384" t="s">
        <v>707</v>
      </c>
      <c r="O188" s="384"/>
      <c r="P188" s="384" t="s">
        <v>231</v>
      </c>
      <c r="Q188" s="384" t="s">
        <v>187</v>
      </c>
      <c r="R188" s="384"/>
      <c r="S188" s="660"/>
      <c r="T188" s="396"/>
      <c r="U188" s="384"/>
      <c r="V188" s="384"/>
      <c r="W188" s="384"/>
      <c r="X188" s="384"/>
      <c r="Y188" s="442" t="s">
        <v>3998</v>
      </c>
      <c r="Z188" s="442"/>
      <c r="AA188" s="441"/>
      <c r="AB188" s="441"/>
      <c r="AC188" s="441"/>
      <c r="AD188" s="441"/>
      <c r="AE188" s="441"/>
      <c r="AF188" s="441"/>
      <c r="AG188" s="441"/>
      <c r="AH188" s="441"/>
      <c r="AI188" s="441"/>
      <c r="AJ188" s="441"/>
      <c r="AK188" s="395"/>
      <c r="AL188" s="395"/>
      <c r="AM188" s="395">
        <v>0</v>
      </c>
      <c r="AN188" s="395"/>
      <c r="AO188" s="395"/>
      <c r="AP188" s="410"/>
      <c r="AQ188" s="410"/>
    </row>
    <row r="189" spans="2:43" ht="15" customHeight="1">
      <c r="B189" s="394">
        <v>1</v>
      </c>
      <c r="C189" s="395" t="s">
        <v>608</v>
      </c>
      <c r="D189" s="417" t="s">
        <v>3999</v>
      </c>
      <c r="E189" s="662" t="s">
        <v>4000</v>
      </c>
      <c r="F189" s="417"/>
      <c r="G189" s="384"/>
      <c r="H189" s="768"/>
      <c r="I189" s="384"/>
      <c r="J189" s="384" t="s">
        <v>4981</v>
      </c>
      <c r="K189" s="657"/>
      <c r="L189" s="658"/>
      <c r="M189" s="384"/>
      <c r="N189" s="384" t="s">
        <v>707</v>
      </c>
      <c r="O189" s="384"/>
      <c r="P189" s="384" t="s">
        <v>231</v>
      </c>
      <c r="Q189" s="384" t="s">
        <v>187</v>
      </c>
      <c r="R189" s="384"/>
      <c r="S189" s="660"/>
      <c r="T189" s="396"/>
      <c r="U189" s="384"/>
      <c r="V189" s="384"/>
      <c r="W189" s="384"/>
      <c r="X189" s="384"/>
      <c r="Y189" s="442" t="s">
        <v>4001</v>
      </c>
      <c r="Z189" s="442"/>
      <c r="AA189" s="441"/>
      <c r="AB189" s="441"/>
      <c r="AC189" s="441"/>
      <c r="AD189" s="441"/>
      <c r="AE189" s="441"/>
      <c r="AF189" s="441"/>
      <c r="AG189" s="441"/>
      <c r="AH189" s="441"/>
      <c r="AI189" s="441"/>
      <c r="AJ189" s="441"/>
      <c r="AK189" s="395"/>
      <c r="AL189" s="395"/>
      <c r="AM189" s="395">
        <v>0</v>
      </c>
      <c r="AN189" s="395"/>
      <c r="AO189" s="395"/>
      <c r="AP189" s="410"/>
      <c r="AQ189" s="410"/>
    </row>
    <row r="190" spans="2:43" ht="15" customHeight="1">
      <c r="B190" s="394">
        <v>1</v>
      </c>
      <c r="C190" s="395" t="s">
        <v>608</v>
      </c>
      <c r="D190" s="417" t="s">
        <v>4002</v>
      </c>
      <c r="E190" s="662" t="s">
        <v>4003</v>
      </c>
      <c r="F190" s="417"/>
      <c r="G190" s="384"/>
      <c r="H190" s="768"/>
      <c r="I190" s="384"/>
      <c r="J190" s="384" t="s">
        <v>4981</v>
      </c>
      <c r="K190" s="657"/>
      <c r="L190" s="658"/>
      <c r="M190" s="384"/>
      <c r="N190" s="384" t="s">
        <v>707</v>
      </c>
      <c r="O190" s="384"/>
      <c r="P190" s="384" t="s">
        <v>231</v>
      </c>
      <c r="Q190" s="384" t="s">
        <v>187</v>
      </c>
      <c r="R190" s="384"/>
      <c r="S190" s="660"/>
      <c r="T190" s="396"/>
      <c r="U190" s="384"/>
      <c r="V190" s="384"/>
      <c r="W190" s="384"/>
      <c r="X190" s="384"/>
      <c r="Y190" s="442" t="s">
        <v>4004</v>
      </c>
      <c r="Z190" s="442"/>
      <c r="AA190" s="441"/>
      <c r="AB190" s="441"/>
      <c r="AC190" s="441"/>
      <c r="AD190" s="441"/>
      <c r="AE190" s="441"/>
      <c r="AF190" s="441"/>
      <c r="AG190" s="441"/>
      <c r="AH190" s="441"/>
      <c r="AI190" s="441"/>
      <c r="AJ190" s="441"/>
      <c r="AK190" s="395"/>
      <c r="AL190" s="395"/>
      <c r="AM190" s="395">
        <v>0</v>
      </c>
      <c r="AN190" s="395"/>
      <c r="AO190" s="395"/>
      <c r="AP190" s="410"/>
      <c r="AQ190" s="410"/>
    </row>
    <row r="191" spans="2:43" ht="15" customHeight="1">
      <c r="B191" s="394">
        <v>1</v>
      </c>
      <c r="C191" s="395" t="s">
        <v>613</v>
      </c>
      <c r="D191" s="417" t="s">
        <v>4005</v>
      </c>
      <c r="E191" s="662" t="s">
        <v>4006</v>
      </c>
      <c r="F191" s="417"/>
      <c r="G191" s="384"/>
      <c r="H191" s="768"/>
      <c r="I191" s="384"/>
      <c r="J191" s="384" t="s">
        <v>4981</v>
      </c>
      <c r="K191" s="657"/>
      <c r="L191" s="658"/>
      <c r="M191" s="384"/>
      <c r="N191" s="384"/>
      <c r="O191" s="384"/>
      <c r="P191" s="384"/>
      <c r="Q191" s="384"/>
      <c r="R191" s="384"/>
      <c r="S191" s="660"/>
      <c r="T191" s="396"/>
      <c r="U191" s="384"/>
      <c r="V191" s="384"/>
      <c r="W191" s="384"/>
      <c r="X191" s="384"/>
      <c r="Y191" s="442" t="s">
        <v>4007</v>
      </c>
      <c r="Z191" s="442"/>
      <c r="AA191" s="441"/>
      <c r="AB191" s="441"/>
      <c r="AC191" s="441"/>
      <c r="AD191" s="441"/>
      <c r="AE191" s="441"/>
      <c r="AF191" s="441"/>
      <c r="AG191" s="441"/>
      <c r="AH191" s="441"/>
      <c r="AI191" s="441"/>
      <c r="AJ191" s="441"/>
      <c r="AK191" s="395"/>
      <c r="AL191" s="395"/>
      <c r="AM191" s="395"/>
      <c r="AN191" s="395"/>
      <c r="AO191" s="395"/>
      <c r="AP191" s="410"/>
      <c r="AQ191" s="410"/>
    </row>
    <row r="192" spans="2:43" ht="15" customHeight="1">
      <c r="B192" s="394">
        <v>1</v>
      </c>
      <c r="C192" s="395" t="s">
        <v>607</v>
      </c>
      <c r="D192" s="417" t="s">
        <v>4008</v>
      </c>
      <c r="E192" s="662" t="s">
        <v>5083</v>
      </c>
      <c r="F192" s="417"/>
      <c r="G192" s="384"/>
      <c r="H192" s="768"/>
      <c r="I192" s="384"/>
      <c r="J192" s="384" t="s">
        <v>4982</v>
      </c>
      <c r="K192" s="657"/>
      <c r="L192" s="658"/>
      <c r="M192" s="384"/>
      <c r="N192" s="384">
        <v>1</v>
      </c>
      <c r="O192" s="384" t="s">
        <v>4992</v>
      </c>
      <c r="P192" s="384" t="s">
        <v>426</v>
      </c>
      <c r="Q192" s="384" t="s">
        <v>187</v>
      </c>
      <c r="R192" s="384"/>
      <c r="S192" s="660"/>
      <c r="T192" s="396"/>
      <c r="U192" s="384"/>
      <c r="V192" s="384"/>
      <c r="W192" s="384"/>
      <c r="X192" s="384"/>
      <c r="Y192" s="442" t="s">
        <v>3131</v>
      </c>
      <c r="Z192" s="442"/>
      <c r="AA192" s="441"/>
      <c r="AB192" s="441"/>
      <c r="AC192" s="441"/>
      <c r="AD192" s="441"/>
      <c r="AE192" s="441"/>
      <c r="AF192" s="441"/>
      <c r="AG192" s="441"/>
      <c r="AH192" s="441"/>
      <c r="AI192" s="441"/>
      <c r="AJ192" s="441"/>
      <c r="AK192" s="395"/>
      <c r="AL192" s="395"/>
      <c r="AM192" s="395">
        <v>0</v>
      </c>
      <c r="AN192" s="395"/>
      <c r="AO192" s="395"/>
      <c r="AP192" s="410"/>
      <c r="AQ192" s="410"/>
    </row>
    <row r="193" spans="2:43" ht="15" customHeight="1">
      <c r="B193" s="394">
        <v>1</v>
      </c>
      <c r="C193" s="395" t="s">
        <v>607</v>
      </c>
      <c r="D193" s="417" t="s">
        <v>4009</v>
      </c>
      <c r="E193" s="662" t="s">
        <v>5084</v>
      </c>
      <c r="F193" s="417"/>
      <c r="G193" s="384"/>
      <c r="H193" s="768"/>
      <c r="I193" s="384"/>
      <c r="J193" s="384" t="s">
        <v>4982</v>
      </c>
      <c r="K193" s="657"/>
      <c r="L193" s="658"/>
      <c r="M193" s="384"/>
      <c r="N193" s="384">
        <v>1</v>
      </c>
      <c r="O193" s="384" t="s">
        <v>4992</v>
      </c>
      <c r="P193" s="384" t="s">
        <v>426</v>
      </c>
      <c r="Q193" s="384" t="s">
        <v>187</v>
      </c>
      <c r="R193" s="384"/>
      <c r="S193" s="660"/>
      <c r="T193" s="396"/>
      <c r="U193" s="384"/>
      <c r="V193" s="384"/>
      <c r="W193" s="384"/>
      <c r="X193" s="384"/>
      <c r="Y193" s="442" t="s">
        <v>3134</v>
      </c>
      <c r="Z193" s="442"/>
      <c r="AA193" s="441"/>
      <c r="AB193" s="441"/>
      <c r="AC193" s="441"/>
      <c r="AD193" s="441"/>
      <c r="AE193" s="441"/>
      <c r="AF193" s="441"/>
      <c r="AG193" s="441"/>
      <c r="AH193" s="441"/>
      <c r="AI193" s="441"/>
      <c r="AJ193" s="441"/>
      <c r="AK193" s="395"/>
      <c r="AL193" s="395"/>
      <c r="AM193" s="395">
        <v>0</v>
      </c>
      <c r="AN193" s="395"/>
      <c r="AO193" s="395"/>
      <c r="AP193" s="410"/>
      <c r="AQ193" s="410"/>
    </row>
    <row r="194" spans="2:43" ht="15" customHeight="1">
      <c r="B194" s="394">
        <v>1</v>
      </c>
      <c r="C194" s="395" t="s">
        <v>607</v>
      </c>
      <c r="D194" s="417" t="s">
        <v>4010</v>
      </c>
      <c r="E194" s="662" t="s">
        <v>5085</v>
      </c>
      <c r="F194" s="417"/>
      <c r="G194" s="384"/>
      <c r="H194" s="768"/>
      <c r="I194" s="384"/>
      <c r="J194" s="384" t="s">
        <v>4982</v>
      </c>
      <c r="K194" s="657"/>
      <c r="L194" s="658"/>
      <c r="M194" s="384"/>
      <c r="N194" s="384">
        <v>1</v>
      </c>
      <c r="O194" s="384" t="s">
        <v>4992</v>
      </c>
      <c r="P194" s="384" t="s">
        <v>426</v>
      </c>
      <c r="Q194" s="384" t="s">
        <v>187</v>
      </c>
      <c r="R194" s="384"/>
      <c r="S194" s="660"/>
      <c r="T194" s="396"/>
      <c r="U194" s="384"/>
      <c r="V194" s="384"/>
      <c r="W194" s="384"/>
      <c r="X194" s="384"/>
      <c r="Y194" s="442" t="s">
        <v>3137</v>
      </c>
      <c r="Z194" s="442"/>
      <c r="AA194" s="441"/>
      <c r="AB194" s="441"/>
      <c r="AC194" s="441"/>
      <c r="AD194" s="441"/>
      <c r="AE194" s="441"/>
      <c r="AF194" s="441"/>
      <c r="AG194" s="441"/>
      <c r="AH194" s="441"/>
      <c r="AI194" s="441"/>
      <c r="AJ194" s="441"/>
      <c r="AK194" s="395"/>
      <c r="AL194" s="395"/>
      <c r="AM194" s="395">
        <v>0</v>
      </c>
      <c r="AN194" s="395"/>
      <c r="AO194" s="395"/>
      <c r="AP194" s="410"/>
      <c r="AQ194" s="410"/>
    </row>
    <row r="195" spans="2:43" ht="15" customHeight="1">
      <c r="B195" s="394">
        <v>1</v>
      </c>
      <c r="C195" s="395" t="s">
        <v>607</v>
      </c>
      <c r="D195" s="417" t="s">
        <v>4011</v>
      </c>
      <c r="E195" s="662" t="s">
        <v>5086</v>
      </c>
      <c r="F195" s="417"/>
      <c r="G195" s="384"/>
      <c r="H195" s="768"/>
      <c r="I195" s="384"/>
      <c r="J195" s="384" t="s">
        <v>4982</v>
      </c>
      <c r="K195" s="657"/>
      <c r="L195" s="658"/>
      <c r="M195" s="384"/>
      <c r="N195" s="384">
        <v>1</v>
      </c>
      <c r="O195" s="384" t="s">
        <v>4992</v>
      </c>
      <c r="P195" s="384" t="s">
        <v>426</v>
      </c>
      <c r="Q195" s="384" t="s">
        <v>187</v>
      </c>
      <c r="R195" s="384"/>
      <c r="S195" s="660"/>
      <c r="T195" s="396"/>
      <c r="U195" s="384"/>
      <c r="V195" s="384"/>
      <c r="W195" s="384"/>
      <c r="X195" s="384"/>
      <c r="Y195" s="442" t="s">
        <v>3413</v>
      </c>
      <c r="Z195" s="442"/>
      <c r="AA195" s="441"/>
      <c r="AB195" s="441"/>
      <c r="AC195" s="441"/>
      <c r="AD195" s="441"/>
      <c r="AE195" s="441"/>
      <c r="AF195" s="441"/>
      <c r="AG195" s="441"/>
      <c r="AH195" s="441"/>
      <c r="AI195" s="441"/>
      <c r="AJ195" s="441"/>
      <c r="AK195" s="395"/>
      <c r="AL195" s="395"/>
      <c r="AM195" s="395">
        <v>0</v>
      </c>
      <c r="AN195" s="395"/>
      <c r="AO195" s="395"/>
      <c r="AP195" s="410"/>
      <c r="AQ195" s="410"/>
    </row>
    <row r="196" spans="2:43" ht="15" customHeight="1">
      <c r="B196" s="394">
        <v>1</v>
      </c>
      <c r="C196" s="395" t="s">
        <v>607</v>
      </c>
      <c r="D196" s="417" t="s">
        <v>4012</v>
      </c>
      <c r="E196" s="662" t="s">
        <v>5087</v>
      </c>
      <c r="F196" s="417"/>
      <c r="G196" s="384"/>
      <c r="H196" s="768"/>
      <c r="I196" s="384"/>
      <c r="J196" s="384" t="s">
        <v>4982</v>
      </c>
      <c r="K196" s="657"/>
      <c r="L196" s="658"/>
      <c r="M196" s="384"/>
      <c r="N196" s="384">
        <v>1</v>
      </c>
      <c r="O196" s="384" t="s">
        <v>4992</v>
      </c>
      <c r="P196" s="384" t="s">
        <v>426</v>
      </c>
      <c r="Q196" s="384" t="s">
        <v>187</v>
      </c>
      <c r="R196" s="384"/>
      <c r="S196" s="660"/>
      <c r="T196" s="396"/>
      <c r="U196" s="384"/>
      <c r="V196" s="384"/>
      <c r="W196" s="384"/>
      <c r="X196" s="384"/>
      <c r="Y196" s="442" t="s">
        <v>3414</v>
      </c>
      <c r="Z196" s="442"/>
      <c r="AA196" s="441"/>
      <c r="AB196" s="441"/>
      <c r="AC196" s="441"/>
      <c r="AD196" s="441"/>
      <c r="AE196" s="441"/>
      <c r="AF196" s="441"/>
      <c r="AG196" s="441"/>
      <c r="AH196" s="441"/>
      <c r="AI196" s="441"/>
      <c r="AJ196" s="441"/>
      <c r="AK196" s="395"/>
      <c r="AL196" s="395"/>
      <c r="AM196" s="395">
        <v>0</v>
      </c>
      <c r="AN196" s="395"/>
      <c r="AO196" s="395"/>
      <c r="AP196" s="410"/>
      <c r="AQ196" s="410"/>
    </row>
    <row r="197" spans="2:43" ht="15" customHeight="1">
      <c r="B197" s="394">
        <v>1</v>
      </c>
      <c r="C197" s="395" t="s">
        <v>607</v>
      </c>
      <c r="D197" s="417" t="s">
        <v>4013</v>
      </c>
      <c r="E197" s="662" t="s">
        <v>5088</v>
      </c>
      <c r="F197" s="417"/>
      <c r="G197" s="384"/>
      <c r="H197" s="768"/>
      <c r="I197" s="384"/>
      <c r="J197" s="384" t="s">
        <v>4982</v>
      </c>
      <c r="K197" s="657"/>
      <c r="L197" s="658"/>
      <c r="M197" s="384"/>
      <c r="N197" s="384">
        <v>3</v>
      </c>
      <c r="O197" s="384" t="s">
        <v>4992</v>
      </c>
      <c r="P197" s="384" t="s">
        <v>426</v>
      </c>
      <c r="Q197" s="384" t="s">
        <v>187</v>
      </c>
      <c r="R197" s="384"/>
      <c r="S197" s="660"/>
      <c r="T197" s="396"/>
      <c r="U197" s="384"/>
      <c r="V197" s="384"/>
      <c r="W197" s="384"/>
      <c r="X197" s="384"/>
      <c r="Y197" s="442" t="s">
        <v>4014</v>
      </c>
      <c r="Z197" s="442"/>
      <c r="AA197" s="441"/>
      <c r="AB197" s="441"/>
      <c r="AC197" s="441"/>
      <c r="AD197" s="441"/>
      <c r="AE197" s="441"/>
      <c r="AF197" s="441"/>
      <c r="AG197" s="441"/>
      <c r="AH197" s="441"/>
      <c r="AI197" s="441"/>
      <c r="AJ197" s="441"/>
      <c r="AK197" s="395"/>
      <c r="AL197" s="395"/>
      <c r="AM197" s="395">
        <v>0</v>
      </c>
      <c r="AN197" s="395"/>
      <c r="AO197" s="395"/>
      <c r="AP197" s="410"/>
      <c r="AQ197" s="410"/>
    </row>
    <row r="198" spans="2:43" ht="15" customHeight="1">
      <c r="B198" s="394">
        <v>1</v>
      </c>
      <c r="C198" s="395" t="s">
        <v>607</v>
      </c>
      <c r="D198" s="417" t="s">
        <v>4015</v>
      </c>
      <c r="E198" s="662" t="s">
        <v>5089</v>
      </c>
      <c r="F198" s="417"/>
      <c r="G198" s="384"/>
      <c r="H198" s="768"/>
      <c r="I198" s="384"/>
      <c r="J198" s="384" t="s">
        <v>4982</v>
      </c>
      <c r="K198" s="657"/>
      <c r="L198" s="658"/>
      <c r="M198" s="384"/>
      <c r="N198" s="384">
        <v>3</v>
      </c>
      <c r="O198" s="384" t="s">
        <v>4992</v>
      </c>
      <c r="P198" s="384" t="s">
        <v>426</v>
      </c>
      <c r="Q198" s="384" t="s">
        <v>187</v>
      </c>
      <c r="R198" s="384"/>
      <c r="S198" s="660"/>
      <c r="T198" s="396"/>
      <c r="U198" s="384"/>
      <c r="V198" s="384"/>
      <c r="W198" s="384"/>
      <c r="X198" s="384"/>
      <c r="Y198" s="442" t="s">
        <v>4016</v>
      </c>
      <c r="Z198" s="442"/>
      <c r="AA198" s="441"/>
      <c r="AB198" s="441"/>
      <c r="AC198" s="441"/>
      <c r="AD198" s="441"/>
      <c r="AE198" s="441"/>
      <c r="AF198" s="441"/>
      <c r="AG198" s="441"/>
      <c r="AH198" s="441"/>
      <c r="AI198" s="441"/>
      <c r="AJ198" s="441"/>
      <c r="AK198" s="395"/>
      <c r="AL198" s="395"/>
      <c r="AM198" s="395">
        <v>0</v>
      </c>
      <c r="AN198" s="395"/>
      <c r="AO198" s="395"/>
      <c r="AP198" s="410"/>
      <c r="AQ198" s="410"/>
    </row>
    <row r="199" spans="2:43" ht="15" customHeight="1">
      <c r="B199" s="394">
        <v>1</v>
      </c>
      <c r="C199" s="395" t="s">
        <v>607</v>
      </c>
      <c r="D199" s="417" t="s">
        <v>4017</v>
      </c>
      <c r="E199" s="662" t="s">
        <v>5090</v>
      </c>
      <c r="F199" s="417"/>
      <c r="G199" s="384"/>
      <c r="H199" s="768"/>
      <c r="I199" s="384"/>
      <c r="J199" s="384" t="s">
        <v>4982</v>
      </c>
      <c r="K199" s="657"/>
      <c r="L199" s="658"/>
      <c r="M199" s="384"/>
      <c r="N199" s="384">
        <v>1</v>
      </c>
      <c r="O199" s="384" t="s">
        <v>4992</v>
      </c>
      <c r="P199" s="384" t="s">
        <v>426</v>
      </c>
      <c r="Q199" s="384" t="s">
        <v>187</v>
      </c>
      <c r="R199" s="384"/>
      <c r="S199" s="660"/>
      <c r="T199" s="396"/>
      <c r="U199" s="384"/>
      <c r="V199" s="384"/>
      <c r="W199" s="384"/>
      <c r="X199" s="384"/>
      <c r="Y199" s="442" t="s">
        <v>4018</v>
      </c>
      <c r="Z199" s="442"/>
      <c r="AA199" s="441"/>
      <c r="AB199" s="441"/>
      <c r="AC199" s="441"/>
      <c r="AD199" s="441"/>
      <c r="AE199" s="441"/>
      <c r="AF199" s="441"/>
      <c r="AG199" s="441"/>
      <c r="AH199" s="441"/>
      <c r="AI199" s="441"/>
      <c r="AJ199" s="441"/>
      <c r="AK199" s="395"/>
      <c r="AL199" s="395"/>
      <c r="AM199" s="395">
        <v>0</v>
      </c>
      <c r="AN199" s="395"/>
      <c r="AO199" s="395"/>
      <c r="AP199" s="410"/>
      <c r="AQ199" s="410"/>
    </row>
    <row r="200" spans="2:43" ht="15" customHeight="1">
      <c r="B200" s="394">
        <v>1</v>
      </c>
      <c r="C200" s="395" t="s">
        <v>607</v>
      </c>
      <c r="D200" s="417" t="s">
        <v>4019</v>
      </c>
      <c r="E200" s="662" t="s">
        <v>5091</v>
      </c>
      <c r="F200" s="417"/>
      <c r="G200" s="384"/>
      <c r="H200" s="768"/>
      <c r="I200" s="384"/>
      <c r="J200" s="384" t="s">
        <v>4982</v>
      </c>
      <c r="K200" s="657"/>
      <c r="L200" s="658"/>
      <c r="M200" s="384"/>
      <c r="N200" s="384">
        <v>1</v>
      </c>
      <c r="O200" s="384" t="s">
        <v>4992</v>
      </c>
      <c r="P200" s="384" t="s">
        <v>426</v>
      </c>
      <c r="Q200" s="384" t="s">
        <v>187</v>
      </c>
      <c r="R200" s="384"/>
      <c r="S200" s="660"/>
      <c r="T200" s="396"/>
      <c r="U200" s="384"/>
      <c r="V200" s="384"/>
      <c r="W200" s="384"/>
      <c r="X200" s="384"/>
      <c r="Y200" s="442" t="s">
        <v>4020</v>
      </c>
      <c r="Z200" s="442"/>
      <c r="AA200" s="441"/>
      <c r="AB200" s="441"/>
      <c r="AC200" s="441"/>
      <c r="AD200" s="441"/>
      <c r="AE200" s="441"/>
      <c r="AF200" s="441"/>
      <c r="AG200" s="441"/>
      <c r="AH200" s="441"/>
      <c r="AI200" s="441"/>
      <c r="AJ200" s="441"/>
      <c r="AK200" s="395"/>
      <c r="AL200" s="395"/>
      <c r="AM200" s="395">
        <v>0</v>
      </c>
      <c r="AN200" s="395"/>
      <c r="AO200" s="395"/>
      <c r="AP200" s="410"/>
      <c r="AQ200" s="410"/>
    </row>
    <row r="201" spans="2:43" ht="15" customHeight="1">
      <c r="B201" s="394">
        <v>1</v>
      </c>
      <c r="C201" s="395" t="s">
        <v>607</v>
      </c>
      <c r="D201" s="417" t="s">
        <v>4021</v>
      </c>
      <c r="E201" s="662" t="s">
        <v>5092</v>
      </c>
      <c r="F201" s="417"/>
      <c r="G201" s="384"/>
      <c r="H201" s="768"/>
      <c r="I201" s="384"/>
      <c r="J201" s="384" t="s">
        <v>4982</v>
      </c>
      <c r="K201" s="657"/>
      <c r="L201" s="658"/>
      <c r="M201" s="384"/>
      <c r="N201" s="384">
        <v>1</v>
      </c>
      <c r="O201" s="384" t="s">
        <v>4992</v>
      </c>
      <c r="P201" s="384" t="s">
        <v>426</v>
      </c>
      <c r="Q201" s="384" t="s">
        <v>187</v>
      </c>
      <c r="R201" s="384"/>
      <c r="S201" s="660"/>
      <c r="T201" s="396"/>
      <c r="U201" s="384"/>
      <c r="V201" s="384"/>
      <c r="W201" s="384"/>
      <c r="X201" s="384"/>
      <c r="Y201" s="442" t="s">
        <v>4022</v>
      </c>
      <c r="Z201" s="442"/>
      <c r="AA201" s="441"/>
      <c r="AB201" s="441"/>
      <c r="AC201" s="441"/>
      <c r="AD201" s="441"/>
      <c r="AE201" s="441"/>
      <c r="AF201" s="441"/>
      <c r="AG201" s="441"/>
      <c r="AH201" s="441"/>
      <c r="AI201" s="441"/>
      <c r="AJ201" s="441"/>
      <c r="AK201" s="395"/>
      <c r="AL201" s="395"/>
      <c r="AM201" s="395">
        <v>0</v>
      </c>
      <c r="AN201" s="395"/>
      <c r="AO201" s="395"/>
      <c r="AP201" s="410"/>
      <c r="AQ201" s="410"/>
    </row>
    <row r="202" spans="2:43" ht="15" customHeight="1">
      <c r="B202" s="394">
        <v>1</v>
      </c>
      <c r="C202" s="395" t="s">
        <v>607</v>
      </c>
      <c r="D202" s="417" t="s">
        <v>4023</v>
      </c>
      <c r="E202" s="662" t="s">
        <v>5093</v>
      </c>
      <c r="F202" s="417"/>
      <c r="G202" s="384"/>
      <c r="H202" s="768"/>
      <c r="I202" s="384"/>
      <c r="J202" s="384" t="s">
        <v>4982</v>
      </c>
      <c r="K202" s="657"/>
      <c r="L202" s="658"/>
      <c r="M202" s="384"/>
      <c r="N202" s="384">
        <v>1</v>
      </c>
      <c r="O202" s="384" t="s">
        <v>4992</v>
      </c>
      <c r="P202" s="384" t="s">
        <v>426</v>
      </c>
      <c r="Q202" s="384" t="s">
        <v>187</v>
      </c>
      <c r="R202" s="384"/>
      <c r="S202" s="660"/>
      <c r="T202" s="396"/>
      <c r="U202" s="384"/>
      <c r="V202" s="384"/>
      <c r="W202" s="384"/>
      <c r="X202" s="384"/>
      <c r="Y202" s="442" t="s">
        <v>4024</v>
      </c>
      <c r="Z202" s="442"/>
      <c r="AA202" s="441"/>
      <c r="AB202" s="441"/>
      <c r="AC202" s="441"/>
      <c r="AD202" s="441"/>
      <c r="AE202" s="441"/>
      <c r="AF202" s="441"/>
      <c r="AG202" s="441"/>
      <c r="AH202" s="441"/>
      <c r="AI202" s="441"/>
      <c r="AJ202" s="441"/>
      <c r="AK202" s="395"/>
      <c r="AL202" s="395"/>
      <c r="AM202" s="395">
        <v>0</v>
      </c>
      <c r="AN202" s="395"/>
      <c r="AO202" s="395"/>
      <c r="AP202" s="410"/>
      <c r="AQ202" s="410"/>
    </row>
    <row r="203" spans="2:43" ht="15" customHeight="1">
      <c r="B203" s="394">
        <v>1</v>
      </c>
      <c r="C203" s="395" t="s">
        <v>607</v>
      </c>
      <c r="D203" s="417" t="s">
        <v>4025</v>
      </c>
      <c r="E203" s="662" t="s">
        <v>5094</v>
      </c>
      <c r="F203" s="417"/>
      <c r="G203" s="384"/>
      <c r="H203" s="768"/>
      <c r="I203" s="384"/>
      <c r="J203" s="384" t="s">
        <v>4982</v>
      </c>
      <c r="K203" s="657"/>
      <c r="L203" s="658"/>
      <c r="M203" s="384"/>
      <c r="N203" s="384">
        <v>1</v>
      </c>
      <c r="O203" s="384" t="s">
        <v>4992</v>
      </c>
      <c r="P203" s="384" t="s">
        <v>426</v>
      </c>
      <c r="Q203" s="384" t="s">
        <v>187</v>
      </c>
      <c r="R203" s="384"/>
      <c r="S203" s="660"/>
      <c r="T203" s="396"/>
      <c r="U203" s="384"/>
      <c r="V203" s="384"/>
      <c r="W203" s="384"/>
      <c r="X203" s="384"/>
      <c r="Y203" s="442" t="s">
        <v>4026</v>
      </c>
      <c r="Z203" s="442"/>
      <c r="AA203" s="441"/>
      <c r="AB203" s="441"/>
      <c r="AC203" s="441"/>
      <c r="AD203" s="441"/>
      <c r="AE203" s="441"/>
      <c r="AF203" s="441"/>
      <c r="AG203" s="441"/>
      <c r="AH203" s="441"/>
      <c r="AI203" s="441"/>
      <c r="AJ203" s="441"/>
      <c r="AK203" s="395"/>
      <c r="AL203" s="395"/>
      <c r="AM203" s="395">
        <v>0</v>
      </c>
      <c r="AN203" s="395"/>
      <c r="AO203" s="395"/>
      <c r="AP203" s="410"/>
      <c r="AQ203" s="410"/>
    </row>
    <row r="204" spans="2:43" ht="15" customHeight="1">
      <c r="B204" s="394">
        <v>1</v>
      </c>
      <c r="C204" s="395" t="s">
        <v>607</v>
      </c>
      <c r="D204" s="417" t="s">
        <v>4027</v>
      </c>
      <c r="E204" s="662" t="s">
        <v>5095</v>
      </c>
      <c r="F204" s="417"/>
      <c r="G204" s="384"/>
      <c r="H204" s="768"/>
      <c r="I204" s="384"/>
      <c r="J204" s="384" t="s">
        <v>4982</v>
      </c>
      <c r="K204" s="657"/>
      <c r="L204" s="658"/>
      <c r="M204" s="384"/>
      <c r="N204" s="384">
        <v>1</v>
      </c>
      <c r="O204" s="384" t="s">
        <v>4992</v>
      </c>
      <c r="P204" s="384" t="s">
        <v>426</v>
      </c>
      <c r="Q204" s="384" t="s">
        <v>187</v>
      </c>
      <c r="R204" s="384"/>
      <c r="S204" s="660"/>
      <c r="T204" s="396"/>
      <c r="U204" s="384"/>
      <c r="V204" s="384"/>
      <c r="W204" s="384"/>
      <c r="X204" s="384"/>
      <c r="Y204" s="442" t="s">
        <v>4028</v>
      </c>
      <c r="Z204" s="442"/>
      <c r="AA204" s="441"/>
      <c r="AB204" s="441"/>
      <c r="AC204" s="441"/>
      <c r="AD204" s="441"/>
      <c r="AE204" s="441"/>
      <c r="AF204" s="441"/>
      <c r="AG204" s="441"/>
      <c r="AH204" s="441"/>
      <c r="AI204" s="441"/>
      <c r="AJ204" s="441"/>
      <c r="AK204" s="395"/>
      <c r="AL204" s="395"/>
      <c r="AM204" s="395">
        <v>0</v>
      </c>
      <c r="AN204" s="395"/>
      <c r="AO204" s="395"/>
      <c r="AP204" s="410"/>
      <c r="AQ204" s="410"/>
    </row>
    <row r="205" spans="2:43" ht="15" customHeight="1">
      <c r="B205" s="394">
        <v>1</v>
      </c>
      <c r="C205" s="395" t="s">
        <v>607</v>
      </c>
      <c r="D205" s="417" t="s">
        <v>4029</v>
      </c>
      <c r="E205" s="662" t="s">
        <v>5096</v>
      </c>
      <c r="F205" s="417"/>
      <c r="G205" s="384"/>
      <c r="H205" s="768"/>
      <c r="I205" s="384"/>
      <c r="J205" s="384" t="s">
        <v>4982</v>
      </c>
      <c r="K205" s="657"/>
      <c r="L205" s="658"/>
      <c r="M205" s="384"/>
      <c r="N205" s="384">
        <v>4</v>
      </c>
      <c r="O205" s="384" t="s">
        <v>4992</v>
      </c>
      <c r="P205" s="384" t="s">
        <v>426</v>
      </c>
      <c r="Q205" s="384" t="s">
        <v>187</v>
      </c>
      <c r="R205" s="384"/>
      <c r="S205" s="660"/>
      <c r="T205" s="396"/>
      <c r="U205" s="384"/>
      <c r="V205" s="384"/>
      <c r="W205" s="384"/>
      <c r="X205" s="384"/>
      <c r="Y205" s="442" t="s">
        <v>4030</v>
      </c>
      <c r="Z205" s="442"/>
      <c r="AA205" s="441"/>
      <c r="AB205" s="441"/>
      <c r="AC205" s="441"/>
      <c r="AD205" s="441"/>
      <c r="AE205" s="441"/>
      <c r="AF205" s="441"/>
      <c r="AG205" s="441"/>
      <c r="AH205" s="441"/>
      <c r="AI205" s="441"/>
      <c r="AJ205" s="441"/>
      <c r="AK205" s="395"/>
      <c r="AL205" s="395"/>
      <c r="AM205" s="395">
        <v>0</v>
      </c>
      <c r="AN205" s="395"/>
      <c r="AO205" s="395"/>
      <c r="AP205" s="410"/>
      <c r="AQ205" s="410"/>
    </row>
    <row r="206" spans="2:43" ht="15" customHeight="1">
      <c r="B206" s="394">
        <v>1</v>
      </c>
      <c r="C206" s="395" t="s">
        <v>607</v>
      </c>
      <c r="D206" s="417" t="s">
        <v>4031</v>
      </c>
      <c r="E206" s="662" t="s">
        <v>5097</v>
      </c>
      <c r="F206" s="417"/>
      <c r="G206" s="384"/>
      <c r="H206" s="768"/>
      <c r="I206" s="384"/>
      <c r="J206" s="384" t="s">
        <v>4982</v>
      </c>
      <c r="K206" s="657"/>
      <c r="L206" s="658"/>
      <c r="M206" s="384"/>
      <c r="N206" s="384">
        <v>4</v>
      </c>
      <c r="O206" s="384" t="s">
        <v>4992</v>
      </c>
      <c r="P206" s="384" t="s">
        <v>426</v>
      </c>
      <c r="Q206" s="384" t="s">
        <v>187</v>
      </c>
      <c r="R206" s="384"/>
      <c r="S206" s="660"/>
      <c r="T206" s="396"/>
      <c r="U206" s="384"/>
      <c r="V206" s="384"/>
      <c r="W206" s="384"/>
      <c r="X206" s="384"/>
      <c r="Y206" s="442" t="s">
        <v>4032</v>
      </c>
      <c r="Z206" s="442"/>
      <c r="AA206" s="441"/>
      <c r="AB206" s="441"/>
      <c r="AC206" s="441"/>
      <c r="AD206" s="441"/>
      <c r="AE206" s="441"/>
      <c r="AF206" s="441"/>
      <c r="AG206" s="441"/>
      <c r="AH206" s="441"/>
      <c r="AI206" s="441"/>
      <c r="AJ206" s="441"/>
      <c r="AK206" s="395"/>
      <c r="AL206" s="395"/>
      <c r="AM206" s="395">
        <v>0</v>
      </c>
      <c r="AN206" s="395"/>
      <c r="AO206" s="395"/>
      <c r="AP206" s="410"/>
      <c r="AQ206" s="410"/>
    </row>
    <row r="207" spans="2:43" ht="15" customHeight="1">
      <c r="B207" s="394">
        <v>1</v>
      </c>
      <c r="C207" s="395" t="s">
        <v>607</v>
      </c>
      <c r="D207" s="417" t="s">
        <v>4033</v>
      </c>
      <c r="E207" s="662" t="s">
        <v>4034</v>
      </c>
      <c r="F207" s="417"/>
      <c r="G207" s="384"/>
      <c r="H207" s="768"/>
      <c r="I207" s="384"/>
      <c r="J207" s="384" t="s">
        <v>4982</v>
      </c>
      <c r="K207" s="657"/>
      <c r="L207" s="658"/>
      <c r="M207" s="384"/>
      <c r="N207" s="384">
        <v>4</v>
      </c>
      <c r="O207" s="384" t="s">
        <v>4992</v>
      </c>
      <c r="P207" s="384" t="s">
        <v>426</v>
      </c>
      <c r="Q207" s="384" t="s">
        <v>187</v>
      </c>
      <c r="R207" s="384"/>
      <c r="S207" s="660"/>
      <c r="T207" s="396"/>
      <c r="U207" s="384"/>
      <c r="V207" s="384"/>
      <c r="W207" s="384"/>
      <c r="X207" s="384"/>
      <c r="Y207" s="442" t="s">
        <v>4035</v>
      </c>
      <c r="Z207" s="442"/>
      <c r="AA207" s="441"/>
      <c r="AB207" s="441"/>
      <c r="AC207" s="441"/>
      <c r="AD207" s="441"/>
      <c r="AE207" s="441"/>
      <c r="AF207" s="441"/>
      <c r="AG207" s="441"/>
      <c r="AH207" s="441"/>
      <c r="AI207" s="441"/>
      <c r="AJ207" s="441"/>
      <c r="AK207" s="395"/>
      <c r="AL207" s="395"/>
      <c r="AM207" s="395">
        <v>0</v>
      </c>
      <c r="AN207" s="395"/>
      <c r="AO207" s="395"/>
      <c r="AP207" s="410"/>
      <c r="AQ207" s="410"/>
    </row>
    <row r="208" spans="2:43" ht="15" customHeight="1">
      <c r="B208" s="394">
        <v>1</v>
      </c>
      <c r="C208" s="395" t="s">
        <v>607</v>
      </c>
      <c r="D208" s="417" t="s">
        <v>4036</v>
      </c>
      <c r="E208" s="662" t="s">
        <v>5098</v>
      </c>
      <c r="F208" s="417"/>
      <c r="G208" s="384"/>
      <c r="H208" s="768"/>
      <c r="I208" s="384"/>
      <c r="J208" s="384" t="s">
        <v>4982</v>
      </c>
      <c r="K208" s="657"/>
      <c r="L208" s="658"/>
      <c r="M208" s="384"/>
      <c r="N208" s="384">
        <v>1</v>
      </c>
      <c r="O208" s="384" t="s">
        <v>4992</v>
      </c>
      <c r="P208" s="384" t="s">
        <v>426</v>
      </c>
      <c r="Q208" s="384" t="s">
        <v>187</v>
      </c>
      <c r="R208" s="384"/>
      <c r="S208" s="660"/>
      <c r="T208" s="396"/>
      <c r="U208" s="384"/>
      <c r="V208" s="384"/>
      <c r="W208" s="384"/>
      <c r="X208" s="384"/>
      <c r="Y208" s="442" t="s">
        <v>4037</v>
      </c>
      <c r="Z208" s="442"/>
      <c r="AA208" s="441"/>
      <c r="AB208" s="441"/>
      <c r="AC208" s="441"/>
      <c r="AD208" s="441"/>
      <c r="AE208" s="441"/>
      <c r="AF208" s="441"/>
      <c r="AG208" s="441"/>
      <c r="AH208" s="441"/>
      <c r="AI208" s="441"/>
      <c r="AJ208" s="441"/>
      <c r="AK208" s="395"/>
      <c r="AL208" s="395"/>
      <c r="AM208" s="395">
        <v>0</v>
      </c>
      <c r="AN208" s="395"/>
      <c r="AO208" s="395"/>
      <c r="AP208" s="410"/>
      <c r="AQ208" s="410"/>
    </row>
    <row r="209" spans="2:43" ht="15" customHeight="1">
      <c r="B209" s="394">
        <v>1</v>
      </c>
      <c r="C209" s="395" t="s">
        <v>607</v>
      </c>
      <c r="D209" s="417" t="s">
        <v>4038</v>
      </c>
      <c r="E209" s="662" t="s">
        <v>5099</v>
      </c>
      <c r="F209" s="417"/>
      <c r="G209" s="384"/>
      <c r="H209" s="768"/>
      <c r="I209" s="384"/>
      <c r="J209" s="384" t="s">
        <v>4982</v>
      </c>
      <c r="K209" s="657"/>
      <c r="L209" s="658"/>
      <c r="M209" s="384"/>
      <c r="N209" s="384">
        <v>1</v>
      </c>
      <c r="O209" s="384" t="s">
        <v>4992</v>
      </c>
      <c r="P209" s="384" t="s">
        <v>426</v>
      </c>
      <c r="Q209" s="384" t="s">
        <v>187</v>
      </c>
      <c r="R209" s="384"/>
      <c r="S209" s="660"/>
      <c r="T209" s="396"/>
      <c r="U209" s="384"/>
      <c r="V209" s="384"/>
      <c r="W209" s="384"/>
      <c r="X209" s="384"/>
      <c r="Y209" s="442" t="s">
        <v>4039</v>
      </c>
      <c r="Z209" s="442"/>
      <c r="AA209" s="441"/>
      <c r="AB209" s="441"/>
      <c r="AC209" s="441"/>
      <c r="AD209" s="441"/>
      <c r="AE209" s="441"/>
      <c r="AF209" s="441"/>
      <c r="AG209" s="441"/>
      <c r="AH209" s="441"/>
      <c r="AI209" s="441"/>
      <c r="AJ209" s="441"/>
      <c r="AK209" s="395"/>
      <c r="AL209" s="395"/>
      <c r="AM209" s="395">
        <v>0</v>
      </c>
      <c r="AN209" s="395"/>
      <c r="AO209" s="395"/>
      <c r="AP209" s="410"/>
      <c r="AQ209" s="410"/>
    </row>
    <row r="210" spans="2:43" ht="15" customHeight="1">
      <c r="B210" s="394">
        <v>1</v>
      </c>
      <c r="C210" s="395" t="s">
        <v>607</v>
      </c>
      <c r="D210" s="417" t="s">
        <v>4040</v>
      </c>
      <c r="E210" s="662" t="s">
        <v>5100</v>
      </c>
      <c r="F210" s="417"/>
      <c r="G210" s="384"/>
      <c r="H210" s="768"/>
      <c r="I210" s="384"/>
      <c r="J210" s="384" t="s">
        <v>4982</v>
      </c>
      <c r="K210" s="657"/>
      <c r="L210" s="658"/>
      <c r="M210" s="384"/>
      <c r="N210" s="384">
        <v>1</v>
      </c>
      <c r="O210" s="384" t="s">
        <v>4992</v>
      </c>
      <c r="P210" s="384" t="s">
        <v>426</v>
      </c>
      <c r="Q210" s="384" t="s">
        <v>187</v>
      </c>
      <c r="R210" s="384"/>
      <c r="S210" s="660"/>
      <c r="T210" s="396"/>
      <c r="U210" s="384"/>
      <c r="V210" s="384"/>
      <c r="W210" s="384"/>
      <c r="X210" s="384"/>
      <c r="Y210" s="442" t="s">
        <v>4041</v>
      </c>
      <c r="Z210" s="442"/>
      <c r="AA210" s="441"/>
      <c r="AB210" s="441"/>
      <c r="AC210" s="441"/>
      <c r="AD210" s="441"/>
      <c r="AE210" s="441"/>
      <c r="AF210" s="441"/>
      <c r="AG210" s="441"/>
      <c r="AH210" s="441"/>
      <c r="AI210" s="441"/>
      <c r="AJ210" s="441"/>
      <c r="AK210" s="395"/>
      <c r="AL210" s="395"/>
      <c r="AM210" s="395">
        <v>0</v>
      </c>
      <c r="AN210" s="395"/>
      <c r="AO210" s="395"/>
      <c r="AP210" s="410"/>
      <c r="AQ210" s="410"/>
    </row>
    <row r="211" spans="2:43" ht="15" customHeight="1">
      <c r="B211" s="394">
        <v>1</v>
      </c>
      <c r="C211" s="395" t="s">
        <v>607</v>
      </c>
      <c r="D211" s="417" t="s">
        <v>4042</v>
      </c>
      <c r="E211" s="662" t="s">
        <v>5101</v>
      </c>
      <c r="F211" s="417"/>
      <c r="G211" s="384"/>
      <c r="H211" s="768"/>
      <c r="I211" s="384"/>
      <c r="J211" s="384" t="s">
        <v>4982</v>
      </c>
      <c r="K211" s="657"/>
      <c r="L211" s="658"/>
      <c r="M211" s="384"/>
      <c r="N211" s="384">
        <v>1</v>
      </c>
      <c r="O211" s="384" t="s">
        <v>4992</v>
      </c>
      <c r="P211" s="384" t="s">
        <v>426</v>
      </c>
      <c r="Q211" s="384" t="s">
        <v>187</v>
      </c>
      <c r="R211" s="384"/>
      <c r="S211" s="660"/>
      <c r="T211" s="396"/>
      <c r="U211" s="384"/>
      <c r="V211" s="384"/>
      <c r="W211" s="384"/>
      <c r="X211" s="384"/>
      <c r="Y211" s="442" t="s">
        <v>4043</v>
      </c>
      <c r="Z211" s="442"/>
      <c r="AA211" s="441"/>
      <c r="AB211" s="441"/>
      <c r="AC211" s="441"/>
      <c r="AD211" s="441"/>
      <c r="AE211" s="441"/>
      <c r="AF211" s="441"/>
      <c r="AG211" s="441"/>
      <c r="AH211" s="441"/>
      <c r="AI211" s="441"/>
      <c r="AJ211" s="441"/>
      <c r="AK211" s="395"/>
      <c r="AL211" s="395"/>
      <c r="AM211" s="395">
        <v>0</v>
      </c>
      <c r="AN211" s="395"/>
      <c r="AO211" s="395"/>
      <c r="AP211" s="410"/>
      <c r="AQ211" s="410"/>
    </row>
    <row r="212" spans="2:43" ht="15" customHeight="1">
      <c r="B212" s="394">
        <v>1</v>
      </c>
      <c r="C212" s="395" t="s">
        <v>607</v>
      </c>
      <c r="D212" s="417" t="s">
        <v>4044</v>
      </c>
      <c r="E212" s="662" t="s">
        <v>5102</v>
      </c>
      <c r="F212" s="417"/>
      <c r="G212" s="384"/>
      <c r="H212" s="768"/>
      <c r="I212" s="384"/>
      <c r="J212" s="384" t="s">
        <v>4982</v>
      </c>
      <c r="K212" s="657"/>
      <c r="L212" s="658"/>
      <c r="M212" s="384"/>
      <c r="N212" s="384">
        <v>1</v>
      </c>
      <c r="O212" s="384" t="s">
        <v>4992</v>
      </c>
      <c r="P212" s="384" t="s">
        <v>426</v>
      </c>
      <c r="Q212" s="384" t="s">
        <v>187</v>
      </c>
      <c r="R212" s="384"/>
      <c r="S212" s="660"/>
      <c r="T212" s="396"/>
      <c r="U212" s="384"/>
      <c r="V212" s="384"/>
      <c r="W212" s="384"/>
      <c r="X212" s="384"/>
      <c r="Y212" s="442" t="s">
        <v>4045</v>
      </c>
      <c r="Z212" s="442"/>
      <c r="AA212" s="441"/>
      <c r="AB212" s="441"/>
      <c r="AC212" s="441"/>
      <c r="AD212" s="441"/>
      <c r="AE212" s="441"/>
      <c r="AF212" s="441"/>
      <c r="AG212" s="441"/>
      <c r="AH212" s="441"/>
      <c r="AI212" s="441"/>
      <c r="AJ212" s="441"/>
      <c r="AK212" s="395"/>
      <c r="AL212" s="395"/>
      <c r="AM212" s="395">
        <v>0</v>
      </c>
      <c r="AN212" s="395"/>
      <c r="AO212" s="395"/>
      <c r="AP212" s="410"/>
      <c r="AQ212" s="410"/>
    </row>
    <row r="213" spans="2:43" ht="15" customHeight="1">
      <c r="B213" s="394">
        <v>1</v>
      </c>
      <c r="C213" s="395" t="s">
        <v>607</v>
      </c>
      <c r="D213" s="417" t="s">
        <v>4046</v>
      </c>
      <c r="E213" s="662" t="s">
        <v>5103</v>
      </c>
      <c r="F213" s="417"/>
      <c r="G213" s="384"/>
      <c r="H213" s="768"/>
      <c r="I213" s="384"/>
      <c r="J213" s="384" t="s">
        <v>4982</v>
      </c>
      <c r="K213" s="657"/>
      <c r="L213" s="658"/>
      <c r="M213" s="384"/>
      <c r="N213" s="384">
        <v>3</v>
      </c>
      <c r="O213" s="384" t="s">
        <v>4992</v>
      </c>
      <c r="P213" s="384" t="s">
        <v>426</v>
      </c>
      <c r="Q213" s="384" t="s">
        <v>187</v>
      </c>
      <c r="R213" s="384"/>
      <c r="S213" s="660"/>
      <c r="T213" s="396"/>
      <c r="U213" s="384"/>
      <c r="V213" s="384"/>
      <c r="W213" s="384"/>
      <c r="X213" s="384"/>
      <c r="Y213" s="442" t="s">
        <v>4047</v>
      </c>
      <c r="Z213" s="442"/>
      <c r="AA213" s="441"/>
      <c r="AB213" s="441"/>
      <c r="AC213" s="441"/>
      <c r="AD213" s="441"/>
      <c r="AE213" s="441"/>
      <c r="AF213" s="441"/>
      <c r="AG213" s="441"/>
      <c r="AH213" s="441"/>
      <c r="AI213" s="441"/>
      <c r="AJ213" s="441"/>
      <c r="AK213" s="395"/>
      <c r="AL213" s="395"/>
      <c r="AM213" s="395">
        <v>0</v>
      </c>
      <c r="AN213" s="395"/>
      <c r="AO213" s="395"/>
      <c r="AP213" s="410"/>
      <c r="AQ213" s="410"/>
    </row>
    <row r="214" spans="2:43" ht="15" customHeight="1">
      <c r="B214" s="394">
        <v>1</v>
      </c>
      <c r="C214" s="395" t="s">
        <v>607</v>
      </c>
      <c r="D214" s="417" t="s">
        <v>4048</v>
      </c>
      <c r="E214" s="662" t="s">
        <v>5104</v>
      </c>
      <c r="F214" s="417"/>
      <c r="G214" s="384"/>
      <c r="H214" s="768"/>
      <c r="I214" s="384"/>
      <c r="J214" s="384" t="s">
        <v>4982</v>
      </c>
      <c r="K214" s="657"/>
      <c r="L214" s="658"/>
      <c r="M214" s="384"/>
      <c r="N214" s="384">
        <v>3</v>
      </c>
      <c r="O214" s="384" t="s">
        <v>4992</v>
      </c>
      <c r="P214" s="384" t="s">
        <v>426</v>
      </c>
      <c r="Q214" s="384" t="s">
        <v>187</v>
      </c>
      <c r="R214" s="384"/>
      <c r="S214" s="660"/>
      <c r="T214" s="396"/>
      <c r="U214" s="384"/>
      <c r="V214" s="384"/>
      <c r="W214" s="384"/>
      <c r="X214" s="384"/>
      <c r="Y214" s="442" t="s">
        <v>4049</v>
      </c>
      <c r="Z214" s="442"/>
      <c r="AA214" s="441"/>
      <c r="AB214" s="441"/>
      <c r="AC214" s="441"/>
      <c r="AD214" s="441"/>
      <c r="AE214" s="441"/>
      <c r="AF214" s="441"/>
      <c r="AG214" s="441"/>
      <c r="AH214" s="441"/>
      <c r="AI214" s="441"/>
      <c r="AJ214" s="441"/>
      <c r="AK214" s="395"/>
      <c r="AL214" s="395"/>
      <c r="AM214" s="395">
        <v>0</v>
      </c>
      <c r="AN214" s="395"/>
      <c r="AO214" s="395"/>
      <c r="AP214" s="410"/>
      <c r="AQ214" s="410"/>
    </row>
    <row r="215" spans="2:43" ht="15" customHeight="1">
      <c r="B215" s="394">
        <v>1</v>
      </c>
      <c r="C215" s="395" t="s">
        <v>607</v>
      </c>
      <c r="D215" s="417" t="s">
        <v>4050</v>
      </c>
      <c r="E215" s="662" t="s">
        <v>5105</v>
      </c>
      <c r="F215" s="417"/>
      <c r="G215" s="384"/>
      <c r="H215" s="768"/>
      <c r="I215" s="384"/>
      <c r="J215" s="384" t="s">
        <v>4982</v>
      </c>
      <c r="K215" s="657"/>
      <c r="L215" s="658"/>
      <c r="M215" s="384"/>
      <c r="N215" s="384">
        <v>3</v>
      </c>
      <c r="O215" s="384" t="s">
        <v>4992</v>
      </c>
      <c r="P215" s="384" t="s">
        <v>426</v>
      </c>
      <c r="Q215" s="384" t="s">
        <v>187</v>
      </c>
      <c r="R215" s="384"/>
      <c r="S215" s="660"/>
      <c r="T215" s="396"/>
      <c r="U215" s="384"/>
      <c r="V215" s="384"/>
      <c r="W215" s="384"/>
      <c r="X215" s="384"/>
      <c r="Y215" s="442" t="s">
        <v>4051</v>
      </c>
      <c r="Z215" s="442"/>
      <c r="AA215" s="441"/>
      <c r="AB215" s="441"/>
      <c r="AC215" s="441"/>
      <c r="AD215" s="441"/>
      <c r="AE215" s="441"/>
      <c r="AF215" s="441"/>
      <c r="AG215" s="441"/>
      <c r="AH215" s="441"/>
      <c r="AI215" s="441"/>
      <c r="AJ215" s="441"/>
      <c r="AK215" s="395"/>
      <c r="AL215" s="395"/>
      <c r="AM215" s="395">
        <v>0</v>
      </c>
      <c r="AN215" s="395"/>
      <c r="AO215" s="395"/>
      <c r="AP215" s="410"/>
      <c r="AQ215" s="410"/>
    </row>
    <row r="216" spans="2:43" ht="15" customHeight="1">
      <c r="B216" s="394">
        <v>1</v>
      </c>
      <c r="C216" s="395" t="s">
        <v>607</v>
      </c>
      <c r="D216" s="417" t="s">
        <v>4052</v>
      </c>
      <c r="E216" s="662" t="s">
        <v>5106</v>
      </c>
      <c r="F216" s="417"/>
      <c r="G216" s="384"/>
      <c r="H216" s="768"/>
      <c r="I216" s="384"/>
      <c r="J216" s="384" t="s">
        <v>4982</v>
      </c>
      <c r="K216" s="657"/>
      <c r="L216" s="658"/>
      <c r="M216" s="384"/>
      <c r="N216" s="384">
        <v>3</v>
      </c>
      <c r="O216" s="384" t="s">
        <v>4992</v>
      </c>
      <c r="P216" s="384" t="s">
        <v>426</v>
      </c>
      <c r="Q216" s="384" t="s">
        <v>187</v>
      </c>
      <c r="R216" s="384"/>
      <c r="S216" s="660"/>
      <c r="T216" s="396"/>
      <c r="U216" s="384"/>
      <c r="V216" s="384"/>
      <c r="W216" s="384"/>
      <c r="X216" s="384"/>
      <c r="Y216" s="442" t="s">
        <v>4053</v>
      </c>
      <c r="Z216" s="442"/>
      <c r="AA216" s="441"/>
      <c r="AB216" s="441"/>
      <c r="AC216" s="441"/>
      <c r="AD216" s="441"/>
      <c r="AE216" s="441"/>
      <c r="AF216" s="441"/>
      <c r="AG216" s="441"/>
      <c r="AH216" s="441"/>
      <c r="AI216" s="441"/>
      <c r="AJ216" s="441"/>
      <c r="AK216" s="395"/>
      <c r="AL216" s="395"/>
      <c r="AM216" s="395">
        <v>0</v>
      </c>
      <c r="AN216" s="395"/>
      <c r="AO216" s="395"/>
      <c r="AP216" s="410"/>
      <c r="AQ216" s="410"/>
    </row>
    <row r="217" spans="2:43" ht="15" customHeight="1">
      <c r="B217" s="394">
        <v>1</v>
      </c>
      <c r="C217" s="395" t="s">
        <v>607</v>
      </c>
      <c r="D217" s="417" t="s">
        <v>4054</v>
      </c>
      <c r="E217" s="662" t="s">
        <v>4055</v>
      </c>
      <c r="F217" s="417"/>
      <c r="G217" s="384"/>
      <c r="H217" s="768"/>
      <c r="I217" s="384"/>
      <c r="J217" s="384" t="s">
        <v>4982</v>
      </c>
      <c r="K217" s="657"/>
      <c r="L217" s="658"/>
      <c r="M217" s="384"/>
      <c r="N217" s="384">
        <v>4</v>
      </c>
      <c r="O217" s="384" t="s">
        <v>4992</v>
      </c>
      <c r="P217" s="384" t="s">
        <v>426</v>
      </c>
      <c r="Q217" s="384" t="s">
        <v>187</v>
      </c>
      <c r="R217" s="384"/>
      <c r="S217" s="660"/>
      <c r="T217" s="396"/>
      <c r="U217" s="384"/>
      <c r="V217" s="384"/>
      <c r="W217" s="384"/>
      <c r="X217" s="384"/>
      <c r="Y217" s="442" t="s">
        <v>4056</v>
      </c>
      <c r="Z217" s="442"/>
      <c r="AA217" s="441"/>
      <c r="AB217" s="441"/>
      <c r="AC217" s="441"/>
      <c r="AD217" s="441"/>
      <c r="AE217" s="441"/>
      <c r="AF217" s="441"/>
      <c r="AG217" s="441"/>
      <c r="AH217" s="441"/>
      <c r="AI217" s="441"/>
      <c r="AJ217" s="441"/>
      <c r="AK217" s="395"/>
      <c r="AL217" s="395"/>
      <c r="AM217" s="395">
        <v>0</v>
      </c>
      <c r="AN217" s="395"/>
      <c r="AO217" s="395"/>
      <c r="AP217" s="410"/>
      <c r="AQ217" s="410"/>
    </row>
    <row r="218" spans="2:43" ht="15" customHeight="1">
      <c r="B218" s="394">
        <v>1</v>
      </c>
      <c r="C218" s="395" t="s">
        <v>608</v>
      </c>
      <c r="D218" s="417" t="s">
        <v>4057</v>
      </c>
      <c r="E218" s="662" t="s">
        <v>5107</v>
      </c>
      <c r="F218" s="417"/>
      <c r="G218" s="384"/>
      <c r="H218" s="768"/>
      <c r="I218" s="384"/>
      <c r="J218" s="384" t="s">
        <v>4982</v>
      </c>
      <c r="K218" s="657"/>
      <c r="L218" s="658"/>
      <c r="M218" s="384"/>
      <c r="N218" s="384" t="s">
        <v>54</v>
      </c>
      <c r="O218" s="384"/>
      <c r="P218" s="384" t="s">
        <v>231</v>
      </c>
      <c r="Q218" s="384" t="s">
        <v>187</v>
      </c>
      <c r="R218" s="384"/>
      <c r="S218" s="660"/>
      <c r="T218" s="396"/>
      <c r="U218" s="384"/>
      <c r="V218" s="384"/>
      <c r="W218" s="384"/>
      <c r="X218" s="384"/>
      <c r="Y218" s="442" t="s">
        <v>4058</v>
      </c>
      <c r="Z218" s="442"/>
      <c r="AA218" s="441"/>
      <c r="AB218" s="441"/>
      <c r="AC218" s="441"/>
      <c r="AD218" s="441"/>
      <c r="AE218" s="441"/>
      <c r="AF218" s="441"/>
      <c r="AG218" s="441"/>
      <c r="AH218" s="441"/>
      <c r="AI218" s="441"/>
      <c r="AJ218" s="441"/>
      <c r="AK218" s="395"/>
      <c r="AL218" s="395"/>
      <c r="AM218" s="395">
        <v>0</v>
      </c>
      <c r="AN218" s="395"/>
      <c r="AO218" s="395"/>
      <c r="AP218" s="410"/>
      <c r="AQ218" s="410"/>
    </row>
    <row r="219" spans="2:43" ht="15" customHeight="1">
      <c r="B219" s="394">
        <v>1</v>
      </c>
      <c r="C219" s="395" t="s">
        <v>608</v>
      </c>
      <c r="D219" s="417" t="s">
        <v>4059</v>
      </c>
      <c r="E219" s="662" t="s">
        <v>5108</v>
      </c>
      <c r="F219" s="417"/>
      <c r="G219" s="384"/>
      <c r="H219" s="768"/>
      <c r="I219" s="384"/>
      <c r="J219" s="384" t="s">
        <v>4982</v>
      </c>
      <c r="K219" s="657"/>
      <c r="L219" s="658"/>
      <c r="M219" s="384"/>
      <c r="N219" s="384" t="s">
        <v>54</v>
      </c>
      <c r="O219" s="384"/>
      <c r="P219" s="384" t="s">
        <v>231</v>
      </c>
      <c r="Q219" s="384" t="s">
        <v>187</v>
      </c>
      <c r="R219" s="384"/>
      <c r="S219" s="660"/>
      <c r="T219" s="396"/>
      <c r="U219" s="384"/>
      <c r="V219" s="384"/>
      <c r="W219" s="384"/>
      <c r="X219" s="384"/>
      <c r="Y219" s="442" t="s">
        <v>4060</v>
      </c>
      <c r="Z219" s="442"/>
      <c r="AA219" s="441"/>
      <c r="AB219" s="441"/>
      <c r="AC219" s="441"/>
      <c r="AD219" s="441"/>
      <c r="AE219" s="441"/>
      <c r="AF219" s="441"/>
      <c r="AG219" s="441"/>
      <c r="AH219" s="441"/>
      <c r="AI219" s="441"/>
      <c r="AJ219" s="441"/>
      <c r="AK219" s="395"/>
      <c r="AL219" s="395"/>
      <c r="AM219" s="395">
        <v>0</v>
      </c>
      <c r="AN219" s="395"/>
      <c r="AO219" s="395"/>
      <c r="AP219" s="410"/>
      <c r="AQ219" s="410"/>
    </row>
    <row r="220" spans="2:43" ht="15" customHeight="1">
      <c r="B220" s="394">
        <v>1</v>
      </c>
      <c r="C220" s="395" t="s">
        <v>608</v>
      </c>
      <c r="D220" s="417" t="s">
        <v>4061</v>
      </c>
      <c r="E220" s="662" t="s">
        <v>5109</v>
      </c>
      <c r="F220" s="417"/>
      <c r="G220" s="384"/>
      <c r="H220" s="768"/>
      <c r="I220" s="384"/>
      <c r="J220" s="384" t="s">
        <v>4982</v>
      </c>
      <c r="K220" s="657"/>
      <c r="L220" s="658"/>
      <c r="M220" s="384"/>
      <c r="N220" s="384" t="s">
        <v>54</v>
      </c>
      <c r="O220" s="384"/>
      <c r="P220" s="384" t="s">
        <v>231</v>
      </c>
      <c r="Q220" s="384" t="s">
        <v>187</v>
      </c>
      <c r="R220" s="384"/>
      <c r="S220" s="660"/>
      <c r="T220" s="396"/>
      <c r="U220" s="384"/>
      <c r="V220" s="384"/>
      <c r="W220" s="384"/>
      <c r="X220" s="384"/>
      <c r="Y220" s="442" t="s">
        <v>4062</v>
      </c>
      <c r="Z220" s="442"/>
      <c r="AA220" s="441"/>
      <c r="AB220" s="441"/>
      <c r="AC220" s="441"/>
      <c r="AD220" s="441"/>
      <c r="AE220" s="441"/>
      <c r="AF220" s="441"/>
      <c r="AG220" s="441"/>
      <c r="AH220" s="441"/>
      <c r="AI220" s="441"/>
      <c r="AJ220" s="441"/>
      <c r="AK220" s="395"/>
      <c r="AL220" s="395"/>
      <c r="AM220" s="395">
        <v>0</v>
      </c>
      <c r="AN220" s="395"/>
      <c r="AO220" s="395"/>
      <c r="AP220" s="410"/>
      <c r="AQ220" s="410"/>
    </row>
    <row r="221" spans="2:43" ht="15" customHeight="1">
      <c r="B221" s="394">
        <v>1</v>
      </c>
      <c r="C221" s="395" t="s">
        <v>608</v>
      </c>
      <c r="D221" s="417" t="s">
        <v>4063</v>
      </c>
      <c r="E221" s="662" t="s">
        <v>5110</v>
      </c>
      <c r="F221" s="417"/>
      <c r="G221" s="384"/>
      <c r="H221" s="768"/>
      <c r="I221" s="384"/>
      <c r="J221" s="384" t="s">
        <v>4982</v>
      </c>
      <c r="K221" s="657"/>
      <c r="L221" s="658"/>
      <c r="M221" s="384"/>
      <c r="N221" s="384" t="s">
        <v>54</v>
      </c>
      <c r="O221" s="384"/>
      <c r="P221" s="384" t="s">
        <v>231</v>
      </c>
      <c r="Q221" s="384" t="s">
        <v>187</v>
      </c>
      <c r="R221" s="384"/>
      <c r="S221" s="660"/>
      <c r="T221" s="396"/>
      <c r="U221" s="384"/>
      <c r="V221" s="384"/>
      <c r="W221" s="384"/>
      <c r="X221" s="384"/>
      <c r="Y221" s="442" t="s">
        <v>4064</v>
      </c>
      <c r="Z221" s="442"/>
      <c r="AA221" s="441"/>
      <c r="AB221" s="441"/>
      <c r="AC221" s="441"/>
      <c r="AD221" s="441"/>
      <c r="AE221" s="441"/>
      <c r="AF221" s="441"/>
      <c r="AG221" s="441"/>
      <c r="AH221" s="441"/>
      <c r="AI221" s="441"/>
      <c r="AJ221" s="441"/>
      <c r="AK221" s="395"/>
      <c r="AL221" s="395"/>
      <c r="AM221" s="395">
        <v>0</v>
      </c>
      <c r="AN221" s="395"/>
      <c r="AO221" s="395"/>
      <c r="AP221" s="410"/>
      <c r="AQ221" s="410"/>
    </row>
    <row r="222" spans="2:43" ht="15" customHeight="1">
      <c r="B222" s="394">
        <v>1</v>
      </c>
      <c r="C222" s="395" t="s">
        <v>608</v>
      </c>
      <c r="D222" s="417" t="s">
        <v>4065</v>
      </c>
      <c r="E222" s="662" t="s">
        <v>5111</v>
      </c>
      <c r="F222" s="417"/>
      <c r="G222" s="384"/>
      <c r="H222" s="768"/>
      <c r="I222" s="384"/>
      <c r="J222" s="384" t="s">
        <v>4982</v>
      </c>
      <c r="K222" s="657"/>
      <c r="L222" s="658"/>
      <c r="M222" s="384"/>
      <c r="N222" s="384" t="s">
        <v>54</v>
      </c>
      <c r="O222" s="384"/>
      <c r="P222" s="384" t="s">
        <v>231</v>
      </c>
      <c r="Q222" s="384" t="s">
        <v>187</v>
      </c>
      <c r="R222" s="384"/>
      <c r="S222" s="660"/>
      <c r="T222" s="396"/>
      <c r="U222" s="384"/>
      <c r="V222" s="384"/>
      <c r="W222" s="384"/>
      <c r="X222" s="384"/>
      <c r="Y222" s="442" t="s">
        <v>4066</v>
      </c>
      <c r="Z222" s="442"/>
      <c r="AA222" s="441"/>
      <c r="AB222" s="441"/>
      <c r="AC222" s="441"/>
      <c r="AD222" s="441"/>
      <c r="AE222" s="441"/>
      <c r="AF222" s="441"/>
      <c r="AG222" s="441"/>
      <c r="AH222" s="441"/>
      <c r="AI222" s="441"/>
      <c r="AJ222" s="441"/>
      <c r="AK222" s="395"/>
      <c r="AL222" s="395"/>
      <c r="AM222" s="395">
        <v>0</v>
      </c>
      <c r="AN222" s="395"/>
      <c r="AO222" s="395"/>
      <c r="AP222" s="410"/>
      <c r="AQ222" s="410"/>
    </row>
    <row r="223" spans="2:43" ht="15" customHeight="1">
      <c r="B223" s="394">
        <v>1</v>
      </c>
      <c r="C223" s="395" t="s">
        <v>608</v>
      </c>
      <c r="D223" s="417" t="s">
        <v>4067</v>
      </c>
      <c r="E223" s="662" t="s">
        <v>5112</v>
      </c>
      <c r="F223" s="417"/>
      <c r="G223" s="384"/>
      <c r="H223" s="768"/>
      <c r="I223" s="384"/>
      <c r="J223" s="384" t="s">
        <v>4982</v>
      </c>
      <c r="K223" s="657"/>
      <c r="L223" s="658"/>
      <c r="M223" s="384"/>
      <c r="N223" s="384" t="s">
        <v>54</v>
      </c>
      <c r="O223" s="384"/>
      <c r="P223" s="384" t="s">
        <v>231</v>
      </c>
      <c r="Q223" s="384" t="s">
        <v>187</v>
      </c>
      <c r="R223" s="384"/>
      <c r="S223" s="660"/>
      <c r="T223" s="396"/>
      <c r="U223" s="384"/>
      <c r="V223" s="384"/>
      <c r="W223" s="384"/>
      <c r="X223" s="384"/>
      <c r="Y223" s="442" t="s">
        <v>4068</v>
      </c>
      <c r="Z223" s="442"/>
      <c r="AA223" s="441"/>
      <c r="AB223" s="441"/>
      <c r="AC223" s="441"/>
      <c r="AD223" s="441"/>
      <c r="AE223" s="441"/>
      <c r="AF223" s="441"/>
      <c r="AG223" s="441"/>
      <c r="AH223" s="441"/>
      <c r="AI223" s="441"/>
      <c r="AJ223" s="441"/>
      <c r="AK223" s="395"/>
      <c r="AL223" s="395"/>
      <c r="AM223" s="395">
        <v>0</v>
      </c>
      <c r="AN223" s="395"/>
      <c r="AO223" s="395"/>
      <c r="AP223" s="410"/>
      <c r="AQ223" s="410"/>
    </row>
    <row r="224" spans="2:43" ht="15" customHeight="1">
      <c r="B224" s="394">
        <v>1</v>
      </c>
      <c r="C224" s="395" t="s">
        <v>608</v>
      </c>
      <c r="D224" s="417" t="s">
        <v>4069</v>
      </c>
      <c r="E224" s="662" t="s">
        <v>5113</v>
      </c>
      <c r="F224" s="417"/>
      <c r="G224" s="384"/>
      <c r="H224" s="768"/>
      <c r="I224" s="384"/>
      <c r="J224" s="384" t="s">
        <v>4982</v>
      </c>
      <c r="K224" s="657"/>
      <c r="L224" s="658"/>
      <c r="M224" s="384"/>
      <c r="N224" s="384" t="s">
        <v>54</v>
      </c>
      <c r="O224" s="384"/>
      <c r="P224" s="384" t="s">
        <v>231</v>
      </c>
      <c r="Q224" s="384" t="s">
        <v>187</v>
      </c>
      <c r="R224" s="384"/>
      <c r="S224" s="660"/>
      <c r="T224" s="396"/>
      <c r="U224" s="384"/>
      <c r="V224" s="384"/>
      <c r="W224" s="384"/>
      <c r="X224" s="384"/>
      <c r="Y224" s="442" t="s">
        <v>4070</v>
      </c>
      <c r="Z224" s="442"/>
      <c r="AA224" s="441"/>
      <c r="AB224" s="441"/>
      <c r="AC224" s="441"/>
      <c r="AD224" s="441"/>
      <c r="AE224" s="441"/>
      <c r="AF224" s="441"/>
      <c r="AG224" s="441"/>
      <c r="AH224" s="441"/>
      <c r="AI224" s="441"/>
      <c r="AJ224" s="441"/>
      <c r="AK224" s="395"/>
      <c r="AL224" s="395"/>
      <c r="AM224" s="395">
        <v>0</v>
      </c>
      <c r="AN224" s="395"/>
      <c r="AO224" s="395"/>
      <c r="AP224" s="410"/>
      <c r="AQ224" s="410"/>
    </row>
    <row r="225" spans="2:43" ht="15" customHeight="1">
      <c r="B225" s="394">
        <v>1</v>
      </c>
      <c r="C225" s="395" t="s">
        <v>608</v>
      </c>
      <c r="D225" s="417" t="s">
        <v>4071</v>
      </c>
      <c r="E225" s="662" t="s">
        <v>5114</v>
      </c>
      <c r="F225" s="417"/>
      <c r="G225" s="384"/>
      <c r="H225" s="768"/>
      <c r="I225" s="384"/>
      <c r="J225" s="384" t="s">
        <v>4982</v>
      </c>
      <c r="K225" s="657"/>
      <c r="L225" s="658"/>
      <c r="M225" s="384"/>
      <c r="N225" s="384" t="s">
        <v>54</v>
      </c>
      <c r="O225" s="384"/>
      <c r="P225" s="384" t="s">
        <v>231</v>
      </c>
      <c r="Q225" s="384" t="s">
        <v>187</v>
      </c>
      <c r="R225" s="384"/>
      <c r="S225" s="660"/>
      <c r="T225" s="396"/>
      <c r="U225" s="384"/>
      <c r="V225" s="384"/>
      <c r="W225" s="384"/>
      <c r="X225" s="384"/>
      <c r="Y225" s="442" t="s">
        <v>4072</v>
      </c>
      <c r="Z225" s="442"/>
      <c r="AA225" s="441"/>
      <c r="AB225" s="441"/>
      <c r="AC225" s="441"/>
      <c r="AD225" s="441"/>
      <c r="AE225" s="441"/>
      <c r="AF225" s="441"/>
      <c r="AG225" s="441"/>
      <c r="AH225" s="441"/>
      <c r="AI225" s="441"/>
      <c r="AJ225" s="441"/>
      <c r="AK225" s="395"/>
      <c r="AL225" s="395"/>
      <c r="AM225" s="395">
        <v>0</v>
      </c>
      <c r="AN225" s="395"/>
      <c r="AO225" s="395"/>
      <c r="AP225" s="410"/>
      <c r="AQ225" s="410"/>
    </row>
    <row r="226" spans="2:43" ht="15" customHeight="1">
      <c r="B226" s="394">
        <v>1</v>
      </c>
      <c r="C226" s="395" t="s">
        <v>608</v>
      </c>
      <c r="D226" s="417" t="s">
        <v>4073</v>
      </c>
      <c r="E226" s="662" t="s">
        <v>5115</v>
      </c>
      <c r="F226" s="417"/>
      <c r="G226" s="384"/>
      <c r="H226" s="768"/>
      <c r="I226" s="384"/>
      <c r="J226" s="384" t="s">
        <v>4982</v>
      </c>
      <c r="K226" s="657"/>
      <c r="L226" s="658"/>
      <c r="M226" s="384"/>
      <c r="N226" s="384" t="s">
        <v>54</v>
      </c>
      <c r="O226" s="384"/>
      <c r="P226" s="384" t="s">
        <v>231</v>
      </c>
      <c r="Q226" s="384" t="s">
        <v>187</v>
      </c>
      <c r="R226" s="384"/>
      <c r="S226" s="660"/>
      <c r="T226" s="396"/>
      <c r="U226" s="384"/>
      <c r="V226" s="384"/>
      <c r="W226" s="384"/>
      <c r="X226" s="384"/>
      <c r="Y226" s="442" t="s">
        <v>4074</v>
      </c>
      <c r="Z226" s="442"/>
      <c r="AA226" s="441"/>
      <c r="AB226" s="441"/>
      <c r="AC226" s="441"/>
      <c r="AD226" s="441"/>
      <c r="AE226" s="441"/>
      <c r="AF226" s="441"/>
      <c r="AG226" s="441"/>
      <c r="AH226" s="441"/>
      <c r="AI226" s="441"/>
      <c r="AJ226" s="441"/>
      <c r="AK226" s="395"/>
      <c r="AL226" s="395"/>
      <c r="AM226" s="395">
        <v>0</v>
      </c>
      <c r="AN226" s="395"/>
      <c r="AO226" s="395"/>
      <c r="AP226" s="410"/>
      <c r="AQ226" s="410"/>
    </row>
    <row r="227" spans="2:43" ht="15" customHeight="1">
      <c r="B227" s="394">
        <v>1</v>
      </c>
      <c r="C227" s="395" t="s">
        <v>608</v>
      </c>
      <c r="D227" s="417" t="s">
        <v>4075</v>
      </c>
      <c r="E227" s="662" t="s">
        <v>5116</v>
      </c>
      <c r="F227" s="417"/>
      <c r="G227" s="384"/>
      <c r="H227" s="768"/>
      <c r="I227" s="384"/>
      <c r="J227" s="384" t="s">
        <v>4982</v>
      </c>
      <c r="K227" s="657"/>
      <c r="L227" s="658"/>
      <c r="M227" s="384"/>
      <c r="N227" s="384" t="s">
        <v>54</v>
      </c>
      <c r="O227" s="384"/>
      <c r="P227" s="384" t="s">
        <v>231</v>
      </c>
      <c r="Q227" s="384" t="s">
        <v>187</v>
      </c>
      <c r="R227" s="384"/>
      <c r="S227" s="660"/>
      <c r="T227" s="396"/>
      <c r="U227" s="384"/>
      <c r="V227" s="384"/>
      <c r="W227" s="384"/>
      <c r="X227" s="384"/>
      <c r="Y227" s="442" t="s">
        <v>4076</v>
      </c>
      <c r="Z227" s="442"/>
      <c r="AA227" s="441"/>
      <c r="AB227" s="441"/>
      <c r="AC227" s="441"/>
      <c r="AD227" s="441"/>
      <c r="AE227" s="441"/>
      <c r="AF227" s="441"/>
      <c r="AG227" s="441"/>
      <c r="AH227" s="441"/>
      <c r="AI227" s="441"/>
      <c r="AJ227" s="441"/>
      <c r="AK227" s="395"/>
      <c r="AL227" s="395"/>
      <c r="AM227" s="395">
        <v>0</v>
      </c>
      <c r="AN227" s="395"/>
      <c r="AO227" s="395"/>
      <c r="AP227" s="410"/>
      <c r="AQ227" s="410"/>
    </row>
    <row r="228" spans="2:43" ht="15" customHeight="1">
      <c r="B228" s="394">
        <v>1</v>
      </c>
      <c r="C228" s="395" t="s">
        <v>608</v>
      </c>
      <c r="D228" s="417" t="s">
        <v>4077</v>
      </c>
      <c r="E228" s="662" t="s">
        <v>5117</v>
      </c>
      <c r="F228" s="417"/>
      <c r="G228" s="384"/>
      <c r="H228" s="768"/>
      <c r="I228" s="384"/>
      <c r="J228" s="384" t="s">
        <v>4982</v>
      </c>
      <c r="K228" s="657"/>
      <c r="L228" s="658"/>
      <c r="M228" s="384"/>
      <c r="N228" s="384" t="s">
        <v>54</v>
      </c>
      <c r="O228" s="384"/>
      <c r="P228" s="384" t="s">
        <v>231</v>
      </c>
      <c r="Q228" s="384" t="s">
        <v>187</v>
      </c>
      <c r="R228" s="384"/>
      <c r="S228" s="660"/>
      <c r="T228" s="396"/>
      <c r="U228" s="384"/>
      <c r="V228" s="384"/>
      <c r="W228" s="384"/>
      <c r="X228" s="384"/>
      <c r="Y228" s="442" t="s">
        <v>4078</v>
      </c>
      <c r="Z228" s="442"/>
      <c r="AA228" s="441"/>
      <c r="AB228" s="441"/>
      <c r="AC228" s="441"/>
      <c r="AD228" s="441"/>
      <c r="AE228" s="441"/>
      <c r="AF228" s="441"/>
      <c r="AG228" s="441"/>
      <c r="AH228" s="441"/>
      <c r="AI228" s="441"/>
      <c r="AJ228" s="441"/>
      <c r="AK228" s="395"/>
      <c r="AL228" s="395"/>
      <c r="AM228" s="395">
        <v>0</v>
      </c>
      <c r="AN228" s="395"/>
      <c r="AO228" s="395"/>
      <c r="AP228" s="410"/>
      <c r="AQ228" s="410"/>
    </row>
    <row r="229" spans="2:43" ht="15" customHeight="1">
      <c r="B229" s="394">
        <v>1</v>
      </c>
      <c r="C229" s="395" t="s">
        <v>608</v>
      </c>
      <c r="D229" s="417" t="s">
        <v>4079</v>
      </c>
      <c r="E229" s="662" t="s">
        <v>5118</v>
      </c>
      <c r="F229" s="417"/>
      <c r="G229" s="384"/>
      <c r="H229" s="768"/>
      <c r="I229" s="384"/>
      <c r="J229" s="384" t="s">
        <v>4982</v>
      </c>
      <c r="K229" s="657"/>
      <c r="L229" s="658"/>
      <c r="M229" s="384"/>
      <c r="N229" s="384" t="s">
        <v>54</v>
      </c>
      <c r="O229" s="384"/>
      <c r="P229" s="384" t="s">
        <v>231</v>
      </c>
      <c r="Q229" s="384" t="s">
        <v>187</v>
      </c>
      <c r="R229" s="384"/>
      <c r="S229" s="660"/>
      <c r="T229" s="396"/>
      <c r="U229" s="384"/>
      <c r="V229" s="384"/>
      <c r="W229" s="384"/>
      <c r="X229" s="384"/>
      <c r="Y229" s="442" t="s">
        <v>3298</v>
      </c>
      <c r="Z229" s="442"/>
      <c r="AA229" s="441"/>
      <c r="AB229" s="441"/>
      <c r="AC229" s="441"/>
      <c r="AD229" s="441"/>
      <c r="AE229" s="441"/>
      <c r="AF229" s="441"/>
      <c r="AG229" s="441"/>
      <c r="AH229" s="441"/>
      <c r="AI229" s="441"/>
      <c r="AJ229" s="441"/>
      <c r="AK229" s="395"/>
      <c r="AL229" s="395"/>
      <c r="AM229" s="395">
        <v>0</v>
      </c>
      <c r="AN229" s="395"/>
      <c r="AO229" s="395"/>
      <c r="AP229" s="410"/>
      <c r="AQ229" s="410"/>
    </row>
    <row r="230" spans="2:43" ht="15" customHeight="1">
      <c r="B230" s="394">
        <v>1</v>
      </c>
      <c r="C230" s="395" t="s">
        <v>614</v>
      </c>
      <c r="D230" s="417" t="s">
        <v>4080</v>
      </c>
      <c r="E230" s="662" t="s">
        <v>4081</v>
      </c>
      <c r="F230" s="417"/>
      <c r="G230" s="384"/>
      <c r="H230" s="768"/>
      <c r="I230" s="384"/>
      <c r="J230" s="384" t="s">
        <v>4982</v>
      </c>
      <c r="K230" s="657"/>
      <c r="L230" s="658"/>
      <c r="M230" s="384"/>
      <c r="N230" s="384"/>
      <c r="O230" s="384"/>
      <c r="P230" s="384"/>
      <c r="Q230" s="384"/>
      <c r="R230" s="384"/>
      <c r="S230" s="660"/>
      <c r="T230" s="396"/>
      <c r="U230" s="384"/>
      <c r="V230" s="384"/>
      <c r="W230" s="384"/>
      <c r="X230" s="384"/>
      <c r="Y230" s="442"/>
      <c r="Z230" s="442" t="s">
        <v>4082</v>
      </c>
      <c r="AA230" s="441" t="s">
        <v>4083</v>
      </c>
      <c r="AB230" s="441"/>
      <c r="AC230" s="441"/>
      <c r="AD230" s="441" t="s">
        <v>4084</v>
      </c>
      <c r="AE230" s="441"/>
      <c r="AF230" s="441" t="s">
        <v>3204</v>
      </c>
      <c r="AG230" s="441"/>
      <c r="AH230" s="441"/>
      <c r="AI230" s="441"/>
      <c r="AJ230" s="441"/>
      <c r="AK230" s="395"/>
      <c r="AL230" s="395"/>
      <c r="AM230" s="395">
        <v>0</v>
      </c>
      <c r="AN230" s="395">
        <v>60</v>
      </c>
      <c r="AO230" s="395"/>
      <c r="AP230" s="410"/>
      <c r="AQ230" s="410"/>
    </row>
    <row r="231" spans="2:43" ht="15" customHeight="1">
      <c r="B231" s="394">
        <v>1</v>
      </c>
      <c r="C231" s="395" t="s">
        <v>614</v>
      </c>
      <c r="D231" s="417" t="s">
        <v>4085</v>
      </c>
      <c r="E231" s="662" t="s">
        <v>4086</v>
      </c>
      <c r="F231" s="417"/>
      <c r="G231" s="384"/>
      <c r="H231" s="768"/>
      <c r="I231" s="384"/>
      <c r="J231" s="384" t="s">
        <v>4982</v>
      </c>
      <c r="K231" s="657"/>
      <c r="L231" s="658"/>
      <c r="M231" s="384"/>
      <c r="N231" s="384"/>
      <c r="O231" s="384"/>
      <c r="P231" s="384"/>
      <c r="Q231" s="384"/>
      <c r="R231" s="384"/>
      <c r="S231" s="660"/>
      <c r="T231" s="396"/>
      <c r="U231" s="384"/>
      <c r="V231" s="384"/>
      <c r="W231" s="384"/>
      <c r="X231" s="384"/>
      <c r="Y231" s="442"/>
      <c r="Z231" s="442" t="s">
        <v>4087</v>
      </c>
      <c r="AA231" s="441" t="s">
        <v>4088</v>
      </c>
      <c r="AB231" s="441"/>
      <c r="AC231" s="441"/>
      <c r="AD231" s="441" t="s">
        <v>4089</v>
      </c>
      <c r="AE231" s="441"/>
      <c r="AF231" s="441" t="s">
        <v>3208</v>
      </c>
      <c r="AG231" s="441"/>
      <c r="AH231" s="441"/>
      <c r="AI231" s="441"/>
      <c r="AJ231" s="441"/>
      <c r="AK231" s="395"/>
      <c r="AL231" s="395"/>
      <c r="AM231" s="395">
        <v>0</v>
      </c>
      <c r="AN231" s="395">
        <v>60</v>
      </c>
      <c r="AO231" s="395"/>
      <c r="AP231" s="410"/>
      <c r="AQ231" s="410"/>
    </row>
    <row r="232" spans="2:43" ht="15" customHeight="1">
      <c r="B232" s="394">
        <v>1</v>
      </c>
      <c r="C232" s="395" t="s">
        <v>614</v>
      </c>
      <c r="D232" s="417" t="s">
        <v>4090</v>
      </c>
      <c r="E232" s="662" t="s">
        <v>4091</v>
      </c>
      <c r="F232" s="417"/>
      <c r="G232" s="384"/>
      <c r="H232" s="768"/>
      <c r="I232" s="384"/>
      <c r="J232" s="384" t="s">
        <v>4982</v>
      </c>
      <c r="K232" s="657"/>
      <c r="L232" s="658"/>
      <c r="M232" s="384"/>
      <c r="N232" s="384"/>
      <c r="O232" s="384"/>
      <c r="P232" s="384"/>
      <c r="Q232" s="384"/>
      <c r="R232" s="384"/>
      <c r="S232" s="660"/>
      <c r="T232" s="396"/>
      <c r="U232" s="384"/>
      <c r="V232" s="384"/>
      <c r="W232" s="384"/>
      <c r="X232" s="384"/>
      <c r="Y232" s="442"/>
      <c r="Z232" s="442" t="s">
        <v>4092</v>
      </c>
      <c r="AA232" s="441" t="s">
        <v>4093</v>
      </c>
      <c r="AB232" s="441"/>
      <c r="AC232" s="441"/>
      <c r="AD232" s="441" t="s">
        <v>4094</v>
      </c>
      <c r="AE232" s="441"/>
      <c r="AF232" s="441" t="s">
        <v>3207</v>
      </c>
      <c r="AG232" s="441"/>
      <c r="AH232" s="441"/>
      <c r="AI232" s="441"/>
      <c r="AJ232" s="441"/>
      <c r="AK232" s="395"/>
      <c r="AL232" s="395"/>
      <c r="AM232" s="395">
        <v>0</v>
      </c>
      <c r="AN232" s="395">
        <v>60</v>
      </c>
      <c r="AO232" s="395"/>
      <c r="AP232" s="410"/>
      <c r="AQ232" s="410"/>
    </row>
    <row r="233" spans="2:43" ht="15" customHeight="1">
      <c r="B233" s="394">
        <v>1</v>
      </c>
      <c r="C233" s="395" t="s">
        <v>614</v>
      </c>
      <c r="D233" s="417" t="s">
        <v>4095</v>
      </c>
      <c r="E233" s="662" t="s">
        <v>4096</v>
      </c>
      <c r="F233" s="417"/>
      <c r="G233" s="384"/>
      <c r="H233" s="768"/>
      <c r="I233" s="384"/>
      <c r="J233" s="384" t="s">
        <v>4982</v>
      </c>
      <c r="K233" s="657"/>
      <c r="L233" s="658"/>
      <c r="M233" s="384"/>
      <c r="N233" s="384"/>
      <c r="O233" s="384"/>
      <c r="P233" s="384"/>
      <c r="Q233" s="384"/>
      <c r="R233" s="384"/>
      <c r="S233" s="660"/>
      <c r="T233" s="396"/>
      <c r="U233" s="384"/>
      <c r="V233" s="384"/>
      <c r="W233" s="384"/>
      <c r="X233" s="384"/>
      <c r="Y233" s="442"/>
      <c r="Z233" s="442" t="s">
        <v>4097</v>
      </c>
      <c r="AA233" s="441" t="s">
        <v>4098</v>
      </c>
      <c r="AB233" s="441"/>
      <c r="AC233" s="441"/>
      <c r="AD233" s="441" t="s">
        <v>4099</v>
      </c>
      <c r="AE233" s="441"/>
      <c r="AF233" s="441" t="s">
        <v>3211</v>
      </c>
      <c r="AG233" s="441"/>
      <c r="AH233" s="441"/>
      <c r="AI233" s="441"/>
      <c r="AJ233" s="441"/>
      <c r="AK233" s="395"/>
      <c r="AL233" s="395"/>
      <c r="AM233" s="395">
        <v>0</v>
      </c>
      <c r="AN233" s="395">
        <v>60</v>
      </c>
      <c r="AO233" s="395"/>
      <c r="AP233" s="410"/>
      <c r="AQ233" s="410"/>
    </row>
    <row r="234" spans="2:43" ht="15" customHeight="1">
      <c r="B234" s="394">
        <v>1</v>
      </c>
      <c r="C234" s="395" t="s">
        <v>614</v>
      </c>
      <c r="D234" s="417" t="s">
        <v>4100</v>
      </c>
      <c r="E234" s="662" t="s">
        <v>4101</v>
      </c>
      <c r="F234" s="417"/>
      <c r="G234" s="384"/>
      <c r="H234" s="768"/>
      <c r="I234" s="384"/>
      <c r="J234" s="384" t="s">
        <v>4982</v>
      </c>
      <c r="K234" s="657"/>
      <c r="L234" s="658"/>
      <c r="M234" s="384"/>
      <c r="N234" s="384"/>
      <c r="O234" s="384"/>
      <c r="P234" s="384"/>
      <c r="Q234" s="384"/>
      <c r="R234" s="384"/>
      <c r="S234" s="660"/>
      <c r="T234" s="396"/>
      <c r="U234" s="384"/>
      <c r="V234" s="384"/>
      <c r="W234" s="384"/>
      <c r="X234" s="384"/>
      <c r="Y234" s="442"/>
      <c r="Z234" s="442" t="s">
        <v>4102</v>
      </c>
      <c r="AA234" s="441" t="s">
        <v>4103</v>
      </c>
      <c r="AB234" s="441"/>
      <c r="AC234" s="441"/>
      <c r="AD234" s="441" t="s">
        <v>4104</v>
      </c>
      <c r="AE234" s="441"/>
      <c r="AF234" s="441" t="s">
        <v>3210</v>
      </c>
      <c r="AG234" s="441"/>
      <c r="AH234" s="441"/>
      <c r="AI234" s="441"/>
      <c r="AJ234" s="441"/>
      <c r="AK234" s="395"/>
      <c r="AL234" s="395"/>
      <c r="AM234" s="395">
        <v>0</v>
      </c>
      <c r="AN234" s="395">
        <v>60</v>
      </c>
      <c r="AO234" s="395"/>
      <c r="AP234" s="410"/>
      <c r="AQ234" s="410"/>
    </row>
    <row r="235" spans="2:43" ht="15" customHeight="1">
      <c r="B235" s="394">
        <v>1</v>
      </c>
      <c r="C235" s="395" t="s">
        <v>614</v>
      </c>
      <c r="D235" s="417" t="s">
        <v>4105</v>
      </c>
      <c r="E235" s="662" t="s">
        <v>4106</v>
      </c>
      <c r="F235" s="417"/>
      <c r="G235" s="384"/>
      <c r="H235" s="768"/>
      <c r="I235" s="384"/>
      <c r="J235" s="384" t="s">
        <v>4982</v>
      </c>
      <c r="K235" s="657"/>
      <c r="L235" s="658"/>
      <c r="M235" s="384"/>
      <c r="N235" s="384"/>
      <c r="O235" s="384"/>
      <c r="P235" s="384"/>
      <c r="Q235" s="384"/>
      <c r="R235" s="384"/>
      <c r="S235" s="660"/>
      <c r="T235" s="396"/>
      <c r="U235" s="384"/>
      <c r="V235" s="384"/>
      <c r="W235" s="384"/>
      <c r="X235" s="384"/>
      <c r="Y235" s="442"/>
      <c r="Z235" s="442" t="s">
        <v>4107</v>
      </c>
      <c r="AA235" s="441" t="s">
        <v>4108</v>
      </c>
      <c r="AB235" s="441"/>
      <c r="AC235" s="441"/>
      <c r="AD235" s="441" t="s">
        <v>4109</v>
      </c>
      <c r="AE235" s="441"/>
      <c r="AF235" s="441" t="s">
        <v>3214</v>
      </c>
      <c r="AG235" s="441"/>
      <c r="AH235" s="441"/>
      <c r="AI235" s="441"/>
      <c r="AJ235" s="441"/>
      <c r="AK235" s="395"/>
      <c r="AL235" s="395"/>
      <c r="AM235" s="395">
        <v>0</v>
      </c>
      <c r="AN235" s="395">
        <v>60</v>
      </c>
      <c r="AO235" s="395"/>
      <c r="AP235" s="410"/>
      <c r="AQ235" s="410"/>
    </row>
    <row r="236" spans="2:43" ht="15" customHeight="1">
      <c r="B236" s="394">
        <v>1</v>
      </c>
      <c r="C236" s="395" t="s">
        <v>614</v>
      </c>
      <c r="D236" s="417" t="s">
        <v>4110</v>
      </c>
      <c r="E236" s="662" t="s">
        <v>4111</v>
      </c>
      <c r="F236" s="417"/>
      <c r="G236" s="384"/>
      <c r="H236" s="768"/>
      <c r="I236" s="384"/>
      <c r="J236" s="384" t="s">
        <v>4982</v>
      </c>
      <c r="K236" s="657"/>
      <c r="L236" s="658"/>
      <c r="M236" s="384"/>
      <c r="N236" s="384"/>
      <c r="O236" s="384"/>
      <c r="P236" s="384"/>
      <c r="Q236" s="384"/>
      <c r="R236" s="384"/>
      <c r="S236" s="660"/>
      <c r="T236" s="396"/>
      <c r="U236" s="384"/>
      <c r="V236" s="384"/>
      <c r="W236" s="384"/>
      <c r="X236" s="384"/>
      <c r="Y236" s="442"/>
      <c r="Z236" s="442" t="s">
        <v>4112</v>
      </c>
      <c r="AA236" s="441" t="s">
        <v>4113</v>
      </c>
      <c r="AB236" s="441"/>
      <c r="AC236" s="441"/>
      <c r="AD236" s="441" t="s">
        <v>4114</v>
      </c>
      <c r="AE236" s="441"/>
      <c r="AF236" s="441" t="s">
        <v>3213</v>
      </c>
      <c r="AG236" s="441"/>
      <c r="AH236" s="441"/>
      <c r="AI236" s="441"/>
      <c r="AJ236" s="441"/>
      <c r="AK236" s="395"/>
      <c r="AL236" s="395"/>
      <c r="AM236" s="395">
        <v>0</v>
      </c>
      <c r="AN236" s="395">
        <v>60</v>
      </c>
      <c r="AO236" s="395"/>
      <c r="AP236" s="410"/>
      <c r="AQ236" s="410"/>
    </row>
    <row r="237" spans="2:43" ht="15" customHeight="1">
      <c r="B237" s="394">
        <v>1</v>
      </c>
      <c r="C237" s="395" t="s">
        <v>614</v>
      </c>
      <c r="D237" s="417" t="s">
        <v>4115</v>
      </c>
      <c r="E237" s="662" t="s">
        <v>4116</v>
      </c>
      <c r="F237" s="417"/>
      <c r="G237" s="384"/>
      <c r="H237" s="768"/>
      <c r="I237" s="384"/>
      <c r="J237" s="384" t="s">
        <v>4982</v>
      </c>
      <c r="K237" s="657"/>
      <c r="L237" s="658"/>
      <c r="M237" s="384"/>
      <c r="N237" s="384"/>
      <c r="O237" s="384"/>
      <c r="P237" s="384"/>
      <c r="Q237" s="384"/>
      <c r="R237" s="384"/>
      <c r="S237" s="660"/>
      <c r="T237" s="396"/>
      <c r="U237" s="384"/>
      <c r="V237" s="384"/>
      <c r="W237" s="384"/>
      <c r="X237" s="384"/>
      <c r="Y237" s="442"/>
      <c r="Z237" s="442" t="s">
        <v>4117</v>
      </c>
      <c r="AA237" s="441" t="s">
        <v>4118</v>
      </c>
      <c r="AB237" s="441"/>
      <c r="AC237" s="441"/>
      <c r="AD237" s="441" t="s">
        <v>4119</v>
      </c>
      <c r="AE237" s="441"/>
      <c r="AF237" s="441" t="s">
        <v>3217</v>
      </c>
      <c r="AG237" s="441"/>
      <c r="AH237" s="441"/>
      <c r="AI237" s="441"/>
      <c r="AJ237" s="441"/>
      <c r="AK237" s="395"/>
      <c r="AL237" s="395"/>
      <c r="AM237" s="395">
        <v>0</v>
      </c>
      <c r="AN237" s="395">
        <v>60</v>
      </c>
      <c r="AO237" s="395"/>
      <c r="AP237" s="410"/>
      <c r="AQ237" s="410"/>
    </row>
    <row r="238" spans="2:43" ht="15" customHeight="1">
      <c r="B238" s="394">
        <v>1</v>
      </c>
      <c r="C238" s="395" t="s">
        <v>614</v>
      </c>
      <c r="D238" s="417" t="s">
        <v>4120</v>
      </c>
      <c r="E238" s="662" t="s">
        <v>4121</v>
      </c>
      <c r="F238" s="417"/>
      <c r="G238" s="384"/>
      <c r="H238" s="768"/>
      <c r="I238" s="384"/>
      <c r="J238" s="384" t="s">
        <v>4982</v>
      </c>
      <c r="K238" s="657"/>
      <c r="L238" s="658"/>
      <c r="M238" s="384"/>
      <c r="N238" s="384"/>
      <c r="O238" s="384"/>
      <c r="P238" s="384"/>
      <c r="Q238" s="384"/>
      <c r="R238" s="384"/>
      <c r="S238" s="660"/>
      <c r="T238" s="396"/>
      <c r="U238" s="384"/>
      <c r="V238" s="384"/>
      <c r="W238" s="384"/>
      <c r="X238" s="384"/>
      <c r="Y238" s="442"/>
      <c r="Z238" s="442" t="s">
        <v>4122</v>
      </c>
      <c r="AA238" s="441" t="s">
        <v>3337</v>
      </c>
      <c r="AB238" s="441"/>
      <c r="AC238" s="441"/>
      <c r="AD238" s="441" t="s">
        <v>4123</v>
      </c>
      <c r="AE238" s="441"/>
      <c r="AF238" s="441" t="s">
        <v>3216</v>
      </c>
      <c r="AG238" s="441"/>
      <c r="AH238" s="441"/>
      <c r="AI238" s="441"/>
      <c r="AJ238" s="441"/>
      <c r="AK238" s="395"/>
      <c r="AL238" s="395"/>
      <c r="AM238" s="395">
        <v>0</v>
      </c>
      <c r="AN238" s="395">
        <v>60</v>
      </c>
      <c r="AO238" s="395"/>
      <c r="AP238" s="410"/>
      <c r="AQ238" s="410"/>
    </row>
    <row r="239" spans="2:43" ht="15" customHeight="1">
      <c r="B239" s="394">
        <v>1</v>
      </c>
      <c r="C239" s="395" t="s">
        <v>614</v>
      </c>
      <c r="D239" s="417" t="s">
        <v>4124</v>
      </c>
      <c r="E239" s="662" t="s">
        <v>4125</v>
      </c>
      <c r="F239" s="417"/>
      <c r="G239" s="384"/>
      <c r="H239" s="768"/>
      <c r="I239" s="384"/>
      <c r="J239" s="384" t="s">
        <v>4982</v>
      </c>
      <c r="K239" s="657"/>
      <c r="L239" s="658"/>
      <c r="M239" s="384"/>
      <c r="N239" s="384"/>
      <c r="O239" s="384"/>
      <c r="P239" s="384"/>
      <c r="Q239" s="384"/>
      <c r="R239" s="384"/>
      <c r="S239" s="660"/>
      <c r="T239" s="396"/>
      <c r="U239" s="384"/>
      <c r="V239" s="384"/>
      <c r="W239" s="384"/>
      <c r="X239" s="384"/>
      <c r="Y239" s="442"/>
      <c r="Z239" s="442" t="s">
        <v>4126</v>
      </c>
      <c r="AA239" s="441" t="s">
        <v>3338</v>
      </c>
      <c r="AB239" s="441"/>
      <c r="AC239" s="441"/>
      <c r="AD239" s="441" t="s">
        <v>4127</v>
      </c>
      <c r="AE239" s="441"/>
      <c r="AF239" s="441" t="s">
        <v>3220</v>
      </c>
      <c r="AG239" s="441"/>
      <c r="AH239" s="441"/>
      <c r="AI239" s="441"/>
      <c r="AJ239" s="441"/>
      <c r="AK239" s="395"/>
      <c r="AL239" s="395"/>
      <c r="AM239" s="395">
        <v>0</v>
      </c>
      <c r="AN239" s="395">
        <v>60</v>
      </c>
      <c r="AO239" s="395"/>
      <c r="AP239" s="410"/>
      <c r="AQ239" s="410"/>
    </row>
    <row r="240" spans="2:43" ht="15" customHeight="1">
      <c r="B240" s="394">
        <v>1</v>
      </c>
      <c r="C240" s="395" t="s">
        <v>614</v>
      </c>
      <c r="D240" s="417" t="s">
        <v>4128</v>
      </c>
      <c r="E240" s="662" t="s">
        <v>4129</v>
      </c>
      <c r="F240" s="417"/>
      <c r="G240" s="384"/>
      <c r="H240" s="768"/>
      <c r="I240" s="384"/>
      <c r="J240" s="384" t="s">
        <v>4982</v>
      </c>
      <c r="K240" s="657"/>
      <c r="L240" s="658"/>
      <c r="M240" s="384"/>
      <c r="N240" s="384"/>
      <c r="O240" s="384"/>
      <c r="P240" s="384"/>
      <c r="Q240" s="384"/>
      <c r="R240" s="384"/>
      <c r="S240" s="660"/>
      <c r="T240" s="396"/>
      <c r="U240" s="384"/>
      <c r="V240" s="384"/>
      <c r="W240" s="384"/>
      <c r="X240" s="384"/>
      <c r="Y240" s="442"/>
      <c r="Z240" s="442" t="s">
        <v>4130</v>
      </c>
      <c r="AA240" s="441" t="s">
        <v>3339</v>
      </c>
      <c r="AB240" s="441"/>
      <c r="AC240" s="441"/>
      <c r="AD240" s="441" t="s">
        <v>4131</v>
      </c>
      <c r="AE240" s="441"/>
      <c r="AF240" s="441" t="s">
        <v>3219</v>
      </c>
      <c r="AG240" s="441"/>
      <c r="AH240" s="441"/>
      <c r="AI240" s="441"/>
      <c r="AJ240" s="441"/>
      <c r="AK240" s="395"/>
      <c r="AL240" s="395"/>
      <c r="AM240" s="395">
        <v>0</v>
      </c>
      <c r="AN240" s="395">
        <v>60</v>
      </c>
      <c r="AO240" s="395"/>
      <c r="AP240" s="410"/>
      <c r="AQ240" s="410"/>
    </row>
    <row r="241" spans="2:43" ht="15" customHeight="1">
      <c r="B241" s="394">
        <v>1</v>
      </c>
      <c r="C241" s="395" t="s">
        <v>614</v>
      </c>
      <c r="D241" s="417" t="s">
        <v>4132</v>
      </c>
      <c r="E241" s="662" t="s">
        <v>4133</v>
      </c>
      <c r="F241" s="417"/>
      <c r="G241" s="384"/>
      <c r="H241" s="768"/>
      <c r="I241" s="384"/>
      <c r="J241" s="384" t="s">
        <v>4982</v>
      </c>
      <c r="K241" s="657"/>
      <c r="L241" s="658"/>
      <c r="M241" s="384"/>
      <c r="N241" s="384"/>
      <c r="O241" s="384"/>
      <c r="P241" s="384"/>
      <c r="Q241" s="384"/>
      <c r="R241" s="384"/>
      <c r="S241" s="660"/>
      <c r="T241" s="396"/>
      <c r="U241" s="384"/>
      <c r="V241" s="384"/>
      <c r="W241" s="384"/>
      <c r="X241" s="384"/>
      <c r="Y241" s="442"/>
      <c r="Z241" s="442" t="s">
        <v>4134</v>
      </c>
      <c r="AA241" s="441" t="s">
        <v>3340</v>
      </c>
      <c r="AB241" s="441"/>
      <c r="AC241" s="441"/>
      <c r="AD241" s="441" t="s">
        <v>4135</v>
      </c>
      <c r="AE241" s="441"/>
      <c r="AF241" s="441" t="s">
        <v>3223</v>
      </c>
      <c r="AG241" s="441"/>
      <c r="AH241" s="441"/>
      <c r="AI241" s="441"/>
      <c r="AJ241" s="441"/>
      <c r="AK241" s="395"/>
      <c r="AL241" s="395"/>
      <c r="AM241" s="395">
        <v>0</v>
      </c>
      <c r="AN241" s="395">
        <v>60</v>
      </c>
      <c r="AO241" s="395"/>
      <c r="AP241" s="410"/>
      <c r="AQ241" s="410"/>
    </row>
    <row r="242" spans="2:43" ht="15" customHeight="1">
      <c r="B242" s="394">
        <v>1</v>
      </c>
      <c r="C242" s="395" t="s">
        <v>614</v>
      </c>
      <c r="D242" s="417" t="s">
        <v>4136</v>
      </c>
      <c r="E242" s="662" t="s">
        <v>4137</v>
      </c>
      <c r="F242" s="417"/>
      <c r="G242" s="384"/>
      <c r="H242" s="768"/>
      <c r="I242" s="384"/>
      <c r="J242" s="384" t="s">
        <v>4982</v>
      </c>
      <c r="K242" s="657"/>
      <c r="L242" s="658"/>
      <c r="M242" s="384"/>
      <c r="N242" s="384"/>
      <c r="O242" s="384"/>
      <c r="P242" s="384"/>
      <c r="Q242" s="384"/>
      <c r="R242" s="384"/>
      <c r="S242" s="660"/>
      <c r="T242" s="396"/>
      <c r="U242" s="384"/>
      <c r="V242" s="384"/>
      <c r="W242" s="384"/>
      <c r="X242" s="384"/>
      <c r="Y242" s="442"/>
      <c r="Z242" s="442" t="s">
        <v>4138</v>
      </c>
      <c r="AA242" s="441" t="s">
        <v>3341</v>
      </c>
      <c r="AB242" s="441"/>
      <c r="AC242" s="441"/>
      <c r="AD242" s="441" t="s">
        <v>3110</v>
      </c>
      <c r="AE242" s="441"/>
      <c r="AF242" s="441" t="s">
        <v>3111</v>
      </c>
      <c r="AG242" s="441"/>
      <c r="AH242" s="441"/>
      <c r="AI242" s="441"/>
      <c r="AJ242" s="441"/>
      <c r="AK242" s="395"/>
      <c r="AL242" s="395"/>
      <c r="AM242" s="395">
        <v>0</v>
      </c>
      <c r="AN242" s="395">
        <v>60</v>
      </c>
      <c r="AO242" s="395"/>
      <c r="AP242" s="410"/>
      <c r="AQ242" s="410"/>
    </row>
    <row r="243" spans="2:43" ht="15" customHeight="1">
      <c r="B243" s="394">
        <v>1</v>
      </c>
      <c r="C243" s="395" t="s">
        <v>614</v>
      </c>
      <c r="D243" s="417" t="s">
        <v>4139</v>
      </c>
      <c r="E243" s="662" t="s">
        <v>4140</v>
      </c>
      <c r="F243" s="417"/>
      <c r="G243" s="384"/>
      <c r="H243" s="768"/>
      <c r="I243" s="384"/>
      <c r="J243" s="384" t="s">
        <v>4982</v>
      </c>
      <c r="K243" s="657"/>
      <c r="L243" s="658"/>
      <c r="M243" s="384"/>
      <c r="N243" s="384"/>
      <c r="O243" s="384"/>
      <c r="P243" s="384"/>
      <c r="Q243" s="384"/>
      <c r="R243" s="384"/>
      <c r="S243" s="660"/>
      <c r="T243" s="396"/>
      <c r="U243" s="384"/>
      <c r="V243" s="384"/>
      <c r="W243" s="384"/>
      <c r="X243" s="384"/>
      <c r="Y243" s="442"/>
      <c r="Z243" s="442" t="s">
        <v>4141</v>
      </c>
      <c r="AA243" s="441" t="s">
        <v>3342</v>
      </c>
      <c r="AB243" s="441"/>
      <c r="AC243" s="441"/>
      <c r="AD243" s="441" t="s">
        <v>3114</v>
      </c>
      <c r="AE243" s="441"/>
      <c r="AF243" s="441" t="s">
        <v>3115</v>
      </c>
      <c r="AG243" s="441"/>
      <c r="AH243" s="441"/>
      <c r="AI243" s="441"/>
      <c r="AJ243" s="441"/>
      <c r="AK243" s="395"/>
      <c r="AL243" s="395"/>
      <c r="AM243" s="395">
        <v>0</v>
      </c>
      <c r="AN243" s="395">
        <v>60</v>
      </c>
      <c r="AO243" s="395"/>
      <c r="AP243" s="410"/>
      <c r="AQ243" s="410"/>
    </row>
    <row r="244" spans="2:43" ht="15" customHeight="1">
      <c r="B244" s="394">
        <v>1</v>
      </c>
      <c r="C244" s="395" t="s">
        <v>614</v>
      </c>
      <c r="D244" s="417" t="s">
        <v>4142</v>
      </c>
      <c r="E244" s="662" t="s">
        <v>4143</v>
      </c>
      <c r="F244" s="417"/>
      <c r="G244" s="384"/>
      <c r="H244" s="768"/>
      <c r="I244" s="384"/>
      <c r="J244" s="384" t="s">
        <v>4982</v>
      </c>
      <c r="K244" s="657"/>
      <c r="L244" s="658"/>
      <c r="M244" s="384"/>
      <c r="N244" s="384"/>
      <c r="O244" s="384"/>
      <c r="P244" s="384"/>
      <c r="Q244" s="384"/>
      <c r="R244" s="384"/>
      <c r="S244" s="660"/>
      <c r="T244" s="396"/>
      <c r="U244" s="384"/>
      <c r="V244" s="384"/>
      <c r="W244" s="384"/>
      <c r="X244" s="384"/>
      <c r="Y244" s="442"/>
      <c r="Z244" s="442" t="s">
        <v>4144</v>
      </c>
      <c r="AA244" s="441" t="s">
        <v>3343</v>
      </c>
      <c r="AB244" s="441"/>
      <c r="AC244" s="441"/>
      <c r="AD244" s="441" t="s">
        <v>3118</v>
      </c>
      <c r="AE244" s="441"/>
      <c r="AF244" s="441" t="s">
        <v>3119</v>
      </c>
      <c r="AG244" s="441"/>
      <c r="AH244" s="441"/>
      <c r="AI244" s="441"/>
      <c r="AJ244" s="441"/>
      <c r="AK244" s="395"/>
      <c r="AL244" s="395"/>
      <c r="AM244" s="395">
        <v>0</v>
      </c>
      <c r="AN244" s="395">
        <v>60</v>
      </c>
      <c r="AO244" s="395"/>
      <c r="AP244" s="410"/>
      <c r="AQ244" s="410"/>
    </row>
    <row r="245" spans="2:43" ht="15" customHeight="1">
      <c r="B245" s="394">
        <v>1</v>
      </c>
      <c r="C245" s="395" t="s">
        <v>614</v>
      </c>
      <c r="D245" s="417" t="s">
        <v>4145</v>
      </c>
      <c r="E245" s="662" t="s">
        <v>4146</v>
      </c>
      <c r="F245" s="417"/>
      <c r="G245" s="384"/>
      <c r="H245" s="768"/>
      <c r="I245" s="384"/>
      <c r="J245" s="384" t="s">
        <v>4982</v>
      </c>
      <c r="K245" s="657"/>
      <c r="L245" s="658"/>
      <c r="M245" s="384"/>
      <c r="N245" s="384"/>
      <c r="O245" s="384"/>
      <c r="P245" s="384"/>
      <c r="Q245" s="384"/>
      <c r="R245" s="384"/>
      <c r="S245" s="660"/>
      <c r="T245" s="396"/>
      <c r="U245" s="384"/>
      <c r="V245" s="384"/>
      <c r="W245" s="384"/>
      <c r="X245" s="384"/>
      <c r="Y245" s="442"/>
      <c r="Z245" s="442" t="s">
        <v>4147</v>
      </c>
      <c r="AA245" s="441" t="s">
        <v>3344</v>
      </c>
      <c r="AB245" s="441"/>
      <c r="AC245" s="441"/>
      <c r="AD245" s="441" t="s">
        <v>3122</v>
      </c>
      <c r="AE245" s="441"/>
      <c r="AF245" s="441" t="s">
        <v>3123</v>
      </c>
      <c r="AG245" s="441"/>
      <c r="AH245" s="441"/>
      <c r="AI245" s="441"/>
      <c r="AJ245" s="441"/>
      <c r="AK245" s="395"/>
      <c r="AL245" s="395"/>
      <c r="AM245" s="395">
        <v>0</v>
      </c>
      <c r="AN245" s="395">
        <v>60</v>
      </c>
      <c r="AO245" s="395"/>
      <c r="AP245" s="410"/>
      <c r="AQ245" s="410"/>
    </row>
    <row r="246" spans="2:43" ht="15" customHeight="1">
      <c r="B246" s="394">
        <v>1</v>
      </c>
      <c r="C246" s="395" t="s">
        <v>614</v>
      </c>
      <c r="D246" s="417" t="s">
        <v>4148</v>
      </c>
      <c r="E246" s="662" t="s">
        <v>4149</v>
      </c>
      <c r="F246" s="417"/>
      <c r="G246" s="384"/>
      <c r="H246" s="768"/>
      <c r="I246" s="384"/>
      <c r="J246" s="384" t="s">
        <v>4982</v>
      </c>
      <c r="K246" s="657"/>
      <c r="L246" s="658"/>
      <c r="M246" s="384"/>
      <c r="N246" s="384"/>
      <c r="O246" s="384"/>
      <c r="P246" s="384"/>
      <c r="Q246" s="384"/>
      <c r="R246" s="384"/>
      <c r="S246" s="660"/>
      <c r="T246" s="396"/>
      <c r="U246" s="384"/>
      <c r="V246" s="384"/>
      <c r="W246" s="384"/>
      <c r="X246" s="384"/>
      <c r="Y246" s="442"/>
      <c r="Z246" s="442" t="s">
        <v>4150</v>
      </c>
      <c r="AA246" s="441" t="s">
        <v>3345</v>
      </c>
      <c r="AB246" s="441"/>
      <c r="AC246" s="441"/>
      <c r="AD246" s="441" t="s">
        <v>1344</v>
      </c>
      <c r="AE246" s="441"/>
      <c r="AF246" s="441" t="s">
        <v>3126</v>
      </c>
      <c r="AG246" s="441"/>
      <c r="AH246" s="441"/>
      <c r="AI246" s="441"/>
      <c r="AJ246" s="441"/>
      <c r="AK246" s="395"/>
      <c r="AL246" s="395"/>
      <c r="AM246" s="395">
        <v>0</v>
      </c>
      <c r="AN246" s="395">
        <v>60</v>
      </c>
      <c r="AO246" s="395"/>
      <c r="AP246" s="410"/>
      <c r="AQ246" s="410"/>
    </row>
    <row r="247" spans="2:43" ht="15" customHeight="1">
      <c r="B247" s="394">
        <v>1</v>
      </c>
      <c r="C247" s="395" t="s">
        <v>614</v>
      </c>
      <c r="D247" s="417" t="s">
        <v>4151</v>
      </c>
      <c r="E247" s="662" t="s">
        <v>4152</v>
      </c>
      <c r="F247" s="417"/>
      <c r="G247" s="384"/>
      <c r="H247" s="768"/>
      <c r="I247" s="384"/>
      <c r="J247" s="384" t="s">
        <v>4982</v>
      </c>
      <c r="K247" s="657"/>
      <c r="L247" s="658"/>
      <c r="M247" s="384"/>
      <c r="N247" s="384"/>
      <c r="O247" s="384"/>
      <c r="P247" s="384"/>
      <c r="Q247" s="384"/>
      <c r="R247" s="384"/>
      <c r="S247" s="660"/>
      <c r="T247" s="396"/>
      <c r="U247" s="384"/>
      <c r="V247" s="384"/>
      <c r="W247" s="384"/>
      <c r="X247" s="384"/>
      <c r="Y247" s="442"/>
      <c r="Z247" s="442" t="s">
        <v>4153</v>
      </c>
      <c r="AA247" s="441" t="s">
        <v>3346</v>
      </c>
      <c r="AB247" s="441"/>
      <c r="AC247" s="441"/>
      <c r="AD247" s="441" t="s">
        <v>1345</v>
      </c>
      <c r="AE247" s="441"/>
      <c r="AF247" s="441" t="s">
        <v>3129</v>
      </c>
      <c r="AG247" s="441"/>
      <c r="AH247" s="441"/>
      <c r="AI247" s="441"/>
      <c r="AJ247" s="441"/>
      <c r="AK247" s="395"/>
      <c r="AL247" s="395"/>
      <c r="AM247" s="395">
        <v>0</v>
      </c>
      <c r="AN247" s="395">
        <v>60</v>
      </c>
      <c r="AO247" s="395"/>
      <c r="AP247" s="410"/>
      <c r="AQ247" s="410"/>
    </row>
    <row r="248" spans="2:43" ht="15" customHeight="1">
      <c r="B248" s="394">
        <v>1</v>
      </c>
      <c r="C248" s="395" t="s">
        <v>614</v>
      </c>
      <c r="D248" s="417" t="s">
        <v>4154</v>
      </c>
      <c r="E248" s="662" t="s">
        <v>4155</v>
      </c>
      <c r="F248" s="417"/>
      <c r="G248" s="384"/>
      <c r="H248" s="768"/>
      <c r="I248" s="384"/>
      <c r="J248" s="384" t="s">
        <v>4982</v>
      </c>
      <c r="K248" s="657"/>
      <c r="L248" s="658"/>
      <c r="M248" s="384"/>
      <c r="N248" s="384"/>
      <c r="O248" s="384"/>
      <c r="P248" s="384"/>
      <c r="Q248" s="384"/>
      <c r="R248" s="384"/>
      <c r="S248" s="660"/>
      <c r="T248" s="396"/>
      <c r="U248" s="384"/>
      <c r="V248" s="384"/>
      <c r="W248" s="384"/>
      <c r="X248" s="384"/>
      <c r="Y248" s="442"/>
      <c r="Z248" s="442" t="s">
        <v>4156</v>
      </c>
      <c r="AA248" s="441" t="s">
        <v>3347</v>
      </c>
      <c r="AB248" s="441"/>
      <c r="AC248" s="441"/>
      <c r="AD248" s="441" t="s">
        <v>3132</v>
      </c>
      <c r="AE248" s="441"/>
      <c r="AF248" s="441" t="s">
        <v>1336</v>
      </c>
      <c r="AG248" s="441"/>
      <c r="AH248" s="441"/>
      <c r="AI248" s="441"/>
      <c r="AJ248" s="441"/>
      <c r="AK248" s="395"/>
      <c r="AL248" s="395"/>
      <c r="AM248" s="395">
        <v>0</v>
      </c>
      <c r="AN248" s="395">
        <v>60</v>
      </c>
      <c r="AO248" s="395"/>
      <c r="AP248" s="410"/>
      <c r="AQ248" s="410"/>
    </row>
    <row r="249" spans="2:43" ht="15" customHeight="1">
      <c r="B249" s="394">
        <v>1</v>
      </c>
      <c r="C249" s="395" t="s">
        <v>614</v>
      </c>
      <c r="D249" s="417" t="s">
        <v>4157</v>
      </c>
      <c r="E249" s="662" t="s">
        <v>4158</v>
      </c>
      <c r="F249" s="417"/>
      <c r="G249" s="384"/>
      <c r="H249" s="768"/>
      <c r="I249" s="384"/>
      <c r="J249" s="384" t="s">
        <v>4982</v>
      </c>
      <c r="K249" s="657"/>
      <c r="L249" s="658"/>
      <c r="M249" s="384"/>
      <c r="N249" s="384"/>
      <c r="O249" s="384"/>
      <c r="P249" s="384"/>
      <c r="Q249" s="384"/>
      <c r="R249" s="384"/>
      <c r="S249" s="660"/>
      <c r="T249" s="396"/>
      <c r="U249" s="384"/>
      <c r="V249" s="384"/>
      <c r="W249" s="384"/>
      <c r="X249" s="384"/>
      <c r="Y249" s="442"/>
      <c r="Z249" s="442" t="s">
        <v>4159</v>
      </c>
      <c r="AA249" s="441" t="s">
        <v>3348</v>
      </c>
      <c r="AB249" s="441"/>
      <c r="AC249" s="441"/>
      <c r="AD249" s="441" t="s">
        <v>3135</v>
      </c>
      <c r="AE249" s="441"/>
      <c r="AF249" s="441" t="s">
        <v>1337</v>
      </c>
      <c r="AG249" s="441"/>
      <c r="AH249" s="441"/>
      <c r="AI249" s="441"/>
      <c r="AJ249" s="441"/>
      <c r="AK249" s="395"/>
      <c r="AL249" s="395"/>
      <c r="AM249" s="395">
        <v>0</v>
      </c>
      <c r="AN249" s="395">
        <v>60</v>
      </c>
      <c r="AO249" s="395"/>
      <c r="AP249" s="410"/>
      <c r="AQ249" s="410"/>
    </row>
    <row r="250" spans="2:43" ht="15" customHeight="1">
      <c r="B250" s="394">
        <v>1</v>
      </c>
      <c r="C250" s="395" t="s">
        <v>614</v>
      </c>
      <c r="D250" s="417" t="s">
        <v>4160</v>
      </c>
      <c r="E250" s="662" t="s">
        <v>4161</v>
      </c>
      <c r="F250" s="417"/>
      <c r="G250" s="384"/>
      <c r="H250" s="768"/>
      <c r="I250" s="384"/>
      <c r="J250" s="384" t="s">
        <v>4982</v>
      </c>
      <c r="K250" s="657"/>
      <c r="L250" s="658"/>
      <c r="M250" s="384"/>
      <c r="N250" s="384"/>
      <c r="O250" s="384"/>
      <c r="P250" s="384"/>
      <c r="Q250" s="384"/>
      <c r="R250" s="384"/>
      <c r="S250" s="660"/>
      <c r="T250" s="396"/>
      <c r="U250" s="384"/>
      <c r="V250" s="384"/>
      <c r="W250" s="384"/>
      <c r="X250" s="384"/>
      <c r="Y250" s="442"/>
      <c r="Z250" s="442" t="s">
        <v>4162</v>
      </c>
      <c r="AA250" s="441" t="s">
        <v>4163</v>
      </c>
      <c r="AB250" s="441"/>
      <c r="AC250" s="441"/>
      <c r="AD250" s="441" t="s">
        <v>3313</v>
      </c>
      <c r="AE250" s="441" t="s">
        <v>3189</v>
      </c>
      <c r="AF250" s="441"/>
      <c r="AG250" s="441"/>
      <c r="AH250" s="441"/>
      <c r="AI250" s="441"/>
      <c r="AJ250" s="441"/>
      <c r="AK250" s="395"/>
      <c r="AL250" s="395"/>
      <c r="AM250" s="395">
        <v>1</v>
      </c>
      <c r="AN250" s="395">
        <v>60</v>
      </c>
      <c r="AO250" s="395"/>
      <c r="AP250" s="410"/>
      <c r="AQ250" s="410"/>
    </row>
    <row r="251" spans="2:43" ht="15" customHeight="1">
      <c r="B251" s="394">
        <v>1</v>
      </c>
      <c r="C251" s="395" t="s">
        <v>614</v>
      </c>
      <c r="D251" s="417" t="s">
        <v>4164</v>
      </c>
      <c r="E251" s="662" t="s">
        <v>4165</v>
      </c>
      <c r="F251" s="417"/>
      <c r="G251" s="384"/>
      <c r="H251" s="768"/>
      <c r="I251" s="384"/>
      <c r="J251" s="384" t="s">
        <v>4982</v>
      </c>
      <c r="K251" s="657"/>
      <c r="L251" s="658"/>
      <c r="M251" s="384"/>
      <c r="N251" s="384"/>
      <c r="O251" s="384"/>
      <c r="P251" s="384"/>
      <c r="Q251" s="384"/>
      <c r="R251" s="384"/>
      <c r="S251" s="660"/>
      <c r="T251" s="396"/>
      <c r="U251" s="384"/>
      <c r="V251" s="384"/>
      <c r="W251" s="384"/>
      <c r="X251" s="384"/>
      <c r="Y251" s="442"/>
      <c r="Z251" s="442" t="s">
        <v>4166</v>
      </c>
      <c r="AA251" s="441" t="s">
        <v>4167</v>
      </c>
      <c r="AB251" s="441"/>
      <c r="AC251" s="441"/>
      <c r="AD251" s="441" t="s">
        <v>3315</v>
      </c>
      <c r="AE251" s="441" t="s">
        <v>3193</v>
      </c>
      <c r="AF251" s="441"/>
      <c r="AG251" s="441"/>
      <c r="AH251" s="441"/>
      <c r="AI251" s="441"/>
      <c r="AJ251" s="441"/>
      <c r="AK251" s="395"/>
      <c r="AL251" s="395"/>
      <c r="AM251" s="395">
        <v>1</v>
      </c>
      <c r="AN251" s="395">
        <v>60</v>
      </c>
      <c r="AO251" s="395"/>
      <c r="AP251" s="410"/>
      <c r="AQ251" s="410"/>
    </row>
    <row r="252" spans="2:43" ht="15" customHeight="1">
      <c r="B252" s="394">
        <v>1</v>
      </c>
      <c r="C252" s="395" t="s">
        <v>614</v>
      </c>
      <c r="D252" s="417" t="s">
        <v>4168</v>
      </c>
      <c r="E252" s="662" t="s">
        <v>4169</v>
      </c>
      <c r="F252" s="417"/>
      <c r="G252" s="384"/>
      <c r="H252" s="768"/>
      <c r="I252" s="384"/>
      <c r="J252" s="384" t="s">
        <v>4982</v>
      </c>
      <c r="K252" s="657"/>
      <c r="L252" s="658"/>
      <c r="M252" s="384"/>
      <c r="N252" s="384"/>
      <c r="O252" s="384"/>
      <c r="P252" s="384"/>
      <c r="Q252" s="384"/>
      <c r="R252" s="384"/>
      <c r="S252" s="660"/>
      <c r="T252" s="396"/>
      <c r="U252" s="384"/>
      <c r="V252" s="384"/>
      <c r="W252" s="384"/>
      <c r="X252" s="384"/>
      <c r="Y252" s="442"/>
      <c r="Z252" s="442" t="s">
        <v>4170</v>
      </c>
      <c r="AA252" s="441" t="s">
        <v>4171</v>
      </c>
      <c r="AB252" s="441"/>
      <c r="AC252" s="441"/>
      <c r="AD252" s="441" t="s">
        <v>4172</v>
      </c>
      <c r="AE252" s="441" t="s">
        <v>3192</v>
      </c>
      <c r="AF252" s="441"/>
      <c r="AG252" s="441"/>
      <c r="AH252" s="441"/>
      <c r="AI252" s="441"/>
      <c r="AJ252" s="441"/>
      <c r="AK252" s="395"/>
      <c r="AL252" s="395"/>
      <c r="AM252" s="395">
        <v>1</v>
      </c>
      <c r="AN252" s="395">
        <v>60</v>
      </c>
      <c r="AO252" s="395"/>
      <c r="AP252" s="410"/>
      <c r="AQ252" s="410"/>
    </row>
    <row r="253" spans="2:43" ht="15" customHeight="1">
      <c r="B253" s="394">
        <v>1</v>
      </c>
      <c r="C253" s="395" t="s">
        <v>614</v>
      </c>
      <c r="D253" s="417" t="s">
        <v>4173</v>
      </c>
      <c r="E253" s="662" t="s">
        <v>4174</v>
      </c>
      <c r="F253" s="417"/>
      <c r="G253" s="384"/>
      <c r="H253" s="768"/>
      <c r="I253" s="384"/>
      <c r="J253" s="384" t="s">
        <v>4982</v>
      </c>
      <c r="K253" s="657"/>
      <c r="L253" s="658"/>
      <c r="M253" s="384"/>
      <c r="N253" s="384"/>
      <c r="O253" s="384"/>
      <c r="P253" s="384"/>
      <c r="Q253" s="384"/>
      <c r="R253" s="384"/>
      <c r="S253" s="660"/>
      <c r="T253" s="396"/>
      <c r="U253" s="384"/>
      <c r="V253" s="384"/>
      <c r="W253" s="384"/>
      <c r="X253" s="384"/>
      <c r="Y253" s="442"/>
      <c r="Z253" s="442" t="s">
        <v>4175</v>
      </c>
      <c r="AA253" s="441" t="s">
        <v>4176</v>
      </c>
      <c r="AB253" s="441"/>
      <c r="AC253" s="441"/>
      <c r="AD253" s="441" t="s">
        <v>4177</v>
      </c>
      <c r="AE253" s="441" t="s">
        <v>3196</v>
      </c>
      <c r="AF253" s="441"/>
      <c r="AG253" s="441"/>
      <c r="AH253" s="441"/>
      <c r="AI253" s="441"/>
      <c r="AJ253" s="441"/>
      <c r="AK253" s="395"/>
      <c r="AL253" s="395"/>
      <c r="AM253" s="395">
        <v>1</v>
      </c>
      <c r="AN253" s="395">
        <v>60</v>
      </c>
      <c r="AO253" s="395"/>
      <c r="AP253" s="410"/>
      <c r="AQ253" s="410"/>
    </row>
    <row r="254" spans="2:43" ht="15" customHeight="1">
      <c r="B254" s="394">
        <v>1</v>
      </c>
      <c r="C254" s="395" t="s">
        <v>614</v>
      </c>
      <c r="D254" s="417" t="s">
        <v>4178</v>
      </c>
      <c r="E254" s="662" t="s">
        <v>4179</v>
      </c>
      <c r="F254" s="417"/>
      <c r="G254" s="384"/>
      <c r="H254" s="768"/>
      <c r="I254" s="384"/>
      <c r="J254" s="384" t="s">
        <v>4982</v>
      </c>
      <c r="K254" s="657"/>
      <c r="L254" s="658"/>
      <c r="M254" s="384"/>
      <c r="N254" s="384"/>
      <c r="O254" s="384"/>
      <c r="P254" s="384"/>
      <c r="Q254" s="384"/>
      <c r="R254" s="384"/>
      <c r="S254" s="660"/>
      <c r="T254" s="396"/>
      <c r="U254" s="384"/>
      <c r="V254" s="384"/>
      <c r="W254" s="384"/>
      <c r="X254" s="384"/>
      <c r="Y254" s="442"/>
      <c r="Z254" s="442" t="s">
        <v>4180</v>
      </c>
      <c r="AA254" s="441" t="s">
        <v>4181</v>
      </c>
      <c r="AB254" s="441"/>
      <c r="AC254" s="441"/>
      <c r="AD254" s="441" t="s">
        <v>4182</v>
      </c>
      <c r="AE254" s="441" t="s">
        <v>3195</v>
      </c>
      <c r="AF254" s="441"/>
      <c r="AG254" s="441"/>
      <c r="AH254" s="441"/>
      <c r="AI254" s="441"/>
      <c r="AJ254" s="441"/>
      <c r="AK254" s="395"/>
      <c r="AL254" s="395"/>
      <c r="AM254" s="395">
        <v>1</v>
      </c>
      <c r="AN254" s="395">
        <v>60</v>
      </c>
      <c r="AO254" s="395"/>
      <c r="AP254" s="410"/>
      <c r="AQ254" s="410"/>
    </row>
    <row r="255" spans="2:43" ht="15" customHeight="1">
      <c r="B255" s="394">
        <v>1</v>
      </c>
      <c r="C255" s="395" t="s">
        <v>614</v>
      </c>
      <c r="D255" s="417" t="s">
        <v>4183</v>
      </c>
      <c r="E255" s="662" t="s">
        <v>4184</v>
      </c>
      <c r="F255" s="417"/>
      <c r="G255" s="384"/>
      <c r="H255" s="768"/>
      <c r="I255" s="384"/>
      <c r="J255" s="384" t="s">
        <v>4982</v>
      </c>
      <c r="K255" s="657"/>
      <c r="L255" s="658"/>
      <c r="M255" s="384"/>
      <c r="N255" s="384"/>
      <c r="O255" s="384"/>
      <c r="P255" s="384"/>
      <c r="Q255" s="384"/>
      <c r="R255" s="384"/>
      <c r="S255" s="660"/>
      <c r="T255" s="396"/>
      <c r="U255" s="384"/>
      <c r="V255" s="384"/>
      <c r="W255" s="384"/>
      <c r="X255" s="384"/>
      <c r="Y255" s="442"/>
      <c r="Z255" s="442" t="s">
        <v>4185</v>
      </c>
      <c r="AA255" s="441" t="s">
        <v>4186</v>
      </c>
      <c r="AB255" s="441"/>
      <c r="AC255" s="441"/>
      <c r="AD255" s="441" t="s">
        <v>4187</v>
      </c>
      <c r="AE255" s="441" t="s">
        <v>3199</v>
      </c>
      <c r="AF255" s="441"/>
      <c r="AG255" s="441"/>
      <c r="AH255" s="441"/>
      <c r="AI255" s="441"/>
      <c r="AJ255" s="441"/>
      <c r="AK255" s="395"/>
      <c r="AL255" s="395"/>
      <c r="AM255" s="395">
        <v>1</v>
      </c>
      <c r="AN255" s="395">
        <v>60</v>
      </c>
      <c r="AO255" s="395"/>
      <c r="AP255" s="410"/>
      <c r="AQ255" s="410"/>
    </row>
    <row r="256" spans="2:43" ht="15" customHeight="1">
      <c r="B256" s="394">
        <v>1</v>
      </c>
      <c r="C256" s="395" t="s">
        <v>614</v>
      </c>
      <c r="D256" s="417" t="s">
        <v>4188</v>
      </c>
      <c r="E256" s="662" t="s">
        <v>4189</v>
      </c>
      <c r="F256" s="417"/>
      <c r="G256" s="384"/>
      <c r="H256" s="768"/>
      <c r="I256" s="384"/>
      <c r="J256" s="384" t="s">
        <v>4982</v>
      </c>
      <c r="K256" s="657"/>
      <c r="L256" s="658"/>
      <c r="M256" s="384"/>
      <c r="N256" s="384"/>
      <c r="O256" s="384"/>
      <c r="P256" s="384"/>
      <c r="Q256" s="384"/>
      <c r="R256" s="384"/>
      <c r="S256" s="660"/>
      <c r="T256" s="396"/>
      <c r="U256" s="384"/>
      <c r="V256" s="384"/>
      <c r="W256" s="384"/>
      <c r="X256" s="384"/>
      <c r="Y256" s="442"/>
      <c r="Z256" s="442" t="s">
        <v>4190</v>
      </c>
      <c r="AA256" s="441" t="s">
        <v>4191</v>
      </c>
      <c r="AB256" s="441"/>
      <c r="AC256" s="441"/>
      <c r="AD256" s="441" t="s">
        <v>4192</v>
      </c>
      <c r="AE256" s="441" t="s">
        <v>3198</v>
      </c>
      <c r="AF256" s="441"/>
      <c r="AG256" s="441"/>
      <c r="AH256" s="441"/>
      <c r="AI256" s="441"/>
      <c r="AJ256" s="441"/>
      <c r="AK256" s="395"/>
      <c r="AL256" s="395"/>
      <c r="AM256" s="395">
        <v>1</v>
      </c>
      <c r="AN256" s="395">
        <v>60</v>
      </c>
      <c r="AO256" s="395"/>
      <c r="AP256" s="410"/>
      <c r="AQ256" s="410"/>
    </row>
    <row r="257" spans="2:43" ht="15" customHeight="1">
      <c r="B257" s="394">
        <v>1</v>
      </c>
      <c r="C257" s="395" t="s">
        <v>614</v>
      </c>
      <c r="D257" s="417" t="s">
        <v>4193</v>
      </c>
      <c r="E257" s="662" t="s">
        <v>4194</v>
      </c>
      <c r="F257" s="417"/>
      <c r="G257" s="384"/>
      <c r="H257" s="768"/>
      <c r="I257" s="384"/>
      <c r="J257" s="384" t="s">
        <v>4982</v>
      </c>
      <c r="K257" s="657"/>
      <c r="L257" s="658"/>
      <c r="M257" s="384"/>
      <c r="N257" s="384"/>
      <c r="O257" s="384"/>
      <c r="P257" s="384"/>
      <c r="Q257" s="384"/>
      <c r="R257" s="384"/>
      <c r="S257" s="660"/>
      <c r="T257" s="396"/>
      <c r="U257" s="384"/>
      <c r="V257" s="384"/>
      <c r="W257" s="384"/>
      <c r="X257" s="384"/>
      <c r="Y257" s="442"/>
      <c r="Z257" s="442" t="s">
        <v>4195</v>
      </c>
      <c r="AA257" s="441" t="s">
        <v>4196</v>
      </c>
      <c r="AB257" s="441"/>
      <c r="AC257" s="441"/>
      <c r="AD257" s="441" t="s">
        <v>4197</v>
      </c>
      <c r="AE257" s="441" t="s">
        <v>3202</v>
      </c>
      <c r="AF257" s="441"/>
      <c r="AG257" s="441"/>
      <c r="AH257" s="441"/>
      <c r="AI257" s="441"/>
      <c r="AJ257" s="441"/>
      <c r="AK257" s="395"/>
      <c r="AL257" s="395"/>
      <c r="AM257" s="395">
        <v>1</v>
      </c>
      <c r="AN257" s="395">
        <v>60</v>
      </c>
      <c r="AO257" s="395"/>
      <c r="AP257" s="410"/>
      <c r="AQ257" s="410"/>
    </row>
    <row r="258" spans="2:43" ht="15" customHeight="1">
      <c r="B258" s="394">
        <v>1</v>
      </c>
      <c r="C258" s="395" t="s">
        <v>614</v>
      </c>
      <c r="D258" s="417" t="s">
        <v>4198</v>
      </c>
      <c r="E258" s="662" t="s">
        <v>4199</v>
      </c>
      <c r="F258" s="417"/>
      <c r="G258" s="384"/>
      <c r="H258" s="768"/>
      <c r="I258" s="384"/>
      <c r="J258" s="384" t="s">
        <v>4982</v>
      </c>
      <c r="K258" s="657"/>
      <c r="L258" s="658"/>
      <c r="M258" s="384"/>
      <c r="N258" s="384"/>
      <c r="O258" s="384"/>
      <c r="P258" s="384"/>
      <c r="Q258" s="384"/>
      <c r="R258" s="384"/>
      <c r="S258" s="660"/>
      <c r="T258" s="396"/>
      <c r="U258" s="384"/>
      <c r="V258" s="384"/>
      <c r="W258" s="384"/>
      <c r="X258" s="384"/>
      <c r="Y258" s="442"/>
      <c r="Z258" s="442" t="s">
        <v>4200</v>
      </c>
      <c r="AA258" s="441" t="s">
        <v>4201</v>
      </c>
      <c r="AB258" s="441"/>
      <c r="AC258" s="441"/>
      <c r="AD258" s="441" t="s">
        <v>4202</v>
      </c>
      <c r="AE258" s="441" t="s">
        <v>3201</v>
      </c>
      <c r="AF258" s="441"/>
      <c r="AG258" s="441"/>
      <c r="AH258" s="441"/>
      <c r="AI258" s="441"/>
      <c r="AJ258" s="441"/>
      <c r="AK258" s="395"/>
      <c r="AL258" s="395"/>
      <c r="AM258" s="395">
        <v>1</v>
      </c>
      <c r="AN258" s="395">
        <v>60</v>
      </c>
      <c r="AO258" s="395"/>
      <c r="AP258" s="410"/>
      <c r="AQ258" s="410"/>
    </row>
    <row r="259" spans="2:43" ht="15" customHeight="1">
      <c r="B259" s="394">
        <v>1</v>
      </c>
      <c r="C259" s="395" t="s">
        <v>614</v>
      </c>
      <c r="D259" s="417" t="s">
        <v>4203</v>
      </c>
      <c r="E259" s="662" t="s">
        <v>4204</v>
      </c>
      <c r="F259" s="417"/>
      <c r="G259" s="384"/>
      <c r="H259" s="768"/>
      <c r="I259" s="384"/>
      <c r="J259" s="384" t="s">
        <v>4982</v>
      </c>
      <c r="K259" s="657"/>
      <c r="L259" s="658"/>
      <c r="M259" s="384"/>
      <c r="N259" s="384"/>
      <c r="O259" s="384"/>
      <c r="P259" s="384"/>
      <c r="Q259" s="384"/>
      <c r="R259" s="384"/>
      <c r="S259" s="660"/>
      <c r="T259" s="396"/>
      <c r="U259" s="384"/>
      <c r="V259" s="384"/>
      <c r="W259" s="384"/>
      <c r="X259" s="384"/>
      <c r="Y259" s="442"/>
      <c r="Z259" s="442" t="s">
        <v>4205</v>
      </c>
      <c r="AA259" s="441" t="s">
        <v>4206</v>
      </c>
      <c r="AB259" s="441"/>
      <c r="AC259" s="441"/>
      <c r="AD259" s="441" t="s">
        <v>4207</v>
      </c>
      <c r="AE259" s="441" t="s">
        <v>3205</v>
      </c>
      <c r="AF259" s="441"/>
      <c r="AG259" s="441"/>
      <c r="AH259" s="441"/>
      <c r="AI259" s="441"/>
      <c r="AJ259" s="441"/>
      <c r="AK259" s="395"/>
      <c r="AL259" s="395"/>
      <c r="AM259" s="395">
        <v>1</v>
      </c>
      <c r="AN259" s="395">
        <v>60</v>
      </c>
      <c r="AO259" s="395"/>
      <c r="AP259" s="410"/>
      <c r="AQ259" s="410"/>
    </row>
    <row r="260" spans="2:43" ht="15" customHeight="1">
      <c r="B260" s="394">
        <v>1</v>
      </c>
      <c r="C260" s="395" t="s">
        <v>594</v>
      </c>
      <c r="D260" s="417" t="s">
        <v>4208</v>
      </c>
      <c r="E260" s="662" t="s">
        <v>4209</v>
      </c>
      <c r="F260" s="417"/>
      <c r="G260" s="384"/>
      <c r="H260" s="768"/>
      <c r="I260" s="384"/>
      <c r="J260" s="384" t="s">
        <v>4982</v>
      </c>
      <c r="K260" s="657"/>
      <c r="L260" s="658"/>
      <c r="M260" s="384"/>
      <c r="N260" s="384"/>
      <c r="O260" s="384"/>
      <c r="P260" s="384"/>
      <c r="Q260" s="384"/>
      <c r="R260" s="384"/>
      <c r="S260" s="660"/>
      <c r="T260" s="396"/>
      <c r="U260" s="384"/>
      <c r="V260" s="384"/>
      <c r="W260" s="384"/>
      <c r="X260" s="384"/>
      <c r="Y260" s="442"/>
      <c r="Z260" s="442" t="s">
        <v>4210</v>
      </c>
      <c r="AA260" s="441" t="s">
        <v>4211</v>
      </c>
      <c r="AB260" s="441"/>
      <c r="AC260" s="441"/>
      <c r="AD260" s="441" t="s">
        <v>3107</v>
      </c>
      <c r="AE260" s="441" t="s">
        <v>4212</v>
      </c>
      <c r="AF260" s="441" t="s">
        <v>4213</v>
      </c>
      <c r="AG260" s="441"/>
      <c r="AH260" s="441"/>
      <c r="AI260" s="441"/>
      <c r="AJ260" s="441"/>
      <c r="AK260" s="395">
        <v>2</v>
      </c>
      <c r="AL260" s="395" t="s">
        <v>76</v>
      </c>
      <c r="AM260" s="395"/>
      <c r="AN260" s="395">
        <v>2</v>
      </c>
      <c r="AO260" s="395">
        <v>2</v>
      </c>
      <c r="AP260" s="410"/>
      <c r="AQ260" s="410"/>
    </row>
    <row r="261" spans="2:43" ht="15" customHeight="1">
      <c r="B261" s="394">
        <v>1</v>
      </c>
      <c r="C261" s="395" t="s">
        <v>594</v>
      </c>
      <c r="D261" s="417" t="s">
        <v>4214</v>
      </c>
      <c r="E261" s="662" t="s">
        <v>4215</v>
      </c>
      <c r="F261" s="417"/>
      <c r="G261" s="384"/>
      <c r="H261" s="768"/>
      <c r="I261" s="384"/>
      <c r="J261" s="384" t="s">
        <v>4982</v>
      </c>
      <c r="K261" s="657"/>
      <c r="L261" s="658"/>
      <c r="M261" s="384"/>
      <c r="N261" s="384"/>
      <c r="O261" s="384"/>
      <c r="P261" s="384"/>
      <c r="Q261" s="384"/>
      <c r="R261" s="384"/>
      <c r="S261" s="660"/>
      <c r="T261" s="396"/>
      <c r="U261" s="384"/>
      <c r="V261" s="384"/>
      <c r="W261" s="384"/>
      <c r="X261" s="384"/>
      <c r="Y261" s="442"/>
      <c r="Z261" s="442" t="s">
        <v>4216</v>
      </c>
      <c r="AA261" s="441" t="s">
        <v>4217</v>
      </c>
      <c r="AB261" s="441"/>
      <c r="AC261" s="441"/>
      <c r="AD261" s="441" t="s">
        <v>3394</v>
      </c>
      <c r="AE261" s="441" t="s">
        <v>4218</v>
      </c>
      <c r="AF261" s="441" t="s">
        <v>4219</v>
      </c>
      <c r="AG261" s="441"/>
      <c r="AH261" s="441"/>
      <c r="AI261" s="441"/>
      <c r="AJ261" s="441"/>
      <c r="AK261" s="395">
        <v>2</v>
      </c>
      <c r="AL261" s="395" t="s">
        <v>76</v>
      </c>
      <c r="AM261" s="395"/>
      <c r="AN261" s="395">
        <v>2</v>
      </c>
      <c r="AO261" s="395">
        <v>2</v>
      </c>
      <c r="AP261" s="410"/>
      <c r="AQ261" s="410"/>
    </row>
    <row r="262" spans="2:43" ht="15" customHeight="1">
      <c r="B262" s="394">
        <v>1</v>
      </c>
      <c r="C262" s="395" t="s">
        <v>594</v>
      </c>
      <c r="D262" s="417" t="s">
        <v>4220</v>
      </c>
      <c r="E262" s="662" t="s">
        <v>4221</v>
      </c>
      <c r="F262" s="417"/>
      <c r="G262" s="384"/>
      <c r="H262" s="768"/>
      <c r="I262" s="384"/>
      <c r="J262" s="384" t="s">
        <v>4982</v>
      </c>
      <c r="K262" s="657"/>
      <c r="L262" s="658"/>
      <c r="M262" s="384"/>
      <c r="N262" s="384"/>
      <c r="O262" s="384"/>
      <c r="P262" s="384"/>
      <c r="Q262" s="384"/>
      <c r="R262" s="384"/>
      <c r="S262" s="660"/>
      <c r="T262" s="396"/>
      <c r="U262" s="384"/>
      <c r="V262" s="384"/>
      <c r="W262" s="384"/>
      <c r="X262" s="384"/>
      <c r="Y262" s="442"/>
      <c r="Z262" s="442" t="s">
        <v>4222</v>
      </c>
      <c r="AA262" s="441" t="s">
        <v>4223</v>
      </c>
      <c r="AB262" s="441"/>
      <c r="AC262" s="441"/>
      <c r="AD262" s="441" t="s">
        <v>3395</v>
      </c>
      <c r="AE262" s="441" t="s">
        <v>4224</v>
      </c>
      <c r="AF262" s="441" t="s">
        <v>4225</v>
      </c>
      <c r="AG262" s="441"/>
      <c r="AH262" s="441"/>
      <c r="AI262" s="441"/>
      <c r="AJ262" s="441"/>
      <c r="AK262" s="395">
        <v>2</v>
      </c>
      <c r="AL262" s="395" t="s">
        <v>76</v>
      </c>
      <c r="AM262" s="395"/>
      <c r="AN262" s="395">
        <v>2</v>
      </c>
      <c r="AO262" s="395">
        <v>2</v>
      </c>
      <c r="AP262" s="410"/>
      <c r="AQ262" s="410"/>
    </row>
    <row r="263" spans="2:43" ht="15" customHeight="1">
      <c r="B263" s="394">
        <v>1</v>
      </c>
      <c r="C263" s="395" t="s">
        <v>594</v>
      </c>
      <c r="D263" s="417" t="s">
        <v>4226</v>
      </c>
      <c r="E263" s="662" t="s">
        <v>4227</v>
      </c>
      <c r="F263" s="417"/>
      <c r="G263" s="384"/>
      <c r="H263" s="768"/>
      <c r="I263" s="384"/>
      <c r="J263" s="384" t="s">
        <v>4982</v>
      </c>
      <c r="K263" s="657"/>
      <c r="L263" s="658"/>
      <c r="M263" s="384"/>
      <c r="N263" s="384"/>
      <c r="O263" s="384"/>
      <c r="P263" s="384"/>
      <c r="Q263" s="384"/>
      <c r="R263" s="384"/>
      <c r="S263" s="660"/>
      <c r="T263" s="396"/>
      <c r="U263" s="384"/>
      <c r="V263" s="384"/>
      <c r="W263" s="384"/>
      <c r="X263" s="384"/>
      <c r="Y263" s="442"/>
      <c r="Z263" s="442" t="s">
        <v>4228</v>
      </c>
      <c r="AA263" s="441" t="s">
        <v>4229</v>
      </c>
      <c r="AB263" s="441"/>
      <c r="AC263" s="441"/>
      <c r="AD263" s="441" t="s">
        <v>3393</v>
      </c>
      <c r="AE263" s="441" t="s">
        <v>4230</v>
      </c>
      <c r="AF263" s="441" t="s">
        <v>4231</v>
      </c>
      <c r="AG263" s="441"/>
      <c r="AH263" s="441"/>
      <c r="AI263" s="441"/>
      <c r="AJ263" s="441"/>
      <c r="AK263" s="395">
        <v>2</v>
      </c>
      <c r="AL263" s="395" t="s">
        <v>76</v>
      </c>
      <c r="AM263" s="395"/>
      <c r="AN263" s="395">
        <v>2</v>
      </c>
      <c r="AO263" s="395">
        <v>2</v>
      </c>
      <c r="AP263" s="410"/>
      <c r="AQ263" s="410"/>
    </row>
    <row r="264" spans="2:43" ht="15" customHeight="1">
      <c r="B264" s="394">
        <v>1</v>
      </c>
      <c r="C264" s="395" t="s">
        <v>594</v>
      </c>
      <c r="D264" s="417" t="s">
        <v>4232</v>
      </c>
      <c r="E264" s="662" t="s">
        <v>4233</v>
      </c>
      <c r="F264" s="417"/>
      <c r="G264" s="384"/>
      <c r="H264" s="768"/>
      <c r="I264" s="384"/>
      <c r="J264" s="384" t="s">
        <v>4982</v>
      </c>
      <c r="K264" s="657"/>
      <c r="L264" s="658"/>
      <c r="M264" s="384"/>
      <c r="N264" s="384"/>
      <c r="O264" s="384"/>
      <c r="P264" s="384"/>
      <c r="Q264" s="384"/>
      <c r="R264" s="384"/>
      <c r="S264" s="660"/>
      <c r="T264" s="396"/>
      <c r="U264" s="384"/>
      <c r="V264" s="384"/>
      <c r="W264" s="384"/>
      <c r="X264" s="384"/>
      <c r="Y264" s="442"/>
      <c r="Z264" s="442" t="s">
        <v>4234</v>
      </c>
      <c r="AA264" s="441" t="s">
        <v>4235</v>
      </c>
      <c r="AB264" s="441"/>
      <c r="AC264" s="441"/>
      <c r="AD264" s="441" t="s">
        <v>3396</v>
      </c>
      <c r="AE264" s="441" t="s">
        <v>4236</v>
      </c>
      <c r="AF264" s="441" t="s">
        <v>4237</v>
      </c>
      <c r="AG264" s="441"/>
      <c r="AH264" s="441"/>
      <c r="AI264" s="441"/>
      <c r="AJ264" s="441"/>
      <c r="AK264" s="395">
        <v>2</v>
      </c>
      <c r="AL264" s="395" t="s">
        <v>76</v>
      </c>
      <c r="AM264" s="395"/>
      <c r="AN264" s="395">
        <v>2</v>
      </c>
      <c r="AO264" s="395">
        <v>2</v>
      </c>
      <c r="AP264" s="410"/>
      <c r="AQ264" s="410"/>
    </row>
    <row r="265" spans="2:43" ht="15" customHeight="1">
      <c r="B265" s="394">
        <v>1</v>
      </c>
      <c r="C265" s="395" t="s">
        <v>594</v>
      </c>
      <c r="D265" s="417" t="s">
        <v>4238</v>
      </c>
      <c r="E265" s="662" t="s">
        <v>4239</v>
      </c>
      <c r="F265" s="417"/>
      <c r="G265" s="384"/>
      <c r="H265" s="768"/>
      <c r="I265" s="384"/>
      <c r="J265" s="384" t="s">
        <v>4982</v>
      </c>
      <c r="K265" s="657"/>
      <c r="L265" s="658"/>
      <c r="M265" s="384"/>
      <c r="N265" s="384"/>
      <c r="O265" s="384"/>
      <c r="P265" s="384"/>
      <c r="Q265" s="384"/>
      <c r="R265" s="384"/>
      <c r="S265" s="660"/>
      <c r="T265" s="396"/>
      <c r="U265" s="384"/>
      <c r="V265" s="384"/>
      <c r="W265" s="384"/>
      <c r="X265" s="384"/>
      <c r="Y265" s="442"/>
      <c r="Z265" s="442" t="s">
        <v>3352</v>
      </c>
      <c r="AA265" s="441"/>
      <c r="AB265" s="441"/>
      <c r="AC265" s="441" t="s">
        <v>3138</v>
      </c>
      <c r="AD265" s="441" t="s">
        <v>3105</v>
      </c>
      <c r="AE265" s="441" t="s">
        <v>1338</v>
      </c>
      <c r="AF265" s="441" t="s">
        <v>4240</v>
      </c>
      <c r="AG265" s="441"/>
      <c r="AH265" s="441"/>
      <c r="AI265" s="441"/>
      <c r="AJ265" s="441"/>
      <c r="AK265" s="395">
        <v>2</v>
      </c>
      <c r="AL265" s="395" t="s">
        <v>76</v>
      </c>
      <c r="AM265" s="395"/>
      <c r="AN265" s="395">
        <v>2</v>
      </c>
      <c r="AO265" s="395">
        <v>2</v>
      </c>
      <c r="AP265" s="410"/>
      <c r="AQ265" s="410"/>
    </row>
    <row r="266" spans="2:43" ht="15" customHeight="1">
      <c r="B266" s="394">
        <v>1</v>
      </c>
      <c r="C266" s="395" t="s">
        <v>594</v>
      </c>
      <c r="D266" s="417" t="s">
        <v>4241</v>
      </c>
      <c r="E266" s="662" t="s">
        <v>4242</v>
      </c>
      <c r="F266" s="417"/>
      <c r="G266" s="384"/>
      <c r="H266" s="768"/>
      <c r="I266" s="384"/>
      <c r="J266" s="384" t="s">
        <v>4982</v>
      </c>
      <c r="K266" s="657"/>
      <c r="L266" s="658"/>
      <c r="M266" s="384"/>
      <c r="N266" s="384"/>
      <c r="O266" s="384"/>
      <c r="P266" s="384"/>
      <c r="Q266" s="384"/>
      <c r="R266" s="384"/>
      <c r="S266" s="660"/>
      <c r="T266" s="396"/>
      <c r="U266" s="384"/>
      <c r="V266" s="384"/>
      <c r="W266" s="384"/>
      <c r="X266" s="384"/>
      <c r="Y266" s="442"/>
      <c r="Z266" s="442" t="s">
        <v>3353</v>
      </c>
      <c r="AA266" s="441"/>
      <c r="AB266" s="441"/>
      <c r="AC266" s="441" t="s">
        <v>4243</v>
      </c>
      <c r="AD266" s="441" t="s">
        <v>3106</v>
      </c>
      <c r="AE266" s="441" t="s">
        <v>1346</v>
      </c>
      <c r="AF266" s="441" t="s">
        <v>4244</v>
      </c>
      <c r="AG266" s="441"/>
      <c r="AH266" s="441"/>
      <c r="AI266" s="441"/>
      <c r="AJ266" s="441"/>
      <c r="AK266" s="395">
        <v>2</v>
      </c>
      <c r="AL266" s="395" t="s">
        <v>76</v>
      </c>
      <c r="AM266" s="395"/>
      <c r="AN266" s="395">
        <v>2</v>
      </c>
      <c r="AO266" s="395">
        <v>2</v>
      </c>
      <c r="AP266" s="410"/>
      <c r="AQ266" s="410"/>
    </row>
    <row r="267" spans="2:43" ht="15" customHeight="1">
      <c r="B267" s="394">
        <v>1</v>
      </c>
      <c r="C267" s="395" t="s">
        <v>793</v>
      </c>
      <c r="D267" s="417" t="s">
        <v>4245</v>
      </c>
      <c r="E267" s="662" t="s">
        <v>4246</v>
      </c>
      <c r="F267" s="417"/>
      <c r="G267" s="384"/>
      <c r="H267" s="768"/>
      <c r="I267" s="384"/>
      <c r="J267" s="384" t="s">
        <v>4982</v>
      </c>
      <c r="K267" s="657"/>
      <c r="L267" s="658"/>
      <c r="M267" s="384"/>
      <c r="N267" s="384">
        <v>2</v>
      </c>
      <c r="O267" s="384"/>
      <c r="P267" s="384" t="s">
        <v>231</v>
      </c>
      <c r="Q267" s="384" t="s">
        <v>187</v>
      </c>
      <c r="R267" s="384"/>
      <c r="S267" s="660"/>
      <c r="T267" s="396"/>
      <c r="U267" s="384"/>
      <c r="V267" s="384"/>
      <c r="W267" s="384"/>
      <c r="X267" s="384"/>
      <c r="Y267" s="442"/>
      <c r="Z267" s="442"/>
      <c r="AA267" s="441"/>
      <c r="AB267" s="441"/>
      <c r="AC267" s="441"/>
      <c r="AD267" s="441"/>
      <c r="AE267" s="441" t="s">
        <v>4247</v>
      </c>
      <c r="AF267" s="441"/>
      <c r="AG267" s="441"/>
      <c r="AH267" s="441"/>
      <c r="AI267" s="441"/>
      <c r="AJ267" s="441"/>
      <c r="AK267" s="395"/>
      <c r="AL267" s="395"/>
      <c r="AM267" s="395"/>
      <c r="AN267" s="395"/>
      <c r="AO267" s="395"/>
      <c r="AP267" s="410"/>
      <c r="AQ267" s="410"/>
    </row>
    <row r="268" spans="2:43" ht="15" customHeight="1">
      <c r="B268" s="394">
        <v>1</v>
      </c>
      <c r="C268" s="395" t="s">
        <v>793</v>
      </c>
      <c r="D268" s="417" t="s">
        <v>4248</v>
      </c>
      <c r="E268" s="662" t="s">
        <v>4249</v>
      </c>
      <c r="F268" s="417"/>
      <c r="G268" s="384"/>
      <c r="H268" s="768"/>
      <c r="I268" s="384"/>
      <c r="J268" s="384" t="s">
        <v>4982</v>
      </c>
      <c r="K268" s="657"/>
      <c r="L268" s="658"/>
      <c r="M268" s="384"/>
      <c r="N268" s="384">
        <v>2</v>
      </c>
      <c r="O268" s="384"/>
      <c r="P268" s="384" t="s">
        <v>231</v>
      </c>
      <c r="Q268" s="384" t="s">
        <v>187</v>
      </c>
      <c r="R268" s="384"/>
      <c r="S268" s="660"/>
      <c r="T268" s="396"/>
      <c r="U268" s="384"/>
      <c r="V268" s="384"/>
      <c r="W268" s="384"/>
      <c r="X268" s="384"/>
      <c r="Y268" s="442"/>
      <c r="Z268" s="442"/>
      <c r="AA268" s="441"/>
      <c r="AB268" s="441"/>
      <c r="AC268" s="441"/>
      <c r="AD268" s="441"/>
      <c r="AE268" s="441" t="s">
        <v>4250</v>
      </c>
      <c r="AF268" s="441"/>
      <c r="AG268" s="441"/>
      <c r="AH268" s="441"/>
      <c r="AI268" s="441"/>
      <c r="AJ268" s="441"/>
      <c r="AK268" s="395"/>
      <c r="AL268" s="395"/>
      <c r="AM268" s="395"/>
      <c r="AN268" s="395"/>
      <c r="AO268" s="395"/>
      <c r="AP268" s="410"/>
      <c r="AQ268" s="410"/>
    </row>
    <row r="269" spans="2:43" ht="15" customHeight="1">
      <c r="B269" s="394">
        <v>1</v>
      </c>
      <c r="C269" s="395" t="s">
        <v>793</v>
      </c>
      <c r="D269" s="417" t="s">
        <v>4251</v>
      </c>
      <c r="E269" s="662" t="s">
        <v>4252</v>
      </c>
      <c r="F269" s="417"/>
      <c r="G269" s="384"/>
      <c r="H269" s="768"/>
      <c r="I269" s="384"/>
      <c r="J269" s="384" t="s">
        <v>4982</v>
      </c>
      <c r="K269" s="657"/>
      <c r="L269" s="658"/>
      <c r="M269" s="384"/>
      <c r="N269" s="384">
        <v>2</v>
      </c>
      <c r="O269" s="384"/>
      <c r="P269" s="384" t="s">
        <v>231</v>
      </c>
      <c r="Q269" s="384" t="s">
        <v>187</v>
      </c>
      <c r="R269" s="384"/>
      <c r="S269" s="660"/>
      <c r="T269" s="396"/>
      <c r="U269" s="384"/>
      <c r="V269" s="384"/>
      <c r="W269" s="384"/>
      <c r="X269" s="384"/>
      <c r="Y269" s="442"/>
      <c r="Z269" s="442"/>
      <c r="AA269" s="441"/>
      <c r="AB269" s="441"/>
      <c r="AC269" s="441"/>
      <c r="AD269" s="441"/>
      <c r="AE269" s="441" t="s">
        <v>4253</v>
      </c>
      <c r="AF269" s="441"/>
      <c r="AG269" s="441"/>
      <c r="AH269" s="441"/>
      <c r="AI269" s="441"/>
      <c r="AJ269" s="441"/>
      <c r="AK269" s="395"/>
      <c r="AL269" s="395"/>
      <c r="AM269" s="395"/>
      <c r="AN269" s="395"/>
      <c r="AO269" s="395"/>
      <c r="AP269" s="410"/>
      <c r="AQ269" s="410"/>
    </row>
    <row r="270" spans="2:43" ht="15" customHeight="1">
      <c r="B270" s="394">
        <v>1</v>
      </c>
      <c r="C270" s="395" t="s">
        <v>793</v>
      </c>
      <c r="D270" s="417" t="s">
        <v>4254</v>
      </c>
      <c r="E270" s="662" t="s">
        <v>4255</v>
      </c>
      <c r="F270" s="417"/>
      <c r="G270" s="384"/>
      <c r="H270" s="768"/>
      <c r="I270" s="384"/>
      <c r="J270" s="384" t="s">
        <v>4982</v>
      </c>
      <c r="K270" s="657"/>
      <c r="L270" s="658"/>
      <c r="M270" s="384"/>
      <c r="N270" s="384">
        <v>2</v>
      </c>
      <c r="O270" s="384"/>
      <c r="P270" s="384" t="s">
        <v>231</v>
      </c>
      <c r="Q270" s="384" t="s">
        <v>187</v>
      </c>
      <c r="R270" s="384"/>
      <c r="S270" s="660"/>
      <c r="T270" s="396"/>
      <c r="U270" s="384"/>
      <c r="V270" s="384"/>
      <c r="W270" s="384"/>
      <c r="X270" s="384"/>
      <c r="Y270" s="442"/>
      <c r="Z270" s="442"/>
      <c r="AA270" s="441"/>
      <c r="AB270" s="441"/>
      <c r="AC270" s="441"/>
      <c r="AD270" s="441"/>
      <c r="AE270" s="441" t="s">
        <v>4256</v>
      </c>
      <c r="AF270" s="441"/>
      <c r="AG270" s="441"/>
      <c r="AH270" s="441"/>
      <c r="AI270" s="441"/>
      <c r="AJ270" s="441"/>
      <c r="AK270" s="395"/>
      <c r="AL270" s="395"/>
      <c r="AM270" s="395"/>
      <c r="AN270" s="395"/>
      <c r="AO270" s="395"/>
      <c r="AP270" s="410"/>
      <c r="AQ270" s="410"/>
    </row>
    <row r="271" spans="2:43" ht="15" customHeight="1">
      <c r="B271" s="394">
        <v>1</v>
      </c>
      <c r="C271" s="395" t="s">
        <v>793</v>
      </c>
      <c r="D271" s="417" t="s">
        <v>4257</v>
      </c>
      <c r="E271" s="662" t="s">
        <v>4258</v>
      </c>
      <c r="F271" s="417"/>
      <c r="G271" s="384"/>
      <c r="H271" s="768"/>
      <c r="I271" s="384"/>
      <c r="J271" s="384" t="s">
        <v>4982</v>
      </c>
      <c r="K271" s="657"/>
      <c r="L271" s="658"/>
      <c r="M271" s="384"/>
      <c r="N271" s="384">
        <v>2</v>
      </c>
      <c r="O271" s="384"/>
      <c r="P271" s="384" t="s">
        <v>231</v>
      </c>
      <c r="Q271" s="384" t="s">
        <v>187</v>
      </c>
      <c r="R271" s="384"/>
      <c r="S271" s="660"/>
      <c r="T271" s="396"/>
      <c r="U271" s="384"/>
      <c r="V271" s="384"/>
      <c r="W271" s="384"/>
      <c r="X271" s="384"/>
      <c r="Y271" s="442"/>
      <c r="Z271" s="442"/>
      <c r="AA271" s="441"/>
      <c r="AB271" s="441"/>
      <c r="AC271" s="441"/>
      <c r="AD271" s="441"/>
      <c r="AE271" s="441" t="s">
        <v>4259</v>
      </c>
      <c r="AF271" s="441"/>
      <c r="AG271" s="441"/>
      <c r="AH271" s="441"/>
      <c r="AI271" s="441"/>
      <c r="AJ271" s="441"/>
      <c r="AK271" s="395"/>
      <c r="AL271" s="395"/>
      <c r="AM271" s="395"/>
      <c r="AN271" s="395"/>
      <c r="AO271" s="395"/>
      <c r="AP271" s="410"/>
      <c r="AQ271" s="410"/>
    </row>
    <row r="272" spans="2:43" ht="15" customHeight="1">
      <c r="B272" s="394">
        <v>1</v>
      </c>
      <c r="C272" s="395" t="s">
        <v>793</v>
      </c>
      <c r="D272" s="417" t="s">
        <v>4260</v>
      </c>
      <c r="E272" s="662" t="s">
        <v>4261</v>
      </c>
      <c r="F272" s="417"/>
      <c r="G272" s="384"/>
      <c r="H272" s="768"/>
      <c r="I272" s="384"/>
      <c r="J272" s="384" t="s">
        <v>4982</v>
      </c>
      <c r="K272" s="657"/>
      <c r="L272" s="658"/>
      <c r="M272" s="384"/>
      <c r="N272" s="384">
        <v>2</v>
      </c>
      <c r="O272" s="384"/>
      <c r="P272" s="384" t="s">
        <v>231</v>
      </c>
      <c r="Q272" s="384" t="s">
        <v>187</v>
      </c>
      <c r="R272" s="384"/>
      <c r="S272" s="660"/>
      <c r="T272" s="396"/>
      <c r="U272" s="384"/>
      <c r="V272" s="384"/>
      <c r="W272" s="384"/>
      <c r="X272" s="384"/>
      <c r="Y272" s="442"/>
      <c r="Z272" s="442"/>
      <c r="AA272" s="441"/>
      <c r="AB272" s="441"/>
      <c r="AC272" s="441"/>
      <c r="AD272" s="441"/>
      <c r="AE272" s="441" t="s">
        <v>4262</v>
      </c>
      <c r="AF272" s="441"/>
      <c r="AG272" s="441"/>
      <c r="AH272" s="441"/>
      <c r="AI272" s="441"/>
      <c r="AJ272" s="441"/>
      <c r="AK272" s="395"/>
      <c r="AL272" s="395"/>
      <c r="AM272" s="395"/>
      <c r="AN272" s="395"/>
      <c r="AO272" s="395"/>
      <c r="AP272" s="410"/>
      <c r="AQ272" s="410"/>
    </row>
    <row r="273" spans="1:43" ht="15" customHeight="1">
      <c r="B273" s="394">
        <v>1</v>
      </c>
      <c r="C273" s="395" t="s">
        <v>607</v>
      </c>
      <c r="D273" s="417" t="s">
        <v>4263</v>
      </c>
      <c r="E273" s="662" t="s">
        <v>4264</v>
      </c>
      <c r="F273" s="417"/>
      <c r="G273" s="384"/>
      <c r="H273" s="768"/>
      <c r="I273" s="384"/>
      <c r="J273" s="384" t="s">
        <v>4982</v>
      </c>
      <c r="K273" s="657"/>
      <c r="L273" s="658"/>
      <c r="M273" s="384"/>
      <c r="N273" s="384">
        <v>6</v>
      </c>
      <c r="O273" s="384" t="s">
        <v>4989</v>
      </c>
      <c r="P273" s="384" t="s">
        <v>230</v>
      </c>
      <c r="Q273" s="384" t="s">
        <v>187</v>
      </c>
      <c r="R273" s="384"/>
      <c r="S273" s="660"/>
      <c r="T273" s="396"/>
      <c r="U273" s="384"/>
      <c r="V273" s="384"/>
      <c r="W273" s="384"/>
      <c r="X273" s="384"/>
      <c r="Y273" s="442" t="s">
        <v>3109</v>
      </c>
      <c r="Z273" s="442"/>
      <c r="AA273" s="441"/>
      <c r="AB273" s="441"/>
      <c r="AC273" s="441"/>
      <c r="AD273" s="441"/>
      <c r="AE273" s="441"/>
      <c r="AF273" s="441"/>
      <c r="AG273" s="441"/>
      <c r="AH273" s="441"/>
      <c r="AI273" s="441"/>
      <c r="AJ273" s="441"/>
      <c r="AK273" s="395"/>
      <c r="AL273" s="395"/>
      <c r="AM273" s="395">
        <v>0</v>
      </c>
      <c r="AN273" s="395"/>
      <c r="AO273" s="395"/>
      <c r="AP273" s="410"/>
      <c r="AQ273" s="410"/>
    </row>
    <row r="274" spans="1:43" ht="15" customHeight="1">
      <c r="B274" s="394">
        <v>1</v>
      </c>
      <c r="C274" s="395" t="s">
        <v>607</v>
      </c>
      <c r="D274" s="417" t="s">
        <v>4265</v>
      </c>
      <c r="E274" s="662" t="s">
        <v>4266</v>
      </c>
      <c r="F274" s="417"/>
      <c r="G274" s="384"/>
      <c r="H274" s="768"/>
      <c r="I274" s="384"/>
      <c r="J274" s="384" t="s">
        <v>4982</v>
      </c>
      <c r="K274" s="657"/>
      <c r="L274" s="658"/>
      <c r="M274" s="384"/>
      <c r="N274" s="384">
        <v>6</v>
      </c>
      <c r="O274" s="384" t="s">
        <v>4989</v>
      </c>
      <c r="P274" s="384" t="s">
        <v>230</v>
      </c>
      <c r="Q274" s="384" t="s">
        <v>187</v>
      </c>
      <c r="R274" s="384"/>
      <c r="S274" s="660"/>
      <c r="T274" s="396"/>
      <c r="U274" s="384"/>
      <c r="V274" s="384"/>
      <c r="W274" s="384"/>
      <c r="X274" s="384"/>
      <c r="Y274" s="442" t="s">
        <v>3113</v>
      </c>
      <c r="Z274" s="442"/>
      <c r="AA274" s="441"/>
      <c r="AB274" s="441"/>
      <c r="AC274" s="441"/>
      <c r="AD274" s="441"/>
      <c r="AE274" s="441"/>
      <c r="AF274" s="441"/>
      <c r="AG274" s="441"/>
      <c r="AH274" s="441"/>
      <c r="AI274" s="441"/>
      <c r="AJ274" s="441"/>
      <c r="AK274" s="395"/>
      <c r="AL274" s="395"/>
      <c r="AM274" s="395">
        <v>0</v>
      </c>
      <c r="AN274" s="395"/>
      <c r="AO274" s="395"/>
      <c r="AP274" s="410"/>
      <c r="AQ274" s="410"/>
    </row>
    <row r="275" spans="1:43" ht="15" customHeight="1">
      <c r="B275" s="394">
        <v>1</v>
      </c>
      <c r="C275" s="395" t="s">
        <v>607</v>
      </c>
      <c r="D275" s="417" t="s">
        <v>4267</v>
      </c>
      <c r="E275" s="662" t="s">
        <v>4268</v>
      </c>
      <c r="F275" s="417"/>
      <c r="G275" s="384"/>
      <c r="H275" s="768"/>
      <c r="I275" s="384"/>
      <c r="J275" s="384" t="s">
        <v>4982</v>
      </c>
      <c r="K275" s="657"/>
      <c r="L275" s="658"/>
      <c r="M275" s="384"/>
      <c r="N275" s="384">
        <v>6</v>
      </c>
      <c r="O275" s="384" t="s">
        <v>4989</v>
      </c>
      <c r="P275" s="384" t="s">
        <v>230</v>
      </c>
      <c r="Q275" s="384" t="s">
        <v>187</v>
      </c>
      <c r="R275" s="384"/>
      <c r="S275" s="660"/>
      <c r="T275" s="396"/>
      <c r="U275" s="384"/>
      <c r="V275" s="384"/>
      <c r="W275" s="384"/>
      <c r="X275" s="384"/>
      <c r="Y275" s="442" t="s">
        <v>3117</v>
      </c>
      <c r="Z275" s="442"/>
      <c r="AA275" s="441"/>
      <c r="AB275" s="441"/>
      <c r="AC275" s="441"/>
      <c r="AD275" s="441"/>
      <c r="AE275" s="441"/>
      <c r="AF275" s="441"/>
      <c r="AG275" s="441"/>
      <c r="AH275" s="441"/>
      <c r="AI275" s="441"/>
      <c r="AJ275" s="441"/>
      <c r="AK275" s="395"/>
      <c r="AL275" s="395"/>
      <c r="AM275" s="395">
        <v>0</v>
      </c>
      <c r="AN275" s="395"/>
      <c r="AO275" s="395"/>
      <c r="AP275" s="410"/>
      <c r="AQ275" s="410"/>
    </row>
    <row r="276" spans="1:43" ht="15" customHeight="1">
      <c r="B276" s="394">
        <v>1</v>
      </c>
      <c r="C276" s="395" t="s">
        <v>607</v>
      </c>
      <c r="D276" s="417" t="s">
        <v>4269</v>
      </c>
      <c r="E276" s="662" t="s">
        <v>4270</v>
      </c>
      <c r="F276" s="417"/>
      <c r="G276" s="384"/>
      <c r="H276" s="768"/>
      <c r="I276" s="384"/>
      <c r="J276" s="384" t="s">
        <v>4982</v>
      </c>
      <c r="K276" s="657"/>
      <c r="L276" s="658"/>
      <c r="M276" s="384"/>
      <c r="N276" s="384">
        <v>6</v>
      </c>
      <c r="O276" s="384" t="s">
        <v>4989</v>
      </c>
      <c r="P276" s="384" t="s">
        <v>230</v>
      </c>
      <c r="Q276" s="384" t="s">
        <v>187</v>
      </c>
      <c r="R276" s="384"/>
      <c r="S276" s="660"/>
      <c r="T276" s="396"/>
      <c r="U276" s="384"/>
      <c r="V276" s="384"/>
      <c r="W276" s="384"/>
      <c r="X276" s="384"/>
      <c r="Y276" s="442" t="s">
        <v>3121</v>
      </c>
      <c r="Z276" s="442"/>
      <c r="AA276" s="441"/>
      <c r="AB276" s="441"/>
      <c r="AC276" s="441"/>
      <c r="AD276" s="441"/>
      <c r="AE276" s="441"/>
      <c r="AF276" s="441"/>
      <c r="AG276" s="441"/>
      <c r="AH276" s="441"/>
      <c r="AI276" s="441"/>
      <c r="AJ276" s="441"/>
      <c r="AK276" s="395"/>
      <c r="AL276" s="395"/>
      <c r="AM276" s="395">
        <v>0</v>
      </c>
      <c r="AN276" s="395"/>
      <c r="AO276" s="395"/>
      <c r="AP276" s="410"/>
      <c r="AQ276" s="410"/>
    </row>
    <row r="277" spans="1:43" ht="15" customHeight="1">
      <c r="B277" s="394">
        <v>1</v>
      </c>
      <c r="C277" s="395" t="s">
        <v>607</v>
      </c>
      <c r="D277" s="417" t="s">
        <v>4271</v>
      </c>
      <c r="E277" s="662" t="s">
        <v>4272</v>
      </c>
      <c r="F277" s="417"/>
      <c r="G277" s="384"/>
      <c r="H277" s="768"/>
      <c r="I277" s="384"/>
      <c r="J277" s="384" t="s">
        <v>4982</v>
      </c>
      <c r="K277" s="657"/>
      <c r="L277" s="658"/>
      <c r="M277" s="384"/>
      <c r="N277" s="384">
        <v>6</v>
      </c>
      <c r="O277" s="384" t="s">
        <v>4989</v>
      </c>
      <c r="P277" s="384" t="s">
        <v>230</v>
      </c>
      <c r="Q277" s="384" t="s">
        <v>187</v>
      </c>
      <c r="R277" s="384"/>
      <c r="S277" s="660"/>
      <c r="T277" s="396"/>
      <c r="U277" s="384"/>
      <c r="V277" s="384"/>
      <c r="W277" s="384"/>
      <c r="X277" s="384"/>
      <c r="Y277" s="442" t="s">
        <v>3125</v>
      </c>
      <c r="Z277" s="442"/>
      <c r="AA277" s="441"/>
      <c r="AB277" s="441"/>
      <c r="AC277" s="441"/>
      <c r="AD277" s="441"/>
      <c r="AE277" s="441"/>
      <c r="AF277" s="441"/>
      <c r="AG277" s="441"/>
      <c r="AH277" s="441"/>
      <c r="AI277" s="441"/>
      <c r="AJ277" s="441"/>
      <c r="AK277" s="395"/>
      <c r="AL277" s="395"/>
      <c r="AM277" s="395">
        <v>0</v>
      </c>
      <c r="AN277" s="395"/>
      <c r="AO277" s="395"/>
      <c r="AP277" s="410"/>
      <c r="AQ277" s="410"/>
    </row>
    <row r="278" spans="1:43" ht="15" customHeight="1">
      <c r="B278" s="394">
        <v>1</v>
      </c>
      <c r="C278" s="395" t="s">
        <v>607</v>
      </c>
      <c r="D278" s="417" t="s">
        <v>4273</v>
      </c>
      <c r="E278" s="662" t="s">
        <v>4274</v>
      </c>
      <c r="F278" s="417"/>
      <c r="G278" s="384"/>
      <c r="H278" s="768"/>
      <c r="I278" s="384"/>
      <c r="J278" s="384" t="s">
        <v>4982</v>
      </c>
      <c r="K278" s="657"/>
      <c r="L278" s="658"/>
      <c r="M278" s="384"/>
      <c r="N278" s="384">
        <v>6</v>
      </c>
      <c r="O278" s="384" t="s">
        <v>4989</v>
      </c>
      <c r="P278" s="384" t="s">
        <v>230</v>
      </c>
      <c r="Q278" s="384" t="s">
        <v>187</v>
      </c>
      <c r="R278" s="384"/>
      <c r="S278" s="660"/>
      <c r="T278" s="396"/>
      <c r="U278" s="384"/>
      <c r="V278" s="384"/>
      <c r="W278" s="384"/>
      <c r="X278" s="384"/>
      <c r="Y278" s="442" t="s">
        <v>3128</v>
      </c>
      <c r="Z278" s="442"/>
      <c r="AA278" s="441"/>
      <c r="AB278" s="441"/>
      <c r="AC278" s="441"/>
      <c r="AD278" s="441"/>
      <c r="AE278" s="441"/>
      <c r="AF278" s="441"/>
      <c r="AG278" s="441"/>
      <c r="AH278" s="441"/>
      <c r="AI278" s="441"/>
      <c r="AJ278" s="441"/>
      <c r="AK278" s="395"/>
      <c r="AL278" s="395"/>
      <c r="AM278" s="395">
        <v>0</v>
      </c>
      <c r="AN278" s="395"/>
      <c r="AO278" s="395"/>
      <c r="AP278" s="410"/>
      <c r="AQ278" s="410"/>
    </row>
    <row r="279" spans="1:43" ht="15" customHeight="1">
      <c r="B279" s="394">
        <v>1</v>
      </c>
      <c r="C279" s="395" t="s">
        <v>592</v>
      </c>
      <c r="D279" s="417" t="s">
        <v>4275</v>
      </c>
      <c r="E279" s="662" t="s">
        <v>4276</v>
      </c>
      <c r="F279" s="417"/>
      <c r="G279" s="384"/>
      <c r="H279" s="768"/>
      <c r="I279" s="384"/>
      <c r="J279" s="384" t="s">
        <v>4982</v>
      </c>
      <c r="K279" s="657"/>
      <c r="L279" s="658"/>
      <c r="M279" s="384"/>
      <c r="N279" s="384">
        <v>6</v>
      </c>
      <c r="O279" s="384" t="s">
        <v>4989</v>
      </c>
      <c r="P279" s="384" t="s">
        <v>230</v>
      </c>
      <c r="Q279" s="384" t="s">
        <v>187</v>
      </c>
      <c r="R279" s="384"/>
      <c r="S279" s="660"/>
      <c r="T279" s="396"/>
      <c r="U279" s="384"/>
      <c r="V279" s="384"/>
      <c r="W279" s="384"/>
      <c r="X279" s="384"/>
      <c r="Y279" s="442" t="s">
        <v>4277</v>
      </c>
      <c r="Z279" s="442"/>
      <c r="AA279" s="441"/>
      <c r="AB279" s="441"/>
      <c r="AC279" s="441"/>
      <c r="AD279" s="441"/>
      <c r="AE279" s="441"/>
      <c r="AF279" s="441"/>
      <c r="AG279" s="441"/>
      <c r="AH279" s="441"/>
      <c r="AI279" s="441"/>
      <c r="AJ279" s="441"/>
      <c r="AK279" s="395">
        <v>0</v>
      </c>
      <c r="AL279" s="395" t="s">
        <v>72</v>
      </c>
      <c r="AM279" s="395"/>
      <c r="AN279" s="395"/>
      <c r="AO279" s="395"/>
      <c r="AP279" s="410"/>
      <c r="AQ279" s="410"/>
    </row>
    <row r="280" spans="1:43" ht="15" customHeight="1">
      <c r="B280" s="394">
        <v>1</v>
      </c>
      <c r="C280" s="395" t="s">
        <v>607</v>
      </c>
      <c r="D280" s="417" t="s">
        <v>4278</v>
      </c>
      <c r="E280" s="662" t="s">
        <v>5119</v>
      </c>
      <c r="F280" s="417"/>
      <c r="G280" s="384"/>
      <c r="H280" s="768"/>
      <c r="I280" s="384"/>
      <c r="J280" s="384" t="s">
        <v>4983</v>
      </c>
      <c r="K280" s="657"/>
      <c r="L280" s="658"/>
      <c r="M280" s="384"/>
      <c r="N280" s="384">
        <v>1</v>
      </c>
      <c r="O280" s="384" t="s">
        <v>4992</v>
      </c>
      <c r="P280" s="384" t="s">
        <v>426</v>
      </c>
      <c r="Q280" s="384" t="s">
        <v>187</v>
      </c>
      <c r="R280" s="384"/>
      <c r="S280" s="660"/>
      <c r="T280" s="396"/>
      <c r="U280" s="384"/>
      <c r="V280" s="384"/>
      <c r="W280" s="384"/>
      <c r="X280" s="384"/>
      <c r="Y280" s="442" t="s">
        <v>4279</v>
      </c>
      <c r="Z280" s="442"/>
      <c r="AA280" s="441"/>
      <c r="AB280" s="441"/>
      <c r="AC280" s="441"/>
      <c r="AD280" s="441"/>
      <c r="AE280" s="441"/>
      <c r="AF280" s="441"/>
      <c r="AG280" s="441"/>
      <c r="AH280" s="441"/>
      <c r="AI280" s="441"/>
      <c r="AJ280" s="441"/>
      <c r="AK280" s="395"/>
      <c r="AL280" s="395"/>
      <c r="AM280" s="395">
        <v>0</v>
      </c>
      <c r="AN280" s="395"/>
      <c r="AO280" s="395"/>
      <c r="AP280" s="410"/>
      <c r="AQ280" s="410"/>
    </row>
    <row r="281" spans="1:43" ht="15" customHeight="1">
      <c r="B281" s="394">
        <v>1</v>
      </c>
      <c r="C281" s="395" t="s">
        <v>607</v>
      </c>
      <c r="D281" s="417" t="s">
        <v>4280</v>
      </c>
      <c r="E281" s="662" t="s">
        <v>5120</v>
      </c>
      <c r="F281" s="417"/>
      <c r="G281" s="384"/>
      <c r="H281" s="768"/>
      <c r="I281" s="384"/>
      <c r="J281" s="384" t="s">
        <v>4983</v>
      </c>
      <c r="K281" s="657"/>
      <c r="L281" s="658"/>
      <c r="M281" s="384"/>
      <c r="N281" s="384">
        <v>1</v>
      </c>
      <c r="O281" s="384" t="s">
        <v>4992</v>
      </c>
      <c r="P281" s="384" t="s">
        <v>426</v>
      </c>
      <c r="Q281" s="384" t="s">
        <v>187</v>
      </c>
      <c r="R281" s="384"/>
      <c r="S281" s="660"/>
      <c r="T281" s="396"/>
      <c r="U281" s="384"/>
      <c r="V281" s="384"/>
      <c r="W281" s="384"/>
      <c r="X281" s="384"/>
      <c r="Y281" s="442" t="s">
        <v>4281</v>
      </c>
      <c r="Z281" s="442"/>
      <c r="AA281" s="441"/>
      <c r="AB281" s="441"/>
      <c r="AC281" s="441"/>
      <c r="AD281" s="441"/>
      <c r="AE281" s="441"/>
      <c r="AF281" s="441"/>
      <c r="AG281" s="441"/>
      <c r="AH281" s="441"/>
      <c r="AI281" s="441"/>
      <c r="AJ281" s="441"/>
      <c r="AK281" s="395"/>
      <c r="AL281" s="395"/>
      <c r="AM281" s="395">
        <v>0</v>
      </c>
      <c r="AN281" s="395"/>
      <c r="AO281" s="395"/>
      <c r="AP281" s="410"/>
      <c r="AQ281" s="410"/>
    </row>
    <row r="282" spans="1:43" ht="15" customHeight="1">
      <c r="B282" s="394">
        <v>1</v>
      </c>
      <c r="C282" s="395" t="s">
        <v>607</v>
      </c>
      <c r="D282" s="417" t="s">
        <v>4282</v>
      </c>
      <c r="E282" s="662" t="s">
        <v>5004</v>
      </c>
      <c r="F282" s="417"/>
      <c r="G282" s="384"/>
      <c r="H282" s="768"/>
      <c r="I282" s="384"/>
      <c r="J282" s="384" t="s">
        <v>4983</v>
      </c>
      <c r="K282" s="657"/>
      <c r="L282" s="658"/>
      <c r="M282" s="384"/>
      <c r="N282" s="384">
        <v>3</v>
      </c>
      <c r="O282" s="384" t="s">
        <v>4992</v>
      </c>
      <c r="P282" s="384" t="s">
        <v>426</v>
      </c>
      <c r="Q282" s="384" t="s">
        <v>187</v>
      </c>
      <c r="R282" s="384"/>
      <c r="S282" s="660"/>
      <c r="T282" s="396"/>
      <c r="U282" s="384"/>
      <c r="V282" s="384"/>
      <c r="W282" s="384"/>
      <c r="X282" s="384"/>
      <c r="Y282" s="442" t="s">
        <v>4283</v>
      </c>
      <c r="Z282" s="442"/>
      <c r="AA282" s="441"/>
      <c r="AB282" s="441"/>
      <c r="AC282" s="441"/>
      <c r="AD282" s="441"/>
      <c r="AE282" s="441"/>
      <c r="AF282" s="441"/>
      <c r="AG282" s="441"/>
      <c r="AH282" s="441"/>
      <c r="AI282" s="441"/>
      <c r="AJ282" s="441"/>
      <c r="AK282" s="395"/>
      <c r="AL282" s="395"/>
      <c r="AM282" s="395">
        <v>0</v>
      </c>
      <c r="AN282" s="395"/>
      <c r="AO282" s="395"/>
      <c r="AP282" s="410"/>
      <c r="AQ282" s="410"/>
    </row>
    <row r="283" spans="1:43" ht="15" customHeight="1">
      <c r="A283" s="397"/>
      <c r="B283" s="394">
        <v>1</v>
      </c>
      <c r="C283" s="395" t="s">
        <v>607</v>
      </c>
      <c r="D283" s="417" t="s">
        <v>4284</v>
      </c>
      <c r="E283" s="662" t="s">
        <v>5121</v>
      </c>
      <c r="F283" s="417"/>
      <c r="G283" s="384"/>
      <c r="H283" s="768"/>
      <c r="I283" s="384"/>
      <c r="J283" s="384" t="s">
        <v>4983</v>
      </c>
      <c r="K283" s="657"/>
      <c r="L283" s="658"/>
      <c r="M283" s="384"/>
      <c r="N283" s="384">
        <v>1</v>
      </c>
      <c r="O283" s="384" t="s">
        <v>4992</v>
      </c>
      <c r="P283" s="384" t="s">
        <v>426</v>
      </c>
      <c r="Q283" s="384" t="s">
        <v>187</v>
      </c>
      <c r="R283" s="384"/>
      <c r="S283" s="660"/>
      <c r="T283" s="396"/>
      <c r="U283" s="384"/>
      <c r="V283" s="384"/>
      <c r="W283" s="384"/>
      <c r="X283" s="384"/>
      <c r="Y283" s="442" t="s">
        <v>4285</v>
      </c>
      <c r="Z283" s="442"/>
      <c r="AA283" s="441"/>
      <c r="AB283" s="441"/>
      <c r="AC283" s="441"/>
      <c r="AD283" s="441"/>
      <c r="AE283" s="441"/>
      <c r="AF283" s="441"/>
      <c r="AG283" s="441"/>
      <c r="AH283" s="441"/>
      <c r="AI283" s="441"/>
      <c r="AJ283" s="441"/>
      <c r="AK283" s="395"/>
      <c r="AL283" s="395"/>
      <c r="AM283" s="395">
        <v>0</v>
      </c>
      <c r="AN283" s="395"/>
      <c r="AO283" s="395"/>
      <c r="AP283" s="410"/>
      <c r="AQ283" s="410"/>
    </row>
    <row r="284" spans="1:43" ht="15" customHeight="1">
      <c r="A284" s="397"/>
      <c r="B284" s="394">
        <v>1</v>
      </c>
      <c r="C284" s="395" t="s">
        <v>607</v>
      </c>
      <c r="D284" s="417" t="s">
        <v>4286</v>
      </c>
      <c r="E284" s="662" t="s">
        <v>5122</v>
      </c>
      <c r="F284" s="417"/>
      <c r="G284" s="384"/>
      <c r="H284" s="768"/>
      <c r="I284" s="384"/>
      <c r="J284" s="384" t="s">
        <v>4983</v>
      </c>
      <c r="K284" s="657"/>
      <c r="L284" s="658"/>
      <c r="M284" s="384"/>
      <c r="N284" s="384">
        <v>1</v>
      </c>
      <c r="O284" s="384" t="s">
        <v>4992</v>
      </c>
      <c r="P284" s="384" t="s">
        <v>426</v>
      </c>
      <c r="Q284" s="384" t="s">
        <v>187</v>
      </c>
      <c r="R284" s="384"/>
      <c r="S284" s="660"/>
      <c r="T284" s="396"/>
      <c r="U284" s="384"/>
      <c r="V284" s="384"/>
      <c r="W284" s="384"/>
      <c r="X284" s="384"/>
      <c r="Y284" s="442" t="s">
        <v>4287</v>
      </c>
      <c r="Z284" s="442"/>
      <c r="AA284" s="441"/>
      <c r="AB284" s="441"/>
      <c r="AC284" s="441"/>
      <c r="AD284" s="441"/>
      <c r="AE284" s="441"/>
      <c r="AF284" s="441"/>
      <c r="AG284" s="441"/>
      <c r="AH284" s="441"/>
      <c r="AI284" s="441"/>
      <c r="AJ284" s="441"/>
      <c r="AK284" s="395"/>
      <c r="AL284" s="395"/>
      <c r="AM284" s="395">
        <v>0</v>
      </c>
      <c r="AN284" s="395"/>
      <c r="AO284" s="395"/>
      <c r="AP284" s="410"/>
      <c r="AQ284" s="410"/>
    </row>
    <row r="285" spans="1:43" ht="15" customHeight="1">
      <c r="A285" s="397"/>
      <c r="B285" s="394">
        <v>1</v>
      </c>
      <c r="C285" s="395" t="s">
        <v>607</v>
      </c>
      <c r="D285" s="417" t="s">
        <v>4288</v>
      </c>
      <c r="E285" s="662" t="s">
        <v>5005</v>
      </c>
      <c r="F285" s="417"/>
      <c r="G285" s="384"/>
      <c r="H285" s="768"/>
      <c r="I285" s="384"/>
      <c r="J285" s="384" t="s">
        <v>4983</v>
      </c>
      <c r="K285" s="657"/>
      <c r="L285" s="658"/>
      <c r="M285" s="384"/>
      <c r="N285" s="384">
        <v>3</v>
      </c>
      <c r="O285" s="384" t="s">
        <v>4992</v>
      </c>
      <c r="P285" s="384" t="s">
        <v>426</v>
      </c>
      <c r="Q285" s="384" t="s">
        <v>187</v>
      </c>
      <c r="R285" s="384"/>
      <c r="S285" s="660"/>
      <c r="T285" s="396"/>
      <c r="U285" s="384"/>
      <c r="V285" s="384"/>
      <c r="W285" s="384"/>
      <c r="X285" s="384"/>
      <c r="Y285" s="442" t="s">
        <v>4289</v>
      </c>
      <c r="Z285" s="442"/>
      <c r="AA285" s="441"/>
      <c r="AB285" s="441"/>
      <c r="AC285" s="441"/>
      <c r="AD285" s="441"/>
      <c r="AE285" s="441"/>
      <c r="AF285" s="441"/>
      <c r="AG285" s="441"/>
      <c r="AH285" s="441"/>
      <c r="AI285" s="441"/>
      <c r="AJ285" s="441"/>
      <c r="AK285" s="395"/>
      <c r="AL285" s="395"/>
      <c r="AM285" s="395">
        <v>0</v>
      </c>
      <c r="AN285" s="395"/>
      <c r="AO285" s="395"/>
      <c r="AP285" s="410"/>
      <c r="AQ285" s="410"/>
    </row>
    <row r="286" spans="1:43" ht="15" customHeight="1">
      <c r="A286" s="397"/>
      <c r="B286" s="394">
        <v>1</v>
      </c>
      <c r="C286" s="395" t="s">
        <v>607</v>
      </c>
      <c r="D286" s="417" t="s">
        <v>4290</v>
      </c>
      <c r="E286" s="662" t="s">
        <v>5123</v>
      </c>
      <c r="F286" s="417"/>
      <c r="G286" s="384"/>
      <c r="H286" s="768"/>
      <c r="I286" s="384"/>
      <c r="J286" s="384" t="s">
        <v>4983</v>
      </c>
      <c r="K286" s="657"/>
      <c r="L286" s="658"/>
      <c r="M286" s="384"/>
      <c r="N286" s="384">
        <v>4</v>
      </c>
      <c r="O286" s="384" t="s">
        <v>4992</v>
      </c>
      <c r="P286" s="384" t="s">
        <v>426</v>
      </c>
      <c r="Q286" s="384" t="s">
        <v>187</v>
      </c>
      <c r="R286" s="384"/>
      <c r="S286" s="660"/>
      <c r="T286" s="396"/>
      <c r="U286" s="384"/>
      <c r="V286" s="384"/>
      <c r="W286" s="384"/>
      <c r="X286" s="384"/>
      <c r="Y286" s="442" t="s">
        <v>4291</v>
      </c>
      <c r="Z286" s="442"/>
      <c r="AA286" s="441"/>
      <c r="AB286" s="441"/>
      <c r="AC286" s="441"/>
      <c r="AD286" s="441"/>
      <c r="AE286" s="441"/>
      <c r="AF286" s="441"/>
      <c r="AG286" s="441"/>
      <c r="AH286" s="441"/>
      <c r="AI286" s="441"/>
      <c r="AJ286" s="441"/>
      <c r="AK286" s="395"/>
      <c r="AL286" s="395"/>
      <c r="AM286" s="395">
        <v>0</v>
      </c>
      <c r="AN286" s="395"/>
      <c r="AO286" s="395"/>
      <c r="AP286" s="410"/>
      <c r="AQ286" s="410"/>
    </row>
    <row r="287" spans="1:43" ht="15" customHeight="1">
      <c r="A287" s="397"/>
      <c r="B287" s="394">
        <v>1</v>
      </c>
      <c r="C287" s="395" t="s">
        <v>607</v>
      </c>
      <c r="D287" s="417" t="s">
        <v>4292</v>
      </c>
      <c r="E287" s="662" t="s">
        <v>5006</v>
      </c>
      <c r="F287" s="417"/>
      <c r="G287" s="384"/>
      <c r="H287" s="768"/>
      <c r="I287" s="384"/>
      <c r="J287" s="384" t="s">
        <v>4983</v>
      </c>
      <c r="K287" s="657"/>
      <c r="L287" s="658"/>
      <c r="M287" s="384"/>
      <c r="N287" s="384">
        <v>3</v>
      </c>
      <c r="O287" s="384" t="s">
        <v>4992</v>
      </c>
      <c r="P287" s="384" t="s">
        <v>426</v>
      </c>
      <c r="Q287" s="384" t="s">
        <v>187</v>
      </c>
      <c r="R287" s="384"/>
      <c r="S287" s="660"/>
      <c r="T287" s="396"/>
      <c r="U287" s="384"/>
      <c r="V287" s="384"/>
      <c r="W287" s="384"/>
      <c r="X287" s="384"/>
      <c r="Y287" s="442" t="s">
        <v>4293</v>
      </c>
      <c r="Z287" s="442"/>
      <c r="AA287" s="441"/>
      <c r="AB287" s="441"/>
      <c r="AC287" s="441"/>
      <c r="AD287" s="441"/>
      <c r="AE287" s="441"/>
      <c r="AF287" s="441"/>
      <c r="AG287" s="441"/>
      <c r="AH287" s="441"/>
      <c r="AI287" s="441"/>
      <c r="AJ287" s="441"/>
      <c r="AK287" s="395"/>
      <c r="AL287" s="395"/>
      <c r="AM287" s="395">
        <v>0</v>
      </c>
      <c r="AN287" s="395"/>
      <c r="AO287" s="395"/>
      <c r="AP287" s="410"/>
      <c r="AQ287" s="410"/>
    </row>
    <row r="288" spans="1:43" ht="15" customHeight="1">
      <c r="A288" s="397"/>
      <c r="B288" s="394">
        <v>1</v>
      </c>
      <c r="C288" s="395" t="s">
        <v>607</v>
      </c>
      <c r="D288" s="417" t="s">
        <v>4294</v>
      </c>
      <c r="E288" s="662" t="s">
        <v>5124</v>
      </c>
      <c r="F288" s="417"/>
      <c r="G288" s="384"/>
      <c r="H288" s="768"/>
      <c r="I288" s="384"/>
      <c r="J288" s="384" t="s">
        <v>4983</v>
      </c>
      <c r="K288" s="657"/>
      <c r="L288" s="658"/>
      <c r="M288" s="384"/>
      <c r="N288" s="384">
        <v>4</v>
      </c>
      <c r="O288" s="384" t="s">
        <v>4992</v>
      </c>
      <c r="P288" s="384" t="s">
        <v>426</v>
      </c>
      <c r="Q288" s="384" t="s">
        <v>187</v>
      </c>
      <c r="R288" s="384"/>
      <c r="S288" s="660"/>
      <c r="T288" s="396"/>
      <c r="U288" s="384"/>
      <c r="V288" s="384"/>
      <c r="W288" s="384"/>
      <c r="X288" s="384"/>
      <c r="Y288" s="442" t="s">
        <v>4295</v>
      </c>
      <c r="Z288" s="442"/>
      <c r="AA288" s="441"/>
      <c r="AB288" s="441"/>
      <c r="AC288" s="441"/>
      <c r="AD288" s="441"/>
      <c r="AE288" s="441"/>
      <c r="AF288" s="441"/>
      <c r="AG288" s="441"/>
      <c r="AH288" s="441"/>
      <c r="AI288" s="441"/>
      <c r="AJ288" s="441"/>
      <c r="AK288" s="395"/>
      <c r="AL288" s="395"/>
      <c r="AM288" s="395">
        <v>0</v>
      </c>
      <c r="AN288" s="395"/>
      <c r="AO288" s="395"/>
      <c r="AP288" s="410"/>
      <c r="AQ288" s="410"/>
    </row>
    <row r="289" spans="1:43" ht="15" customHeight="1">
      <c r="A289" s="397"/>
      <c r="B289" s="394">
        <v>1</v>
      </c>
      <c r="C289" s="395" t="s">
        <v>607</v>
      </c>
      <c r="D289" s="417" t="s">
        <v>4296</v>
      </c>
      <c r="E289" s="662" t="s">
        <v>5007</v>
      </c>
      <c r="F289" s="417"/>
      <c r="G289" s="384"/>
      <c r="H289" s="768"/>
      <c r="I289" s="384"/>
      <c r="J289" s="384" t="s">
        <v>4983</v>
      </c>
      <c r="K289" s="657"/>
      <c r="L289" s="658"/>
      <c r="M289" s="384"/>
      <c r="N289" s="384">
        <v>3</v>
      </c>
      <c r="O289" s="384" t="s">
        <v>4992</v>
      </c>
      <c r="P289" s="384" t="s">
        <v>426</v>
      </c>
      <c r="Q289" s="384" t="s">
        <v>187</v>
      </c>
      <c r="R289" s="384"/>
      <c r="S289" s="660"/>
      <c r="T289" s="396"/>
      <c r="U289" s="384"/>
      <c r="V289" s="384"/>
      <c r="W289" s="384"/>
      <c r="X289" s="384"/>
      <c r="Y289" s="442" t="s">
        <v>4297</v>
      </c>
      <c r="Z289" s="442"/>
      <c r="AA289" s="441"/>
      <c r="AB289" s="441"/>
      <c r="AC289" s="441"/>
      <c r="AD289" s="441"/>
      <c r="AE289" s="441"/>
      <c r="AF289" s="441"/>
      <c r="AG289" s="441"/>
      <c r="AH289" s="441"/>
      <c r="AI289" s="441"/>
      <c r="AJ289" s="441"/>
      <c r="AK289" s="395"/>
      <c r="AL289" s="395"/>
      <c r="AM289" s="395">
        <v>0</v>
      </c>
      <c r="AN289" s="395"/>
      <c r="AO289" s="395"/>
      <c r="AP289" s="410"/>
      <c r="AQ289" s="410"/>
    </row>
    <row r="290" spans="1:43" ht="15" customHeight="1">
      <c r="A290" s="397"/>
      <c r="B290" s="394">
        <v>1</v>
      </c>
      <c r="C290" s="395" t="s">
        <v>607</v>
      </c>
      <c r="D290" s="417" t="s">
        <v>4298</v>
      </c>
      <c r="E290" s="662" t="s">
        <v>4299</v>
      </c>
      <c r="F290" s="417"/>
      <c r="G290" s="384"/>
      <c r="H290" s="768"/>
      <c r="I290" s="384"/>
      <c r="J290" s="384" t="s">
        <v>4983</v>
      </c>
      <c r="K290" s="657"/>
      <c r="L290" s="658"/>
      <c r="M290" s="384"/>
      <c r="N290" s="384">
        <v>6</v>
      </c>
      <c r="O290" s="384" t="s">
        <v>4989</v>
      </c>
      <c r="P290" s="384" t="s">
        <v>230</v>
      </c>
      <c r="Q290" s="384" t="s">
        <v>187</v>
      </c>
      <c r="R290" s="384"/>
      <c r="S290" s="660"/>
      <c r="T290" s="396"/>
      <c r="U290" s="384"/>
      <c r="V290" s="384"/>
      <c r="W290" s="384"/>
      <c r="X290" s="384"/>
      <c r="Y290" s="442" t="s">
        <v>4300</v>
      </c>
      <c r="Z290" s="442"/>
      <c r="AA290" s="441"/>
      <c r="AB290" s="441"/>
      <c r="AC290" s="441"/>
      <c r="AD290" s="441"/>
      <c r="AE290" s="441"/>
      <c r="AF290" s="441"/>
      <c r="AG290" s="441"/>
      <c r="AH290" s="441"/>
      <c r="AI290" s="441"/>
      <c r="AJ290" s="441"/>
      <c r="AK290" s="395"/>
      <c r="AL290" s="395"/>
      <c r="AM290" s="395">
        <v>0</v>
      </c>
      <c r="AN290" s="395"/>
      <c r="AO290" s="395"/>
      <c r="AP290" s="410"/>
      <c r="AQ290" s="410"/>
    </row>
    <row r="291" spans="1:43" ht="15" customHeight="1">
      <c r="A291" s="397"/>
      <c r="B291" s="394">
        <v>1</v>
      </c>
      <c r="C291" s="395" t="s">
        <v>608</v>
      </c>
      <c r="D291" s="417" t="s">
        <v>4301</v>
      </c>
      <c r="E291" s="662" t="s">
        <v>5125</v>
      </c>
      <c r="F291" s="417"/>
      <c r="G291" s="384"/>
      <c r="H291" s="768"/>
      <c r="I291" s="384"/>
      <c r="J291" s="384" t="s">
        <v>4983</v>
      </c>
      <c r="K291" s="657"/>
      <c r="L291" s="658"/>
      <c r="M291" s="384"/>
      <c r="N291" s="384" t="s">
        <v>54</v>
      </c>
      <c r="O291" s="384"/>
      <c r="P291" s="384" t="s">
        <v>231</v>
      </c>
      <c r="Q291" s="384" t="s">
        <v>187</v>
      </c>
      <c r="R291" s="384"/>
      <c r="S291" s="660"/>
      <c r="T291" s="396"/>
      <c r="U291" s="384"/>
      <c r="V291" s="384"/>
      <c r="W291" s="384"/>
      <c r="X291" s="384"/>
      <c r="Y291" s="442" t="s">
        <v>3299</v>
      </c>
      <c r="Z291" s="442"/>
      <c r="AA291" s="441"/>
      <c r="AB291" s="441"/>
      <c r="AC291" s="441"/>
      <c r="AD291" s="441"/>
      <c r="AE291" s="441"/>
      <c r="AF291" s="441"/>
      <c r="AG291" s="441"/>
      <c r="AH291" s="441"/>
      <c r="AI291" s="441"/>
      <c r="AJ291" s="441"/>
      <c r="AK291" s="395"/>
      <c r="AL291" s="395"/>
      <c r="AM291" s="395">
        <v>0</v>
      </c>
      <c r="AN291" s="395"/>
      <c r="AO291" s="395"/>
      <c r="AP291" s="410"/>
      <c r="AQ291" s="410"/>
    </row>
    <row r="292" spans="1:43" ht="15" customHeight="1">
      <c r="A292" s="397"/>
      <c r="B292" s="394">
        <v>1</v>
      </c>
      <c r="C292" s="395" t="s">
        <v>608</v>
      </c>
      <c r="D292" s="417" t="s">
        <v>4302</v>
      </c>
      <c r="E292" s="662" t="s">
        <v>5008</v>
      </c>
      <c r="F292" s="417"/>
      <c r="G292" s="384"/>
      <c r="H292" s="768"/>
      <c r="I292" s="384"/>
      <c r="J292" s="384" t="s">
        <v>4983</v>
      </c>
      <c r="K292" s="657"/>
      <c r="L292" s="658"/>
      <c r="M292" s="384"/>
      <c r="N292" s="384" t="s">
        <v>54</v>
      </c>
      <c r="O292" s="384"/>
      <c r="P292" s="384" t="s">
        <v>231</v>
      </c>
      <c r="Q292" s="384" t="s">
        <v>187</v>
      </c>
      <c r="R292" s="384"/>
      <c r="S292" s="660"/>
      <c r="T292" s="396"/>
      <c r="U292" s="384"/>
      <c r="V292" s="384"/>
      <c r="W292" s="384"/>
      <c r="X292" s="384"/>
      <c r="Y292" s="442" t="s">
        <v>3300</v>
      </c>
      <c r="Z292" s="442"/>
      <c r="AA292" s="441"/>
      <c r="AB292" s="441"/>
      <c r="AC292" s="441"/>
      <c r="AD292" s="441"/>
      <c r="AE292" s="441"/>
      <c r="AF292" s="441"/>
      <c r="AG292" s="441"/>
      <c r="AH292" s="441"/>
      <c r="AI292" s="441"/>
      <c r="AJ292" s="441"/>
      <c r="AK292" s="395"/>
      <c r="AL292" s="395"/>
      <c r="AM292" s="395">
        <v>0</v>
      </c>
      <c r="AN292" s="395"/>
      <c r="AO292" s="395"/>
      <c r="AP292" s="410"/>
      <c r="AQ292" s="410"/>
    </row>
    <row r="293" spans="1:43" ht="15" customHeight="1">
      <c r="A293" s="397"/>
      <c r="B293" s="394">
        <v>1</v>
      </c>
      <c r="C293" s="395" t="s">
        <v>608</v>
      </c>
      <c r="D293" s="417" t="s">
        <v>4303</v>
      </c>
      <c r="E293" s="662" t="s">
        <v>5126</v>
      </c>
      <c r="F293" s="417"/>
      <c r="G293" s="384"/>
      <c r="H293" s="768"/>
      <c r="I293" s="384"/>
      <c r="J293" s="384" t="s">
        <v>4983</v>
      </c>
      <c r="K293" s="657"/>
      <c r="L293" s="658"/>
      <c r="M293" s="384"/>
      <c r="N293" s="384" t="s">
        <v>54</v>
      </c>
      <c r="O293" s="384"/>
      <c r="P293" s="384" t="s">
        <v>231</v>
      </c>
      <c r="Q293" s="384" t="s">
        <v>187</v>
      </c>
      <c r="R293" s="384"/>
      <c r="S293" s="660"/>
      <c r="T293" s="396"/>
      <c r="U293" s="384"/>
      <c r="V293" s="384"/>
      <c r="W293" s="384"/>
      <c r="X293" s="384"/>
      <c r="Y293" s="442" t="s">
        <v>3301</v>
      </c>
      <c r="Z293" s="442"/>
      <c r="AA293" s="441"/>
      <c r="AB293" s="441"/>
      <c r="AC293" s="441"/>
      <c r="AD293" s="441"/>
      <c r="AE293" s="441"/>
      <c r="AF293" s="441"/>
      <c r="AG293" s="441"/>
      <c r="AH293" s="441"/>
      <c r="AI293" s="441"/>
      <c r="AJ293" s="441"/>
      <c r="AK293" s="395"/>
      <c r="AL293" s="395"/>
      <c r="AM293" s="395">
        <v>0</v>
      </c>
      <c r="AN293" s="395"/>
      <c r="AO293" s="395"/>
      <c r="AP293" s="410"/>
      <c r="AQ293" s="410"/>
    </row>
    <row r="294" spans="1:43" ht="15" customHeight="1">
      <c r="A294" s="397"/>
      <c r="B294" s="394">
        <v>1</v>
      </c>
      <c r="C294" s="395" t="s">
        <v>608</v>
      </c>
      <c r="D294" s="417" t="s">
        <v>4304</v>
      </c>
      <c r="E294" s="662" t="s">
        <v>5009</v>
      </c>
      <c r="F294" s="417"/>
      <c r="G294" s="384"/>
      <c r="H294" s="768"/>
      <c r="I294" s="384"/>
      <c r="J294" s="384" t="s">
        <v>4983</v>
      </c>
      <c r="K294" s="657"/>
      <c r="L294" s="658"/>
      <c r="M294" s="384"/>
      <c r="N294" s="384" t="s">
        <v>54</v>
      </c>
      <c r="O294" s="384"/>
      <c r="P294" s="384" t="s">
        <v>231</v>
      </c>
      <c r="Q294" s="384" t="s">
        <v>187</v>
      </c>
      <c r="R294" s="384"/>
      <c r="S294" s="660"/>
      <c r="T294" s="396"/>
      <c r="U294" s="384"/>
      <c r="V294" s="384"/>
      <c r="W294" s="384"/>
      <c r="X294" s="384"/>
      <c r="Y294" s="442" t="s">
        <v>3302</v>
      </c>
      <c r="Z294" s="442"/>
      <c r="AA294" s="441"/>
      <c r="AB294" s="441"/>
      <c r="AC294" s="441"/>
      <c r="AD294" s="441"/>
      <c r="AE294" s="441"/>
      <c r="AF294" s="441"/>
      <c r="AG294" s="441"/>
      <c r="AH294" s="441"/>
      <c r="AI294" s="441"/>
      <c r="AJ294" s="441"/>
      <c r="AK294" s="395"/>
      <c r="AL294" s="395"/>
      <c r="AM294" s="395">
        <v>0</v>
      </c>
      <c r="AN294" s="395"/>
      <c r="AO294" s="395"/>
      <c r="AP294" s="410"/>
      <c r="AQ294" s="410"/>
    </row>
    <row r="295" spans="1:43" ht="15" customHeight="1">
      <c r="A295" s="397"/>
      <c r="B295" s="394">
        <v>1</v>
      </c>
      <c r="C295" s="395" t="s">
        <v>607</v>
      </c>
      <c r="D295" s="417" t="s">
        <v>4305</v>
      </c>
      <c r="E295" s="662" t="s">
        <v>5127</v>
      </c>
      <c r="F295" s="417"/>
      <c r="G295" s="384"/>
      <c r="H295" s="768"/>
      <c r="I295" s="384"/>
      <c r="J295" s="384" t="s">
        <v>4984</v>
      </c>
      <c r="K295" s="657"/>
      <c r="L295" s="658"/>
      <c r="M295" s="384"/>
      <c r="N295" s="384">
        <v>1</v>
      </c>
      <c r="O295" s="384" t="s">
        <v>4992</v>
      </c>
      <c r="P295" s="384" t="s">
        <v>426</v>
      </c>
      <c r="Q295" s="384" t="s">
        <v>187</v>
      </c>
      <c r="R295" s="384"/>
      <c r="S295" s="660"/>
      <c r="T295" s="396"/>
      <c r="U295" s="384"/>
      <c r="V295" s="384"/>
      <c r="W295" s="384"/>
      <c r="X295" s="384"/>
      <c r="Y295" s="442" t="s">
        <v>4306</v>
      </c>
      <c r="Z295" s="442"/>
      <c r="AA295" s="441"/>
      <c r="AB295" s="441"/>
      <c r="AC295" s="441"/>
      <c r="AD295" s="441"/>
      <c r="AE295" s="441"/>
      <c r="AF295" s="441"/>
      <c r="AG295" s="441"/>
      <c r="AH295" s="441"/>
      <c r="AI295" s="441"/>
      <c r="AJ295" s="441"/>
      <c r="AK295" s="395"/>
      <c r="AL295" s="395"/>
      <c r="AM295" s="395">
        <v>0</v>
      </c>
      <c r="AN295" s="395"/>
      <c r="AO295" s="395"/>
      <c r="AP295" s="410"/>
      <c r="AQ295" s="410"/>
    </row>
    <row r="296" spans="1:43" ht="15" customHeight="1">
      <c r="A296" s="397"/>
      <c r="B296" s="394">
        <v>1</v>
      </c>
      <c r="C296" s="395" t="s">
        <v>607</v>
      </c>
      <c r="D296" s="417" t="s">
        <v>4307</v>
      </c>
      <c r="E296" s="662" t="s">
        <v>5128</v>
      </c>
      <c r="F296" s="417"/>
      <c r="G296" s="384"/>
      <c r="H296" s="768"/>
      <c r="I296" s="384"/>
      <c r="J296" s="384" t="s">
        <v>4984</v>
      </c>
      <c r="K296" s="657"/>
      <c r="L296" s="658"/>
      <c r="M296" s="384"/>
      <c r="N296" s="384">
        <v>4</v>
      </c>
      <c r="O296" s="384" t="s">
        <v>4992</v>
      </c>
      <c r="P296" s="384" t="s">
        <v>426</v>
      </c>
      <c r="Q296" s="384" t="s">
        <v>187</v>
      </c>
      <c r="R296" s="384"/>
      <c r="S296" s="660"/>
      <c r="T296" s="396"/>
      <c r="U296" s="384"/>
      <c r="V296" s="384"/>
      <c r="W296" s="384"/>
      <c r="X296" s="384"/>
      <c r="Y296" s="442" t="s">
        <v>4308</v>
      </c>
      <c r="Z296" s="442"/>
      <c r="AA296" s="441"/>
      <c r="AB296" s="441"/>
      <c r="AC296" s="441"/>
      <c r="AD296" s="441"/>
      <c r="AE296" s="441"/>
      <c r="AF296" s="441"/>
      <c r="AG296" s="441"/>
      <c r="AH296" s="441"/>
      <c r="AI296" s="441"/>
      <c r="AJ296" s="441"/>
      <c r="AK296" s="395"/>
      <c r="AL296" s="395"/>
      <c r="AM296" s="395">
        <v>0</v>
      </c>
      <c r="AN296" s="395"/>
      <c r="AO296" s="395"/>
      <c r="AP296" s="410"/>
      <c r="AQ296" s="410"/>
    </row>
    <row r="297" spans="1:43" ht="15" customHeight="1">
      <c r="A297" s="397"/>
      <c r="B297" s="394">
        <v>1</v>
      </c>
      <c r="C297" s="395" t="s">
        <v>607</v>
      </c>
      <c r="D297" s="417" t="s">
        <v>4309</v>
      </c>
      <c r="E297" s="662" t="s">
        <v>5129</v>
      </c>
      <c r="F297" s="417"/>
      <c r="G297" s="384"/>
      <c r="H297" s="768"/>
      <c r="I297" s="384"/>
      <c r="J297" s="384" t="s">
        <v>4984</v>
      </c>
      <c r="K297" s="657"/>
      <c r="L297" s="658"/>
      <c r="M297" s="384"/>
      <c r="N297" s="384">
        <v>1</v>
      </c>
      <c r="O297" s="384" t="s">
        <v>4992</v>
      </c>
      <c r="P297" s="384" t="s">
        <v>426</v>
      </c>
      <c r="Q297" s="384" t="s">
        <v>187</v>
      </c>
      <c r="R297" s="384"/>
      <c r="S297" s="660"/>
      <c r="T297" s="396"/>
      <c r="U297" s="384"/>
      <c r="V297" s="384"/>
      <c r="W297" s="384"/>
      <c r="X297" s="384"/>
      <c r="Y297" s="442" t="s">
        <v>4310</v>
      </c>
      <c r="Z297" s="442"/>
      <c r="AA297" s="441"/>
      <c r="AB297" s="441"/>
      <c r="AC297" s="441"/>
      <c r="AD297" s="441"/>
      <c r="AE297" s="441"/>
      <c r="AF297" s="441"/>
      <c r="AG297" s="441"/>
      <c r="AH297" s="441"/>
      <c r="AI297" s="441"/>
      <c r="AJ297" s="441"/>
      <c r="AK297" s="395"/>
      <c r="AL297" s="395"/>
      <c r="AM297" s="395">
        <v>0</v>
      </c>
      <c r="AN297" s="395"/>
      <c r="AO297" s="395"/>
      <c r="AP297" s="410"/>
      <c r="AQ297" s="410"/>
    </row>
    <row r="298" spans="1:43" ht="15" customHeight="1">
      <c r="A298" s="397"/>
      <c r="B298" s="394">
        <v>1</v>
      </c>
      <c r="C298" s="395" t="s">
        <v>607</v>
      </c>
      <c r="D298" s="417" t="s">
        <v>4311</v>
      </c>
      <c r="E298" s="662" t="s">
        <v>4312</v>
      </c>
      <c r="F298" s="417"/>
      <c r="G298" s="384"/>
      <c r="H298" s="768"/>
      <c r="I298" s="384"/>
      <c r="J298" s="384" t="s">
        <v>4984</v>
      </c>
      <c r="K298" s="657"/>
      <c r="L298" s="658"/>
      <c r="M298" s="384"/>
      <c r="N298" s="384">
        <v>4</v>
      </c>
      <c r="O298" s="384" t="s">
        <v>4992</v>
      </c>
      <c r="P298" s="384" t="s">
        <v>426</v>
      </c>
      <c r="Q298" s="384" t="s">
        <v>187</v>
      </c>
      <c r="R298" s="384"/>
      <c r="S298" s="660"/>
      <c r="T298" s="396"/>
      <c r="U298" s="384"/>
      <c r="V298" s="384"/>
      <c r="W298" s="384"/>
      <c r="X298" s="384"/>
      <c r="Y298" s="442" t="s">
        <v>4313</v>
      </c>
      <c r="Z298" s="442"/>
      <c r="AA298" s="441"/>
      <c r="AB298" s="441"/>
      <c r="AC298" s="441"/>
      <c r="AD298" s="441"/>
      <c r="AE298" s="441"/>
      <c r="AF298" s="441"/>
      <c r="AG298" s="441"/>
      <c r="AH298" s="441"/>
      <c r="AI298" s="441"/>
      <c r="AJ298" s="441"/>
      <c r="AK298" s="395"/>
      <c r="AL298" s="395"/>
      <c r="AM298" s="395">
        <v>0</v>
      </c>
      <c r="AN298" s="395"/>
      <c r="AO298" s="395"/>
      <c r="AP298" s="410"/>
      <c r="AQ298" s="410"/>
    </row>
    <row r="299" spans="1:43" ht="15" customHeight="1">
      <c r="A299" s="397"/>
      <c r="B299" s="394">
        <v>1</v>
      </c>
      <c r="C299" s="395" t="s">
        <v>607</v>
      </c>
      <c r="D299" s="417" t="s">
        <v>4314</v>
      </c>
      <c r="E299" s="662" t="s">
        <v>5130</v>
      </c>
      <c r="F299" s="417"/>
      <c r="G299" s="384"/>
      <c r="H299" s="768"/>
      <c r="I299" s="384"/>
      <c r="J299" s="384" t="s">
        <v>4984</v>
      </c>
      <c r="K299" s="657"/>
      <c r="L299" s="658"/>
      <c r="M299" s="384"/>
      <c r="N299" s="384">
        <v>3</v>
      </c>
      <c r="O299" s="384" t="s">
        <v>4992</v>
      </c>
      <c r="P299" s="384" t="s">
        <v>426</v>
      </c>
      <c r="Q299" s="384" t="s">
        <v>187</v>
      </c>
      <c r="R299" s="384"/>
      <c r="S299" s="660"/>
      <c r="T299" s="396"/>
      <c r="U299" s="384"/>
      <c r="V299" s="384"/>
      <c r="W299" s="384"/>
      <c r="X299" s="384"/>
      <c r="Y299" s="442" t="s">
        <v>4315</v>
      </c>
      <c r="Z299" s="442"/>
      <c r="AA299" s="441"/>
      <c r="AB299" s="441"/>
      <c r="AC299" s="441"/>
      <c r="AD299" s="441"/>
      <c r="AE299" s="441"/>
      <c r="AF299" s="441"/>
      <c r="AG299" s="441"/>
      <c r="AH299" s="441"/>
      <c r="AI299" s="441"/>
      <c r="AJ299" s="441"/>
      <c r="AK299" s="395"/>
      <c r="AL299" s="395"/>
      <c r="AM299" s="395">
        <v>0</v>
      </c>
      <c r="AN299" s="395"/>
      <c r="AO299" s="395"/>
      <c r="AP299" s="410"/>
      <c r="AQ299" s="410"/>
    </row>
    <row r="300" spans="1:43" ht="15" customHeight="1">
      <c r="A300" s="397"/>
      <c r="B300" s="394">
        <v>1</v>
      </c>
      <c r="C300" s="395" t="s">
        <v>607</v>
      </c>
      <c r="D300" s="417" t="s">
        <v>4316</v>
      </c>
      <c r="E300" s="662" t="s">
        <v>5010</v>
      </c>
      <c r="F300" s="417"/>
      <c r="G300" s="384"/>
      <c r="H300" s="768"/>
      <c r="I300" s="384"/>
      <c r="J300" s="384" t="s">
        <v>4984</v>
      </c>
      <c r="K300" s="657"/>
      <c r="L300" s="658"/>
      <c r="M300" s="384"/>
      <c r="N300" s="384">
        <v>3</v>
      </c>
      <c r="O300" s="384" t="s">
        <v>4992</v>
      </c>
      <c r="P300" s="384" t="s">
        <v>426</v>
      </c>
      <c r="Q300" s="384" t="s">
        <v>187</v>
      </c>
      <c r="R300" s="384"/>
      <c r="S300" s="660"/>
      <c r="T300" s="396"/>
      <c r="U300" s="384"/>
      <c r="V300" s="384"/>
      <c r="W300" s="384"/>
      <c r="X300" s="384"/>
      <c r="Y300" s="442" t="s">
        <v>4317</v>
      </c>
      <c r="Z300" s="442"/>
      <c r="AA300" s="441"/>
      <c r="AB300" s="441"/>
      <c r="AC300" s="441"/>
      <c r="AD300" s="441"/>
      <c r="AE300" s="441"/>
      <c r="AF300" s="441"/>
      <c r="AG300" s="441"/>
      <c r="AH300" s="441"/>
      <c r="AI300" s="441"/>
      <c r="AJ300" s="441"/>
      <c r="AK300" s="395"/>
      <c r="AL300" s="395"/>
      <c r="AM300" s="395">
        <v>0</v>
      </c>
      <c r="AN300" s="395"/>
      <c r="AO300" s="395"/>
      <c r="AP300" s="410"/>
      <c r="AQ300" s="410"/>
    </row>
    <row r="301" spans="1:43" ht="15" customHeight="1">
      <c r="A301" s="398"/>
      <c r="B301" s="394">
        <v>1</v>
      </c>
      <c r="C301" s="395" t="s">
        <v>607</v>
      </c>
      <c r="D301" s="417" t="s">
        <v>4318</v>
      </c>
      <c r="E301" s="662" t="s">
        <v>5011</v>
      </c>
      <c r="F301" s="417"/>
      <c r="G301" s="384"/>
      <c r="H301" s="768"/>
      <c r="I301" s="384"/>
      <c r="J301" s="384" t="s">
        <v>4984</v>
      </c>
      <c r="K301" s="657"/>
      <c r="L301" s="658"/>
      <c r="M301" s="384"/>
      <c r="N301" s="384">
        <v>3</v>
      </c>
      <c r="O301" s="384" t="s">
        <v>4992</v>
      </c>
      <c r="P301" s="384" t="s">
        <v>426</v>
      </c>
      <c r="Q301" s="384" t="s">
        <v>187</v>
      </c>
      <c r="R301" s="384"/>
      <c r="S301" s="660"/>
      <c r="T301" s="396"/>
      <c r="U301" s="384"/>
      <c r="V301" s="384"/>
      <c r="W301" s="384"/>
      <c r="X301" s="384"/>
      <c r="Y301" s="442" t="s">
        <v>4319</v>
      </c>
      <c r="Z301" s="442"/>
      <c r="AA301" s="441"/>
      <c r="AB301" s="441"/>
      <c r="AC301" s="441"/>
      <c r="AD301" s="441"/>
      <c r="AE301" s="441"/>
      <c r="AF301" s="441"/>
      <c r="AG301" s="441"/>
      <c r="AH301" s="441"/>
      <c r="AI301" s="441"/>
      <c r="AJ301" s="441"/>
      <c r="AK301" s="395"/>
      <c r="AL301" s="395"/>
      <c r="AM301" s="395">
        <v>0</v>
      </c>
      <c r="AN301" s="395"/>
      <c r="AO301" s="395"/>
      <c r="AP301" s="410"/>
      <c r="AQ301" s="410"/>
    </row>
    <row r="302" spans="1:43" ht="15" customHeight="1">
      <c r="A302" s="398"/>
      <c r="B302" s="394">
        <v>1</v>
      </c>
      <c r="C302" s="395" t="s">
        <v>608</v>
      </c>
      <c r="D302" s="417" t="s">
        <v>4320</v>
      </c>
      <c r="E302" s="662" t="s">
        <v>5131</v>
      </c>
      <c r="F302" s="417"/>
      <c r="G302" s="384"/>
      <c r="H302" s="768"/>
      <c r="I302" s="384"/>
      <c r="J302" s="384" t="s">
        <v>4984</v>
      </c>
      <c r="K302" s="657"/>
      <c r="L302" s="658"/>
      <c r="M302" s="384"/>
      <c r="N302" s="384" t="s">
        <v>54</v>
      </c>
      <c r="O302" s="384"/>
      <c r="P302" s="384" t="s">
        <v>231</v>
      </c>
      <c r="Q302" s="384" t="s">
        <v>187</v>
      </c>
      <c r="R302" s="384"/>
      <c r="S302" s="660"/>
      <c r="T302" s="396"/>
      <c r="U302" s="384"/>
      <c r="V302" s="384"/>
      <c r="W302" s="384"/>
      <c r="X302" s="384"/>
      <c r="Y302" s="442" t="s">
        <v>4321</v>
      </c>
      <c r="Z302" s="442"/>
      <c r="AA302" s="441"/>
      <c r="AB302" s="441"/>
      <c r="AC302" s="441"/>
      <c r="AD302" s="441"/>
      <c r="AE302" s="441"/>
      <c r="AF302" s="441"/>
      <c r="AG302" s="441"/>
      <c r="AH302" s="441"/>
      <c r="AI302" s="441"/>
      <c r="AJ302" s="441"/>
      <c r="AK302" s="395"/>
      <c r="AL302" s="395"/>
      <c r="AM302" s="395">
        <v>0</v>
      </c>
      <c r="AN302" s="395"/>
      <c r="AO302" s="395"/>
      <c r="AP302" s="410"/>
      <c r="AQ302" s="410"/>
    </row>
    <row r="303" spans="1:43" ht="15" customHeight="1">
      <c r="A303" s="398"/>
      <c r="B303" s="394">
        <v>1</v>
      </c>
      <c r="C303" s="395" t="s">
        <v>608</v>
      </c>
      <c r="D303" s="417" t="s">
        <v>4322</v>
      </c>
      <c r="E303" s="662" t="s">
        <v>5012</v>
      </c>
      <c r="F303" s="417"/>
      <c r="G303" s="384"/>
      <c r="H303" s="768"/>
      <c r="I303" s="384"/>
      <c r="J303" s="384" t="s">
        <v>4984</v>
      </c>
      <c r="K303" s="657"/>
      <c r="L303" s="658"/>
      <c r="M303" s="384"/>
      <c r="N303" s="384" t="s">
        <v>54</v>
      </c>
      <c r="O303" s="384"/>
      <c r="P303" s="384" t="s">
        <v>231</v>
      </c>
      <c r="Q303" s="384" t="s">
        <v>187</v>
      </c>
      <c r="R303" s="384"/>
      <c r="S303" s="660"/>
      <c r="T303" s="396"/>
      <c r="U303" s="384"/>
      <c r="V303" s="384"/>
      <c r="W303" s="384"/>
      <c r="X303" s="384"/>
      <c r="Y303" s="442" t="s">
        <v>4323</v>
      </c>
      <c r="Z303" s="442"/>
      <c r="AA303" s="441"/>
      <c r="AB303" s="441"/>
      <c r="AC303" s="441"/>
      <c r="AD303" s="441"/>
      <c r="AE303" s="441"/>
      <c r="AF303" s="441"/>
      <c r="AG303" s="441"/>
      <c r="AH303" s="441"/>
      <c r="AI303" s="441"/>
      <c r="AJ303" s="441"/>
      <c r="AK303" s="395"/>
      <c r="AL303" s="395"/>
      <c r="AM303" s="395">
        <v>0</v>
      </c>
      <c r="AN303" s="395"/>
      <c r="AO303" s="395"/>
      <c r="AP303" s="410"/>
      <c r="AQ303" s="410"/>
    </row>
    <row r="304" spans="1:43" ht="15" customHeight="1">
      <c r="A304" s="399"/>
      <c r="B304" s="394">
        <v>1</v>
      </c>
      <c r="C304" s="395" t="s">
        <v>608</v>
      </c>
      <c r="D304" s="417" t="s">
        <v>4324</v>
      </c>
      <c r="E304" s="662" t="s">
        <v>5132</v>
      </c>
      <c r="F304" s="417"/>
      <c r="G304" s="384"/>
      <c r="H304" s="768"/>
      <c r="I304" s="384"/>
      <c r="J304" s="384" t="s">
        <v>4984</v>
      </c>
      <c r="K304" s="657"/>
      <c r="L304" s="658"/>
      <c r="M304" s="384"/>
      <c r="N304" s="384" t="s">
        <v>54</v>
      </c>
      <c r="O304" s="384"/>
      <c r="P304" s="384" t="s">
        <v>231</v>
      </c>
      <c r="Q304" s="384" t="s">
        <v>187</v>
      </c>
      <c r="R304" s="384"/>
      <c r="S304" s="660"/>
      <c r="T304" s="396"/>
      <c r="U304" s="384"/>
      <c r="V304" s="384"/>
      <c r="W304" s="384"/>
      <c r="X304" s="384"/>
      <c r="Y304" s="442" t="s">
        <v>4325</v>
      </c>
      <c r="Z304" s="442"/>
      <c r="AA304" s="441"/>
      <c r="AB304" s="441"/>
      <c r="AC304" s="441"/>
      <c r="AD304" s="441"/>
      <c r="AE304" s="441"/>
      <c r="AF304" s="441"/>
      <c r="AG304" s="441"/>
      <c r="AH304" s="441"/>
      <c r="AI304" s="441"/>
      <c r="AJ304" s="441"/>
      <c r="AK304" s="395"/>
      <c r="AL304" s="395"/>
      <c r="AM304" s="395">
        <v>0</v>
      </c>
      <c r="AN304" s="395"/>
      <c r="AO304" s="395"/>
      <c r="AP304" s="410"/>
      <c r="AQ304" s="410"/>
    </row>
    <row r="305" spans="1:43" ht="15" customHeight="1">
      <c r="A305" s="399"/>
      <c r="B305" s="394">
        <v>1</v>
      </c>
      <c r="C305" s="395" t="s">
        <v>608</v>
      </c>
      <c r="D305" s="417" t="s">
        <v>4326</v>
      </c>
      <c r="E305" s="662" t="s">
        <v>5013</v>
      </c>
      <c r="F305" s="417"/>
      <c r="G305" s="384"/>
      <c r="H305" s="768"/>
      <c r="I305" s="384"/>
      <c r="J305" s="384" t="s">
        <v>4984</v>
      </c>
      <c r="K305" s="657"/>
      <c r="L305" s="658"/>
      <c r="M305" s="384"/>
      <c r="N305" s="384" t="s">
        <v>54</v>
      </c>
      <c r="O305" s="384"/>
      <c r="P305" s="384" t="s">
        <v>231</v>
      </c>
      <c r="Q305" s="384" t="s">
        <v>187</v>
      </c>
      <c r="R305" s="384"/>
      <c r="S305" s="660"/>
      <c r="T305" s="396"/>
      <c r="U305" s="384"/>
      <c r="V305" s="384"/>
      <c r="W305" s="384"/>
      <c r="X305" s="384"/>
      <c r="Y305" s="442" t="s">
        <v>4327</v>
      </c>
      <c r="Z305" s="442"/>
      <c r="AA305" s="441"/>
      <c r="AB305" s="441"/>
      <c r="AC305" s="441"/>
      <c r="AD305" s="441"/>
      <c r="AE305" s="441"/>
      <c r="AF305" s="441"/>
      <c r="AG305" s="441"/>
      <c r="AH305" s="441"/>
      <c r="AI305" s="441"/>
      <c r="AJ305" s="441"/>
      <c r="AK305" s="395"/>
      <c r="AL305" s="395"/>
      <c r="AM305" s="395">
        <v>0</v>
      </c>
      <c r="AN305" s="395"/>
      <c r="AO305" s="395"/>
      <c r="AP305" s="410"/>
      <c r="AQ305" s="410"/>
    </row>
    <row r="306" spans="1:43" ht="15" customHeight="1">
      <c r="A306" s="399"/>
      <c r="B306" s="394">
        <v>1</v>
      </c>
      <c r="C306" s="395" t="s">
        <v>608</v>
      </c>
      <c r="D306" s="417" t="s">
        <v>4328</v>
      </c>
      <c r="E306" s="662" t="s">
        <v>5014</v>
      </c>
      <c r="F306" s="417"/>
      <c r="G306" s="384"/>
      <c r="H306" s="768"/>
      <c r="I306" s="384"/>
      <c r="J306" s="384" t="s">
        <v>4984</v>
      </c>
      <c r="K306" s="657"/>
      <c r="L306" s="658"/>
      <c r="M306" s="384"/>
      <c r="N306" s="384" t="s">
        <v>54</v>
      </c>
      <c r="O306" s="384"/>
      <c r="P306" s="384" t="s">
        <v>231</v>
      </c>
      <c r="Q306" s="384" t="s">
        <v>187</v>
      </c>
      <c r="R306" s="384"/>
      <c r="S306" s="660"/>
      <c r="T306" s="396"/>
      <c r="U306" s="384"/>
      <c r="V306" s="384"/>
      <c r="W306" s="384"/>
      <c r="X306" s="384"/>
      <c r="Y306" s="442" t="s">
        <v>4329</v>
      </c>
      <c r="Z306" s="442"/>
      <c r="AA306" s="441"/>
      <c r="AB306" s="441"/>
      <c r="AC306" s="441"/>
      <c r="AD306" s="441"/>
      <c r="AE306" s="441"/>
      <c r="AF306" s="441"/>
      <c r="AG306" s="441"/>
      <c r="AH306" s="441"/>
      <c r="AI306" s="441"/>
      <c r="AJ306" s="441"/>
      <c r="AK306" s="395"/>
      <c r="AL306" s="395"/>
      <c r="AM306" s="395">
        <v>0</v>
      </c>
      <c r="AN306" s="395"/>
      <c r="AO306" s="395"/>
      <c r="AP306" s="410"/>
      <c r="AQ306" s="410"/>
    </row>
    <row r="307" spans="1:43" ht="15" customHeight="1">
      <c r="A307" s="397"/>
      <c r="B307" s="394">
        <v>1</v>
      </c>
      <c r="C307" s="395" t="s">
        <v>609</v>
      </c>
      <c r="D307" s="417" t="s">
        <v>4330</v>
      </c>
      <c r="E307" s="662" t="s">
        <v>4331</v>
      </c>
      <c r="F307" s="417"/>
      <c r="G307" s="384"/>
      <c r="H307" s="768"/>
      <c r="I307" s="384"/>
      <c r="J307" s="384" t="s">
        <v>4984</v>
      </c>
      <c r="K307" s="657" t="s">
        <v>447</v>
      </c>
      <c r="L307" s="658" t="s">
        <v>446</v>
      </c>
      <c r="M307" s="384"/>
      <c r="N307" s="384" t="s">
        <v>4332</v>
      </c>
      <c r="O307" s="384" t="s">
        <v>293</v>
      </c>
      <c r="P307" s="384"/>
      <c r="Q307" s="384"/>
      <c r="R307" s="384"/>
      <c r="S307" s="660"/>
      <c r="T307" s="396"/>
      <c r="U307" s="384"/>
      <c r="V307" s="384"/>
      <c r="W307" s="384"/>
      <c r="X307" s="384"/>
      <c r="Y307" s="442" t="s">
        <v>1220</v>
      </c>
      <c r="Z307" s="442"/>
      <c r="AA307" s="441"/>
      <c r="AB307" s="441"/>
      <c r="AC307" s="441"/>
      <c r="AD307" s="441"/>
      <c r="AE307" s="441"/>
      <c r="AF307" s="441"/>
      <c r="AG307" s="441"/>
      <c r="AH307" s="441"/>
      <c r="AI307" s="441"/>
      <c r="AJ307" s="441"/>
      <c r="AK307" s="395">
        <v>0</v>
      </c>
      <c r="AL307" s="395"/>
      <c r="AM307" s="395">
        <v>0</v>
      </c>
      <c r="AN307" s="395">
        <v>100</v>
      </c>
      <c r="AO307" s="395"/>
      <c r="AP307" s="410">
        <v>10</v>
      </c>
      <c r="AQ307" s="410">
        <v>20</v>
      </c>
    </row>
    <row r="308" spans="1:43" ht="15" customHeight="1">
      <c r="A308" s="397"/>
      <c r="B308" s="394">
        <v>1</v>
      </c>
      <c r="C308" s="395" t="s">
        <v>609</v>
      </c>
      <c r="D308" s="417" t="s">
        <v>4333</v>
      </c>
      <c r="E308" s="662" t="s">
        <v>4334</v>
      </c>
      <c r="F308" s="417"/>
      <c r="G308" s="384"/>
      <c r="H308" s="768"/>
      <c r="I308" s="384"/>
      <c r="J308" s="384" t="s">
        <v>4984</v>
      </c>
      <c r="K308" s="657" t="s">
        <v>447</v>
      </c>
      <c r="L308" s="658" t="s">
        <v>446</v>
      </c>
      <c r="M308" s="384"/>
      <c r="N308" s="384" t="s">
        <v>4332</v>
      </c>
      <c r="O308" s="384" t="s">
        <v>293</v>
      </c>
      <c r="P308" s="384"/>
      <c r="Q308" s="384"/>
      <c r="R308" s="384"/>
      <c r="S308" s="660"/>
      <c r="T308" s="396"/>
      <c r="U308" s="384"/>
      <c r="V308" s="384"/>
      <c r="W308" s="384"/>
      <c r="X308" s="384"/>
      <c r="Y308" s="442" t="s">
        <v>1221</v>
      </c>
      <c r="Z308" s="442"/>
      <c r="AA308" s="441"/>
      <c r="AB308" s="441"/>
      <c r="AC308" s="441"/>
      <c r="AD308" s="441"/>
      <c r="AE308" s="441"/>
      <c r="AF308" s="441"/>
      <c r="AG308" s="441"/>
      <c r="AH308" s="441"/>
      <c r="AI308" s="441"/>
      <c r="AJ308" s="441"/>
      <c r="AK308" s="395">
        <v>0</v>
      </c>
      <c r="AL308" s="395"/>
      <c r="AM308" s="395">
        <v>0</v>
      </c>
      <c r="AN308" s="395">
        <v>100</v>
      </c>
      <c r="AO308" s="395"/>
      <c r="AP308" s="410">
        <v>10</v>
      </c>
      <c r="AQ308" s="410">
        <v>20</v>
      </c>
    </row>
    <row r="309" spans="1:43" ht="15" customHeight="1">
      <c r="A309" s="397"/>
      <c r="B309" s="394">
        <v>1</v>
      </c>
      <c r="C309" s="395" t="s">
        <v>609</v>
      </c>
      <c r="D309" s="417" t="s">
        <v>4335</v>
      </c>
      <c r="E309" s="662" t="s">
        <v>4336</v>
      </c>
      <c r="F309" s="417"/>
      <c r="G309" s="384"/>
      <c r="H309" s="768"/>
      <c r="I309" s="384"/>
      <c r="J309" s="384" t="s">
        <v>4984</v>
      </c>
      <c r="K309" s="657" t="s">
        <v>447</v>
      </c>
      <c r="L309" s="658" t="s">
        <v>446</v>
      </c>
      <c r="M309" s="384"/>
      <c r="N309" s="384" t="s">
        <v>4332</v>
      </c>
      <c r="O309" s="384" t="s">
        <v>293</v>
      </c>
      <c r="P309" s="384"/>
      <c r="Q309" s="384"/>
      <c r="R309" s="384"/>
      <c r="S309" s="660"/>
      <c r="T309" s="396"/>
      <c r="U309" s="384"/>
      <c r="V309" s="384"/>
      <c r="W309" s="384"/>
      <c r="X309" s="384"/>
      <c r="Y309" s="442" t="s">
        <v>1222</v>
      </c>
      <c r="Z309" s="442"/>
      <c r="AA309" s="441"/>
      <c r="AB309" s="441"/>
      <c r="AC309" s="441"/>
      <c r="AD309" s="441"/>
      <c r="AE309" s="441"/>
      <c r="AF309" s="441"/>
      <c r="AG309" s="441"/>
      <c r="AH309" s="441"/>
      <c r="AI309" s="441"/>
      <c r="AJ309" s="441"/>
      <c r="AK309" s="395">
        <v>0</v>
      </c>
      <c r="AL309" s="395"/>
      <c r="AM309" s="395">
        <v>0</v>
      </c>
      <c r="AN309" s="395">
        <v>100</v>
      </c>
      <c r="AO309" s="395"/>
      <c r="AP309" s="410">
        <v>10</v>
      </c>
      <c r="AQ309" s="410">
        <v>20</v>
      </c>
    </row>
    <row r="310" spans="1:43" ht="15" customHeight="1">
      <c r="A310" s="397"/>
      <c r="B310" s="394">
        <v>1</v>
      </c>
      <c r="C310" s="395" t="s">
        <v>609</v>
      </c>
      <c r="D310" s="417" t="s">
        <v>4337</v>
      </c>
      <c r="E310" s="662" t="s">
        <v>4338</v>
      </c>
      <c r="F310" s="417"/>
      <c r="G310" s="384"/>
      <c r="H310" s="768"/>
      <c r="I310" s="384"/>
      <c r="J310" s="384" t="s">
        <v>4984</v>
      </c>
      <c r="K310" s="657" t="s">
        <v>447</v>
      </c>
      <c r="L310" s="658" t="s">
        <v>446</v>
      </c>
      <c r="M310" s="384"/>
      <c r="N310" s="384" t="s">
        <v>590</v>
      </c>
      <c r="O310" s="384" t="s">
        <v>293</v>
      </c>
      <c r="P310" s="384"/>
      <c r="Q310" s="384"/>
      <c r="R310" s="384"/>
      <c r="S310" s="660"/>
      <c r="T310" s="396"/>
      <c r="U310" s="384"/>
      <c r="V310" s="384"/>
      <c r="W310" s="384"/>
      <c r="X310" s="384"/>
      <c r="Y310" s="442" t="s">
        <v>1228</v>
      </c>
      <c r="Z310" s="442"/>
      <c r="AA310" s="441"/>
      <c r="AB310" s="441"/>
      <c r="AC310" s="441"/>
      <c r="AD310" s="441"/>
      <c r="AE310" s="441"/>
      <c r="AF310" s="441"/>
      <c r="AG310" s="441"/>
      <c r="AH310" s="441"/>
      <c r="AI310" s="441"/>
      <c r="AJ310" s="441"/>
      <c r="AK310" s="395">
        <v>0</v>
      </c>
      <c r="AL310" s="395"/>
      <c r="AM310" s="395">
        <v>0</v>
      </c>
      <c r="AN310" s="395">
        <v>100</v>
      </c>
      <c r="AO310" s="395"/>
      <c r="AP310" s="410">
        <v>10</v>
      </c>
      <c r="AQ310" s="410">
        <v>20</v>
      </c>
    </row>
    <row r="311" spans="1:43" ht="15" customHeight="1">
      <c r="A311" s="397"/>
      <c r="B311" s="394">
        <v>1</v>
      </c>
      <c r="C311" s="395" t="s">
        <v>609</v>
      </c>
      <c r="D311" s="417" t="s">
        <v>4339</v>
      </c>
      <c r="E311" s="662" t="s">
        <v>4340</v>
      </c>
      <c r="F311" s="417"/>
      <c r="G311" s="384"/>
      <c r="H311" s="768"/>
      <c r="I311" s="384"/>
      <c r="J311" s="384" t="s">
        <v>4984</v>
      </c>
      <c r="K311" s="657" t="s">
        <v>447</v>
      </c>
      <c r="L311" s="658" t="s">
        <v>446</v>
      </c>
      <c r="M311" s="384"/>
      <c r="N311" s="384" t="s">
        <v>590</v>
      </c>
      <c r="O311" s="384" t="s">
        <v>293</v>
      </c>
      <c r="P311" s="384"/>
      <c r="Q311" s="384"/>
      <c r="R311" s="384"/>
      <c r="S311" s="660"/>
      <c r="T311" s="396"/>
      <c r="U311" s="384"/>
      <c r="V311" s="384"/>
      <c r="W311" s="384"/>
      <c r="X311" s="384"/>
      <c r="Y311" s="442" t="s">
        <v>1229</v>
      </c>
      <c r="Z311" s="442"/>
      <c r="AA311" s="441"/>
      <c r="AB311" s="441"/>
      <c r="AC311" s="441"/>
      <c r="AD311" s="441"/>
      <c r="AE311" s="441"/>
      <c r="AF311" s="441"/>
      <c r="AG311" s="441"/>
      <c r="AH311" s="441"/>
      <c r="AI311" s="441"/>
      <c r="AJ311" s="441"/>
      <c r="AK311" s="395">
        <v>0</v>
      </c>
      <c r="AL311" s="395"/>
      <c r="AM311" s="395">
        <v>0</v>
      </c>
      <c r="AN311" s="395">
        <v>100</v>
      </c>
      <c r="AO311" s="395"/>
      <c r="AP311" s="410">
        <v>10</v>
      </c>
      <c r="AQ311" s="410">
        <v>20</v>
      </c>
    </row>
    <row r="312" spans="1:43" ht="15" customHeight="1">
      <c r="A312" s="397"/>
      <c r="B312" s="394">
        <v>1</v>
      </c>
      <c r="C312" s="395" t="s">
        <v>609</v>
      </c>
      <c r="D312" s="417" t="s">
        <v>4341</v>
      </c>
      <c r="E312" s="662" t="s">
        <v>4342</v>
      </c>
      <c r="F312" s="417"/>
      <c r="G312" s="384"/>
      <c r="H312" s="768"/>
      <c r="I312" s="384"/>
      <c r="J312" s="384" t="s">
        <v>4984</v>
      </c>
      <c r="K312" s="657" t="s">
        <v>447</v>
      </c>
      <c r="L312" s="658" t="s">
        <v>446</v>
      </c>
      <c r="M312" s="384"/>
      <c r="N312" s="384" t="s">
        <v>590</v>
      </c>
      <c r="O312" s="384" t="s">
        <v>293</v>
      </c>
      <c r="P312" s="384"/>
      <c r="Q312" s="384"/>
      <c r="R312" s="384"/>
      <c r="S312" s="660"/>
      <c r="T312" s="396"/>
      <c r="U312" s="384"/>
      <c r="V312" s="384"/>
      <c r="W312" s="384"/>
      <c r="X312" s="384"/>
      <c r="Y312" s="442" t="s">
        <v>1866</v>
      </c>
      <c r="Z312" s="442"/>
      <c r="AA312" s="441"/>
      <c r="AB312" s="441"/>
      <c r="AC312" s="441"/>
      <c r="AD312" s="441"/>
      <c r="AE312" s="441"/>
      <c r="AF312" s="441"/>
      <c r="AG312" s="441"/>
      <c r="AH312" s="441"/>
      <c r="AI312" s="441"/>
      <c r="AJ312" s="441"/>
      <c r="AK312" s="395">
        <v>0</v>
      </c>
      <c r="AL312" s="395"/>
      <c r="AM312" s="395">
        <v>0</v>
      </c>
      <c r="AN312" s="395">
        <v>100</v>
      </c>
      <c r="AO312" s="395"/>
      <c r="AP312" s="410">
        <v>10</v>
      </c>
      <c r="AQ312" s="410">
        <v>20</v>
      </c>
    </row>
    <row r="313" spans="1:43" ht="15" customHeight="1">
      <c r="A313" s="397"/>
      <c r="B313" s="394">
        <v>1</v>
      </c>
      <c r="C313" s="395" t="s">
        <v>614</v>
      </c>
      <c r="D313" s="417" t="s">
        <v>4343</v>
      </c>
      <c r="E313" s="662" t="s">
        <v>4344</v>
      </c>
      <c r="F313" s="417"/>
      <c r="G313" s="384"/>
      <c r="H313" s="768"/>
      <c r="I313" s="384"/>
      <c r="J313" s="384" t="s">
        <v>4984</v>
      </c>
      <c r="K313" s="657"/>
      <c r="L313" s="658"/>
      <c r="M313" s="384"/>
      <c r="N313" s="384"/>
      <c r="O313" s="384"/>
      <c r="P313" s="384"/>
      <c r="Q313" s="384"/>
      <c r="R313" s="384"/>
      <c r="S313" s="660"/>
      <c r="T313" s="396"/>
      <c r="U313" s="384"/>
      <c r="V313" s="384"/>
      <c r="W313" s="384"/>
      <c r="X313" s="384"/>
      <c r="Y313" s="442"/>
      <c r="Z313" s="442" t="s">
        <v>4345</v>
      </c>
      <c r="AA313" s="441" t="s">
        <v>4346</v>
      </c>
      <c r="AB313" s="441"/>
      <c r="AC313" s="441"/>
      <c r="AD313" s="441" t="s">
        <v>3304</v>
      </c>
      <c r="AE313" s="441"/>
      <c r="AF313" s="441" t="s">
        <v>3178</v>
      </c>
      <c r="AG313" s="441"/>
      <c r="AH313" s="441"/>
      <c r="AI313" s="441"/>
      <c r="AJ313" s="441"/>
      <c r="AK313" s="395"/>
      <c r="AL313" s="395"/>
      <c r="AM313" s="395">
        <v>0</v>
      </c>
      <c r="AN313" s="395">
        <v>60</v>
      </c>
      <c r="AO313" s="395"/>
      <c r="AP313" s="410"/>
      <c r="AQ313" s="410"/>
    </row>
    <row r="314" spans="1:43" ht="15" customHeight="1">
      <c r="A314" s="397"/>
      <c r="B314" s="394">
        <v>1</v>
      </c>
      <c r="C314" s="395" t="s">
        <v>614</v>
      </c>
      <c r="D314" s="417" t="s">
        <v>4347</v>
      </c>
      <c r="E314" s="662" t="s">
        <v>4348</v>
      </c>
      <c r="F314" s="417"/>
      <c r="G314" s="384"/>
      <c r="H314" s="768"/>
      <c r="I314" s="384"/>
      <c r="J314" s="384" t="s">
        <v>4984</v>
      </c>
      <c r="K314" s="657"/>
      <c r="L314" s="658"/>
      <c r="M314" s="384"/>
      <c r="N314" s="384"/>
      <c r="O314" s="384"/>
      <c r="P314" s="384"/>
      <c r="Q314" s="384"/>
      <c r="R314" s="384"/>
      <c r="S314" s="660"/>
      <c r="T314" s="396"/>
      <c r="U314" s="384"/>
      <c r="V314" s="384"/>
      <c r="W314" s="384"/>
      <c r="X314" s="384"/>
      <c r="Y314" s="442"/>
      <c r="Z314" s="442" t="s">
        <v>4349</v>
      </c>
      <c r="AA314" s="441" t="s">
        <v>4350</v>
      </c>
      <c r="AB314" s="441"/>
      <c r="AC314" s="441"/>
      <c r="AD314" s="441" t="s">
        <v>3305</v>
      </c>
      <c r="AE314" s="441"/>
      <c r="AF314" s="441" t="s">
        <v>3182</v>
      </c>
      <c r="AG314" s="441"/>
      <c r="AH314" s="441"/>
      <c r="AI314" s="441"/>
      <c r="AJ314" s="441"/>
      <c r="AK314" s="395"/>
      <c r="AL314" s="395"/>
      <c r="AM314" s="395">
        <v>0</v>
      </c>
      <c r="AN314" s="395">
        <v>60</v>
      </c>
      <c r="AO314" s="395"/>
      <c r="AP314" s="410"/>
      <c r="AQ314" s="410"/>
    </row>
    <row r="315" spans="1:43" ht="15" customHeight="1">
      <c r="A315" s="397"/>
      <c r="B315" s="394">
        <v>1</v>
      </c>
      <c r="C315" s="395" t="s">
        <v>614</v>
      </c>
      <c r="D315" s="417" t="s">
        <v>4351</v>
      </c>
      <c r="E315" s="662" t="s">
        <v>4352</v>
      </c>
      <c r="F315" s="417"/>
      <c r="G315" s="384"/>
      <c r="H315" s="768"/>
      <c r="I315" s="384"/>
      <c r="J315" s="384" t="s">
        <v>4984</v>
      </c>
      <c r="K315" s="657"/>
      <c r="L315" s="658"/>
      <c r="M315" s="384"/>
      <c r="N315" s="384"/>
      <c r="O315" s="384"/>
      <c r="P315" s="384"/>
      <c r="Q315" s="384"/>
      <c r="R315" s="384"/>
      <c r="S315" s="660"/>
      <c r="T315" s="396"/>
      <c r="U315" s="384"/>
      <c r="V315" s="384"/>
      <c r="W315" s="384"/>
      <c r="X315" s="384"/>
      <c r="Y315" s="442"/>
      <c r="Z315" s="442" t="s">
        <v>4353</v>
      </c>
      <c r="AA315" s="441" t="s">
        <v>4354</v>
      </c>
      <c r="AB315" s="441"/>
      <c r="AC315" s="441"/>
      <c r="AD315" s="441"/>
      <c r="AE315" s="441" t="s">
        <v>3399</v>
      </c>
      <c r="AF315" s="441"/>
      <c r="AG315" s="441"/>
      <c r="AH315" s="441"/>
      <c r="AI315" s="441"/>
      <c r="AJ315" s="441"/>
      <c r="AK315" s="395"/>
      <c r="AL315" s="395"/>
      <c r="AM315" s="395">
        <v>1</v>
      </c>
      <c r="AN315" s="395">
        <v>60</v>
      </c>
      <c r="AO315" s="395"/>
      <c r="AP315" s="410"/>
      <c r="AQ315" s="410"/>
    </row>
    <row r="316" spans="1:43" ht="15" customHeight="1">
      <c r="A316" s="397"/>
      <c r="B316" s="394">
        <v>1</v>
      </c>
      <c r="C316" s="395" t="s">
        <v>614</v>
      </c>
      <c r="D316" s="417" t="s">
        <v>4355</v>
      </c>
      <c r="E316" s="662" t="s">
        <v>4356</v>
      </c>
      <c r="F316" s="417"/>
      <c r="G316" s="384"/>
      <c r="H316" s="768"/>
      <c r="I316" s="384"/>
      <c r="J316" s="384" t="s">
        <v>4984</v>
      </c>
      <c r="K316" s="657"/>
      <c r="L316" s="658"/>
      <c r="M316" s="384"/>
      <c r="N316" s="384"/>
      <c r="O316" s="384"/>
      <c r="P316" s="384"/>
      <c r="Q316" s="384"/>
      <c r="R316" s="384"/>
      <c r="S316" s="660"/>
      <c r="T316" s="396"/>
      <c r="U316" s="384"/>
      <c r="V316" s="384"/>
      <c r="W316" s="384"/>
      <c r="X316" s="384"/>
      <c r="Y316" s="442"/>
      <c r="Z316" s="442" t="s">
        <v>4357</v>
      </c>
      <c r="AA316" s="441" t="s">
        <v>4358</v>
      </c>
      <c r="AB316" s="441"/>
      <c r="AC316" s="441"/>
      <c r="AD316" s="441"/>
      <c r="AE316" s="441" t="s">
        <v>3402</v>
      </c>
      <c r="AF316" s="441"/>
      <c r="AG316" s="441"/>
      <c r="AH316" s="441"/>
      <c r="AI316" s="441"/>
      <c r="AJ316" s="441"/>
      <c r="AK316" s="395"/>
      <c r="AL316" s="395"/>
      <c r="AM316" s="395">
        <v>1</v>
      </c>
      <c r="AN316" s="395">
        <v>60</v>
      </c>
      <c r="AO316" s="395"/>
      <c r="AP316" s="410"/>
      <c r="AQ316" s="410"/>
    </row>
    <row r="317" spans="1:43" ht="15" customHeight="1">
      <c r="A317" s="397"/>
      <c r="B317" s="394">
        <v>1</v>
      </c>
      <c r="C317" s="395" t="s">
        <v>614</v>
      </c>
      <c r="D317" s="417" t="s">
        <v>4359</v>
      </c>
      <c r="E317" s="662" t="s">
        <v>4360</v>
      </c>
      <c r="F317" s="417"/>
      <c r="G317" s="384"/>
      <c r="H317" s="768"/>
      <c r="I317" s="384"/>
      <c r="J317" s="384" t="s">
        <v>4984</v>
      </c>
      <c r="K317" s="657"/>
      <c r="L317" s="658"/>
      <c r="M317" s="384"/>
      <c r="N317" s="384"/>
      <c r="O317" s="384"/>
      <c r="P317" s="384"/>
      <c r="Q317" s="384"/>
      <c r="R317" s="384"/>
      <c r="S317" s="660"/>
      <c r="T317" s="396"/>
      <c r="U317" s="384"/>
      <c r="V317" s="384"/>
      <c r="W317" s="384"/>
      <c r="X317" s="384"/>
      <c r="Y317" s="442"/>
      <c r="Z317" s="442" t="s">
        <v>4361</v>
      </c>
      <c r="AA317" s="441" t="s">
        <v>4362</v>
      </c>
      <c r="AB317" s="441"/>
      <c r="AC317" s="441"/>
      <c r="AD317" s="441"/>
      <c r="AE317" s="441" t="s">
        <v>4363</v>
      </c>
      <c r="AF317" s="441"/>
      <c r="AG317" s="441"/>
      <c r="AH317" s="441"/>
      <c r="AI317" s="441"/>
      <c r="AJ317" s="441"/>
      <c r="AK317" s="395"/>
      <c r="AL317" s="395"/>
      <c r="AM317" s="395">
        <v>1</v>
      </c>
      <c r="AN317" s="395">
        <v>60</v>
      </c>
      <c r="AO317" s="395"/>
      <c r="AP317" s="410"/>
      <c r="AQ317" s="410"/>
    </row>
    <row r="318" spans="1:43" ht="15" customHeight="1">
      <c r="A318" s="397"/>
      <c r="B318" s="394">
        <v>1</v>
      </c>
      <c r="C318" s="395" t="s">
        <v>614</v>
      </c>
      <c r="D318" s="417" t="s">
        <v>4364</v>
      </c>
      <c r="E318" s="662" t="s">
        <v>4365</v>
      </c>
      <c r="F318" s="417"/>
      <c r="G318" s="384"/>
      <c r="H318" s="768"/>
      <c r="I318" s="384"/>
      <c r="J318" s="384" t="s">
        <v>4984</v>
      </c>
      <c r="K318" s="657"/>
      <c r="L318" s="658"/>
      <c r="M318" s="384"/>
      <c r="N318" s="384"/>
      <c r="O318" s="384"/>
      <c r="P318" s="384"/>
      <c r="Q318" s="384"/>
      <c r="R318" s="384"/>
      <c r="S318" s="660"/>
      <c r="T318" s="396"/>
      <c r="U318" s="384"/>
      <c r="V318" s="384"/>
      <c r="W318" s="384"/>
      <c r="X318" s="384"/>
      <c r="Y318" s="442"/>
      <c r="Z318" s="442" t="s">
        <v>4366</v>
      </c>
      <c r="AA318" s="441" t="s">
        <v>4367</v>
      </c>
      <c r="AB318" s="441"/>
      <c r="AC318" s="441"/>
      <c r="AD318" s="441"/>
      <c r="AE318" s="441" t="s">
        <v>4368</v>
      </c>
      <c r="AF318" s="441"/>
      <c r="AG318" s="441"/>
      <c r="AH318" s="441"/>
      <c r="AI318" s="441"/>
      <c r="AJ318" s="441"/>
      <c r="AK318" s="395"/>
      <c r="AL318" s="395"/>
      <c r="AM318" s="395">
        <v>1</v>
      </c>
      <c r="AN318" s="395">
        <v>60</v>
      </c>
      <c r="AO318" s="395"/>
      <c r="AP318" s="410"/>
      <c r="AQ318" s="410"/>
    </row>
    <row r="319" spans="1:43" ht="15" customHeight="1">
      <c r="B319" s="394">
        <v>1</v>
      </c>
      <c r="C319" s="395" t="s">
        <v>614</v>
      </c>
      <c r="D319" s="417" t="s">
        <v>4369</v>
      </c>
      <c r="E319" s="662" t="s">
        <v>4370</v>
      </c>
      <c r="F319" s="417"/>
      <c r="G319" s="384"/>
      <c r="H319" s="768"/>
      <c r="I319" s="384"/>
      <c r="J319" s="384" t="s">
        <v>4984</v>
      </c>
      <c r="K319" s="657"/>
      <c r="L319" s="658"/>
      <c r="M319" s="384"/>
      <c r="N319" s="384"/>
      <c r="O319" s="384"/>
      <c r="P319" s="384"/>
      <c r="Q319" s="384"/>
      <c r="R319" s="384"/>
      <c r="S319" s="660"/>
      <c r="T319" s="396"/>
      <c r="U319" s="384"/>
      <c r="V319" s="384"/>
      <c r="W319" s="384"/>
      <c r="X319" s="384"/>
      <c r="Y319" s="442"/>
      <c r="Z319" s="442" t="s">
        <v>4371</v>
      </c>
      <c r="AA319" s="441" t="s">
        <v>4372</v>
      </c>
      <c r="AB319" s="441"/>
      <c r="AC319" s="441"/>
      <c r="AD319" s="441" t="s">
        <v>3222</v>
      </c>
      <c r="AE319" s="441" t="s">
        <v>1296</v>
      </c>
      <c r="AF319" s="441"/>
      <c r="AG319" s="441"/>
      <c r="AH319" s="441"/>
      <c r="AI319" s="441"/>
      <c r="AJ319" s="441"/>
      <c r="AK319" s="395"/>
      <c r="AL319" s="395"/>
      <c r="AM319" s="395">
        <v>1</v>
      </c>
      <c r="AN319" s="395">
        <v>60</v>
      </c>
      <c r="AO319" s="395"/>
      <c r="AP319" s="410"/>
      <c r="AQ319" s="410"/>
    </row>
    <row r="320" spans="1:43" ht="15" customHeight="1">
      <c r="B320" s="394">
        <v>1</v>
      </c>
      <c r="C320" s="395" t="s">
        <v>614</v>
      </c>
      <c r="D320" s="417" t="s">
        <v>4373</v>
      </c>
      <c r="E320" s="662" t="s">
        <v>4374</v>
      </c>
      <c r="F320" s="417"/>
      <c r="G320" s="384"/>
      <c r="H320" s="768"/>
      <c r="I320" s="384"/>
      <c r="J320" s="384" t="s">
        <v>4984</v>
      </c>
      <c r="K320" s="657"/>
      <c r="L320" s="658"/>
      <c r="M320" s="384"/>
      <c r="N320" s="384"/>
      <c r="O320" s="384"/>
      <c r="P320" s="384"/>
      <c r="Q320" s="384"/>
      <c r="R320" s="384"/>
      <c r="S320" s="660"/>
      <c r="T320" s="396"/>
      <c r="U320" s="384"/>
      <c r="V320" s="384"/>
      <c r="W320" s="384"/>
      <c r="X320" s="384"/>
      <c r="Y320" s="442"/>
      <c r="Z320" s="442" t="s">
        <v>4375</v>
      </c>
      <c r="AA320" s="441" t="s">
        <v>4376</v>
      </c>
      <c r="AB320" s="441"/>
      <c r="AC320" s="441"/>
      <c r="AD320" s="441" t="s">
        <v>3303</v>
      </c>
      <c r="AE320" s="441" t="s">
        <v>3179</v>
      </c>
      <c r="AF320" s="441"/>
      <c r="AG320" s="441"/>
      <c r="AH320" s="441"/>
      <c r="AI320" s="441"/>
      <c r="AJ320" s="441"/>
      <c r="AK320" s="395"/>
      <c r="AL320" s="395"/>
      <c r="AM320" s="395">
        <v>1</v>
      </c>
      <c r="AN320" s="395">
        <v>60</v>
      </c>
      <c r="AO320" s="395"/>
      <c r="AP320" s="410"/>
      <c r="AQ320" s="410"/>
    </row>
    <row r="321" spans="2:43" ht="15" customHeight="1">
      <c r="B321" s="394">
        <v>1</v>
      </c>
      <c r="C321" s="395" t="s">
        <v>594</v>
      </c>
      <c r="D321" s="417" t="s">
        <v>4377</v>
      </c>
      <c r="E321" s="662" t="s">
        <v>4378</v>
      </c>
      <c r="F321" s="417"/>
      <c r="G321" s="384"/>
      <c r="H321" s="768"/>
      <c r="I321" s="384"/>
      <c r="J321" s="384" t="s">
        <v>4984</v>
      </c>
      <c r="K321" s="657"/>
      <c r="L321" s="658"/>
      <c r="M321" s="384"/>
      <c r="N321" s="384"/>
      <c r="O321" s="384"/>
      <c r="P321" s="384"/>
      <c r="Q321" s="384"/>
      <c r="R321" s="384"/>
      <c r="S321" s="660"/>
      <c r="T321" s="396"/>
      <c r="U321" s="384"/>
      <c r="V321" s="384"/>
      <c r="W321" s="384"/>
      <c r="X321" s="384"/>
      <c r="Y321" s="442"/>
      <c r="Z321" s="442" t="s">
        <v>4379</v>
      </c>
      <c r="AA321" s="441"/>
      <c r="AB321" s="441"/>
      <c r="AC321" s="441" t="s">
        <v>3102</v>
      </c>
      <c r="AD321" s="441" t="s">
        <v>3306</v>
      </c>
      <c r="AE321" s="441" t="s">
        <v>3181</v>
      </c>
      <c r="AF321" s="441" t="s">
        <v>4380</v>
      </c>
      <c r="AG321" s="441"/>
      <c r="AH321" s="441"/>
      <c r="AI321" s="441"/>
      <c r="AJ321" s="441"/>
      <c r="AK321" s="395">
        <v>2</v>
      </c>
      <c r="AL321" s="395" t="s">
        <v>76</v>
      </c>
      <c r="AM321" s="395"/>
      <c r="AN321" s="395">
        <v>2</v>
      </c>
      <c r="AO321" s="395">
        <v>2</v>
      </c>
      <c r="AP321" s="410"/>
      <c r="AQ321" s="410"/>
    </row>
    <row r="322" spans="2:43" ht="15" customHeight="1">
      <c r="B322" s="394">
        <v>1</v>
      </c>
      <c r="C322" s="395" t="s">
        <v>594</v>
      </c>
      <c r="D322" s="417" t="s">
        <v>4381</v>
      </c>
      <c r="E322" s="662" t="s">
        <v>4382</v>
      </c>
      <c r="F322" s="417"/>
      <c r="G322" s="384"/>
      <c r="H322" s="768"/>
      <c r="I322" s="384"/>
      <c r="J322" s="384" t="s">
        <v>4984</v>
      </c>
      <c r="K322" s="657"/>
      <c r="L322" s="658"/>
      <c r="M322" s="384"/>
      <c r="N322" s="384"/>
      <c r="O322" s="384"/>
      <c r="P322" s="384"/>
      <c r="Q322" s="384"/>
      <c r="R322" s="384"/>
      <c r="S322" s="660"/>
      <c r="T322" s="396"/>
      <c r="U322" s="384"/>
      <c r="V322" s="384"/>
      <c r="W322" s="384"/>
      <c r="X322" s="384"/>
      <c r="Y322" s="442"/>
      <c r="Z322" s="442" t="s">
        <v>4383</v>
      </c>
      <c r="AA322" s="441"/>
      <c r="AB322" s="441"/>
      <c r="AC322" s="441" t="s">
        <v>3103</v>
      </c>
      <c r="AD322" s="441" t="s">
        <v>3307</v>
      </c>
      <c r="AE322" s="441" t="s">
        <v>3185</v>
      </c>
      <c r="AF322" s="441" t="s">
        <v>4384</v>
      </c>
      <c r="AG322" s="441"/>
      <c r="AH322" s="441"/>
      <c r="AI322" s="441"/>
      <c r="AJ322" s="441"/>
      <c r="AK322" s="395">
        <v>2</v>
      </c>
      <c r="AL322" s="395" t="s">
        <v>76</v>
      </c>
      <c r="AM322" s="395"/>
      <c r="AN322" s="395">
        <v>2</v>
      </c>
      <c r="AO322" s="395">
        <v>2</v>
      </c>
      <c r="AP322" s="410"/>
      <c r="AQ322" s="410"/>
    </row>
    <row r="323" spans="2:43" ht="15" customHeight="1">
      <c r="B323" s="394">
        <v>1</v>
      </c>
      <c r="C323" s="395" t="s">
        <v>594</v>
      </c>
      <c r="D323" s="417" t="s">
        <v>4385</v>
      </c>
      <c r="E323" s="662" t="s">
        <v>4386</v>
      </c>
      <c r="F323" s="417"/>
      <c r="G323" s="384"/>
      <c r="H323" s="768"/>
      <c r="I323" s="384"/>
      <c r="J323" s="384" t="s">
        <v>4984</v>
      </c>
      <c r="K323" s="657"/>
      <c r="L323" s="658"/>
      <c r="M323" s="384"/>
      <c r="N323" s="384"/>
      <c r="O323" s="384"/>
      <c r="P323" s="384"/>
      <c r="Q323" s="384"/>
      <c r="R323" s="384"/>
      <c r="S323" s="660"/>
      <c r="T323" s="396"/>
      <c r="U323" s="384"/>
      <c r="V323" s="384"/>
      <c r="W323" s="384"/>
      <c r="X323" s="384"/>
      <c r="Y323" s="442"/>
      <c r="Z323" s="442" t="s">
        <v>3349</v>
      </c>
      <c r="AA323" s="441"/>
      <c r="AB323" s="441"/>
      <c r="AC323" s="441" t="s">
        <v>3099</v>
      </c>
      <c r="AD323" s="441" t="s">
        <v>3308</v>
      </c>
      <c r="AE323" s="441" t="s">
        <v>3184</v>
      </c>
      <c r="AF323" s="441" t="s">
        <v>4387</v>
      </c>
      <c r="AG323" s="441"/>
      <c r="AH323" s="441"/>
      <c r="AI323" s="441"/>
      <c r="AJ323" s="441"/>
      <c r="AK323" s="395">
        <v>2</v>
      </c>
      <c r="AL323" s="395" t="s">
        <v>76</v>
      </c>
      <c r="AM323" s="395"/>
      <c r="AN323" s="395">
        <v>2</v>
      </c>
      <c r="AO323" s="395">
        <v>2</v>
      </c>
      <c r="AP323" s="410"/>
      <c r="AQ323" s="410"/>
    </row>
    <row r="324" spans="2:43" ht="15" customHeight="1">
      <c r="B324" s="394">
        <v>1</v>
      </c>
      <c r="C324" s="395" t="s">
        <v>594</v>
      </c>
      <c r="D324" s="417" t="s">
        <v>4388</v>
      </c>
      <c r="E324" s="662" t="s">
        <v>4389</v>
      </c>
      <c r="F324" s="417"/>
      <c r="G324" s="384"/>
      <c r="H324" s="768"/>
      <c r="I324" s="384"/>
      <c r="J324" s="384" t="s">
        <v>4984</v>
      </c>
      <c r="K324" s="657"/>
      <c r="L324" s="658"/>
      <c r="M324" s="384"/>
      <c r="N324" s="384"/>
      <c r="O324" s="384"/>
      <c r="P324" s="384"/>
      <c r="Q324" s="384"/>
      <c r="R324" s="384"/>
      <c r="S324" s="660"/>
      <c r="T324" s="396"/>
      <c r="U324" s="384"/>
      <c r="V324" s="384"/>
      <c r="W324" s="384"/>
      <c r="X324" s="384"/>
      <c r="Y324" s="442"/>
      <c r="Z324" s="442" t="s">
        <v>3350</v>
      </c>
      <c r="AA324" s="441"/>
      <c r="AB324" s="441"/>
      <c r="AC324" s="441" t="s">
        <v>1246</v>
      </c>
      <c r="AD324" s="441" t="s">
        <v>3309</v>
      </c>
      <c r="AE324" s="441" t="s">
        <v>1865</v>
      </c>
      <c r="AF324" s="441" t="s">
        <v>4390</v>
      </c>
      <c r="AG324" s="441"/>
      <c r="AH324" s="441"/>
      <c r="AI324" s="441"/>
      <c r="AJ324" s="441"/>
      <c r="AK324" s="395">
        <v>2</v>
      </c>
      <c r="AL324" s="395" t="s">
        <v>76</v>
      </c>
      <c r="AM324" s="395"/>
      <c r="AN324" s="395">
        <v>2</v>
      </c>
      <c r="AO324" s="395">
        <v>2</v>
      </c>
      <c r="AP324" s="410"/>
      <c r="AQ324" s="410"/>
    </row>
    <row r="325" spans="2:43" ht="15" customHeight="1">
      <c r="B325" s="394">
        <v>1</v>
      </c>
      <c r="C325" s="395" t="s">
        <v>594</v>
      </c>
      <c r="D325" s="417" t="s">
        <v>4391</v>
      </c>
      <c r="E325" s="662" t="s">
        <v>4392</v>
      </c>
      <c r="F325" s="417"/>
      <c r="G325" s="384"/>
      <c r="H325" s="768"/>
      <c r="I325" s="384"/>
      <c r="J325" s="384" t="s">
        <v>4984</v>
      </c>
      <c r="K325" s="657"/>
      <c r="L325" s="658"/>
      <c r="M325" s="384"/>
      <c r="N325" s="384"/>
      <c r="O325" s="384"/>
      <c r="P325" s="384"/>
      <c r="Q325" s="384"/>
      <c r="R325" s="384"/>
      <c r="S325" s="660"/>
      <c r="T325" s="396"/>
      <c r="U325" s="384"/>
      <c r="V325" s="384"/>
      <c r="W325" s="384"/>
      <c r="X325" s="384"/>
      <c r="Y325" s="442"/>
      <c r="Z325" s="442" t="s">
        <v>4393</v>
      </c>
      <c r="AA325" s="441"/>
      <c r="AB325" s="441"/>
      <c r="AC325" s="441" t="s">
        <v>3100</v>
      </c>
      <c r="AD325" s="441" t="s">
        <v>3310</v>
      </c>
      <c r="AE325" s="441" t="s">
        <v>3187</v>
      </c>
      <c r="AF325" s="441" t="s">
        <v>4394</v>
      </c>
      <c r="AG325" s="441"/>
      <c r="AH325" s="441"/>
      <c r="AI325" s="441"/>
      <c r="AJ325" s="441"/>
      <c r="AK325" s="395">
        <v>2</v>
      </c>
      <c r="AL325" s="395" t="s">
        <v>76</v>
      </c>
      <c r="AM325" s="395"/>
      <c r="AN325" s="395">
        <v>2</v>
      </c>
      <c r="AO325" s="395">
        <v>2</v>
      </c>
      <c r="AP325" s="410"/>
      <c r="AQ325" s="410"/>
    </row>
    <row r="326" spans="2:43" ht="15" customHeight="1">
      <c r="B326" s="394">
        <v>1</v>
      </c>
      <c r="C326" s="395" t="s">
        <v>594</v>
      </c>
      <c r="D326" s="417" t="s">
        <v>4395</v>
      </c>
      <c r="E326" s="662" t="s">
        <v>4396</v>
      </c>
      <c r="F326" s="417"/>
      <c r="G326" s="384"/>
      <c r="H326" s="768"/>
      <c r="I326" s="384"/>
      <c r="J326" s="384" t="s">
        <v>4984</v>
      </c>
      <c r="K326" s="657"/>
      <c r="L326" s="658"/>
      <c r="M326" s="384"/>
      <c r="N326" s="384"/>
      <c r="O326" s="384"/>
      <c r="P326" s="384"/>
      <c r="Q326" s="384"/>
      <c r="R326" s="384"/>
      <c r="S326" s="660"/>
      <c r="T326" s="396"/>
      <c r="U326" s="384"/>
      <c r="V326" s="384"/>
      <c r="W326" s="384"/>
      <c r="X326" s="384"/>
      <c r="Y326" s="442"/>
      <c r="Z326" s="442" t="s">
        <v>4397</v>
      </c>
      <c r="AA326" s="441"/>
      <c r="AB326" s="441"/>
      <c r="AC326" s="441" t="s">
        <v>3101</v>
      </c>
      <c r="AD326" s="441" t="s">
        <v>3311</v>
      </c>
      <c r="AE326" s="441" t="s">
        <v>3190</v>
      </c>
      <c r="AF326" s="441" t="s">
        <v>4398</v>
      </c>
      <c r="AG326" s="441"/>
      <c r="AH326" s="441"/>
      <c r="AI326" s="441"/>
      <c r="AJ326" s="441"/>
      <c r="AK326" s="395">
        <v>2</v>
      </c>
      <c r="AL326" s="395" t="s">
        <v>76</v>
      </c>
      <c r="AM326" s="395"/>
      <c r="AN326" s="395">
        <v>2</v>
      </c>
      <c r="AO326" s="395">
        <v>2</v>
      </c>
      <c r="AP326" s="410"/>
      <c r="AQ326" s="410"/>
    </row>
    <row r="327" spans="2:43" ht="15" customHeight="1">
      <c r="B327" s="394">
        <v>1</v>
      </c>
      <c r="C327" s="395" t="s">
        <v>594</v>
      </c>
      <c r="D327" s="417" t="s">
        <v>4399</v>
      </c>
      <c r="E327" s="662" t="s">
        <v>4400</v>
      </c>
      <c r="F327" s="417"/>
      <c r="G327" s="384"/>
      <c r="H327" s="768"/>
      <c r="I327" s="384"/>
      <c r="J327" s="384" t="s">
        <v>4984</v>
      </c>
      <c r="K327" s="657"/>
      <c r="L327" s="658"/>
      <c r="M327" s="384"/>
      <c r="N327" s="384"/>
      <c r="O327" s="384"/>
      <c r="P327" s="384"/>
      <c r="Q327" s="384"/>
      <c r="R327" s="384"/>
      <c r="S327" s="660"/>
      <c r="T327" s="396"/>
      <c r="U327" s="384"/>
      <c r="V327" s="384"/>
      <c r="W327" s="384"/>
      <c r="X327" s="384"/>
      <c r="Y327" s="442"/>
      <c r="Z327" s="442" t="s">
        <v>4401</v>
      </c>
      <c r="AA327" s="441" t="s">
        <v>4402</v>
      </c>
      <c r="AB327" s="441"/>
      <c r="AC327" s="441" t="s">
        <v>3104</v>
      </c>
      <c r="AD327" s="441"/>
      <c r="AE327" s="441" t="s">
        <v>4403</v>
      </c>
      <c r="AF327" s="441" t="s">
        <v>4404</v>
      </c>
      <c r="AG327" s="441"/>
      <c r="AH327" s="441"/>
      <c r="AI327" s="441"/>
      <c r="AJ327" s="441"/>
      <c r="AK327" s="395">
        <v>2</v>
      </c>
      <c r="AL327" s="395" t="s">
        <v>76</v>
      </c>
      <c r="AM327" s="395"/>
      <c r="AN327" s="395">
        <v>2</v>
      </c>
      <c r="AO327" s="395">
        <v>2</v>
      </c>
      <c r="AP327" s="410"/>
      <c r="AQ327" s="410"/>
    </row>
    <row r="328" spans="2:43" ht="15" customHeight="1">
      <c r="B328" s="394">
        <v>1</v>
      </c>
      <c r="C328" s="395" t="s">
        <v>793</v>
      </c>
      <c r="D328" s="417" t="s">
        <v>4405</v>
      </c>
      <c r="E328" s="662" t="s">
        <v>4406</v>
      </c>
      <c r="F328" s="417"/>
      <c r="G328" s="384"/>
      <c r="H328" s="768"/>
      <c r="I328" s="384"/>
      <c r="J328" s="384" t="s">
        <v>4984</v>
      </c>
      <c r="K328" s="657"/>
      <c r="L328" s="658"/>
      <c r="M328" s="384"/>
      <c r="N328" s="384">
        <v>2</v>
      </c>
      <c r="O328" s="384"/>
      <c r="P328" s="384" t="s">
        <v>231</v>
      </c>
      <c r="Q328" s="384" t="s">
        <v>187</v>
      </c>
      <c r="R328" s="384"/>
      <c r="S328" s="660"/>
      <c r="T328" s="396"/>
      <c r="U328" s="384"/>
      <c r="V328" s="384"/>
      <c r="W328" s="384"/>
      <c r="X328" s="384"/>
      <c r="Y328" s="442"/>
      <c r="Z328" s="442"/>
      <c r="AA328" s="441"/>
      <c r="AB328" s="441"/>
      <c r="AC328" s="441"/>
      <c r="AD328" s="441"/>
      <c r="AE328" s="441" t="s">
        <v>4407</v>
      </c>
      <c r="AF328" s="441"/>
      <c r="AG328" s="441"/>
      <c r="AH328" s="441"/>
      <c r="AI328" s="441"/>
      <c r="AJ328" s="441"/>
      <c r="AK328" s="395"/>
      <c r="AL328" s="395"/>
      <c r="AM328" s="395"/>
      <c r="AN328" s="395"/>
      <c r="AO328" s="395"/>
      <c r="AP328" s="410"/>
      <c r="AQ328" s="410"/>
    </row>
    <row r="329" spans="2:43" ht="15" customHeight="1">
      <c r="B329" s="394">
        <v>1</v>
      </c>
      <c r="C329" s="395" t="s">
        <v>607</v>
      </c>
      <c r="D329" s="417" t="s">
        <v>4408</v>
      </c>
      <c r="E329" s="662" t="s">
        <v>4409</v>
      </c>
      <c r="F329" s="417"/>
      <c r="G329" s="384"/>
      <c r="H329" s="768"/>
      <c r="I329" s="384"/>
      <c r="J329" s="384" t="s">
        <v>4984</v>
      </c>
      <c r="K329" s="657"/>
      <c r="L329" s="658"/>
      <c r="M329" s="384"/>
      <c r="N329" s="384">
        <v>6</v>
      </c>
      <c r="O329" s="384" t="s">
        <v>4989</v>
      </c>
      <c r="P329" s="384" t="s">
        <v>230</v>
      </c>
      <c r="Q329" s="384" t="s">
        <v>187</v>
      </c>
      <c r="R329" s="384"/>
      <c r="S329" s="660"/>
      <c r="T329" s="396"/>
      <c r="U329" s="384"/>
      <c r="V329" s="384"/>
      <c r="W329" s="384"/>
      <c r="X329" s="384"/>
      <c r="Y329" s="442" t="s">
        <v>4410</v>
      </c>
      <c r="Z329" s="442"/>
      <c r="AA329" s="441"/>
      <c r="AB329" s="441"/>
      <c r="AC329" s="441"/>
      <c r="AD329" s="441"/>
      <c r="AE329" s="441"/>
      <c r="AF329" s="441"/>
      <c r="AG329" s="441"/>
      <c r="AH329" s="441"/>
      <c r="AI329" s="441"/>
      <c r="AJ329" s="441"/>
      <c r="AK329" s="395"/>
      <c r="AL329" s="395"/>
      <c r="AM329" s="395">
        <v>0</v>
      </c>
      <c r="AN329" s="395"/>
      <c r="AO329" s="395"/>
      <c r="AP329" s="410"/>
      <c r="AQ329" s="410"/>
    </row>
    <row r="330" spans="2:43" ht="15" customHeight="1">
      <c r="B330" s="394">
        <v>1</v>
      </c>
      <c r="C330" s="395" t="s">
        <v>607</v>
      </c>
      <c r="D330" s="417" t="s">
        <v>4411</v>
      </c>
      <c r="E330" s="662" t="s">
        <v>4412</v>
      </c>
      <c r="F330" s="417"/>
      <c r="G330" s="384"/>
      <c r="H330" s="768"/>
      <c r="I330" s="384"/>
      <c r="J330" s="384" t="s">
        <v>4984</v>
      </c>
      <c r="K330" s="657"/>
      <c r="L330" s="658"/>
      <c r="M330" s="384"/>
      <c r="N330" s="384">
        <v>6</v>
      </c>
      <c r="O330" s="384" t="s">
        <v>4989</v>
      </c>
      <c r="P330" s="384" t="s">
        <v>230</v>
      </c>
      <c r="Q330" s="384" t="s">
        <v>187</v>
      </c>
      <c r="R330" s="384"/>
      <c r="S330" s="660"/>
      <c r="T330" s="396"/>
      <c r="U330" s="384"/>
      <c r="V330" s="384"/>
      <c r="W330" s="384"/>
      <c r="X330" s="384"/>
      <c r="Y330" s="442" t="s">
        <v>4413</v>
      </c>
      <c r="Z330" s="442"/>
      <c r="AA330" s="441"/>
      <c r="AB330" s="441"/>
      <c r="AC330" s="441"/>
      <c r="AD330" s="441"/>
      <c r="AE330" s="441"/>
      <c r="AF330" s="441"/>
      <c r="AG330" s="441"/>
      <c r="AH330" s="441"/>
      <c r="AI330" s="441"/>
      <c r="AJ330" s="441"/>
      <c r="AK330" s="395"/>
      <c r="AL330" s="395"/>
      <c r="AM330" s="395">
        <v>0</v>
      </c>
      <c r="AN330" s="395"/>
      <c r="AO330" s="395"/>
      <c r="AP330" s="410"/>
      <c r="AQ330" s="410"/>
    </row>
    <row r="331" spans="2:43" ht="15" customHeight="1">
      <c r="B331" s="394">
        <v>1</v>
      </c>
      <c r="C331" s="395" t="s">
        <v>607</v>
      </c>
      <c r="D331" s="417" t="s">
        <v>4414</v>
      </c>
      <c r="E331" s="662" t="s">
        <v>4415</v>
      </c>
      <c r="F331" s="417"/>
      <c r="G331" s="384"/>
      <c r="H331" s="768"/>
      <c r="I331" s="384"/>
      <c r="J331" s="384" t="s">
        <v>4984</v>
      </c>
      <c r="K331" s="657"/>
      <c r="L331" s="658"/>
      <c r="M331" s="384"/>
      <c r="N331" s="384">
        <v>6</v>
      </c>
      <c r="O331" s="384" t="s">
        <v>4989</v>
      </c>
      <c r="P331" s="384" t="s">
        <v>230</v>
      </c>
      <c r="Q331" s="384" t="s">
        <v>187</v>
      </c>
      <c r="R331" s="384"/>
      <c r="S331" s="660"/>
      <c r="T331" s="396"/>
      <c r="U331" s="384"/>
      <c r="V331" s="384"/>
      <c r="W331" s="384"/>
      <c r="X331" s="384"/>
      <c r="Y331" s="442" t="s">
        <v>4416</v>
      </c>
      <c r="Z331" s="442"/>
      <c r="AA331" s="441"/>
      <c r="AB331" s="441"/>
      <c r="AC331" s="441"/>
      <c r="AD331" s="441"/>
      <c r="AE331" s="441"/>
      <c r="AF331" s="441"/>
      <c r="AG331" s="441"/>
      <c r="AH331" s="441"/>
      <c r="AI331" s="441"/>
      <c r="AJ331" s="441"/>
      <c r="AK331" s="395"/>
      <c r="AL331" s="395"/>
      <c r="AM331" s="395">
        <v>0</v>
      </c>
      <c r="AN331" s="395"/>
      <c r="AO331" s="395"/>
      <c r="AP331" s="410"/>
      <c r="AQ331" s="410"/>
    </row>
    <row r="332" spans="2:43" ht="15" customHeight="1">
      <c r="B332" s="394">
        <v>1</v>
      </c>
      <c r="C332" s="395" t="s">
        <v>592</v>
      </c>
      <c r="D332" s="417" t="s">
        <v>4417</v>
      </c>
      <c r="E332" s="662" t="s">
        <v>4418</v>
      </c>
      <c r="F332" s="417"/>
      <c r="G332" s="384"/>
      <c r="H332" s="768"/>
      <c r="I332" s="384"/>
      <c r="J332" s="384" t="s">
        <v>4984</v>
      </c>
      <c r="K332" s="657"/>
      <c r="L332" s="658"/>
      <c r="M332" s="384"/>
      <c r="N332" s="384">
        <v>6</v>
      </c>
      <c r="O332" s="384" t="s">
        <v>4989</v>
      </c>
      <c r="P332" s="384" t="s">
        <v>230</v>
      </c>
      <c r="Q332" s="384" t="s">
        <v>187</v>
      </c>
      <c r="R332" s="384"/>
      <c r="S332" s="660"/>
      <c r="T332" s="396"/>
      <c r="U332" s="384"/>
      <c r="V332" s="384"/>
      <c r="W332" s="384"/>
      <c r="X332" s="384"/>
      <c r="Y332" s="442" t="s">
        <v>4419</v>
      </c>
      <c r="Z332" s="442"/>
      <c r="AA332" s="441"/>
      <c r="AB332" s="441"/>
      <c r="AC332" s="441"/>
      <c r="AD332" s="441"/>
      <c r="AE332" s="441"/>
      <c r="AF332" s="441"/>
      <c r="AG332" s="441"/>
      <c r="AH332" s="441"/>
      <c r="AI332" s="441"/>
      <c r="AJ332" s="441"/>
      <c r="AK332" s="395">
        <v>0</v>
      </c>
      <c r="AL332" s="395" t="s">
        <v>72</v>
      </c>
      <c r="AM332" s="395"/>
      <c r="AN332" s="395"/>
      <c r="AO332" s="395"/>
      <c r="AP332" s="410"/>
      <c r="AQ332" s="410"/>
    </row>
    <row r="333" spans="2:43" ht="15" customHeight="1">
      <c r="B333" s="394">
        <v>1</v>
      </c>
      <c r="C333" s="395" t="s">
        <v>592</v>
      </c>
      <c r="D333" s="417" t="s">
        <v>4420</v>
      </c>
      <c r="E333" s="662" t="s">
        <v>4421</v>
      </c>
      <c r="F333" s="417"/>
      <c r="G333" s="384"/>
      <c r="H333" s="768"/>
      <c r="I333" s="384"/>
      <c r="J333" s="384" t="s">
        <v>4984</v>
      </c>
      <c r="K333" s="657"/>
      <c r="L333" s="658"/>
      <c r="M333" s="384"/>
      <c r="N333" s="384">
        <v>6</v>
      </c>
      <c r="O333" s="384" t="s">
        <v>4989</v>
      </c>
      <c r="P333" s="384" t="s">
        <v>230</v>
      </c>
      <c r="Q333" s="384" t="s">
        <v>187</v>
      </c>
      <c r="R333" s="384"/>
      <c r="S333" s="660"/>
      <c r="T333" s="396"/>
      <c r="U333" s="384"/>
      <c r="V333" s="384"/>
      <c r="W333" s="384"/>
      <c r="X333" s="384"/>
      <c r="Y333" s="442" t="s">
        <v>4422</v>
      </c>
      <c r="Z333" s="442"/>
      <c r="AA333" s="441"/>
      <c r="AB333" s="441"/>
      <c r="AC333" s="441"/>
      <c r="AD333" s="441"/>
      <c r="AE333" s="441"/>
      <c r="AF333" s="441"/>
      <c r="AG333" s="441"/>
      <c r="AH333" s="441"/>
      <c r="AI333" s="441"/>
      <c r="AJ333" s="441"/>
      <c r="AK333" s="395">
        <v>0</v>
      </c>
      <c r="AL333" s="395" t="s">
        <v>72</v>
      </c>
      <c r="AM333" s="395"/>
      <c r="AN333" s="395"/>
      <c r="AO333" s="395"/>
      <c r="AP333" s="410"/>
      <c r="AQ333" s="410"/>
    </row>
    <row r="334" spans="2:43" ht="15" customHeight="1">
      <c r="B334" s="394">
        <v>1</v>
      </c>
      <c r="C334" s="395" t="s">
        <v>592</v>
      </c>
      <c r="D334" s="417" t="s">
        <v>4423</v>
      </c>
      <c r="E334" s="662" t="s">
        <v>4424</v>
      </c>
      <c r="F334" s="417"/>
      <c r="G334" s="384"/>
      <c r="H334" s="768"/>
      <c r="I334" s="384"/>
      <c r="J334" s="384" t="s">
        <v>4984</v>
      </c>
      <c r="K334" s="657"/>
      <c r="L334" s="658"/>
      <c r="M334" s="384"/>
      <c r="N334" s="384">
        <v>6</v>
      </c>
      <c r="O334" s="384" t="s">
        <v>4989</v>
      </c>
      <c r="P334" s="384" t="s">
        <v>230</v>
      </c>
      <c r="Q334" s="384" t="s">
        <v>187</v>
      </c>
      <c r="R334" s="384"/>
      <c r="S334" s="660"/>
      <c r="T334" s="396"/>
      <c r="U334" s="384"/>
      <c r="V334" s="384"/>
      <c r="W334" s="384"/>
      <c r="X334" s="384"/>
      <c r="Y334" s="442" t="s">
        <v>4425</v>
      </c>
      <c r="Z334" s="442"/>
      <c r="AA334" s="441"/>
      <c r="AB334" s="441"/>
      <c r="AC334" s="441"/>
      <c r="AD334" s="441"/>
      <c r="AE334" s="441"/>
      <c r="AF334" s="441"/>
      <c r="AG334" s="441"/>
      <c r="AH334" s="441"/>
      <c r="AI334" s="441"/>
      <c r="AJ334" s="441"/>
      <c r="AK334" s="395">
        <v>0</v>
      </c>
      <c r="AL334" s="395" t="s">
        <v>72</v>
      </c>
      <c r="AM334" s="395"/>
      <c r="AN334" s="395"/>
      <c r="AO334" s="395"/>
      <c r="AP334" s="410"/>
      <c r="AQ334" s="410"/>
    </row>
    <row r="335" spans="2:43" ht="15" customHeight="1">
      <c r="B335" s="394">
        <v>1</v>
      </c>
      <c r="C335" s="395" t="s">
        <v>592</v>
      </c>
      <c r="D335" s="417" t="s">
        <v>4426</v>
      </c>
      <c r="E335" s="662" t="s">
        <v>4427</v>
      </c>
      <c r="F335" s="417"/>
      <c r="G335" s="384"/>
      <c r="H335" s="768"/>
      <c r="I335" s="384"/>
      <c r="J335" s="384" t="s">
        <v>4984</v>
      </c>
      <c r="K335" s="657"/>
      <c r="L335" s="658"/>
      <c r="M335" s="384"/>
      <c r="N335" s="384">
        <v>6</v>
      </c>
      <c r="O335" s="384" t="s">
        <v>4989</v>
      </c>
      <c r="P335" s="384" t="s">
        <v>230</v>
      </c>
      <c r="Q335" s="384" t="s">
        <v>187</v>
      </c>
      <c r="R335" s="384"/>
      <c r="S335" s="660"/>
      <c r="T335" s="396"/>
      <c r="U335" s="384"/>
      <c r="V335" s="384"/>
      <c r="W335" s="384"/>
      <c r="X335" s="384"/>
      <c r="Y335" s="442" t="s">
        <v>4428</v>
      </c>
      <c r="Z335" s="442"/>
      <c r="AA335" s="441"/>
      <c r="AB335" s="441"/>
      <c r="AC335" s="441"/>
      <c r="AD335" s="441"/>
      <c r="AE335" s="441"/>
      <c r="AF335" s="441"/>
      <c r="AG335" s="441"/>
      <c r="AH335" s="441"/>
      <c r="AI335" s="441"/>
      <c r="AJ335" s="441"/>
      <c r="AK335" s="395">
        <v>0</v>
      </c>
      <c r="AL335" s="395" t="s">
        <v>72</v>
      </c>
      <c r="AM335" s="395"/>
      <c r="AN335" s="395"/>
      <c r="AO335" s="395"/>
      <c r="AP335" s="410"/>
      <c r="AQ335" s="410"/>
    </row>
    <row r="336" spans="2:43" ht="15" customHeight="1">
      <c r="B336" s="394">
        <v>1</v>
      </c>
      <c r="C336" s="395" t="s">
        <v>608</v>
      </c>
      <c r="D336" s="417" t="s">
        <v>4429</v>
      </c>
      <c r="E336" s="662" t="s">
        <v>4430</v>
      </c>
      <c r="F336" s="417"/>
      <c r="G336" s="384"/>
      <c r="H336" s="768"/>
      <c r="I336" s="384"/>
      <c r="J336" s="384" t="s">
        <v>4984</v>
      </c>
      <c r="K336" s="657"/>
      <c r="L336" s="658"/>
      <c r="M336" s="384"/>
      <c r="N336" s="384" t="s">
        <v>707</v>
      </c>
      <c r="O336" s="384"/>
      <c r="P336" s="384" t="s">
        <v>231</v>
      </c>
      <c r="Q336" s="384" t="s">
        <v>187</v>
      </c>
      <c r="R336" s="384"/>
      <c r="S336" s="660"/>
      <c r="T336" s="396"/>
      <c r="U336" s="384"/>
      <c r="V336" s="384"/>
      <c r="W336" s="384"/>
      <c r="X336" s="384"/>
      <c r="Y336" s="442" t="s">
        <v>4431</v>
      </c>
      <c r="Z336" s="442"/>
      <c r="AA336" s="441"/>
      <c r="AB336" s="441"/>
      <c r="AC336" s="441"/>
      <c r="AD336" s="441"/>
      <c r="AE336" s="441"/>
      <c r="AF336" s="441"/>
      <c r="AG336" s="441"/>
      <c r="AH336" s="441"/>
      <c r="AI336" s="441"/>
      <c r="AJ336" s="441"/>
      <c r="AK336" s="395"/>
      <c r="AL336" s="395"/>
      <c r="AM336" s="395">
        <v>0</v>
      </c>
      <c r="AN336" s="395"/>
      <c r="AO336" s="395"/>
      <c r="AP336" s="410"/>
      <c r="AQ336" s="410"/>
    </row>
    <row r="337" spans="2:43" ht="15" customHeight="1">
      <c r="B337" s="394">
        <v>1</v>
      </c>
      <c r="C337" s="395" t="s">
        <v>608</v>
      </c>
      <c r="D337" s="417" t="s">
        <v>4432</v>
      </c>
      <c r="E337" s="662" t="s">
        <v>4433</v>
      </c>
      <c r="F337" s="417"/>
      <c r="G337" s="384"/>
      <c r="H337" s="768"/>
      <c r="I337" s="384"/>
      <c r="J337" s="384" t="s">
        <v>4984</v>
      </c>
      <c r="K337" s="657"/>
      <c r="L337" s="658"/>
      <c r="M337" s="384"/>
      <c r="N337" s="384" t="s">
        <v>707</v>
      </c>
      <c r="O337" s="384"/>
      <c r="P337" s="384" t="s">
        <v>231</v>
      </c>
      <c r="Q337" s="384" t="s">
        <v>187</v>
      </c>
      <c r="R337" s="384"/>
      <c r="S337" s="660"/>
      <c r="T337" s="396"/>
      <c r="U337" s="384"/>
      <c r="V337" s="384"/>
      <c r="W337" s="384"/>
      <c r="X337" s="384"/>
      <c r="Y337" s="442" t="s">
        <v>4434</v>
      </c>
      <c r="Z337" s="442"/>
      <c r="AA337" s="441"/>
      <c r="AB337" s="441"/>
      <c r="AC337" s="441"/>
      <c r="AD337" s="441"/>
      <c r="AE337" s="441"/>
      <c r="AF337" s="441"/>
      <c r="AG337" s="441"/>
      <c r="AH337" s="441"/>
      <c r="AI337" s="441"/>
      <c r="AJ337" s="441"/>
      <c r="AK337" s="395"/>
      <c r="AL337" s="395"/>
      <c r="AM337" s="395">
        <v>0</v>
      </c>
      <c r="AN337" s="395"/>
      <c r="AO337" s="395"/>
      <c r="AP337" s="410"/>
      <c r="AQ337" s="410"/>
    </row>
    <row r="338" spans="2:43" ht="15" customHeight="1">
      <c r="B338" s="394">
        <v>1</v>
      </c>
      <c r="C338" s="395" t="s">
        <v>608</v>
      </c>
      <c r="D338" s="417" t="s">
        <v>4435</v>
      </c>
      <c r="E338" s="662" t="s">
        <v>4436</v>
      </c>
      <c r="F338" s="417"/>
      <c r="G338" s="384"/>
      <c r="H338" s="768"/>
      <c r="I338" s="384"/>
      <c r="J338" s="384" t="s">
        <v>4984</v>
      </c>
      <c r="K338" s="657"/>
      <c r="L338" s="658"/>
      <c r="M338" s="384"/>
      <c r="N338" s="384" t="s">
        <v>54</v>
      </c>
      <c r="O338" s="384"/>
      <c r="P338" s="384" t="s">
        <v>231</v>
      </c>
      <c r="Q338" s="384" t="s">
        <v>187</v>
      </c>
      <c r="R338" s="384"/>
      <c r="S338" s="660"/>
      <c r="T338" s="396"/>
      <c r="U338" s="384"/>
      <c r="V338" s="384"/>
      <c r="W338" s="384"/>
      <c r="X338" s="384"/>
      <c r="Y338" s="442" t="s">
        <v>4437</v>
      </c>
      <c r="Z338" s="442"/>
      <c r="AA338" s="441"/>
      <c r="AB338" s="441"/>
      <c r="AC338" s="441"/>
      <c r="AD338" s="441"/>
      <c r="AE338" s="441"/>
      <c r="AF338" s="441"/>
      <c r="AG338" s="441"/>
      <c r="AH338" s="441"/>
      <c r="AI338" s="441"/>
      <c r="AJ338" s="441"/>
      <c r="AK338" s="395"/>
      <c r="AL338" s="395"/>
      <c r="AM338" s="395">
        <v>0</v>
      </c>
      <c r="AN338" s="395"/>
      <c r="AO338" s="395"/>
      <c r="AP338" s="410"/>
      <c r="AQ338" s="410"/>
    </row>
    <row r="339" spans="2:43" ht="15" customHeight="1">
      <c r="B339" s="394">
        <v>1</v>
      </c>
      <c r="C339" s="395" t="s">
        <v>608</v>
      </c>
      <c r="D339" s="417" t="s">
        <v>4438</v>
      </c>
      <c r="E339" s="662" t="s">
        <v>4439</v>
      </c>
      <c r="F339" s="417"/>
      <c r="G339" s="384"/>
      <c r="H339" s="768"/>
      <c r="I339" s="384"/>
      <c r="J339" s="384" t="s">
        <v>4984</v>
      </c>
      <c r="K339" s="657"/>
      <c r="L339" s="658"/>
      <c r="M339" s="384"/>
      <c r="N339" s="384" t="s">
        <v>54</v>
      </c>
      <c r="O339" s="384"/>
      <c r="P339" s="384" t="s">
        <v>231</v>
      </c>
      <c r="Q339" s="384" t="s">
        <v>187</v>
      </c>
      <c r="R339" s="384"/>
      <c r="S339" s="660"/>
      <c r="T339" s="396"/>
      <c r="U339" s="384"/>
      <c r="V339" s="384"/>
      <c r="W339" s="384"/>
      <c r="X339" s="384"/>
      <c r="Y339" s="442" t="s">
        <v>4440</v>
      </c>
      <c r="Z339" s="442"/>
      <c r="AA339" s="441"/>
      <c r="AB339" s="441"/>
      <c r="AC339" s="441"/>
      <c r="AD339" s="441"/>
      <c r="AE339" s="441"/>
      <c r="AF339" s="441"/>
      <c r="AG339" s="441"/>
      <c r="AH339" s="441"/>
      <c r="AI339" s="441"/>
      <c r="AJ339" s="441"/>
      <c r="AK339" s="395"/>
      <c r="AL339" s="395"/>
      <c r="AM339" s="395">
        <v>0</v>
      </c>
      <c r="AN339" s="395"/>
      <c r="AO339" s="395"/>
      <c r="AP339" s="410"/>
      <c r="AQ339" s="410"/>
    </row>
    <row r="340" spans="2:43" ht="15" customHeight="1">
      <c r="B340" s="394">
        <v>1</v>
      </c>
      <c r="C340" s="395" t="s">
        <v>591</v>
      </c>
      <c r="D340" s="417" t="s">
        <v>4441</v>
      </c>
      <c r="E340" s="662" t="s">
        <v>4442</v>
      </c>
      <c r="F340" s="417"/>
      <c r="G340" s="384"/>
      <c r="H340" s="768"/>
      <c r="I340" s="384"/>
      <c r="J340" s="384" t="s">
        <v>4984</v>
      </c>
      <c r="K340" s="657" t="s">
        <v>247</v>
      </c>
      <c r="L340" s="658" t="s">
        <v>248</v>
      </c>
      <c r="M340" s="384"/>
      <c r="N340" s="384"/>
      <c r="O340" s="384" t="s">
        <v>293</v>
      </c>
      <c r="P340" s="384"/>
      <c r="Q340" s="384"/>
      <c r="R340" s="384"/>
      <c r="S340" s="660"/>
      <c r="T340" s="396"/>
      <c r="U340" s="384"/>
      <c r="V340" s="384"/>
      <c r="W340" s="384"/>
      <c r="X340" s="384"/>
      <c r="Y340" s="442" t="s">
        <v>3097</v>
      </c>
      <c r="Z340" s="442"/>
      <c r="AA340" s="441"/>
      <c r="AB340" s="441"/>
      <c r="AC340" s="441"/>
      <c r="AD340" s="441"/>
      <c r="AE340" s="441"/>
      <c r="AF340" s="441"/>
      <c r="AG340" s="441"/>
      <c r="AH340" s="441"/>
      <c r="AI340" s="441"/>
      <c r="AJ340" s="441"/>
      <c r="AK340" s="395">
        <v>0</v>
      </c>
      <c r="AL340" s="395"/>
      <c r="AM340" s="395">
        <v>-45</v>
      </c>
      <c r="AN340" s="395">
        <v>70</v>
      </c>
      <c r="AO340" s="395"/>
      <c r="AP340" s="410"/>
      <c r="AQ340" s="410"/>
    </row>
    <row r="341" spans="2:43" ht="15" customHeight="1">
      <c r="B341" s="394">
        <v>1</v>
      </c>
      <c r="C341" s="395" t="s">
        <v>607</v>
      </c>
      <c r="D341" s="417" t="s">
        <v>4443</v>
      </c>
      <c r="E341" s="662" t="s">
        <v>5133</v>
      </c>
      <c r="F341" s="417"/>
      <c r="G341" s="384"/>
      <c r="H341" s="768"/>
      <c r="I341" s="384"/>
      <c r="J341" s="384" t="s">
        <v>4985</v>
      </c>
      <c r="K341" s="657"/>
      <c r="L341" s="658"/>
      <c r="M341" s="384"/>
      <c r="N341" s="384">
        <v>1</v>
      </c>
      <c r="O341" s="384" t="s">
        <v>4992</v>
      </c>
      <c r="P341" s="384" t="s">
        <v>426</v>
      </c>
      <c r="Q341" s="384" t="s">
        <v>187</v>
      </c>
      <c r="R341" s="384"/>
      <c r="S341" s="660"/>
      <c r="T341" s="396"/>
      <c r="U341" s="384"/>
      <c r="V341" s="384"/>
      <c r="W341" s="384"/>
      <c r="X341" s="384"/>
      <c r="Y341" s="442" t="s">
        <v>4444</v>
      </c>
      <c r="Z341" s="442"/>
      <c r="AA341" s="441"/>
      <c r="AB341" s="441"/>
      <c r="AC341" s="441"/>
      <c r="AD341" s="441"/>
      <c r="AE341" s="441"/>
      <c r="AF341" s="441"/>
      <c r="AG341" s="441"/>
      <c r="AH341" s="441"/>
      <c r="AI341" s="441"/>
      <c r="AJ341" s="441"/>
      <c r="AK341" s="395"/>
      <c r="AL341" s="395"/>
      <c r="AM341" s="395">
        <v>0</v>
      </c>
      <c r="AN341" s="395"/>
      <c r="AO341" s="395"/>
      <c r="AP341" s="410"/>
      <c r="AQ341" s="410"/>
    </row>
    <row r="342" spans="2:43" ht="15" customHeight="1">
      <c r="B342" s="394">
        <v>1</v>
      </c>
      <c r="C342" s="395" t="s">
        <v>607</v>
      </c>
      <c r="D342" s="417" t="s">
        <v>4445</v>
      </c>
      <c r="E342" s="662" t="s">
        <v>5134</v>
      </c>
      <c r="F342" s="417"/>
      <c r="G342" s="384"/>
      <c r="H342" s="768"/>
      <c r="I342" s="384"/>
      <c r="J342" s="384" t="s">
        <v>4985</v>
      </c>
      <c r="K342" s="657"/>
      <c r="L342" s="658"/>
      <c r="M342" s="384"/>
      <c r="N342" s="384">
        <v>1</v>
      </c>
      <c r="O342" s="384" t="s">
        <v>4992</v>
      </c>
      <c r="P342" s="384" t="s">
        <v>426</v>
      </c>
      <c r="Q342" s="384" t="s">
        <v>187</v>
      </c>
      <c r="R342" s="384"/>
      <c r="S342" s="660"/>
      <c r="T342" s="396"/>
      <c r="U342" s="384"/>
      <c r="V342" s="384"/>
      <c r="W342" s="384"/>
      <c r="X342" s="384"/>
      <c r="Y342" s="442" t="s">
        <v>4446</v>
      </c>
      <c r="Z342" s="442"/>
      <c r="AA342" s="441"/>
      <c r="AB342" s="441"/>
      <c r="AC342" s="441"/>
      <c r="AD342" s="441"/>
      <c r="AE342" s="441"/>
      <c r="AF342" s="441"/>
      <c r="AG342" s="441"/>
      <c r="AH342" s="441"/>
      <c r="AI342" s="441"/>
      <c r="AJ342" s="441"/>
      <c r="AK342" s="395"/>
      <c r="AL342" s="395"/>
      <c r="AM342" s="395">
        <v>0</v>
      </c>
      <c r="AN342" s="395"/>
      <c r="AO342" s="395"/>
      <c r="AP342" s="410"/>
      <c r="AQ342" s="410"/>
    </row>
    <row r="343" spans="2:43" ht="15" customHeight="1">
      <c r="B343" s="394">
        <v>1</v>
      </c>
      <c r="C343" s="395" t="s">
        <v>607</v>
      </c>
      <c r="D343" s="417" t="s">
        <v>4447</v>
      </c>
      <c r="E343" s="662" t="s">
        <v>5135</v>
      </c>
      <c r="F343" s="417"/>
      <c r="G343" s="384"/>
      <c r="H343" s="768"/>
      <c r="I343" s="384"/>
      <c r="J343" s="384" t="s">
        <v>4985</v>
      </c>
      <c r="K343" s="657"/>
      <c r="L343" s="658"/>
      <c r="M343" s="384"/>
      <c r="N343" s="384">
        <v>1</v>
      </c>
      <c r="O343" s="384" t="s">
        <v>4992</v>
      </c>
      <c r="P343" s="384" t="s">
        <v>426</v>
      </c>
      <c r="Q343" s="384" t="s">
        <v>187</v>
      </c>
      <c r="R343" s="384"/>
      <c r="S343" s="660"/>
      <c r="T343" s="396"/>
      <c r="U343" s="384"/>
      <c r="V343" s="384"/>
      <c r="W343" s="384"/>
      <c r="X343" s="384"/>
      <c r="Y343" s="442" t="s">
        <v>4448</v>
      </c>
      <c r="Z343" s="442"/>
      <c r="AA343" s="441"/>
      <c r="AB343" s="441"/>
      <c r="AC343" s="441"/>
      <c r="AD343" s="441"/>
      <c r="AE343" s="441"/>
      <c r="AF343" s="441"/>
      <c r="AG343" s="441"/>
      <c r="AH343" s="441"/>
      <c r="AI343" s="441"/>
      <c r="AJ343" s="441"/>
      <c r="AK343" s="395"/>
      <c r="AL343" s="395"/>
      <c r="AM343" s="395">
        <v>0</v>
      </c>
      <c r="AN343" s="395"/>
      <c r="AO343" s="395"/>
      <c r="AP343" s="410"/>
      <c r="AQ343" s="410"/>
    </row>
    <row r="344" spans="2:43" ht="15" customHeight="1">
      <c r="B344" s="394">
        <v>1</v>
      </c>
      <c r="C344" s="395" t="s">
        <v>607</v>
      </c>
      <c r="D344" s="417" t="s">
        <v>4449</v>
      </c>
      <c r="E344" s="662" t="s">
        <v>5136</v>
      </c>
      <c r="F344" s="417"/>
      <c r="G344" s="384"/>
      <c r="H344" s="768"/>
      <c r="I344" s="384"/>
      <c r="J344" s="384" t="s">
        <v>4985</v>
      </c>
      <c r="K344" s="657"/>
      <c r="L344" s="658"/>
      <c r="M344" s="384"/>
      <c r="N344" s="384">
        <v>1</v>
      </c>
      <c r="O344" s="384" t="s">
        <v>4992</v>
      </c>
      <c r="P344" s="384" t="s">
        <v>426</v>
      </c>
      <c r="Q344" s="384" t="s">
        <v>187</v>
      </c>
      <c r="R344" s="384"/>
      <c r="S344" s="660"/>
      <c r="T344" s="396"/>
      <c r="U344" s="384"/>
      <c r="V344" s="384"/>
      <c r="W344" s="384"/>
      <c r="X344" s="384"/>
      <c r="Y344" s="442" t="s">
        <v>4450</v>
      </c>
      <c r="Z344" s="442"/>
      <c r="AA344" s="441"/>
      <c r="AB344" s="441"/>
      <c r="AC344" s="441"/>
      <c r="AD344" s="441"/>
      <c r="AE344" s="441"/>
      <c r="AF344" s="441"/>
      <c r="AG344" s="441"/>
      <c r="AH344" s="441"/>
      <c r="AI344" s="441"/>
      <c r="AJ344" s="441"/>
      <c r="AK344" s="395"/>
      <c r="AL344" s="395"/>
      <c r="AM344" s="395">
        <v>0</v>
      </c>
      <c r="AN344" s="395"/>
      <c r="AO344" s="395"/>
      <c r="AP344" s="410"/>
      <c r="AQ344" s="410"/>
    </row>
    <row r="345" spans="2:43" ht="15" customHeight="1">
      <c r="B345" s="394">
        <v>1</v>
      </c>
      <c r="C345" s="395" t="s">
        <v>607</v>
      </c>
      <c r="D345" s="417" t="s">
        <v>4451</v>
      </c>
      <c r="E345" s="662" t="s">
        <v>5137</v>
      </c>
      <c r="F345" s="417"/>
      <c r="G345" s="384"/>
      <c r="H345" s="768"/>
      <c r="I345" s="384"/>
      <c r="J345" s="384" t="s">
        <v>4985</v>
      </c>
      <c r="K345" s="657"/>
      <c r="L345" s="658"/>
      <c r="M345" s="384"/>
      <c r="N345" s="384">
        <v>1</v>
      </c>
      <c r="O345" s="384" t="s">
        <v>4992</v>
      </c>
      <c r="P345" s="384" t="s">
        <v>426</v>
      </c>
      <c r="Q345" s="384" t="s">
        <v>187</v>
      </c>
      <c r="R345" s="384"/>
      <c r="S345" s="660"/>
      <c r="T345" s="396"/>
      <c r="U345" s="384"/>
      <c r="V345" s="384"/>
      <c r="W345" s="384"/>
      <c r="X345" s="384"/>
      <c r="Y345" s="442" t="s">
        <v>4452</v>
      </c>
      <c r="Z345" s="442"/>
      <c r="AA345" s="441"/>
      <c r="AB345" s="441"/>
      <c r="AC345" s="441"/>
      <c r="AD345" s="441"/>
      <c r="AE345" s="441"/>
      <c r="AF345" s="441"/>
      <c r="AG345" s="441"/>
      <c r="AH345" s="441"/>
      <c r="AI345" s="441"/>
      <c r="AJ345" s="441"/>
      <c r="AK345" s="395"/>
      <c r="AL345" s="395"/>
      <c r="AM345" s="395">
        <v>0</v>
      </c>
      <c r="AN345" s="395"/>
      <c r="AO345" s="395"/>
      <c r="AP345" s="410"/>
      <c r="AQ345" s="410"/>
    </row>
    <row r="346" spans="2:43" ht="15" customHeight="1">
      <c r="B346" s="394">
        <v>1</v>
      </c>
      <c r="C346" s="395" t="s">
        <v>607</v>
      </c>
      <c r="D346" s="417" t="s">
        <v>4453</v>
      </c>
      <c r="E346" s="662" t="s">
        <v>5138</v>
      </c>
      <c r="F346" s="417"/>
      <c r="G346" s="384"/>
      <c r="H346" s="768"/>
      <c r="I346" s="384"/>
      <c r="J346" s="384" t="s">
        <v>4985</v>
      </c>
      <c r="K346" s="657"/>
      <c r="L346" s="658"/>
      <c r="M346" s="384"/>
      <c r="N346" s="384">
        <v>1</v>
      </c>
      <c r="O346" s="384" t="s">
        <v>4992</v>
      </c>
      <c r="P346" s="384" t="s">
        <v>426</v>
      </c>
      <c r="Q346" s="384" t="s">
        <v>187</v>
      </c>
      <c r="R346" s="384"/>
      <c r="S346" s="660"/>
      <c r="T346" s="396"/>
      <c r="U346" s="384"/>
      <c r="V346" s="384"/>
      <c r="W346" s="384"/>
      <c r="X346" s="384"/>
      <c r="Y346" s="442" t="s">
        <v>4454</v>
      </c>
      <c r="Z346" s="442"/>
      <c r="AA346" s="441"/>
      <c r="AB346" s="441"/>
      <c r="AC346" s="441"/>
      <c r="AD346" s="441"/>
      <c r="AE346" s="441"/>
      <c r="AF346" s="441"/>
      <c r="AG346" s="441"/>
      <c r="AH346" s="441"/>
      <c r="AI346" s="441"/>
      <c r="AJ346" s="441"/>
      <c r="AK346" s="395"/>
      <c r="AL346" s="395"/>
      <c r="AM346" s="395">
        <v>0</v>
      </c>
      <c r="AN346" s="395"/>
      <c r="AO346" s="395"/>
      <c r="AP346" s="410"/>
      <c r="AQ346" s="410"/>
    </row>
    <row r="347" spans="2:43" ht="15" customHeight="1">
      <c r="B347" s="394">
        <v>1</v>
      </c>
      <c r="C347" s="395" t="s">
        <v>607</v>
      </c>
      <c r="D347" s="417" t="s">
        <v>4455</v>
      </c>
      <c r="E347" s="662" t="s">
        <v>5139</v>
      </c>
      <c r="F347" s="417"/>
      <c r="G347" s="384"/>
      <c r="H347" s="768"/>
      <c r="I347" s="384"/>
      <c r="J347" s="384" t="s">
        <v>4985</v>
      </c>
      <c r="K347" s="657"/>
      <c r="L347" s="658"/>
      <c r="M347" s="384"/>
      <c r="N347" s="384">
        <v>1</v>
      </c>
      <c r="O347" s="384" t="s">
        <v>4992</v>
      </c>
      <c r="P347" s="384" t="s">
        <v>426</v>
      </c>
      <c r="Q347" s="384" t="s">
        <v>187</v>
      </c>
      <c r="R347" s="384"/>
      <c r="S347" s="660"/>
      <c r="T347" s="396"/>
      <c r="U347" s="384"/>
      <c r="V347" s="384"/>
      <c r="W347" s="384"/>
      <c r="X347" s="384"/>
      <c r="Y347" s="442" t="s">
        <v>4456</v>
      </c>
      <c r="Z347" s="442"/>
      <c r="AA347" s="441"/>
      <c r="AB347" s="441"/>
      <c r="AC347" s="441"/>
      <c r="AD347" s="441"/>
      <c r="AE347" s="441"/>
      <c r="AF347" s="441"/>
      <c r="AG347" s="441"/>
      <c r="AH347" s="441"/>
      <c r="AI347" s="441"/>
      <c r="AJ347" s="441"/>
      <c r="AK347" s="395"/>
      <c r="AL347" s="395"/>
      <c r="AM347" s="395">
        <v>0</v>
      </c>
      <c r="AN347" s="395"/>
      <c r="AO347" s="395"/>
      <c r="AP347" s="410"/>
      <c r="AQ347" s="410"/>
    </row>
    <row r="348" spans="2:43" ht="15" customHeight="1">
      <c r="B348" s="394">
        <v>1</v>
      </c>
      <c r="C348" s="395" t="s">
        <v>607</v>
      </c>
      <c r="D348" s="417" t="s">
        <v>4457</v>
      </c>
      <c r="E348" s="662" t="s">
        <v>5140</v>
      </c>
      <c r="F348" s="417"/>
      <c r="G348" s="384"/>
      <c r="H348" s="768"/>
      <c r="I348" s="384"/>
      <c r="J348" s="384" t="s">
        <v>4985</v>
      </c>
      <c r="K348" s="657"/>
      <c r="L348" s="658"/>
      <c r="M348" s="384"/>
      <c r="N348" s="384">
        <v>1</v>
      </c>
      <c r="O348" s="384" t="s">
        <v>4992</v>
      </c>
      <c r="P348" s="384" t="s">
        <v>426</v>
      </c>
      <c r="Q348" s="384" t="s">
        <v>187</v>
      </c>
      <c r="R348" s="384"/>
      <c r="S348" s="660"/>
      <c r="T348" s="396"/>
      <c r="U348" s="384"/>
      <c r="V348" s="384"/>
      <c r="W348" s="384"/>
      <c r="X348" s="384"/>
      <c r="Y348" s="442" t="s">
        <v>4458</v>
      </c>
      <c r="Z348" s="442"/>
      <c r="AA348" s="441"/>
      <c r="AB348" s="441"/>
      <c r="AC348" s="441"/>
      <c r="AD348" s="441"/>
      <c r="AE348" s="441"/>
      <c r="AF348" s="441"/>
      <c r="AG348" s="441"/>
      <c r="AH348" s="441"/>
      <c r="AI348" s="441"/>
      <c r="AJ348" s="441"/>
      <c r="AK348" s="395"/>
      <c r="AL348" s="395"/>
      <c r="AM348" s="395">
        <v>0</v>
      </c>
      <c r="AN348" s="395"/>
      <c r="AO348" s="395"/>
      <c r="AP348" s="410"/>
      <c r="AQ348" s="410"/>
    </row>
    <row r="349" spans="2:43" ht="15" customHeight="1">
      <c r="B349" s="394">
        <v>1</v>
      </c>
      <c r="C349" s="395" t="s">
        <v>607</v>
      </c>
      <c r="D349" s="417" t="s">
        <v>4459</v>
      </c>
      <c r="E349" s="662" t="s">
        <v>5141</v>
      </c>
      <c r="F349" s="417"/>
      <c r="G349" s="384"/>
      <c r="H349" s="768"/>
      <c r="I349" s="384"/>
      <c r="J349" s="384" t="s">
        <v>4985</v>
      </c>
      <c r="K349" s="657"/>
      <c r="L349" s="658"/>
      <c r="M349" s="384"/>
      <c r="N349" s="384">
        <v>1</v>
      </c>
      <c r="O349" s="384" t="s">
        <v>4992</v>
      </c>
      <c r="P349" s="384" t="s">
        <v>426</v>
      </c>
      <c r="Q349" s="384" t="s">
        <v>187</v>
      </c>
      <c r="R349" s="384"/>
      <c r="S349" s="660"/>
      <c r="T349" s="396"/>
      <c r="U349" s="384"/>
      <c r="V349" s="384"/>
      <c r="W349" s="384"/>
      <c r="X349" s="384"/>
      <c r="Y349" s="442" t="s">
        <v>4460</v>
      </c>
      <c r="Z349" s="442"/>
      <c r="AA349" s="441"/>
      <c r="AB349" s="441"/>
      <c r="AC349" s="441"/>
      <c r="AD349" s="441"/>
      <c r="AE349" s="441"/>
      <c r="AF349" s="441"/>
      <c r="AG349" s="441"/>
      <c r="AH349" s="441"/>
      <c r="AI349" s="441"/>
      <c r="AJ349" s="441"/>
      <c r="AK349" s="395"/>
      <c r="AL349" s="395"/>
      <c r="AM349" s="395">
        <v>0</v>
      </c>
      <c r="AN349" s="395"/>
      <c r="AO349" s="395"/>
      <c r="AP349" s="410"/>
      <c r="AQ349" s="410"/>
    </row>
    <row r="350" spans="2:43" ht="15" customHeight="1">
      <c r="B350" s="394">
        <v>1</v>
      </c>
      <c r="C350" s="395" t="s">
        <v>607</v>
      </c>
      <c r="D350" s="417" t="s">
        <v>4461</v>
      </c>
      <c r="E350" s="662" t="s">
        <v>5142</v>
      </c>
      <c r="F350" s="417"/>
      <c r="G350" s="384"/>
      <c r="H350" s="768"/>
      <c r="I350" s="384"/>
      <c r="J350" s="384" t="s">
        <v>4985</v>
      </c>
      <c r="K350" s="657"/>
      <c r="L350" s="658"/>
      <c r="M350" s="384"/>
      <c r="N350" s="384">
        <v>1</v>
      </c>
      <c r="O350" s="384" t="s">
        <v>4992</v>
      </c>
      <c r="P350" s="384" t="s">
        <v>426</v>
      </c>
      <c r="Q350" s="384" t="s">
        <v>187</v>
      </c>
      <c r="R350" s="384"/>
      <c r="S350" s="660"/>
      <c r="T350" s="396"/>
      <c r="U350" s="384"/>
      <c r="V350" s="384"/>
      <c r="W350" s="384"/>
      <c r="X350" s="384"/>
      <c r="Y350" s="442" t="s">
        <v>4462</v>
      </c>
      <c r="Z350" s="442"/>
      <c r="AA350" s="441"/>
      <c r="AB350" s="441"/>
      <c r="AC350" s="441"/>
      <c r="AD350" s="441"/>
      <c r="AE350" s="441"/>
      <c r="AF350" s="441"/>
      <c r="AG350" s="441"/>
      <c r="AH350" s="441"/>
      <c r="AI350" s="441"/>
      <c r="AJ350" s="441"/>
      <c r="AK350" s="395"/>
      <c r="AL350" s="395"/>
      <c r="AM350" s="395">
        <v>0</v>
      </c>
      <c r="AN350" s="395"/>
      <c r="AO350" s="395"/>
      <c r="AP350" s="410"/>
      <c r="AQ350" s="410"/>
    </row>
    <row r="351" spans="2:43" ht="15" customHeight="1">
      <c r="B351" s="394">
        <v>1</v>
      </c>
      <c r="C351" s="395" t="s">
        <v>607</v>
      </c>
      <c r="D351" s="417" t="s">
        <v>4463</v>
      </c>
      <c r="E351" s="662" t="s">
        <v>5143</v>
      </c>
      <c r="F351" s="417"/>
      <c r="G351" s="384"/>
      <c r="H351" s="768"/>
      <c r="I351" s="384"/>
      <c r="J351" s="384" t="s">
        <v>4985</v>
      </c>
      <c r="K351" s="657"/>
      <c r="L351" s="658"/>
      <c r="M351" s="384"/>
      <c r="N351" s="384">
        <v>1</v>
      </c>
      <c r="O351" s="384" t="s">
        <v>4992</v>
      </c>
      <c r="P351" s="384" t="s">
        <v>426</v>
      </c>
      <c r="Q351" s="384" t="s">
        <v>187</v>
      </c>
      <c r="R351" s="384"/>
      <c r="S351" s="660"/>
      <c r="T351" s="396"/>
      <c r="U351" s="384"/>
      <c r="V351" s="384"/>
      <c r="W351" s="384"/>
      <c r="X351" s="384"/>
      <c r="Y351" s="442" t="s">
        <v>4464</v>
      </c>
      <c r="Z351" s="442"/>
      <c r="AA351" s="441"/>
      <c r="AB351" s="441"/>
      <c r="AC351" s="441"/>
      <c r="AD351" s="441"/>
      <c r="AE351" s="441"/>
      <c r="AF351" s="441"/>
      <c r="AG351" s="441"/>
      <c r="AH351" s="441"/>
      <c r="AI351" s="441"/>
      <c r="AJ351" s="441"/>
      <c r="AK351" s="395"/>
      <c r="AL351" s="395"/>
      <c r="AM351" s="395">
        <v>0</v>
      </c>
      <c r="AN351" s="395"/>
      <c r="AO351" s="395"/>
      <c r="AP351" s="410"/>
      <c r="AQ351" s="410"/>
    </row>
    <row r="352" spans="2:43" ht="15" customHeight="1">
      <c r="B352" s="394">
        <v>1</v>
      </c>
      <c r="C352" s="395" t="s">
        <v>607</v>
      </c>
      <c r="D352" s="417" t="s">
        <v>4465</v>
      </c>
      <c r="E352" s="662" t="s">
        <v>5144</v>
      </c>
      <c r="F352" s="417"/>
      <c r="G352" s="384"/>
      <c r="H352" s="768"/>
      <c r="I352" s="384"/>
      <c r="J352" s="384" t="s">
        <v>4985</v>
      </c>
      <c r="K352" s="657"/>
      <c r="L352" s="658"/>
      <c r="M352" s="384"/>
      <c r="N352" s="384">
        <v>1</v>
      </c>
      <c r="O352" s="384" t="s">
        <v>4992</v>
      </c>
      <c r="P352" s="384" t="s">
        <v>426</v>
      </c>
      <c r="Q352" s="384" t="s">
        <v>187</v>
      </c>
      <c r="R352" s="384"/>
      <c r="S352" s="660"/>
      <c r="T352" s="396"/>
      <c r="U352" s="384"/>
      <c r="V352" s="384"/>
      <c r="W352" s="384"/>
      <c r="X352" s="384"/>
      <c r="Y352" s="442" t="s">
        <v>4466</v>
      </c>
      <c r="Z352" s="442"/>
      <c r="AA352" s="441"/>
      <c r="AB352" s="441"/>
      <c r="AC352" s="441"/>
      <c r="AD352" s="441"/>
      <c r="AE352" s="441"/>
      <c r="AF352" s="441"/>
      <c r="AG352" s="441"/>
      <c r="AH352" s="441"/>
      <c r="AI352" s="441"/>
      <c r="AJ352" s="441"/>
      <c r="AK352" s="395"/>
      <c r="AL352" s="395"/>
      <c r="AM352" s="395">
        <v>0</v>
      </c>
      <c r="AN352" s="395"/>
      <c r="AO352" s="395"/>
      <c r="AP352" s="410"/>
      <c r="AQ352" s="410"/>
    </row>
    <row r="353" spans="2:43" ht="15" customHeight="1">
      <c r="B353" s="394">
        <v>1</v>
      </c>
      <c r="C353" s="395" t="s">
        <v>607</v>
      </c>
      <c r="D353" s="417" t="s">
        <v>4467</v>
      </c>
      <c r="E353" s="662" t="s">
        <v>5145</v>
      </c>
      <c r="F353" s="417"/>
      <c r="G353" s="384"/>
      <c r="H353" s="768"/>
      <c r="I353" s="384"/>
      <c r="J353" s="384" t="s">
        <v>4985</v>
      </c>
      <c r="K353" s="657"/>
      <c r="L353" s="658"/>
      <c r="M353" s="384"/>
      <c r="N353" s="384">
        <v>1</v>
      </c>
      <c r="O353" s="384" t="s">
        <v>4992</v>
      </c>
      <c r="P353" s="384" t="s">
        <v>426</v>
      </c>
      <c r="Q353" s="384" t="s">
        <v>187</v>
      </c>
      <c r="R353" s="384"/>
      <c r="S353" s="660"/>
      <c r="T353" s="396"/>
      <c r="U353" s="384"/>
      <c r="V353" s="384"/>
      <c r="W353" s="384"/>
      <c r="X353" s="384"/>
      <c r="Y353" s="442" t="s">
        <v>4468</v>
      </c>
      <c r="Z353" s="442"/>
      <c r="AA353" s="441"/>
      <c r="AB353" s="441"/>
      <c r="AC353" s="441"/>
      <c r="AD353" s="441"/>
      <c r="AE353" s="441"/>
      <c r="AF353" s="441"/>
      <c r="AG353" s="441"/>
      <c r="AH353" s="441"/>
      <c r="AI353" s="441"/>
      <c r="AJ353" s="441"/>
      <c r="AK353" s="395"/>
      <c r="AL353" s="395"/>
      <c r="AM353" s="395">
        <v>0</v>
      </c>
      <c r="AN353" s="395"/>
      <c r="AO353" s="395"/>
      <c r="AP353" s="410"/>
      <c r="AQ353" s="410"/>
    </row>
    <row r="354" spans="2:43" ht="15" customHeight="1">
      <c r="B354" s="394">
        <v>1</v>
      </c>
      <c r="C354" s="395" t="s">
        <v>607</v>
      </c>
      <c r="D354" s="417" t="s">
        <v>4469</v>
      </c>
      <c r="E354" s="662" t="s">
        <v>5146</v>
      </c>
      <c r="F354" s="417"/>
      <c r="G354" s="384"/>
      <c r="H354" s="768"/>
      <c r="I354" s="384"/>
      <c r="J354" s="384" t="s">
        <v>4985</v>
      </c>
      <c r="K354" s="657"/>
      <c r="L354" s="658"/>
      <c r="M354" s="384"/>
      <c r="N354" s="384">
        <v>1</v>
      </c>
      <c r="O354" s="384" t="s">
        <v>4992</v>
      </c>
      <c r="P354" s="384" t="s">
        <v>426</v>
      </c>
      <c r="Q354" s="384" t="s">
        <v>187</v>
      </c>
      <c r="R354" s="384"/>
      <c r="S354" s="660"/>
      <c r="T354" s="396"/>
      <c r="U354" s="384"/>
      <c r="V354" s="384"/>
      <c r="W354" s="384"/>
      <c r="X354" s="384"/>
      <c r="Y354" s="442" t="s">
        <v>4470</v>
      </c>
      <c r="Z354" s="442"/>
      <c r="AA354" s="441"/>
      <c r="AB354" s="441"/>
      <c r="AC354" s="441"/>
      <c r="AD354" s="441"/>
      <c r="AE354" s="441"/>
      <c r="AF354" s="441"/>
      <c r="AG354" s="441"/>
      <c r="AH354" s="441"/>
      <c r="AI354" s="441"/>
      <c r="AJ354" s="441"/>
      <c r="AK354" s="395"/>
      <c r="AL354" s="395"/>
      <c r="AM354" s="395">
        <v>0</v>
      </c>
      <c r="AN354" s="395"/>
      <c r="AO354" s="395"/>
      <c r="AP354" s="410"/>
      <c r="AQ354" s="410"/>
    </row>
    <row r="355" spans="2:43" ht="15" customHeight="1">
      <c r="B355" s="394">
        <v>1</v>
      </c>
      <c r="C355" s="395" t="s">
        <v>607</v>
      </c>
      <c r="D355" s="417" t="s">
        <v>4471</v>
      </c>
      <c r="E355" s="662" t="s">
        <v>5147</v>
      </c>
      <c r="F355" s="417"/>
      <c r="G355" s="384"/>
      <c r="H355" s="768"/>
      <c r="I355" s="384"/>
      <c r="J355" s="384" t="s">
        <v>4985</v>
      </c>
      <c r="K355" s="657"/>
      <c r="L355" s="658"/>
      <c r="M355" s="384"/>
      <c r="N355" s="384">
        <v>1</v>
      </c>
      <c r="O355" s="384" t="s">
        <v>4992</v>
      </c>
      <c r="P355" s="384" t="s">
        <v>426</v>
      </c>
      <c r="Q355" s="384" t="s">
        <v>187</v>
      </c>
      <c r="R355" s="384"/>
      <c r="S355" s="660"/>
      <c r="T355" s="396"/>
      <c r="U355" s="384"/>
      <c r="V355" s="384"/>
      <c r="W355" s="384"/>
      <c r="X355" s="384"/>
      <c r="Y355" s="442" t="s">
        <v>4472</v>
      </c>
      <c r="Z355" s="442"/>
      <c r="AA355" s="441"/>
      <c r="AB355" s="441"/>
      <c r="AC355" s="441"/>
      <c r="AD355" s="441"/>
      <c r="AE355" s="441"/>
      <c r="AF355" s="441"/>
      <c r="AG355" s="441"/>
      <c r="AH355" s="441"/>
      <c r="AI355" s="441"/>
      <c r="AJ355" s="441"/>
      <c r="AK355" s="395"/>
      <c r="AL355" s="395"/>
      <c r="AM355" s="395">
        <v>0</v>
      </c>
      <c r="AN355" s="395"/>
      <c r="AO355" s="395"/>
      <c r="AP355" s="410"/>
      <c r="AQ355" s="410"/>
    </row>
    <row r="356" spans="2:43" ht="15" customHeight="1">
      <c r="B356" s="394">
        <v>1</v>
      </c>
      <c r="C356" s="395" t="s">
        <v>607</v>
      </c>
      <c r="D356" s="417" t="s">
        <v>4473</v>
      </c>
      <c r="E356" s="662" t="s">
        <v>5148</v>
      </c>
      <c r="F356" s="417"/>
      <c r="G356" s="384"/>
      <c r="H356" s="768"/>
      <c r="I356" s="384"/>
      <c r="J356" s="384" t="s">
        <v>4985</v>
      </c>
      <c r="K356" s="657"/>
      <c r="L356" s="658"/>
      <c r="M356" s="384"/>
      <c r="N356" s="384">
        <v>1</v>
      </c>
      <c r="O356" s="384" t="s">
        <v>4992</v>
      </c>
      <c r="P356" s="384" t="s">
        <v>426</v>
      </c>
      <c r="Q356" s="384" t="s">
        <v>187</v>
      </c>
      <c r="R356" s="384"/>
      <c r="S356" s="660"/>
      <c r="T356" s="396"/>
      <c r="U356" s="384"/>
      <c r="V356" s="384"/>
      <c r="W356" s="384"/>
      <c r="X356" s="384"/>
      <c r="Y356" s="442" t="s">
        <v>4474</v>
      </c>
      <c r="Z356" s="442"/>
      <c r="AA356" s="441"/>
      <c r="AB356" s="441"/>
      <c r="AC356" s="441"/>
      <c r="AD356" s="441"/>
      <c r="AE356" s="441"/>
      <c r="AF356" s="441"/>
      <c r="AG356" s="441"/>
      <c r="AH356" s="441"/>
      <c r="AI356" s="441"/>
      <c r="AJ356" s="441"/>
      <c r="AK356" s="395"/>
      <c r="AL356" s="395"/>
      <c r="AM356" s="395">
        <v>0</v>
      </c>
      <c r="AN356" s="395"/>
      <c r="AO356" s="395"/>
      <c r="AP356" s="410"/>
      <c r="AQ356" s="410"/>
    </row>
    <row r="357" spans="2:43" ht="15" customHeight="1">
      <c r="B357" s="394">
        <v>1</v>
      </c>
      <c r="C357" s="395" t="s">
        <v>607</v>
      </c>
      <c r="D357" s="417" t="s">
        <v>4475</v>
      </c>
      <c r="E357" s="662" t="s">
        <v>5015</v>
      </c>
      <c r="F357" s="417"/>
      <c r="G357" s="384"/>
      <c r="H357" s="768"/>
      <c r="I357" s="384"/>
      <c r="J357" s="384" t="s">
        <v>4985</v>
      </c>
      <c r="K357" s="657"/>
      <c r="L357" s="658"/>
      <c r="M357" s="384"/>
      <c r="N357" s="384">
        <v>4</v>
      </c>
      <c r="O357" s="384" t="s">
        <v>4992</v>
      </c>
      <c r="P357" s="384" t="s">
        <v>426</v>
      </c>
      <c r="Q357" s="384" t="s">
        <v>187</v>
      </c>
      <c r="R357" s="384"/>
      <c r="S357" s="660"/>
      <c r="T357" s="396"/>
      <c r="U357" s="384"/>
      <c r="V357" s="384"/>
      <c r="W357" s="384"/>
      <c r="X357" s="384"/>
      <c r="Y357" s="442" t="s">
        <v>4476</v>
      </c>
      <c r="Z357" s="442"/>
      <c r="AA357" s="441"/>
      <c r="AB357" s="441"/>
      <c r="AC357" s="441"/>
      <c r="AD357" s="441"/>
      <c r="AE357" s="441"/>
      <c r="AF357" s="441"/>
      <c r="AG357" s="441"/>
      <c r="AH357" s="441"/>
      <c r="AI357" s="441"/>
      <c r="AJ357" s="441"/>
      <c r="AK357" s="395"/>
      <c r="AL357" s="395"/>
      <c r="AM357" s="395">
        <v>0</v>
      </c>
      <c r="AN357" s="395"/>
      <c r="AO357" s="395"/>
      <c r="AP357" s="410"/>
      <c r="AQ357" s="410"/>
    </row>
    <row r="358" spans="2:43" ht="15" customHeight="1">
      <c r="B358" s="394">
        <v>1</v>
      </c>
      <c r="C358" s="395" t="s">
        <v>607</v>
      </c>
      <c r="D358" s="417" t="s">
        <v>4477</v>
      </c>
      <c r="E358" s="662" t="s">
        <v>5016</v>
      </c>
      <c r="F358" s="417"/>
      <c r="G358" s="384"/>
      <c r="H358" s="768"/>
      <c r="I358" s="384"/>
      <c r="J358" s="384" t="s">
        <v>4985</v>
      </c>
      <c r="K358" s="657"/>
      <c r="L358" s="658"/>
      <c r="M358" s="384"/>
      <c r="N358" s="384">
        <v>3</v>
      </c>
      <c r="O358" s="384" t="s">
        <v>4992</v>
      </c>
      <c r="P358" s="384" t="s">
        <v>426</v>
      </c>
      <c r="Q358" s="384" t="s">
        <v>187</v>
      </c>
      <c r="R358" s="384"/>
      <c r="S358" s="660"/>
      <c r="T358" s="396"/>
      <c r="U358" s="384"/>
      <c r="V358" s="384"/>
      <c r="W358" s="384"/>
      <c r="X358" s="384"/>
      <c r="Y358" s="442" t="s">
        <v>4478</v>
      </c>
      <c r="Z358" s="442"/>
      <c r="AA358" s="441"/>
      <c r="AB358" s="441"/>
      <c r="AC358" s="441"/>
      <c r="AD358" s="441"/>
      <c r="AE358" s="441"/>
      <c r="AF358" s="441"/>
      <c r="AG358" s="441"/>
      <c r="AH358" s="441"/>
      <c r="AI358" s="441"/>
      <c r="AJ358" s="441"/>
      <c r="AK358" s="395"/>
      <c r="AL358" s="395"/>
      <c r="AM358" s="395">
        <v>0</v>
      </c>
      <c r="AN358" s="395"/>
      <c r="AO358" s="395"/>
      <c r="AP358" s="410"/>
      <c r="AQ358" s="410"/>
    </row>
    <row r="359" spans="2:43" ht="15" customHeight="1">
      <c r="B359" s="394">
        <v>1</v>
      </c>
      <c r="C359" s="395" t="s">
        <v>607</v>
      </c>
      <c r="D359" s="417" t="s">
        <v>4479</v>
      </c>
      <c r="E359" s="662" t="s">
        <v>5149</v>
      </c>
      <c r="F359" s="417"/>
      <c r="G359" s="384"/>
      <c r="H359" s="768"/>
      <c r="I359" s="384"/>
      <c r="J359" s="384" t="s">
        <v>4985</v>
      </c>
      <c r="K359" s="657"/>
      <c r="L359" s="658"/>
      <c r="M359" s="384"/>
      <c r="N359" s="384">
        <v>3</v>
      </c>
      <c r="O359" s="384" t="s">
        <v>4992</v>
      </c>
      <c r="P359" s="384" t="s">
        <v>426</v>
      </c>
      <c r="Q359" s="384" t="s">
        <v>187</v>
      </c>
      <c r="R359" s="384"/>
      <c r="S359" s="660"/>
      <c r="T359" s="396"/>
      <c r="U359" s="384"/>
      <c r="V359" s="384"/>
      <c r="W359" s="384"/>
      <c r="X359" s="384"/>
      <c r="Y359" s="442" t="s">
        <v>4480</v>
      </c>
      <c r="Z359" s="442"/>
      <c r="AA359" s="441"/>
      <c r="AB359" s="441"/>
      <c r="AC359" s="441"/>
      <c r="AD359" s="441"/>
      <c r="AE359" s="441"/>
      <c r="AF359" s="441"/>
      <c r="AG359" s="441"/>
      <c r="AH359" s="441"/>
      <c r="AI359" s="441"/>
      <c r="AJ359" s="441"/>
      <c r="AK359" s="395"/>
      <c r="AL359" s="395"/>
      <c r="AM359" s="395">
        <v>0</v>
      </c>
      <c r="AN359" s="395"/>
      <c r="AO359" s="395"/>
      <c r="AP359" s="410"/>
      <c r="AQ359" s="410"/>
    </row>
    <row r="360" spans="2:43" ht="15" customHeight="1">
      <c r="B360" s="394">
        <v>1</v>
      </c>
      <c r="C360" s="395" t="s">
        <v>607</v>
      </c>
      <c r="D360" s="417" t="s">
        <v>4481</v>
      </c>
      <c r="E360" s="662" t="s">
        <v>5150</v>
      </c>
      <c r="F360" s="417"/>
      <c r="G360" s="384"/>
      <c r="H360" s="768"/>
      <c r="I360" s="384"/>
      <c r="J360" s="384" t="s">
        <v>4985</v>
      </c>
      <c r="K360" s="657"/>
      <c r="L360" s="658"/>
      <c r="M360" s="384"/>
      <c r="N360" s="384">
        <v>3</v>
      </c>
      <c r="O360" s="384" t="s">
        <v>4992</v>
      </c>
      <c r="P360" s="384" t="s">
        <v>426</v>
      </c>
      <c r="Q360" s="384" t="s">
        <v>187</v>
      </c>
      <c r="R360" s="384"/>
      <c r="S360" s="660"/>
      <c r="T360" s="396"/>
      <c r="U360" s="384"/>
      <c r="V360" s="384"/>
      <c r="W360" s="384"/>
      <c r="X360" s="384"/>
      <c r="Y360" s="442" t="s">
        <v>4482</v>
      </c>
      <c r="Z360" s="442"/>
      <c r="AA360" s="441"/>
      <c r="AB360" s="441"/>
      <c r="AC360" s="441"/>
      <c r="AD360" s="441"/>
      <c r="AE360" s="441"/>
      <c r="AF360" s="441"/>
      <c r="AG360" s="441"/>
      <c r="AH360" s="441"/>
      <c r="AI360" s="441"/>
      <c r="AJ360" s="441"/>
      <c r="AK360" s="395"/>
      <c r="AL360" s="395"/>
      <c r="AM360" s="395">
        <v>0</v>
      </c>
      <c r="AN360" s="395"/>
      <c r="AO360" s="395"/>
      <c r="AP360" s="410"/>
      <c r="AQ360" s="410"/>
    </row>
    <row r="361" spans="2:43" ht="15" customHeight="1">
      <c r="B361" s="394">
        <v>1</v>
      </c>
      <c r="C361" s="395" t="s">
        <v>607</v>
      </c>
      <c r="D361" s="417" t="s">
        <v>4483</v>
      </c>
      <c r="E361" s="662" t="s">
        <v>5017</v>
      </c>
      <c r="F361" s="417"/>
      <c r="G361" s="384"/>
      <c r="H361" s="768"/>
      <c r="I361" s="384"/>
      <c r="J361" s="384" t="s">
        <v>4985</v>
      </c>
      <c r="K361" s="657"/>
      <c r="L361" s="658"/>
      <c r="M361" s="384"/>
      <c r="N361" s="384">
        <v>3</v>
      </c>
      <c r="O361" s="384" t="s">
        <v>4992</v>
      </c>
      <c r="P361" s="384" t="s">
        <v>426</v>
      </c>
      <c r="Q361" s="384" t="s">
        <v>187</v>
      </c>
      <c r="R361" s="384"/>
      <c r="S361" s="660"/>
      <c r="T361" s="396"/>
      <c r="U361" s="384"/>
      <c r="V361" s="384"/>
      <c r="W361" s="384"/>
      <c r="X361" s="384"/>
      <c r="Y361" s="442" t="s">
        <v>4484</v>
      </c>
      <c r="Z361" s="442"/>
      <c r="AA361" s="441"/>
      <c r="AB361" s="441"/>
      <c r="AC361" s="441"/>
      <c r="AD361" s="441"/>
      <c r="AE361" s="441"/>
      <c r="AF361" s="441"/>
      <c r="AG361" s="441"/>
      <c r="AH361" s="441"/>
      <c r="AI361" s="441"/>
      <c r="AJ361" s="441"/>
      <c r="AK361" s="395"/>
      <c r="AL361" s="395"/>
      <c r="AM361" s="395">
        <v>0</v>
      </c>
      <c r="AN361" s="395"/>
      <c r="AO361" s="395"/>
      <c r="AP361" s="410"/>
      <c r="AQ361" s="410"/>
    </row>
    <row r="362" spans="2:43" ht="15" customHeight="1">
      <c r="B362" s="394">
        <v>1</v>
      </c>
      <c r="C362" s="395" t="s">
        <v>607</v>
      </c>
      <c r="D362" s="417" t="s">
        <v>4485</v>
      </c>
      <c r="E362" s="662" t="s">
        <v>5018</v>
      </c>
      <c r="F362" s="417"/>
      <c r="G362" s="384"/>
      <c r="H362" s="768"/>
      <c r="I362" s="384"/>
      <c r="J362" s="384" t="s">
        <v>4985</v>
      </c>
      <c r="K362" s="657"/>
      <c r="L362" s="658"/>
      <c r="M362" s="384"/>
      <c r="N362" s="384">
        <v>3</v>
      </c>
      <c r="O362" s="384" t="s">
        <v>4992</v>
      </c>
      <c r="P362" s="384" t="s">
        <v>426</v>
      </c>
      <c r="Q362" s="384" t="s">
        <v>187</v>
      </c>
      <c r="R362" s="384"/>
      <c r="S362" s="660"/>
      <c r="T362" s="396"/>
      <c r="U362" s="384"/>
      <c r="V362" s="384"/>
      <c r="W362" s="384"/>
      <c r="X362" s="384"/>
      <c r="Y362" s="442" t="s">
        <v>4486</v>
      </c>
      <c r="Z362" s="442"/>
      <c r="AA362" s="441"/>
      <c r="AB362" s="441"/>
      <c r="AC362" s="441"/>
      <c r="AD362" s="441"/>
      <c r="AE362" s="441"/>
      <c r="AF362" s="441"/>
      <c r="AG362" s="441"/>
      <c r="AH362" s="441"/>
      <c r="AI362" s="441"/>
      <c r="AJ362" s="441"/>
      <c r="AK362" s="395"/>
      <c r="AL362" s="395"/>
      <c r="AM362" s="395">
        <v>0</v>
      </c>
      <c r="AN362" s="395"/>
      <c r="AO362" s="395"/>
      <c r="AP362" s="410"/>
      <c r="AQ362" s="410"/>
    </row>
    <row r="363" spans="2:43" ht="15" customHeight="1">
      <c r="B363" s="394">
        <v>1</v>
      </c>
      <c r="C363" s="395" t="s">
        <v>607</v>
      </c>
      <c r="D363" s="417" t="s">
        <v>4487</v>
      </c>
      <c r="E363" s="662" t="s">
        <v>5019</v>
      </c>
      <c r="F363" s="417"/>
      <c r="G363" s="384"/>
      <c r="H363" s="768"/>
      <c r="I363" s="384"/>
      <c r="J363" s="384" t="s">
        <v>4985</v>
      </c>
      <c r="K363" s="657"/>
      <c r="L363" s="658"/>
      <c r="M363" s="384"/>
      <c r="N363" s="384">
        <v>3</v>
      </c>
      <c r="O363" s="384" t="s">
        <v>4992</v>
      </c>
      <c r="P363" s="384" t="s">
        <v>426</v>
      </c>
      <c r="Q363" s="384" t="s">
        <v>187</v>
      </c>
      <c r="R363" s="384"/>
      <c r="S363" s="660"/>
      <c r="T363" s="396"/>
      <c r="U363" s="384"/>
      <c r="V363" s="384"/>
      <c r="W363" s="384"/>
      <c r="X363" s="384"/>
      <c r="Y363" s="442" t="s">
        <v>4488</v>
      </c>
      <c r="Z363" s="442"/>
      <c r="AA363" s="441"/>
      <c r="AB363" s="441"/>
      <c r="AC363" s="441"/>
      <c r="AD363" s="441"/>
      <c r="AE363" s="441"/>
      <c r="AF363" s="441"/>
      <c r="AG363" s="441"/>
      <c r="AH363" s="441"/>
      <c r="AI363" s="441"/>
      <c r="AJ363" s="441"/>
      <c r="AK363" s="395"/>
      <c r="AL363" s="395"/>
      <c r="AM363" s="395">
        <v>0</v>
      </c>
      <c r="AN363" s="395"/>
      <c r="AO363" s="395"/>
      <c r="AP363" s="410"/>
      <c r="AQ363" s="410"/>
    </row>
    <row r="364" spans="2:43" ht="15" customHeight="1">
      <c r="B364" s="394">
        <v>1</v>
      </c>
      <c r="C364" s="395" t="s">
        <v>607</v>
      </c>
      <c r="D364" s="417" t="s">
        <v>4489</v>
      </c>
      <c r="E364" s="662" t="s">
        <v>5151</v>
      </c>
      <c r="F364" s="417"/>
      <c r="G364" s="384"/>
      <c r="H364" s="768"/>
      <c r="I364" s="384"/>
      <c r="J364" s="384" t="s">
        <v>4985</v>
      </c>
      <c r="K364" s="657"/>
      <c r="L364" s="658"/>
      <c r="M364" s="384"/>
      <c r="N364" s="384">
        <v>3</v>
      </c>
      <c r="O364" s="384" t="s">
        <v>4992</v>
      </c>
      <c r="P364" s="384" t="s">
        <v>426</v>
      </c>
      <c r="Q364" s="384" t="s">
        <v>187</v>
      </c>
      <c r="R364" s="384"/>
      <c r="S364" s="660"/>
      <c r="T364" s="396"/>
      <c r="U364" s="384"/>
      <c r="V364" s="384"/>
      <c r="W364" s="384"/>
      <c r="X364" s="384"/>
      <c r="Y364" s="442" t="s">
        <v>4490</v>
      </c>
      <c r="Z364" s="442"/>
      <c r="AA364" s="441"/>
      <c r="AB364" s="441"/>
      <c r="AC364" s="441"/>
      <c r="AD364" s="441"/>
      <c r="AE364" s="441"/>
      <c r="AF364" s="441"/>
      <c r="AG364" s="441"/>
      <c r="AH364" s="441"/>
      <c r="AI364" s="441"/>
      <c r="AJ364" s="441"/>
      <c r="AK364" s="395"/>
      <c r="AL364" s="395"/>
      <c r="AM364" s="395">
        <v>0</v>
      </c>
      <c r="AN364" s="395"/>
      <c r="AO364" s="395"/>
      <c r="AP364" s="410"/>
      <c r="AQ364" s="410"/>
    </row>
    <row r="365" spans="2:43" ht="15" customHeight="1">
      <c r="B365" s="394">
        <v>1</v>
      </c>
      <c r="C365" s="395" t="s">
        <v>609</v>
      </c>
      <c r="D365" s="417" t="s">
        <v>4491</v>
      </c>
      <c r="E365" s="662" t="s">
        <v>4492</v>
      </c>
      <c r="F365" s="417"/>
      <c r="G365" s="384"/>
      <c r="H365" s="768"/>
      <c r="I365" s="384"/>
      <c r="J365" s="384" t="s">
        <v>4985</v>
      </c>
      <c r="K365" s="657" t="s">
        <v>447</v>
      </c>
      <c r="L365" s="658" t="s">
        <v>446</v>
      </c>
      <c r="M365" s="384"/>
      <c r="N365" s="384" t="s">
        <v>4332</v>
      </c>
      <c r="O365" s="384" t="s">
        <v>293</v>
      </c>
      <c r="P365" s="384"/>
      <c r="Q365" s="384"/>
      <c r="R365" s="384"/>
      <c r="S365" s="660"/>
      <c r="T365" s="396"/>
      <c r="U365" s="384"/>
      <c r="V365" s="384"/>
      <c r="W365" s="384"/>
      <c r="X365" s="384"/>
      <c r="Y365" s="442" t="s">
        <v>3098</v>
      </c>
      <c r="Z365" s="442"/>
      <c r="AA365" s="441"/>
      <c r="AB365" s="441"/>
      <c r="AC365" s="441"/>
      <c r="AD365" s="441"/>
      <c r="AE365" s="441"/>
      <c r="AF365" s="441"/>
      <c r="AG365" s="441"/>
      <c r="AH365" s="441"/>
      <c r="AI365" s="441"/>
      <c r="AJ365" s="441"/>
      <c r="AK365" s="395">
        <v>0</v>
      </c>
      <c r="AL365" s="395"/>
      <c r="AM365" s="395">
        <v>0</v>
      </c>
      <c r="AN365" s="395">
        <v>100</v>
      </c>
      <c r="AO365" s="395"/>
      <c r="AP365" s="410">
        <v>10</v>
      </c>
      <c r="AQ365" s="410">
        <v>20</v>
      </c>
    </row>
    <row r="366" spans="2:43" ht="15" customHeight="1">
      <c r="B366" s="394">
        <v>1</v>
      </c>
      <c r="C366" s="395" t="s">
        <v>609</v>
      </c>
      <c r="D366" s="417" t="s">
        <v>4493</v>
      </c>
      <c r="E366" s="662" t="s">
        <v>4494</v>
      </c>
      <c r="F366" s="417"/>
      <c r="G366" s="384"/>
      <c r="H366" s="768"/>
      <c r="I366" s="384"/>
      <c r="J366" s="384" t="s">
        <v>4985</v>
      </c>
      <c r="K366" s="657" t="s">
        <v>447</v>
      </c>
      <c r="L366" s="658" t="s">
        <v>446</v>
      </c>
      <c r="M366" s="384"/>
      <c r="N366" s="384" t="s">
        <v>4332</v>
      </c>
      <c r="O366" s="384" t="s">
        <v>293</v>
      </c>
      <c r="P366" s="384"/>
      <c r="Q366" s="384"/>
      <c r="R366" s="384"/>
      <c r="S366" s="660"/>
      <c r="T366" s="396"/>
      <c r="U366" s="384"/>
      <c r="V366" s="384"/>
      <c r="W366" s="384"/>
      <c r="X366" s="384"/>
      <c r="Y366" s="442" t="s">
        <v>1241</v>
      </c>
      <c r="Z366" s="442"/>
      <c r="AA366" s="441"/>
      <c r="AB366" s="441"/>
      <c r="AC366" s="441"/>
      <c r="AD366" s="441"/>
      <c r="AE366" s="441"/>
      <c r="AF366" s="441"/>
      <c r="AG366" s="441"/>
      <c r="AH366" s="441"/>
      <c r="AI366" s="441"/>
      <c r="AJ366" s="441"/>
      <c r="AK366" s="395">
        <v>0</v>
      </c>
      <c r="AL366" s="395"/>
      <c r="AM366" s="395">
        <v>0</v>
      </c>
      <c r="AN366" s="395">
        <v>100</v>
      </c>
      <c r="AO366" s="395"/>
      <c r="AP366" s="410">
        <v>10</v>
      </c>
      <c r="AQ366" s="410">
        <v>20</v>
      </c>
    </row>
    <row r="367" spans="2:43" ht="15" customHeight="1">
      <c r="B367" s="394">
        <v>1</v>
      </c>
      <c r="C367" s="395" t="s">
        <v>609</v>
      </c>
      <c r="D367" s="417" t="s">
        <v>4495</v>
      </c>
      <c r="E367" s="662" t="s">
        <v>4496</v>
      </c>
      <c r="F367" s="417"/>
      <c r="G367" s="384"/>
      <c r="H367" s="768"/>
      <c r="I367" s="384"/>
      <c r="J367" s="384" t="s">
        <v>4985</v>
      </c>
      <c r="K367" s="657" t="s">
        <v>447</v>
      </c>
      <c r="L367" s="658" t="s">
        <v>446</v>
      </c>
      <c r="M367" s="384"/>
      <c r="N367" s="384" t="s">
        <v>4332</v>
      </c>
      <c r="O367" s="384" t="s">
        <v>293</v>
      </c>
      <c r="P367" s="384"/>
      <c r="Q367" s="384"/>
      <c r="R367" s="384"/>
      <c r="S367" s="660"/>
      <c r="T367" s="396"/>
      <c r="U367" s="384"/>
      <c r="V367" s="384"/>
      <c r="W367" s="384"/>
      <c r="X367" s="384"/>
      <c r="Y367" s="442" t="s">
        <v>1242</v>
      </c>
      <c r="Z367" s="442"/>
      <c r="AA367" s="441"/>
      <c r="AB367" s="441"/>
      <c r="AC367" s="441"/>
      <c r="AD367" s="441"/>
      <c r="AE367" s="441"/>
      <c r="AF367" s="441"/>
      <c r="AG367" s="441"/>
      <c r="AH367" s="441"/>
      <c r="AI367" s="441"/>
      <c r="AJ367" s="441"/>
      <c r="AK367" s="395">
        <v>0</v>
      </c>
      <c r="AL367" s="395"/>
      <c r="AM367" s="395">
        <v>0</v>
      </c>
      <c r="AN367" s="395">
        <v>100</v>
      </c>
      <c r="AO367" s="395"/>
      <c r="AP367" s="410">
        <v>10</v>
      </c>
      <c r="AQ367" s="410">
        <v>20</v>
      </c>
    </row>
    <row r="368" spans="2:43" ht="15" customHeight="1">
      <c r="B368" s="394">
        <v>1</v>
      </c>
      <c r="C368" s="395" t="s">
        <v>609</v>
      </c>
      <c r="D368" s="417" t="s">
        <v>4497</v>
      </c>
      <c r="E368" s="662" t="s">
        <v>4498</v>
      </c>
      <c r="F368" s="417"/>
      <c r="G368" s="384"/>
      <c r="H368" s="768"/>
      <c r="I368" s="384"/>
      <c r="J368" s="384" t="s">
        <v>4985</v>
      </c>
      <c r="K368" s="657" t="s">
        <v>447</v>
      </c>
      <c r="L368" s="658" t="s">
        <v>446</v>
      </c>
      <c r="M368" s="384"/>
      <c r="N368" s="384" t="s">
        <v>4332</v>
      </c>
      <c r="O368" s="384" t="s">
        <v>293</v>
      </c>
      <c r="P368" s="384"/>
      <c r="Q368" s="384"/>
      <c r="R368" s="384"/>
      <c r="S368" s="660"/>
      <c r="T368" s="396"/>
      <c r="U368" s="384"/>
      <c r="V368" s="384"/>
      <c r="W368" s="384"/>
      <c r="X368" s="384"/>
      <c r="Y368" s="442" t="s">
        <v>2924</v>
      </c>
      <c r="Z368" s="442"/>
      <c r="AA368" s="441"/>
      <c r="AB368" s="441"/>
      <c r="AC368" s="441"/>
      <c r="AD368" s="441"/>
      <c r="AE368" s="441"/>
      <c r="AF368" s="441"/>
      <c r="AG368" s="441"/>
      <c r="AH368" s="441"/>
      <c r="AI368" s="441"/>
      <c r="AJ368" s="441"/>
      <c r="AK368" s="395">
        <v>0</v>
      </c>
      <c r="AL368" s="395"/>
      <c r="AM368" s="395">
        <v>0</v>
      </c>
      <c r="AN368" s="395">
        <v>100</v>
      </c>
      <c r="AO368" s="395"/>
      <c r="AP368" s="410">
        <v>10</v>
      </c>
      <c r="AQ368" s="410">
        <v>20</v>
      </c>
    </row>
    <row r="369" spans="2:43" ht="15" customHeight="1">
      <c r="B369" s="394">
        <v>1</v>
      </c>
      <c r="C369" s="395" t="s">
        <v>609</v>
      </c>
      <c r="D369" s="417" t="s">
        <v>4499</v>
      </c>
      <c r="E369" s="662" t="s">
        <v>4500</v>
      </c>
      <c r="F369" s="417"/>
      <c r="G369" s="384"/>
      <c r="H369" s="768"/>
      <c r="I369" s="384"/>
      <c r="J369" s="384" t="s">
        <v>4985</v>
      </c>
      <c r="K369" s="657" t="s">
        <v>447</v>
      </c>
      <c r="L369" s="658" t="s">
        <v>446</v>
      </c>
      <c r="M369" s="384"/>
      <c r="N369" s="384" t="s">
        <v>4332</v>
      </c>
      <c r="O369" s="384" t="s">
        <v>293</v>
      </c>
      <c r="P369" s="384"/>
      <c r="Q369" s="384"/>
      <c r="R369" s="384"/>
      <c r="S369" s="660"/>
      <c r="T369" s="396"/>
      <c r="U369" s="384"/>
      <c r="V369" s="384"/>
      <c r="W369" s="384"/>
      <c r="X369" s="384"/>
      <c r="Y369" s="442" t="s">
        <v>1214</v>
      </c>
      <c r="Z369" s="442"/>
      <c r="AA369" s="441"/>
      <c r="AB369" s="441"/>
      <c r="AC369" s="441"/>
      <c r="AD369" s="441"/>
      <c r="AE369" s="441"/>
      <c r="AF369" s="441"/>
      <c r="AG369" s="441"/>
      <c r="AH369" s="441"/>
      <c r="AI369" s="441"/>
      <c r="AJ369" s="441"/>
      <c r="AK369" s="395">
        <v>0</v>
      </c>
      <c r="AL369" s="395"/>
      <c r="AM369" s="395">
        <v>0</v>
      </c>
      <c r="AN369" s="395">
        <v>100</v>
      </c>
      <c r="AO369" s="395"/>
      <c r="AP369" s="410">
        <v>10</v>
      </c>
      <c r="AQ369" s="410">
        <v>20</v>
      </c>
    </row>
    <row r="370" spans="2:43" ht="15" customHeight="1">
      <c r="B370" s="394">
        <v>1</v>
      </c>
      <c r="C370" s="395" t="s">
        <v>609</v>
      </c>
      <c r="D370" s="417" t="s">
        <v>4501</v>
      </c>
      <c r="E370" s="662" t="s">
        <v>4502</v>
      </c>
      <c r="F370" s="417"/>
      <c r="G370" s="384"/>
      <c r="H370" s="768"/>
      <c r="I370" s="384"/>
      <c r="J370" s="384" t="s">
        <v>4985</v>
      </c>
      <c r="K370" s="657" t="s">
        <v>447</v>
      </c>
      <c r="L370" s="658" t="s">
        <v>446</v>
      </c>
      <c r="M370" s="384"/>
      <c r="N370" s="384" t="s">
        <v>4332</v>
      </c>
      <c r="O370" s="384" t="s">
        <v>293</v>
      </c>
      <c r="P370" s="384"/>
      <c r="Q370" s="384"/>
      <c r="R370" s="384"/>
      <c r="S370" s="660"/>
      <c r="T370" s="396"/>
      <c r="U370" s="384"/>
      <c r="V370" s="384"/>
      <c r="W370" s="384"/>
      <c r="X370" s="384"/>
      <c r="Y370" s="442" t="s">
        <v>1335</v>
      </c>
      <c r="Z370" s="442"/>
      <c r="AA370" s="441"/>
      <c r="AB370" s="441"/>
      <c r="AC370" s="441"/>
      <c r="AD370" s="441"/>
      <c r="AE370" s="441"/>
      <c r="AF370" s="441"/>
      <c r="AG370" s="441"/>
      <c r="AH370" s="441"/>
      <c r="AI370" s="441"/>
      <c r="AJ370" s="441"/>
      <c r="AK370" s="395">
        <v>0</v>
      </c>
      <c r="AL370" s="395"/>
      <c r="AM370" s="395">
        <v>0</v>
      </c>
      <c r="AN370" s="395">
        <v>100</v>
      </c>
      <c r="AO370" s="395"/>
      <c r="AP370" s="410">
        <v>10</v>
      </c>
      <c r="AQ370" s="410">
        <v>20</v>
      </c>
    </row>
    <row r="371" spans="2:43" ht="15" customHeight="1">
      <c r="B371" s="394">
        <v>1</v>
      </c>
      <c r="C371" s="395" t="s">
        <v>608</v>
      </c>
      <c r="D371" s="417" t="s">
        <v>4503</v>
      </c>
      <c r="E371" s="662" t="s">
        <v>5152</v>
      </c>
      <c r="F371" s="417"/>
      <c r="G371" s="384"/>
      <c r="H371" s="768"/>
      <c r="I371" s="384"/>
      <c r="J371" s="384" t="s">
        <v>4985</v>
      </c>
      <c r="K371" s="657"/>
      <c r="L371" s="658"/>
      <c r="M371" s="384"/>
      <c r="N371" s="384" t="s">
        <v>54</v>
      </c>
      <c r="O371" s="384"/>
      <c r="P371" s="384" t="s">
        <v>231</v>
      </c>
      <c r="Q371" s="384" t="s">
        <v>187</v>
      </c>
      <c r="R371" s="384"/>
      <c r="S371" s="660"/>
      <c r="T371" s="396"/>
      <c r="U371" s="384"/>
      <c r="V371" s="384"/>
      <c r="W371" s="384"/>
      <c r="X371" s="384"/>
      <c r="Y371" s="442" t="s">
        <v>4504</v>
      </c>
      <c r="Z371" s="442"/>
      <c r="AA371" s="441"/>
      <c r="AB371" s="441"/>
      <c r="AC371" s="441"/>
      <c r="AD371" s="441"/>
      <c r="AE371" s="441"/>
      <c r="AF371" s="441"/>
      <c r="AG371" s="441"/>
      <c r="AH371" s="441"/>
      <c r="AI371" s="441"/>
      <c r="AJ371" s="441"/>
      <c r="AK371" s="395"/>
      <c r="AL371" s="395"/>
      <c r="AM371" s="395">
        <v>0</v>
      </c>
      <c r="AN371" s="395"/>
      <c r="AO371" s="395"/>
      <c r="AP371" s="410"/>
      <c r="AQ371" s="410"/>
    </row>
    <row r="372" spans="2:43" ht="15" customHeight="1">
      <c r="B372" s="394">
        <v>1</v>
      </c>
      <c r="C372" s="395" t="s">
        <v>608</v>
      </c>
      <c r="D372" s="417" t="s">
        <v>4505</v>
      </c>
      <c r="E372" s="662" t="s">
        <v>5153</v>
      </c>
      <c r="F372" s="417"/>
      <c r="G372" s="384"/>
      <c r="H372" s="768"/>
      <c r="I372" s="384"/>
      <c r="J372" s="384" t="s">
        <v>4985</v>
      </c>
      <c r="K372" s="657"/>
      <c r="L372" s="658"/>
      <c r="M372" s="384"/>
      <c r="N372" s="384" t="s">
        <v>54</v>
      </c>
      <c r="O372" s="384"/>
      <c r="P372" s="384" t="s">
        <v>231</v>
      </c>
      <c r="Q372" s="384" t="s">
        <v>187</v>
      </c>
      <c r="R372" s="384"/>
      <c r="S372" s="660"/>
      <c r="T372" s="396"/>
      <c r="U372" s="384"/>
      <c r="V372" s="384"/>
      <c r="W372" s="384"/>
      <c r="X372" s="384"/>
      <c r="Y372" s="442" t="s">
        <v>4506</v>
      </c>
      <c r="Z372" s="442"/>
      <c r="AA372" s="441"/>
      <c r="AB372" s="441"/>
      <c r="AC372" s="441"/>
      <c r="AD372" s="441"/>
      <c r="AE372" s="441"/>
      <c r="AF372" s="441"/>
      <c r="AG372" s="441"/>
      <c r="AH372" s="441"/>
      <c r="AI372" s="441"/>
      <c r="AJ372" s="441"/>
      <c r="AK372" s="395"/>
      <c r="AL372" s="395"/>
      <c r="AM372" s="395">
        <v>0</v>
      </c>
      <c r="AN372" s="395"/>
      <c r="AO372" s="395"/>
      <c r="AP372" s="410"/>
      <c r="AQ372" s="410"/>
    </row>
    <row r="373" spans="2:43" ht="15" customHeight="1">
      <c r="B373" s="394">
        <v>1</v>
      </c>
      <c r="C373" s="395" t="s">
        <v>608</v>
      </c>
      <c r="D373" s="417" t="s">
        <v>4507</v>
      </c>
      <c r="E373" s="662" t="s">
        <v>5154</v>
      </c>
      <c r="F373" s="417"/>
      <c r="G373" s="384"/>
      <c r="H373" s="768"/>
      <c r="I373" s="384"/>
      <c r="J373" s="384" t="s">
        <v>4985</v>
      </c>
      <c r="K373" s="657"/>
      <c r="L373" s="658"/>
      <c r="M373" s="384"/>
      <c r="N373" s="384" t="s">
        <v>54</v>
      </c>
      <c r="O373" s="384"/>
      <c r="P373" s="384" t="s">
        <v>231</v>
      </c>
      <c r="Q373" s="384" t="s">
        <v>187</v>
      </c>
      <c r="R373" s="384"/>
      <c r="S373" s="660"/>
      <c r="T373" s="396"/>
      <c r="U373" s="384"/>
      <c r="V373" s="384"/>
      <c r="W373" s="384"/>
      <c r="X373" s="384"/>
      <c r="Y373" s="442" t="s">
        <v>4508</v>
      </c>
      <c r="Z373" s="442"/>
      <c r="AA373" s="441"/>
      <c r="AB373" s="441"/>
      <c r="AC373" s="441"/>
      <c r="AD373" s="441"/>
      <c r="AE373" s="441"/>
      <c r="AF373" s="441"/>
      <c r="AG373" s="441"/>
      <c r="AH373" s="441"/>
      <c r="AI373" s="441"/>
      <c r="AJ373" s="441"/>
      <c r="AK373" s="395"/>
      <c r="AL373" s="395"/>
      <c r="AM373" s="395">
        <v>0</v>
      </c>
      <c r="AN373" s="395"/>
      <c r="AO373" s="395"/>
      <c r="AP373" s="410"/>
      <c r="AQ373" s="410"/>
    </row>
    <row r="374" spans="2:43" ht="15" customHeight="1">
      <c r="B374" s="394">
        <v>1</v>
      </c>
      <c r="C374" s="395" t="s">
        <v>608</v>
      </c>
      <c r="D374" s="417" t="s">
        <v>4509</v>
      </c>
      <c r="E374" s="662" t="s">
        <v>5155</v>
      </c>
      <c r="F374" s="417"/>
      <c r="G374" s="384"/>
      <c r="H374" s="768"/>
      <c r="I374" s="384"/>
      <c r="J374" s="384" t="s">
        <v>4985</v>
      </c>
      <c r="K374" s="657"/>
      <c r="L374" s="658"/>
      <c r="M374" s="384"/>
      <c r="N374" s="384" t="s">
        <v>54</v>
      </c>
      <c r="O374" s="384"/>
      <c r="P374" s="384" t="s">
        <v>231</v>
      </c>
      <c r="Q374" s="384" t="s">
        <v>187</v>
      </c>
      <c r="R374" s="384"/>
      <c r="S374" s="660"/>
      <c r="T374" s="396"/>
      <c r="U374" s="384"/>
      <c r="V374" s="384"/>
      <c r="W374" s="384"/>
      <c r="X374" s="384"/>
      <c r="Y374" s="442" t="s">
        <v>4510</v>
      </c>
      <c r="Z374" s="442"/>
      <c r="AA374" s="441"/>
      <c r="AB374" s="441"/>
      <c r="AC374" s="441"/>
      <c r="AD374" s="441"/>
      <c r="AE374" s="441"/>
      <c r="AF374" s="441"/>
      <c r="AG374" s="441"/>
      <c r="AH374" s="441"/>
      <c r="AI374" s="441"/>
      <c r="AJ374" s="441"/>
      <c r="AK374" s="395"/>
      <c r="AL374" s="395"/>
      <c r="AM374" s="395">
        <v>0</v>
      </c>
      <c r="AN374" s="395"/>
      <c r="AO374" s="395"/>
      <c r="AP374" s="410"/>
      <c r="AQ374" s="410"/>
    </row>
    <row r="375" spans="2:43" ht="15" customHeight="1">
      <c r="B375" s="394">
        <v>1</v>
      </c>
      <c r="C375" s="395" t="s">
        <v>608</v>
      </c>
      <c r="D375" s="417" t="s">
        <v>4511</v>
      </c>
      <c r="E375" s="662" t="s">
        <v>5156</v>
      </c>
      <c r="F375" s="417"/>
      <c r="G375" s="384"/>
      <c r="H375" s="768"/>
      <c r="I375" s="384"/>
      <c r="J375" s="384" t="s">
        <v>4985</v>
      </c>
      <c r="K375" s="657"/>
      <c r="L375" s="658"/>
      <c r="M375" s="384"/>
      <c r="N375" s="384" t="s">
        <v>54</v>
      </c>
      <c r="O375" s="384"/>
      <c r="P375" s="384" t="s">
        <v>231</v>
      </c>
      <c r="Q375" s="384" t="s">
        <v>187</v>
      </c>
      <c r="R375" s="384"/>
      <c r="S375" s="660"/>
      <c r="T375" s="396"/>
      <c r="U375" s="384"/>
      <c r="V375" s="384"/>
      <c r="W375" s="384"/>
      <c r="X375" s="384"/>
      <c r="Y375" s="442" t="s">
        <v>4512</v>
      </c>
      <c r="Z375" s="442"/>
      <c r="AA375" s="441"/>
      <c r="AB375" s="441"/>
      <c r="AC375" s="441"/>
      <c r="AD375" s="441"/>
      <c r="AE375" s="441"/>
      <c r="AF375" s="441"/>
      <c r="AG375" s="441"/>
      <c r="AH375" s="441"/>
      <c r="AI375" s="441"/>
      <c r="AJ375" s="441"/>
      <c r="AK375" s="395"/>
      <c r="AL375" s="395"/>
      <c r="AM375" s="395">
        <v>0</v>
      </c>
      <c r="AN375" s="395"/>
      <c r="AO375" s="395"/>
      <c r="AP375" s="410"/>
      <c r="AQ375" s="410"/>
    </row>
    <row r="376" spans="2:43" ht="15" customHeight="1">
      <c r="B376" s="394">
        <v>1</v>
      </c>
      <c r="C376" s="395" t="s">
        <v>608</v>
      </c>
      <c r="D376" s="417" t="s">
        <v>4513</v>
      </c>
      <c r="E376" s="662" t="s">
        <v>5157</v>
      </c>
      <c r="F376" s="417"/>
      <c r="G376" s="384"/>
      <c r="H376" s="768"/>
      <c r="I376" s="384"/>
      <c r="J376" s="384" t="s">
        <v>4985</v>
      </c>
      <c r="K376" s="657"/>
      <c r="L376" s="658"/>
      <c r="M376" s="384"/>
      <c r="N376" s="384" t="s">
        <v>54</v>
      </c>
      <c r="O376" s="384"/>
      <c r="P376" s="384" t="s">
        <v>231</v>
      </c>
      <c r="Q376" s="384" t="s">
        <v>187</v>
      </c>
      <c r="R376" s="384"/>
      <c r="S376" s="660"/>
      <c r="T376" s="396"/>
      <c r="U376" s="384"/>
      <c r="V376" s="384"/>
      <c r="W376" s="384"/>
      <c r="X376" s="384"/>
      <c r="Y376" s="442" t="s">
        <v>4514</v>
      </c>
      <c r="Z376" s="442"/>
      <c r="AA376" s="441"/>
      <c r="AB376" s="441"/>
      <c r="AC376" s="441"/>
      <c r="AD376" s="441"/>
      <c r="AE376" s="441"/>
      <c r="AF376" s="441"/>
      <c r="AG376" s="441"/>
      <c r="AH376" s="441"/>
      <c r="AI376" s="441"/>
      <c r="AJ376" s="441"/>
      <c r="AK376" s="395"/>
      <c r="AL376" s="395"/>
      <c r="AM376" s="395">
        <v>0</v>
      </c>
      <c r="AN376" s="395"/>
      <c r="AO376" s="395"/>
      <c r="AP376" s="410"/>
      <c r="AQ376" s="410"/>
    </row>
    <row r="377" spans="2:43" ht="15" customHeight="1">
      <c r="B377" s="394">
        <v>1</v>
      </c>
      <c r="C377" s="395" t="s">
        <v>608</v>
      </c>
      <c r="D377" s="417" t="s">
        <v>4515</v>
      </c>
      <c r="E377" s="662" t="s">
        <v>5158</v>
      </c>
      <c r="F377" s="417"/>
      <c r="G377" s="384"/>
      <c r="H377" s="768"/>
      <c r="I377" s="384"/>
      <c r="J377" s="384" t="s">
        <v>4985</v>
      </c>
      <c r="K377" s="657"/>
      <c r="L377" s="658"/>
      <c r="M377" s="384"/>
      <c r="N377" s="384" t="s">
        <v>54</v>
      </c>
      <c r="O377" s="384"/>
      <c r="P377" s="384" t="s">
        <v>231</v>
      </c>
      <c r="Q377" s="384" t="s">
        <v>187</v>
      </c>
      <c r="R377" s="384"/>
      <c r="S377" s="660"/>
      <c r="T377" s="396"/>
      <c r="U377" s="384"/>
      <c r="V377" s="384"/>
      <c r="W377" s="384"/>
      <c r="X377" s="384"/>
      <c r="Y377" s="442" t="s">
        <v>4516</v>
      </c>
      <c r="Z377" s="442"/>
      <c r="AA377" s="441"/>
      <c r="AB377" s="441"/>
      <c r="AC377" s="441"/>
      <c r="AD377" s="441"/>
      <c r="AE377" s="441"/>
      <c r="AF377" s="441"/>
      <c r="AG377" s="441"/>
      <c r="AH377" s="441"/>
      <c r="AI377" s="441"/>
      <c r="AJ377" s="441"/>
      <c r="AK377" s="395"/>
      <c r="AL377" s="395"/>
      <c r="AM377" s="395">
        <v>0</v>
      </c>
      <c r="AN377" s="395"/>
      <c r="AO377" s="395"/>
      <c r="AP377" s="410"/>
      <c r="AQ377" s="410"/>
    </row>
    <row r="378" spans="2:43" ht="15" customHeight="1">
      <c r="B378" s="394">
        <v>1</v>
      </c>
      <c r="C378" s="395" t="s">
        <v>608</v>
      </c>
      <c r="D378" s="417" t="s">
        <v>4517</v>
      </c>
      <c r="E378" s="662" t="s">
        <v>5159</v>
      </c>
      <c r="F378" s="417"/>
      <c r="G378" s="384"/>
      <c r="H378" s="768"/>
      <c r="I378" s="384"/>
      <c r="J378" s="384" t="s">
        <v>4985</v>
      </c>
      <c r="K378" s="657"/>
      <c r="L378" s="658"/>
      <c r="M378" s="384"/>
      <c r="N378" s="384" t="s">
        <v>54</v>
      </c>
      <c r="O378" s="384"/>
      <c r="P378" s="384" t="s">
        <v>231</v>
      </c>
      <c r="Q378" s="384" t="s">
        <v>187</v>
      </c>
      <c r="R378" s="384"/>
      <c r="S378" s="660"/>
      <c r="T378" s="396"/>
      <c r="U378" s="384"/>
      <c r="V378" s="384"/>
      <c r="W378" s="384"/>
      <c r="X378" s="384"/>
      <c r="Y378" s="442" t="s">
        <v>4518</v>
      </c>
      <c r="Z378" s="442"/>
      <c r="AA378" s="441"/>
      <c r="AB378" s="441"/>
      <c r="AC378" s="441"/>
      <c r="AD378" s="441"/>
      <c r="AE378" s="441"/>
      <c r="AF378" s="441"/>
      <c r="AG378" s="441"/>
      <c r="AH378" s="441"/>
      <c r="AI378" s="441"/>
      <c r="AJ378" s="441"/>
      <c r="AK378" s="395"/>
      <c r="AL378" s="395"/>
      <c r="AM378" s="395">
        <v>0</v>
      </c>
      <c r="AN378" s="395"/>
      <c r="AO378" s="395"/>
      <c r="AP378" s="410"/>
      <c r="AQ378" s="410"/>
    </row>
    <row r="379" spans="2:43" ht="15" customHeight="1">
      <c r="B379" s="394">
        <v>1</v>
      </c>
      <c r="C379" s="395" t="s">
        <v>608</v>
      </c>
      <c r="D379" s="417" t="s">
        <v>4519</v>
      </c>
      <c r="E379" s="662" t="s">
        <v>5160</v>
      </c>
      <c r="F379" s="417"/>
      <c r="G379" s="384"/>
      <c r="H379" s="768"/>
      <c r="I379" s="384"/>
      <c r="J379" s="384" t="s">
        <v>4985</v>
      </c>
      <c r="K379" s="657"/>
      <c r="L379" s="658"/>
      <c r="M379" s="384"/>
      <c r="N379" s="384" t="s">
        <v>54</v>
      </c>
      <c r="O379" s="384"/>
      <c r="P379" s="384" t="s">
        <v>231</v>
      </c>
      <c r="Q379" s="384" t="s">
        <v>187</v>
      </c>
      <c r="R379" s="384"/>
      <c r="S379" s="660"/>
      <c r="T379" s="396"/>
      <c r="U379" s="384"/>
      <c r="V379" s="384"/>
      <c r="W379" s="384"/>
      <c r="X379" s="384"/>
      <c r="Y379" s="442" t="s">
        <v>4520</v>
      </c>
      <c r="Z379" s="442"/>
      <c r="AA379" s="441"/>
      <c r="AB379" s="441"/>
      <c r="AC379" s="441"/>
      <c r="AD379" s="441"/>
      <c r="AE379" s="441"/>
      <c r="AF379" s="441"/>
      <c r="AG379" s="441"/>
      <c r="AH379" s="441"/>
      <c r="AI379" s="441"/>
      <c r="AJ379" s="441"/>
      <c r="AK379" s="395"/>
      <c r="AL379" s="395"/>
      <c r="AM379" s="395">
        <v>0</v>
      </c>
      <c r="AN379" s="395"/>
      <c r="AO379" s="395"/>
      <c r="AP379" s="410"/>
      <c r="AQ379" s="410"/>
    </row>
    <row r="380" spans="2:43" ht="15" customHeight="1">
      <c r="B380" s="394">
        <v>1</v>
      </c>
      <c r="C380" s="395" t="s">
        <v>608</v>
      </c>
      <c r="D380" s="417" t="s">
        <v>4521</v>
      </c>
      <c r="E380" s="662" t="s">
        <v>5161</v>
      </c>
      <c r="F380" s="417"/>
      <c r="G380" s="384"/>
      <c r="H380" s="768"/>
      <c r="I380" s="384"/>
      <c r="J380" s="384" t="s">
        <v>4985</v>
      </c>
      <c r="K380" s="657"/>
      <c r="L380" s="658"/>
      <c r="M380" s="384"/>
      <c r="N380" s="384" t="s">
        <v>54</v>
      </c>
      <c r="O380" s="384"/>
      <c r="P380" s="384" t="s">
        <v>231</v>
      </c>
      <c r="Q380" s="384" t="s">
        <v>187</v>
      </c>
      <c r="R380" s="384"/>
      <c r="S380" s="660"/>
      <c r="T380" s="396"/>
      <c r="U380" s="384"/>
      <c r="V380" s="384"/>
      <c r="W380" s="384"/>
      <c r="X380" s="384"/>
      <c r="Y380" s="442" t="s">
        <v>4522</v>
      </c>
      <c r="Z380" s="442"/>
      <c r="AA380" s="441"/>
      <c r="AB380" s="441"/>
      <c r="AC380" s="441"/>
      <c r="AD380" s="441"/>
      <c r="AE380" s="441"/>
      <c r="AF380" s="441"/>
      <c r="AG380" s="441"/>
      <c r="AH380" s="441"/>
      <c r="AI380" s="441"/>
      <c r="AJ380" s="441"/>
      <c r="AK380" s="395"/>
      <c r="AL380" s="395"/>
      <c r="AM380" s="395">
        <v>0</v>
      </c>
      <c r="AN380" s="395"/>
      <c r="AO380" s="395"/>
      <c r="AP380" s="410"/>
      <c r="AQ380" s="410"/>
    </row>
    <row r="381" spans="2:43" ht="15" customHeight="1">
      <c r="B381" s="394">
        <v>1</v>
      </c>
      <c r="C381" s="395" t="s">
        <v>608</v>
      </c>
      <c r="D381" s="417" t="s">
        <v>4523</v>
      </c>
      <c r="E381" s="662" t="s">
        <v>5162</v>
      </c>
      <c r="F381" s="417"/>
      <c r="G381" s="384"/>
      <c r="H381" s="768"/>
      <c r="I381" s="384"/>
      <c r="J381" s="384" t="s">
        <v>4985</v>
      </c>
      <c r="K381" s="657"/>
      <c r="L381" s="658"/>
      <c r="M381" s="384"/>
      <c r="N381" s="384" t="s">
        <v>54</v>
      </c>
      <c r="O381" s="384"/>
      <c r="P381" s="384" t="s">
        <v>231</v>
      </c>
      <c r="Q381" s="384" t="s">
        <v>187</v>
      </c>
      <c r="R381" s="384"/>
      <c r="S381" s="660"/>
      <c r="T381" s="396"/>
      <c r="U381" s="384"/>
      <c r="V381" s="384"/>
      <c r="W381" s="384"/>
      <c r="X381" s="384"/>
      <c r="Y381" s="442" t="s">
        <v>4524</v>
      </c>
      <c r="Z381" s="442"/>
      <c r="AA381" s="441"/>
      <c r="AB381" s="441"/>
      <c r="AC381" s="441"/>
      <c r="AD381" s="441"/>
      <c r="AE381" s="441"/>
      <c r="AF381" s="441"/>
      <c r="AG381" s="441"/>
      <c r="AH381" s="441"/>
      <c r="AI381" s="441"/>
      <c r="AJ381" s="441"/>
      <c r="AK381" s="395"/>
      <c r="AL381" s="395"/>
      <c r="AM381" s="395">
        <v>0</v>
      </c>
      <c r="AN381" s="395"/>
      <c r="AO381" s="395"/>
      <c r="AP381" s="410"/>
      <c r="AQ381" s="410"/>
    </row>
    <row r="382" spans="2:43" ht="15" customHeight="1">
      <c r="B382" s="394">
        <v>1</v>
      </c>
      <c r="C382" s="395" t="s">
        <v>614</v>
      </c>
      <c r="D382" s="417" t="s">
        <v>4525</v>
      </c>
      <c r="E382" s="662" t="s">
        <v>4526</v>
      </c>
      <c r="F382" s="417"/>
      <c r="G382" s="384"/>
      <c r="H382" s="768"/>
      <c r="I382" s="384"/>
      <c r="J382" s="384" t="s">
        <v>4985</v>
      </c>
      <c r="K382" s="657"/>
      <c r="L382" s="658"/>
      <c r="M382" s="384"/>
      <c r="N382" s="384"/>
      <c r="O382" s="384"/>
      <c r="P382" s="384"/>
      <c r="Q382" s="384"/>
      <c r="R382" s="384"/>
      <c r="S382" s="660"/>
      <c r="T382" s="396"/>
      <c r="U382" s="384"/>
      <c r="V382" s="384"/>
      <c r="W382" s="384"/>
      <c r="X382" s="384"/>
      <c r="Y382" s="442"/>
      <c r="Z382" s="442" t="s">
        <v>4527</v>
      </c>
      <c r="AA382" s="441" t="s">
        <v>4528</v>
      </c>
      <c r="AB382" s="441"/>
      <c r="AC382" s="441"/>
      <c r="AD382" s="441" t="s">
        <v>3225</v>
      </c>
      <c r="AE382" s="441"/>
      <c r="AF382" s="441" t="s">
        <v>4529</v>
      </c>
      <c r="AG382" s="441"/>
      <c r="AH382" s="441"/>
      <c r="AI382" s="441"/>
      <c r="AJ382" s="441"/>
      <c r="AK382" s="395"/>
      <c r="AL382" s="395"/>
      <c r="AM382" s="395">
        <v>0</v>
      </c>
      <c r="AN382" s="395">
        <v>60</v>
      </c>
      <c r="AO382" s="395"/>
      <c r="AP382" s="410"/>
      <c r="AQ382" s="410"/>
    </row>
    <row r="383" spans="2:43" ht="15" customHeight="1">
      <c r="B383" s="394">
        <v>1</v>
      </c>
      <c r="C383" s="395" t="s">
        <v>614</v>
      </c>
      <c r="D383" s="417" t="s">
        <v>4530</v>
      </c>
      <c r="E383" s="662" t="s">
        <v>4531</v>
      </c>
      <c r="F383" s="417"/>
      <c r="G383" s="384"/>
      <c r="H383" s="768"/>
      <c r="I383" s="384"/>
      <c r="J383" s="384" t="s">
        <v>4985</v>
      </c>
      <c r="K383" s="657"/>
      <c r="L383" s="658"/>
      <c r="M383" s="384"/>
      <c r="N383" s="384"/>
      <c r="O383" s="384"/>
      <c r="P383" s="384"/>
      <c r="Q383" s="384"/>
      <c r="R383" s="384"/>
      <c r="S383" s="660"/>
      <c r="T383" s="396"/>
      <c r="U383" s="384"/>
      <c r="V383" s="384"/>
      <c r="W383" s="384"/>
      <c r="X383" s="384"/>
      <c r="Y383" s="442"/>
      <c r="Z383" s="442" t="s">
        <v>4532</v>
      </c>
      <c r="AA383" s="441" t="s">
        <v>4533</v>
      </c>
      <c r="AB383" s="441"/>
      <c r="AC383" s="441"/>
      <c r="AD383" s="441" t="s">
        <v>3224</v>
      </c>
      <c r="AE383" s="441"/>
      <c r="AF383" s="441" t="s">
        <v>4534</v>
      </c>
      <c r="AG383" s="441"/>
      <c r="AH383" s="441"/>
      <c r="AI383" s="441"/>
      <c r="AJ383" s="441"/>
      <c r="AK383" s="395"/>
      <c r="AL383" s="395"/>
      <c r="AM383" s="395">
        <v>0</v>
      </c>
      <c r="AN383" s="395">
        <v>60</v>
      </c>
      <c r="AO383" s="395"/>
      <c r="AP383" s="410"/>
      <c r="AQ383" s="410"/>
    </row>
    <row r="384" spans="2:43" ht="15" customHeight="1">
      <c r="B384" s="394">
        <v>1</v>
      </c>
      <c r="C384" s="395" t="s">
        <v>614</v>
      </c>
      <c r="D384" s="417" t="s">
        <v>4535</v>
      </c>
      <c r="E384" s="662" t="s">
        <v>4536</v>
      </c>
      <c r="F384" s="417"/>
      <c r="G384" s="384"/>
      <c r="H384" s="768"/>
      <c r="I384" s="384"/>
      <c r="J384" s="384" t="s">
        <v>4985</v>
      </c>
      <c r="K384" s="657"/>
      <c r="L384" s="658"/>
      <c r="M384" s="384"/>
      <c r="N384" s="384"/>
      <c r="O384" s="384"/>
      <c r="P384" s="384"/>
      <c r="Q384" s="384"/>
      <c r="R384" s="384"/>
      <c r="S384" s="660"/>
      <c r="T384" s="396"/>
      <c r="U384" s="384"/>
      <c r="V384" s="384"/>
      <c r="W384" s="384"/>
      <c r="X384" s="384"/>
      <c r="Y384" s="442"/>
      <c r="Z384" s="442" t="s">
        <v>4537</v>
      </c>
      <c r="AA384" s="441" t="s">
        <v>4538</v>
      </c>
      <c r="AB384" s="441"/>
      <c r="AC384" s="441"/>
      <c r="AD384" s="441" t="s">
        <v>3227</v>
      </c>
      <c r="AE384" s="441"/>
      <c r="AF384" s="441" t="s">
        <v>4539</v>
      </c>
      <c r="AG384" s="441"/>
      <c r="AH384" s="441"/>
      <c r="AI384" s="441"/>
      <c r="AJ384" s="441"/>
      <c r="AK384" s="395"/>
      <c r="AL384" s="395"/>
      <c r="AM384" s="395">
        <v>0</v>
      </c>
      <c r="AN384" s="395">
        <v>60</v>
      </c>
      <c r="AO384" s="395"/>
      <c r="AP384" s="410"/>
      <c r="AQ384" s="410"/>
    </row>
    <row r="385" spans="2:43" ht="15" customHeight="1">
      <c r="B385" s="394">
        <v>1</v>
      </c>
      <c r="C385" s="395" t="s">
        <v>614</v>
      </c>
      <c r="D385" s="417" t="s">
        <v>4540</v>
      </c>
      <c r="E385" s="662" t="s">
        <v>4541</v>
      </c>
      <c r="F385" s="417"/>
      <c r="G385" s="384"/>
      <c r="H385" s="768"/>
      <c r="I385" s="384"/>
      <c r="J385" s="384" t="s">
        <v>4985</v>
      </c>
      <c r="K385" s="657"/>
      <c r="L385" s="658"/>
      <c r="M385" s="384"/>
      <c r="N385" s="384"/>
      <c r="O385" s="384"/>
      <c r="P385" s="384"/>
      <c r="Q385" s="384"/>
      <c r="R385" s="384"/>
      <c r="S385" s="660"/>
      <c r="T385" s="396"/>
      <c r="U385" s="384"/>
      <c r="V385" s="384"/>
      <c r="W385" s="384"/>
      <c r="X385" s="384"/>
      <c r="Y385" s="442"/>
      <c r="Z385" s="442" t="s">
        <v>4542</v>
      </c>
      <c r="AA385" s="441" t="s">
        <v>4543</v>
      </c>
      <c r="AB385" s="441"/>
      <c r="AC385" s="441"/>
      <c r="AD385" s="441" t="s">
        <v>3226</v>
      </c>
      <c r="AE385" s="441"/>
      <c r="AF385" s="441" t="s">
        <v>4544</v>
      </c>
      <c r="AG385" s="441"/>
      <c r="AH385" s="441"/>
      <c r="AI385" s="441"/>
      <c r="AJ385" s="441"/>
      <c r="AK385" s="395"/>
      <c r="AL385" s="395"/>
      <c r="AM385" s="395">
        <v>0</v>
      </c>
      <c r="AN385" s="395">
        <v>60</v>
      </c>
      <c r="AO385" s="395"/>
      <c r="AP385" s="410"/>
      <c r="AQ385" s="410"/>
    </row>
    <row r="386" spans="2:43" ht="15" customHeight="1">
      <c r="B386" s="394">
        <v>1</v>
      </c>
      <c r="C386" s="395" t="s">
        <v>614</v>
      </c>
      <c r="D386" s="417" t="s">
        <v>4545</v>
      </c>
      <c r="E386" s="662" t="s">
        <v>4546</v>
      </c>
      <c r="F386" s="417"/>
      <c r="G386" s="384"/>
      <c r="H386" s="768"/>
      <c r="I386" s="384"/>
      <c r="J386" s="384" t="s">
        <v>4985</v>
      </c>
      <c r="K386" s="657"/>
      <c r="L386" s="658"/>
      <c r="M386" s="384"/>
      <c r="N386" s="384"/>
      <c r="O386" s="384"/>
      <c r="P386" s="384"/>
      <c r="Q386" s="384"/>
      <c r="R386" s="384"/>
      <c r="S386" s="660"/>
      <c r="T386" s="396"/>
      <c r="U386" s="384"/>
      <c r="V386" s="384"/>
      <c r="W386" s="384"/>
      <c r="X386" s="384"/>
      <c r="Y386" s="442"/>
      <c r="Z386" s="442" t="s">
        <v>4547</v>
      </c>
      <c r="AA386" s="441" t="s">
        <v>4548</v>
      </c>
      <c r="AB386" s="441"/>
      <c r="AC386" s="441"/>
      <c r="AD386" s="441" t="s">
        <v>3229</v>
      </c>
      <c r="AE386" s="441"/>
      <c r="AF386" s="441" t="s">
        <v>4549</v>
      </c>
      <c r="AG386" s="441"/>
      <c r="AH386" s="441"/>
      <c r="AI386" s="441"/>
      <c r="AJ386" s="441"/>
      <c r="AK386" s="395"/>
      <c r="AL386" s="395"/>
      <c r="AM386" s="395">
        <v>0</v>
      </c>
      <c r="AN386" s="395">
        <v>60</v>
      </c>
      <c r="AO386" s="395"/>
      <c r="AP386" s="410"/>
      <c r="AQ386" s="410"/>
    </row>
    <row r="387" spans="2:43" ht="15" customHeight="1">
      <c r="B387" s="394">
        <v>1</v>
      </c>
      <c r="C387" s="395" t="s">
        <v>614</v>
      </c>
      <c r="D387" s="417" t="s">
        <v>4550</v>
      </c>
      <c r="E387" s="662" t="s">
        <v>4551</v>
      </c>
      <c r="F387" s="417"/>
      <c r="G387" s="384"/>
      <c r="H387" s="768"/>
      <c r="I387" s="384"/>
      <c r="J387" s="384" t="s">
        <v>4985</v>
      </c>
      <c r="K387" s="657"/>
      <c r="L387" s="658"/>
      <c r="M387" s="384"/>
      <c r="N387" s="384"/>
      <c r="O387" s="384"/>
      <c r="P387" s="384"/>
      <c r="Q387" s="384"/>
      <c r="R387" s="384"/>
      <c r="S387" s="660"/>
      <c r="T387" s="396"/>
      <c r="U387" s="384"/>
      <c r="V387" s="384"/>
      <c r="W387" s="384"/>
      <c r="X387" s="384"/>
      <c r="Y387" s="442"/>
      <c r="Z387" s="442" t="s">
        <v>4552</v>
      </c>
      <c r="AA387" s="441" t="s">
        <v>4553</v>
      </c>
      <c r="AB387" s="441"/>
      <c r="AC387" s="441"/>
      <c r="AD387" s="441" t="s">
        <v>3228</v>
      </c>
      <c r="AE387" s="441"/>
      <c r="AF387" s="441" t="s">
        <v>4554</v>
      </c>
      <c r="AG387" s="441"/>
      <c r="AH387" s="441"/>
      <c r="AI387" s="441"/>
      <c r="AJ387" s="441"/>
      <c r="AK387" s="395"/>
      <c r="AL387" s="395"/>
      <c r="AM387" s="395">
        <v>0</v>
      </c>
      <c r="AN387" s="395">
        <v>60</v>
      </c>
      <c r="AO387" s="395"/>
      <c r="AP387" s="410"/>
      <c r="AQ387" s="410"/>
    </row>
    <row r="388" spans="2:43" ht="15" customHeight="1">
      <c r="B388" s="394">
        <v>1</v>
      </c>
      <c r="C388" s="395" t="s">
        <v>614</v>
      </c>
      <c r="D388" s="417" t="s">
        <v>4555</v>
      </c>
      <c r="E388" s="662" t="s">
        <v>4556</v>
      </c>
      <c r="F388" s="417"/>
      <c r="G388" s="384"/>
      <c r="H388" s="768"/>
      <c r="I388" s="384"/>
      <c r="J388" s="384" t="s">
        <v>4985</v>
      </c>
      <c r="K388" s="657"/>
      <c r="L388" s="658"/>
      <c r="M388" s="384"/>
      <c r="N388" s="384"/>
      <c r="O388" s="384"/>
      <c r="P388" s="384"/>
      <c r="Q388" s="384"/>
      <c r="R388" s="384"/>
      <c r="S388" s="660"/>
      <c r="T388" s="396"/>
      <c r="U388" s="384"/>
      <c r="V388" s="384"/>
      <c r="W388" s="384"/>
      <c r="X388" s="384"/>
      <c r="Y388" s="442"/>
      <c r="Z388" s="442" t="s">
        <v>4557</v>
      </c>
      <c r="AA388" s="441" t="s">
        <v>4558</v>
      </c>
      <c r="AB388" s="441"/>
      <c r="AC388" s="441"/>
      <c r="AD388" s="441" t="s">
        <v>3231</v>
      </c>
      <c r="AE388" s="441"/>
      <c r="AF388" s="441" t="s">
        <v>4559</v>
      </c>
      <c r="AG388" s="441"/>
      <c r="AH388" s="441"/>
      <c r="AI388" s="441"/>
      <c r="AJ388" s="441"/>
      <c r="AK388" s="395"/>
      <c r="AL388" s="395"/>
      <c r="AM388" s="395">
        <v>0</v>
      </c>
      <c r="AN388" s="395">
        <v>60</v>
      </c>
      <c r="AO388" s="395"/>
      <c r="AP388" s="410"/>
      <c r="AQ388" s="410"/>
    </row>
    <row r="389" spans="2:43" ht="15" customHeight="1">
      <c r="B389" s="394">
        <v>1</v>
      </c>
      <c r="C389" s="395" t="s">
        <v>614</v>
      </c>
      <c r="D389" s="417" t="s">
        <v>4560</v>
      </c>
      <c r="E389" s="662" t="s">
        <v>4561</v>
      </c>
      <c r="F389" s="417"/>
      <c r="G389" s="384"/>
      <c r="H389" s="768"/>
      <c r="I389" s="384"/>
      <c r="J389" s="384" t="s">
        <v>4985</v>
      </c>
      <c r="K389" s="657"/>
      <c r="L389" s="658"/>
      <c r="M389" s="384"/>
      <c r="N389" s="384"/>
      <c r="O389" s="384"/>
      <c r="P389" s="384"/>
      <c r="Q389" s="384"/>
      <c r="R389" s="384"/>
      <c r="S389" s="660"/>
      <c r="T389" s="396"/>
      <c r="U389" s="384"/>
      <c r="V389" s="384"/>
      <c r="W389" s="384"/>
      <c r="X389" s="384"/>
      <c r="Y389" s="442"/>
      <c r="Z389" s="442" t="s">
        <v>4562</v>
      </c>
      <c r="AA389" s="441" t="s">
        <v>4563</v>
      </c>
      <c r="AB389" s="441"/>
      <c r="AC389" s="441"/>
      <c r="AD389" s="441" t="s">
        <v>3230</v>
      </c>
      <c r="AE389" s="441"/>
      <c r="AF389" s="441" t="s">
        <v>4564</v>
      </c>
      <c r="AG389" s="441"/>
      <c r="AH389" s="441"/>
      <c r="AI389" s="441"/>
      <c r="AJ389" s="441"/>
      <c r="AK389" s="395"/>
      <c r="AL389" s="395"/>
      <c r="AM389" s="395">
        <v>0</v>
      </c>
      <c r="AN389" s="395">
        <v>60</v>
      </c>
      <c r="AO389" s="395"/>
      <c r="AP389" s="410"/>
      <c r="AQ389" s="410"/>
    </row>
    <row r="390" spans="2:43" ht="15" customHeight="1">
      <c r="B390" s="394">
        <v>1</v>
      </c>
      <c r="C390" s="395" t="s">
        <v>614</v>
      </c>
      <c r="D390" s="417" t="s">
        <v>4565</v>
      </c>
      <c r="E390" s="662" t="s">
        <v>4566</v>
      </c>
      <c r="F390" s="417"/>
      <c r="G390" s="384"/>
      <c r="H390" s="768"/>
      <c r="I390" s="384"/>
      <c r="J390" s="384" t="s">
        <v>4985</v>
      </c>
      <c r="K390" s="657"/>
      <c r="L390" s="658"/>
      <c r="M390" s="384"/>
      <c r="N390" s="384"/>
      <c r="O390" s="384"/>
      <c r="P390" s="384"/>
      <c r="Q390" s="384"/>
      <c r="R390" s="384"/>
      <c r="S390" s="660"/>
      <c r="T390" s="396"/>
      <c r="U390" s="384"/>
      <c r="V390" s="384"/>
      <c r="W390" s="384"/>
      <c r="X390" s="384"/>
      <c r="Y390" s="442"/>
      <c r="Z390" s="442" t="s">
        <v>4567</v>
      </c>
      <c r="AA390" s="441" t="s">
        <v>4568</v>
      </c>
      <c r="AB390" s="441"/>
      <c r="AC390" s="441"/>
      <c r="AD390" s="441" t="s">
        <v>3233</v>
      </c>
      <c r="AE390" s="441"/>
      <c r="AF390" s="441" t="s">
        <v>4569</v>
      </c>
      <c r="AG390" s="441"/>
      <c r="AH390" s="441"/>
      <c r="AI390" s="441"/>
      <c r="AJ390" s="441"/>
      <c r="AK390" s="395"/>
      <c r="AL390" s="395"/>
      <c r="AM390" s="395">
        <v>0</v>
      </c>
      <c r="AN390" s="395">
        <v>60</v>
      </c>
      <c r="AO390" s="395"/>
      <c r="AP390" s="410"/>
      <c r="AQ390" s="410"/>
    </row>
    <row r="391" spans="2:43" ht="15" customHeight="1">
      <c r="B391" s="394">
        <v>1</v>
      </c>
      <c r="C391" s="395" t="s">
        <v>614</v>
      </c>
      <c r="D391" s="417" t="s">
        <v>4570</v>
      </c>
      <c r="E391" s="662" t="s">
        <v>4571</v>
      </c>
      <c r="F391" s="417"/>
      <c r="G391" s="384"/>
      <c r="H391" s="768"/>
      <c r="I391" s="384"/>
      <c r="J391" s="384" t="s">
        <v>4985</v>
      </c>
      <c r="K391" s="657"/>
      <c r="L391" s="658"/>
      <c r="M391" s="384"/>
      <c r="N391" s="384"/>
      <c r="O391" s="384"/>
      <c r="P391" s="384"/>
      <c r="Q391" s="384"/>
      <c r="R391" s="384"/>
      <c r="S391" s="660"/>
      <c r="T391" s="396"/>
      <c r="U391" s="384"/>
      <c r="V391" s="384"/>
      <c r="W391" s="384"/>
      <c r="X391" s="384"/>
      <c r="Y391" s="442"/>
      <c r="Z391" s="442" t="s">
        <v>4572</v>
      </c>
      <c r="AA391" s="441" t="s">
        <v>4573</v>
      </c>
      <c r="AB391" s="441"/>
      <c r="AC391" s="441"/>
      <c r="AD391" s="441" t="s">
        <v>3232</v>
      </c>
      <c r="AE391" s="441"/>
      <c r="AF391" s="441" t="s">
        <v>4574</v>
      </c>
      <c r="AG391" s="441"/>
      <c r="AH391" s="441"/>
      <c r="AI391" s="441"/>
      <c r="AJ391" s="441"/>
      <c r="AK391" s="395"/>
      <c r="AL391" s="395"/>
      <c r="AM391" s="395">
        <v>0</v>
      </c>
      <c r="AN391" s="395">
        <v>60</v>
      </c>
      <c r="AO391" s="395"/>
      <c r="AP391" s="410"/>
      <c r="AQ391" s="410"/>
    </row>
    <row r="392" spans="2:43" ht="15" customHeight="1">
      <c r="B392" s="394">
        <v>1</v>
      </c>
      <c r="C392" s="395" t="s">
        <v>614</v>
      </c>
      <c r="D392" s="417" t="s">
        <v>4575</v>
      </c>
      <c r="E392" s="662" t="s">
        <v>4576</v>
      </c>
      <c r="F392" s="417"/>
      <c r="G392" s="384"/>
      <c r="H392" s="768"/>
      <c r="I392" s="384"/>
      <c r="J392" s="384" t="s">
        <v>4985</v>
      </c>
      <c r="K392" s="657"/>
      <c r="L392" s="658"/>
      <c r="M392" s="384"/>
      <c r="N392" s="384"/>
      <c r="O392" s="384"/>
      <c r="P392" s="384"/>
      <c r="Q392" s="384"/>
      <c r="R392" s="384"/>
      <c r="S392" s="660"/>
      <c r="T392" s="396"/>
      <c r="U392" s="384"/>
      <c r="V392" s="384"/>
      <c r="W392" s="384"/>
      <c r="X392" s="384"/>
      <c r="Y392" s="442"/>
      <c r="Z392" s="442" t="s">
        <v>4577</v>
      </c>
      <c r="AA392" s="441" t="s">
        <v>4578</v>
      </c>
      <c r="AB392" s="441"/>
      <c r="AC392" s="441"/>
      <c r="AD392" s="441" t="s">
        <v>3235</v>
      </c>
      <c r="AE392" s="441"/>
      <c r="AF392" s="441" t="s">
        <v>4579</v>
      </c>
      <c r="AG392" s="441"/>
      <c r="AH392" s="441"/>
      <c r="AI392" s="441"/>
      <c r="AJ392" s="441"/>
      <c r="AK392" s="395"/>
      <c r="AL392" s="395"/>
      <c r="AM392" s="395">
        <v>0</v>
      </c>
      <c r="AN392" s="395">
        <v>60</v>
      </c>
      <c r="AO392" s="395"/>
      <c r="AP392" s="410"/>
      <c r="AQ392" s="410"/>
    </row>
    <row r="393" spans="2:43" ht="15" customHeight="1">
      <c r="B393" s="394">
        <v>1</v>
      </c>
      <c r="C393" s="395" t="s">
        <v>614</v>
      </c>
      <c r="D393" s="417" t="s">
        <v>4580</v>
      </c>
      <c r="E393" s="662" t="s">
        <v>4581</v>
      </c>
      <c r="F393" s="417"/>
      <c r="G393" s="384"/>
      <c r="H393" s="768"/>
      <c r="I393" s="384"/>
      <c r="J393" s="384" t="s">
        <v>4985</v>
      </c>
      <c r="K393" s="657"/>
      <c r="L393" s="658"/>
      <c r="M393" s="384"/>
      <c r="N393" s="384"/>
      <c r="O393" s="384"/>
      <c r="P393" s="384"/>
      <c r="Q393" s="384"/>
      <c r="R393" s="384"/>
      <c r="S393" s="660"/>
      <c r="T393" s="396"/>
      <c r="U393" s="384"/>
      <c r="V393" s="384"/>
      <c r="W393" s="384"/>
      <c r="X393" s="384"/>
      <c r="Y393" s="442"/>
      <c r="Z393" s="442" t="s">
        <v>4582</v>
      </c>
      <c r="AA393" s="441" t="s">
        <v>4583</v>
      </c>
      <c r="AB393" s="441"/>
      <c r="AC393" s="441"/>
      <c r="AD393" s="441" t="s">
        <v>3234</v>
      </c>
      <c r="AE393" s="441"/>
      <c r="AF393" s="441" t="s">
        <v>4584</v>
      </c>
      <c r="AG393" s="441"/>
      <c r="AH393" s="441"/>
      <c r="AI393" s="441"/>
      <c r="AJ393" s="441"/>
      <c r="AK393" s="395"/>
      <c r="AL393" s="395"/>
      <c r="AM393" s="395">
        <v>0</v>
      </c>
      <c r="AN393" s="395">
        <v>60</v>
      </c>
      <c r="AO393" s="395"/>
      <c r="AP393" s="410"/>
      <c r="AQ393" s="410"/>
    </row>
    <row r="394" spans="2:43" ht="15" customHeight="1">
      <c r="B394" s="394">
        <v>1</v>
      </c>
      <c r="C394" s="395" t="s">
        <v>614</v>
      </c>
      <c r="D394" s="417" t="s">
        <v>4585</v>
      </c>
      <c r="E394" s="662" t="s">
        <v>4586</v>
      </c>
      <c r="F394" s="417"/>
      <c r="G394" s="384"/>
      <c r="H394" s="768"/>
      <c r="I394" s="384"/>
      <c r="J394" s="384" t="s">
        <v>4985</v>
      </c>
      <c r="K394" s="657"/>
      <c r="L394" s="658"/>
      <c r="M394" s="384"/>
      <c r="N394" s="384"/>
      <c r="O394" s="384"/>
      <c r="P394" s="384"/>
      <c r="Q394" s="384"/>
      <c r="R394" s="384"/>
      <c r="S394" s="660"/>
      <c r="T394" s="396"/>
      <c r="U394" s="384"/>
      <c r="V394" s="384"/>
      <c r="W394" s="384"/>
      <c r="X394" s="384"/>
      <c r="Y394" s="442"/>
      <c r="Z394" s="442" t="s">
        <v>4587</v>
      </c>
      <c r="AA394" s="441" t="s">
        <v>4588</v>
      </c>
      <c r="AB394" s="441"/>
      <c r="AC394" s="441"/>
      <c r="AD394" s="441" t="s">
        <v>3237</v>
      </c>
      <c r="AE394" s="441"/>
      <c r="AF394" s="441" t="s">
        <v>4589</v>
      </c>
      <c r="AG394" s="441"/>
      <c r="AH394" s="441"/>
      <c r="AI394" s="441"/>
      <c r="AJ394" s="441"/>
      <c r="AK394" s="395"/>
      <c r="AL394" s="395"/>
      <c r="AM394" s="395">
        <v>0</v>
      </c>
      <c r="AN394" s="395">
        <v>60</v>
      </c>
      <c r="AO394" s="395"/>
      <c r="AP394" s="410"/>
      <c r="AQ394" s="410"/>
    </row>
    <row r="395" spans="2:43" ht="15" customHeight="1">
      <c r="B395" s="394">
        <v>1</v>
      </c>
      <c r="C395" s="395" t="s">
        <v>614</v>
      </c>
      <c r="D395" s="417" t="s">
        <v>4590</v>
      </c>
      <c r="E395" s="662" t="s">
        <v>4591</v>
      </c>
      <c r="F395" s="417"/>
      <c r="G395" s="384"/>
      <c r="H395" s="768"/>
      <c r="I395" s="384"/>
      <c r="J395" s="384" t="s">
        <v>4985</v>
      </c>
      <c r="K395" s="657"/>
      <c r="L395" s="658"/>
      <c r="M395" s="384"/>
      <c r="N395" s="384"/>
      <c r="O395" s="384"/>
      <c r="P395" s="384"/>
      <c r="Q395" s="384"/>
      <c r="R395" s="384"/>
      <c r="S395" s="660"/>
      <c r="T395" s="396"/>
      <c r="U395" s="384"/>
      <c r="V395" s="384"/>
      <c r="W395" s="384"/>
      <c r="X395" s="384"/>
      <c r="Y395" s="442"/>
      <c r="Z395" s="442" t="s">
        <v>4592</v>
      </c>
      <c r="AA395" s="441" t="s">
        <v>4593</v>
      </c>
      <c r="AB395" s="441"/>
      <c r="AC395" s="441"/>
      <c r="AD395" s="441" t="s">
        <v>3236</v>
      </c>
      <c r="AE395" s="441"/>
      <c r="AF395" s="441" t="s">
        <v>4594</v>
      </c>
      <c r="AG395" s="441"/>
      <c r="AH395" s="441"/>
      <c r="AI395" s="441"/>
      <c r="AJ395" s="441"/>
      <c r="AK395" s="395"/>
      <c r="AL395" s="395"/>
      <c r="AM395" s="395">
        <v>0</v>
      </c>
      <c r="AN395" s="395">
        <v>60</v>
      </c>
      <c r="AO395" s="395"/>
      <c r="AP395" s="410"/>
      <c r="AQ395" s="410"/>
    </row>
    <row r="396" spans="2:43" ht="15" customHeight="1">
      <c r="B396" s="394">
        <v>1</v>
      </c>
      <c r="C396" s="395" t="s">
        <v>614</v>
      </c>
      <c r="D396" s="417" t="s">
        <v>4595</v>
      </c>
      <c r="E396" s="662" t="s">
        <v>4596</v>
      </c>
      <c r="F396" s="417"/>
      <c r="G396" s="384"/>
      <c r="H396" s="768"/>
      <c r="I396" s="384"/>
      <c r="J396" s="384" t="s">
        <v>4985</v>
      </c>
      <c r="K396" s="657"/>
      <c r="L396" s="658"/>
      <c r="M396" s="384"/>
      <c r="N396" s="384"/>
      <c r="O396" s="384"/>
      <c r="P396" s="384"/>
      <c r="Q396" s="384"/>
      <c r="R396" s="384"/>
      <c r="S396" s="660"/>
      <c r="T396" s="396"/>
      <c r="U396" s="384"/>
      <c r="V396" s="384"/>
      <c r="W396" s="384"/>
      <c r="X396" s="384"/>
      <c r="Y396" s="442"/>
      <c r="Z396" s="442" t="s">
        <v>4597</v>
      </c>
      <c r="AA396" s="441" t="s">
        <v>4598</v>
      </c>
      <c r="AB396" s="441"/>
      <c r="AC396" s="441"/>
      <c r="AD396" s="441" t="s">
        <v>3239</v>
      </c>
      <c r="AE396" s="441"/>
      <c r="AF396" s="441" t="s">
        <v>4599</v>
      </c>
      <c r="AG396" s="441"/>
      <c r="AH396" s="441"/>
      <c r="AI396" s="441"/>
      <c r="AJ396" s="441"/>
      <c r="AK396" s="395"/>
      <c r="AL396" s="395"/>
      <c r="AM396" s="395">
        <v>0</v>
      </c>
      <c r="AN396" s="395">
        <v>60</v>
      </c>
      <c r="AO396" s="395"/>
      <c r="AP396" s="410"/>
      <c r="AQ396" s="410"/>
    </row>
    <row r="397" spans="2:43" ht="15" customHeight="1">
      <c r="B397" s="394">
        <v>1</v>
      </c>
      <c r="C397" s="395" t="s">
        <v>614</v>
      </c>
      <c r="D397" s="417" t="s">
        <v>4600</v>
      </c>
      <c r="E397" s="662" t="s">
        <v>4601</v>
      </c>
      <c r="F397" s="417"/>
      <c r="G397" s="384"/>
      <c r="H397" s="768"/>
      <c r="I397" s="384"/>
      <c r="J397" s="384" t="s">
        <v>4985</v>
      </c>
      <c r="K397" s="657"/>
      <c r="L397" s="658"/>
      <c r="M397" s="384"/>
      <c r="N397" s="384"/>
      <c r="O397" s="384"/>
      <c r="P397" s="384"/>
      <c r="Q397" s="384"/>
      <c r="R397" s="384"/>
      <c r="S397" s="660"/>
      <c r="T397" s="396"/>
      <c r="U397" s="384"/>
      <c r="V397" s="384"/>
      <c r="W397" s="384"/>
      <c r="X397" s="384"/>
      <c r="Y397" s="442"/>
      <c r="Z397" s="442" t="s">
        <v>4602</v>
      </c>
      <c r="AA397" s="441" t="s">
        <v>4603</v>
      </c>
      <c r="AB397" s="441"/>
      <c r="AC397" s="441"/>
      <c r="AD397" s="441" t="s">
        <v>3238</v>
      </c>
      <c r="AE397" s="441" t="s">
        <v>4604</v>
      </c>
      <c r="AF397" s="441"/>
      <c r="AG397" s="441"/>
      <c r="AH397" s="441"/>
      <c r="AI397" s="441"/>
      <c r="AJ397" s="441"/>
      <c r="AK397" s="395"/>
      <c r="AL397" s="395"/>
      <c r="AM397" s="395">
        <v>1</v>
      </c>
      <c r="AN397" s="395">
        <v>60</v>
      </c>
      <c r="AO397" s="395"/>
      <c r="AP397" s="410"/>
      <c r="AQ397" s="410"/>
    </row>
    <row r="398" spans="2:43" ht="15" customHeight="1">
      <c r="B398" s="394">
        <v>1</v>
      </c>
      <c r="C398" s="395" t="s">
        <v>614</v>
      </c>
      <c r="D398" s="417" t="s">
        <v>4605</v>
      </c>
      <c r="E398" s="662" t="s">
        <v>4606</v>
      </c>
      <c r="F398" s="417"/>
      <c r="G398" s="384"/>
      <c r="H398" s="768"/>
      <c r="I398" s="384"/>
      <c r="J398" s="384" t="s">
        <v>4985</v>
      </c>
      <c r="K398" s="657"/>
      <c r="L398" s="658"/>
      <c r="M398" s="384"/>
      <c r="N398" s="384"/>
      <c r="O398" s="384"/>
      <c r="P398" s="384"/>
      <c r="Q398" s="384"/>
      <c r="R398" s="384"/>
      <c r="S398" s="660"/>
      <c r="T398" s="396"/>
      <c r="U398" s="384"/>
      <c r="V398" s="384"/>
      <c r="W398" s="384"/>
      <c r="X398" s="384"/>
      <c r="Y398" s="442"/>
      <c r="Z398" s="442" t="s">
        <v>4607</v>
      </c>
      <c r="AA398" s="441" t="s">
        <v>4608</v>
      </c>
      <c r="AB398" s="441"/>
      <c r="AC398" s="441"/>
      <c r="AD398" s="441" t="s">
        <v>3241</v>
      </c>
      <c r="AE398" s="441" t="s">
        <v>4609</v>
      </c>
      <c r="AF398" s="441"/>
      <c r="AG398" s="441"/>
      <c r="AH398" s="441"/>
      <c r="AI398" s="441"/>
      <c r="AJ398" s="441"/>
      <c r="AK398" s="395"/>
      <c r="AL398" s="395"/>
      <c r="AM398" s="395">
        <v>1</v>
      </c>
      <c r="AN398" s="395">
        <v>60</v>
      </c>
      <c r="AO398" s="395"/>
      <c r="AP398" s="410"/>
      <c r="AQ398" s="410"/>
    </row>
    <row r="399" spans="2:43" ht="15" customHeight="1">
      <c r="B399" s="394">
        <v>1</v>
      </c>
      <c r="C399" s="395" t="s">
        <v>614</v>
      </c>
      <c r="D399" s="417" t="s">
        <v>4610</v>
      </c>
      <c r="E399" s="662" t="s">
        <v>4611</v>
      </c>
      <c r="F399" s="417"/>
      <c r="G399" s="384"/>
      <c r="H399" s="768"/>
      <c r="I399" s="384"/>
      <c r="J399" s="384" t="s">
        <v>4985</v>
      </c>
      <c r="K399" s="657"/>
      <c r="L399" s="658"/>
      <c r="M399" s="384"/>
      <c r="N399" s="384"/>
      <c r="O399" s="384"/>
      <c r="P399" s="384"/>
      <c r="Q399" s="384"/>
      <c r="R399" s="384"/>
      <c r="S399" s="660"/>
      <c r="T399" s="396"/>
      <c r="U399" s="384"/>
      <c r="V399" s="384"/>
      <c r="W399" s="384"/>
      <c r="X399" s="384"/>
      <c r="Y399" s="442"/>
      <c r="Z399" s="442" t="s">
        <v>4612</v>
      </c>
      <c r="AA399" s="441" t="s">
        <v>4613</v>
      </c>
      <c r="AB399" s="441"/>
      <c r="AC399" s="441"/>
      <c r="AD399" s="441" t="s">
        <v>3240</v>
      </c>
      <c r="AE399" s="441" t="s">
        <v>4614</v>
      </c>
      <c r="AF399" s="441"/>
      <c r="AG399" s="441"/>
      <c r="AH399" s="441"/>
      <c r="AI399" s="441"/>
      <c r="AJ399" s="441"/>
      <c r="AK399" s="395"/>
      <c r="AL399" s="395"/>
      <c r="AM399" s="395">
        <v>1</v>
      </c>
      <c r="AN399" s="395">
        <v>60</v>
      </c>
      <c r="AO399" s="395"/>
      <c r="AP399" s="410"/>
      <c r="AQ399" s="410"/>
    </row>
    <row r="400" spans="2:43" ht="15" customHeight="1">
      <c r="B400" s="394">
        <v>1</v>
      </c>
      <c r="C400" s="395" t="s">
        <v>614</v>
      </c>
      <c r="D400" s="417" t="s">
        <v>4615</v>
      </c>
      <c r="E400" s="662" t="s">
        <v>4616</v>
      </c>
      <c r="F400" s="417"/>
      <c r="G400" s="384"/>
      <c r="H400" s="768"/>
      <c r="I400" s="384"/>
      <c r="J400" s="384" t="s">
        <v>4985</v>
      </c>
      <c r="K400" s="657"/>
      <c r="L400" s="658"/>
      <c r="M400" s="384"/>
      <c r="N400" s="384"/>
      <c r="O400" s="384"/>
      <c r="P400" s="384"/>
      <c r="Q400" s="384"/>
      <c r="R400" s="384"/>
      <c r="S400" s="660"/>
      <c r="T400" s="396"/>
      <c r="U400" s="384"/>
      <c r="V400" s="384"/>
      <c r="W400" s="384"/>
      <c r="X400" s="384"/>
      <c r="Y400" s="442"/>
      <c r="Z400" s="442" t="s">
        <v>4617</v>
      </c>
      <c r="AA400" s="441" t="s">
        <v>4618</v>
      </c>
      <c r="AB400" s="441"/>
      <c r="AC400" s="441"/>
      <c r="AD400" s="441" t="s">
        <v>3243</v>
      </c>
      <c r="AE400" s="441" t="s">
        <v>4619</v>
      </c>
      <c r="AF400" s="441"/>
      <c r="AG400" s="441"/>
      <c r="AH400" s="441"/>
      <c r="AI400" s="441"/>
      <c r="AJ400" s="441"/>
      <c r="AK400" s="395"/>
      <c r="AL400" s="395"/>
      <c r="AM400" s="395">
        <v>1</v>
      </c>
      <c r="AN400" s="395">
        <v>60</v>
      </c>
      <c r="AO400" s="395"/>
      <c r="AP400" s="410"/>
      <c r="AQ400" s="410"/>
    </row>
    <row r="401" spans="2:43" ht="15" customHeight="1">
      <c r="B401" s="394">
        <v>1</v>
      </c>
      <c r="C401" s="395" t="s">
        <v>614</v>
      </c>
      <c r="D401" s="417" t="s">
        <v>4620</v>
      </c>
      <c r="E401" s="662" t="s">
        <v>4621</v>
      </c>
      <c r="F401" s="417"/>
      <c r="G401" s="384"/>
      <c r="H401" s="768"/>
      <c r="I401" s="384"/>
      <c r="J401" s="384" t="s">
        <v>4985</v>
      </c>
      <c r="K401" s="657"/>
      <c r="L401" s="658"/>
      <c r="M401" s="384"/>
      <c r="N401" s="384"/>
      <c r="O401" s="384"/>
      <c r="P401" s="384"/>
      <c r="Q401" s="384"/>
      <c r="R401" s="384"/>
      <c r="S401" s="660"/>
      <c r="T401" s="396"/>
      <c r="U401" s="384"/>
      <c r="V401" s="384"/>
      <c r="W401" s="384"/>
      <c r="X401" s="384"/>
      <c r="Y401" s="442"/>
      <c r="Z401" s="442" t="s">
        <v>4622</v>
      </c>
      <c r="AA401" s="441" t="s">
        <v>4623</v>
      </c>
      <c r="AB401" s="441"/>
      <c r="AC401" s="441"/>
      <c r="AD401" s="441" t="s">
        <v>3242</v>
      </c>
      <c r="AE401" s="441" t="s">
        <v>4624</v>
      </c>
      <c r="AF401" s="441"/>
      <c r="AG401" s="441"/>
      <c r="AH401" s="441"/>
      <c r="AI401" s="441"/>
      <c r="AJ401" s="441"/>
      <c r="AK401" s="395"/>
      <c r="AL401" s="395"/>
      <c r="AM401" s="395">
        <v>1</v>
      </c>
      <c r="AN401" s="395">
        <v>60</v>
      </c>
      <c r="AO401" s="395"/>
      <c r="AP401" s="410"/>
      <c r="AQ401" s="410"/>
    </row>
    <row r="402" spans="2:43" ht="15" customHeight="1">
      <c r="B402" s="394">
        <v>1</v>
      </c>
      <c r="C402" s="395" t="s">
        <v>614</v>
      </c>
      <c r="D402" s="417" t="s">
        <v>4625</v>
      </c>
      <c r="E402" s="662" t="s">
        <v>4626</v>
      </c>
      <c r="F402" s="417"/>
      <c r="G402" s="384"/>
      <c r="H402" s="768"/>
      <c r="I402" s="384"/>
      <c r="J402" s="384" t="s">
        <v>4985</v>
      </c>
      <c r="K402" s="657"/>
      <c r="L402" s="658"/>
      <c r="M402" s="384"/>
      <c r="N402" s="384"/>
      <c r="O402" s="384"/>
      <c r="P402" s="384"/>
      <c r="Q402" s="384"/>
      <c r="R402" s="384"/>
      <c r="S402" s="660"/>
      <c r="T402" s="396"/>
      <c r="U402" s="384"/>
      <c r="V402" s="384"/>
      <c r="W402" s="384"/>
      <c r="X402" s="384"/>
      <c r="Y402" s="442"/>
      <c r="Z402" s="442" t="s">
        <v>4627</v>
      </c>
      <c r="AA402" s="441" t="s">
        <v>4628</v>
      </c>
      <c r="AB402" s="441"/>
      <c r="AC402" s="441"/>
      <c r="AD402" s="441" t="s">
        <v>3245</v>
      </c>
      <c r="AE402" s="441" t="s">
        <v>4629</v>
      </c>
      <c r="AF402" s="441"/>
      <c r="AG402" s="441"/>
      <c r="AH402" s="441"/>
      <c r="AI402" s="441"/>
      <c r="AJ402" s="441"/>
      <c r="AK402" s="395"/>
      <c r="AL402" s="395"/>
      <c r="AM402" s="395">
        <v>1</v>
      </c>
      <c r="AN402" s="395">
        <v>60</v>
      </c>
      <c r="AO402" s="395"/>
      <c r="AP402" s="410"/>
      <c r="AQ402" s="410"/>
    </row>
    <row r="403" spans="2:43" ht="15" customHeight="1">
      <c r="B403" s="394">
        <v>1</v>
      </c>
      <c r="C403" s="395" t="s">
        <v>614</v>
      </c>
      <c r="D403" s="417" t="s">
        <v>4630</v>
      </c>
      <c r="E403" s="662" t="s">
        <v>4631</v>
      </c>
      <c r="F403" s="417"/>
      <c r="G403" s="384"/>
      <c r="H403" s="768"/>
      <c r="I403" s="384"/>
      <c r="J403" s="384" t="s">
        <v>4985</v>
      </c>
      <c r="K403" s="657"/>
      <c r="L403" s="658"/>
      <c r="M403" s="384"/>
      <c r="N403" s="384"/>
      <c r="O403" s="384"/>
      <c r="P403" s="384"/>
      <c r="Q403" s="384"/>
      <c r="R403" s="384"/>
      <c r="S403" s="660"/>
      <c r="T403" s="396"/>
      <c r="U403" s="384"/>
      <c r="V403" s="384"/>
      <c r="W403" s="384"/>
      <c r="X403" s="384"/>
      <c r="Y403" s="442"/>
      <c r="Z403" s="442" t="s">
        <v>4632</v>
      </c>
      <c r="AA403" s="441" t="s">
        <v>4633</v>
      </c>
      <c r="AB403" s="441"/>
      <c r="AC403" s="441"/>
      <c r="AD403" s="441" t="s">
        <v>3244</v>
      </c>
      <c r="AE403" s="441" t="s">
        <v>4634</v>
      </c>
      <c r="AF403" s="441"/>
      <c r="AG403" s="441"/>
      <c r="AH403" s="441"/>
      <c r="AI403" s="441"/>
      <c r="AJ403" s="441"/>
      <c r="AK403" s="395"/>
      <c r="AL403" s="395"/>
      <c r="AM403" s="395">
        <v>1</v>
      </c>
      <c r="AN403" s="395">
        <v>60</v>
      </c>
      <c r="AO403" s="395"/>
      <c r="AP403" s="410"/>
      <c r="AQ403" s="410"/>
    </row>
    <row r="404" spans="2:43" ht="15" customHeight="1">
      <c r="B404" s="394">
        <v>1</v>
      </c>
      <c r="C404" s="395" t="s">
        <v>614</v>
      </c>
      <c r="D404" s="417" t="s">
        <v>4635</v>
      </c>
      <c r="E404" s="662" t="s">
        <v>4636</v>
      </c>
      <c r="F404" s="417"/>
      <c r="G404" s="384"/>
      <c r="H404" s="768"/>
      <c r="I404" s="384"/>
      <c r="J404" s="384" t="s">
        <v>4985</v>
      </c>
      <c r="K404" s="657"/>
      <c r="L404" s="658"/>
      <c r="M404" s="384"/>
      <c r="N404" s="384"/>
      <c r="O404" s="384"/>
      <c r="P404" s="384"/>
      <c r="Q404" s="384"/>
      <c r="R404" s="384"/>
      <c r="S404" s="660"/>
      <c r="T404" s="396"/>
      <c r="U404" s="384"/>
      <c r="V404" s="384"/>
      <c r="W404" s="384"/>
      <c r="X404" s="384"/>
      <c r="Y404" s="442"/>
      <c r="Z404" s="442" t="s">
        <v>4637</v>
      </c>
      <c r="AA404" s="441" t="s">
        <v>4638</v>
      </c>
      <c r="AB404" s="441"/>
      <c r="AC404" s="441"/>
      <c r="AD404" s="441" t="s">
        <v>3247</v>
      </c>
      <c r="AE404" s="441" t="s">
        <v>4639</v>
      </c>
      <c r="AF404" s="441"/>
      <c r="AG404" s="441"/>
      <c r="AH404" s="441"/>
      <c r="AI404" s="441"/>
      <c r="AJ404" s="441"/>
      <c r="AK404" s="395"/>
      <c r="AL404" s="395"/>
      <c r="AM404" s="395">
        <v>1</v>
      </c>
      <c r="AN404" s="395">
        <v>60</v>
      </c>
      <c r="AO404" s="395"/>
      <c r="AP404" s="410"/>
      <c r="AQ404" s="410"/>
    </row>
    <row r="405" spans="2:43" ht="15" customHeight="1">
      <c r="B405" s="394">
        <v>1</v>
      </c>
      <c r="C405" s="395" t="s">
        <v>614</v>
      </c>
      <c r="D405" s="417" t="s">
        <v>4640</v>
      </c>
      <c r="E405" s="662" t="s">
        <v>4641</v>
      </c>
      <c r="F405" s="417"/>
      <c r="G405" s="384"/>
      <c r="H405" s="768"/>
      <c r="I405" s="384"/>
      <c r="J405" s="384" t="s">
        <v>4985</v>
      </c>
      <c r="K405" s="657"/>
      <c r="L405" s="658"/>
      <c r="M405" s="384"/>
      <c r="N405" s="384"/>
      <c r="O405" s="384"/>
      <c r="P405" s="384"/>
      <c r="Q405" s="384"/>
      <c r="R405" s="384"/>
      <c r="S405" s="660"/>
      <c r="T405" s="396"/>
      <c r="U405" s="384"/>
      <c r="V405" s="384"/>
      <c r="W405" s="384"/>
      <c r="X405" s="384"/>
      <c r="Y405" s="442"/>
      <c r="Z405" s="442" t="s">
        <v>4642</v>
      </c>
      <c r="AA405" s="441" t="s">
        <v>4643</v>
      </c>
      <c r="AB405" s="441"/>
      <c r="AC405" s="441"/>
      <c r="AD405" s="441" t="s">
        <v>3246</v>
      </c>
      <c r="AE405" s="441" t="s">
        <v>4644</v>
      </c>
      <c r="AF405" s="441"/>
      <c r="AG405" s="441"/>
      <c r="AH405" s="441"/>
      <c r="AI405" s="441"/>
      <c r="AJ405" s="441"/>
      <c r="AK405" s="395"/>
      <c r="AL405" s="395"/>
      <c r="AM405" s="395">
        <v>1</v>
      </c>
      <c r="AN405" s="395">
        <v>60</v>
      </c>
      <c r="AO405" s="395"/>
      <c r="AP405" s="410"/>
      <c r="AQ405" s="410"/>
    </row>
    <row r="406" spans="2:43" ht="15" customHeight="1">
      <c r="B406" s="394">
        <v>1</v>
      </c>
      <c r="C406" s="395" t="s">
        <v>614</v>
      </c>
      <c r="D406" s="417" t="s">
        <v>4645</v>
      </c>
      <c r="E406" s="662" t="s">
        <v>4646</v>
      </c>
      <c r="F406" s="417"/>
      <c r="G406" s="384"/>
      <c r="H406" s="768"/>
      <c r="I406" s="384"/>
      <c r="J406" s="384" t="s">
        <v>4985</v>
      </c>
      <c r="K406" s="657"/>
      <c r="L406" s="658"/>
      <c r="M406" s="384"/>
      <c r="N406" s="384"/>
      <c r="O406" s="384"/>
      <c r="P406" s="384"/>
      <c r="Q406" s="384"/>
      <c r="R406" s="384"/>
      <c r="S406" s="660"/>
      <c r="T406" s="396"/>
      <c r="U406" s="384"/>
      <c r="V406" s="384"/>
      <c r="W406" s="384"/>
      <c r="X406" s="384"/>
      <c r="Y406" s="442"/>
      <c r="Z406" s="442" t="s">
        <v>4647</v>
      </c>
      <c r="AA406" s="441" t="s">
        <v>4648</v>
      </c>
      <c r="AB406" s="441"/>
      <c r="AC406" s="441"/>
      <c r="AD406" s="441" t="s">
        <v>3249</v>
      </c>
      <c r="AE406" s="441" t="s">
        <v>4649</v>
      </c>
      <c r="AF406" s="441"/>
      <c r="AG406" s="441"/>
      <c r="AH406" s="441"/>
      <c r="AI406" s="441"/>
      <c r="AJ406" s="441"/>
      <c r="AK406" s="395"/>
      <c r="AL406" s="395"/>
      <c r="AM406" s="395">
        <v>1</v>
      </c>
      <c r="AN406" s="395">
        <v>60</v>
      </c>
      <c r="AO406" s="395"/>
      <c r="AP406" s="410"/>
      <c r="AQ406" s="410"/>
    </row>
    <row r="407" spans="2:43" ht="15" customHeight="1">
      <c r="B407" s="394">
        <v>1</v>
      </c>
      <c r="C407" s="395" t="s">
        <v>614</v>
      </c>
      <c r="D407" s="417" t="s">
        <v>4650</v>
      </c>
      <c r="E407" s="662" t="s">
        <v>4651</v>
      </c>
      <c r="F407" s="417"/>
      <c r="G407" s="384"/>
      <c r="H407" s="768"/>
      <c r="I407" s="384"/>
      <c r="J407" s="384" t="s">
        <v>4985</v>
      </c>
      <c r="K407" s="657"/>
      <c r="L407" s="658"/>
      <c r="M407" s="384"/>
      <c r="N407" s="384"/>
      <c r="O407" s="384"/>
      <c r="P407" s="384"/>
      <c r="Q407" s="384"/>
      <c r="R407" s="384"/>
      <c r="S407" s="660"/>
      <c r="T407" s="396"/>
      <c r="U407" s="384"/>
      <c r="V407" s="384"/>
      <c r="W407" s="384"/>
      <c r="X407" s="384"/>
      <c r="Y407" s="442"/>
      <c r="Z407" s="442" t="s">
        <v>4652</v>
      </c>
      <c r="AA407" s="441" t="s">
        <v>4653</v>
      </c>
      <c r="AB407" s="441"/>
      <c r="AC407" s="441"/>
      <c r="AD407" s="441" t="s">
        <v>3248</v>
      </c>
      <c r="AE407" s="441" t="s">
        <v>4654</v>
      </c>
      <c r="AF407" s="441"/>
      <c r="AG407" s="441"/>
      <c r="AH407" s="441"/>
      <c r="AI407" s="441"/>
      <c r="AJ407" s="441"/>
      <c r="AK407" s="395"/>
      <c r="AL407" s="395"/>
      <c r="AM407" s="395">
        <v>1</v>
      </c>
      <c r="AN407" s="395">
        <v>60</v>
      </c>
      <c r="AO407" s="395"/>
      <c r="AP407" s="410"/>
      <c r="AQ407" s="410"/>
    </row>
    <row r="408" spans="2:43" ht="15" customHeight="1">
      <c r="B408" s="394">
        <v>1</v>
      </c>
      <c r="C408" s="395" t="s">
        <v>614</v>
      </c>
      <c r="D408" s="417" t="s">
        <v>4655</v>
      </c>
      <c r="E408" s="662" t="s">
        <v>4656</v>
      </c>
      <c r="F408" s="417"/>
      <c r="G408" s="384"/>
      <c r="H408" s="768"/>
      <c r="I408" s="384"/>
      <c r="J408" s="384" t="s">
        <v>4985</v>
      </c>
      <c r="K408" s="657"/>
      <c r="L408" s="658"/>
      <c r="M408" s="384"/>
      <c r="N408" s="384"/>
      <c r="O408" s="384"/>
      <c r="P408" s="384"/>
      <c r="Q408" s="384"/>
      <c r="R408" s="384"/>
      <c r="S408" s="660"/>
      <c r="T408" s="396"/>
      <c r="U408" s="384"/>
      <c r="V408" s="384"/>
      <c r="W408" s="384"/>
      <c r="X408" s="384"/>
      <c r="Y408" s="442"/>
      <c r="Z408" s="442" t="s">
        <v>4657</v>
      </c>
      <c r="AA408" s="441" t="s">
        <v>4658</v>
      </c>
      <c r="AB408" s="441"/>
      <c r="AC408" s="441"/>
      <c r="AD408" s="441" t="s">
        <v>3251</v>
      </c>
      <c r="AE408" s="441" t="s">
        <v>4659</v>
      </c>
      <c r="AF408" s="441"/>
      <c r="AG408" s="441"/>
      <c r="AH408" s="441"/>
      <c r="AI408" s="441"/>
      <c r="AJ408" s="441"/>
      <c r="AK408" s="395"/>
      <c r="AL408" s="395"/>
      <c r="AM408" s="395">
        <v>1</v>
      </c>
      <c r="AN408" s="395">
        <v>60</v>
      </c>
      <c r="AO408" s="395"/>
      <c r="AP408" s="410"/>
      <c r="AQ408" s="410"/>
    </row>
    <row r="409" spans="2:43" ht="15" customHeight="1">
      <c r="B409" s="394">
        <v>1</v>
      </c>
      <c r="C409" s="395" t="s">
        <v>594</v>
      </c>
      <c r="D409" s="417" t="s">
        <v>4660</v>
      </c>
      <c r="E409" s="662" t="s">
        <v>4661</v>
      </c>
      <c r="F409" s="417"/>
      <c r="G409" s="384"/>
      <c r="H409" s="768"/>
      <c r="I409" s="384"/>
      <c r="J409" s="384" t="s">
        <v>4985</v>
      </c>
      <c r="K409" s="657"/>
      <c r="L409" s="658"/>
      <c r="M409" s="384"/>
      <c r="N409" s="384"/>
      <c r="O409" s="384"/>
      <c r="P409" s="384"/>
      <c r="Q409" s="384"/>
      <c r="R409" s="384"/>
      <c r="S409" s="660"/>
      <c r="T409" s="396"/>
      <c r="U409" s="384"/>
      <c r="V409" s="384"/>
      <c r="W409" s="384"/>
      <c r="X409" s="384"/>
      <c r="Y409" s="442"/>
      <c r="Z409" s="442" t="s">
        <v>4662</v>
      </c>
      <c r="AA409" s="441" t="s">
        <v>4948</v>
      </c>
      <c r="AB409" s="441"/>
      <c r="AC409" s="441" t="s">
        <v>3360</v>
      </c>
      <c r="AD409" s="441"/>
      <c r="AE409" s="441" t="s">
        <v>3322</v>
      </c>
      <c r="AF409" s="441" t="s">
        <v>3321</v>
      </c>
      <c r="AG409" s="441"/>
      <c r="AH409" s="441"/>
      <c r="AI409" s="441"/>
      <c r="AJ409" s="441"/>
      <c r="AK409" s="395">
        <v>2</v>
      </c>
      <c r="AL409" s="395" t="s">
        <v>76</v>
      </c>
      <c r="AM409" s="395"/>
      <c r="AN409" s="395">
        <v>2</v>
      </c>
      <c r="AO409" s="395">
        <v>2</v>
      </c>
      <c r="AP409" s="410"/>
      <c r="AQ409" s="410"/>
    </row>
    <row r="410" spans="2:43" ht="15" customHeight="1">
      <c r="B410" s="394">
        <v>1</v>
      </c>
      <c r="C410" s="395" t="s">
        <v>594</v>
      </c>
      <c r="D410" s="417" t="s">
        <v>4663</v>
      </c>
      <c r="E410" s="662" t="s">
        <v>4664</v>
      </c>
      <c r="F410" s="417"/>
      <c r="G410" s="384"/>
      <c r="H410" s="768"/>
      <c r="I410" s="384"/>
      <c r="J410" s="384" t="s">
        <v>4985</v>
      </c>
      <c r="K410" s="657"/>
      <c r="L410" s="658"/>
      <c r="M410" s="384"/>
      <c r="N410" s="384"/>
      <c r="O410" s="384"/>
      <c r="P410" s="384"/>
      <c r="Q410" s="384"/>
      <c r="R410" s="384"/>
      <c r="S410" s="660"/>
      <c r="T410" s="396"/>
      <c r="U410" s="384"/>
      <c r="V410" s="384"/>
      <c r="W410" s="384"/>
      <c r="X410" s="384"/>
      <c r="Y410" s="442"/>
      <c r="Z410" s="442" t="s">
        <v>4665</v>
      </c>
      <c r="AA410" s="441" t="s">
        <v>4949</v>
      </c>
      <c r="AB410" s="441"/>
      <c r="AC410" s="441" t="s">
        <v>3361</v>
      </c>
      <c r="AD410" s="441"/>
      <c r="AE410" s="441" t="s">
        <v>4666</v>
      </c>
      <c r="AF410" s="441" t="s">
        <v>3323</v>
      </c>
      <c r="AG410" s="441"/>
      <c r="AH410" s="441"/>
      <c r="AI410" s="441"/>
      <c r="AJ410" s="441"/>
      <c r="AK410" s="395">
        <v>2</v>
      </c>
      <c r="AL410" s="395" t="s">
        <v>76</v>
      </c>
      <c r="AM410" s="395"/>
      <c r="AN410" s="395">
        <v>2</v>
      </c>
      <c r="AO410" s="395">
        <v>2</v>
      </c>
      <c r="AP410" s="410"/>
      <c r="AQ410" s="410"/>
    </row>
    <row r="411" spans="2:43" ht="15" customHeight="1">
      <c r="B411" s="394">
        <v>1</v>
      </c>
      <c r="C411" s="395" t="s">
        <v>594</v>
      </c>
      <c r="D411" s="417" t="s">
        <v>4667</v>
      </c>
      <c r="E411" s="662" t="s">
        <v>4668</v>
      </c>
      <c r="F411" s="417"/>
      <c r="G411" s="384"/>
      <c r="H411" s="768"/>
      <c r="I411" s="384"/>
      <c r="J411" s="384" t="s">
        <v>4985</v>
      </c>
      <c r="K411" s="657"/>
      <c r="L411" s="658"/>
      <c r="M411" s="384"/>
      <c r="N411" s="384"/>
      <c r="O411" s="384"/>
      <c r="P411" s="384"/>
      <c r="Q411" s="384"/>
      <c r="R411" s="384"/>
      <c r="S411" s="660"/>
      <c r="T411" s="396"/>
      <c r="U411" s="384"/>
      <c r="V411" s="384"/>
      <c r="W411" s="384"/>
      <c r="X411" s="384"/>
      <c r="Y411" s="442"/>
      <c r="Z411" s="442" t="s">
        <v>4669</v>
      </c>
      <c r="AA411" s="441" t="s">
        <v>4950</v>
      </c>
      <c r="AB411" s="441"/>
      <c r="AC411" s="441" t="s">
        <v>3362</v>
      </c>
      <c r="AD411" s="441"/>
      <c r="AE411" s="441" t="s">
        <v>4670</v>
      </c>
      <c r="AF411" s="441" t="s">
        <v>4671</v>
      </c>
      <c r="AG411" s="441"/>
      <c r="AH411" s="441"/>
      <c r="AI411" s="441"/>
      <c r="AJ411" s="441"/>
      <c r="AK411" s="395">
        <v>2</v>
      </c>
      <c r="AL411" s="395" t="s">
        <v>76</v>
      </c>
      <c r="AM411" s="395"/>
      <c r="AN411" s="395">
        <v>2</v>
      </c>
      <c r="AO411" s="395">
        <v>2</v>
      </c>
      <c r="AP411" s="410"/>
      <c r="AQ411" s="410"/>
    </row>
    <row r="412" spans="2:43" ht="15" customHeight="1">
      <c r="B412" s="394">
        <v>1</v>
      </c>
      <c r="C412" s="395" t="s">
        <v>594</v>
      </c>
      <c r="D412" s="417" t="s">
        <v>4672</v>
      </c>
      <c r="E412" s="662" t="s">
        <v>4673</v>
      </c>
      <c r="F412" s="417"/>
      <c r="G412" s="384"/>
      <c r="H412" s="768"/>
      <c r="I412" s="384"/>
      <c r="J412" s="384" t="s">
        <v>4985</v>
      </c>
      <c r="K412" s="657"/>
      <c r="L412" s="658"/>
      <c r="M412" s="384"/>
      <c r="N412" s="384"/>
      <c r="O412" s="384"/>
      <c r="P412" s="384"/>
      <c r="Q412" s="384"/>
      <c r="R412" s="384"/>
      <c r="S412" s="660"/>
      <c r="T412" s="396"/>
      <c r="U412" s="384"/>
      <c r="V412" s="384"/>
      <c r="W412" s="384"/>
      <c r="X412" s="384"/>
      <c r="Y412" s="442"/>
      <c r="Z412" s="442" t="s">
        <v>4674</v>
      </c>
      <c r="AA412" s="441" t="s">
        <v>4951</v>
      </c>
      <c r="AB412" s="441"/>
      <c r="AC412" s="441" t="s">
        <v>3363</v>
      </c>
      <c r="AD412" s="441"/>
      <c r="AE412" s="441" t="s">
        <v>4675</v>
      </c>
      <c r="AF412" s="441" t="s">
        <v>4676</v>
      </c>
      <c r="AG412" s="441"/>
      <c r="AH412" s="441"/>
      <c r="AI412" s="441"/>
      <c r="AJ412" s="441"/>
      <c r="AK412" s="395">
        <v>2</v>
      </c>
      <c r="AL412" s="395" t="s">
        <v>76</v>
      </c>
      <c r="AM412" s="395"/>
      <c r="AN412" s="395">
        <v>2</v>
      </c>
      <c r="AO412" s="395">
        <v>2</v>
      </c>
      <c r="AP412" s="410"/>
      <c r="AQ412" s="410"/>
    </row>
    <row r="413" spans="2:43" ht="15" customHeight="1">
      <c r="B413" s="394">
        <v>1</v>
      </c>
      <c r="C413" s="395" t="s">
        <v>594</v>
      </c>
      <c r="D413" s="417" t="s">
        <v>4677</v>
      </c>
      <c r="E413" s="662" t="s">
        <v>4678</v>
      </c>
      <c r="F413" s="417"/>
      <c r="G413" s="384"/>
      <c r="H413" s="768"/>
      <c r="I413" s="384"/>
      <c r="J413" s="384" t="s">
        <v>4985</v>
      </c>
      <c r="K413" s="657"/>
      <c r="L413" s="658"/>
      <c r="M413" s="384"/>
      <c r="N413" s="384"/>
      <c r="O413" s="384"/>
      <c r="P413" s="384"/>
      <c r="Q413" s="384"/>
      <c r="R413" s="384"/>
      <c r="S413" s="660"/>
      <c r="T413" s="396"/>
      <c r="U413" s="384"/>
      <c r="V413" s="384"/>
      <c r="W413" s="384"/>
      <c r="X413" s="384"/>
      <c r="Y413" s="442"/>
      <c r="Z413" s="442" t="s">
        <v>4679</v>
      </c>
      <c r="AA413" s="441" t="s">
        <v>4952</v>
      </c>
      <c r="AB413" s="441"/>
      <c r="AC413" s="441" t="s">
        <v>3364</v>
      </c>
      <c r="AD413" s="441"/>
      <c r="AE413" s="441" t="s">
        <v>4680</v>
      </c>
      <c r="AF413" s="441" t="s">
        <v>4681</v>
      </c>
      <c r="AG413" s="441"/>
      <c r="AH413" s="441"/>
      <c r="AI413" s="441"/>
      <c r="AJ413" s="441"/>
      <c r="AK413" s="395">
        <v>2</v>
      </c>
      <c r="AL413" s="395" t="s">
        <v>76</v>
      </c>
      <c r="AM413" s="395"/>
      <c r="AN413" s="395">
        <v>2</v>
      </c>
      <c r="AO413" s="395">
        <v>2</v>
      </c>
      <c r="AP413" s="410"/>
      <c r="AQ413" s="410"/>
    </row>
    <row r="414" spans="2:43" ht="15" customHeight="1">
      <c r="B414" s="394">
        <v>1</v>
      </c>
      <c r="C414" s="395" t="s">
        <v>594</v>
      </c>
      <c r="D414" s="417" t="s">
        <v>4682</v>
      </c>
      <c r="E414" s="662" t="s">
        <v>4683</v>
      </c>
      <c r="F414" s="417"/>
      <c r="G414" s="384"/>
      <c r="H414" s="768"/>
      <c r="I414" s="384"/>
      <c r="J414" s="384" t="s">
        <v>4985</v>
      </c>
      <c r="K414" s="657"/>
      <c r="L414" s="658"/>
      <c r="M414" s="384"/>
      <c r="N414" s="384"/>
      <c r="O414" s="384"/>
      <c r="P414" s="384"/>
      <c r="Q414" s="384"/>
      <c r="R414" s="384"/>
      <c r="S414" s="660"/>
      <c r="T414" s="396"/>
      <c r="U414" s="384"/>
      <c r="V414" s="384"/>
      <c r="W414" s="384"/>
      <c r="X414" s="384"/>
      <c r="Y414" s="442"/>
      <c r="Z414" s="442" t="s">
        <v>4684</v>
      </c>
      <c r="AA414" s="441" t="s">
        <v>4953</v>
      </c>
      <c r="AB414" s="441"/>
      <c r="AC414" s="441" t="s">
        <v>3365</v>
      </c>
      <c r="AD414" s="441"/>
      <c r="AE414" s="441" t="s">
        <v>3407</v>
      </c>
      <c r="AF414" s="441" t="s">
        <v>3406</v>
      </c>
      <c r="AG414" s="441"/>
      <c r="AH414" s="441"/>
      <c r="AI414" s="441"/>
      <c r="AJ414" s="441"/>
      <c r="AK414" s="395">
        <v>2</v>
      </c>
      <c r="AL414" s="395" t="s">
        <v>76</v>
      </c>
      <c r="AM414" s="395"/>
      <c r="AN414" s="395">
        <v>2</v>
      </c>
      <c r="AO414" s="395">
        <v>2</v>
      </c>
      <c r="AP414" s="410"/>
      <c r="AQ414" s="410"/>
    </row>
    <row r="415" spans="2:43" ht="15" customHeight="1">
      <c r="B415" s="394">
        <v>1</v>
      </c>
      <c r="C415" s="395" t="s">
        <v>594</v>
      </c>
      <c r="D415" s="417" t="s">
        <v>4685</v>
      </c>
      <c r="E415" s="662" t="s">
        <v>4686</v>
      </c>
      <c r="F415" s="417"/>
      <c r="G415" s="384"/>
      <c r="H415" s="768"/>
      <c r="I415" s="384"/>
      <c r="J415" s="384" t="s">
        <v>4985</v>
      </c>
      <c r="K415" s="657"/>
      <c r="L415" s="658"/>
      <c r="M415" s="384"/>
      <c r="N415" s="384"/>
      <c r="O415" s="384"/>
      <c r="P415" s="384"/>
      <c r="Q415" s="384"/>
      <c r="R415" s="384"/>
      <c r="S415" s="660"/>
      <c r="T415" s="396"/>
      <c r="U415" s="384"/>
      <c r="V415" s="384"/>
      <c r="W415" s="384"/>
      <c r="X415" s="384"/>
      <c r="Y415" s="442"/>
      <c r="Z415" s="442" t="s">
        <v>4687</v>
      </c>
      <c r="AA415" s="441" t="s">
        <v>4954</v>
      </c>
      <c r="AB415" s="441"/>
      <c r="AC415" s="441" t="s">
        <v>3366</v>
      </c>
      <c r="AD415" s="441"/>
      <c r="AE415" s="441" t="s">
        <v>4688</v>
      </c>
      <c r="AF415" s="441" t="s">
        <v>3408</v>
      </c>
      <c r="AG415" s="441"/>
      <c r="AH415" s="441"/>
      <c r="AI415" s="441"/>
      <c r="AJ415" s="441"/>
      <c r="AK415" s="395">
        <v>2</v>
      </c>
      <c r="AL415" s="395" t="s">
        <v>76</v>
      </c>
      <c r="AM415" s="395"/>
      <c r="AN415" s="395">
        <v>2</v>
      </c>
      <c r="AO415" s="395">
        <v>2</v>
      </c>
      <c r="AP415" s="410"/>
      <c r="AQ415" s="410"/>
    </row>
    <row r="416" spans="2:43" ht="15" customHeight="1">
      <c r="B416" s="394">
        <v>1</v>
      </c>
      <c r="C416" s="395" t="s">
        <v>594</v>
      </c>
      <c r="D416" s="417" t="s">
        <v>4689</v>
      </c>
      <c r="E416" s="662" t="s">
        <v>4690</v>
      </c>
      <c r="F416" s="417"/>
      <c r="G416" s="384"/>
      <c r="H416" s="768"/>
      <c r="I416" s="384"/>
      <c r="J416" s="384" t="s">
        <v>4985</v>
      </c>
      <c r="K416" s="657"/>
      <c r="L416" s="658"/>
      <c r="M416" s="384"/>
      <c r="N416" s="384"/>
      <c r="O416" s="384"/>
      <c r="P416" s="384"/>
      <c r="Q416" s="384"/>
      <c r="R416" s="384"/>
      <c r="S416" s="660"/>
      <c r="T416" s="396"/>
      <c r="U416" s="384"/>
      <c r="V416" s="384"/>
      <c r="W416" s="384"/>
      <c r="X416" s="384"/>
      <c r="Y416" s="442"/>
      <c r="Z416" s="442" t="s">
        <v>4691</v>
      </c>
      <c r="AA416" s="441" t="s">
        <v>4955</v>
      </c>
      <c r="AB416" s="441"/>
      <c r="AC416" s="441" t="s">
        <v>3367</v>
      </c>
      <c r="AD416" s="441"/>
      <c r="AE416" s="441" t="s">
        <v>4692</v>
      </c>
      <c r="AF416" s="441" t="s">
        <v>4693</v>
      </c>
      <c r="AG416" s="441"/>
      <c r="AH416" s="441"/>
      <c r="AI416" s="441"/>
      <c r="AJ416" s="441"/>
      <c r="AK416" s="395">
        <v>2</v>
      </c>
      <c r="AL416" s="395" t="s">
        <v>76</v>
      </c>
      <c r="AM416" s="395"/>
      <c r="AN416" s="395">
        <v>2</v>
      </c>
      <c r="AO416" s="395">
        <v>2</v>
      </c>
      <c r="AP416" s="410"/>
      <c r="AQ416" s="410"/>
    </row>
    <row r="417" spans="2:43" ht="15" customHeight="1">
      <c r="B417" s="394">
        <v>1</v>
      </c>
      <c r="C417" s="395" t="s">
        <v>594</v>
      </c>
      <c r="D417" s="417" t="s">
        <v>4694</v>
      </c>
      <c r="E417" s="662" t="s">
        <v>4695</v>
      </c>
      <c r="F417" s="417"/>
      <c r="G417" s="384"/>
      <c r="H417" s="768"/>
      <c r="I417" s="384"/>
      <c r="J417" s="384" t="s">
        <v>4985</v>
      </c>
      <c r="K417" s="657"/>
      <c r="L417" s="658"/>
      <c r="M417" s="384"/>
      <c r="N417" s="384"/>
      <c r="O417" s="384"/>
      <c r="P417" s="384"/>
      <c r="Q417" s="384"/>
      <c r="R417" s="384"/>
      <c r="S417" s="660"/>
      <c r="T417" s="396"/>
      <c r="U417" s="384"/>
      <c r="V417" s="384"/>
      <c r="W417" s="384"/>
      <c r="X417" s="384"/>
      <c r="Y417" s="442"/>
      <c r="Z417" s="442" t="s">
        <v>4696</v>
      </c>
      <c r="AA417" s="441" t="s">
        <v>4956</v>
      </c>
      <c r="AB417" s="441"/>
      <c r="AC417" s="441" t="s">
        <v>3368</v>
      </c>
      <c r="AD417" s="441"/>
      <c r="AE417" s="441" t="s">
        <v>4697</v>
      </c>
      <c r="AF417" s="441" t="s">
        <v>4698</v>
      </c>
      <c r="AG417" s="441"/>
      <c r="AH417" s="441"/>
      <c r="AI417" s="441"/>
      <c r="AJ417" s="441"/>
      <c r="AK417" s="395">
        <v>2</v>
      </c>
      <c r="AL417" s="395" t="s">
        <v>76</v>
      </c>
      <c r="AM417" s="395"/>
      <c r="AN417" s="395">
        <v>2</v>
      </c>
      <c r="AO417" s="395">
        <v>2</v>
      </c>
      <c r="AP417" s="410"/>
      <c r="AQ417" s="410"/>
    </row>
    <row r="418" spans="2:43" ht="15" customHeight="1">
      <c r="B418" s="394">
        <v>1</v>
      </c>
      <c r="C418" s="395" t="s">
        <v>594</v>
      </c>
      <c r="D418" s="417" t="s">
        <v>4699</v>
      </c>
      <c r="E418" s="662" t="s">
        <v>4700</v>
      </c>
      <c r="F418" s="417"/>
      <c r="G418" s="384"/>
      <c r="H418" s="768"/>
      <c r="I418" s="384"/>
      <c r="J418" s="384" t="s">
        <v>4985</v>
      </c>
      <c r="K418" s="657"/>
      <c r="L418" s="658"/>
      <c r="M418" s="384"/>
      <c r="N418" s="384"/>
      <c r="O418" s="384"/>
      <c r="P418" s="384"/>
      <c r="Q418" s="384"/>
      <c r="R418" s="384"/>
      <c r="S418" s="660"/>
      <c r="T418" s="396"/>
      <c r="U418" s="384"/>
      <c r="V418" s="384"/>
      <c r="W418" s="384"/>
      <c r="X418" s="384"/>
      <c r="Y418" s="442"/>
      <c r="Z418" s="442" t="s">
        <v>4701</v>
      </c>
      <c r="AA418" s="441" t="s">
        <v>4957</v>
      </c>
      <c r="AB418" s="441"/>
      <c r="AC418" s="441" t="s">
        <v>3369</v>
      </c>
      <c r="AD418" s="441"/>
      <c r="AE418" s="441" t="s">
        <v>4702</v>
      </c>
      <c r="AF418" s="441" t="s">
        <v>4703</v>
      </c>
      <c r="AG418" s="441"/>
      <c r="AH418" s="441"/>
      <c r="AI418" s="441"/>
      <c r="AJ418" s="441"/>
      <c r="AK418" s="395">
        <v>2</v>
      </c>
      <c r="AL418" s="395" t="s">
        <v>76</v>
      </c>
      <c r="AM418" s="395"/>
      <c r="AN418" s="395">
        <v>2</v>
      </c>
      <c r="AO418" s="395">
        <v>2</v>
      </c>
      <c r="AP418" s="410"/>
      <c r="AQ418" s="410"/>
    </row>
    <row r="419" spans="2:43" ht="15" customHeight="1">
      <c r="B419" s="394">
        <v>1</v>
      </c>
      <c r="C419" s="395" t="s">
        <v>594</v>
      </c>
      <c r="D419" s="417" t="s">
        <v>4704</v>
      </c>
      <c r="E419" s="662" t="s">
        <v>4705</v>
      </c>
      <c r="F419" s="417"/>
      <c r="G419" s="384"/>
      <c r="H419" s="768"/>
      <c r="I419" s="384"/>
      <c r="J419" s="384" t="s">
        <v>4985</v>
      </c>
      <c r="K419" s="657"/>
      <c r="L419" s="658"/>
      <c r="M419" s="384"/>
      <c r="N419" s="384"/>
      <c r="O419" s="384"/>
      <c r="P419" s="384"/>
      <c r="Q419" s="384"/>
      <c r="R419" s="384"/>
      <c r="S419" s="660"/>
      <c r="T419" s="396"/>
      <c r="U419" s="384"/>
      <c r="V419" s="384"/>
      <c r="W419" s="384"/>
      <c r="X419" s="384"/>
      <c r="Y419" s="442"/>
      <c r="Z419" s="442" t="s">
        <v>4706</v>
      </c>
      <c r="AA419" s="441" t="s">
        <v>4958</v>
      </c>
      <c r="AB419" s="441"/>
      <c r="AC419" s="441" t="s">
        <v>3140</v>
      </c>
      <c r="AD419" s="441"/>
      <c r="AE419" s="441" t="s">
        <v>4707</v>
      </c>
      <c r="AF419" s="441" t="s">
        <v>4708</v>
      </c>
      <c r="AG419" s="441"/>
      <c r="AH419" s="441"/>
      <c r="AI419" s="441"/>
      <c r="AJ419" s="441"/>
      <c r="AK419" s="395">
        <v>2</v>
      </c>
      <c r="AL419" s="395" t="s">
        <v>76</v>
      </c>
      <c r="AM419" s="395"/>
      <c r="AN419" s="395">
        <v>2</v>
      </c>
      <c r="AO419" s="395">
        <v>2</v>
      </c>
      <c r="AP419" s="410"/>
      <c r="AQ419" s="410"/>
    </row>
    <row r="420" spans="2:43" ht="15" customHeight="1">
      <c r="B420" s="394">
        <v>1</v>
      </c>
      <c r="C420" s="395" t="s">
        <v>594</v>
      </c>
      <c r="D420" s="417" t="s">
        <v>4709</v>
      </c>
      <c r="E420" s="662" t="s">
        <v>4710</v>
      </c>
      <c r="F420" s="417"/>
      <c r="G420" s="384"/>
      <c r="H420" s="768"/>
      <c r="I420" s="384"/>
      <c r="J420" s="384" t="s">
        <v>4985</v>
      </c>
      <c r="K420" s="657"/>
      <c r="L420" s="658"/>
      <c r="M420" s="384"/>
      <c r="N420" s="384"/>
      <c r="O420" s="384"/>
      <c r="P420" s="384"/>
      <c r="Q420" s="384"/>
      <c r="R420" s="384"/>
      <c r="S420" s="660"/>
      <c r="T420" s="396"/>
      <c r="U420" s="384"/>
      <c r="V420" s="384"/>
      <c r="W420" s="384"/>
      <c r="X420" s="384"/>
      <c r="Y420" s="442"/>
      <c r="Z420" s="442" t="s">
        <v>4711</v>
      </c>
      <c r="AA420" s="441" t="s">
        <v>4959</v>
      </c>
      <c r="AB420" s="441"/>
      <c r="AC420" s="441" t="s">
        <v>3139</v>
      </c>
      <c r="AD420" s="441"/>
      <c r="AE420" s="441" t="s">
        <v>4712</v>
      </c>
      <c r="AF420" s="441" t="s">
        <v>4713</v>
      </c>
      <c r="AG420" s="441"/>
      <c r="AH420" s="441"/>
      <c r="AI420" s="441"/>
      <c r="AJ420" s="441"/>
      <c r="AK420" s="395">
        <v>2</v>
      </c>
      <c r="AL420" s="395" t="s">
        <v>76</v>
      </c>
      <c r="AM420" s="395"/>
      <c r="AN420" s="395">
        <v>2</v>
      </c>
      <c r="AO420" s="395">
        <v>2</v>
      </c>
      <c r="AP420" s="410"/>
      <c r="AQ420" s="410"/>
    </row>
    <row r="421" spans="2:43" ht="15" customHeight="1">
      <c r="B421" s="394">
        <v>1</v>
      </c>
      <c r="C421" s="395" t="s">
        <v>594</v>
      </c>
      <c r="D421" s="417" t="s">
        <v>4714</v>
      </c>
      <c r="E421" s="662" t="s">
        <v>4715</v>
      </c>
      <c r="F421" s="417"/>
      <c r="G421" s="384"/>
      <c r="H421" s="768"/>
      <c r="I421" s="384"/>
      <c r="J421" s="384" t="s">
        <v>4985</v>
      </c>
      <c r="K421" s="657"/>
      <c r="L421" s="658"/>
      <c r="M421" s="384"/>
      <c r="N421" s="384"/>
      <c r="O421" s="384"/>
      <c r="P421" s="384"/>
      <c r="Q421" s="384"/>
      <c r="R421" s="384"/>
      <c r="S421" s="660"/>
      <c r="T421" s="396"/>
      <c r="U421" s="384"/>
      <c r="V421" s="384"/>
      <c r="W421" s="384"/>
      <c r="X421" s="384"/>
      <c r="Y421" s="442"/>
      <c r="Z421" s="442" t="s">
        <v>4716</v>
      </c>
      <c r="AA421" s="441" t="s">
        <v>4960</v>
      </c>
      <c r="AB421" s="441"/>
      <c r="AC421" s="441" t="s">
        <v>3142</v>
      </c>
      <c r="AD421" s="441"/>
      <c r="AE421" s="441" t="s">
        <v>4717</v>
      </c>
      <c r="AF421" s="441" t="s">
        <v>4718</v>
      </c>
      <c r="AG421" s="441"/>
      <c r="AH421" s="441"/>
      <c r="AI421" s="441"/>
      <c r="AJ421" s="441"/>
      <c r="AK421" s="395">
        <v>2</v>
      </c>
      <c r="AL421" s="395" t="s">
        <v>76</v>
      </c>
      <c r="AM421" s="395"/>
      <c r="AN421" s="395">
        <v>2</v>
      </c>
      <c r="AO421" s="395">
        <v>2</v>
      </c>
      <c r="AP421" s="410"/>
      <c r="AQ421" s="410"/>
    </row>
    <row r="422" spans="2:43" ht="15" customHeight="1">
      <c r="B422" s="394">
        <v>1</v>
      </c>
      <c r="C422" s="395" t="s">
        <v>594</v>
      </c>
      <c r="D422" s="417" t="s">
        <v>4719</v>
      </c>
      <c r="E422" s="662" t="s">
        <v>4720</v>
      </c>
      <c r="F422" s="417"/>
      <c r="G422" s="384"/>
      <c r="H422" s="768"/>
      <c r="I422" s="384"/>
      <c r="J422" s="384" t="s">
        <v>4985</v>
      </c>
      <c r="K422" s="657"/>
      <c r="L422" s="658"/>
      <c r="M422" s="384"/>
      <c r="N422" s="384"/>
      <c r="O422" s="384"/>
      <c r="P422" s="384"/>
      <c r="Q422" s="384"/>
      <c r="R422" s="384"/>
      <c r="S422" s="660"/>
      <c r="T422" s="396"/>
      <c r="U422" s="384"/>
      <c r="V422" s="384"/>
      <c r="W422" s="384"/>
      <c r="X422" s="384"/>
      <c r="Y422" s="442"/>
      <c r="Z422" s="442" t="s">
        <v>4721</v>
      </c>
      <c r="AA422" s="441"/>
      <c r="AB422" s="441"/>
      <c r="AC422" s="441" t="s">
        <v>3354</v>
      </c>
      <c r="AD422" s="441" t="s">
        <v>3250</v>
      </c>
      <c r="AE422" s="441" t="s">
        <v>4722</v>
      </c>
      <c r="AF422" s="441" t="s">
        <v>3324</v>
      </c>
      <c r="AG422" s="441"/>
      <c r="AH422" s="441"/>
      <c r="AI422" s="441"/>
      <c r="AJ422" s="441"/>
      <c r="AK422" s="395">
        <v>2</v>
      </c>
      <c r="AL422" s="395" t="s">
        <v>76</v>
      </c>
      <c r="AM422" s="395"/>
      <c r="AN422" s="395">
        <v>2</v>
      </c>
      <c r="AO422" s="395">
        <v>2</v>
      </c>
      <c r="AP422" s="410"/>
      <c r="AQ422" s="410"/>
    </row>
    <row r="423" spans="2:43" ht="15" customHeight="1">
      <c r="B423" s="394">
        <v>1</v>
      </c>
      <c r="C423" s="395" t="s">
        <v>594</v>
      </c>
      <c r="D423" s="417" t="s">
        <v>4723</v>
      </c>
      <c r="E423" s="662" t="s">
        <v>4724</v>
      </c>
      <c r="F423" s="417"/>
      <c r="G423" s="384"/>
      <c r="H423" s="768"/>
      <c r="I423" s="384"/>
      <c r="J423" s="384" t="s">
        <v>4985</v>
      </c>
      <c r="K423" s="657"/>
      <c r="L423" s="658"/>
      <c r="M423" s="384"/>
      <c r="N423" s="384"/>
      <c r="O423" s="384"/>
      <c r="P423" s="384"/>
      <c r="Q423" s="384"/>
      <c r="R423" s="384"/>
      <c r="S423" s="660"/>
      <c r="T423" s="396"/>
      <c r="U423" s="384"/>
      <c r="V423" s="384"/>
      <c r="W423" s="384"/>
      <c r="X423" s="384"/>
      <c r="Y423" s="442"/>
      <c r="Z423" s="442" t="s">
        <v>4725</v>
      </c>
      <c r="AA423" s="441"/>
      <c r="AB423" s="441"/>
      <c r="AC423" s="441" t="s">
        <v>3355</v>
      </c>
      <c r="AD423" s="441" t="s">
        <v>3253</v>
      </c>
      <c r="AE423" s="441" t="s">
        <v>4726</v>
      </c>
      <c r="AF423" s="441" t="s">
        <v>3316</v>
      </c>
      <c r="AG423" s="441"/>
      <c r="AH423" s="441"/>
      <c r="AI423" s="441"/>
      <c r="AJ423" s="441"/>
      <c r="AK423" s="395">
        <v>2</v>
      </c>
      <c r="AL423" s="395" t="s">
        <v>76</v>
      </c>
      <c r="AM423" s="395"/>
      <c r="AN423" s="395">
        <v>2</v>
      </c>
      <c r="AO423" s="395">
        <v>2</v>
      </c>
      <c r="AP423" s="410"/>
      <c r="AQ423" s="410"/>
    </row>
    <row r="424" spans="2:43" ht="15" customHeight="1">
      <c r="B424" s="394">
        <v>1</v>
      </c>
      <c r="C424" s="395" t="s">
        <v>594</v>
      </c>
      <c r="D424" s="417" t="s">
        <v>4727</v>
      </c>
      <c r="E424" s="662" t="s">
        <v>4728</v>
      </c>
      <c r="F424" s="417"/>
      <c r="G424" s="384"/>
      <c r="H424" s="768"/>
      <c r="I424" s="384"/>
      <c r="J424" s="384" t="s">
        <v>4985</v>
      </c>
      <c r="K424" s="657"/>
      <c r="L424" s="658"/>
      <c r="M424" s="384"/>
      <c r="N424" s="384"/>
      <c r="O424" s="384"/>
      <c r="P424" s="384"/>
      <c r="Q424" s="384"/>
      <c r="R424" s="384"/>
      <c r="S424" s="660"/>
      <c r="T424" s="396"/>
      <c r="U424" s="384"/>
      <c r="V424" s="384"/>
      <c r="W424" s="384"/>
      <c r="X424" s="384"/>
      <c r="Y424" s="442"/>
      <c r="Z424" s="442" t="s">
        <v>4729</v>
      </c>
      <c r="AA424" s="441"/>
      <c r="AB424" s="441"/>
      <c r="AC424" s="441" t="s">
        <v>3356</v>
      </c>
      <c r="AD424" s="441" t="s">
        <v>3252</v>
      </c>
      <c r="AE424" s="441" t="s">
        <v>4730</v>
      </c>
      <c r="AF424" s="441" t="s">
        <v>3317</v>
      </c>
      <c r="AG424" s="441"/>
      <c r="AH424" s="441"/>
      <c r="AI424" s="441"/>
      <c r="AJ424" s="441"/>
      <c r="AK424" s="395">
        <v>2</v>
      </c>
      <c r="AL424" s="395" t="s">
        <v>76</v>
      </c>
      <c r="AM424" s="395"/>
      <c r="AN424" s="395">
        <v>2</v>
      </c>
      <c r="AO424" s="395">
        <v>2</v>
      </c>
      <c r="AP424" s="410"/>
      <c r="AQ424" s="410"/>
    </row>
    <row r="425" spans="2:43" ht="15" customHeight="1">
      <c r="B425" s="394">
        <v>1</v>
      </c>
      <c r="C425" s="395" t="s">
        <v>594</v>
      </c>
      <c r="D425" s="417" t="s">
        <v>4731</v>
      </c>
      <c r="E425" s="662" t="s">
        <v>4732</v>
      </c>
      <c r="F425" s="417"/>
      <c r="G425" s="384"/>
      <c r="H425" s="768"/>
      <c r="I425" s="384"/>
      <c r="J425" s="384" t="s">
        <v>4985</v>
      </c>
      <c r="K425" s="657"/>
      <c r="L425" s="658"/>
      <c r="M425" s="384"/>
      <c r="N425" s="384"/>
      <c r="O425" s="384"/>
      <c r="P425" s="384"/>
      <c r="Q425" s="384"/>
      <c r="R425" s="384"/>
      <c r="S425" s="660"/>
      <c r="T425" s="396"/>
      <c r="U425" s="384"/>
      <c r="V425" s="384"/>
      <c r="W425" s="384"/>
      <c r="X425" s="384"/>
      <c r="Y425" s="442"/>
      <c r="Z425" s="442" t="s">
        <v>4733</v>
      </c>
      <c r="AA425" s="441"/>
      <c r="AB425" s="441"/>
      <c r="AC425" s="441" t="s">
        <v>3357</v>
      </c>
      <c r="AD425" s="441" t="s">
        <v>3255</v>
      </c>
      <c r="AE425" s="441" t="s">
        <v>4734</v>
      </c>
      <c r="AF425" s="441" t="s">
        <v>3318</v>
      </c>
      <c r="AG425" s="441"/>
      <c r="AH425" s="441"/>
      <c r="AI425" s="441"/>
      <c r="AJ425" s="441"/>
      <c r="AK425" s="395">
        <v>2</v>
      </c>
      <c r="AL425" s="395" t="s">
        <v>76</v>
      </c>
      <c r="AM425" s="395"/>
      <c r="AN425" s="395">
        <v>2</v>
      </c>
      <c r="AO425" s="395">
        <v>2</v>
      </c>
      <c r="AP425" s="410"/>
      <c r="AQ425" s="410"/>
    </row>
    <row r="426" spans="2:43" ht="15" customHeight="1">
      <c r="B426" s="394">
        <v>1</v>
      </c>
      <c r="C426" s="395" t="s">
        <v>594</v>
      </c>
      <c r="D426" s="417" t="s">
        <v>4735</v>
      </c>
      <c r="E426" s="662" t="s">
        <v>4736</v>
      </c>
      <c r="F426" s="417"/>
      <c r="G426" s="384"/>
      <c r="H426" s="768"/>
      <c r="I426" s="384"/>
      <c r="J426" s="384" t="s">
        <v>4985</v>
      </c>
      <c r="K426" s="657"/>
      <c r="L426" s="658"/>
      <c r="M426" s="384"/>
      <c r="N426" s="384"/>
      <c r="O426" s="384"/>
      <c r="P426" s="384"/>
      <c r="Q426" s="384"/>
      <c r="R426" s="384"/>
      <c r="S426" s="660"/>
      <c r="T426" s="396"/>
      <c r="U426" s="384"/>
      <c r="V426" s="384"/>
      <c r="W426" s="384"/>
      <c r="X426" s="384"/>
      <c r="Y426" s="442"/>
      <c r="Z426" s="442" t="s">
        <v>4737</v>
      </c>
      <c r="AA426" s="441"/>
      <c r="AB426" s="441"/>
      <c r="AC426" s="441" t="s">
        <v>3358</v>
      </c>
      <c r="AD426" s="441" t="s">
        <v>3254</v>
      </c>
      <c r="AE426" s="441" t="s">
        <v>4738</v>
      </c>
      <c r="AF426" s="441" t="s">
        <v>3319</v>
      </c>
      <c r="AG426" s="441"/>
      <c r="AH426" s="441"/>
      <c r="AI426" s="441"/>
      <c r="AJ426" s="441"/>
      <c r="AK426" s="395">
        <v>2</v>
      </c>
      <c r="AL426" s="395" t="s">
        <v>76</v>
      </c>
      <c r="AM426" s="395"/>
      <c r="AN426" s="395">
        <v>2</v>
      </c>
      <c r="AO426" s="395">
        <v>2</v>
      </c>
      <c r="AP426" s="410"/>
      <c r="AQ426" s="410"/>
    </row>
    <row r="427" spans="2:43" ht="15" customHeight="1">
      <c r="B427" s="394">
        <v>1</v>
      </c>
      <c r="C427" s="395" t="s">
        <v>594</v>
      </c>
      <c r="D427" s="417" t="s">
        <v>4739</v>
      </c>
      <c r="E427" s="662" t="s">
        <v>4740</v>
      </c>
      <c r="F427" s="417"/>
      <c r="G427" s="384"/>
      <c r="H427" s="768"/>
      <c r="I427" s="384"/>
      <c r="J427" s="384" t="s">
        <v>4985</v>
      </c>
      <c r="K427" s="657"/>
      <c r="L427" s="658"/>
      <c r="M427" s="384"/>
      <c r="N427" s="384"/>
      <c r="O427" s="384"/>
      <c r="P427" s="384"/>
      <c r="Q427" s="384"/>
      <c r="R427" s="384"/>
      <c r="S427" s="660"/>
      <c r="T427" s="396"/>
      <c r="U427" s="384"/>
      <c r="V427" s="384"/>
      <c r="W427" s="384"/>
      <c r="X427" s="384"/>
      <c r="Y427" s="442"/>
      <c r="Z427" s="442" t="s">
        <v>4741</v>
      </c>
      <c r="AA427" s="441"/>
      <c r="AB427" s="441"/>
      <c r="AC427" s="441" t="s">
        <v>3359</v>
      </c>
      <c r="AD427" s="441" t="s">
        <v>4742</v>
      </c>
      <c r="AE427" s="441" t="s">
        <v>3257</v>
      </c>
      <c r="AF427" s="441" t="s">
        <v>3320</v>
      </c>
      <c r="AG427" s="441"/>
      <c r="AH427" s="441"/>
      <c r="AI427" s="441"/>
      <c r="AJ427" s="441"/>
      <c r="AK427" s="395">
        <v>2</v>
      </c>
      <c r="AL427" s="395" t="s">
        <v>76</v>
      </c>
      <c r="AM427" s="395"/>
      <c r="AN427" s="395">
        <v>2</v>
      </c>
      <c r="AO427" s="395">
        <v>2</v>
      </c>
      <c r="AP427" s="410"/>
      <c r="AQ427" s="410"/>
    </row>
    <row r="428" spans="2:43" ht="15" customHeight="1">
      <c r="B428" s="394">
        <v>1</v>
      </c>
      <c r="C428" s="395" t="s">
        <v>793</v>
      </c>
      <c r="D428" s="417" t="s">
        <v>4743</v>
      </c>
      <c r="E428" s="662" t="s">
        <v>4744</v>
      </c>
      <c r="F428" s="417"/>
      <c r="G428" s="384"/>
      <c r="H428" s="768"/>
      <c r="I428" s="384"/>
      <c r="J428" s="384" t="s">
        <v>4985</v>
      </c>
      <c r="K428" s="657"/>
      <c r="L428" s="658"/>
      <c r="M428" s="384"/>
      <c r="N428" s="384">
        <v>2</v>
      </c>
      <c r="O428" s="384"/>
      <c r="P428" s="384" t="s">
        <v>231</v>
      </c>
      <c r="Q428" s="384" t="s">
        <v>187</v>
      </c>
      <c r="R428" s="384"/>
      <c r="S428" s="660"/>
      <c r="T428" s="396"/>
      <c r="U428" s="384"/>
      <c r="V428" s="384"/>
      <c r="W428" s="384"/>
      <c r="X428" s="384"/>
      <c r="Y428" s="442"/>
      <c r="Z428" s="442"/>
      <c r="AA428" s="441"/>
      <c r="AB428" s="441"/>
      <c r="AC428" s="441"/>
      <c r="AD428" s="441"/>
      <c r="AE428" s="441" t="s">
        <v>4745</v>
      </c>
      <c r="AF428" s="441"/>
      <c r="AG428" s="441"/>
      <c r="AH428" s="441"/>
      <c r="AI428" s="441"/>
      <c r="AJ428" s="441"/>
      <c r="AK428" s="395"/>
      <c r="AL428" s="395"/>
      <c r="AM428" s="395"/>
      <c r="AN428" s="395"/>
      <c r="AO428" s="395"/>
      <c r="AP428" s="410"/>
      <c r="AQ428" s="410"/>
    </row>
    <row r="429" spans="2:43" ht="15" customHeight="1">
      <c r="B429" s="394">
        <v>1</v>
      </c>
      <c r="C429" s="395" t="s">
        <v>793</v>
      </c>
      <c r="D429" s="417" t="s">
        <v>4746</v>
      </c>
      <c r="E429" s="662" t="s">
        <v>4747</v>
      </c>
      <c r="F429" s="417"/>
      <c r="G429" s="384"/>
      <c r="H429" s="768"/>
      <c r="I429" s="384"/>
      <c r="J429" s="384" t="s">
        <v>4985</v>
      </c>
      <c r="K429" s="657"/>
      <c r="L429" s="658"/>
      <c r="M429" s="384"/>
      <c r="N429" s="384">
        <v>2</v>
      </c>
      <c r="O429" s="384"/>
      <c r="P429" s="384" t="s">
        <v>231</v>
      </c>
      <c r="Q429" s="384" t="s">
        <v>187</v>
      </c>
      <c r="R429" s="384"/>
      <c r="S429" s="660"/>
      <c r="T429" s="396"/>
      <c r="U429" s="384"/>
      <c r="V429" s="384"/>
      <c r="W429" s="384"/>
      <c r="X429" s="384"/>
      <c r="Y429" s="442"/>
      <c r="Z429" s="442"/>
      <c r="AA429" s="441"/>
      <c r="AB429" s="441"/>
      <c r="AC429" s="441"/>
      <c r="AD429" s="441"/>
      <c r="AE429" s="441" t="s">
        <v>4748</v>
      </c>
      <c r="AF429" s="441"/>
      <c r="AG429" s="441"/>
      <c r="AH429" s="441"/>
      <c r="AI429" s="441"/>
      <c r="AJ429" s="441"/>
      <c r="AK429" s="395"/>
      <c r="AL429" s="395"/>
      <c r="AM429" s="395"/>
      <c r="AN429" s="395"/>
      <c r="AO429" s="395"/>
      <c r="AP429" s="410"/>
      <c r="AQ429" s="410"/>
    </row>
    <row r="430" spans="2:43" ht="15" customHeight="1">
      <c r="B430" s="394">
        <v>1</v>
      </c>
      <c r="C430" s="395" t="s">
        <v>793</v>
      </c>
      <c r="D430" s="417" t="s">
        <v>4749</v>
      </c>
      <c r="E430" s="662" t="s">
        <v>4750</v>
      </c>
      <c r="F430" s="417"/>
      <c r="G430" s="384"/>
      <c r="H430" s="768"/>
      <c r="I430" s="384"/>
      <c r="J430" s="384" t="s">
        <v>4985</v>
      </c>
      <c r="K430" s="657"/>
      <c r="L430" s="658"/>
      <c r="M430" s="384"/>
      <c r="N430" s="384">
        <v>2</v>
      </c>
      <c r="O430" s="384"/>
      <c r="P430" s="384" t="s">
        <v>231</v>
      </c>
      <c r="Q430" s="384" t="s">
        <v>187</v>
      </c>
      <c r="R430" s="384"/>
      <c r="S430" s="660"/>
      <c r="T430" s="396"/>
      <c r="U430" s="384"/>
      <c r="V430" s="384"/>
      <c r="W430" s="384"/>
      <c r="X430" s="384"/>
      <c r="Y430" s="442"/>
      <c r="Z430" s="442"/>
      <c r="AA430" s="441"/>
      <c r="AB430" s="441"/>
      <c r="AC430" s="441"/>
      <c r="AD430" s="441"/>
      <c r="AE430" s="441" t="s">
        <v>4751</v>
      </c>
      <c r="AF430" s="441"/>
      <c r="AG430" s="441"/>
      <c r="AH430" s="441"/>
      <c r="AI430" s="441"/>
      <c r="AJ430" s="441"/>
      <c r="AK430" s="395"/>
      <c r="AL430" s="395"/>
      <c r="AM430" s="395"/>
      <c r="AN430" s="395"/>
      <c r="AO430" s="395"/>
      <c r="AP430" s="410"/>
      <c r="AQ430" s="410"/>
    </row>
    <row r="431" spans="2:43" ht="15" customHeight="1">
      <c r="B431" s="394">
        <v>1</v>
      </c>
      <c r="C431" s="395" t="s">
        <v>793</v>
      </c>
      <c r="D431" s="417" t="s">
        <v>4752</v>
      </c>
      <c r="E431" s="662" t="s">
        <v>4753</v>
      </c>
      <c r="F431" s="417"/>
      <c r="G431" s="384"/>
      <c r="H431" s="768"/>
      <c r="I431" s="384"/>
      <c r="J431" s="384" t="s">
        <v>4985</v>
      </c>
      <c r="K431" s="657"/>
      <c r="L431" s="658"/>
      <c r="M431" s="384"/>
      <c r="N431" s="384">
        <v>2</v>
      </c>
      <c r="O431" s="384"/>
      <c r="P431" s="384" t="s">
        <v>231</v>
      </c>
      <c r="Q431" s="384" t="s">
        <v>187</v>
      </c>
      <c r="R431" s="384"/>
      <c r="S431" s="660"/>
      <c r="T431" s="396"/>
      <c r="U431" s="384"/>
      <c r="V431" s="384"/>
      <c r="W431" s="384"/>
      <c r="X431" s="384"/>
      <c r="Y431" s="442"/>
      <c r="Z431" s="442"/>
      <c r="AA431" s="441"/>
      <c r="AB431" s="441"/>
      <c r="AC431" s="441"/>
      <c r="AD431" s="441"/>
      <c r="AE431" s="441" t="s">
        <v>4754</v>
      </c>
      <c r="AF431" s="441"/>
      <c r="AG431" s="441"/>
      <c r="AH431" s="441"/>
      <c r="AI431" s="441"/>
      <c r="AJ431" s="441"/>
      <c r="AK431" s="395"/>
      <c r="AL431" s="395"/>
      <c r="AM431" s="395"/>
      <c r="AN431" s="395"/>
      <c r="AO431" s="395"/>
      <c r="AP431" s="410"/>
      <c r="AQ431" s="410"/>
    </row>
    <row r="432" spans="2:43" ht="15" customHeight="1">
      <c r="B432" s="394">
        <v>1</v>
      </c>
      <c r="C432" s="395" t="s">
        <v>793</v>
      </c>
      <c r="D432" s="417" t="s">
        <v>4755</v>
      </c>
      <c r="E432" s="662" t="s">
        <v>4756</v>
      </c>
      <c r="F432" s="417"/>
      <c r="G432" s="384"/>
      <c r="H432" s="768"/>
      <c r="I432" s="384"/>
      <c r="J432" s="384" t="s">
        <v>4985</v>
      </c>
      <c r="K432" s="657"/>
      <c r="L432" s="658"/>
      <c r="M432" s="384"/>
      <c r="N432" s="384">
        <v>2</v>
      </c>
      <c r="O432" s="384"/>
      <c r="P432" s="384" t="s">
        <v>231</v>
      </c>
      <c r="Q432" s="384" t="s">
        <v>187</v>
      </c>
      <c r="R432" s="384"/>
      <c r="S432" s="660"/>
      <c r="T432" s="396"/>
      <c r="U432" s="384"/>
      <c r="V432" s="384"/>
      <c r="W432" s="384"/>
      <c r="X432" s="384"/>
      <c r="Y432" s="442"/>
      <c r="Z432" s="442"/>
      <c r="AA432" s="441"/>
      <c r="AB432" s="441"/>
      <c r="AC432" s="441"/>
      <c r="AD432" s="441"/>
      <c r="AE432" s="441" t="s">
        <v>4757</v>
      </c>
      <c r="AF432" s="441"/>
      <c r="AG432" s="441"/>
      <c r="AH432" s="441"/>
      <c r="AI432" s="441"/>
      <c r="AJ432" s="441"/>
      <c r="AK432" s="395"/>
      <c r="AL432" s="395"/>
      <c r="AM432" s="395"/>
      <c r="AN432" s="395"/>
      <c r="AO432" s="395"/>
      <c r="AP432" s="410"/>
      <c r="AQ432" s="410"/>
    </row>
    <row r="433" spans="2:43" ht="15" customHeight="1">
      <c r="B433" s="394">
        <v>1</v>
      </c>
      <c r="C433" s="395" t="s">
        <v>793</v>
      </c>
      <c r="D433" s="417" t="s">
        <v>4758</v>
      </c>
      <c r="E433" s="662" t="s">
        <v>4759</v>
      </c>
      <c r="F433" s="417"/>
      <c r="G433" s="384"/>
      <c r="H433" s="768"/>
      <c r="I433" s="384"/>
      <c r="J433" s="384" t="s">
        <v>4985</v>
      </c>
      <c r="K433" s="657"/>
      <c r="L433" s="658"/>
      <c r="M433" s="384"/>
      <c r="N433" s="384">
        <v>2</v>
      </c>
      <c r="O433" s="384"/>
      <c r="P433" s="384" t="s">
        <v>231</v>
      </c>
      <c r="Q433" s="384" t="s">
        <v>187</v>
      </c>
      <c r="R433" s="384"/>
      <c r="S433" s="660"/>
      <c r="T433" s="396"/>
      <c r="U433" s="384"/>
      <c r="V433" s="384"/>
      <c r="W433" s="384"/>
      <c r="X433" s="384"/>
      <c r="Y433" s="442"/>
      <c r="Z433" s="442"/>
      <c r="AA433" s="441"/>
      <c r="AB433" s="441"/>
      <c r="AC433" s="441"/>
      <c r="AD433" s="441"/>
      <c r="AE433" s="441" t="s">
        <v>4760</v>
      </c>
      <c r="AF433" s="441"/>
      <c r="AG433" s="441"/>
      <c r="AH433" s="441"/>
      <c r="AI433" s="441"/>
      <c r="AJ433" s="441"/>
      <c r="AK433" s="395"/>
      <c r="AL433" s="395"/>
      <c r="AM433" s="395"/>
      <c r="AN433" s="395"/>
      <c r="AO433" s="395"/>
      <c r="AP433" s="410"/>
      <c r="AQ433" s="410"/>
    </row>
    <row r="434" spans="2:43" ht="15" customHeight="1">
      <c r="B434" s="394">
        <v>1</v>
      </c>
      <c r="C434" s="395" t="s">
        <v>793</v>
      </c>
      <c r="D434" s="417" t="s">
        <v>4761</v>
      </c>
      <c r="E434" s="662" t="s">
        <v>4762</v>
      </c>
      <c r="F434" s="417"/>
      <c r="G434" s="384"/>
      <c r="H434" s="768"/>
      <c r="I434" s="384"/>
      <c r="J434" s="384" t="s">
        <v>4985</v>
      </c>
      <c r="K434" s="657"/>
      <c r="L434" s="658"/>
      <c r="M434" s="384"/>
      <c r="N434" s="384">
        <v>2</v>
      </c>
      <c r="O434" s="384"/>
      <c r="P434" s="384" t="s">
        <v>231</v>
      </c>
      <c r="Q434" s="384" t="s">
        <v>187</v>
      </c>
      <c r="R434" s="384"/>
      <c r="S434" s="660"/>
      <c r="T434" s="396"/>
      <c r="U434" s="384"/>
      <c r="V434" s="384"/>
      <c r="W434" s="384"/>
      <c r="X434" s="384"/>
      <c r="Y434" s="442"/>
      <c r="Z434" s="442"/>
      <c r="AA434" s="441"/>
      <c r="AB434" s="441"/>
      <c r="AC434" s="441"/>
      <c r="AD434" s="441"/>
      <c r="AE434" s="441" t="s">
        <v>4763</v>
      </c>
      <c r="AF434" s="441"/>
      <c r="AG434" s="441"/>
      <c r="AH434" s="441"/>
      <c r="AI434" s="441"/>
      <c r="AJ434" s="441"/>
      <c r="AK434" s="395"/>
      <c r="AL434" s="395"/>
      <c r="AM434" s="395"/>
      <c r="AN434" s="395"/>
      <c r="AO434" s="395"/>
      <c r="AP434" s="410"/>
      <c r="AQ434" s="410"/>
    </row>
    <row r="435" spans="2:43" ht="15" customHeight="1">
      <c r="B435" s="394">
        <v>1</v>
      </c>
      <c r="C435" s="395" t="s">
        <v>793</v>
      </c>
      <c r="D435" s="417" t="s">
        <v>4764</v>
      </c>
      <c r="E435" s="662" t="s">
        <v>4765</v>
      </c>
      <c r="F435" s="417"/>
      <c r="G435" s="384"/>
      <c r="H435" s="768"/>
      <c r="I435" s="384"/>
      <c r="J435" s="384" t="s">
        <v>4985</v>
      </c>
      <c r="K435" s="657"/>
      <c r="L435" s="658"/>
      <c r="M435" s="384"/>
      <c r="N435" s="384">
        <v>2</v>
      </c>
      <c r="O435" s="384"/>
      <c r="P435" s="384" t="s">
        <v>231</v>
      </c>
      <c r="Q435" s="384" t="s">
        <v>187</v>
      </c>
      <c r="R435" s="384"/>
      <c r="S435" s="660"/>
      <c r="T435" s="396"/>
      <c r="U435" s="384"/>
      <c r="V435" s="384"/>
      <c r="W435" s="384"/>
      <c r="X435" s="384"/>
      <c r="Y435" s="442"/>
      <c r="Z435" s="442"/>
      <c r="AA435" s="441"/>
      <c r="AB435" s="441"/>
      <c r="AC435" s="441"/>
      <c r="AD435" s="441"/>
      <c r="AE435" s="441" t="s">
        <v>4766</v>
      </c>
      <c r="AF435" s="441"/>
      <c r="AG435" s="441"/>
      <c r="AH435" s="441"/>
      <c r="AI435" s="441"/>
      <c r="AJ435" s="441"/>
      <c r="AK435" s="395"/>
      <c r="AL435" s="395"/>
      <c r="AM435" s="395"/>
      <c r="AN435" s="395"/>
      <c r="AO435" s="395"/>
      <c r="AP435" s="410"/>
      <c r="AQ435" s="410"/>
    </row>
    <row r="436" spans="2:43" ht="15" customHeight="1">
      <c r="B436" s="394">
        <v>1</v>
      </c>
      <c r="C436" s="395" t="s">
        <v>793</v>
      </c>
      <c r="D436" s="417" t="s">
        <v>4767</v>
      </c>
      <c r="E436" s="662" t="s">
        <v>4768</v>
      </c>
      <c r="F436" s="417"/>
      <c r="G436" s="384"/>
      <c r="H436" s="768"/>
      <c r="I436" s="384"/>
      <c r="J436" s="384" t="s">
        <v>4985</v>
      </c>
      <c r="K436" s="657"/>
      <c r="L436" s="658"/>
      <c r="M436" s="384"/>
      <c r="N436" s="384">
        <v>2</v>
      </c>
      <c r="O436" s="384"/>
      <c r="P436" s="384" t="s">
        <v>231</v>
      </c>
      <c r="Q436" s="384" t="s">
        <v>187</v>
      </c>
      <c r="R436" s="384"/>
      <c r="S436" s="660"/>
      <c r="T436" s="396"/>
      <c r="U436" s="384"/>
      <c r="V436" s="384"/>
      <c r="W436" s="384"/>
      <c r="X436" s="384"/>
      <c r="Y436" s="442"/>
      <c r="Z436" s="442"/>
      <c r="AA436" s="441"/>
      <c r="AB436" s="441"/>
      <c r="AC436" s="441"/>
      <c r="AD436" s="441"/>
      <c r="AE436" s="441" t="s">
        <v>4769</v>
      </c>
      <c r="AF436" s="441"/>
      <c r="AG436" s="441"/>
      <c r="AH436" s="441"/>
      <c r="AI436" s="441"/>
      <c r="AJ436" s="441"/>
      <c r="AK436" s="395"/>
      <c r="AL436" s="395"/>
      <c r="AM436" s="395"/>
      <c r="AN436" s="395"/>
      <c r="AO436" s="395"/>
      <c r="AP436" s="410"/>
      <c r="AQ436" s="410"/>
    </row>
    <row r="437" spans="2:43" ht="15" customHeight="1">
      <c r="B437" s="394">
        <v>1</v>
      </c>
      <c r="C437" s="395" t="s">
        <v>793</v>
      </c>
      <c r="D437" s="417" t="s">
        <v>4770</v>
      </c>
      <c r="E437" s="662" t="s">
        <v>4771</v>
      </c>
      <c r="F437" s="417"/>
      <c r="G437" s="384"/>
      <c r="H437" s="768"/>
      <c r="I437" s="384"/>
      <c r="J437" s="384" t="s">
        <v>4985</v>
      </c>
      <c r="K437" s="657"/>
      <c r="L437" s="658"/>
      <c r="M437" s="384"/>
      <c r="N437" s="384">
        <v>2</v>
      </c>
      <c r="O437" s="384"/>
      <c r="P437" s="384" t="s">
        <v>231</v>
      </c>
      <c r="Q437" s="384" t="s">
        <v>187</v>
      </c>
      <c r="R437" s="384"/>
      <c r="S437" s="660"/>
      <c r="T437" s="396"/>
      <c r="U437" s="384"/>
      <c r="V437" s="384"/>
      <c r="W437" s="384"/>
      <c r="X437" s="384"/>
      <c r="Y437" s="442"/>
      <c r="Z437" s="442"/>
      <c r="AA437" s="441"/>
      <c r="AB437" s="441"/>
      <c r="AC437" s="441"/>
      <c r="AD437" s="441"/>
      <c r="AE437" s="441" t="s">
        <v>4772</v>
      </c>
      <c r="AF437" s="441"/>
      <c r="AG437" s="441"/>
      <c r="AH437" s="441"/>
      <c r="AI437" s="441"/>
      <c r="AJ437" s="441"/>
      <c r="AK437" s="395"/>
      <c r="AL437" s="395"/>
      <c r="AM437" s="395"/>
      <c r="AN437" s="395"/>
      <c r="AO437" s="395"/>
      <c r="AP437" s="410"/>
      <c r="AQ437" s="410"/>
    </row>
    <row r="438" spans="2:43" ht="15" customHeight="1">
      <c r="B438" s="394">
        <v>1</v>
      </c>
      <c r="C438" s="395" t="s">
        <v>793</v>
      </c>
      <c r="D438" s="417" t="s">
        <v>4773</v>
      </c>
      <c r="E438" s="662" t="s">
        <v>4774</v>
      </c>
      <c r="F438" s="417"/>
      <c r="G438" s="384"/>
      <c r="H438" s="768"/>
      <c r="I438" s="384"/>
      <c r="J438" s="384" t="s">
        <v>4985</v>
      </c>
      <c r="K438" s="657"/>
      <c r="L438" s="658"/>
      <c r="M438" s="384"/>
      <c r="N438" s="384">
        <v>2</v>
      </c>
      <c r="O438" s="384"/>
      <c r="P438" s="384" t="s">
        <v>231</v>
      </c>
      <c r="Q438" s="384" t="s">
        <v>187</v>
      </c>
      <c r="R438" s="384"/>
      <c r="S438" s="660"/>
      <c r="T438" s="396"/>
      <c r="U438" s="384"/>
      <c r="V438" s="384"/>
      <c r="W438" s="384"/>
      <c r="X438" s="384"/>
      <c r="Y438" s="442"/>
      <c r="Z438" s="442"/>
      <c r="AA438" s="441"/>
      <c r="AB438" s="441"/>
      <c r="AC438" s="441"/>
      <c r="AD438" s="441"/>
      <c r="AE438" s="441" t="s">
        <v>4775</v>
      </c>
      <c r="AF438" s="441"/>
      <c r="AG438" s="441"/>
      <c r="AH438" s="441"/>
      <c r="AI438" s="441"/>
      <c r="AJ438" s="441"/>
      <c r="AK438" s="395"/>
      <c r="AL438" s="395"/>
      <c r="AM438" s="395"/>
      <c r="AN438" s="395"/>
      <c r="AO438" s="395"/>
      <c r="AP438" s="410"/>
      <c r="AQ438" s="410"/>
    </row>
    <row r="439" spans="2:43" ht="15" customHeight="1">
      <c r="B439" s="394">
        <v>1</v>
      </c>
      <c r="C439" s="395" t="s">
        <v>793</v>
      </c>
      <c r="D439" s="417" t="s">
        <v>4776</v>
      </c>
      <c r="E439" s="662" t="s">
        <v>4777</v>
      </c>
      <c r="F439" s="417"/>
      <c r="G439" s="384"/>
      <c r="H439" s="768"/>
      <c r="I439" s="384"/>
      <c r="J439" s="384" t="s">
        <v>4985</v>
      </c>
      <c r="K439" s="657"/>
      <c r="L439" s="658"/>
      <c r="M439" s="384"/>
      <c r="N439" s="384">
        <v>2</v>
      </c>
      <c r="O439" s="384"/>
      <c r="P439" s="384" t="s">
        <v>231</v>
      </c>
      <c r="Q439" s="384" t="s">
        <v>187</v>
      </c>
      <c r="R439" s="384"/>
      <c r="S439" s="660"/>
      <c r="T439" s="396"/>
      <c r="U439" s="384"/>
      <c r="V439" s="384"/>
      <c r="W439" s="384"/>
      <c r="X439" s="384"/>
      <c r="Y439" s="442"/>
      <c r="Z439" s="442"/>
      <c r="AA439" s="441"/>
      <c r="AB439" s="441"/>
      <c r="AC439" s="441"/>
      <c r="AD439" s="441"/>
      <c r="AE439" s="441" t="s">
        <v>4778</v>
      </c>
      <c r="AF439" s="441"/>
      <c r="AG439" s="441"/>
      <c r="AH439" s="441"/>
      <c r="AI439" s="441"/>
      <c r="AJ439" s="441"/>
      <c r="AK439" s="395"/>
      <c r="AL439" s="395"/>
      <c r="AM439" s="395"/>
      <c r="AN439" s="395"/>
      <c r="AO439" s="395"/>
      <c r="AP439" s="410"/>
      <c r="AQ439" s="410"/>
    </row>
    <row r="440" spans="2:43" ht="15" customHeight="1">
      <c r="B440" s="394">
        <v>1</v>
      </c>
      <c r="C440" s="395" t="s">
        <v>793</v>
      </c>
      <c r="D440" s="417" t="s">
        <v>4779</v>
      </c>
      <c r="E440" s="662" t="s">
        <v>4780</v>
      </c>
      <c r="F440" s="417"/>
      <c r="G440" s="384"/>
      <c r="H440" s="768"/>
      <c r="I440" s="384"/>
      <c r="J440" s="384" t="s">
        <v>4985</v>
      </c>
      <c r="K440" s="657"/>
      <c r="L440" s="658"/>
      <c r="M440" s="384"/>
      <c r="N440" s="384">
        <v>2</v>
      </c>
      <c r="O440" s="384"/>
      <c r="P440" s="384" t="s">
        <v>231</v>
      </c>
      <c r="Q440" s="384" t="s">
        <v>187</v>
      </c>
      <c r="R440" s="384"/>
      <c r="S440" s="660"/>
      <c r="T440" s="396"/>
      <c r="U440" s="384"/>
      <c r="V440" s="384"/>
      <c r="W440" s="384"/>
      <c r="X440" s="384"/>
      <c r="Y440" s="442"/>
      <c r="Z440" s="442"/>
      <c r="AA440" s="441"/>
      <c r="AB440" s="441"/>
      <c r="AC440" s="441"/>
      <c r="AD440" s="441"/>
      <c r="AE440" s="441" t="s">
        <v>4781</v>
      </c>
      <c r="AF440" s="441"/>
      <c r="AG440" s="441"/>
      <c r="AH440" s="441"/>
      <c r="AI440" s="441"/>
      <c r="AJ440" s="441"/>
      <c r="AK440" s="395"/>
      <c r="AL440" s="395"/>
      <c r="AM440" s="395"/>
      <c r="AN440" s="395"/>
      <c r="AO440" s="395"/>
      <c r="AP440" s="410"/>
      <c r="AQ440" s="410"/>
    </row>
    <row r="441" spans="2:43" ht="15" customHeight="1">
      <c r="B441" s="394">
        <v>1</v>
      </c>
      <c r="C441" s="395" t="s">
        <v>793</v>
      </c>
      <c r="D441" s="417" t="s">
        <v>4782</v>
      </c>
      <c r="E441" s="662" t="s">
        <v>4783</v>
      </c>
      <c r="F441" s="417"/>
      <c r="G441" s="384"/>
      <c r="H441" s="768"/>
      <c r="I441" s="384"/>
      <c r="J441" s="384" t="s">
        <v>4985</v>
      </c>
      <c r="K441" s="657"/>
      <c r="L441" s="658"/>
      <c r="M441" s="384"/>
      <c r="N441" s="384">
        <v>2</v>
      </c>
      <c r="O441" s="384"/>
      <c r="P441" s="384" t="s">
        <v>231</v>
      </c>
      <c r="Q441" s="384" t="s">
        <v>187</v>
      </c>
      <c r="R441" s="384"/>
      <c r="S441" s="660"/>
      <c r="T441" s="396"/>
      <c r="U441" s="384"/>
      <c r="V441" s="384"/>
      <c r="W441" s="384"/>
      <c r="X441" s="384"/>
      <c r="Y441" s="442"/>
      <c r="Z441" s="442"/>
      <c r="AA441" s="441"/>
      <c r="AB441" s="441"/>
      <c r="AC441" s="441"/>
      <c r="AD441" s="441"/>
      <c r="AE441" s="441" t="s">
        <v>4784</v>
      </c>
      <c r="AF441" s="441"/>
      <c r="AG441" s="441"/>
      <c r="AH441" s="441"/>
      <c r="AI441" s="441"/>
      <c r="AJ441" s="441"/>
      <c r="AK441" s="395"/>
      <c r="AL441" s="395"/>
      <c r="AM441" s="395"/>
      <c r="AN441" s="395"/>
      <c r="AO441" s="395"/>
      <c r="AP441" s="410"/>
      <c r="AQ441" s="410"/>
    </row>
    <row r="442" spans="2:43" ht="15" customHeight="1">
      <c r="B442" s="394">
        <v>1</v>
      </c>
      <c r="C442" s="395" t="s">
        <v>793</v>
      </c>
      <c r="D442" s="417" t="s">
        <v>4785</v>
      </c>
      <c r="E442" s="662" t="s">
        <v>4786</v>
      </c>
      <c r="F442" s="417"/>
      <c r="G442" s="384"/>
      <c r="H442" s="768"/>
      <c r="I442" s="384"/>
      <c r="J442" s="384" t="s">
        <v>4985</v>
      </c>
      <c r="K442" s="657"/>
      <c r="L442" s="658"/>
      <c r="M442" s="384"/>
      <c r="N442" s="384">
        <v>2</v>
      </c>
      <c r="O442" s="384"/>
      <c r="P442" s="384" t="s">
        <v>231</v>
      </c>
      <c r="Q442" s="384" t="s">
        <v>187</v>
      </c>
      <c r="R442" s="384"/>
      <c r="S442" s="660"/>
      <c r="T442" s="396"/>
      <c r="U442" s="384"/>
      <c r="V442" s="384"/>
      <c r="W442" s="384"/>
      <c r="X442" s="384"/>
      <c r="Y442" s="442"/>
      <c r="Z442" s="442"/>
      <c r="AA442" s="441"/>
      <c r="AB442" s="441"/>
      <c r="AC442" s="441"/>
      <c r="AD442" s="441"/>
      <c r="AE442" s="441" t="s">
        <v>4787</v>
      </c>
      <c r="AF442" s="441"/>
      <c r="AG442" s="441"/>
      <c r="AH442" s="441"/>
      <c r="AI442" s="441"/>
      <c r="AJ442" s="441"/>
      <c r="AK442" s="395"/>
      <c r="AL442" s="395"/>
      <c r="AM442" s="395"/>
      <c r="AN442" s="395"/>
      <c r="AO442" s="395"/>
      <c r="AP442" s="410"/>
      <c r="AQ442" s="410"/>
    </row>
    <row r="443" spans="2:43" ht="15" customHeight="1">
      <c r="B443" s="394">
        <v>1</v>
      </c>
      <c r="C443" s="395" t="s">
        <v>592</v>
      </c>
      <c r="D443" s="417" t="s">
        <v>4788</v>
      </c>
      <c r="E443" s="662" t="s">
        <v>4789</v>
      </c>
      <c r="F443" s="417"/>
      <c r="G443" s="384"/>
      <c r="H443" s="768"/>
      <c r="I443" s="384"/>
      <c r="J443" s="384" t="s">
        <v>4985</v>
      </c>
      <c r="K443" s="657"/>
      <c r="L443" s="658"/>
      <c r="M443" s="384"/>
      <c r="N443" s="384">
        <v>6</v>
      </c>
      <c r="O443" s="384" t="s">
        <v>4989</v>
      </c>
      <c r="P443" s="384" t="s">
        <v>230</v>
      </c>
      <c r="Q443" s="384" t="s">
        <v>187</v>
      </c>
      <c r="R443" s="384"/>
      <c r="S443" s="660"/>
      <c r="T443" s="396"/>
      <c r="U443" s="384"/>
      <c r="V443" s="384"/>
      <c r="W443" s="384"/>
      <c r="X443" s="384"/>
      <c r="Y443" s="442" t="s">
        <v>4790</v>
      </c>
      <c r="Z443" s="442"/>
      <c r="AA443" s="441"/>
      <c r="AB443" s="441"/>
      <c r="AC443" s="441"/>
      <c r="AD443" s="441"/>
      <c r="AE443" s="441"/>
      <c r="AF443" s="441"/>
      <c r="AG443" s="441"/>
      <c r="AH443" s="441"/>
      <c r="AI443" s="441"/>
      <c r="AJ443" s="441"/>
      <c r="AK443" s="395">
        <v>0</v>
      </c>
      <c r="AL443" s="395" t="s">
        <v>72</v>
      </c>
      <c r="AM443" s="395"/>
      <c r="AN443" s="395"/>
      <c r="AO443" s="395"/>
      <c r="AP443" s="410"/>
      <c r="AQ443" s="410"/>
    </row>
    <row r="444" spans="2:43" ht="15" customHeight="1">
      <c r="B444" s="394">
        <v>1</v>
      </c>
      <c r="C444" s="395" t="s">
        <v>607</v>
      </c>
      <c r="D444" s="417" t="s">
        <v>4791</v>
      </c>
      <c r="E444" s="662" t="s">
        <v>4792</v>
      </c>
      <c r="F444" s="417"/>
      <c r="G444" s="384"/>
      <c r="H444" s="768"/>
      <c r="I444" s="384"/>
      <c r="J444" s="384" t="s">
        <v>4985</v>
      </c>
      <c r="K444" s="657"/>
      <c r="L444" s="658"/>
      <c r="M444" s="384"/>
      <c r="N444" s="384">
        <v>6</v>
      </c>
      <c r="O444" s="384" t="s">
        <v>4989</v>
      </c>
      <c r="P444" s="384" t="s">
        <v>230</v>
      </c>
      <c r="Q444" s="384" t="s">
        <v>187</v>
      </c>
      <c r="R444" s="384"/>
      <c r="S444" s="660"/>
      <c r="T444" s="396"/>
      <c r="U444" s="384"/>
      <c r="V444" s="384"/>
      <c r="W444" s="384"/>
      <c r="X444" s="384"/>
      <c r="Y444" s="442" t="s">
        <v>4793</v>
      </c>
      <c r="Z444" s="442"/>
      <c r="AA444" s="441"/>
      <c r="AB444" s="441"/>
      <c r="AC444" s="441"/>
      <c r="AD444" s="441"/>
      <c r="AE444" s="441"/>
      <c r="AF444" s="441"/>
      <c r="AG444" s="441"/>
      <c r="AH444" s="441"/>
      <c r="AI444" s="441"/>
      <c r="AJ444" s="441"/>
      <c r="AK444" s="395"/>
      <c r="AL444" s="395"/>
      <c r="AM444" s="395">
        <v>0</v>
      </c>
      <c r="AN444" s="395"/>
      <c r="AO444" s="395"/>
      <c r="AP444" s="410"/>
      <c r="AQ444" s="410"/>
    </row>
    <row r="445" spans="2:43" ht="15" customHeight="1">
      <c r="B445" s="394">
        <v>1</v>
      </c>
      <c r="C445" s="395" t="s">
        <v>607</v>
      </c>
      <c r="D445" s="417" t="s">
        <v>4794</v>
      </c>
      <c r="E445" s="662" t="s">
        <v>4795</v>
      </c>
      <c r="F445" s="417"/>
      <c r="G445" s="384"/>
      <c r="H445" s="768"/>
      <c r="I445" s="384"/>
      <c r="J445" s="384" t="s">
        <v>4985</v>
      </c>
      <c r="K445" s="657"/>
      <c r="L445" s="658"/>
      <c r="M445" s="384"/>
      <c r="N445" s="384">
        <v>6</v>
      </c>
      <c r="O445" s="384" t="s">
        <v>4989</v>
      </c>
      <c r="P445" s="384" t="s">
        <v>230</v>
      </c>
      <c r="Q445" s="384" t="s">
        <v>187</v>
      </c>
      <c r="R445" s="384"/>
      <c r="S445" s="660"/>
      <c r="T445" s="396"/>
      <c r="U445" s="384"/>
      <c r="V445" s="384"/>
      <c r="W445" s="384"/>
      <c r="X445" s="384"/>
      <c r="Y445" s="442" t="s">
        <v>4796</v>
      </c>
      <c r="Z445" s="442"/>
      <c r="AA445" s="441"/>
      <c r="AB445" s="441"/>
      <c r="AC445" s="441"/>
      <c r="AD445" s="441"/>
      <c r="AE445" s="441"/>
      <c r="AF445" s="441"/>
      <c r="AG445" s="441"/>
      <c r="AH445" s="441"/>
      <c r="AI445" s="441"/>
      <c r="AJ445" s="441"/>
      <c r="AK445" s="395"/>
      <c r="AL445" s="395"/>
      <c r="AM445" s="395">
        <v>0</v>
      </c>
      <c r="AN445" s="395"/>
      <c r="AO445" s="395"/>
      <c r="AP445" s="410"/>
      <c r="AQ445" s="410"/>
    </row>
    <row r="446" spans="2:43" ht="15" customHeight="1">
      <c r="B446" s="394">
        <v>1</v>
      </c>
      <c r="C446" s="395" t="s">
        <v>607</v>
      </c>
      <c r="D446" s="417" t="s">
        <v>4797</v>
      </c>
      <c r="E446" s="662" t="s">
        <v>4798</v>
      </c>
      <c r="F446" s="417"/>
      <c r="G446" s="384"/>
      <c r="H446" s="768"/>
      <c r="I446" s="384"/>
      <c r="J446" s="384" t="s">
        <v>4985</v>
      </c>
      <c r="K446" s="657"/>
      <c r="L446" s="658"/>
      <c r="M446" s="384"/>
      <c r="N446" s="384">
        <v>6</v>
      </c>
      <c r="O446" s="384" t="s">
        <v>4989</v>
      </c>
      <c r="P446" s="384" t="s">
        <v>230</v>
      </c>
      <c r="Q446" s="384" t="s">
        <v>187</v>
      </c>
      <c r="R446" s="384"/>
      <c r="S446" s="660"/>
      <c r="T446" s="396"/>
      <c r="U446" s="384"/>
      <c r="V446" s="384"/>
      <c r="W446" s="384"/>
      <c r="X446" s="384"/>
      <c r="Y446" s="442" t="s">
        <v>4799</v>
      </c>
      <c r="Z446" s="442"/>
      <c r="AA446" s="441"/>
      <c r="AB446" s="441"/>
      <c r="AC446" s="441"/>
      <c r="AD446" s="441"/>
      <c r="AE446" s="441"/>
      <c r="AF446" s="441"/>
      <c r="AG446" s="441"/>
      <c r="AH446" s="441"/>
      <c r="AI446" s="441"/>
      <c r="AJ446" s="441"/>
      <c r="AK446" s="395"/>
      <c r="AL446" s="395"/>
      <c r="AM446" s="395">
        <v>0</v>
      </c>
      <c r="AN446" s="395"/>
      <c r="AO446" s="395"/>
      <c r="AP446" s="410"/>
      <c r="AQ446" s="410"/>
    </row>
    <row r="447" spans="2:43" ht="15" customHeight="1">
      <c r="B447" s="394">
        <v>1</v>
      </c>
      <c r="C447" s="395" t="s">
        <v>607</v>
      </c>
      <c r="D447" s="417" t="s">
        <v>4800</v>
      </c>
      <c r="E447" s="662" t="s">
        <v>4801</v>
      </c>
      <c r="F447" s="417"/>
      <c r="G447" s="384"/>
      <c r="H447" s="768"/>
      <c r="I447" s="384"/>
      <c r="J447" s="384" t="s">
        <v>4985</v>
      </c>
      <c r="K447" s="657"/>
      <c r="L447" s="658"/>
      <c r="M447" s="384"/>
      <c r="N447" s="384">
        <v>6</v>
      </c>
      <c r="O447" s="384" t="s">
        <v>4989</v>
      </c>
      <c r="P447" s="384" t="s">
        <v>230</v>
      </c>
      <c r="Q447" s="384" t="s">
        <v>187</v>
      </c>
      <c r="R447" s="384"/>
      <c r="S447" s="660"/>
      <c r="T447" s="396"/>
      <c r="U447" s="384"/>
      <c r="V447" s="384"/>
      <c r="W447" s="384"/>
      <c r="X447" s="384"/>
      <c r="Y447" s="442" t="s">
        <v>4802</v>
      </c>
      <c r="Z447" s="442"/>
      <c r="AA447" s="441"/>
      <c r="AB447" s="441"/>
      <c r="AC447" s="441"/>
      <c r="AD447" s="441"/>
      <c r="AE447" s="441"/>
      <c r="AF447" s="441"/>
      <c r="AG447" s="441"/>
      <c r="AH447" s="441"/>
      <c r="AI447" s="441"/>
      <c r="AJ447" s="441"/>
      <c r="AK447" s="395"/>
      <c r="AL447" s="395"/>
      <c r="AM447" s="395">
        <v>0</v>
      </c>
      <c r="AN447" s="395"/>
      <c r="AO447" s="395"/>
      <c r="AP447" s="410"/>
      <c r="AQ447" s="410"/>
    </row>
    <row r="448" spans="2:43" ht="15" customHeight="1">
      <c r="B448" s="394">
        <v>1</v>
      </c>
      <c r="C448" s="395" t="s">
        <v>607</v>
      </c>
      <c r="D448" s="417" t="s">
        <v>4803</v>
      </c>
      <c r="E448" s="662" t="s">
        <v>4804</v>
      </c>
      <c r="F448" s="417"/>
      <c r="G448" s="384"/>
      <c r="H448" s="768"/>
      <c r="I448" s="384"/>
      <c r="J448" s="384" t="s">
        <v>4985</v>
      </c>
      <c r="K448" s="657"/>
      <c r="L448" s="658"/>
      <c r="M448" s="384"/>
      <c r="N448" s="384">
        <v>6</v>
      </c>
      <c r="O448" s="384" t="s">
        <v>4989</v>
      </c>
      <c r="P448" s="384" t="s">
        <v>230</v>
      </c>
      <c r="Q448" s="384" t="s">
        <v>187</v>
      </c>
      <c r="R448" s="384"/>
      <c r="S448" s="660"/>
      <c r="T448" s="396"/>
      <c r="U448" s="384"/>
      <c r="V448" s="384"/>
      <c r="W448" s="384"/>
      <c r="X448" s="384"/>
      <c r="Y448" s="442" t="s">
        <v>4805</v>
      </c>
      <c r="Z448" s="442"/>
      <c r="AA448" s="441"/>
      <c r="AB448" s="441"/>
      <c r="AC448" s="441"/>
      <c r="AD448" s="441"/>
      <c r="AE448" s="441"/>
      <c r="AF448" s="441"/>
      <c r="AG448" s="441"/>
      <c r="AH448" s="441"/>
      <c r="AI448" s="441"/>
      <c r="AJ448" s="441"/>
      <c r="AK448" s="395"/>
      <c r="AL448" s="395"/>
      <c r="AM448" s="395">
        <v>0</v>
      </c>
      <c r="AN448" s="395"/>
      <c r="AO448" s="395"/>
      <c r="AP448" s="410"/>
      <c r="AQ448" s="410"/>
    </row>
    <row r="449" spans="2:43" ht="15" customHeight="1">
      <c r="B449" s="394">
        <v>1</v>
      </c>
      <c r="C449" s="395" t="s">
        <v>608</v>
      </c>
      <c r="D449" s="417" t="s">
        <v>4806</v>
      </c>
      <c r="E449" s="662" t="s">
        <v>4807</v>
      </c>
      <c r="F449" s="417"/>
      <c r="G449" s="384"/>
      <c r="H449" s="768"/>
      <c r="I449" s="384"/>
      <c r="J449" s="384" t="s">
        <v>4985</v>
      </c>
      <c r="K449" s="657"/>
      <c r="L449" s="658"/>
      <c r="M449" s="384"/>
      <c r="N449" s="384" t="s">
        <v>707</v>
      </c>
      <c r="O449" s="384"/>
      <c r="P449" s="384" t="s">
        <v>231</v>
      </c>
      <c r="Q449" s="384" t="s">
        <v>187</v>
      </c>
      <c r="R449" s="384"/>
      <c r="S449" s="660"/>
      <c r="T449" s="396"/>
      <c r="U449" s="384"/>
      <c r="V449" s="384"/>
      <c r="W449" s="384"/>
      <c r="X449" s="384"/>
      <c r="Y449" s="442" t="s">
        <v>4808</v>
      </c>
      <c r="Z449" s="442"/>
      <c r="AA449" s="441"/>
      <c r="AB449" s="441"/>
      <c r="AC449" s="441"/>
      <c r="AD449" s="441"/>
      <c r="AE449" s="441"/>
      <c r="AF449" s="441"/>
      <c r="AG449" s="441"/>
      <c r="AH449" s="441"/>
      <c r="AI449" s="441"/>
      <c r="AJ449" s="441"/>
      <c r="AK449" s="395"/>
      <c r="AL449" s="395"/>
      <c r="AM449" s="395">
        <v>0</v>
      </c>
      <c r="AN449" s="395"/>
      <c r="AO449" s="395"/>
      <c r="AP449" s="410"/>
      <c r="AQ449" s="410"/>
    </row>
    <row r="450" spans="2:43" ht="15" customHeight="1">
      <c r="B450" s="394">
        <v>1</v>
      </c>
      <c r="C450" s="395" t="s">
        <v>608</v>
      </c>
      <c r="D450" s="417" t="s">
        <v>4809</v>
      </c>
      <c r="E450" s="662" t="s">
        <v>4810</v>
      </c>
      <c r="F450" s="417"/>
      <c r="G450" s="384"/>
      <c r="H450" s="768"/>
      <c r="I450" s="384"/>
      <c r="J450" s="384" t="s">
        <v>4985</v>
      </c>
      <c r="K450" s="657"/>
      <c r="L450" s="658"/>
      <c r="M450" s="384"/>
      <c r="N450" s="384" t="s">
        <v>707</v>
      </c>
      <c r="O450" s="384"/>
      <c r="P450" s="384" t="s">
        <v>231</v>
      </c>
      <c r="Q450" s="384" t="s">
        <v>187</v>
      </c>
      <c r="R450" s="384"/>
      <c r="S450" s="660"/>
      <c r="T450" s="396"/>
      <c r="U450" s="384"/>
      <c r="V450" s="384"/>
      <c r="W450" s="384"/>
      <c r="X450" s="384"/>
      <c r="Y450" s="442" t="s">
        <v>3378</v>
      </c>
      <c r="Z450" s="442"/>
      <c r="AA450" s="441"/>
      <c r="AB450" s="441"/>
      <c r="AC450" s="441"/>
      <c r="AD450" s="441"/>
      <c r="AE450" s="441"/>
      <c r="AF450" s="441"/>
      <c r="AG450" s="441"/>
      <c r="AH450" s="441"/>
      <c r="AI450" s="441"/>
      <c r="AJ450" s="441"/>
      <c r="AK450" s="395"/>
      <c r="AL450" s="395"/>
      <c r="AM450" s="395">
        <v>0</v>
      </c>
      <c r="AN450" s="395"/>
      <c r="AO450" s="395"/>
      <c r="AP450" s="410"/>
      <c r="AQ450" s="410"/>
    </row>
    <row r="451" spans="2:43" ht="15" customHeight="1">
      <c r="B451" s="394">
        <v>1</v>
      </c>
      <c r="C451" s="395" t="s">
        <v>608</v>
      </c>
      <c r="D451" s="417" t="s">
        <v>4811</v>
      </c>
      <c r="E451" s="662" t="s">
        <v>4812</v>
      </c>
      <c r="F451" s="417"/>
      <c r="G451" s="384"/>
      <c r="H451" s="768"/>
      <c r="I451" s="384"/>
      <c r="J451" s="384" t="s">
        <v>4985</v>
      </c>
      <c r="K451" s="657"/>
      <c r="L451" s="658"/>
      <c r="M451" s="384"/>
      <c r="N451" s="384" t="s">
        <v>54</v>
      </c>
      <c r="O451" s="384"/>
      <c r="P451" s="384" t="s">
        <v>231</v>
      </c>
      <c r="Q451" s="384" t="s">
        <v>187</v>
      </c>
      <c r="R451" s="384"/>
      <c r="S451" s="660"/>
      <c r="T451" s="396"/>
      <c r="U451" s="384"/>
      <c r="V451" s="384"/>
      <c r="W451" s="384"/>
      <c r="X451" s="384"/>
      <c r="Y451" s="442" t="s">
        <v>3379</v>
      </c>
      <c r="Z451" s="442"/>
      <c r="AA451" s="441"/>
      <c r="AB451" s="441"/>
      <c r="AC451" s="441"/>
      <c r="AD451" s="441"/>
      <c r="AE451" s="441"/>
      <c r="AF451" s="441"/>
      <c r="AG451" s="441"/>
      <c r="AH451" s="441"/>
      <c r="AI451" s="441"/>
      <c r="AJ451" s="441"/>
      <c r="AK451" s="395"/>
      <c r="AL451" s="395"/>
      <c r="AM451" s="395">
        <v>0</v>
      </c>
      <c r="AN451" s="395"/>
      <c r="AO451" s="395"/>
      <c r="AP451" s="410"/>
      <c r="AQ451" s="410"/>
    </row>
    <row r="452" spans="2:43" ht="15" customHeight="1">
      <c r="B452" s="394">
        <v>1</v>
      </c>
      <c r="C452" s="395" t="s">
        <v>608</v>
      </c>
      <c r="D452" s="417" t="s">
        <v>4813</v>
      </c>
      <c r="E452" s="662" t="s">
        <v>4814</v>
      </c>
      <c r="F452" s="417"/>
      <c r="G452" s="384"/>
      <c r="H452" s="768"/>
      <c r="I452" s="384"/>
      <c r="J452" s="384" t="s">
        <v>4985</v>
      </c>
      <c r="K452" s="657"/>
      <c r="L452" s="658"/>
      <c r="M452" s="384"/>
      <c r="N452" s="384" t="s">
        <v>54</v>
      </c>
      <c r="O452" s="384"/>
      <c r="P452" s="384" t="s">
        <v>231</v>
      </c>
      <c r="Q452" s="384" t="s">
        <v>187</v>
      </c>
      <c r="R452" s="384"/>
      <c r="S452" s="660"/>
      <c r="T452" s="396"/>
      <c r="U452" s="384"/>
      <c r="V452" s="384"/>
      <c r="W452" s="384"/>
      <c r="X452" s="384"/>
      <c r="Y452" s="442" t="s">
        <v>3380</v>
      </c>
      <c r="Z452" s="442"/>
      <c r="AA452" s="441"/>
      <c r="AB452" s="441"/>
      <c r="AC452" s="441"/>
      <c r="AD452" s="441"/>
      <c r="AE452" s="441"/>
      <c r="AF452" s="441"/>
      <c r="AG452" s="441"/>
      <c r="AH452" s="441"/>
      <c r="AI452" s="441"/>
      <c r="AJ452" s="441"/>
      <c r="AK452" s="395"/>
      <c r="AL452" s="395"/>
      <c r="AM452" s="395">
        <v>0</v>
      </c>
      <c r="AN452" s="395"/>
      <c r="AO452" s="395"/>
      <c r="AP452" s="410"/>
      <c r="AQ452" s="410"/>
    </row>
    <row r="453" spans="2:43" ht="15" customHeight="1">
      <c r="B453" s="394">
        <v>1</v>
      </c>
      <c r="C453" s="395" t="s">
        <v>607</v>
      </c>
      <c r="D453" s="417" t="s">
        <v>4815</v>
      </c>
      <c r="E453" s="662" t="s">
        <v>5163</v>
      </c>
      <c r="F453" s="417"/>
      <c r="G453" s="384"/>
      <c r="H453" s="768"/>
      <c r="I453" s="384"/>
      <c r="J453" s="384" t="s">
        <v>4986</v>
      </c>
      <c r="K453" s="657"/>
      <c r="L453" s="658"/>
      <c r="M453" s="384"/>
      <c r="N453" s="384">
        <v>1</v>
      </c>
      <c r="O453" s="384" t="s">
        <v>4992</v>
      </c>
      <c r="P453" s="384" t="s">
        <v>426</v>
      </c>
      <c r="Q453" s="384" t="s">
        <v>187</v>
      </c>
      <c r="R453" s="384"/>
      <c r="S453" s="660"/>
      <c r="T453" s="396"/>
      <c r="U453" s="384"/>
      <c r="V453" s="384"/>
      <c r="W453" s="384"/>
      <c r="X453" s="384"/>
      <c r="Y453" s="442" t="s">
        <v>4816</v>
      </c>
      <c r="Z453" s="442"/>
      <c r="AA453" s="441"/>
      <c r="AB453" s="441"/>
      <c r="AC453" s="441"/>
      <c r="AD453" s="441"/>
      <c r="AE453" s="441"/>
      <c r="AF453" s="441"/>
      <c r="AG453" s="441"/>
      <c r="AH453" s="441"/>
      <c r="AI453" s="441"/>
      <c r="AJ453" s="441"/>
      <c r="AK453" s="395"/>
      <c r="AL453" s="395"/>
      <c r="AM453" s="395">
        <v>0</v>
      </c>
      <c r="AN453" s="395"/>
      <c r="AO453" s="395"/>
      <c r="AP453" s="410"/>
      <c r="AQ453" s="410"/>
    </row>
    <row r="454" spans="2:43" ht="15" customHeight="1">
      <c r="B454" s="394">
        <v>1</v>
      </c>
      <c r="C454" s="395" t="s">
        <v>607</v>
      </c>
      <c r="D454" s="417" t="s">
        <v>4817</v>
      </c>
      <c r="E454" s="662" t="s">
        <v>5164</v>
      </c>
      <c r="F454" s="417"/>
      <c r="G454" s="384"/>
      <c r="H454" s="768"/>
      <c r="I454" s="384"/>
      <c r="J454" s="384" t="s">
        <v>4986</v>
      </c>
      <c r="K454" s="657"/>
      <c r="L454" s="658"/>
      <c r="M454" s="384"/>
      <c r="N454" s="384">
        <v>1</v>
      </c>
      <c r="O454" s="384" t="s">
        <v>4992</v>
      </c>
      <c r="P454" s="384" t="s">
        <v>426</v>
      </c>
      <c r="Q454" s="384" t="s">
        <v>187</v>
      </c>
      <c r="R454" s="384"/>
      <c r="S454" s="660"/>
      <c r="T454" s="396"/>
      <c r="U454" s="384"/>
      <c r="V454" s="384"/>
      <c r="W454" s="384"/>
      <c r="X454" s="384"/>
      <c r="Y454" s="442" t="s">
        <v>4818</v>
      </c>
      <c r="Z454" s="442"/>
      <c r="AA454" s="441"/>
      <c r="AB454" s="441"/>
      <c r="AC454" s="441"/>
      <c r="AD454" s="441"/>
      <c r="AE454" s="441"/>
      <c r="AF454" s="441"/>
      <c r="AG454" s="441"/>
      <c r="AH454" s="441"/>
      <c r="AI454" s="441"/>
      <c r="AJ454" s="441"/>
      <c r="AK454" s="395"/>
      <c r="AL454" s="395"/>
      <c r="AM454" s="395">
        <v>0</v>
      </c>
      <c r="AN454" s="395"/>
      <c r="AO454" s="395"/>
      <c r="AP454" s="410"/>
      <c r="AQ454" s="410"/>
    </row>
    <row r="455" spans="2:43" ht="15" customHeight="1">
      <c r="B455" s="394">
        <v>1</v>
      </c>
      <c r="C455" s="395" t="s">
        <v>607</v>
      </c>
      <c r="D455" s="417" t="s">
        <v>4819</v>
      </c>
      <c r="E455" s="662" t="s">
        <v>5165</v>
      </c>
      <c r="F455" s="417"/>
      <c r="G455" s="384"/>
      <c r="H455" s="768"/>
      <c r="I455" s="384"/>
      <c r="J455" s="384" t="s">
        <v>4986</v>
      </c>
      <c r="K455" s="657"/>
      <c r="L455" s="658"/>
      <c r="M455" s="384"/>
      <c r="N455" s="384">
        <v>1</v>
      </c>
      <c r="O455" s="384" t="s">
        <v>4992</v>
      </c>
      <c r="P455" s="384" t="s">
        <v>426</v>
      </c>
      <c r="Q455" s="384" t="s">
        <v>187</v>
      </c>
      <c r="R455" s="384"/>
      <c r="S455" s="660"/>
      <c r="T455" s="396"/>
      <c r="U455" s="384"/>
      <c r="V455" s="384"/>
      <c r="W455" s="384"/>
      <c r="X455" s="384"/>
      <c r="Y455" s="442" t="s">
        <v>4820</v>
      </c>
      <c r="Z455" s="442"/>
      <c r="AA455" s="441"/>
      <c r="AB455" s="441"/>
      <c r="AC455" s="441"/>
      <c r="AD455" s="441"/>
      <c r="AE455" s="441"/>
      <c r="AF455" s="441"/>
      <c r="AG455" s="441"/>
      <c r="AH455" s="441"/>
      <c r="AI455" s="441"/>
      <c r="AJ455" s="441"/>
      <c r="AK455" s="395"/>
      <c r="AL455" s="395"/>
      <c r="AM455" s="395">
        <v>0</v>
      </c>
      <c r="AN455" s="395"/>
      <c r="AO455" s="395"/>
      <c r="AP455" s="410"/>
      <c r="AQ455" s="410"/>
    </row>
    <row r="456" spans="2:43" ht="15" customHeight="1">
      <c r="B456" s="394">
        <v>1</v>
      </c>
      <c r="C456" s="395" t="s">
        <v>607</v>
      </c>
      <c r="D456" s="417" t="s">
        <v>4821</v>
      </c>
      <c r="E456" s="662" t="s">
        <v>5166</v>
      </c>
      <c r="F456" s="417"/>
      <c r="G456" s="384"/>
      <c r="H456" s="768"/>
      <c r="I456" s="384"/>
      <c r="J456" s="384" t="s">
        <v>4986</v>
      </c>
      <c r="K456" s="657"/>
      <c r="L456" s="658"/>
      <c r="M456" s="384"/>
      <c r="N456" s="384">
        <v>1</v>
      </c>
      <c r="O456" s="384" t="s">
        <v>4992</v>
      </c>
      <c r="P456" s="384" t="s">
        <v>426</v>
      </c>
      <c r="Q456" s="384" t="s">
        <v>187</v>
      </c>
      <c r="R456" s="384"/>
      <c r="S456" s="660"/>
      <c r="T456" s="396"/>
      <c r="U456" s="384"/>
      <c r="V456" s="384"/>
      <c r="W456" s="384"/>
      <c r="X456" s="384"/>
      <c r="Y456" s="442" t="s">
        <v>4822</v>
      </c>
      <c r="Z456" s="442"/>
      <c r="AA456" s="441"/>
      <c r="AB456" s="441"/>
      <c r="AC456" s="441"/>
      <c r="AD456" s="441"/>
      <c r="AE456" s="441"/>
      <c r="AF456" s="441"/>
      <c r="AG456" s="441"/>
      <c r="AH456" s="441"/>
      <c r="AI456" s="441"/>
      <c r="AJ456" s="441"/>
      <c r="AK456" s="395"/>
      <c r="AL456" s="395"/>
      <c r="AM456" s="395">
        <v>0</v>
      </c>
      <c r="AN456" s="395"/>
      <c r="AO456" s="395"/>
      <c r="AP456" s="410"/>
      <c r="AQ456" s="410"/>
    </row>
    <row r="457" spans="2:43" ht="15" customHeight="1">
      <c r="B457" s="394">
        <v>1</v>
      </c>
      <c r="C457" s="395" t="s">
        <v>607</v>
      </c>
      <c r="D457" s="417" t="s">
        <v>4823</v>
      </c>
      <c r="E457" s="662" t="s">
        <v>5167</v>
      </c>
      <c r="F457" s="417"/>
      <c r="G457" s="384"/>
      <c r="H457" s="768"/>
      <c r="I457" s="384"/>
      <c r="J457" s="384" t="s">
        <v>4986</v>
      </c>
      <c r="K457" s="657"/>
      <c r="L457" s="658"/>
      <c r="M457" s="384"/>
      <c r="N457" s="384">
        <v>1</v>
      </c>
      <c r="O457" s="384" t="s">
        <v>4992</v>
      </c>
      <c r="P457" s="384" t="s">
        <v>426</v>
      </c>
      <c r="Q457" s="384" t="s">
        <v>187</v>
      </c>
      <c r="R457" s="384"/>
      <c r="S457" s="660"/>
      <c r="T457" s="396"/>
      <c r="U457" s="384"/>
      <c r="V457" s="384"/>
      <c r="W457" s="384"/>
      <c r="X457" s="384"/>
      <c r="Y457" s="442" t="s">
        <v>4824</v>
      </c>
      <c r="Z457" s="442"/>
      <c r="AA457" s="441"/>
      <c r="AB457" s="441"/>
      <c r="AC457" s="441"/>
      <c r="AD457" s="441"/>
      <c r="AE457" s="441"/>
      <c r="AF457" s="441"/>
      <c r="AG457" s="441"/>
      <c r="AH457" s="441"/>
      <c r="AI457" s="441"/>
      <c r="AJ457" s="441"/>
      <c r="AK457" s="395"/>
      <c r="AL457" s="395"/>
      <c r="AM457" s="395">
        <v>0</v>
      </c>
      <c r="AN457" s="395"/>
      <c r="AO457" s="395"/>
      <c r="AP457" s="410"/>
      <c r="AQ457" s="410"/>
    </row>
    <row r="458" spans="2:43" ht="15" customHeight="1">
      <c r="B458" s="394">
        <v>1</v>
      </c>
      <c r="C458" s="395" t="s">
        <v>607</v>
      </c>
      <c r="D458" s="417" t="s">
        <v>4825</v>
      </c>
      <c r="E458" s="662" t="s">
        <v>5168</v>
      </c>
      <c r="F458" s="417"/>
      <c r="G458" s="384"/>
      <c r="H458" s="768"/>
      <c r="I458" s="384"/>
      <c r="J458" s="384" t="s">
        <v>4986</v>
      </c>
      <c r="K458" s="657"/>
      <c r="L458" s="658"/>
      <c r="M458" s="384"/>
      <c r="N458" s="384">
        <v>1</v>
      </c>
      <c r="O458" s="384" t="s">
        <v>4992</v>
      </c>
      <c r="P458" s="384" t="s">
        <v>426</v>
      </c>
      <c r="Q458" s="384" t="s">
        <v>187</v>
      </c>
      <c r="R458" s="384"/>
      <c r="S458" s="660"/>
      <c r="T458" s="396"/>
      <c r="U458" s="384"/>
      <c r="V458" s="384"/>
      <c r="W458" s="384"/>
      <c r="X458" s="384"/>
      <c r="Y458" s="442" t="s">
        <v>4826</v>
      </c>
      <c r="Z458" s="442"/>
      <c r="AA458" s="441"/>
      <c r="AB458" s="441"/>
      <c r="AC458" s="441"/>
      <c r="AD458" s="441"/>
      <c r="AE458" s="441"/>
      <c r="AF458" s="441"/>
      <c r="AG458" s="441"/>
      <c r="AH458" s="441"/>
      <c r="AI458" s="441"/>
      <c r="AJ458" s="441"/>
      <c r="AK458" s="395"/>
      <c r="AL458" s="395"/>
      <c r="AM458" s="395">
        <v>0</v>
      </c>
      <c r="AN458" s="395"/>
      <c r="AO458" s="395"/>
      <c r="AP458" s="410"/>
      <c r="AQ458" s="410"/>
    </row>
    <row r="459" spans="2:43" ht="15" customHeight="1">
      <c r="B459" s="394">
        <v>1</v>
      </c>
      <c r="C459" s="395" t="s">
        <v>607</v>
      </c>
      <c r="D459" s="417" t="s">
        <v>4827</v>
      </c>
      <c r="E459" s="662" t="s">
        <v>5020</v>
      </c>
      <c r="F459" s="417"/>
      <c r="G459" s="384"/>
      <c r="H459" s="768"/>
      <c r="I459" s="384"/>
      <c r="J459" s="384" t="s">
        <v>4986</v>
      </c>
      <c r="K459" s="657"/>
      <c r="L459" s="658"/>
      <c r="M459" s="384"/>
      <c r="N459" s="384">
        <v>3</v>
      </c>
      <c r="O459" s="384" t="s">
        <v>4992</v>
      </c>
      <c r="P459" s="384" t="s">
        <v>426</v>
      </c>
      <c r="Q459" s="384" t="s">
        <v>187</v>
      </c>
      <c r="R459" s="384"/>
      <c r="S459" s="660"/>
      <c r="T459" s="396"/>
      <c r="U459" s="384"/>
      <c r="V459" s="384"/>
      <c r="W459" s="384"/>
      <c r="X459" s="384"/>
      <c r="Y459" s="442" t="s">
        <v>4828</v>
      </c>
      <c r="Z459" s="442"/>
      <c r="AA459" s="441"/>
      <c r="AB459" s="441"/>
      <c r="AC459" s="441"/>
      <c r="AD459" s="441"/>
      <c r="AE459" s="441"/>
      <c r="AF459" s="441"/>
      <c r="AG459" s="441"/>
      <c r="AH459" s="441"/>
      <c r="AI459" s="441"/>
      <c r="AJ459" s="441"/>
      <c r="AK459" s="395"/>
      <c r="AL459" s="395"/>
      <c r="AM459" s="395">
        <v>0</v>
      </c>
      <c r="AN459" s="395"/>
      <c r="AO459" s="395"/>
      <c r="AP459" s="410"/>
      <c r="AQ459" s="410"/>
    </row>
    <row r="460" spans="2:43" ht="15" customHeight="1">
      <c r="B460" s="394">
        <v>1</v>
      </c>
      <c r="C460" s="395" t="s">
        <v>607</v>
      </c>
      <c r="D460" s="417" t="s">
        <v>4829</v>
      </c>
      <c r="E460" s="662" t="s">
        <v>5169</v>
      </c>
      <c r="F460" s="417"/>
      <c r="G460" s="384"/>
      <c r="H460" s="768"/>
      <c r="I460" s="384"/>
      <c r="J460" s="384" t="s">
        <v>4986</v>
      </c>
      <c r="K460" s="657"/>
      <c r="L460" s="658"/>
      <c r="M460" s="384"/>
      <c r="N460" s="384">
        <v>3</v>
      </c>
      <c r="O460" s="384" t="s">
        <v>4992</v>
      </c>
      <c r="P460" s="384" t="s">
        <v>426</v>
      </c>
      <c r="Q460" s="384" t="s">
        <v>187</v>
      </c>
      <c r="R460" s="384"/>
      <c r="S460" s="660"/>
      <c r="T460" s="396"/>
      <c r="U460" s="384"/>
      <c r="V460" s="384"/>
      <c r="W460" s="384"/>
      <c r="X460" s="384"/>
      <c r="Y460" s="442" t="s">
        <v>4830</v>
      </c>
      <c r="Z460" s="442"/>
      <c r="AA460" s="441"/>
      <c r="AB460" s="441"/>
      <c r="AC460" s="441"/>
      <c r="AD460" s="441"/>
      <c r="AE460" s="441"/>
      <c r="AF460" s="441"/>
      <c r="AG460" s="441"/>
      <c r="AH460" s="441"/>
      <c r="AI460" s="441"/>
      <c r="AJ460" s="441"/>
      <c r="AK460" s="395"/>
      <c r="AL460" s="395"/>
      <c r="AM460" s="395">
        <v>0</v>
      </c>
      <c r="AN460" s="395"/>
      <c r="AO460" s="395"/>
      <c r="AP460" s="410"/>
      <c r="AQ460" s="410"/>
    </row>
    <row r="461" spans="2:43" ht="15" customHeight="1">
      <c r="B461" s="394">
        <v>1</v>
      </c>
      <c r="C461" s="395" t="s">
        <v>607</v>
      </c>
      <c r="D461" s="417" t="s">
        <v>4831</v>
      </c>
      <c r="E461" s="662" t="s">
        <v>5021</v>
      </c>
      <c r="F461" s="417"/>
      <c r="G461" s="384"/>
      <c r="H461" s="768"/>
      <c r="I461" s="384"/>
      <c r="J461" s="384" t="s">
        <v>4986</v>
      </c>
      <c r="K461" s="657"/>
      <c r="L461" s="658"/>
      <c r="M461" s="384"/>
      <c r="N461" s="384">
        <v>3</v>
      </c>
      <c r="O461" s="384" t="s">
        <v>4992</v>
      </c>
      <c r="P461" s="384" t="s">
        <v>426</v>
      </c>
      <c r="Q461" s="384" t="s">
        <v>187</v>
      </c>
      <c r="R461" s="384"/>
      <c r="S461" s="660"/>
      <c r="T461" s="396"/>
      <c r="U461" s="384"/>
      <c r="V461" s="384"/>
      <c r="W461" s="384"/>
      <c r="X461" s="384"/>
      <c r="Y461" s="442" t="s">
        <v>4832</v>
      </c>
      <c r="Z461" s="442"/>
      <c r="AA461" s="441"/>
      <c r="AB461" s="441"/>
      <c r="AC461" s="441"/>
      <c r="AD461" s="441"/>
      <c r="AE461" s="441"/>
      <c r="AF461" s="441"/>
      <c r="AG461" s="441"/>
      <c r="AH461" s="441"/>
      <c r="AI461" s="441"/>
      <c r="AJ461" s="441"/>
      <c r="AK461" s="395"/>
      <c r="AL461" s="395"/>
      <c r="AM461" s="395">
        <v>0</v>
      </c>
      <c r="AN461" s="395"/>
      <c r="AO461" s="395"/>
      <c r="AP461" s="410"/>
      <c r="AQ461" s="410"/>
    </row>
    <row r="462" spans="2:43" ht="15" customHeight="1">
      <c r="B462" s="394">
        <v>1</v>
      </c>
      <c r="C462" s="395" t="s">
        <v>607</v>
      </c>
      <c r="D462" s="417" t="s">
        <v>4833</v>
      </c>
      <c r="E462" s="662" t="s">
        <v>5170</v>
      </c>
      <c r="F462" s="417"/>
      <c r="G462" s="384"/>
      <c r="H462" s="768"/>
      <c r="I462" s="384"/>
      <c r="J462" s="384" t="s">
        <v>4986</v>
      </c>
      <c r="K462" s="657"/>
      <c r="L462" s="658"/>
      <c r="M462" s="384"/>
      <c r="N462" s="384">
        <v>1</v>
      </c>
      <c r="O462" s="384" t="s">
        <v>4992</v>
      </c>
      <c r="P462" s="384" t="s">
        <v>426</v>
      </c>
      <c r="Q462" s="384" t="s">
        <v>187</v>
      </c>
      <c r="R462" s="384"/>
      <c r="S462" s="660"/>
      <c r="T462" s="396"/>
      <c r="U462" s="384"/>
      <c r="V462" s="384"/>
      <c r="W462" s="384"/>
      <c r="X462" s="384"/>
      <c r="Y462" s="442" t="s">
        <v>4834</v>
      </c>
      <c r="Z462" s="442"/>
      <c r="AA462" s="441"/>
      <c r="AB462" s="441"/>
      <c r="AC462" s="441"/>
      <c r="AD462" s="441"/>
      <c r="AE462" s="441"/>
      <c r="AF462" s="441"/>
      <c r="AG462" s="441"/>
      <c r="AH462" s="441"/>
      <c r="AI462" s="441"/>
      <c r="AJ462" s="441"/>
      <c r="AK462" s="395"/>
      <c r="AL462" s="395"/>
      <c r="AM462" s="395">
        <v>0</v>
      </c>
      <c r="AN462" s="395"/>
      <c r="AO462" s="395"/>
      <c r="AP462" s="410"/>
      <c r="AQ462" s="410"/>
    </row>
    <row r="463" spans="2:43" ht="15" customHeight="1">
      <c r="B463" s="394">
        <v>1</v>
      </c>
      <c r="C463" s="395" t="s">
        <v>608</v>
      </c>
      <c r="D463" s="417" t="s">
        <v>4835</v>
      </c>
      <c r="E463" s="662" t="s">
        <v>5171</v>
      </c>
      <c r="F463" s="417"/>
      <c r="G463" s="384"/>
      <c r="H463" s="768"/>
      <c r="I463" s="384"/>
      <c r="J463" s="384" t="s">
        <v>4986</v>
      </c>
      <c r="K463" s="657"/>
      <c r="L463" s="658"/>
      <c r="M463" s="384"/>
      <c r="N463" s="384" t="s">
        <v>54</v>
      </c>
      <c r="O463" s="384"/>
      <c r="P463" s="384" t="s">
        <v>231</v>
      </c>
      <c r="Q463" s="384" t="s">
        <v>187</v>
      </c>
      <c r="R463" s="384"/>
      <c r="S463" s="660"/>
      <c r="T463" s="396"/>
      <c r="U463" s="384"/>
      <c r="V463" s="384"/>
      <c r="W463" s="384"/>
      <c r="X463" s="384"/>
      <c r="Y463" s="442" t="s">
        <v>3381</v>
      </c>
      <c r="Z463" s="442"/>
      <c r="AA463" s="441"/>
      <c r="AB463" s="441"/>
      <c r="AC463" s="441"/>
      <c r="AD463" s="441"/>
      <c r="AE463" s="441"/>
      <c r="AF463" s="441"/>
      <c r="AG463" s="441"/>
      <c r="AH463" s="441"/>
      <c r="AI463" s="441"/>
      <c r="AJ463" s="441"/>
      <c r="AK463" s="395"/>
      <c r="AL463" s="395"/>
      <c r="AM463" s="395">
        <v>0</v>
      </c>
      <c r="AN463" s="395"/>
      <c r="AO463" s="395"/>
      <c r="AP463" s="410"/>
      <c r="AQ463" s="410"/>
    </row>
    <row r="464" spans="2:43" ht="15" customHeight="1">
      <c r="B464" s="394">
        <v>1</v>
      </c>
      <c r="C464" s="395" t="s">
        <v>608</v>
      </c>
      <c r="D464" s="417" t="s">
        <v>4836</v>
      </c>
      <c r="E464" s="662" t="s">
        <v>5172</v>
      </c>
      <c r="F464" s="417"/>
      <c r="G464" s="384"/>
      <c r="H464" s="768"/>
      <c r="I464" s="384"/>
      <c r="J464" s="384" t="s">
        <v>4986</v>
      </c>
      <c r="K464" s="657"/>
      <c r="L464" s="658"/>
      <c r="M464" s="384"/>
      <c r="N464" s="384" t="s">
        <v>54</v>
      </c>
      <c r="O464" s="384"/>
      <c r="P464" s="384" t="s">
        <v>231</v>
      </c>
      <c r="Q464" s="384" t="s">
        <v>187</v>
      </c>
      <c r="R464" s="384"/>
      <c r="S464" s="660"/>
      <c r="T464" s="396"/>
      <c r="U464" s="384"/>
      <c r="V464" s="384"/>
      <c r="W464" s="384"/>
      <c r="X464" s="384"/>
      <c r="Y464" s="442" t="s">
        <v>3382</v>
      </c>
      <c r="Z464" s="442"/>
      <c r="AA464" s="441"/>
      <c r="AB464" s="441"/>
      <c r="AC464" s="441"/>
      <c r="AD464" s="441"/>
      <c r="AE464" s="441"/>
      <c r="AF464" s="441"/>
      <c r="AG464" s="441"/>
      <c r="AH464" s="441"/>
      <c r="AI464" s="441"/>
      <c r="AJ464" s="441"/>
      <c r="AK464" s="395"/>
      <c r="AL464" s="395"/>
      <c r="AM464" s="395">
        <v>0</v>
      </c>
      <c r="AN464" s="395"/>
      <c r="AO464" s="395"/>
      <c r="AP464" s="410"/>
      <c r="AQ464" s="410"/>
    </row>
    <row r="465" spans="2:43" ht="15" customHeight="1">
      <c r="B465" s="394">
        <v>1</v>
      </c>
      <c r="C465" s="395" t="s">
        <v>608</v>
      </c>
      <c r="D465" s="417" t="s">
        <v>4837</v>
      </c>
      <c r="E465" s="662" t="s">
        <v>5173</v>
      </c>
      <c r="F465" s="417"/>
      <c r="G465" s="384"/>
      <c r="H465" s="768"/>
      <c r="I465" s="384"/>
      <c r="J465" s="384" t="s">
        <v>4986</v>
      </c>
      <c r="K465" s="657"/>
      <c r="L465" s="658"/>
      <c r="M465" s="384"/>
      <c r="N465" s="384" t="s">
        <v>54</v>
      </c>
      <c r="O465" s="384"/>
      <c r="P465" s="384" t="s">
        <v>231</v>
      </c>
      <c r="Q465" s="384" t="s">
        <v>187</v>
      </c>
      <c r="R465" s="384"/>
      <c r="S465" s="660"/>
      <c r="T465" s="396"/>
      <c r="U465" s="384"/>
      <c r="V465" s="384"/>
      <c r="W465" s="384"/>
      <c r="X465" s="384"/>
      <c r="Y465" s="442" t="s">
        <v>3383</v>
      </c>
      <c r="Z465" s="442"/>
      <c r="AA465" s="441"/>
      <c r="AB465" s="441"/>
      <c r="AC465" s="441"/>
      <c r="AD465" s="441"/>
      <c r="AE465" s="441"/>
      <c r="AF465" s="441"/>
      <c r="AG465" s="441"/>
      <c r="AH465" s="441"/>
      <c r="AI465" s="441"/>
      <c r="AJ465" s="441"/>
      <c r="AK465" s="395"/>
      <c r="AL465" s="395"/>
      <c r="AM465" s="395">
        <v>0</v>
      </c>
      <c r="AN465" s="395"/>
      <c r="AO465" s="395"/>
      <c r="AP465" s="410"/>
      <c r="AQ465" s="410"/>
    </row>
    <row r="466" spans="2:43" ht="15" customHeight="1">
      <c r="B466" s="394">
        <v>1</v>
      </c>
      <c r="C466" s="395" t="s">
        <v>608</v>
      </c>
      <c r="D466" s="417" t="s">
        <v>4838</v>
      </c>
      <c r="E466" s="662" t="s">
        <v>5174</v>
      </c>
      <c r="F466" s="417"/>
      <c r="G466" s="384"/>
      <c r="H466" s="768"/>
      <c r="I466" s="384"/>
      <c r="J466" s="384" t="s">
        <v>4986</v>
      </c>
      <c r="K466" s="657"/>
      <c r="L466" s="658"/>
      <c r="M466" s="384"/>
      <c r="N466" s="384" t="s">
        <v>54</v>
      </c>
      <c r="O466" s="384"/>
      <c r="P466" s="384" t="s">
        <v>231</v>
      </c>
      <c r="Q466" s="384" t="s">
        <v>187</v>
      </c>
      <c r="R466" s="384"/>
      <c r="S466" s="660"/>
      <c r="T466" s="396"/>
      <c r="U466" s="384"/>
      <c r="V466" s="384"/>
      <c r="W466" s="384"/>
      <c r="X466" s="384"/>
      <c r="Y466" s="442" t="s">
        <v>3384</v>
      </c>
      <c r="Z466" s="442"/>
      <c r="AA466" s="441"/>
      <c r="AB466" s="441"/>
      <c r="AC466" s="441"/>
      <c r="AD466" s="441"/>
      <c r="AE466" s="441"/>
      <c r="AF466" s="441"/>
      <c r="AG466" s="441"/>
      <c r="AH466" s="441"/>
      <c r="AI466" s="441"/>
      <c r="AJ466" s="441"/>
      <c r="AK466" s="395"/>
      <c r="AL466" s="395"/>
      <c r="AM466" s="395">
        <v>0</v>
      </c>
      <c r="AN466" s="395"/>
      <c r="AO466" s="395"/>
      <c r="AP466" s="410"/>
      <c r="AQ466" s="410"/>
    </row>
    <row r="467" spans="2:43" ht="15" customHeight="1">
      <c r="B467" s="394">
        <v>1</v>
      </c>
      <c r="C467" s="395" t="s">
        <v>614</v>
      </c>
      <c r="D467" s="417" t="s">
        <v>4840</v>
      </c>
      <c r="E467" s="662" t="s">
        <v>4841</v>
      </c>
      <c r="F467" s="417"/>
      <c r="G467" s="384"/>
      <c r="H467" s="768"/>
      <c r="I467" s="384"/>
      <c r="J467" s="384" t="s">
        <v>4986</v>
      </c>
      <c r="K467" s="657"/>
      <c r="L467" s="658"/>
      <c r="M467" s="384"/>
      <c r="N467" s="384"/>
      <c r="O467" s="384"/>
      <c r="P467" s="384"/>
      <c r="Q467" s="384"/>
      <c r="R467" s="384"/>
      <c r="S467" s="660"/>
      <c r="T467" s="396"/>
      <c r="U467" s="384"/>
      <c r="V467" s="384"/>
      <c r="W467" s="384"/>
      <c r="X467" s="384"/>
      <c r="Y467" s="442"/>
      <c r="Z467" s="442" t="s">
        <v>4842</v>
      </c>
      <c r="AA467" s="441" t="s">
        <v>4843</v>
      </c>
      <c r="AB467" s="441"/>
      <c r="AC467" s="441"/>
      <c r="AD467" s="441" t="s">
        <v>4844</v>
      </c>
      <c r="AE467" s="441"/>
      <c r="AF467" s="441" t="s">
        <v>3256</v>
      </c>
      <c r="AG467" s="441"/>
      <c r="AH467" s="441"/>
      <c r="AI467" s="441"/>
      <c r="AJ467" s="441"/>
      <c r="AK467" s="395"/>
      <c r="AL467" s="395"/>
      <c r="AM467" s="395">
        <v>0</v>
      </c>
      <c r="AN467" s="395">
        <v>60</v>
      </c>
      <c r="AO467" s="395"/>
      <c r="AP467" s="410"/>
      <c r="AQ467" s="410"/>
    </row>
    <row r="468" spans="2:43" ht="15" customHeight="1">
      <c r="B468" s="394">
        <v>1</v>
      </c>
      <c r="C468" s="395" t="s">
        <v>614</v>
      </c>
      <c r="D468" s="417" t="s">
        <v>4845</v>
      </c>
      <c r="E468" s="662" t="s">
        <v>4846</v>
      </c>
      <c r="F468" s="417"/>
      <c r="G468" s="384"/>
      <c r="H468" s="768"/>
      <c r="I468" s="384"/>
      <c r="J468" s="384" t="s">
        <v>4986</v>
      </c>
      <c r="K468" s="657"/>
      <c r="L468" s="658"/>
      <c r="M468" s="384"/>
      <c r="N468" s="384"/>
      <c r="O468" s="384"/>
      <c r="P468" s="384"/>
      <c r="Q468" s="384"/>
      <c r="R468" s="384"/>
      <c r="S468" s="660"/>
      <c r="T468" s="396"/>
      <c r="U468" s="384"/>
      <c r="V468" s="384"/>
      <c r="W468" s="384"/>
      <c r="X468" s="384"/>
      <c r="Y468" s="442"/>
      <c r="Z468" s="442" t="s">
        <v>4847</v>
      </c>
      <c r="AA468" s="441" t="s">
        <v>4848</v>
      </c>
      <c r="AB468" s="441"/>
      <c r="AC468" s="441"/>
      <c r="AD468" s="441" t="s">
        <v>4849</v>
      </c>
      <c r="AE468" s="441"/>
      <c r="AF468" s="441" t="s">
        <v>3259</v>
      </c>
      <c r="AG468" s="441"/>
      <c r="AH468" s="441"/>
      <c r="AI468" s="441"/>
      <c r="AJ468" s="441"/>
      <c r="AK468" s="395"/>
      <c r="AL468" s="395"/>
      <c r="AM468" s="395">
        <v>0</v>
      </c>
      <c r="AN468" s="395">
        <v>60</v>
      </c>
      <c r="AO468" s="395"/>
      <c r="AP468" s="410"/>
      <c r="AQ468" s="410"/>
    </row>
    <row r="469" spans="2:43" ht="15" customHeight="1">
      <c r="B469" s="394">
        <v>1</v>
      </c>
      <c r="C469" s="395" t="s">
        <v>594</v>
      </c>
      <c r="D469" s="417" t="s">
        <v>4850</v>
      </c>
      <c r="E469" s="662" t="s">
        <v>4851</v>
      </c>
      <c r="F469" s="417"/>
      <c r="G469" s="384"/>
      <c r="H469" s="768"/>
      <c r="I469" s="384"/>
      <c r="J469" s="384" t="s">
        <v>4986</v>
      </c>
      <c r="K469" s="657"/>
      <c r="L469" s="658"/>
      <c r="M469" s="384"/>
      <c r="N469" s="384"/>
      <c r="O469" s="384"/>
      <c r="P469" s="384"/>
      <c r="Q469" s="384"/>
      <c r="R469" s="384"/>
      <c r="S469" s="660"/>
      <c r="T469" s="396"/>
      <c r="U469" s="384"/>
      <c r="V469" s="384"/>
      <c r="W469" s="384"/>
      <c r="X469" s="384"/>
      <c r="Y469" s="442"/>
      <c r="Z469" s="442" t="s">
        <v>4852</v>
      </c>
      <c r="AA469" s="441" t="s">
        <v>4853</v>
      </c>
      <c r="AB469" s="441"/>
      <c r="AC469" s="441"/>
      <c r="AD469" s="441" t="s">
        <v>3141</v>
      </c>
      <c r="AE469" s="441" t="s">
        <v>4854</v>
      </c>
      <c r="AF469" s="441" t="s">
        <v>4855</v>
      </c>
      <c r="AG469" s="441"/>
      <c r="AH469" s="441"/>
      <c r="AI469" s="441"/>
      <c r="AJ469" s="441"/>
      <c r="AK469" s="395">
        <v>2</v>
      </c>
      <c r="AL469" s="395" t="s">
        <v>76</v>
      </c>
      <c r="AM469" s="395"/>
      <c r="AN469" s="395">
        <v>2</v>
      </c>
      <c r="AO469" s="395">
        <v>2</v>
      </c>
      <c r="AP469" s="410"/>
      <c r="AQ469" s="410"/>
    </row>
    <row r="470" spans="2:43" ht="15" customHeight="1">
      <c r="B470" s="394">
        <v>1</v>
      </c>
      <c r="C470" s="395" t="s">
        <v>594</v>
      </c>
      <c r="D470" s="417" t="s">
        <v>4856</v>
      </c>
      <c r="E470" s="662" t="s">
        <v>4857</v>
      </c>
      <c r="F470" s="417"/>
      <c r="G470" s="384"/>
      <c r="H470" s="768"/>
      <c r="I470" s="384"/>
      <c r="J470" s="384" t="s">
        <v>4986</v>
      </c>
      <c r="K470" s="657"/>
      <c r="L470" s="658"/>
      <c r="M470" s="384"/>
      <c r="N470" s="384"/>
      <c r="O470" s="384"/>
      <c r="P470" s="384"/>
      <c r="Q470" s="384"/>
      <c r="R470" s="384"/>
      <c r="S470" s="660"/>
      <c r="T470" s="396"/>
      <c r="U470" s="384"/>
      <c r="V470" s="384"/>
      <c r="W470" s="384"/>
      <c r="X470" s="384"/>
      <c r="Y470" s="442"/>
      <c r="Z470" s="442" t="s">
        <v>4858</v>
      </c>
      <c r="AA470" s="441" t="s">
        <v>4859</v>
      </c>
      <c r="AB470" s="441"/>
      <c r="AC470" s="441"/>
      <c r="AD470" s="441" t="s">
        <v>3144</v>
      </c>
      <c r="AE470" s="441" t="s">
        <v>4860</v>
      </c>
      <c r="AF470" s="441" t="s">
        <v>4861</v>
      </c>
      <c r="AG470" s="441"/>
      <c r="AH470" s="441"/>
      <c r="AI470" s="441"/>
      <c r="AJ470" s="441"/>
      <c r="AK470" s="395">
        <v>2</v>
      </c>
      <c r="AL470" s="395" t="s">
        <v>76</v>
      </c>
      <c r="AM470" s="395"/>
      <c r="AN470" s="395">
        <v>2</v>
      </c>
      <c r="AO470" s="395">
        <v>2</v>
      </c>
      <c r="AP470" s="410"/>
      <c r="AQ470" s="410"/>
    </row>
    <row r="471" spans="2:43" ht="15" customHeight="1">
      <c r="B471" s="394">
        <v>1</v>
      </c>
      <c r="C471" s="395" t="s">
        <v>594</v>
      </c>
      <c r="D471" s="417" t="s">
        <v>4862</v>
      </c>
      <c r="E471" s="662" t="s">
        <v>4863</v>
      </c>
      <c r="F471" s="417"/>
      <c r="G471" s="384"/>
      <c r="H471" s="768"/>
      <c r="I471" s="384"/>
      <c r="J471" s="384" t="s">
        <v>4986</v>
      </c>
      <c r="K471" s="657"/>
      <c r="L471" s="658"/>
      <c r="M471" s="384"/>
      <c r="N471" s="384"/>
      <c r="O471" s="384"/>
      <c r="P471" s="384"/>
      <c r="Q471" s="384"/>
      <c r="R471" s="384"/>
      <c r="S471" s="660"/>
      <c r="T471" s="396"/>
      <c r="U471" s="384"/>
      <c r="V471" s="384"/>
      <c r="W471" s="384"/>
      <c r="X471" s="384"/>
      <c r="Y471" s="442"/>
      <c r="Z471" s="442" t="s">
        <v>4864</v>
      </c>
      <c r="AA471" s="441" t="s">
        <v>4865</v>
      </c>
      <c r="AB471" s="441"/>
      <c r="AC471" s="441"/>
      <c r="AD471" s="441" t="s">
        <v>3143</v>
      </c>
      <c r="AE471" s="441" t="s">
        <v>4866</v>
      </c>
      <c r="AF471" s="441" t="s">
        <v>4867</v>
      </c>
      <c r="AG471" s="441"/>
      <c r="AH471" s="441"/>
      <c r="AI471" s="441"/>
      <c r="AJ471" s="441"/>
      <c r="AK471" s="395">
        <v>2</v>
      </c>
      <c r="AL471" s="395" t="s">
        <v>76</v>
      </c>
      <c r="AM471" s="395"/>
      <c r="AN471" s="395">
        <v>2</v>
      </c>
      <c r="AO471" s="395">
        <v>2</v>
      </c>
      <c r="AP471" s="410"/>
      <c r="AQ471" s="410"/>
    </row>
    <row r="472" spans="2:43" ht="15" customHeight="1">
      <c r="B472" s="394">
        <v>1</v>
      </c>
      <c r="C472" s="395" t="s">
        <v>793</v>
      </c>
      <c r="D472" s="417" t="s">
        <v>4868</v>
      </c>
      <c r="E472" s="662" t="s">
        <v>4869</v>
      </c>
      <c r="F472" s="417"/>
      <c r="G472" s="384"/>
      <c r="H472" s="768"/>
      <c r="I472" s="384"/>
      <c r="J472" s="384" t="s">
        <v>4986</v>
      </c>
      <c r="K472" s="657"/>
      <c r="L472" s="658"/>
      <c r="M472" s="384"/>
      <c r="N472" s="384">
        <v>2</v>
      </c>
      <c r="O472" s="384"/>
      <c r="P472" s="384" t="s">
        <v>231</v>
      </c>
      <c r="Q472" s="384" t="s">
        <v>187</v>
      </c>
      <c r="R472" s="384"/>
      <c r="S472" s="660"/>
      <c r="T472" s="396"/>
      <c r="U472" s="384"/>
      <c r="V472" s="384"/>
      <c r="W472" s="384"/>
      <c r="X472" s="384"/>
      <c r="Y472" s="442"/>
      <c r="Z472" s="442"/>
      <c r="AA472" s="441"/>
      <c r="AB472" s="441"/>
      <c r="AC472" s="441"/>
      <c r="AD472" s="441"/>
      <c r="AE472" s="441" t="s">
        <v>4870</v>
      </c>
      <c r="AF472" s="441"/>
      <c r="AG472" s="441"/>
      <c r="AH472" s="441"/>
      <c r="AI472" s="441"/>
      <c r="AJ472" s="441"/>
      <c r="AK472" s="395">
        <v>0</v>
      </c>
      <c r="AL472" s="395" t="s">
        <v>72</v>
      </c>
      <c r="AM472" s="395"/>
      <c r="AN472" s="395"/>
      <c r="AO472" s="395"/>
      <c r="AP472" s="410"/>
      <c r="AQ472" s="410"/>
    </row>
    <row r="473" spans="2:43" ht="15" customHeight="1">
      <c r="B473" s="394">
        <v>1</v>
      </c>
      <c r="C473" s="395" t="s">
        <v>793</v>
      </c>
      <c r="D473" s="417" t="s">
        <v>4871</v>
      </c>
      <c r="E473" s="662" t="s">
        <v>4872</v>
      </c>
      <c r="F473" s="417"/>
      <c r="G473" s="384"/>
      <c r="H473" s="768"/>
      <c r="I473" s="384"/>
      <c r="J473" s="384" t="s">
        <v>4986</v>
      </c>
      <c r="K473" s="657"/>
      <c r="L473" s="658"/>
      <c r="M473" s="384"/>
      <c r="N473" s="384">
        <v>2</v>
      </c>
      <c r="O473" s="384"/>
      <c r="P473" s="384" t="s">
        <v>231</v>
      </c>
      <c r="Q473" s="384" t="s">
        <v>187</v>
      </c>
      <c r="R473" s="384"/>
      <c r="S473" s="660"/>
      <c r="T473" s="396"/>
      <c r="U473" s="384"/>
      <c r="V473" s="384"/>
      <c r="W473" s="384"/>
      <c r="X473" s="384"/>
      <c r="Y473" s="442"/>
      <c r="Z473" s="442"/>
      <c r="AA473" s="441"/>
      <c r="AB473" s="441"/>
      <c r="AC473" s="441"/>
      <c r="AD473" s="441"/>
      <c r="AE473" s="441" t="s">
        <v>4873</v>
      </c>
      <c r="AF473" s="441"/>
      <c r="AG473" s="441"/>
      <c r="AH473" s="441"/>
      <c r="AI473" s="441"/>
      <c r="AJ473" s="441"/>
      <c r="AK473" s="395">
        <v>0</v>
      </c>
      <c r="AL473" s="395" t="s">
        <v>72</v>
      </c>
      <c r="AM473" s="395"/>
      <c r="AN473" s="395"/>
      <c r="AO473" s="395"/>
      <c r="AP473" s="410"/>
      <c r="AQ473" s="410"/>
    </row>
    <row r="474" spans="2:43" ht="15" customHeight="1">
      <c r="B474" s="394">
        <v>1</v>
      </c>
      <c r="C474" s="395" t="s">
        <v>793</v>
      </c>
      <c r="D474" s="417" t="s">
        <v>4874</v>
      </c>
      <c r="E474" s="662" t="s">
        <v>4875</v>
      </c>
      <c r="F474" s="417"/>
      <c r="G474" s="384"/>
      <c r="H474" s="768"/>
      <c r="I474" s="384"/>
      <c r="J474" s="384" t="s">
        <v>4986</v>
      </c>
      <c r="K474" s="657"/>
      <c r="L474" s="658"/>
      <c r="M474" s="384"/>
      <c r="N474" s="384">
        <v>2</v>
      </c>
      <c r="O474" s="384"/>
      <c r="P474" s="384" t="s">
        <v>231</v>
      </c>
      <c r="Q474" s="384" t="s">
        <v>187</v>
      </c>
      <c r="R474" s="384"/>
      <c r="S474" s="660"/>
      <c r="T474" s="396"/>
      <c r="U474" s="384"/>
      <c r="V474" s="384"/>
      <c r="W474" s="384"/>
      <c r="X474" s="384"/>
      <c r="Y474" s="442"/>
      <c r="Z474" s="442"/>
      <c r="AA474" s="441"/>
      <c r="AB474" s="441"/>
      <c r="AC474" s="441"/>
      <c r="AD474" s="441"/>
      <c r="AE474" s="441" t="s">
        <v>4876</v>
      </c>
      <c r="AF474" s="441"/>
      <c r="AG474" s="441"/>
      <c r="AH474" s="441"/>
      <c r="AI474" s="441"/>
      <c r="AJ474" s="441"/>
      <c r="AK474" s="395">
        <v>0</v>
      </c>
      <c r="AL474" s="395" t="s">
        <v>72</v>
      </c>
      <c r="AM474" s="395"/>
      <c r="AN474" s="395"/>
      <c r="AO474" s="395"/>
      <c r="AP474" s="410"/>
      <c r="AQ474" s="410"/>
    </row>
    <row r="475" spans="2:43" ht="15" customHeight="1">
      <c r="B475" s="394">
        <v>1</v>
      </c>
      <c r="C475" s="395" t="s">
        <v>793</v>
      </c>
      <c r="D475" s="417" t="s">
        <v>4877</v>
      </c>
      <c r="E475" s="662" t="s">
        <v>4878</v>
      </c>
      <c r="F475" s="417"/>
      <c r="G475" s="384"/>
      <c r="H475" s="768"/>
      <c r="I475" s="384"/>
      <c r="J475" s="384" t="s">
        <v>4986</v>
      </c>
      <c r="K475" s="657"/>
      <c r="L475" s="658"/>
      <c r="M475" s="384"/>
      <c r="N475" s="384">
        <v>2</v>
      </c>
      <c r="O475" s="384"/>
      <c r="P475" s="384" t="s">
        <v>231</v>
      </c>
      <c r="Q475" s="384" t="s">
        <v>187</v>
      </c>
      <c r="R475" s="384"/>
      <c r="S475" s="660"/>
      <c r="T475" s="396"/>
      <c r="U475" s="384"/>
      <c r="V475" s="384"/>
      <c r="W475" s="384"/>
      <c r="X475" s="384"/>
      <c r="Y475" s="442"/>
      <c r="Z475" s="442"/>
      <c r="AA475" s="441"/>
      <c r="AB475" s="441"/>
      <c r="AC475" s="441"/>
      <c r="AD475" s="441"/>
      <c r="AE475" s="441" t="s">
        <v>4879</v>
      </c>
      <c r="AF475" s="441"/>
      <c r="AG475" s="441"/>
      <c r="AH475" s="441"/>
      <c r="AI475" s="441"/>
      <c r="AJ475" s="441"/>
      <c r="AK475" s="395">
        <v>0</v>
      </c>
      <c r="AL475" s="395" t="s">
        <v>72</v>
      </c>
      <c r="AM475" s="395"/>
      <c r="AN475" s="395"/>
      <c r="AO475" s="395"/>
      <c r="AP475" s="410"/>
      <c r="AQ475" s="410"/>
    </row>
    <row r="476" spans="2:43" ht="15" customHeight="1">
      <c r="B476" s="394">
        <v>1</v>
      </c>
      <c r="C476" s="395" t="s">
        <v>793</v>
      </c>
      <c r="D476" s="417" t="s">
        <v>4880</v>
      </c>
      <c r="E476" s="662" t="s">
        <v>4881</v>
      </c>
      <c r="F476" s="417"/>
      <c r="G476" s="384"/>
      <c r="H476" s="768"/>
      <c r="I476" s="384"/>
      <c r="J476" s="384" t="s">
        <v>4986</v>
      </c>
      <c r="K476" s="657"/>
      <c r="L476" s="658"/>
      <c r="M476" s="384"/>
      <c r="N476" s="384">
        <v>2</v>
      </c>
      <c r="O476" s="384"/>
      <c r="P476" s="384" t="s">
        <v>231</v>
      </c>
      <c r="Q476" s="384" t="s">
        <v>187</v>
      </c>
      <c r="R476" s="384"/>
      <c r="S476" s="660"/>
      <c r="T476" s="396"/>
      <c r="U476" s="384"/>
      <c r="V476" s="384"/>
      <c r="W476" s="384"/>
      <c r="X476" s="384"/>
      <c r="Y476" s="442"/>
      <c r="Z476" s="442"/>
      <c r="AA476" s="441"/>
      <c r="AB476" s="441"/>
      <c r="AC476" s="441"/>
      <c r="AD476" s="441"/>
      <c r="AE476" s="441" t="s">
        <v>4882</v>
      </c>
      <c r="AF476" s="441"/>
      <c r="AG476" s="441"/>
      <c r="AH476" s="441"/>
      <c r="AI476" s="441"/>
      <c r="AJ476" s="441"/>
      <c r="AK476" s="395">
        <v>0</v>
      </c>
      <c r="AL476" s="395" t="s">
        <v>72</v>
      </c>
      <c r="AM476" s="395"/>
      <c r="AN476" s="395"/>
      <c r="AO476" s="395"/>
      <c r="AP476" s="410"/>
      <c r="AQ476" s="410"/>
    </row>
    <row r="477" spans="2:43" ht="15" customHeight="1">
      <c r="B477" s="394">
        <v>1</v>
      </c>
      <c r="C477" s="395" t="s">
        <v>793</v>
      </c>
      <c r="D477" s="417" t="s">
        <v>4883</v>
      </c>
      <c r="E477" s="662" t="s">
        <v>4884</v>
      </c>
      <c r="F477" s="417"/>
      <c r="G477" s="384"/>
      <c r="H477" s="768"/>
      <c r="I477" s="384"/>
      <c r="J477" s="384" t="s">
        <v>4986</v>
      </c>
      <c r="K477" s="657"/>
      <c r="L477" s="658"/>
      <c r="M477" s="384"/>
      <c r="N477" s="384">
        <v>2</v>
      </c>
      <c r="O477" s="384"/>
      <c r="P477" s="384" t="s">
        <v>231</v>
      </c>
      <c r="Q477" s="384" t="s">
        <v>187</v>
      </c>
      <c r="R477" s="384"/>
      <c r="S477" s="660"/>
      <c r="T477" s="396"/>
      <c r="U477" s="384"/>
      <c r="V477" s="384"/>
      <c r="W477" s="384"/>
      <c r="X477" s="384"/>
      <c r="Y477" s="442"/>
      <c r="Z477" s="442"/>
      <c r="AA477" s="441"/>
      <c r="AB477" s="441"/>
      <c r="AC477" s="441"/>
      <c r="AD477" s="441"/>
      <c r="AE477" s="441" t="s">
        <v>4885</v>
      </c>
      <c r="AF477" s="441"/>
      <c r="AG477" s="441"/>
      <c r="AH477" s="441"/>
      <c r="AI477" s="441"/>
      <c r="AJ477" s="441"/>
      <c r="AK477" s="395">
        <v>0</v>
      </c>
      <c r="AL477" s="395" t="s">
        <v>72</v>
      </c>
      <c r="AM477" s="395"/>
      <c r="AN477" s="395"/>
      <c r="AO477" s="395"/>
      <c r="AP477" s="410"/>
      <c r="AQ477" s="410"/>
    </row>
    <row r="478" spans="2:43" ht="15" customHeight="1">
      <c r="B478" s="394">
        <v>1</v>
      </c>
      <c r="C478" s="395" t="s">
        <v>793</v>
      </c>
      <c r="D478" s="417" t="s">
        <v>4886</v>
      </c>
      <c r="E478" s="662" t="s">
        <v>4887</v>
      </c>
      <c r="F478" s="417"/>
      <c r="G478" s="384"/>
      <c r="H478" s="768"/>
      <c r="I478" s="384"/>
      <c r="J478" s="384" t="s">
        <v>4986</v>
      </c>
      <c r="K478" s="657"/>
      <c r="L478" s="658"/>
      <c r="M478" s="384"/>
      <c r="N478" s="384">
        <v>2</v>
      </c>
      <c r="O478" s="384"/>
      <c r="P478" s="384" t="s">
        <v>231</v>
      </c>
      <c r="Q478" s="384" t="s">
        <v>187</v>
      </c>
      <c r="R478" s="384"/>
      <c r="S478" s="660"/>
      <c r="T478" s="396"/>
      <c r="U478" s="384"/>
      <c r="V478" s="384"/>
      <c r="W478" s="384"/>
      <c r="X478" s="384"/>
      <c r="Y478" s="442"/>
      <c r="Z478" s="442"/>
      <c r="AA478" s="441"/>
      <c r="AB478" s="441"/>
      <c r="AC478" s="441"/>
      <c r="AD478" s="441"/>
      <c r="AE478" s="441" t="s">
        <v>4888</v>
      </c>
      <c r="AF478" s="441"/>
      <c r="AG478" s="441"/>
      <c r="AH478" s="441"/>
      <c r="AI478" s="441"/>
      <c r="AJ478" s="441"/>
      <c r="AK478" s="395">
        <v>0</v>
      </c>
      <c r="AL478" s="395" t="s">
        <v>72</v>
      </c>
      <c r="AM478" s="395"/>
      <c r="AN478" s="395"/>
      <c r="AO478" s="395"/>
      <c r="AP478" s="410"/>
      <c r="AQ478" s="410"/>
    </row>
    <row r="479" spans="2:43" ht="15" customHeight="1">
      <c r="B479" s="394">
        <v>1</v>
      </c>
      <c r="C479" s="395" t="s">
        <v>793</v>
      </c>
      <c r="D479" s="417" t="s">
        <v>4889</v>
      </c>
      <c r="E479" s="662" t="s">
        <v>4890</v>
      </c>
      <c r="F479" s="417"/>
      <c r="G479" s="384"/>
      <c r="H479" s="768"/>
      <c r="I479" s="384"/>
      <c r="J479" s="384" t="s">
        <v>4986</v>
      </c>
      <c r="K479" s="657"/>
      <c r="L479" s="658"/>
      <c r="M479" s="384"/>
      <c r="N479" s="384">
        <v>2</v>
      </c>
      <c r="O479" s="384"/>
      <c r="P479" s="384" t="s">
        <v>231</v>
      </c>
      <c r="Q479" s="384" t="s">
        <v>187</v>
      </c>
      <c r="R479" s="384"/>
      <c r="S479" s="660"/>
      <c r="T479" s="396"/>
      <c r="U479" s="384"/>
      <c r="V479" s="384"/>
      <c r="W479" s="384"/>
      <c r="X479" s="384"/>
      <c r="Y479" s="442"/>
      <c r="Z479" s="442"/>
      <c r="AA479" s="441"/>
      <c r="AB479" s="441"/>
      <c r="AC479" s="441"/>
      <c r="AD479" s="441"/>
      <c r="AE479" s="441" t="s">
        <v>4891</v>
      </c>
      <c r="AF479" s="441"/>
      <c r="AG479" s="441"/>
      <c r="AH479" s="441"/>
      <c r="AI479" s="441"/>
      <c r="AJ479" s="441"/>
      <c r="AK479" s="395">
        <v>0</v>
      </c>
      <c r="AL479" s="395" t="s">
        <v>72</v>
      </c>
      <c r="AM479" s="395"/>
      <c r="AN479" s="395"/>
      <c r="AO479" s="395"/>
      <c r="AP479" s="410"/>
      <c r="AQ479" s="410"/>
    </row>
    <row r="480" spans="2:43" ht="15" customHeight="1">
      <c r="B480" s="394">
        <v>1</v>
      </c>
      <c r="C480" s="395" t="s">
        <v>793</v>
      </c>
      <c r="D480" s="417" t="s">
        <v>4892</v>
      </c>
      <c r="E480" s="662" t="s">
        <v>4893</v>
      </c>
      <c r="F480" s="417"/>
      <c r="G480" s="384"/>
      <c r="H480" s="768"/>
      <c r="I480" s="384"/>
      <c r="J480" s="384" t="s">
        <v>4986</v>
      </c>
      <c r="K480" s="657"/>
      <c r="L480" s="658"/>
      <c r="M480" s="384"/>
      <c r="N480" s="384">
        <v>2</v>
      </c>
      <c r="O480" s="384"/>
      <c r="P480" s="384" t="s">
        <v>231</v>
      </c>
      <c r="Q480" s="384" t="s">
        <v>187</v>
      </c>
      <c r="R480" s="384"/>
      <c r="S480" s="660"/>
      <c r="T480" s="396"/>
      <c r="U480" s="384"/>
      <c r="V480" s="384"/>
      <c r="W480" s="384"/>
      <c r="X480" s="384"/>
      <c r="Y480" s="442"/>
      <c r="Z480" s="442"/>
      <c r="AA480" s="441"/>
      <c r="AB480" s="441"/>
      <c r="AC480" s="441"/>
      <c r="AD480" s="441"/>
      <c r="AE480" s="441" t="s">
        <v>4894</v>
      </c>
      <c r="AF480" s="441"/>
      <c r="AG480" s="441"/>
      <c r="AH480" s="441"/>
      <c r="AI480" s="441"/>
      <c r="AJ480" s="441"/>
      <c r="AK480" s="395">
        <v>0</v>
      </c>
      <c r="AL480" s="395" t="s">
        <v>72</v>
      </c>
      <c r="AM480" s="395"/>
      <c r="AN480" s="395"/>
      <c r="AO480" s="395"/>
      <c r="AP480" s="410"/>
      <c r="AQ480" s="410"/>
    </row>
    <row r="481" spans="2:43" ht="15" customHeight="1">
      <c r="B481" s="394">
        <v>1</v>
      </c>
      <c r="C481" s="395" t="s">
        <v>592</v>
      </c>
      <c r="D481" s="417" t="s">
        <v>4895</v>
      </c>
      <c r="E481" s="662" t="s">
        <v>4896</v>
      </c>
      <c r="F481" s="417"/>
      <c r="G481" s="384"/>
      <c r="H481" s="768"/>
      <c r="I481" s="384"/>
      <c r="J481" s="384" t="s">
        <v>4986</v>
      </c>
      <c r="K481" s="657"/>
      <c r="L481" s="658"/>
      <c r="M481" s="384"/>
      <c r="N481" s="384">
        <v>6</v>
      </c>
      <c r="O481" s="384" t="s">
        <v>4989</v>
      </c>
      <c r="P481" s="384" t="s">
        <v>230</v>
      </c>
      <c r="Q481" s="384" t="s">
        <v>187</v>
      </c>
      <c r="R481" s="384"/>
      <c r="S481" s="660"/>
      <c r="T481" s="396"/>
      <c r="U481" s="384"/>
      <c r="V481" s="384"/>
      <c r="W481" s="384"/>
      <c r="X481" s="384"/>
      <c r="Y481" s="442" t="s">
        <v>4897</v>
      </c>
      <c r="Z481" s="442"/>
      <c r="AA481" s="441"/>
      <c r="AB481" s="441"/>
      <c r="AC481" s="441"/>
      <c r="AD481" s="441"/>
      <c r="AE481" s="441"/>
      <c r="AF481" s="441"/>
      <c r="AG481" s="441"/>
      <c r="AH481" s="441"/>
      <c r="AI481" s="441"/>
      <c r="AJ481" s="441"/>
      <c r="AK481" s="395">
        <v>0</v>
      </c>
      <c r="AL481" s="395" t="s">
        <v>72</v>
      </c>
      <c r="AM481" s="395"/>
      <c r="AN481" s="395"/>
      <c r="AO481" s="395"/>
      <c r="AP481" s="410"/>
      <c r="AQ481" s="410"/>
    </row>
    <row r="482" spans="2:43" ht="15" customHeight="1">
      <c r="B482" s="394">
        <v>1</v>
      </c>
      <c r="C482" s="395" t="s">
        <v>592</v>
      </c>
      <c r="D482" s="417" t="s">
        <v>4898</v>
      </c>
      <c r="E482" s="662" t="s">
        <v>4899</v>
      </c>
      <c r="F482" s="417"/>
      <c r="G482" s="384"/>
      <c r="H482" s="768"/>
      <c r="I482" s="384"/>
      <c r="J482" s="384" t="s">
        <v>4987</v>
      </c>
      <c r="K482" s="657"/>
      <c r="L482" s="658"/>
      <c r="M482" s="384"/>
      <c r="N482" s="384">
        <v>2</v>
      </c>
      <c r="O482" s="384" t="s">
        <v>4989</v>
      </c>
      <c r="P482" s="384" t="s">
        <v>230</v>
      </c>
      <c r="Q482" s="384" t="s">
        <v>187</v>
      </c>
      <c r="R482" s="384"/>
      <c r="S482" s="660"/>
      <c r="T482" s="396"/>
      <c r="U482" s="384"/>
      <c r="V482" s="384"/>
      <c r="W482" s="384"/>
      <c r="X482" s="384"/>
      <c r="Y482" s="442" t="s">
        <v>4900</v>
      </c>
      <c r="Z482" s="442"/>
      <c r="AA482" s="441"/>
      <c r="AB482" s="441"/>
      <c r="AC482" s="441"/>
      <c r="AD482" s="441"/>
      <c r="AE482" s="441"/>
      <c r="AF482" s="441"/>
      <c r="AG482" s="441"/>
      <c r="AH482" s="441"/>
      <c r="AI482" s="441"/>
      <c r="AJ482" s="441"/>
      <c r="AK482" s="395">
        <v>0</v>
      </c>
      <c r="AL482" s="395" t="s">
        <v>72</v>
      </c>
      <c r="AM482" s="395"/>
      <c r="AN482" s="395"/>
      <c r="AO482" s="395"/>
      <c r="AP482" s="410"/>
      <c r="AQ482" s="410"/>
    </row>
    <row r="483" spans="2:43" ht="15" customHeight="1">
      <c r="B483" s="394">
        <v>1</v>
      </c>
      <c r="C483" s="395" t="s">
        <v>592</v>
      </c>
      <c r="D483" s="417" t="s">
        <v>4901</v>
      </c>
      <c r="E483" s="662" t="s">
        <v>4902</v>
      </c>
      <c r="F483" s="417"/>
      <c r="G483" s="384"/>
      <c r="H483" s="768"/>
      <c r="I483" s="384"/>
      <c r="J483" s="384" t="s">
        <v>4987</v>
      </c>
      <c r="K483" s="657"/>
      <c r="L483" s="658"/>
      <c r="M483" s="384"/>
      <c r="N483" s="384">
        <v>2</v>
      </c>
      <c r="O483" s="384" t="s">
        <v>4989</v>
      </c>
      <c r="P483" s="384" t="s">
        <v>655</v>
      </c>
      <c r="Q483" s="384" t="s">
        <v>187</v>
      </c>
      <c r="R483" s="384"/>
      <c r="S483" s="660"/>
      <c r="T483" s="396"/>
      <c r="U483" s="384"/>
      <c r="V483" s="384"/>
      <c r="W483" s="384"/>
      <c r="X483" s="384"/>
      <c r="Y483" s="442" t="s">
        <v>4903</v>
      </c>
      <c r="Z483" s="442"/>
      <c r="AA483" s="441"/>
      <c r="AB483" s="441"/>
      <c r="AC483" s="441"/>
      <c r="AD483" s="441"/>
      <c r="AE483" s="441"/>
      <c r="AF483" s="441"/>
      <c r="AG483" s="441"/>
      <c r="AH483" s="441"/>
      <c r="AI483" s="441"/>
      <c r="AJ483" s="441"/>
      <c r="AK483" s="395">
        <v>0</v>
      </c>
      <c r="AL483" s="395" t="s">
        <v>72</v>
      </c>
      <c r="AM483" s="395"/>
      <c r="AN483" s="395"/>
      <c r="AO483" s="395"/>
      <c r="AP483" s="410"/>
      <c r="AQ483" s="410"/>
    </row>
    <row r="484" spans="2:43" ht="15" customHeight="1">
      <c r="B484" s="394">
        <v>1</v>
      </c>
      <c r="C484" s="395" t="s">
        <v>592</v>
      </c>
      <c r="D484" s="417" t="s">
        <v>4904</v>
      </c>
      <c r="E484" s="662" t="s">
        <v>4905</v>
      </c>
      <c r="F484" s="417"/>
      <c r="G484" s="384"/>
      <c r="H484" s="768"/>
      <c r="I484" s="384"/>
      <c r="J484" s="384" t="s">
        <v>4987</v>
      </c>
      <c r="K484" s="657"/>
      <c r="L484" s="658"/>
      <c r="M484" s="384"/>
      <c r="N484" s="384">
        <v>2</v>
      </c>
      <c r="O484" s="384" t="s">
        <v>4989</v>
      </c>
      <c r="P484" s="384" t="s">
        <v>654</v>
      </c>
      <c r="Q484" s="384" t="s">
        <v>187</v>
      </c>
      <c r="R484" s="384"/>
      <c r="S484" s="660"/>
      <c r="T484" s="396"/>
      <c r="U484" s="384"/>
      <c r="V484" s="384"/>
      <c r="W484" s="384"/>
      <c r="X484" s="384"/>
      <c r="Y484" s="442" t="s">
        <v>4906</v>
      </c>
      <c r="Z484" s="442"/>
      <c r="AA484" s="441"/>
      <c r="AB484" s="441"/>
      <c r="AC484" s="441"/>
      <c r="AD484" s="441"/>
      <c r="AE484" s="441"/>
      <c r="AF484" s="441"/>
      <c r="AG484" s="441"/>
      <c r="AH484" s="441"/>
      <c r="AI484" s="441"/>
      <c r="AJ484" s="441"/>
      <c r="AK484" s="395">
        <v>0</v>
      </c>
      <c r="AL484" s="395" t="s">
        <v>72</v>
      </c>
      <c r="AM484" s="395"/>
      <c r="AN484" s="395"/>
      <c r="AO484" s="395"/>
      <c r="AP484" s="410"/>
      <c r="AQ484" s="410"/>
    </row>
    <row r="485" spans="2:43" ht="15" customHeight="1">
      <c r="B485" s="394">
        <v>1</v>
      </c>
      <c r="C485" s="395" t="s">
        <v>592</v>
      </c>
      <c r="D485" s="417" t="s">
        <v>4907</v>
      </c>
      <c r="E485" s="662" t="s">
        <v>4908</v>
      </c>
      <c r="F485" s="417"/>
      <c r="G485" s="384"/>
      <c r="H485" s="768"/>
      <c r="I485" s="384"/>
      <c r="J485" s="384" t="s">
        <v>4987</v>
      </c>
      <c r="K485" s="657"/>
      <c r="L485" s="658"/>
      <c r="M485" s="384"/>
      <c r="N485" s="384">
        <v>2</v>
      </c>
      <c r="O485" s="384" t="s">
        <v>4989</v>
      </c>
      <c r="P485" s="384" t="s">
        <v>110</v>
      </c>
      <c r="Q485" s="384" t="s">
        <v>226</v>
      </c>
      <c r="R485" s="384"/>
      <c r="S485" s="660"/>
      <c r="T485" s="396"/>
      <c r="U485" s="384"/>
      <c r="V485" s="384"/>
      <c r="W485" s="384"/>
      <c r="X485" s="384"/>
      <c r="Y485" s="442" t="s">
        <v>4909</v>
      </c>
      <c r="Z485" s="442"/>
      <c r="AA485" s="441"/>
      <c r="AB485" s="441"/>
      <c r="AC485" s="441"/>
      <c r="AD485" s="441"/>
      <c r="AE485" s="441"/>
      <c r="AF485" s="441"/>
      <c r="AG485" s="441"/>
      <c r="AH485" s="441"/>
      <c r="AI485" s="441"/>
      <c r="AJ485" s="441"/>
      <c r="AK485" s="395">
        <v>0</v>
      </c>
      <c r="AL485" s="395" t="s">
        <v>72</v>
      </c>
      <c r="AM485" s="395"/>
      <c r="AN485" s="395"/>
      <c r="AO485" s="395"/>
      <c r="AP485" s="410"/>
      <c r="AQ485" s="410"/>
    </row>
    <row r="486" spans="2:43" ht="15" customHeight="1">
      <c r="B486" s="394">
        <v>1</v>
      </c>
      <c r="C486" s="395" t="s">
        <v>592</v>
      </c>
      <c r="D486" s="417" t="s">
        <v>4910</v>
      </c>
      <c r="E486" s="662" t="s">
        <v>4911</v>
      </c>
      <c r="F486" s="417"/>
      <c r="G486" s="384"/>
      <c r="H486" s="768"/>
      <c r="I486" s="384"/>
      <c r="J486" s="384" t="s">
        <v>4987</v>
      </c>
      <c r="K486" s="657"/>
      <c r="L486" s="658"/>
      <c r="M486" s="384"/>
      <c r="N486" s="384">
        <v>2</v>
      </c>
      <c r="O486" s="384" t="s">
        <v>4989</v>
      </c>
      <c r="P486" s="384" t="s">
        <v>655</v>
      </c>
      <c r="Q486" s="384" t="s">
        <v>187</v>
      </c>
      <c r="R486" s="384"/>
      <c r="S486" s="660"/>
      <c r="T486" s="396"/>
      <c r="U486" s="384"/>
      <c r="V486" s="384"/>
      <c r="W486" s="384"/>
      <c r="X486" s="384"/>
      <c r="Y486" s="442" t="s">
        <v>4912</v>
      </c>
      <c r="Z486" s="442"/>
      <c r="AA486" s="441"/>
      <c r="AB486" s="441"/>
      <c r="AC486" s="441"/>
      <c r="AD486" s="441"/>
      <c r="AE486" s="441"/>
      <c r="AF486" s="441"/>
      <c r="AG486" s="441"/>
      <c r="AH486" s="441"/>
      <c r="AI486" s="441"/>
      <c r="AJ486" s="441"/>
      <c r="AK486" s="395">
        <v>0</v>
      </c>
      <c r="AL486" s="395" t="s">
        <v>72</v>
      </c>
      <c r="AM486" s="395"/>
      <c r="AN486" s="395"/>
      <c r="AO486" s="395"/>
      <c r="AP486" s="410"/>
      <c r="AQ486" s="410"/>
    </row>
    <row r="487" spans="2:43" ht="15" customHeight="1">
      <c r="B487" s="394">
        <v>1</v>
      </c>
      <c r="C487" s="395" t="s">
        <v>592</v>
      </c>
      <c r="D487" s="417" t="s">
        <v>4913</v>
      </c>
      <c r="E487" s="662" t="s">
        <v>4914</v>
      </c>
      <c r="F487" s="417"/>
      <c r="G487" s="384"/>
      <c r="H487" s="768"/>
      <c r="I487" s="384"/>
      <c r="J487" s="384" t="s">
        <v>4987</v>
      </c>
      <c r="K487" s="657"/>
      <c r="L487" s="658"/>
      <c r="M487" s="384"/>
      <c r="N487" s="384">
        <v>2</v>
      </c>
      <c r="O487" s="384" t="s">
        <v>4989</v>
      </c>
      <c r="P487" s="384" t="s">
        <v>654</v>
      </c>
      <c r="Q487" s="384" t="s">
        <v>187</v>
      </c>
      <c r="R487" s="384"/>
      <c r="S487" s="660"/>
      <c r="T487" s="396"/>
      <c r="U487" s="384"/>
      <c r="V487" s="384"/>
      <c r="W487" s="384"/>
      <c r="X487" s="384"/>
      <c r="Y487" s="442" t="s">
        <v>4915</v>
      </c>
      <c r="Z487" s="442"/>
      <c r="AA487" s="441"/>
      <c r="AB487" s="441"/>
      <c r="AC487" s="441"/>
      <c r="AD487" s="441"/>
      <c r="AE487" s="441"/>
      <c r="AF487" s="441"/>
      <c r="AG487" s="441"/>
      <c r="AH487" s="441"/>
      <c r="AI487" s="441"/>
      <c r="AJ487" s="441"/>
      <c r="AK487" s="395">
        <v>0</v>
      </c>
      <c r="AL487" s="395" t="s">
        <v>72</v>
      </c>
      <c r="AM487" s="395"/>
      <c r="AN487" s="395"/>
      <c r="AO487" s="395"/>
      <c r="AP487" s="410"/>
      <c r="AQ487" s="410"/>
    </row>
    <row r="488" spans="2:43" ht="15" customHeight="1">
      <c r="B488" s="394">
        <v>1</v>
      </c>
      <c r="C488" s="395" t="s">
        <v>592</v>
      </c>
      <c r="D488" s="417" t="s">
        <v>4916</v>
      </c>
      <c r="E488" s="662" t="s">
        <v>4917</v>
      </c>
      <c r="F488" s="417"/>
      <c r="G488" s="384"/>
      <c r="H488" s="768"/>
      <c r="I488" s="384"/>
      <c r="J488" s="384" t="s">
        <v>4988</v>
      </c>
      <c r="K488" s="657"/>
      <c r="L488" s="658"/>
      <c r="M488" s="384"/>
      <c r="N488" s="384">
        <v>6</v>
      </c>
      <c r="O488" s="384" t="s">
        <v>4989</v>
      </c>
      <c r="P488" s="384" t="s">
        <v>230</v>
      </c>
      <c r="Q488" s="384" t="s">
        <v>187</v>
      </c>
      <c r="R488" s="384"/>
      <c r="S488" s="660"/>
      <c r="T488" s="396"/>
      <c r="U488" s="384"/>
      <c r="V488" s="384"/>
      <c r="W488" s="384"/>
      <c r="X488" s="384"/>
      <c r="Y488" s="442" t="s">
        <v>4918</v>
      </c>
      <c r="Z488" s="442"/>
      <c r="AA488" s="441"/>
      <c r="AB488" s="441"/>
      <c r="AC488" s="441"/>
      <c r="AD488" s="441"/>
      <c r="AE488" s="441"/>
      <c r="AF488" s="441"/>
      <c r="AG488" s="441"/>
      <c r="AH488" s="441"/>
      <c r="AI488" s="441"/>
      <c r="AJ488" s="441"/>
      <c r="AK488" s="395">
        <v>0</v>
      </c>
      <c r="AL488" s="395" t="s">
        <v>72</v>
      </c>
      <c r="AM488" s="395"/>
      <c r="AN488" s="395"/>
      <c r="AO488" s="395"/>
      <c r="AP488" s="410"/>
      <c r="AQ488" s="410"/>
    </row>
    <row r="489" spans="2:43" ht="15" customHeight="1">
      <c r="B489" s="394">
        <v>1</v>
      </c>
      <c r="C489" s="395" t="s">
        <v>592</v>
      </c>
      <c r="D489" s="417" t="s">
        <v>4919</v>
      </c>
      <c r="E489" s="662" t="s">
        <v>4920</v>
      </c>
      <c r="F489" s="417"/>
      <c r="G489" s="384"/>
      <c r="H489" s="768"/>
      <c r="I489" s="384"/>
      <c r="J489" s="384" t="s">
        <v>4988</v>
      </c>
      <c r="K489" s="657"/>
      <c r="L489" s="658"/>
      <c r="M489" s="384"/>
      <c r="N489" s="384">
        <v>6</v>
      </c>
      <c r="O489" s="384" t="s">
        <v>4989</v>
      </c>
      <c r="P489" s="384" t="s">
        <v>230</v>
      </c>
      <c r="Q489" s="384" t="s">
        <v>187</v>
      </c>
      <c r="R489" s="384"/>
      <c r="S489" s="660"/>
      <c r="T489" s="396"/>
      <c r="U489" s="384"/>
      <c r="V489" s="384"/>
      <c r="W489" s="384"/>
      <c r="X489" s="384"/>
      <c r="Y489" s="442" t="s">
        <v>4921</v>
      </c>
      <c r="Z489" s="442"/>
      <c r="AA489" s="441"/>
      <c r="AB489" s="441"/>
      <c r="AC489" s="441"/>
      <c r="AD489" s="441"/>
      <c r="AE489" s="441"/>
      <c r="AF489" s="441"/>
      <c r="AG489" s="441"/>
      <c r="AH489" s="441"/>
      <c r="AI489" s="441"/>
      <c r="AJ489" s="441"/>
      <c r="AK489" s="395">
        <v>0</v>
      </c>
      <c r="AL489" s="395" t="s">
        <v>72</v>
      </c>
      <c r="AM489" s="395"/>
      <c r="AN489" s="395"/>
      <c r="AO489" s="395"/>
      <c r="AP489" s="410"/>
      <c r="AQ489" s="410"/>
    </row>
    <row r="490" spans="2:43" ht="15" customHeight="1">
      <c r="B490" s="394">
        <v>1</v>
      </c>
      <c r="C490" s="395" t="s">
        <v>607</v>
      </c>
      <c r="D490" s="417" t="s">
        <v>4922</v>
      </c>
      <c r="E490" s="662" t="s">
        <v>4923</v>
      </c>
      <c r="F490" s="417"/>
      <c r="G490" s="384"/>
      <c r="H490" s="768"/>
      <c r="I490" s="384"/>
      <c r="J490" s="384" t="s">
        <v>4988</v>
      </c>
      <c r="K490" s="657"/>
      <c r="L490" s="658"/>
      <c r="M490" s="384"/>
      <c r="N490" s="384">
        <v>6</v>
      </c>
      <c r="O490" s="384" t="s">
        <v>4989</v>
      </c>
      <c r="P490" s="384" t="s">
        <v>230</v>
      </c>
      <c r="Q490" s="384" t="s">
        <v>187</v>
      </c>
      <c r="R490" s="384"/>
      <c r="S490" s="660"/>
      <c r="T490" s="396"/>
      <c r="U490" s="384"/>
      <c r="V490" s="384"/>
      <c r="W490" s="384"/>
      <c r="X490" s="384"/>
      <c r="Y490" s="442" t="s">
        <v>4924</v>
      </c>
      <c r="Z490" s="442"/>
      <c r="AA490" s="441"/>
      <c r="AB490" s="441"/>
      <c r="AC490" s="441"/>
      <c r="AD490" s="441"/>
      <c r="AE490" s="441"/>
      <c r="AF490" s="441"/>
      <c r="AG490" s="441"/>
      <c r="AH490" s="441"/>
      <c r="AI490" s="441"/>
      <c r="AJ490" s="441"/>
      <c r="AK490" s="395"/>
      <c r="AL490" s="395"/>
      <c r="AM490" s="395">
        <v>0</v>
      </c>
      <c r="AN490" s="395"/>
      <c r="AO490" s="395"/>
      <c r="AP490" s="410"/>
      <c r="AQ490" s="410"/>
    </row>
    <row r="491" spans="2:43" ht="15" customHeight="1">
      <c r="B491" s="394">
        <v>1</v>
      </c>
      <c r="C491" s="395" t="s">
        <v>607</v>
      </c>
      <c r="D491" s="417" t="s">
        <v>4925</v>
      </c>
      <c r="E491" s="662" t="s">
        <v>4926</v>
      </c>
      <c r="F491" s="417"/>
      <c r="G491" s="384"/>
      <c r="H491" s="768"/>
      <c r="I491" s="384"/>
      <c r="J491" s="384" t="s">
        <v>4988</v>
      </c>
      <c r="K491" s="657"/>
      <c r="L491" s="658"/>
      <c r="M491" s="384"/>
      <c r="N491" s="384">
        <v>6</v>
      </c>
      <c r="O491" s="384" t="s">
        <v>4989</v>
      </c>
      <c r="P491" s="384" t="s">
        <v>230</v>
      </c>
      <c r="Q491" s="384" t="s">
        <v>187</v>
      </c>
      <c r="R491" s="384"/>
      <c r="S491" s="660"/>
      <c r="T491" s="396"/>
      <c r="U491" s="384"/>
      <c r="V491" s="384"/>
      <c r="W491" s="384"/>
      <c r="X491" s="384"/>
      <c r="Y491" s="442" t="s">
        <v>4927</v>
      </c>
      <c r="Z491" s="442"/>
      <c r="AA491" s="441"/>
      <c r="AB491" s="441"/>
      <c r="AC491" s="441"/>
      <c r="AD491" s="441"/>
      <c r="AE491" s="441"/>
      <c r="AF491" s="441"/>
      <c r="AG491" s="441"/>
      <c r="AH491" s="441"/>
      <c r="AI491" s="441"/>
      <c r="AJ491" s="441"/>
      <c r="AK491" s="395"/>
      <c r="AL491" s="395"/>
      <c r="AM491" s="395">
        <v>0</v>
      </c>
      <c r="AN491" s="395"/>
      <c r="AO491" s="395"/>
      <c r="AP491" s="410"/>
      <c r="AQ491" s="410"/>
    </row>
    <row r="492" spans="2:43" ht="15" customHeight="1">
      <c r="B492" s="394">
        <v>1</v>
      </c>
      <c r="C492" s="395" t="s">
        <v>693</v>
      </c>
      <c r="D492" s="417" t="s">
        <v>4928</v>
      </c>
      <c r="E492" s="662" t="s">
        <v>5180</v>
      </c>
      <c r="F492" s="417"/>
      <c r="G492" s="384"/>
      <c r="H492" s="768"/>
      <c r="I492" s="384"/>
      <c r="J492" s="384" t="s">
        <v>4981</v>
      </c>
      <c r="K492" s="657"/>
      <c r="L492" s="658"/>
      <c r="M492" s="384"/>
      <c r="N492" s="384"/>
      <c r="O492" s="384"/>
      <c r="P492" s="384"/>
      <c r="Q492" s="384"/>
      <c r="R492" s="384"/>
      <c r="S492" s="660"/>
      <c r="T492" s="396"/>
      <c r="U492" s="384"/>
      <c r="V492" s="384"/>
      <c r="W492" s="384"/>
      <c r="X492" s="384"/>
      <c r="Y492" s="442"/>
      <c r="Z492" s="442"/>
      <c r="AA492" s="441"/>
      <c r="AB492" s="441"/>
      <c r="AC492" s="441"/>
      <c r="AD492" s="441"/>
      <c r="AE492" s="441"/>
      <c r="AF492" s="441"/>
      <c r="AG492" s="441"/>
      <c r="AH492" s="441"/>
      <c r="AI492" s="441"/>
      <c r="AJ492" s="441"/>
      <c r="AK492" s="395"/>
      <c r="AL492" s="395"/>
      <c r="AM492" s="395"/>
      <c r="AN492" s="395"/>
      <c r="AO492" s="395"/>
      <c r="AP492" s="410"/>
      <c r="AQ492" s="410"/>
    </row>
    <row r="493" spans="2:43" ht="15" customHeight="1">
      <c r="B493" s="394">
        <v>1</v>
      </c>
      <c r="C493" s="395" t="s">
        <v>694</v>
      </c>
      <c r="D493" s="417" t="s">
        <v>4929</v>
      </c>
      <c r="E493" s="662" t="s">
        <v>5181</v>
      </c>
      <c r="F493" s="417"/>
      <c r="G493" s="384"/>
      <c r="H493" s="768"/>
      <c r="I493" s="384"/>
      <c r="J493" s="384" t="s">
        <v>4981</v>
      </c>
      <c r="K493" s="657"/>
      <c r="L493" s="658"/>
      <c r="M493" s="384"/>
      <c r="N493" s="384"/>
      <c r="O493" s="384"/>
      <c r="P493" s="384"/>
      <c r="Q493" s="384"/>
      <c r="R493" s="384"/>
      <c r="S493" s="660"/>
      <c r="T493" s="396"/>
      <c r="U493" s="384"/>
      <c r="V493" s="384"/>
      <c r="W493" s="384"/>
      <c r="X493" s="384"/>
      <c r="Y493" s="442"/>
      <c r="Z493" s="442"/>
      <c r="AA493" s="441"/>
      <c r="AB493" s="441"/>
      <c r="AC493" s="441"/>
      <c r="AD493" s="441"/>
      <c r="AE493" s="441"/>
      <c r="AF493" s="441"/>
      <c r="AG493" s="441"/>
      <c r="AH493" s="441"/>
      <c r="AI493" s="441"/>
      <c r="AJ493" s="441"/>
      <c r="AK493" s="395"/>
      <c r="AL493" s="395"/>
      <c r="AM493" s="395"/>
      <c r="AN493" s="395"/>
      <c r="AO493" s="395"/>
      <c r="AP493" s="410"/>
      <c r="AQ493" s="410"/>
    </row>
    <row r="494" spans="2:43" ht="15" customHeight="1">
      <c r="B494" s="394">
        <v>1</v>
      </c>
      <c r="C494" s="395" t="s">
        <v>612</v>
      </c>
      <c r="D494" s="417" t="s">
        <v>4930</v>
      </c>
      <c r="E494" s="662" t="s">
        <v>5190</v>
      </c>
      <c r="F494" s="417"/>
      <c r="G494" s="384"/>
      <c r="H494" s="768"/>
      <c r="I494" s="384"/>
      <c r="J494" s="384" t="s">
        <v>4981</v>
      </c>
      <c r="K494" s="657"/>
      <c r="L494" s="658"/>
      <c r="M494" s="384"/>
      <c r="N494" s="384"/>
      <c r="O494" s="384"/>
      <c r="P494" s="384"/>
      <c r="Q494" s="384"/>
      <c r="R494" s="384"/>
      <c r="S494" s="660"/>
      <c r="T494" s="396"/>
      <c r="U494" s="384"/>
      <c r="V494" s="384"/>
      <c r="W494" s="384"/>
      <c r="X494" s="384"/>
      <c r="Y494" s="442"/>
      <c r="Z494" s="442"/>
      <c r="AA494" s="441"/>
      <c r="AB494" s="441"/>
      <c r="AC494" s="441"/>
      <c r="AD494" s="441"/>
      <c r="AE494" s="441"/>
      <c r="AF494" s="441"/>
      <c r="AG494" s="441"/>
      <c r="AH494" s="441"/>
      <c r="AI494" s="441"/>
      <c r="AJ494" s="441"/>
      <c r="AK494" s="395"/>
      <c r="AL494" s="395"/>
      <c r="AM494" s="395"/>
      <c r="AN494" s="395"/>
      <c r="AO494" s="395"/>
      <c r="AP494" s="410"/>
      <c r="AQ494" s="410"/>
    </row>
    <row r="495" spans="2:43" ht="15" customHeight="1">
      <c r="B495" s="394">
        <v>1</v>
      </c>
      <c r="C495" s="395" t="s">
        <v>693</v>
      </c>
      <c r="D495" s="417" t="s">
        <v>4932</v>
      </c>
      <c r="E495" s="662" t="s">
        <v>5182</v>
      </c>
      <c r="F495" s="417"/>
      <c r="G495" s="384"/>
      <c r="H495" s="768"/>
      <c r="I495" s="384"/>
      <c r="J495" s="384" t="s">
        <v>4982</v>
      </c>
      <c r="K495" s="657"/>
      <c r="L495" s="658"/>
      <c r="M495" s="384"/>
      <c r="N495" s="384"/>
      <c r="O495" s="384"/>
      <c r="P495" s="384"/>
      <c r="Q495" s="384"/>
      <c r="R495" s="384"/>
      <c r="S495" s="660"/>
      <c r="T495" s="396"/>
      <c r="U495" s="384"/>
      <c r="V495" s="384"/>
      <c r="W495" s="384"/>
      <c r="X495" s="384"/>
      <c r="Y495" s="442"/>
      <c r="Z495" s="442"/>
      <c r="AA495" s="441"/>
      <c r="AB495" s="441"/>
      <c r="AC495" s="441"/>
      <c r="AD495" s="441"/>
      <c r="AE495" s="441"/>
      <c r="AF495" s="441"/>
      <c r="AG495" s="441"/>
      <c r="AH495" s="441"/>
      <c r="AI495" s="441"/>
      <c r="AJ495" s="441"/>
      <c r="AK495" s="395"/>
      <c r="AL495" s="395"/>
      <c r="AM495" s="395"/>
      <c r="AN495" s="395"/>
      <c r="AO495" s="395"/>
      <c r="AP495" s="410"/>
      <c r="AQ495" s="410"/>
    </row>
    <row r="496" spans="2:43" ht="15" customHeight="1">
      <c r="B496" s="394">
        <v>1</v>
      </c>
      <c r="C496" s="395" t="s">
        <v>694</v>
      </c>
      <c r="D496" s="417" t="s">
        <v>4933</v>
      </c>
      <c r="E496" s="662" t="s">
        <v>5183</v>
      </c>
      <c r="F496" s="417"/>
      <c r="G496" s="384"/>
      <c r="H496" s="768"/>
      <c r="I496" s="384"/>
      <c r="J496" s="384" t="s">
        <v>4982</v>
      </c>
      <c r="K496" s="657"/>
      <c r="L496" s="658"/>
      <c r="M496" s="384"/>
      <c r="N496" s="384"/>
      <c r="O496" s="384"/>
      <c r="P496" s="384"/>
      <c r="Q496" s="384"/>
      <c r="R496" s="384"/>
      <c r="S496" s="660"/>
      <c r="T496" s="396"/>
      <c r="U496" s="384"/>
      <c r="V496" s="384"/>
      <c r="W496" s="384"/>
      <c r="X496" s="384"/>
      <c r="Y496" s="442"/>
      <c r="Z496" s="442"/>
      <c r="AA496" s="441"/>
      <c r="AB496" s="441"/>
      <c r="AC496" s="441"/>
      <c r="AD496" s="441"/>
      <c r="AE496" s="441"/>
      <c r="AF496" s="441"/>
      <c r="AG496" s="441"/>
      <c r="AH496" s="441"/>
      <c r="AI496" s="441"/>
      <c r="AJ496" s="441"/>
      <c r="AK496" s="395"/>
      <c r="AL496" s="395"/>
      <c r="AM496" s="395"/>
      <c r="AN496" s="395"/>
      <c r="AO496" s="395"/>
      <c r="AP496" s="410"/>
      <c r="AQ496" s="410"/>
    </row>
    <row r="497" spans="2:43" ht="15" customHeight="1">
      <c r="B497" s="394">
        <v>1</v>
      </c>
      <c r="C497" s="395" t="s">
        <v>693</v>
      </c>
      <c r="D497" s="417" t="s">
        <v>4934</v>
      </c>
      <c r="E497" s="662" t="s">
        <v>5175</v>
      </c>
      <c r="F497" s="417"/>
      <c r="G497" s="384"/>
      <c r="H497" s="768"/>
      <c r="I497" s="384"/>
      <c r="J497" s="384" t="s">
        <v>4983</v>
      </c>
      <c r="K497" s="657"/>
      <c r="L497" s="658"/>
      <c r="M497" s="384"/>
      <c r="N497" s="384"/>
      <c r="O497" s="384"/>
      <c r="P497" s="384"/>
      <c r="Q497" s="384"/>
      <c r="R497" s="384"/>
      <c r="S497" s="660"/>
      <c r="T497" s="396"/>
      <c r="U497" s="384"/>
      <c r="V497" s="384"/>
      <c r="W497" s="384"/>
      <c r="X497" s="384"/>
      <c r="Y497" s="442"/>
      <c r="Z497" s="442"/>
      <c r="AA497" s="441"/>
      <c r="AB497" s="441"/>
      <c r="AC497" s="441"/>
      <c r="AD497" s="441"/>
      <c r="AE497" s="441"/>
      <c r="AF497" s="441"/>
      <c r="AG497" s="441"/>
      <c r="AH497" s="441"/>
      <c r="AI497" s="441"/>
      <c r="AJ497" s="441"/>
      <c r="AK497" s="395"/>
      <c r="AL497" s="395"/>
      <c r="AM497" s="395"/>
      <c r="AN497" s="395"/>
      <c r="AO497" s="395"/>
      <c r="AP497" s="410"/>
      <c r="AQ497" s="410"/>
    </row>
    <row r="498" spans="2:43" ht="15" customHeight="1">
      <c r="B498" s="394">
        <v>1</v>
      </c>
      <c r="C498" s="395" t="s">
        <v>694</v>
      </c>
      <c r="D498" s="417" t="s">
        <v>4935</v>
      </c>
      <c r="E498" s="662" t="s">
        <v>5176</v>
      </c>
      <c r="F498" s="417"/>
      <c r="G498" s="384"/>
      <c r="H498" s="768"/>
      <c r="I498" s="384"/>
      <c r="J498" s="384" t="s">
        <v>4983</v>
      </c>
      <c r="K498" s="657"/>
      <c r="L498" s="658"/>
      <c r="M498" s="384"/>
      <c r="N498" s="384"/>
      <c r="O498" s="384"/>
      <c r="P498" s="384"/>
      <c r="Q498" s="384"/>
      <c r="R498" s="384"/>
      <c r="S498" s="660"/>
      <c r="T498" s="396"/>
      <c r="U498" s="384"/>
      <c r="V498" s="384"/>
      <c r="W498" s="384"/>
      <c r="X498" s="384"/>
      <c r="Y498" s="442"/>
      <c r="Z498" s="442"/>
      <c r="AA498" s="441"/>
      <c r="AB498" s="441"/>
      <c r="AC498" s="441"/>
      <c r="AD498" s="441"/>
      <c r="AE498" s="441"/>
      <c r="AF498" s="441"/>
      <c r="AG498" s="441"/>
      <c r="AH498" s="441"/>
      <c r="AI498" s="441"/>
      <c r="AJ498" s="441"/>
      <c r="AK498" s="395"/>
      <c r="AL498" s="395"/>
      <c r="AM498" s="395"/>
      <c r="AN498" s="395"/>
      <c r="AO498" s="395"/>
      <c r="AP498" s="410"/>
      <c r="AQ498" s="410"/>
    </row>
    <row r="499" spans="2:43" ht="15" customHeight="1">
      <c r="B499" s="394">
        <v>1</v>
      </c>
      <c r="C499" s="395" t="s">
        <v>693</v>
      </c>
      <c r="D499" s="417" t="s">
        <v>4936</v>
      </c>
      <c r="E499" s="662" t="s">
        <v>5177</v>
      </c>
      <c r="F499" s="417"/>
      <c r="G499" s="384"/>
      <c r="H499" s="768"/>
      <c r="I499" s="384"/>
      <c r="J499" s="384" t="s">
        <v>4984</v>
      </c>
      <c r="K499" s="657"/>
      <c r="L499" s="658"/>
      <c r="M499" s="384"/>
      <c r="N499" s="384"/>
      <c r="O499" s="384"/>
      <c r="P499" s="384"/>
      <c r="Q499" s="384"/>
      <c r="R499" s="384"/>
      <c r="S499" s="660"/>
      <c r="T499" s="396"/>
      <c r="U499" s="384"/>
      <c r="V499" s="384"/>
      <c r="W499" s="384"/>
      <c r="X499" s="384"/>
      <c r="Y499" s="442"/>
      <c r="Z499" s="442"/>
      <c r="AA499" s="441"/>
      <c r="AB499" s="441"/>
      <c r="AC499" s="441"/>
      <c r="AD499" s="441"/>
      <c r="AE499" s="441"/>
      <c r="AF499" s="441"/>
      <c r="AG499" s="441"/>
      <c r="AH499" s="441"/>
      <c r="AI499" s="441"/>
      <c r="AJ499" s="441"/>
      <c r="AK499" s="395"/>
      <c r="AL499" s="395"/>
      <c r="AM499" s="395"/>
      <c r="AN499" s="395"/>
      <c r="AO499" s="395"/>
      <c r="AP499" s="410"/>
      <c r="AQ499" s="410"/>
    </row>
    <row r="500" spans="2:43" ht="15" customHeight="1">
      <c r="B500" s="394">
        <v>1</v>
      </c>
      <c r="C500" s="395" t="s">
        <v>694</v>
      </c>
      <c r="D500" s="417" t="s">
        <v>4937</v>
      </c>
      <c r="E500" s="662" t="s">
        <v>5178</v>
      </c>
      <c r="F500" s="417"/>
      <c r="G500" s="384"/>
      <c r="H500" s="768"/>
      <c r="I500" s="384"/>
      <c r="J500" s="384" t="s">
        <v>4984</v>
      </c>
      <c r="K500" s="657"/>
      <c r="L500" s="658"/>
      <c r="M500" s="384"/>
      <c r="N500" s="384"/>
      <c r="O500" s="384"/>
      <c r="P500" s="384"/>
      <c r="Q500" s="384"/>
      <c r="R500" s="384"/>
      <c r="S500" s="660"/>
      <c r="T500" s="396"/>
      <c r="U500" s="384"/>
      <c r="V500" s="384"/>
      <c r="W500" s="384"/>
      <c r="X500" s="384"/>
      <c r="Y500" s="442"/>
      <c r="Z500" s="442"/>
      <c r="AA500" s="441"/>
      <c r="AB500" s="441"/>
      <c r="AC500" s="441"/>
      <c r="AD500" s="441"/>
      <c r="AE500" s="441"/>
      <c r="AF500" s="441"/>
      <c r="AG500" s="441"/>
      <c r="AH500" s="441"/>
      <c r="AI500" s="441"/>
      <c r="AJ500" s="441"/>
      <c r="AK500" s="395"/>
      <c r="AL500" s="395"/>
      <c r="AM500" s="395"/>
      <c r="AN500" s="395"/>
      <c r="AO500" s="395"/>
      <c r="AP500" s="410"/>
      <c r="AQ500" s="410"/>
    </row>
    <row r="501" spans="2:43" ht="15" customHeight="1">
      <c r="B501" s="394">
        <v>1</v>
      </c>
      <c r="C501" s="395" t="s">
        <v>695</v>
      </c>
      <c r="D501" s="417" t="s">
        <v>4938</v>
      </c>
      <c r="E501" s="662" t="s">
        <v>5179</v>
      </c>
      <c r="F501" s="417"/>
      <c r="G501" s="384"/>
      <c r="H501" s="768"/>
      <c r="I501" s="384"/>
      <c r="J501" s="384" t="s">
        <v>4984</v>
      </c>
      <c r="K501" s="657"/>
      <c r="L501" s="658"/>
      <c r="M501" s="384"/>
      <c r="N501" s="384"/>
      <c r="O501" s="384"/>
      <c r="P501" s="384"/>
      <c r="Q501" s="384"/>
      <c r="R501" s="384"/>
      <c r="S501" s="660"/>
      <c r="T501" s="396"/>
      <c r="U501" s="384"/>
      <c r="V501" s="384"/>
      <c r="W501" s="384"/>
      <c r="X501" s="384"/>
      <c r="Y501" s="442"/>
      <c r="Z501" s="442"/>
      <c r="AA501" s="441"/>
      <c r="AB501" s="441"/>
      <c r="AC501" s="441"/>
      <c r="AD501" s="441"/>
      <c r="AE501" s="441"/>
      <c r="AF501" s="441"/>
      <c r="AG501" s="441"/>
      <c r="AH501" s="441"/>
      <c r="AI501" s="441"/>
      <c r="AJ501" s="441"/>
      <c r="AK501" s="395"/>
      <c r="AL501" s="395"/>
      <c r="AM501" s="395"/>
      <c r="AN501" s="395"/>
      <c r="AO501" s="395"/>
      <c r="AP501" s="410"/>
      <c r="AQ501" s="410"/>
    </row>
    <row r="502" spans="2:43" ht="15" customHeight="1">
      <c r="B502" s="394">
        <v>1</v>
      </c>
      <c r="C502" s="395" t="s">
        <v>693</v>
      </c>
      <c r="D502" s="417" t="s">
        <v>4939</v>
      </c>
      <c r="E502" s="662" t="s">
        <v>5184</v>
      </c>
      <c r="F502" s="417"/>
      <c r="G502" s="384"/>
      <c r="H502" s="768"/>
      <c r="I502" s="384"/>
      <c r="J502" s="384" t="s">
        <v>4985</v>
      </c>
      <c r="K502" s="657"/>
      <c r="L502" s="658"/>
      <c r="M502" s="384"/>
      <c r="N502" s="384"/>
      <c r="O502" s="384"/>
      <c r="P502" s="384"/>
      <c r="Q502" s="384"/>
      <c r="R502" s="384"/>
      <c r="S502" s="660"/>
      <c r="T502" s="396"/>
      <c r="U502" s="384"/>
      <c r="V502" s="384"/>
      <c r="W502" s="384"/>
      <c r="X502" s="384"/>
      <c r="Y502" s="442"/>
      <c r="Z502" s="442"/>
      <c r="AA502" s="441"/>
      <c r="AB502" s="441"/>
      <c r="AC502" s="441"/>
      <c r="AD502" s="441"/>
      <c r="AE502" s="441"/>
      <c r="AF502" s="441"/>
      <c r="AG502" s="441"/>
      <c r="AH502" s="441"/>
      <c r="AI502" s="441"/>
      <c r="AJ502" s="441"/>
      <c r="AK502" s="395"/>
      <c r="AL502" s="395"/>
      <c r="AM502" s="395"/>
      <c r="AN502" s="395"/>
      <c r="AO502" s="395"/>
      <c r="AP502" s="410"/>
      <c r="AQ502" s="410"/>
    </row>
    <row r="503" spans="2:43" ht="15" customHeight="1">
      <c r="B503" s="394">
        <v>1</v>
      </c>
      <c r="C503" s="395" t="s">
        <v>694</v>
      </c>
      <c r="D503" s="417" t="s">
        <v>4940</v>
      </c>
      <c r="E503" s="662" t="s">
        <v>5185</v>
      </c>
      <c r="F503" s="417"/>
      <c r="G503" s="384"/>
      <c r="H503" s="768"/>
      <c r="I503" s="384"/>
      <c r="J503" s="384" t="s">
        <v>4985</v>
      </c>
      <c r="K503" s="657"/>
      <c r="L503" s="658"/>
      <c r="M503" s="384"/>
      <c r="N503" s="384"/>
      <c r="O503" s="384"/>
      <c r="P503" s="384"/>
      <c r="Q503" s="384"/>
      <c r="R503" s="384"/>
      <c r="S503" s="660"/>
      <c r="T503" s="396"/>
      <c r="U503" s="384"/>
      <c r="V503" s="384"/>
      <c r="W503" s="384"/>
      <c r="X503" s="384"/>
      <c r="Y503" s="442"/>
      <c r="Z503" s="442"/>
      <c r="AA503" s="441"/>
      <c r="AB503" s="441"/>
      <c r="AC503" s="441"/>
      <c r="AD503" s="441"/>
      <c r="AE503" s="441"/>
      <c r="AF503" s="441"/>
      <c r="AG503" s="441"/>
      <c r="AH503" s="441"/>
      <c r="AI503" s="441"/>
      <c r="AJ503" s="441"/>
      <c r="AK503" s="395"/>
      <c r="AL503" s="395"/>
      <c r="AM503" s="395"/>
      <c r="AN503" s="395"/>
      <c r="AO503" s="395"/>
      <c r="AP503" s="410"/>
      <c r="AQ503" s="410"/>
    </row>
    <row r="504" spans="2:43" ht="15" customHeight="1">
      <c r="B504" s="394">
        <v>1</v>
      </c>
      <c r="C504" s="395" t="s">
        <v>695</v>
      </c>
      <c r="D504" s="417" t="s">
        <v>4941</v>
      </c>
      <c r="E504" s="662" t="s">
        <v>5186</v>
      </c>
      <c r="F504" s="417"/>
      <c r="G504" s="384"/>
      <c r="H504" s="768"/>
      <c r="I504" s="384"/>
      <c r="J504" s="384" t="s">
        <v>4985</v>
      </c>
      <c r="K504" s="657"/>
      <c r="L504" s="658"/>
      <c r="M504" s="384"/>
      <c r="N504" s="384"/>
      <c r="O504" s="384"/>
      <c r="P504" s="384"/>
      <c r="Q504" s="384"/>
      <c r="R504" s="384"/>
      <c r="S504" s="660"/>
      <c r="T504" s="396"/>
      <c r="U504" s="384"/>
      <c r="V504" s="384"/>
      <c r="W504" s="384"/>
      <c r="X504" s="384"/>
      <c r="Y504" s="442"/>
      <c r="Z504" s="442"/>
      <c r="AA504" s="441"/>
      <c r="AB504" s="441"/>
      <c r="AC504" s="441"/>
      <c r="AD504" s="441"/>
      <c r="AE504" s="441"/>
      <c r="AF504" s="441"/>
      <c r="AG504" s="441"/>
      <c r="AH504" s="441"/>
      <c r="AI504" s="441"/>
      <c r="AJ504" s="441"/>
      <c r="AK504" s="395"/>
      <c r="AL504" s="395"/>
      <c r="AM504" s="395"/>
      <c r="AN504" s="395"/>
      <c r="AO504" s="395"/>
      <c r="AP504" s="410"/>
      <c r="AQ504" s="410"/>
    </row>
    <row r="505" spans="2:43" ht="15" customHeight="1">
      <c r="B505" s="394">
        <v>1</v>
      </c>
      <c r="C505" s="395" t="s">
        <v>693</v>
      </c>
      <c r="D505" s="417" t="s">
        <v>4942</v>
      </c>
      <c r="E505" s="662" t="s">
        <v>5187</v>
      </c>
      <c r="F505" s="417"/>
      <c r="G505" s="384"/>
      <c r="H505" s="768"/>
      <c r="I505" s="384"/>
      <c r="J505" s="384" t="s">
        <v>4986</v>
      </c>
      <c r="K505" s="657"/>
      <c r="L505" s="658"/>
      <c r="M505" s="384"/>
      <c r="N505" s="384"/>
      <c r="O505" s="384"/>
      <c r="P505" s="384"/>
      <c r="Q505" s="384"/>
      <c r="R505" s="384"/>
      <c r="S505" s="660"/>
      <c r="T505" s="396"/>
      <c r="U505" s="384"/>
      <c r="V505" s="384"/>
      <c r="W505" s="384"/>
      <c r="X505" s="384"/>
      <c r="Y505" s="442"/>
      <c r="Z505" s="442"/>
      <c r="AA505" s="441"/>
      <c r="AB505" s="441"/>
      <c r="AC505" s="441"/>
      <c r="AD505" s="441"/>
      <c r="AE505" s="441"/>
      <c r="AF505" s="441"/>
      <c r="AG505" s="441"/>
      <c r="AH505" s="441"/>
      <c r="AI505" s="441"/>
      <c r="AJ505" s="441"/>
      <c r="AK505" s="395"/>
      <c r="AL505" s="395"/>
      <c r="AM505" s="395"/>
      <c r="AN505" s="395"/>
      <c r="AO505" s="395"/>
      <c r="AP505" s="410"/>
      <c r="AQ505" s="410"/>
    </row>
    <row r="506" spans="2:43" ht="15" customHeight="1">
      <c r="B506" s="394">
        <v>1</v>
      </c>
      <c r="C506" s="395" t="s">
        <v>694</v>
      </c>
      <c r="D506" s="417" t="s">
        <v>4944</v>
      </c>
      <c r="E506" s="662" t="s">
        <v>5188</v>
      </c>
      <c r="F506" s="417"/>
      <c r="G506" s="384"/>
      <c r="H506" s="768"/>
      <c r="I506" s="384"/>
      <c r="J506" s="384" t="s">
        <v>4986</v>
      </c>
      <c r="K506" s="657"/>
      <c r="L506" s="658"/>
      <c r="M506" s="384"/>
      <c r="N506" s="384"/>
      <c r="O506" s="384"/>
      <c r="P506" s="384"/>
      <c r="Q506" s="384"/>
      <c r="R506" s="384"/>
      <c r="S506" s="660"/>
      <c r="T506" s="396"/>
      <c r="U506" s="384"/>
      <c r="V506" s="384"/>
      <c r="W506" s="384"/>
      <c r="X506" s="384"/>
      <c r="Y506" s="442"/>
      <c r="Z506" s="442"/>
      <c r="AA506" s="441"/>
      <c r="AB506" s="441"/>
      <c r="AC506" s="441"/>
      <c r="AD506" s="441"/>
      <c r="AE506" s="441"/>
      <c r="AF506" s="441"/>
      <c r="AG506" s="441"/>
      <c r="AH506" s="441"/>
      <c r="AI506" s="441"/>
      <c r="AJ506" s="441"/>
      <c r="AK506" s="395"/>
      <c r="AL506" s="395"/>
      <c r="AM506" s="395"/>
      <c r="AN506" s="395"/>
      <c r="AO506" s="395"/>
      <c r="AP506" s="410"/>
      <c r="AQ506" s="410"/>
    </row>
    <row r="507" spans="2:43" ht="15" customHeight="1">
      <c r="B507" s="394">
        <v>1</v>
      </c>
      <c r="C507" s="395" t="s">
        <v>695</v>
      </c>
      <c r="D507" s="417" t="s">
        <v>4946</v>
      </c>
      <c r="E507" s="662" t="s">
        <v>5189</v>
      </c>
      <c r="F507" s="417"/>
      <c r="G507" s="384"/>
      <c r="H507" s="768"/>
      <c r="I507" s="384"/>
      <c r="J507" s="384" t="s">
        <v>4987</v>
      </c>
      <c r="K507" s="657"/>
      <c r="L507" s="658"/>
      <c r="M507" s="384"/>
      <c r="N507" s="384"/>
      <c r="O507" s="384"/>
      <c r="P507" s="384"/>
      <c r="Q507" s="384"/>
      <c r="R507" s="384"/>
      <c r="S507" s="660"/>
      <c r="T507" s="396"/>
      <c r="U507" s="384"/>
      <c r="V507" s="384"/>
      <c r="W507" s="384"/>
      <c r="X507" s="384"/>
      <c r="Y507" s="442"/>
      <c r="Z507" s="442"/>
      <c r="AA507" s="441"/>
      <c r="AB507" s="441"/>
      <c r="AC507" s="441"/>
      <c r="AD507" s="441"/>
      <c r="AE507" s="441"/>
      <c r="AF507" s="441"/>
      <c r="AG507" s="441"/>
      <c r="AH507" s="441"/>
      <c r="AI507" s="441"/>
      <c r="AJ507" s="441"/>
      <c r="AK507" s="395"/>
      <c r="AL507" s="395"/>
      <c r="AM507" s="395"/>
      <c r="AN507" s="395"/>
      <c r="AO507" s="395"/>
      <c r="AP507" s="410"/>
      <c r="AQ507" s="410"/>
    </row>
    <row r="508" spans="2:43" ht="15" customHeight="1">
      <c r="B508" s="394"/>
      <c r="C508" s="395"/>
      <c r="D508" s="417"/>
      <c r="E508" s="662"/>
      <c r="F508" s="417"/>
      <c r="G508" s="384"/>
      <c r="H508" s="768"/>
      <c r="I508" s="384"/>
      <c r="J508" s="384"/>
      <c r="K508" s="657"/>
      <c r="L508" s="658"/>
      <c r="M508" s="384"/>
      <c r="N508" s="384"/>
      <c r="O508" s="384"/>
      <c r="P508" s="384"/>
      <c r="Q508" s="384"/>
      <c r="R508" s="384"/>
      <c r="S508" s="660"/>
      <c r="T508" s="396"/>
      <c r="U508" s="384"/>
      <c r="V508" s="384"/>
      <c r="W508" s="384"/>
      <c r="X508" s="384"/>
      <c r="Y508" s="442"/>
      <c r="Z508" s="442"/>
      <c r="AA508" s="441"/>
      <c r="AB508" s="441"/>
      <c r="AC508" s="441"/>
      <c r="AD508" s="441"/>
      <c r="AE508" s="441"/>
      <c r="AF508" s="441"/>
      <c r="AG508" s="441"/>
      <c r="AH508" s="441"/>
      <c r="AI508" s="441"/>
      <c r="AJ508" s="441"/>
      <c r="AK508" s="395"/>
      <c r="AL508" s="395"/>
      <c r="AM508" s="395"/>
      <c r="AN508" s="395"/>
      <c r="AO508" s="395"/>
      <c r="AP508" s="410"/>
      <c r="AQ508" s="410"/>
    </row>
    <row r="509" spans="2:43" ht="15" customHeight="1">
      <c r="B509" s="394"/>
      <c r="C509" s="395"/>
      <c r="D509" s="417"/>
      <c r="E509" s="662"/>
      <c r="F509" s="417"/>
      <c r="G509" s="384"/>
      <c r="H509" s="768"/>
      <c r="I509" s="384"/>
      <c r="J509" s="384"/>
      <c r="K509" s="657"/>
      <c r="L509" s="658"/>
      <c r="M509" s="384"/>
      <c r="N509" s="384"/>
      <c r="O509" s="384"/>
      <c r="P509" s="384"/>
      <c r="Q509" s="384"/>
      <c r="R509" s="384"/>
      <c r="S509" s="660"/>
      <c r="T509" s="396"/>
      <c r="U509" s="384"/>
      <c r="V509" s="384"/>
      <c r="W509" s="384"/>
      <c r="X509" s="384"/>
      <c r="Y509" s="442"/>
      <c r="Z509" s="442"/>
      <c r="AA509" s="441"/>
      <c r="AB509" s="441"/>
      <c r="AC509" s="441"/>
      <c r="AD509" s="441"/>
      <c r="AE509" s="441"/>
      <c r="AF509" s="441"/>
      <c r="AG509" s="441"/>
      <c r="AH509" s="441"/>
      <c r="AI509" s="441"/>
      <c r="AJ509" s="441"/>
      <c r="AK509" s="395"/>
      <c r="AL509" s="395"/>
      <c r="AM509" s="395"/>
      <c r="AN509" s="395"/>
      <c r="AO509" s="395"/>
      <c r="AP509" s="410"/>
      <c r="AQ509" s="410"/>
    </row>
    <row r="510" spans="2:43" ht="15" customHeight="1">
      <c r="B510" s="394"/>
      <c r="C510" s="395"/>
      <c r="D510" s="417"/>
      <c r="E510" s="662"/>
      <c r="F510" s="417"/>
      <c r="G510" s="384"/>
      <c r="H510" s="768"/>
      <c r="I510" s="384"/>
      <c r="J510" s="384"/>
      <c r="K510" s="657"/>
      <c r="L510" s="658"/>
      <c r="M510" s="384"/>
      <c r="N510" s="384"/>
      <c r="O510" s="384"/>
      <c r="P510" s="384"/>
      <c r="Q510" s="384"/>
      <c r="R510" s="384"/>
      <c r="S510" s="660"/>
      <c r="T510" s="396"/>
      <c r="U510" s="384"/>
      <c r="V510" s="384"/>
      <c r="W510" s="384"/>
      <c r="X510" s="384"/>
      <c r="Y510" s="442"/>
      <c r="Z510" s="442"/>
      <c r="AA510" s="441"/>
      <c r="AB510" s="441"/>
      <c r="AC510" s="441"/>
      <c r="AD510" s="441"/>
      <c r="AE510" s="441"/>
      <c r="AF510" s="441"/>
      <c r="AG510" s="441"/>
      <c r="AH510" s="441"/>
      <c r="AI510" s="441"/>
      <c r="AJ510" s="441"/>
      <c r="AK510" s="395"/>
      <c r="AL510" s="395"/>
      <c r="AM510" s="395"/>
      <c r="AN510" s="395"/>
      <c r="AO510" s="395"/>
      <c r="AP510" s="410"/>
      <c r="AQ510" s="410"/>
    </row>
    <row r="511" spans="2:43" ht="15" customHeight="1">
      <c r="B511" s="394"/>
      <c r="C511" s="395"/>
      <c r="D511" s="417"/>
      <c r="E511" s="662"/>
      <c r="F511" s="417"/>
      <c r="G511" s="384"/>
      <c r="H511" s="768"/>
      <c r="I511" s="384"/>
      <c r="J511" s="384"/>
      <c r="K511" s="657"/>
      <c r="L511" s="658"/>
      <c r="M511" s="384"/>
      <c r="N511" s="384"/>
      <c r="O511" s="384"/>
      <c r="P511" s="384"/>
      <c r="Q511" s="384"/>
      <c r="R511" s="384"/>
      <c r="S511" s="660"/>
      <c r="T511" s="396"/>
      <c r="U511" s="384"/>
      <c r="V511" s="384"/>
      <c r="W511" s="384"/>
      <c r="X511" s="384"/>
      <c r="Y511" s="442"/>
      <c r="Z511" s="442"/>
      <c r="AA511" s="441"/>
      <c r="AB511" s="441"/>
      <c r="AC511" s="441"/>
      <c r="AD511" s="441"/>
      <c r="AE511" s="441"/>
      <c r="AF511" s="441"/>
      <c r="AG511" s="441"/>
      <c r="AH511" s="441"/>
      <c r="AI511" s="441"/>
      <c r="AJ511" s="441"/>
      <c r="AK511" s="395"/>
      <c r="AL511" s="395"/>
      <c r="AM511" s="395"/>
      <c r="AN511" s="395"/>
      <c r="AO511" s="395"/>
      <c r="AP511" s="410"/>
      <c r="AQ511" s="410"/>
    </row>
    <row r="512" spans="2:43" ht="15" customHeight="1">
      <c r="B512" s="394"/>
      <c r="C512" s="395"/>
      <c r="D512" s="417"/>
      <c r="E512" s="662"/>
      <c r="F512" s="417"/>
      <c r="G512" s="384"/>
      <c r="H512" s="768"/>
      <c r="I512" s="384"/>
      <c r="J512" s="384"/>
      <c r="K512" s="657"/>
      <c r="L512" s="658"/>
      <c r="M512" s="384"/>
      <c r="N512" s="384"/>
      <c r="O512" s="384"/>
      <c r="P512" s="384"/>
      <c r="Q512" s="384"/>
      <c r="R512" s="384"/>
      <c r="S512" s="660"/>
      <c r="T512" s="396"/>
      <c r="U512" s="384"/>
      <c r="V512" s="384"/>
      <c r="W512" s="384"/>
      <c r="X512" s="384"/>
      <c r="Y512" s="442"/>
      <c r="Z512" s="442"/>
      <c r="AA512" s="441"/>
      <c r="AB512" s="441"/>
      <c r="AC512" s="441"/>
      <c r="AD512" s="441"/>
      <c r="AE512" s="441"/>
      <c r="AF512" s="441"/>
      <c r="AG512" s="441"/>
      <c r="AH512" s="441"/>
      <c r="AI512" s="441"/>
      <c r="AJ512" s="441"/>
      <c r="AK512" s="395"/>
      <c r="AL512" s="395"/>
      <c r="AM512" s="395"/>
      <c r="AN512" s="395"/>
      <c r="AO512" s="395"/>
      <c r="AP512" s="410"/>
      <c r="AQ512" s="410"/>
    </row>
    <row r="513" spans="2:43" ht="15" customHeight="1">
      <c r="B513" s="394"/>
      <c r="C513" s="395"/>
      <c r="D513" s="417"/>
      <c r="E513" s="662"/>
      <c r="F513" s="417"/>
      <c r="G513" s="384"/>
      <c r="H513" s="768"/>
      <c r="I513" s="384"/>
      <c r="J513" s="384"/>
      <c r="K513" s="657"/>
      <c r="L513" s="658"/>
      <c r="M513" s="384"/>
      <c r="N513" s="384"/>
      <c r="O513" s="384"/>
      <c r="P513" s="384"/>
      <c r="Q513" s="384"/>
      <c r="R513" s="384"/>
      <c r="S513" s="660"/>
      <c r="T513" s="396"/>
      <c r="U513" s="384"/>
      <c r="V513" s="384"/>
      <c r="W513" s="384"/>
      <c r="X513" s="384"/>
      <c r="Y513" s="442"/>
      <c r="Z513" s="442"/>
      <c r="AA513" s="441"/>
      <c r="AB513" s="441"/>
      <c r="AC513" s="441"/>
      <c r="AD513" s="441"/>
      <c r="AE513" s="441"/>
      <c r="AF513" s="441"/>
      <c r="AG513" s="441"/>
      <c r="AH513" s="441"/>
      <c r="AI513" s="441"/>
      <c r="AJ513" s="441"/>
      <c r="AK513" s="395"/>
      <c r="AL513" s="395"/>
      <c r="AM513" s="395"/>
      <c r="AN513" s="395"/>
      <c r="AO513" s="395"/>
      <c r="AP513" s="410"/>
      <c r="AQ513" s="410"/>
    </row>
    <row r="514" spans="2:43" ht="15" customHeight="1">
      <c r="B514" s="394"/>
      <c r="C514" s="395"/>
      <c r="D514" s="417"/>
      <c r="E514" s="662"/>
      <c r="F514" s="417"/>
      <c r="G514" s="384"/>
      <c r="H514" s="768"/>
      <c r="I514" s="384"/>
      <c r="J514" s="384"/>
      <c r="K514" s="657"/>
      <c r="L514" s="658"/>
      <c r="M514" s="384"/>
      <c r="N514" s="384"/>
      <c r="O514" s="384"/>
      <c r="P514" s="384"/>
      <c r="Q514" s="384"/>
      <c r="R514" s="384"/>
      <c r="S514" s="660"/>
      <c r="T514" s="396"/>
      <c r="U514" s="384"/>
      <c r="V514" s="384"/>
      <c r="W514" s="384"/>
      <c r="X514" s="384"/>
      <c r="Y514" s="442"/>
      <c r="Z514" s="442"/>
      <c r="AA514" s="441"/>
      <c r="AB514" s="441"/>
      <c r="AC514" s="441"/>
      <c r="AD514" s="441"/>
      <c r="AE514" s="441"/>
      <c r="AF514" s="441"/>
      <c r="AG514" s="441"/>
      <c r="AH514" s="441"/>
      <c r="AI514" s="441"/>
      <c r="AJ514" s="441"/>
      <c r="AK514" s="395"/>
      <c r="AL514" s="395"/>
      <c r="AM514" s="395"/>
      <c r="AN514" s="395"/>
      <c r="AO514" s="395"/>
      <c r="AP514" s="410"/>
      <c r="AQ514" s="410"/>
    </row>
    <row r="515" spans="2:43" ht="15" customHeight="1">
      <c r="B515" s="394"/>
      <c r="C515" s="395"/>
      <c r="D515" s="417"/>
      <c r="E515" s="662"/>
      <c r="F515" s="417"/>
      <c r="G515" s="384"/>
      <c r="H515" s="768"/>
      <c r="I515" s="384"/>
      <c r="J515" s="384"/>
      <c r="K515" s="657"/>
      <c r="L515" s="658"/>
      <c r="M515" s="384"/>
      <c r="N515" s="384"/>
      <c r="O515" s="384"/>
      <c r="P515" s="384"/>
      <c r="Q515" s="384"/>
      <c r="R515" s="384"/>
      <c r="S515" s="660"/>
      <c r="T515" s="396"/>
      <c r="U515" s="384"/>
      <c r="V515" s="384"/>
      <c r="W515" s="384"/>
      <c r="X515" s="384"/>
      <c r="Y515" s="442"/>
      <c r="Z515" s="442"/>
      <c r="AA515" s="441"/>
      <c r="AB515" s="441"/>
      <c r="AC515" s="441"/>
      <c r="AD515" s="441"/>
      <c r="AE515" s="441"/>
      <c r="AF515" s="441"/>
      <c r="AG515" s="441"/>
      <c r="AH515" s="441"/>
      <c r="AI515" s="441"/>
      <c r="AJ515" s="441"/>
      <c r="AK515" s="395"/>
      <c r="AL515" s="395"/>
      <c r="AM515" s="395"/>
      <c r="AN515" s="395"/>
      <c r="AO515" s="395"/>
      <c r="AP515" s="410"/>
      <c r="AQ515" s="410"/>
    </row>
    <row r="516" spans="2:43" ht="15" customHeight="1">
      <c r="B516" s="394"/>
      <c r="C516" s="395"/>
      <c r="D516" s="417"/>
      <c r="E516" s="662"/>
      <c r="F516" s="417"/>
      <c r="G516" s="384"/>
      <c r="H516" s="768"/>
      <c r="I516" s="384"/>
      <c r="J516" s="384"/>
      <c r="K516" s="657"/>
      <c r="L516" s="658"/>
      <c r="M516" s="384"/>
      <c r="N516" s="384"/>
      <c r="O516" s="384"/>
      <c r="P516" s="384"/>
      <c r="Q516" s="384"/>
      <c r="R516" s="384"/>
      <c r="S516" s="660"/>
      <c r="T516" s="396"/>
      <c r="U516" s="384"/>
      <c r="V516" s="384"/>
      <c r="W516" s="384"/>
      <c r="X516" s="384"/>
      <c r="Y516" s="442"/>
      <c r="Z516" s="442"/>
      <c r="AA516" s="441"/>
      <c r="AB516" s="441"/>
      <c r="AC516" s="441"/>
      <c r="AD516" s="441"/>
      <c r="AE516" s="441"/>
      <c r="AF516" s="441"/>
      <c r="AG516" s="441"/>
      <c r="AH516" s="441"/>
      <c r="AI516" s="441"/>
      <c r="AJ516" s="441"/>
      <c r="AK516" s="395"/>
      <c r="AL516" s="395"/>
      <c r="AM516" s="395"/>
      <c r="AN516" s="395"/>
      <c r="AO516" s="395"/>
      <c r="AP516" s="410"/>
      <c r="AQ516" s="410"/>
    </row>
    <row r="517" spans="2:43" ht="15" customHeight="1">
      <c r="B517" s="394"/>
      <c r="C517" s="395"/>
      <c r="D517" s="417"/>
      <c r="E517" s="662"/>
      <c r="F517" s="417"/>
      <c r="G517" s="384"/>
      <c r="H517" s="768"/>
      <c r="I517" s="384"/>
      <c r="J517" s="384"/>
      <c r="K517" s="657"/>
      <c r="L517" s="658"/>
      <c r="M517" s="384"/>
      <c r="N517" s="384"/>
      <c r="O517" s="384"/>
      <c r="P517" s="384"/>
      <c r="Q517" s="384"/>
      <c r="R517" s="384"/>
      <c r="S517" s="660"/>
      <c r="T517" s="396"/>
      <c r="U517" s="384"/>
      <c r="V517" s="384"/>
      <c r="W517" s="384"/>
      <c r="X517" s="384"/>
      <c r="Y517" s="442"/>
      <c r="Z517" s="442"/>
      <c r="AA517" s="441"/>
      <c r="AB517" s="441"/>
      <c r="AC517" s="441"/>
      <c r="AD517" s="441"/>
      <c r="AE517" s="441"/>
      <c r="AF517" s="441"/>
      <c r="AG517" s="441"/>
      <c r="AH517" s="441"/>
      <c r="AI517" s="441"/>
      <c r="AJ517" s="441"/>
      <c r="AK517" s="395"/>
      <c r="AL517" s="395"/>
      <c r="AM517" s="395"/>
      <c r="AN517" s="395"/>
      <c r="AO517" s="395"/>
      <c r="AP517" s="410"/>
      <c r="AQ517" s="410"/>
    </row>
    <row r="518" spans="2:43" ht="15" customHeight="1">
      <c r="B518" s="394"/>
      <c r="C518" s="395"/>
      <c r="D518" s="417"/>
      <c r="E518" s="662"/>
      <c r="F518" s="417"/>
      <c r="G518" s="384"/>
      <c r="H518" s="768"/>
      <c r="I518" s="384"/>
      <c r="J518" s="384"/>
      <c r="K518" s="657"/>
      <c r="L518" s="658"/>
      <c r="M518" s="384"/>
      <c r="N518" s="384"/>
      <c r="O518" s="384"/>
      <c r="P518" s="384"/>
      <c r="Q518" s="384"/>
      <c r="R518" s="384"/>
      <c r="S518" s="660"/>
      <c r="T518" s="396"/>
      <c r="U518" s="384"/>
      <c r="V518" s="384"/>
      <c r="W518" s="384"/>
      <c r="X518" s="384"/>
      <c r="Y518" s="442"/>
      <c r="Z518" s="442"/>
      <c r="AA518" s="441"/>
      <c r="AB518" s="441"/>
      <c r="AC518" s="441"/>
      <c r="AD518" s="441"/>
      <c r="AE518" s="441"/>
      <c r="AF518" s="441"/>
      <c r="AG518" s="441"/>
      <c r="AH518" s="441"/>
      <c r="AI518" s="441"/>
      <c r="AJ518" s="441"/>
      <c r="AK518" s="395"/>
      <c r="AL518" s="395"/>
      <c r="AM518" s="395"/>
      <c r="AN518" s="395"/>
      <c r="AO518" s="395"/>
      <c r="AP518" s="410"/>
      <c r="AQ518" s="410"/>
    </row>
    <row r="519" spans="2:43" ht="15" customHeight="1">
      <c r="B519" s="394"/>
      <c r="C519" s="395"/>
      <c r="D519" s="417"/>
      <c r="E519" s="662"/>
      <c r="F519" s="417"/>
      <c r="G519" s="384"/>
      <c r="H519" s="768"/>
      <c r="I519" s="384"/>
      <c r="J519" s="384"/>
      <c r="K519" s="657"/>
      <c r="L519" s="658"/>
      <c r="M519" s="384"/>
      <c r="N519" s="384"/>
      <c r="O519" s="384"/>
      <c r="P519" s="384"/>
      <c r="Q519" s="384"/>
      <c r="R519" s="384"/>
      <c r="S519" s="660"/>
      <c r="T519" s="396"/>
      <c r="U519" s="384"/>
      <c r="V519" s="384"/>
      <c r="W519" s="384"/>
      <c r="X519" s="384"/>
      <c r="Y519" s="442"/>
      <c r="Z519" s="442"/>
      <c r="AA519" s="441"/>
      <c r="AB519" s="441"/>
      <c r="AC519" s="441"/>
      <c r="AD519" s="441"/>
      <c r="AE519" s="441"/>
      <c r="AF519" s="441"/>
      <c r="AG519" s="441"/>
      <c r="AH519" s="441"/>
      <c r="AI519" s="441"/>
      <c r="AJ519" s="441"/>
      <c r="AK519" s="395"/>
      <c r="AL519" s="395"/>
      <c r="AM519" s="395"/>
      <c r="AN519" s="395"/>
      <c r="AO519" s="395"/>
      <c r="AP519" s="410"/>
      <c r="AQ519" s="410"/>
    </row>
    <row r="520" spans="2:43" ht="15" customHeight="1">
      <c r="B520" s="394"/>
      <c r="C520" s="395"/>
      <c r="D520" s="417"/>
      <c r="E520" s="662"/>
      <c r="F520" s="417"/>
      <c r="G520" s="384"/>
      <c r="H520" s="768"/>
      <c r="I520" s="384"/>
      <c r="J520" s="384"/>
      <c r="K520" s="657"/>
      <c r="L520" s="658"/>
      <c r="M520" s="384"/>
      <c r="N520" s="384"/>
      <c r="O520" s="384"/>
      <c r="P520" s="384"/>
      <c r="Q520" s="384"/>
      <c r="R520" s="384"/>
      <c r="S520" s="660"/>
      <c r="T520" s="396"/>
      <c r="U520" s="384"/>
      <c r="V520" s="384"/>
      <c r="W520" s="384"/>
      <c r="X520" s="384"/>
      <c r="Y520" s="442"/>
      <c r="Z520" s="442"/>
      <c r="AA520" s="441"/>
      <c r="AB520" s="441"/>
      <c r="AC520" s="441"/>
      <c r="AD520" s="441"/>
      <c r="AE520" s="441"/>
      <c r="AF520" s="441"/>
      <c r="AG520" s="441"/>
      <c r="AH520" s="441"/>
      <c r="AI520" s="441"/>
      <c r="AJ520" s="441"/>
      <c r="AK520" s="395"/>
      <c r="AL520" s="395"/>
      <c r="AM520" s="395"/>
      <c r="AN520" s="395"/>
      <c r="AO520" s="395"/>
      <c r="AP520" s="410"/>
      <c r="AQ520" s="410"/>
    </row>
    <row r="521" spans="2:43" ht="15" customHeight="1">
      <c r="B521" s="394"/>
      <c r="C521" s="395"/>
      <c r="D521" s="417"/>
      <c r="E521" s="662"/>
      <c r="F521" s="417"/>
      <c r="G521" s="384"/>
      <c r="H521" s="768"/>
      <c r="I521" s="384"/>
      <c r="J521" s="384"/>
      <c r="K521" s="657"/>
      <c r="L521" s="658"/>
      <c r="M521" s="384"/>
      <c r="N521" s="384"/>
      <c r="O521" s="384"/>
      <c r="P521" s="384"/>
      <c r="Q521" s="384"/>
      <c r="R521" s="384"/>
      <c r="S521" s="660"/>
      <c r="T521" s="396"/>
      <c r="U521" s="384"/>
      <c r="V521" s="384"/>
      <c r="W521" s="384"/>
      <c r="X521" s="384"/>
      <c r="Y521" s="442"/>
      <c r="Z521" s="442"/>
      <c r="AA521" s="441"/>
      <c r="AB521" s="441"/>
      <c r="AC521" s="441"/>
      <c r="AD521" s="441"/>
      <c r="AE521" s="441"/>
      <c r="AF521" s="441"/>
      <c r="AG521" s="441"/>
      <c r="AH521" s="441"/>
      <c r="AI521" s="441"/>
      <c r="AJ521" s="441"/>
      <c r="AK521" s="395"/>
      <c r="AL521" s="395"/>
      <c r="AM521" s="395"/>
      <c r="AN521" s="395"/>
      <c r="AO521" s="395"/>
      <c r="AP521" s="410"/>
      <c r="AQ521" s="410"/>
    </row>
    <row r="522" spans="2:43" ht="15" customHeight="1">
      <c r="B522" s="394"/>
      <c r="C522" s="395"/>
      <c r="D522" s="417"/>
      <c r="E522" s="662"/>
      <c r="F522" s="417"/>
      <c r="G522" s="384"/>
      <c r="H522" s="768"/>
      <c r="I522" s="384"/>
      <c r="J522" s="384"/>
      <c r="K522" s="657"/>
      <c r="L522" s="658"/>
      <c r="M522" s="384"/>
      <c r="N522" s="384"/>
      <c r="O522" s="384"/>
      <c r="P522" s="384"/>
      <c r="Q522" s="384"/>
      <c r="R522" s="384"/>
      <c r="S522" s="660"/>
      <c r="T522" s="396"/>
      <c r="U522" s="384"/>
      <c r="V522" s="384"/>
      <c r="W522" s="384"/>
      <c r="X522" s="384"/>
      <c r="Y522" s="442"/>
      <c r="Z522" s="442"/>
      <c r="AA522" s="441"/>
      <c r="AB522" s="441"/>
      <c r="AC522" s="441"/>
      <c r="AD522" s="441"/>
      <c r="AE522" s="441"/>
      <c r="AF522" s="441"/>
      <c r="AG522" s="441"/>
      <c r="AH522" s="441"/>
      <c r="AI522" s="441"/>
      <c r="AJ522" s="441"/>
      <c r="AK522" s="395"/>
      <c r="AL522" s="395"/>
      <c r="AM522" s="395"/>
      <c r="AN522" s="395"/>
      <c r="AO522" s="395"/>
      <c r="AP522" s="410"/>
      <c r="AQ522" s="410"/>
    </row>
    <row r="523" spans="2:43" ht="15" customHeight="1">
      <c r="B523" s="394"/>
      <c r="C523" s="395"/>
      <c r="D523" s="417"/>
      <c r="E523" s="662"/>
      <c r="F523" s="417"/>
      <c r="G523" s="384"/>
      <c r="H523" s="768"/>
      <c r="I523" s="384"/>
      <c r="J523" s="384"/>
      <c r="K523" s="657"/>
      <c r="L523" s="658"/>
      <c r="M523" s="384"/>
      <c r="N523" s="384"/>
      <c r="O523" s="384"/>
      <c r="P523" s="384"/>
      <c r="Q523" s="384"/>
      <c r="R523" s="384"/>
      <c r="S523" s="660"/>
      <c r="T523" s="396"/>
      <c r="U523" s="384"/>
      <c r="V523" s="384"/>
      <c r="W523" s="384"/>
      <c r="X523" s="384"/>
      <c r="Y523" s="442"/>
      <c r="Z523" s="442"/>
      <c r="AA523" s="441"/>
      <c r="AB523" s="441"/>
      <c r="AC523" s="441"/>
      <c r="AD523" s="441"/>
      <c r="AE523" s="441"/>
      <c r="AF523" s="441"/>
      <c r="AG523" s="441"/>
      <c r="AH523" s="441"/>
      <c r="AI523" s="441"/>
      <c r="AJ523" s="441"/>
      <c r="AK523" s="395"/>
      <c r="AL523" s="395"/>
      <c r="AM523" s="395"/>
      <c r="AN523" s="395"/>
      <c r="AO523" s="395"/>
      <c r="AP523" s="410"/>
      <c r="AQ523" s="410"/>
    </row>
    <row r="524" spans="2:43" ht="15" customHeight="1">
      <c r="B524" s="394"/>
      <c r="C524" s="395"/>
      <c r="D524" s="417"/>
      <c r="E524" s="662"/>
      <c r="F524" s="417"/>
      <c r="G524" s="384"/>
      <c r="H524" s="768"/>
      <c r="I524" s="384"/>
      <c r="J524" s="384"/>
      <c r="K524" s="657"/>
      <c r="L524" s="658"/>
      <c r="M524" s="384"/>
      <c r="N524" s="384"/>
      <c r="O524" s="384"/>
      <c r="P524" s="384"/>
      <c r="Q524" s="384"/>
      <c r="R524" s="384"/>
      <c r="S524" s="660"/>
      <c r="T524" s="396"/>
      <c r="U524" s="384"/>
      <c r="V524" s="384"/>
      <c r="W524" s="384"/>
      <c r="X524" s="384"/>
      <c r="Y524" s="442"/>
      <c r="Z524" s="442"/>
      <c r="AA524" s="441"/>
      <c r="AB524" s="441"/>
      <c r="AC524" s="441"/>
      <c r="AD524" s="441"/>
      <c r="AE524" s="441"/>
      <c r="AF524" s="441"/>
      <c r="AG524" s="441"/>
      <c r="AH524" s="441"/>
      <c r="AI524" s="441"/>
      <c r="AJ524" s="441"/>
      <c r="AK524" s="395"/>
      <c r="AL524" s="395"/>
      <c r="AM524" s="395"/>
      <c r="AN524" s="395"/>
      <c r="AO524" s="395"/>
      <c r="AP524" s="410"/>
      <c r="AQ524" s="410"/>
    </row>
    <row r="525" spans="2:43" ht="15" customHeight="1">
      <c r="B525" s="394"/>
      <c r="C525" s="395"/>
      <c r="D525" s="417"/>
      <c r="E525" s="662"/>
      <c r="F525" s="417"/>
      <c r="G525" s="384"/>
      <c r="H525" s="768"/>
      <c r="I525" s="384"/>
      <c r="J525" s="384"/>
      <c r="K525" s="657"/>
      <c r="L525" s="658"/>
      <c r="M525" s="384"/>
      <c r="N525" s="384"/>
      <c r="O525" s="384"/>
      <c r="P525" s="384"/>
      <c r="Q525" s="384"/>
      <c r="R525" s="384"/>
      <c r="S525" s="660"/>
      <c r="T525" s="396"/>
      <c r="U525" s="384"/>
      <c r="V525" s="384"/>
      <c r="W525" s="384"/>
      <c r="X525" s="384"/>
      <c r="Y525" s="442"/>
      <c r="Z525" s="442"/>
      <c r="AA525" s="441"/>
      <c r="AB525" s="441"/>
      <c r="AC525" s="441"/>
      <c r="AD525" s="441"/>
      <c r="AE525" s="441"/>
      <c r="AF525" s="441"/>
      <c r="AG525" s="441"/>
      <c r="AH525" s="441"/>
      <c r="AI525" s="441"/>
      <c r="AJ525" s="441"/>
      <c r="AK525" s="395"/>
      <c r="AL525" s="395"/>
      <c r="AM525" s="395"/>
      <c r="AN525" s="395"/>
      <c r="AO525" s="395"/>
      <c r="AP525" s="410"/>
      <c r="AQ525" s="410"/>
    </row>
    <row r="526" spans="2:43" ht="15" customHeight="1">
      <c r="B526" s="394"/>
      <c r="C526" s="395"/>
      <c r="D526" s="417"/>
      <c r="E526" s="662"/>
      <c r="F526" s="417"/>
      <c r="G526" s="384"/>
      <c r="H526" s="768"/>
      <c r="I526" s="384"/>
      <c r="J526" s="384"/>
      <c r="K526" s="657"/>
      <c r="L526" s="658"/>
      <c r="M526" s="384"/>
      <c r="N526" s="384"/>
      <c r="O526" s="384"/>
      <c r="P526" s="384"/>
      <c r="Q526" s="384"/>
      <c r="R526" s="384"/>
      <c r="S526" s="660"/>
      <c r="T526" s="396"/>
      <c r="U526" s="384"/>
      <c r="V526" s="384"/>
      <c r="W526" s="384"/>
      <c r="X526" s="384"/>
      <c r="Y526" s="442"/>
      <c r="Z526" s="442"/>
      <c r="AA526" s="441"/>
      <c r="AB526" s="441"/>
      <c r="AC526" s="441"/>
      <c r="AD526" s="441"/>
      <c r="AE526" s="441"/>
      <c r="AF526" s="441"/>
      <c r="AG526" s="441"/>
      <c r="AH526" s="441"/>
      <c r="AI526" s="441"/>
      <c r="AJ526" s="441"/>
      <c r="AK526" s="395"/>
      <c r="AL526" s="395"/>
      <c r="AM526" s="395"/>
      <c r="AN526" s="395"/>
      <c r="AO526" s="395"/>
      <c r="AP526" s="410"/>
      <c r="AQ526" s="410"/>
    </row>
    <row r="527" spans="2:43" ht="15" customHeight="1">
      <c r="B527" s="394"/>
      <c r="C527" s="395"/>
      <c r="D527" s="417"/>
      <c r="E527" s="662"/>
      <c r="F527" s="417"/>
      <c r="G527" s="384"/>
      <c r="H527" s="768"/>
      <c r="I527" s="384"/>
      <c r="J527" s="384"/>
      <c r="K527" s="657"/>
      <c r="L527" s="658"/>
      <c r="M527" s="384"/>
      <c r="N527" s="384"/>
      <c r="O527" s="384"/>
      <c r="P527" s="384"/>
      <c r="Q527" s="384"/>
      <c r="R527" s="384"/>
      <c r="S527" s="660"/>
      <c r="T527" s="396"/>
      <c r="U527" s="384"/>
      <c r="V527" s="384"/>
      <c r="W527" s="384"/>
      <c r="X527" s="384"/>
      <c r="Y527" s="442"/>
      <c r="Z527" s="442"/>
      <c r="AA527" s="441"/>
      <c r="AB527" s="441"/>
      <c r="AC527" s="441"/>
      <c r="AD527" s="441"/>
      <c r="AE527" s="441"/>
      <c r="AF527" s="441"/>
      <c r="AG527" s="441"/>
      <c r="AH527" s="441"/>
      <c r="AI527" s="441"/>
      <c r="AJ527" s="441"/>
      <c r="AK527" s="395"/>
      <c r="AL527" s="395"/>
      <c r="AM527" s="395"/>
      <c r="AN527" s="395"/>
      <c r="AO527" s="395"/>
      <c r="AP527" s="410"/>
      <c r="AQ527" s="410"/>
    </row>
    <row r="528" spans="2:43" ht="15" customHeight="1">
      <c r="B528" s="394"/>
      <c r="C528" s="395"/>
      <c r="D528" s="417"/>
      <c r="E528" s="662"/>
      <c r="F528" s="417"/>
      <c r="G528" s="384"/>
      <c r="H528" s="768"/>
      <c r="I528" s="384"/>
      <c r="J528" s="384"/>
      <c r="K528" s="657"/>
      <c r="L528" s="658"/>
      <c r="M528" s="384"/>
      <c r="N528" s="384"/>
      <c r="O528" s="384"/>
      <c r="P528" s="384"/>
      <c r="Q528" s="384"/>
      <c r="R528" s="384"/>
      <c r="S528" s="660"/>
      <c r="T528" s="396"/>
      <c r="U528" s="384"/>
      <c r="V528" s="384"/>
      <c r="W528" s="384"/>
      <c r="X528" s="384"/>
      <c r="Y528" s="442"/>
      <c r="Z528" s="442"/>
      <c r="AA528" s="441"/>
      <c r="AB528" s="441"/>
      <c r="AC528" s="441"/>
      <c r="AD528" s="441"/>
      <c r="AE528" s="441"/>
      <c r="AF528" s="441"/>
      <c r="AG528" s="441"/>
      <c r="AH528" s="441"/>
      <c r="AI528" s="441"/>
      <c r="AJ528" s="441"/>
      <c r="AK528" s="395"/>
      <c r="AL528" s="395"/>
      <c r="AM528" s="395"/>
      <c r="AN528" s="395"/>
      <c r="AO528" s="395"/>
      <c r="AP528" s="410"/>
      <c r="AQ528" s="410"/>
    </row>
    <row r="529" spans="2:43" ht="15" customHeight="1">
      <c r="B529" s="394"/>
      <c r="C529" s="395"/>
      <c r="D529" s="417"/>
      <c r="E529" s="662"/>
      <c r="F529" s="417"/>
      <c r="G529" s="384"/>
      <c r="H529" s="768"/>
      <c r="I529" s="384"/>
      <c r="J529" s="384"/>
      <c r="K529" s="657"/>
      <c r="L529" s="658"/>
      <c r="M529" s="384"/>
      <c r="N529" s="384"/>
      <c r="O529" s="384"/>
      <c r="P529" s="384"/>
      <c r="Q529" s="384"/>
      <c r="R529" s="384"/>
      <c r="S529" s="660"/>
      <c r="T529" s="396"/>
      <c r="U529" s="384"/>
      <c r="V529" s="384"/>
      <c r="W529" s="384"/>
      <c r="X529" s="384"/>
      <c r="Y529" s="442"/>
      <c r="Z529" s="442"/>
      <c r="AA529" s="441"/>
      <c r="AB529" s="441"/>
      <c r="AC529" s="441"/>
      <c r="AD529" s="441"/>
      <c r="AE529" s="441"/>
      <c r="AF529" s="441"/>
      <c r="AG529" s="441"/>
      <c r="AH529" s="441"/>
      <c r="AI529" s="441"/>
      <c r="AJ529" s="441"/>
      <c r="AK529" s="395"/>
      <c r="AL529" s="395"/>
      <c r="AM529" s="395"/>
      <c r="AN529" s="395"/>
      <c r="AO529" s="395"/>
      <c r="AP529" s="410"/>
      <c r="AQ529" s="410"/>
    </row>
    <row r="530" spans="2:43" ht="15" customHeight="1">
      <c r="B530" s="394"/>
      <c r="C530" s="395"/>
      <c r="D530" s="417"/>
      <c r="E530" s="662"/>
      <c r="F530" s="417"/>
      <c r="G530" s="384"/>
      <c r="H530" s="768"/>
      <c r="I530" s="384"/>
      <c r="J530" s="384"/>
      <c r="K530" s="657"/>
      <c r="L530" s="658"/>
      <c r="M530" s="384"/>
      <c r="N530" s="384"/>
      <c r="O530" s="384"/>
      <c r="P530" s="384"/>
      <c r="Q530" s="384"/>
      <c r="R530" s="384"/>
      <c r="S530" s="660"/>
      <c r="T530" s="396"/>
      <c r="U530" s="384"/>
      <c r="V530" s="384"/>
      <c r="W530" s="384"/>
      <c r="X530" s="384"/>
      <c r="Y530" s="442"/>
      <c r="Z530" s="442"/>
      <c r="AA530" s="441"/>
      <c r="AB530" s="441"/>
      <c r="AC530" s="441"/>
      <c r="AD530" s="441"/>
      <c r="AE530" s="441"/>
      <c r="AF530" s="441"/>
      <c r="AG530" s="441"/>
      <c r="AH530" s="441"/>
      <c r="AI530" s="441"/>
      <c r="AJ530" s="441"/>
      <c r="AK530" s="395"/>
      <c r="AL530" s="395"/>
      <c r="AM530" s="395"/>
      <c r="AN530" s="395"/>
      <c r="AO530" s="395"/>
      <c r="AP530" s="410"/>
      <c r="AQ530" s="410"/>
    </row>
    <row r="531" spans="2:43" ht="15" customHeight="1">
      <c r="B531" s="394"/>
      <c r="C531" s="395"/>
      <c r="D531" s="417"/>
      <c r="E531" s="662"/>
      <c r="F531" s="417"/>
      <c r="G531" s="384"/>
      <c r="H531" s="768"/>
      <c r="I531" s="384"/>
      <c r="J531" s="384"/>
      <c r="K531" s="657"/>
      <c r="L531" s="658"/>
      <c r="M531" s="384"/>
      <c r="N531" s="384"/>
      <c r="O531" s="384"/>
      <c r="P531" s="384"/>
      <c r="Q531" s="384"/>
      <c r="R531" s="384"/>
      <c r="S531" s="660"/>
      <c r="T531" s="396"/>
      <c r="U531" s="384"/>
      <c r="V531" s="384"/>
      <c r="W531" s="384"/>
      <c r="X531" s="384"/>
      <c r="Y531" s="442"/>
      <c r="Z531" s="442"/>
      <c r="AA531" s="441"/>
      <c r="AB531" s="441"/>
      <c r="AC531" s="441"/>
      <c r="AD531" s="441"/>
      <c r="AE531" s="441"/>
      <c r="AF531" s="441"/>
      <c r="AG531" s="441"/>
      <c r="AH531" s="441"/>
      <c r="AI531" s="441"/>
      <c r="AJ531" s="441"/>
      <c r="AK531" s="395"/>
      <c r="AL531" s="395"/>
      <c r="AM531" s="395"/>
      <c r="AN531" s="395"/>
      <c r="AO531" s="395"/>
      <c r="AP531" s="410"/>
      <c r="AQ531" s="410"/>
    </row>
    <row r="532" spans="2:43" ht="15" customHeight="1">
      <c r="B532" s="394"/>
      <c r="C532" s="395"/>
      <c r="D532" s="417"/>
      <c r="E532" s="662"/>
      <c r="F532" s="417"/>
      <c r="G532" s="384"/>
      <c r="H532" s="768"/>
      <c r="I532" s="384"/>
      <c r="J532" s="384"/>
      <c r="K532" s="657"/>
      <c r="L532" s="658"/>
      <c r="M532" s="384"/>
      <c r="N532" s="384"/>
      <c r="O532" s="384"/>
      <c r="P532" s="384"/>
      <c r="Q532" s="384"/>
      <c r="R532" s="384"/>
      <c r="S532" s="660"/>
      <c r="T532" s="396"/>
      <c r="U532" s="384"/>
      <c r="V532" s="384"/>
      <c r="W532" s="384"/>
      <c r="X532" s="384"/>
      <c r="Y532" s="442"/>
      <c r="Z532" s="442"/>
      <c r="AA532" s="441"/>
      <c r="AB532" s="441"/>
      <c r="AC532" s="441"/>
      <c r="AD532" s="441"/>
      <c r="AE532" s="441"/>
      <c r="AF532" s="441"/>
      <c r="AG532" s="441"/>
      <c r="AH532" s="441"/>
      <c r="AI532" s="441"/>
      <c r="AJ532" s="441"/>
      <c r="AK532" s="395"/>
      <c r="AL532" s="395"/>
      <c r="AM532" s="395"/>
      <c r="AN532" s="395"/>
      <c r="AO532" s="395"/>
      <c r="AP532" s="410"/>
      <c r="AQ532" s="410"/>
    </row>
    <row r="533" spans="2:43" ht="15" customHeight="1">
      <c r="B533" s="394"/>
      <c r="C533" s="395"/>
      <c r="D533" s="417"/>
      <c r="E533" s="662"/>
      <c r="F533" s="417"/>
      <c r="G533" s="384"/>
      <c r="H533" s="768"/>
      <c r="I533" s="384"/>
      <c r="J533" s="384"/>
      <c r="K533" s="657"/>
      <c r="L533" s="658"/>
      <c r="M533" s="384"/>
      <c r="N533" s="384"/>
      <c r="O533" s="384"/>
      <c r="P533" s="384"/>
      <c r="Q533" s="384"/>
      <c r="R533" s="384"/>
      <c r="S533" s="660"/>
      <c r="T533" s="396"/>
      <c r="U533" s="384"/>
      <c r="V533" s="384"/>
      <c r="W533" s="384"/>
      <c r="X533" s="384"/>
      <c r="Y533" s="442"/>
      <c r="Z533" s="442"/>
      <c r="AA533" s="441"/>
      <c r="AB533" s="441"/>
      <c r="AC533" s="441"/>
      <c r="AD533" s="441"/>
      <c r="AE533" s="441"/>
      <c r="AF533" s="441"/>
      <c r="AG533" s="441"/>
      <c r="AH533" s="441"/>
      <c r="AI533" s="441"/>
      <c r="AJ533" s="441"/>
      <c r="AK533" s="395"/>
      <c r="AL533" s="395"/>
      <c r="AM533" s="395"/>
      <c r="AN533" s="395"/>
      <c r="AO533" s="395"/>
      <c r="AP533" s="410"/>
      <c r="AQ533" s="410"/>
    </row>
    <row r="534" spans="2:43" ht="15" customHeight="1">
      <c r="B534" s="394"/>
      <c r="C534" s="395"/>
      <c r="D534" s="417"/>
      <c r="E534" s="662"/>
      <c r="F534" s="417"/>
      <c r="G534" s="384"/>
      <c r="H534" s="768"/>
      <c r="I534" s="384"/>
      <c r="J534" s="384"/>
      <c r="K534" s="657"/>
      <c r="L534" s="658"/>
      <c r="M534" s="384"/>
      <c r="N534" s="384"/>
      <c r="O534" s="384"/>
      <c r="P534" s="384"/>
      <c r="Q534" s="384"/>
      <c r="R534" s="384"/>
      <c r="S534" s="660"/>
      <c r="T534" s="396"/>
      <c r="U534" s="384"/>
      <c r="V534" s="384"/>
      <c r="W534" s="384"/>
      <c r="X534" s="384"/>
      <c r="Y534" s="442"/>
      <c r="Z534" s="442"/>
      <c r="AA534" s="441"/>
      <c r="AB534" s="441"/>
      <c r="AC534" s="441"/>
      <c r="AD534" s="441"/>
      <c r="AE534" s="441"/>
      <c r="AF534" s="441"/>
      <c r="AG534" s="441"/>
      <c r="AH534" s="441"/>
      <c r="AI534" s="441"/>
      <c r="AJ534" s="441"/>
      <c r="AK534" s="395"/>
      <c r="AL534" s="395"/>
      <c r="AM534" s="395"/>
      <c r="AN534" s="395"/>
      <c r="AO534" s="395"/>
      <c r="AP534" s="410"/>
      <c r="AQ534" s="410"/>
    </row>
    <row r="535" spans="2:43" ht="15" customHeight="1">
      <c r="B535" s="394"/>
      <c r="C535" s="395"/>
      <c r="D535" s="417"/>
      <c r="E535" s="662"/>
      <c r="F535" s="417"/>
      <c r="G535" s="384"/>
      <c r="H535" s="768"/>
      <c r="I535" s="384"/>
      <c r="J535" s="384"/>
      <c r="K535" s="657"/>
      <c r="L535" s="658"/>
      <c r="M535" s="384"/>
      <c r="N535" s="384"/>
      <c r="O535" s="384"/>
      <c r="P535" s="384"/>
      <c r="Q535" s="384"/>
      <c r="R535" s="384"/>
      <c r="S535" s="660"/>
      <c r="T535" s="396"/>
      <c r="U535" s="384"/>
      <c r="V535" s="384"/>
      <c r="W535" s="384"/>
      <c r="X535" s="384"/>
      <c r="Y535" s="442"/>
      <c r="Z535" s="442"/>
      <c r="AA535" s="441"/>
      <c r="AB535" s="441"/>
      <c r="AC535" s="441"/>
      <c r="AD535" s="441"/>
      <c r="AE535" s="441"/>
      <c r="AF535" s="441"/>
      <c r="AG535" s="441"/>
      <c r="AH535" s="441"/>
      <c r="AI535" s="441"/>
      <c r="AJ535" s="441"/>
      <c r="AK535" s="395"/>
      <c r="AL535" s="395"/>
      <c r="AM535" s="395"/>
      <c r="AN535" s="395"/>
      <c r="AO535" s="395"/>
      <c r="AP535" s="410"/>
      <c r="AQ535" s="410"/>
    </row>
    <row r="536" spans="2:43" ht="15" customHeight="1">
      <c r="B536" s="394"/>
      <c r="C536" s="395"/>
      <c r="D536" s="417"/>
      <c r="E536" s="662"/>
      <c r="F536" s="417"/>
      <c r="G536" s="384"/>
      <c r="H536" s="768"/>
      <c r="I536" s="384"/>
      <c r="J536" s="384"/>
      <c r="K536" s="657"/>
      <c r="L536" s="658"/>
      <c r="M536" s="384"/>
      <c r="N536" s="384"/>
      <c r="O536" s="384"/>
      <c r="P536" s="384"/>
      <c r="Q536" s="384"/>
      <c r="R536" s="384"/>
      <c r="S536" s="660"/>
      <c r="T536" s="396"/>
      <c r="U536" s="384"/>
      <c r="V536" s="384"/>
      <c r="W536" s="384"/>
      <c r="X536" s="384"/>
      <c r="Y536" s="442"/>
      <c r="Z536" s="442"/>
      <c r="AA536" s="441"/>
      <c r="AB536" s="441"/>
      <c r="AC536" s="441"/>
      <c r="AD536" s="441"/>
      <c r="AE536" s="441"/>
      <c r="AF536" s="441"/>
      <c r="AG536" s="441"/>
      <c r="AH536" s="441"/>
      <c r="AI536" s="441"/>
      <c r="AJ536" s="441"/>
      <c r="AK536" s="395"/>
      <c r="AL536" s="395"/>
      <c r="AM536" s="395"/>
      <c r="AN536" s="395"/>
      <c r="AO536" s="395"/>
      <c r="AP536" s="410"/>
      <c r="AQ536" s="410"/>
    </row>
    <row r="537" spans="2:43" ht="15" customHeight="1">
      <c r="B537" s="394"/>
      <c r="C537" s="395"/>
      <c r="D537" s="417"/>
      <c r="E537" s="662"/>
      <c r="F537" s="417"/>
      <c r="G537" s="384"/>
      <c r="H537" s="768"/>
      <c r="I537" s="384"/>
      <c r="J537" s="384"/>
      <c r="K537" s="657"/>
      <c r="L537" s="658"/>
      <c r="M537" s="384"/>
      <c r="N537" s="384"/>
      <c r="O537" s="384"/>
      <c r="P537" s="384"/>
      <c r="Q537" s="384"/>
      <c r="R537" s="384"/>
      <c r="S537" s="660"/>
      <c r="T537" s="396"/>
      <c r="U537" s="384"/>
      <c r="V537" s="384"/>
      <c r="W537" s="384"/>
      <c r="X537" s="384"/>
      <c r="Y537" s="442"/>
      <c r="Z537" s="442"/>
      <c r="AA537" s="441"/>
      <c r="AB537" s="441"/>
      <c r="AC537" s="441"/>
      <c r="AD537" s="441"/>
      <c r="AE537" s="441"/>
      <c r="AF537" s="441"/>
      <c r="AG537" s="441"/>
      <c r="AH537" s="441"/>
      <c r="AI537" s="441"/>
      <c r="AJ537" s="441"/>
      <c r="AK537" s="395"/>
      <c r="AL537" s="395"/>
      <c r="AM537" s="395"/>
      <c r="AN537" s="395"/>
      <c r="AO537" s="395"/>
      <c r="AP537" s="410"/>
      <c r="AQ537" s="410"/>
    </row>
    <row r="538" spans="2:43" ht="15" customHeight="1">
      <c r="B538" s="394"/>
      <c r="C538" s="395"/>
      <c r="D538" s="417"/>
      <c r="E538" s="662"/>
      <c r="F538" s="417"/>
      <c r="G538" s="384"/>
      <c r="H538" s="768"/>
      <c r="I538" s="384"/>
      <c r="J538" s="384"/>
      <c r="K538" s="657"/>
      <c r="L538" s="658"/>
      <c r="M538" s="384"/>
      <c r="N538" s="384"/>
      <c r="O538" s="384"/>
      <c r="P538" s="384"/>
      <c r="Q538" s="384"/>
      <c r="R538" s="384"/>
      <c r="S538" s="660"/>
      <c r="T538" s="396"/>
      <c r="U538" s="384"/>
      <c r="V538" s="384"/>
      <c r="W538" s="384"/>
      <c r="X538" s="384"/>
      <c r="Y538" s="442"/>
      <c r="Z538" s="442"/>
      <c r="AA538" s="441"/>
      <c r="AB538" s="441"/>
      <c r="AC538" s="441"/>
      <c r="AD538" s="441"/>
      <c r="AE538" s="441"/>
      <c r="AF538" s="441"/>
      <c r="AG538" s="441"/>
      <c r="AH538" s="441"/>
      <c r="AI538" s="441"/>
      <c r="AJ538" s="441"/>
      <c r="AK538" s="395"/>
      <c r="AL538" s="395"/>
      <c r="AM538" s="395"/>
      <c r="AN538" s="395"/>
      <c r="AO538" s="395"/>
      <c r="AP538" s="410"/>
      <c r="AQ538" s="410"/>
    </row>
    <row r="539" spans="2:43" ht="15" customHeight="1">
      <c r="B539" s="394"/>
      <c r="C539" s="395"/>
      <c r="D539" s="417"/>
      <c r="E539" s="662"/>
      <c r="F539" s="417"/>
      <c r="G539" s="384"/>
      <c r="H539" s="768"/>
      <c r="I539" s="384"/>
      <c r="J539" s="384"/>
      <c r="K539" s="657"/>
      <c r="L539" s="658"/>
      <c r="M539" s="384"/>
      <c r="N539" s="384"/>
      <c r="O539" s="384"/>
      <c r="P539" s="384"/>
      <c r="Q539" s="384"/>
      <c r="R539" s="384"/>
      <c r="S539" s="660"/>
      <c r="T539" s="396"/>
      <c r="U539" s="384"/>
      <c r="V539" s="384"/>
      <c r="W539" s="384"/>
      <c r="X539" s="384"/>
      <c r="Y539" s="442"/>
      <c r="Z539" s="442"/>
      <c r="AA539" s="441"/>
      <c r="AB539" s="441"/>
      <c r="AC539" s="441"/>
      <c r="AD539" s="441"/>
      <c r="AE539" s="441"/>
      <c r="AF539" s="441"/>
      <c r="AG539" s="441"/>
      <c r="AH539" s="441"/>
      <c r="AI539" s="441"/>
      <c r="AJ539" s="441"/>
      <c r="AK539" s="395"/>
      <c r="AL539" s="395"/>
      <c r="AM539" s="395"/>
      <c r="AN539" s="395"/>
      <c r="AO539" s="395"/>
      <c r="AP539" s="410"/>
      <c r="AQ539" s="410"/>
    </row>
    <row r="540" spans="2:43" ht="15" customHeight="1">
      <c r="B540" s="394"/>
      <c r="C540" s="395"/>
      <c r="D540" s="417"/>
      <c r="E540" s="662"/>
      <c r="F540" s="417"/>
      <c r="G540" s="384"/>
      <c r="H540" s="768"/>
      <c r="I540" s="384"/>
      <c r="J540" s="384"/>
      <c r="K540" s="657"/>
      <c r="L540" s="658"/>
      <c r="M540" s="384"/>
      <c r="N540" s="384"/>
      <c r="O540" s="384"/>
      <c r="P540" s="384"/>
      <c r="Q540" s="384"/>
      <c r="R540" s="384"/>
      <c r="S540" s="660"/>
      <c r="T540" s="396"/>
      <c r="U540" s="384"/>
      <c r="V540" s="384"/>
      <c r="W540" s="384"/>
      <c r="X540" s="384"/>
      <c r="Y540" s="442"/>
      <c r="Z540" s="442"/>
      <c r="AA540" s="441"/>
      <c r="AB540" s="441"/>
      <c r="AC540" s="441"/>
      <c r="AD540" s="441"/>
      <c r="AE540" s="441"/>
      <c r="AF540" s="441"/>
      <c r="AG540" s="441"/>
      <c r="AH540" s="441"/>
      <c r="AI540" s="441"/>
      <c r="AJ540" s="441"/>
      <c r="AK540" s="395"/>
      <c r="AL540" s="395"/>
      <c r="AM540" s="395"/>
      <c r="AN540" s="395"/>
      <c r="AO540" s="395"/>
      <c r="AP540" s="410"/>
      <c r="AQ540" s="410"/>
    </row>
    <row r="541" spans="2:43" ht="15" customHeight="1">
      <c r="B541" s="394"/>
      <c r="C541" s="395"/>
      <c r="D541" s="417"/>
      <c r="E541" s="662"/>
      <c r="F541" s="417"/>
      <c r="G541" s="384"/>
      <c r="H541" s="768"/>
      <c r="I541" s="384"/>
      <c r="J541" s="384"/>
      <c r="K541" s="657"/>
      <c r="L541" s="658"/>
      <c r="M541" s="384"/>
      <c r="N541" s="384"/>
      <c r="O541" s="384"/>
      <c r="P541" s="384"/>
      <c r="Q541" s="384"/>
      <c r="R541" s="384"/>
      <c r="S541" s="660"/>
      <c r="T541" s="396"/>
      <c r="U541" s="384"/>
      <c r="V541" s="384"/>
      <c r="W541" s="384"/>
      <c r="X541" s="384"/>
      <c r="Y541" s="442"/>
      <c r="Z541" s="442"/>
      <c r="AA541" s="441"/>
      <c r="AB541" s="441"/>
      <c r="AC541" s="441"/>
      <c r="AD541" s="441"/>
      <c r="AE541" s="441"/>
      <c r="AF541" s="441"/>
      <c r="AG541" s="441"/>
      <c r="AH541" s="441"/>
      <c r="AI541" s="441"/>
      <c r="AJ541" s="441"/>
      <c r="AK541" s="395"/>
      <c r="AL541" s="395"/>
      <c r="AM541" s="395"/>
      <c r="AN541" s="395"/>
      <c r="AO541" s="395"/>
      <c r="AP541" s="410"/>
      <c r="AQ541" s="410"/>
    </row>
    <row r="542" spans="2:43" ht="15" customHeight="1">
      <c r="B542" s="394"/>
      <c r="C542" s="395"/>
      <c r="D542" s="417"/>
      <c r="E542" s="662"/>
      <c r="F542" s="417"/>
      <c r="G542" s="384"/>
      <c r="H542" s="768"/>
      <c r="I542" s="384"/>
      <c r="J542" s="384"/>
      <c r="K542" s="657"/>
      <c r="L542" s="658"/>
      <c r="M542" s="384"/>
      <c r="N542" s="384"/>
      <c r="O542" s="384"/>
      <c r="P542" s="384"/>
      <c r="Q542" s="384"/>
      <c r="R542" s="384"/>
      <c r="S542" s="660"/>
      <c r="T542" s="396"/>
      <c r="U542" s="384"/>
      <c r="V542" s="384"/>
      <c r="W542" s="384"/>
      <c r="X542" s="384"/>
      <c r="Y542" s="442"/>
      <c r="Z542" s="442"/>
      <c r="AA542" s="441"/>
      <c r="AB542" s="441"/>
      <c r="AC542" s="441"/>
      <c r="AD542" s="441"/>
      <c r="AE542" s="441"/>
      <c r="AF542" s="441"/>
      <c r="AG542" s="441"/>
      <c r="AH542" s="441"/>
      <c r="AI542" s="441"/>
      <c r="AJ542" s="441"/>
      <c r="AK542" s="395"/>
      <c r="AL542" s="395"/>
      <c r="AM542" s="395"/>
      <c r="AN542" s="395"/>
      <c r="AO542" s="395"/>
      <c r="AP542" s="410"/>
      <c r="AQ542" s="410"/>
    </row>
    <row r="543" spans="2:43" ht="15" customHeight="1">
      <c r="B543" s="394"/>
      <c r="C543" s="395"/>
      <c r="D543" s="417"/>
      <c r="E543" s="662"/>
      <c r="F543" s="417"/>
      <c r="G543" s="384"/>
      <c r="H543" s="768"/>
      <c r="I543" s="384"/>
      <c r="J543" s="384"/>
      <c r="K543" s="657"/>
      <c r="L543" s="658"/>
      <c r="M543" s="384"/>
      <c r="N543" s="384"/>
      <c r="O543" s="384"/>
      <c r="P543" s="384"/>
      <c r="Q543" s="384"/>
      <c r="R543" s="384"/>
      <c r="S543" s="660"/>
      <c r="T543" s="396"/>
      <c r="U543" s="384"/>
      <c r="V543" s="384"/>
      <c r="W543" s="384"/>
      <c r="X543" s="384"/>
      <c r="Y543" s="442"/>
      <c r="Z543" s="442"/>
      <c r="AA543" s="441"/>
      <c r="AB543" s="441"/>
      <c r="AC543" s="441"/>
      <c r="AD543" s="441"/>
      <c r="AE543" s="441"/>
      <c r="AF543" s="441"/>
      <c r="AG543" s="441"/>
      <c r="AH543" s="441"/>
      <c r="AI543" s="441"/>
      <c r="AJ543" s="441"/>
      <c r="AK543" s="395"/>
      <c r="AL543" s="395"/>
      <c r="AM543" s="395"/>
      <c r="AN543" s="395"/>
      <c r="AO543" s="395"/>
      <c r="AP543" s="410"/>
      <c r="AQ543" s="410"/>
    </row>
    <row r="544" spans="2:43" ht="15" customHeight="1">
      <c r="B544" s="394"/>
      <c r="C544" s="395"/>
      <c r="D544" s="417"/>
      <c r="E544" s="662"/>
      <c r="F544" s="417"/>
      <c r="G544" s="384"/>
      <c r="H544" s="768"/>
      <c r="I544" s="384"/>
      <c r="J544" s="384"/>
      <c r="K544" s="657"/>
      <c r="L544" s="658"/>
      <c r="M544" s="384"/>
      <c r="N544" s="384"/>
      <c r="O544" s="384"/>
      <c r="P544" s="384"/>
      <c r="Q544" s="384"/>
      <c r="R544" s="384"/>
      <c r="S544" s="660"/>
      <c r="T544" s="396"/>
      <c r="U544" s="384"/>
      <c r="V544" s="384"/>
      <c r="W544" s="384"/>
      <c r="X544" s="384"/>
      <c r="Y544" s="442"/>
      <c r="Z544" s="442"/>
      <c r="AA544" s="441"/>
      <c r="AB544" s="441"/>
      <c r="AC544" s="441"/>
      <c r="AD544" s="441"/>
      <c r="AE544" s="441"/>
      <c r="AF544" s="441"/>
      <c r="AG544" s="441"/>
      <c r="AH544" s="441"/>
      <c r="AI544" s="441"/>
      <c r="AJ544" s="441"/>
      <c r="AK544" s="395"/>
      <c r="AL544" s="395"/>
      <c r="AM544" s="395"/>
      <c r="AN544" s="395"/>
      <c r="AO544" s="395"/>
      <c r="AP544" s="410"/>
      <c r="AQ544" s="410"/>
    </row>
    <row r="545" spans="2:43" ht="15" customHeight="1">
      <c r="B545" s="394"/>
      <c r="C545" s="395"/>
      <c r="D545" s="417"/>
      <c r="E545" s="662"/>
      <c r="F545" s="417"/>
      <c r="G545" s="384"/>
      <c r="H545" s="768"/>
      <c r="I545" s="384"/>
      <c r="J545" s="384"/>
      <c r="K545" s="657"/>
      <c r="L545" s="658"/>
      <c r="M545" s="384"/>
      <c r="N545" s="384"/>
      <c r="O545" s="384"/>
      <c r="P545" s="384"/>
      <c r="Q545" s="384"/>
      <c r="R545" s="384"/>
      <c r="S545" s="660"/>
      <c r="T545" s="396"/>
      <c r="U545" s="384"/>
      <c r="V545" s="384"/>
      <c r="W545" s="384"/>
      <c r="X545" s="384"/>
      <c r="Y545" s="442"/>
      <c r="Z545" s="442"/>
      <c r="AA545" s="441"/>
      <c r="AB545" s="441"/>
      <c r="AC545" s="441"/>
      <c r="AD545" s="441"/>
      <c r="AE545" s="441"/>
      <c r="AF545" s="441"/>
      <c r="AG545" s="441"/>
      <c r="AH545" s="441"/>
      <c r="AI545" s="441"/>
      <c r="AJ545" s="441"/>
      <c r="AK545" s="395"/>
      <c r="AL545" s="395"/>
      <c r="AM545" s="395"/>
      <c r="AN545" s="395"/>
      <c r="AO545" s="395"/>
      <c r="AP545" s="410"/>
      <c r="AQ545" s="410"/>
    </row>
    <row r="546" spans="2:43" ht="15" customHeight="1">
      <c r="B546" s="394"/>
      <c r="C546" s="395"/>
      <c r="D546" s="417"/>
      <c r="E546" s="662"/>
      <c r="F546" s="417"/>
      <c r="G546" s="384"/>
      <c r="H546" s="768"/>
      <c r="I546" s="384"/>
      <c r="J546" s="384"/>
      <c r="K546" s="657"/>
      <c r="L546" s="658"/>
      <c r="M546" s="384"/>
      <c r="N546" s="384"/>
      <c r="O546" s="384"/>
      <c r="P546" s="384"/>
      <c r="Q546" s="384"/>
      <c r="R546" s="384"/>
      <c r="S546" s="660"/>
      <c r="T546" s="396"/>
      <c r="U546" s="384"/>
      <c r="V546" s="384"/>
      <c r="W546" s="384"/>
      <c r="X546" s="384"/>
      <c r="Y546" s="442"/>
      <c r="Z546" s="442"/>
      <c r="AA546" s="441"/>
      <c r="AB546" s="441"/>
      <c r="AC546" s="441"/>
      <c r="AD546" s="441"/>
      <c r="AE546" s="441"/>
      <c r="AF546" s="441"/>
      <c r="AG546" s="441"/>
      <c r="AH546" s="441"/>
      <c r="AI546" s="441"/>
      <c r="AJ546" s="441"/>
      <c r="AK546" s="395"/>
      <c r="AL546" s="395"/>
      <c r="AM546" s="395"/>
      <c r="AN546" s="395"/>
      <c r="AO546" s="395"/>
      <c r="AP546" s="410"/>
      <c r="AQ546" s="410"/>
    </row>
    <row r="547" spans="2:43" ht="15" customHeight="1">
      <c r="B547" s="394"/>
      <c r="C547" s="395"/>
      <c r="D547" s="417"/>
      <c r="E547" s="662"/>
      <c r="F547" s="417"/>
      <c r="G547" s="384"/>
      <c r="H547" s="768"/>
      <c r="I547" s="384"/>
      <c r="J547" s="384"/>
      <c r="K547" s="657"/>
      <c r="L547" s="658"/>
      <c r="M547" s="384"/>
      <c r="N547" s="384"/>
      <c r="O547" s="384"/>
      <c r="P547" s="384"/>
      <c r="Q547" s="384"/>
      <c r="R547" s="384"/>
      <c r="S547" s="660"/>
      <c r="T547" s="396"/>
      <c r="U547" s="384"/>
      <c r="V547" s="384"/>
      <c r="W547" s="384"/>
      <c r="X547" s="384"/>
      <c r="Y547" s="442"/>
      <c r="Z547" s="442"/>
      <c r="AA547" s="441"/>
      <c r="AB547" s="441"/>
      <c r="AC547" s="441"/>
      <c r="AD547" s="441"/>
      <c r="AE547" s="441"/>
      <c r="AF547" s="441"/>
      <c r="AG547" s="441"/>
      <c r="AH547" s="441"/>
      <c r="AI547" s="441"/>
      <c r="AJ547" s="441"/>
      <c r="AK547" s="395"/>
      <c r="AL547" s="395"/>
      <c r="AM547" s="395"/>
      <c r="AN547" s="395"/>
      <c r="AO547" s="395"/>
      <c r="AP547" s="410"/>
      <c r="AQ547" s="410"/>
    </row>
    <row r="548" spans="2:43" ht="15" customHeight="1">
      <c r="B548" s="394"/>
      <c r="C548" s="395"/>
      <c r="D548" s="417"/>
      <c r="E548" s="662"/>
      <c r="F548" s="417"/>
      <c r="G548" s="384"/>
      <c r="H548" s="768"/>
      <c r="I548" s="384"/>
      <c r="J548" s="384"/>
      <c r="K548" s="657"/>
      <c r="L548" s="658"/>
      <c r="M548" s="384"/>
      <c r="N548" s="384"/>
      <c r="O548" s="384"/>
      <c r="P548" s="384"/>
      <c r="Q548" s="384"/>
      <c r="R548" s="384"/>
      <c r="S548" s="660"/>
      <c r="T548" s="396"/>
      <c r="U548" s="384"/>
      <c r="V548" s="384"/>
      <c r="W548" s="384"/>
      <c r="X548" s="384"/>
      <c r="Y548" s="442"/>
      <c r="Z548" s="442"/>
      <c r="AA548" s="441"/>
      <c r="AB548" s="441"/>
      <c r="AC548" s="441"/>
      <c r="AD548" s="441"/>
      <c r="AE548" s="441"/>
      <c r="AF548" s="441"/>
      <c r="AG548" s="441"/>
      <c r="AH548" s="441"/>
      <c r="AI548" s="441"/>
      <c r="AJ548" s="441"/>
      <c r="AK548" s="395"/>
      <c r="AL548" s="395"/>
      <c r="AM548" s="395"/>
      <c r="AN548" s="395"/>
      <c r="AO548" s="395"/>
      <c r="AP548" s="410"/>
      <c r="AQ548" s="410"/>
    </row>
    <row r="549" spans="2:43" ht="15" customHeight="1">
      <c r="B549" s="394"/>
      <c r="C549" s="395"/>
      <c r="D549" s="417"/>
      <c r="E549" s="662"/>
      <c r="F549" s="417"/>
      <c r="G549" s="384"/>
      <c r="H549" s="768"/>
      <c r="I549" s="384"/>
      <c r="J549" s="384"/>
      <c r="K549" s="657"/>
      <c r="L549" s="658"/>
      <c r="M549" s="384"/>
      <c r="N549" s="384"/>
      <c r="O549" s="384"/>
      <c r="P549" s="384"/>
      <c r="Q549" s="384"/>
      <c r="R549" s="384"/>
      <c r="S549" s="660"/>
      <c r="T549" s="396"/>
      <c r="U549" s="384"/>
      <c r="V549" s="384"/>
      <c r="W549" s="384"/>
      <c r="X549" s="384"/>
      <c r="Y549" s="442"/>
      <c r="Z549" s="442"/>
      <c r="AA549" s="441"/>
      <c r="AB549" s="441"/>
      <c r="AC549" s="441"/>
      <c r="AD549" s="441"/>
      <c r="AE549" s="441"/>
      <c r="AF549" s="441"/>
      <c r="AG549" s="441"/>
      <c r="AH549" s="441"/>
      <c r="AI549" s="441"/>
      <c r="AJ549" s="441"/>
      <c r="AK549" s="395"/>
      <c r="AL549" s="395"/>
      <c r="AM549" s="395"/>
      <c r="AN549" s="395"/>
      <c r="AO549" s="395"/>
      <c r="AP549" s="410"/>
      <c r="AQ549" s="410"/>
    </row>
    <row r="550" spans="2:43" ht="15" customHeight="1">
      <c r="B550" s="394"/>
      <c r="C550" s="395"/>
      <c r="D550" s="417"/>
      <c r="E550" s="662"/>
      <c r="F550" s="417"/>
      <c r="G550" s="384"/>
      <c r="H550" s="768"/>
      <c r="I550" s="384"/>
      <c r="J550" s="384"/>
      <c r="K550" s="657"/>
      <c r="L550" s="658"/>
      <c r="M550" s="384"/>
      <c r="N550" s="384"/>
      <c r="O550" s="384"/>
      <c r="P550" s="384"/>
      <c r="Q550" s="384"/>
      <c r="R550" s="384"/>
      <c r="S550" s="660"/>
      <c r="T550" s="396"/>
      <c r="U550" s="384"/>
      <c r="V550" s="384"/>
      <c r="W550" s="384"/>
      <c r="X550" s="384"/>
      <c r="Y550" s="442"/>
      <c r="Z550" s="442"/>
      <c r="AA550" s="441"/>
      <c r="AB550" s="441"/>
      <c r="AC550" s="441"/>
      <c r="AD550" s="441"/>
      <c r="AE550" s="441"/>
      <c r="AF550" s="441"/>
      <c r="AG550" s="441"/>
      <c r="AH550" s="441"/>
      <c r="AI550" s="441"/>
      <c r="AJ550" s="441"/>
      <c r="AK550" s="395"/>
      <c r="AL550" s="395"/>
      <c r="AM550" s="395"/>
      <c r="AN550" s="395"/>
      <c r="AO550" s="395"/>
      <c r="AP550" s="410"/>
      <c r="AQ550" s="410"/>
    </row>
    <row r="551" spans="2:43" ht="15" customHeight="1">
      <c r="B551" s="394"/>
      <c r="C551" s="395"/>
      <c r="D551" s="417"/>
      <c r="E551" s="662"/>
      <c r="F551" s="417"/>
      <c r="G551" s="384"/>
      <c r="H551" s="768"/>
      <c r="I551" s="384"/>
      <c r="J551" s="384"/>
      <c r="K551" s="657"/>
      <c r="L551" s="658"/>
      <c r="M551" s="384"/>
      <c r="N551" s="384"/>
      <c r="O551" s="384"/>
      <c r="P551" s="384"/>
      <c r="Q551" s="384"/>
      <c r="R551" s="384"/>
      <c r="S551" s="660"/>
      <c r="T551" s="396"/>
      <c r="U551" s="384"/>
      <c r="V551" s="384"/>
      <c r="W551" s="384"/>
      <c r="X551" s="384"/>
      <c r="Y551" s="442"/>
      <c r="Z551" s="442"/>
      <c r="AA551" s="441"/>
      <c r="AB551" s="441"/>
      <c r="AC551" s="441"/>
      <c r="AD551" s="441"/>
      <c r="AE551" s="441"/>
      <c r="AF551" s="441"/>
      <c r="AG551" s="441"/>
      <c r="AH551" s="441"/>
      <c r="AI551" s="441"/>
      <c r="AJ551" s="441"/>
      <c r="AK551" s="395"/>
      <c r="AL551" s="395"/>
      <c r="AM551" s="395"/>
      <c r="AN551" s="395"/>
      <c r="AO551" s="395"/>
      <c r="AP551" s="410"/>
      <c r="AQ551" s="410"/>
    </row>
    <row r="552" spans="2:43" ht="15" customHeight="1">
      <c r="B552" s="394"/>
      <c r="C552" s="395"/>
      <c r="D552" s="417"/>
      <c r="E552" s="662"/>
      <c r="F552" s="417"/>
      <c r="G552" s="384"/>
      <c r="H552" s="768"/>
      <c r="I552" s="384"/>
      <c r="J552" s="384"/>
      <c r="K552" s="657"/>
      <c r="L552" s="658"/>
      <c r="M552" s="384"/>
      <c r="N552" s="384"/>
      <c r="O552" s="384"/>
      <c r="P552" s="384"/>
      <c r="Q552" s="384"/>
      <c r="R552" s="384"/>
      <c r="S552" s="660"/>
      <c r="T552" s="396"/>
      <c r="U552" s="384"/>
      <c r="V552" s="384"/>
      <c r="W552" s="384"/>
      <c r="X552" s="384"/>
      <c r="Y552" s="442"/>
      <c r="Z552" s="442"/>
      <c r="AA552" s="441"/>
      <c r="AB552" s="441"/>
      <c r="AC552" s="441"/>
      <c r="AD552" s="441"/>
      <c r="AE552" s="441"/>
      <c r="AF552" s="441"/>
      <c r="AG552" s="441"/>
      <c r="AH552" s="441"/>
      <c r="AI552" s="441"/>
      <c r="AJ552" s="441"/>
      <c r="AK552" s="395"/>
      <c r="AL552" s="395"/>
      <c r="AM552" s="395"/>
      <c r="AN552" s="395"/>
      <c r="AO552" s="395"/>
      <c r="AP552" s="410"/>
      <c r="AQ552" s="410"/>
    </row>
    <row r="553" spans="2:43" ht="15" customHeight="1">
      <c r="B553" s="394"/>
      <c r="C553" s="395"/>
      <c r="D553" s="417"/>
      <c r="E553" s="662"/>
      <c r="F553" s="417"/>
      <c r="G553" s="384"/>
      <c r="H553" s="768"/>
      <c r="I553" s="384"/>
      <c r="J553" s="384"/>
      <c r="K553" s="657"/>
      <c r="L553" s="658"/>
      <c r="M553" s="384"/>
      <c r="N553" s="384"/>
      <c r="O553" s="384"/>
      <c r="P553" s="384"/>
      <c r="Q553" s="384"/>
      <c r="R553" s="384"/>
      <c r="S553" s="660"/>
      <c r="T553" s="396"/>
      <c r="U553" s="384"/>
      <c r="V553" s="384"/>
      <c r="W553" s="384"/>
      <c r="X553" s="384"/>
      <c r="Y553" s="442"/>
      <c r="Z553" s="442"/>
      <c r="AA553" s="441"/>
      <c r="AB553" s="441"/>
      <c r="AC553" s="441"/>
      <c r="AD553" s="441"/>
      <c r="AE553" s="441"/>
      <c r="AF553" s="441"/>
      <c r="AG553" s="441"/>
      <c r="AH553" s="441"/>
      <c r="AI553" s="441"/>
      <c r="AJ553" s="441"/>
      <c r="AK553" s="395"/>
      <c r="AL553" s="395"/>
      <c r="AM553" s="395"/>
      <c r="AN553" s="395"/>
      <c r="AO553" s="395"/>
      <c r="AP553" s="410"/>
      <c r="AQ553" s="410"/>
    </row>
    <row r="554" spans="2:43" ht="15" customHeight="1">
      <c r="B554" s="394"/>
      <c r="C554" s="395"/>
      <c r="D554" s="417"/>
      <c r="E554" s="662"/>
      <c r="F554" s="417"/>
      <c r="G554" s="384"/>
      <c r="H554" s="768"/>
      <c r="I554" s="384"/>
      <c r="J554" s="384"/>
      <c r="K554" s="657"/>
      <c r="L554" s="658"/>
      <c r="M554" s="384"/>
      <c r="N554" s="384"/>
      <c r="O554" s="384"/>
      <c r="P554" s="384"/>
      <c r="Q554" s="384"/>
      <c r="R554" s="384"/>
      <c r="S554" s="660"/>
      <c r="T554" s="396"/>
      <c r="U554" s="384"/>
      <c r="V554" s="384"/>
      <c r="W554" s="384"/>
      <c r="X554" s="384"/>
      <c r="Y554" s="442"/>
      <c r="Z554" s="442"/>
      <c r="AA554" s="441"/>
      <c r="AB554" s="441"/>
      <c r="AC554" s="441"/>
      <c r="AD554" s="441"/>
      <c r="AE554" s="441"/>
      <c r="AF554" s="441"/>
      <c r="AG554" s="441"/>
      <c r="AH554" s="441"/>
      <c r="AI554" s="441"/>
      <c r="AJ554" s="441"/>
      <c r="AK554" s="395"/>
      <c r="AL554" s="395"/>
      <c r="AM554" s="395"/>
      <c r="AN554" s="395"/>
      <c r="AO554" s="395"/>
      <c r="AP554" s="410"/>
      <c r="AQ554" s="410"/>
    </row>
    <row r="555" spans="2:43" ht="15" customHeight="1">
      <c r="B555" s="394"/>
      <c r="C555" s="395"/>
      <c r="D555" s="417"/>
      <c r="E555" s="662"/>
      <c r="F555" s="417"/>
      <c r="G555" s="384"/>
      <c r="H555" s="768"/>
      <c r="I555" s="384"/>
      <c r="J555" s="384"/>
      <c r="K555" s="657"/>
      <c r="L555" s="658"/>
      <c r="M555" s="384"/>
      <c r="N555" s="384"/>
      <c r="O555" s="384"/>
      <c r="P555" s="384"/>
      <c r="Q555" s="384"/>
      <c r="R555" s="384"/>
      <c r="S555" s="660"/>
      <c r="T555" s="396"/>
      <c r="U555" s="384"/>
      <c r="V555" s="384"/>
      <c r="W555" s="384"/>
      <c r="X555" s="384"/>
      <c r="Y555" s="442"/>
      <c r="Z555" s="442"/>
      <c r="AA555" s="441"/>
      <c r="AB555" s="441"/>
      <c r="AC555" s="441"/>
      <c r="AD555" s="441"/>
      <c r="AE555" s="441"/>
      <c r="AF555" s="441"/>
      <c r="AG555" s="441"/>
      <c r="AH555" s="441"/>
      <c r="AI555" s="441"/>
      <c r="AJ555" s="441"/>
      <c r="AK555" s="395"/>
      <c r="AL555" s="395"/>
      <c r="AM555" s="395"/>
      <c r="AN555" s="395"/>
      <c r="AO555" s="395"/>
      <c r="AP555" s="410"/>
      <c r="AQ555" s="410"/>
    </row>
    <row r="556" spans="2:43" ht="15" customHeight="1">
      <c r="B556" s="394"/>
      <c r="C556" s="395"/>
      <c r="D556" s="417"/>
      <c r="E556" s="662"/>
      <c r="F556" s="417"/>
      <c r="G556" s="384"/>
      <c r="H556" s="768"/>
      <c r="I556" s="384"/>
      <c r="J556" s="384"/>
      <c r="K556" s="657"/>
      <c r="L556" s="658"/>
      <c r="M556" s="384"/>
      <c r="N556" s="384"/>
      <c r="O556" s="384"/>
      <c r="P556" s="384"/>
      <c r="Q556" s="384"/>
      <c r="R556" s="384"/>
      <c r="S556" s="660"/>
      <c r="T556" s="396"/>
      <c r="U556" s="384"/>
      <c r="V556" s="384"/>
      <c r="W556" s="384"/>
      <c r="X556" s="384"/>
      <c r="Y556" s="442"/>
      <c r="Z556" s="442"/>
      <c r="AA556" s="441"/>
      <c r="AB556" s="441"/>
      <c r="AC556" s="441"/>
      <c r="AD556" s="441"/>
      <c r="AE556" s="441"/>
      <c r="AF556" s="441"/>
      <c r="AG556" s="441"/>
      <c r="AH556" s="441"/>
      <c r="AI556" s="441"/>
      <c r="AJ556" s="441"/>
      <c r="AK556" s="395"/>
      <c r="AL556" s="395"/>
      <c r="AM556" s="395"/>
      <c r="AN556" s="395"/>
      <c r="AO556" s="395"/>
      <c r="AP556" s="410"/>
      <c r="AQ556" s="410"/>
    </row>
    <row r="557" spans="2:43" ht="15" customHeight="1">
      <c r="B557" s="394"/>
      <c r="C557" s="395"/>
      <c r="D557" s="417"/>
      <c r="E557" s="662"/>
      <c r="F557" s="417"/>
      <c r="G557" s="384"/>
      <c r="H557" s="768"/>
      <c r="I557" s="384"/>
      <c r="J557" s="384"/>
      <c r="K557" s="657"/>
      <c r="L557" s="658"/>
      <c r="M557" s="384"/>
      <c r="N557" s="384"/>
      <c r="O557" s="384"/>
      <c r="P557" s="384"/>
      <c r="Q557" s="384"/>
      <c r="R557" s="384"/>
      <c r="S557" s="660"/>
      <c r="T557" s="396"/>
      <c r="U557" s="384"/>
      <c r="V557" s="384"/>
      <c r="W557" s="384"/>
      <c r="X557" s="384"/>
      <c r="Y557" s="442"/>
      <c r="Z557" s="442"/>
      <c r="AA557" s="441"/>
      <c r="AB557" s="441"/>
      <c r="AC557" s="441"/>
      <c r="AD557" s="441"/>
      <c r="AE557" s="441"/>
      <c r="AF557" s="441"/>
      <c r="AG557" s="441"/>
      <c r="AH557" s="441"/>
      <c r="AI557" s="441"/>
      <c r="AJ557" s="441"/>
      <c r="AK557" s="395"/>
      <c r="AL557" s="395"/>
      <c r="AM557" s="395"/>
      <c r="AN557" s="395"/>
      <c r="AO557" s="395"/>
      <c r="AP557" s="410"/>
      <c r="AQ557" s="410"/>
    </row>
    <row r="558" spans="2:43" ht="15" customHeight="1">
      <c r="B558" s="394"/>
      <c r="C558" s="395"/>
      <c r="D558" s="417"/>
      <c r="E558" s="662"/>
      <c r="F558" s="417"/>
      <c r="G558" s="384"/>
      <c r="H558" s="768"/>
      <c r="I558" s="384"/>
      <c r="J558" s="384"/>
      <c r="K558" s="657"/>
      <c r="L558" s="658"/>
      <c r="M558" s="384"/>
      <c r="N558" s="384"/>
      <c r="O558" s="384"/>
      <c r="P558" s="384"/>
      <c r="Q558" s="384"/>
      <c r="R558" s="384"/>
      <c r="S558" s="660"/>
      <c r="T558" s="396"/>
      <c r="U558" s="384"/>
      <c r="V558" s="384"/>
      <c r="W558" s="384"/>
      <c r="X558" s="384"/>
      <c r="Y558" s="442"/>
      <c r="Z558" s="442"/>
      <c r="AA558" s="441"/>
      <c r="AB558" s="441"/>
      <c r="AC558" s="441"/>
      <c r="AD558" s="441"/>
      <c r="AE558" s="441"/>
      <c r="AF558" s="441"/>
      <c r="AG558" s="441"/>
      <c r="AH558" s="441"/>
      <c r="AI558" s="441"/>
      <c r="AJ558" s="441"/>
      <c r="AK558" s="395"/>
      <c r="AL558" s="395"/>
      <c r="AM558" s="395"/>
      <c r="AN558" s="395"/>
      <c r="AO558" s="395"/>
      <c r="AP558" s="410"/>
      <c r="AQ558" s="410"/>
    </row>
    <row r="559" spans="2:43" ht="15" customHeight="1">
      <c r="B559" s="394"/>
      <c r="C559" s="395"/>
      <c r="D559" s="417"/>
      <c r="E559" s="662"/>
      <c r="F559" s="417"/>
      <c r="G559" s="384"/>
      <c r="H559" s="768"/>
      <c r="I559" s="384"/>
      <c r="J559" s="384"/>
      <c r="K559" s="657"/>
      <c r="L559" s="658"/>
      <c r="M559" s="384"/>
      <c r="N559" s="384"/>
      <c r="O559" s="384"/>
      <c r="P559" s="384"/>
      <c r="Q559" s="384"/>
      <c r="R559" s="384"/>
      <c r="S559" s="660"/>
      <c r="T559" s="396"/>
      <c r="U559" s="384"/>
      <c r="V559" s="384"/>
      <c r="W559" s="384"/>
      <c r="X559" s="384"/>
      <c r="Y559" s="442"/>
      <c r="Z559" s="442"/>
      <c r="AA559" s="441"/>
      <c r="AB559" s="441"/>
      <c r="AC559" s="441"/>
      <c r="AD559" s="441"/>
      <c r="AE559" s="441"/>
      <c r="AF559" s="441"/>
      <c r="AG559" s="441"/>
      <c r="AH559" s="441"/>
      <c r="AI559" s="441"/>
      <c r="AJ559" s="441"/>
      <c r="AK559" s="395"/>
      <c r="AL559" s="395"/>
      <c r="AM559" s="395"/>
      <c r="AN559" s="395"/>
      <c r="AO559" s="395"/>
      <c r="AP559" s="410"/>
      <c r="AQ559" s="410"/>
    </row>
    <row r="560" spans="2:43" ht="15" customHeight="1">
      <c r="B560" s="394"/>
      <c r="C560" s="395"/>
      <c r="D560" s="417"/>
      <c r="E560" s="662"/>
      <c r="F560" s="417"/>
      <c r="G560" s="384"/>
      <c r="H560" s="768"/>
      <c r="I560" s="384"/>
      <c r="J560" s="384"/>
      <c r="K560" s="657"/>
      <c r="L560" s="658"/>
      <c r="M560" s="384"/>
      <c r="N560" s="384"/>
      <c r="O560" s="384"/>
      <c r="P560" s="384"/>
      <c r="Q560" s="384"/>
      <c r="R560" s="384"/>
      <c r="S560" s="660"/>
      <c r="T560" s="396"/>
      <c r="U560" s="384"/>
      <c r="V560" s="384"/>
      <c r="W560" s="384"/>
      <c r="X560" s="384"/>
      <c r="Y560" s="442"/>
      <c r="Z560" s="442"/>
      <c r="AA560" s="441"/>
      <c r="AB560" s="441"/>
      <c r="AC560" s="441"/>
      <c r="AD560" s="441"/>
      <c r="AE560" s="441"/>
      <c r="AF560" s="441"/>
      <c r="AG560" s="441"/>
      <c r="AH560" s="441"/>
      <c r="AI560" s="441"/>
      <c r="AJ560" s="441"/>
      <c r="AK560" s="395"/>
      <c r="AL560" s="395"/>
      <c r="AM560" s="395"/>
      <c r="AN560" s="395"/>
      <c r="AO560" s="395"/>
      <c r="AP560" s="410"/>
      <c r="AQ560" s="410"/>
    </row>
    <row r="561" spans="2:43" ht="15" customHeight="1">
      <c r="B561" s="394"/>
      <c r="C561" s="395"/>
      <c r="D561" s="417"/>
      <c r="E561" s="662"/>
      <c r="F561" s="417"/>
      <c r="G561" s="384"/>
      <c r="H561" s="768"/>
      <c r="I561" s="384"/>
      <c r="J561" s="384"/>
      <c r="K561" s="657"/>
      <c r="L561" s="658"/>
      <c r="M561" s="384"/>
      <c r="N561" s="384"/>
      <c r="O561" s="384"/>
      <c r="P561" s="384"/>
      <c r="Q561" s="384"/>
      <c r="R561" s="384"/>
      <c r="S561" s="660"/>
      <c r="T561" s="396"/>
      <c r="U561" s="384"/>
      <c r="V561" s="384"/>
      <c r="W561" s="384"/>
      <c r="X561" s="384"/>
      <c r="Y561" s="442"/>
      <c r="Z561" s="442"/>
      <c r="AA561" s="441"/>
      <c r="AB561" s="441"/>
      <c r="AC561" s="441"/>
      <c r="AD561" s="441"/>
      <c r="AE561" s="441"/>
      <c r="AF561" s="441"/>
      <c r="AG561" s="441"/>
      <c r="AH561" s="441"/>
      <c r="AI561" s="441"/>
      <c r="AJ561" s="441"/>
      <c r="AK561" s="395"/>
      <c r="AL561" s="395"/>
      <c r="AM561" s="395"/>
      <c r="AN561" s="395"/>
      <c r="AO561" s="395"/>
      <c r="AP561" s="410"/>
      <c r="AQ561" s="410"/>
    </row>
    <row r="562" spans="2:43" ht="15" customHeight="1">
      <c r="B562" s="394"/>
      <c r="C562" s="395"/>
      <c r="D562" s="417"/>
      <c r="E562" s="662"/>
      <c r="F562" s="417"/>
      <c r="G562" s="384"/>
      <c r="H562" s="768"/>
      <c r="I562" s="384"/>
      <c r="J562" s="384"/>
      <c r="K562" s="657"/>
      <c r="L562" s="658"/>
      <c r="M562" s="384"/>
      <c r="N562" s="384"/>
      <c r="O562" s="384"/>
      <c r="P562" s="384"/>
      <c r="Q562" s="384"/>
      <c r="R562" s="384"/>
      <c r="S562" s="660"/>
      <c r="T562" s="396"/>
      <c r="U562" s="384"/>
      <c r="V562" s="384"/>
      <c r="W562" s="384"/>
      <c r="X562" s="384"/>
      <c r="Y562" s="442"/>
      <c r="Z562" s="442"/>
      <c r="AA562" s="441"/>
      <c r="AB562" s="441"/>
      <c r="AC562" s="441"/>
      <c r="AD562" s="441"/>
      <c r="AE562" s="441"/>
      <c r="AF562" s="441"/>
      <c r="AG562" s="441"/>
      <c r="AH562" s="441"/>
      <c r="AI562" s="441"/>
      <c r="AJ562" s="441"/>
      <c r="AK562" s="395"/>
      <c r="AL562" s="395"/>
      <c r="AM562" s="395"/>
      <c r="AN562" s="395"/>
      <c r="AO562" s="395"/>
      <c r="AP562" s="410"/>
      <c r="AQ562" s="410"/>
    </row>
    <row r="563" spans="2:43" ht="15" customHeight="1">
      <c r="B563" s="394"/>
      <c r="C563" s="395"/>
      <c r="D563" s="417"/>
      <c r="E563" s="662"/>
      <c r="F563" s="417"/>
      <c r="G563" s="384"/>
      <c r="H563" s="768"/>
      <c r="I563" s="384"/>
      <c r="J563" s="384"/>
      <c r="K563" s="657"/>
      <c r="L563" s="658"/>
      <c r="M563" s="384"/>
      <c r="N563" s="384"/>
      <c r="O563" s="384"/>
      <c r="P563" s="384"/>
      <c r="Q563" s="384"/>
      <c r="R563" s="384"/>
      <c r="S563" s="660"/>
      <c r="T563" s="396"/>
      <c r="U563" s="384"/>
      <c r="V563" s="384"/>
      <c r="W563" s="384"/>
      <c r="X563" s="384"/>
      <c r="Y563" s="442"/>
      <c r="Z563" s="442"/>
      <c r="AA563" s="441"/>
      <c r="AB563" s="441"/>
      <c r="AC563" s="441"/>
      <c r="AD563" s="441"/>
      <c r="AE563" s="441"/>
      <c r="AF563" s="441"/>
      <c r="AG563" s="441"/>
      <c r="AH563" s="441"/>
      <c r="AI563" s="441"/>
      <c r="AJ563" s="441"/>
      <c r="AK563" s="395"/>
      <c r="AL563" s="395"/>
      <c r="AM563" s="395"/>
      <c r="AN563" s="395"/>
      <c r="AO563" s="395"/>
      <c r="AP563" s="410"/>
      <c r="AQ563" s="410"/>
    </row>
    <row r="564" spans="2:43" ht="15" customHeight="1">
      <c r="B564" s="394"/>
      <c r="C564" s="395"/>
      <c r="D564" s="417"/>
      <c r="E564" s="662"/>
      <c r="F564" s="417"/>
      <c r="G564" s="384"/>
      <c r="H564" s="768"/>
      <c r="I564" s="384"/>
      <c r="J564" s="384"/>
      <c r="K564" s="657"/>
      <c r="L564" s="658"/>
      <c r="M564" s="384"/>
      <c r="N564" s="384"/>
      <c r="O564" s="384"/>
      <c r="P564" s="384"/>
      <c r="Q564" s="384"/>
      <c r="R564" s="384"/>
      <c r="S564" s="660"/>
      <c r="T564" s="396"/>
      <c r="U564" s="384"/>
      <c r="V564" s="384"/>
      <c r="W564" s="384"/>
      <c r="X564" s="384"/>
      <c r="Y564" s="442"/>
      <c r="Z564" s="442"/>
      <c r="AA564" s="441"/>
      <c r="AB564" s="441"/>
      <c r="AC564" s="441"/>
      <c r="AD564" s="441"/>
      <c r="AE564" s="441"/>
      <c r="AF564" s="441"/>
      <c r="AG564" s="441"/>
      <c r="AH564" s="441"/>
      <c r="AI564" s="441"/>
      <c r="AJ564" s="441"/>
      <c r="AK564" s="395"/>
      <c r="AL564" s="395"/>
      <c r="AM564" s="395"/>
      <c r="AN564" s="395"/>
      <c r="AO564" s="395"/>
      <c r="AP564" s="410"/>
      <c r="AQ564" s="410"/>
    </row>
    <row r="565" spans="2:43" ht="15" customHeight="1">
      <c r="B565" s="394"/>
      <c r="C565" s="395"/>
      <c r="D565" s="417"/>
      <c r="E565" s="662"/>
      <c r="F565" s="417"/>
      <c r="G565" s="384"/>
      <c r="H565" s="768"/>
      <c r="I565" s="384"/>
      <c r="J565" s="384"/>
      <c r="K565" s="657"/>
      <c r="L565" s="658"/>
      <c r="M565" s="384"/>
      <c r="N565" s="384"/>
      <c r="O565" s="384"/>
      <c r="P565" s="384"/>
      <c r="Q565" s="384"/>
      <c r="R565" s="384"/>
      <c r="S565" s="660"/>
      <c r="T565" s="396"/>
      <c r="U565" s="384"/>
      <c r="V565" s="384"/>
      <c r="W565" s="384"/>
      <c r="X565" s="384"/>
      <c r="Y565" s="442"/>
      <c r="Z565" s="442"/>
      <c r="AA565" s="441"/>
      <c r="AB565" s="441"/>
      <c r="AC565" s="441"/>
      <c r="AD565" s="441"/>
      <c r="AE565" s="441"/>
      <c r="AF565" s="441"/>
      <c r="AG565" s="441"/>
      <c r="AH565" s="441"/>
      <c r="AI565" s="441"/>
      <c r="AJ565" s="441"/>
      <c r="AK565" s="395"/>
      <c r="AL565" s="395"/>
      <c r="AM565" s="395"/>
      <c r="AN565" s="395"/>
      <c r="AO565" s="395"/>
      <c r="AP565" s="410"/>
      <c r="AQ565" s="410"/>
    </row>
    <row r="566" spans="2:43" ht="15" customHeight="1">
      <c r="B566" s="394"/>
      <c r="C566" s="395"/>
      <c r="D566" s="417"/>
      <c r="E566" s="662"/>
      <c r="F566" s="417"/>
      <c r="G566" s="384"/>
      <c r="H566" s="768"/>
      <c r="I566" s="384"/>
      <c r="J566" s="384"/>
      <c r="K566" s="657"/>
      <c r="L566" s="658"/>
      <c r="M566" s="384"/>
      <c r="N566" s="384"/>
      <c r="O566" s="384"/>
      <c r="P566" s="384"/>
      <c r="Q566" s="384"/>
      <c r="R566" s="384"/>
      <c r="S566" s="660"/>
      <c r="T566" s="396"/>
      <c r="U566" s="384"/>
      <c r="V566" s="384"/>
      <c r="W566" s="384"/>
      <c r="X566" s="384"/>
      <c r="Y566" s="442"/>
      <c r="Z566" s="442"/>
      <c r="AA566" s="441"/>
      <c r="AB566" s="441"/>
      <c r="AC566" s="441"/>
      <c r="AD566" s="441"/>
      <c r="AE566" s="441"/>
      <c r="AF566" s="441"/>
      <c r="AG566" s="441"/>
      <c r="AH566" s="441"/>
      <c r="AI566" s="441"/>
      <c r="AJ566" s="441"/>
      <c r="AK566" s="395"/>
      <c r="AL566" s="395"/>
      <c r="AM566" s="395"/>
      <c r="AN566" s="395"/>
      <c r="AO566" s="395"/>
      <c r="AP566" s="410"/>
      <c r="AQ566" s="410"/>
    </row>
    <row r="567" spans="2:43" ht="15" customHeight="1">
      <c r="B567" s="394"/>
      <c r="C567" s="395"/>
      <c r="D567" s="417"/>
      <c r="E567" s="662"/>
      <c r="F567" s="417"/>
      <c r="G567" s="384"/>
      <c r="H567" s="768"/>
      <c r="I567" s="384"/>
      <c r="J567" s="384"/>
      <c r="K567" s="657"/>
      <c r="L567" s="658"/>
      <c r="M567" s="384"/>
      <c r="N567" s="384"/>
      <c r="O567" s="384"/>
      <c r="P567" s="384"/>
      <c r="Q567" s="384"/>
      <c r="R567" s="384"/>
      <c r="S567" s="660"/>
      <c r="T567" s="396"/>
      <c r="U567" s="384"/>
      <c r="V567" s="384"/>
      <c r="W567" s="384"/>
      <c r="X567" s="384"/>
      <c r="Y567" s="442"/>
      <c r="Z567" s="442"/>
      <c r="AA567" s="441"/>
      <c r="AB567" s="441"/>
      <c r="AC567" s="441"/>
      <c r="AD567" s="441"/>
      <c r="AE567" s="441"/>
      <c r="AF567" s="441"/>
      <c r="AG567" s="441"/>
      <c r="AH567" s="441"/>
      <c r="AI567" s="441"/>
      <c r="AJ567" s="441"/>
      <c r="AK567" s="395"/>
      <c r="AL567" s="395"/>
      <c r="AM567" s="395"/>
      <c r="AN567" s="395"/>
      <c r="AO567" s="395"/>
      <c r="AP567" s="410"/>
      <c r="AQ567" s="410"/>
    </row>
    <row r="568" spans="2:43" ht="15" customHeight="1">
      <c r="B568" s="394"/>
      <c r="C568" s="395"/>
      <c r="D568" s="417"/>
      <c r="E568" s="662"/>
      <c r="F568" s="417"/>
      <c r="G568" s="384"/>
      <c r="H568" s="768"/>
      <c r="I568" s="384"/>
      <c r="J568" s="384"/>
      <c r="K568" s="657"/>
      <c r="L568" s="658"/>
      <c r="M568" s="384"/>
      <c r="N568" s="384"/>
      <c r="O568" s="384"/>
      <c r="P568" s="384"/>
      <c r="Q568" s="384"/>
      <c r="R568" s="384"/>
      <c r="S568" s="660"/>
      <c r="T568" s="396"/>
      <c r="U568" s="384"/>
      <c r="V568" s="384"/>
      <c r="W568" s="384"/>
      <c r="X568" s="384"/>
      <c r="Y568" s="442"/>
      <c r="Z568" s="442"/>
      <c r="AA568" s="441"/>
      <c r="AB568" s="441"/>
      <c r="AC568" s="441"/>
      <c r="AD568" s="441"/>
      <c r="AE568" s="441"/>
      <c r="AF568" s="441"/>
      <c r="AG568" s="441"/>
      <c r="AH568" s="441"/>
      <c r="AI568" s="441"/>
      <c r="AJ568" s="441"/>
      <c r="AK568" s="395"/>
      <c r="AL568" s="395"/>
      <c r="AM568" s="395"/>
      <c r="AN568" s="395"/>
      <c r="AO568" s="395"/>
      <c r="AP568" s="410"/>
      <c r="AQ568" s="410"/>
    </row>
    <row r="569" spans="2:43" ht="15" customHeight="1">
      <c r="B569" s="394"/>
      <c r="C569" s="395"/>
      <c r="D569" s="417"/>
      <c r="E569" s="662"/>
      <c r="F569" s="417"/>
      <c r="G569" s="384"/>
      <c r="H569" s="768"/>
      <c r="I569" s="384"/>
      <c r="J569" s="384"/>
      <c r="K569" s="657"/>
      <c r="L569" s="658"/>
      <c r="M569" s="384"/>
      <c r="N569" s="384"/>
      <c r="O569" s="384"/>
      <c r="P569" s="384"/>
      <c r="Q569" s="384"/>
      <c r="R569" s="384"/>
      <c r="S569" s="660"/>
      <c r="T569" s="396"/>
      <c r="U569" s="384"/>
      <c r="V569" s="384"/>
      <c r="W569" s="384"/>
      <c r="X569" s="384"/>
      <c r="Y569" s="442"/>
      <c r="Z569" s="442"/>
      <c r="AA569" s="441"/>
      <c r="AB569" s="441"/>
      <c r="AC569" s="441"/>
      <c r="AD569" s="441"/>
      <c r="AE569" s="441"/>
      <c r="AF569" s="441"/>
      <c r="AG569" s="441"/>
      <c r="AH569" s="441"/>
      <c r="AI569" s="441"/>
      <c r="AJ569" s="441"/>
      <c r="AK569" s="395"/>
      <c r="AL569" s="395"/>
      <c r="AM569" s="395"/>
      <c r="AN569" s="395"/>
      <c r="AO569" s="395"/>
      <c r="AP569" s="410"/>
      <c r="AQ569" s="410"/>
    </row>
    <row r="570" spans="2:43" ht="15" customHeight="1">
      <c r="B570" s="394"/>
      <c r="C570" s="395"/>
      <c r="D570" s="417"/>
      <c r="E570" s="662"/>
      <c r="F570" s="417"/>
      <c r="G570" s="384"/>
      <c r="H570" s="768"/>
      <c r="I570" s="384"/>
      <c r="J570" s="384"/>
      <c r="K570" s="657"/>
      <c r="L570" s="658"/>
      <c r="M570" s="384"/>
      <c r="N570" s="384"/>
      <c r="O570" s="384"/>
      <c r="P570" s="384"/>
      <c r="Q570" s="384"/>
      <c r="R570" s="384"/>
      <c r="S570" s="660"/>
      <c r="T570" s="396"/>
      <c r="U570" s="384"/>
      <c r="V570" s="384"/>
      <c r="W570" s="384"/>
      <c r="X570" s="384"/>
      <c r="Y570" s="442"/>
      <c r="Z570" s="442"/>
      <c r="AA570" s="441"/>
      <c r="AB570" s="441"/>
      <c r="AC570" s="441"/>
      <c r="AD570" s="441"/>
      <c r="AE570" s="441"/>
      <c r="AF570" s="441"/>
      <c r="AG570" s="441"/>
      <c r="AH570" s="441"/>
      <c r="AI570" s="441"/>
      <c r="AJ570" s="441"/>
      <c r="AK570" s="395"/>
      <c r="AL570" s="395"/>
      <c r="AM570" s="395"/>
      <c r="AN570" s="395"/>
      <c r="AO570" s="395"/>
      <c r="AP570" s="410"/>
      <c r="AQ570" s="410"/>
    </row>
    <row r="571" spans="2:43" ht="15" customHeight="1">
      <c r="B571" s="394"/>
      <c r="C571" s="395"/>
      <c r="D571" s="417"/>
      <c r="E571" s="662"/>
      <c r="F571" s="417"/>
      <c r="G571" s="384"/>
      <c r="H571" s="768"/>
      <c r="I571" s="384"/>
      <c r="J571" s="384"/>
      <c r="K571" s="657"/>
      <c r="L571" s="658"/>
      <c r="M571" s="384"/>
      <c r="N571" s="384"/>
      <c r="O571" s="384"/>
      <c r="P571" s="384"/>
      <c r="Q571" s="384"/>
      <c r="R571" s="384"/>
      <c r="S571" s="660"/>
      <c r="T571" s="396"/>
      <c r="U571" s="384"/>
      <c r="V571" s="384"/>
      <c r="W571" s="384"/>
      <c r="X571" s="384"/>
      <c r="Y571" s="442"/>
      <c r="Z571" s="442"/>
      <c r="AA571" s="441"/>
      <c r="AB571" s="441"/>
      <c r="AC571" s="441"/>
      <c r="AD571" s="441"/>
      <c r="AE571" s="441"/>
      <c r="AF571" s="441"/>
      <c r="AG571" s="441"/>
      <c r="AH571" s="441"/>
      <c r="AI571" s="441"/>
      <c r="AJ571" s="441"/>
      <c r="AK571" s="395"/>
      <c r="AL571" s="395"/>
      <c r="AM571" s="395"/>
      <c r="AN571" s="395"/>
      <c r="AO571" s="395"/>
      <c r="AP571" s="410"/>
      <c r="AQ571" s="410"/>
    </row>
    <row r="572" spans="2:43" ht="15" customHeight="1">
      <c r="B572" s="394"/>
      <c r="C572" s="395"/>
      <c r="D572" s="417"/>
      <c r="E572" s="662"/>
      <c r="F572" s="417"/>
      <c r="G572" s="384"/>
      <c r="H572" s="768"/>
      <c r="I572" s="384"/>
      <c r="J572" s="384"/>
      <c r="K572" s="657"/>
      <c r="L572" s="658"/>
      <c r="M572" s="384"/>
      <c r="N572" s="384"/>
      <c r="O572" s="384"/>
      <c r="P572" s="384"/>
      <c r="Q572" s="384"/>
      <c r="R572" s="384"/>
      <c r="S572" s="660"/>
      <c r="T572" s="396"/>
      <c r="U572" s="384"/>
      <c r="V572" s="384"/>
      <c r="W572" s="384"/>
      <c r="X572" s="384"/>
      <c r="Y572" s="442"/>
      <c r="Z572" s="442"/>
      <c r="AA572" s="441"/>
      <c r="AB572" s="441"/>
      <c r="AC572" s="441"/>
      <c r="AD572" s="441"/>
      <c r="AE572" s="441"/>
      <c r="AF572" s="441"/>
      <c r="AG572" s="441"/>
      <c r="AH572" s="441"/>
      <c r="AI572" s="441"/>
      <c r="AJ572" s="441"/>
      <c r="AK572" s="395"/>
      <c r="AL572" s="395"/>
      <c r="AM572" s="395"/>
      <c r="AN572" s="395"/>
      <c r="AO572" s="395"/>
      <c r="AP572" s="410"/>
      <c r="AQ572" s="410"/>
    </row>
    <row r="573" spans="2:43" ht="15" customHeight="1">
      <c r="B573" s="394"/>
      <c r="C573" s="395"/>
      <c r="D573" s="417"/>
      <c r="E573" s="662"/>
      <c r="F573" s="417"/>
      <c r="G573" s="384"/>
      <c r="H573" s="768"/>
      <c r="I573" s="384"/>
      <c r="J573" s="384"/>
      <c r="K573" s="657"/>
      <c r="L573" s="658"/>
      <c r="M573" s="384"/>
      <c r="N573" s="384"/>
      <c r="O573" s="384"/>
      <c r="P573" s="384"/>
      <c r="Q573" s="384"/>
      <c r="R573" s="384"/>
      <c r="S573" s="660"/>
      <c r="T573" s="396"/>
      <c r="U573" s="384"/>
      <c r="V573" s="384"/>
      <c r="W573" s="384"/>
      <c r="X573" s="384"/>
      <c r="Y573" s="442"/>
      <c r="Z573" s="442"/>
      <c r="AA573" s="441"/>
      <c r="AB573" s="441"/>
      <c r="AC573" s="441"/>
      <c r="AD573" s="441"/>
      <c r="AE573" s="441"/>
      <c r="AF573" s="441"/>
      <c r="AG573" s="441"/>
      <c r="AH573" s="441"/>
      <c r="AI573" s="441"/>
      <c r="AJ573" s="441"/>
      <c r="AK573" s="395"/>
      <c r="AL573" s="395"/>
      <c r="AM573" s="395"/>
      <c r="AN573" s="395"/>
      <c r="AO573" s="395"/>
      <c r="AP573" s="410"/>
      <c r="AQ573" s="410"/>
    </row>
    <row r="574" spans="2:43" ht="15" customHeight="1">
      <c r="B574" s="394"/>
      <c r="C574" s="395"/>
      <c r="D574" s="417"/>
      <c r="E574" s="662"/>
      <c r="F574" s="417"/>
      <c r="G574" s="384"/>
      <c r="H574" s="768"/>
      <c r="I574" s="384"/>
      <c r="J574" s="384"/>
      <c r="K574" s="657"/>
      <c r="L574" s="658"/>
      <c r="M574" s="384"/>
      <c r="N574" s="384"/>
      <c r="O574" s="384"/>
      <c r="P574" s="384"/>
      <c r="Q574" s="384"/>
      <c r="R574" s="384"/>
      <c r="S574" s="660"/>
      <c r="T574" s="396"/>
      <c r="U574" s="384"/>
      <c r="V574" s="384"/>
      <c r="W574" s="384"/>
      <c r="X574" s="384"/>
      <c r="Y574" s="442"/>
      <c r="Z574" s="442"/>
      <c r="AA574" s="441"/>
      <c r="AB574" s="441"/>
      <c r="AC574" s="441"/>
      <c r="AD574" s="441"/>
      <c r="AE574" s="441"/>
      <c r="AF574" s="441"/>
      <c r="AG574" s="441"/>
      <c r="AH574" s="441"/>
      <c r="AI574" s="441"/>
      <c r="AJ574" s="441"/>
      <c r="AK574" s="395"/>
      <c r="AL574" s="395"/>
      <c r="AM574" s="395"/>
      <c r="AN574" s="395"/>
      <c r="AO574" s="395"/>
      <c r="AP574" s="410"/>
      <c r="AQ574" s="410"/>
    </row>
    <row r="575" spans="2:43" ht="15" customHeight="1">
      <c r="B575" s="394"/>
      <c r="C575" s="395"/>
      <c r="D575" s="417"/>
      <c r="E575" s="662"/>
      <c r="F575" s="417"/>
      <c r="G575" s="384"/>
      <c r="H575" s="768"/>
      <c r="I575" s="384"/>
      <c r="J575" s="384"/>
      <c r="K575" s="657"/>
      <c r="L575" s="658"/>
      <c r="M575" s="384"/>
      <c r="N575" s="384"/>
      <c r="O575" s="384"/>
      <c r="P575" s="384"/>
      <c r="Q575" s="384"/>
      <c r="R575" s="384"/>
      <c r="S575" s="660"/>
      <c r="T575" s="396"/>
      <c r="U575" s="384"/>
      <c r="V575" s="384"/>
      <c r="W575" s="384"/>
      <c r="X575" s="384"/>
      <c r="Y575" s="442"/>
      <c r="Z575" s="442"/>
      <c r="AA575" s="441"/>
      <c r="AB575" s="441"/>
      <c r="AC575" s="441"/>
      <c r="AD575" s="441"/>
      <c r="AE575" s="441"/>
      <c r="AF575" s="441"/>
      <c r="AG575" s="441"/>
      <c r="AH575" s="441"/>
      <c r="AI575" s="441"/>
      <c r="AJ575" s="441"/>
      <c r="AK575" s="395"/>
      <c r="AL575" s="395"/>
      <c r="AM575" s="395"/>
      <c r="AN575" s="395"/>
      <c r="AO575" s="395"/>
      <c r="AP575" s="410"/>
      <c r="AQ575" s="410"/>
    </row>
    <row r="576" spans="2:43" ht="15" customHeight="1">
      <c r="B576" s="394"/>
      <c r="C576" s="395"/>
      <c r="D576" s="417"/>
      <c r="E576" s="662"/>
      <c r="F576" s="417"/>
      <c r="G576" s="384"/>
      <c r="H576" s="768"/>
      <c r="I576" s="384"/>
      <c r="J576" s="384"/>
      <c r="K576" s="657"/>
      <c r="L576" s="658"/>
      <c r="M576" s="384"/>
      <c r="N576" s="384"/>
      <c r="O576" s="384"/>
      <c r="P576" s="384"/>
      <c r="Q576" s="384"/>
      <c r="R576" s="384"/>
      <c r="S576" s="660"/>
      <c r="T576" s="396"/>
      <c r="U576" s="384"/>
      <c r="V576" s="384"/>
      <c r="W576" s="384"/>
      <c r="X576" s="384"/>
      <c r="Y576" s="442"/>
      <c r="Z576" s="442"/>
      <c r="AA576" s="441"/>
      <c r="AB576" s="441"/>
      <c r="AC576" s="441"/>
      <c r="AD576" s="441"/>
      <c r="AE576" s="441"/>
      <c r="AF576" s="441"/>
      <c r="AG576" s="441"/>
      <c r="AH576" s="441"/>
      <c r="AI576" s="441"/>
      <c r="AJ576" s="441"/>
      <c r="AK576" s="395"/>
      <c r="AL576" s="395"/>
      <c r="AM576" s="395"/>
      <c r="AN576" s="395"/>
      <c r="AO576" s="395"/>
      <c r="AP576" s="410"/>
      <c r="AQ576" s="410"/>
    </row>
    <row r="577" spans="2:43" ht="15" customHeight="1">
      <c r="B577" s="394"/>
      <c r="C577" s="395"/>
      <c r="D577" s="417"/>
      <c r="E577" s="662"/>
      <c r="F577" s="417"/>
      <c r="G577" s="384"/>
      <c r="H577" s="768"/>
      <c r="I577" s="384"/>
      <c r="J577" s="384"/>
      <c r="K577" s="657"/>
      <c r="L577" s="658"/>
      <c r="M577" s="384"/>
      <c r="N577" s="384"/>
      <c r="O577" s="384"/>
      <c r="P577" s="384"/>
      <c r="Q577" s="384"/>
      <c r="R577" s="384"/>
      <c r="S577" s="660"/>
      <c r="T577" s="396"/>
      <c r="U577" s="384"/>
      <c r="V577" s="384"/>
      <c r="W577" s="384"/>
      <c r="X577" s="384"/>
      <c r="Y577" s="442"/>
      <c r="Z577" s="442"/>
      <c r="AA577" s="441"/>
      <c r="AB577" s="441"/>
      <c r="AC577" s="441"/>
      <c r="AD577" s="441"/>
      <c r="AE577" s="441"/>
      <c r="AF577" s="441"/>
      <c r="AG577" s="441"/>
      <c r="AH577" s="441"/>
      <c r="AI577" s="441"/>
      <c r="AJ577" s="441"/>
      <c r="AK577" s="395"/>
      <c r="AL577" s="395"/>
      <c r="AM577" s="395"/>
      <c r="AN577" s="395"/>
      <c r="AO577" s="395"/>
      <c r="AP577" s="410"/>
      <c r="AQ577" s="410"/>
    </row>
    <row r="578" spans="2:43" ht="15" customHeight="1">
      <c r="B578" s="394"/>
      <c r="C578" s="395"/>
      <c r="D578" s="417"/>
      <c r="E578" s="662"/>
      <c r="F578" s="417"/>
      <c r="G578" s="384"/>
      <c r="H578" s="768"/>
      <c r="I578" s="384"/>
      <c r="J578" s="384"/>
      <c r="K578" s="657"/>
      <c r="L578" s="658"/>
      <c r="M578" s="384"/>
      <c r="N578" s="384"/>
      <c r="O578" s="384"/>
      <c r="P578" s="384"/>
      <c r="Q578" s="384"/>
      <c r="R578" s="384"/>
      <c r="S578" s="660"/>
      <c r="T578" s="396"/>
      <c r="U578" s="384"/>
      <c r="V578" s="384"/>
      <c r="W578" s="384"/>
      <c r="X578" s="384"/>
      <c r="Y578" s="442"/>
      <c r="Z578" s="442"/>
      <c r="AA578" s="441"/>
      <c r="AB578" s="441"/>
      <c r="AC578" s="441"/>
      <c r="AD578" s="441"/>
      <c r="AE578" s="441"/>
      <c r="AF578" s="441"/>
      <c r="AG578" s="441"/>
      <c r="AH578" s="441"/>
      <c r="AI578" s="441"/>
      <c r="AJ578" s="441"/>
      <c r="AK578" s="395"/>
      <c r="AL578" s="395"/>
      <c r="AM578" s="395"/>
      <c r="AN578" s="395"/>
      <c r="AO578" s="395"/>
      <c r="AP578" s="410"/>
      <c r="AQ578" s="410"/>
    </row>
    <row r="579" spans="2:43" ht="15" customHeight="1">
      <c r="B579" s="394"/>
      <c r="C579" s="395"/>
      <c r="D579" s="417"/>
      <c r="E579" s="662"/>
      <c r="F579" s="417"/>
      <c r="G579" s="384"/>
      <c r="H579" s="768"/>
      <c r="I579" s="384"/>
      <c r="J579" s="384"/>
      <c r="K579" s="657"/>
      <c r="L579" s="658"/>
      <c r="M579" s="384"/>
      <c r="N579" s="384"/>
      <c r="O579" s="384"/>
      <c r="P579" s="384"/>
      <c r="Q579" s="384"/>
      <c r="R579" s="384"/>
      <c r="S579" s="660"/>
      <c r="T579" s="396"/>
      <c r="U579" s="384"/>
      <c r="V579" s="384"/>
      <c r="W579" s="384"/>
      <c r="X579" s="384"/>
      <c r="Y579" s="442"/>
      <c r="Z579" s="442"/>
      <c r="AA579" s="441"/>
      <c r="AB579" s="441"/>
      <c r="AC579" s="441"/>
      <c r="AD579" s="441"/>
      <c r="AE579" s="441"/>
      <c r="AF579" s="441"/>
      <c r="AG579" s="441"/>
      <c r="AH579" s="441"/>
      <c r="AI579" s="441"/>
      <c r="AJ579" s="441"/>
      <c r="AK579" s="395"/>
      <c r="AL579" s="395"/>
      <c r="AM579" s="395"/>
      <c r="AN579" s="395"/>
      <c r="AO579" s="395"/>
      <c r="AP579" s="410"/>
      <c r="AQ579" s="410"/>
    </row>
    <row r="580" spans="2:43" ht="15" customHeight="1">
      <c r="B580" s="394"/>
      <c r="C580" s="395"/>
      <c r="D580" s="417"/>
      <c r="E580" s="662"/>
      <c r="F580" s="417"/>
      <c r="G580" s="384"/>
      <c r="H580" s="768"/>
      <c r="I580" s="384"/>
      <c r="J580" s="384"/>
      <c r="K580" s="657"/>
      <c r="L580" s="658"/>
      <c r="M580" s="384"/>
      <c r="N580" s="384"/>
      <c r="O580" s="384"/>
      <c r="P580" s="384"/>
      <c r="Q580" s="384"/>
      <c r="R580" s="384"/>
      <c r="S580" s="660"/>
      <c r="T580" s="396"/>
      <c r="U580" s="384"/>
      <c r="V580" s="384"/>
      <c r="W580" s="384"/>
      <c r="X580" s="384"/>
      <c r="Y580" s="442"/>
      <c r="Z580" s="442"/>
      <c r="AA580" s="441"/>
      <c r="AB580" s="441"/>
      <c r="AC580" s="441"/>
      <c r="AD580" s="441"/>
      <c r="AE580" s="441"/>
      <c r="AF580" s="441"/>
      <c r="AG580" s="441"/>
      <c r="AH580" s="441"/>
      <c r="AI580" s="441"/>
      <c r="AJ580" s="441"/>
      <c r="AK580" s="395"/>
      <c r="AL580" s="395"/>
      <c r="AM580" s="395"/>
      <c r="AN580" s="395"/>
      <c r="AO580" s="395"/>
      <c r="AP580" s="410"/>
      <c r="AQ580" s="410"/>
    </row>
    <row r="581" spans="2:43" ht="15" customHeight="1">
      <c r="B581" s="394"/>
      <c r="C581" s="395"/>
      <c r="D581" s="417"/>
      <c r="E581" s="662"/>
      <c r="F581" s="417"/>
      <c r="G581" s="384"/>
      <c r="H581" s="768"/>
      <c r="I581" s="384"/>
      <c r="J581" s="384"/>
      <c r="K581" s="657"/>
      <c r="L581" s="658"/>
      <c r="M581" s="384"/>
      <c r="N581" s="384"/>
      <c r="O581" s="384"/>
      <c r="P581" s="384"/>
      <c r="Q581" s="384"/>
      <c r="R581" s="384"/>
      <c r="S581" s="660"/>
      <c r="T581" s="396"/>
      <c r="U581" s="384"/>
      <c r="V581" s="384"/>
      <c r="W581" s="384"/>
      <c r="X581" s="384"/>
      <c r="Y581" s="442"/>
      <c r="Z581" s="442"/>
      <c r="AA581" s="441"/>
      <c r="AB581" s="441"/>
      <c r="AC581" s="441"/>
      <c r="AD581" s="441"/>
      <c r="AE581" s="441"/>
      <c r="AF581" s="441"/>
      <c r="AG581" s="441"/>
      <c r="AH581" s="441"/>
      <c r="AI581" s="441"/>
      <c r="AJ581" s="441"/>
      <c r="AK581" s="395"/>
      <c r="AL581" s="395"/>
      <c r="AM581" s="395"/>
      <c r="AN581" s="395"/>
      <c r="AO581" s="395"/>
      <c r="AP581" s="410"/>
      <c r="AQ581" s="410"/>
    </row>
    <row r="582" spans="2:43" ht="15" customHeight="1">
      <c r="B582" s="394"/>
      <c r="C582" s="395"/>
      <c r="D582" s="417"/>
      <c r="E582" s="662"/>
      <c r="F582" s="417"/>
      <c r="G582" s="384"/>
      <c r="H582" s="768"/>
      <c r="I582" s="384"/>
      <c r="J582" s="384"/>
      <c r="K582" s="657"/>
      <c r="L582" s="658"/>
      <c r="M582" s="384"/>
      <c r="N582" s="384"/>
      <c r="O582" s="384"/>
      <c r="P582" s="384"/>
      <c r="Q582" s="384"/>
      <c r="R582" s="384"/>
      <c r="S582" s="660"/>
      <c r="T582" s="396"/>
      <c r="U582" s="384"/>
      <c r="V582" s="384"/>
      <c r="W582" s="384"/>
      <c r="X582" s="384"/>
      <c r="Y582" s="442"/>
      <c r="Z582" s="442"/>
      <c r="AA582" s="441"/>
      <c r="AB582" s="441"/>
      <c r="AC582" s="441"/>
      <c r="AD582" s="441"/>
      <c r="AE582" s="441"/>
      <c r="AF582" s="441"/>
      <c r="AG582" s="441"/>
      <c r="AH582" s="441"/>
      <c r="AI582" s="441"/>
      <c r="AJ582" s="441"/>
      <c r="AK582" s="395"/>
      <c r="AL582" s="395"/>
      <c r="AM582" s="395"/>
      <c r="AN582" s="395"/>
      <c r="AO582" s="395"/>
      <c r="AP582" s="410"/>
      <c r="AQ582" s="410"/>
    </row>
    <row r="583" spans="2:43" ht="15" customHeight="1">
      <c r="B583" s="394"/>
      <c r="C583" s="395"/>
      <c r="D583" s="417"/>
      <c r="E583" s="662"/>
      <c r="F583" s="417"/>
      <c r="G583" s="384"/>
      <c r="H583" s="768"/>
      <c r="I583" s="384"/>
      <c r="J583" s="384"/>
      <c r="K583" s="657"/>
      <c r="L583" s="658"/>
      <c r="M583" s="384"/>
      <c r="N583" s="384"/>
      <c r="O583" s="384"/>
      <c r="P583" s="384"/>
      <c r="Q583" s="384"/>
      <c r="R583" s="384"/>
      <c r="S583" s="660"/>
      <c r="T583" s="396"/>
      <c r="U583" s="384"/>
      <c r="V583" s="384"/>
      <c r="W583" s="384"/>
      <c r="X583" s="384"/>
      <c r="Y583" s="442"/>
      <c r="Z583" s="442"/>
      <c r="AA583" s="441"/>
      <c r="AB583" s="441"/>
      <c r="AC583" s="441"/>
      <c r="AD583" s="441"/>
      <c r="AE583" s="441"/>
      <c r="AF583" s="441"/>
      <c r="AG583" s="441"/>
      <c r="AH583" s="441"/>
      <c r="AI583" s="441"/>
      <c r="AJ583" s="441"/>
      <c r="AK583" s="395"/>
      <c r="AL583" s="395"/>
      <c r="AM583" s="395"/>
      <c r="AN583" s="395"/>
      <c r="AO583" s="395"/>
      <c r="AP583" s="410"/>
      <c r="AQ583" s="410"/>
    </row>
    <row r="584" spans="2:43" ht="15" customHeight="1">
      <c r="B584" s="394"/>
      <c r="C584" s="395"/>
      <c r="D584" s="417"/>
      <c r="E584" s="662"/>
      <c r="F584" s="417"/>
      <c r="G584" s="384"/>
      <c r="H584" s="768"/>
      <c r="I584" s="384"/>
      <c r="J584" s="384"/>
      <c r="K584" s="657"/>
      <c r="L584" s="658"/>
      <c r="M584" s="384"/>
      <c r="N584" s="384"/>
      <c r="O584" s="384"/>
      <c r="P584" s="384"/>
      <c r="Q584" s="384"/>
      <c r="R584" s="384"/>
      <c r="S584" s="660"/>
      <c r="T584" s="396"/>
      <c r="U584" s="384"/>
      <c r="V584" s="384"/>
      <c r="W584" s="384"/>
      <c r="X584" s="384"/>
      <c r="Y584" s="442"/>
      <c r="Z584" s="442"/>
      <c r="AA584" s="441"/>
      <c r="AB584" s="441"/>
      <c r="AC584" s="441"/>
      <c r="AD584" s="441"/>
      <c r="AE584" s="441"/>
      <c r="AF584" s="441"/>
      <c r="AG584" s="441"/>
      <c r="AH584" s="441"/>
      <c r="AI584" s="441"/>
      <c r="AJ584" s="441"/>
      <c r="AK584" s="395"/>
      <c r="AL584" s="395"/>
      <c r="AM584" s="395"/>
      <c r="AN584" s="395"/>
      <c r="AO584" s="395"/>
      <c r="AP584" s="410"/>
      <c r="AQ584" s="410"/>
    </row>
    <row r="585" spans="2:43" ht="15" customHeight="1">
      <c r="B585" s="394"/>
      <c r="C585" s="395"/>
      <c r="D585" s="417"/>
      <c r="E585" s="662"/>
      <c r="F585" s="417"/>
      <c r="G585" s="384"/>
      <c r="H585" s="768"/>
      <c r="I585" s="384"/>
      <c r="J585" s="384"/>
      <c r="K585" s="657"/>
      <c r="L585" s="658"/>
      <c r="M585" s="384"/>
      <c r="N585" s="384"/>
      <c r="O585" s="384"/>
      <c r="P585" s="384"/>
      <c r="Q585" s="384"/>
      <c r="R585" s="384"/>
      <c r="S585" s="660"/>
      <c r="T585" s="396"/>
      <c r="U585" s="384"/>
      <c r="V585" s="384"/>
      <c r="W585" s="384"/>
      <c r="X585" s="384"/>
      <c r="Y585" s="442"/>
      <c r="Z585" s="442"/>
      <c r="AA585" s="441"/>
      <c r="AB585" s="441"/>
      <c r="AC585" s="441"/>
      <c r="AD585" s="441"/>
      <c r="AE585" s="441"/>
      <c r="AF585" s="441"/>
      <c r="AG585" s="441"/>
      <c r="AH585" s="441"/>
      <c r="AI585" s="441"/>
      <c r="AJ585" s="441"/>
      <c r="AK585" s="395"/>
      <c r="AL585" s="395"/>
      <c r="AM585" s="395"/>
      <c r="AN585" s="395"/>
      <c r="AO585" s="395"/>
      <c r="AP585" s="410"/>
      <c r="AQ585" s="410"/>
    </row>
    <row r="586" spans="2:43" ht="15" customHeight="1">
      <c r="B586" s="394"/>
      <c r="C586" s="395"/>
      <c r="D586" s="417"/>
      <c r="E586" s="662"/>
      <c r="F586" s="417"/>
      <c r="G586" s="384"/>
      <c r="H586" s="768"/>
      <c r="I586" s="384"/>
      <c r="J586" s="384"/>
      <c r="K586" s="657"/>
      <c r="L586" s="658"/>
      <c r="M586" s="384"/>
      <c r="N586" s="384"/>
      <c r="O586" s="384"/>
      <c r="P586" s="384"/>
      <c r="Q586" s="384"/>
      <c r="R586" s="384"/>
      <c r="S586" s="660"/>
      <c r="T586" s="396"/>
      <c r="U586" s="384"/>
      <c r="V586" s="384"/>
      <c r="W586" s="384"/>
      <c r="X586" s="384"/>
      <c r="Y586" s="442"/>
      <c r="Z586" s="442"/>
      <c r="AA586" s="441"/>
      <c r="AB586" s="441"/>
      <c r="AC586" s="441"/>
      <c r="AD586" s="441"/>
      <c r="AE586" s="441"/>
      <c r="AF586" s="441"/>
      <c r="AG586" s="441"/>
      <c r="AH586" s="441"/>
      <c r="AI586" s="441"/>
      <c r="AJ586" s="441"/>
      <c r="AK586" s="395"/>
      <c r="AL586" s="395"/>
      <c r="AM586" s="395"/>
      <c r="AN586" s="395"/>
      <c r="AO586" s="395"/>
      <c r="AP586" s="410"/>
      <c r="AQ586" s="410"/>
    </row>
    <row r="587" spans="2:43" ht="15" customHeight="1">
      <c r="B587" s="394"/>
      <c r="C587" s="395"/>
      <c r="D587" s="417"/>
      <c r="E587" s="662"/>
      <c r="F587" s="417"/>
      <c r="G587" s="384"/>
      <c r="H587" s="768"/>
      <c r="I587" s="384"/>
      <c r="J587" s="384"/>
      <c r="K587" s="657"/>
      <c r="L587" s="658"/>
      <c r="M587" s="384"/>
      <c r="N587" s="384"/>
      <c r="O587" s="384"/>
      <c r="P587" s="384"/>
      <c r="Q587" s="384"/>
      <c r="R587" s="384"/>
      <c r="S587" s="660"/>
      <c r="T587" s="396"/>
      <c r="U587" s="384"/>
      <c r="V587" s="384"/>
      <c r="W587" s="384"/>
      <c r="X587" s="384"/>
      <c r="Y587" s="442"/>
      <c r="Z587" s="442"/>
      <c r="AA587" s="441"/>
      <c r="AB587" s="441"/>
      <c r="AC587" s="441"/>
      <c r="AD587" s="441"/>
      <c r="AE587" s="441"/>
      <c r="AF587" s="441"/>
      <c r="AG587" s="441"/>
      <c r="AH587" s="441"/>
      <c r="AI587" s="441"/>
      <c r="AJ587" s="441"/>
      <c r="AK587" s="395"/>
      <c r="AL587" s="395"/>
      <c r="AM587" s="395"/>
      <c r="AN587" s="395"/>
      <c r="AO587" s="395"/>
      <c r="AP587" s="410"/>
      <c r="AQ587" s="410"/>
    </row>
    <row r="588" spans="2:43" ht="15" customHeight="1">
      <c r="B588" s="394"/>
      <c r="C588" s="395"/>
      <c r="D588" s="417"/>
      <c r="E588" s="662"/>
      <c r="F588" s="417"/>
      <c r="G588" s="384"/>
      <c r="H588" s="768"/>
      <c r="I588" s="384"/>
      <c r="J588" s="384"/>
      <c r="K588" s="657"/>
      <c r="L588" s="658"/>
      <c r="M588" s="384"/>
      <c r="N588" s="384"/>
      <c r="O588" s="384"/>
      <c r="P588" s="384"/>
      <c r="Q588" s="384"/>
      <c r="R588" s="384"/>
      <c r="S588" s="660"/>
      <c r="T588" s="396"/>
      <c r="U588" s="384"/>
      <c r="V588" s="384"/>
      <c r="W588" s="384"/>
      <c r="X588" s="384"/>
      <c r="Y588" s="442"/>
      <c r="Z588" s="442"/>
      <c r="AA588" s="441"/>
      <c r="AB588" s="441"/>
      <c r="AC588" s="441"/>
      <c r="AD588" s="441"/>
      <c r="AE588" s="441"/>
      <c r="AF588" s="441"/>
      <c r="AG588" s="441"/>
      <c r="AH588" s="441"/>
      <c r="AI588" s="441"/>
      <c r="AJ588" s="441"/>
      <c r="AK588" s="395"/>
      <c r="AL588" s="395"/>
      <c r="AM588" s="395"/>
      <c r="AN588" s="395"/>
      <c r="AO588" s="395"/>
      <c r="AP588" s="410"/>
      <c r="AQ588" s="410"/>
    </row>
    <row r="589" spans="2:43" ht="15" customHeight="1">
      <c r="B589" s="394"/>
      <c r="C589" s="395"/>
      <c r="D589" s="417"/>
      <c r="E589" s="662"/>
      <c r="F589" s="417"/>
      <c r="G589" s="384"/>
      <c r="H589" s="768"/>
      <c r="I589" s="384"/>
      <c r="J589" s="384"/>
      <c r="K589" s="657"/>
      <c r="L589" s="658"/>
      <c r="M589" s="384"/>
      <c r="N589" s="384"/>
      <c r="O589" s="384"/>
      <c r="P589" s="384"/>
      <c r="Q589" s="384"/>
      <c r="R589" s="384"/>
      <c r="S589" s="660"/>
      <c r="T589" s="396"/>
      <c r="U589" s="384"/>
      <c r="V589" s="384"/>
      <c r="W589" s="384"/>
      <c r="X589" s="384"/>
      <c r="Y589" s="442"/>
      <c r="Z589" s="442"/>
      <c r="AA589" s="441"/>
      <c r="AB589" s="441"/>
      <c r="AC589" s="441"/>
      <c r="AD589" s="441"/>
      <c r="AE589" s="441"/>
      <c r="AF589" s="441"/>
      <c r="AG589" s="441"/>
      <c r="AH589" s="441"/>
      <c r="AI589" s="441"/>
      <c r="AJ589" s="441"/>
      <c r="AK589" s="395"/>
      <c r="AL589" s="395"/>
      <c r="AM589" s="395"/>
      <c r="AN589" s="395"/>
      <c r="AO589" s="395"/>
      <c r="AP589" s="410"/>
      <c r="AQ589" s="410"/>
    </row>
    <row r="590" spans="2:43" ht="15" customHeight="1">
      <c r="B590" s="394"/>
      <c r="C590" s="395"/>
      <c r="D590" s="417"/>
      <c r="E590" s="662"/>
      <c r="F590" s="417"/>
      <c r="G590" s="384"/>
      <c r="H590" s="768"/>
      <c r="I590" s="384"/>
      <c r="J590" s="384"/>
      <c r="K590" s="657"/>
      <c r="L590" s="658"/>
      <c r="M590" s="384"/>
      <c r="N590" s="384"/>
      <c r="O590" s="384"/>
      <c r="P590" s="384"/>
      <c r="Q590" s="384"/>
      <c r="R590" s="384"/>
      <c r="S590" s="660"/>
      <c r="T590" s="396"/>
      <c r="U590" s="384"/>
      <c r="V590" s="384"/>
      <c r="W590" s="384"/>
      <c r="X590" s="384"/>
      <c r="Y590" s="442"/>
      <c r="Z590" s="442"/>
      <c r="AA590" s="441"/>
      <c r="AB590" s="441"/>
      <c r="AC590" s="441"/>
      <c r="AD590" s="441"/>
      <c r="AE590" s="441"/>
      <c r="AF590" s="441"/>
      <c r="AG590" s="441"/>
      <c r="AH590" s="441"/>
      <c r="AI590" s="441"/>
      <c r="AJ590" s="441"/>
      <c r="AK590" s="395"/>
      <c r="AL590" s="395"/>
      <c r="AM590" s="395"/>
      <c r="AN590" s="395"/>
      <c r="AO590" s="395"/>
      <c r="AP590" s="410"/>
      <c r="AQ590" s="410"/>
    </row>
    <row r="591" spans="2:43" ht="15" customHeight="1">
      <c r="B591" s="394"/>
      <c r="C591" s="395"/>
      <c r="D591" s="417"/>
      <c r="E591" s="662"/>
      <c r="F591" s="417"/>
      <c r="G591" s="384"/>
      <c r="H591" s="768"/>
      <c r="I591" s="384"/>
      <c r="J591" s="384"/>
      <c r="K591" s="657"/>
      <c r="L591" s="658"/>
      <c r="M591" s="384"/>
      <c r="N591" s="384"/>
      <c r="O591" s="384"/>
      <c r="P591" s="384"/>
      <c r="Q591" s="384"/>
      <c r="R591" s="384"/>
      <c r="S591" s="660"/>
      <c r="T591" s="396"/>
      <c r="U591" s="384"/>
      <c r="V591" s="384"/>
      <c r="W591" s="384"/>
      <c r="X591" s="384"/>
      <c r="Y591" s="442"/>
      <c r="Z591" s="442"/>
      <c r="AA591" s="441"/>
      <c r="AB591" s="441"/>
      <c r="AC591" s="441"/>
      <c r="AD591" s="441"/>
      <c r="AE591" s="441"/>
      <c r="AF591" s="441"/>
      <c r="AG591" s="441"/>
      <c r="AH591" s="441"/>
      <c r="AI591" s="441"/>
      <c r="AJ591" s="441"/>
      <c r="AK591" s="395"/>
      <c r="AL591" s="395"/>
      <c r="AM591" s="395"/>
      <c r="AN591" s="395"/>
      <c r="AO591" s="395"/>
      <c r="AP591" s="410"/>
      <c r="AQ591" s="410"/>
    </row>
    <row r="592" spans="2:43" ht="15" customHeight="1">
      <c r="B592" s="394"/>
      <c r="C592" s="395"/>
      <c r="D592" s="417"/>
      <c r="E592" s="662"/>
      <c r="F592" s="417"/>
      <c r="G592" s="384"/>
      <c r="H592" s="768"/>
      <c r="I592" s="384"/>
      <c r="J592" s="384"/>
      <c r="K592" s="657"/>
      <c r="L592" s="658"/>
      <c r="M592" s="384"/>
      <c r="N592" s="384"/>
      <c r="O592" s="384"/>
      <c r="P592" s="384"/>
      <c r="Q592" s="384"/>
      <c r="R592" s="384"/>
      <c r="S592" s="660"/>
      <c r="T592" s="396"/>
      <c r="U592" s="384"/>
      <c r="V592" s="384"/>
      <c r="W592" s="384"/>
      <c r="X592" s="384"/>
      <c r="Y592" s="442"/>
      <c r="Z592" s="442"/>
      <c r="AA592" s="441"/>
      <c r="AB592" s="441"/>
      <c r="AC592" s="441"/>
      <c r="AD592" s="441"/>
      <c r="AE592" s="441"/>
      <c r="AF592" s="441"/>
      <c r="AG592" s="441"/>
      <c r="AH592" s="441"/>
      <c r="AI592" s="441"/>
      <c r="AJ592" s="441"/>
      <c r="AK592" s="395"/>
      <c r="AL592" s="395"/>
      <c r="AM592" s="395"/>
      <c r="AN592" s="395"/>
      <c r="AO592" s="395"/>
      <c r="AP592" s="410"/>
      <c r="AQ592" s="410"/>
    </row>
    <row r="593" spans="2:43" ht="15" customHeight="1">
      <c r="B593" s="394"/>
      <c r="C593" s="395"/>
      <c r="D593" s="417"/>
      <c r="E593" s="662"/>
      <c r="F593" s="417"/>
      <c r="G593" s="384"/>
      <c r="H593" s="768"/>
      <c r="I593" s="384"/>
      <c r="J593" s="384"/>
      <c r="K593" s="657"/>
      <c r="L593" s="658"/>
      <c r="M593" s="384"/>
      <c r="N593" s="384"/>
      <c r="O593" s="384"/>
      <c r="P593" s="384"/>
      <c r="Q593" s="384"/>
      <c r="R593" s="384"/>
      <c r="S593" s="660"/>
      <c r="T593" s="396"/>
      <c r="U593" s="384"/>
      <c r="V593" s="384"/>
      <c r="W593" s="384"/>
      <c r="X593" s="384"/>
      <c r="Y593" s="442"/>
      <c r="Z593" s="442"/>
      <c r="AA593" s="441"/>
      <c r="AB593" s="441"/>
      <c r="AC593" s="441"/>
      <c r="AD593" s="441"/>
      <c r="AE593" s="441"/>
      <c r="AF593" s="441"/>
      <c r="AG593" s="441"/>
      <c r="AH593" s="441"/>
      <c r="AI593" s="441"/>
      <c r="AJ593" s="441"/>
      <c r="AK593" s="395"/>
      <c r="AL593" s="395"/>
      <c r="AM593" s="395"/>
      <c r="AN593" s="395"/>
      <c r="AO593" s="395"/>
      <c r="AP593" s="410"/>
      <c r="AQ593" s="410"/>
    </row>
    <row r="594" spans="2:43" ht="15" customHeight="1">
      <c r="B594" s="394"/>
      <c r="C594" s="395"/>
      <c r="D594" s="417"/>
      <c r="E594" s="662"/>
      <c r="F594" s="417"/>
      <c r="G594" s="384"/>
      <c r="H594" s="768"/>
      <c r="I594" s="384"/>
      <c r="J594" s="384"/>
      <c r="K594" s="657"/>
      <c r="L594" s="658"/>
      <c r="M594" s="384"/>
      <c r="N594" s="384"/>
      <c r="O594" s="384"/>
      <c r="P594" s="384"/>
      <c r="Q594" s="384"/>
      <c r="R594" s="384"/>
      <c r="S594" s="660"/>
      <c r="T594" s="396"/>
      <c r="U594" s="384"/>
      <c r="V594" s="384"/>
      <c r="W594" s="384"/>
      <c r="X594" s="384"/>
      <c r="Y594" s="442"/>
      <c r="Z594" s="442"/>
      <c r="AA594" s="441"/>
      <c r="AB594" s="441"/>
      <c r="AC594" s="441"/>
      <c r="AD594" s="441"/>
      <c r="AE594" s="441"/>
      <c r="AF594" s="441"/>
      <c r="AG594" s="441"/>
      <c r="AH594" s="441"/>
      <c r="AI594" s="441"/>
      <c r="AJ594" s="441"/>
      <c r="AK594" s="395"/>
      <c r="AL594" s="395"/>
      <c r="AM594" s="395"/>
      <c r="AN594" s="395"/>
      <c r="AO594" s="395"/>
      <c r="AP594" s="410"/>
      <c r="AQ594" s="410"/>
    </row>
    <row r="595" spans="2:43" ht="15" customHeight="1">
      <c r="B595" s="394"/>
      <c r="C595" s="395"/>
      <c r="D595" s="417"/>
      <c r="E595" s="662"/>
      <c r="F595" s="417"/>
      <c r="G595" s="384"/>
      <c r="H595" s="768"/>
      <c r="I595" s="384"/>
      <c r="J595" s="384"/>
      <c r="K595" s="657"/>
      <c r="L595" s="658"/>
      <c r="M595" s="384"/>
      <c r="N595" s="384"/>
      <c r="O595" s="384"/>
      <c r="P595" s="384"/>
      <c r="Q595" s="384"/>
      <c r="R595" s="384"/>
      <c r="S595" s="660"/>
      <c r="T595" s="396"/>
      <c r="U595" s="384"/>
      <c r="V595" s="384"/>
      <c r="W595" s="384"/>
      <c r="X595" s="384"/>
      <c r="Y595" s="442"/>
      <c r="Z595" s="442"/>
      <c r="AA595" s="441"/>
      <c r="AB595" s="441"/>
      <c r="AC595" s="441"/>
      <c r="AD595" s="441"/>
      <c r="AE595" s="441"/>
      <c r="AF595" s="441"/>
      <c r="AG595" s="441"/>
      <c r="AH595" s="441"/>
      <c r="AI595" s="441"/>
      <c r="AJ595" s="441"/>
      <c r="AK595" s="395"/>
      <c r="AL595" s="395"/>
      <c r="AM595" s="395"/>
      <c r="AN595" s="395"/>
      <c r="AO595" s="395"/>
      <c r="AP595" s="410"/>
      <c r="AQ595" s="410"/>
    </row>
    <row r="596" spans="2:43" ht="15" customHeight="1">
      <c r="B596" s="394"/>
      <c r="C596" s="395"/>
      <c r="D596" s="417"/>
      <c r="E596" s="662"/>
      <c r="F596" s="417"/>
      <c r="G596" s="384"/>
      <c r="H596" s="768"/>
      <c r="I596" s="384"/>
      <c r="J596" s="384"/>
      <c r="K596" s="657"/>
      <c r="L596" s="658"/>
      <c r="M596" s="384"/>
      <c r="N596" s="384"/>
      <c r="O596" s="384"/>
      <c r="P596" s="384"/>
      <c r="Q596" s="384"/>
      <c r="R596" s="384"/>
      <c r="S596" s="660"/>
      <c r="T596" s="396"/>
      <c r="U596" s="384"/>
      <c r="V596" s="384"/>
      <c r="W596" s="384"/>
      <c r="X596" s="384"/>
      <c r="Y596" s="442"/>
      <c r="Z596" s="442"/>
      <c r="AA596" s="441"/>
      <c r="AB596" s="441"/>
      <c r="AC596" s="441"/>
      <c r="AD596" s="441"/>
      <c r="AE596" s="441"/>
      <c r="AF596" s="441"/>
      <c r="AG596" s="441"/>
      <c r="AH596" s="441"/>
      <c r="AI596" s="441"/>
      <c r="AJ596" s="441"/>
      <c r="AK596" s="395"/>
      <c r="AL596" s="395"/>
      <c r="AM596" s="395"/>
      <c r="AN596" s="395"/>
      <c r="AO596" s="395"/>
      <c r="AP596" s="410"/>
      <c r="AQ596" s="410"/>
    </row>
    <row r="597" spans="2:43" ht="15" customHeight="1">
      <c r="B597" s="394"/>
      <c r="C597" s="395"/>
      <c r="D597" s="417"/>
      <c r="E597" s="662"/>
      <c r="F597" s="417"/>
      <c r="G597" s="384"/>
      <c r="H597" s="768"/>
      <c r="I597" s="384"/>
      <c r="J597" s="384"/>
      <c r="K597" s="657"/>
      <c r="L597" s="658"/>
      <c r="M597" s="384"/>
      <c r="N597" s="384"/>
      <c r="O597" s="384"/>
      <c r="P597" s="384"/>
      <c r="Q597" s="384"/>
      <c r="R597" s="384"/>
      <c r="S597" s="660"/>
      <c r="T597" s="396"/>
      <c r="U597" s="384"/>
      <c r="V597" s="384"/>
      <c r="W597" s="384"/>
      <c r="X597" s="384"/>
      <c r="Y597" s="442"/>
      <c r="Z597" s="442"/>
      <c r="AA597" s="441"/>
      <c r="AB597" s="441"/>
      <c r="AC597" s="441"/>
      <c r="AD597" s="441"/>
      <c r="AE597" s="441"/>
      <c r="AF597" s="441"/>
      <c r="AG597" s="441"/>
      <c r="AH597" s="441"/>
      <c r="AI597" s="441"/>
      <c r="AJ597" s="441"/>
      <c r="AK597" s="395"/>
      <c r="AL597" s="395"/>
      <c r="AM597" s="395"/>
      <c r="AN597" s="395"/>
      <c r="AO597" s="395"/>
      <c r="AP597" s="410"/>
      <c r="AQ597" s="410"/>
    </row>
    <row r="598" spans="2:43" ht="15" customHeight="1">
      <c r="B598" s="394"/>
      <c r="C598" s="395"/>
      <c r="D598" s="417"/>
      <c r="E598" s="662"/>
      <c r="F598" s="417"/>
      <c r="G598" s="384"/>
      <c r="H598" s="768"/>
      <c r="I598" s="384"/>
      <c r="J598" s="384"/>
      <c r="K598" s="657"/>
      <c r="L598" s="658"/>
      <c r="M598" s="384"/>
      <c r="N598" s="384"/>
      <c r="O598" s="384"/>
      <c r="P598" s="384"/>
      <c r="Q598" s="384"/>
      <c r="R598" s="384"/>
      <c r="S598" s="660"/>
      <c r="T598" s="396"/>
      <c r="U598" s="384"/>
      <c r="V598" s="384"/>
      <c r="W598" s="384"/>
      <c r="X598" s="384"/>
      <c r="Y598" s="442"/>
      <c r="Z598" s="442"/>
      <c r="AA598" s="441"/>
      <c r="AB598" s="441"/>
      <c r="AC598" s="441"/>
      <c r="AD598" s="441"/>
      <c r="AE598" s="441"/>
      <c r="AF598" s="441"/>
      <c r="AG598" s="441"/>
      <c r="AH598" s="441"/>
      <c r="AI598" s="441"/>
      <c r="AJ598" s="441"/>
      <c r="AK598" s="395"/>
      <c r="AL598" s="395"/>
      <c r="AM598" s="395"/>
      <c r="AN598" s="395"/>
      <c r="AO598" s="395"/>
      <c r="AP598" s="410"/>
      <c r="AQ598" s="410"/>
    </row>
    <row r="599" spans="2:43" ht="15" customHeight="1">
      <c r="B599" s="394"/>
      <c r="C599" s="395"/>
      <c r="D599" s="417"/>
      <c r="E599" s="662"/>
      <c r="F599" s="417"/>
      <c r="G599" s="384"/>
      <c r="H599" s="768"/>
      <c r="I599" s="384"/>
      <c r="J599" s="384"/>
      <c r="K599" s="657"/>
      <c r="L599" s="658"/>
      <c r="M599" s="384"/>
      <c r="N599" s="384"/>
      <c r="O599" s="384"/>
      <c r="P599" s="384"/>
      <c r="Q599" s="384"/>
      <c r="R599" s="384"/>
      <c r="S599" s="660"/>
      <c r="T599" s="396"/>
      <c r="U599" s="384"/>
      <c r="V599" s="384"/>
      <c r="W599" s="384"/>
      <c r="X599" s="384"/>
      <c r="Y599" s="442"/>
      <c r="Z599" s="442"/>
      <c r="AA599" s="441"/>
      <c r="AB599" s="441"/>
      <c r="AC599" s="441"/>
      <c r="AD599" s="441"/>
      <c r="AE599" s="441"/>
      <c r="AF599" s="441"/>
      <c r="AG599" s="441"/>
      <c r="AH599" s="441"/>
      <c r="AI599" s="441"/>
      <c r="AJ599" s="441"/>
      <c r="AK599" s="395"/>
      <c r="AL599" s="395"/>
      <c r="AM599" s="395"/>
      <c r="AN599" s="395"/>
      <c r="AO599" s="395"/>
      <c r="AP599" s="410"/>
      <c r="AQ599" s="410"/>
    </row>
    <row r="600" spans="2:43" ht="15" customHeight="1">
      <c r="B600" s="394"/>
      <c r="C600" s="395"/>
      <c r="D600" s="417"/>
      <c r="E600" s="662"/>
      <c r="F600" s="417"/>
      <c r="G600" s="384"/>
      <c r="H600" s="768"/>
      <c r="I600" s="384"/>
      <c r="J600" s="384"/>
      <c r="K600" s="657"/>
      <c r="L600" s="658"/>
      <c r="M600" s="384"/>
      <c r="N600" s="384"/>
      <c r="O600" s="384"/>
      <c r="P600" s="384"/>
      <c r="Q600" s="384"/>
      <c r="R600" s="384"/>
      <c r="S600" s="660"/>
      <c r="T600" s="396"/>
      <c r="U600" s="384"/>
      <c r="V600" s="384"/>
      <c r="W600" s="384"/>
      <c r="X600" s="384"/>
      <c r="Y600" s="442"/>
      <c r="Z600" s="442"/>
      <c r="AA600" s="441"/>
      <c r="AB600" s="441"/>
      <c r="AC600" s="441"/>
      <c r="AD600" s="441"/>
      <c r="AE600" s="441"/>
      <c r="AF600" s="441"/>
      <c r="AG600" s="441"/>
      <c r="AH600" s="441"/>
      <c r="AI600" s="441"/>
      <c r="AJ600" s="441"/>
      <c r="AK600" s="395"/>
      <c r="AL600" s="395"/>
      <c r="AM600" s="395"/>
      <c r="AN600" s="395"/>
      <c r="AO600" s="395"/>
      <c r="AP600" s="410"/>
      <c r="AQ600" s="410"/>
    </row>
    <row r="601" spans="2:43" ht="15" customHeight="1">
      <c r="B601" s="394"/>
      <c r="C601" s="395"/>
      <c r="D601" s="417"/>
      <c r="E601" s="662"/>
      <c r="F601" s="417"/>
      <c r="G601" s="384"/>
      <c r="H601" s="768"/>
      <c r="I601" s="384"/>
      <c r="J601" s="384"/>
      <c r="K601" s="657"/>
      <c r="L601" s="658"/>
      <c r="M601" s="384"/>
      <c r="N601" s="384"/>
      <c r="O601" s="384"/>
      <c r="P601" s="384"/>
      <c r="Q601" s="384"/>
      <c r="R601" s="384"/>
      <c r="S601" s="660"/>
      <c r="T601" s="396"/>
      <c r="U601" s="384"/>
      <c r="V601" s="384"/>
      <c r="W601" s="384"/>
      <c r="X601" s="384"/>
      <c r="Y601" s="442"/>
      <c r="Z601" s="442"/>
      <c r="AA601" s="441"/>
      <c r="AB601" s="441"/>
      <c r="AC601" s="441"/>
      <c r="AD601" s="441"/>
      <c r="AE601" s="441"/>
      <c r="AF601" s="441"/>
      <c r="AG601" s="441"/>
      <c r="AH601" s="441"/>
      <c r="AI601" s="441"/>
      <c r="AJ601" s="441"/>
      <c r="AK601" s="395"/>
      <c r="AL601" s="395"/>
      <c r="AM601" s="395"/>
      <c r="AN601" s="395"/>
      <c r="AO601" s="395"/>
      <c r="AP601" s="410"/>
      <c r="AQ601" s="410"/>
    </row>
    <row r="602" spans="2:43" ht="15" customHeight="1">
      <c r="B602" s="394"/>
      <c r="C602" s="395"/>
      <c r="D602" s="417"/>
      <c r="E602" s="662"/>
      <c r="F602" s="417"/>
      <c r="G602" s="384"/>
      <c r="H602" s="768"/>
      <c r="I602" s="384"/>
      <c r="J602" s="384"/>
      <c r="K602" s="657"/>
      <c r="L602" s="658"/>
      <c r="M602" s="384"/>
      <c r="N602" s="384"/>
      <c r="O602" s="384"/>
      <c r="P602" s="384"/>
      <c r="Q602" s="384"/>
      <c r="R602" s="384"/>
      <c r="S602" s="660"/>
      <c r="T602" s="396"/>
      <c r="U602" s="384"/>
      <c r="V602" s="384"/>
      <c r="W602" s="384"/>
      <c r="X602" s="384"/>
      <c r="Y602" s="442"/>
      <c r="Z602" s="442"/>
      <c r="AA602" s="441"/>
      <c r="AB602" s="441"/>
      <c r="AC602" s="441"/>
      <c r="AD602" s="441"/>
      <c r="AE602" s="441"/>
      <c r="AF602" s="441"/>
      <c r="AG602" s="441"/>
      <c r="AH602" s="441"/>
      <c r="AI602" s="441"/>
      <c r="AJ602" s="441"/>
      <c r="AK602" s="395"/>
      <c r="AL602" s="395"/>
      <c r="AM602" s="395"/>
      <c r="AN602" s="395"/>
      <c r="AO602" s="395"/>
      <c r="AP602" s="410"/>
      <c r="AQ602" s="410"/>
    </row>
    <row r="603" spans="2:43" ht="15" customHeight="1">
      <c r="B603" s="394"/>
      <c r="C603" s="395"/>
      <c r="D603" s="417"/>
      <c r="E603" s="662"/>
      <c r="F603" s="417"/>
      <c r="G603" s="384"/>
      <c r="H603" s="768"/>
      <c r="I603" s="384"/>
      <c r="J603" s="384"/>
      <c r="K603" s="657"/>
      <c r="L603" s="658"/>
      <c r="M603" s="384"/>
      <c r="N603" s="384"/>
      <c r="O603" s="384"/>
      <c r="P603" s="384"/>
      <c r="Q603" s="384"/>
      <c r="R603" s="384"/>
      <c r="S603" s="660"/>
      <c r="T603" s="396"/>
      <c r="U603" s="384"/>
      <c r="V603" s="384"/>
      <c r="W603" s="384"/>
      <c r="X603" s="384"/>
      <c r="Y603" s="442"/>
      <c r="Z603" s="442"/>
      <c r="AA603" s="441"/>
      <c r="AB603" s="441"/>
      <c r="AC603" s="441"/>
      <c r="AD603" s="441"/>
      <c r="AE603" s="441"/>
      <c r="AF603" s="441"/>
      <c r="AG603" s="441"/>
      <c r="AH603" s="441"/>
      <c r="AI603" s="441"/>
      <c r="AJ603" s="441"/>
      <c r="AK603" s="395"/>
      <c r="AL603" s="395"/>
      <c r="AM603" s="395"/>
      <c r="AN603" s="395"/>
      <c r="AO603" s="395"/>
      <c r="AP603" s="410"/>
      <c r="AQ603" s="410"/>
    </row>
    <row r="604" spans="2:43" ht="15" customHeight="1">
      <c r="B604" s="394"/>
      <c r="C604" s="395"/>
      <c r="D604" s="417"/>
      <c r="E604" s="662"/>
      <c r="F604" s="417"/>
      <c r="G604" s="384"/>
      <c r="H604" s="768"/>
      <c r="I604" s="384"/>
      <c r="J604" s="384"/>
      <c r="K604" s="657"/>
      <c r="L604" s="658"/>
      <c r="M604" s="384"/>
      <c r="N604" s="384"/>
      <c r="O604" s="384"/>
      <c r="P604" s="384"/>
      <c r="Q604" s="384"/>
      <c r="R604" s="384"/>
      <c r="S604" s="660"/>
      <c r="T604" s="396"/>
      <c r="U604" s="384"/>
      <c r="V604" s="384"/>
      <c r="W604" s="384"/>
      <c r="X604" s="384"/>
      <c r="Y604" s="442"/>
      <c r="Z604" s="442"/>
      <c r="AA604" s="441"/>
      <c r="AB604" s="441"/>
      <c r="AC604" s="441"/>
      <c r="AD604" s="441"/>
      <c r="AE604" s="441"/>
      <c r="AF604" s="441"/>
      <c r="AG604" s="441"/>
      <c r="AH604" s="441"/>
      <c r="AI604" s="441"/>
      <c r="AJ604" s="441"/>
      <c r="AK604" s="395"/>
      <c r="AL604" s="395"/>
      <c r="AM604" s="395"/>
      <c r="AN604" s="395"/>
      <c r="AO604" s="395"/>
      <c r="AP604" s="410"/>
      <c r="AQ604" s="410"/>
    </row>
    <row r="605" spans="2:43" ht="15" customHeight="1">
      <c r="B605" s="394"/>
      <c r="C605" s="395"/>
      <c r="D605" s="417"/>
      <c r="E605" s="662"/>
      <c r="F605" s="417"/>
      <c r="G605" s="384"/>
      <c r="H605" s="768"/>
      <c r="I605" s="384"/>
      <c r="J605" s="384"/>
      <c r="K605" s="657"/>
      <c r="L605" s="658"/>
      <c r="M605" s="384"/>
      <c r="N605" s="384"/>
      <c r="O605" s="384"/>
      <c r="P605" s="384"/>
      <c r="Q605" s="384"/>
      <c r="R605" s="384"/>
      <c r="S605" s="660"/>
      <c r="T605" s="396"/>
      <c r="U605" s="384"/>
      <c r="V605" s="384"/>
      <c r="W605" s="384"/>
      <c r="X605" s="384"/>
      <c r="Y605" s="442"/>
      <c r="Z605" s="442"/>
      <c r="AA605" s="441"/>
      <c r="AB605" s="441"/>
      <c r="AC605" s="441"/>
      <c r="AD605" s="441"/>
      <c r="AE605" s="441"/>
      <c r="AF605" s="441"/>
      <c r="AG605" s="441"/>
      <c r="AH605" s="441"/>
      <c r="AI605" s="441"/>
      <c r="AJ605" s="441"/>
      <c r="AK605" s="395"/>
      <c r="AL605" s="395"/>
      <c r="AM605" s="395"/>
      <c r="AN605" s="395"/>
      <c r="AO605" s="395"/>
      <c r="AP605" s="410"/>
      <c r="AQ605" s="410"/>
    </row>
    <row r="606" spans="2:43" ht="15" customHeight="1">
      <c r="B606" s="394"/>
      <c r="C606" s="395"/>
      <c r="D606" s="417"/>
      <c r="E606" s="662"/>
      <c r="F606" s="417"/>
      <c r="G606" s="384"/>
      <c r="H606" s="768"/>
      <c r="I606" s="384"/>
      <c r="J606" s="384"/>
      <c r="K606" s="657"/>
      <c r="L606" s="658"/>
      <c r="M606" s="384"/>
      <c r="N606" s="384"/>
      <c r="O606" s="384"/>
      <c r="P606" s="384"/>
      <c r="Q606" s="384"/>
      <c r="R606" s="384"/>
      <c r="S606" s="660"/>
      <c r="T606" s="396"/>
      <c r="U606" s="384"/>
      <c r="V606" s="384"/>
      <c r="W606" s="384"/>
      <c r="X606" s="384"/>
      <c r="Y606" s="442"/>
      <c r="Z606" s="442"/>
      <c r="AA606" s="441"/>
      <c r="AB606" s="441"/>
      <c r="AC606" s="441"/>
      <c r="AD606" s="441"/>
      <c r="AE606" s="441"/>
      <c r="AF606" s="441"/>
      <c r="AG606" s="441"/>
      <c r="AH606" s="441"/>
      <c r="AI606" s="441"/>
      <c r="AJ606" s="441"/>
      <c r="AK606" s="395"/>
      <c r="AL606" s="395"/>
      <c r="AM606" s="395"/>
      <c r="AN606" s="395"/>
      <c r="AO606" s="395"/>
      <c r="AP606" s="410"/>
      <c r="AQ606" s="410"/>
    </row>
    <row r="607" spans="2:43" ht="15" customHeight="1">
      <c r="B607" s="394"/>
      <c r="C607" s="395"/>
      <c r="D607" s="417"/>
      <c r="E607" s="662"/>
      <c r="F607" s="417"/>
      <c r="G607" s="384"/>
      <c r="H607" s="768"/>
      <c r="I607" s="384"/>
      <c r="J607" s="384"/>
      <c r="K607" s="657"/>
      <c r="L607" s="658"/>
      <c r="M607" s="384"/>
      <c r="N607" s="384"/>
      <c r="O607" s="384"/>
      <c r="P607" s="384"/>
      <c r="Q607" s="384"/>
      <c r="R607" s="384"/>
      <c r="S607" s="660"/>
      <c r="T607" s="396"/>
      <c r="U607" s="384"/>
      <c r="V607" s="384"/>
      <c r="W607" s="384"/>
      <c r="X607" s="384"/>
      <c r="Y607" s="442"/>
      <c r="Z607" s="442"/>
      <c r="AA607" s="441"/>
      <c r="AB607" s="441"/>
      <c r="AC607" s="441"/>
      <c r="AD607" s="441"/>
      <c r="AE607" s="441"/>
      <c r="AF607" s="441"/>
      <c r="AG607" s="441"/>
      <c r="AH607" s="441"/>
      <c r="AI607" s="441"/>
      <c r="AJ607" s="441"/>
      <c r="AK607" s="395"/>
      <c r="AL607" s="395"/>
      <c r="AM607" s="395"/>
      <c r="AN607" s="395"/>
      <c r="AO607" s="395"/>
      <c r="AP607" s="410"/>
      <c r="AQ607" s="410"/>
    </row>
    <row r="608" spans="2:43" ht="15" customHeight="1">
      <c r="B608" s="394"/>
      <c r="C608" s="395"/>
      <c r="D608" s="417"/>
      <c r="E608" s="662"/>
      <c r="F608" s="417"/>
      <c r="G608" s="384"/>
      <c r="H608" s="768"/>
      <c r="I608" s="384"/>
      <c r="J608" s="384"/>
      <c r="K608" s="657"/>
      <c r="L608" s="658"/>
      <c r="M608" s="384"/>
      <c r="N608" s="384"/>
      <c r="O608" s="384"/>
      <c r="P608" s="384"/>
      <c r="Q608" s="384"/>
      <c r="R608" s="384"/>
      <c r="S608" s="660"/>
      <c r="T608" s="396"/>
      <c r="U608" s="384"/>
      <c r="V608" s="384"/>
      <c r="W608" s="384"/>
      <c r="X608" s="384"/>
      <c r="Y608" s="442"/>
      <c r="Z608" s="442"/>
      <c r="AA608" s="441"/>
      <c r="AB608" s="441"/>
      <c r="AC608" s="441"/>
      <c r="AD608" s="441"/>
      <c r="AE608" s="441"/>
      <c r="AF608" s="441"/>
      <c r="AG608" s="441"/>
      <c r="AH608" s="441"/>
      <c r="AI608" s="441"/>
      <c r="AJ608" s="441"/>
      <c r="AK608" s="395"/>
      <c r="AL608" s="395"/>
      <c r="AM608" s="395"/>
      <c r="AN608" s="395"/>
      <c r="AO608" s="395"/>
      <c r="AP608" s="410"/>
      <c r="AQ608" s="410"/>
    </row>
    <row r="609" spans="2:43" ht="15" customHeight="1">
      <c r="B609" s="394"/>
      <c r="C609" s="395"/>
      <c r="D609" s="417"/>
      <c r="E609" s="662"/>
      <c r="F609" s="417"/>
      <c r="G609" s="384"/>
      <c r="H609" s="768"/>
      <c r="I609" s="384"/>
      <c r="J609" s="384"/>
      <c r="K609" s="657"/>
      <c r="L609" s="658"/>
      <c r="M609" s="384"/>
      <c r="N609" s="384"/>
      <c r="O609" s="384"/>
      <c r="P609" s="384"/>
      <c r="Q609" s="384"/>
      <c r="R609" s="384"/>
      <c r="S609" s="660"/>
      <c r="T609" s="396"/>
      <c r="U609" s="384"/>
      <c r="V609" s="384"/>
      <c r="W609" s="384"/>
      <c r="X609" s="384"/>
      <c r="Y609" s="442"/>
      <c r="Z609" s="442"/>
      <c r="AA609" s="441"/>
      <c r="AB609" s="441"/>
      <c r="AC609" s="441"/>
      <c r="AD609" s="441"/>
      <c r="AE609" s="441"/>
      <c r="AF609" s="441"/>
      <c r="AG609" s="441"/>
      <c r="AH609" s="441"/>
      <c r="AI609" s="441"/>
      <c r="AJ609" s="441"/>
      <c r="AK609" s="395"/>
      <c r="AL609" s="395"/>
      <c r="AM609" s="395"/>
      <c r="AN609" s="395"/>
      <c r="AO609" s="395"/>
      <c r="AP609" s="410"/>
      <c r="AQ609" s="410"/>
    </row>
    <row r="610" spans="2:43" ht="15" customHeight="1">
      <c r="B610" s="394"/>
      <c r="C610" s="395"/>
      <c r="D610" s="417"/>
      <c r="E610" s="662"/>
      <c r="F610" s="417"/>
      <c r="G610" s="384"/>
      <c r="H610" s="768"/>
      <c r="I610" s="384"/>
      <c r="J610" s="384"/>
      <c r="K610" s="657"/>
      <c r="L610" s="658"/>
      <c r="M610" s="384"/>
      <c r="N610" s="384"/>
      <c r="O610" s="384"/>
      <c r="P610" s="384"/>
      <c r="Q610" s="384"/>
      <c r="R610" s="384"/>
      <c r="S610" s="660"/>
      <c r="T610" s="396"/>
      <c r="U610" s="384"/>
      <c r="V610" s="384"/>
      <c r="W610" s="384"/>
      <c r="X610" s="384"/>
      <c r="Y610" s="442"/>
      <c r="Z610" s="442"/>
      <c r="AA610" s="441"/>
      <c r="AB610" s="441"/>
      <c r="AC610" s="441"/>
      <c r="AD610" s="441"/>
      <c r="AE610" s="441"/>
      <c r="AF610" s="441"/>
      <c r="AG610" s="441"/>
      <c r="AH610" s="441"/>
      <c r="AI610" s="441"/>
      <c r="AJ610" s="441"/>
      <c r="AK610" s="395"/>
      <c r="AL610" s="395"/>
      <c r="AM610" s="395"/>
      <c r="AN610" s="395"/>
      <c r="AO610" s="395"/>
      <c r="AP610" s="410"/>
      <c r="AQ610" s="410"/>
    </row>
    <row r="611" spans="2:43" ht="15" customHeight="1">
      <c r="B611" s="394"/>
      <c r="C611" s="395"/>
      <c r="D611" s="417"/>
      <c r="E611" s="662"/>
      <c r="F611" s="417"/>
      <c r="G611" s="384"/>
      <c r="H611" s="768"/>
      <c r="I611" s="384"/>
      <c r="J611" s="384"/>
      <c r="K611" s="657"/>
      <c r="L611" s="658"/>
      <c r="M611" s="384"/>
      <c r="N611" s="384"/>
      <c r="O611" s="384"/>
      <c r="P611" s="384"/>
      <c r="Q611" s="384"/>
      <c r="R611" s="384"/>
      <c r="S611" s="660"/>
      <c r="T611" s="396"/>
      <c r="U611" s="384"/>
      <c r="V611" s="384"/>
      <c r="W611" s="384"/>
      <c r="X611" s="384"/>
      <c r="Y611" s="442"/>
      <c r="Z611" s="442"/>
      <c r="AA611" s="441"/>
      <c r="AB611" s="441"/>
      <c r="AC611" s="441"/>
      <c r="AD611" s="441"/>
      <c r="AE611" s="441"/>
      <c r="AF611" s="441"/>
      <c r="AG611" s="441"/>
      <c r="AH611" s="441"/>
      <c r="AI611" s="441"/>
      <c r="AJ611" s="441"/>
      <c r="AK611" s="395"/>
      <c r="AL611" s="395"/>
      <c r="AM611" s="395"/>
      <c r="AN611" s="395"/>
      <c r="AO611" s="395"/>
      <c r="AP611" s="410"/>
      <c r="AQ611" s="410"/>
    </row>
    <row r="612" spans="2:43" ht="15" customHeight="1">
      <c r="B612" s="394"/>
      <c r="C612" s="395"/>
      <c r="D612" s="417"/>
      <c r="E612" s="662"/>
      <c r="F612" s="417"/>
      <c r="G612" s="384"/>
      <c r="H612" s="768"/>
      <c r="I612" s="384"/>
      <c r="J612" s="384"/>
      <c r="K612" s="657"/>
      <c r="L612" s="658"/>
      <c r="M612" s="384"/>
      <c r="N612" s="384"/>
      <c r="O612" s="384"/>
      <c r="P612" s="384"/>
      <c r="Q612" s="384"/>
      <c r="R612" s="384"/>
      <c r="S612" s="660"/>
      <c r="T612" s="396"/>
      <c r="U612" s="384"/>
      <c r="V612" s="384"/>
      <c r="W612" s="384"/>
      <c r="X612" s="384"/>
      <c r="Y612" s="442"/>
      <c r="Z612" s="442"/>
      <c r="AA612" s="441"/>
      <c r="AB612" s="441"/>
      <c r="AC612" s="441"/>
      <c r="AD612" s="441"/>
      <c r="AE612" s="441"/>
      <c r="AF612" s="441"/>
      <c r="AG612" s="441"/>
      <c r="AH612" s="441"/>
      <c r="AI612" s="441"/>
      <c r="AJ612" s="441"/>
      <c r="AK612" s="395"/>
      <c r="AL612" s="395"/>
      <c r="AM612" s="395"/>
      <c r="AN612" s="395"/>
      <c r="AO612" s="395"/>
      <c r="AP612" s="410"/>
      <c r="AQ612" s="410"/>
    </row>
    <row r="613" spans="2:43" ht="15" customHeight="1">
      <c r="B613" s="394"/>
      <c r="C613" s="395"/>
      <c r="D613" s="417"/>
      <c r="E613" s="662"/>
      <c r="F613" s="417"/>
      <c r="G613" s="384"/>
      <c r="H613" s="768"/>
      <c r="I613" s="384"/>
      <c r="J613" s="384"/>
      <c r="K613" s="657"/>
      <c r="L613" s="658"/>
      <c r="M613" s="384"/>
      <c r="N613" s="384"/>
      <c r="O613" s="384"/>
      <c r="P613" s="384"/>
      <c r="Q613" s="384"/>
      <c r="R613" s="384"/>
      <c r="S613" s="660"/>
      <c r="T613" s="396"/>
      <c r="U613" s="384"/>
      <c r="V613" s="384"/>
      <c r="W613" s="384"/>
      <c r="X613" s="384"/>
      <c r="Y613" s="442"/>
      <c r="Z613" s="442"/>
      <c r="AA613" s="441"/>
      <c r="AB613" s="441"/>
      <c r="AC613" s="441"/>
      <c r="AD613" s="441"/>
      <c r="AE613" s="441"/>
      <c r="AF613" s="441"/>
      <c r="AG613" s="441"/>
      <c r="AH613" s="441"/>
      <c r="AI613" s="441"/>
      <c r="AJ613" s="441"/>
      <c r="AK613" s="395"/>
      <c r="AL613" s="395"/>
      <c r="AM613" s="395"/>
      <c r="AN613" s="395"/>
      <c r="AO613" s="395"/>
      <c r="AP613" s="410"/>
      <c r="AQ613" s="410"/>
    </row>
    <row r="614" spans="2:43" ht="15" customHeight="1">
      <c r="B614" s="394"/>
      <c r="C614" s="395"/>
      <c r="D614" s="417"/>
      <c r="E614" s="662"/>
      <c r="F614" s="417"/>
      <c r="G614" s="384"/>
      <c r="H614" s="768"/>
      <c r="I614" s="384"/>
      <c r="J614" s="384"/>
      <c r="K614" s="657"/>
      <c r="L614" s="658"/>
      <c r="M614" s="384"/>
      <c r="N614" s="384"/>
      <c r="O614" s="384"/>
      <c r="P614" s="384"/>
      <c r="Q614" s="384"/>
      <c r="R614" s="384"/>
      <c r="S614" s="660"/>
      <c r="T614" s="396"/>
      <c r="U614" s="384"/>
      <c r="V614" s="384"/>
      <c r="W614" s="384"/>
      <c r="X614" s="384"/>
      <c r="Y614" s="442"/>
      <c r="Z614" s="442"/>
      <c r="AA614" s="441"/>
      <c r="AB614" s="441"/>
      <c r="AC614" s="441"/>
      <c r="AD614" s="441"/>
      <c r="AE614" s="441"/>
      <c r="AF614" s="441"/>
      <c r="AG614" s="441"/>
      <c r="AH614" s="441"/>
      <c r="AI614" s="441"/>
      <c r="AJ614" s="441"/>
      <c r="AK614" s="395"/>
      <c r="AL614" s="395"/>
      <c r="AM614" s="395"/>
      <c r="AN614" s="395"/>
      <c r="AO614" s="395"/>
      <c r="AP614" s="410"/>
      <c r="AQ614" s="410"/>
    </row>
    <row r="615" spans="2:43" ht="15" customHeight="1">
      <c r="B615" s="394"/>
      <c r="C615" s="395"/>
      <c r="D615" s="417"/>
      <c r="E615" s="662"/>
      <c r="F615" s="417"/>
      <c r="G615" s="384"/>
      <c r="H615" s="768"/>
      <c r="I615" s="384"/>
      <c r="J615" s="384"/>
      <c r="K615" s="657"/>
      <c r="L615" s="658"/>
      <c r="M615" s="384"/>
      <c r="N615" s="384"/>
      <c r="O615" s="384"/>
      <c r="P615" s="384"/>
      <c r="Q615" s="384"/>
      <c r="R615" s="384"/>
      <c r="S615" s="660"/>
      <c r="T615" s="396"/>
      <c r="U615" s="384"/>
      <c r="V615" s="384"/>
      <c r="W615" s="384"/>
      <c r="X615" s="384"/>
      <c r="Y615" s="442"/>
      <c r="Z615" s="442"/>
      <c r="AA615" s="441"/>
      <c r="AB615" s="441"/>
      <c r="AC615" s="441"/>
      <c r="AD615" s="441"/>
      <c r="AE615" s="441"/>
      <c r="AF615" s="441"/>
      <c r="AG615" s="441"/>
      <c r="AH615" s="441"/>
      <c r="AI615" s="441"/>
      <c r="AJ615" s="441"/>
      <c r="AK615" s="395"/>
      <c r="AL615" s="395"/>
      <c r="AM615" s="395"/>
      <c r="AN615" s="395"/>
      <c r="AO615" s="395"/>
      <c r="AP615" s="410"/>
      <c r="AQ615" s="410"/>
    </row>
    <row r="616" spans="2:43" ht="15" customHeight="1">
      <c r="B616" s="394"/>
      <c r="C616" s="395"/>
      <c r="D616" s="417"/>
      <c r="E616" s="662"/>
      <c r="F616" s="417"/>
      <c r="G616" s="384"/>
      <c r="H616" s="768"/>
      <c r="I616" s="384"/>
      <c r="J616" s="384"/>
      <c r="K616" s="657"/>
      <c r="L616" s="658"/>
      <c r="M616" s="384"/>
      <c r="N616" s="384"/>
      <c r="O616" s="384"/>
      <c r="P616" s="384"/>
      <c r="Q616" s="384"/>
      <c r="R616" s="384"/>
      <c r="S616" s="660"/>
      <c r="T616" s="396"/>
      <c r="U616" s="384"/>
      <c r="V616" s="384"/>
      <c r="W616" s="384"/>
      <c r="X616" s="384"/>
      <c r="Y616" s="442"/>
      <c r="Z616" s="442"/>
      <c r="AA616" s="441"/>
      <c r="AB616" s="441"/>
      <c r="AC616" s="441"/>
      <c r="AD616" s="441"/>
      <c r="AE616" s="441"/>
      <c r="AF616" s="441"/>
      <c r="AG616" s="441"/>
      <c r="AH616" s="441"/>
      <c r="AI616" s="441"/>
      <c r="AJ616" s="441"/>
      <c r="AK616" s="395"/>
      <c r="AL616" s="395"/>
      <c r="AM616" s="395"/>
      <c r="AN616" s="395"/>
      <c r="AO616" s="395"/>
      <c r="AP616" s="410"/>
      <c r="AQ616" s="410"/>
    </row>
    <row r="617" spans="2:43" ht="15" customHeight="1">
      <c r="B617" s="394"/>
      <c r="C617" s="395"/>
      <c r="D617" s="417"/>
      <c r="E617" s="662"/>
      <c r="F617" s="417"/>
      <c r="G617" s="384"/>
      <c r="H617" s="768"/>
      <c r="I617" s="384"/>
      <c r="J617" s="384"/>
      <c r="K617" s="657"/>
      <c r="L617" s="658"/>
      <c r="M617" s="384"/>
      <c r="N617" s="384"/>
      <c r="O617" s="384"/>
      <c r="P617" s="384"/>
      <c r="Q617" s="384"/>
      <c r="R617" s="384"/>
      <c r="S617" s="660"/>
      <c r="T617" s="396"/>
      <c r="U617" s="384"/>
      <c r="V617" s="384"/>
      <c r="W617" s="384"/>
      <c r="X617" s="384"/>
      <c r="Y617" s="442"/>
      <c r="Z617" s="442"/>
      <c r="AA617" s="441"/>
      <c r="AB617" s="441"/>
      <c r="AC617" s="441"/>
      <c r="AD617" s="441"/>
      <c r="AE617" s="441"/>
      <c r="AF617" s="441"/>
      <c r="AG617" s="441"/>
      <c r="AH617" s="441"/>
      <c r="AI617" s="441"/>
      <c r="AJ617" s="441"/>
      <c r="AK617" s="395"/>
      <c r="AL617" s="395"/>
      <c r="AM617" s="395"/>
      <c r="AN617" s="395"/>
      <c r="AO617" s="395"/>
      <c r="AP617" s="410"/>
      <c r="AQ617" s="410"/>
    </row>
    <row r="618" spans="2:43" ht="15" customHeight="1">
      <c r="B618" s="394"/>
      <c r="C618" s="395"/>
      <c r="D618" s="417"/>
      <c r="E618" s="662"/>
      <c r="F618" s="417"/>
      <c r="G618" s="384"/>
      <c r="H618" s="768"/>
      <c r="I618" s="384"/>
      <c r="J618" s="384"/>
      <c r="K618" s="657"/>
      <c r="L618" s="658"/>
      <c r="M618" s="384"/>
      <c r="N618" s="384"/>
      <c r="O618" s="384"/>
      <c r="P618" s="384"/>
      <c r="Q618" s="384"/>
      <c r="R618" s="384"/>
      <c r="S618" s="660"/>
      <c r="T618" s="396"/>
      <c r="U618" s="384"/>
      <c r="V618" s="384"/>
      <c r="W618" s="384"/>
      <c r="X618" s="384"/>
      <c r="Y618" s="442"/>
      <c r="Z618" s="442"/>
      <c r="AA618" s="441"/>
      <c r="AB618" s="441"/>
      <c r="AC618" s="441"/>
      <c r="AD618" s="441"/>
      <c r="AE618" s="441"/>
      <c r="AF618" s="441"/>
      <c r="AG618" s="441"/>
      <c r="AH618" s="441"/>
      <c r="AI618" s="441"/>
      <c r="AJ618" s="441"/>
      <c r="AK618" s="395"/>
      <c r="AL618" s="395"/>
      <c r="AM618" s="395"/>
      <c r="AN618" s="395"/>
      <c r="AO618" s="395"/>
      <c r="AP618" s="410"/>
      <c r="AQ618" s="410"/>
    </row>
    <row r="619" spans="2:43" ht="15" customHeight="1">
      <c r="B619" s="394"/>
      <c r="C619" s="395"/>
      <c r="D619" s="417"/>
      <c r="E619" s="662"/>
      <c r="F619" s="417"/>
      <c r="G619" s="384"/>
      <c r="H619" s="768"/>
      <c r="I619" s="384"/>
      <c r="J619" s="384"/>
      <c r="K619" s="657"/>
      <c r="L619" s="658"/>
      <c r="M619" s="384"/>
      <c r="N619" s="384"/>
      <c r="O619" s="384"/>
      <c r="P619" s="384"/>
      <c r="Q619" s="384"/>
      <c r="R619" s="384"/>
      <c r="S619" s="660"/>
      <c r="T619" s="396"/>
      <c r="U619" s="384"/>
      <c r="V619" s="384"/>
      <c r="W619" s="384"/>
      <c r="X619" s="384"/>
      <c r="Y619" s="442"/>
      <c r="Z619" s="442"/>
      <c r="AA619" s="441"/>
      <c r="AB619" s="441"/>
      <c r="AC619" s="441"/>
      <c r="AD619" s="441"/>
      <c r="AE619" s="441"/>
      <c r="AF619" s="441"/>
      <c r="AG619" s="441"/>
      <c r="AH619" s="441"/>
      <c r="AI619" s="441"/>
      <c r="AJ619" s="441"/>
      <c r="AK619" s="395"/>
      <c r="AL619" s="395"/>
      <c r="AM619" s="395"/>
      <c r="AN619" s="395"/>
      <c r="AO619" s="395"/>
      <c r="AP619" s="410"/>
      <c r="AQ619" s="410"/>
    </row>
    <row r="620" spans="2:43" ht="15" customHeight="1">
      <c r="B620" s="394"/>
      <c r="C620" s="395"/>
      <c r="D620" s="417"/>
      <c r="E620" s="662"/>
      <c r="F620" s="417"/>
      <c r="G620" s="384"/>
      <c r="H620" s="768"/>
      <c r="I620" s="384"/>
      <c r="J620" s="384"/>
      <c r="K620" s="657"/>
      <c r="L620" s="658"/>
      <c r="M620" s="384"/>
      <c r="N620" s="384"/>
      <c r="O620" s="384"/>
      <c r="P620" s="384"/>
      <c r="Q620" s="384"/>
      <c r="R620" s="384"/>
      <c r="S620" s="660"/>
      <c r="T620" s="396"/>
      <c r="U620" s="384"/>
      <c r="V620" s="384"/>
      <c r="W620" s="384"/>
      <c r="X620" s="384"/>
      <c r="Y620" s="442"/>
      <c r="Z620" s="442"/>
      <c r="AA620" s="441"/>
      <c r="AB620" s="441"/>
      <c r="AC620" s="441"/>
      <c r="AD620" s="441"/>
      <c r="AE620" s="441"/>
      <c r="AF620" s="441"/>
      <c r="AG620" s="441"/>
      <c r="AH620" s="441"/>
      <c r="AI620" s="441"/>
      <c r="AJ620" s="441"/>
      <c r="AK620" s="395"/>
      <c r="AL620" s="395"/>
      <c r="AM620" s="395"/>
      <c r="AN620" s="395"/>
      <c r="AO620" s="395"/>
      <c r="AP620" s="410"/>
      <c r="AQ620" s="410"/>
    </row>
    <row r="621" spans="2:43" ht="15" customHeight="1">
      <c r="B621" s="394"/>
      <c r="C621" s="395"/>
      <c r="D621" s="417"/>
      <c r="E621" s="662"/>
      <c r="F621" s="417"/>
      <c r="G621" s="384"/>
      <c r="H621" s="768"/>
      <c r="I621" s="384"/>
      <c r="J621" s="384"/>
      <c r="K621" s="657"/>
      <c r="L621" s="658"/>
      <c r="M621" s="384"/>
      <c r="N621" s="384"/>
      <c r="O621" s="384"/>
      <c r="P621" s="384"/>
      <c r="Q621" s="384"/>
      <c r="R621" s="384"/>
      <c r="S621" s="660"/>
      <c r="T621" s="396"/>
      <c r="U621" s="384"/>
      <c r="V621" s="384"/>
      <c r="W621" s="384"/>
      <c r="X621" s="384"/>
      <c r="Y621" s="442"/>
      <c r="Z621" s="442"/>
      <c r="AA621" s="441"/>
      <c r="AB621" s="441"/>
      <c r="AC621" s="441"/>
      <c r="AD621" s="441"/>
      <c r="AE621" s="441"/>
      <c r="AF621" s="441"/>
      <c r="AG621" s="441"/>
      <c r="AH621" s="441"/>
      <c r="AI621" s="441"/>
      <c r="AJ621" s="441"/>
      <c r="AK621" s="395"/>
      <c r="AL621" s="395"/>
      <c r="AM621" s="395"/>
      <c r="AN621" s="395"/>
      <c r="AO621" s="395"/>
      <c r="AP621" s="410"/>
      <c r="AQ621" s="410"/>
    </row>
    <row r="622" spans="2:43" ht="15" customHeight="1">
      <c r="B622" s="394"/>
      <c r="C622" s="395"/>
      <c r="D622" s="417"/>
      <c r="E622" s="662"/>
      <c r="F622" s="417"/>
      <c r="G622" s="384"/>
      <c r="H622" s="768"/>
      <c r="I622" s="384"/>
      <c r="J622" s="384"/>
      <c r="K622" s="657"/>
      <c r="L622" s="658"/>
      <c r="M622" s="384"/>
      <c r="N622" s="384"/>
      <c r="O622" s="384"/>
      <c r="P622" s="384"/>
      <c r="Q622" s="384"/>
      <c r="R622" s="384"/>
      <c r="S622" s="660"/>
      <c r="T622" s="396"/>
      <c r="U622" s="384"/>
      <c r="V622" s="384"/>
      <c r="W622" s="384"/>
      <c r="X622" s="384"/>
      <c r="Y622" s="442"/>
      <c r="Z622" s="442"/>
      <c r="AA622" s="441"/>
      <c r="AB622" s="441"/>
      <c r="AC622" s="441"/>
      <c r="AD622" s="441"/>
      <c r="AE622" s="441"/>
      <c r="AF622" s="441"/>
      <c r="AG622" s="441"/>
      <c r="AH622" s="441"/>
      <c r="AI622" s="441"/>
      <c r="AJ622" s="441"/>
      <c r="AK622" s="395"/>
      <c r="AL622" s="395"/>
      <c r="AM622" s="395"/>
      <c r="AN622" s="395"/>
      <c r="AO622" s="395"/>
      <c r="AP622" s="410"/>
      <c r="AQ622" s="410"/>
    </row>
    <row r="623" spans="2:43" ht="15" customHeight="1">
      <c r="B623" s="394"/>
      <c r="C623" s="395"/>
      <c r="D623" s="417"/>
      <c r="E623" s="662"/>
      <c r="F623" s="417"/>
      <c r="G623" s="384"/>
      <c r="H623" s="768"/>
      <c r="I623" s="384"/>
      <c r="J623" s="384"/>
      <c r="K623" s="657"/>
      <c r="L623" s="658"/>
      <c r="M623" s="384"/>
      <c r="N623" s="384"/>
      <c r="O623" s="384"/>
      <c r="P623" s="384"/>
      <c r="Q623" s="384"/>
      <c r="R623" s="384"/>
      <c r="S623" s="660"/>
      <c r="T623" s="396"/>
      <c r="U623" s="384"/>
      <c r="V623" s="384"/>
      <c r="W623" s="384"/>
      <c r="X623" s="384"/>
      <c r="Y623" s="442"/>
      <c r="Z623" s="442"/>
      <c r="AA623" s="441"/>
      <c r="AB623" s="441"/>
      <c r="AC623" s="441"/>
      <c r="AD623" s="441"/>
      <c r="AE623" s="441"/>
      <c r="AF623" s="441"/>
      <c r="AG623" s="441"/>
      <c r="AH623" s="441"/>
      <c r="AI623" s="441"/>
      <c r="AJ623" s="441"/>
      <c r="AK623" s="395"/>
      <c r="AL623" s="395"/>
      <c r="AM623" s="395"/>
      <c r="AN623" s="395"/>
      <c r="AO623" s="395"/>
      <c r="AP623" s="410"/>
      <c r="AQ623" s="410"/>
    </row>
    <row r="624" spans="2:43" ht="15" customHeight="1">
      <c r="B624" s="394"/>
      <c r="C624" s="395"/>
      <c r="D624" s="417"/>
      <c r="E624" s="662"/>
      <c r="F624" s="417"/>
      <c r="G624" s="384"/>
      <c r="H624" s="768"/>
      <c r="I624" s="384"/>
      <c r="J624" s="384"/>
      <c r="K624" s="657"/>
      <c r="L624" s="658"/>
      <c r="M624" s="384"/>
      <c r="N624" s="384"/>
      <c r="O624" s="384"/>
      <c r="P624" s="384"/>
      <c r="Q624" s="384"/>
      <c r="R624" s="384"/>
      <c r="S624" s="660"/>
      <c r="T624" s="396"/>
      <c r="U624" s="384"/>
      <c r="V624" s="384"/>
      <c r="W624" s="384"/>
      <c r="X624" s="384"/>
      <c r="Y624" s="442"/>
      <c r="Z624" s="442"/>
      <c r="AA624" s="441"/>
      <c r="AB624" s="441"/>
      <c r="AC624" s="441"/>
      <c r="AD624" s="441"/>
      <c r="AE624" s="441"/>
      <c r="AF624" s="441"/>
      <c r="AG624" s="441"/>
      <c r="AH624" s="441"/>
      <c r="AI624" s="441"/>
      <c r="AJ624" s="441"/>
      <c r="AK624" s="395"/>
      <c r="AL624" s="395"/>
      <c r="AM624" s="395"/>
      <c r="AN624" s="395"/>
      <c r="AO624" s="395"/>
      <c r="AP624" s="410"/>
      <c r="AQ624" s="410"/>
    </row>
    <row r="625" spans="2:43" ht="15" customHeight="1">
      <c r="B625" s="394"/>
      <c r="C625" s="395"/>
      <c r="D625" s="417"/>
      <c r="E625" s="662"/>
      <c r="F625" s="417"/>
      <c r="G625" s="384"/>
      <c r="H625" s="768"/>
      <c r="I625" s="384"/>
      <c r="J625" s="384"/>
      <c r="K625" s="657"/>
      <c r="L625" s="658"/>
      <c r="M625" s="384"/>
      <c r="N625" s="384"/>
      <c r="O625" s="384"/>
      <c r="P625" s="384"/>
      <c r="Q625" s="384"/>
      <c r="R625" s="384"/>
      <c r="S625" s="660"/>
      <c r="T625" s="396"/>
      <c r="U625" s="384"/>
      <c r="V625" s="384"/>
      <c r="W625" s="384"/>
      <c r="X625" s="384"/>
      <c r="Y625" s="442"/>
      <c r="Z625" s="442"/>
      <c r="AA625" s="441"/>
      <c r="AB625" s="441"/>
      <c r="AC625" s="441"/>
      <c r="AD625" s="441"/>
      <c r="AE625" s="441"/>
      <c r="AF625" s="441"/>
      <c r="AG625" s="441"/>
      <c r="AH625" s="441"/>
      <c r="AI625" s="441"/>
      <c r="AJ625" s="441"/>
      <c r="AK625" s="395"/>
      <c r="AL625" s="395"/>
      <c r="AM625" s="395"/>
      <c r="AN625" s="395"/>
      <c r="AO625" s="395"/>
      <c r="AP625" s="410"/>
      <c r="AQ625" s="410"/>
    </row>
    <row r="626" spans="2:43" ht="15" customHeight="1">
      <c r="B626" s="394"/>
      <c r="C626" s="395"/>
      <c r="D626" s="417"/>
      <c r="E626" s="662"/>
      <c r="F626" s="417"/>
      <c r="G626" s="384"/>
      <c r="H626" s="768"/>
      <c r="I626" s="384"/>
      <c r="J626" s="384"/>
      <c r="K626" s="657"/>
      <c r="L626" s="658"/>
      <c r="M626" s="384"/>
      <c r="N626" s="384"/>
      <c r="O626" s="384"/>
      <c r="P626" s="384"/>
      <c r="Q626" s="384"/>
      <c r="R626" s="384"/>
      <c r="S626" s="660"/>
      <c r="T626" s="396"/>
      <c r="U626" s="384"/>
      <c r="V626" s="384"/>
      <c r="W626" s="384"/>
      <c r="X626" s="384"/>
      <c r="Y626" s="442"/>
      <c r="Z626" s="442"/>
      <c r="AA626" s="441"/>
      <c r="AB626" s="441"/>
      <c r="AC626" s="441"/>
      <c r="AD626" s="441"/>
      <c r="AE626" s="441"/>
      <c r="AF626" s="441"/>
      <c r="AG626" s="441"/>
      <c r="AH626" s="441"/>
      <c r="AI626" s="441"/>
      <c r="AJ626" s="441"/>
      <c r="AK626" s="395"/>
      <c r="AL626" s="395"/>
      <c r="AM626" s="395"/>
      <c r="AN626" s="395"/>
      <c r="AO626" s="395"/>
      <c r="AP626" s="410"/>
      <c r="AQ626" s="410"/>
    </row>
    <row r="627" spans="2:43" ht="15" customHeight="1">
      <c r="B627" s="394"/>
      <c r="C627" s="395"/>
      <c r="D627" s="417"/>
      <c r="E627" s="662"/>
      <c r="F627" s="417"/>
      <c r="G627" s="384"/>
      <c r="H627" s="768"/>
      <c r="I627" s="384"/>
      <c r="J627" s="384"/>
      <c r="K627" s="657"/>
      <c r="L627" s="658"/>
      <c r="M627" s="384"/>
      <c r="N627" s="384"/>
      <c r="O627" s="384"/>
      <c r="P627" s="384"/>
      <c r="Q627" s="384"/>
      <c r="R627" s="384"/>
      <c r="S627" s="660"/>
      <c r="T627" s="396"/>
      <c r="U627" s="384"/>
      <c r="V627" s="384"/>
      <c r="W627" s="384"/>
      <c r="X627" s="384"/>
      <c r="Y627" s="442"/>
      <c r="Z627" s="442"/>
      <c r="AA627" s="441"/>
      <c r="AB627" s="441"/>
      <c r="AC627" s="441"/>
      <c r="AD627" s="441"/>
      <c r="AE627" s="441"/>
      <c r="AF627" s="441"/>
      <c r="AG627" s="441"/>
      <c r="AH627" s="441"/>
      <c r="AI627" s="441"/>
      <c r="AJ627" s="441"/>
      <c r="AK627" s="395"/>
      <c r="AL627" s="395"/>
      <c r="AM627" s="395"/>
      <c r="AN627" s="395"/>
      <c r="AO627" s="395"/>
      <c r="AP627" s="410"/>
      <c r="AQ627" s="410"/>
    </row>
    <row r="628" spans="2:43" ht="15" customHeight="1">
      <c r="B628" s="394"/>
      <c r="C628" s="395"/>
      <c r="D628" s="417"/>
      <c r="E628" s="662"/>
      <c r="F628" s="417"/>
      <c r="G628" s="384"/>
      <c r="H628" s="768"/>
      <c r="I628" s="384"/>
      <c r="J628" s="384"/>
      <c r="K628" s="657"/>
      <c r="L628" s="658"/>
      <c r="M628" s="384"/>
      <c r="N628" s="384"/>
      <c r="O628" s="384"/>
      <c r="P628" s="384"/>
      <c r="Q628" s="384"/>
      <c r="R628" s="384"/>
      <c r="S628" s="660"/>
      <c r="T628" s="396"/>
      <c r="U628" s="384"/>
      <c r="V628" s="384"/>
      <c r="W628" s="384"/>
      <c r="X628" s="384"/>
      <c r="Y628" s="442"/>
      <c r="Z628" s="442"/>
      <c r="AA628" s="441"/>
      <c r="AB628" s="441"/>
      <c r="AC628" s="441"/>
      <c r="AD628" s="441"/>
      <c r="AE628" s="441"/>
      <c r="AF628" s="441"/>
      <c r="AG628" s="441"/>
      <c r="AH628" s="441"/>
      <c r="AI628" s="441"/>
      <c r="AJ628" s="441"/>
      <c r="AK628" s="395"/>
      <c r="AL628" s="395"/>
      <c r="AM628" s="395"/>
      <c r="AN628" s="395"/>
      <c r="AO628" s="395"/>
      <c r="AP628" s="410"/>
      <c r="AQ628" s="410"/>
    </row>
    <row r="629" spans="2:43" ht="15" customHeight="1">
      <c r="B629" s="394"/>
      <c r="C629" s="395"/>
      <c r="D629" s="417"/>
      <c r="E629" s="662"/>
      <c r="F629" s="417"/>
      <c r="G629" s="384"/>
      <c r="H629" s="768"/>
      <c r="I629" s="384"/>
      <c r="J629" s="384"/>
      <c r="K629" s="657"/>
      <c r="L629" s="658"/>
      <c r="M629" s="384"/>
      <c r="N629" s="384"/>
      <c r="O629" s="384"/>
      <c r="P629" s="384"/>
      <c r="Q629" s="384"/>
      <c r="R629" s="384"/>
      <c r="S629" s="660"/>
      <c r="T629" s="396"/>
      <c r="U629" s="384"/>
      <c r="V629" s="384"/>
      <c r="W629" s="384"/>
      <c r="X629" s="384"/>
      <c r="Y629" s="442"/>
      <c r="Z629" s="442"/>
      <c r="AA629" s="441"/>
      <c r="AB629" s="441"/>
      <c r="AC629" s="441"/>
      <c r="AD629" s="441"/>
      <c r="AE629" s="441"/>
      <c r="AF629" s="441"/>
      <c r="AG629" s="441"/>
      <c r="AH629" s="441"/>
      <c r="AI629" s="441"/>
      <c r="AJ629" s="441"/>
      <c r="AK629" s="395"/>
      <c r="AL629" s="395"/>
      <c r="AM629" s="395"/>
      <c r="AN629" s="395"/>
      <c r="AO629" s="395"/>
      <c r="AP629" s="410"/>
      <c r="AQ629" s="410"/>
    </row>
    <row r="630" spans="2:43" ht="15" customHeight="1">
      <c r="B630" s="394"/>
      <c r="C630" s="395"/>
      <c r="D630" s="417"/>
      <c r="E630" s="662"/>
      <c r="F630" s="417"/>
      <c r="G630" s="384"/>
      <c r="H630" s="768"/>
      <c r="I630" s="384"/>
      <c r="J630" s="384"/>
      <c r="K630" s="657"/>
      <c r="L630" s="658"/>
      <c r="M630" s="384"/>
      <c r="N630" s="384"/>
      <c r="O630" s="384"/>
      <c r="P630" s="384"/>
      <c r="Q630" s="384"/>
      <c r="R630" s="384"/>
      <c r="S630" s="660"/>
      <c r="T630" s="396"/>
      <c r="U630" s="384"/>
      <c r="V630" s="384"/>
      <c r="W630" s="384"/>
      <c r="X630" s="384"/>
      <c r="Y630" s="442"/>
      <c r="Z630" s="442"/>
      <c r="AA630" s="441"/>
      <c r="AB630" s="441"/>
      <c r="AC630" s="441"/>
      <c r="AD630" s="441"/>
      <c r="AE630" s="441"/>
      <c r="AF630" s="441"/>
      <c r="AG630" s="441"/>
      <c r="AH630" s="441"/>
      <c r="AI630" s="441"/>
      <c r="AJ630" s="441"/>
      <c r="AK630" s="395"/>
      <c r="AL630" s="395"/>
      <c r="AM630" s="395"/>
      <c r="AN630" s="395"/>
      <c r="AO630" s="395"/>
      <c r="AP630" s="410"/>
      <c r="AQ630" s="410"/>
    </row>
    <row r="631" spans="2:43" ht="15" customHeight="1">
      <c r="B631" s="394"/>
      <c r="C631" s="395"/>
      <c r="D631" s="417"/>
      <c r="E631" s="662"/>
      <c r="F631" s="417"/>
      <c r="G631" s="384"/>
      <c r="H631" s="768"/>
      <c r="I631" s="384"/>
      <c r="J631" s="384"/>
      <c r="K631" s="657"/>
      <c r="L631" s="658"/>
      <c r="M631" s="384"/>
      <c r="N631" s="384"/>
      <c r="O631" s="384"/>
      <c r="P631" s="384"/>
      <c r="Q631" s="384"/>
      <c r="R631" s="384"/>
      <c r="S631" s="660"/>
      <c r="T631" s="396"/>
      <c r="U631" s="384"/>
      <c r="V631" s="384"/>
      <c r="W631" s="384"/>
      <c r="X631" s="384"/>
      <c r="Y631" s="442"/>
      <c r="Z631" s="442"/>
      <c r="AA631" s="441"/>
      <c r="AB631" s="441"/>
      <c r="AC631" s="441"/>
      <c r="AD631" s="441"/>
      <c r="AE631" s="441"/>
      <c r="AF631" s="441"/>
      <c r="AG631" s="441"/>
      <c r="AH631" s="441"/>
      <c r="AI631" s="441"/>
      <c r="AJ631" s="441"/>
      <c r="AK631" s="395"/>
      <c r="AL631" s="395"/>
      <c r="AM631" s="395"/>
      <c r="AN631" s="395"/>
      <c r="AO631" s="395"/>
      <c r="AP631" s="410"/>
      <c r="AQ631" s="410"/>
    </row>
    <row r="632" spans="2:43" ht="15" customHeight="1">
      <c r="B632" s="394"/>
      <c r="C632" s="395"/>
      <c r="D632" s="417"/>
      <c r="E632" s="662"/>
      <c r="F632" s="417"/>
      <c r="G632" s="384"/>
      <c r="H632" s="768"/>
      <c r="I632" s="384"/>
      <c r="J632" s="384"/>
      <c r="K632" s="657"/>
      <c r="L632" s="658"/>
      <c r="M632" s="384"/>
      <c r="N632" s="384"/>
      <c r="O632" s="384"/>
      <c r="P632" s="384"/>
      <c r="Q632" s="384"/>
      <c r="R632" s="384"/>
      <c r="S632" s="660"/>
      <c r="T632" s="396"/>
      <c r="U632" s="384"/>
      <c r="V632" s="384"/>
      <c r="W632" s="384"/>
      <c r="X632" s="384"/>
      <c r="Y632" s="442"/>
      <c r="Z632" s="442"/>
      <c r="AA632" s="441"/>
      <c r="AB632" s="441"/>
      <c r="AC632" s="441"/>
      <c r="AD632" s="441"/>
      <c r="AE632" s="441"/>
      <c r="AF632" s="441"/>
      <c r="AG632" s="441"/>
      <c r="AH632" s="441"/>
      <c r="AI632" s="441"/>
      <c r="AJ632" s="441"/>
      <c r="AK632" s="395"/>
      <c r="AL632" s="395"/>
      <c r="AM632" s="395"/>
      <c r="AN632" s="395"/>
      <c r="AO632" s="395"/>
      <c r="AP632" s="410"/>
      <c r="AQ632" s="410"/>
    </row>
    <row r="633" spans="2:43" ht="15" customHeight="1">
      <c r="B633" s="394"/>
      <c r="C633" s="395"/>
      <c r="D633" s="417"/>
      <c r="E633" s="662"/>
      <c r="F633" s="417"/>
      <c r="G633" s="384"/>
      <c r="H633" s="768"/>
      <c r="I633" s="384"/>
      <c r="J633" s="384"/>
      <c r="K633" s="657"/>
      <c r="L633" s="658"/>
      <c r="M633" s="384"/>
      <c r="N633" s="384"/>
      <c r="O633" s="384"/>
      <c r="P633" s="384"/>
      <c r="Q633" s="384"/>
      <c r="R633" s="384"/>
      <c r="S633" s="660"/>
      <c r="T633" s="396"/>
      <c r="U633" s="384"/>
      <c r="V633" s="384"/>
      <c r="W633" s="384"/>
      <c r="X633" s="384"/>
      <c r="Y633" s="442"/>
      <c r="Z633" s="442"/>
      <c r="AA633" s="441"/>
      <c r="AB633" s="441"/>
      <c r="AC633" s="441"/>
      <c r="AD633" s="441"/>
      <c r="AE633" s="441"/>
      <c r="AF633" s="441"/>
      <c r="AG633" s="441"/>
      <c r="AH633" s="441"/>
      <c r="AI633" s="441"/>
      <c r="AJ633" s="441"/>
      <c r="AK633" s="395"/>
      <c r="AL633" s="395"/>
      <c r="AM633" s="395"/>
      <c r="AN633" s="395"/>
      <c r="AO633" s="395"/>
      <c r="AP633" s="410"/>
      <c r="AQ633" s="410"/>
    </row>
    <row r="634" spans="2:43" ht="15" customHeight="1">
      <c r="B634" s="394"/>
      <c r="C634" s="395"/>
      <c r="D634" s="417"/>
      <c r="E634" s="662"/>
      <c r="F634" s="417"/>
      <c r="G634" s="384"/>
      <c r="H634" s="768"/>
      <c r="I634" s="384"/>
      <c r="J634" s="384"/>
      <c r="K634" s="657"/>
      <c r="L634" s="658"/>
      <c r="M634" s="384"/>
      <c r="N634" s="384"/>
      <c r="O634" s="384"/>
      <c r="P634" s="384"/>
      <c r="Q634" s="384"/>
      <c r="R634" s="384"/>
      <c r="S634" s="660"/>
      <c r="T634" s="396"/>
      <c r="U634" s="384"/>
      <c r="V634" s="384"/>
      <c r="W634" s="384"/>
      <c r="X634" s="384"/>
      <c r="Y634" s="442"/>
      <c r="Z634" s="442"/>
      <c r="AA634" s="441"/>
      <c r="AB634" s="441"/>
      <c r="AC634" s="441"/>
      <c r="AD634" s="441"/>
      <c r="AE634" s="441"/>
      <c r="AF634" s="441"/>
      <c r="AG634" s="441"/>
      <c r="AH634" s="441"/>
      <c r="AI634" s="441"/>
      <c r="AJ634" s="441"/>
      <c r="AK634" s="395"/>
      <c r="AL634" s="395"/>
      <c r="AM634" s="395"/>
      <c r="AN634" s="395"/>
      <c r="AO634" s="395"/>
      <c r="AP634" s="410"/>
      <c r="AQ634" s="410"/>
    </row>
    <row r="635" spans="2:43" ht="15" customHeight="1">
      <c r="B635" s="394"/>
      <c r="C635" s="395"/>
      <c r="D635" s="417"/>
      <c r="E635" s="662"/>
      <c r="F635" s="417"/>
      <c r="G635" s="384"/>
      <c r="H635" s="768"/>
      <c r="I635" s="384"/>
      <c r="J635" s="384"/>
      <c r="K635" s="657"/>
      <c r="L635" s="658"/>
      <c r="M635" s="384"/>
      <c r="N635" s="384"/>
      <c r="O635" s="384"/>
      <c r="P635" s="384"/>
      <c r="Q635" s="384"/>
      <c r="R635" s="384"/>
      <c r="S635" s="660"/>
      <c r="T635" s="396"/>
      <c r="U635" s="384"/>
      <c r="V635" s="384"/>
      <c r="W635" s="384"/>
      <c r="X635" s="384"/>
      <c r="Y635" s="442"/>
      <c r="Z635" s="442"/>
      <c r="AA635" s="441"/>
      <c r="AB635" s="441"/>
      <c r="AC635" s="441"/>
      <c r="AD635" s="441"/>
      <c r="AE635" s="441"/>
      <c r="AF635" s="441"/>
      <c r="AG635" s="441"/>
      <c r="AH635" s="441"/>
      <c r="AI635" s="441"/>
      <c r="AJ635" s="441"/>
      <c r="AK635" s="395"/>
      <c r="AL635" s="395"/>
      <c r="AM635" s="395"/>
      <c r="AN635" s="395"/>
      <c r="AO635" s="395"/>
      <c r="AP635" s="410"/>
      <c r="AQ635" s="410"/>
    </row>
    <row r="636" spans="2:43" ht="15" customHeight="1">
      <c r="B636" s="394"/>
      <c r="C636" s="395"/>
      <c r="D636" s="417"/>
      <c r="E636" s="662"/>
      <c r="F636" s="417"/>
      <c r="G636" s="384"/>
      <c r="H636" s="768"/>
      <c r="I636" s="384"/>
      <c r="J636" s="384"/>
      <c r="K636" s="657"/>
      <c r="L636" s="658"/>
      <c r="M636" s="384"/>
      <c r="N636" s="384"/>
      <c r="O636" s="384"/>
      <c r="P636" s="384"/>
      <c r="Q636" s="384"/>
      <c r="R636" s="384"/>
      <c r="S636" s="660"/>
      <c r="T636" s="396"/>
      <c r="U636" s="384"/>
      <c r="V636" s="384"/>
      <c r="W636" s="384"/>
      <c r="X636" s="384"/>
      <c r="Y636" s="442"/>
      <c r="Z636" s="442"/>
      <c r="AA636" s="441"/>
      <c r="AB636" s="441"/>
      <c r="AC636" s="441"/>
      <c r="AD636" s="441"/>
      <c r="AE636" s="441"/>
      <c r="AF636" s="441"/>
      <c r="AG636" s="441"/>
      <c r="AH636" s="441"/>
      <c r="AI636" s="441"/>
      <c r="AJ636" s="441"/>
      <c r="AK636" s="395"/>
      <c r="AL636" s="395"/>
      <c r="AM636" s="395"/>
      <c r="AN636" s="395"/>
      <c r="AO636" s="395"/>
      <c r="AP636" s="410"/>
      <c r="AQ636" s="410"/>
    </row>
    <row r="637" spans="2:43" ht="15" customHeight="1">
      <c r="B637" s="394"/>
      <c r="C637" s="395"/>
      <c r="D637" s="417"/>
      <c r="E637" s="662"/>
      <c r="F637" s="417"/>
      <c r="G637" s="384"/>
      <c r="H637" s="768"/>
      <c r="I637" s="384"/>
      <c r="J637" s="384"/>
      <c r="K637" s="657"/>
      <c r="L637" s="658"/>
      <c r="M637" s="384"/>
      <c r="N637" s="384"/>
      <c r="O637" s="384"/>
      <c r="P637" s="384"/>
      <c r="Q637" s="384"/>
      <c r="R637" s="384"/>
      <c r="S637" s="660"/>
      <c r="T637" s="396"/>
      <c r="U637" s="384"/>
      <c r="V637" s="384"/>
      <c r="W637" s="384"/>
      <c r="X637" s="384"/>
      <c r="Y637" s="442"/>
      <c r="Z637" s="442"/>
      <c r="AA637" s="441"/>
      <c r="AB637" s="441"/>
      <c r="AC637" s="441"/>
      <c r="AD637" s="441"/>
      <c r="AE637" s="441"/>
      <c r="AF637" s="441"/>
      <c r="AG637" s="441"/>
      <c r="AH637" s="441"/>
      <c r="AI637" s="441"/>
      <c r="AJ637" s="441"/>
      <c r="AK637" s="395"/>
      <c r="AL637" s="395"/>
      <c r="AM637" s="395"/>
      <c r="AN637" s="395"/>
      <c r="AO637" s="395"/>
      <c r="AP637" s="410"/>
      <c r="AQ637" s="410"/>
    </row>
    <row r="638" spans="2:43" ht="15" customHeight="1">
      <c r="B638" s="394"/>
      <c r="C638" s="395"/>
      <c r="D638" s="417"/>
      <c r="E638" s="662"/>
      <c r="F638" s="417"/>
      <c r="G638" s="384"/>
      <c r="H638" s="768"/>
      <c r="I638" s="384"/>
      <c r="J638" s="384"/>
      <c r="K638" s="657"/>
      <c r="L638" s="658"/>
      <c r="M638" s="384"/>
      <c r="N638" s="384"/>
      <c r="O638" s="384"/>
      <c r="P638" s="384"/>
      <c r="Q638" s="384"/>
      <c r="R638" s="384"/>
      <c r="S638" s="660"/>
      <c r="T638" s="396"/>
      <c r="U638" s="384"/>
      <c r="V638" s="384"/>
      <c r="W638" s="384"/>
      <c r="X638" s="384"/>
      <c r="Y638" s="442"/>
      <c r="Z638" s="442"/>
      <c r="AA638" s="441"/>
      <c r="AB638" s="441"/>
      <c r="AC638" s="441"/>
      <c r="AD638" s="441"/>
      <c r="AE638" s="441"/>
      <c r="AF638" s="441"/>
      <c r="AG638" s="441"/>
      <c r="AH638" s="441"/>
      <c r="AI638" s="441"/>
      <c r="AJ638" s="441"/>
      <c r="AK638" s="395"/>
      <c r="AL638" s="395"/>
      <c r="AM638" s="395"/>
      <c r="AN638" s="395"/>
      <c r="AO638" s="395"/>
      <c r="AP638" s="410"/>
      <c r="AQ638" s="410"/>
    </row>
    <row r="639" spans="2:43" ht="15" customHeight="1">
      <c r="B639" s="394"/>
      <c r="C639" s="395"/>
      <c r="D639" s="417"/>
      <c r="E639" s="662"/>
      <c r="F639" s="417"/>
      <c r="G639" s="384"/>
      <c r="H639" s="768"/>
      <c r="I639" s="384"/>
      <c r="J639" s="384"/>
      <c r="K639" s="657"/>
      <c r="L639" s="658"/>
      <c r="M639" s="384"/>
      <c r="N639" s="384"/>
      <c r="O639" s="384"/>
      <c r="P639" s="384"/>
      <c r="Q639" s="384"/>
      <c r="R639" s="384"/>
      <c r="S639" s="660"/>
      <c r="T639" s="396"/>
      <c r="U639" s="384"/>
      <c r="V639" s="384"/>
      <c r="W639" s="384"/>
      <c r="X639" s="384"/>
      <c r="Y639" s="442"/>
      <c r="Z639" s="442"/>
      <c r="AA639" s="441"/>
      <c r="AB639" s="441"/>
      <c r="AC639" s="441"/>
      <c r="AD639" s="441"/>
      <c r="AE639" s="441"/>
      <c r="AF639" s="441"/>
      <c r="AG639" s="441"/>
      <c r="AH639" s="441"/>
      <c r="AI639" s="441"/>
      <c r="AJ639" s="441"/>
      <c r="AK639" s="395"/>
      <c r="AL639" s="395"/>
      <c r="AM639" s="395"/>
      <c r="AN639" s="395"/>
      <c r="AO639" s="395"/>
      <c r="AP639" s="410"/>
      <c r="AQ639" s="410"/>
    </row>
    <row r="640" spans="2:43" ht="15" customHeight="1">
      <c r="B640" s="394"/>
      <c r="C640" s="395"/>
      <c r="D640" s="417"/>
      <c r="E640" s="662"/>
      <c r="F640" s="417"/>
      <c r="G640" s="384"/>
      <c r="H640" s="768"/>
      <c r="I640" s="384"/>
      <c r="J640" s="384"/>
      <c r="K640" s="657"/>
      <c r="L640" s="658"/>
      <c r="M640" s="384"/>
      <c r="N640" s="384"/>
      <c r="O640" s="384"/>
      <c r="P640" s="384"/>
      <c r="Q640" s="384"/>
      <c r="R640" s="384"/>
      <c r="S640" s="660"/>
      <c r="T640" s="396"/>
      <c r="U640" s="384"/>
      <c r="V640" s="384"/>
      <c r="W640" s="384"/>
      <c r="X640" s="384"/>
      <c r="Y640" s="442"/>
      <c r="Z640" s="442"/>
      <c r="AA640" s="441"/>
      <c r="AB640" s="441"/>
      <c r="AC640" s="441"/>
      <c r="AD640" s="441"/>
      <c r="AE640" s="441"/>
      <c r="AF640" s="441"/>
      <c r="AG640" s="441"/>
      <c r="AH640" s="441"/>
      <c r="AI640" s="441"/>
      <c r="AJ640" s="441"/>
      <c r="AK640" s="395"/>
      <c r="AL640" s="395"/>
      <c r="AM640" s="395"/>
      <c r="AN640" s="395"/>
      <c r="AO640" s="395"/>
      <c r="AP640" s="410"/>
      <c r="AQ640" s="410"/>
    </row>
    <row r="641" spans="2:43" ht="15" customHeight="1">
      <c r="B641" s="394"/>
      <c r="C641" s="395"/>
      <c r="D641" s="417"/>
      <c r="E641" s="662"/>
      <c r="F641" s="417"/>
      <c r="G641" s="384"/>
      <c r="H641" s="768"/>
      <c r="I641" s="384"/>
      <c r="J641" s="384"/>
      <c r="K641" s="657"/>
      <c r="L641" s="658"/>
      <c r="M641" s="384"/>
      <c r="N641" s="384"/>
      <c r="O641" s="384"/>
      <c r="P641" s="384"/>
      <c r="Q641" s="384"/>
      <c r="R641" s="384"/>
      <c r="S641" s="660"/>
      <c r="T641" s="396"/>
      <c r="U641" s="384"/>
      <c r="V641" s="384"/>
      <c r="W641" s="384"/>
      <c r="X641" s="384"/>
      <c r="Y641" s="442"/>
      <c r="Z641" s="442"/>
      <c r="AA641" s="441"/>
      <c r="AB641" s="441"/>
      <c r="AC641" s="441"/>
      <c r="AD641" s="441"/>
      <c r="AE641" s="441"/>
      <c r="AF641" s="441"/>
      <c r="AG641" s="441"/>
      <c r="AH641" s="441"/>
      <c r="AI641" s="441"/>
      <c r="AJ641" s="441"/>
      <c r="AK641" s="395"/>
      <c r="AL641" s="395"/>
      <c r="AM641" s="395"/>
      <c r="AN641" s="395"/>
      <c r="AO641" s="395"/>
      <c r="AP641" s="410"/>
      <c r="AQ641" s="410"/>
    </row>
    <row r="642" spans="2:43" ht="15" customHeight="1">
      <c r="B642" s="394"/>
      <c r="C642" s="395"/>
      <c r="D642" s="417"/>
      <c r="E642" s="662"/>
      <c r="F642" s="417"/>
      <c r="G642" s="384"/>
      <c r="H642" s="768"/>
      <c r="I642" s="384"/>
      <c r="J642" s="384"/>
      <c r="K642" s="657"/>
      <c r="L642" s="658"/>
      <c r="M642" s="384"/>
      <c r="N642" s="384"/>
      <c r="O642" s="384"/>
      <c r="P642" s="384"/>
      <c r="Q642" s="384"/>
      <c r="R642" s="384"/>
      <c r="S642" s="660"/>
      <c r="T642" s="396"/>
      <c r="U642" s="384"/>
      <c r="V642" s="384"/>
      <c r="W642" s="384"/>
      <c r="X642" s="384"/>
      <c r="Y642" s="442"/>
      <c r="Z642" s="442"/>
      <c r="AA642" s="441"/>
      <c r="AB642" s="441"/>
      <c r="AC642" s="441"/>
      <c r="AD642" s="441"/>
      <c r="AE642" s="441"/>
      <c r="AF642" s="441"/>
      <c r="AG642" s="441"/>
      <c r="AH642" s="441"/>
      <c r="AI642" s="441"/>
      <c r="AJ642" s="441"/>
      <c r="AK642" s="395"/>
      <c r="AL642" s="395"/>
      <c r="AM642" s="395"/>
      <c r="AN642" s="395"/>
      <c r="AO642" s="395"/>
      <c r="AP642" s="410"/>
      <c r="AQ642" s="410"/>
    </row>
    <row r="643" spans="2:43" ht="15" customHeight="1">
      <c r="B643" s="394"/>
      <c r="C643" s="395"/>
      <c r="D643" s="417"/>
      <c r="E643" s="662"/>
      <c r="F643" s="417"/>
      <c r="G643" s="384"/>
      <c r="H643" s="768"/>
      <c r="I643" s="384"/>
      <c r="J643" s="384"/>
      <c r="K643" s="657"/>
      <c r="L643" s="658"/>
      <c r="M643" s="384"/>
      <c r="N643" s="384"/>
      <c r="O643" s="384"/>
      <c r="P643" s="384"/>
      <c r="Q643" s="384"/>
      <c r="R643" s="384"/>
      <c r="S643" s="660"/>
      <c r="T643" s="396"/>
      <c r="U643" s="384"/>
      <c r="V643" s="384"/>
      <c r="W643" s="384"/>
      <c r="X643" s="384"/>
      <c r="Y643" s="442"/>
      <c r="Z643" s="442"/>
      <c r="AA643" s="441"/>
      <c r="AB643" s="441"/>
      <c r="AC643" s="441"/>
      <c r="AD643" s="441"/>
      <c r="AE643" s="441"/>
      <c r="AF643" s="441"/>
      <c r="AG643" s="441"/>
      <c r="AH643" s="441"/>
      <c r="AI643" s="441"/>
      <c r="AJ643" s="441"/>
      <c r="AK643" s="395"/>
      <c r="AL643" s="395"/>
      <c r="AM643" s="395"/>
      <c r="AN643" s="395"/>
      <c r="AO643" s="395"/>
      <c r="AP643" s="410"/>
      <c r="AQ643" s="410"/>
    </row>
    <row r="644" spans="2:43" ht="15" customHeight="1">
      <c r="B644" s="394"/>
      <c r="C644" s="395"/>
      <c r="D644" s="417"/>
      <c r="E644" s="662"/>
      <c r="F644" s="417"/>
      <c r="G644" s="384"/>
      <c r="H644" s="768"/>
      <c r="I644" s="384"/>
      <c r="J644" s="384"/>
      <c r="K644" s="657"/>
      <c r="L644" s="658"/>
      <c r="M644" s="384"/>
      <c r="N644" s="384"/>
      <c r="O644" s="384"/>
      <c r="P644" s="384"/>
      <c r="Q644" s="384"/>
      <c r="R644" s="384"/>
      <c r="S644" s="660"/>
      <c r="T644" s="396"/>
      <c r="U644" s="384"/>
      <c r="V644" s="384"/>
      <c r="W644" s="384"/>
      <c r="X644" s="384"/>
      <c r="Y644" s="442"/>
      <c r="Z644" s="442"/>
      <c r="AA644" s="441"/>
      <c r="AB644" s="441"/>
      <c r="AC644" s="441"/>
      <c r="AD644" s="441"/>
      <c r="AE644" s="441"/>
      <c r="AF644" s="441"/>
      <c r="AG644" s="441"/>
      <c r="AH644" s="441"/>
      <c r="AI644" s="441"/>
      <c r="AJ644" s="441"/>
      <c r="AK644" s="395"/>
      <c r="AL644" s="395"/>
      <c r="AM644" s="395"/>
      <c r="AN644" s="395"/>
      <c r="AO644" s="395"/>
      <c r="AP644" s="410"/>
      <c r="AQ644" s="410"/>
    </row>
    <row r="645" spans="2:43" ht="15" customHeight="1">
      <c r="B645" s="394"/>
      <c r="C645" s="395"/>
      <c r="D645" s="417"/>
      <c r="E645" s="662"/>
      <c r="F645" s="417"/>
      <c r="G645" s="384"/>
      <c r="H645" s="768"/>
      <c r="I645" s="384"/>
      <c r="J645" s="384"/>
      <c r="K645" s="657"/>
      <c r="L645" s="658"/>
      <c r="M645" s="384"/>
      <c r="N645" s="384"/>
      <c r="O645" s="384"/>
      <c r="P645" s="384"/>
      <c r="Q645" s="384"/>
      <c r="R645" s="384"/>
      <c r="S645" s="660"/>
      <c r="T645" s="396"/>
      <c r="U645" s="384"/>
      <c r="V645" s="384"/>
      <c r="W645" s="384"/>
      <c r="X645" s="384"/>
      <c r="Y645" s="442"/>
      <c r="Z645" s="442"/>
      <c r="AA645" s="441"/>
      <c r="AB645" s="441"/>
      <c r="AC645" s="441"/>
      <c r="AD645" s="441"/>
      <c r="AE645" s="441"/>
      <c r="AF645" s="441"/>
      <c r="AG645" s="441"/>
      <c r="AH645" s="441"/>
      <c r="AI645" s="441"/>
      <c r="AJ645" s="441"/>
      <c r="AK645" s="395"/>
      <c r="AL645" s="395"/>
      <c r="AM645" s="395"/>
      <c r="AN645" s="395"/>
      <c r="AO645" s="395"/>
      <c r="AP645" s="410"/>
      <c r="AQ645" s="410"/>
    </row>
    <row r="646" spans="2:43" ht="15" customHeight="1">
      <c r="B646" s="394"/>
      <c r="C646" s="395"/>
      <c r="D646" s="417"/>
      <c r="E646" s="662"/>
      <c r="F646" s="417"/>
      <c r="G646" s="384"/>
      <c r="H646" s="768"/>
      <c r="I646" s="384"/>
      <c r="J646" s="384"/>
      <c r="K646" s="657"/>
      <c r="L646" s="658"/>
      <c r="M646" s="384"/>
      <c r="N646" s="384"/>
      <c r="O646" s="384"/>
      <c r="P646" s="384"/>
      <c r="Q646" s="384"/>
      <c r="R646" s="384"/>
      <c r="S646" s="660"/>
      <c r="T646" s="396"/>
      <c r="U646" s="384"/>
      <c r="V646" s="384"/>
      <c r="W646" s="384"/>
      <c r="X646" s="384"/>
      <c r="Y646" s="442"/>
      <c r="Z646" s="442"/>
      <c r="AA646" s="441"/>
      <c r="AB646" s="441"/>
      <c r="AC646" s="441"/>
      <c r="AD646" s="441"/>
      <c r="AE646" s="441"/>
      <c r="AF646" s="441"/>
      <c r="AG646" s="441"/>
      <c r="AH646" s="441"/>
      <c r="AI646" s="441"/>
      <c r="AJ646" s="441"/>
      <c r="AK646" s="395"/>
      <c r="AL646" s="395"/>
      <c r="AM646" s="395"/>
      <c r="AN646" s="395"/>
      <c r="AO646" s="395"/>
      <c r="AP646" s="410"/>
      <c r="AQ646" s="410"/>
    </row>
    <row r="647" spans="2:43" ht="15" customHeight="1">
      <c r="B647" s="394"/>
      <c r="C647" s="395"/>
      <c r="D647" s="417"/>
      <c r="E647" s="662"/>
      <c r="F647" s="417"/>
      <c r="G647" s="384"/>
      <c r="H647" s="768"/>
      <c r="I647" s="384"/>
      <c r="J647" s="384"/>
      <c r="K647" s="657"/>
      <c r="L647" s="658"/>
      <c r="M647" s="384"/>
      <c r="N647" s="384"/>
      <c r="O647" s="384"/>
      <c r="P647" s="384"/>
      <c r="Q647" s="384"/>
      <c r="R647" s="384"/>
      <c r="S647" s="660"/>
      <c r="T647" s="396"/>
      <c r="U647" s="384"/>
      <c r="V647" s="384"/>
      <c r="W647" s="384"/>
      <c r="X647" s="384"/>
      <c r="Y647" s="442"/>
      <c r="Z647" s="442"/>
      <c r="AA647" s="441"/>
      <c r="AB647" s="441"/>
      <c r="AC647" s="441"/>
      <c r="AD647" s="441"/>
      <c r="AE647" s="441"/>
      <c r="AF647" s="441"/>
      <c r="AG647" s="441"/>
      <c r="AH647" s="441"/>
      <c r="AI647" s="441"/>
      <c r="AJ647" s="441"/>
      <c r="AK647" s="395"/>
      <c r="AL647" s="395"/>
      <c r="AM647" s="395"/>
      <c r="AN647" s="395"/>
      <c r="AO647" s="395"/>
      <c r="AP647" s="410"/>
      <c r="AQ647" s="410"/>
    </row>
    <row r="648" spans="2:43" ht="15" customHeight="1">
      <c r="B648" s="394"/>
      <c r="C648" s="395"/>
      <c r="D648" s="417"/>
      <c r="E648" s="662"/>
      <c r="F648" s="417"/>
      <c r="G648" s="384"/>
      <c r="H648" s="768"/>
      <c r="I648" s="384"/>
      <c r="J648" s="384"/>
      <c r="K648" s="657"/>
      <c r="L648" s="658"/>
      <c r="M648" s="384"/>
      <c r="N648" s="384"/>
      <c r="O648" s="384"/>
      <c r="P648" s="384"/>
      <c r="Q648" s="384"/>
      <c r="R648" s="384"/>
      <c r="S648" s="660"/>
      <c r="T648" s="396"/>
      <c r="U648" s="384"/>
      <c r="V648" s="384"/>
      <c r="W648" s="384"/>
      <c r="X648" s="384"/>
      <c r="Y648" s="442"/>
      <c r="Z648" s="442"/>
      <c r="AA648" s="441"/>
      <c r="AB648" s="441"/>
      <c r="AC648" s="441"/>
      <c r="AD648" s="441"/>
      <c r="AE648" s="441"/>
      <c r="AF648" s="441"/>
      <c r="AG648" s="441"/>
      <c r="AH648" s="441"/>
      <c r="AI648" s="441"/>
      <c r="AJ648" s="441"/>
      <c r="AK648" s="395"/>
      <c r="AL648" s="395"/>
      <c r="AM648" s="395"/>
      <c r="AN648" s="395"/>
      <c r="AO648" s="395"/>
      <c r="AP648" s="410"/>
      <c r="AQ648" s="410"/>
    </row>
    <row r="649" spans="2:43" ht="15" customHeight="1">
      <c r="B649" s="394"/>
      <c r="C649" s="395"/>
      <c r="D649" s="417"/>
      <c r="E649" s="662"/>
      <c r="F649" s="417"/>
      <c r="G649" s="384"/>
      <c r="H649" s="768"/>
      <c r="I649" s="384"/>
      <c r="J649" s="384"/>
      <c r="K649" s="657"/>
      <c r="L649" s="658"/>
      <c r="M649" s="384"/>
      <c r="N649" s="384"/>
      <c r="O649" s="384"/>
      <c r="P649" s="384"/>
      <c r="Q649" s="384"/>
      <c r="R649" s="384"/>
      <c r="S649" s="660"/>
      <c r="T649" s="396"/>
      <c r="U649" s="384"/>
      <c r="V649" s="384"/>
      <c r="W649" s="384"/>
      <c r="X649" s="384"/>
      <c r="Y649" s="442"/>
      <c r="Z649" s="442"/>
      <c r="AA649" s="441"/>
      <c r="AB649" s="441"/>
      <c r="AC649" s="441"/>
      <c r="AD649" s="441"/>
      <c r="AE649" s="441"/>
      <c r="AF649" s="441"/>
      <c r="AG649" s="441"/>
      <c r="AH649" s="441"/>
      <c r="AI649" s="441"/>
      <c r="AJ649" s="441"/>
      <c r="AK649" s="395"/>
      <c r="AL649" s="395"/>
      <c r="AM649" s="395"/>
      <c r="AN649" s="395"/>
      <c r="AO649" s="395"/>
      <c r="AP649" s="410"/>
      <c r="AQ649" s="410"/>
    </row>
    <row r="650" spans="2:43" ht="15" customHeight="1">
      <c r="B650" s="394"/>
      <c r="C650" s="395"/>
      <c r="D650" s="417"/>
      <c r="E650" s="662"/>
      <c r="F650" s="417"/>
      <c r="G650" s="384"/>
      <c r="H650" s="768"/>
      <c r="I650" s="384"/>
      <c r="J650" s="384"/>
      <c r="K650" s="657"/>
      <c r="L650" s="658"/>
      <c r="M650" s="384"/>
      <c r="N650" s="384"/>
      <c r="O650" s="384"/>
      <c r="P650" s="384"/>
      <c r="Q650" s="384"/>
      <c r="R650" s="384"/>
      <c r="S650" s="660"/>
      <c r="T650" s="396"/>
      <c r="U650" s="384"/>
      <c r="V650" s="384"/>
      <c r="W650" s="384"/>
      <c r="X650" s="384"/>
      <c r="Y650" s="442"/>
      <c r="Z650" s="442"/>
      <c r="AA650" s="441"/>
      <c r="AB650" s="441"/>
      <c r="AC650" s="441"/>
      <c r="AD650" s="441"/>
      <c r="AE650" s="441"/>
      <c r="AF650" s="441"/>
      <c r="AG650" s="441"/>
      <c r="AH650" s="441"/>
      <c r="AI650" s="441"/>
      <c r="AJ650" s="441"/>
      <c r="AK650" s="395"/>
      <c r="AL650" s="395"/>
      <c r="AM650" s="395"/>
      <c r="AN650" s="395"/>
      <c r="AO650" s="395"/>
      <c r="AP650" s="410"/>
      <c r="AQ650" s="410"/>
    </row>
    <row r="651" spans="2:43" ht="15" customHeight="1">
      <c r="B651" s="394"/>
      <c r="C651" s="395"/>
      <c r="D651" s="417"/>
      <c r="E651" s="662"/>
      <c r="F651" s="417"/>
      <c r="G651" s="384"/>
      <c r="H651" s="768"/>
      <c r="I651" s="384"/>
      <c r="J651" s="384"/>
      <c r="K651" s="657"/>
      <c r="L651" s="658"/>
      <c r="M651" s="384"/>
      <c r="N651" s="384"/>
      <c r="O651" s="384"/>
      <c r="P651" s="384"/>
      <c r="Q651" s="384"/>
      <c r="R651" s="384"/>
      <c r="S651" s="660"/>
      <c r="T651" s="396"/>
      <c r="U651" s="384"/>
      <c r="V651" s="384"/>
      <c r="W651" s="384"/>
      <c r="X651" s="384"/>
      <c r="Y651" s="442"/>
      <c r="Z651" s="442"/>
      <c r="AA651" s="441"/>
      <c r="AB651" s="441"/>
      <c r="AC651" s="441"/>
      <c r="AD651" s="441"/>
      <c r="AE651" s="441"/>
      <c r="AF651" s="441"/>
      <c r="AG651" s="441"/>
      <c r="AH651" s="441"/>
      <c r="AI651" s="441"/>
      <c r="AJ651" s="441"/>
      <c r="AK651" s="395"/>
      <c r="AL651" s="395"/>
      <c r="AM651" s="395"/>
      <c r="AN651" s="395"/>
      <c r="AO651" s="395"/>
      <c r="AP651" s="410"/>
      <c r="AQ651" s="410"/>
    </row>
    <row r="652" spans="2:43" ht="15" customHeight="1">
      <c r="B652" s="394"/>
      <c r="C652" s="395"/>
      <c r="D652" s="417"/>
      <c r="E652" s="662"/>
      <c r="F652" s="417"/>
      <c r="G652" s="384"/>
      <c r="H652" s="768"/>
      <c r="I652" s="384"/>
      <c r="J652" s="384"/>
      <c r="K652" s="657"/>
      <c r="L652" s="658"/>
      <c r="M652" s="384"/>
      <c r="N652" s="384"/>
      <c r="O652" s="384"/>
      <c r="P652" s="384"/>
      <c r="Q652" s="384"/>
      <c r="R652" s="384"/>
      <c r="S652" s="660"/>
      <c r="T652" s="396"/>
      <c r="U652" s="384"/>
      <c r="V652" s="384"/>
      <c r="W652" s="384"/>
      <c r="X652" s="384"/>
      <c r="Y652" s="442"/>
      <c r="Z652" s="442"/>
      <c r="AA652" s="441"/>
      <c r="AB652" s="441"/>
      <c r="AC652" s="441"/>
      <c r="AD652" s="441"/>
      <c r="AE652" s="441"/>
      <c r="AF652" s="441"/>
      <c r="AG652" s="441"/>
      <c r="AH652" s="441"/>
      <c r="AI652" s="441"/>
      <c r="AJ652" s="441"/>
      <c r="AK652" s="395"/>
      <c r="AL652" s="395"/>
      <c r="AM652" s="395"/>
      <c r="AN652" s="395"/>
      <c r="AO652" s="395"/>
      <c r="AP652" s="410"/>
      <c r="AQ652" s="410"/>
    </row>
    <row r="653" spans="2:43" ht="15" customHeight="1">
      <c r="B653" s="394"/>
      <c r="C653" s="395"/>
      <c r="D653" s="417"/>
      <c r="E653" s="662"/>
      <c r="F653" s="417"/>
      <c r="G653" s="384"/>
      <c r="H653" s="768"/>
      <c r="I653" s="384"/>
      <c r="J653" s="384"/>
      <c r="K653" s="657"/>
      <c r="L653" s="658"/>
      <c r="M653" s="384"/>
      <c r="N653" s="384"/>
      <c r="O653" s="384"/>
      <c r="P653" s="384"/>
      <c r="Q653" s="384"/>
      <c r="R653" s="384"/>
      <c r="S653" s="660"/>
      <c r="T653" s="396"/>
      <c r="U653" s="384"/>
      <c r="V653" s="384"/>
      <c r="W653" s="384"/>
      <c r="X653" s="384"/>
      <c r="Y653" s="442"/>
      <c r="Z653" s="442"/>
      <c r="AA653" s="441"/>
      <c r="AB653" s="441"/>
      <c r="AC653" s="441"/>
      <c r="AD653" s="441"/>
      <c r="AE653" s="441"/>
      <c r="AF653" s="441"/>
      <c r="AG653" s="441"/>
      <c r="AH653" s="441"/>
      <c r="AI653" s="441"/>
      <c r="AJ653" s="441"/>
      <c r="AK653" s="395"/>
      <c r="AL653" s="395"/>
      <c r="AM653" s="395"/>
      <c r="AN653" s="395"/>
      <c r="AO653" s="395"/>
      <c r="AP653" s="410"/>
      <c r="AQ653" s="410"/>
    </row>
    <row r="654" spans="2:43" ht="15" customHeight="1">
      <c r="B654" s="394"/>
      <c r="C654" s="395"/>
      <c r="D654" s="417"/>
      <c r="E654" s="662"/>
      <c r="F654" s="417"/>
      <c r="G654" s="384"/>
      <c r="H654" s="768"/>
      <c r="I654" s="384"/>
      <c r="J654" s="384"/>
      <c r="K654" s="657"/>
      <c r="L654" s="658"/>
      <c r="M654" s="384"/>
      <c r="N654" s="384"/>
      <c r="O654" s="384"/>
      <c r="P654" s="384"/>
      <c r="Q654" s="384"/>
      <c r="R654" s="384"/>
      <c r="S654" s="660"/>
      <c r="T654" s="396"/>
      <c r="U654" s="384"/>
      <c r="V654" s="384"/>
      <c r="W654" s="384"/>
      <c r="X654" s="384"/>
      <c r="Y654" s="442"/>
      <c r="Z654" s="442"/>
      <c r="AA654" s="441"/>
      <c r="AB654" s="441"/>
      <c r="AC654" s="441"/>
      <c r="AD654" s="441"/>
      <c r="AE654" s="441"/>
      <c r="AF654" s="441"/>
      <c r="AG654" s="441"/>
      <c r="AH654" s="441"/>
      <c r="AI654" s="441"/>
      <c r="AJ654" s="441"/>
      <c r="AK654" s="395"/>
      <c r="AL654" s="395"/>
      <c r="AM654" s="395"/>
      <c r="AN654" s="395"/>
      <c r="AO654" s="395"/>
      <c r="AP654" s="410"/>
      <c r="AQ654" s="410"/>
    </row>
    <row r="655" spans="2:43" ht="15" customHeight="1">
      <c r="B655" s="394"/>
      <c r="C655" s="395"/>
      <c r="D655" s="417"/>
      <c r="E655" s="662"/>
      <c r="F655" s="417"/>
      <c r="G655" s="384"/>
      <c r="H655" s="768"/>
      <c r="I655" s="384"/>
      <c r="J655" s="384"/>
      <c r="K655" s="657"/>
      <c r="L655" s="658"/>
      <c r="M655" s="384"/>
      <c r="N655" s="384"/>
      <c r="O655" s="384"/>
      <c r="P655" s="384"/>
      <c r="Q655" s="384"/>
      <c r="R655" s="384"/>
      <c r="S655" s="660"/>
      <c r="T655" s="396"/>
      <c r="U655" s="384"/>
      <c r="V655" s="384"/>
      <c r="W655" s="384"/>
      <c r="X655" s="384"/>
      <c r="Y655" s="442"/>
      <c r="Z655" s="442"/>
      <c r="AA655" s="441"/>
      <c r="AB655" s="441"/>
      <c r="AC655" s="441"/>
      <c r="AD655" s="441"/>
      <c r="AE655" s="441"/>
      <c r="AF655" s="441"/>
      <c r="AG655" s="441"/>
      <c r="AH655" s="441"/>
      <c r="AI655" s="441"/>
      <c r="AJ655" s="441"/>
      <c r="AK655" s="395"/>
      <c r="AL655" s="395"/>
      <c r="AM655" s="395"/>
      <c r="AN655" s="395"/>
      <c r="AO655" s="395"/>
      <c r="AP655" s="410"/>
      <c r="AQ655" s="410"/>
    </row>
    <row r="656" spans="2:43" ht="15" customHeight="1">
      <c r="B656" s="394"/>
      <c r="C656" s="395"/>
      <c r="D656" s="417"/>
      <c r="E656" s="662"/>
      <c r="F656" s="417"/>
      <c r="G656" s="384"/>
      <c r="H656" s="768"/>
      <c r="I656" s="384"/>
      <c r="J656" s="384"/>
      <c r="K656" s="657"/>
      <c r="L656" s="658"/>
      <c r="M656" s="384"/>
      <c r="N656" s="384"/>
      <c r="O656" s="384"/>
      <c r="P656" s="384"/>
      <c r="Q656" s="384"/>
      <c r="R656" s="384"/>
      <c r="S656" s="660"/>
      <c r="T656" s="396"/>
      <c r="U656" s="384"/>
      <c r="V656" s="384"/>
      <c r="W656" s="384"/>
      <c r="X656" s="384"/>
      <c r="Y656" s="442"/>
      <c r="Z656" s="442"/>
      <c r="AA656" s="441"/>
      <c r="AB656" s="441"/>
      <c r="AC656" s="441"/>
      <c r="AD656" s="441"/>
      <c r="AE656" s="441"/>
      <c r="AF656" s="441"/>
      <c r="AG656" s="441"/>
      <c r="AH656" s="441"/>
      <c r="AI656" s="441"/>
      <c r="AJ656" s="441"/>
      <c r="AK656" s="395"/>
      <c r="AL656" s="395"/>
      <c r="AM656" s="395"/>
      <c r="AN656" s="395"/>
      <c r="AO656" s="395"/>
      <c r="AP656" s="410"/>
      <c r="AQ656" s="410"/>
    </row>
    <row r="657" spans="2:43" ht="15" customHeight="1">
      <c r="B657" s="394"/>
      <c r="C657" s="395"/>
      <c r="D657" s="417"/>
      <c r="E657" s="662"/>
      <c r="F657" s="417"/>
      <c r="G657" s="384"/>
      <c r="H657" s="768"/>
      <c r="I657" s="384"/>
      <c r="J657" s="384"/>
      <c r="K657" s="657"/>
      <c r="L657" s="658"/>
      <c r="M657" s="384"/>
      <c r="N657" s="384"/>
      <c r="O657" s="384"/>
      <c r="P657" s="384"/>
      <c r="Q657" s="384"/>
      <c r="R657" s="384"/>
      <c r="S657" s="660"/>
      <c r="T657" s="396"/>
      <c r="U657" s="384"/>
      <c r="V657" s="384"/>
      <c r="W657" s="384"/>
      <c r="X657" s="384"/>
      <c r="Y657" s="442"/>
      <c r="Z657" s="442"/>
      <c r="AA657" s="441"/>
      <c r="AB657" s="441"/>
      <c r="AC657" s="441"/>
      <c r="AD657" s="441"/>
      <c r="AE657" s="441"/>
      <c r="AF657" s="441"/>
      <c r="AG657" s="441"/>
      <c r="AH657" s="441"/>
      <c r="AI657" s="441"/>
      <c r="AJ657" s="441"/>
      <c r="AK657" s="395"/>
      <c r="AL657" s="395"/>
      <c r="AM657" s="395"/>
      <c r="AN657" s="395"/>
      <c r="AO657" s="395"/>
      <c r="AP657" s="410"/>
      <c r="AQ657" s="410"/>
    </row>
    <row r="658" spans="2:43" ht="15" customHeight="1">
      <c r="B658" s="394"/>
      <c r="C658" s="395"/>
      <c r="D658" s="417"/>
      <c r="E658" s="662"/>
      <c r="F658" s="417"/>
      <c r="G658" s="384"/>
      <c r="H658" s="768"/>
      <c r="I658" s="384"/>
      <c r="J658" s="384"/>
      <c r="K658" s="657"/>
      <c r="L658" s="658"/>
      <c r="M658" s="384"/>
      <c r="N658" s="384"/>
      <c r="O658" s="384"/>
      <c r="P658" s="384"/>
      <c r="Q658" s="384"/>
      <c r="R658" s="384"/>
      <c r="S658" s="660"/>
      <c r="T658" s="396"/>
      <c r="U658" s="384"/>
      <c r="V658" s="384"/>
      <c r="W658" s="384"/>
      <c r="X658" s="384"/>
      <c r="Y658" s="442"/>
      <c r="Z658" s="442"/>
      <c r="AA658" s="441"/>
      <c r="AB658" s="441"/>
      <c r="AC658" s="441"/>
      <c r="AD658" s="441"/>
      <c r="AE658" s="441"/>
      <c r="AF658" s="441"/>
      <c r="AG658" s="441"/>
      <c r="AH658" s="441"/>
      <c r="AI658" s="441"/>
      <c r="AJ658" s="441"/>
      <c r="AK658" s="395"/>
      <c r="AL658" s="395"/>
      <c r="AM658" s="395"/>
      <c r="AN658" s="395"/>
      <c r="AO658" s="395"/>
      <c r="AP658" s="410"/>
      <c r="AQ658" s="410"/>
    </row>
    <row r="659" spans="2:43" ht="15" customHeight="1">
      <c r="B659" s="394"/>
      <c r="C659" s="395"/>
      <c r="D659" s="417"/>
      <c r="E659" s="662"/>
      <c r="F659" s="417"/>
      <c r="G659" s="384"/>
      <c r="H659" s="768"/>
      <c r="I659" s="384"/>
      <c r="J659" s="384"/>
      <c r="K659" s="657"/>
      <c r="L659" s="658"/>
      <c r="M659" s="384"/>
      <c r="N659" s="384"/>
      <c r="O659" s="384"/>
      <c r="P659" s="384"/>
      <c r="Q659" s="384"/>
      <c r="R659" s="384"/>
      <c r="S659" s="660"/>
      <c r="T659" s="396"/>
      <c r="U659" s="384"/>
      <c r="V659" s="384"/>
      <c r="W659" s="384"/>
      <c r="X659" s="384"/>
      <c r="Y659" s="442"/>
      <c r="Z659" s="442"/>
      <c r="AA659" s="441"/>
      <c r="AB659" s="441"/>
      <c r="AC659" s="441"/>
      <c r="AD659" s="441"/>
      <c r="AE659" s="441"/>
      <c r="AF659" s="441"/>
      <c r="AG659" s="441"/>
      <c r="AH659" s="441"/>
      <c r="AI659" s="441"/>
      <c r="AJ659" s="441"/>
      <c r="AK659" s="395"/>
      <c r="AL659" s="395"/>
      <c r="AM659" s="395"/>
      <c r="AN659" s="395"/>
      <c r="AO659" s="395"/>
      <c r="AP659" s="410"/>
      <c r="AQ659" s="410"/>
    </row>
    <row r="660" spans="2:43" ht="15" customHeight="1">
      <c r="B660" s="394"/>
      <c r="C660" s="395"/>
      <c r="D660" s="417"/>
      <c r="E660" s="662"/>
      <c r="F660" s="417"/>
      <c r="G660" s="384"/>
      <c r="H660" s="768"/>
      <c r="I660" s="384"/>
      <c r="J660" s="384"/>
      <c r="K660" s="657"/>
      <c r="L660" s="658"/>
      <c r="M660" s="384"/>
      <c r="N660" s="384"/>
      <c r="O660" s="384"/>
      <c r="P660" s="384"/>
      <c r="Q660" s="384"/>
      <c r="R660" s="384"/>
      <c r="S660" s="660"/>
      <c r="T660" s="396"/>
      <c r="U660" s="384"/>
      <c r="V660" s="384"/>
      <c r="W660" s="384"/>
      <c r="X660" s="384"/>
      <c r="Y660" s="442"/>
      <c r="Z660" s="442"/>
      <c r="AA660" s="441"/>
      <c r="AB660" s="441"/>
      <c r="AC660" s="441"/>
      <c r="AD660" s="441"/>
      <c r="AE660" s="441"/>
      <c r="AF660" s="441"/>
      <c r="AG660" s="441"/>
      <c r="AH660" s="441"/>
      <c r="AI660" s="441"/>
      <c r="AJ660" s="441"/>
      <c r="AK660" s="395"/>
      <c r="AL660" s="395"/>
      <c r="AM660" s="395"/>
      <c r="AN660" s="395"/>
      <c r="AO660" s="395"/>
      <c r="AP660" s="410"/>
      <c r="AQ660" s="410"/>
    </row>
    <row r="661" spans="2:43" ht="15" customHeight="1">
      <c r="B661" s="394"/>
      <c r="C661" s="395"/>
      <c r="D661" s="417"/>
      <c r="E661" s="662"/>
      <c r="F661" s="417"/>
      <c r="G661" s="384"/>
      <c r="H661" s="768"/>
      <c r="I661" s="384"/>
      <c r="J661" s="384"/>
      <c r="K661" s="657"/>
      <c r="L661" s="658"/>
      <c r="M661" s="384"/>
      <c r="N661" s="384"/>
      <c r="O661" s="384"/>
      <c r="P661" s="384"/>
      <c r="Q661" s="384"/>
      <c r="R661" s="384"/>
      <c r="S661" s="660"/>
      <c r="T661" s="396"/>
      <c r="U661" s="384"/>
      <c r="V661" s="384"/>
      <c r="W661" s="384"/>
      <c r="X661" s="384"/>
      <c r="Y661" s="442"/>
      <c r="Z661" s="442"/>
      <c r="AA661" s="441"/>
      <c r="AB661" s="441"/>
      <c r="AC661" s="441"/>
      <c r="AD661" s="441"/>
      <c r="AE661" s="441"/>
      <c r="AF661" s="441"/>
      <c r="AG661" s="441"/>
      <c r="AH661" s="441"/>
      <c r="AI661" s="441"/>
      <c r="AJ661" s="441"/>
      <c r="AK661" s="395"/>
      <c r="AL661" s="395"/>
      <c r="AM661" s="395"/>
      <c r="AN661" s="395"/>
      <c r="AO661" s="395"/>
      <c r="AP661" s="410"/>
      <c r="AQ661" s="410"/>
    </row>
    <row r="662" spans="2:43" ht="15" customHeight="1">
      <c r="B662" s="394"/>
      <c r="C662" s="395"/>
      <c r="D662" s="417"/>
      <c r="E662" s="662"/>
      <c r="F662" s="417"/>
      <c r="G662" s="384"/>
      <c r="H662" s="768"/>
      <c r="I662" s="384"/>
      <c r="J662" s="384"/>
      <c r="K662" s="657"/>
      <c r="L662" s="658"/>
      <c r="M662" s="384"/>
      <c r="N662" s="384"/>
      <c r="O662" s="384"/>
      <c r="P662" s="384"/>
      <c r="Q662" s="384"/>
      <c r="R662" s="384"/>
      <c r="S662" s="660"/>
      <c r="T662" s="396"/>
      <c r="U662" s="384"/>
      <c r="V662" s="384"/>
      <c r="W662" s="384"/>
      <c r="X662" s="384"/>
      <c r="Y662" s="442"/>
      <c r="Z662" s="442"/>
      <c r="AA662" s="441"/>
      <c r="AB662" s="441"/>
      <c r="AC662" s="441"/>
      <c r="AD662" s="441"/>
      <c r="AE662" s="441"/>
      <c r="AF662" s="441"/>
      <c r="AG662" s="441"/>
      <c r="AH662" s="441"/>
      <c r="AI662" s="441"/>
      <c r="AJ662" s="441"/>
      <c r="AK662" s="395"/>
      <c r="AL662" s="395"/>
      <c r="AM662" s="395"/>
      <c r="AN662" s="395"/>
      <c r="AO662" s="395"/>
      <c r="AP662" s="410"/>
      <c r="AQ662" s="410"/>
    </row>
    <row r="663" spans="2:43" ht="15" customHeight="1">
      <c r="B663" s="394"/>
      <c r="C663" s="395"/>
      <c r="D663" s="417"/>
      <c r="E663" s="662"/>
      <c r="F663" s="417"/>
      <c r="G663" s="384"/>
      <c r="H663" s="768"/>
      <c r="I663" s="384"/>
      <c r="J663" s="384"/>
      <c r="K663" s="657"/>
      <c r="L663" s="658"/>
      <c r="M663" s="384"/>
      <c r="N663" s="384"/>
      <c r="O663" s="384"/>
      <c r="P663" s="384"/>
      <c r="Q663" s="384"/>
      <c r="R663" s="384"/>
      <c r="S663" s="660"/>
      <c r="T663" s="396"/>
      <c r="U663" s="384"/>
      <c r="V663" s="384"/>
      <c r="W663" s="384"/>
      <c r="X663" s="384"/>
      <c r="Y663" s="442"/>
      <c r="Z663" s="442"/>
      <c r="AA663" s="441"/>
      <c r="AB663" s="441"/>
      <c r="AC663" s="441"/>
      <c r="AD663" s="441"/>
      <c r="AE663" s="441"/>
      <c r="AF663" s="441"/>
      <c r="AG663" s="441"/>
      <c r="AH663" s="441"/>
      <c r="AI663" s="441"/>
      <c r="AJ663" s="441"/>
      <c r="AK663" s="395"/>
      <c r="AL663" s="395"/>
      <c r="AM663" s="395"/>
      <c r="AN663" s="395"/>
      <c r="AO663" s="395"/>
      <c r="AP663" s="410"/>
      <c r="AQ663" s="410"/>
    </row>
    <row r="664" spans="2:43" ht="15" customHeight="1">
      <c r="B664" s="394"/>
      <c r="C664" s="395"/>
      <c r="D664" s="417"/>
      <c r="E664" s="662"/>
      <c r="F664" s="417"/>
      <c r="G664" s="384"/>
      <c r="H664" s="768"/>
      <c r="I664" s="384"/>
      <c r="J664" s="384"/>
      <c r="K664" s="657"/>
      <c r="L664" s="658"/>
      <c r="M664" s="384"/>
      <c r="N664" s="384"/>
      <c r="O664" s="384"/>
      <c r="P664" s="384"/>
      <c r="Q664" s="384"/>
      <c r="R664" s="384"/>
      <c r="S664" s="660"/>
      <c r="T664" s="396"/>
      <c r="U664" s="384"/>
      <c r="V664" s="384"/>
      <c r="W664" s="384"/>
      <c r="X664" s="384"/>
      <c r="Y664" s="442"/>
      <c r="Z664" s="442"/>
      <c r="AA664" s="441"/>
      <c r="AB664" s="441"/>
      <c r="AC664" s="441"/>
      <c r="AD664" s="441"/>
      <c r="AE664" s="441"/>
      <c r="AF664" s="441"/>
      <c r="AG664" s="441"/>
      <c r="AH664" s="441"/>
      <c r="AI664" s="441"/>
      <c r="AJ664" s="441"/>
      <c r="AK664" s="395"/>
      <c r="AL664" s="395"/>
      <c r="AM664" s="395"/>
      <c r="AN664" s="395"/>
      <c r="AO664" s="395"/>
      <c r="AP664" s="410"/>
      <c r="AQ664" s="410"/>
    </row>
    <row r="665" spans="2:43" ht="15" customHeight="1">
      <c r="B665" s="394"/>
      <c r="C665" s="395"/>
      <c r="D665" s="417"/>
      <c r="E665" s="662"/>
      <c r="F665" s="417"/>
      <c r="G665" s="384"/>
      <c r="H665" s="768"/>
      <c r="I665" s="384"/>
      <c r="J665" s="384"/>
      <c r="K665" s="657"/>
      <c r="L665" s="658"/>
      <c r="M665" s="384"/>
      <c r="N665" s="384"/>
      <c r="O665" s="384"/>
      <c r="P665" s="384"/>
      <c r="Q665" s="384"/>
      <c r="R665" s="384"/>
      <c r="S665" s="660"/>
      <c r="T665" s="396"/>
      <c r="U665" s="384"/>
      <c r="V665" s="384"/>
      <c r="W665" s="384"/>
      <c r="X665" s="384"/>
      <c r="Y665" s="442"/>
      <c r="Z665" s="442"/>
      <c r="AA665" s="441"/>
      <c r="AB665" s="441"/>
      <c r="AC665" s="441"/>
      <c r="AD665" s="441"/>
      <c r="AE665" s="441"/>
      <c r="AF665" s="441"/>
      <c r="AG665" s="441"/>
      <c r="AH665" s="441"/>
      <c r="AI665" s="441"/>
      <c r="AJ665" s="441"/>
      <c r="AK665" s="395"/>
      <c r="AL665" s="395"/>
      <c r="AM665" s="395"/>
      <c r="AN665" s="395"/>
      <c r="AO665" s="395"/>
      <c r="AP665" s="410"/>
      <c r="AQ665" s="410"/>
    </row>
    <row r="666" spans="2:43" ht="15" customHeight="1">
      <c r="B666" s="394"/>
      <c r="C666" s="395"/>
      <c r="D666" s="417"/>
      <c r="E666" s="662"/>
      <c r="F666" s="417"/>
      <c r="G666" s="384"/>
      <c r="H666" s="768"/>
      <c r="I666" s="384"/>
      <c r="J666" s="384"/>
      <c r="K666" s="657"/>
      <c r="L666" s="658"/>
      <c r="M666" s="384"/>
      <c r="N666" s="384"/>
      <c r="O666" s="384"/>
      <c r="P666" s="384"/>
      <c r="Q666" s="384"/>
      <c r="R666" s="384"/>
      <c r="S666" s="660"/>
      <c r="T666" s="396"/>
      <c r="U666" s="384"/>
      <c r="V666" s="384"/>
      <c r="W666" s="384"/>
      <c r="X666" s="384"/>
      <c r="Y666" s="442"/>
      <c r="Z666" s="442"/>
      <c r="AA666" s="441"/>
      <c r="AB666" s="441"/>
      <c r="AC666" s="441"/>
      <c r="AD666" s="441"/>
      <c r="AE666" s="441"/>
      <c r="AF666" s="441"/>
      <c r="AG666" s="441"/>
      <c r="AH666" s="441"/>
      <c r="AI666" s="441"/>
      <c r="AJ666" s="441"/>
      <c r="AK666" s="395"/>
      <c r="AL666" s="395"/>
      <c r="AM666" s="395"/>
      <c r="AN666" s="395"/>
      <c r="AO666" s="395"/>
      <c r="AP666" s="410"/>
      <c r="AQ666" s="410"/>
    </row>
    <row r="667" spans="2:43" ht="15" customHeight="1">
      <c r="B667" s="394"/>
      <c r="C667" s="395"/>
      <c r="D667" s="417"/>
      <c r="E667" s="662"/>
      <c r="F667" s="417"/>
      <c r="G667" s="384"/>
      <c r="H667" s="768"/>
      <c r="I667" s="384"/>
      <c r="J667" s="384"/>
      <c r="K667" s="657"/>
      <c r="L667" s="658"/>
      <c r="M667" s="384"/>
      <c r="N667" s="384"/>
      <c r="O667" s="384"/>
      <c r="P667" s="384"/>
      <c r="Q667" s="384"/>
      <c r="R667" s="384"/>
      <c r="S667" s="660"/>
      <c r="T667" s="396"/>
      <c r="U667" s="384"/>
      <c r="V667" s="384"/>
      <c r="W667" s="384"/>
      <c r="X667" s="384"/>
      <c r="Y667" s="442"/>
      <c r="Z667" s="442"/>
      <c r="AA667" s="441"/>
      <c r="AB667" s="441"/>
      <c r="AC667" s="441"/>
      <c r="AD667" s="441"/>
      <c r="AE667" s="441"/>
      <c r="AF667" s="441"/>
      <c r="AG667" s="441"/>
      <c r="AH667" s="441"/>
      <c r="AI667" s="441"/>
      <c r="AJ667" s="441"/>
      <c r="AK667" s="395"/>
      <c r="AL667" s="395"/>
      <c r="AM667" s="395"/>
      <c r="AN667" s="395"/>
      <c r="AO667" s="395"/>
      <c r="AP667" s="410"/>
      <c r="AQ667" s="410"/>
    </row>
    <row r="668" spans="2:43" ht="15" customHeight="1">
      <c r="B668" s="394"/>
      <c r="C668" s="395"/>
      <c r="D668" s="417"/>
      <c r="E668" s="662"/>
      <c r="F668" s="417"/>
      <c r="G668" s="384"/>
      <c r="H668" s="768"/>
      <c r="I668" s="384"/>
      <c r="J668" s="384"/>
      <c r="K668" s="657"/>
      <c r="L668" s="658"/>
      <c r="M668" s="384"/>
      <c r="N668" s="384"/>
      <c r="O668" s="384"/>
      <c r="P668" s="384"/>
      <c r="Q668" s="384"/>
      <c r="R668" s="384"/>
      <c r="S668" s="660"/>
      <c r="T668" s="396"/>
      <c r="U668" s="384"/>
      <c r="V668" s="384"/>
      <c r="W668" s="384"/>
      <c r="X668" s="384"/>
      <c r="Y668" s="442"/>
      <c r="Z668" s="442"/>
      <c r="AA668" s="441"/>
      <c r="AB668" s="441"/>
      <c r="AC668" s="441"/>
      <c r="AD668" s="441"/>
      <c r="AE668" s="441"/>
      <c r="AF668" s="441"/>
      <c r="AG668" s="441"/>
      <c r="AH668" s="441"/>
      <c r="AI668" s="441"/>
      <c r="AJ668" s="441"/>
      <c r="AK668" s="395"/>
      <c r="AL668" s="395"/>
      <c r="AM668" s="395"/>
      <c r="AN668" s="395"/>
      <c r="AO668" s="395"/>
      <c r="AP668" s="410"/>
      <c r="AQ668" s="410"/>
    </row>
    <row r="669" spans="2:43" ht="15" customHeight="1">
      <c r="B669" s="394"/>
      <c r="C669" s="395"/>
      <c r="D669" s="417"/>
      <c r="E669" s="662"/>
      <c r="F669" s="417"/>
      <c r="G669" s="384"/>
      <c r="H669" s="768"/>
      <c r="I669" s="384"/>
      <c r="J669" s="384"/>
      <c r="K669" s="657"/>
      <c r="L669" s="658"/>
      <c r="M669" s="384"/>
      <c r="N669" s="384"/>
      <c r="O669" s="384"/>
      <c r="P669" s="384"/>
      <c r="Q669" s="384"/>
      <c r="R669" s="384"/>
      <c r="S669" s="660"/>
      <c r="T669" s="396"/>
      <c r="U669" s="384"/>
      <c r="V669" s="384"/>
      <c r="W669" s="384"/>
      <c r="X669" s="384"/>
      <c r="Y669" s="442"/>
      <c r="Z669" s="442"/>
      <c r="AA669" s="441"/>
      <c r="AB669" s="441"/>
      <c r="AC669" s="441"/>
      <c r="AD669" s="441"/>
      <c r="AE669" s="441"/>
      <c r="AF669" s="441"/>
      <c r="AG669" s="441"/>
      <c r="AH669" s="441"/>
      <c r="AI669" s="441"/>
      <c r="AJ669" s="441"/>
      <c r="AK669" s="395"/>
      <c r="AL669" s="395"/>
      <c r="AM669" s="395"/>
      <c r="AN669" s="395"/>
      <c r="AO669" s="395"/>
      <c r="AP669" s="410"/>
      <c r="AQ669" s="410"/>
    </row>
    <row r="670" spans="2:43" ht="15" customHeight="1">
      <c r="B670" s="394"/>
      <c r="C670" s="395"/>
      <c r="D670" s="417"/>
      <c r="E670" s="662"/>
      <c r="F670" s="417"/>
      <c r="G670" s="384"/>
      <c r="H670" s="768"/>
      <c r="I670" s="384"/>
      <c r="J670" s="384"/>
      <c r="K670" s="657"/>
      <c r="L670" s="658"/>
      <c r="M670" s="384"/>
      <c r="N670" s="384"/>
      <c r="O670" s="384"/>
      <c r="P670" s="384"/>
      <c r="Q670" s="384"/>
      <c r="R670" s="384"/>
      <c r="S670" s="660"/>
      <c r="T670" s="396"/>
      <c r="U670" s="384"/>
      <c r="V670" s="384"/>
      <c r="W670" s="384"/>
      <c r="X670" s="384"/>
      <c r="Y670" s="442"/>
      <c r="Z670" s="442"/>
      <c r="AA670" s="441"/>
      <c r="AB670" s="441"/>
      <c r="AC670" s="441"/>
      <c r="AD670" s="441"/>
      <c r="AE670" s="441"/>
      <c r="AF670" s="441"/>
      <c r="AG670" s="441"/>
      <c r="AH670" s="441"/>
      <c r="AI670" s="441"/>
      <c r="AJ670" s="441"/>
      <c r="AK670" s="395"/>
      <c r="AL670" s="395"/>
      <c r="AM670" s="395"/>
      <c r="AN670" s="395"/>
      <c r="AO670" s="395"/>
      <c r="AP670" s="410"/>
      <c r="AQ670" s="410"/>
    </row>
    <row r="671" spans="2:43" ht="15" customHeight="1">
      <c r="B671" s="394"/>
      <c r="C671" s="395"/>
      <c r="D671" s="417"/>
      <c r="E671" s="662"/>
      <c r="F671" s="417"/>
      <c r="G671" s="384"/>
      <c r="H671" s="768"/>
      <c r="I671" s="384"/>
      <c r="J671" s="384"/>
      <c r="K671" s="657"/>
      <c r="L671" s="658"/>
      <c r="M671" s="384"/>
      <c r="N671" s="384"/>
      <c r="O671" s="384"/>
      <c r="P671" s="384"/>
      <c r="Q671" s="384"/>
      <c r="R671" s="384"/>
      <c r="S671" s="660"/>
      <c r="T671" s="396"/>
      <c r="U671" s="384"/>
      <c r="V671" s="384"/>
      <c r="W671" s="384"/>
      <c r="X671" s="384"/>
      <c r="Y671" s="442"/>
      <c r="Z671" s="442"/>
      <c r="AA671" s="441"/>
      <c r="AB671" s="441"/>
      <c r="AC671" s="441"/>
      <c r="AD671" s="441"/>
      <c r="AE671" s="441"/>
      <c r="AF671" s="441"/>
      <c r="AG671" s="441"/>
      <c r="AH671" s="441"/>
      <c r="AI671" s="441"/>
      <c r="AJ671" s="441"/>
      <c r="AK671" s="395"/>
      <c r="AL671" s="395"/>
      <c r="AM671" s="395"/>
      <c r="AN671" s="395"/>
      <c r="AO671" s="395"/>
      <c r="AP671" s="410"/>
      <c r="AQ671" s="410"/>
    </row>
    <row r="672" spans="2:43" ht="15" customHeight="1">
      <c r="B672" s="394"/>
      <c r="C672" s="395"/>
      <c r="D672" s="417"/>
      <c r="E672" s="662"/>
      <c r="F672" s="417"/>
      <c r="G672" s="384"/>
      <c r="H672" s="768"/>
      <c r="I672" s="384"/>
      <c r="J672" s="384"/>
      <c r="K672" s="657"/>
      <c r="L672" s="658"/>
      <c r="M672" s="384"/>
      <c r="N672" s="384"/>
      <c r="O672" s="384"/>
      <c r="P672" s="384"/>
      <c r="Q672" s="384"/>
      <c r="R672" s="384"/>
      <c r="S672" s="660"/>
      <c r="T672" s="396"/>
      <c r="U672" s="384"/>
      <c r="V672" s="384"/>
      <c r="W672" s="384"/>
      <c r="X672" s="384"/>
      <c r="Y672" s="442"/>
      <c r="Z672" s="442"/>
      <c r="AA672" s="441"/>
      <c r="AB672" s="441"/>
      <c r="AC672" s="441"/>
      <c r="AD672" s="441"/>
      <c r="AE672" s="441"/>
      <c r="AF672" s="441"/>
      <c r="AG672" s="441"/>
      <c r="AH672" s="441"/>
      <c r="AI672" s="441"/>
      <c r="AJ672" s="441"/>
      <c r="AK672" s="395"/>
      <c r="AL672" s="395"/>
      <c r="AM672" s="395"/>
      <c r="AN672" s="395"/>
      <c r="AO672" s="395"/>
      <c r="AP672" s="410"/>
      <c r="AQ672" s="410"/>
    </row>
    <row r="673" spans="2:43" ht="15" customHeight="1">
      <c r="B673" s="394"/>
      <c r="C673" s="395"/>
      <c r="D673" s="417"/>
      <c r="E673" s="662"/>
      <c r="F673" s="417"/>
      <c r="G673" s="384"/>
      <c r="H673" s="768"/>
      <c r="I673" s="384"/>
      <c r="J673" s="384"/>
      <c r="K673" s="657"/>
      <c r="L673" s="658"/>
      <c r="M673" s="384"/>
      <c r="N673" s="384"/>
      <c r="O673" s="384"/>
      <c r="P673" s="384"/>
      <c r="Q673" s="384"/>
      <c r="R673" s="384"/>
      <c r="S673" s="660"/>
      <c r="T673" s="396"/>
      <c r="U673" s="384"/>
      <c r="V673" s="384"/>
      <c r="W673" s="384"/>
      <c r="X673" s="384"/>
      <c r="Y673" s="442"/>
      <c r="Z673" s="442"/>
      <c r="AA673" s="441"/>
      <c r="AB673" s="441"/>
      <c r="AC673" s="441"/>
      <c r="AD673" s="441"/>
      <c r="AE673" s="441"/>
      <c r="AF673" s="441"/>
      <c r="AG673" s="441"/>
      <c r="AH673" s="441"/>
      <c r="AI673" s="441"/>
      <c r="AJ673" s="441"/>
      <c r="AK673" s="395"/>
      <c r="AL673" s="395"/>
      <c r="AM673" s="395"/>
      <c r="AN673" s="395"/>
      <c r="AO673" s="395"/>
      <c r="AP673" s="410"/>
      <c r="AQ673" s="410"/>
    </row>
    <row r="674" spans="2:43" ht="15" customHeight="1">
      <c r="B674" s="394"/>
      <c r="C674" s="395"/>
      <c r="D674" s="417"/>
      <c r="E674" s="662"/>
      <c r="F674" s="417"/>
      <c r="G674" s="384"/>
      <c r="H674" s="768"/>
      <c r="I674" s="384"/>
      <c r="J674" s="384"/>
      <c r="K674" s="657"/>
      <c r="L674" s="658"/>
      <c r="M674" s="384"/>
      <c r="N674" s="384"/>
      <c r="O674" s="384"/>
      <c r="P674" s="384"/>
      <c r="Q674" s="384"/>
      <c r="R674" s="384"/>
      <c r="S674" s="660"/>
      <c r="T674" s="396"/>
      <c r="U674" s="384"/>
      <c r="V674" s="384"/>
      <c r="W674" s="384"/>
      <c r="X674" s="384"/>
      <c r="Y674" s="442"/>
      <c r="Z674" s="442"/>
      <c r="AA674" s="441"/>
      <c r="AB674" s="441"/>
      <c r="AC674" s="441"/>
      <c r="AD674" s="441"/>
      <c r="AE674" s="441"/>
      <c r="AF674" s="441"/>
      <c r="AG674" s="441"/>
      <c r="AH674" s="441"/>
      <c r="AI674" s="441"/>
      <c r="AJ674" s="441"/>
      <c r="AK674" s="395"/>
      <c r="AL674" s="395"/>
      <c r="AM674" s="395"/>
      <c r="AN674" s="395"/>
      <c r="AO674" s="395"/>
      <c r="AP674" s="410"/>
      <c r="AQ674" s="410"/>
    </row>
    <row r="675" spans="2:43" ht="15" customHeight="1">
      <c r="B675" s="394"/>
      <c r="C675" s="395"/>
      <c r="D675" s="417"/>
      <c r="E675" s="662"/>
      <c r="F675" s="417"/>
      <c r="G675" s="384"/>
      <c r="H675" s="768"/>
      <c r="I675" s="384"/>
      <c r="J675" s="384"/>
      <c r="K675" s="657"/>
      <c r="L675" s="658"/>
      <c r="M675" s="384"/>
      <c r="N675" s="384"/>
      <c r="O675" s="384"/>
      <c r="P675" s="384"/>
      <c r="Q675" s="384"/>
      <c r="R675" s="384"/>
      <c r="S675" s="660"/>
      <c r="T675" s="396"/>
      <c r="U675" s="384"/>
      <c r="V675" s="384"/>
      <c r="W675" s="384"/>
      <c r="X675" s="384"/>
      <c r="Y675" s="442"/>
      <c r="Z675" s="442"/>
      <c r="AA675" s="441"/>
      <c r="AB675" s="441"/>
      <c r="AC675" s="441"/>
      <c r="AD675" s="441"/>
      <c r="AE675" s="441"/>
      <c r="AF675" s="441"/>
      <c r="AG675" s="441"/>
      <c r="AH675" s="441"/>
      <c r="AI675" s="441"/>
      <c r="AJ675" s="441"/>
      <c r="AK675" s="395"/>
      <c r="AL675" s="395"/>
      <c r="AM675" s="395"/>
      <c r="AN675" s="395"/>
      <c r="AO675" s="395"/>
      <c r="AP675" s="410"/>
      <c r="AQ675" s="410"/>
    </row>
    <row r="676" spans="2:43" ht="15" customHeight="1">
      <c r="B676" s="394"/>
      <c r="C676" s="395"/>
      <c r="D676" s="417"/>
      <c r="E676" s="662"/>
      <c r="F676" s="417"/>
      <c r="G676" s="384"/>
      <c r="H676" s="768"/>
      <c r="I676" s="384"/>
      <c r="J676" s="384"/>
      <c r="K676" s="657"/>
      <c r="L676" s="658"/>
      <c r="M676" s="384"/>
      <c r="N676" s="384"/>
      <c r="O676" s="384"/>
      <c r="P676" s="384"/>
      <c r="Q676" s="384"/>
      <c r="R676" s="384"/>
      <c r="S676" s="660"/>
      <c r="T676" s="396"/>
      <c r="U676" s="384"/>
      <c r="V676" s="384"/>
      <c r="W676" s="384"/>
      <c r="X676" s="384"/>
      <c r="Y676" s="442"/>
      <c r="Z676" s="442"/>
      <c r="AA676" s="441"/>
      <c r="AB676" s="441"/>
      <c r="AC676" s="441"/>
      <c r="AD676" s="441"/>
      <c r="AE676" s="441"/>
      <c r="AF676" s="441"/>
      <c r="AG676" s="441"/>
      <c r="AH676" s="441"/>
      <c r="AI676" s="441"/>
      <c r="AJ676" s="441"/>
      <c r="AK676" s="395"/>
      <c r="AL676" s="395"/>
      <c r="AM676" s="395"/>
      <c r="AN676" s="395"/>
      <c r="AO676" s="395"/>
      <c r="AP676" s="410"/>
      <c r="AQ676" s="410"/>
    </row>
    <row r="677" spans="2:43" ht="15" customHeight="1">
      <c r="B677" s="394"/>
      <c r="C677" s="395"/>
      <c r="D677" s="417"/>
      <c r="E677" s="662"/>
      <c r="F677" s="417"/>
      <c r="G677" s="384"/>
      <c r="H677" s="768"/>
      <c r="I677" s="384"/>
      <c r="J677" s="384"/>
      <c r="K677" s="657"/>
      <c r="L677" s="658"/>
      <c r="M677" s="384"/>
      <c r="N677" s="384"/>
      <c r="O677" s="384"/>
      <c r="P677" s="384"/>
      <c r="Q677" s="384"/>
      <c r="R677" s="384"/>
      <c r="S677" s="660"/>
      <c r="T677" s="396"/>
      <c r="U677" s="384"/>
      <c r="V677" s="384"/>
      <c r="W677" s="384"/>
      <c r="X677" s="384"/>
      <c r="Y677" s="442"/>
      <c r="Z677" s="442"/>
      <c r="AA677" s="441"/>
      <c r="AB677" s="441"/>
      <c r="AC677" s="441"/>
      <c r="AD677" s="441"/>
      <c r="AE677" s="441"/>
      <c r="AF677" s="441"/>
      <c r="AG677" s="441"/>
      <c r="AH677" s="441"/>
      <c r="AI677" s="441"/>
      <c r="AJ677" s="441"/>
      <c r="AK677" s="395"/>
      <c r="AL677" s="395"/>
      <c r="AM677" s="395"/>
      <c r="AN677" s="395"/>
      <c r="AO677" s="395"/>
      <c r="AP677" s="410"/>
      <c r="AQ677" s="410"/>
    </row>
    <row r="678" spans="2:43" ht="15" customHeight="1">
      <c r="B678" s="394"/>
      <c r="C678" s="395"/>
      <c r="D678" s="417"/>
      <c r="E678" s="662"/>
      <c r="F678" s="417"/>
      <c r="G678" s="384"/>
      <c r="H678" s="768"/>
      <c r="I678" s="384"/>
      <c r="J678" s="384"/>
      <c r="K678" s="657"/>
      <c r="L678" s="658"/>
      <c r="M678" s="384"/>
      <c r="N678" s="384"/>
      <c r="O678" s="384"/>
      <c r="P678" s="384"/>
      <c r="Q678" s="384"/>
      <c r="R678" s="384"/>
      <c r="S678" s="660"/>
      <c r="T678" s="396"/>
      <c r="U678" s="384"/>
      <c r="V678" s="384"/>
      <c r="W678" s="384"/>
      <c r="X678" s="384"/>
      <c r="Y678" s="442"/>
      <c r="Z678" s="442"/>
      <c r="AA678" s="441"/>
      <c r="AB678" s="441"/>
      <c r="AC678" s="441"/>
      <c r="AD678" s="441"/>
      <c r="AE678" s="441"/>
      <c r="AF678" s="441"/>
      <c r="AG678" s="441"/>
      <c r="AH678" s="441"/>
      <c r="AI678" s="441"/>
      <c r="AJ678" s="441"/>
      <c r="AK678" s="395"/>
      <c r="AL678" s="395"/>
      <c r="AM678" s="395"/>
      <c r="AN678" s="395"/>
      <c r="AO678" s="395"/>
      <c r="AP678" s="410"/>
      <c r="AQ678" s="410"/>
    </row>
    <row r="679" spans="2:43" ht="15" customHeight="1">
      <c r="B679" s="394"/>
      <c r="C679" s="395"/>
      <c r="D679" s="417"/>
      <c r="E679" s="662"/>
      <c r="F679" s="417"/>
      <c r="G679" s="384"/>
      <c r="H679" s="768"/>
      <c r="I679" s="384"/>
      <c r="J679" s="384"/>
      <c r="K679" s="657"/>
      <c r="L679" s="658"/>
      <c r="M679" s="384"/>
      <c r="N679" s="384"/>
      <c r="O679" s="384"/>
      <c r="P679" s="384"/>
      <c r="Q679" s="384"/>
      <c r="R679" s="384"/>
      <c r="S679" s="660"/>
      <c r="T679" s="396"/>
      <c r="U679" s="384"/>
      <c r="V679" s="384"/>
      <c r="W679" s="384"/>
      <c r="X679" s="384"/>
      <c r="Y679" s="442"/>
      <c r="Z679" s="442"/>
      <c r="AA679" s="441"/>
      <c r="AB679" s="441"/>
      <c r="AC679" s="441"/>
      <c r="AD679" s="441"/>
      <c r="AE679" s="441"/>
      <c r="AF679" s="441"/>
      <c r="AG679" s="441"/>
      <c r="AH679" s="441"/>
      <c r="AI679" s="441"/>
      <c r="AJ679" s="441"/>
      <c r="AK679" s="395"/>
      <c r="AL679" s="395"/>
      <c r="AM679" s="395"/>
      <c r="AN679" s="395"/>
      <c r="AO679" s="395"/>
      <c r="AP679" s="410"/>
      <c r="AQ679" s="410"/>
    </row>
    <row r="680" spans="2:43" ht="15" customHeight="1">
      <c r="B680" s="394"/>
      <c r="C680" s="395"/>
      <c r="D680" s="417"/>
      <c r="E680" s="662"/>
      <c r="F680" s="417"/>
      <c r="G680" s="384"/>
      <c r="H680" s="768"/>
      <c r="I680" s="384"/>
      <c r="J680" s="384"/>
      <c r="K680" s="657"/>
      <c r="L680" s="658"/>
      <c r="M680" s="384"/>
      <c r="N680" s="384"/>
      <c r="O680" s="384"/>
      <c r="P680" s="384"/>
      <c r="Q680" s="384"/>
      <c r="R680" s="384"/>
      <c r="S680" s="660"/>
      <c r="T680" s="396"/>
      <c r="U680" s="384"/>
      <c r="V680" s="384"/>
      <c r="W680" s="384"/>
      <c r="X680" s="384"/>
      <c r="Y680" s="442"/>
      <c r="Z680" s="442"/>
      <c r="AA680" s="441"/>
      <c r="AB680" s="441"/>
      <c r="AC680" s="441"/>
      <c r="AD680" s="441"/>
      <c r="AE680" s="441"/>
      <c r="AF680" s="441"/>
      <c r="AG680" s="441"/>
      <c r="AH680" s="441"/>
      <c r="AI680" s="441"/>
      <c r="AJ680" s="441"/>
      <c r="AK680" s="395"/>
      <c r="AL680" s="395"/>
      <c r="AM680" s="395"/>
      <c r="AN680" s="395"/>
      <c r="AO680" s="395"/>
      <c r="AP680" s="410"/>
      <c r="AQ680" s="410"/>
    </row>
    <row r="681" spans="2:43" ht="15" customHeight="1">
      <c r="B681" s="394"/>
      <c r="C681" s="395"/>
      <c r="D681" s="417"/>
      <c r="E681" s="662"/>
      <c r="F681" s="417"/>
      <c r="G681" s="384"/>
      <c r="H681" s="768"/>
      <c r="I681" s="384"/>
      <c r="J681" s="384"/>
      <c r="K681" s="657"/>
      <c r="L681" s="658"/>
      <c r="M681" s="384"/>
      <c r="N681" s="384"/>
      <c r="O681" s="384"/>
      <c r="P681" s="384"/>
      <c r="Q681" s="384"/>
      <c r="R681" s="384"/>
      <c r="S681" s="660"/>
      <c r="T681" s="396"/>
      <c r="U681" s="384"/>
      <c r="V681" s="384"/>
      <c r="W681" s="384"/>
      <c r="X681" s="384"/>
      <c r="Y681" s="442"/>
      <c r="Z681" s="442"/>
      <c r="AA681" s="441"/>
      <c r="AB681" s="441"/>
      <c r="AC681" s="441"/>
      <c r="AD681" s="441"/>
      <c r="AE681" s="441"/>
      <c r="AF681" s="441"/>
      <c r="AG681" s="441"/>
      <c r="AH681" s="441"/>
      <c r="AI681" s="441"/>
      <c r="AJ681" s="441"/>
      <c r="AK681" s="395"/>
      <c r="AL681" s="395"/>
      <c r="AM681" s="395"/>
      <c r="AN681" s="395"/>
      <c r="AO681" s="395"/>
      <c r="AP681" s="410"/>
      <c r="AQ681" s="410"/>
    </row>
    <row r="682" spans="2:43" ht="15" customHeight="1">
      <c r="B682" s="394"/>
      <c r="C682" s="395"/>
      <c r="D682" s="417"/>
      <c r="E682" s="662"/>
      <c r="F682" s="417"/>
      <c r="G682" s="384"/>
      <c r="H682" s="768"/>
      <c r="I682" s="384"/>
      <c r="J682" s="384"/>
      <c r="K682" s="657"/>
      <c r="L682" s="658"/>
      <c r="M682" s="384"/>
      <c r="N682" s="384"/>
      <c r="O682" s="384"/>
      <c r="P682" s="384"/>
      <c r="Q682" s="384"/>
      <c r="R682" s="384"/>
      <c r="S682" s="660"/>
      <c r="T682" s="396"/>
      <c r="U682" s="384"/>
      <c r="V682" s="384"/>
      <c r="W682" s="384"/>
      <c r="X682" s="384"/>
      <c r="Y682" s="442"/>
      <c r="Z682" s="442"/>
      <c r="AA682" s="441"/>
      <c r="AB682" s="441"/>
      <c r="AC682" s="441"/>
      <c r="AD682" s="441"/>
      <c r="AE682" s="441"/>
      <c r="AF682" s="441"/>
      <c r="AG682" s="441"/>
      <c r="AH682" s="441"/>
      <c r="AI682" s="441"/>
      <c r="AJ682" s="441"/>
      <c r="AK682" s="395"/>
      <c r="AL682" s="395"/>
      <c r="AM682" s="395"/>
      <c r="AN682" s="395"/>
      <c r="AO682" s="395"/>
      <c r="AP682" s="410"/>
      <c r="AQ682" s="410"/>
    </row>
    <row r="683" spans="2:43" ht="15" customHeight="1">
      <c r="B683" s="394"/>
      <c r="C683" s="395"/>
      <c r="D683" s="417"/>
      <c r="E683" s="662"/>
      <c r="F683" s="417"/>
      <c r="G683" s="384"/>
      <c r="H683" s="768"/>
      <c r="I683" s="384"/>
      <c r="J683" s="384"/>
      <c r="K683" s="657"/>
      <c r="L683" s="658"/>
      <c r="M683" s="384"/>
      <c r="N683" s="384"/>
      <c r="O683" s="384"/>
      <c r="P683" s="384"/>
      <c r="Q683" s="384"/>
      <c r="R683" s="384"/>
      <c r="S683" s="660"/>
      <c r="T683" s="396"/>
      <c r="U683" s="384"/>
      <c r="V683" s="384"/>
      <c r="W683" s="384"/>
      <c r="X683" s="384"/>
      <c r="Y683" s="442"/>
      <c r="Z683" s="442"/>
      <c r="AA683" s="441"/>
      <c r="AB683" s="441"/>
      <c r="AC683" s="441"/>
      <c r="AD683" s="441"/>
      <c r="AE683" s="441"/>
      <c r="AF683" s="441"/>
      <c r="AG683" s="441"/>
      <c r="AH683" s="441"/>
      <c r="AI683" s="441"/>
      <c r="AJ683" s="441"/>
      <c r="AK683" s="395"/>
      <c r="AL683" s="395"/>
      <c r="AM683" s="395"/>
      <c r="AN683" s="395"/>
      <c r="AO683" s="395"/>
      <c r="AP683" s="410"/>
      <c r="AQ683" s="410"/>
    </row>
    <row r="684" spans="2:43" ht="15" customHeight="1">
      <c r="B684" s="394"/>
      <c r="C684" s="395"/>
      <c r="D684" s="417"/>
      <c r="E684" s="662"/>
      <c r="F684" s="417"/>
      <c r="G684" s="384"/>
      <c r="H684" s="768"/>
      <c r="I684" s="384"/>
      <c r="J684" s="384"/>
      <c r="K684" s="657"/>
      <c r="L684" s="658"/>
      <c r="M684" s="384"/>
      <c r="N684" s="384"/>
      <c r="O684" s="384"/>
      <c r="P684" s="384"/>
      <c r="Q684" s="384"/>
      <c r="R684" s="384"/>
      <c r="S684" s="660"/>
      <c r="T684" s="396"/>
      <c r="U684" s="384"/>
      <c r="V684" s="384"/>
      <c r="W684" s="384"/>
      <c r="X684" s="384"/>
      <c r="Y684" s="442"/>
      <c r="Z684" s="442"/>
      <c r="AA684" s="441"/>
      <c r="AB684" s="441"/>
      <c r="AC684" s="441"/>
      <c r="AD684" s="441"/>
      <c r="AE684" s="441"/>
      <c r="AF684" s="441"/>
      <c r="AG684" s="441"/>
      <c r="AH684" s="441"/>
      <c r="AI684" s="441"/>
      <c r="AJ684" s="441"/>
      <c r="AK684" s="395"/>
      <c r="AL684" s="395"/>
      <c r="AM684" s="395"/>
      <c r="AN684" s="395"/>
      <c r="AO684" s="395"/>
      <c r="AP684" s="410"/>
      <c r="AQ684" s="410"/>
    </row>
    <row r="685" spans="2:43" ht="15" customHeight="1">
      <c r="B685" s="394"/>
      <c r="C685" s="395"/>
      <c r="D685" s="417"/>
      <c r="E685" s="662"/>
      <c r="F685" s="417"/>
      <c r="G685" s="384"/>
      <c r="H685" s="768"/>
      <c r="I685" s="384"/>
      <c r="J685" s="384"/>
      <c r="K685" s="657"/>
      <c r="L685" s="658"/>
      <c r="M685" s="384"/>
      <c r="N685" s="384"/>
      <c r="O685" s="384"/>
      <c r="P685" s="384"/>
      <c r="Q685" s="384"/>
      <c r="R685" s="384"/>
      <c r="S685" s="660"/>
      <c r="T685" s="396"/>
      <c r="U685" s="384"/>
      <c r="V685" s="384"/>
      <c r="W685" s="384"/>
      <c r="X685" s="384"/>
      <c r="Y685" s="442"/>
      <c r="Z685" s="442"/>
      <c r="AA685" s="441"/>
      <c r="AB685" s="441"/>
      <c r="AC685" s="441"/>
      <c r="AD685" s="441"/>
      <c r="AE685" s="441"/>
      <c r="AF685" s="441"/>
      <c r="AG685" s="441"/>
      <c r="AH685" s="441"/>
      <c r="AI685" s="441"/>
      <c r="AJ685" s="441"/>
      <c r="AK685" s="395"/>
      <c r="AL685" s="395"/>
      <c r="AM685" s="395"/>
      <c r="AN685" s="395"/>
      <c r="AO685" s="395"/>
      <c r="AP685" s="410"/>
      <c r="AQ685" s="410"/>
    </row>
    <row r="686" spans="2:43" ht="15" customHeight="1">
      <c r="B686" s="394"/>
      <c r="C686" s="395"/>
      <c r="D686" s="417"/>
      <c r="E686" s="662"/>
      <c r="F686" s="417"/>
      <c r="G686" s="384"/>
      <c r="H686" s="768"/>
      <c r="I686" s="384"/>
      <c r="J686" s="384"/>
      <c r="K686" s="657"/>
      <c r="L686" s="658"/>
      <c r="M686" s="384"/>
      <c r="N686" s="384"/>
      <c r="O686" s="384"/>
      <c r="P686" s="384"/>
      <c r="Q686" s="384"/>
      <c r="R686" s="384"/>
      <c r="S686" s="660"/>
      <c r="T686" s="396"/>
      <c r="U686" s="384"/>
      <c r="V686" s="384"/>
      <c r="W686" s="384"/>
      <c r="X686" s="384"/>
      <c r="Y686" s="442"/>
      <c r="Z686" s="442"/>
      <c r="AA686" s="441"/>
      <c r="AB686" s="441"/>
      <c r="AC686" s="441"/>
      <c r="AD686" s="441"/>
      <c r="AE686" s="441"/>
      <c r="AF686" s="441"/>
      <c r="AG686" s="441"/>
      <c r="AH686" s="441"/>
      <c r="AI686" s="441"/>
      <c r="AJ686" s="441"/>
      <c r="AK686" s="395"/>
      <c r="AL686" s="395"/>
      <c r="AM686" s="395"/>
      <c r="AN686" s="395"/>
      <c r="AO686" s="395"/>
      <c r="AP686" s="410"/>
      <c r="AQ686" s="410"/>
    </row>
    <row r="687" spans="2:43" ht="15" customHeight="1">
      <c r="B687" s="394"/>
      <c r="C687" s="395"/>
      <c r="D687" s="417"/>
      <c r="E687" s="662"/>
      <c r="F687" s="417"/>
      <c r="G687" s="384"/>
      <c r="H687" s="768"/>
      <c r="I687" s="384"/>
      <c r="J687" s="384"/>
      <c r="K687" s="657"/>
      <c r="L687" s="658"/>
      <c r="M687" s="384"/>
      <c r="N687" s="384"/>
      <c r="O687" s="384"/>
      <c r="P687" s="384"/>
      <c r="Q687" s="384"/>
      <c r="R687" s="384"/>
      <c r="S687" s="660"/>
      <c r="T687" s="396"/>
      <c r="U687" s="384"/>
      <c r="V687" s="384"/>
      <c r="W687" s="384"/>
      <c r="X687" s="384"/>
      <c r="Y687" s="442"/>
      <c r="Z687" s="442"/>
      <c r="AA687" s="441"/>
      <c r="AB687" s="441"/>
      <c r="AC687" s="441"/>
      <c r="AD687" s="441"/>
      <c r="AE687" s="441"/>
      <c r="AF687" s="441"/>
      <c r="AG687" s="441"/>
      <c r="AH687" s="441"/>
      <c r="AI687" s="441"/>
      <c r="AJ687" s="441"/>
      <c r="AK687" s="395"/>
      <c r="AL687" s="395"/>
      <c r="AM687" s="395"/>
      <c r="AN687" s="395"/>
      <c r="AO687" s="395"/>
      <c r="AP687" s="410"/>
      <c r="AQ687" s="410"/>
    </row>
    <row r="688" spans="2:43" ht="15" customHeight="1">
      <c r="B688" s="394"/>
      <c r="C688" s="395"/>
      <c r="D688" s="417"/>
      <c r="E688" s="662"/>
      <c r="F688" s="417"/>
      <c r="G688" s="384"/>
      <c r="H688" s="768"/>
      <c r="I688" s="384"/>
      <c r="J688" s="384"/>
      <c r="K688" s="657"/>
      <c r="L688" s="658"/>
      <c r="M688" s="384"/>
      <c r="N688" s="384"/>
      <c r="O688" s="384"/>
      <c r="P688" s="384"/>
      <c r="Q688" s="384"/>
      <c r="R688" s="384"/>
      <c r="S688" s="660"/>
      <c r="T688" s="396"/>
      <c r="U688" s="384"/>
      <c r="V688" s="384"/>
      <c r="W688" s="384"/>
      <c r="X688" s="384"/>
      <c r="Y688" s="442"/>
      <c r="Z688" s="442"/>
      <c r="AA688" s="441"/>
      <c r="AB688" s="441"/>
      <c r="AC688" s="441"/>
      <c r="AD688" s="441"/>
      <c r="AE688" s="441"/>
      <c r="AF688" s="441"/>
      <c r="AG688" s="441"/>
      <c r="AH688" s="441"/>
      <c r="AI688" s="441"/>
      <c r="AJ688" s="441"/>
      <c r="AK688" s="395"/>
      <c r="AL688" s="395"/>
      <c r="AM688" s="395"/>
      <c r="AN688" s="395"/>
      <c r="AO688" s="395"/>
      <c r="AP688" s="410"/>
      <c r="AQ688" s="410"/>
    </row>
    <row r="689" spans="2:43" ht="15" customHeight="1">
      <c r="B689" s="394"/>
      <c r="C689" s="395"/>
      <c r="D689" s="417"/>
      <c r="E689" s="662"/>
      <c r="F689" s="417"/>
      <c r="G689" s="384"/>
      <c r="H689" s="768"/>
      <c r="I689" s="384"/>
      <c r="J689" s="384"/>
      <c r="K689" s="657"/>
      <c r="L689" s="658"/>
      <c r="M689" s="384"/>
      <c r="N689" s="384"/>
      <c r="O689" s="384"/>
      <c r="P689" s="384"/>
      <c r="Q689" s="384"/>
      <c r="R689" s="384"/>
      <c r="S689" s="660"/>
      <c r="T689" s="396"/>
      <c r="U689" s="384"/>
      <c r="V689" s="384"/>
      <c r="W689" s="384"/>
      <c r="X689" s="384"/>
      <c r="Y689" s="442"/>
      <c r="Z689" s="442"/>
      <c r="AA689" s="441"/>
      <c r="AB689" s="441"/>
      <c r="AC689" s="441"/>
      <c r="AD689" s="441"/>
      <c r="AE689" s="441"/>
      <c r="AF689" s="441"/>
      <c r="AG689" s="441"/>
      <c r="AH689" s="441"/>
      <c r="AI689" s="441"/>
      <c r="AJ689" s="441"/>
      <c r="AK689" s="395"/>
      <c r="AL689" s="395"/>
      <c r="AM689" s="395"/>
      <c r="AN689" s="395"/>
      <c r="AO689" s="395"/>
      <c r="AP689" s="410"/>
      <c r="AQ689" s="410"/>
    </row>
    <row r="690" spans="2:43" ht="15" customHeight="1">
      <c r="B690" s="394"/>
      <c r="C690" s="395"/>
      <c r="D690" s="417"/>
      <c r="E690" s="662"/>
      <c r="F690" s="417"/>
      <c r="G690" s="384"/>
      <c r="H690" s="768"/>
      <c r="I690" s="384"/>
      <c r="J690" s="384"/>
      <c r="K690" s="657"/>
      <c r="L690" s="658"/>
      <c r="M690" s="384"/>
      <c r="N690" s="384"/>
      <c r="O690" s="384"/>
      <c r="P690" s="384"/>
      <c r="Q690" s="384"/>
      <c r="R690" s="384"/>
      <c r="S690" s="660"/>
      <c r="T690" s="396"/>
      <c r="U690" s="384"/>
      <c r="V690" s="384"/>
      <c r="W690" s="384"/>
      <c r="X690" s="384"/>
      <c r="Y690" s="442"/>
      <c r="Z690" s="442"/>
      <c r="AA690" s="441"/>
      <c r="AB690" s="441"/>
      <c r="AC690" s="441"/>
      <c r="AD690" s="441"/>
      <c r="AE690" s="441"/>
      <c r="AF690" s="441"/>
      <c r="AG690" s="441"/>
      <c r="AH690" s="441"/>
      <c r="AI690" s="441"/>
      <c r="AJ690" s="441"/>
      <c r="AK690" s="395"/>
      <c r="AL690" s="395"/>
      <c r="AM690" s="395"/>
      <c r="AN690" s="395"/>
      <c r="AO690" s="395"/>
      <c r="AP690" s="410"/>
      <c r="AQ690" s="410"/>
    </row>
    <row r="691" spans="2:43" ht="15" customHeight="1">
      <c r="B691" s="394"/>
      <c r="C691" s="395"/>
      <c r="D691" s="417"/>
      <c r="E691" s="662"/>
      <c r="F691" s="417"/>
      <c r="G691" s="384"/>
      <c r="H691" s="768"/>
      <c r="I691" s="384"/>
      <c r="J691" s="384"/>
      <c r="K691" s="657"/>
      <c r="L691" s="658"/>
      <c r="M691" s="384"/>
      <c r="N691" s="384"/>
      <c r="O691" s="384"/>
      <c r="P691" s="384"/>
      <c r="Q691" s="384"/>
      <c r="R691" s="384"/>
      <c r="S691" s="660"/>
      <c r="T691" s="396"/>
      <c r="U691" s="384"/>
      <c r="V691" s="384"/>
      <c r="W691" s="384"/>
      <c r="X691" s="384"/>
      <c r="Y691" s="442"/>
      <c r="Z691" s="442"/>
      <c r="AA691" s="441"/>
      <c r="AB691" s="441"/>
      <c r="AC691" s="441"/>
      <c r="AD691" s="441"/>
      <c r="AE691" s="441"/>
      <c r="AF691" s="441"/>
      <c r="AG691" s="441"/>
      <c r="AH691" s="441"/>
      <c r="AI691" s="441"/>
      <c r="AJ691" s="441"/>
      <c r="AK691" s="395"/>
      <c r="AL691" s="395"/>
      <c r="AM691" s="395"/>
      <c r="AN691" s="395"/>
      <c r="AO691" s="395"/>
      <c r="AP691" s="410"/>
      <c r="AQ691" s="410"/>
    </row>
    <row r="692" spans="2:43" ht="15" customHeight="1">
      <c r="B692" s="394"/>
      <c r="C692" s="395"/>
      <c r="D692" s="417"/>
      <c r="E692" s="662"/>
      <c r="F692" s="417"/>
      <c r="G692" s="384"/>
      <c r="H692" s="768"/>
      <c r="I692" s="384"/>
      <c r="J692" s="384"/>
      <c r="K692" s="657"/>
      <c r="L692" s="658"/>
      <c r="M692" s="384"/>
      <c r="N692" s="384"/>
      <c r="O692" s="384"/>
      <c r="P692" s="384"/>
      <c r="Q692" s="384"/>
      <c r="R692" s="384"/>
      <c r="S692" s="660"/>
      <c r="T692" s="396"/>
      <c r="U692" s="384"/>
      <c r="V692" s="384"/>
      <c r="W692" s="384"/>
      <c r="X692" s="384"/>
      <c r="Y692" s="442"/>
      <c r="Z692" s="442"/>
      <c r="AA692" s="441"/>
      <c r="AB692" s="441"/>
      <c r="AC692" s="441"/>
      <c r="AD692" s="441"/>
      <c r="AE692" s="441"/>
      <c r="AF692" s="441"/>
      <c r="AG692" s="441"/>
      <c r="AH692" s="441"/>
      <c r="AI692" s="441"/>
      <c r="AJ692" s="441"/>
      <c r="AK692" s="395"/>
      <c r="AL692" s="395"/>
      <c r="AM692" s="395"/>
      <c r="AN692" s="395"/>
      <c r="AO692" s="395"/>
      <c r="AP692" s="410"/>
      <c r="AQ692" s="410"/>
    </row>
    <row r="693" spans="2:43" ht="15" customHeight="1">
      <c r="B693" s="394"/>
      <c r="C693" s="395"/>
      <c r="D693" s="417"/>
      <c r="E693" s="662"/>
      <c r="F693" s="417"/>
      <c r="G693" s="384"/>
      <c r="H693" s="768"/>
      <c r="I693" s="384"/>
      <c r="J693" s="384"/>
      <c r="K693" s="657"/>
      <c r="L693" s="658"/>
      <c r="M693" s="384"/>
      <c r="N693" s="384"/>
      <c r="O693" s="384"/>
      <c r="P693" s="384"/>
      <c r="Q693" s="384"/>
      <c r="R693" s="384"/>
      <c r="S693" s="660"/>
      <c r="T693" s="396"/>
      <c r="U693" s="384"/>
      <c r="V693" s="384"/>
      <c r="W693" s="384"/>
      <c r="X693" s="384"/>
      <c r="Y693" s="442"/>
      <c r="Z693" s="442"/>
      <c r="AA693" s="441"/>
      <c r="AB693" s="441"/>
      <c r="AC693" s="441"/>
      <c r="AD693" s="441"/>
      <c r="AE693" s="441"/>
      <c r="AF693" s="441"/>
      <c r="AG693" s="441"/>
      <c r="AH693" s="441"/>
      <c r="AI693" s="441"/>
      <c r="AJ693" s="441"/>
      <c r="AK693" s="395"/>
      <c r="AL693" s="395"/>
      <c r="AM693" s="395"/>
      <c r="AN693" s="395"/>
      <c r="AO693" s="395"/>
      <c r="AP693" s="410"/>
      <c r="AQ693" s="410"/>
    </row>
    <row r="694" spans="2:43" ht="15" customHeight="1">
      <c r="B694" s="394"/>
      <c r="C694" s="395"/>
      <c r="D694" s="417"/>
      <c r="E694" s="662"/>
      <c r="F694" s="417"/>
      <c r="G694" s="384"/>
      <c r="H694" s="768"/>
      <c r="I694" s="384"/>
      <c r="J694" s="384"/>
      <c r="K694" s="657"/>
      <c r="L694" s="658"/>
      <c r="M694" s="384"/>
      <c r="N694" s="384"/>
      <c r="O694" s="384"/>
      <c r="P694" s="384"/>
      <c r="Q694" s="384"/>
      <c r="R694" s="384"/>
      <c r="S694" s="660"/>
      <c r="T694" s="396"/>
      <c r="U694" s="384"/>
      <c r="V694" s="384"/>
      <c r="W694" s="384"/>
      <c r="X694" s="384"/>
      <c r="Y694" s="442"/>
      <c r="Z694" s="442"/>
      <c r="AA694" s="441"/>
      <c r="AB694" s="441"/>
      <c r="AC694" s="441"/>
      <c r="AD694" s="441"/>
      <c r="AE694" s="441"/>
      <c r="AF694" s="441"/>
      <c r="AG694" s="441"/>
      <c r="AH694" s="441"/>
      <c r="AI694" s="441"/>
      <c r="AJ694" s="441"/>
      <c r="AK694" s="395"/>
      <c r="AL694" s="395"/>
      <c r="AM694" s="395"/>
      <c r="AN694" s="395"/>
      <c r="AO694" s="395"/>
      <c r="AP694" s="410"/>
      <c r="AQ694" s="410"/>
    </row>
    <row r="695" spans="2:43" ht="15" customHeight="1">
      <c r="B695" s="394"/>
      <c r="C695" s="395"/>
      <c r="D695" s="417"/>
      <c r="E695" s="662"/>
      <c r="F695" s="417"/>
      <c r="G695" s="384"/>
      <c r="H695" s="768"/>
      <c r="I695" s="384"/>
      <c r="J695" s="384"/>
      <c r="K695" s="657"/>
      <c r="L695" s="658"/>
      <c r="M695" s="384"/>
      <c r="N695" s="384"/>
      <c r="O695" s="384"/>
      <c r="P695" s="384"/>
      <c r="Q695" s="384"/>
      <c r="R695" s="384"/>
      <c r="S695" s="660"/>
      <c r="T695" s="396"/>
      <c r="U695" s="384"/>
      <c r="V695" s="384"/>
      <c r="W695" s="384"/>
      <c r="X695" s="384"/>
      <c r="Y695" s="442"/>
      <c r="Z695" s="442"/>
      <c r="AA695" s="441"/>
      <c r="AB695" s="441"/>
      <c r="AC695" s="441"/>
      <c r="AD695" s="441"/>
      <c r="AE695" s="441"/>
      <c r="AF695" s="441"/>
      <c r="AG695" s="441"/>
      <c r="AH695" s="441"/>
      <c r="AI695" s="441"/>
      <c r="AJ695" s="441"/>
      <c r="AK695" s="395"/>
      <c r="AL695" s="395"/>
      <c r="AM695" s="395"/>
      <c r="AN695" s="395"/>
      <c r="AO695" s="395"/>
      <c r="AP695" s="410"/>
      <c r="AQ695" s="410"/>
    </row>
    <row r="696" spans="2:43" ht="15" customHeight="1">
      <c r="B696" s="394"/>
      <c r="C696" s="395"/>
      <c r="D696" s="417"/>
      <c r="E696" s="662"/>
      <c r="F696" s="417"/>
      <c r="G696" s="384"/>
      <c r="H696" s="768"/>
      <c r="I696" s="384"/>
      <c r="J696" s="384"/>
      <c r="K696" s="657"/>
      <c r="L696" s="658"/>
      <c r="M696" s="384"/>
      <c r="N696" s="384"/>
      <c r="O696" s="384"/>
      <c r="P696" s="384"/>
      <c r="Q696" s="384"/>
      <c r="R696" s="384"/>
      <c r="S696" s="660"/>
      <c r="T696" s="396"/>
      <c r="U696" s="384"/>
      <c r="V696" s="384"/>
      <c r="W696" s="384"/>
      <c r="X696" s="384"/>
      <c r="Y696" s="442"/>
      <c r="Z696" s="442"/>
      <c r="AA696" s="441"/>
      <c r="AB696" s="441"/>
      <c r="AC696" s="441"/>
      <c r="AD696" s="441"/>
      <c r="AE696" s="441"/>
      <c r="AF696" s="441"/>
      <c r="AG696" s="441"/>
      <c r="AH696" s="441"/>
      <c r="AI696" s="441"/>
      <c r="AJ696" s="441"/>
      <c r="AK696" s="395"/>
      <c r="AL696" s="395"/>
      <c r="AM696" s="395"/>
      <c r="AN696" s="395"/>
      <c r="AO696" s="395"/>
      <c r="AP696" s="410"/>
      <c r="AQ696" s="410"/>
    </row>
    <row r="697" spans="2:43" ht="15" customHeight="1">
      <c r="B697" s="394"/>
      <c r="C697" s="395"/>
      <c r="D697" s="417"/>
      <c r="E697" s="662"/>
      <c r="F697" s="417"/>
      <c r="G697" s="384"/>
      <c r="H697" s="768"/>
      <c r="I697" s="384"/>
      <c r="J697" s="384"/>
      <c r="K697" s="657"/>
      <c r="L697" s="658"/>
      <c r="M697" s="384"/>
      <c r="N697" s="384"/>
      <c r="O697" s="384"/>
      <c r="P697" s="384"/>
      <c r="Q697" s="384"/>
      <c r="R697" s="384"/>
      <c r="S697" s="660"/>
      <c r="T697" s="396"/>
      <c r="U697" s="384"/>
      <c r="V697" s="384"/>
      <c r="W697" s="384"/>
      <c r="X697" s="384"/>
      <c r="Y697" s="442"/>
      <c r="Z697" s="442"/>
      <c r="AA697" s="441"/>
      <c r="AB697" s="441"/>
      <c r="AC697" s="441"/>
      <c r="AD697" s="441"/>
      <c r="AE697" s="441"/>
      <c r="AF697" s="441"/>
      <c r="AG697" s="441"/>
      <c r="AH697" s="441"/>
      <c r="AI697" s="441"/>
      <c r="AJ697" s="441"/>
      <c r="AK697" s="395"/>
      <c r="AL697" s="395"/>
      <c r="AM697" s="395"/>
      <c r="AN697" s="395"/>
      <c r="AO697" s="395"/>
      <c r="AP697" s="410"/>
      <c r="AQ697" s="410"/>
    </row>
    <row r="698" spans="2:43" ht="15" customHeight="1">
      <c r="B698" s="394"/>
      <c r="C698" s="395"/>
      <c r="D698" s="417"/>
      <c r="E698" s="662"/>
      <c r="F698" s="417"/>
      <c r="G698" s="384"/>
      <c r="H698" s="768"/>
      <c r="I698" s="384"/>
      <c r="J698" s="384"/>
      <c r="K698" s="657"/>
      <c r="L698" s="658"/>
      <c r="M698" s="384"/>
      <c r="N698" s="384"/>
      <c r="O698" s="384"/>
      <c r="P698" s="384"/>
      <c r="Q698" s="384"/>
      <c r="R698" s="384"/>
      <c r="S698" s="660"/>
      <c r="T698" s="396"/>
      <c r="U698" s="384"/>
      <c r="V698" s="384"/>
      <c r="W698" s="384"/>
      <c r="X698" s="384"/>
      <c r="Y698" s="442"/>
      <c r="Z698" s="442"/>
      <c r="AA698" s="441"/>
      <c r="AB698" s="441"/>
      <c r="AC698" s="441"/>
      <c r="AD698" s="441"/>
      <c r="AE698" s="441"/>
      <c r="AF698" s="441"/>
      <c r="AG698" s="441"/>
      <c r="AH698" s="441"/>
      <c r="AI698" s="441"/>
      <c r="AJ698" s="441"/>
      <c r="AK698" s="395"/>
      <c r="AL698" s="395"/>
      <c r="AM698" s="395"/>
      <c r="AN698" s="395"/>
      <c r="AO698" s="395"/>
      <c r="AP698" s="410"/>
      <c r="AQ698" s="410"/>
    </row>
    <row r="699" spans="2:43" ht="15" customHeight="1">
      <c r="B699" s="394"/>
      <c r="C699" s="395"/>
      <c r="D699" s="417"/>
      <c r="E699" s="662"/>
      <c r="F699" s="417"/>
      <c r="G699" s="384"/>
      <c r="H699" s="768"/>
      <c r="I699" s="384"/>
      <c r="J699" s="384"/>
      <c r="K699" s="657"/>
      <c r="L699" s="658"/>
      <c r="M699" s="384"/>
      <c r="N699" s="384"/>
      <c r="O699" s="384"/>
      <c r="P699" s="384"/>
      <c r="Q699" s="384"/>
      <c r="R699" s="384"/>
      <c r="S699" s="660"/>
      <c r="T699" s="396"/>
      <c r="U699" s="384"/>
      <c r="V699" s="384"/>
      <c r="W699" s="384"/>
      <c r="X699" s="384"/>
      <c r="Y699" s="442"/>
      <c r="Z699" s="442"/>
      <c r="AA699" s="441"/>
      <c r="AB699" s="441"/>
      <c r="AC699" s="441"/>
      <c r="AD699" s="441"/>
      <c r="AE699" s="441"/>
      <c r="AF699" s="441"/>
      <c r="AG699" s="441"/>
      <c r="AH699" s="441"/>
      <c r="AI699" s="441"/>
      <c r="AJ699" s="441"/>
      <c r="AK699" s="395"/>
      <c r="AL699" s="395"/>
      <c r="AM699" s="395"/>
      <c r="AN699" s="395"/>
      <c r="AO699" s="395"/>
      <c r="AP699" s="410"/>
      <c r="AQ699" s="410"/>
    </row>
    <row r="700" spans="2:43" ht="15" customHeight="1">
      <c r="B700" s="394"/>
      <c r="C700" s="395"/>
      <c r="D700" s="417"/>
      <c r="E700" s="662"/>
      <c r="F700" s="417"/>
      <c r="G700" s="384"/>
      <c r="H700" s="768"/>
      <c r="I700" s="384"/>
      <c r="J700" s="384"/>
      <c r="K700" s="657"/>
      <c r="L700" s="658"/>
      <c r="M700" s="384"/>
      <c r="N700" s="384"/>
      <c r="O700" s="384"/>
      <c r="P700" s="384"/>
      <c r="Q700" s="384"/>
      <c r="R700" s="384"/>
      <c r="S700" s="660"/>
      <c r="T700" s="396"/>
      <c r="U700" s="384"/>
      <c r="V700" s="384"/>
      <c r="W700" s="384"/>
      <c r="X700" s="384"/>
      <c r="Y700" s="442"/>
      <c r="Z700" s="442"/>
      <c r="AA700" s="441"/>
      <c r="AB700" s="441"/>
      <c r="AC700" s="441"/>
      <c r="AD700" s="441"/>
      <c r="AE700" s="441"/>
      <c r="AF700" s="441"/>
      <c r="AG700" s="441"/>
      <c r="AH700" s="441"/>
      <c r="AI700" s="441"/>
      <c r="AJ700" s="441"/>
      <c r="AK700" s="395"/>
      <c r="AL700" s="395"/>
      <c r="AM700" s="395"/>
      <c r="AN700" s="395"/>
      <c r="AO700" s="395"/>
      <c r="AP700" s="410"/>
      <c r="AQ700" s="410"/>
    </row>
    <row r="701" spans="2:43" ht="15" customHeight="1">
      <c r="B701" s="394"/>
      <c r="C701" s="395"/>
      <c r="D701" s="417"/>
      <c r="E701" s="662"/>
      <c r="F701" s="417"/>
      <c r="G701" s="384"/>
      <c r="H701" s="768"/>
      <c r="I701" s="384"/>
      <c r="J701" s="384"/>
      <c r="K701" s="657"/>
      <c r="L701" s="658"/>
      <c r="M701" s="384"/>
      <c r="N701" s="384"/>
      <c r="O701" s="384"/>
      <c r="P701" s="384"/>
      <c r="Q701" s="384"/>
      <c r="R701" s="384"/>
      <c r="S701" s="660"/>
      <c r="T701" s="396"/>
      <c r="U701" s="384"/>
      <c r="V701" s="384"/>
      <c r="W701" s="384"/>
      <c r="X701" s="384"/>
      <c r="Y701" s="442"/>
      <c r="Z701" s="442"/>
      <c r="AA701" s="441"/>
      <c r="AB701" s="441"/>
      <c r="AC701" s="441"/>
      <c r="AD701" s="441"/>
      <c r="AE701" s="441"/>
      <c r="AF701" s="441"/>
      <c r="AG701" s="441"/>
      <c r="AH701" s="441"/>
      <c r="AI701" s="441"/>
      <c r="AJ701" s="441"/>
      <c r="AK701" s="395"/>
      <c r="AL701" s="395"/>
      <c r="AM701" s="395"/>
      <c r="AN701" s="395"/>
      <c r="AO701" s="395"/>
      <c r="AP701" s="410"/>
      <c r="AQ701" s="410"/>
    </row>
    <row r="702" spans="2:43" ht="15" customHeight="1">
      <c r="B702" s="394"/>
      <c r="C702" s="395"/>
      <c r="D702" s="417"/>
      <c r="E702" s="662"/>
      <c r="F702" s="417"/>
      <c r="G702" s="384"/>
      <c r="H702" s="768"/>
      <c r="I702" s="384"/>
      <c r="J702" s="384"/>
      <c r="K702" s="657"/>
      <c r="L702" s="658"/>
      <c r="M702" s="384"/>
      <c r="N702" s="384"/>
      <c r="O702" s="384"/>
      <c r="P702" s="384"/>
      <c r="Q702" s="384"/>
      <c r="R702" s="384"/>
      <c r="S702" s="660"/>
      <c r="T702" s="396"/>
      <c r="U702" s="384"/>
      <c r="V702" s="384"/>
      <c r="W702" s="384"/>
      <c r="X702" s="384"/>
      <c r="Y702" s="442"/>
      <c r="Z702" s="442"/>
      <c r="AA702" s="441"/>
      <c r="AB702" s="441"/>
      <c r="AC702" s="441"/>
      <c r="AD702" s="441"/>
      <c r="AE702" s="441"/>
      <c r="AF702" s="441"/>
      <c r="AG702" s="441"/>
      <c r="AH702" s="441"/>
      <c r="AI702" s="441"/>
      <c r="AJ702" s="441"/>
      <c r="AK702" s="395"/>
      <c r="AL702" s="395"/>
      <c r="AM702" s="395"/>
      <c r="AN702" s="395"/>
      <c r="AO702" s="395"/>
      <c r="AP702" s="410"/>
      <c r="AQ702" s="410"/>
    </row>
    <row r="703" spans="2:43" ht="15" customHeight="1">
      <c r="B703" s="394"/>
      <c r="C703" s="395"/>
      <c r="D703" s="417"/>
      <c r="E703" s="662"/>
      <c r="F703" s="417"/>
      <c r="G703" s="384"/>
      <c r="H703" s="768"/>
      <c r="I703" s="384"/>
      <c r="J703" s="384"/>
      <c r="K703" s="657"/>
      <c r="L703" s="658"/>
      <c r="M703" s="384"/>
      <c r="N703" s="384"/>
      <c r="O703" s="384"/>
      <c r="P703" s="384"/>
      <c r="Q703" s="384"/>
      <c r="R703" s="384"/>
      <c r="S703" s="660"/>
      <c r="T703" s="396"/>
      <c r="U703" s="384"/>
      <c r="V703" s="384"/>
      <c r="W703" s="384"/>
      <c r="X703" s="384"/>
      <c r="Y703" s="442"/>
      <c r="Z703" s="442"/>
      <c r="AA703" s="441"/>
      <c r="AB703" s="441"/>
      <c r="AC703" s="441"/>
      <c r="AD703" s="441"/>
      <c r="AE703" s="441"/>
      <c r="AF703" s="441"/>
      <c r="AG703" s="441"/>
      <c r="AH703" s="441"/>
      <c r="AI703" s="441"/>
      <c r="AJ703" s="441"/>
      <c r="AK703" s="395"/>
      <c r="AL703" s="395"/>
      <c r="AM703" s="395"/>
      <c r="AN703" s="395"/>
      <c r="AO703" s="395"/>
      <c r="AP703" s="410"/>
      <c r="AQ703" s="410"/>
    </row>
    <row r="704" spans="2:43" ht="15" customHeight="1">
      <c r="B704" s="394"/>
      <c r="C704" s="395"/>
      <c r="D704" s="417"/>
      <c r="E704" s="662"/>
      <c r="F704" s="417"/>
      <c r="G704" s="384"/>
      <c r="H704" s="768"/>
      <c r="I704" s="384"/>
      <c r="J704" s="384"/>
      <c r="K704" s="657"/>
      <c r="L704" s="658"/>
      <c r="M704" s="384"/>
      <c r="N704" s="384"/>
      <c r="O704" s="384"/>
      <c r="P704" s="384"/>
      <c r="Q704" s="384"/>
      <c r="R704" s="384"/>
      <c r="S704" s="660"/>
      <c r="T704" s="396"/>
      <c r="U704" s="384"/>
      <c r="V704" s="384"/>
      <c r="W704" s="384"/>
      <c r="X704" s="384"/>
      <c r="Y704" s="442"/>
      <c r="Z704" s="442"/>
      <c r="AA704" s="441"/>
      <c r="AB704" s="441"/>
      <c r="AC704" s="441"/>
      <c r="AD704" s="441"/>
      <c r="AE704" s="441"/>
      <c r="AF704" s="441"/>
      <c r="AG704" s="441"/>
      <c r="AH704" s="441"/>
      <c r="AI704" s="441"/>
      <c r="AJ704" s="441"/>
      <c r="AK704" s="395"/>
      <c r="AL704" s="395"/>
      <c r="AM704" s="395"/>
      <c r="AN704" s="395"/>
      <c r="AO704" s="395"/>
      <c r="AP704" s="410"/>
      <c r="AQ704" s="410"/>
    </row>
    <row r="705" spans="2:43" ht="15" customHeight="1">
      <c r="B705" s="394"/>
      <c r="C705" s="395"/>
      <c r="D705" s="417"/>
      <c r="E705" s="662"/>
      <c r="F705" s="417"/>
      <c r="G705" s="384"/>
      <c r="H705" s="768"/>
      <c r="I705" s="384"/>
      <c r="J705" s="384"/>
      <c r="K705" s="657"/>
      <c r="L705" s="658"/>
      <c r="M705" s="384"/>
      <c r="N705" s="384"/>
      <c r="O705" s="384"/>
      <c r="P705" s="384"/>
      <c r="Q705" s="384"/>
      <c r="R705" s="384"/>
      <c r="S705" s="660"/>
      <c r="T705" s="396"/>
      <c r="U705" s="384"/>
      <c r="V705" s="384"/>
      <c r="W705" s="384"/>
      <c r="X705" s="384"/>
      <c r="Y705" s="442"/>
      <c r="Z705" s="442"/>
      <c r="AA705" s="441"/>
      <c r="AB705" s="441"/>
      <c r="AC705" s="441"/>
      <c r="AD705" s="441"/>
      <c r="AE705" s="441"/>
      <c r="AF705" s="441"/>
      <c r="AG705" s="441"/>
      <c r="AH705" s="441"/>
      <c r="AI705" s="441"/>
      <c r="AJ705" s="441"/>
      <c r="AK705" s="395"/>
      <c r="AL705" s="395"/>
      <c r="AM705" s="395"/>
      <c r="AN705" s="395"/>
      <c r="AO705" s="395"/>
      <c r="AP705" s="410"/>
      <c r="AQ705" s="410"/>
    </row>
    <row r="706" spans="2:43" ht="15" customHeight="1">
      <c r="B706" s="394"/>
      <c r="C706" s="395"/>
      <c r="D706" s="417"/>
      <c r="E706" s="662"/>
      <c r="F706" s="417"/>
      <c r="G706" s="384"/>
      <c r="H706" s="768"/>
      <c r="I706" s="384"/>
      <c r="J706" s="384"/>
      <c r="K706" s="657"/>
      <c r="L706" s="658"/>
      <c r="M706" s="384"/>
      <c r="N706" s="384"/>
      <c r="O706" s="384"/>
      <c r="P706" s="384"/>
      <c r="Q706" s="384"/>
      <c r="R706" s="384"/>
      <c r="S706" s="660"/>
      <c r="T706" s="396"/>
      <c r="U706" s="384"/>
      <c r="V706" s="384"/>
      <c r="W706" s="384"/>
      <c r="X706" s="384"/>
      <c r="Y706" s="442"/>
      <c r="Z706" s="442"/>
      <c r="AA706" s="441"/>
      <c r="AB706" s="441"/>
      <c r="AC706" s="441"/>
      <c r="AD706" s="441"/>
      <c r="AE706" s="441"/>
      <c r="AF706" s="441"/>
      <c r="AG706" s="441"/>
      <c r="AH706" s="441"/>
      <c r="AI706" s="441"/>
      <c r="AJ706" s="441"/>
      <c r="AK706" s="395"/>
      <c r="AL706" s="395"/>
      <c r="AM706" s="395"/>
      <c r="AN706" s="395"/>
      <c r="AO706" s="395"/>
      <c r="AP706" s="410"/>
      <c r="AQ706" s="410"/>
    </row>
    <row r="707" spans="2:43" ht="15" customHeight="1">
      <c r="B707" s="394"/>
      <c r="C707" s="395"/>
      <c r="D707" s="417"/>
      <c r="E707" s="662"/>
      <c r="F707" s="417"/>
      <c r="G707" s="384"/>
      <c r="H707" s="768"/>
      <c r="I707" s="384"/>
      <c r="J707" s="384"/>
      <c r="K707" s="657"/>
      <c r="L707" s="658"/>
      <c r="M707" s="384"/>
      <c r="N707" s="384"/>
      <c r="O707" s="384"/>
      <c r="P707" s="384"/>
      <c r="Q707" s="384"/>
      <c r="R707" s="384"/>
      <c r="S707" s="660"/>
      <c r="T707" s="396"/>
      <c r="U707" s="384"/>
      <c r="V707" s="384"/>
      <c r="W707" s="384"/>
      <c r="X707" s="384"/>
      <c r="Y707" s="442"/>
      <c r="Z707" s="442"/>
      <c r="AA707" s="441"/>
      <c r="AB707" s="441"/>
      <c r="AC707" s="441"/>
      <c r="AD707" s="441"/>
      <c r="AE707" s="441"/>
      <c r="AF707" s="441"/>
      <c r="AG707" s="441"/>
      <c r="AH707" s="441"/>
      <c r="AI707" s="441"/>
      <c r="AJ707" s="441"/>
      <c r="AK707" s="395"/>
      <c r="AL707" s="395"/>
      <c r="AM707" s="395"/>
      <c r="AN707" s="395"/>
      <c r="AO707" s="395"/>
      <c r="AP707" s="410"/>
      <c r="AQ707" s="410"/>
    </row>
    <row r="708" spans="2:43" ht="15" customHeight="1">
      <c r="B708" s="394"/>
      <c r="C708" s="395"/>
      <c r="D708" s="417"/>
      <c r="E708" s="662"/>
      <c r="F708" s="417"/>
      <c r="G708" s="384"/>
      <c r="H708" s="768"/>
      <c r="I708" s="384"/>
      <c r="J708" s="384"/>
      <c r="K708" s="657"/>
      <c r="L708" s="658"/>
      <c r="M708" s="384"/>
      <c r="N708" s="384"/>
      <c r="O708" s="384"/>
      <c r="P708" s="384"/>
      <c r="Q708" s="384"/>
      <c r="R708" s="384"/>
      <c r="S708" s="660"/>
      <c r="T708" s="396"/>
      <c r="U708" s="384"/>
      <c r="V708" s="384"/>
      <c r="W708" s="384"/>
      <c r="X708" s="384"/>
      <c r="Y708" s="442"/>
      <c r="Z708" s="442"/>
      <c r="AA708" s="441"/>
      <c r="AB708" s="441"/>
      <c r="AC708" s="441"/>
      <c r="AD708" s="441"/>
      <c r="AE708" s="441"/>
      <c r="AF708" s="441"/>
      <c r="AG708" s="441"/>
      <c r="AH708" s="441"/>
      <c r="AI708" s="441"/>
      <c r="AJ708" s="441"/>
      <c r="AK708" s="395"/>
      <c r="AL708" s="395"/>
      <c r="AM708" s="395"/>
      <c r="AN708" s="395"/>
      <c r="AO708" s="395"/>
      <c r="AP708" s="410"/>
      <c r="AQ708" s="410"/>
    </row>
    <row r="709" spans="2:43" ht="15" customHeight="1">
      <c r="B709" s="394"/>
      <c r="C709" s="395"/>
      <c r="D709" s="417"/>
      <c r="E709" s="662"/>
      <c r="F709" s="417"/>
      <c r="G709" s="384"/>
      <c r="H709" s="768"/>
      <c r="I709" s="384"/>
      <c r="J709" s="384"/>
      <c r="K709" s="657"/>
      <c r="L709" s="658"/>
      <c r="M709" s="384"/>
      <c r="N709" s="384"/>
      <c r="O709" s="384"/>
      <c r="P709" s="384"/>
      <c r="Q709" s="384"/>
      <c r="R709" s="384"/>
      <c r="S709" s="660"/>
      <c r="T709" s="396"/>
      <c r="U709" s="384"/>
      <c r="V709" s="384"/>
      <c r="W709" s="384"/>
      <c r="X709" s="384"/>
      <c r="Y709" s="442"/>
      <c r="Z709" s="442"/>
      <c r="AA709" s="441"/>
      <c r="AB709" s="441"/>
      <c r="AC709" s="441"/>
      <c r="AD709" s="441"/>
      <c r="AE709" s="441"/>
      <c r="AF709" s="441"/>
      <c r="AG709" s="441"/>
      <c r="AH709" s="441"/>
      <c r="AI709" s="441"/>
      <c r="AJ709" s="441"/>
      <c r="AK709" s="395"/>
      <c r="AL709" s="395"/>
      <c r="AM709" s="395"/>
      <c r="AN709" s="395"/>
      <c r="AO709" s="395"/>
      <c r="AP709" s="410"/>
      <c r="AQ709" s="410"/>
    </row>
    <row r="710" spans="2:43" ht="15" customHeight="1">
      <c r="B710" s="394"/>
      <c r="C710" s="395"/>
      <c r="D710" s="417"/>
      <c r="E710" s="662"/>
      <c r="F710" s="417"/>
      <c r="G710" s="384"/>
      <c r="H710" s="768"/>
      <c r="I710" s="384"/>
      <c r="J710" s="384"/>
      <c r="K710" s="657"/>
      <c r="L710" s="658"/>
      <c r="M710" s="384"/>
      <c r="N710" s="384"/>
      <c r="O710" s="384"/>
      <c r="P710" s="384"/>
      <c r="Q710" s="384"/>
      <c r="R710" s="384"/>
      <c r="S710" s="660"/>
      <c r="T710" s="396"/>
      <c r="U710" s="384"/>
      <c r="V710" s="384"/>
      <c r="W710" s="384"/>
      <c r="X710" s="384"/>
      <c r="Y710" s="442"/>
      <c r="Z710" s="442"/>
      <c r="AA710" s="441"/>
      <c r="AB710" s="441"/>
      <c r="AC710" s="441"/>
      <c r="AD710" s="441"/>
      <c r="AE710" s="441"/>
      <c r="AF710" s="441"/>
      <c r="AG710" s="441"/>
      <c r="AH710" s="441"/>
      <c r="AI710" s="441"/>
      <c r="AJ710" s="441"/>
      <c r="AK710" s="395"/>
      <c r="AL710" s="395"/>
      <c r="AM710" s="395"/>
      <c r="AN710" s="395"/>
      <c r="AO710" s="395"/>
      <c r="AP710" s="410"/>
      <c r="AQ710" s="410"/>
    </row>
    <row r="711" spans="2:43" ht="15" customHeight="1">
      <c r="B711" s="394"/>
      <c r="C711" s="395"/>
      <c r="D711" s="417"/>
      <c r="E711" s="662"/>
      <c r="F711" s="417"/>
      <c r="G711" s="384"/>
      <c r="H711" s="768"/>
      <c r="I711" s="384"/>
      <c r="J711" s="384"/>
      <c r="K711" s="657"/>
      <c r="L711" s="658"/>
      <c r="M711" s="384"/>
      <c r="N711" s="384"/>
      <c r="O711" s="384"/>
      <c r="P711" s="384"/>
      <c r="Q711" s="384"/>
      <c r="R711" s="384"/>
      <c r="S711" s="660"/>
      <c r="T711" s="396"/>
      <c r="U711" s="384"/>
      <c r="V711" s="384"/>
      <c r="W711" s="384"/>
      <c r="X711" s="384"/>
      <c r="Y711" s="442"/>
      <c r="Z711" s="442"/>
      <c r="AA711" s="441"/>
      <c r="AB711" s="441"/>
      <c r="AC711" s="441"/>
      <c r="AD711" s="441"/>
      <c r="AE711" s="441"/>
      <c r="AF711" s="441"/>
      <c r="AG711" s="441"/>
      <c r="AH711" s="441"/>
      <c r="AI711" s="441"/>
      <c r="AJ711" s="441"/>
      <c r="AK711" s="395"/>
      <c r="AL711" s="395"/>
      <c r="AM711" s="395"/>
      <c r="AN711" s="395"/>
      <c r="AO711" s="395"/>
      <c r="AP711" s="410"/>
      <c r="AQ711" s="410"/>
    </row>
    <row r="712" spans="2:43" ht="15" customHeight="1">
      <c r="B712" s="394"/>
      <c r="C712" s="395"/>
      <c r="D712" s="417"/>
      <c r="E712" s="662"/>
      <c r="F712" s="417"/>
      <c r="G712" s="384"/>
      <c r="H712" s="768"/>
      <c r="I712" s="384"/>
      <c r="J712" s="384"/>
      <c r="K712" s="657"/>
      <c r="L712" s="658"/>
      <c r="M712" s="384"/>
      <c r="N712" s="384"/>
      <c r="O712" s="384"/>
      <c r="P712" s="384"/>
      <c r="Q712" s="384"/>
      <c r="R712" s="384"/>
      <c r="S712" s="660"/>
      <c r="T712" s="396"/>
      <c r="U712" s="384"/>
      <c r="V712" s="384"/>
      <c r="W712" s="384"/>
      <c r="X712" s="384"/>
      <c r="Y712" s="442"/>
      <c r="Z712" s="442"/>
      <c r="AA712" s="441"/>
      <c r="AB712" s="441"/>
      <c r="AC712" s="441"/>
      <c r="AD712" s="441"/>
      <c r="AE712" s="441"/>
      <c r="AF712" s="441"/>
      <c r="AG712" s="441"/>
      <c r="AH712" s="441"/>
      <c r="AI712" s="441"/>
      <c r="AJ712" s="441"/>
      <c r="AK712" s="395"/>
      <c r="AL712" s="395"/>
      <c r="AM712" s="395"/>
      <c r="AN712" s="395"/>
      <c r="AO712" s="395"/>
      <c r="AP712" s="410"/>
      <c r="AQ712" s="410"/>
    </row>
    <row r="713" spans="2:43" ht="15" customHeight="1">
      <c r="B713" s="394"/>
      <c r="C713" s="395"/>
      <c r="D713" s="417"/>
      <c r="E713" s="662"/>
      <c r="F713" s="417"/>
      <c r="G713" s="384"/>
      <c r="H713" s="768"/>
      <c r="I713" s="384"/>
      <c r="J713" s="384"/>
      <c r="K713" s="657"/>
      <c r="L713" s="658"/>
      <c r="M713" s="384"/>
      <c r="N713" s="384"/>
      <c r="O713" s="384"/>
      <c r="P713" s="384"/>
      <c r="Q713" s="384"/>
      <c r="R713" s="384"/>
      <c r="S713" s="660"/>
      <c r="T713" s="396"/>
      <c r="U713" s="384"/>
      <c r="V713" s="384"/>
      <c r="W713" s="384"/>
      <c r="X713" s="384"/>
      <c r="Y713" s="442"/>
      <c r="Z713" s="442"/>
      <c r="AA713" s="441"/>
      <c r="AB713" s="441"/>
      <c r="AC713" s="441"/>
      <c r="AD713" s="441"/>
      <c r="AE713" s="441"/>
      <c r="AF713" s="441"/>
      <c r="AG713" s="441"/>
      <c r="AH713" s="441"/>
      <c r="AI713" s="441"/>
      <c r="AJ713" s="441"/>
      <c r="AK713" s="395"/>
      <c r="AL713" s="395"/>
      <c r="AM713" s="395"/>
      <c r="AN713" s="395"/>
      <c r="AO713" s="395"/>
      <c r="AP713" s="410"/>
      <c r="AQ713" s="410"/>
    </row>
    <row r="714" spans="2:43" ht="15" customHeight="1">
      <c r="B714" s="394"/>
      <c r="C714" s="395"/>
      <c r="D714" s="417"/>
      <c r="E714" s="662"/>
      <c r="F714" s="417"/>
      <c r="G714" s="384"/>
      <c r="H714" s="768"/>
      <c r="I714" s="384"/>
      <c r="J714" s="384"/>
      <c r="K714" s="657"/>
      <c r="L714" s="658"/>
      <c r="M714" s="384"/>
      <c r="N714" s="384"/>
      <c r="O714" s="384"/>
      <c r="P714" s="384"/>
      <c r="Q714" s="384"/>
      <c r="R714" s="384"/>
      <c r="S714" s="660"/>
      <c r="T714" s="396"/>
      <c r="U714" s="384"/>
      <c r="V714" s="384"/>
      <c r="W714" s="384"/>
      <c r="X714" s="384"/>
      <c r="Y714" s="442"/>
      <c r="Z714" s="442"/>
      <c r="AA714" s="441"/>
      <c r="AB714" s="441"/>
      <c r="AC714" s="441"/>
      <c r="AD714" s="441"/>
      <c r="AE714" s="441"/>
      <c r="AF714" s="441"/>
      <c r="AG714" s="441"/>
      <c r="AH714" s="441"/>
      <c r="AI714" s="441"/>
      <c r="AJ714" s="441"/>
      <c r="AK714" s="395"/>
      <c r="AL714" s="395"/>
      <c r="AM714" s="395"/>
      <c r="AN714" s="395"/>
      <c r="AO714" s="395"/>
      <c r="AP714" s="410"/>
      <c r="AQ714" s="410"/>
    </row>
    <row r="715" spans="2:43" ht="15" customHeight="1">
      <c r="B715" s="394"/>
      <c r="C715" s="395"/>
      <c r="D715" s="417"/>
      <c r="E715" s="662"/>
      <c r="F715" s="417"/>
      <c r="G715" s="384"/>
      <c r="H715" s="768"/>
      <c r="I715" s="384"/>
      <c r="J715" s="384"/>
      <c r="K715" s="657"/>
      <c r="L715" s="658"/>
      <c r="M715" s="384"/>
      <c r="N715" s="384"/>
      <c r="O715" s="384"/>
      <c r="P715" s="384"/>
      <c r="Q715" s="384"/>
      <c r="R715" s="384"/>
      <c r="S715" s="660"/>
      <c r="T715" s="396"/>
      <c r="U715" s="384"/>
      <c r="V715" s="384"/>
      <c r="W715" s="384"/>
      <c r="X715" s="384"/>
      <c r="Y715" s="442"/>
      <c r="Z715" s="442"/>
      <c r="AA715" s="441"/>
      <c r="AB715" s="441"/>
      <c r="AC715" s="441"/>
      <c r="AD715" s="441"/>
      <c r="AE715" s="441"/>
      <c r="AF715" s="441"/>
      <c r="AG715" s="441"/>
      <c r="AH715" s="441"/>
      <c r="AI715" s="441"/>
      <c r="AJ715" s="441"/>
      <c r="AK715" s="395"/>
      <c r="AL715" s="395"/>
      <c r="AM715" s="395"/>
      <c r="AN715" s="395"/>
      <c r="AO715" s="395"/>
      <c r="AP715" s="410"/>
      <c r="AQ715" s="410"/>
    </row>
    <row r="716" spans="2:43" ht="15" customHeight="1">
      <c r="B716" s="394"/>
      <c r="C716" s="395"/>
      <c r="D716" s="417"/>
      <c r="E716" s="662"/>
      <c r="F716" s="417"/>
      <c r="G716" s="384"/>
      <c r="H716" s="768"/>
      <c r="I716" s="384"/>
      <c r="J716" s="384"/>
      <c r="K716" s="657"/>
      <c r="L716" s="658"/>
      <c r="M716" s="384"/>
      <c r="N716" s="384"/>
      <c r="O716" s="384"/>
      <c r="P716" s="384"/>
      <c r="Q716" s="384"/>
      <c r="R716" s="384"/>
      <c r="S716" s="660"/>
      <c r="T716" s="396"/>
      <c r="U716" s="384"/>
      <c r="V716" s="384"/>
      <c r="W716" s="384"/>
      <c r="X716" s="384"/>
      <c r="Y716" s="442"/>
      <c r="Z716" s="442"/>
      <c r="AA716" s="441"/>
      <c r="AB716" s="441"/>
      <c r="AC716" s="441"/>
      <c r="AD716" s="441"/>
      <c r="AE716" s="441"/>
      <c r="AF716" s="441"/>
      <c r="AG716" s="441"/>
      <c r="AH716" s="441"/>
      <c r="AI716" s="441"/>
      <c r="AJ716" s="441"/>
      <c r="AK716" s="395"/>
      <c r="AL716" s="395"/>
      <c r="AM716" s="395"/>
      <c r="AN716" s="395"/>
      <c r="AO716" s="395"/>
      <c r="AP716" s="410"/>
      <c r="AQ716" s="410"/>
    </row>
    <row r="717" spans="2:43" ht="15" customHeight="1">
      <c r="B717" s="394"/>
      <c r="C717" s="395"/>
      <c r="D717" s="417"/>
      <c r="E717" s="662"/>
      <c r="F717" s="417"/>
      <c r="G717" s="384"/>
      <c r="H717" s="768"/>
      <c r="I717" s="384"/>
      <c r="J717" s="384"/>
      <c r="K717" s="657"/>
      <c r="L717" s="658"/>
      <c r="M717" s="384"/>
      <c r="N717" s="384"/>
      <c r="O717" s="384"/>
      <c r="P717" s="384"/>
      <c r="Q717" s="384"/>
      <c r="R717" s="384"/>
      <c r="S717" s="660"/>
      <c r="T717" s="396"/>
      <c r="U717" s="384"/>
      <c r="V717" s="384"/>
      <c r="W717" s="384"/>
      <c r="X717" s="384"/>
      <c r="Y717" s="442"/>
      <c r="Z717" s="442"/>
      <c r="AA717" s="441"/>
      <c r="AB717" s="441"/>
      <c r="AC717" s="441"/>
      <c r="AD717" s="441"/>
      <c r="AE717" s="441"/>
      <c r="AF717" s="441"/>
      <c r="AG717" s="441"/>
      <c r="AH717" s="441"/>
      <c r="AI717" s="441"/>
      <c r="AJ717" s="441"/>
      <c r="AK717" s="395"/>
      <c r="AL717" s="395"/>
      <c r="AM717" s="395"/>
      <c r="AN717" s="395"/>
      <c r="AO717" s="395"/>
      <c r="AP717" s="410"/>
      <c r="AQ717" s="410"/>
    </row>
    <row r="718" spans="2:43" ht="15" customHeight="1">
      <c r="B718" s="394"/>
      <c r="C718" s="395"/>
      <c r="D718" s="417"/>
      <c r="E718" s="662"/>
      <c r="F718" s="417"/>
      <c r="G718" s="384"/>
      <c r="H718" s="768"/>
      <c r="I718" s="384"/>
      <c r="J718" s="384"/>
      <c r="K718" s="657"/>
      <c r="L718" s="658"/>
      <c r="M718" s="384"/>
      <c r="N718" s="384"/>
      <c r="O718" s="384"/>
      <c r="P718" s="384"/>
      <c r="Q718" s="384"/>
      <c r="R718" s="384"/>
      <c r="S718" s="660"/>
      <c r="T718" s="396"/>
      <c r="U718" s="384"/>
      <c r="V718" s="384"/>
      <c r="W718" s="384"/>
      <c r="X718" s="384"/>
      <c r="Y718" s="442"/>
      <c r="Z718" s="442"/>
      <c r="AA718" s="441"/>
      <c r="AB718" s="441"/>
      <c r="AC718" s="441"/>
      <c r="AD718" s="441"/>
      <c r="AE718" s="441"/>
      <c r="AF718" s="441"/>
      <c r="AG718" s="441"/>
      <c r="AH718" s="441"/>
      <c r="AI718" s="441"/>
      <c r="AJ718" s="441"/>
      <c r="AK718" s="395"/>
      <c r="AL718" s="395"/>
      <c r="AM718" s="395"/>
      <c r="AN718" s="395"/>
      <c r="AO718" s="395"/>
      <c r="AP718" s="410"/>
      <c r="AQ718" s="410"/>
    </row>
    <row r="719" spans="2:43" ht="15" customHeight="1">
      <c r="B719" s="394"/>
      <c r="C719" s="395"/>
      <c r="D719" s="417"/>
      <c r="E719" s="662"/>
      <c r="F719" s="417"/>
      <c r="G719" s="384"/>
      <c r="H719" s="768"/>
      <c r="I719" s="384"/>
      <c r="J719" s="384"/>
      <c r="K719" s="657"/>
      <c r="L719" s="658"/>
      <c r="M719" s="384"/>
      <c r="N719" s="384"/>
      <c r="O719" s="384"/>
      <c r="P719" s="384"/>
      <c r="Q719" s="384"/>
      <c r="R719" s="384"/>
      <c r="S719" s="660"/>
      <c r="T719" s="396"/>
      <c r="U719" s="384"/>
      <c r="V719" s="384"/>
      <c r="W719" s="384"/>
      <c r="X719" s="384"/>
      <c r="Y719" s="442"/>
      <c r="Z719" s="442"/>
      <c r="AA719" s="441"/>
      <c r="AB719" s="441"/>
      <c r="AC719" s="441"/>
      <c r="AD719" s="441"/>
      <c r="AE719" s="441"/>
      <c r="AF719" s="441"/>
      <c r="AG719" s="441"/>
      <c r="AH719" s="441"/>
      <c r="AI719" s="441"/>
      <c r="AJ719" s="441"/>
      <c r="AK719" s="395"/>
      <c r="AL719" s="395"/>
      <c r="AM719" s="395"/>
      <c r="AN719" s="395"/>
      <c r="AO719" s="395"/>
      <c r="AP719" s="410"/>
      <c r="AQ719" s="410"/>
    </row>
    <row r="720" spans="2:43" ht="15" customHeight="1">
      <c r="B720" s="394"/>
      <c r="C720" s="395"/>
      <c r="D720" s="417"/>
      <c r="E720" s="662"/>
      <c r="F720" s="417"/>
      <c r="G720" s="384"/>
      <c r="H720" s="768"/>
      <c r="I720" s="384"/>
      <c r="J720" s="384"/>
      <c r="K720" s="657"/>
      <c r="L720" s="658"/>
      <c r="M720" s="384"/>
      <c r="N720" s="384"/>
      <c r="O720" s="384"/>
      <c r="P720" s="384"/>
      <c r="Q720" s="384"/>
      <c r="R720" s="384"/>
      <c r="S720" s="660"/>
      <c r="T720" s="396"/>
      <c r="U720" s="384"/>
      <c r="V720" s="384"/>
      <c r="W720" s="384"/>
      <c r="X720" s="384"/>
      <c r="Y720" s="442"/>
      <c r="Z720" s="442"/>
      <c r="AA720" s="441"/>
      <c r="AB720" s="441"/>
      <c r="AC720" s="441"/>
      <c r="AD720" s="441"/>
      <c r="AE720" s="441"/>
      <c r="AF720" s="441"/>
      <c r="AG720" s="441"/>
      <c r="AH720" s="441"/>
      <c r="AI720" s="441"/>
      <c r="AJ720" s="441"/>
      <c r="AK720" s="395"/>
      <c r="AL720" s="395"/>
      <c r="AM720" s="395"/>
      <c r="AN720" s="395"/>
      <c r="AO720" s="395"/>
      <c r="AP720" s="410"/>
      <c r="AQ720" s="410"/>
    </row>
    <row r="721" spans="2:43" ht="15" customHeight="1">
      <c r="B721" s="394"/>
      <c r="C721" s="395"/>
      <c r="D721" s="417"/>
      <c r="E721" s="662"/>
      <c r="F721" s="417"/>
      <c r="G721" s="384"/>
      <c r="H721" s="768"/>
      <c r="I721" s="384"/>
      <c r="J721" s="384"/>
      <c r="K721" s="657"/>
      <c r="L721" s="658"/>
      <c r="M721" s="384"/>
      <c r="N721" s="384"/>
      <c r="O721" s="384"/>
      <c r="P721" s="384"/>
      <c r="Q721" s="384"/>
      <c r="R721" s="384"/>
      <c r="S721" s="660"/>
      <c r="T721" s="396"/>
      <c r="U721" s="384"/>
      <c r="V721" s="384"/>
      <c r="W721" s="384"/>
      <c r="X721" s="384"/>
      <c r="Y721" s="442"/>
      <c r="Z721" s="442"/>
      <c r="AA721" s="441"/>
      <c r="AB721" s="441"/>
      <c r="AC721" s="441"/>
      <c r="AD721" s="441"/>
      <c r="AE721" s="441"/>
      <c r="AF721" s="441"/>
      <c r="AG721" s="441"/>
      <c r="AH721" s="441"/>
      <c r="AI721" s="441"/>
      <c r="AJ721" s="441"/>
      <c r="AK721" s="395"/>
      <c r="AL721" s="395"/>
      <c r="AM721" s="395"/>
      <c r="AN721" s="395"/>
      <c r="AO721" s="395"/>
      <c r="AP721" s="410"/>
      <c r="AQ721" s="410"/>
    </row>
    <row r="722" spans="2:43" ht="15" customHeight="1">
      <c r="B722" s="394"/>
      <c r="C722" s="395"/>
      <c r="D722" s="417"/>
      <c r="E722" s="662"/>
      <c r="F722" s="417"/>
      <c r="G722" s="384"/>
      <c r="H722" s="768"/>
      <c r="I722" s="384"/>
      <c r="J722" s="384"/>
      <c r="K722" s="657"/>
      <c r="L722" s="658"/>
      <c r="M722" s="384"/>
      <c r="N722" s="384"/>
      <c r="O722" s="384"/>
      <c r="P722" s="384"/>
      <c r="Q722" s="384"/>
      <c r="R722" s="384"/>
      <c r="S722" s="660"/>
      <c r="T722" s="396"/>
      <c r="U722" s="384"/>
      <c r="V722" s="384"/>
      <c r="W722" s="384"/>
      <c r="X722" s="384"/>
      <c r="Y722" s="442"/>
      <c r="Z722" s="442"/>
      <c r="AA722" s="441"/>
      <c r="AB722" s="441"/>
      <c r="AC722" s="441"/>
      <c r="AD722" s="441"/>
      <c r="AE722" s="441"/>
      <c r="AF722" s="441"/>
      <c r="AG722" s="441"/>
      <c r="AH722" s="441"/>
      <c r="AI722" s="441"/>
      <c r="AJ722" s="441"/>
      <c r="AK722" s="395"/>
      <c r="AL722" s="395"/>
      <c r="AM722" s="395"/>
      <c r="AN722" s="395"/>
      <c r="AO722" s="395"/>
      <c r="AP722" s="410"/>
      <c r="AQ722" s="410"/>
    </row>
    <row r="723" spans="2:43" ht="15" customHeight="1">
      <c r="B723" s="394"/>
      <c r="C723" s="395"/>
      <c r="D723" s="417"/>
      <c r="E723" s="662"/>
      <c r="F723" s="417"/>
      <c r="G723" s="384"/>
      <c r="H723" s="768"/>
      <c r="I723" s="384"/>
      <c r="J723" s="384"/>
      <c r="K723" s="657"/>
      <c r="L723" s="658"/>
      <c r="M723" s="384"/>
      <c r="N723" s="384"/>
      <c r="O723" s="384"/>
      <c r="P723" s="384"/>
      <c r="Q723" s="384"/>
      <c r="R723" s="384"/>
      <c r="S723" s="660"/>
      <c r="T723" s="396"/>
      <c r="U723" s="384"/>
      <c r="V723" s="384"/>
      <c r="W723" s="384"/>
      <c r="X723" s="384"/>
      <c r="Y723" s="442"/>
      <c r="Z723" s="442"/>
      <c r="AA723" s="441"/>
      <c r="AB723" s="441"/>
      <c r="AC723" s="441"/>
      <c r="AD723" s="441"/>
      <c r="AE723" s="441"/>
      <c r="AF723" s="441"/>
      <c r="AG723" s="441"/>
      <c r="AH723" s="441"/>
      <c r="AI723" s="441"/>
      <c r="AJ723" s="441"/>
      <c r="AK723" s="395"/>
      <c r="AL723" s="395"/>
      <c r="AM723" s="395"/>
      <c r="AN723" s="395"/>
      <c r="AO723" s="395"/>
      <c r="AP723" s="410"/>
      <c r="AQ723" s="410"/>
    </row>
    <row r="724" spans="2:43" ht="15" customHeight="1">
      <c r="B724" s="394"/>
      <c r="C724" s="395"/>
      <c r="D724" s="417"/>
      <c r="E724" s="662"/>
      <c r="F724" s="417"/>
      <c r="G724" s="384"/>
      <c r="H724" s="768"/>
      <c r="I724" s="384"/>
      <c r="J724" s="384"/>
      <c r="K724" s="657"/>
      <c r="L724" s="658"/>
      <c r="M724" s="384"/>
      <c r="N724" s="384"/>
      <c r="O724" s="384"/>
      <c r="P724" s="384"/>
      <c r="Q724" s="384"/>
      <c r="R724" s="384"/>
      <c r="S724" s="660"/>
      <c r="T724" s="396"/>
      <c r="U724" s="384"/>
      <c r="V724" s="384"/>
      <c r="W724" s="384"/>
      <c r="X724" s="384"/>
      <c r="Y724" s="442"/>
      <c r="Z724" s="442"/>
      <c r="AA724" s="441"/>
      <c r="AB724" s="441"/>
      <c r="AC724" s="441"/>
      <c r="AD724" s="441"/>
      <c r="AE724" s="441"/>
      <c r="AF724" s="441"/>
      <c r="AG724" s="441"/>
      <c r="AH724" s="441"/>
      <c r="AI724" s="441"/>
      <c r="AJ724" s="441"/>
      <c r="AK724" s="395"/>
      <c r="AL724" s="395"/>
      <c r="AM724" s="395"/>
      <c r="AN724" s="395"/>
      <c r="AO724" s="395"/>
      <c r="AP724" s="410"/>
      <c r="AQ724" s="410"/>
    </row>
    <row r="725" spans="2:43" ht="15" customHeight="1">
      <c r="B725" s="394"/>
      <c r="C725" s="395"/>
      <c r="D725" s="417"/>
      <c r="E725" s="662"/>
      <c r="F725" s="417"/>
      <c r="G725" s="384"/>
      <c r="H725" s="768"/>
      <c r="I725" s="384"/>
      <c r="J725" s="384"/>
      <c r="K725" s="657"/>
      <c r="L725" s="658"/>
      <c r="M725" s="384"/>
      <c r="N725" s="384"/>
      <c r="O725" s="384"/>
      <c r="P725" s="384"/>
      <c r="Q725" s="384"/>
      <c r="R725" s="384"/>
      <c r="S725" s="660"/>
      <c r="T725" s="396"/>
      <c r="U725" s="384"/>
      <c r="V725" s="384"/>
      <c r="W725" s="384"/>
      <c r="X725" s="384"/>
      <c r="Y725" s="442"/>
      <c r="Z725" s="442"/>
      <c r="AA725" s="441"/>
      <c r="AB725" s="441"/>
      <c r="AC725" s="441"/>
      <c r="AD725" s="441"/>
      <c r="AE725" s="441"/>
      <c r="AF725" s="441"/>
      <c r="AG725" s="441"/>
      <c r="AH725" s="441"/>
      <c r="AI725" s="441"/>
      <c r="AJ725" s="441"/>
      <c r="AK725" s="395"/>
      <c r="AL725" s="395"/>
      <c r="AM725" s="395"/>
      <c r="AN725" s="395"/>
      <c r="AO725" s="395"/>
      <c r="AP725" s="410"/>
      <c r="AQ725" s="410"/>
    </row>
    <row r="726" spans="2:43" ht="15" customHeight="1">
      <c r="B726" s="394"/>
      <c r="C726" s="395"/>
      <c r="D726" s="417"/>
      <c r="E726" s="662"/>
      <c r="F726" s="417"/>
      <c r="G726" s="384"/>
      <c r="H726" s="768"/>
      <c r="I726" s="384"/>
      <c r="J726" s="384"/>
      <c r="K726" s="657"/>
      <c r="L726" s="658"/>
      <c r="M726" s="384"/>
      <c r="N726" s="384"/>
      <c r="O726" s="384"/>
      <c r="P726" s="384"/>
      <c r="Q726" s="384"/>
      <c r="R726" s="384"/>
      <c r="S726" s="660"/>
      <c r="T726" s="396"/>
      <c r="U726" s="384"/>
      <c r="V726" s="384"/>
      <c r="W726" s="384"/>
      <c r="X726" s="384"/>
      <c r="Y726" s="442"/>
      <c r="Z726" s="442"/>
      <c r="AA726" s="441"/>
      <c r="AB726" s="441"/>
      <c r="AC726" s="441"/>
      <c r="AD726" s="441"/>
      <c r="AE726" s="441"/>
      <c r="AF726" s="441"/>
      <c r="AG726" s="441"/>
      <c r="AH726" s="441"/>
      <c r="AI726" s="441"/>
      <c r="AJ726" s="441"/>
      <c r="AK726" s="395"/>
      <c r="AL726" s="395"/>
      <c r="AM726" s="395"/>
      <c r="AN726" s="395"/>
      <c r="AO726" s="395"/>
      <c r="AP726" s="410"/>
      <c r="AQ726" s="410"/>
    </row>
    <row r="727" spans="2:43" ht="15" customHeight="1">
      <c r="B727" s="394"/>
      <c r="C727" s="395"/>
      <c r="D727" s="417"/>
      <c r="E727" s="662"/>
      <c r="F727" s="417"/>
      <c r="G727" s="384"/>
      <c r="H727" s="768"/>
      <c r="I727" s="384"/>
      <c r="J727" s="384"/>
      <c r="K727" s="657"/>
      <c r="L727" s="658"/>
      <c r="M727" s="384"/>
      <c r="N727" s="384"/>
      <c r="O727" s="384"/>
      <c r="P727" s="384"/>
      <c r="Q727" s="384"/>
      <c r="R727" s="384"/>
      <c r="S727" s="660"/>
      <c r="T727" s="396"/>
      <c r="U727" s="384"/>
      <c r="V727" s="384"/>
      <c r="W727" s="384"/>
      <c r="X727" s="384"/>
      <c r="Y727" s="442"/>
      <c r="Z727" s="442"/>
      <c r="AA727" s="441"/>
      <c r="AB727" s="441"/>
      <c r="AC727" s="441"/>
      <c r="AD727" s="441"/>
      <c r="AE727" s="441"/>
      <c r="AF727" s="441"/>
      <c r="AG727" s="441"/>
      <c r="AH727" s="441"/>
      <c r="AI727" s="441"/>
      <c r="AJ727" s="441"/>
      <c r="AK727" s="395"/>
      <c r="AL727" s="395"/>
      <c r="AM727" s="395"/>
      <c r="AN727" s="395"/>
      <c r="AO727" s="395"/>
      <c r="AP727" s="410"/>
      <c r="AQ727" s="410"/>
    </row>
    <row r="728" spans="2:43" ht="15" customHeight="1">
      <c r="B728" s="394"/>
      <c r="C728" s="395"/>
      <c r="D728" s="417"/>
      <c r="E728" s="662"/>
      <c r="F728" s="417"/>
      <c r="G728" s="384"/>
      <c r="H728" s="768"/>
      <c r="I728" s="384"/>
      <c r="J728" s="384"/>
      <c r="K728" s="657"/>
      <c r="L728" s="658"/>
      <c r="M728" s="384"/>
      <c r="N728" s="384"/>
      <c r="O728" s="384"/>
      <c r="P728" s="384"/>
      <c r="Q728" s="384"/>
      <c r="R728" s="384"/>
      <c r="S728" s="660"/>
      <c r="T728" s="396"/>
      <c r="U728" s="384"/>
      <c r="V728" s="384"/>
      <c r="W728" s="384"/>
      <c r="X728" s="384"/>
      <c r="Y728" s="442"/>
      <c r="Z728" s="442"/>
      <c r="AA728" s="441"/>
      <c r="AB728" s="441"/>
      <c r="AC728" s="441"/>
      <c r="AD728" s="441"/>
      <c r="AE728" s="441"/>
      <c r="AF728" s="441"/>
      <c r="AG728" s="441"/>
      <c r="AH728" s="441"/>
      <c r="AI728" s="441"/>
      <c r="AJ728" s="441"/>
      <c r="AK728" s="395"/>
      <c r="AL728" s="395"/>
      <c r="AM728" s="395"/>
      <c r="AN728" s="395"/>
      <c r="AO728" s="395"/>
      <c r="AP728" s="410"/>
      <c r="AQ728" s="410"/>
    </row>
    <row r="729" spans="2:43" ht="15" customHeight="1">
      <c r="B729" s="394"/>
      <c r="C729" s="395"/>
      <c r="D729" s="417"/>
      <c r="E729" s="662"/>
      <c r="F729" s="417"/>
      <c r="G729" s="384"/>
      <c r="H729" s="768"/>
      <c r="I729" s="384"/>
      <c r="J729" s="384"/>
      <c r="K729" s="657"/>
      <c r="L729" s="658"/>
      <c r="M729" s="384"/>
      <c r="N729" s="384"/>
      <c r="O729" s="384"/>
      <c r="P729" s="384"/>
      <c r="Q729" s="384"/>
      <c r="R729" s="384"/>
      <c r="S729" s="660"/>
      <c r="T729" s="396"/>
      <c r="U729" s="384"/>
      <c r="V729" s="384"/>
      <c r="W729" s="384"/>
      <c r="X729" s="384"/>
      <c r="Y729" s="442"/>
      <c r="Z729" s="442"/>
      <c r="AA729" s="441"/>
      <c r="AB729" s="441"/>
      <c r="AC729" s="441"/>
      <c r="AD729" s="441"/>
      <c r="AE729" s="441"/>
      <c r="AF729" s="441"/>
      <c r="AG729" s="441"/>
      <c r="AH729" s="441"/>
      <c r="AI729" s="441"/>
      <c r="AJ729" s="441"/>
      <c r="AK729" s="395"/>
      <c r="AL729" s="395"/>
      <c r="AM729" s="395"/>
      <c r="AN729" s="395"/>
      <c r="AO729" s="395"/>
      <c r="AP729" s="410"/>
      <c r="AQ729" s="410"/>
    </row>
    <row r="730" spans="2:43" ht="15" customHeight="1">
      <c r="B730" s="394"/>
      <c r="C730" s="395"/>
      <c r="D730" s="417"/>
      <c r="E730" s="662"/>
      <c r="F730" s="417"/>
      <c r="G730" s="384"/>
      <c r="H730" s="768"/>
      <c r="I730" s="384"/>
      <c r="J730" s="384"/>
      <c r="K730" s="657"/>
      <c r="L730" s="658"/>
      <c r="M730" s="384"/>
      <c r="N730" s="384"/>
      <c r="O730" s="384"/>
      <c r="P730" s="384"/>
      <c r="Q730" s="384"/>
      <c r="R730" s="384"/>
      <c r="S730" s="660"/>
      <c r="T730" s="396"/>
      <c r="U730" s="384"/>
      <c r="V730" s="384"/>
      <c r="W730" s="384"/>
      <c r="X730" s="384"/>
      <c r="Y730" s="442"/>
      <c r="Z730" s="442"/>
      <c r="AA730" s="441"/>
      <c r="AB730" s="441"/>
      <c r="AC730" s="441"/>
      <c r="AD730" s="441"/>
      <c r="AE730" s="441"/>
      <c r="AF730" s="441"/>
      <c r="AG730" s="441"/>
      <c r="AH730" s="441"/>
      <c r="AI730" s="441"/>
      <c r="AJ730" s="441"/>
      <c r="AK730" s="395"/>
      <c r="AL730" s="395"/>
      <c r="AM730" s="395"/>
      <c r="AN730" s="395"/>
      <c r="AO730" s="395"/>
      <c r="AP730" s="410"/>
      <c r="AQ730" s="410"/>
    </row>
    <row r="731" spans="2:43" ht="15" customHeight="1">
      <c r="B731" s="394"/>
      <c r="C731" s="395"/>
      <c r="D731" s="417"/>
      <c r="E731" s="662"/>
      <c r="F731" s="417"/>
      <c r="G731" s="384"/>
      <c r="H731" s="768"/>
      <c r="I731" s="384"/>
      <c r="J731" s="384"/>
      <c r="K731" s="657"/>
      <c r="L731" s="658"/>
      <c r="M731" s="384"/>
      <c r="N731" s="384"/>
      <c r="O731" s="384"/>
      <c r="P731" s="384"/>
      <c r="Q731" s="384"/>
      <c r="R731" s="384"/>
      <c r="S731" s="660"/>
      <c r="T731" s="396"/>
      <c r="U731" s="384"/>
      <c r="V731" s="384"/>
      <c r="W731" s="384"/>
      <c r="X731" s="384"/>
      <c r="Y731" s="442"/>
      <c r="Z731" s="442"/>
      <c r="AA731" s="441"/>
      <c r="AB731" s="441"/>
      <c r="AC731" s="441"/>
      <c r="AD731" s="441"/>
      <c r="AE731" s="441"/>
      <c r="AF731" s="441"/>
      <c r="AG731" s="441"/>
      <c r="AH731" s="441"/>
      <c r="AI731" s="441"/>
      <c r="AJ731" s="441"/>
      <c r="AK731" s="395"/>
      <c r="AL731" s="395"/>
      <c r="AM731" s="395"/>
      <c r="AN731" s="395"/>
      <c r="AO731" s="395"/>
      <c r="AP731" s="410"/>
      <c r="AQ731" s="410"/>
    </row>
    <row r="732" spans="2:43" ht="15" customHeight="1">
      <c r="B732" s="394"/>
      <c r="C732" s="395"/>
      <c r="D732" s="417"/>
      <c r="E732" s="662"/>
      <c r="F732" s="417"/>
      <c r="G732" s="384"/>
      <c r="H732" s="768"/>
      <c r="I732" s="384"/>
      <c r="J732" s="384"/>
      <c r="K732" s="657"/>
      <c r="L732" s="658"/>
      <c r="M732" s="384"/>
      <c r="N732" s="384"/>
      <c r="O732" s="384"/>
      <c r="P732" s="384"/>
      <c r="Q732" s="384"/>
      <c r="R732" s="384"/>
      <c r="S732" s="660"/>
      <c r="T732" s="396"/>
      <c r="U732" s="384"/>
      <c r="V732" s="384"/>
      <c r="W732" s="384"/>
      <c r="X732" s="384"/>
      <c r="Y732" s="442"/>
      <c r="Z732" s="442"/>
      <c r="AA732" s="441"/>
      <c r="AB732" s="441"/>
      <c r="AC732" s="441"/>
      <c r="AD732" s="441"/>
      <c r="AE732" s="441"/>
      <c r="AF732" s="441"/>
      <c r="AG732" s="441"/>
      <c r="AH732" s="441"/>
      <c r="AI732" s="441"/>
      <c r="AJ732" s="441"/>
      <c r="AK732" s="395"/>
      <c r="AL732" s="395"/>
      <c r="AM732" s="395"/>
      <c r="AN732" s="395"/>
      <c r="AO732" s="395"/>
      <c r="AP732" s="410"/>
      <c r="AQ732" s="410"/>
    </row>
    <row r="733" spans="2:43" ht="15" customHeight="1">
      <c r="B733" s="394"/>
      <c r="C733" s="395"/>
      <c r="D733" s="417"/>
      <c r="E733" s="662"/>
      <c r="F733" s="417"/>
      <c r="G733" s="384"/>
      <c r="H733" s="768"/>
      <c r="I733" s="384"/>
      <c r="J733" s="384"/>
      <c r="K733" s="657"/>
      <c r="L733" s="658"/>
      <c r="M733" s="384"/>
      <c r="N733" s="384"/>
      <c r="O733" s="384"/>
      <c r="P733" s="384"/>
      <c r="Q733" s="384"/>
      <c r="R733" s="384"/>
      <c r="S733" s="660"/>
      <c r="T733" s="396"/>
      <c r="U733" s="384"/>
      <c r="V733" s="384"/>
      <c r="W733" s="384"/>
      <c r="X733" s="384"/>
      <c r="Y733" s="442"/>
      <c r="Z733" s="442"/>
      <c r="AA733" s="441"/>
      <c r="AB733" s="441"/>
      <c r="AC733" s="441"/>
      <c r="AD733" s="441"/>
      <c r="AE733" s="441"/>
      <c r="AF733" s="441"/>
      <c r="AG733" s="441"/>
      <c r="AH733" s="441"/>
      <c r="AI733" s="441"/>
      <c r="AJ733" s="441"/>
      <c r="AK733" s="395"/>
      <c r="AL733" s="395"/>
      <c r="AM733" s="395"/>
      <c r="AN733" s="395"/>
      <c r="AO733" s="395"/>
      <c r="AP733" s="410"/>
      <c r="AQ733" s="410"/>
    </row>
    <row r="734" spans="2:43" ht="15" customHeight="1">
      <c r="B734" s="394"/>
      <c r="C734" s="395"/>
      <c r="D734" s="417"/>
      <c r="E734" s="662"/>
      <c r="F734" s="417"/>
      <c r="G734" s="384"/>
      <c r="H734" s="768"/>
      <c r="I734" s="384"/>
      <c r="J734" s="384"/>
      <c r="K734" s="657"/>
      <c r="L734" s="658"/>
      <c r="M734" s="384"/>
      <c r="N734" s="384"/>
      <c r="O734" s="384"/>
      <c r="P734" s="384"/>
      <c r="Q734" s="384"/>
      <c r="R734" s="384"/>
      <c r="S734" s="660"/>
      <c r="T734" s="396"/>
      <c r="U734" s="384"/>
      <c r="V734" s="384"/>
      <c r="W734" s="384"/>
      <c r="X734" s="384"/>
      <c r="Y734" s="442"/>
      <c r="Z734" s="442"/>
      <c r="AA734" s="441"/>
      <c r="AB734" s="441"/>
      <c r="AC734" s="441"/>
      <c r="AD734" s="441"/>
      <c r="AE734" s="441"/>
      <c r="AF734" s="441"/>
      <c r="AG734" s="441"/>
      <c r="AH734" s="441"/>
      <c r="AI734" s="441"/>
      <c r="AJ734" s="441"/>
      <c r="AK734" s="395"/>
      <c r="AL734" s="395"/>
      <c r="AM734" s="395"/>
      <c r="AN734" s="395"/>
      <c r="AO734" s="395"/>
      <c r="AP734" s="410"/>
      <c r="AQ734" s="410"/>
    </row>
    <row r="735" spans="2:43" ht="15" customHeight="1">
      <c r="B735" s="394"/>
      <c r="C735" s="395"/>
      <c r="D735" s="417"/>
      <c r="E735" s="662"/>
      <c r="F735" s="417"/>
      <c r="G735" s="384"/>
      <c r="H735" s="768"/>
      <c r="I735" s="384"/>
      <c r="J735" s="384"/>
      <c r="K735" s="657"/>
      <c r="L735" s="658"/>
      <c r="M735" s="384"/>
      <c r="N735" s="384"/>
      <c r="O735" s="384"/>
      <c r="P735" s="384"/>
      <c r="Q735" s="384"/>
      <c r="R735" s="384"/>
      <c r="S735" s="660"/>
      <c r="T735" s="396"/>
      <c r="U735" s="384"/>
      <c r="V735" s="384"/>
      <c r="W735" s="384"/>
      <c r="X735" s="384"/>
      <c r="Y735" s="442"/>
      <c r="Z735" s="442"/>
      <c r="AA735" s="441"/>
      <c r="AB735" s="441"/>
      <c r="AC735" s="441"/>
      <c r="AD735" s="441"/>
      <c r="AE735" s="441"/>
      <c r="AF735" s="441"/>
      <c r="AG735" s="441"/>
      <c r="AH735" s="441"/>
      <c r="AI735" s="441"/>
      <c r="AJ735" s="441"/>
      <c r="AK735" s="395"/>
      <c r="AL735" s="395"/>
      <c r="AM735" s="395"/>
      <c r="AN735" s="395"/>
      <c r="AO735" s="395"/>
      <c r="AP735" s="410"/>
      <c r="AQ735" s="410"/>
    </row>
    <row r="736" spans="2:43" ht="15" customHeight="1">
      <c r="B736" s="394"/>
      <c r="C736" s="395"/>
      <c r="D736" s="417"/>
      <c r="E736" s="662"/>
      <c r="F736" s="417"/>
      <c r="G736" s="384"/>
      <c r="H736" s="768"/>
      <c r="I736" s="384"/>
      <c r="J736" s="384"/>
      <c r="K736" s="657"/>
      <c r="L736" s="658"/>
      <c r="M736" s="384"/>
      <c r="N736" s="384"/>
      <c r="O736" s="384"/>
      <c r="P736" s="384"/>
      <c r="Q736" s="384"/>
      <c r="R736" s="384"/>
      <c r="S736" s="660"/>
      <c r="T736" s="396"/>
      <c r="U736" s="384"/>
      <c r="V736" s="384"/>
      <c r="W736" s="384"/>
      <c r="X736" s="384"/>
      <c r="Y736" s="442"/>
      <c r="Z736" s="442"/>
      <c r="AA736" s="441"/>
      <c r="AB736" s="441"/>
      <c r="AC736" s="441"/>
      <c r="AD736" s="441"/>
      <c r="AE736" s="441"/>
      <c r="AF736" s="441"/>
      <c r="AG736" s="441"/>
      <c r="AH736" s="441"/>
      <c r="AI736" s="441"/>
      <c r="AJ736" s="441"/>
      <c r="AK736" s="395"/>
      <c r="AL736" s="395"/>
      <c r="AM736" s="395"/>
      <c r="AN736" s="395"/>
      <c r="AO736" s="395"/>
      <c r="AP736" s="410"/>
      <c r="AQ736" s="410"/>
    </row>
    <row r="737" spans="2:43" ht="15" customHeight="1">
      <c r="B737" s="394"/>
      <c r="C737" s="395"/>
      <c r="D737" s="417"/>
      <c r="E737" s="662"/>
      <c r="F737" s="417"/>
      <c r="G737" s="384"/>
      <c r="H737" s="768"/>
      <c r="I737" s="384"/>
      <c r="J737" s="384"/>
      <c r="K737" s="657"/>
      <c r="L737" s="658"/>
      <c r="M737" s="384"/>
      <c r="N737" s="384"/>
      <c r="O737" s="384"/>
      <c r="P737" s="384"/>
      <c r="Q737" s="384"/>
      <c r="R737" s="384"/>
      <c r="S737" s="660"/>
      <c r="T737" s="396"/>
      <c r="U737" s="384"/>
      <c r="V737" s="384"/>
      <c r="W737" s="384"/>
      <c r="X737" s="384"/>
      <c r="Y737" s="442"/>
      <c r="Z737" s="442"/>
      <c r="AA737" s="441"/>
      <c r="AB737" s="441"/>
      <c r="AC737" s="441"/>
      <c r="AD737" s="441"/>
      <c r="AE737" s="441"/>
      <c r="AF737" s="441"/>
      <c r="AG737" s="441"/>
      <c r="AH737" s="441"/>
      <c r="AI737" s="441"/>
      <c r="AJ737" s="441"/>
      <c r="AK737" s="395"/>
      <c r="AL737" s="395"/>
      <c r="AM737" s="395"/>
      <c r="AN737" s="395"/>
      <c r="AO737" s="395"/>
      <c r="AP737" s="410"/>
      <c r="AQ737" s="410"/>
    </row>
    <row r="738" spans="2:43" ht="15" customHeight="1">
      <c r="B738" s="394"/>
      <c r="C738" s="395"/>
      <c r="D738" s="417"/>
      <c r="E738" s="662"/>
      <c r="F738" s="417"/>
      <c r="G738" s="384"/>
      <c r="H738" s="768"/>
      <c r="I738" s="384"/>
      <c r="J738" s="384"/>
      <c r="K738" s="657"/>
      <c r="L738" s="658"/>
      <c r="M738" s="384"/>
      <c r="N738" s="384"/>
      <c r="O738" s="384"/>
      <c r="P738" s="384"/>
      <c r="Q738" s="384"/>
      <c r="R738" s="384"/>
      <c r="S738" s="660"/>
      <c r="T738" s="396"/>
      <c r="U738" s="384"/>
      <c r="V738" s="384"/>
      <c r="W738" s="384"/>
      <c r="X738" s="384"/>
      <c r="Y738" s="442"/>
      <c r="Z738" s="442"/>
      <c r="AA738" s="441"/>
      <c r="AB738" s="441"/>
      <c r="AC738" s="441"/>
      <c r="AD738" s="441"/>
      <c r="AE738" s="441"/>
      <c r="AF738" s="441"/>
      <c r="AG738" s="441"/>
      <c r="AH738" s="441"/>
      <c r="AI738" s="441"/>
      <c r="AJ738" s="441"/>
      <c r="AK738" s="395"/>
      <c r="AL738" s="395"/>
      <c r="AM738" s="395"/>
      <c r="AN738" s="395"/>
      <c r="AO738" s="395"/>
      <c r="AP738" s="410"/>
      <c r="AQ738" s="410"/>
    </row>
    <row r="739" spans="2:43" ht="15" customHeight="1">
      <c r="B739" s="394"/>
      <c r="C739" s="395"/>
      <c r="D739" s="417"/>
      <c r="E739" s="662"/>
      <c r="F739" s="417"/>
      <c r="G739" s="384"/>
      <c r="H739" s="768"/>
      <c r="I739" s="384"/>
      <c r="J739" s="384"/>
      <c r="K739" s="657"/>
      <c r="L739" s="658"/>
      <c r="M739" s="384"/>
      <c r="N739" s="384"/>
      <c r="O739" s="384"/>
      <c r="P739" s="384"/>
      <c r="Q739" s="384"/>
      <c r="R739" s="384"/>
      <c r="S739" s="660"/>
      <c r="T739" s="396"/>
      <c r="U739" s="384"/>
      <c r="V739" s="384"/>
      <c r="W739" s="384"/>
      <c r="X739" s="384"/>
      <c r="Y739" s="442"/>
      <c r="Z739" s="442"/>
      <c r="AA739" s="441"/>
      <c r="AB739" s="441"/>
      <c r="AC739" s="441"/>
      <c r="AD739" s="441"/>
      <c r="AE739" s="441"/>
      <c r="AF739" s="441"/>
      <c r="AG739" s="441"/>
      <c r="AH739" s="441"/>
      <c r="AI739" s="441"/>
      <c r="AJ739" s="441"/>
      <c r="AK739" s="395"/>
      <c r="AL739" s="395"/>
      <c r="AM739" s="395"/>
      <c r="AN739" s="395"/>
      <c r="AO739" s="395"/>
      <c r="AP739" s="410"/>
      <c r="AQ739" s="410"/>
    </row>
    <row r="740" spans="2:43" ht="15" customHeight="1">
      <c r="B740" s="394"/>
      <c r="C740" s="395"/>
      <c r="D740" s="417"/>
      <c r="E740" s="662"/>
      <c r="F740" s="417"/>
      <c r="G740" s="384"/>
      <c r="H740" s="768"/>
      <c r="I740" s="384"/>
      <c r="J740" s="384"/>
      <c r="K740" s="657"/>
      <c r="L740" s="658"/>
      <c r="M740" s="384"/>
      <c r="N740" s="384"/>
      <c r="O740" s="384"/>
      <c r="P740" s="384"/>
      <c r="Q740" s="384"/>
      <c r="R740" s="384"/>
      <c r="S740" s="660"/>
      <c r="T740" s="396"/>
      <c r="U740" s="384"/>
      <c r="V740" s="384"/>
      <c r="W740" s="384"/>
      <c r="X740" s="384"/>
      <c r="Y740" s="442"/>
      <c r="Z740" s="442"/>
      <c r="AA740" s="441"/>
      <c r="AB740" s="441"/>
      <c r="AC740" s="441"/>
      <c r="AD740" s="441"/>
      <c r="AE740" s="441"/>
      <c r="AF740" s="441"/>
      <c r="AG740" s="441"/>
      <c r="AH740" s="441"/>
      <c r="AI740" s="441"/>
      <c r="AJ740" s="441"/>
      <c r="AK740" s="395"/>
      <c r="AL740" s="395"/>
      <c r="AM740" s="395"/>
      <c r="AN740" s="395"/>
      <c r="AO740" s="395"/>
      <c r="AP740" s="410"/>
      <c r="AQ740" s="410"/>
    </row>
    <row r="741" spans="2:43" ht="15" customHeight="1">
      <c r="B741" s="394"/>
      <c r="C741" s="395"/>
      <c r="D741" s="417"/>
      <c r="E741" s="662"/>
      <c r="F741" s="417"/>
      <c r="G741" s="384"/>
      <c r="H741" s="768"/>
      <c r="I741" s="384"/>
      <c r="J741" s="384"/>
      <c r="K741" s="657"/>
      <c r="L741" s="658"/>
      <c r="M741" s="384"/>
      <c r="N741" s="384"/>
      <c r="O741" s="384"/>
      <c r="P741" s="384"/>
      <c r="Q741" s="384"/>
      <c r="R741" s="384"/>
      <c r="S741" s="660"/>
      <c r="T741" s="396"/>
      <c r="U741" s="384"/>
      <c r="V741" s="384"/>
      <c r="W741" s="384"/>
      <c r="X741" s="384"/>
      <c r="Y741" s="442"/>
      <c r="Z741" s="442"/>
      <c r="AA741" s="441"/>
      <c r="AB741" s="441"/>
      <c r="AC741" s="441"/>
      <c r="AD741" s="441"/>
      <c r="AE741" s="441"/>
      <c r="AF741" s="441"/>
      <c r="AG741" s="441"/>
      <c r="AH741" s="441"/>
      <c r="AI741" s="441"/>
      <c r="AJ741" s="441"/>
      <c r="AK741" s="395"/>
      <c r="AL741" s="395"/>
      <c r="AM741" s="395"/>
      <c r="AN741" s="395"/>
      <c r="AO741" s="395"/>
      <c r="AP741" s="410"/>
      <c r="AQ741" s="410"/>
    </row>
    <row r="742" spans="2:43" ht="15" customHeight="1">
      <c r="B742" s="394"/>
      <c r="C742" s="395"/>
      <c r="D742" s="417"/>
      <c r="E742" s="662"/>
      <c r="F742" s="417"/>
      <c r="G742" s="384"/>
      <c r="H742" s="768"/>
      <c r="I742" s="384"/>
      <c r="J742" s="384"/>
      <c r="K742" s="657"/>
      <c r="L742" s="658"/>
      <c r="M742" s="384"/>
      <c r="N742" s="384"/>
      <c r="O742" s="384"/>
      <c r="P742" s="384"/>
      <c r="Q742" s="384"/>
      <c r="R742" s="384"/>
      <c r="S742" s="660"/>
      <c r="T742" s="396"/>
      <c r="U742" s="384"/>
      <c r="V742" s="384"/>
      <c r="W742" s="384"/>
      <c r="X742" s="384"/>
      <c r="Y742" s="442"/>
      <c r="Z742" s="442"/>
      <c r="AA742" s="441"/>
      <c r="AB742" s="441"/>
      <c r="AC742" s="441"/>
      <c r="AD742" s="441"/>
      <c r="AE742" s="441"/>
      <c r="AF742" s="441"/>
      <c r="AG742" s="441"/>
      <c r="AH742" s="441"/>
      <c r="AI742" s="441"/>
      <c r="AJ742" s="441"/>
      <c r="AK742" s="395"/>
      <c r="AL742" s="395"/>
      <c r="AM742" s="395"/>
      <c r="AN742" s="395"/>
      <c r="AO742" s="395"/>
      <c r="AP742" s="410"/>
      <c r="AQ742" s="410"/>
    </row>
    <row r="743" spans="2:43" ht="15" customHeight="1">
      <c r="B743" s="394"/>
      <c r="C743" s="395"/>
      <c r="D743" s="417"/>
      <c r="E743" s="662"/>
      <c r="F743" s="417"/>
      <c r="G743" s="384"/>
      <c r="H743" s="768"/>
      <c r="I743" s="384"/>
      <c r="J743" s="384"/>
      <c r="K743" s="657"/>
      <c r="L743" s="658"/>
      <c r="M743" s="384"/>
      <c r="N743" s="384"/>
      <c r="O743" s="384"/>
      <c r="P743" s="384"/>
      <c r="Q743" s="384"/>
      <c r="R743" s="384"/>
      <c r="S743" s="660"/>
      <c r="T743" s="396"/>
      <c r="U743" s="384"/>
      <c r="V743" s="384"/>
      <c r="W743" s="384"/>
      <c r="X743" s="384"/>
      <c r="Y743" s="442"/>
      <c r="Z743" s="442"/>
      <c r="AA743" s="441"/>
      <c r="AB743" s="441"/>
      <c r="AC743" s="441"/>
      <c r="AD743" s="441"/>
      <c r="AE743" s="441"/>
      <c r="AF743" s="441"/>
      <c r="AG743" s="441"/>
      <c r="AH743" s="441"/>
      <c r="AI743" s="441"/>
      <c r="AJ743" s="441"/>
      <c r="AK743" s="395"/>
      <c r="AL743" s="395"/>
      <c r="AM743" s="395"/>
      <c r="AN743" s="395"/>
      <c r="AO743" s="395"/>
      <c r="AP743" s="410"/>
      <c r="AQ743" s="410"/>
    </row>
    <row r="744" spans="2:43" ht="15" customHeight="1">
      <c r="B744" s="394"/>
      <c r="C744" s="395"/>
      <c r="D744" s="417"/>
      <c r="E744" s="662"/>
      <c r="F744" s="417"/>
      <c r="G744" s="384"/>
      <c r="H744" s="768"/>
      <c r="I744" s="384"/>
      <c r="J744" s="384"/>
      <c r="K744" s="657"/>
      <c r="L744" s="658"/>
      <c r="M744" s="384"/>
      <c r="N744" s="384"/>
      <c r="O744" s="384"/>
      <c r="P744" s="384"/>
      <c r="Q744" s="384"/>
      <c r="R744" s="384"/>
      <c r="S744" s="660"/>
      <c r="T744" s="396"/>
      <c r="U744" s="384"/>
      <c r="V744" s="384"/>
      <c r="W744" s="384"/>
      <c r="X744" s="384"/>
      <c r="Y744" s="442"/>
      <c r="Z744" s="442"/>
      <c r="AA744" s="441"/>
      <c r="AB744" s="441"/>
      <c r="AC744" s="441"/>
      <c r="AD744" s="441"/>
      <c r="AE744" s="441"/>
      <c r="AF744" s="441"/>
      <c r="AG744" s="441"/>
      <c r="AH744" s="441"/>
      <c r="AI744" s="441"/>
      <c r="AJ744" s="441"/>
      <c r="AK744" s="395"/>
      <c r="AL744" s="395"/>
      <c r="AM744" s="395"/>
      <c r="AN744" s="395"/>
      <c r="AO744" s="395"/>
      <c r="AP744" s="410"/>
      <c r="AQ744" s="410"/>
    </row>
    <row r="745" spans="2:43" ht="15" customHeight="1">
      <c r="B745" s="394"/>
      <c r="C745" s="395"/>
      <c r="D745" s="417"/>
      <c r="E745" s="662"/>
      <c r="F745" s="417"/>
      <c r="G745" s="384"/>
      <c r="H745" s="768"/>
      <c r="I745" s="384"/>
      <c r="J745" s="384"/>
      <c r="K745" s="657"/>
      <c r="L745" s="658"/>
      <c r="M745" s="384"/>
      <c r="N745" s="384"/>
      <c r="O745" s="384"/>
      <c r="P745" s="384"/>
      <c r="Q745" s="384"/>
      <c r="R745" s="384"/>
      <c r="S745" s="660"/>
      <c r="T745" s="396"/>
      <c r="U745" s="384"/>
      <c r="V745" s="384"/>
      <c r="W745" s="384"/>
      <c r="X745" s="384"/>
      <c r="Y745" s="442"/>
      <c r="Z745" s="442"/>
      <c r="AA745" s="441"/>
      <c r="AB745" s="441"/>
      <c r="AC745" s="441"/>
      <c r="AD745" s="441"/>
      <c r="AE745" s="441"/>
      <c r="AF745" s="441"/>
      <c r="AG745" s="441"/>
      <c r="AH745" s="441"/>
      <c r="AI745" s="441"/>
      <c r="AJ745" s="441"/>
      <c r="AK745" s="395"/>
      <c r="AL745" s="395"/>
      <c r="AM745" s="395"/>
      <c r="AN745" s="395"/>
      <c r="AO745" s="395"/>
      <c r="AP745" s="410"/>
      <c r="AQ745" s="410"/>
    </row>
    <row r="746" spans="2:43" ht="15" customHeight="1">
      <c r="B746" s="394"/>
      <c r="C746" s="395"/>
      <c r="D746" s="417"/>
      <c r="E746" s="662"/>
      <c r="F746" s="417"/>
      <c r="G746" s="384"/>
      <c r="H746" s="768"/>
      <c r="I746" s="384"/>
      <c r="J746" s="384"/>
      <c r="K746" s="657"/>
      <c r="L746" s="658"/>
      <c r="M746" s="384"/>
      <c r="N746" s="384"/>
      <c r="O746" s="384"/>
      <c r="P746" s="384"/>
      <c r="Q746" s="384"/>
      <c r="R746" s="384"/>
      <c r="S746" s="660"/>
      <c r="T746" s="396"/>
      <c r="U746" s="384"/>
      <c r="V746" s="384"/>
      <c r="W746" s="384"/>
      <c r="X746" s="384"/>
      <c r="Y746" s="442"/>
      <c r="Z746" s="442"/>
      <c r="AA746" s="441"/>
      <c r="AB746" s="441"/>
      <c r="AC746" s="441"/>
      <c r="AD746" s="441"/>
      <c r="AE746" s="441"/>
      <c r="AF746" s="441"/>
      <c r="AG746" s="441"/>
      <c r="AH746" s="441"/>
      <c r="AI746" s="441"/>
      <c r="AJ746" s="441"/>
      <c r="AK746" s="395"/>
      <c r="AL746" s="395"/>
      <c r="AM746" s="395"/>
      <c r="AN746" s="395"/>
      <c r="AO746" s="395"/>
      <c r="AP746" s="410"/>
      <c r="AQ746" s="410"/>
    </row>
    <row r="747" spans="2:43" ht="15" customHeight="1">
      <c r="B747" s="394"/>
      <c r="C747" s="395"/>
      <c r="D747" s="417"/>
      <c r="E747" s="662"/>
      <c r="F747" s="417"/>
      <c r="G747" s="384"/>
      <c r="H747" s="768"/>
      <c r="I747" s="384"/>
      <c r="J747" s="384"/>
      <c r="K747" s="657"/>
      <c r="L747" s="658"/>
      <c r="M747" s="384"/>
      <c r="N747" s="384"/>
      <c r="O747" s="384"/>
      <c r="P747" s="384"/>
      <c r="Q747" s="384"/>
      <c r="R747" s="384"/>
      <c r="S747" s="660"/>
      <c r="T747" s="396"/>
      <c r="U747" s="384"/>
      <c r="V747" s="384"/>
      <c r="W747" s="384"/>
      <c r="X747" s="384"/>
      <c r="Y747" s="442"/>
      <c r="Z747" s="442"/>
      <c r="AA747" s="441"/>
      <c r="AB747" s="441"/>
      <c r="AC747" s="441"/>
      <c r="AD747" s="441"/>
      <c r="AE747" s="441"/>
      <c r="AF747" s="441"/>
      <c r="AG747" s="441"/>
      <c r="AH747" s="441"/>
      <c r="AI747" s="441"/>
      <c r="AJ747" s="441"/>
      <c r="AK747" s="395"/>
      <c r="AL747" s="395"/>
      <c r="AM747" s="395"/>
      <c r="AN747" s="395"/>
      <c r="AO747" s="395"/>
      <c r="AP747" s="410"/>
      <c r="AQ747" s="410"/>
    </row>
    <row r="748" spans="2:43" ht="15" customHeight="1">
      <c r="B748" s="394"/>
      <c r="C748" s="395"/>
      <c r="D748" s="417"/>
      <c r="E748" s="662"/>
      <c r="F748" s="417"/>
      <c r="G748" s="384"/>
      <c r="H748" s="768"/>
      <c r="I748" s="384"/>
      <c r="J748" s="384"/>
      <c r="K748" s="657"/>
      <c r="L748" s="658"/>
      <c r="M748" s="384"/>
      <c r="N748" s="384"/>
      <c r="O748" s="384"/>
      <c r="P748" s="384"/>
      <c r="Q748" s="384"/>
      <c r="R748" s="384"/>
      <c r="S748" s="660"/>
      <c r="T748" s="396"/>
      <c r="U748" s="384"/>
      <c r="V748" s="384"/>
      <c r="W748" s="384"/>
      <c r="X748" s="384"/>
      <c r="Y748" s="442"/>
      <c r="Z748" s="442"/>
      <c r="AA748" s="441"/>
      <c r="AB748" s="441"/>
      <c r="AC748" s="441"/>
      <c r="AD748" s="441"/>
      <c r="AE748" s="441"/>
      <c r="AF748" s="441"/>
      <c r="AG748" s="441"/>
      <c r="AH748" s="441"/>
      <c r="AI748" s="441"/>
      <c r="AJ748" s="441"/>
      <c r="AK748" s="395"/>
      <c r="AL748" s="395"/>
      <c r="AM748" s="395"/>
      <c r="AN748" s="395"/>
      <c r="AO748" s="395"/>
      <c r="AP748" s="410"/>
      <c r="AQ748" s="410"/>
    </row>
    <row r="749" spans="2:43" ht="15" customHeight="1">
      <c r="B749" s="394"/>
      <c r="C749" s="395"/>
      <c r="D749" s="417"/>
      <c r="E749" s="662"/>
      <c r="F749" s="417"/>
      <c r="G749" s="384"/>
      <c r="H749" s="768"/>
      <c r="I749" s="384"/>
      <c r="J749" s="384"/>
      <c r="K749" s="657"/>
      <c r="L749" s="658"/>
      <c r="M749" s="384"/>
      <c r="N749" s="384"/>
      <c r="O749" s="384"/>
      <c r="P749" s="384"/>
      <c r="Q749" s="384"/>
      <c r="R749" s="384"/>
      <c r="S749" s="660"/>
      <c r="T749" s="396"/>
      <c r="U749" s="384"/>
      <c r="V749" s="384"/>
      <c r="W749" s="384"/>
      <c r="X749" s="384"/>
      <c r="Y749" s="442"/>
      <c r="Z749" s="442"/>
      <c r="AA749" s="441"/>
      <c r="AB749" s="441"/>
      <c r="AC749" s="441"/>
      <c r="AD749" s="441"/>
      <c r="AE749" s="441"/>
      <c r="AF749" s="441"/>
      <c r="AG749" s="441"/>
      <c r="AH749" s="441"/>
      <c r="AI749" s="441"/>
      <c r="AJ749" s="441"/>
      <c r="AK749" s="395"/>
      <c r="AL749" s="395"/>
      <c r="AM749" s="395"/>
      <c r="AN749" s="395"/>
      <c r="AO749" s="395"/>
      <c r="AP749" s="410"/>
      <c r="AQ749" s="410"/>
    </row>
    <row r="750" spans="2:43" ht="15" customHeight="1">
      <c r="B750" s="394"/>
      <c r="C750" s="395"/>
      <c r="D750" s="417"/>
      <c r="E750" s="662"/>
      <c r="F750" s="417"/>
      <c r="G750" s="384"/>
      <c r="H750" s="768"/>
      <c r="I750" s="384"/>
      <c r="J750" s="384"/>
      <c r="K750" s="657"/>
      <c r="L750" s="658"/>
      <c r="M750" s="384"/>
      <c r="N750" s="384"/>
      <c r="O750" s="384"/>
      <c r="P750" s="384"/>
      <c r="Q750" s="384"/>
      <c r="R750" s="384"/>
      <c r="S750" s="660"/>
      <c r="T750" s="396"/>
      <c r="U750" s="384"/>
      <c r="V750" s="384"/>
      <c r="W750" s="384"/>
      <c r="X750" s="384"/>
      <c r="Y750" s="442"/>
      <c r="Z750" s="442"/>
      <c r="AA750" s="441"/>
      <c r="AB750" s="441"/>
      <c r="AC750" s="441"/>
      <c r="AD750" s="441"/>
      <c r="AE750" s="441"/>
      <c r="AF750" s="441"/>
      <c r="AG750" s="441"/>
      <c r="AH750" s="441"/>
      <c r="AI750" s="441"/>
      <c r="AJ750" s="441"/>
      <c r="AK750" s="395"/>
      <c r="AL750" s="395"/>
      <c r="AM750" s="395"/>
      <c r="AN750" s="395"/>
      <c r="AO750" s="395"/>
      <c r="AP750" s="410"/>
      <c r="AQ750" s="410"/>
    </row>
    <row r="751" spans="2:43" ht="15" customHeight="1">
      <c r="B751" s="394"/>
      <c r="C751" s="395"/>
      <c r="D751" s="417"/>
      <c r="E751" s="662"/>
      <c r="F751" s="417"/>
      <c r="G751" s="384"/>
      <c r="H751" s="768"/>
      <c r="I751" s="384"/>
      <c r="J751" s="384"/>
      <c r="K751" s="657"/>
      <c r="L751" s="658"/>
      <c r="M751" s="384"/>
      <c r="N751" s="384"/>
      <c r="O751" s="384"/>
      <c r="P751" s="384"/>
      <c r="Q751" s="384"/>
      <c r="R751" s="384"/>
      <c r="S751" s="660"/>
      <c r="T751" s="396"/>
      <c r="U751" s="384"/>
      <c r="V751" s="384"/>
      <c r="W751" s="384"/>
      <c r="X751" s="384"/>
      <c r="Y751" s="442"/>
      <c r="Z751" s="442"/>
      <c r="AA751" s="441"/>
      <c r="AB751" s="441"/>
      <c r="AC751" s="441"/>
      <c r="AD751" s="441"/>
      <c r="AE751" s="441"/>
      <c r="AF751" s="441"/>
      <c r="AG751" s="441"/>
      <c r="AH751" s="441"/>
      <c r="AI751" s="441"/>
      <c r="AJ751" s="441"/>
      <c r="AK751" s="395"/>
      <c r="AL751" s="395"/>
      <c r="AM751" s="395"/>
      <c r="AN751" s="395"/>
      <c r="AO751" s="395"/>
      <c r="AP751" s="410"/>
      <c r="AQ751" s="410"/>
    </row>
    <row r="752" spans="2:43" ht="15" customHeight="1">
      <c r="B752" s="394"/>
      <c r="C752" s="395"/>
      <c r="D752" s="417"/>
      <c r="E752" s="662"/>
      <c r="F752" s="417"/>
      <c r="G752" s="384"/>
      <c r="H752" s="768"/>
      <c r="I752" s="384"/>
      <c r="J752" s="384"/>
      <c r="K752" s="657"/>
      <c r="L752" s="658"/>
      <c r="M752" s="384"/>
      <c r="N752" s="384"/>
      <c r="O752" s="384"/>
      <c r="P752" s="384"/>
      <c r="Q752" s="384"/>
      <c r="R752" s="384"/>
      <c r="S752" s="660"/>
      <c r="T752" s="396"/>
      <c r="U752" s="384"/>
      <c r="V752" s="384"/>
      <c r="W752" s="384"/>
      <c r="X752" s="384"/>
      <c r="Y752" s="442"/>
      <c r="Z752" s="442"/>
      <c r="AA752" s="441"/>
      <c r="AB752" s="441"/>
      <c r="AC752" s="441"/>
      <c r="AD752" s="441"/>
      <c r="AE752" s="441"/>
      <c r="AF752" s="441"/>
      <c r="AG752" s="441"/>
      <c r="AH752" s="441"/>
      <c r="AI752" s="441"/>
      <c r="AJ752" s="441"/>
      <c r="AK752" s="395"/>
      <c r="AL752" s="395"/>
      <c r="AM752" s="395"/>
      <c r="AN752" s="395"/>
      <c r="AO752" s="395"/>
      <c r="AP752" s="410"/>
      <c r="AQ752" s="410"/>
    </row>
    <row r="753" spans="2:43" ht="15" customHeight="1">
      <c r="B753" s="394"/>
      <c r="C753" s="395"/>
      <c r="D753" s="417"/>
      <c r="E753" s="662"/>
      <c r="F753" s="417"/>
      <c r="G753" s="384"/>
      <c r="H753" s="768"/>
      <c r="I753" s="384"/>
      <c r="J753" s="384"/>
      <c r="K753" s="657"/>
      <c r="L753" s="658"/>
      <c r="M753" s="384"/>
      <c r="N753" s="384"/>
      <c r="O753" s="384"/>
      <c r="P753" s="384"/>
      <c r="Q753" s="384"/>
      <c r="R753" s="384"/>
      <c r="S753" s="660"/>
      <c r="T753" s="396"/>
      <c r="U753" s="384"/>
      <c r="V753" s="384"/>
      <c r="W753" s="384"/>
      <c r="X753" s="384"/>
      <c r="Y753" s="442"/>
      <c r="Z753" s="442"/>
      <c r="AA753" s="441"/>
      <c r="AB753" s="441"/>
      <c r="AC753" s="441"/>
      <c r="AD753" s="441"/>
      <c r="AE753" s="441"/>
      <c r="AF753" s="441"/>
      <c r="AG753" s="441"/>
      <c r="AH753" s="441"/>
      <c r="AI753" s="441"/>
      <c r="AJ753" s="441"/>
      <c r="AK753" s="395"/>
      <c r="AL753" s="395"/>
      <c r="AM753" s="395"/>
      <c r="AN753" s="395"/>
      <c r="AO753" s="395"/>
      <c r="AP753" s="410"/>
      <c r="AQ753" s="410"/>
    </row>
    <row r="754" spans="2:43" ht="15" customHeight="1">
      <c r="B754" s="394"/>
      <c r="C754" s="395"/>
      <c r="D754" s="417"/>
      <c r="E754" s="662"/>
      <c r="F754" s="417"/>
      <c r="G754" s="384"/>
      <c r="H754" s="768"/>
      <c r="I754" s="384"/>
      <c r="J754" s="384"/>
      <c r="K754" s="657"/>
      <c r="L754" s="658"/>
      <c r="M754" s="384"/>
      <c r="N754" s="384"/>
      <c r="O754" s="384"/>
      <c r="P754" s="384"/>
      <c r="Q754" s="384"/>
      <c r="R754" s="384"/>
      <c r="S754" s="660"/>
      <c r="T754" s="396"/>
      <c r="U754" s="384"/>
      <c r="V754" s="384"/>
      <c r="W754" s="384"/>
      <c r="X754" s="384"/>
      <c r="Y754" s="442"/>
      <c r="Z754" s="442"/>
      <c r="AA754" s="441"/>
      <c r="AB754" s="441"/>
      <c r="AC754" s="441"/>
      <c r="AD754" s="441"/>
      <c r="AE754" s="441"/>
      <c r="AF754" s="441"/>
      <c r="AG754" s="441"/>
      <c r="AH754" s="441"/>
      <c r="AI754" s="441"/>
      <c r="AJ754" s="441"/>
      <c r="AK754" s="395"/>
      <c r="AL754" s="395"/>
      <c r="AM754" s="395"/>
      <c r="AN754" s="395"/>
      <c r="AO754" s="395"/>
      <c r="AP754" s="410"/>
      <c r="AQ754" s="410"/>
    </row>
    <row r="755" spans="2:43" ht="15" customHeight="1">
      <c r="B755" s="394"/>
      <c r="C755" s="395"/>
      <c r="D755" s="417"/>
      <c r="E755" s="662"/>
      <c r="F755" s="417"/>
      <c r="G755" s="384"/>
      <c r="H755" s="768"/>
      <c r="I755" s="384"/>
      <c r="J755" s="384"/>
      <c r="K755" s="657"/>
      <c r="L755" s="658"/>
      <c r="M755" s="384"/>
      <c r="N755" s="384"/>
      <c r="O755" s="384"/>
      <c r="P755" s="384"/>
      <c r="Q755" s="384"/>
      <c r="R755" s="384"/>
      <c r="S755" s="660"/>
      <c r="T755" s="396"/>
      <c r="U755" s="384"/>
      <c r="V755" s="384"/>
      <c r="W755" s="384"/>
      <c r="X755" s="384"/>
      <c r="Y755" s="442"/>
      <c r="Z755" s="442"/>
      <c r="AA755" s="441"/>
      <c r="AB755" s="441"/>
      <c r="AC755" s="441"/>
      <c r="AD755" s="441"/>
      <c r="AE755" s="441"/>
      <c r="AF755" s="441"/>
      <c r="AG755" s="441"/>
      <c r="AH755" s="441"/>
      <c r="AI755" s="441"/>
      <c r="AJ755" s="441"/>
      <c r="AK755" s="395"/>
      <c r="AL755" s="395"/>
      <c r="AM755" s="395"/>
      <c r="AN755" s="395"/>
      <c r="AO755" s="395"/>
      <c r="AP755" s="410"/>
      <c r="AQ755" s="410"/>
    </row>
    <row r="756" spans="2:43" ht="15" customHeight="1">
      <c r="B756" s="394"/>
      <c r="C756" s="395"/>
      <c r="D756" s="417"/>
      <c r="E756" s="662"/>
      <c r="F756" s="417"/>
      <c r="G756" s="384"/>
      <c r="H756" s="768"/>
      <c r="I756" s="384"/>
      <c r="J756" s="384"/>
      <c r="K756" s="657"/>
      <c r="L756" s="658"/>
      <c r="M756" s="384"/>
      <c r="N756" s="384"/>
      <c r="O756" s="384"/>
      <c r="P756" s="384"/>
      <c r="Q756" s="384"/>
      <c r="R756" s="384"/>
      <c r="S756" s="660"/>
      <c r="T756" s="396"/>
      <c r="U756" s="384"/>
      <c r="V756" s="384"/>
      <c r="W756" s="384"/>
      <c r="X756" s="384"/>
      <c r="Y756" s="442"/>
      <c r="Z756" s="442"/>
      <c r="AA756" s="441"/>
      <c r="AB756" s="441"/>
      <c r="AC756" s="441"/>
      <c r="AD756" s="441"/>
      <c r="AE756" s="441"/>
      <c r="AF756" s="441"/>
      <c r="AG756" s="441"/>
      <c r="AH756" s="441"/>
      <c r="AI756" s="441"/>
      <c r="AJ756" s="441"/>
      <c r="AK756" s="395"/>
      <c r="AL756" s="395"/>
      <c r="AM756" s="395"/>
      <c r="AN756" s="395"/>
      <c r="AO756" s="395"/>
      <c r="AP756" s="410"/>
      <c r="AQ756" s="410"/>
    </row>
    <row r="757" spans="2:43" ht="15" customHeight="1">
      <c r="B757" s="394"/>
      <c r="C757" s="395"/>
      <c r="D757" s="417"/>
      <c r="E757" s="662"/>
      <c r="F757" s="417"/>
      <c r="G757" s="384"/>
      <c r="H757" s="768"/>
      <c r="I757" s="384"/>
      <c r="J757" s="384"/>
      <c r="K757" s="657"/>
      <c r="L757" s="658"/>
      <c r="M757" s="384"/>
      <c r="N757" s="384"/>
      <c r="O757" s="384"/>
      <c r="P757" s="384"/>
      <c r="Q757" s="384"/>
      <c r="R757" s="384"/>
      <c r="S757" s="660"/>
      <c r="T757" s="396"/>
      <c r="U757" s="384"/>
      <c r="V757" s="384"/>
      <c r="W757" s="384"/>
      <c r="X757" s="384"/>
      <c r="Y757" s="442"/>
      <c r="Z757" s="442"/>
      <c r="AA757" s="441"/>
      <c r="AB757" s="441"/>
      <c r="AC757" s="441"/>
      <c r="AD757" s="441"/>
      <c r="AE757" s="441"/>
      <c r="AF757" s="441"/>
      <c r="AG757" s="441"/>
      <c r="AH757" s="441"/>
      <c r="AI757" s="441"/>
      <c r="AJ757" s="441"/>
      <c r="AK757" s="395"/>
      <c r="AL757" s="395"/>
      <c r="AM757" s="395"/>
      <c r="AN757" s="395"/>
      <c r="AO757" s="395"/>
      <c r="AP757" s="410"/>
      <c r="AQ757" s="410"/>
    </row>
    <row r="758" spans="2:43" ht="15" customHeight="1">
      <c r="B758" s="394"/>
      <c r="C758" s="395"/>
      <c r="D758" s="417"/>
      <c r="E758" s="662"/>
      <c r="F758" s="417"/>
      <c r="G758" s="384"/>
      <c r="H758" s="768"/>
      <c r="I758" s="384"/>
      <c r="J758" s="384"/>
      <c r="K758" s="657"/>
      <c r="L758" s="658"/>
      <c r="M758" s="384"/>
      <c r="N758" s="384"/>
      <c r="O758" s="384"/>
      <c r="P758" s="384"/>
      <c r="Q758" s="384"/>
      <c r="R758" s="384"/>
      <c r="S758" s="660"/>
      <c r="T758" s="396"/>
      <c r="U758" s="384"/>
      <c r="V758" s="384"/>
      <c r="W758" s="384"/>
      <c r="X758" s="384"/>
      <c r="Y758" s="442"/>
      <c r="Z758" s="442"/>
      <c r="AA758" s="441"/>
      <c r="AB758" s="441"/>
      <c r="AC758" s="441"/>
      <c r="AD758" s="441"/>
      <c r="AE758" s="441"/>
      <c r="AF758" s="441"/>
      <c r="AG758" s="441"/>
      <c r="AH758" s="441"/>
      <c r="AI758" s="441"/>
      <c r="AJ758" s="441"/>
      <c r="AK758" s="395"/>
      <c r="AL758" s="395"/>
      <c r="AM758" s="395"/>
      <c r="AN758" s="395"/>
      <c r="AO758" s="395"/>
      <c r="AP758" s="410"/>
      <c r="AQ758" s="410"/>
    </row>
    <row r="759" spans="2:43" ht="15" customHeight="1">
      <c r="B759" s="394"/>
      <c r="C759" s="395"/>
      <c r="D759" s="417"/>
      <c r="E759" s="662"/>
      <c r="F759" s="417"/>
      <c r="G759" s="384"/>
      <c r="H759" s="768"/>
      <c r="I759" s="384"/>
      <c r="J759" s="384"/>
      <c r="K759" s="657"/>
      <c r="L759" s="658"/>
      <c r="M759" s="384"/>
      <c r="N759" s="384"/>
      <c r="O759" s="384"/>
      <c r="P759" s="384"/>
      <c r="Q759" s="384"/>
      <c r="R759" s="384"/>
      <c r="S759" s="660"/>
      <c r="T759" s="396"/>
      <c r="U759" s="384"/>
      <c r="V759" s="384"/>
      <c r="W759" s="384"/>
      <c r="X759" s="384"/>
      <c r="Y759" s="442"/>
      <c r="Z759" s="442"/>
      <c r="AA759" s="441"/>
      <c r="AB759" s="441"/>
      <c r="AC759" s="441"/>
      <c r="AD759" s="441"/>
      <c r="AE759" s="441"/>
      <c r="AF759" s="441"/>
      <c r="AG759" s="441"/>
      <c r="AH759" s="441"/>
      <c r="AI759" s="441"/>
      <c r="AJ759" s="441"/>
      <c r="AK759" s="395"/>
      <c r="AL759" s="395"/>
      <c r="AM759" s="395"/>
      <c r="AN759" s="395"/>
      <c r="AO759" s="395"/>
      <c r="AP759" s="410"/>
      <c r="AQ759" s="410"/>
    </row>
    <row r="760" spans="2:43" ht="15" customHeight="1">
      <c r="B760" s="394"/>
      <c r="C760" s="395"/>
      <c r="D760" s="417"/>
      <c r="E760" s="662"/>
      <c r="F760" s="417"/>
      <c r="G760" s="384"/>
      <c r="H760" s="768"/>
      <c r="I760" s="384"/>
      <c r="J760" s="384"/>
      <c r="K760" s="657"/>
      <c r="L760" s="658"/>
      <c r="M760" s="384"/>
      <c r="N760" s="384"/>
      <c r="O760" s="384"/>
      <c r="P760" s="384"/>
      <c r="Q760" s="384"/>
      <c r="R760" s="384"/>
      <c r="S760" s="660"/>
      <c r="T760" s="396"/>
      <c r="U760" s="384"/>
      <c r="V760" s="384"/>
      <c r="W760" s="384"/>
      <c r="X760" s="384"/>
      <c r="Y760" s="442"/>
      <c r="Z760" s="442"/>
      <c r="AA760" s="441"/>
      <c r="AB760" s="441"/>
      <c r="AC760" s="441"/>
      <c r="AD760" s="441"/>
      <c r="AE760" s="441"/>
      <c r="AF760" s="441"/>
      <c r="AG760" s="441"/>
      <c r="AH760" s="441"/>
      <c r="AI760" s="441"/>
      <c r="AJ760" s="441"/>
      <c r="AK760" s="395"/>
      <c r="AL760" s="395"/>
      <c r="AM760" s="395"/>
      <c r="AN760" s="395"/>
      <c r="AO760" s="395"/>
      <c r="AP760" s="410"/>
      <c r="AQ760" s="410"/>
    </row>
    <row r="761" spans="2:43" ht="15" customHeight="1">
      <c r="B761" s="394"/>
      <c r="C761" s="395"/>
      <c r="D761" s="417"/>
      <c r="E761" s="662"/>
      <c r="F761" s="417"/>
      <c r="G761" s="384"/>
      <c r="H761" s="768"/>
      <c r="I761" s="384"/>
      <c r="J761" s="384"/>
      <c r="K761" s="657"/>
      <c r="L761" s="658"/>
      <c r="M761" s="384"/>
      <c r="N761" s="384"/>
      <c r="O761" s="384"/>
      <c r="P761" s="384"/>
      <c r="Q761" s="384"/>
      <c r="R761" s="384"/>
      <c r="S761" s="660"/>
      <c r="T761" s="396"/>
      <c r="U761" s="384"/>
      <c r="V761" s="384"/>
      <c r="W761" s="384"/>
      <c r="X761" s="384"/>
      <c r="Y761" s="442"/>
      <c r="Z761" s="442"/>
      <c r="AA761" s="441"/>
      <c r="AB761" s="441"/>
      <c r="AC761" s="441"/>
      <c r="AD761" s="441"/>
      <c r="AE761" s="441"/>
      <c r="AF761" s="441"/>
      <c r="AG761" s="441"/>
      <c r="AH761" s="441"/>
      <c r="AI761" s="441"/>
      <c r="AJ761" s="441"/>
      <c r="AK761" s="395"/>
      <c r="AL761" s="395"/>
      <c r="AM761" s="395"/>
      <c r="AN761" s="395"/>
      <c r="AO761" s="395"/>
      <c r="AP761" s="410"/>
      <c r="AQ761" s="410"/>
    </row>
    <row r="762" spans="2:43" ht="15" customHeight="1">
      <c r="B762" s="394"/>
      <c r="C762" s="395"/>
      <c r="D762" s="417"/>
      <c r="E762" s="662"/>
      <c r="F762" s="417"/>
      <c r="G762" s="384"/>
      <c r="H762" s="768"/>
      <c r="I762" s="384"/>
      <c r="J762" s="384"/>
      <c r="K762" s="657"/>
      <c r="L762" s="658"/>
      <c r="M762" s="384"/>
      <c r="N762" s="384"/>
      <c r="O762" s="384"/>
      <c r="P762" s="384"/>
      <c r="Q762" s="384"/>
      <c r="R762" s="384"/>
      <c r="S762" s="660"/>
      <c r="T762" s="396"/>
      <c r="U762" s="384"/>
      <c r="V762" s="384"/>
      <c r="W762" s="384"/>
      <c r="X762" s="384"/>
      <c r="Y762" s="442"/>
      <c r="Z762" s="442"/>
      <c r="AA762" s="441"/>
      <c r="AB762" s="441"/>
      <c r="AC762" s="441"/>
      <c r="AD762" s="441"/>
      <c r="AE762" s="441"/>
      <c r="AF762" s="441"/>
      <c r="AG762" s="441"/>
      <c r="AH762" s="441"/>
      <c r="AI762" s="441"/>
      <c r="AJ762" s="441"/>
      <c r="AK762" s="395"/>
      <c r="AL762" s="395"/>
      <c r="AM762" s="395"/>
      <c r="AN762" s="395"/>
      <c r="AO762" s="395"/>
      <c r="AP762" s="410"/>
      <c r="AQ762" s="410"/>
    </row>
    <row r="763" spans="2:43" ht="15" customHeight="1">
      <c r="B763" s="394"/>
      <c r="C763" s="395"/>
      <c r="D763" s="417"/>
      <c r="E763" s="662"/>
      <c r="F763" s="417"/>
      <c r="G763" s="384"/>
      <c r="H763" s="768"/>
      <c r="I763" s="384"/>
      <c r="J763" s="384"/>
      <c r="K763" s="657"/>
      <c r="L763" s="658"/>
      <c r="M763" s="384"/>
      <c r="N763" s="384"/>
      <c r="O763" s="384"/>
      <c r="P763" s="384"/>
      <c r="Q763" s="384"/>
      <c r="R763" s="384"/>
      <c r="S763" s="660"/>
      <c r="T763" s="396"/>
      <c r="U763" s="384"/>
      <c r="V763" s="384"/>
      <c r="W763" s="384"/>
      <c r="X763" s="384"/>
      <c r="Y763" s="442"/>
      <c r="Z763" s="442"/>
      <c r="AA763" s="441"/>
      <c r="AB763" s="441"/>
      <c r="AC763" s="441"/>
      <c r="AD763" s="441"/>
      <c r="AE763" s="441"/>
      <c r="AF763" s="441"/>
      <c r="AG763" s="441"/>
      <c r="AH763" s="441"/>
      <c r="AI763" s="441"/>
      <c r="AJ763" s="441"/>
      <c r="AK763" s="395"/>
      <c r="AL763" s="395"/>
      <c r="AM763" s="395"/>
      <c r="AN763" s="395"/>
      <c r="AO763" s="395"/>
      <c r="AP763" s="410"/>
      <c r="AQ763" s="410"/>
    </row>
    <row r="764" spans="2:43" ht="15" customHeight="1">
      <c r="B764" s="394"/>
      <c r="C764" s="395"/>
      <c r="D764" s="417"/>
      <c r="E764" s="662"/>
      <c r="F764" s="417"/>
      <c r="G764" s="384"/>
      <c r="H764" s="768"/>
      <c r="I764" s="384"/>
      <c r="J764" s="384"/>
      <c r="K764" s="657"/>
      <c r="L764" s="658"/>
      <c r="M764" s="384"/>
      <c r="N764" s="384"/>
      <c r="O764" s="384"/>
      <c r="P764" s="384"/>
      <c r="Q764" s="384"/>
      <c r="R764" s="384"/>
      <c r="S764" s="660"/>
      <c r="T764" s="396"/>
      <c r="U764" s="384"/>
      <c r="V764" s="384"/>
      <c r="W764" s="384"/>
      <c r="X764" s="384"/>
      <c r="Y764" s="442"/>
      <c r="Z764" s="442"/>
      <c r="AA764" s="441"/>
      <c r="AB764" s="441"/>
      <c r="AC764" s="441"/>
      <c r="AD764" s="441"/>
      <c r="AE764" s="441"/>
      <c r="AF764" s="441"/>
      <c r="AG764" s="441"/>
      <c r="AH764" s="441"/>
      <c r="AI764" s="441"/>
      <c r="AJ764" s="441"/>
      <c r="AK764" s="395"/>
      <c r="AL764" s="395"/>
      <c r="AM764" s="395"/>
      <c r="AN764" s="395"/>
      <c r="AO764" s="395"/>
      <c r="AP764" s="410"/>
      <c r="AQ764" s="410"/>
    </row>
    <row r="765" spans="2:43" ht="15" customHeight="1">
      <c r="B765" s="394"/>
      <c r="C765" s="395"/>
      <c r="D765" s="417"/>
      <c r="E765" s="662"/>
      <c r="F765" s="417"/>
      <c r="G765" s="384"/>
      <c r="H765" s="768"/>
      <c r="I765" s="384"/>
      <c r="J765" s="384"/>
      <c r="K765" s="657"/>
      <c r="L765" s="658"/>
      <c r="M765" s="384"/>
      <c r="N765" s="384"/>
      <c r="O765" s="384"/>
      <c r="P765" s="384"/>
      <c r="Q765" s="384"/>
      <c r="R765" s="384"/>
      <c r="S765" s="660"/>
      <c r="T765" s="396"/>
      <c r="U765" s="384"/>
      <c r="V765" s="384"/>
      <c r="W765" s="384"/>
      <c r="X765" s="384"/>
      <c r="Y765" s="442"/>
      <c r="Z765" s="442"/>
      <c r="AA765" s="441"/>
      <c r="AB765" s="441"/>
      <c r="AC765" s="441"/>
      <c r="AD765" s="441"/>
      <c r="AE765" s="441"/>
      <c r="AF765" s="441"/>
      <c r="AG765" s="441"/>
      <c r="AH765" s="441"/>
      <c r="AI765" s="441"/>
      <c r="AJ765" s="441"/>
      <c r="AK765" s="395"/>
      <c r="AL765" s="395"/>
      <c r="AM765" s="395"/>
      <c r="AN765" s="395"/>
      <c r="AO765" s="395"/>
      <c r="AP765" s="410"/>
      <c r="AQ765" s="410"/>
    </row>
    <row r="766" spans="2:43" ht="15" customHeight="1">
      <c r="B766" s="394"/>
      <c r="C766" s="395"/>
      <c r="D766" s="417"/>
      <c r="E766" s="662"/>
      <c r="F766" s="417"/>
      <c r="G766" s="384"/>
      <c r="H766" s="768"/>
      <c r="I766" s="384"/>
      <c r="J766" s="384"/>
      <c r="K766" s="657"/>
      <c r="L766" s="658"/>
      <c r="M766" s="384"/>
      <c r="N766" s="384"/>
      <c r="O766" s="384"/>
      <c r="P766" s="384"/>
      <c r="Q766" s="384"/>
      <c r="R766" s="384"/>
      <c r="S766" s="660"/>
      <c r="T766" s="396"/>
      <c r="U766" s="384"/>
      <c r="V766" s="384"/>
      <c r="W766" s="384"/>
      <c r="X766" s="384"/>
      <c r="Y766" s="442"/>
      <c r="Z766" s="442"/>
      <c r="AA766" s="441"/>
      <c r="AB766" s="441"/>
      <c r="AC766" s="441"/>
      <c r="AD766" s="441"/>
      <c r="AE766" s="441"/>
      <c r="AF766" s="441"/>
      <c r="AG766" s="441"/>
      <c r="AH766" s="441"/>
      <c r="AI766" s="441"/>
      <c r="AJ766" s="441"/>
      <c r="AK766" s="395"/>
      <c r="AL766" s="395"/>
      <c r="AM766" s="395"/>
      <c r="AN766" s="395"/>
      <c r="AO766" s="395"/>
      <c r="AP766" s="410"/>
      <c r="AQ766" s="410"/>
    </row>
    <row r="767" spans="2:43" ht="15" customHeight="1">
      <c r="B767" s="394"/>
      <c r="C767" s="395"/>
      <c r="D767" s="417"/>
      <c r="E767" s="662"/>
      <c r="F767" s="417"/>
      <c r="G767" s="384"/>
      <c r="H767" s="768"/>
      <c r="I767" s="384"/>
      <c r="J767" s="384"/>
      <c r="K767" s="657"/>
      <c r="L767" s="658"/>
      <c r="M767" s="384"/>
      <c r="N767" s="384"/>
      <c r="O767" s="384"/>
      <c r="P767" s="384"/>
      <c r="Q767" s="384"/>
      <c r="R767" s="384"/>
      <c r="S767" s="660"/>
      <c r="T767" s="396"/>
      <c r="U767" s="384"/>
      <c r="V767" s="384"/>
      <c r="W767" s="384"/>
      <c r="X767" s="384"/>
      <c r="Y767" s="442"/>
      <c r="Z767" s="442"/>
      <c r="AA767" s="441"/>
      <c r="AB767" s="441"/>
      <c r="AC767" s="441"/>
      <c r="AD767" s="441"/>
      <c r="AE767" s="441"/>
      <c r="AF767" s="441"/>
      <c r="AG767" s="441"/>
      <c r="AH767" s="441"/>
      <c r="AI767" s="441"/>
      <c r="AJ767" s="441"/>
      <c r="AK767" s="395"/>
      <c r="AL767" s="395"/>
      <c r="AM767" s="395"/>
      <c r="AN767" s="395"/>
      <c r="AO767" s="395"/>
      <c r="AP767" s="410"/>
      <c r="AQ767" s="410"/>
    </row>
    <row r="768" spans="2:43" ht="15" customHeight="1">
      <c r="B768" s="394"/>
      <c r="C768" s="395"/>
      <c r="D768" s="417"/>
      <c r="E768" s="662"/>
      <c r="F768" s="417"/>
      <c r="G768" s="384"/>
      <c r="H768" s="768"/>
      <c r="I768" s="384"/>
      <c r="J768" s="384"/>
      <c r="K768" s="657"/>
      <c r="L768" s="658"/>
      <c r="M768" s="384"/>
      <c r="N768" s="384"/>
      <c r="O768" s="384"/>
      <c r="P768" s="384"/>
      <c r="Q768" s="384"/>
      <c r="R768" s="384"/>
      <c r="S768" s="660"/>
      <c r="T768" s="396"/>
      <c r="U768" s="384"/>
      <c r="V768" s="384"/>
      <c r="W768" s="384"/>
      <c r="X768" s="384"/>
      <c r="Y768" s="442"/>
      <c r="Z768" s="442"/>
      <c r="AA768" s="441"/>
      <c r="AB768" s="441"/>
      <c r="AC768" s="441"/>
      <c r="AD768" s="441"/>
      <c r="AE768" s="441"/>
      <c r="AF768" s="441"/>
      <c r="AG768" s="441"/>
      <c r="AH768" s="441"/>
      <c r="AI768" s="441"/>
      <c r="AJ768" s="441"/>
      <c r="AK768" s="395"/>
      <c r="AL768" s="395"/>
      <c r="AM768" s="395"/>
      <c r="AN768" s="395"/>
      <c r="AO768" s="395"/>
      <c r="AP768" s="410"/>
      <c r="AQ768" s="410"/>
    </row>
    <row r="769" spans="2:43" ht="15" customHeight="1">
      <c r="B769" s="394"/>
      <c r="C769" s="395"/>
      <c r="D769" s="417"/>
      <c r="E769" s="662"/>
      <c r="F769" s="417"/>
      <c r="G769" s="384"/>
      <c r="H769" s="768"/>
      <c r="I769" s="384"/>
      <c r="J769" s="384"/>
      <c r="K769" s="657"/>
      <c r="L769" s="658"/>
      <c r="M769" s="384"/>
      <c r="N769" s="384"/>
      <c r="O769" s="384"/>
      <c r="P769" s="384"/>
      <c r="Q769" s="384"/>
      <c r="R769" s="384"/>
      <c r="S769" s="660"/>
      <c r="T769" s="396"/>
      <c r="U769" s="384"/>
      <c r="V769" s="384"/>
      <c r="W769" s="384"/>
      <c r="X769" s="384"/>
      <c r="Y769" s="442"/>
      <c r="Z769" s="442"/>
      <c r="AA769" s="441"/>
      <c r="AB769" s="441"/>
      <c r="AC769" s="441"/>
      <c r="AD769" s="441"/>
      <c r="AE769" s="441"/>
      <c r="AF769" s="441"/>
      <c r="AG769" s="441"/>
      <c r="AH769" s="441"/>
      <c r="AI769" s="441"/>
      <c r="AJ769" s="441"/>
      <c r="AK769" s="395"/>
      <c r="AL769" s="395"/>
      <c r="AM769" s="395"/>
      <c r="AN769" s="395"/>
      <c r="AO769" s="395"/>
      <c r="AP769" s="410"/>
      <c r="AQ769" s="410"/>
    </row>
    <row r="770" spans="2:43" ht="15" customHeight="1">
      <c r="B770" s="394"/>
      <c r="C770" s="395"/>
      <c r="D770" s="417"/>
      <c r="E770" s="662"/>
      <c r="F770" s="417"/>
      <c r="G770" s="384"/>
      <c r="H770" s="768"/>
      <c r="I770" s="384"/>
      <c r="J770" s="384"/>
      <c r="K770" s="657"/>
      <c r="L770" s="658"/>
      <c r="M770" s="384"/>
      <c r="N770" s="384"/>
      <c r="O770" s="384"/>
      <c r="P770" s="384"/>
      <c r="Q770" s="384"/>
      <c r="R770" s="384"/>
      <c r="S770" s="660"/>
      <c r="T770" s="396"/>
      <c r="U770" s="384"/>
      <c r="V770" s="384"/>
      <c r="W770" s="384"/>
      <c r="X770" s="384"/>
      <c r="Y770" s="442"/>
      <c r="Z770" s="442"/>
      <c r="AA770" s="441"/>
      <c r="AB770" s="441"/>
      <c r="AC770" s="441"/>
      <c r="AD770" s="441"/>
      <c r="AE770" s="441"/>
      <c r="AF770" s="441"/>
      <c r="AG770" s="441"/>
      <c r="AH770" s="441"/>
      <c r="AI770" s="441"/>
      <c r="AJ770" s="441"/>
      <c r="AK770" s="395"/>
      <c r="AL770" s="395"/>
      <c r="AM770" s="395"/>
      <c r="AN770" s="395"/>
      <c r="AO770" s="395"/>
      <c r="AP770" s="410"/>
      <c r="AQ770" s="410"/>
    </row>
    <row r="771" spans="2:43" ht="15" customHeight="1">
      <c r="B771" s="394"/>
      <c r="C771" s="395"/>
      <c r="D771" s="417"/>
      <c r="E771" s="662"/>
      <c r="F771" s="417"/>
      <c r="G771" s="384"/>
      <c r="H771" s="768"/>
      <c r="I771" s="384"/>
      <c r="J771" s="384"/>
      <c r="K771" s="657"/>
      <c r="L771" s="658"/>
      <c r="M771" s="384"/>
      <c r="N771" s="384"/>
      <c r="O771" s="384"/>
      <c r="P771" s="384"/>
      <c r="Q771" s="384"/>
      <c r="R771" s="384"/>
      <c r="S771" s="660"/>
      <c r="T771" s="396"/>
      <c r="U771" s="384"/>
      <c r="V771" s="384"/>
      <c r="W771" s="384"/>
      <c r="X771" s="384"/>
      <c r="Y771" s="442"/>
      <c r="Z771" s="442"/>
      <c r="AA771" s="441"/>
      <c r="AB771" s="441"/>
      <c r="AC771" s="441"/>
      <c r="AD771" s="441"/>
      <c r="AE771" s="441"/>
      <c r="AF771" s="441"/>
      <c r="AG771" s="441"/>
      <c r="AH771" s="441"/>
      <c r="AI771" s="441"/>
      <c r="AJ771" s="441"/>
      <c r="AK771" s="395"/>
      <c r="AL771" s="395"/>
      <c r="AM771" s="395"/>
      <c r="AN771" s="395"/>
      <c r="AO771" s="395"/>
      <c r="AP771" s="410"/>
      <c r="AQ771" s="410"/>
    </row>
    <row r="772" spans="2:43" ht="15" customHeight="1">
      <c r="B772" s="394"/>
      <c r="C772" s="395"/>
      <c r="D772" s="417"/>
      <c r="E772" s="662"/>
      <c r="F772" s="417"/>
      <c r="G772" s="384"/>
      <c r="H772" s="768"/>
      <c r="I772" s="384"/>
      <c r="J772" s="384"/>
      <c r="K772" s="657"/>
      <c r="L772" s="658"/>
      <c r="M772" s="384"/>
      <c r="N772" s="384"/>
      <c r="O772" s="384"/>
      <c r="P772" s="384"/>
      <c r="Q772" s="384"/>
      <c r="R772" s="384"/>
      <c r="S772" s="660"/>
      <c r="T772" s="396"/>
      <c r="U772" s="384"/>
      <c r="V772" s="384"/>
      <c r="W772" s="384"/>
      <c r="X772" s="384"/>
      <c r="Y772" s="442"/>
      <c r="Z772" s="442"/>
      <c r="AA772" s="441"/>
      <c r="AB772" s="441"/>
      <c r="AC772" s="441"/>
      <c r="AD772" s="441"/>
      <c r="AE772" s="441"/>
      <c r="AF772" s="441"/>
      <c r="AG772" s="441"/>
      <c r="AH772" s="441"/>
      <c r="AI772" s="441"/>
      <c r="AJ772" s="441"/>
      <c r="AK772" s="395"/>
      <c r="AL772" s="395"/>
      <c r="AM772" s="395"/>
      <c r="AN772" s="395"/>
      <c r="AO772" s="395"/>
      <c r="AP772" s="410"/>
      <c r="AQ772" s="410"/>
    </row>
    <row r="773" spans="2:43" ht="15" customHeight="1">
      <c r="B773" s="394"/>
      <c r="C773" s="395"/>
      <c r="D773" s="417"/>
      <c r="E773" s="662"/>
      <c r="F773" s="417"/>
      <c r="G773" s="384"/>
      <c r="H773" s="768"/>
      <c r="I773" s="384"/>
      <c r="J773" s="384"/>
      <c r="K773" s="657"/>
      <c r="L773" s="658"/>
      <c r="M773" s="384"/>
      <c r="N773" s="384"/>
      <c r="O773" s="384"/>
      <c r="P773" s="384"/>
      <c r="Q773" s="384"/>
      <c r="R773" s="384"/>
      <c r="S773" s="660"/>
      <c r="T773" s="396"/>
      <c r="U773" s="384"/>
      <c r="V773" s="384"/>
      <c r="W773" s="384"/>
      <c r="X773" s="384"/>
      <c r="Y773" s="442"/>
      <c r="Z773" s="442"/>
      <c r="AA773" s="441"/>
      <c r="AB773" s="441"/>
      <c r="AC773" s="441"/>
      <c r="AD773" s="441"/>
      <c r="AE773" s="441"/>
      <c r="AF773" s="441"/>
      <c r="AG773" s="441"/>
      <c r="AH773" s="441"/>
      <c r="AI773" s="441"/>
      <c r="AJ773" s="441"/>
      <c r="AK773" s="395"/>
      <c r="AL773" s="395"/>
      <c r="AM773" s="395"/>
      <c r="AN773" s="395"/>
      <c r="AO773" s="395"/>
      <c r="AP773" s="410"/>
      <c r="AQ773" s="410"/>
    </row>
    <row r="774" spans="2:43" ht="15" customHeight="1">
      <c r="B774" s="394"/>
      <c r="C774" s="395"/>
      <c r="D774" s="417"/>
      <c r="E774" s="662"/>
      <c r="F774" s="417"/>
      <c r="G774" s="384"/>
      <c r="H774" s="768"/>
      <c r="I774" s="384"/>
      <c r="J774" s="384"/>
      <c r="K774" s="657"/>
      <c r="L774" s="658"/>
      <c r="M774" s="384"/>
      <c r="N774" s="384"/>
      <c r="O774" s="384"/>
      <c r="P774" s="384"/>
      <c r="Q774" s="384"/>
      <c r="R774" s="384"/>
      <c r="S774" s="660"/>
      <c r="T774" s="396"/>
      <c r="U774" s="384"/>
      <c r="V774" s="384"/>
      <c r="W774" s="384"/>
      <c r="X774" s="384"/>
      <c r="Y774" s="442"/>
      <c r="Z774" s="442"/>
      <c r="AA774" s="441"/>
      <c r="AB774" s="441"/>
      <c r="AC774" s="441"/>
      <c r="AD774" s="441"/>
      <c r="AE774" s="441"/>
      <c r="AF774" s="441"/>
      <c r="AG774" s="441"/>
      <c r="AH774" s="441"/>
      <c r="AI774" s="441"/>
      <c r="AJ774" s="441"/>
      <c r="AK774" s="395"/>
      <c r="AL774" s="395"/>
      <c r="AM774" s="395"/>
      <c r="AN774" s="395"/>
      <c r="AO774" s="395"/>
      <c r="AP774" s="410"/>
      <c r="AQ774" s="410"/>
    </row>
    <row r="775" spans="2:43" ht="15" customHeight="1">
      <c r="B775" s="394"/>
      <c r="C775" s="395"/>
      <c r="D775" s="417"/>
      <c r="E775" s="662"/>
      <c r="F775" s="417"/>
      <c r="G775" s="384"/>
      <c r="H775" s="768"/>
      <c r="I775" s="384"/>
      <c r="J775" s="384"/>
      <c r="K775" s="657"/>
      <c r="L775" s="658"/>
      <c r="M775" s="384"/>
      <c r="N775" s="384"/>
      <c r="O775" s="384"/>
      <c r="P775" s="384"/>
      <c r="Q775" s="384"/>
      <c r="R775" s="384"/>
      <c r="S775" s="660"/>
      <c r="T775" s="396"/>
      <c r="U775" s="384"/>
      <c r="V775" s="384"/>
      <c r="W775" s="384"/>
      <c r="X775" s="384"/>
      <c r="Y775" s="442"/>
      <c r="Z775" s="442"/>
      <c r="AA775" s="441"/>
      <c r="AB775" s="441"/>
      <c r="AC775" s="441"/>
      <c r="AD775" s="441"/>
      <c r="AE775" s="441"/>
      <c r="AF775" s="441"/>
      <c r="AG775" s="441"/>
      <c r="AH775" s="441"/>
      <c r="AI775" s="441"/>
      <c r="AJ775" s="441"/>
      <c r="AK775" s="395"/>
      <c r="AL775" s="395"/>
      <c r="AM775" s="395"/>
      <c r="AN775" s="395"/>
      <c r="AO775" s="395"/>
      <c r="AP775" s="410"/>
      <c r="AQ775" s="410"/>
    </row>
    <row r="776" spans="2:43" ht="15" customHeight="1">
      <c r="B776" s="394"/>
      <c r="C776" s="395"/>
      <c r="D776" s="417"/>
      <c r="E776" s="662"/>
      <c r="F776" s="417"/>
      <c r="G776" s="384"/>
      <c r="H776" s="768"/>
      <c r="I776" s="384"/>
      <c r="J776" s="384"/>
      <c r="K776" s="657"/>
      <c r="L776" s="658"/>
      <c r="M776" s="384"/>
      <c r="N776" s="384"/>
      <c r="O776" s="384"/>
      <c r="P776" s="384"/>
      <c r="Q776" s="384"/>
      <c r="R776" s="384"/>
      <c r="S776" s="660"/>
      <c r="T776" s="396"/>
      <c r="U776" s="384"/>
      <c r="V776" s="384"/>
      <c r="W776" s="384"/>
      <c r="X776" s="384"/>
      <c r="Y776" s="442"/>
      <c r="Z776" s="442"/>
      <c r="AA776" s="441"/>
      <c r="AB776" s="441"/>
      <c r="AC776" s="441"/>
      <c r="AD776" s="441"/>
      <c r="AE776" s="441"/>
      <c r="AF776" s="441"/>
      <c r="AG776" s="441"/>
      <c r="AH776" s="441"/>
      <c r="AI776" s="441"/>
      <c r="AJ776" s="441"/>
      <c r="AK776" s="395"/>
      <c r="AL776" s="395"/>
      <c r="AM776" s="395"/>
      <c r="AN776" s="395"/>
      <c r="AO776" s="395"/>
      <c r="AP776" s="410"/>
      <c r="AQ776" s="410"/>
    </row>
    <row r="777" spans="2:43" ht="15" customHeight="1">
      <c r="B777" s="394"/>
      <c r="C777" s="395"/>
      <c r="D777" s="417"/>
      <c r="E777" s="662"/>
      <c r="F777" s="417"/>
      <c r="G777" s="384"/>
      <c r="H777" s="768"/>
      <c r="I777" s="384"/>
      <c r="J777" s="384"/>
      <c r="K777" s="657"/>
      <c r="L777" s="658"/>
      <c r="M777" s="384"/>
      <c r="N777" s="384"/>
      <c r="O777" s="384"/>
      <c r="P777" s="384"/>
      <c r="Q777" s="384"/>
      <c r="R777" s="384"/>
      <c r="S777" s="660"/>
      <c r="T777" s="396"/>
      <c r="U777" s="384"/>
      <c r="V777" s="384"/>
      <c r="W777" s="384"/>
      <c r="X777" s="384"/>
      <c r="Y777" s="442"/>
      <c r="Z777" s="442"/>
      <c r="AA777" s="441"/>
      <c r="AB777" s="441"/>
      <c r="AC777" s="441"/>
      <c r="AD777" s="441"/>
      <c r="AE777" s="441"/>
      <c r="AF777" s="441"/>
      <c r="AG777" s="441"/>
      <c r="AH777" s="441"/>
      <c r="AI777" s="441"/>
      <c r="AJ777" s="441"/>
      <c r="AK777" s="395"/>
      <c r="AL777" s="395"/>
      <c r="AM777" s="395"/>
      <c r="AN777" s="395"/>
      <c r="AO777" s="395"/>
      <c r="AP777" s="410"/>
      <c r="AQ777" s="410"/>
    </row>
    <row r="778" spans="2:43" ht="15" customHeight="1">
      <c r="B778" s="394"/>
      <c r="C778" s="395"/>
      <c r="D778" s="417"/>
      <c r="E778" s="662"/>
      <c r="F778" s="417"/>
      <c r="G778" s="384"/>
      <c r="H778" s="768"/>
      <c r="I778" s="384"/>
      <c r="J778" s="384"/>
      <c r="K778" s="657"/>
      <c r="L778" s="658"/>
      <c r="M778" s="384"/>
      <c r="N778" s="384"/>
      <c r="O778" s="384"/>
      <c r="P778" s="384"/>
      <c r="Q778" s="384"/>
      <c r="R778" s="384"/>
      <c r="S778" s="660"/>
      <c r="T778" s="396"/>
      <c r="U778" s="384"/>
      <c r="V778" s="384"/>
      <c r="W778" s="384"/>
      <c r="X778" s="384"/>
      <c r="Y778" s="442"/>
      <c r="Z778" s="442"/>
      <c r="AA778" s="441"/>
      <c r="AB778" s="441"/>
      <c r="AC778" s="441"/>
      <c r="AD778" s="441"/>
      <c r="AE778" s="441"/>
      <c r="AF778" s="441"/>
      <c r="AG778" s="441"/>
      <c r="AH778" s="441"/>
      <c r="AI778" s="441"/>
      <c r="AJ778" s="441"/>
      <c r="AK778" s="395"/>
      <c r="AL778" s="395"/>
      <c r="AM778" s="395"/>
      <c r="AN778" s="395"/>
      <c r="AO778" s="395"/>
      <c r="AP778" s="410"/>
      <c r="AQ778" s="410"/>
    </row>
    <row r="779" spans="2:43" ht="15" customHeight="1">
      <c r="B779" s="394"/>
      <c r="C779" s="395"/>
      <c r="D779" s="417"/>
      <c r="E779" s="662"/>
      <c r="F779" s="417"/>
      <c r="G779" s="384"/>
      <c r="H779" s="768"/>
      <c r="I779" s="384"/>
      <c r="J779" s="384"/>
      <c r="K779" s="657"/>
      <c r="L779" s="658"/>
      <c r="M779" s="384"/>
      <c r="N779" s="384"/>
      <c r="O779" s="384"/>
      <c r="P779" s="384"/>
      <c r="Q779" s="384"/>
      <c r="R779" s="384"/>
      <c r="S779" s="660"/>
      <c r="T779" s="396"/>
      <c r="U779" s="384"/>
      <c r="V779" s="384"/>
      <c r="W779" s="384"/>
      <c r="X779" s="384"/>
      <c r="Y779" s="442"/>
      <c r="Z779" s="442"/>
      <c r="AA779" s="441"/>
      <c r="AB779" s="441"/>
      <c r="AC779" s="441"/>
      <c r="AD779" s="441"/>
      <c r="AE779" s="441"/>
      <c r="AF779" s="441"/>
      <c r="AG779" s="441"/>
      <c r="AH779" s="441"/>
      <c r="AI779" s="441"/>
      <c r="AJ779" s="441"/>
      <c r="AK779" s="395"/>
      <c r="AL779" s="395"/>
      <c r="AM779" s="395"/>
      <c r="AN779" s="395"/>
      <c r="AO779" s="395"/>
      <c r="AP779" s="410"/>
      <c r="AQ779" s="410"/>
    </row>
    <row r="780" spans="2:43" ht="15" customHeight="1">
      <c r="B780" s="394"/>
      <c r="C780" s="395"/>
      <c r="D780" s="417"/>
      <c r="E780" s="662"/>
      <c r="F780" s="417"/>
      <c r="G780" s="384"/>
      <c r="H780" s="768"/>
      <c r="I780" s="384"/>
      <c r="J780" s="384"/>
      <c r="K780" s="657"/>
      <c r="L780" s="658"/>
      <c r="M780" s="384"/>
      <c r="N780" s="384"/>
      <c r="O780" s="384"/>
      <c r="P780" s="384"/>
      <c r="Q780" s="384"/>
      <c r="R780" s="384"/>
      <c r="S780" s="660"/>
      <c r="T780" s="396"/>
      <c r="U780" s="384"/>
      <c r="V780" s="384"/>
      <c r="W780" s="384"/>
      <c r="X780" s="384"/>
      <c r="Y780" s="442"/>
      <c r="Z780" s="442"/>
      <c r="AA780" s="441"/>
      <c r="AB780" s="441"/>
      <c r="AC780" s="441"/>
      <c r="AD780" s="441"/>
      <c r="AE780" s="441"/>
      <c r="AF780" s="441"/>
      <c r="AG780" s="441"/>
      <c r="AH780" s="441"/>
      <c r="AI780" s="441"/>
      <c r="AJ780" s="441"/>
      <c r="AK780" s="395"/>
      <c r="AL780" s="395"/>
      <c r="AM780" s="395"/>
      <c r="AN780" s="395"/>
      <c r="AO780" s="395"/>
      <c r="AP780" s="410"/>
      <c r="AQ780" s="410"/>
    </row>
    <row r="781" spans="2:43" ht="15" customHeight="1">
      <c r="B781" s="394"/>
      <c r="C781" s="395"/>
      <c r="D781" s="417"/>
      <c r="E781" s="662"/>
      <c r="F781" s="417"/>
      <c r="G781" s="384"/>
      <c r="H781" s="768"/>
      <c r="I781" s="384"/>
      <c r="J781" s="384"/>
      <c r="K781" s="657"/>
      <c r="L781" s="658"/>
      <c r="M781" s="384"/>
      <c r="N781" s="384"/>
      <c r="O781" s="384"/>
      <c r="P781" s="384"/>
      <c r="Q781" s="384"/>
      <c r="R781" s="384"/>
      <c r="S781" s="660"/>
      <c r="T781" s="396"/>
      <c r="U781" s="384"/>
      <c r="V781" s="384"/>
      <c r="W781" s="384"/>
      <c r="X781" s="384"/>
      <c r="Y781" s="442"/>
      <c r="Z781" s="442"/>
      <c r="AA781" s="441"/>
      <c r="AB781" s="441"/>
      <c r="AC781" s="441"/>
      <c r="AD781" s="441"/>
      <c r="AE781" s="441"/>
      <c r="AF781" s="441"/>
      <c r="AG781" s="441"/>
      <c r="AH781" s="441"/>
      <c r="AI781" s="441"/>
      <c r="AJ781" s="441"/>
      <c r="AK781" s="395"/>
      <c r="AL781" s="395"/>
      <c r="AM781" s="395"/>
      <c r="AN781" s="395"/>
      <c r="AO781" s="395"/>
      <c r="AP781" s="410"/>
      <c r="AQ781" s="410"/>
    </row>
    <row r="782" spans="2:43" ht="15" customHeight="1">
      <c r="B782" s="394"/>
      <c r="C782" s="395"/>
      <c r="D782" s="417"/>
      <c r="E782" s="662"/>
      <c r="F782" s="417"/>
      <c r="G782" s="384"/>
      <c r="H782" s="768"/>
      <c r="I782" s="384"/>
      <c r="J782" s="384"/>
      <c r="K782" s="657"/>
      <c r="L782" s="658"/>
      <c r="M782" s="384"/>
      <c r="N782" s="384"/>
      <c r="O782" s="384"/>
      <c r="P782" s="384"/>
      <c r="Q782" s="384"/>
      <c r="R782" s="384"/>
      <c r="S782" s="660"/>
      <c r="T782" s="396"/>
      <c r="U782" s="384"/>
      <c r="V782" s="384"/>
      <c r="W782" s="384"/>
      <c r="X782" s="384"/>
      <c r="Y782" s="442"/>
      <c r="Z782" s="442"/>
      <c r="AA782" s="441"/>
      <c r="AB782" s="441"/>
      <c r="AC782" s="441"/>
      <c r="AD782" s="441"/>
      <c r="AE782" s="441"/>
      <c r="AF782" s="441"/>
      <c r="AG782" s="441"/>
      <c r="AH782" s="441"/>
      <c r="AI782" s="441"/>
      <c r="AJ782" s="441"/>
      <c r="AK782" s="395"/>
      <c r="AL782" s="395"/>
      <c r="AM782" s="395"/>
      <c r="AN782" s="395"/>
      <c r="AO782" s="395"/>
      <c r="AP782" s="410"/>
      <c r="AQ782" s="410"/>
    </row>
    <row r="783" spans="2:43" ht="15" customHeight="1">
      <c r="B783" s="394"/>
      <c r="C783" s="395"/>
      <c r="D783" s="417"/>
      <c r="E783" s="662"/>
      <c r="F783" s="417"/>
      <c r="G783" s="384"/>
      <c r="H783" s="768"/>
      <c r="I783" s="384"/>
      <c r="J783" s="384"/>
      <c r="K783" s="657"/>
      <c r="L783" s="658"/>
      <c r="M783" s="384"/>
      <c r="N783" s="384"/>
      <c r="O783" s="384"/>
      <c r="P783" s="384"/>
      <c r="Q783" s="384"/>
      <c r="R783" s="384"/>
      <c r="S783" s="660"/>
      <c r="T783" s="396"/>
      <c r="U783" s="384"/>
      <c r="V783" s="384"/>
      <c r="W783" s="384"/>
      <c r="X783" s="384"/>
      <c r="Y783" s="442"/>
      <c r="Z783" s="442"/>
      <c r="AA783" s="441"/>
      <c r="AB783" s="441"/>
      <c r="AC783" s="441"/>
      <c r="AD783" s="441"/>
      <c r="AE783" s="441"/>
      <c r="AF783" s="441"/>
      <c r="AG783" s="441"/>
      <c r="AH783" s="441"/>
      <c r="AI783" s="441"/>
      <c r="AJ783" s="441"/>
      <c r="AK783" s="395"/>
      <c r="AL783" s="395"/>
      <c r="AM783" s="395"/>
      <c r="AN783" s="395"/>
      <c r="AO783" s="395"/>
      <c r="AP783" s="410"/>
      <c r="AQ783" s="410"/>
    </row>
    <row r="784" spans="2:43" ht="15" customHeight="1">
      <c r="B784" s="394"/>
      <c r="C784" s="395"/>
      <c r="D784" s="417"/>
      <c r="E784" s="662"/>
      <c r="F784" s="417"/>
      <c r="G784" s="384"/>
      <c r="H784" s="768"/>
      <c r="I784" s="384"/>
      <c r="J784" s="384"/>
      <c r="K784" s="657"/>
      <c r="L784" s="658"/>
      <c r="M784" s="384"/>
      <c r="N784" s="384"/>
      <c r="O784" s="384"/>
      <c r="P784" s="384"/>
      <c r="Q784" s="384"/>
      <c r="R784" s="384"/>
      <c r="S784" s="660"/>
      <c r="T784" s="396"/>
      <c r="U784" s="384"/>
      <c r="V784" s="384"/>
      <c r="W784" s="384"/>
      <c r="X784" s="384"/>
      <c r="Y784" s="442"/>
      <c r="Z784" s="442"/>
      <c r="AA784" s="441"/>
      <c r="AB784" s="441"/>
      <c r="AC784" s="441"/>
      <c r="AD784" s="441"/>
      <c r="AE784" s="441"/>
      <c r="AF784" s="441"/>
      <c r="AG784" s="441"/>
      <c r="AH784" s="441"/>
      <c r="AI784" s="441"/>
      <c r="AJ784" s="441"/>
      <c r="AK784" s="395"/>
      <c r="AL784" s="395"/>
      <c r="AM784" s="395"/>
      <c r="AN784" s="395"/>
      <c r="AO784" s="395"/>
      <c r="AP784" s="410"/>
      <c r="AQ784" s="410"/>
    </row>
    <row r="785" spans="2:43" ht="15" customHeight="1">
      <c r="B785" s="394"/>
      <c r="C785" s="395"/>
      <c r="D785" s="417"/>
      <c r="E785" s="662"/>
      <c r="F785" s="417"/>
      <c r="G785" s="384"/>
      <c r="H785" s="768"/>
      <c r="I785" s="384"/>
      <c r="J785" s="384"/>
      <c r="K785" s="657"/>
      <c r="L785" s="658"/>
      <c r="M785" s="384"/>
      <c r="N785" s="384"/>
      <c r="O785" s="384"/>
      <c r="P785" s="384"/>
      <c r="Q785" s="384"/>
      <c r="R785" s="384"/>
      <c r="S785" s="660"/>
      <c r="T785" s="396"/>
      <c r="U785" s="384"/>
      <c r="V785" s="384"/>
      <c r="W785" s="384"/>
      <c r="X785" s="384"/>
      <c r="Y785" s="442"/>
      <c r="Z785" s="442"/>
      <c r="AA785" s="441"/>
      <c r="AB785" s="441"/>
      <c r="AC785" s="441"/>
      <c r="AD785" s="441"/>
      <c r="AE785" s="441"/>
      <c r="AF785" s="441"/>
      <c r="AG785" s="441"/>
      <c r="AH785" s="441"/>
      <c r="AI785" s="441"/>
      <c r="AJ785" s="441"/>
      <c r="AK785" s="395"/>
      <c r="AL785" s="395"/>
      <c r="AM785" s="395"/>
      <c r="AN785" s="395"/>
      <c r="AO785" s="395"/>
      <c r="AP785" s="410"/>
      <c r="AQ785" s="410"/>
    </row>
    <row r="786" spans="2:43" ht="15" customHeight="1">
      <c r="B786" s="394"/>
      <c r="C786" s="395"/>
      <c r="D786" s="417"/>
      <c r="E786" s="662"/>
      <c r="F786" s="417"/>
      <c r="G786" s="384"/>
      <c r="H786" s="768"/>
      <c r="I786" s="384"/>
      <c r="J786" s="384"/>
      <c r="K786" s="657"/>
      <c r="L786" s="658"/>
      <c r="M786" s="384"/>
      <c r="N786" s="384"/>
      <c r="O786" s="384"/>
      <c r="P786" s="384"/>
      <c r="Q786" s="384"/>
      <c r="R786" s="384"/>
      <c r="S786" s="660"/>
      <c r="T786" s="396"/>
      <c r="U786" s="384"/>
      <c r="V786" s="384"/>
      <c r="W786" s="384"/>
      <c r="X786" s="384"/>
      <c r="Y786" s="442"/>
      <c r="Z786" s="442"/>
      <c r="AA786" s="441"/>
      <c r="AB786" s="441"/>
      <c r="AC786" s="441"/>
      <c r="AD786" s="441"/>
      <c r="AE786" s="441"/>
      <c r="AF786" s="441"/>
      <c r="AG786" s="441"/>
      <c r="AH786" s="441"/>
      <c r="AI786" s="441"/>
      <c r="AJ786" s="441"/>
      <c r="AK786" s="395"/>
      <c r="AL786" s="395"/>
      <c r="AM786" s="395"/>
      <c r="AN786" s="395"/>
      <c r="AO786" s="395"/>
      <c r="AP786" s="410"/>
      <c r="AQ786" s="410"/>
    </row>
    <row r="787" spans="2:43" ht="15" customHeight="1">
      <c r="B787" s="394"/>
      <c r="C787" s="395"/>
      <c r="D787" s="417"/>
      <c r="E787" s="662"/>
      <c r="F787" s="417"/>
      <c r="G787" s="384"/>
      <c r="H787" s="768"/>
      <c r="I787" s="384"/>
      <c r="J787" s="384"/>
      <c r="K787" s="657"/>
      <c r="L787" s="658"/>
      <c r="M787" s="384"/>
      <c r="N787" s="384"/>
      <c r="O787" s="384"/>
      <c r="P787" s="384"/>
      <c r="Q787" s="384"/>
      <c r="R787" s="384"/>
      <c r="S787" s="660"/>
      <c r="T787" s="396"/>
      <c r="U787" s="384"/>
      <c r="V787" s="384"/>
      <c r="W787" s="384"/>
      <c r="X787" s="384"/>
      <c r="Y787" s="442"/>
      <c r="Z787" s="442"/>
      <c r="AA787" s="441"/>
      <c r="AB787" s="441"/>
      <c r="AC787" s="441"/>
      <c r="AD787" s="441"/>
      <c r="AE787" s="441"/>
      <c r="AF787" s="441"/>
      <c r="AG787" s="441"/>
      <c r="AH787" s="441"/>
      <c r="AI787" s="441"/>
      <c r="AJ787" s="441"/>
      <c r="AK787" s="395"/>
      <c r="AL787" s="395"/>
      <c r="AM787" s="395"/>
      <c r="AN787" s="395"/>
      <c r="AO787" s="395"/>
      <c r="AP787" s="410"/>
      <c r="AQ787" s="410"/>
    </row>
    <row r="788" spans="2:43" ht="15" customHeight="1">
      <c r="B788" s="394"/>
      <c r="C788" s="395"/>
      <c r="D788" s="417"/>
      <c r="E788" s="662"/>
      <c r="F788" s="417"/>
      <c r="G788" s="384"/>
      <c r="H788" s="768"/>
      <c r="I788" s="384"/>
      <c r="J788" s="384"/>
      <c r="K788" s="657"/>
      <c r="L788" s="658"/>
      <c r="M788" s="384"/>
      <c r="N788" s="384"/>
      <c r="O788" s="384"/>
      <c r="P788" s="384"/>
      <c r="Q788" s="384"/>
      <c r="R788" s="384"/>
      <c r="S788" s="660"/>
      <c r="T788" s="396"/>
      <c r="U788" s="384"/>
      <c r="V788" s="384"/>
      <c r="W788" s="384"/>
      <c r="X788" s="384"/>
      <c r="Y788" s="442"/>
      <c r="Z788" s="442"/>
      <c r="AA788" s="441"/>
      <c r="AB788" s="441"/>
      <c r="AC788" s="441"/>
      <c r="AD788" s="441"/>
      <c r="AE788" s="441"/>
      <c r="AF788" s="441"/>
      <c r="AG788" s="441"/>
      <c r="AH788" s="441"/>
      <c r="AI788" s="441"/>
      <c r="AJ788" s="441"/>
      <c r="AK788" s="395"/>
      <c r="AL788" s="395"/>
      <c r="AM788" s="395"/>
      <c r="AN788" s="395"/>
      <c r="AO788" s="395"/>
      <c r="AP788" s="410"/>
      <c r="AQ788" s="410"/>
    </row>
    <row r="789" spans="2:43" ht="15" customHeight="1">
      <c r="B789" s="394"/>
      <c r="C789" s="395"/>
      <c r="D789" s="417"/>
      <c r="E789" s="662"/>
      <c r="F789" s="417"/>
      <c r="G789" s="384"/>
      <c r="H789" s="768"/>
      <c r="I789" s="384"/>
      <c r="J789" s="384"/>
      <c r="K789" s="657"/>
      <c r="L789" s="658"/>
      <c r="M789" s="384"/>
      <c r="N789" s="384"/>
      <c r="O789" s="384"/>
      <c r="P789" s="384"/>
      <c r="Q789" s="384"/>
      <c r="R789" s="384"/>
      <c r="S789" s="660"/>
      <c r="T789" s="396"/>
      <c r="U789" s="384"/>
      <c r="V789" s="384"/>
      <c r="W789" s="384"/>
      <c r="X789" s="384"/>
      <c r="Y789" s="442"/>
      <c r="Z789" s="442"/>
      <c r="AA789" s="441"/>
      <c r="AB789" s="441"/>
      <c r="AC789" s="441"/>
      <c r="AD789" s="441"/>
      <c r="AE789" s="441"/>
      <c r="AF789" s="441"/>
      <c r="AG789" s="441"/>
      <c r="AH789" s="441"/>
      <c r="AI789" s="441"/>
      <c r="AJ789" s="441"/>
      <c r="AK789" s="395"/>
      <c r="AL789" s="395"/>
      <c r="AM789" s="395"/>
      <c r="AN789" s="395"/>
      <c r="AO789" s="395"/>
      <c r="AP789" s="410"/>
      <c r="AQ789" s="410"/>
    </row>
    <row r="790" spans="2:43" ht="15" customHeight="1">
      <c r="B790" s="394"/>
      <c r="C790" s="395"/>
      <c r="D790" s="417"/>
      <c r="E790" s="662"/>
      <c r="F790" s="417"/>
      <c r="G790" s="384"/>
      <c r="H790" s="768"/>
      <c r="I790" s="384"/>
      <c r="J790" s="384"/>
      <c r="K790" s="657"/>
      <c r="L790" s="658"/>
      <c r="M790" s="384"/>
      <c r="N790" s="384"/>
      <c r="O790" s="384"/>
      <c r="P790" s="384"/>
      <c r="Q790" s="384"/>
      <c r="R790" s="384"/>
      <c r="S790" s="660"/>
      <c r="T790" s="396"/>
      <c r="U790" s="384"/>
      <c r="V790" s="384"/>
      <c r="W790" s="384"/>
      <c r="X790" s="384"/>
      <c r="Y790" s="442"/>
      <c r="Z790" s="442"/>
      <c r="AA790" s="441"/>
      <c r="AB790" s="441"/>
      <c r="AC790" s="441"/>
      <c r="AD790" s="441"/>
      <c r="AE790" s="441"/>
      <c r="AF790" s="441"/>
      <c r="AG790" s="441"/>
      <c r="AH790" s="441"/>
      <c r="AI790" s="441"/>
      <c r="AJ790" s="441"/>
      <c r="AK790" s="395"/>
      <c r="AL790" s="395"/>
      <c r="AM790" s="395"/>
      <c r="AN790" s="395"/>
      <c r="AO790" s="395"/>
      <c r="AP790" s="410"/>
      <c r="AQ790" s="410"/>
    </row>
    <row r="791" spans="2:43" ht="15" customHeight="1">
      <c r="B791" s="394"/>
      <c r="C791" s="395"/>
      <c r="D791" s="417"/>
      <c r="E791" s="662"/>
      <c r="F791" s="417"/>
      <c r="G791" s="384"/>
      <c r="H791" s="768"/>
      <c r="I791" s="384"/>
      <c r="J791" s="384"/>
      <c r="K791" s="657"/>
      <c r="L791" s="658"/>
      <c r="M791" s="384"/>
      <c r="N791" s="384"/>
      <c r="O791" s="384"/>
      <c r="P791" s="384"/>
      <c r="Q791" s="384"/>
      <c r="R791" s="384"/>
      <c r="S791" s="660"/>
      <c r="T791" s="396"/>
      <c r="U791" s="384"/>
      <c r="V791" s="384"/>
      <c r="W791" s="384"/>
      <c r="X791" s="384"/>
      <c r="Y791" s="442"/>
      <c r="Z791" s="442"/>
      <c r="AA791" s="441"/>
      <c r="AB791" s="441"/>
      <c r="AC791" s="441"/>
      <c r="AD791" s="441"/>
      <c r="AE791" s="441"/>
      <c r="AF791" s="441"/>
      <c r="AG791" s="441"/>
      <c r="AH791" s="441"/>
      <c r="AI791" s="441"/>
      <c r="AJ791" s="441"/>
      <c r="AK791" s="395"/>
      <c r="AL791" s="395"/>
      <c r="AM791" s="395"/>
      <c r="AN791" s="395"/>
      <c r="AO791" s="395"/>
      <c r="AP791" s="410"/>
      <c r="AQ791" s="410"/>
    </row>
    <row r="792" spans="2:43" ht="15" customHeight="1">
      <c r="B792" s="394"/>
      <c r="C792" s="395"/>
      <c r="D792" s="417"/>
      <c r="E792" s="662"/>
      <c r="F792" s="417"/>
      <c r="G792" s="384"/>
      <c r="H792" s="768"/>
      <c r="I792" s="384"/>
      <c r="J792" s="384"/>
      <c r="K792" s="657"/>
      <c r="L792" s="658"/>
      <c r="M792" s="384"/>
      <c r="N792" s="384"/>
      <c r="O792" s="384"/>
      <c r="P792" s="384"/>
      <c r="Q792" s="384"/>
      <c r="R792" s="384"/>
      <c r="S792" s="660"/>
      <c r="T792" s="396"/>
      <c r="U792" s="384"/>
      <c r="V792" s="384"/>
      <c r="W792" s="384"/>
      <c r="X792" s="384"/>
      <c r="Y792" s="442"/>
      <c r="Z792" s="442"/>
      <c r="AA792" s="441"/>
      <c r="AB792" s="441"/>
      <c r="AC792" s="441"/>
      <c r="AD792" s="441"/>
      <c r="AE792" s="441"/>
      <c r="AF792" s="441"/>
      <c r="AG792" s="441"/>
      <c r="AH792" s="441"/>
      <c r="AI792" s="441"/>
      <c r="AJ792" s="441"/>
      <c r="AK792" s="395"/>
      <c r="AL792" s="395"/>
      <c r="AM792" s="395"/>
      <c r="AN792" s="395"/>
      <c r="AO792" s="395"/>
      <c r="AP792" s="410"/>
      <c r="AQ792" s="410"/>
    </row>
    <row r="793" spans="2:43" ht="15" customHeight="1">
      <c r="B793" s="394"/>
      <c r="C793" s="395"/>
      <c r="D793" s="417"/>
      <c r="E793" s="662"/>
      <c r="F793" s="417"/>
      <c r="G793" s="384"/>
      <c r="H793" s="768"/>
      <c r="I793" s="384"/>
      <c r="J793" s="384"/>
      <c r="K793" s="657"/>
      <c r="L793" s="658"/>
      <c r="M793" s="384"/>
      <c r="N793" s="384"/>
      <c r="O793" s="384"/>
      <c r="P793" s="384"/>
      <c r="Q793" s="384"/>
      <c r="R793" s="384"/>
      <c r="S793" s="660"/>
      <c r="T793" s="396"/>
      <c r="U793" s="384"/>
      <c r="V793" s="384"/>
      <c r="W793" s="384"/>
      <c r="X793" s="384"/>
      <c r="Y793" s="442"/>
      <c r="Z793" s="442"/>
      <c r="AA793" s="441"/>
      <c r="AB793" s="441"/>
      <c r="AC793" s="441"/>
      <c r="AD793" s="441"/>
      <c r="AE793" s="441"/>
      <c r="AF793" s="441"/>
      <c r="AG793" s="441"/>
      <c r="AH793" s="441"/>
      <c r="AI793" s="441"/>
      <c r="AJ793" s="441"/>
      <c r="AK793" s="395"/>
      <c r="AL793" s="395"/>
      <c r="AM793" s="395"/>
      <c r="AN793" s="395"/>
      <c r="AO793" s="395"/>
      <c r="AP793" s="410"/>
      <c r="AQ793" s="410"/>
    </row>
    <row r="794" spans="2:43" ht="15" customHeight="1">
      <c r="B794" s="394"/>
      <c r="C794" s="395"/>
      <c r="D794" s="417"/>
      <c r="E794" s="662"/>
      <c r="F794" s="417"/>
      <c r="G794" s="384"/>
      <c r="H794" s="768"/>
      <c r="I794" s="384"/>
      <c r="J794" s="384"/>
      <c r="K794" s="657"/>
      <c r="L794" s="658"/>
      <c r="M794" s="384"/>
      <c r="N794" s="384"/>
      <c r="O794" s="384"/>
      <c r="P794" s="384"/>
      <c r="Q794" s="384"/>
      <c r="R794" s="384"/>
      <c r="S794" s="660"/>
      <c r="T794" s="396"/>
      <c r="U794" s="384"/>
      <c r="V794" s="384"/>
      <c r="W794" s="384"/>
      <c r="X794" s="384"/>
      <c r="Y794" s="442"/>
      <c r="Z794" s="442"/>
      <c r="AA794" s="441"/>
      <c r="AB794" s="441"/>
      <c r="AC794" s="441"/>
      <c r="AD794" s="441"/>
      <c r="AE794" s="441"/>
      <c r="AF794" s="441"/>
      <c r="AG794" s="441"/>
      <c r="AH794" s="441"/>
      <c r="AI794" s="441"/>
      <c r="AJ794" s="441"/>
      <c r="AK794" s="395"/>
      <c r="AL794" s="395"/>
      <c r="AM794" s="395"/>
      <c r="AN794" s="395"/>
      <c r="AO794" s="395"/>
      <c r="AP794" s="410"/>
      <c r="AQ794" s="410"/>
    </row>
    <row r="795" spans="2:43" ht="15" customHeight="1">
      <c r="B795" s="394"/>
      <c r="C795" s="395"/>
      <c r="D795" s="417"/>
      <c r="E795" s="662"/>
      <c r="F795" s="417"/>
      <c r="G795" s="384"/>
      <c r="H795" s="768"/>
      <c r="I795" s="384"/>
      <c r="J795" s="384"/>
      <c r="K795" s="657"/>
      <c r="L795" s="658"/>
      <c r="M795" s="384"/>
      <c r="N795" s="384"/>
      <c r="O795" s="384"/>
      <c r="P795" s="384"/>
      <c r="Q795" s="384"/>
      <c r="R795" s="384"/>
      <c r="S795" s="660"/>
      <c r="T795" s="396"/>
      <c r="U795" s="384"/>
      <c r="V795" s="384"/>
      <c r="W795" s="384"/>
      <c r="X795" s="384"/>
      <c r="Y795" s="442"/>
      <c r="Z795" s="442"/>
      <c r="AA795" s="441"/>
      <c r="AB795" s="441"/>
      <c r="AC795" s="441"/>
      <c r="AD795" s="441"/>
      <c r="AE795" s="441"/>
      <c r="AF795" s="441"/>
      <c r="AG795" s="441"/>
      <c r="AH795" s="441"/>
      <c r="AI795" s="441"/>
      <c r="AJ795" s="441"/>
      <c r="AK795" s="395"/>
      <c r="AL795" s="395"/>
      <c r="AM795" s="395"/>
      <c r="AN795" s="395"/>
      <c r="AO795" s="395"/>
      <c r="AP795" s="410"/>
      <c r="AQ795" s="410"/>
    </row>
    <row r="796" spans="2:43" ht="15" customHeight="1">
      <c r="B796" s="394"/>
      <c r="C796" s="395"/>
      <c r="D796" s="417"/>
      <c r="E796" s="662"/>
      <c r="F796" s="417"/>
      <c r="G796" s="384"/>
      <c r="H796" s="768"/>
      <c r="I796" s="384"/>
      <c r="J796" s="384"/>
      <c r="K796" s="657"/>
      <c r="L796" s="658"/>
      <c r="M796" s="384"/>
      <c r="N796" s="384"/>
      <c r="O796" s="384"/>
      <c r="P796" s="384"/>
      <c r="Q796" s="384"/>
      <c r="R796" s="384"/>
      <c r="S796" s="660"/>
      <c r="T796" s="396"/>
      <c r="U796" s="384"/>
      <c r="V796" s="384"/>
      <c r="W796" s="384"/>
      <c r="X796" s="384"/>
      <c r="Y796" s="442"/>
      <c r="Z796" s="442"/>
      <c r="AA796" s="441"/>
      <c r="AB796" s="441"/>
      <c r="AC796" s="441"/>
      <c r="AD796" s="441"/>
      <c r="AE796" s="441"/>
      <c r="AF796" s="441"/>
      <c r="AG796" s="441"/>
      <c r="AH796" s="441"/>
      <c r="AI796" s="441"/>
      <c r="AJ796" s="441"/>
      <c r="AK796" s="395"/>
      <c r="AL796" s="395"/>
      <c r="AM796" s="395"/>
      <c r="AN796" s="395"/>
      <c r="AO796" s="395"/>
      <c r="AP796" s="410"/>
      <c r="AQ796" s="410"/>
    </row>
    <row r="797" spans="2:43" ht="15" customHeight="1">
      <c r="B797" s="394"/>
      <c r="C797" s="395"/>
      <c r="D797" s="417"/>
      <c r="E797" s="662"/>
      <c r="F797" s="417"/>
      <c r="G797" s="384"/>
      <c r="H797" s="768"/>
      <c r="I797" s="384"/>
      <c r="J797" s="384"/>
      <c r="K797" s="657"/>
      <c r="L797" s="658"/>
      <c r="M797" s="384"/>
      <c r="N797" s="384"/>
      <c r="O797" s="384"/>
      <c r="P797" s="384"/>
      <c r="Q797" s="384"/>
      <c r="R797" s="384"/>
      <c r="S797" s="660"/>
      <c r="T797" s="396"/>
      <c r="U797" s="384"/>
      <c r="V797" s="384"/>
      <c r="W797" s="384"/>
      <c r="X797" s="384"/>
      <c r="Y797" s="442"/>
      <c r="Z797" s="442"/>
      <c r="AA797" s="441"/>
      <c r="AB797" s="441"/>
      <c r="AC797" s="441"/>
      <c r="AD797" s="441"/>
      <c r="AE797" s="441"/>
      <c r="AF797" s="441"/>
      <c r="AG797" s="441"/>
      <c r="AH797" s="441"/>
      <c r="AI797" s="441"/>
      <c r="AJ797" s="441"/>
      <c r="AK797" s="395"/>
      <c r="AL797" s="395"/>
      <c r="AM797" s="395"/>
      <c r="AN797" s="395"/>
      <c r="AO797" s="395"/>
      <c r="AP797" s="410"/>
      <c r="AQ797" s="410"/>
    </row>
    <row r="798" spans="2:43" ht="15" customHeight="1">
      <c r="B798" s="394"/>
      <c r="C798" s="395"/>
      <c r="D798" s="417"/>
      <c r="E798" s="662"/>
      <c r="F798" s="417"/>
      <c r="G798" s="384"/>
      <c r="H798" s="768"/>
      <c r="I798" s="384"/>
      <c r="J798" s="384"/>
      <c r="K798" s="657"/>
      <c r="L798" s="658"/>
      <c r="M798" s="384"/>
      <c r="N798" s="384"/>
      <c r="O798" s="384"/>
      <c r="P798" s="384"/>
      <c r="Q798" s="384"/>
      <c r="R798" s="384"/>
      <c r="S798" s="660"/>
      <c r="T798" s="396"/>
      <c r="U798" s="384"/>
      <c r="V798" s="384"/>
      <c r="W798" s="384"/>
      <c r="X798" s="384"/>
      <c r="Y798" s="442"/>
      <c r="Z798" s="442"/>
      <c r="AA798" s="441"/>
      <c r="AB798" s="441"/>
      <c r="AC798" s="441"/>
      <c r="AD798" s="441"/>
      <c r="AE798" s="441"/>
      <c r="AF798" s="441"/>
      <c r="AG798" s="441"/>
      <c r="AH798" s="441"/>
      <c r="AI798" s="441"/>
      <c r="AJ798" s="441"/>
      <c r="AK798" s="395"/>
      <c r="AL798" s="395"/>
      <c r="AM798" s="395"/>
      <c r="AN798" s="395"/>
      <c r="AO798" s="395"/>
      <c r="AP798" s="410"/>
      <c r="AQ798" s="410"/>
    </row>
    <row r="799" spans="2:43" ht="15" customHeight="1">
      <c r="B799" s="394"/>
      <c r="C799" s="395"/>
      <c r="D799" s="417"/>
      <c r="E799" s="662"/>
      <c r="F799" s="417"/>
      <c r="G799" s="384"/>
      <c r="H799" s="768"/>
      <c r="I799" s="384"/>
      <c r="J799" s="384"/>
      <c r="K799" s="657"/>
      <c r="L799" s="658"/>
      <c r="M799" s="384"/>
      <c r="N799" s="384"/>
      <c r="O799" s="384"/>
      <c r="P799" s="384"/>
      <c r="Q799" s="384"/>
      <c r="R799" s="384"/>
      <c r="S799" s="660"/>
      <c r="T799" s="396"/>
      <c r="U799" s="384"/>
      <c r="V799" s="384"/>
      <c r="W799" s="384"/>
      <c r="X799" s="384"/>
      <c r="Y799" s="442"/>
      <c r="Z799" s="442"/>
      <c r="AA799" s="441"/>
      <c r="AB799" s="441"/>
      <c r="AC799" s="441"/>
      <c r="AD799" s="441"/>
      <c r="AE799" s="441"/>
      <c r="AF799" s="441"/>
      <c r="AG799" s="441"/>
      <c r="AH799" s="441"/>
      <c r="AI799" s="441"/>
      <c r="AJ799" s="441"/>
      <c r="AK799" s="395"/>
      <c r="AL799" s="395"/>
      <c r="AM799" s="395"/>
      <c r="AN799" s="395"/>
      <c r="AO799" s="395"/>
      <c r="AP799" s="410"/>
      <c r="AQ799" s="410"/>
    </row>
    <row r="800" spans="2:43" ht="15" customHeight="1">
      <c r="B800" s="394"/>
      <c r="C800" s="395"/>
      <c r="D800" s="417"/>
      <c r="E800" s="662"/>
      <c r="F800" s="417"/>
      <c r="G800" s="384"/>
      <c r="H800" s="768"/>
      <c r="I800" s="384"/>
      <c r="J800" s="384"/>
      <c r="K800" s="657"/>
      <c r="L800" s="658"/>
      <c r="M800" s="384"/>
      <c r="N800" s="384"/>
      <c r="O800" s="384"/>
      <c r="P800" s="384"/>
      <c r="Q800" s="384"/>
      <c r="R800" s="384"/>
      <c r="S800" s="660"/>
      <c r="T800" s="396"/>
      <c r="U800" s="384"/>
      <c r="V800" s="384"/>
      <c r="W800" s="384"/>
      <c r="X800" s="384"/>
      <c r="Y800" s="442"/>
      <c r="Z800" s="442"/>
      <c r="AA800" s="441"/>
      <c r="AB800" s="441"/>
      <c r="AC800" s="441"/>
      <c r="AD800" s="441"/>
      <c r="AE800" s="441"/>
      <c r="AF800" s="441"/>
      <c r="AG800" s="441"/>
      <c r="AH800" s="441"/>
      <c r="AI800" s="441"/>
      <c r="AJ800" s="441"/>
      <c r="AK800" s="395"/>
      <c r="AL800" s="395"/>
      <c r="AM800" s="395"/>
      <c r="AN800" s="395"/>
      <c r="AO800" s="395"/>
      <c r="AP800" s="410"/>
      <c r="AQ800" s="410"/>
    </row>
    <row r="801" spans="2:43" ht="15" customHeight="1">
      <c r="B801" s="394"/>
      <c r="C801" s="395"/>
      <c r="D801" s="417"/>
      <c r="E801" s="662"/>
      <c r="F801" s="417"/>
      <c r="G801" s="384"/>
      <c r="H801" s="768"/>
      <c r="I801" s="384"/>
      <c r="J801" s="384"/>
      <c r="K801" s="657"/>
      <c r="L801" s="658"/>
      <c r="M801" s="384"/>
      <c r="N801" s="384"/>
      <c r="O801" s="384"/>
      <c r="P801" s="384"/>
      <c r="Q801" s="384"/>
      <c r="R801" s="384"/>
      <c r="S801" s="660"/>
      <c r="T801" s="396"/>
      <c r="U801" s="384"/>
      <c r="V801" s="384"/>
      <c r="W801" s="384"/>
      <c r="X801" s="384"/>
      <c r="Y801" s="442"/>
      <c r="Z801" s="442"/>
      <c r="AA801" s="441"/>
      <c r="AB801" s="441"/>
      <c r="AC801" s="441"/>
      <c r="AD801" s="441"/>
      <c r="AE801" s="441"/>
      <c r="AF801" s="441"/>
      <c r="AG801" s="441"/>
      <c r="AH801" s="441"/>
      <c r="AI801" s="441"/>
      <c r="AJ801" s="441"/>
      <c r="AK801" s="395"/>
      <c r="AL801" s="395"/>
      <c r="AM801" s="395"/>
      <c r="AN801" s="395"/>
      <c r="AO801" s="395"/>
      <c r="AP801" s="410"/>
      <c r="AQ801" s="410"/>
    </row>
    <row r="802" spans="2:43" ht="15" customHeight="1">
      <c r="B802" s="394"/>
      <c r="C802" s="395"/>
      <c r="D802" s="417"/>
      <c r="E802" s="662"/>
      <c r="F802" s="417"/>
      <c r="G802" s="384"/>
      <c r="H802" s="768"/>
      <c r="I802" s="384"/>
      <c r="J802" s="384"/>
      <c r="K802" s="657"/>
      <c r="L802" s="658"/>
      <c r="M802" s="384"/>
      <c r="N802" s="384"/>
      <c r="O802" s="384"/>
      <c r="P802" s="384"/>
      <c r="Q802" s="384"/>
      <c r="R802" s="384"/>
      <c r="S802" s="660"/>
      <c r="T802" s="396"/>
      <c r="U802" s="384"/>
      <c r="V802" s="384"/>
      <c r="W802" s="384"/>
      <c r="X802" s="384"/>
      <c r="Y802" s="442"/>
      <c r="Z802" s="442"/>
      <c r="AA802" s="441"/>
      <c r="AB802" s="441"/>
      <c r="AC802" s="441"/>
      <c r="AD802" s="441"/>
      <c r="AE802" s="441"/>
      <c r="AF802" s="441"/>
      <c r="AG802" s="441"/>
      <c r="AH802" s="441"/>
      <c r="AI802" s="441"/>
      <c r="AJ802" s="441"/>
      <c r="AK802" s="395"/>
      <c r="AL802" s="395"/>
      <c r="AM802" s="395"/>
      <c r="AN802" s="395"/>
      <c r="AO802" s="395"/>
      <c r="AP802" s="410"/>
      <c r="AQ802" s="410"/>
    </row>
    <row r="803" spans="2:43" ht="15" customHeight="1">
      <c r="B803" s="394"/>
      <c r="C803" s="395"/>
      <c r="D803" s="417"/>
      <c r="E803" s="662"/>
      <c r="F803" s="417"/>
      <c r="G803" s="384"/>
      <c r="H803" s="768"/>
      <c r="I803" s="384"/>
      <c r="J803" s="384"/>
      <c r="K803" s="657"/>
      <c r="L803" s="658"/>
      <c r="M803" s="384"/>
      <c r="N803" s="384"/>
      <c r="O803" s="384"/>
      <c r="P803" s="384"/>
      <c r="Q803" s="384"/>
      <c r="R803" s="384"/>
      <c r="S803" s="660"/>
      <c r="T803" s="396"/>
      <c r="U803" s="384"/>
      <c r="V803" s="384"/>
      <c r="W803" s="384"/>
      <c r="X803" s="384"/>
      <c r="Y803" s="442"/>
      <c r="Z803" s="442"/>
      <c r="AA803" s="441"/>
      <c r="AB803" s="441"/>
      <c r="AC803" s="441"/>
      <c r="AD803" s="441"/>
      <c r="AE803" s="441"/>
      <c r="AF803" s="441"/>
      <c r="AG803" s="441"/>
      <c r="AH803" s="441"/>
      <c r="AI803" s="441"/>
      <c r="AJ803" s="441"/>
      <c r="AK803" s="395"/>
      <c r="AL803" s="395"/>
      <c r="AM803" s="395"/>
      <c r="AN803" s="395"/>
      <c r="AO803" s="395"/>
      <c r="AP803" s="410"/>
      <c r="AQ803" s="410"/>
    </row>
    <row r="804" spans="2:43" ht="15" customHeight="1">
      <c r="B804" s="394"/>
      <c r="C804" s="395"/>
      <c r="D804" s="417"/>
      <c r="E804" s="662"/>
      <c r="F804" s="417"/>
      <c r="G804" s="384"/>
      <c r="H804" s="768"/>
      <c r="I804" s="384"/>
      <c r="J804" s="384"/>
      <c r="K804" s="657"/>
      <c r="L804" s="658"/>
      <c r="M804" s="384"/>
      <c r="N804" s="384"/>
      <c r="O804" s="384"/>
      <c r="P804" s="384"/>
      <c r="Q804" s="384"/>
      <c r="R804" s="384"/>
      <c r="S804" s="660"/>
      <c r="T804" s="396"/>
      <c r="U804" s="384"/>
      <c r="V804" s="384"/>
      <c r="W804" s="384"/>
      <c r="X804" s="384"/>
      <c r="Y804" s="442"/>
      <c r="Z804" s="442"/>
      <c r="AA804" s="441"/>
      <c r="AB804" s="441"/>
      <c r="AC804" s="441"/>
      <c r="AD804" s="441"/>
      <c r="AE804" s="441"/>
      <c r="AF804" s="441"/>
      <c r="AG804" s="441"/>
      <c r="AH804" s="441"/>
      <c r="AI804" s="441"/>
      <c r="AJ804" s="441"/>
      <c r="AK804" s="395"/>
      <c r="AL804" s="395"/>
      <c r="AM804" s="395"/>
      <c r="AN804" s="395"/>
      <c r="AO804" s="395"/>
      <c r="AP804" s="410"/>
      <c r="AQ804" s="410"/>
    </row>
    <row r="805" spans="2:43" ht="15" customHeight="1">
      <c r="B805" s="394"/>
      <c r="C805" s="395"/>
      <c r="D805" s="417"/>
      <c r="E805" s="662"/>
      <c r="F805" s="417"/>
      <c r="G805" s="384"/>
      <c r="H805" s="768"/>
      <c r="I805" s="384"/>
      <c r="J805" s="384"/>
      <c r="K805" s="657"/>
      <c r="L805" s="658"/>
      <c r="M805" s="384"/>
      <c r="N805" s="384"/>
      <c r="O805" s="384"/>
      <c r="P805" s="384"/>
      <c r="Q805" s="384"/>
      <c r="R805" s="384"/>
      <c r="S805" s="660"/>
      <c r="T805" s="396"/>
      <c r="U805" s="384"/>
      <c r="V805" s="384"/>
      <c r="W805" s="384"/>
      <c r="X805" s="384"/>
      <c r="Y805" s="442"/>
      <c r="Z805" s="442"/>
      <c r="AA805" s="441"/>
      <c r="AB805" s="441"/>
      <c r="AC805" s="441"/>
      <c r="AD805" s="441"/>
      <c r="AE805" s="441"/>
      <c r="AF805" s="441"/>
      <c r="AG805" s="441"/>
      <c r="AH805" s="441"/>
      <c r="AI805" s="441"/>
      <c r="AJ805" s="441"/>
      <c r="AK805" s="395"/>
      <c r="AL805" s="395"/>
      <c r="AM805" s="395"/>
      <c r="AN805" s="395"/>
      <c r="AO805" s="395"/>
      <c r="AP805" s="410"/>
      <c r="AQ805" s="410"/>
    </row>
    <row r="806" spans="2:43" ht="15" customHeight="1">
      <c r="B806" s="394"/>
      <c r="C806" s="395"/>
      <c r="D806" s="417"/>
      <c r="E806" s="662"/>
      <c r="F806" s="417"/>
      <c r="G806" s="384"/>
      <c r="H806" s="768"/>
      <c r="I806" s="384"/>
      <c r="J806" s="384"/>
      <c r="K806" s="657"/>
      <c r="L806" s="658"/>
      <c r="M806" s="384"/>
      <c r="N806" s="384"/>
      <c r="O806" s="384"/>
      <c r="P806" s="384"/>
      <c r="Q806" s="384"/>
      <c r="R806" s="384"/>
      <c r="S806" s="660"/>
      <c r="T806" s="396"/>
      <c r="U806" s="384"/>
      <c r="V806" s="384"/>
      <c r="W806" s="384"/>
      <c r="X806" s="384"/>
      <c r="Y806" s="442"/>
      <c r="Z806" s="442"/>
      <c r="AA806" s="441"/>
      <c r="AB806" s="441"/>
      <c r="AC806" s="441"/>
      <c r="AD806" s="441"/>
      <c r="AE806" s="441"/>
      <c r="AF806" s="441"/>
      <c r="AG806" s="441"/>
      <c r="AH806" s="441"/>
      <c r="AI806" s="441"/>
      <c r="AJ806" s="441"/>
      <c r="AK806" s="395"/>
      <c r="AL806" s="395"/>
      <c r="AM806" s="395"/>
      <c r="AN806" s="395"/>
      <c r="AO806" s="395"/>
      <c r="AP806" s="410"/>
      <c r="AQ806" s="410"/>
    </row>
    <row r="807" spans="2:43" ht="15" customHeight="1">
      <c r="B807" s="394"/>
      <c r="C807" s="395"/>
      <c r="D807" s="417"/>
      <c r="E807" s="662"/>
      <c r="F807" s="417"/>
      <c r="G807" s="384"/>
      <c r="H807" s="768"/>
      <c r="I807" s="384"/>
      <c r="J807" s="384"/>
      <c r="K807" s="657"/>
      <c r="L807" s="658"/>
      <c r="M807" s="384"/>
      <c r="N807" s="384"/>
      <c r="O807" s="384"/>
      <c r="P807" s="384"/>
      <c r="Q807" s="384"/>
      <c r="R807" s="384"/>
      <c r="S807" s="660"/>
      <c r="T807" s="396"/>
      <c r="U807" s="384"/>
      <c r="V807" s="384"/>
      <c r="W807" s="384"/>
      <c r="X807" s="384"/>
      <c r="Y807" s="442"/>
      <c r="Z807" s="442"/>
      <c r="AA807" s="441"/>
      <c r="AB807" s="441"/>
      <c r="AC807" s="441"/>
      <c r="AD807" s="441"/>
      <c r="AE807" s="441"/>
      <c r="AF807" s="441"/>
      <c r="AG807" s="441"/>
      <c r="AH807" s="441"/>
      <c r="AI807" s="441"/>
      <c r="AJ807" s="441"/>
      <c r="AK807" s="395"/>
      <c r="AL807" s="395"/>
      <c r="AM807" s="395"/>
      <c r="AN807" s="395"/>
      <c r="AO807" s="395"/>
      <c r="AP807" s="410"/>
      <c r="AQ807" s="410"/>
    </row>
    <row r="808" spans="2:43" ht="15" customHeight="1">
      <c r="B808" s="394"/>
      <c r="C808" s="395"/>
      <c r="D808" s="417"/>
      <c r="E808" s="662"/>
      <c r="F808" s="417"/>
      <c r="G808" s="384"/>
      <c r="H808" s="768"/>
      <c r="I808" s="384"/>
      <c r="J808" s="384"/>
      <c r="K808" s="657"/>
      <c r="L808" s="658"/>
      <c r="M808" s="384"/>
      <c r="N808" s="384"/>
      <c r="O808" s="384"/>
      <c r="P808" s="384"/>
      <c r="Q808" s="384"/>
      <c r="R808" s="384"/>
      <c r="S808" s="660"/>
      <c r="T808" s="396"/>
      <c r="U808" s="384"/>
      <c r="V808" s="384"/>
      <c r="W808" s="384"/>
      <c r="X808" s="384"/>
      <c r="Y808" s="442"/>
      <c r="Z808" s="442"/>
      <c r="AA808" s="441"/>
      <c r="AB808" s="441"/>
      <c r="AC808" s="441"/>
      <c r="AD808" s="441"/>
      <c r="AE808" s="441"/>
      <c r="AF808" s="441"/>
      <c r="AG808" s="441"/>
      <c r="AH808" s="441"/>
      <c r="AI808" s="441"/>
      <c r="AJ808" s="441"/>
      <c r="AK808" s="395"/>
      <c r="AL808" s="395"/>
      <c r="AM808" s="395"/>
      <c r="AN808" s="395"/>
      <c r="AO808" s="395"/>
      <c r="AP808" s="410"/>
      <c r="AQ808" s="410"/>
    </row>
    <row r="809" spans="2:43" ht="15" customHeight="1">
      <c r="B809" s="394"/>
      <c r="C809" s="395"/>
      <c r="D809" s="417"/>
      <c r="E809" s="662"/>
      <c r="F809" s="417"/>
      <c r="G809" s="384"/>
      <c r="H809" s="768"/>
      <c r="I809" s="384"/>
      <c r="J809" s="384"/>
      <c r="K809" s="657"/>
      <c r="L809" s="658"/>
      <c r="M809" s="384"/>
      <c r="N809" s="384"/>
      <c r="O809" s="384"/>
      <c r="P809" s="384"/>
      <c r="Q809" s="384"/>
      <c r="R809" s="384"/>
      <c r="S809" s="660"/>
      <c r="T809" s="396"/>
      <c r="U809" s="384"/>
      <c r="V809" s="384"/>
      <c r="W809" s="384"/>
      <c r="X809" s="384"/>
      <c r="Y809" s="442"/>
      <c r="Z809" s="442"/>
      <c r="AA809" s="441"/>
      <c r="AB809" s="441"/>
      <c r="AC809" s="441"/>
      <c r="AD809" s="441"/>
      <c r="AE809" s="441"/>
      <c r="AF809" s="441"/>
      <c r="AG809" s="441"/>
      <c r="AH809" s="441"/>
      <c r="AI809" s="441"/>
      <c r="AJ809" s="441"/>
      <c r="AK809" s="395"/>
      <c r="AL809" s="395"/>
      <c r="AM809" s="395"/>
      <c r="AN809" s="395"/>
      <c r="AO809" s="395"/>
      <c r="AP809" s="410"/>
      <c r="AQ809" s="410"/>
    </row>
    <row r="810" spans="2:43" ht="15" customHeight="1">
      <c r="B810" s="394"/>
      <c r="C810" s="395"/>
      <c r="D810" s="417"/>
      <c r="E810" s="662"/>
      <c r="F810" s="417"/>
      <c r="G810" s="384"/>
      <c r="H810" s="768"/>
      <c r="I810" s="384"/>
      <c r="J810" s="384"/>
      <c r="K810" s="657"/>
      <c r="L810" s="658"/>
      <c r="M810" s="384"/>
      <c r="N810" s="384"/>
      <c r="O810" s="384"/>
      <c r="P810" s="384"/>
      <c r="Q810" s="384"/>
      <c r="R810" s="384"/>
      <c r="S810" s="660"/>
      <c r="T810" s="396"/>
      <c r="U810" s="384"/>
      <c r="V810" s="384"/>
      <c r="W810" s="384"/>
      <c r="X810" s="384"/>
      <c r="Y810" s="442"/>
      <c r="Z810" s="442"/>
      <c r="AA810" s="441"/>
      <c r="AB810" s="441"/>
      <c r="AC810" s="441"/>
      <c r="AD810" s="441"/>
      <c r="AE810" s="441"/>
      <c r="AF810" s="441"/>
      <c r="AG810" s="441"/>
      <c r="AH810" s="441"/>
      <c r="AI810" s="441"/>
      <c r="AJ810" s="441"/>
      <c r="AK810" s="395"/>
      <c r="AL810" s="395"/>
      <c r="AM810" s="395"/>
      <c r="AN810" s="395"/>
      <c r="AO810" s="395"/>
      <c r="AP810" s="410"/>
      <c r="AQ810" s="410"/>
    </row>
    <row r="811" spans="2:43" ht="15" customHeight="1">
      <c r="B811" s="394"/>
      <c r="C811" s="395"/>
      <c r="D811" s="417"/>
      <c r="E811" s="662"/>
      <c r="F811" s="417"/>
      <c r="G811" s="384"/>
      <c r="H811" s="768"/>
      <c r="I811" s="384"/>
      <c r="J811" s="384"/>
      <c r="K811" s="657"/>
      <c r="L811" s="658"/>
      <c r="M811" s="384"/>
      <c r="N811" s="384"/>
      <c r="O811" s="384"/>
      <c r="P811" s="384"/>
      <c r="Q811" s="384"/>
      <c r="R811" s="384"/>
      <c r="S811" s="660"/>
      <c r="T811" s="396"/>
      <c r="U811" s="384"/>
      <c r="V811" s="384"/>
      <c r="W811" s="384"/>
      <c r="X811" s="384"/>
      <c r="Y811" s="442"/>
      <c r="Z811" s="442"/>
      <c r="AA811" s="441"/>
      <c r="AB811" s="441"/>
      <c r="AC811" s="441"/>
      <c r="AD811" s="441"/>
      <c r="AE811" s="441"/>
      <c r="AF811" s="441"/>
      <c r="AG811" s="441"/>
      <c r="AH811" s="441"/>
      <c r="AI811" s="441"/>
      <c r="AJ811" s="441"/>
      <c r="AK811" s="395"/>
      <c r="AL811" s="395"/>
      <c r="AM811" s="395"/>
      <c r="AN811" s="395"/>
      <c r="AO811" s="395"/>
      <c r="AP811" s="410"/>
      <c r="AQ811" s="410"/>
    </row>
    <row r="812" spans="2:43" ht="15" customHeight="1">
      <c r="B812" s="394"/>
      <c r="C812" s="395"/>
      <c r="D812" s="417"/>
      <c r="E812" s="662"/>
      <c r="F812" s="417"/>
      <c r="G812" s="384"/>
      <c r="H812" s="768"/>
      <c r="I812" s="384"/>
      <c r="J812" s="384"/>
      <c r="K812" s="657"/>
      <c r="L812" s="658"/>
      <c r="M812" s="384"/>
      <c r="N812" s="384"/>
      <c r="O812" s="384"/>
      <c r="P812" s="384"/>
      <c r="Q812" s="384"/>
      <c r="R812" s="384"/>
      <c r="S812" s="660"/>
      <c r="T812" s="396"/>
      <c r="U812" s="384"/>
      <c r="V812" s="384"/>
      <c r="W812" s="384"/>
      <c r="X812" s="384"/>
      <c r="Y812" s="442"/>
      <c r="Z812" s="442"/>
      <c r="AA812" s="441"/>
      <c r="AB812" s="441"/>
      <c r="AC812" s="441"/>
      <c r="AD812" s="441"/>
      <c r="AE812" s="441"/>
      <c r="AF812" s="441"/>
      <c r="AG812" s="441"/>
      <c r="AH812" s="441"/>
      <c r="AI812" s="441"/>
      <c r="AJ812" s="441"/>
      <c r="AK812" s="395"/>
      <c r="AL812" s="395"/>
      <c r="AM812" s="395"/>
      <c r="AN812" s="395"/>
      <c r="AO812" s="395"/>
      <c r="AP812" s="410"/>
      <c r="AQ812" s="410"/>
    </row>
    <row r="813" spans="2:43" ht="15" customHeight="1">
      <c r="B813" s="394"/>
      <c r="C813" s="395"/>
      <c r="D813" s="417"/>
      <c r="E813" s="662"/>
      <c r="F813" s="417"/>
      <c r="G813" s="384"/>
      <c r="H813" s="768"/>
      <c r="I813" s="384"/>
      <c r="J813" s="384"/>
      <c r="K813" s="657"/>
      <c r="L813" s="658"/>
      <c r="M813" s="384"/>
      <c r="N813" s="384"/>
      <c r="O813" s="384"/>
      <c r="P813" s="384"/>
      <c r="Q813" s="384"/>
      <c r="R813" s="384"/>
      <c r="S813" s="660"/>
      <c r="T813" s="396"/>
      <c r="U813" s="384"/>
      <c r="V813" s="384"/>
      <c r="W813" s="384"/>
      <c r="X813" s="384"/>
      <c r="Y813" s="442"/>
      <c r="Z813" s="442"/>
      <c r="AA813" s="441"/>
      <c r="AB813" s="441"/>
      <c r="AC813" s="441"/>
      <c r="AD813" s="441"/>
      <c r="AE813" s="441"/>
      <c r="AF813" s="441"/>
      <c r="AG813" s="441"/>
      <c r="AH813" s="441"/>
      <c r="AI813" s="441"/>
      <c r="AJ813" s="441"/>
      <c r="AK813" s="395"/>
      <c r="AL813" s="395"/>
      <c r="AM813" s="395"/>
      <c r="AN813" s="395"/>
      <c r="AO813" s="395"/>
      <c r="AP813" s="410"/>
      <c r="AQ813" s="410"/>
    </row>
    <row r="814" spans="2:43" ht="15" customHeight="1">
      <c r="B814" s="394"/>
      <c r="C814" s="395"/>
      <c r="D814" s="417"/>
      <c r="E814" s="662"/>
      <c r="F814" s="417"/>
      <c r="G814" s="384"/>
      <c r="H814" s="768"/>
      <c r="I814" s="384"/>
      <c r="J814" s="384"/>
      <c r="K814" s="657"/>
      <c r="L814" s="658"/>
      <c r="M814" s="384"/>
      <c r="N814" s="384"/>
      <c r="O814" s="384"/>
      <c r="P814" s="384"/>
      <c r="Q814" s="384"/>
      <c r="R814" s="384"/>
      <c r="S814" s="660"/>
      <c r="T814" s="396"/>
      <c r="U814" s="384"/>
      <c r="V814" s="384"/>
      <c r="W814" s="384"/>
      <c r="X814" s="384"/>
      <c r="Y814" s="442"/>
      <c r="Z814" s="442"/>
      <c r="AA814" s="441"/>
      <c r="AB814" s="441"/>
      <c r="AC814" s="441"/>
      <c r="AD814" s="441"/>
      <c r="AE814" s="441"/>
      <c r="AF814" s="441"/>
      <c r="AG814" s="441"/>
      <c r="AH814" s="441"/>
      <c r="AI814" s="441"/>
      <c r="AJ814" s="441"/>
      <c r="AK814" s="395"/>
      <c r="AL814" s="395"/>
      <c r="AM814" s="395"/>
      <c r="AN814" s="395"/>
      <c r="AO814" s="395"/>
      <c r="AP814" s="410"/>
      <c r="AQ814" s="410"/>
    </row>
    <row r="815" spans="2:43" ht="15" customHeight="1">
      <c r="B815" s="394"/>
      <c r="C815" s="395"/>
      <c r="D815" s="417"/>
      <c r="E815" s="662"/>
      <c r="F815" s="417"/>
      <c r="G815" s="384"/>
      <c r="H815" s="768"/>
      <c r="I815" s="384"/>
      <c r="J815" s="384"/>
      <c r="K815" s="657"/>
      <c r="L815" s="658"/>
      <c r="M815" s="384"/>
      <c r="N815" s="384"/>
      <c r="O815" s="384"/>
      <c r="P815" s="384"/>
      <c r="Q815" s="384"/>
      <c r="R815" s="384"/>
      <c r="S815" s="660"/>
      <c r="T815" s="396"/>
      <c r="U815" s="384"/>
      <c r="V815" s="384"/>
      <c r="W815" s="384"/>
      <c r="X815" s="384"/>
      <c r="Y815" s="442"/>
      <c r="Z815" s="442"/>
      <c r="AA815" s="441"/>
      <c r="AB815" s="441"/>
      <c r="AC815" s="441"/>
      <c r="AD815" s="441"/>
      <c r="AE815" s="441"/>
      <c r="AF815" s="441"/>
      <c r="AG815" s="441"/>
      <c r="AH815" s="441"/>
      <c r="AI815" s="441"/>
      <c r="AJ815" s="441"/>
      <c r="AK815" s="395"/>
      <c r="AL815" s="395"/>
      <c r="AM815" s="395"/>
      <c r="AN815" s="395"/>
      <c r="AO815" s="395"/>
      <c r="AP815" s="410"/>
      <c r="AQ815" s="410"/>
    </row>
    <row r="816" spans="2:43" ht="15" customHeight="1">
      <c r="B816" s="394"/>
      <c r="C816" s="395"/>
      <c r="D816" s="417"/>
      <c r="E816" s="662"/>
      <c r="F816" s="417"/>
      <c r="G816" s="384"/>
      <c r="H816" s="768"/>
      <c r="I816" s="384"/>
      <c r="J816" s="384"/>
      <c r="K816" s="657"/>
      <c r="L816" s="658"/>
      <c r="M816" s="384"/>
      <c r="N816" s="384"/>
      <c r="O816" s="384"/>
      <c r="P816" s="384"/>
      <c r="Q816" s="384"/>
      <c r="R816" s="384"/>
      <c r="S816" s="660"/>
      <c r="T816" s="396"/>
      <c r="U816" s="384"/>
      <c r="V816" s="384"/>
      <c r="W816" s="384"/>
      <c r="X816" s="384"/>
      <c r="Y816" s="442"/>
      <c r="Z816" s="442"/>
      <c r="AA816" s="441"/>
      <c r="AB816" s="441"/>
      <c r="AC816" s="441"/>
      <c r="AD816" s="441"/>
      <c r="AE816" s="441"/>
      <c r="AF816" s="441"/>
      <c r="AG816" s="441"/>
      <c r="AH816" s="441"/>
      <c r="AI816" s="441"/>
      <c r="AJ816" s="441"/>
      <c r="AK816" s="395"/>
      <c r="AL816" s="395"/>
      <c r="AM816" s="395"/>
      <c r="AN816" s="395"/>
      <c r="AO816" s="395"/>
      <c r="AP816" s="410"/>
      <c r="AQ816" s="410"/>
    </row>
    <row r="817" spans="2:43" ht="15" customHeight="1">
      <c r="B817" s="394"/>
      <c r="C817" s="395"/>
      <c r="D817" s="417"/>
      <c r="E817" s="662"/>
      <c r="F817" s="417"/>
      <c r="G817" s="384"/>
      <c r="H817" s="768"/>
      <c r="I817" s="384"/>
      <c r="J817" s="384"/>
      <c r="K817" s="657"/>
      <c r="L817" s="658"/>
      <c r="M817" s="384"/>
      <c r="N817" s="384"/>
      <c r="O817" s="384"/>
      <c r="P817" s="384"/>
      <c r="Q817" s="384"/>
      <c r="R817" s="384"/>
      <c r="S817" s="660"/>
      <c r="T817" s="396"/>
      <c r="U817" s="384"/>
      <c r="V817" s="384"/>
      <c r="W817" s="384"/>
      <c r="X817" s="384"/>
      <c r="Y817" s="442"/>
      <c r="Z817" s="442"/>
      <c r="AA817" s="441"/>
      <c r="AB817" s="441"/>
      <c r="AC817" s="441"/>
      <c r="AD817" s="441"/>
      <c r="AE817" s="441"/>
      <c r="AF817" s="441"/>
      <c r="AG817" s="441"/>
      <c r="AH817" s="441"/>
      <c r="AI817" s="441"/>
      <c r="AJ817" s="441"/>
      <c r="AK817" s="395"/>
      <c r="AL817" s="395"/>
      <c r="AM817" s="395"/>
      <c r="AN817" s="395"/>
      <c r="AO817" s="395"/>
      <c r="AP817" s="410"/>
      <c r="AQ817" s="410"/>
    </row>
    <row r="818" spans="2:43" ht="15" customHeight="1">
      <c r="B818" s="394"/>
      <c r="C818" s="395"/>
      <c r="D818" s="417"/>
      <c r="E818" s="662"/>
      <c r="F818" s="417"/>
      <c r="G818" s="384"/>
      <c r="H818" s="768"/>
      <c r="I818" s="384"/>
      <c r="J818" s="384"/>
      <c r="K818" s="657"/>
      <c r="L818" s="658"/>
      <c r="M818" s="384"/>
      <c r="N818" s="384"/>
      <c r="O818" s="384"/>
      <c r="P818" s="384"/>
      <c r="Q818" s="384"/>
      <c r="R818" s="384"/>
      <c r="S818" s="660"/>
      <c r="T818" s="396"/>
      <c r="U818" s="384"/>
      <c r="V818" s="384"/>
      <c r="W818" s="384"/>
      <c r="X818" s="384"/>
      <c r="Y818" s="442"/>
      <c r="Z818" s="442"/>
      <c r="AA818" s="441"/>
      <c r="AB818" s="441"/>
      <c r="AC818" s="441"/>
      <c r="AD818" s="441"/>
      <c r="AE818" s="441"/>
      <c r="AF818" s="441"/>
      <c r="AG818" s="441"/>
      <c r="AH818" s="441"/>
      <c r="AI818" s="441"/>
      <c r="AJ818" s="441"/>
      <c r="AK818" s="395"/>
      <c r="AL818" s="395"/>
      <c r="AM818" s="395"/>
      <c r="AN818" s="395"/>
      <c r="AO818" s="395"/>
      <c r="AP818" s="410"/>
      <c r="AQ818" s="410"/>
    </row>
    <row r="819" spans="2:43" ht="15" customHeight="1">
      <c r="B819" s="394"/>
      <c r="C819" s="395"/>
      <c r="D819" s="417"/>
      <c r="E819" s="662"/>
      <c r="F819" s="417"/>
      <c r="G819" s="384"/>
      <c r="H819" s="768"/>
      <c r="I819" s="384"/>
      <c r="J819" s="384"/>
      <c r="K819" s="657"/>
      <c r="L819" s="658"/>
      <c r="M819" s="384"/>
      <c r="N819" s="384"/>
      <c r="O819" s="384"/>
      <c r="P819" s="384"/>
      <c r="Q819" s="384"/>
      <c r="R819" s="384"/>
      <c r="S819" s="660"/>
      <c r="T819" s="396"/>
      <c r="U819" s="384"/>
      <c r="V819" s="384"/>
      <c r="W819" s="384"/>
      <c r="X819" s="384"/>
      <c r="Y819" s="442"/>
      <c r="Z819" s="442"/>
      <c r="AA819" s="441"/>
      <c r="AB819" s="441"/>
      <c r="AC819" s="441"/>
      <c r="AD819" s="441"/>
      <c r="AE819" s="441"/>
      <c r="AF819" s="441"/>
      <c r="AG819" s="441"/>
      <c r="AH819" s="441"/>
      <c r="AI819" s="441"/>
      <c r="AJ819" s="441"/>
      <c r="AK819" s="395"/>
      <c r="AL819" s="395"/>
      <c r="AM819" s="395"/>
      <c r="AN819" s="395"/>
      <c r="AO819" s="395"/>
      <c r="AP819" s="410"/>
      <c r="AQ819" s="410"/>
    </row>
    <row r="820" spans="2:43" ht="15" customHeight="1">
      <c r="B820" s="394"/>
      <c r="C820" s="395"/>
      <c r="D820" s="417"/>
      <c r="E820" s="662"/>
      <c r="F820" s="417"/>
      <c r="G820" s="384"/>
      <c r="H820" s="768"/>
      <c r="I820" s="384"/>
      <c r="J820" s="384"/>
      <c r="K820" s="657"/>
      <c r="L820" s="658"/>
      <c r="M820" s="384"/>
      <c r="N820" s="384"/>
      <c r="O820" s="384"/>
      <c r="P820" s="384"/>
      <c r="Q820" s="384"/>
      <c r="R820" s="384"/>
      <c r="S820" s="660"/>
      <c r="T820" s="396"/>
      <c r="U820" s="384"/>
      <c r="V820" s="384"/>
      <c r="W820" s="384"/>
      <c r="X820" s="384"/>
      <c r="Y820" s="442"/>
      <c r="Z820" s="442"/>
      <c r="AA820" s="441"/>
      <c r="AB820" s="441"/>
      <c r="AC820" s="441"/>
      <c r="AD820" s="441"/>
      <c r="AE820" s="441"/>
      <c r="AF820" s="441"/>
      <c r="AG820" s="441"/>
      <c r="AH820" s="441"/>
      <c r="AI820" s="441"/>
      <c r="AJ820" s="441"/>
      <c r="AK820" s="395"/>
      <c r="AL820" s="395"/>
      <c r="AM820" s="395"/>
      <c r="AN820" s="395"/>
      <c r="AO820" s="395"/>
      <c r="AP820" s="410"/>
      <c r="AQ820" s="410"/>
    </row>
    <row r="821" spans="2:43" ht="15" customHeight="1">
      <c r="B821" s="394"/>
      <c r="C821" s="395"/>
      <c r="D821" s="417"/>
      <c r="E821" s="662"/>
      <c r="F821" s="417"/>
      <c r="G821" s="384"/>
      <c r="H821" s="768"/>
      <c r="I821" s="384"/>
      <c r="J821" s="384"/>
      <c r="K821" s="657"/>
      <c r="L821" s="658"/>
      <c r="M821" s="384"/>
      <c r="N821" s="384"/>
      <c r="O821" s="384"/>
      <c r="P821" s="384"/>
      <c r="Q821" s="384"/>
      <c r="R821" s="384"/>
      <c r="S821" s="660"/>
      <c r="T821" s="396"/>
      <c r="U821" s="384"/>
      <c r="V821" s="384"/>
      <c r="W821" s="384"/>
      <c r="X821" s="384"/>
      <c r="Y821" s="442"/>
      <c r="Z821" s="442"/>
      <c r="AA821" s="441"/>
      <c r="AB821" s="441"/>
      <c r="AC821" s="441"/>
      <c r="AD821" s="441"/>
      <c r="AE821" s="441"/>
      <c r="AF821" s="441"/>
      <c r="AG821" s="441"/>
      <c r="AH821" s="441"/>
      <c r="AI821" s="441"/>
      <c r="AJ821" s="441"/>
      <c r="AK821" s="395"/>
      <c r="AL821" s="395"/>
      <c r="AM821" s="395"/>
      <c r="AN821" s="395"/>
      <c r="AO821" s="395"/>
      <c r="AP821" s="410"/>
      <c r="AQ821" s="410"/>
    </row>
    <row r="822" spans="2:43" ht="15" customHeight="1">
      <c r="B822" s="394"/>
      <c r="C822" s="395"/>
      <c r="D822" s="417"/>
      <c r="E822" s="662"/>
      <c r="F822" s="417"/>
      <c r="G822" s="384"/>
      <c r="H822" s="768"/>
      <c r="I822" s="384"/>
      <c r="J822" s="384"/>
      <c r="K822" s="657"/>
      <c r="L822" s="658"/>
      <c r="M822" s="384"/>
      <c r="N822" s="384"/>
      <c r="O822" s="384"/>
      <c r="P822" s="384"/>
      <c r="Q822" s="384"/>
      <c r="R822" s="384"/>
      <c r="S822" s="660"/>
      <c r="T822" s="396"/>
      <c r="U822" s="384"/>
      <c r="V822" s="384"/>
      <c r="W822" s="384"/>
      <c r="X822" s="384"/>
      <c r="Y822" s="442"/>
      <c r="Z822" s="442"/>
      <c r="AA822" s="441"/>
      <c r="AB822" s="441"/>
      <c r="AC822" s="441"/>
      <c r="AD822" s="441"/>
      <c r="AE822" s="441"/>
      <c r="AF822" s="441"/>
      <c r="AG822" s="441"/>
      <c r="AH822" s="441"/>
      <c r="AI822" s="441"/>
      <c r="AJ822" s="441"/>
      <c r="AK822" s="395"/>
      <c r="AL822" s="395"/>
      <c r="AM822" s="395"/>
      <c r="AN822" s="395"/>
      <c r="AO822" s="395"/>
      <c r="AP822" s="410"/>
      <c r="AQ822" s="410"/>
    </row>
    <row r="823" spans="2:43" ht="15" customHeight="1">
      <c r="B823" s="394"/>
      <c r="C823" s="395"/>
      <c r="D823" s="417"/>
      <c r="E823" s="662"/>
      <c r="F823" s="417"/>
      <c r="G823" s="384"/>
      <c r="H823" s="768"/>
      <c r="I823" s="384"/>
      <c r="J823" s="384"/>
      <c r="K823" s="657"/>
      <c r="L823" s="658"/>
      <c r="M823" s="384"/>
      <c r="N823" s="384"/>
      <c r="O823" s="384"/>
      <c r="P823" s="384"/>
      <c r="Q823" s="384"/>
      <c r="R823" s="384"/>
      <c r="S823" s="660"/>
      <c r="T823" s="396"/>
      <c r="U823" s="384"/>
      <c r="V823" s="384"/>
      <c r="W823" s="384"/>
      <c r="X823" s="384"/>
      <c r="Y823" s="442"/>
      <c r="Z823" s="442"/>
      <c r="AA823" s="441"/>
      <c r="AB823" s="441"/>
      <c r="AC823" s="441"/>
      <c r="AD823" s="441"/>
      <c r="AE823" s="441"/>
      <c r="AF823" s="441"/>
      <c r="AG823" s="441"/>
      <c r="AH823" s="441"/>
      <c r="AI823" s="441"/>
      <c r="AJ823" s="441"/>
      <c r="AK823" s="395"/>
      <c r="AL823" s="395"/>
      <c r="AM823" s="395"/>
      <c r="AN823" s="395"/>
      <c r="AO823" s="395"/>
      <c r="AP823" s="410"/>
      <c r="AQ823" s="410"/>
    </row>
    <row r="824" spans="2:43" ht="15" customHeight="1">
      <c r="B824" s="394"/>
      <c r="C824" s="395"/>
      <c r="D824" s="417"/>
      <c r="E824" s="662"/>
      <c r="F824" s="417"/>
      <c r="G824" s="384"/>
      <c r="H824" s="768"/>
      <c r="I824" s="384"/>
      <c r="J824" s="384"/>
      <c r="K824" s="657"/>
      <c r="L824" s="658"/>
      <c r="M824" s="384"/>
      <c r="N824" s="384"/>
      <c r="O824" s="384"/>
      <c r="P824" s="384"/>
      <c r="Q824" s="384"/>
      <c r="R824" s="384"/>
      <c r="S824" s="660"/>
      <c r="T824" s="396"/>
      <c r="U824" s="384"/>
      <c r="V824" s="384"/>
      <c r="W824" s="384"/>
      <c r="X824" s="384"/>
      <c r="Y824" s="442"/>
      <c r="Z824" s="442"/>
      <c r="AA824" s="441"/>
      <c r="AB824" s="441"/>
      <c r="AC824" s="441"/>
      <c r="AD824" s="441"/>
      <c r="AE824" s="441"/>
      <c r="AF824" s="441"/>
      <c r="AG824" s="441"/>
      <c r="AH824" s="441"/>
      <c r="AI824" s="441"/>
      <c r="AJ824" s="441"/>
      <c r="AK824" s="395"/>
      <c r="AL824" s="395"/>
      <c r="AM824" s="395"/>
      <c r="AN824" s="395"/>
      <c r="AO824" s="395"/>
      <c r="AP824" s="410"/>
      <c r="AQ824" s="410"/>
    </row>
    <row r="825" spans="2:43" ht="15" customHeight="1">
      <c r="B825" s="394"/>
      <c r="C825" s="395"/>
      <c r="D825" s="417"/>
      <c r="E825" s="662"/>
      <c r="F825" s="417"/>
      <c r="G825" s="384"/>
      <c r="H825" s="768"/>
      <c r="I825" s="384"/>
      <c r="J825" s="384"/>
      <c r="K825" s="657"/>
      <c r="L825" s="658"/>
      <c r="M825" s="384"/>
      <c r="N825" s="384"/>
      <c r="O825" s="384"/>
      <c r="P825" s="384"/>
      <c r="Q825" s="384"/>
      <c r="R825" s="384"/>
      <c r="S825" s="660"/>
      <c r="T825" s="396"/>
      <c r="U825" s="384"/>
      <c r="V825" s="384"/>
      <c r="W825" s="384"/>
      <c r="X825" s="384"/>
      <c r="Y825" s="442"/>
      <c r="Z825" s="442"/>
      <c r="AA825" s="441"/>
      <c r="AB825" s="441"/>
      <c r="AC825" s="441"/>
      <c r="AD825" s="441"/>
      <c r="AE825" s="441"/>
      <c r="AF825" s="441"/>
      <c r="AG825" s="441"/>
      <c r="AH825" s="441"/>
      <c r="AI825" s="441"/>
      <c r="AJ825" s="441"/>
      <c r="AK825" s="395"/>
      <c r="AL825" s="395"/>
      <c r="AM825" s="395"/>
      <c r="AN825" s="395"/>
      <c r="AO825" s="395"/>
      <c r="AP825" s="410"/>
      <c r="AQ825" s="410"/>
    </row>
    <row r="826" spans="2:43" ht="15" customHeight="1">
      <c r="B826" s="394"/>
      <c r="C826" s="395"/>
      <c r="D826" s="417"/>
      <c r="E826" s="662"/>
      <c r="F826" s="417"/>
      <c r="G826" s="384"/>
      <c r="H826" s="768"/>
      <c r="I826" s="384"/>
      <c r="J826" s="384"/>
      <c r="K826" s="657"/>
      <c r="L826" s="658"/>
      <c r="M826" s="384"/>
      <c r="N826" s="384"/>
      <c r="O826" s="384"/>
      <c r="P826" s="384"/>
      <c r="Q826" s="384"/>
      <c r="R826" s="384"/>
      <c r="S826" s="660"/>
      <c r="T826" s="396"/>
      <c r="U826" s="384"/>
      <c r="V826" s="384"/>
      <c r="W826" s="384"/>
      <c r="X826" s="384"/>
      <c r="Y826" s="442"/>
      <c r="Z826" s="442"/>
      <c r="AA826" s="441"/>
      <c r="AB826" s="441"/>
      <c r="AC826" s="441"/>
      <c r="AD826" s="441"/>
      <c r="AE826" s="441"/>
      <c r="AF826" s="441"/>
      <c r="AG826" s="441"/>
      <c r="AH826" s="441"/>
      <c r="AI826" s="441"/>
      <c r="AJ826" s="441"/>
      <c r="AK826" s="395"/>
      <c r="AL826" s="395"/>
      <c r="AM826" s="395"/>
      <c r="AN826" s="395"/>
      <c r="AO826" s="395"/>
      <c r="AP826" s="410"/>
      <c r="AQ826" s="410"/>
    </row>
    <row r="827" spans="2:43" ht="15" customHeight="1">
      <c r="B827" s="394"/>
      <c r="C827" s="395"/>
      <c r="D827" s="417"/>
      <c r="E827" s="662"/>
      <c r="F827" s="417"/>
      <c r="G827" s="384"/>
      <c r="H827" s="768"/>
      <c r="I827" s="384"/>
      <c r="J827" s="384"/>
      <c r="K827" s="657"/>
      <c r="L827" s="658"/>
      <c r="M827" s="384"/>
      <c r="N827" s="384"/>
      <c r="O827" s="384"/>
      <c r="P827" s="384"/>
      <c r="Q827" s="384"/>
      <c r="R827" s="384"/>
      <c r="S827" s="660"/>
      <c r="T827" s="396"/>
      <c r="U827" s="384"/>
      <c r="V827" s="384"/>
      <c r="W827" s="384"/>
      <c r="X827" s="384"/>
      <c r="Y827" s="442"/>
      <c r="Z827" s="442"/>
      <c r="AA827" s="441"/>
      <c r="AB827" s="441"/>
      <c r="AC827" s="441"/>
      <c r="AD827" s="441"/>
      <c r="AE827" s="441"/>
      <c r="AF827" s="441"/>
      <c r="AG827" s="441"/>
      <c r="AH827" s="441"/>
      <c r="AI827" s="441"/>
      <c r="AJ827" s="441"/>
      <c r="AK827" s="395"/>
      <c r="AL827" s="395"/>
      <c r="AM827" s="395"/>
      <c r="AN827" s="395"/>
      <c r="AO827" s="395"/>
      <c r="AP827" s="410"/>
      <c r="AQ827" s="410"/>
    </row>
    <row r="828" spans="2:43" ht="15" customHeight="1">
      <c r="B828" s="394"/>
      <c r="C828" s="395"/>
      <c r="D828" s="417"/>
      <c r="E828" s="662"/>
      <c r="F828" s="417"/>
      <c r="G828" s="384"/>
      <c r="H828" s="768"/>
      <c r="I828" s="384"/>
      <c r="J828" s="384"/>
      <c r="K828" s="657"/>
      <c r="L828" s="658"/>
      <c r="M828" s="384"/>
      <c r="N828" s="384"/>
      <c r="O828" s="384"/>
      <c r="P828" s="384"/>
      <c r="Q828" s="384"/>
      <c r="R828" s="384"/>
      <c r="S828" s="660"/>
      <c r="T828" s="396"/>
      <c r="U828" s="384"/>
      <c r="V828" s="384"/>
      <c r="W828" s="384"/>
      <c r="X828" s="384"/>
      <c r="Y828" s="442"/>
      <c r="Z828" s="442"/>
      <c r="AA828" s="441"/>
      <c r="AB828" s="441"/>
      <c r="AC828" s="441"/>
      <c r="AD828" s="441"/>
      <c r="AE828" s="441"/>
      <c r="AF828" s="441"/>
      <c r="AG828" s="441"/>
      <c r="AH828" s="441"/>
      <c r="AI828" s="441"/>
      <c r="AJ828" s="441"/>
      <c r="AK828" s="395"/>
      <c r="AL828" s="395"/>
      <c r="AM828" s="395"/>
      <c r="AN828" s="395"/>
      <c r="AO828" s="395"/>
      <c r="AP828" s="410"/>
      <c r="AQ828" s="410"/>
    </row>
    <row r="829" spans="2:43" ht="15" customHeight="1">
      <c r="B829" s="394"/>
      <c r="C829" s="395"/>
      <c r="D829" s="417"/>
      <c r="E829" s="662"/>
      <c r="F829" s="417"/>
      <c r="G829" s="384"/>
      <c r="H829" s="768"/>
      <c r="I829" s="384"/>
      <c r="J829" s="384"/>
      <c r="K829" s="657"/>
      <c r="L829" s="658"/>
      <c r="M829" s="384"/>
      <c r="N829" s="384"/>
      <c r="O829" s="384"/>
      <c r="P829" s="384"/>
      <c r="Q829" s="384"/>
      <c r="R829" s="384"/>
      <c r="S829" s="660"/>
      <c r="T829" s="396"/>
      <c r="U829" s="384"/>
      <c r="V829" s="384"/>
      <c r="W829" s="384"/>
      <c r="X829" s="384"/>
      <c r="Y829" s="442"/>
      <c r="Z829" s="442"/>
      <c r="AA829" s="441"/>
      <c r="AB829" s="441"/>
      <c r="AC829" s="441"/>
      <c r="AD829" s="441"/>
      <c r="AE829" s="441"/>
      <c r="AF829" s="441"/>
      <c r="AG829" s="441"/>
      <c r="AH829" s="441"/>
      <c r="AI829" s="441"/>
      <c r="AJ829" s="441"/>
      <c r="AK829" s="395"/>
      <c r="AL829" s="395"/>
      <c r="AM829" s="395"/>
      <c r="AN829" s="395"/>
      <c r="AO829" s="395"/>
      <c r="AP829" s="410"/>
      <c r="AQ829" s="410"/>
    </row>
    <row r="830" spans="2:43" ht="15" customHeight="1">
      <c r="B830" s="394"/>
      <c r="C830" s="395"/>
      <c r="D830" s="417"/>
      <c r="E830" s="662"/>
      <c r="F830" s="417"/>
      <c r="G830" s="384"/>
      <c r="H830" s="768"/>
      <c r="I830" s="384"/>
      <c r="J830" s="384"/>
      <c r="K830" s="657"/>
      <c r="L830" s="658"/>
      <c r="M830" s="384"/>
      <c r="N830" s="384"/>
      <c r="O830" s="384"/>
      <c r="P830" s="384"/>
      <c r="Q830" s="384"/>
      <c r="R830" s="384"/>
      <c r="S830" s="660"/>
      <c r="T830" s="396"/>
      <c r="U830" s="384"/>
      <c r="V830" s="384"/>
      <c r="W830" s="384"/>
      <c r="X830" s="384"/>
      <c r="Y830" s="442"/>
      <c r="Z830" s="442"/>
      <c r="AA830" s="441"/>
      <c r="AB830" s="441"/>
      <c r="AC830" s="441"/>
      <c r="AD830" s="441"/>
      <c r="AE830" s="441"/>
      <c r="AF830" s="441"/>
      <c r="AG830" s="441"/>
      <c r="AH830" s="441"/>
      <c r="AI830" s="441"/>
      <c r="AJ830" s="441"/>
      <c r="AK830" s="395"/>
      <c r="AL830" s="395"/>
      <c r="AM830" s="395"/>
      <c r="AN830" s="395"/>
      <c r="AO830" s="395"/>
      <c r="AP830" s="410"/>
      <c r="AQ830" s="410"/>
    </row>
    <row r="831" spans="2:43" ht="15" customHeight="1">
      <c r="B831" s="394"/>
      <c r="C831" s="395"/>
      <c r="D831" s="417"/>
      <c r="E831" s="662"/>
      <c r="F831" s="417"/>
      <c r="G831" s="384"/>
      <c r="H831" s="768"/>
      <c r="I831" s="384"/>
      <c r="J831" s="384"/>
      <c r="K831" s="657"/>
      <c r="L831" s="658"/>
      <c r="M831" s="384"/>
      <c r="N831" s="384"/>
      <c r="O831" s="384"/>
      <c r="P831" s="384"/>
      <c r="Q831" s="384"/>
      <c r="R831" s="384"/>
      <c r="S831" s="660"/>
      <c r="T831" s="396"/>
      <c r="U831" s="384"/>
      <c r="V831" s="384"/>
      <c r="W831" s="384"/>
      <c r="X831" s="384"/>
      <c r="Y831" s="442"/>
      <c r="Z831" s="442"/>
      <c r="AA831" s="441"/>
      <c r="AB831" s="441"/>
      <c r="AC831" s="441"/>
      <c r="AD831" s="441"/>
      <c r="AE831" s="441"/>
      <c r="AF831" s="441"/>
      <c r="AG831" s="441"/>
      <c r="AH831" s="441"/>
      <c r="AI831" s="441"/>
      <c r="AJ831" s="441"/>
      <c r="AK831" s="395"/>
      <c r="AL831" s="395"/>
      <c r="AM831" s="395"/>
      <c r="AN831" s="395"/>
      <c r="AO831" s="395"/>
      <c r="AP831" s="410"/>
      <c r="AQ831" s="410"/>
    </row>
    <row r="832" spans="2:43" ht="15" customHeight="1">
      <c r="B832" s="394"/>
      <c r="C832" s="395"/>
      <c r="D832" s="417"/>
      <c r="E832" s="662"/>
      <c r="F832" s="417"/>
      <c r="G832" s="384"/>
      <c r="H832" s="768"/>
      <c r="I832" s="384"/>
      <c r="J832" s="384"/>
      <c r="K832" s="657"/>
      <c r="L832" s="658"/>
      <c r="M832" s="384"/>
      <c r="N832" s="384"/>
      <c r="O832" s="384"/>
      <c r="P832" s="384"/>
      <c r="Q832" s="384"/>
      <c r="R832" s="384"/>
      <c r="S832" s="660"/>
      <c r="T832" s="396"/>
      <c r="U832" s="384"/>
      <c r="V832" s="384"/>
      <c r="W832" s="384"/>
      <c r="X832" s="384"/>
      <c r="Y832" s="442"/>
      <c r="Z832" s="442"/>
      <c r="AA832" s="441"/>
      <c r="AB832" s="441"/>
      <c r="AC832" s="441"/>
      <c r="AD832" s="441"/>
      <c r="AE832" s="441"/>
      <c r="AF832" s="441"/>
      <c r="AG832" s="441"/>
      <c r="AH832" s="441"/>
      <c r="AI832" s="441"/>
      <c r="AJ832" s="441"/>
      <c r="AK832" s="395"/>
      <c r="AL832" s="395"/>
      <c r="AM832" s="395"/>
      <c r="AN832" s="395"/>
      <c r="AO832" s="395"/>
      <c r="AP832" s="410"/>
      <c r="AQ832" s="410"/>
    </row>
    <row r="833" spans="2:43" ht="15" customHeight="1">
      <c r="B833" s="394"/>
      <c r="C833" s="395"/>
      <c r="D833" s="417"/>
      <c r="E833" s="662"/>
      <c r="F833" s="417"/>
      <c r="G833" s="384"/>
      <c r="H833" s="768"/>
      <c r="I833" s="384"/>
      <c r="J833" s="384"/>
      <c r="K833" s="657"/>
      <c r="L833" s="658"/>
      <c r="M833" s="384"/>
      <c r="N833" s="384"/>
      <c r="O833" s="384"/>
      <c r="P833" s="384"/>
      <c r="Q833" s="384"/>
      <c r="R833" s="384"/>
      <c r="S833" s="660"/>
      <c r="T833" s="396"/>
      <c r="U833" s="384"/>
      <c r="V833" s="384"/>
      <c r="W833" s="384"/>
      <c r="X833" s="384"/>
      <c r="Y833" s="442"/>
      <c r="Z833" s="442"/>
      <c r="AA833" s="441"/>
      <c r="AB833" s="441"/>
      <c r="AC833" s="441"/>
      <c r="AD833" s="441"/>
      <c r="AE833" s="441"/>
      <c r="AF833" s="441"/>
      <c r="AG833" s="441"/>
      <c r="AH833" s="441"/>
      <c r="AI833" s="441"/>
      <c r="AJ833" s="441"/>
      <c r="AK833" s="395"/>
      <c r="AL833" s="395"/>
      <c r="AM833" s="395"/>
      <c r="AN833" s="395"/>
      <c r="AO833" s="395"/>
      <c r="AP833" s="410"/>
      <c r="AQ833" s="410"/>
    </row>
    <row r="834" spans="2:43" ht="15" customHeight="1">
      <c r="B834" s="394"/>
      <c r="C834" s="395"/>
      <c r="D834" s="417"/>
      <c r="E834" s="662"/>
      <c r="F834" s="417"/>
      <c r="G834" s="384"/>
      <c r="H834" s="768"/>
      <c r="I834" s="384"/>
      <c r="J834" s="384"/>
      <c r="K834" s="657"/>
      <c r="L834" s="658"/>
      <c r="M834" s="384"/>
      <c r="N834" s="384"/>
      <c r="O834" s="384"/>
      <c r="P834" s="384"/>
      <c r="Q834" s="384"/>
      <c r="R834" s="384"/>
      <c r="S834" s="660"/>
      <c r="T834" s="396"/>
      <c r="U834" s="384"/>
      <c r="V834" s="384"/>
      <c r="W834" s="384"/>
      <c r="X834" s="384"/>
      <c r="Y834" s="442"/>
      <c r="Z834" s="442"/>
      <c r="AA834" s="441"/>
      <c r="AB834" s="441"/>
      <c r="AC834" s="441"/>
      <c r="AD834" s="441"/>
      <c r="AE834" s="441"/>
      <c r="AF834" s="441"/>
      <c r="AG834" s="441"/>
      <c r="AH834" s="441"/>
      <c r="AI834" s="441"/>
      <c r="AJ834" s="441"/>
      <c r="AK834" s="395"/>
      <c r="AL834" s="395"/>
      <c r="AM834" s="395"/>
      <c r="AN834" s="395"/>
      <c r="AO834" s="395"/>
      <c r="AP834" s="410"/>
      <c r="AQ834" s="410"/>
    </row>
    <row r="835" spans="2:43" ht="15" customHeight="1">
      <c r="B835" s="394"/>
      <c r="C835" s="395"/>
      <c r="D835" s="417"/>
      <c r="E835" s="662"/>
      <c r="F835" s="417"/>
      <c r="G835" s="384"/>
      <c r="H835" s="768"/>
      <c r="I835" s="384"/>
      <c r="J835" s="384"/>
      <c r="K835" s="657"/>
      <c r="L835" s="658"/>
      <c r="M835" s="384"/>
      <c r="N835" s="384"/>
      <c r="O835" s="384"/>
      <c r="P835" s="384"/>
      <c r="Q835" s="384"/>
      <c r="R835" s="384"/>
      <c r="S835" s="660"/>
      <c r="T835" s="396"/>
      <c r="U835" s="384"/>
      <c r="V835" s="384"/>
      <c r="W835" s="384"/>
      <c r="X835" s="384"/>
      <c r="Y835" s="442"/>
      <c r="Z835" s="442"/>
      <c r="AA835" s="441"/>
      <c r="AB835" s="441"/>
      <c r="AC835" s="441"/>
      <c r="AD835" s="441"/>
      <c r="AE835" s="441"/>
      <c r="AF835" s="441"/>
      <c r="AG835" s="441"/>
      <c r="AH835" s="441"/>
      <c r="AI835" s="441"/>
      <c r="AJ835" s="441"/>
      <c r="AK835" s="395"/>
      <c r="AL835" s="395"/>
      <c r="AM835" s="395"/>
      <c r="AN835" s="395"/>
      <c r="AO835" s="395"/>
      <c r="AP835" s="410"/>
      <c r="AQ835" s="410"/>
    </row>
    <row r="836" spans="2:43" ht="15" customHeight="1">
      <c r="B836" s="394"/>
      <c r="C836" s="395"/>
      <c r="D836" s="417"/>
      <c r="E836" s="662"/>
      <c r="F836" s="417"/>
      <c r="G836" s="384"/>
      <c r="H836" s="768"/>
      <c r="I836" s="384"/>
      <c r="J836" s="384"/>
      <c r="K836" s="657"/>
      <c r="L836" s="658"/>
      <c r="M836" s="384"/>
      <c r="N836" s="384"/>
      <c r="O836" s="384"/>
      <c r="P836" s="384"/>
      <c r="Q836" s="384"/>
      <c r="R836" s="384"/>
      <c r="S836" s="660"/>
      <c r="T836" s="396"/>
      <c r="U836" s="384"/>
      <c r="V836" s="384"/>
      <c r="W836" s="384"/>
      <c r="X836" s="384"/>
      <c r="Y836" s="442"/>
      <c r="Z836" s="442"/>
      <c r="AA836" s="441"/>
      <c r="AB836" s="441"/>
      <c r="AC836" s="441"/>
      <c r="AD836" s="441"/>
      <c r="AE836" s="441"/>
      <c r="AF836" s="441"/>
      <c r="AG836" s="441"/>
      <c r="AH836" s="441"/>
      <c r="AI836" s="441"/>
      <c r="AJ836" s="441"/>
      <c r="AK836" s="395"/>
      <c r="AL836" s="395"/>
      <c r="AM836" s="395"/>
      <c r="AN836" s="395"/>
      <c r="AO836" s="395"/>
      <c r="AP836" s="410"/>
      <c r="AQ836" s="410"/>
    </row>
    <row r="837" spans="2:43" ht="15" customHeight="1">
      <c r="B837" s="394"/>
      <c r="C837" s="395"/>
      <c r="D837" s="417"/>
      <c r="E837" s="662"/>
      <c r="F837" s="417"/>
      <c r="G837" s="384"/>
      <c r="H837" s="768"/>
      <c r="I837" s="384"/>
      <c r="J837" s="384"/>
      <c r="K837" s="657"/>
      <c r="L837" s="658"/>
      <c r="M837" s="384"/>
      <c r="N837" s="384"/>
      <c r="O837" s="384"/>
      <c r="P837" s="384"/>
      <c r="Q837" s="384"/>
      <c r="R837" s="384"/>
      <c r="S837" s="660"/>
      <c r="T837" s="396"/>
      <c r="U837" s="384"/>
      <c r="V837" s="384"/>
      <c r="W837" s="384"/>
      <c r="X837" s="384"/>
      <c r="Y837" s="442"/>
      <c r="Z837" s="442"/>
      <c r="AA837" s="441"/>
      <c r="AB837" s="441"/>
      <c r="AC837" s="441"/>
      <c r="AD837" s="441"/>
      <c r="AE837" s="441"/>
      <c r="AF837" s="441"/>
      <c r="AG837" s="441"/>
      <c r="AH837" s="441"/>
      <c r="AI837" s="441"/>
      <c r="AJ837" s="441"/>
      <c r="AK837" s="395"/>
      <c r="AL837" s="395"/>
      <c r="AM837" s="395"/>
      <c r="AN837" s="395"/>
      <c r="AO837" s="395"/>
      <c r="AP837" s="410"/>
      <c r="AQ837" s="410"/>
    </row>
    <row r="838" spans="2:43" ht="15" customHeight="1">
      <c r="B838" s="394"/>
      <c r="C838" s="395"/>
      <c r="D838" s="417"/>
      <c r="E838" s="662"/>
      <c r="F838" s="417"/>
      <c r="G838" s="384"/>
      <c r="H838" s="768"/>
      <c r="I838" s="384"/>
      <c r="J838" s="384"/>
      <c r="K838" s="657"/>
      <c r="L838" s="658"/>
      <c r="M838" s="384"/>
      <c r="N838" s="384"/>
      <c r="O838" s="384"/>
      <c r="P838" s="384"/>
      <c r="Q838" s="384"/>
      <c r="R838" s="384"/>
      <c r="S838" s="660"/>
      <c r="T838" s="396"/>
      <c r="U838" s="384"/>
      <c r="V838" s="384"/>
      <c r="W838" s="384"/>
      <c r="X838" s="384"/>
      <c r="Y838" s="442"/>
      <c r="Z838" s="442"/>
      <c r="AA838" s="441"/>
      <c r="AB838" s="441"/>
      <c r="AC838" s="441"/>
      <c r="AD838" s="441"/>
      <c r="AE838" s="441"/>
      <c r="AF838" s="441"/>
      <c r="AG838" s="441"/>
      <c r="AH838" s="441"/>
      <c r="AI838" s="441"/>
      <c r="AJ838" s="441"/>
      <c r="AK838" s="395"/>
      <c r="AL838" s="395"/>
      <c r="AM838" s="395"/>
      <c r="AN838" s="395"/>
      <c r="AO838" s="395"/>
      <c r="AP838" s="410"/>
      <c r="AQ838" s="410"/>
    </row>
    <row r="839" spans="2:43" ht="15" customHeight="1">
      <c r="B839" s="394"/>
      <c r="C839" s="395"/>
      <c r="D839" s="417"/>
      <c r="E839" s="662"/>
      <c r="F839" s="417"/>
      <c r="G839" s="384"/>
      <c r="H839" s="768"/>
      <c r="I839" s="384"/>
      <c r="J839" s="384"/>
      <c r="K839" s="657"/>
      <c r="L839" s="658"/>
      <c r="M839" s="384"/>
      <c r="N839" s="384"/>
      <c r="O839" s="384"/>
      <c r="P839" s="384"/>
      <c r="Q839" s="384"/>
      <c r="R839" s="384"/>
      <c r="S839" s="660"/>
      <c r="T839" s="396"/>
      <c r="U839" s="384"/>
      <c r="V839" s="384"/>
      <c r="W839" s="384"/>
      <c r="X839" s="384"/>
      <c r="Y839" s="442"/>
      <c r="Z839" s="442"/>
      <c r="AA839" s="441"/>
      <c r="AB839" s="441"/>
      <c r="AC839" s="441"/>
      <c r="AD839" s="441"/>
      <c r="AE839" s="441"/>
      <c r="AF839" s="441"/>
      <c r="AG839" s="441"/>
      <c r="AH839" s="441"/>
      <c r="AI839" s="441"/>
      <c r="AJ839" s="441"/>
      <c r="AK839" s="395"/>
      <c r="AL839" s="395"/>
      <c r="AM839" s="395"/>
      <c r="AN839" s="395"/>
      <c r="AO839" s="395"/>
      <c r="AP839" s="410"/>
      <c r="AQ839" s="410"/>
    </row>
    <row r="840" spans="2:43" ht="15" customHeight="1">
      <c r="B840" s="394"/>
      <c r="C840" s="395"/>
      <c r="D840" s="417"/>
      <c r="E840" s="662"/>
      <c r="F840" s="417"/>
      <c r="G840" s="384"/>
      <c r="H840" s="768"/>
      <c r="I840" s="384"/>
      <c r="J840" s="384"/>
      <c r="K840" s="657"/>
      <c r="L840" s="658"/>
      <c r="M840" s="384"/>
      <c r="N840" s="384"/>
      <c r="O840" s="384"/>
      <c r="P840" s="384"/>
      <c r="Q840" s="384"/>
      <c r="R840" s="384"/>
      <c r="S840" s="660"/>
      <c r="T840" s="396"/>
      <c r="U840" s="384"/>
      <c r="V840" s="384"/>
      <c r="W840" s="384"/>
      <c r="X840" s="384"/>
      <c r="Y840" s="442"/>
      <c r="Z840" s="442"/>
      <c r="AA840" s="441"/>
      <c r="AB840" s="441"/>
      <c r="AC840" s="441"/>
      <c r="AD840" s="441"/>
      <c r="AE840" s="441"/>
      <c r="AF840" s="441"/>
      <c r="AG840" s="441"/>
      <c r="AH840" s="441"/>
      <c r="AI840" s="441"/>
      <c r="AJ840" s="441"/>
      <c r="AK840" s="395"/>
      <c r="AL840" s="395"/>
      <c r="AM840" s="395"/>
      <c r="AN840" s="395"/>
      <c r="AO840" s="395"/>
      <c r="AP840" s="410"/>
      <c r="AQ840" s="410"/>
    </row>
    <row r="841" spans="2:43" ht="15" customHeight="1">
      <c r="B841" s="394"/>
      <c r="C841" s="395"/>
      <c r="D841" s="417"/>
      <c r="E841" s="662"/>
      <c r="F841" s="417"/>
      <c r="G841" s="384"/>
      <c r="H841" s="768"/>
      <c r="I841" s="384"/>
      <c r="J841" s="384"/>
      <c r="K841" s="657"/>
      <c r="L841" s="658"/>
      <c r="M841" s="384"/>
      <c r="N841" s="384"/>
      <c r="O841" s="384"/>
      <c r="P841" s="384"/>
      <c r="Q841" s="384"/>
      <c r="R841" s="384"/>
      <c r="S841" s="660"/>
      <c r="T841" s="396"/>
      <c r="U841" s="384"/>
      <c r="V841" s="384"/>
      <c r="W841" s="384"/>
      <c r="X841" s="384"/>
      <c r="Y841" s="442"/>
      <c r="Z841" s="442"/>
      <c r="AA841" s="441"/>
      <c r="AB841" s="441"/>
      <c r="AC841" s="441"/>
      <c r="AD841" s="441"/>
      <c r="AE841" s="441"/>
      <c r="AF841" s="441"/>
      <c r="AG841" s="441"/>
      <c r="AH841" s="441"/>
      <c r="AI841" s="441"/>
      <c r="AJ841" s="441"/>
      <c r="AK841" s="395"/>
      <c r="AL841" s="395"/>
      <c r="AM841" s="395"/>
      <c r="AN841" s="395"/>
      <c r="AO841" s="395"/>
      <c r="AP841" s="410"/>
      <c r="AQ841" s="410"/>
    </row>
    <row r="842" spans="2:43" ht="15" customHeight="1">
      <c r="B842" s="394"/>
      <c r="C842" s="395"/>
      <c r="D842" s="417"/>
      <c r="E842" s="662"/>
      <c r="F842" s="417"/>
      <c r="G842" s="384"/>
      <c r="H842" s="768"/>
      <c r="I842" s="384"/>
      <c r="J842" s="384"/>
      <c r="K842" s="657"/>
      <c r="L842" s="658"/>
      <c r="M842" s="384"/>
      <c r="N842" s="384"/>
      <c r="O842" s="384"/>
      <c r="P842" s="384"/>
      <c r="Q842" s="384"/>
      <c r="R842" s="384"/>
      <c r="S842" s="660"/>
      <c r="T842" s="396"/>
      <c r="U842" s="384"/>
      <c r="V842" s="384"/>
      <c r="W842" s="384"/>
      <c r="X842" s="384"/>
      <c r="Y842" s="442"/>
      <c r="Z842" s="442"/>
      <c r="AA842" s="441"/>
      <c r="AB842" s="441"/>
      <c r="AC842" s="441"/>
      <c r="AD842" s="441"/>
      <c r="AE842" s="441"/>
      <c r="AF842" s="441"/>
      <c r="AG842" s="441"/>
      <c r="AH842" s="441"/>
      <c r="AI842" s="441"/>
      <c r="AJ842" s="441"/>
      <c r="AK842" s="395"/>
      <c r="AL842" s="395"/>
      <c r="AM842" s="395"/>
      <c r="AN842" s="395"/>
      <c r="AO842" s="395"/>
      <c r="AP842" s="410"/>
      <c r="AQ842" s="410"/>
    </row>
    <row r="843" spans="2:43" ht="15" customHeight="1">
      <c r="B843" s="394"/>
      <c r="C843" s="395"/>
      <c r="D843" s="417"/>
      <c r="E843" s="662"/>
      <c r="F843" s="417"/>
      <c r="G843" s="384"/>
      <c r="H843" s="768"/>
      <c r="I843" s="384"/>
      <c r="J843" s="384"/>
      <c r="K843" s="657"/>
      <c r="L843" s="658"/>
      <c r="M843" s="384"/>
      <c r="N843" s="384"/>
      <c r="O843" s="384"/>
      <c r="P843" s="384"/>
      <c r="Q843" s="384"/>
      <c r="R843" s="384"/>
      <c r="S843" s="660"/>
      <c r="T843" s="396"/>
      <c r="U843" s="384"/>
      <c r="V843" s="384"/>
      <c r="W843" s="384"/>
      <c r="X843" s="384"/>
      <c r="Y843" s="442"/>
      <c r="Z843" s="442"/>
      <c r="AA843" s="441"/>
      <c r="AB843" s="441"/>
      <c r="AC843" s="441"/>
      <c r="AD843" s="441"/>
      <c r="AE843" s="441"/>
      <c r="AF843" s="441"/>
      <c r="AG843" s="441"/>
      <c r="AH843" s="441"/>
      <c r="AI843" s="441"/>
      <c r="AJ843" s="441"/>
      <c r="AK843" s="395"/>
      <c r="AL843" s="395"/>
      <c r="AM843" s="395"/>
      <c r="AN843" s="395"/>
      <c r="AO843" s="395"/>
      <c r="AP843" s="410"/>
      <c r="AQ843" s="410"/>
    </row>
    <row r="844" spans="2:43" ht="15" customHeight="1">
      <c r="B844" s="394"/>
      <c r="C844" s="395"/>
      <c r="D844" s="417"/>
      <c r="E844" s="662"/>
      <c r="F844" s="417"/>
      <c r="G844" s="384"/>
      <c r="H844" s="768"/>
      <c r="I844" s="384"/>
      <c r="J844" s="384"/>
      <c r="K844" s="657"/>
      <c r="L844" s="658"/>
      <c r="M844" s="384"/>
      <c r="N844" s="384"/>
      <c r="O844" s="384"/>
      <c r="P844" s="384"/>
      <c r="Q844" s="384"/>
      <c r="R844" s="384"/>
      <c r="S844" s="660"/>
      <c r="T844" s="396"/>
      <c r="U844" s="384"/>
      <c r="V844" s="384"/>
      <c r="W844" s="384"/>
      <c r="X844" s="384"/>
      <c r="Y844" s="442"/>
      <c r="Z844" s="442"/>
      <c r="AA844" s="441"/>
      <c r="AB844" s="441"/>
      <c r="AC844" s="441"/>
      <c r="AD844" s="441"/>
      <c r="AE844" s="441"/>
      <c r="AF844" s="441"/>
      <c r="AG844" s="441"/>
      <c r="AH844" s="441"/>
      <c r="AI844" s="441"/>
      <c r="AJ844" s="441"/>
      <c r="AK844" s="395"/>
      <c r="AL844" s="395"/>
      <c r="AM844" s="395"/>
      <c r="AN844" s="395"/>
      <c r="AO844" s="395"/>
      <c r="AP844" s="410"/>
      <c r="AQ844" s="410"/>
    </row>
    <row r="845" spans="2:43" ht="15" customHeight="1">
      <c r="B845" s="394"/>
      <c r="C845" s="395"/>
      <c r="D845" s="417"/>
      <c r="E845" s="662"/>
      <c r="F845" s="417"/>
      <c r="G845" s="384"/>
      <c r="H845" s="768"/>
      <c r="I845" s="384"/>
      <c r="J845" s="384"/>
      <c r="K845" s="657"/>
      <c r="L845" s="658"/>
      <c r="M845" s="384"/>
      <c r="N845" s="384"/>
      <c r="O845" s="384"/>
      <c r="P845" s="384"/>
      <c r="Q845" s="384"/>
      <c r="R845" s="384"/>
      <c r="S845" s="660"/>
      <c r="T845" s="396"/>
      <c r="U845" s="384"/>
      <c r="V845" s="384"/>
      <c r="W845" s="384"/>
      <c r="X845" s="384"/>
      <c r="Y845" s="442"/>
      <c r="Z845" s="442"/>
      <c r="AA845" s="441"/>
      <c r="AB845" s="441"/>
      <c r="AC845" s="441"/>
      <c r="AD845" s="441"/>
      <c r="AE845" s="441"/>
      <c r="AF845" s="441"/>
      <c r="AG845" s="441"/>
      <c r="AH845" s="441"/>
      <c r="AI845" s="441"/>
      <c r="AJ845" s="441"/>
      <c r="AK845" s="395"/>
      <c r="AL845" s="395"/>
      <c r="AM845" s="395"/>
      <c r="AN845" s="395"/>
      <c r="AO845" s="395"/>
      <c r="AP845" s="410"/>
      <c r="AQ845" s="410"/>
    </row>
    <row r="846" spans="2:43" ht="15" customHeight="1">
      <c r="B846" s="394"/>
      <c r="C846" s="395"/>
      <c r="D846" s="417"/>
      <c r="E846" s="662"/>
      <c r="F846" s="417"/>
      <c r="G846" s="384"/>
      <c r="H846" s="768"/>
      <c r="I846" s="384"/>
      <c r="J846" s="384"/>
      <c r="K846" s="657"/>
      <c r="L846" s="658"/>
      <c r="M846" s="384"/>
      <c r="N846" s="384"/>
      <c r="O846" s="384"/>
      <c r="P846" s="384"/>
      <c r="Q846" s="384"/>
      <c r="R846" s="384"/>
      <c r="S846" s="660"/>
      <c r="T846" s="396"/>
      <c r="U846" s="384"/>
      <c r="V846" s="384"/>
      <c r="W846" s="384"/>
      <c r="X846" s="384"/>
      <c r="Y846" s="442"/>
      <c r="Z846" s="442"/>
      <c r="AA846" s="441"/>
      <c r="AB846" s="441"/>
      <c r="AC846" s="441"/>
      <c r="AD846" s="441"/>
      <c r="AE846" s="441"/>
      <c r="AF846" s="441"/>
      <c r="AG846" s="441"/>
      <c r="AH846" s="441"/>
      <c r="AI846" s="441"/>
      <c r="AJ846" s="441"/>
      <c r="AK846" s="395"/>
      <c r="AL846" s="395"/>
      <c r="AM846" s="395"/>
      <c r="AN846" s="395"/>
      <c r="AO846" s="395"/>
      <c r="AP846" s="410"/>
      <c r="AQ846" s="410"/>
    </row>
    <row r="847" spans="2:43" ht="15" customHeight="1">
      <c r="B847" s="394"/>
      <c r="C847" s="395"/>
      <c r="D847" s="417"/>
      <c r="E847" s="662"/>
      <c r="F847" s="417"/>
      <c r="G847" s="384"/>
      <c r="H847" s="768"/>
      <c r="I847" s="384"/>
      <c r="J847" s="384"/>
      <c r="K847" s="657"/>
      <c r="L847" s="658"/>
      <c r="M847" s="384"/>
      <c r="N847" s="384"/>
      <c r="O847" s="384"/>
      <c r="P847" s="384"/>
      <c r="Q847" s="384"/>
      <c r="R847" s="384"/>
      <c r="S847" s="660"/>
      <c r="T847" s="396"/>
      <c r="U847" s="384"/>
      <c r="V847" s="384"/>
      <c r="W847" s="384"/>
      <c r="X847" s="384"/>
      <c r="Y847" s="442"/>
      <c r="Z847" s="442"/>
      <c r="AA847" s="441"/>
      <c r="AB847" s="441"/>
      <c r="AC847" s="441"/>
      <c r="AD847" s="441"/>
      <c r="AE847" s="441"/>
      <c r="AF847" s="441"/>
      <c r="AG847" s="441"/>
      <c r="AH847" s="441"/>
      <c r="AI847" s="441"/>
      <c r="AJ847" s="441"/>
      <c r="AK847" s="395"/>
      <c r="AL847" s="395"/>
      <c r="AM847" s="395"/>
      <c r="AN847" s="395"/>
      <c r="AO847" s="395"/>
      <c r="AP847" s="410"/>
      <c r="AQ847" s="410"/>
    </row>
    <row r="848" spans="2:43" ht="15" customHeight="1">
      <c r="B848" s="394"/>
      <c r="C848" s="395"/>
      <c r="D848" s="417"/>
      <c r="E848" s="662"/>
      <c r="F848" s="417"/>
      <c r="G848" s="384"/>
      <c r="H848" s="768"/>
      <c r="I848" s="384"/>
      <c r="J848" s="384"/>
      <c r="K848" s="657"/>
      <c r="L848" s="658"/>
      <c r="M848" s="384"/>
      <c r="N848" s="384"/>
      <c r="O848" s="384"/>
      <c r="P848" s="384"/>
      <c r="Q848" s="384"/>
      <c r="R848" s="384"/>
      <c r="S848" s="660"/>
      <c r="T848" s="396"/>
      <c r="U848" s="384"/>
      <c r="V848" s="384"/>
      <c r="W848" s="384"/>
      <c r="X848" s="384"/>
      <c r="Y848" s="442"/>
      <c r="Z848" s="442"/>
      <c r="AA848" s="441"/>
      <c r="AB848" s="441"/>
      <c r="AC848" s="441"/>
      <c r="AD848" s="441"/>
      <c r="AE848" s="441"/>
      <c r="AF848" s="441"/>
      <c r="AG848" s="441"/>
      <c r="AH848" s="441"/>
      <c r="AI848" s="441"/>
      <c r="AJ848" s="441"/>
      <c r="AK848" s="395"/>
      <c r="AL848" s="395"/>
      <c r="AM848" s="395"/>
      <c r="AN848" s="395"/>
      <c r="AO848" s="395"/>
      <c r="AP848" s="410"/>
      <c r="AQ848" s="410"/>
    </row>
    <row r="849" spans="2:43" ht="15" customHeight="1">
      <c r="B849" s="394"/>
      <c r="C849" s="395"/>
      <c r="D849" s="417"/>
      <c r="E849" s="662"/>
      <c r="F849" s="417"/>
      <c r="G849" s="384"/>
      <c r="H849" s="768"/>
      <c r="I849" s="384"/>
      <c r="J849" s="384"/>
      <c r="K849" s="657"/>
      <c r="L849" s="658"/>
      <c r="M849" s="384"/>
      <c r="N849" s="384"/>
      <c r="O849" s="384"/>
      <c r="P849" s="384"/>
      <c r="Q849" s="384"/>
      <c r="R849" s="384"/>
      <c r="S849" s="660"/>
      <c r="T849" s="396"/>
      <c r="U849" s="384"/>
      <c r="V849" s="384"/>
      <c r="W849" s="384"/>
      <c r="X849" s="384"/>
      <c r="Y849" s="442"/>
      <c r="Z849" s="442"/>
      <c r="AA849" s="441"/>
      <c r="AB849" s="441"/>
      <c r="AC849" s="441"/>
      <c r="AD849" s="441"/>
      <c r="AE849" s="441"/>
      <c r="AF849" s="441"/>
      <c r="AG849" s="441"/>
      <c r="AH849" s="441"/>
      <c r="AI849" s="441"/>
      <c r="AJ849" s="441"/>
      <c r="AK849" s="395"/>
      <c r="AL849" s="395"/>
      <c r="AM849" s="395"/>
      <c r="AN849" s="395"/>
      <c r="AO849" s="395"/>
      <c r="AP849" s="410"/>
      <c r="AQ849" s="410"/>
    </row>
    <row r="850" spans="2:43" ht="15" customHeight="1">
      <c r="B850" s="394"/>
      <c r="C850" s="395"/>
      <c r="D850" s="417"/>
      <c r="E850" s="662"/>
      <c r="F850" s="417"/>
      <c r="G850" s="384"/>
      <c r="H850" s="768"/>
      <c r="I850" s="384"/>
      <c r="J850" s="384"/>
      <c r="K850" s="657"/>
      <c r="L850" s="658"/>
      <c r="M850" s="384"/>
      <c r="N850" s="384"/>
      <c r="O850" s="384"/>
      <c r="P850" s="384"/>
      <c r="Q850" s="384"/>
      <c r="R850" s="384"/>
      <c r="S850" s="660"/>
      <c r="T850" s="396"/>
      <c r="U850" s="384"/>
      <c r="V850" s="384"/>
      <c r="W850" s="384"/>
      <c r="X850" s="384"/>
      <c r="Y850" s="442"/>
      <c r="Z850" s="442"/>
      <c r="AA850" s="441"/>
      <c r="AB850" s="441"/>
      <c r="AC850" s="441"/>
      <c r="AD850" s="441"/>
      <c r="AE850" s="441"/>
      <c r="AF850" s="441"/>
      <c r="AG850" s="441"/>
      <c r="AH850" s="441"/>
      <c r="AI850" s="441"/>
      <c r="AJ850" s="441"/>
      <c r="AK850" s="395"/>
      <c r="AL850" s="395"/>
      <c r="AM850" s="395"/>
      <c r="AN850" s="395"/>
      <c r="AO850" s="395"/>
      <c r="AP850" s="410"/>
      <c r="AQ850" s="410"/>
    </row>
    <row r="851" spans="2:43" ht="15" customHeight="1">
      <c r="B851" s="394"/>
      <c r="C851" s="395"/>
      <c r="D851" s="417"/>
      <c r="E851" s="662"/>
      <c r="F851" s="417"/>
      <c r="G851" s="384"/>
      <c r="H851" s="768"/>
      <c r="I851" s="384"/>
      <c r="J851" s="384"/>
      <c r="K851" s="657"/>
      <c r="L851" s="658"/>
      <c r="M851" s="384"/>
      <c r="N851" s="384"/>
      <c r="O851" s="384"/>
      <c r="P851" s="384"/>
      <c r="Q851" s="384"/>
      <c r="R851" s="384"/>
      <c r="S851" s="660"/>
      <c r="T851" s="396"/>
      <c r="U851" s="384"/>
      <c r="V851" s="384"/>
      <c r="W851" s="384"/>
      <c r="X851" s="384"/>
      <c r="Y851" s="442"/>
      <c r="Z851" s="442"/>
      <c r="AA851" s="441"/>
      <c r="AB851" s="441"/>
      <c r="AC851" s="441"/>
      <c r="AD851" s="441"/>
      <c r="AE851" s="441"/>
      <c r="AF851" s="441"/>
      <c r="AG851" s="441"/>
      <c r="AH851" s="441"/>
      <c r="AI851" s="441"/>
      <c r="AJ851" s="441"/>
      <c r="AK851" s="395"/>
      <c r="AL851" s="395"/>
      <c r="AM851" s="395"/>
      <c r="AN851" s="395"/>
      <c r="AO851" s="395"/>
      <c r="AP851" s="410"/>
      <c r="AQ851" s="410"/>
    </row>
    <row r="852" spans="2:43" ht="15" customHeight="1">
      <c r="B852" s="394"/>
      <c r="C852" s="395"/>
      <c r="D852" s="417"/>
      <c r="E852" s="662"/>
      <c r="F852" s="417"/>
      <c r="G852" s="384"/>
      <c r="H852" s="768"/>
      <c r="I852" s="384"/>
      <c r="J852" s="384"/>
      <c r="K852" s="657"/>
      <c r="L852" s="658"/>
      <c r="M852" s="384"/>
      <c r="N852" s="384"/>
      <c r="O852" s="384"/>
      <c r="P852" s="384"/>
      <c r="Q852" s="384"/>
      <c r="R852" s="384"/>
      <c r="S852" s="660"/>
      <c r="T852" s="396"/>
      <c r="U852" s="384"/>
      <c r="V852" s="384"/>
      <c r="W852" s="384"/>
      <c r="X852" s="384"/>
      <c r="Y852" s="442"/>
      <c r="Z852" s="442"/>
      <c r="AA852" s="441"/>
      <c r="AB852" s="441"/>
      <c r="AC852" s="441"/>
      <c r="AD852" s="441"/>
      <c r="AE852" s="441"/>
      <c r="AF852" s="441"/>
      <c r="AG852" s="441"/>
      <c r="AH852" s="441"/>
      <c r="AI852" s="441"/>
      <c r="AJ852" s="441"/>
      <c r="AK852" s="395"/>
      <c r="AL852" s="395"/>
      <c r="AM852" s="395"/>
      <c r="AN852" s="395"/>
      <c r="AO852" s="395"/>
      <c r="AP852" s="410"/>
      <c r="AQ852" s="410"/>
    </row>
    <row r="853" spans="2:43" ht="15" customHeight="1">
      <c r="B853" s="394"/>
      <c r="C853" s="395"/>
      <c r="D853" s="417"/>
      <c r="E853" s="662"/>
      <c r="F853" s="417"/>
      <c r="G853" s="384"/>
      <c r="H853" s="768"/>
      <c r="I853" s="384"/>
      <c r="J853" s="384"/>
      <c r="K853" s="657"/>
      <c r="L853" s="658"/>
      <c r="M853" s="384"/>
      <c r="N853" s="384"/>
      <c r="O853" s="384"/>
      <c r="P853" s="384"/>
      <c r="Q853" s="384"/>
      <c r="R853" s="384"/>
      <c r="S853" s="660"/>
      <c r="T853" s="396"/>
      <c r="U853" s="384"/>
      <c r="V853" s="384"/>
      <c r="W853" s="384"/>
      <c r="X853" s="384"/>
      <c r="Y853" s="442"/>
      <c r="Z853" s="442"/>
      <c r="AA853" s="441"/>
      <c r="AB853" s="441"/>
      <c r="AC853" s="441"/>
      <c r="AD853" s="441"/>
      <c r="AE853" s="441"/>
      <c r="AF853" s="441"/>
      <c r="AG853" s="441"/>
      <c r="AH853" s="441"/>
      <c r="AI853" s="441"/>
      <c r="AJ853" s="441"/>
      <c r="AK853" s="395"/>
      <c r="AL853" s="395"/>
      <c r="AM853" s="395"/>
      <c r="AN853" s="395"/>
      <c r="AO853" s="395"/>
      <c r="AP853" s="410"/>
      <c r="AQ853" s="410"/>
    </row>
    <row r="854" spans="2:43" ht="15" customHeight="1">
      <c r="B854" s="394"/>
      <c r="C854" s="395"/>
      <c r="D854" s="417"/>
      <c r="E854" s="662"/>
      <c r="F854" s="417"/>
      <c r="G854" s="384"/>
      <c r="H854" s="768"/>
      <c r="I854" s="384"/>
      <c r="J854" s="384"/>
      <c r="K854" s="657"/>
      <c r="L854" s="658"/>
      <c r="M854" s="384"/>
      <c r="N854" s="384"/>
      <c r="O854" s="384"/>
      <c r="P854" s="384"/>
      <c r="Q854" s="384"/>
      <c r="R854" s="384"/>
      <c r="S854" s="660"/>
      <c r="T854" s="396"/>
      <c r="U854" s="384"/>
      <c r="V854" s="384"/>
      <c r="W854" s="384"/>
      <c r="X854" s="384"/>
      <c r="Y854" s="442"/>
      <c r="Z854" s="442"/>
      <c r="AA854" s="441"/>
      <c r="AB854" s="441"/>
      <c r="AC854" s="441"/>
      <c r="AD854" s="441"/>
      <c r="AE854" s="441"/>
      <c r="AF854" s="441"/>
      <c r="AG854" s="441"/>
      <c r="AH854" s="441"/>
      <c r="AI854" s="441"/>
      <c r="AJ854" s="441"/>
      <c r="AK854" s="395"/>
      <c r="AL854" s="395"/>
      <c r="AM854" s="395"/>
      <c r="AN854" s="395"/>
      <c r="AO854" s="395"/>
      <c r="AP854" s="410"/>
      <c r="AQ854" s="410"/>
    </row>
    <row r="855" spans="2:43" ht="15" customHeight="1">
      <c r="B855" s="394"/>
      <c r="C855" s="395"/>
      <c r="D855" s="417"/>
      <c r="E855" s="662"/>
      <c r="F855" s="417"/>
      <c r="G855" s="384"/>
      <c r="H855" s="768"/>
      <c r="I855" s="384"/>
      <c r="J855" s="384"/>
      <c r="K855" s="657"/>
      <c r="L855" s="658"/>
      <c r="M855" s="384"/>
      <c r="N855" s="384"/>
      <c r="O855" s="384"/>
      <c r="P855" s="384"/>
      <c r="Q855" s="384"/>
      <c r="R855" s="384"/>
      <c r="S855" s="660"/>
      <c r="T855" s="396"/>
      <c r="U855" s="384"/>
      <c r="V855" s="384"/>
      <c r="W855" s="384"/>
      <c r="X855" s="384"/>
      <c r="Y855" s="442"/>
      <c r="Z855" s="442"/>
      <c r="AA855" s="441"/>
      <c r="AB855" s="441"/>
      <c r="AC855" s="441"/>
      <c r="AD855" s="441"/>
      <c r="AE855" s="441"/>
      <c r="AF855" s="441"/>
      <c r="AG855" s="441"/>
      <c r="AH855" s="441"/>
      <c r="AI855" s="441"/>
      <c r="AJ855" s="441"/>
      <c r="AK855" s="395"/>
      <c r="AL855" s="395"/>
      <c r="AM855" s="395"/>
      <c r="AN855" s="395"/>
      <c r="AO855" s="395"/>
      <c r="AP855" s="410"/>
      <c r="AQ855" s="410"/>
    </row>
    <row r="856" spans="2:43" ht="15" customHeight="1">
      <c r="B856" s="394"/>
      <c r="C856" s="395"/>
      <c r="D856" s="417"/>
      <c r="E856" s="662"/>
      <c r="F856" s="417"/>
      <c r="G856" s="384"/>
      <c r="H856" s="768"/>
      <c r="I856" s="384"/>
      <c r="J856" s="384"/>
      <c r="K856" s="657"/>
      <c r="L856" s="658"/>
      <c r="M856" s="384"/>
      <c r="N856" s="384"/>
      <c r="O856" s="384"/>
      <c r="P856" s="384"/>
      <c r="Q856" s="384"/>
      <c r="R856" s="384"/>
      <c r="S856" s="660"/>
      <c r="T856" s="396"/>
      <c r="U856" s="384"/>
      <c r="V856" s="384"/>
      <c r="W856" s="384"/>
      <c r="X856" s="384"/>
      <c r="Y856" s="442"/>
      <c r="Z856" s="442"/>
      <c r="AA856" s="441"/>
      <c r="AB856" s="441"/>
      <c r="AC856" s="441"/>
      <c r="AD856" s="441"/>
      <c r="AE856" s="441"/>
      <c r="AF856" s="441"/>
      <c r="AG856" s="441"/>
      <c r="AH856" s="441"/>
      <c r="AI856" s="441"/>
      <c r="AJ856" s="441"/>
      <c r="AK856" s="395"/>
      <c r="AL856" s="395"/>
      <c r="AM856" s="395"/>
      <c r="AN856" s="395"/>
      <c r="AO856" s="395"/>
      <c r="AP856" s="410"/>
      <c r="AQ856" s="410"/>
    </row>
    <row r="857" spans="2:43" ht="15" customHeight="1">
      <c r="B857" s="394"/>
      <c r="C857" s="395"/>
      <c r="D857" s="417"/>
      <c r="E857" s="662"/>
      <c r="F857" s="417"/>
      <c r="G857" s="384"/>
      <c r="H857" s="768"/>
      <c r="I857" s="384"/>
      <c r="J857" s="384"/>
      <c r="K857" s="657"/>
      <c r="L857" s="658"/>
      <c r="M857" s="384"/>
      <c r="N857" s="384"/>
      <c r="O857" s="384"/>
      <c r="P857" s="384"/>
      <c r="Q857" s="384"/>
      <c r="R857" s="384"/>
      <c r="S857" s="660"/>
      <c r="T857" s="396"/>
      <c r="U857" s="384"/>
      <c r="V857" s="384"/>
      <c r="W857" s="384"/>
      <c r="X857" s="384"/>
      <c r="Y857" s="442"/>
      <c r="Z857" s="442"/>
      <c r="AA857" s="441"/>
      <c r="AB857" s="441"/>
      <c r="AC857" s="441"/>
      <c r="AD857" s="441"/>
      <c r="AE857" s="441"/>
      <c r="AF857" s="441"/>
      <c r="AG857" s="441"/>
      <c r="AH857" s="441"/>
      <c r="AI857" s="441"/>
      <c r="AJ857" s="441"/>
      <c r="AK857" s="395"/>
      <c r="AL857" s="395"/>
      <c r="AM857" s="395"/>
      <c r="AN857" s="395"/>
      <c r="AO857" s="395"/>
      <c r="AP857" s="410"/>
      <c r="AQ857" s="410"/>
    </row>
    <row r="858" spans="2:43" ht="15" customHeight="1">
      <c r="B858" s="394"/>
      <c r="C858" s="395"/>
      <c r="D858" s="417"/>
      <c r="E858" s="662"/>
      <c r="F858" s="417"/>
      <c r="G858" s="384"/>
      <c r="H858" s="768"/>
      <c r="I858" s="384"/>
      <c r="J858" s="384"/>
      <c r="K858" s="657"/>
      <c r="L858" s="658"/>
      <c r="M858" s="384"/>
      <c r="N858" s="384"/>
      <c r="O858" s="384"/>
      <c r="P858" s="384"/>
      <c r="Q858" s="384"/>
      <c r="R858" s="384"/>
      <c r="S858" s="660"/>
      <c r="T858" s="396"/>
      <c r="U858" s="384"/>
      <c r="V858" s="384"/>
      <c r="W858" s="384"/>
      <c r="X858" s="384"/>
      <c r="Y858" s="442"/>
      <c r="Z858" s="442"/>
      <c r="AA858" s="441"/>
      <c r="AB858" s="441"/>
      <c r="AC858" s="441"/>
      <c r="AD858" s="441"/>
      <c r="AE858" s="441"/>
      <c r="AF858" s="441"/>
      <c r="AG858" s="441"/>
      <c r="AH858" s="441"/>
      <c r="AI858" s="441"/>
      <c r="AJ858" s="441"/>
      <c r="AK858" s="395"/>
      <c r="AL858" s="395"/>
      <c r="AM858" s="395"/>
      <c r="AN858" s="395"/>
      <c r="AO858" s="395"/>
      <c r="AP858" s="410"/>
      <c r="AQ858" s="410"/>
    </row>
    <row r="859" spans="2:43" ht="15" customHeight="1">
      <c r="B859" s="394"/>
      <c r="C859" s="395"/>
      <c r="D859" s="417"/>
      <c r="E859" s="662"/>
      <c r="F859" s="417"/>
      <c r="G859" s="384"/>
      <c r="H859" s="768"/>
      <c r="I859" s="384"/>
      <c r="J859" s="384"/>
      <c r="K859" s="657"/>
      <c r="L859" s="658"/>
      <c r="M859" s="384"/>
      <c r="N859" s="384"/>
      <c r="O859" s="384"/>
      <c r="P859" s="384"/>
      <c r="Q859" s="384"/>
      <c r="R859" s="384"/>
      <c r="S859" s="660"/>
      <c r="T859" s="396"/>
      <c r="U859" s="384"/>
      <c r="V859" s="384"/>
      <c r="W859" s="384"/>
      <c r="X859" s="384"/>
      <c r="Y859" s="442"/>
      <c r="Z859" s="442"/>
      <c r="AA859" s="441"/>
      <c r="AB859" s="441"/>
      <c r="AC859" s="441"/>
      <c r="AD859" s="441"/>
      <c r="AE859" s="441"/>
      <c r="AF859" s="441"/>
      <c r="AG859" s="441"/>
      <c r="AH859" s="441"/>
      <c r="AI859" s="441"/>
      <c r="AJ859" s="441"/>
      <c r="AK859" s="395"/>
      <c r="AL859" s="395"/>
      <c r="AM859" s="395"/>
      <c r="AN859" s="395"/>
      <c r="AO859" s="395"/>
      <c r="AP859" s="410"/>
      <c r="AQ859" s="410"/>
    </row>
    <row r="860" spans="2:43" ht="15" customHeight="1">
      <c r="B860" s="394"/>
      <c r="C860" s="395"/>
      <c r="D860" s="417"/>
      <c r="E860" s="662"/>
      <c r="F860" s="417"/>
      <c r="G860" s="384"/>
      <c r="H860" s="768"/>
      <c r="I860" s="384"/>
      <c r="J860" s="384"/>
      <c r="K860" s="657"/>
      <c r="L860" s="658"/>
      <c r="M860" s="384"/>
      <c r="N860" s="384"/>
      <c r="O860" s="384"/>
      <c r="P860" s="384"/>
      <c r="Q860" s="384"/>
      <c r="R860" s="384"/>
      <c r="S860" s="660"/>
      <c r="T860" s="396"/>
      <c r="U860" s="384"/>
      <c r="V860" s="384"/>
      <c r="W860" s="384"/>
      <c r="X860" s="384"/>
      <c r="Y860" s="442"/>
      <c r="Z860" s="442"/>
      <c r="AA860" s="441"/>
      <c r="AB860" s="441"/>
      <c r="AC860" s="441"/>
      <c r="AD860" s="441"/>
      <c r="AE860" s="441"/>
      <c r="AF860" s="441"/>
      <c r="AG860" s="441"/>
      <c r="AH860" s="441"/>
      <c r="AI860" s="441"/>
      <c r="AJ860" s="441"/>
      <c r="AK860" s="395"/>
      <c r="AL860" s="395"/>
      <c r="AM860" s="395"/>
      <c r="AN860" s="395"/>
      <c r="AO860" s="395"/>
      <c r="AP860" s="410"/>
      <c r="AQ860" s="410"/>
    </row>
    <row r="861" spans="2:43" ht="15" customHeight="1">
      <c r="B861" s="394"/>
      <c r="C861" s="395"/>
      <c r="D861" s="417"/>
      <c r="E861" s="662"/>
      <c r="F861" s="417"/>
      <c r="G861" s="384"/>
      <c r="H861" s="768"/>
      <c r="I861" s="384"/>
      <c r="J861" s="384"/>
      <c r="K861" s="657"/>
      <c r="L861" s="658"/>
      <c r="M861" s="384"/>
      <c r="N861" s="384"/>
      <c r="O861" s="384"/>
      <c r="P861" s="384"/>
      <c r="Q861" s="384"/>
      <c r="R861" s="384"/>
      <c r="S861" s="660"/>
      <c r="T861" s="396"/>
      <c r="U861" s="384"/>
      <c r="V861" s="384"/>
      <c r="W861" s="384"/>
      <c r="X861" s="384"/>
      <c r="Y861" s="442"/>
      <c r="Z861" s="442"/>
      <c r="AA861" s="441"/>
      <c r="AB861" s="441"/>
      <c r="AC861" s="441"/>
      <c r="AD861" s="441"/>
      <c r="AE861" s="441"/>
      <c r="AF861" s="441"/>
      <c r="AG861" s="441"/>
      <c r="AH861" s="441"/>
      <c r="AI861" s="441"/>
      <c r="AJ861" s="441"/>
      <c r="AK861" s="395"/>
      <c r="AL861" s="395"/>
      <c r="AM861" s="395"/>
      <c r="AN861" s="395"/>
      <c r="AO861" s="395"/>
      <c r="AP861" s="410"/>
      <c r="AQ861" s="410"/>
    </row>
    <row r="862" spans="2:43" ht="15" customHeight="1">
      <c r="B862" s="394"/>
      <c r="C862" s="395"/>
      <c r="D862" s="417"/>
      <c r="E862" s="662"/>
      <c r="F862" s="417"/>
      <c r="G862" s="384"/>
      <c r="H862" s="768"/>
      <c r="I862" s="384"/>
      <c r="J862" s="384"/>
      <c r="K862" s="657"/>
      <c r="L862" s="658"/>
      <c r="M862" s="384"/>
      <c r="N862" s="384"/>
      <c r="O862" s="384"/>
      <c r="P862" s="384"/>
      <c r="Q862" s="384"/>
      <c r="R862" s="384"/>
      <c r="S862" s="660"/>
      <c r="T862" s="396"/>
      <c r="U862" s="384"/>
      <c r="V862" s="384"/>
      <c r="W862" s="384"/>
      <c r="X862" s="384"/>
      <c r="Y862" s="442"/>
      <c r="Z862" s="442"/>
      <c r="AA862" s="441"/>
      <c r="AB862" s="441"/>
      <c r="AC862" s="441"/>
      <c r="AD862" s="441"/>
      <c r="AE862" s="441"/>
      <c r="AF862" s="441"/>
      <c r="AG862" s="441"/>
      <c r="AH862" s="441"/>
      <c r="AI862" s="441"/>
      <c r="AJ862" s="441"/>
      <c r="AK862" s="395"/>
      <c r="AL862" s="395"/>
      <c r="AM862" s="395"/>
      <c r="AN862" s="395"/>
      <c r="AO862" s="395"/>
      <c r="AP862" s="410"/>
      <c r="AQ862" s="410"/>
    </row>
    <row r="863" spans="2:43" ht="15" customHeight="1">
      <c r="B863" s="394"/>
      <c r="C863" s="395"/>
      <c r="D863" s="417"/>
      <c r="E863" s="662"/>
      <c r="F863" s="417"/>
      <c r="G863" s="384"/>
      <c r="H863" s="768"/>
      <c r="I863" s="384"/>
      <c r="J863" s="384"/>
      <c r="K863" s="657"/>
      <c r="L863" s="658"/>
      <c r="M863" s="384"/>
      <c r="N863" s="384"/>
      <c r="O863" s="384"/>
      <c r="P863" s="384"/>
      <c r="Q863" s="384"/>
      <c r="R863" s="384"/>
      <c r="S863" s="660"/>
      <c r="T863" s="396"/>
      <c r="U863" s="384"/>
      <c r="V863" s="384"/>
      <c r="W863" s="384"/>
      <c r="X863" s="384"/>
      <c r="Y863" s="442"/>
      <c r="Z863" s="442"/>
      <c r="AA863" s="441"/>
      <c r="AB863" s="441"/>
      <c r="AC863" s="441"/>
      <c r="AD863" s="441"/>
      <c r="AE863" s="441"/>
      <c r="AF863" s="441"/>
      <c r="AG863" s="441"/>
      <c r="AH863" s="441"/>
      <c r="AI863" s="441"/>
      <c r="AJ863" s="441"/>
      <c r="AK863" s="395"/>
      <c r="AL863" s="395"/>
      <c r="AM863" s="395"/>
      <c r="AN863" s="395"/>
      <c r="AO863" s="395"/>
      <c r="AP863" s="410"/>
      <c r="AQ863" s="410"/>
    </row>
    <row r="864" spans="2:43" ht="15" customHeight="1">
      <c r="B864" s="394"/>
      <c r="C864" s="395"/>
      <c r="D864" s="417"/>
      <c r="E864" s="662"/>
      <c r="F864" s="417"/>
      <c r="G864" s="384"/>
      <c r="H864" s="768"/>
      <c r="I864" s="384"/>
      <c r="J864" s="384"/>
      <c r="K864" s="657"/>
      <c r="L864" s="658"/>
      <c r="M864" s="384"/>
      <c r="N864" s="384"/>
      <c r="O864" s="384"/>
      <c r="P864" s="384"/>
      <c r="Q864" s="384"/>
      <c r="R864" s="384"/>
      <c r="S864" s="660"/>
      <c r="T864" s="396"/>
      <c r="U864" s="384"/>
      <c r="V864" s="384"/>
      <c r="W864" s="384"/>
      <c r="X864" s="384"/>
      <c r="Y864" s="442"/>
      <c r="Z864" s="442"/>
      <c r="AA864" s="441"/>
      <c r="AB864" s="441"/>
      <c r="AC864" s="441"/>
      <c r="AD864" s="441"/>
      <c r="AE864" s="441"/>
      <c r="AF864" s="441"/>
      <c r="AG864" s="441"/>
      <c r="AH864" s="441"/>
      <c r="AI864" s="441"/>
      <c r="AJ864" s="441"/>
      <c r="AK864" s="395"/>
      <c r="AL864" s="395"/>
      <c r="AM864" s="395"/>
      <c r="AN864" s="395"/>
      <c r="AO864" s="395"/>
      <c r="AP864" s="410"/>
      <c r="AQ864" s="410"/>
    </row>
    <row r="865" spans="2:43" ht="15" customHeight="1">
      <c r="B865" s="394"/>
      <c r="C865" s="395"/>
      <c r="D865" s="417"/>
      <c r="E865" s="662"/>
      <c r="F865" s="417"/>
      <c r="G865" s="384"/>
      <c r="H865" s="768"/>
      <c r="I865" s="384"/>
      <c r="J865" s="384"/>
      <c r="K865" s="657"/>
      <c r="L865" s="658"/>
      <c r="M865" s="384"/>
      <c r="N865" s="384"/>
      <c r="O865" s="384"/>
      <c r="P865" s="384"/>
      <c r="Q865" s="384"/>
      <c r="R865" s="384"/>
      <c r="S865" s="660"/>
      <c r="T865" s="396"/>
      <c r="U865" s="384"/>
      <c r="V865" s="384"/>
      <c r="W865" s="384"/>
      <c r="X865" s="384"/>
      <c r="Y865" s="442"/>
      <c r="Z865" s="442"/>
      <c r="AA865" s="441"/>
      <c r="AB865" s="441"/>
      <c r="AC865" s="441"/>
      <c r="AD865" s="441"/>
      <c r="AE865" s="441"/>
      <c r="AF865" s="441"/>
      <c r="AG865" s="441"/>
      <c r="AH865" s="441"/>
      <c r="AI865" s="441"/>
      <c r="AJ865" s="441"/>
      <c r="AK865" s="395"/>
      <c r="AL865" s="395"/>
      <c r="AM865" s="395"/>
      <c r="AN865" s="395"/>
      <c r="AO865" s="395"/>
      <c r="AP865" s="410"/>
      <c r="AQ865" s="410"/>
    </row>
    <row r="866" spans="2:43" ht="15" customHeight="1">
      <c r="B866" s="394"/>
      <c r="C866" s="395"/>
      <c r="D866" s="417"/>
      <c r="E866" s="662"/>
      <c r="F866" s="417"/>
      <c r="G866" s="384"/>
      <c r="H866" s="768"/>
      <c r="I866" s="384"/>
      <c r="J866" s="384"/>
      <c r="K866" s="657"/>
      <c r="L866" s="658"/>
      <c r="M866" s="384"/>
      <c r="N866" s="384"/>
      <c r="O866" s="384"/>
      <c r="P866" s="384"/>
      <c r="Q866" s="384"/>
      <c r="R866" s="384"/>
      <c r="S866" s="660"/>
      <c r="T866" s="396"/>
      <c r="U866" s="384"/>
      <c r="V866" s="384"/>
      <c r="W866" s="384"/>
      <c r="X866" s="384"/>
      <c r="Y866" s="442"/>
      <c r="Z866" s="442"/>
      <c r="AA866" s="441"/>
      <c r="AB866" s="441"/>
      <c r="AC866" s="441"/>
      <c r="AD866" s="441"/>
      <c r="AE866" s="441"/>
      <c r="AF866" s="441"/>
      <c r="AG866" s="441"/>
      <c r="AH866" s="441"/>
      <c r="AI866" s="441"/>
      <c r="AJ866" s="441"/>
      <c r="AK866" s="395"/>
      <c r="AL866" s="395"/>
      <c r="AM866" s="395"/>
      <c r="AN866" s="395"/>
      <c r="AO866" s="395"/>
      <c r="AP866" s="410"/>
      <c r="AQ866" s="410"/>
    </row>
    <row r="867" spans="2:43" ht="15" customHeight="1">
      <c r="B867" s="394"/>
      <c r="C867" s="395"/>
      <c r="D867" s="417"/>
      <c r="E867" s="662"/>
      <c r="F867" s="417"/>
      <c r="G867" s="384"/>
      <c r="H867" s="768"/>
      <c r="I867" s="384"/>
      <c r="J867" s="384"/>
      <c r="K867" s="657"/>
      <c r="L867" s="658"/>
      <c r="M867" s="384"/>
      <c r="N867" s="384"/>
      <c r="O867" s="384"/>
      <c r="P867" s="384"/>
      <c r="Q867" s="384"/>
      <c r="R867" s="384"/>
      <c r="S867" s="660"/>
      <c r="T867" s="396"/>
      <c r="U867" s="384"/>
      <c r="V867" s="384"/>
      <c r="W867" s="384"/>
      <c r="X867" s="384"/>
      <c r="Y867" s="442"/>
      <c r="Z867" s="442"/>
      <c r="AA867" s="441"/>
      <c r="AB867" s="441"/>
      <c r="AC867" s="441"/>
      <c r="AD867" s="441"/>
      <c r="AE867" s="441"/>
      <c r="AF867" s="441"/>
      <c r="AG867" s="441"/>
      <c r="AH867" s="441"/>
      <c r="AI867" s="441"/>
      <c r="AJ867" s="441"/>
      <c r="AK867" s="395"/>
      <c r="AL867" s="395"/>
      <c r="AM867" s="395"/>
      <c r="AN867" s="395"/>
      <c r="AO867" s="395"/>
      <c r="AP867" s="410"/>
      <c r="AQ867" s="410"/>
    </row>
    <row r="868" spans="2:43" ht="15" customHeight="1">
      <c r="B868" s="394"/>
      <c r="C868" s="395"/>
      <c r="D868" s="417"/>
      <c r="E868" s="662"/>
      <c r="F868" s="417"/>
      <c r="G868" s="384"/>
      <c r="H868" s="768"/>
      <c r="I868" s="384"/>
      <c r="J868" s="384"/>
      <c r="K868" s="657"/>
      <c r="L868" s="658"/>
      <c r="M868" s="384"/>
      <c r="N868" s="384"/>
      <c r="O868" s="384"/>
      <c r="P868" s="384"/>
      <c r="Q868" s="384"/>
      <c r="R868" s="384"/>
      <c r="S868" s="660"/>
      <c r="T868" s="396"/>
      <c r="U868" s="384"/>
      <c r="V868" s="384"/>
      <c r="W868" s="384"/>
      <c r="X868" s="384"/>
      <c r="Y868" s="442"/>
      <c r="Z868" s="442"/>
      <c r="AA868" s="441"/>
      <c r="AB868" s="441"/>
      <c r="AC868" s="441"/>
      <c r="AD868" s="441"/>
      <c r="AE868" s="441"/>
      <c r="AF868" s="441"/>
      <c r="AG868" s="441"/>
      <c r="AH868" s="441"/>
      <c r="AI868" s="441"/>
      <c r="AJ868" s="441"/>
      <c r="AK868" s="395"/>
      <c r="AL868" s="395"/>
      <c r="AM868" s="395"/>
      <c r="AN868" s="395"/>
      <c r="AO868" s="395"/>
      <c r="AP868" s="410"/>
      <c r="AQ868" s="410"/>
    </row>
    <row r="869" spans="2:43" ht="15" customHeight="1">
      <c r="B869" s="394"/>
      <c r="C869" s="395"/>
      <c r="D869" s="417"/>
      <c r="E869" s="662"/>
      <c r="F869" s="417"/>
      <c r="G869" s="384"/>
      <c r="H869" s="768"/>
      <c r="I869" s="384"/>
      <c r="J869" s="384"/>
      <c r="K869" s="657"/>
      <c r="L869" s="658"/>
      <c r="M869" s="384"/>
      <c r="N869" s="384"/>
      <c r="O869" s="384"/>
      <c r="P869" s="384"/>
      <c r="Q869" s="384"/>
      <c r="R869" s="384"/>
      <c r="S869" s="660"/>
      <c r="T869" s="396"/>
      <c r="U869" s="384"/>
      <c r="V869" s="384"/>
      <c r="W869" s="384"/>
      <c r="X869" s="384"/>
      <c r="Y869" s="442"/>
      <c r="Z869" s="442"/>
      <c r="AA869" s="441"/>
      <c r="AB869" s="441"/>
      <c r="AC869" s="441"/>
      <c r="AD869" s="441"/>
      <c r="AE869" s="441"/>
      <c r="AF869" s="441"/>
      <c r="AG869" s="441"/>
      <c r="AH869" s="441"/>
      <c r="AI869" s="441"/>
      <c r="AJ869" s="441"/>
      <c r="AK869" s="395"/>
      <c r="AL869" s="395"/>
      <c r="AM869" s="395"/>
      <c r="AN869" s="395"/>
      <c r="AO869" s="395"/>
      <c r="AP869" s="410"/>
      <c r="AQ869" s="410"/>
    </row>
    <row r="870" spans="2:43" ht="15" customHeight="1">
      <c r="B870" s="394"/>
      <c r="C870" s="395"/>
      <c r="D870" s="417"/>
      <c r="E870" s="662"/>
      <c r="F870" s="417"/>
      <c r="G870" s="384"/>
      <c r="H870" s="768"/>
      <c r="I870" s="384"/>
      <c r="J870" s="384"/>
      <c r="K870" s="657"/>
      <c r="L870" s="658"/>
      <c r="M870" s="384"/>
      <c r="N870" s="384"/>
      <c r="O870" s="384"/>
      <c r="P870" s="384"/>
      <c r="Q870" s="384"/>
      <c r="R870" s="384"/>
      <c r="S870" s="660"/>
      <c r="T870" s="396"/>
      <c r="U870" s="384"/>
      <c r="V870" s="384"/>
      <c r="W870" s="384"/>
      <c r="X870" s="384"/>
      <c r="Y870" s="442"/>
      <c r="Z870" s="442"/>
      <c r="AA870" s="441"/>
      <c r="AB870" s="441"/>
      <c r="AC870" s="441"/>
      <c r="AD870" s="441"/>
      <c r="AE870" s="441"/>
      <c r="AF870" s="441"/>
      <c r="AG870" s="441"/>
      <c r="AH870" s="441"/>
      <c r="AI870" s="441"/>
      <c r="AJ870" s="441"/>
      <c r="AK870" s="395"/>
      <c r="AL870" s="395"/>
      <c r="AM870" s="395"/>
      <c r="AN870" s="395"/>
      <c r="AO870" s="395"/>
      <c r="AP870" s="410"/>
      <c r="AQ870" s="410"/>
    </row>
    <row r="871" spans="2:43" ht="15" customHeight="1">
      <c r="B871" s="394"/>
      <c r="C871" s="395"/>
      <c r="D871" s="417"/>
      <c r="E871" s="662"/>
      <c r="F871" s="417"/>
      <c r="G871" s="384"/>
      <c r="H871" s="768"/>
      <c r="I871" s="384"/>
      <c r="J871" s="384"/>
      <c r="K871" s="657"/>
      <c r="L871" s="658"/>
      <c r="M871" s="384"/>
      <c r="N871" s="384"/>
      <c r="O871" s="384"/>
      <c r="P871" s="384"/>
      <c r="Q871" s="384"/>
      <c r="R871" s="384"/>
      <c r="S871" s="660"/>
      <c r="T871" s="396"/>
      <c r="U871" s="384"/>
      <c r="V871" s="384"/>
      <c r="W871" s="384"/>
      <c r="X871" s="384"/>
      <c r="Y871" s="442"/>
      <c r="Z871" s="442"/>
      <c r="AA871" s="441"/>
      <c r="AB871" s="441"/>
      <c r="AC871" s="441"/>
      <c r="AD871" s="441"/>
      <c r="AE871" s="441"/>
      <c r="AF871" s="441"/>
      <c r="AG871" s="441"/>
      <c r="AH871" s="441"/>
      <c r="AI871" s="441"/>
      <c r="AJ871" s="441"/>
      <c r="AK871" s="395"/>
      <c r="AL871" s="395"/>
      <c r="AM871" s="395"/>
      <c r="AN871" s="395"/>
      <c r="AO871" s="395"/>
      <c r="AP871" s="410"/>
      <c r="AQ871" s="410"/>
    </row>
    <row r="872" spans="2:43" ht="15" customHeight="1">
      <c r="B872" s="394"/>
      <c r="C872" s="395"/>
      <c r="D872" s="417"/>
      <c r="E872" s="662"/>
      <c r="F872" s="417"/>
      <c r="G872" s="384"/>
      <c r="H872" s="768"/>
      <c r="I872" s="384"/>
      <c r="J872" s="384"/>
      <c r="K872" s="657"/>
      <c r="L872" s="658"/>
      <c r="M872" s="384"/>
      <c r="N872" s="384"/>
      <c r="O872" s="384"/>
      <c r="P872" s="384"/>
      <c r="Q872" s="384"/>
      <c r="R872" s="384"/>
      <c r="S872" s="660"/>
      <c r="T872" s="396"/>
      <c r="U872" s="384"/>
      <c r="V872" s="384"/>
      <c r="W872" s="384"/>
      <c r="X872" s="384"/>
      <c r="Y872" s="442"/>
      <c r="Z872" s="442"/>
      <c r="AA872" s="441"/>
      <c r="AB872" s="441"/>
      <c r="AC872" s="441"/>
      <c r="AD872" s="441"/>
      <c r="AE872" s="441"/>
      <c r="AF872" s="441"/>
      <c r="AG872" s="441"/>
      <c r="AH872" s="441"/>
      <c r="AI872" s="441"/>
      <c r="AJ872" s="441"/>
      <c r="AK872" s="395"/>
      <c r="AL872" s="395"/>
      <c r="AM872" s="395"/>
      <c r="AN872" s="395"/>
      <c r="AO872" s="395"/>
      <c r="AP872" s="410"/>
      <c r="AQ872" s="410"/>
    </row>
    <row r="873" spans="2:43" ht="15" customHeight="1">
      <c r="B873" s="394"/>
      <c r="C873" s="395"/>
      <c r="D873" s="417"/>
      <c r="E873" s="662"/>
      <c r="F873" s="417"/>
      <c r="G873" s="384"/>
      <c r="H873" s="768"/>
      <c r="I873" s="384"/>
      <c r="J873" s="384"/>
      <c r="K873" s="657"/>
      <c r="L873" s="658"/>
      <c r="M873" s="384"/>
      <c r="N873" s="384"/>
      <c r="O873" s="384"/>
      <c r="P873" s="384"/>
      <c r="Q873" s="384"/>
      <c r="R873" s="384"/>
      <c r="S873" s="660"/>
      <c r="T873" s="396"/>
      <c r="U873" s="384"/>
      <c r="V873" s="384"/>
      <c r="W873" s="384"/>
      <c r="X873" s="384"/>
      <c r="Y873" s="442"/>
      <c r="Z873" s="442"/>
      <c r="AA873" s="441"/>
      <c r="AB873" s="441"/>
      <c r="AC873" s="441"/>
      <c r="AD873" s="441"/>
      <c r="AE873" s="441"/>
      <c r="AF873" s="441"/>
      <c r="AG873" s="441"/>
      <c r="AH873" s="441"/>
      <c r="AI873" s="441"/>
      <c r="AJ873" s="441"/>
      <c r="AK873" s="395"/>
      <c r="AL873" s="395"/>
      <c r="AM873" s="395"/>
      <c r="AN873" s="395"/>
      <c r="AO873" s="395"/>
      <c r="AP873" s="410"/>
      <c r="AQ873" s="410"/>
    </row>
    <row r="874" spans="2:43" ht="15" customHeight="1">
      <c r="B874" s="394"/>
      <c r="C874" s="395"/>
      <c r="D874" s="417"/>
      <c r="E874" s="662"/>
      <c r="F874" s="417"/>
      <c r="G874" s="384"/>
      <c r="H874" s="768"/>
      <c r="I874" s="384"/>
      <c r="J874" s="384"/>
      <c r="K874" s="657"/>
      <c r="L874" s="658"/>
      <c r="M874" s="384"/>
      <c r="N874" s="384"/>
      <c r="O874" s="384"/>
      <c r="P874" s="384"/>
      <c r="Q874" s="384"/>
      <c r="R874" s="384"/>
      <c r="S874" s="660"/>
      <c r="T874" s="396"/>
      <c r="U874" s="384"/>
      <c r="V874" s="384"/>
      <c r="W874" s="384"/>
      <c r="X874" s="384"/>
      <c r="Y874" s="442"/>
      <c r="Z874" s="442"/>
      <c r="AA874" s="441"/>
      <c r="AB874" s="441"/>
      <c r="AC874" s="441"/>
      <c r="AD874" s="441"/>
      <c r="AE874" s="441"/>
      <c r="AF874" s="441"/>
      <c r="AG874" s="441"/>
      <c r="AH874" s="441"/>
      <c r="AI874" s="441"/>
      <c r="AJ874" s="441"/>
      <c r="AK874" s="395"/>
      <c r="AL874" s="395"/>
      <c r="AM874" s="395"/>
      <c r="AN874" s="395"/>
      <c r="AO874" s="395"/>
      <c r="AP874" s="410"/>
      <c r="AQ874" s="410"/>
    </row>
    <row r="875" spans="2:43" ht="15" customHeight="1">
      <c r="B875" s="394"/>
      <c r="C875" s="395"/>
      <c r="D875" s="417"/>
      <c r="E875" s="662"/>
      <c r="F875" s="417"/>
      <c r="G875" s="384"/>
      <c r="H875" s="768"/>
      <c r="I875" s="384"/>
      <c r="J875" s="384"/>
      <c r="K875" s="657"/>
      <c r="L875" s="658"/>
      <c r="M875" s="384"/>
      <c r="N875" s="384"/>
      <c r="O875" s="384"/>
      <c r="P875" s="384"/>
      <c r="Q875" s="384"/>
      <c r="R875" s="384"/>
      <c r="S875" s="660"/>
      <c r="T875" s="396"/>
      <c r="U875" s="384"/>
      <c r="V875" s="384"/>
      <c r="W875" s="384"/>
      <c r="X875" s="384"/>
      <c r="Y875" s="442"/>
      <c r="Z875" s="442"/>
      <c r="AA875" s="441"/>
      <c r="AB875" s="441"/>
      <c r="AC875" s="441"/>
      <c r="AD875" s="441"/>
      <c r="AE875" s="441"/>
      <c r="AF875" s="441"/>
      <c r="AG875" s="441"/>
      <c r="AH875" s="441"/>
      <c r="AI875" s="441"/>
      <c r="AJ875" s="441"/>
      <c r="AK875" s="395"/>
      <c r="AL875" s="395"/>
      <c r="AM875" s="395"/>
      <c r="AN875" s="395"/>
      <c r="AO875" s="395"/>
      <c r="AP875" s="410"/>
      <c r="AQ875" s="410"/>
    </row>
    <row r="876" spans="2:43" ht="15" customHeight="1">
      <c r="B876" s="394"/>
      <c r="C876" s="395"/>
      <c r="D876" s="417"/>
      <c r="E876" s="662"/>
      <c r="F876" s="417"/>
      <c r="G876" s="384"/>
      <c r="H876" s="768"/>
      <c r="I876" s="384"/>
      <c r="J876" s="384"/>
      <c r="K876" s="657"/>
      <c r="L876" s="658"/>
      <c r="M876" s="384"/>
      <c r="N876" s="384"/>
      <c r="O876" s="384"/>
      <c r="P876" s="384"/>
      <c r="Q876" s="384"/>
      <c r="R876" s="384"/>
      <c r="S876" s="660"/>
      <c r="T876" s="396"/>
      <c r="U876" s="384"/>
      <c r="V876" s="384"/>
      <c r="W876" s="384"/>
      <c r="X876" s="384"/>
      <c r="Y876" s="442"/>
      <c r="Z876" s="442"/>
      <c r="AA876" s="441"/>
      <c r="AB876" s="441"/>
      <c r="AC876" s="441"/>
      <c r="AD876" s="441"/>
      <c r="AE876" s="441"/>
      <c r="AF876" s="441"/>
      <c r="AG876" s="441"/>
      <c r="AH876" s="441"/>
      <c r="AI876" s="441"/>
      <c r="AJ876" s="441"/>
      <c r="AK876" s="395"/>
      <c r="AL876" s="395"/>
      <c r="AM876" s="395"/>
      <c r="AN876" s="395"/>
      <c r="AO876" s="395"/>
      <c r="AP876" s="410"/>
      <c r="AQ876" s="410"/>
    </row>
    <row r="877" spans="2:43" ht="15" customHeight="1">
      <c r="B877" s="394"/>
      <c r="C877" s="395"/>
      <c r="D877" s="417"/>
      <c r="E877" s="662"/>
      <c r="F877" s="417"/>
      <c r="G877" s="384"/>
      <c r="H877" s="768"/>
      <c r="I877" s="384"/>
      <c r="J877" s="384"/>
      <c r="K877" s="657"/>
      <c r="L877" s="658"/>
      <c r="M877" s="384"/>
      <c r="N877" s="384"/>
      <c r="O877" s="384"/>
      <c r="P877" s="384"/>
      <c r="Q877" s="384"/>
      <c r="R877" s="384"/>
      <c r="S877" s="660"/>
      <c r="T877" s="396"/>
      <c r="U877" s="384"/>
      <c r="V877" s="384"/>
      <c r="W877" s="384"/>
      <c r="X877" s="384"/>
      <c r="Y877" s="442"/>
      <c r="Z877" s="442"/>
      <c r="AA877" s="441"/>
      <c r="AB877" s="441"/>
      <c r="AC877" s="441"/>
      <c r="AD877" s="441"/>
      <c r="AE877" s="441"/>
      <c r="AF877" s="441"/>
      <c r="AG877" s="441"/>
      <c r="AH877" s="441"/>
      <c r="AI877" s="441"/>
      <c r="AJ877" s="441"/>
      <c r="AK877" s="395"/>
      <c r="AL877" s="395"/>
      <c r="AM877" s="395"/>
      <c r="AN877" s="395"/>
      <c r="AO877" s="395"/>
      <c r="AP877" s="410"/>
      <c r="AQ877" s="410"/>
    </row>
    <row r="878" spans="2:43" ht="15" customHeight="1">
      <c r="B878" s="394"/>
      <c r="C878" s="395"/>
      <c r="D878" s="417"/>
      <c r="E878" s="662"/>
      <c r="F878" s="417"/>
      <c r="G878" s="384"/>
      <c r="H878" s="768"/>
      <c r="I878" s="384"/>
      <c r="J878" s="384"/>
      <c r="K878" s="657"/>
      <c r="L878" s="658"/>
      <c r="M878" s="384"/>
      <c r="N878" s="384"/>
      <c r="O878" s="384"/>
      <c r="P878" s="384"/>
      <c r="Q878" s="384"/>
      <c r="R878" s="384"/>
      <c r="S878" s="660"/>
      <c r="T878" s="396"/>
      <c r="U878" s="384"/>
      <c r="V878" s="384"/>
      <c r="W878" s="384"/>
      <c r="X878" s="384"/>
      <c r="Y878" s="442"/>
      <c r="Z878" s="442"/>
      <c r="AA878" s="441"/>
      <c r="AB878" s="441"/>
      <c r="AC878" s="441"/>
      <c r="AD878" s="441"/>
      <c r="AE878" s="441"/>
      <c r="AF878" s="441"/>
      <c r="AG878" s="441"/>
      <c r="AH878" s="441"/>
      <c r="AI878" s="441"/>
      <c r="AJ878" s="441"/>
      <c r="AK878" s="395"/>
      <c r="AL878" s="395"/>
      <c r="AM878" s="395"/>
      <c r="AN878" s="395"/>
      <c r="AO878" s="395"/>
      <c r="AP878" s="410"/>
      <c r="AQ878" s="410"/>
    </row>
    <row r="879" spans="2:43" ht="15" customHeight="1">
      <c r="B879" s="394"/>
      <c r="C879" s="395"/>
      <c r="D879" s="417"/>
      <c r="E879" s="662"/>
      <c r="F879" s="417"/>
      <c r="G879" s="384"/>
      <c r="H879" s="768"/>
      <c r="I879" s="384"/>
      <c r="J879" s="384"/>
      <c r="K879" s="657"/>
      <c r="L879" s="658"/>
      <c r="M879" s="384"/>
      <c r="N879" s="384"/>
      <c r="O879" s="384"/>
      <c r="P879" s="384"/>
      <c r="Q879" s="384"/>
      <c r="R879" s="384"/>
      <c r="S879" s="660"/>
      <c r="T879" s="396"/>
      <c r="U879" s="384"/>
      <c r="V879" s="384"/>
      <c r="W879" s="384"/>
      <c r="X879" s="384"/>
      <c r="Y879" s="442"/>
      <c r="Z879" s="442"/>
      <c r="AA879" s="441"/>
      <c r="AB879" s="441"/>
      <c r="AC879" s="441"/>
      <c r="AD879" s="441"/>
      <c r="AE879" s="441"/>
      <c r="AF879" s="441"/>
      <c r="AG879" s="441"/>
      <c r="AH879" s="441"/>
      <c r="AI879" s="441"/>
      <c r="AJ879" s="441"/>
      <c r="AK879" s="395"/>
      <c r="AL879" s="395"/>
      <c r="AM879" s="395"/>
      <c r="AN879" s="395"/>
      <c r="AO879" s="395"/>
      <c r="AP879" s="410"/>
      <c r="AQ879" s="410"/>
    </row>
    <row r="880" spans="2:43" ht="15" customHeight="1">
      <c r="B880" s="394"/>
      <c r="C880" s="395"/>
      <c r="D880" s="417"/>
      <c r="E880" s="662"/>
      <c r="F880" s="417"/>
      <c r="G880" s="384"/>
      <c r="H880" s="768"/>
      <c r="I880" s="384"/>
      <c r="J880" s="384"/>
      <c r="K880" s="657"/>
      <c r="L880" s="658"/>
      <c r="M880" s="384"/>
      <c r="N880" s="384"/>
      <c r="O880" s="384"/>
      <c r="P880" s="384"/>
      <c r="Q880" s="384"/>
      <c r="R880" s="384"/>
      <c r="S880" s="660"/>
      <c r="T880" s="396"/>
      <c r="U880" s="384"/>
      <c r="V880" s="384"/>
      <c r="W880" s="384"/>
      <c r="X880" s="384"/>
      <c r="Y880" s="442"/>
      <c r="Z880" s="442"/>
      <c r="AA880" s="441"/>
      <c r="AB880" s="441"/>
      <c r="AC880" s="441"/>
      <c r="AD880" s="441"/>
      <c r="AE880" s="441"/>
      <c r="AF880" s="441"/>
      <c r="AG880" s="441"/>
      <c r="AH880" s="441"/>
      <c r="AI880" s="441"/>
      <c r="AJ880" s="441"/>
      <c r="AK880" s="395"/>
      <c r="AL880" s="395"/>
      <c r="AM880" s="395"/>
      <c r="AN880" s="395"/>
      <c r="AO880" s="395"/>
      <c r="AP880" s="410"/>
      <c r="AQ880" s="410"/>
    </row>
    <row r="881" spans="2:43" ht="15" customHeight="1">
      <c r="B881" s="394"/>
      <c r="C881" s="395"/>
      <c r="D881" s="417"/>
      <c r="E881" s="662"/>
      <c r="F881" s="417"/>
      <c r="G881" s="384"/>
      <c r="H881" s="768"/>
      <c r="I881" s="384"/>
      <c r="J881" s="384"/>
      <c r="K881" s="657"/>
      <c r="L881" s="658"/>
      <c r="M881" s="384"/>
      <c r="N881" s="384"/>
      <c r="O881" s="384"/>
      <c r="P881" s="384"/>
      <c r="Q881" s="384"/>
      <c r="R881" s="384"/>
      <c r="S881" s="660"/>
      <c r="T881" s="396"/>
      <c r="U881" s="384"/>
      <c r="V881" s="384"/>
      <c r="W881" s="384"/>
      <c r="X881" s="384"/>
      <c r="Y881" s="442"/>
      <c r="Z881" s="442"/>
      <c r="AA881" s="441"/>
      <c r="AB881" s="441"/>
      <c r="AC881" s="441"/>
      <c r="AD881" s="441"/>
      <c r="AE881" s="441"/>
      <c r="AF881" s="441"/>
      <c r="AG881" s="441"/>
      <c r="AH881" s="441"/>
      <c r="AI881" s="441"/>
      <c r="AJ881" s="441"/>
      <c r="AK881" s="395"/>
      <c r="AL881" s="395"/>
      <c r="AM881" s="395"/>
      <c r="AN881" s="395"/>
      <c r="AO881" s="395"/>
      <c r="AP881" s="410"/>
      <c r="AQ881" s="410"/>
    </row>
    <row r="882" spans="2:43" ht="15" customHeight="1">
      <c r="B882" s="394"/>
      <c r="C882" s="395"/>
      <c r="D882" s="417"/>
      <c r="E882" s="662"/>
      <c r="F882" s="417"/>
      <c r="G882" s="384"/>
      <c r="H882" s="768"/>
      <c r="I882" s="384"/>
      <c r="J882" s="384"/>
      <c r="K882" s="657"/>
      <c r="L882" s="658"/>
      <c r="M882" s="384"/>
      <c r="N882" s="384"/>
      <c r="O882" s="384"/>
      <c r="P882" s="384"/>
      <c r="Q882" s="384"/>
      <c r="R882" s="384"/>
      <c r="S882" s="660"/>
      <c r="T882" s="396"/>
      <c r="U882" s="384"/>
      <c r="V882" s="384"/>
      <c r="W882" s="384"/>
      <c r="X882" s="384"/>
      <c r="Y882" s="442"/>
      <c r="Z882" s="442"/>
      <c r="AA882" s="441"/>
      <c r="AB882" s="441"/>
      <c r="AC882" s="441"/>
      <c r="AD882" s="441"/>
      <c r="AE882" s="441"/>
      <c r="AF882" s="441"/>
      <c r="AG882" s="441"/>
      <c r="AH882" s="441"/>
      <c r="AI882" s="441"/>
      <c r="AJ882" s="441"/>
      <c r="AK882" s="395"/>
      <c r="AL882" s="395"/>
      <c r="AM882" s="395"/>
      <c r="AN882" s="395"/>
      <c r="AO882" s="395"/>
      <c r="AP882" s="410"/>
      <c r="AQ882" s="410"/>
    </row>
    <row r="883" spans="2:43" ht="15" customHeight="1">
      <c r="B883" s="394"/>
      <c r="C883" s="395"/>
      <c r="D883" s="417"/>
      <c r="E883" s="662"/>
      <c r="F883" s="417"/>
      <c r="G883" s="384"/>
      <c r="H883" s="768"/>
      <c r="I883" s="384"/>
      <c r="J883" s="384"/>
      <c r="K883" s="657"/>
      <c r="L883" s="658"/>
      <c r="M883" s="384"/>
      <c r="N883" s="384"/>
      <c r="O883" s="384"/>
      <c r="P883" s="384"/>
      <c r="Q883" s="384"/>
      <c r="R883" s="384"/>
      <c r="S883" s="660"/>
      <c r="T883" s="396"/>
      <c r="U883" s="384"/>
      <c r="V883" s="384"/>
      <c r="W883" s="384"/>
      <c r="X883" s="384"/>
      <c r="Y883" s="442"/>
      <c r="Z883" s="442"/>
      <c r="AA883" s="441"/>
      <c r="AB883" s="441"/>
      <c r="AC883" s="441"/>
      <c r="AD883" s="441"/>
      <c r="AE883" s="441"/>
      <c r="AF883" s="441"/>
      <c r="AG883" s="441"/>
      <c r="AH883" s="441"/>
      <c r="AI883" s="441"/>
      <c r="AJ883" s="441"/>
      <c r="AK883" s="395"/>
      <c r="AL883" s="395"/>
      <c r="AM883" s="395"/>
      <c r="AN883" s="395"/>
      <c r="AO883" s="395"/>
      <c r="AP883" s="410"/>
      <c r="AQ883" s="410"/>
    </row>
    <row r="884" spans="2:43" ht="15" customHeight="1">
      <c r="B884" s="394"/>
      <c r="C884" s="395"/>
      <c r="D884" s="417"/>
      <c r="E884" s="662"/>
      <c r="F884" s="417"/>
      <c r="G884" s="384"/>
      <c r="H884" s="768"/>
      <c r="I884" s="384"/>
      <c r="J884" s="384"/>
      <c r="K884" s="657"/>
      <c r="L884" s="658"/>
      <c r="M884" s="384"/>
      <c r="N884" s="384"/>
      <c r="O884" s="384"/>
      <c r="P884" s="384"/>
      <c r="Q884" s="384"/>
      <c r="R884" s="384"/>
      <c r="S884" s="660"/>
      <c r="T884" s="396"/>
      <c r="U884" s="384"/>
      <c r="V884" s="384"/>
      <c r="W884" s="384"/>
      <c r="X884" s="384"/>
      <c r="Y884" s="442"/>
      <c r="Z884" s="442"/>
      <c r="AA884" s="441"/>
      <c r="AB884" s="441"/>
      <c r="AC884" s="441"/>
      <c r="AD884" s="441"/>
      <c r="AE884" s="441"/>
      <c r="AF884" s="441"/>
      <c r="AG884" s="441"/>
      <c r="AH884" s="441"/>
      <c r="AI884" s="441"/>
      <c r="AJ884" s="441"/>
      <c r="AK884" s="395"/>
      <c r="AL884" s="395"/>
      <c r="AM884" s="395"/>
      <c r="AN884" s="395"/>
      <c r="AO884" s="395"/>
      <c r="AP884" s="410"/>
      <c r="AQ884" s="410"/>
    </row>
    <row r="885" spans="2:43" ht="15" customHeight="1">
      <c r="B885" s="394"/>
      <c r="C885" s="395"/>
      <c r="D885" s="417"/>
      <c r="E885" s="662"/>
      <c r="F885" s="417"/>
      <c r="G885" s="384"/>
      <c r="H885" s="768"/>
      <c r="I885" s="384"/>
      <c r="J885" s="384"/>
      <c r="K885" s="657"/>
      <c r="L885" s="658"/>
      <c r="M885" s="384"/>
      <c r="N885" s="384"/>
      <c r="O885" s="384"/>
      <c r="P885" s="384"/>
      <c r="Q885" s="384"/>
      <c r="R885" s="384"/>
      <c r="S885" s="660"/>
      <c r="T885" s="396"/>
      <c r="U885" s="384"/>
      <c r="V885" s="384"/>
      <c r="W885" s="384"/>
      <c r="X885" s="384"/>
      <c r="Y885" s="442"/>
      <c r="Z885" s="442"/>
      <c r="AA885" s="441"/>
      <c r="AB885" s="441"/>
      <c r="AC885" s="441"/>
      <c r="AD885" s="441"/>
      <c r="AE885" s="441"/>
      <c r="AF885" s="441"/>
      <c r="AG885" s="441"/>
      <c r="AH885" s="441"/>
      <c r="AI885" s="441"/>
      <c r="AJ885" s="441"/>
      <c r="AK885" s="395"/>
      <c r="AL885" s="395"/>
      <c r="AM885" s="395"/>
      <c r="AN885" s="395"/>
      <c r="AO885" s="395"/>
      <c r="AP885" s="410"/>
      <c r="AQ885" s="410"/>
    </row>
    <row r="886" spans="2:43" ht="15" customHeight="1">
      <c r="B886" s="394"/>
      <c r="C886" s="395"/>
      <c r="D886" s="417"/>
      <c r="E886" s="662"/>
      <c r="F886" s="417"/>
      <c r="G886" s="384"/>
      <c r="H886" s="768"/>
      <c r="I886" s="384"/>
      <c r="J886" s="384"/>
      <c r="K886" s="657"/>
      <c r="L886" s="658"/>
      <c r="M886" s="384"/>
      <c r="N886" s="384"/>
      <c r="O886" s="384"/>
      <c r="P886" s="384"/>
      <c r="Q886" s="384"/>
      <c r="R886" s="384"/>
      <c r="S886" s="660"/>
      <c r="T886" s="396"/>
      <c r="U886" s="384"/>
      <c r="V886" s="384"/>
      <c r="W886" s="384"/>
      <c r="X886" s="384"/>
      <c r="Y886" s="442"/>
      <c r="Z886" s="442"/>
      <c r="AA886" s="441"/>
      <c r="AB886" s="441"/>
      <c r="AC886" s="441"/>
      <c r="AD886" s="441"/>
      <c r="AE886" s="441"/>
      <c r="AF886" s="441"/>
      <c r="AG886" s="441"/>
      <c r="AH886" s="441"/>
      <c r="AI886" s="441"/>
      <c r="AJ886" s="441"/>
      <c r="AK886" s="395"/>
      <c r="AL886" s="395"/>
      <c r="AM886" s="395"/>
      <c r="AN886" s="395"/>
      <c r="AO886" s="395"/>
      <c r="AP886" s="410"/>
      <c r="AQ886" s="410"/>
    </row>
    <row r="887" spans="2:43" ht="15" customHeight="1">
      <c r="B887" s="394"/>
      <c r="C887" s="395"/>
      <c r="D887" s="417"/>
      <c r="E887" s="662"/>
      <c r="F887" s="417"/>
      <c r="G887" s="384"/>
      <c r="H887" s="768"/>
      <c r="I887" s="384"/>
      <c r="J887" s="384"/>
      <c r="K887" s="657"/>
      <c r="L887" s="658"/>
      <c r="M887" s="384"/>
      <c r="N887" s="384"/>
      <c r="O887" s="384"/>
      <c r="P887" s="384"/>
      <c r="Q887" s="384"/>
      <c r="R887" s="384"/>
      <c r="S887" s="660"/>
      <c r="T887" s="396"/>
      <c r="U887" s="384"/>
      <c r="V887" s="384"/>
      <c r="W887" s="384"/>
      <c r="X887" s="384"/>
      <c r="Y887" s="442"/>
      <c r="Z887" s="442"/>
      <c r="AA887" s="441"/>
      <c r="AB887" s="441"/>
      <c r="AC887" s="441"/>
      <c r="AD887" s="441"/>
      <c r="AE887" s="441"/>
      <c r="AF887" s="441"/>
      <c r="AG887" s="441"/>
      <c r="AH887" s="441"/>
      <c r="AI887" s="441"/>
      <c r="AJ887" s="441"/>
      <c r="AK887" s="395"/>
      <c r="AL887" s="395"/>
      <c r="AM887" s="395"/>
      <c r="AN887" s="395"/>
      <c r="AO887" s="395"/>
      <c r="AP887" s="410"/>
      <c r="AQ887" s="410"/>
    </row>
    <row r="888" spans="2:43" ht="15" customHeight="1">
      <c r="B888" s="394"/>
      <c r="C888" s="395"/>
      <c r="D888" s="417"/>
      <c r="E888" s="662"/>
      <c r="F888" s="417"/>
      <c r="G888" s="384"/>
      <c r="H888" s="768"/>
      <c r="I888" s="384"/>
      <c r="J888" s="384"/>
      <c r="K888" s="657"/>
      <c r="L888" s="658"/>
      <c r="M888" s="384"/>
      <c r="N888" s="384"/>
      <c r="O888" s="384"/>
      <c r="P888" s="384"/>
      <c r="Q888" s="384"/>
      <c r="R888" s="384"/>
      <c r="S888" s="660"/>
      <c r="T888" s="396"/>
      <c r="U888" s="384"/>
      <c r="V888" s="384"/>
      <c r="W888" s="384"/>
      <c r="X888" s="384"/>
      <c r="Y888" s="442"/>
      <c r="Z888" s="442"/>
      <c r="AA888" s="441"/>
      <c r="AB888" s="441"/>
      <c r="AC888" s="441"/>
      <c r="AD888" s="441"/>
      <c r="AE888" s="441"/>
      <c r="AF888" s="441"/>
      <c r="AG888" s="441"/>
      <c r="AH888" s="441"/>
      <c r="AI888" s="441"/>
      <c r="AJ888" s="441"/>
      <c r="AK888" s="395"/>
      <c r="AL888" s="395"/>
      <c r="AM888" s="395"/>
      <c r="AN888" s="395"/>
      <c r="AO888" s="395"/>
      <c r="AP888" s="410"/>
      <c r="AQ888" s="410"/>
    </row>
    <row r="889" spans="2:43" ht="15" customHeight="1">
      <c r="B889" s="394"/>
      <c r="C889" s="395"/>
      <c r="D889" s="417"/>
      <c r="E889" s="662"/>
      <c r="F889" s="417"/>
      <c r="G889" s="384"/>
      <c r="H889" s="768"/>
      <c r="I889" s="384"/>
      <c r="J889" s="384"/>
      <c r="K889" s="657"/>
      <c r="L889" s="658"/>
      <c r="M889" s="384"/>
      <c r="N889" s="384"/>
      <c r="O889" s="384"/>
      <c r="P889" s="384"/>
      <c r="Q889" s="384"/>
      <c r="R889" s="384"/>
      <c r="S889" s="660"/>
      <c r="T889" s="396"/>
      <c r="U889" s="384"/>
      <c r="V889" s="384"/>
      <c r="W889" s="384"/>
      <c r="X889" s="384"/>
      <c r="Y889" s="442"/>
      <c r="Z889" s="442"/>
      <c r="AA889" s="441"/>
      <c r="AB889" s="441"/>
      <c r="AC889" s="441"/>
      <c r="AD889" s="441"/>
      <c r="AE889" s="441"/>
      <c r="AF889" s="441"/>
      <c r="AG889" s="441"/>
      <c r="AH889" s="441"/>
      <c r="AI889" s="441"/>
      <c r="AJ889" s="441"/>
      <c r="AK889" s="395"/>
      <c r="AL889" s="395"/>
      <c r="AM889" s="395"/>
      <c r="AN889" s="395"/>
      <c r="AO889" s="395"/>
      <c r="AP889" s="410"/>
      <c r="AQ889" s="410"/>
    </row>
    <row r="890" spans="2:43" ht="15" customHeight="1">
      <c r="B890" s="394"/>
      <c r="C890" s="395"/>
      <c r="D890" s="417"/>
      <c r="E890" s="662"/>
      <c r="F890" s="417"/>
      <c r="G890" s="384"/>
      <c r="H890" s="768"/>
      <c r="I890" s="384"/>
      <c r="J890" s="384"/>
      <c r="K890" s="657"/>
      <c r="L890" s="658"/>
      <c r="M890" s="384"/>
      <c r="N890" s="384"/>
      <c r="O890" s="384"/>
      <c r="P890" s="384"/>
      <c r="Q890" s="384"/>
      <c r="R890" s="384"/>
      <c r="S890" s="660"/>
      <c r="T890" s="396"/>
      <c r="U890" s="384"/>
      <c r="V890" s="384"/>
      <c r="W890" s="384"/>
      <c r="X890" s="384"/>
      <c r="Y890" s="442"/>
      <c r="Z890" s="442"/>
      <c r="AA890" s="441"/>
      <c r="AB890" s="441"/>
      <c r="AC890" s="441"/>
      <c r="AD890" s="441"/>
      <c r="AE890" s="441"/>
      <c r="AF890" s="441"/>
      <c r="AG890" s="441"/>
      <c r="AH890" s="441"/>
      <c r="AI890" s="441"/>
      <c r="AJ890" s="441"/>
      <c r="AK890" s="395"/>
      <c r="AL890" s="395"/>
      <c r="AM890" s="395"/>
      <c r="AN890" s="395"/>
      <c r="AO890" s="395"/>
      <c r="AP890" s="410"/>
      <c r="AQ890" s="410"/>
    </row>
    <row r="891" spans="2:43" ht="15" customHeight="1">
      <c r="B891" s="394"/>
      <c r="C891" s="395"/>
      <c r="D891" s="417"/>
      <c r="E891" s="662"/>
      <c r="F891" s="417"/>
      <c r="G891" s="384"/>
      <c r="H891" s="768"/>
      <c r="I891" s="384"/>
      <c r="J891" s="384"/>
      <c r="K891" s="657"/>
      <c r="L891" s="658"/>
      <c r="M891" s="384"/>
      <c r="N891" s="384"/>
      <c r="O891" s="384"/>
      <c r="P891" s="384"/>
      <c r="Q891" s="384"/>
      <c r="R891" s="384"/>
      <c r="S891" s="660"/>
      <c r="T891" s="396"/>
      <c r="U891" s="384"/>
      <c r="V891" s="384"/>
      <c r="W891" s="384"/>
      <c r="X891" s="384"/>
      <c r="Y891" s="442"/>
      <c r="Z891" s="442"/>
      <c r="AA891" s="441"/>
      <c r="AB891" s="441"/>
      <c r="AC891" s="441"/>
      <c r="AD891" s="441"/>
      <c r="AE891" s="441"/>
      <c r="AF891" s="441"/>
      <c r="AG891" s="441"/>
      <c r="AH891" s="441"/>
      <c r="AI891" s="441"/>
      <c r="AJ891" s="441"/>
      <c r="AK891" s="395"/>
      <c r="AL891" s="395"/>
      <c r="AM891" s="395"/>
      <c r="AN891" s="395"/>
      <c r="AO891" s="395"/>
      <c r="AP891" s="410"/>
      <c r="AQ891" s="410"/>
    </row>
    <row r="892" spans="2:43" ht="15" customHeight="1">
      <c r="B892" s="394"/>
      <c r="C892" s="395"/>
      <c r="D892" s="417"/>
      <c r="E892" s="662"/>
      <c r="F892" s="417"/>
      <c r="G892" s="384"/>
      <c r="H892" s="768"/>
      <c r="I892" s="384"/>
      <c r="J892" s="384"/>
      <c r="K892" s="657"/>
      <c r="L892" s="658"/>
      <c r="M892" s="384"/>
      <c r="N892" s="384"/>
      <c r="O892" s="384"/>
      <c r="P892" s="384"/>
      <c r="Q892" s="384"/>
      <c r="R892" s="384"/>
      <c r="S892" s="660"/>
      <c r="T892" s="396"/>
      <c r="U892" s="384"/>
      <c r="V892" s="384"/>
      <c r="W892" s="384"/>
      <c r="X892" s="384"/>
      <c r="Y892" s="442"/>
      <c r="Z892" s="442"/>
      <c r="AA892" s="441"/>
      <c r="AB892" s="441"/>
      <c r="AC892" s="441"/>
      <c r="AD892" s="441"/>
      <c r="AE892" s="441"/>
      <c r="AF892" s="441"/>
      <c r="AG892" s="441"/>
      <c r="AH892" s="441"/>
      <c r="AI892" s="441"/>
      <c r="AJ892" s="441"/>
      <c r="AK892" s="395"/>
      <c r="AL892" s="395"/>
      <c r="AM892" s="395"/>
      <c r="AN892" s="395"/>
      <c r="AO892" s="395"/>
      <c r="AP892" s="410"/>
      <c r="AQ892" s="410"/>
    </row>
    <row r="893" spans="2:43" ht="15" customHeight="1">
      <c r="B893" s="394"/>
      <c r="C893" s="395"/>
      <c r="D893" s="417"/>
      <c r="E893" s="662"/>
      <c r="F893" s="417"/>
      <c r="G893" s="384"/>
      <c r="H893" s="768"/>
      <c r="I893" s="384"/>
      <c r="J893" s="384"/>
      <c r="K893" s="657"/>
      <c r="L893" s="658"/>
      <c r="M893" s="384"/>
      <c r="N893" s="384"/>
      <c r="O893" s="384"/>
      <c r="P893" s="384"/>
      <c r="Q893" s="384"/>
      <c r="R893" s="384"/>
      <c r="S893" s="660"/>
      <c r="T893" s="396"/>
      <c r="U893" s="384"/>
      <c r="V893" s="384"/>
      <c r="W893" s="384"/>
      <c r="X893" s="384"/>
      <c r="Y893" s="442"/>
      <c r="Z893" s="442"/>
      <c r="AA893" s="441"/>
      <c r="AB893" s="441"/>
      <c r="AC893" s="441"/>
      <c r="AD893" s="441"/>
      <c r="AE893" s="441"/>
      <c r="AF893" s="441"/>
      <c r="AG893" s="441"/>
      <c r="AH893" s="441"/>
      <c r="AI893" s="441"/>
      <c r="AJ893" s="441"/>
      <c r="AK893" s="395"/>
      <c r="AL893" s="395"/>
      <c r="AM893" s="395"/>
      <c r="AN893" s="395"/>
      <c r="AO893" s="395"/>
      <c r="AP893" s="410"/>
      <c r="AQ893" s="410"/>
    </row>
    <row r="894" spans="2:43" ht="15" customHeight="1">
      <c r="B894" s="394"/>
      <c r="C894" s="395"/>
      <c r="D894" s="417"/>
      <c r="E894" s="662"/>
      <c r="F894" s="417"/>
      <c r="G894" s="384"/>
      <c r="H894" s="768"/>
      <c r="I894" s="384"/>
      <c r="J894" s="384"/>
      <c r="K894" s="657"/>
      <c r="L894" s="658"/>
      <c r="M894" s="384"/>
      <c r="N894" s="384"/>
      <c r="O894" s="384"/>
      <c r="P894" s="384"/>
      <c r="Q894" s="384"/>
      <c r="R894" s="384"/>
      <c r="S894" s="660"/>
      <c r="T894" s="396"/>
      <c r="U894" s="384"/>
      <c r="V894" s="384"/>
      <c r="W894" s="384"/>
      <c r="X894" s="384"/>
      <c r="Y894" s="442"/>
      <c r="Z894" s="442"/>
      <c r="AA894" s="441"/>
      <c r="AB894" s="441"/>
      <c r="AC894" s="441"/>
      <c r="AD894" s="441"/>
      <c r="AE894" s="441"/>
      <c r="AF894" s="441"/>
      <c r="AG894" s="441"/>
      <c r="AH894" s="441"/>
      <c r="AI894" s="441"/>
      <c r="AJ894" s="441"/>
      <c r="AK894" s="395"/>
      <c r="AL894" s="395"/>
      <c r="AM894" s="395"/>
      <c r="AN894" s="395"/>
      <c r="AO894" s="395"/>
      <c r="AP894" s="410"/>
      <c r="AQ894" s="410"/>
    </row>
    <row r="895" spans="2:43" ht="15" customHeight="1">
      <c r="B895" s="394"/>
      <c r="C895" s="395"/>
      <c r="D895" s="417"/>
      <c r="E895" s="662"/>
      <c r="F895" s="417"/>
      <c r="G895" s="384"/>
      <c r="H895" s="768"/>
      <c r="I895" s="384"/>
      <c r="J895" s="384"/>
      <c r="K895" s="657"/>
      <c r="L895" s="658"/>
      <c r="M895" s="384"/>
      <c r="N895" s="384"/>
      <c r="O895" s="384"/>
      <c r="P895" s="384"/>
      <c r="Q895" s="384"/>
      <c r="R895" s="384"/>
      <c r="S895" s="660"/>
      <c r="T895" s="396"/>
      <c r="U895" s="384"/>
      <c r="V895" s="384"/>
      <c r="W895" s="384"/>
      <c r="X895" s="384"/>
      <c r="Y895" s="442"/>
      <c r="Z895" s="442"/>
      <c r="AA895" s="441"/>
      <c r="AB895" s="441"/>
      <c r="AC895" s="441"/>
      <c r="AD895" s="441"/>
      <c r="AE895" s="441"/>
      <c r="AF895" s="441"/>
      <c r="AG895" s="441"/>
      <c r="AH895" s="441"/>
      <c r="AI895" s="441"/>
      <c r="AJ895" s="441"/>
      <c r="AK895" s="395"/>
      <c r="AL895" s="395"/>
      <c r="AM895" s="395"/>
      <c r="AN895" s="395"/>
      <c r="AO895" s="395"/>
      <c r="AP895" s="410"/>
      <c r="AQ895" s="410"/>
    </row>
    <row r="896" spans="2:43" ht="15" customHeight="1">
      <c r="B896" s="394"/>
      <c r="C896" s="395"/>
      <c r="D896" s="417"/>
      <c r="E896" s="662"/>
      <c r="F896" s="417"/>
      <c r="G896" s="384"/>
      <c r="H896" s="768"/>
      <c r="I896" s="384"/>
      <c r="J896" s="384"/>
      <c r="K896" s="657"/>
      <c r="L896" s="658"/>
      <c r="M896" s="384"/>
      <c r="N896" s="384"/>
      <c r="O896" s="384"/>
      <c r="P896" s="384"/>
      <c r="Q896" s="384"/>
      <c r="R896" s="384"/>
      <c r="S896" s="660"/>
      <c r="T896" s="396"/>
      <c r="U896" s="384"/>
      <c r="V896" s="384"/>
      <c r="W896" s="384"/>
      <c r="X896" s="384"/>
      <c r="Y896" s="442"/>
      <c r="Z896" s="442"/>
      <c r="AA896" s="441"/>
      <c r="AB896" s="441"/>
      <c r="AC896" s="441"/>
      <c r="AD896" s="441"/>
      <c r="AE896" s="441"/>
      <c r="AF896" s="441"/>
      <c r="AG896" s="441"/>
      <c r="AH896" s="441"/>
      <c r="AI896" s="441"/>
      <c r="AJ896" s="441"/>
      <c r="AK896" s="395"/>
      <c r="AL896" s="395"/>
      <c r="AM896" s="395"/>
      <c r="AN896" s="395"/>
      <c r="AO896" s="395"/>
      <c r="AP896" s="410"/>
      <c r="AQ896" s="410"/>
    </row>
    <row r="897" spans="2:43" ht="15" customHeight="1">
      <c r="B897" s="394"/>
      <c r="C897" s="395"/>
      <c r="D897" s="417"/>
      <c r="E897" s="662"/>
      <c r="F897" s="417"/>
      <c r="G897" s="384"/>
      <c r="H897" s="768"/>
      <c r="I897" s="384"/>
      <c r="J897" s="384"/>
      <c r="K897" s="657"/>
      <c r="L897" s="658"/>
      <c r="M897" s="384"/>
      <c r="N897" s="384"/>
      <c r="O897" s="384"/>
      <c r="P897" s="384"/>
      <c r="Q897" s="384"/>
      <c r="R897" s="384"/>
      <c r="S897" s="660"/>
      <c r="T897" s="396"/>
      <c r="U897" s="384"/>
      <c r="V897" s="384"/>
      <c r="W897" s="384"/>
      <c r="X897" s="384"/>
      <c r="Y897" s="442"/>
      <c r="Z897" s="442"/>
      <c r="AA897" s="441"/>
      <c r="AB897" s="441"/>
      <c r="AC897" s="441"/>
      <c r="AD897" s="441"/>
      <c r="AE897" s="441"/>
      <c r="AF897" s="441"/>
      <c r="AG897" s="441"/>
      <c r="AH897" s="441"/>
      <c r="AI897" s="441"/>
      <c r="AJ897" s="441"/>
      <c r="AK897" s="395"/>
      <c r="AL897" s="395"/>
      <c r="AM897" s="395"/>
      <c r="AN897" s="395"/>
      <c r="AO897" s="395"/>
      <c r="AP897" s="410"/>
      <c r="AQ897" s="410"/>
    </row>
    <row r="898" spans="2:43" ht="15" customHeight="1">
      <c r="B898" s="394"/>
      <c r="C898" s="395"/>
      <c r="D898" s="417"/>
      <c r="E898" s="662"/>
      <c r="F898" s="417"/>
      <c r="G898" s="384"/>
      <c r="H898" s="768"/>
      <c r="I898" s="384"/>
      <c r="J898" s="384"/>
      <c r="K898" s="657"/>
      <c r="L898" s="658"/>
      <c r="M898" s="384"/>
      <c r="N898" s="384"/>
      <c r="O898" s="384"/>
      <c r="P898" s="384"/>
      <c r="Q898" s="384"/>
      <c r="R898" s="384"/>
      <c r="S898" s="660"/>
      <c r="T898" s="396"/>
      <c r="U898" s="384"/>
      <c r="V898" s="384"/>
      <c r="W898" s="384"/>
      <c r="X898" s="384"/>
      <c r="Y898" s="442"/>
      <c r="Z898" s="442"/>
      <c r="AA898" s="441"/>
      <c r="AB898" s="441"/>
      <c r="AC898" s="441"/>
      <c r="AD898" s="441"/>
      <c r="AE898" s="441"/>
      <c r="AF898" s="441"/>
      <c r="AG898" s="441"/>
      <c r="AH898" s="441"/>
      <c r="AI898" s="441"/>
      <c r="AJ898" s="441"/>
      <c r="AK898" s="395"/>
      <c r="AL898" s="395"/>
      <c r="AM898" s="395"/>
      <c r="AN898" s="395"/>
      <c r="AO898" s="395"/>
      <c r="AP898" s="410"/>
      <c r="AQ898" s="410"/>
    </row>
    <row r="899" spans="2:43" ht="15" customHeight="1">
      <c r="B899" s="394"/>
      <c r="C899" s="395"/>
      <c r="D899" s="417"/>
      <c r="E899" s="662"/>
      <c r="F899" s="417"/>
      <c r="G899" s="384"/>
      <c r="H899" s="768"/>
      <c r="I899" s="384"/>
      <c r="J899" s="384"/>
      <c r="K899" s="657"/>
      <c r="L899" s="658"/>
      <c r="M899" s="384"/>
      <c r="N899" s="384"/>
      <c r="O899" s="384"/>
      <c r="P899" s="384"/>
      <c r="Q899" s="384"/>
      <c r="R899" s="384"/>
      <c r="S899" s="660"/>
      <c r="T899" s="396"/>
      <c r="U899" s="384"/>
      <c r="V899" s="384"/>
      <c r="W899" s="384"/>
      <c r="X899" s="384"/>
      <c r="Y899" s="442"/>
      <c r="Z899" s="442"/>
      <c r="AA899" s="441"/>
      <c r="AB899" s="441"/>
      <c r="AC899" s="441"/>
      <c r="AD899" s="441"/>
      <c r="AE899" s="441"/>
      <c r="AF899" s="441"/>
      <c r="AG899" s="441"/>
      <c r="AH899" s="441"/>
      <c r="AI899" s="441"/>
      <c r="AJ899" s="441"/>
      <c r="AK899" s="395"/>
      <c r="AL899" s="395"/>
      <c r="AM899" s="395"/>
      <c r="AN899" s="395"/>
      <c r="AO899" s="395"/>
      <c r="AP899" s="410"/>
      <c r="AQ899" s="410"/>
    </row>
    <row r="900" spans="2:43" ht="15" customHeight="1">
      <c r="B900" s="394"/>
      <c r="C900" s="395"/>
      <c r="D900" s="417"/>
      <c r="E900" s="662"/>
      <c r="F900" s="417"/>
      <c r="G900" s="384"/>
      <c r="H900" s="768"/>
      <c r="I900" s="384"/>
      <c r="J900" s="384"/>
      <c r="K900" s="657"/>
      <c r="L900" s="658"/>
      <c r="M900" s="384"/>
      <c r="N900" s="384"/>
      <c r="O900" s="384"/>
      <c r="P900" s="384"/>
      <c r="Q900" s="384"/>
      <c r="R900" s="384"/>
      <c r="S900" s="660"/>
      <c r="T900" s="396"/>
      <c r="U900" s="384"/>
      <c r="V900" s="384"/>
      <c r="W900" s="384"/>
      <c r="X900" s="384"/>
      <c r="Y900" s="442"/>
      <c r="Z900" s="442"/>
      <c r="AA900" s="441"/>
      <c r="AB900" s="441"/>
      <c r="AC900" s="441"/>
      <c r="AD900" s="441"/>
      <c r="AE900" s="441"/>
      <c r="AF900" s="441"/>
      <c r="AG900" s="441"/>
      <c r="AH900" s="441"/>
      <c r="AI900" s="441"/>
      <c r="AJ900" s="441"/>
      <c r="AK900" s="395"/>
      <c r="AL900" s="395"/>
      <c r="AM900" s="395"/>
      <c r="AN900" s="395"/>
      <c r="AO900" s="395"/>
      <c r="AP900" s="410"/>
      <c r="AQ900" s="410"/>
    </row>
    <row r="901" spans="2:43" ht="15" customHeight="1">
      <c r="B901" s="394"/>
      <c r="C901" s="395"/>
      <c r="D901" s="417"/>
      <c r="E901" s="662"/>
      <c r="F901" s="417"/>
      <c r="G901" s="384"/>
      <c r="H901" s="768"/>
      <c r="I901" s="384"/>
      <c r="J901" s="384"/>
      <c r="K901" s="657"/>
      <c r="L901" s="658"/>
      <c r="M901" s="384"/>
      <c r="N901" s="384"/>
      <c r="O901" s="384"/>
      <c r="P901" s="384"/>
      <c r="Q901" s="384"/>
      <c r="R901" s="384"/>
      <c r="S901" s="660"/>
      <c r="T901" s="396"/>
      <c r="U901" s="384"/>
      <c r="V901" s="384"/>
      <c r="W901" s="384"/>
      <c r="X901" s="384"/>
      <c r="Y901" s="442"/>
      <c r="Z901" s="442"/>
      <c r="AA901" s="441"/>
      <c r="AB901" s="441"/>
      <c r="AC901" s="441"/>
      <c r="AD901" s="441"/>
      <c r="AE901" s="441"/>
      <c r="AF901" s="441"/>
      <c r="AG901" s="441"/>
      <c r="AH901" s="441"/>
      <c r="AI901" s="441"/>
      <c r="AJ901" s="441"/>
      <c r="AK901" s="395"/>
      <c r="AL901" s="395"/>
      <c r="AM901" s="395"/>
      <c r="AN901" s="395"/>
      <c r="AO901" s="395"/>
      <c r="AP901" s="410"/>
      <c r="AQ901" s="410"/>
    </row>
    <row r="902" spans="2:43" ht="15" customHeight="1">
      <c r="B902" s="394"/>
      <c r="C902" s="395"/>
      <c r="D902" s="417"/>
      <c r="E902" s="662"/>
      <c r="F902" s="417"/>
      <c r="G902" s="384"/>
      <c r="H902" s="768"/>
      <c r="I902" s="384"/>
      <c r="J902" s="384"/>
      <c r="K902" s="657"/>
      <c r="L902" s="658"/>
      <c r="M902" s="384"/>
      <c r="N902" s="384"/>
      <c r="O902" s="384"/>
      <c r="P902" s="384"/>
      <c r="Q902" s="384"/>
      <c r="R902" s="384"/>
      <c r="S902" s="660"/>
      <c r="T902" s="396"/>
      <c r="U902" s="384"/>
      <c r="V902" s="384"/>
      <c r="W902" s="384"/>
      <c r="X902" s="384"/>
      <c r="Y902" s="442"/>
      <c r="Z902" s="442"/>
      <c r="AA902" s="441"/>
      <c r="AB902" s="441"/>
      <c r="AC902" s="441"/>
      <c r="AD902" s="441"/>
      <c r="AE902" s="441"/>
      <c r="AF902" s="441"/>
      <c r="AG902" s="441"/>
      <c r="AH902" s="441"/>
      <c r="AI902" s="441"/>
      <c r="AJ902" s="441"/>
      <c r="AK902" s="395"/>
      <c r="AL902" s="395"/>
      <c r="AM902" s="395"/>
      <c r="AN902" s="395"/>
      <c r="AO902" s="395"/>
      <c r="AP902" s="410"/>
      <c r="AQ902" s="410"/>
    </row>
    <row r="903" spans="2:43" ht="15" customHeight="1">
      <c r="B903" s="394"/>
      <c r="C903" s="395"/>
      <c r="D903" s="417"/>
      <c r="E903" s="662"/>
      <c r="F903" s="417"/>
      <c r="G903" s="384"/>
      <c r="H903" s="768"/>
      <c r="I903" s="384"/>
      <c r="J903" s="384"/>
      <c r="K903" s="657"/>
      <c r="L903" s="658"/>
      <c r="M903" s="384"/>
      <c r="N903" s="384"/>
      <c r="O903" s="384"/>
      <c r="P903" s="384"/>
      <c r="Q903" s="384"/>
      <c r="R903" s="384"/>
      <c r="S903" s="660"/>
      <c r="T903" s="396"/>
      <c r="U903" s="384"/>
      <c r="V903" s="384"/>
      <c r="W903" s="384"/>
      <c r="X903" s="384"/>
      <c r="Y903" s="442"/>
      <c r="Z903" s="442"/>
      <c r="AA903" s="441"/>
      <c r="AB903" s="441"/>
      <c r="AC903" s="441"/>
      <c r="AD903" s="441"/>
      <c r="AE903" s="441"/>
      <c r="AF903" s="441"/>
      <c r="AG903" s="441"/>
      <c r="AH903" s="441"/>
      <c r="AI903" s="441"/>
      <c r="AJ903" s="441"/>
      <c r="AK903" s="395"/>
      <c r="AL903" s="395"/>
      <c r="AM903" s="395"/>
      <c r="AN903" s="395"/>
      <c r="AO903" s="395"/>
      <c r="AP903" s="410"/>
      <c r="AQ903" s="410"/>
    </row>
    <row r="904" spans="2:43" ht="15" customHeight="1">
      <c r="B904" s="394"/>
      <c r="C904" s="395"/>
      <c r="D904" s="417"/>
      <c r="E904" s="662"/>
      <c r="F904" s="417"/>
      <c r="G904" s="384"/>
      <c r="H904" s="768"/>
      <c r="I904" s="384"/>
      <c r="J904" s="384"/>
      <c r="K904" s="657"/>
      <c r="L904" s="658"/>
      <c r="M904" s="384"/>
      <c r="N904" s="384"/>
      <c r="O904" s="384"/>
      <c r="P904" s="384"/>
      <c r="Q904" s="384"/>
      <c r="R904" s="384"/>
      <c r="S904" s="660"/>
      <c r="T904" s="396"/>
      <c r="U904" s="384"/>
      <c r="V904" s="384"/>
      <c r="W904" s="384"/>
      <c r="X904" s="384"/>
      <c r="Y904" s="442"/>
      <c r="Z904" s="442"/>
      <c r="AA904" s="441"/>
      <c r="AB904" s="441"/>
      <c r="AC904" s="441"/>
      <c r="AD904" s="441"/>
      <c r="AE904" s="441"/>
      <c r="AF904" s="441"/>
      <c r="AG904" s="441"/>
      <c r="AH904" s="441"/>
      <c r="AI904" s="441"/>
      <c r="AJ904" s="441"/>
      <c r="AK904" s="395"/>
      <c r="AL904" s="395"/>
      <c r="AM904" s="395"/>
      <c r="AN904" s="395"/>
      <c r="AO904" s="395"/>
      <c r="AP904" s="410"/>
      <c r="AQ904" s="410"/>
    </row>
    <row r="905" spans="2:43" ht="15" customHeight="1">
      <c r="B905" s="394"/>
      <c r="C905" s="395"/>
      <c r="D905" s="417"/>
      <c r="E905" s="662"/>
      <c r="F905" s="417"/>
      <c r="G905" s="384"/>
      <c r="H905" s="768"/>
      <c r="I905" s="384"/>
      <c r="J905" s="384"/>
      <c r="K905" s="657"/>
      <c r="L905" s="658"/>
      <c r="M905" s="384"/>
      <c r="N905" s="384"/>
      <c r="O905" s="384"/>
      <c r="P905" s="384"/>
      <c r="Q905" s="384"/>
      <c r="R905" s="384"/>
      <c r="S905" s="660"/>
      <c r="T905" s="396"/>
      <c r="U905" s="384"/>
      <c r="V905" s="384"/>
      <c r="W905" s="384"/>
      <c r="X905" s="384"/>
      <c r="Y905" s="442"/>
      <c r="Z905" s="442"/>
      <c r="AA905" s="441"/>
      <c r="AB905" s="441"/>
      <c r="AC905" s="441"/>
      <c r="AD905" s="441"/>
      <c r="AE905" s="441"/>
      <c r="AF905" s="441"/>
      <c r="AG905" s="441"/>
      <c r="AH905" s="441"/>
      <c r="AI905" s="441"/>
      <c r="AJ905" s="441"/>
      <c r="AK905" s="395"/>
      <c r="AL905" s="395"/>
      <c r="AM905" s="395"/>
      <c r="AN905" s="395"/>
      <c r="AO905" s="395"/>
      <c r="AP905" s="410"/>
      <c r="AQ905" s="410"/>
    </row>
    <row r="906" spans="2:43" ht="15" customHeight="1">
      <c r="B906" s="394"/>
      <c r="C906" s="395"/>
      <c r="D906" s="417"/>
      <c r="E906" s="662"/>
      <c r="F906" s="417"/>
      <c r="G906" s="384"/>
      <c r="H906" s="768"/>
      <c r="I906" s="384"/>
      <c r="J906" s="384"/>
      <c r="K906" s="657"/>
      <c r="L906" s="658"/>
      <c r="M906" s="384"/>
      <c r="N906" s="384"/>
      <c r="O906" s="384"/>
      <c r="P906" s="384"/>
      <c r="Q906" s="384"/>
      <c r="R906" s="384"/>
      <c r="S906" s="660"/>
      <c r="T906" s="396"/>
      <c r="U906" s="384"/>
      <c r="V906" s="384"/>
      <c r="W906" s="384"/>
      <c r="X906" s="384"/>
      <c r="Y906" s="442"/>
      <c r="Z906" s="442"/>
      <c r="AA906" s="441"/>
      <c r="AB906" s="441"/>
      <c r="AC906" s="441"/>
      <c r="AD906" s="441"/>
      <c r="AE906" s="441"/>
      <c r="AF906" s="441"/>
      <c r="AG906" s="441"/>
      <c r="AH906" s="441"/>
      <c r="AI906" s="441"/>
      <c r="AJ906" s="441"/>
      <c r="AK906" s="395"/>
      <c r="AL906" s="395"/>
      <c r="AM906" s="395"/>
      <c r="AN906" s="395"/>
      <c r="AO906" s="395"/>
      <c r="AP906" s="410"/>
      <c r="AQ906" s="410"/>
    </row>
    <row r="907" spans="2:43" ht="15" customHeight="1">
      <c r="B907" s="394"/>
      <c r="C907" s="395"/>
      <c r="D907" s="417"/>
      <c r="E907" s="662"/>
      <c r="F907" s="417"/>
      <c r="G907" s="384"/>
      <c r="H907" s="768"/>
      <c r="I907" s="384"/>
      <c r="J907" s="384"/>
      <c r="K907" s="657"/>
      <c r="L907" s="658"/>
      <c r="M907" s="384"/>
      <c r="N907" s="384"/>
      <c r="O907" s="384"/>
      <c r="P907" s="384"/>
      <c r="Q907" s="384"/>
      <c r="R907" s="384"/>
      <c r="S907" s="660"/>
      <c r="T907" s="396"/>
      <c r="U907" s="384"/>
      <c r="V907" s="384"/>
      <c r="W907" s="384"/>
      <c r="X907" s="384"/>
      <c r="Y907" s="442"/>
      <c r="Z907" s="442"/>
      <c r="AA907" s="441"/>
      <c r="AB907" s="441"/>
      <c r="AC907" s="441"/>
      <c r="AD907" s="441"/>
      <c r="AE907" s="441"/>
      <c r="AF907" s="441"/>
      <c r="AG907" s="441"/>
      <c r="AH907" s="441"/>
      <c r="AI907" s="441"/>
      <c r="AJ907" s="441"/>
      <c r="AK907" s="395"/>
      <c r="AL907" s="395"/>
      <c r="AM907" s="395"/>
      <c r="AN907" s="395"/>
      <c r="AO907" s="395"/>
      <c r="AP907" s="410"/>
      <c r="AQ907" s="410"/>
    </row>
    <row r="908" spans="2:43" ht="15" customHeight="1">
      <c r="B908" s="394"/>
      <c r="C908" s="395"/>
      <c r="D908" s="417"/>
      <c r="E908" s="662"/>
      <c r="F908" s="417"/>
      <c r="G908" s="384"/>
      <c r="H908" s="768"/>
      <c r="I908" s="384"/>
      <c r="J908" s="384"/>
      <c r="K908" s="657"/>
      <c r="L908" s="658"/>
      <c r="M908" s="384"/>
      <c r="N908" s="384"/>
      <c r="O908" s="384"/>
      <c r="P908" s="384"/>
      <c r="Q908" s="384"/>
      <c r="R908" s="384"/>
      <c r="S908" s="660"/>
      <c r="T908" s="396"/>
      <c r="U908" s="384"/>
      <c r="V908" s="384"/>
      <c r="W908" s="384"/>
      <c r="X908" s="384"/>
      <c r="Y908" s="442"/>
      <c r="Z908" s="442"/>
      <c r="AA908" s="441"/>
      <c r="AB908" s="441"/>
      <c r="AC908" s="441"/>
      <c r="AD908" s="441"/>
      <c r="AE908" s="441"/>
      <c r="AF908" s="441"/>
      <c r="AG908" s="441"/>
      <c r="AH908" s="441"/>
      <c r="AI908" s="441"/>
      <c r="AJ908" s="441"/>
      <c r="AK908" s="395"/>
      <c r="AL908" s="395"/>
      <c r="AM908" s="395"/>
      <c r="AN908" s="395"/>
      <c r="AO908" s="395"/>
      <c r="AP908" s="410"/>
      <c r="AQ908" s="410"/>
    </row>
    <row r="909" spans="2:43" ht="15" customHeight="1">
      <c r="B909" s="394"/>
      <c r="C909" s="395"/>
      <c r="D909" s="417"/>
      <c r="E909" s="662"/>
      <c r="F909" s="417"/>
      <c r="G909" s="384"/>
      <c r="H909" s="768"/>
      <c r="I909" s="384"/>
      <c r="J909" s="384"/>
      <c r="K909" s="657"/>
      <c r="L909" s="658"/>
      <c r="M909" s="384"/>
      <c r="N909" s="384"/>
      <c r="O909" s="384"/>
      <c r="P909" s="384"/>
      <c r="Q909" s="384"/>
      <c r="R909" s="384"/>
      <c r="S909" s="660"/>
      <c r="T909" s="396"/>
      <c r="U909" s="384"/>
      <c r="V909" s="384"/>
      <c r="W909" s="384"/>
      <c r="X909" s="384"/>
      <c r="Y909" s="442"/>
      <c r="Z909" s="442"/>
      <c r="AA909" s="441"/>
      <c r="AB909" s="441"/>
      <c r="AC909" s="441"/>
      <c r="AD909" s="441"/>
      <c r="AE909" s="441"/>
      <c r="AF909" s="441"/>
      <c r="AG909" s="441"/>
      <c r="AH909" s="441"/>
      <c r="AI909" s="441"/>
      <c r="AJ909" s="441"/>
      <c r="AK909" s="395"/>
      <c r="AL909" s="395"/>
      <c r="AM909" s="395"/>
      <c r="AN909" s="395"/>
      <c r="AO909" s="395"/>
      <c r="AP909" s="410"/>
      <c r="AQ909" s="410"/>
    </row>
    <row r="910" spans="2:43" ht="15" customHeight="1">
      <c r="B910" s="394"/>
      <c r="C910" s="395"/>
      <c r="D910" s="417"/>
      <c r="E910" s="662"/>
      <c r="F910" s="417"/>
      <c r="G910" s="384"/>
      <c r="H910" s="768"/>
      <c r="I910" s="384"/>
      <c r="J910" s="384"/>
      <c r="K910" s="657"/>
      <c r="L910" s="658"/>
      <c r="M910" s="384"/>
      <c r="N910" s="384"/>
      <c r="O910" s="384"/>
      <c r="P910" s="384"/>
      <c r="Q910" s="384"/>
      <c r="R910" s="384"/>
      <c r="S910" s="660"/>
      <c r="T910" s="396"/>
      <c r="U910" s="384"/>
      <c r="V910" s="384"/>
      <c r="W910" s="384"/>
      <c r="X910" s="384"/>
      <c r="Y910" s="442"/>
      <c r="Z910" s="442"/>
      <c r="AA910" s="441"/>
      <c r="AB910" s="441"/>
      <c r="AC910" s="441"/>
      <c r="AD910" s="441"/>
      <c r="AE910" s="441"/>
      <c r="AF910" s="441"/>
      <c r="AG910" s="441"/>
      <c r="AH910" s="441"/>
      <c r="AI910" s="441"/>
      <c r="AJ910" s="441"/>
      <c r="AK910" s="395"/>
      <c r="AL910" s="395"/>
      <c r="AM910" s="395"/>
      <c r="AN910" s="395"/>
      <c r="AO910" s="395"/>
      <c r="AP910" s="410"/>
      <c r="AQ910" s="410"/>
    </row>
    <row r="911" spans="2:43" ht="15" customHeight="1">
      <c r="B911" s="394"/>
      <c r="C911" s="395"/>
      <c r="D911" s="417"/>
      <c r="E911" s="662"/>
      <c r="F911" s="417"/>
      <c r="G911" s="384"/>
      <c r="H911" s="768"/>
      <c r="I911" s="384"/>
      <c r="J911" s="384"/>
      <c r="K911" s="657"/>
      <c r="L911" s="658"/>
      <c r="M911" s="384"/>
      <c r="N911" s="384"/>
      <c r="O911" s="384"/>
      <c r="P911" s="384"/>
      <c r="Q911" s="384"/>
      <c r="R911" s="384"/>
      <c r="S911" s="660"/>
      <c r="T911" s="396"/>
      <c r="U911" s="384"/>
      <c r="V911" s="384"/>
      <c r="W911" s="384"/>
      <c r="X911" s="384"/>
      <c r="Y911" s="442"/>
      <c r="Z911" s="442"/>
      <c r="AA911" s="441"/>
      <c r="AB911" s="441"/>
      <c r="AC911" s="441"/>
      <c r="AD911" s="441"/>
      <c r="AE911" s="441"/>
      <c r="AF911" s="441"/>
      <c r="AG911" s="441"/>
      <c r="AH911" s="441"/>
      <c r="AI911" s="441"/>
      <c r="AJ911" s="441"/>
      <c r="AK911" s="395"/>
      <c r="AL911" s="395"/>
      <c r="AM911" s="395"/>
      <c r="AN911" s="395"/>
      <c r="AO911" s="395"/>
      <c r="AP911" s="410"/>
      <c r="AQ911" s="410"/>
    </row>
    <row r="912" spans="2:43" ht="15" customHeight="1">
      <c r="B912" s="394"/>
      <c r="C912" s="395"/>
      <c r="D912" s="417"/>
      <c r="E912" s="662"/>
      <c r="F912" s="417"/>
      <c r="G912" s="384"/>
      <c r="H912" s="768"/>
      <c r="I912" s="384"/>
      <c r="J912" s="384"/>
      <c r="K912" s="657"/>
      <c r="L912" s="658"/>
      <c r="M912" s="384"/>
      <c r="N912" s="384"/>
      <c r="O912" s="384"/>
      <c r="P912" s="384"/>
      <c r="Q912" s="384"/>
      <c r="R912" s="384"/>
      <c r="S912" s="660"/>
      <c r="T912" s="396"/>
      <c r="U912" s="384"/>
      <c r="V912" s="384"/>
      <c r="W912" s="384"/>
      <c r="X912" s="384"/>
      <c r="Y912" s="442"/>
      <c r="Z912" s="442"/>
      <c r="AA912" s="441"/>
      <c r="AB912" s="441"/>
      <c r="AC912" s="441"/>
      <c r="AD912" s="441"/>
      <c r="AE912" s="441"/>
      <c r="AF912" s="441"/>
      <c r="AG912" s="441"/>
      <c r="AH912" s="441"/>
      <c r="AI912" s="441"/>
      <c r="AJ912" s="441"/>
      <c r="AK912" s="395"/>
      <c r="AL912" s="395"/>
      <c r="AM912" s="395"/>
      <c r="AN912" s="395"/>
      <c r="AO912" s="395"/>
      <c r="AP912" s="410"/>
      <c r="AQ912" s="410"/>
    </row>
    <row r="913" spans="2:43" ht="15" customHeight="1">
      <c r="B913" s="394"/>
      <c r="C913" s="395"/>
      <c r="D913" s="417"/>
      <c r="E913" s="662"/>
      <c r="F913" s="417"/>
      <c r="G913" s="384"/>
      <c r="H913" s="768"/>
      <c r="I913" s="384"/>
      <c r="J913" s="384"/>
      <c r="K913" s="657"/>
      <c r="L913" s="658"/>
      <c r="M913" s="384"/>
      <c r="N913" s="384"/>
      <c r="O913" s="384"/>
      <c r="P913" s="384"/>
      <c r="Q913" s="384"/>
      <c r="R913" s="384"/>
      <c r="S913" s="660"/>
      <c r="T913" s="396"/>
      <c r="U913" s="384"/>
      <c r="V913" s="384"/>
      <c r="W913" s="384"/>
      <c r="X913" s="384"/>
      <c r="Y913" s="442"/>
      <c r="Z913" s="442"/>
      <c r="AA913" s="441"/>
      <c r="AB913" s="441"/>
      <c r="AC913" s="441"/>
      <c r="AD913" s="441"/>
      <c r="AE913" s="441"/>
      <c r="AF913" s="441"/>
      <c r="AG913" s="441"/>
      <c r="AH913" s="441"/>
      <c r="AI913" s="441"/>
      <c r="AJ913" s="441"/>
      <c r="AK913" s="395"/>
      <c r="AL913" s="395"/>
      <c r="AM913" s="395"/>
      <c r="AN913" s="395"/>
      <c r="AO913" s="395"/>
      <c r="AP913" s="410"/>
      <c r="AQ913" s="410"/>
    </row>
    <row r="914" spans="2:43" ht="15" customHeight="1">
      <c r="B914" s="394"/>
      <c r="C914" s="395"/>
      <c r="D914" s="417"/>
      <c r="E914" s="662"/>
      <c r="F914" s="417"/>
      <c r="G914" s="384"/>
      <c r="H914" s="768"/>
      <c r="I914" s="384"/>
      <c r="J914" s="384"/>
      <c r="K914" s="657"/>
      <c r="L914" s="658"/>
      <c r="M914" s="384"/>
      <c r="N914" s="384"/>
      <c r="O914" s="384"/>
      <c r="P914" s="384"/>
      <c r="Q914" s="384"/>
      <c r="R914" s="384"/>
      <c r="S914" s="660"/>
      <c r="T914" s="396"/>
      <c r="U914" s="384"/>
      <c r="V914" s="384"/>
      <c r="W914" s="384"/>
      <c r="X914" s="384"/>
      <c r="Y914" s="442"/>
      <c r="Z914" s="442"/>
      <c r="AA914" s="441"/>
      <c r="AB914" s="441"/>
      <c r="AC914" s="441"/>
      <c r="AD914" s="441"/>
      <c r="AE914" s="441"/>
      <c r="AF914" s="441"/>
      <c r="AG914" s="441"/>
      <c r="AH914" s="441"/>
      <c r="AI914" s="441"/>
      <c r="AJ914" s="441"/>
      <c r="AK914" s="395"/>
      <c r="AL914" s="395"/>
      <c r="AM914" s="395"/>
      <c r="AN914" s="395"/>
      <c r="AO914" s="395"/>
      <c r="AP914" s="410"/>
      <c r="AQ914" s="410"/>
    </row>
    <row r="915" spans="2:43" ht="15" customHeight="1">
      <c r="B915" s="394"/>
      <c r="C915" s="395"/>
      <c r="D915" s="417"/>
      <c r="E915" s="662"/>
      <c r="F915" s="417"/>
      <c r="G915" s="384"/>
      <c r="H915" s="768"/>
      <c r="I915" s="384"/>
      <c r="J915" s="384"/>
      <c r="K915" s="657"/>
      <c r="L915" s="658"/>
      <c r="M915" s="384"/>
      <c r="N915" s="384"/>
      <c r="O915" s="384"/>
      <c r="P915" s="384"/>
      <c r="Q915" s="384"/>
      <c r="R915" s="384"/>
      <c r="S915" s="660"/>
      <c r="T915" s="396"/>
      <c r="U915" s="384"/>
      <c r="V915" s="384"/>
      <c r="W915" s="384"/>
      <c r="X915" s="384"/>
      <c r="Y915" s="442"/>
      <c r="Z915" s="442"/>
      <c r="AA915" s="441"/>
      <c r="AB915" s="441"/>
      <c r="AC915" s="441"/>
      <c r="AD915" s="441"/>
      <c r="AE915" s="441"/>
      <c r="AF915" s="441"/>
      <c r="AG915" s="441"/>
      <c r="AH915" s="441"/>
      <c r="AI915" s="441"/>
      <c r="AJ915" s="441"/>
      <c r="AK915" s="395"/>
      <c r="AL915" s="395"/>
      <c r="AM915" s="395"/>
      <c r="AN915" s="395"/>
      <c r="AO915" s="395"/>
      <c r="AP915" s="410"/>
      <c r="AQ915" s="410"/>
    </row>
    <row r="916" spans="2:43" ht="15" customHeight="1">
      <c r="B916" s="394"/>
      <c r="C916" s="395"/>
      <c r="D916" s="417"/>
      <c r="E916" s="662"/>
      <c r="F916" s="417"/>
      <c r="G916" s="384"/>
      <c r="H916" s="768"/>
      <c r="I916" s="384"/>
      <c r="J916" s="384"/>
      <c r="K916" s="657"/>
      <c r="L916" s="658"/>
      <c r="M916" s="384"/>
      <c r="N916" s="384"/>
      <c r="O916" s="384"/>
      <c r="P916" s="384"/>
      <c r="Q916" s="384"/>
      <c r="R916" s="384"/>
      <c r="S916" s="660"/>
      <c r="T916" s="396"/>
      <c r="U916" s="384"/>
      <c r="V916" s="384"/>
      <c r="W916" s="384"/>
      <c r="X916" s="384"/>
      <c r="Y916" s="442"/>
      <c r="Z916" s="442"/>
      <c r="AA916" s="441"/>
      <c r="AB916" s="441"/>
      <c r="AC916" s="441"/>
      <c r="AD916" s="441"/>
      <c r="AE916" s="441"/>
      <c r="AF916" s="441"/>
      <c r="AG916" s="441"/>
      <c r="AH916" s="441"/>
      <c r="AI916" s="441"/>
      <c r="AJ916" s="441"/>
      <c r="AK916" s="395"/>
      <c r="AL916" s="395"/>
      <c r="AM916" s="395"/>
      <c r="AN916" s="395"/>
      <c r="AO916" s="395"/>
      <c r="AP916" s="410"/>
      <c r="AQ916" s="410"/>
    </row>
    <row r="917" spans="2:43" ht="15" customHeight="1">
      <c r="B917" s="394"/>
      <c r="C917" s="395"/>
      <c r="D917" s="417"/>
      <c r="E917" s="662"/>
      <c r="F917" s="417"/>
      <c r="G917" s="384"/>
      <c r="H917" s="768"/>
      <c r="I917" s="384"/>
      <c r="J917" s="384"/>
      <c r="K917" s="657"/>
      <c r="L917" s="658"/>
      <c r="M917" s="384"/>
      <c r="N917" s="384"/>
      <c r="O917" s="384"/>
      <c r="P917" s="384"/>
      <c r="Q917" s="384"/>
      <c r="R917" s="384"/>
      <c r="S917" s="660"/>
      <c r="T917" s="396"/>
      <c r="U917" s="384"/>
      <c r="V917" s="384"/>
      <c r="W917" s="384"/>
      <c r="X917" s="384"/>
      <c r="Y917" s="442"/>
      <c r="Z917" s="442"/>
      <c r="AA917" s="441"/>
      <c r="AB917" s="441"/>
      <c r="AC917" s="441"/>
      <c r="AD917" s="441"/>
      <c r="AE917" s="441"/>
      <c r="AF917" s="441"/>
      <c r="AG917" s="441"/>
      <c r="AH917" s="441"/>
      <c r="AI917" s="441"/>
      <c r="AJ917" s="441"/>
      <c r="AK917" s="395"/>
      <c r="AL917" s="395"/>
      <c r="AM917" s="395"/>
      <c r="AN917" s="395"/>
      <c r="AO917" s="395"/>
      <c r="AP917" s="410"/>
      <c r="AQ917" s="410"/>
    </row>
    <row r="918" spans="2:43" ht="15" customHeight="1">
      <c r="B918" s="394"/>
      <c r="C918" s="395"/>
      <c r="D918" s="417"/>
      <c r="E918" s="662"/>
      <c r="F918" s="417"/>
      <c r="G918" s="384"/>
      <c r="H918" s="768"/>
      <c r="I918" s="384"/>
      <c r="J918" s="384"/>
      <c r="K918" s="657"/>
      <c r="L918" s="658"/>
      <c r="M918" s="384"/>
      <c r="N918" s="384"/>
      <c r="O918" s="384"/>
      <c r="P918" s="384"/>
      <c r="Q918" s="384"/>
      <c r="R918" s="384"/>
      <c r="S918" s="660"/>
      <c r="T918" s="396"/>
      <c r="U918" s="384"/>
      <c r="V918" s="384"/>
      <c r="W918" s="384"/>
      <c r="X918" s="384"/>
      <c r="Y918" s="442"/>
      <c r="Z918" s="442"/>
      <c r="AA918" s="441"/>
      <c r="AB918" s="441"/>
      <c r="AC918" s="441"/>
      <c r="AD918" s="441"/>
      <c r="AE918" s="441"/>
      <c r="AF918" s="441"/>
      <c r="AG918" s="441"/>
      <c r="AH918" s="441"/>
      <c r="AI918" s="441"/>
      <c r="AJ918" s="441"/>
      <c r="AK918" s="395"/>
      <c r="AL918" s="395"/>
      <c r="AM918" s="395"/>
      <c r="AN918" s="395"/>
      <c r="AO918" s="395"/>
      <c r="AP918" s="410"/>
      <c r="AQ918" s="410"/>
    </row>
    <row r="919" spans="2:43" ht="15" customHeight="1">
      <c r="B919" s="394"/>
      <c r="C919" s="395"/>
      <c r="D919" s="417"/>
      <c r="E919" s="662"/>
      <c r="F919" s="417"/>
      <c r="G919" s="384"/>
      <c r="H919" s="768"/>
      <c r="I919" s="384"/>
      <c r="J919" s="384"/>
      <c r="K919" s="657"/>
      <c r="L919" s="658"/>
      <c r="M919" s="384"/>
      <c r="N919" s="384"/>
      <c r="O919" s="384"/>
      <c r="P919" s="384"/>
      <c r="Q919" s="384"/>
      <c r="R919" s="384"/>
      <c r="S919" s="660"/>
      <c r="T919" s="396"/>
      <c r="U919" s="384"/>
      <c r="V919" s="384"/>
      <c r="W919" s="384"/>
      <c r="X919" s="384"/>
      <c r="Y919" s="442"/>
      <c r="Z919" s="442"/>
      <c r="AA919" s="441"/>
      <c r="AB919" s="441"/>
      <c r="AC919" s="441"/>
      <c r="AD919" s="441"/>
      <c r="AE919" s="441"/>
      <c r="AF919" s="441"/>
      <c r="AG919" s="441"/>
      <c r="AH919" s="441"/>
      <c r="AI919" s="441"/>
      <c r="AJ919" s="441"/>
      <c r="AK919" s="395"/>
      <c r="AL919" s="395"/>
      <c r="AM919" s="395"/>
      <c r="AN919" s="395"/>
      <c r="AO919" s="395"/>
      <c r="AP919" s="410"/>
      <c r="AQ919" s="410"/>
    </row>
    <row r="920" spans="2:43" ht="15" customHeight="1">
      <c r="B920" s="394"/>
      <c r="C920" s="395"/>
      <c r="D920" s="417"/>
      <c r="E920" s="662"/>
      <c r="F920" s="417"/>
      <c r="G920" s="384"/>
      <c r="H920" s="768"/>
      <c r="I920" s="384"/>
      <c r="J920" s="384"/>
      <c r="K920" s="657"/>
      <c r="L920" s="658"/>
      <c r="M920" s="384"/>
      <c r="N920" s="384"/>
      <c r="O920" s="384"/>
      <c r="P920" s="384"/>
      <c r="Q920" s="384"/>
      <c r="R920" s="384"/>
      <c r="S920" s="660"/>
      <c r="T920" s="396"/>
      <c r="U920" s="384"/>
      <c r="V920" s="384"/>
      <c r="W920" s="384"/>
      <c r="X920" s="384"/>
      <c r="Y920" s="442"/>
      <c r="Z920" s="442"/>
      <c r="AA920" s="441"/>
      <c r="AB920" s="441"/>
      <c r="AC920" s="441"/>
      <c r="AD920" s="441"/>
      <c r="AE920" s="441"/>
      <c r="AF920" s="441"/>
      <c r="AG920" s="441"/>
      <c r="AH920" s="441"/>
      <c r="AI920" s="441"/>
      <c r="AJ920" s="441"/>
      <c r="AK920" s="395"/>
      <c r="AL920" s="395"/>
      <c r="AM920" s="395"/>
      <c r="AN920" s="395"/>
      <c r="AO920" s="395"/>
      <c r="AP920" s="410"/>
      <c r="AQ920" s="410"/>
    </row>
    <row r="921" spans="2:43" ht="15" customHeight="1">
      <c r="B921" s="394"/>
      <c r="C921" s="395"/>
      <c r="D921" s="417"/>
      <c r="E921" s="662"/>
      <c r="F921" s="417"/>
      <c r="G921" s="384"/>
      <c r="H921" s="768"/>
      <c r="I921" s="384"/>
      <c r="J921" s="384"/>
      <c r="K921" s="657"/>
      <c r="L921" s="658"/>
      <c r="M921" s="384"/>
      <c r="N921" s="384"/>
      <c r="O921" s="384"/>
      <c r="P921" s="384"/>
      <c r="Q921" s="384"/>
      <c r="R921" s="384"/>
      <c r="S921" s="660"/>
      <c r="T921" s="396"/>
      <c r="U921" s="384"/>
      <c r="V921" s="384"/>
      <c r="W921" s="384"/>
      <c r="X921" s="384"/>
      <c r="Y921" s="442"/>
      <c r="Z921" s="442"/>
      <c r="AA921" s="441"/>
      <c r="AB921" s="441"/>
      <c r="AC921" s="441"/>
      <c r="AD921" s="441"/>
      <c r="AE921" s="441"/>
      <c r="AF921" s="441"/>
      <c r="AG921" s="441"/>
      <c r="AH921" s="441"/>
      <c r="AI921" s="441"/>
      <c r="AJ921" s="441"/>
      <c r="AK921" s="395"/>
      <c r="AL921" s="395"/>
      <c r="AM921" s="395"/>
      <c r="AN921" s="395"/>
      <c r="AO921" s="395"/>
      <c r="AP921" s="410"/>
      <c r="AQ921" s="410"/>
    </row>
    <row r="922" spans="2:43" ht="15" customHeight="1">
      <c r="B922" s="394"/>
      <c r="C922" s="395"/>
      <c r="D922" s="417"/>
      <c r="E922" s="662"/>
      <c r="F922" s="417"/>
      <c r="G922" s="384"/>
      <c r="H922" s="768"/>
      <c r="I922" s="384"/>
      <c r="J922" s="384"/>
      <c r="K922" s="657"/>
      <c r="L922" s="658"/>
      <c r="M922" s="384"/>
      <c r="N922" s="384"/>
      <c r="O922" s="384"/>
      <c r="P922" s="384"/>
      <c r="Q922" s="384"/>
      <c r="R922" s="384"/>
      <c r="S922" s="660"/>
      <c r="T922" s="396"/>
      <c r="U922" s="384"/>
      <c r="V922" s="384"/>
      <c r="W922" s="384"/>
      <c r="X922" s="384"/>
      <c r="Y922" s="442"/>
      <c r="Z922" s="442"/>
      <c r="AA922" s="441"/>
      <c r="AB922" s="441"/>
      <c r="AC922" s="441"/>
      <c r="AD922" s="441"/>
      <c r="AE922" s="441"/>
      <c r="AF922" s="441"/>
      <c r="AG922" s="441"/>
      <c r="AH922" s="441"/>
      <c r="AI922" s="441"/>
      <c r="AJ922" s="441"/>
      <c r="AK922" s="395"/>
      <c r="AL922" s="395"/>
      <c r="AM922" s="395"/>
      <c r="AN922" s="395"/>
      <c r="AO922" s="395"/>
      <c r="AP922" s="410"/>
      <c r="AQ922" s="410"/>
    </row>
    <row r="923" spans="2:43" ht="15" customHeight="1">
      <c r="B923" s="394"/>
      <c r="C923" s="395"/>
      <c r="D923" s="417"/>
      <c r="E923" s="662"/>
      <c r="F923" s="417"/>
      <c r="G923" s="384"/>
      <c r="H923" s="768"/>
      <c r="I923" s="384"/>
      <c r="J923" s="384"/>
      <c r="K923" s="657"/>
      <c r="L923" s="658"/>
      <c r="M923" s="384"/>
      <c r="N923" s="384"/>
      <c r="O923" s="384"/>
      <c r="P923" s="384"/>
      <c r="Q923" s="384"/>
      <c r="R923" s="384"/>
      <c r="S923" s="660"/>
      <c r="T923" s="396"/>
      <c r="U923" s="384"/>
      <c r="V923" s="384"/>
      <c r="W923" s="384"/>
      <c r="X923" s="384"/>
      <c r="Y923" s="442"/>
      <c r="Z923" s="442"/>
      <c r="AA923" s="441"/>
      <c r="AB923" s="441"/>
      <c r="AC923" s="441"/>
      <c r="AD923" s="441"/>
      <c r="AE923" s="441"/>
      <c r="AF923" s="441"/>
      <c r="AG923" s="441"/>
      <c r="AH923" s="441"/>
      <c r="AI923" s="441"/>
      <c r="AJ923" s="441"/>
      <c r="AK923" s="395"/>
      <c r="AL923" s="395"/>
      <c r="AM923" s="395"/>
      <c r="AN923" s="395"/>
      <c r="AO923" s="395"/>
      <c r="AP923" s="410"/>
      <c r="AQ923" s="410"/>
    </row>
    <row r="924" spans="2:43" ht="15" customHeight="1">
      <c r="B924" s="394"/>
      <c r="C924" s="395"/>
      <c r="D924" s="417"/>
      <c r="E924" s="662"/>
      <c r="F924" s="417"/>
      <c r="G924" s="384"/>
      <c r="H924" s="768"/>
      <c r="I924" s="384"/>
      <c r="J924" s="384"/>
      <c r="K924" s="657"/>
      <c r="L924" s="658"/>
      <c r="M924" s="384"/>
      <c r="N924" s="384"/>
      <c r="O924" s="384"/>
      <c r="P924" s="384"/>
      <c r="Q924" s="384"/>
      <c r="R924" s="384"/>
      <c r="S924" s="660"/>
      <c r="T924" s="396"/>
      <c r="U924" s="384"/>
      <c r="V924" s="384"/>
      <c r="W924" s="384"/>
      <c r="X924" s="384"/>
      <c r="Y924" s="442"/>
      <c r="Z924" s="442"/>
      <c r="AA924" s="441"/>
      <c r="AB924" s="441"/>
      <c r="AC924" s="441"/>
      <c r="AD924" s="441"/>
      <c r="AE924" s="441"/>
      <c r="AF924" s="441"/>
      <c r="AG924" s="441"/>
      <c r="AH924" s="441"/>
      <c r="AI924" s="441"/>
      <c r="AJ924" s="441"/>
      <c r="AK924" s="395"/>
      <c r="AL924" s="395"/>
      <c r="AM924" s="395"/>
      <c r="AN924" s="395"/>
      <c r="AO924" s="395"/>
      <c r="AP924" s="410"/>
      <c r="AQ924" s="410"/>
    </row>
    <row r="925" spans="2:43" ht="15" customHeight="1">
      <c r="B925" s="394"/>
      <c r="C925" s="395"/>
      <c r="D925" s="417"/>
      <c r="E925" s="662"/>
      <c r="F925" s="417"/>
      <c r="G925" s="384"/>
      <c r="H925" s="768"/>
      <c r="I925" s="384"/>
      <c r="J925" s="384"/>
      <c r="K925" s="657"/>
      <c r="L925" s="658"/>
      <c r="M925" s="384"/>
      <c r="N925" s="384"/>
      <c r="O925" s="384"/>
      <c r="P925" s="384"/>
      <c r="Q925" s="384"/>
      <c r="R925" s="384"/>
      <c r="S925" s="660"/>
      <c r="T925" s="396"/>
      <c r="U925" s="384"/>
      <c r="V925" s="384"/>
      <c r="W925" s="384"/>
      <c r="X925" s="384"/>
      <c r="Y925" s="442"/>
      <c r="Z925" s="442"/>
      <c r="AA925" s="441"/>
      <c r="AB925" s="441"/>
      <c r="AC925" s="441"/>
      <c r="AD925" s="441"/>
      <c r="AE925" s="441"/>
      <c r="AF925" s="441"/>
      <c r="AG925" s="441"/>
      <c r="AH925" s="441"/>
      <c r="AI925" s="441"/>
      <c r="AJ925" s="441"/>
      <c r="AK925" s="395"/>
      <c r="AL925" s="395"/>
      <c r="AM925" s="395"/>
      <c r="AN925" s="395"/>
      <c r="AO925" s="395"/>
      <c r="AP925" s="410"/>
      <c r="AQ925" s="410"/>
    </row>
    <row r="926" spans="2:43" ht="15" customHeight="1">
      <c r="B926" s="394"/>
      <c r="C926" s="395"/>
      <c r="D926" s="417"/>
      <c r="E926" s="662"/>
      <c r="F926" s="417"/>
      <c r="G926" s="384"/>
      <c r="H926" s="768"/>
      <c r="I926" s="384"/>
      <c r="J926" s="384"/>
      <c r="K926" s="657"/>
      <c r="L926" s="658"/>
      <c r="M926" s="384"/>
      <c r="N926" s="384"/>
      <c r="O926" s="384"/>
      <c r="P926" s="384"/>
      <c r="Q926" s="384"/>
      <c r="R926" s="384"/>
      <c r="S926" s="660"/>
      <c r="T926" s="396"/>
      <c r="U926" s="384"/>
      <c r="V926" s="384"/>
      <c r="W926" s="384"/>
      <c r="X926" s="384"/>
      <c r="Y926" s="442"/>
      <c r="Z926" s="442"/>
      <c r="AA926" s="441"/>
      <c r="AB926" s="441"/>
      <c r="AC926" s="441"/>
      <c r="AD926" s="441"/>
      <c r="AE926" s="441"/>
      <c r="AF926" s="441"/>
      <c r="AG926" s="441"/>
      <c r="AH926" s="441"/>
      <c r="AI926" s="441"/>
      <c r="AJ926" s="441"/>
      <c r="AK926" s="395"/>
      <c r="AL926" s="395"/>
      <c r="AM926" s="395"/>
      <c r="AN926" s="395"/>
      <c r="AO926" s="395"/>
      <c r="AP926" s="410"/>
      <c r="AQ926" s="410"/>
    </row>
    <row r="927" spans="2:43" ht="15" customHeight="1">
      <c r="B927" s="394"/>
      <c r="C927" s="395"/>
      <c r="D927" s="417"/>
      <c r="E927" s="662"/>
      <c r="F927" s="417"/>
      <c r="G927" s="384"/>
      <c r="H927" s="768"/>
      <c r="I927" s="384"/>
      <c r="J927" s="384"/>
      <c r="K927" s="657"/>
      <c r="L927" s="658"/>
      <c r="M927" s="384"/>
      <c r="N927" s="384"/>
      <c r="O927" s="384"/>
      <c r="P927" s="384"/>
      <c r="Q927" s="384"/>
      <c r="R927" s="384"/>
      <c r="S927" s="660"/>
      <c r="T927" s="396"/>
      <c r="U927" s="384"/>
      <c r="V927" s="384"/>
      <c r="W927" s="384"/>
      <c r="X927" s="384"/>
      <c r="Y927" s="442"/>
      <c r="Z927" s="442"/>
      <c r="AA927" s="441"/>
      <c r="AB927" s="441"/>
      <c r="AC927" s="441"/>
      <c r="AD927" s="441"/>
      <c r="AE927" s="441"/>
      <c r="AF927" s="441"/>
      <c r="AG927" s="441"/>
      <c r="AH927" s="441"/>
      <c r="AI927" s="441"/>
      <c r="AJ927" s="441"/>
      <c r="AK927" s="395"/>
      <c r="AL927" s="395"/>
      <c r="AM927" s="395"/>
      <c r="AN927" s="395"/>
      <c r="AO927" s="395"/>
      <c r="AP927" s="410"/>
      <c r="AQ927" s="410"/>
    </row>
    <row r="928" spans="2:43" ht="15" customHeight="1">
      <c r="B928" s="394"/>
      <c r="C928" s="395"/>
      <c r="D928" s="417"/>
      <c r="E928" s="662"/>
      <c r="F928" s="417"/>
      <c r="G928" s="384"/>
      <c r="H928" s="768"/>
      <c r="I928" s="384"/>
      <c r="J928" s="384"/>
      <c r="K928" s="657"/>
      <c r="L928" s="658"/>
      <c r="M928" s="384"/>
      <c r="N928" s="384"/>
      <c r="O928" s="384"/>
      <c r="P928" s="384"/>
      <c r="Q928" s="384"/>
      <c r="R928" s="384"/>
      <c r="S928" s="660"/>
      <c r="T928" s="396"/>
      <c r="U928" s="384"/>
      <c r="V928" s="384"/>
      <c r="W928" s="384"/>
      <c r="X928" s="384"/>
      <c r="Y928" s="442"/>
      <c r="Z928" s="442"/>
      <c r="AA928" s="441"/>
      <c r="AB928" s="441"/>
      <c r="AC928" s="441"/>
      <c r="AD928" s="441"/>
      <c r="AE928" s="441"/>
      <c r="AF928" s="441"/>
      <c r="AG928" s="441"/>
      <c r="AH928" s="441"/>
      <c r="AI928" s="441"/>
      <c r="AJ928" s="441"/>
      <c r="AK928" s="395"/>
      <c r="AL928" s="395"/>
      <c r="AM928" s="395"/>
      <c r="AN928" s="395"/>
      <c r="AO928" s="395"/>
      <c r="AP928" s="410"/>
      <c r="AQ928" s="410"/>
    </row>
    <row r="929" spans="2:43" ht="15" customHeight="1">
      <c r="B929" s="394"/>
      <c r="C929" s="395"/>
      <c r="D929" s="417"/>
      <c r="E929" s="662"/>
      <c r="F929" s="417"/>
      <c r="G929" s="384"/>
      <c r="H929" s="768"/>
      <c r="I929" s="384"/>
      <c r="J929" s="384"/>
      <c r="K929" s="657"/>
      <c r="L929" s="658"/>
      <c r="M929" s="384"/>
      <c r="N929" s="384"/>
      <c r="O929" s="384"/>
      <c r="P929" s="384"/>
      <c r="Q929" s="384"/>
      <c r="R929" s="384"/>
      <c r="S929" s="660"/>
      <c r="T929" s="396"/>
      <c r="U929" s="384"/>
      <c r="V929" s="384"/>
      <c r="W929" s="384"/>
      <c r="X929" s="384"/>
      <c r="Y929" s="442"/>
      <c r="Z929" s="442"/>
      <c r="AA929" s="441"/>
      <c r="AB929" s="441"/>
      <c r="AC929" s="441"/>
      <c r="AD929" s="441"/>
      <c r="AE929" s="441"/>
      <c r="AF929" s="441"/>
      <c r="AG929" s="441"/>
      <c r="AH929" s="441"/>
      <c r="AI929" s="441"/>
      <c r="AJ929" s="441"/>
      <c r="AK929" s="395"/>
      <c r="AL929" s="395"/>
      <c r="AM929" s="395"/>
      <c r="AN929" s="395"/>
      <c r="AO929" s="395"/>
      <c r="AP929" s="410"/>
      <c r="AQ929" s="410"/>
    </row>
    <row r="930" spans="2:43" ht="15" customHeight="1">
      <c r="B930" s="394"/>
      <c r="C930" s="395"/>
      <c r="D930" s="417"/>
      <c r="E930" s="662"/>
      <c r="F930" s="417"/>
      <c r="G930" s="384"/>
      <c r="H930" s="768"/>
      <c r="I930" s="384"/>
      <c r="J930" s="384"/>
      <c r="K930" s="657"/>
      <c r="L930" s="658"/>
      <c r="M930" s="384"/>
      <c r="N930" s="384"/>
      <c r="O930" s="384"/>
      <c r="P930" s="384"/>
      <c r="Q930" s="384"/>
      <c r="R930" s="384"/>
      <c r="S930" s="660"/>
      <c r="T930" s="396"/>
      <c r="U930" s="384"/>
      <c r="V930" s="384"/>
      <c r="W930" s="384"/>
      <c r="X930" s="384"/>
      <c r="Y930" s="442"/>
      <c r="Z930" s="442"/>
      <c r="AA930" s="441"/>
      <c r="AB930" s="441"/>
      <c r="AC930" s="441"/>
      <c r="AD930" s="441"/>
      <c r="AE930" s="441"/>
      <c r="AF930" s="441"/>
      <c r="AG930" s="441"/>
      <c r="AH930" s="441"/>
      <c r="AI930" s="441"/>
      <c r="AJ930" s="441"/>
      <c r="AK930" s="395"/>
      <c r="AL930" s="395"/>
      <c r="AM930" s="395"/>
      <c r="AN930" s="395"/>
      <c r="AO930" s="395"/>
      <c r="AP930" s="410"/>
      <c r="AQ930" s="410"/>
    </row>
    <row r="931" spans="2:43" ht="15" customHeight="1">
      <c r="B931" s="394"/>
      <c r="C931" s="395"/>
      <c r="D931" s="417"/>
      <c r="E931" s="662"/>
      <c r="F931" s="417"/>
      <c r="G931" s="384"/>
      <c r="H931" s="768"/>
      <c r="I931" s="384"/>
      <c r="J931" s="384"/>
      <c r="K931" s="657"/>
      <c r="L931" s="658"/>
      <c r="M931" s="384"/>
      <c r="N931" s="384"/>
      <c r="O931" s="384"/>
      <c r="P931" s="384"/>
      <c r="Q931" s="384"/>
      <c r="R931" s="384"/>
      <c r="S931" s="660"/>
      <c r="T931" s="396"/>
      <c r="U931" s="384"/>
      <c r="V931" s="384"/>
      <c r="W931" s="384"/>
      <c r="X931" s="384"/>
      <c r="Y931" s="442"/>
      <c r="Z931" s="442"/>
      <c r="AA931" s="441"/>
      <c r="AB931" s="441"/>
      <c r="AC931" s="441"/>
      <c r="AD931" s="441"/>
      <c r="AE931" s="441"/>
      <c r="AF931" s="441"/>
      <c r="AG931" s="441"/>
      <c r="AH931" s="441"/>
      <c r="AI931" s="441"/>
      <c r="AJ931" s="441"/>
      <c r="AK931" s="395"/>
      <c r="AL931" s="395"/>
      <c r="AM931" s="395"/>
      <c r="AN931" s="395"/>
      <c r="AO931" s="395"/>
      <c r="AP931" s="410"/>
      <c r="AQ931" s="410"/>
    </row>
    <row r="932" spans="2:43" ht="15" customHeight="1">
      <c r="B932" s="394"/>
      <c r="C932" s="395"/>
      <c r="D932" s="417"/>
      <c r="E932" s="662"/>
      <c r="F932" s="417"/>
      <c r="G932" s="384"/>
      <c r="H932" s="768"/>
      <c r="I932" s="384"/>
      <c r="J932" s="384"/>
      <c r="K932" s="657"/>
      <c r="L932" s="658"/>
      <c r="M932" s="384"/>
      <c r="N932" s="384"/>
      <c r="O932" s="384"/>
      <c r="P932" s="384"/>
      <c r="Q932" s="384"/>
      <c r="R932" s="384"/>
      <c r="S932" s="660"/>
      <c r="T932" s="396"/>
      <c r="U932" s="384"/>
      <c r="V932" s="384"/>
      <c r="W932" s="384"/>
      <c r="X932" s="384"/>
      <c r="Y932" s="442"/>
      <c r="Z932" s="442"/>
      <c r="AA932" s="441"/>
      <c r="AB932" s="441"/>
      <c r="AC932" s="441"/>
      <c r="AD932" s="441"/>
      <c r="AE932" s="441"/>
      <c r="AF932" s="441"/>
      <c r="AG932" s="441"/>
      <c r="AH932" s="441"/>
      <c r="AI932" s="441"/>
      <c r="AJ932" s="441"/>
      <c r="AK932" s="395"/>
      <c r="AL932" s="395"/>
      <c r="AM932" s="395"/>
      <c r="AN932" s="395"/>
      <c r="AO932" s="395"/>
      <c r="AP932" s="410"/>
      <c r="AQ932" s="410"/>
    </row>
    <row r="933" spans="2:43" ht="15" customHeight="1">
      <c r="B933" s="394"/>
      <c r="C933" s="395"/>
      <c r="D933" s="417"/>
      <c r="E933" s="662"/>
      <c r="F933" s="417"/>
      <c r="G933" s="384"/>
      <c r="H933" s="768"/>
      <c r="I933" s="384"/>
      <c r="J933" s="384"/>
      <c r="K933" s="657"/>
      <c r="L933" s="658"/>
      <c r="M933" s="384"/>
      <c r="N933" s="384"/>
      <c r="O933" s="384"/>
      <c r="P933" s="384"/>
      <c r="Q933" s="384"/>
      <c r="R933" s="384"/>
      <c r="S933" s="660"/>
      <c r="T933" s="396"/>
      <c r="U933" s="384"/>
      <c r="V933" s="384"/>
      <c r="W933" s="384"/>
      <c r="X933" s="384"/>
      <c r="Y933" s="442"/>
      <c r="Z933" s="442"/>
      <c r="AA933" s="441"/>
      <c r="AB933" s="441"/>
      <c r="AC933" s="441"/>
      <c r="AD933" s="441"/>
      <c r="AE933" s="441"/>
      <c r="AF933" s="441"/>
      <c r="AG933" s="441"/>
      <c r="AH933" s="441"/>
      <c r="AI933" s="441"/>
      <c r="AJ933" s="441"/>
      <c r="AK933" s="395"/>
      <c r="AL933" s="395"/>
      <c r="AM933" s="395"/>
      <c r="AN933" s="395"/>
      <c r="AO933" s="395"/>
      <c r="AP933" s="410"/>
      <c r="AQ933" s="410"/>
    </row>
    <row r="934" spans="2:43" ht="15" customHeight="1">
      <c r="B934" s="394"/>
      <c r="C934" s="395"/>
      <c r="D934" s="417"/>
      <c r="E934" s="662"/>
      <c r="F934" s="417"/>
      <c r="G934" s="384"/>
      <c r="H934" s="768"/>
      <c r="I934" s="384"/>
      <c r="J934" s="384"/>
      <c r="K934" s="657"/>
      <c r="L934" s="658"/>
      <c r="M934" s="384"/>
      <c r="N934" s="384"/>
      <c r="O934" s="384"/>
      <c r="P934" s="384"/>
      <c r="Q934" s="384"/>
      <c r="R934" s="384"/>
      <c r="S934" s="660"/>
      <c r="T934" s="396"/>
      <c r="U934" s="384"/>
      <c r="V934" s="384"/>
      <c r="W934" s="384"/>
      <c r="X934" s="384"/>
      <c r="Y934" s="442"/>
      <c r="Z934" s="442"/>
      <c r="AA934" s="441"/>
      <c r="AB934" s="441"/>
      <c r="AC934" s="441"/>
      <c r="AD934" s="441"/>
      <c r="AE934" s="441"/>
      <c r="AF934" s="441"/>
      <c r="AG934" s="441"/>
      <c r="AH934" s="441"/>
      <c r="AI934" s="441"/>
      <c r="AJ934" s="441"/>
      <c r="AK934" s="395"/>
      <c r="AL934" s="395"/>
      <c r="AM934" s="395"/>
      <c r="AN934" s="395"/>
      <c r="AO934" s="395"/>
      <c r="AP934" s="410"/>
      <c r="AQ934" s="410"/>
    </row>
    <row r="935" spans="2:43" ht="15" customHeight="1">
      <c r="B935" s="394"/>
      <c r="C935" s="395"/>
      <c r="D935" s="417"/>
      <c r="E935" s="662"/>
      <c r="F935" s="417"/>
      <c r="G935" s="384"/>
      <c r="H935" s="768"/>
      <c r="I935" s="384"/>
      <c r="J935" s="384"/>
      <c r="K935" s="657"/>
      <c r="L935" s="658"/>
      <c r="M935" s="384"/>
      <c r="N935" s="384"/>
      <c r="O935" s="384"/>
      <c r="P935" s="384"/>
      <c r="Q935" s="384"/>
      <c r="R935" s="384"/>
      <c r="S935" s="660"/>
      <c r="T935" s="396"/>
      <c r="U935" s="384"/>
      <c r="V935" s="384"/>
      <c r="W935" s="384"/>
      <c r="X935" s="384"/>
      <c r="Y935" s="442"/>
      <c r="Z935" s="442"/>
      <c r="AA935" s="441"/>
      <c r="AB935" s="441"/>
      <c r="AC935" s="441"/>
      <c r="AD935" s="441"/>
      <c r="AE935" s="441"/>
      <c r="AF935" s="441"/>
      <c r="AG935" s="441"/>
      <c r="AH935" s="441"/>
      <c r="AI935" s="441"/>
      <c r="AJ935" s="441"/>
      <c r="AK935" s="395"/>
      <c r="AL935" s="395"/>
      <c r="AM935" s="395"/>
      <c r="AN935" s="395"/>
      <c r="AO935" s="395"/>
      <c r="AP935" s="410"/>
      <c r="AQ935" s="410"/>
    </row>
    <row r="936" spans="2:43" ht="15" customHeight="1">
      <c r="B936" s="394"/>
      <c r="C936" s="395"/>
      <c r="D936" s="417"/>
      <c r="E936" s="662"/>
      <c r="F936" s="417"/>
      <c r="G936" s="384"/>
      <c r="H936" s="768"/>
      <c r="I936" s="384"/>
      <c r="J936" s="384"/>
      <c r="K936" s="657"/>
      <c r="L936" s="658"/>
      <c r="M936" s="384"/>
      <c r="N936" s="384"/>
      <c r="O936" s="384"/>
      <c r="P936" s="384"/>
      <c r="Q936" s="384"/>
      <c r="R936" s="384"/>
      <c r="S936" s="660"/>
      <c r="T936" s="396"/>
      <c r="U936" s="384"/>
      <c r="V936" s="384"/>
      <c r="W936" s="384"/>
      <c r="X936" s="384"/>
      <c r="Y936" s="442"/>
      <c r="Z936" s="442"/>
      <c r="AA936" s="441"/>
      <c r="AB936" s="441"/>
      <c r="AC936" s="441"/>
      <c r="AD936" s="441"/>
      <c r="AE936" s="441"/>
      <c r="AF936" s="441"/>
      <c r="AG936" s="441"/>
      <c r="AH936" s="441"/>
      <c r="AI936" s="441"/>
      <c r="AJ936" s="441"/>
      <c r="AK936" s="395"/>
      <c r="AL936" s="395"/>
      <c r="AM936" s="395"/>
      <c r="AN936" s="395"/>
      <c r="AO936" s="395"/>
      <c r="AP936" s="410"/>
      <c r="AQ936" s="410"/>
    </row>
    <row r="937" spans="2:43" ht="15" customHeight="1">
      <c r="B937" s="394"/>
      <c r="C937" s="395"/>
      <c r="D937" s="417"/>
      <c r="E937" s="662"/>
      <c r="F937" s="417"/>
      <c r="G937" s="384"/>
      <c r="H937" s="768"/>
      <c r="I937" s="384"/>
      <c r="J937" s="384"/>
      <c r="K937" s="657"/>
      <c r="L937" s="658"/>
      <c r="M937" s="384"/>
      <c r="N937" s="384"/>
      <c r="O937" s="384"/>
      <c r="P937" s="384"/>
      <c r="Q937" s="384"/>
      <c r="R937" s="384"/>
      <c r="S937" s="660"/>
      <c r="T937" s="396"/>
      <c r="U937" s="384"/>
      <c r="V937" s="384"/>
      <c r="W937" s="384"/>
      <c r="X937" s="384"/>
      <c r="Y937" s="442"/>
      <c r="Z937" s="442"/>
      <c r="AA937" s="441"/>
      <c r="AB937" s="441"/>
      <c r="AC937" s="441"/>
      <c r="AD937" s="441"/>
      <c r="AE937" s="441"/>
      <c r="AF937" s="441"/>
      <c r="AG937" s="441"/>
      <c r="AH937" s="441"/>
      <c r="AI937" s="441"/>
      <c r="AJ937" s="441"/>
      <c r="AK937" s="395"/>
      <c r="AL937" s="395"/>
      <c r="AM937" s="395"/>
      <c r="AN937" s="395"/>
      <c r="AO937" s="395"/>
      <c r="AP937" s="410"/>
      <c r="AQ937" s="410"/>
    </row>
    <row r="938" spans="2:43" ht="15" customHeight="1">
      <c r="B938" s="394"/>
      <c r="C938" s="395"/>
      <c r="D938" s="417"/>
      <c r="E938" s="662"/>
      <c r="F938" s="417"/>
      <c r="G938" s="384"/>
      <c r="H938" s="768"/>
      <c r="I938" s="384"/>
      <c r="J938" s="384"/>
      <c r="K938" s="657"/>
      <c r="L938" s="658"/>
      <c r="M938" s="384"/>
      <c r="N938" s="384"/>
      <c r="O938" s="384"/>
      <c r="P938" s="384"/>
      <c r="Q938" s="384"/>
      <c r="R938" s="384"/>
      <c r="S938" s="660"/>
      <c r="T938" s="396"/>
      <c r="U938" s="384"/>
      <c r="V938" s="384"/>
      <c r="W938" s="384"/>
      <c r="X938" s="384"/>
      <c r="Y938" s="442"/>
      <c r="Z938" s="442"/>
      <c r="AA938" s="441"/>
      <c r="AB938" s="441"/>
      <c r="AC938" s="441"/>
      <c r="AD938" s="441"/>
      <c r="AE938" s="441"/>
      <c r="AF938" s="441"/>
      <c r="AG938" s="441"/>
      <c r="AH938" s="441"/>
      <c r="AI938" s="441"/>
      <c r="AJ938" s="441"/>
      <c r="AK938" s="395"/>
      <c r="AL938" s="395"/>
      <c r="AM938" s="395"/>
      <c r="AN938" s="395"/>
      <c r="AO938" s="395"/>
      <c r="AP938" s="410"/>
      <c r="AQ938" s="410"/>
    </row>
    <row r="939" spans="2:43" ht="15" customHeight="1">
      <c r="B939" s="394"/>
      <c r="C939" s="395"/>
      <c r="D939" s="417"/>
      <c r="E939" s="662"/>
      <c r="F939" s="417"/>
      <c r="G939" s="384"/>
      <c r="H939" s="768"/>
      <c r="I939" s="384"/>
      <c r="J939" s="384"/>
      <c r="K939" s="657"/>
      <c r="L939" s="658"/>
      <c r="M939" s="384"/>
      <c r="N939" s="384"/>
      <c r="O939" s="384"/>
      <c r="P939" s="384"/>
      <c r="Q939" s="384"/>
      <c r="R939" s="384"/>
      <c r="S939" s="660"/>
      <c r="T939" s="396"/>
      <c r="U939" s="384"/>
      <c r="V939" s="384"/>
      <c r="W939" s="384"/>
      <c r="X939" s="384"/>
      <c r="Y939" s="442"/>
      <c r="Z939" s="442"/>
      <c r="AA939" s="441"/>
      <c r="AB939" s="441"/>
      <c r="AC939" s="441"/>
      <c r="AD939" s="441"/>
      <c r="AE939" s="441"/>
      <c r="AF939" s="441"/>
      <c r="AG939" s="441"/>
      <c r="AH939" s="441"/>
      <c r="AI939" s="441"/>
      <c r="AJ939" s="441"/>
      <c r="AK939" s="395"/>
      <c r="AL939" s="395"/>
      <c r="AM939" s="395"/>
      <c r="AN939" s="395"/>
      <c r="AO939" s="395"/>
      <c r="AP939" s="410"/>
      <c r="AQ939" s="410"/>
    </row>
    <row r="940" spans="2:43" ht="15" customHeight="1">
      <c r="B940" s="394"/>
      <c r="C940" s="395"/>
      <c r="D940" s="417"/>
      <c r="E940" s="662"/>
      <c r="F940" s="417"/>
      <c r="G940" s="384"/>
      <c r="H940" s="768"/>
      <c r="I940" s="384"/>
      <c r="J940" s="384"/>
      <c r="K940" s="657"/>
      <c r="L940" s="658"/>
      <c r="M940" s="384"/>
      <c r="N940" s="384"/>
      <c r="O940" s="384"/>
      <c r="P940" s="384"/>
      <c r="Q940" s="384"/>
      <c r="R940" s="384"/>
      <c r="S940" s="660"/>
      <c r="T940" s="396"/>
      <c r="U940" s="384"/>
      <c r="V940" s="384"/>
      <c r="W940" s="384"/>
      <c r="X940" s="384"/>
      <c r="Y940" s="442"/>
      <c r="Z940" s="442"/>
      <c r="AA940" s="441"/>
      <c r="AB940" s="441"/>
      <c r="AC940" s="441"/>
      <c r="AD940" s="441"/>
      <c r="AE940" s="441"/>
      <c r="AF940" s="441"/>
      <c r="AG940" s="441"/>
      <c r="AH940" s="441"/>
      <c r="AI940" s="441"/>
      <c r="AJ940" s="441"/>
      <c r="AK940" s="395"/>
      <c r="AL940" s="395"/>
      <c r="AM940" s="395"/>
      <c r="AN940" s="395"/>
      <c r="AO940" s="395"/>
      <c r="AP940" s="410"/>
      <c r="AQ940" s="410"/>
    </row>
    <row r="941" spans="2:43" ht="15" customHeight="1">
      <c r="B941" s="394"/>
      <c r="C941" s="395"/>
      <c r="D941" s="417"/>
      <c r="E941" s="662"/>
      <c r="F941" s="417"/>
      <c r="G941" s="384"/>
      <c r="H941" s="768"/>
      <c r="I941" s="384"/>
      <c r="J941" s="384"/>
      <c r="K941" s="657"/>
      <c r="L941" s="658"/>
      <c r="M941" s="384"/>
      <c r="N941" s="384"/>
      <c r="O941" s="384"/>
      <c r="P941" s="384"/>
      <c r="Q941" s="384"/>
      <c r="R941" s="384"/>
      <c r="S941" s="660"/>
      <c r="T941" s="396"/>
      <c r="U941" s="384"/>
      <c r="V941" s="384"/>
      <c r="W941" s="384"/>
      <c r="X941" s="384"/>
      <c r="Y941" s="442"/>
      <c r="Z941" s="442"/>
      <c r="AA941" s="441"/>
      <c r="AB941" s="441"/>
      <c r="AC941" s="441"/>
      <c r="AD941" s="441"/>
      <c r="AE941" s="441"/>
      <c r="AF941" s="441"/>
      <c r="AG941" s="441"/>
      <c r="AH941" s="441"/>
      <c r="AI941" s="441"/>
      <c r="AJ941" s="441"/>
      <c r="AK941" s="395"/>
      <c r="AL941" s="395"/>
      <c r="AM941" s="395"/>
      <c r="AN941" s="395"/>
      <c r="AO941" s="395"/>
      <c r="AP941" s="410"/>
      <c r="AQ941" s="410"/>
    </row>
    <row r="942" spans="2:43" ht="15" customHeight="1">
      <c r="B942" s="394"/>
      <c r="C942" s="395"/>
      <c r="D942" s="417"/>
      <c r="E942" s="662"/>
      <c r="F942" s="417"/>
      <c r="G942" s="384"/>
      <c r="H942" s="768"/>
      <c r="I942" s="384"/>
      <c r="J942" s="384"/>
      <c r="K942" s="657"/>
      <c r="L942" s="658"/>
      <c r="M942" s="384"/>
      <c r="N942" s="384"/>
      <c r="O942" s="384"/>
      <c r="P942" s="384"/>
      <c r="Q942" s="384"/>
      <c r="R942" s="384"/>
      <c r="S942" s="660"/>
      <c r="T942" s="396"/>
      <c r="U942" s="384"/>
      <c r="V942" s="384"/>
      <c r="W942" s="384"/>
      <c r="X942" s="384"/>
      <c r="Y942" s="442"/>
      <c r="Z942" s="442"/>
      <c r="AA942" s="441"/>
      <c r="AB942" s="441"/>
      <c r="AC942" s="441"/>
      <c r="AD942" s="441"/>
      <c r="AE942" s="441"/>
      <c r="AF942" s="441"/>
      <c r="AG942" s="441"/>
      <c r="AH942" s="441"/>
      <c r="AI942" s="441"/>
      <c r="AJ942" s="441"/>
      <c r="AK942" s="395"/>
      <c r="AL942" s="395"/>
      <c r="AM942" s="395"/>
      <c r="AN942" s="395"/>
      <c r="AO942" s="395"/>
      <c r="AP942" s="410"/>
      <c r="AQ942" s="410"/>
    </row>
    <row r="943" spans="2:43" ht="15" customHeight="1">
      <c r="B943" s="394"/>
      <c r="C943" s="395"/>
      <c r="D943" s="417"/>
      <c r="E943" s="662"/>
      <c r="F943" s="417"/>
      <c r="G943" s="384"/>
      <c r="H943" s="768"/>
      <c r="I943" s="384"/>
      <c r="J943" s="384"/>
      <c r="K943" s="657"/>
      <c r="L943" s="658"/>
      <c r="M943" s="384"/>
      <c r="N943" s="384"/>
      <c r="O943" s="384"/>
      <c r="P943" s="384"/>
      <c r="Q943" s="384"/>
      <c r="R943" s="384"/>
      <c r="S943" s="660"/>
      <c r="T943" s="396"/>
      <c r="U943" s="384"/>
      <c r="V943" s="384"/>
      <c r="W943" s="384"/>
      <c r="X943" s="384"/>
      <c r="Y943" s="442"/>
      <c r="Z943" s="442"/>
      <c r="AA943" s="441"/>
      <c r="AB943" s="441"/>
      <c r="AC943" s="441"/>
      <c r="AD943" s="441"/>
      <c r="AE943" s="441"/>
      <c r="AF943" s="441"/>
      <c r="AG943" s="441"/>
      <c r="AH943" s="441"/>
      <c r="AI943" s="441"/>
      <c r="AJ943" s="441"/>
      <c r="AK943" s="395"/>
      <c r="AL943" s="395"/>
      <c r="AM943" s="395"/>
      <c r="AN943" s="395"/>
      <c r="AO943" s="395"/>
      <c r="AP943" s="410"/>
      <c r="AQ943" s="410"/>
    </row>
    <row r="944" spans="2:43" ht="15" customHeight="1">
      <c r="B944" s="394"/>
      <c r="C944" s="395"/>
      <c r="D944" s="417"/>
      <c r="E944" s="662"/>
      <c r="F944" s="417"/>
      <c r="G944" s="384"/>
      <c r="H944" s="768"/>
      <c r="I944" s="384"/>
      <c r="J944" s="384"/>
      <c r="K944" s="657"/>
      <c r="L944" s="658"/>
      <c r="M944" s="384"/>
      <c r="N944" s="384"/>
      <c r="O944" s="384"/>
      <c r="P944" s="384"/>
      <c r="Q944" s="384"/>
      <c r="R944" s="384"/>
      <c r="S944" s="660"/>
      <c r="T944" s="396"/>
      <c r="U944" s="384"/>
      <c r="V944" s="384"/>
      <c r="W944" s="384"/>
      <c r="X944" s="384"/>
      <c r="Y944" s="442"/>
      <c r="Z944" s="442"/>
      <c r="AA944" s="441"/>
      <c r="AB944" s="441"/>
      <c r="AC944" s="441"/>
      <c r="AD944" s="441"/>
      <c r="AE944" s="441"/>
      <c r="AF944" s="441"/>
      <c r="AG944" s="441"/>
      <c r="AH944" s="441"/>
      <c r="AI944" s="441"/>
      <c r="AJ944" s="441"/>
      <c r="AK944" s="395"/>
      <c r="AL944" s="395"/>
      <c r="AM944" s="395"/>
      <c r="AN944" s="395"/>
      <c r="AO944" s="395"/>
      <c r="AP944" s="410"/>
      <c r="AQ944" s="410"/>
    </row>
    <row r="945" spans="2:43" ht="15" customHeight="1">
      <c r="B945" s="394"/>
      <c r="C945" s="395"/>
      <c r="D945" s="417"/>
      <c r="E945" s="662"/>
      <c r="F945" s="417"/>
      <c r="G945" s="384"/>
      <c r="H945" s="768"/>
      <c r="I945" s="384"/>
      <c r="J945" s="384"/>
      <c r="K945" s="657"/>
      <c r="L945" s="658"/>
      <c r="M945" s="384"/>
      <c r="N945" s="384"/>
      <c r="O945" s="384"/>
      <c r="P945" s="384"/>
      <c r="Q945" s="384"/>
      <c r="R945" s="384"/>
      <c r="S945" s="660"/>
      <c r="T945" s="396"/>
      <c r="U945" s="384"/>
      <c r="V945" s="384"/>
      <c r="W945" s="384"/>
      <c r="X945" s="384"/>
      <c r="Y945" s="442"/>
      <c r="Z945" s="442"/>
      <c r="AA945" s="441"/>
      <c r="AB945" s="441"/>
      <c r="AC945" s="441"/>
      <c r="AD945" s="441"/>
      <c r="AE945" s="441"/>
      <c r="AF945" s="441"/>
      <c r="AG945" s="441"/>
      <c r="AH945" s="441"/>
      <c r="AI945" s="441"/>
      <c r="AJ945" s="441"/>
      <c r="AK945" s="395"/>
      <c r="AL945" s="395"/>
      <c r="AM945" s="395"/>
      <c r="AN945" s="395"/>
      <c r="AO945" s="395"/>
      <c r="AP945" s="410"/>
      <c r="AQ945" s="410"/>
    </row>
    <row r="946" spans="2:43" ht="15" customHeight="1">
      <c r="B946" s="394"/>
      <c r="C946" s="395"/>
      <c r="D946" s="417"/>
      <c r="E946" s="662"/>
      <c r="F946" s="417"/>
      <c r="G946" s="384"/>
      <c r="H946" s="768"/>
      <c r="I946" s="384"/>
      <c r="J946" s="384"/>
      <c r="K946" s="657"/>
      <c r="L946" s="658"/>
      <c r="M946" s="384"/>
      <c r="N946" s="384"/>
      <c r="O946" s="384"/>
      <c r="P946" s="384"/>
      <c r="Q946" s="384"/>
      <c r="R946" s="384"/>
      <c r="S946" s="660"/>
      <c r="T946" s="396"/>
      <c r="U946" s="384"/>
      <c r="V946" s="384"/>
      <c r="W946" s="384"/>
      <c r="X946" s="384"/>
      <c r="Y946" s="442"/>
      <c r="Z946" s="442"/>
      <c r="AA946" s="441"/>
      <c r="AB946" s="441"/>
      <c r="AC946" s="441"/>
      <c r="AD946" s="441"/>
      <c r="AE946" s="441"/>
      <c r="AF946" s="441"/>
      <c r="AG946" s="441"/>
      <c r="AH946" s="441"/>
      <c r="AI946" s="441"/>
      <c r="AJ946" s="441"/>
      <c r="AK946" s="395"/>
      <c r="AL946" s="395"/>
      <c r="AM946" s="395"/>
      <c r="AN946" s="395"/>
      <c r="AO946" s="395"/>
      <c r="AP946" s="410"/>
      <c r="AQ946" s="410"/>
    </row>
    <row r="947" spans="2:43" ht="15" customHeight="1">
      <c r="B947" s="394"/>
      <c r="C947" s="395"/>
      <c r="D947" s="417"/>
      <c r="E947" s="662"/>
      <c r="F947" s="417"/>
      <c r="G947" s="384"/>
      <c r="H947" s="768"/>
      <c r="I947" s="384"/>
      <c r="J947" s="384"/>
      <c r="K947" s="657"/>
      <c r="L947" s="658"/>
      <c r="M947" s="384"/>
      <c r="N947" s="384"/>
      <c r="O947" s="384"/>
      <c r="P947" s="384"/>
      <c r="Q947" s="384"/>
      <c r="R947" s="384"/>
      <c r="S947" s="660"/>
      <c r="T947" s="396"/>
      <c r="U947" s="384"/>
      <c r="V947" s="384"/>
      <c r="W947" s="384"/>
      <c r="X947" s="384"/>
      <c r="Y947" s="442"/>
      <c r="Z947" s="442"/>
      <c r="AA947" s="441"/>
      <c r="AB947" s="441"/>
      <c r="AC947" s="441"/>
      <c r="AD947" s="441"/>
      <c r="AE947" s="441"/>
      <c r="AF947" s="441"/>
      <c r="AG947" s="441"/>
      <c r="AH947" s="441"/>
      <c r="AI947" s="441"/>
      <c r="AJ947" s="441"/>
      <c r="AK947" s="395"/>
      <c r="AL947" s="395"/>
      <c r="AM947" s="395"/>
      <c r="AN947" s="395"/>
      <c r="AO947" s="395"/>
      <c r="AP947" s="410"/>
      <c r="AQ947" s="410"/>
    </row>
    <row r="948" spans="2:43" ht="15" customHeight="1">
      <c r="B948" s="394"/>
      <c r="C948" s="395"/>
      <c r="D948" s="417"/>
      <c r="E948" s="662"/>
      <c r="F948" s="417"/>
      <c r="G948" s="384"/>
      <c r="H948" s="768"/>
      <c r="I948" s="384"/>
      <c r="J948" s="384"/>
      <c r="K948" s="657"/>
      <c r="L948" s="658"/>
      <c r="M948" s="384"/>
      <c r="N948" s="384"/>
      <c r="O948" s="384"/>
      <c r="P948" s="384"/>
      <c r="Q948" s="384"/>
      <c r="R948" s="384"/>
      <c r="S948" s="660"/>
      <c r="T948" s="396"/>
      <c r="U948" s="384"/>
      <c r="V948" s="384"/>
      <c r="W948" s="384"/>
      <c r="X948" s="384"/>
      <c r="Y948" s="442"/>
      <c r="Z948" s="442"/>
      <c r="AA948" s="441"/>
      <c r="AB948" s="441"/>
      <c r="AC948" s="441"/>
      <c r="AD948" s="441"/>
      <c r="AE948" s="441"/>
      <c r="AF948" s="441"/>
      <c r="AG948" s="441"/>
      <c r="AH948" s="441"/>
      <c r="AI948" s="441"/>
      <c r="AJ948" s="441"/>
      <c r="AK948" s="395"/>
      <c r="AL948" s="395"/>
      <c r="AM948" s="395"/>
      <c r="AN948" s="395"/>
      <c r="AO948" s="395"/>
      <c r="AP948" s="410"/>
      <c r="AQ948" s="410"/>
    </row>
    <row r="949" spans="2:43" ht="15" customHeight="1">
      <c r="B949" s="394"/>
      <c r="C949" s="395"/>
      <c r="D949" s="417"/>
      <c r="E949" s="662"/>
      <c r="F949" s="417"/>
      <c r="G949" s="384"/>
      <c r="H949" s="768"/>
      <c r="I949" s="384"/>
      <c r="J949" s="384"/>
      <c r="K949" s="657"/>
      <c r="L949" s="658"/>
      <c r="M949" s="384"/>
      <c r="N949" s="384"/>
      <c r="O949" s="384"/>
      <c r="P949" s="384"/>
      <c r="Q949" s="384"/>
      <c r="R949" s="384"/>
      <c r="S949" s="660"/>
      <c r="T949" s="396"/>
      <c r="U949" s="384"/>
      <c r="V949" s="384"/>
      <c r="W949" s="384"/>
      <c r="X949" s="384"/>
      <c r="Y949" s="442"/>
      <c r="Z949" s="442"/>
      <c r="AA949" s="441"/>
      <c r="AB949" s="441"/>
      <c r="AC949" s="441"/>
      <c r="AD949" s="441"/>
      <c r="AE949" s="441"/>
      <c r="AF949" s="441"/>
      <c r="AG949" s="441"/>
      <c r="AH949" s="441"/>
      <c r="AI949" s="441"/>
      <c r="AJ949" s="441"/>
      <c r="AK949" s="395"/>
      <c r="AL949" s="395"/>
      <c r="AM949" s="395"/>
      <c r="AN949" s="395"/>
      <c r="AO949" s="395"/>
      <c r="AP949" s="410"/>
      <c r="AQ949" s="410"/>
    </row>
    <row r="950" spans="2:43" ht="15" customHeight="1">
      <c r="B950" s="394"/>
      <c r="C950" s="395"/>
      <c r="D950" s="417"/>
      <c r="E950" s="662"/>
      <c r="F950" s="417"/>
      <c r="G950" s="384"/>
      <c r="H950" s="768"/>
      <c r="I950" s="384"/>
      <c r="J950" s="384"/>
      <c r="K950" s="657"/>
      <c r="L950" s="658"/>
      <c r="M950" s="384"/>
      <c r="N950" s="384"/>
      <c r="O950" s="384"/>
      <c r="P950" s="384"/>
      <c r="Q950" s="384"/>
      <c r="R950" s="384"/>
      <c r="S950" s="660"/>
      <c r="T950" s="396"/>
      <c r="U950" s="384"/>
      <c r="V950" s="384"/>
      <c r="W950" s="384"/>
      <c r="X950" s="384"/>
      <c r="Y950" s="442"/>
      <c r="Z950" s="442"/>
      <c r="AA950" s="441"/>
      <c r="AB950" s="441"/>
      <c r="AC950" s="441"/>
      <c r="AD950" s="441"/>
      <c r="AE950" s="441"/>
      <c r="AF950" s="441"/>
      <c r="AG950" s="441"/>
      <c r="AH950" s="441"/>
      <c r="AI950" s="441"/>
      <c r="AJ950" s="441"/>
      <c r="AK950" s="395"/>
      <c r="AL950" s="395"/>
      <c r="AM950" s="395"/>
      <c r="AN950" s="395"/>
      <c r="AO950" s="395"/>
      <c r="AP950" s="410"/>
      <c r="AQ950" s="410"/>
    </row>
    <row r="951" spans="2:43" ht="15" customHeight="1">
      <c r="B951" s="394"/>
      <c r="C951" s="395"/>
      <c r="D951" s="417"/>
      <c r="E951" s="662"/>
      <c r="F951" s="417"/>
      <c r="G951" s="384"/>
      <c r="H951" s="768"/>
      <c r="I951" s="384"/>
      <c r="J951" s="384"/>
      <c r="K951" s="657"/>
      <c r="L951" s="658"/>
      <c r="M951" s="384"/>
      <c r="N951" s="384"/>
      <c r="O951" s="384"/>
      <c r="P951" s="384"/>
      <c r="Q951" s="384"/>
      <c r="R951" s="384"/>
      <c r="S951" s="660"/>
      <c r="T951" s="396"/>
      <c r="U951" s="384"/>
      <c r="V951" s="384"/>
      <c r="W951" s="384"/>
      <c r="X951" s="384"/>
      <c r="Y951" s="442"/>
      <c r="Z951" s="442"/>
      <c r="AA951" s="441"/>
      <c r="AB951" s="441"/>
      <c r="AC951" s="441"/>
      <c r="AD951" s="441"/>
      <c r="AE951" s="441"/>
      <c r="AF951" s="441"/>
      <c r="AG951" s="441"/>
      <c r="AH951" s="441"/>
      <c r="AI951" s="441"/>
      <c r="AJ951" s="441"/>
      <c r="AK951" s="395"/>
      <c r="AL951" s="395"/>
      <c r="AM951" s="395"/>
      <c r="AN951" s="395"/>
      <c r="AO951" s="395"/>
      <c r="AP951" s="410"/>
      <c r="AQ951" s="410"/>
    </row>
    <row r="952" spans="2:43" ht="15" customHeight="1">
      <c r="B952" s="394"/>
      <c r="C952" s="395"/>
      <c r="D952" s="417"/>
      <c r="E952" s="662"/>
      <c r="F952" s="417"/>
      <c r="G952" s="384"/>
      <c r="H952" s="768"/>
      <c r="I952" s="384"/>
      <c r="J952" s="384"/>
      <c r="K952" s="657"/>
      <c r="L952" s="658"/>
      <c r="M952" s="384"/>
      <c r="N952" s="384"/>
      <c r="O952" s="384"/>
      <c r="P952" s="384"/>
      <c r="Q952" s="384"/>
      <c r="R952" s="384"/>
      <c r="S952" s="660"/>
      <c r="T952" s="396"/>
      <c r="U952" s="384"/>
      <c r="V952" s="384"/>
      <c r="W952" s="384"/>
      <c r="X952" s="384"/>
      <c r="Y952" s="442"/>
      <c r="Z952" s="442"/>
      <c r="AA952" s="441"/>
      <c r="AB952" s="441"/>
      <c r="AC952" s="441"/>
      <c r="AD952" s="441"/>
      <c r="AE952" s="441"/>
      <c r="AF952" s="441"/>
      <c r="AG952" s="441"/>
      <c r="AH952" s="441"/>
      <c r="AI952" s="441"/>
      <c r="AJ952" s="441"/>
      <c r="AK952" s="395"/>
      <c r="AL952" s="395"/>
      <c r="AM952" s="395"/>
      <c r="AN952" s="395"/>
      <c r="AO952" s="395"/>
      <c r="AP952" s="410"/>
      <c r="AQ952" s="410"/>
    </row>
    <row r="953" spans="2:43" ht="15" customHeight="1">
      <c r="B953" s="394"/>
      <c r="C953" s="395"/>
      <c r="D953" s="417"/>
      <c r="E953" s="662"/>
      <c r="F953" s="417"/>
      <c r="G953" s="384"/>
      <c r="H953" s="768"/>
      <c r="I953" s="384"/>
      <c r="J953" s="384"/>
      <c r="K953" s="657"/>
      <c r="L953" s="658"/>
      <c r="M953" s="384"/>
      <c r="N953" s="384"/>
      <c r="O953" s="384"/>
      <c r="P953" s="384"/>
      <c r="Q953" s="384"/>
      <c r="R953" s="384"/>
      <c r="S953" s="660"/>
      <c r="T953" s="396"/>
      <c r="U953" s="384"/>
      <c r="V953" s="384"/>
      <c r="W953" s="384"/>
      <c r="X953" s="384"/>
      <c r="Y953" s="442"/>
      <c r="Z953" s="442"/>
      <c r="AA953" s="441"/>
      <c r="AB953" s="441"/>
      <c r="AC953" s="441"/>
      <c r="AD953" s="441"/>
      <c r="AE953" s="441"/>
      <c r="AF953" s="441"/>
      <c r="AG953" s="441"/>
      <c r="AH953" s="441"/>
      <c r="AI953" s="441"/>
      <c r="AJ953" s="441"/>
      <c r="AK953" s="395"/>
      <c r="AL953" s="395"/>
      <c r="AM953" s="395"/>
      <c r="AN953" s="395"/>
      <c r="AO953" s="395"/>
      <c r="AP953" s="410"/>
      <c r="AQ953" s="410"/>
    </row>
    <row r="954" spans="2:43" ht="15" customHeight="1">
      <c r="B954" s="394"/>
      <c r="C954" s="395"/>
      <c r="D954" s="417"/>
      <c r="E954" s="662"/>
      <c r="F954" s="417"/>
      <c r="G954" s="384"/>
      <c r="H954" s="768"/>
      <c r="I954" s="384"/>
      <c r="J954" s="384"/>
      <c r="K954" s="657"/>
      <c r="L954" s="658"/>
      <c r="M954" s="384"/>
      <c r="N954" s="384"/>
      <c r="O954" s="384"/>
      <c r="P954" s="384"/>
      <c r="Q954" s="384"/>
      <c r="R954" s="384"/>
      <c r="S954" s="660"/>
      <c r="T954" s="396"/>
      <c r="U954" s="384"/>
      <c r="V954" s="384"/>
      <c r="W954" s="384"/>
      <c r="X954" s="384"/>
      <c r="Y954" s="442"/>
      <c r="Z954" s="442"/>
      <c r="AA954" s="441"/>
      <c r="AB954" s="441"/>
      <c r="AC954" s="441"/>
      <c r="AD954" s="441"/>
      <c r="AE954" s="441"/>
      <c r="AF954" s="441"/>
      <c r="AG954" s="441"/>
      <c r="AH954" s="441"/>
      <c r="AI954" s="441"/>
      <c r="AJ954" s="441"/>
      <c r="AK954" s="395"/>
      <c r="AL954" s="395"/>
      <c r="AM954" s="395"/>
      <c r="AN954" s="395"/>
      <c r="AO954" s="395"/>
      <c r="AP954" s="410"/>
      <c r="AQ954" s="410"/>
    </row>
    <row r="955" spans="2:43" ht="15" customHeight="1">
      <c r="B955" s="394"/>
      <c r="C955" s="395"/>
      <c r="D955" s="417"/>
      <c r="E955" s="662"/>
      <c r="F955" s="417"/>
      <c r="G955" s="384"/>
      <c r="H955" s="768"/>
      <c r="I955" s="384"/>
      <c r="J955" s="384"/>
      <c r="K955" s="657"/>
      <c r="L955" s="658"/>
      <c r="M955" s="384"/>
      <c r="N955" s="384"/>
      <c r="O955" s="384"/>
      <c r="P955" s="384"/>
      <c r="Q955" s="384"/>
      <c r="R955" s="384"/>
      <c r="S955" s="660"/>
      <c r="T955" s="396"/>
      <c r="U955" s="384"/>
      <c r="V955" s="384"/>
      <c r="W955" s="384"/>
      <c r="X955" s="384"/>
      <c r="Y955" s="442"/>
      <c r="Z955" s="442"/>
      <c r="AA955" s="441"/>
      <c r="AB955" s="441"/>
      <c r="AC955" s="441"/>
      <c r="AD955" s="441"/>
      <c r="AE955" s="441"/>
      <c r="AF955" s="441"/>
      <c r="AG955" s="441"/>
      <c r="AH955" s="441"/>
      <c r="AI955" s="441"/>
      <c r="AJ955" s="441"/>
      <c r="AK955" s="395"/>
      <c r="AL955" s="395"/>
      <c r="AM955" s="395"/>
      <c r="AN955" s="395"/>
      <c r="AO955" s="395"/>
      <c r="AP955" s="410"/>
      <c r="AQ955" s="410"/>
    </row>
    <row r="956" spans="2:43" ht="15" customHeight="1">
      <c r="B956" s="394"/>
      <c r="C956" s="395"/>
      <c r="D956" s="417"/>
      <c r="E956" s="662"/>
      <c r="F956" s="417"/>
      <c r="G956" s="384"/>
      <c r="H956" s="768"/>
      <c r="I956" s="384"/>
      <c r="J956" s="384"/>
      <c r="K956" s="657"/>
      <c r="L956" s="658"/>
      <c r="M956" s="384"/>
      <c r="N956" s="384"/>
      <c r="O956" s="384"/>
      <c r="P956" s="384"/>
      <c r="Q956" s="384"/>
      <c r="R956" s="384"/>
      <c r="S956" s="660"/>
      <c r="T956" s="396"/>
      <c r="U956" s="384"/>
      <c r="V956" s="384"/>
      <c r="W956" s="384"/>
      <c r="X956" s="384"/>
      <c r="Y956" s="442"/>
      <c r="Z956" s="442"/>
      <c r="AA956" s="441"/>
      <c r="AB956" s="441"/>
      <c r="AC956" s="441"/>
      <c r="AD956" s="441"/>
      <c r="AE956" s="441"/>
      <c r="AF956" s="441"/>
      <c r="AG956" s="441"/>
      <c r="AH956" s="441"/>
      <c r="AI956" s="441"/>
      <c r="AJ956" s="441"/>
      <c r="AK956" s="395"/>
      <c r="AL956" s="395"/>
      <c r="AM956" s="395"/>
      <c r="AN956" s="395"/>
      <c r="AO956" s="395"/>
      <c r="AP956" s="410"/>
      <c r="AQ956" s="410"/>
    </row>
    <row r="957" spans="2:43" ht="15" customHeight="1">
      <c r="B957" s="394"/>
      <c r="C957" s="395"/>
      <c r="D957" s="417"/>
      <c r="E957" s="662"/>
      <c r="F957" s="417"/>
      <c r="G957" s="384"/>
      <c r="H957" s="768"/>
      <c r="I957" s="384"/>
      <c r="J957" s="384"/>
      <c r="K957" s="657"/>
      <c r="L957" s="658"/>
      <c r="M957" s="384"/>
      <c r="N957" s="384"/>
      <c r="O957" s="384"/>
      <c r="P957" s="384"/>
      <c r="Q957" s="384"/>
      <c r="R957" s="384"/>
      <c r="S957" s="660"/>
      <c r="T957" s="396"/>
      <c r="U957" s="384"/>
      <c r="V957" s="384"/>
      <c r="W957" s="384"/>
      <c r="X957" s="384"/>
      <c r="Y957" s="442"/>
      <c r="Z957" s="442"/>
      <c r="AA957" s="441"/>
      <c r="AB957" s="441"/>
      <c r="AC957" s="441"/>
      <c r="AD957" s="441"/>
      <c r="AE957" s="441"/>
      <c r="AF957" s="441"/>
      <c r="AG957" s="441"/>
      <c r="AH957" s="441"/>
      <c r="AI957" s="441"/>
      <c r="AJ957" s="441"/>
      <c r="AK957" s="395"/>
      <c r="AL957" s="395"/>
      <c r="AM957" s="395"/>
      <c r="AN957" s="395"/>
      <c r="AO957" s="395"/>
      <c r="AP957" s="410"/>
      <c r="AQ957" s="410"/>
    </row>
    <row r="958" spans="2:43" ht="15" customHeight="1">
      <c r="B958" s="394"/>
      <c r="C958" s="395"/>
      <c r="D958" s="417"/>
      <c r="E958" s="662"/>
      <c r="F958" s="417"/>
      <c r="G958" s="384"/>
      <c r="H958" s="768"/>
      <c r="I958" s="384"/>
      <c r="J958" s="384"/>
      <c r="K958" s="657"/>
      <c r="L958" s="658"/>
      <c r="M958" s="384"/>
      <c r="N958" s="384"/>
      <c r="O958" s="384"/>
      <c r="P958" s="384"/>
      <c r="Q958" s="384"/>
      <c r="R958" s="384"/>
      <c r="S958" s="660"/>
      <c r="T958" s="396"/>
      <c r="U958" s="384"/>
      <c r="V958" s="384"/>
      <c r="W958" s="384"/>
      <c r="X958" s="384"/>
      <c r="Y958" s="442"/>
      <c r="Z958" s="442"/>
      <c r="AA958" s="441"/>
      <c r="AB958" s="441"/>
      <c r="AC958" s="441"/>
      <c r="AD958" s="441"/>
      <c r="AE958" s="441"/>
      <c r="AF958" s="441"/>
      <c r="AG958" s="441"/>
      <c r="AH958" s="441"/>
      <c r="AI958" s="441"/>
      <c r="AJ958" s="441"/>
      <c r="AK958" s="395"/>
      <c r="AL958" s="395"/>
      <c r="AM958" s="395"/>
      <c r="AN958" s="395"/>
      <c r="AO958" s="395"/>
      <c r="AP958" s="410"/>
      <c r="AQ958" s="410"/>
    </row>
    <row r="959" spans="2:43" ht="15" customHeight="1">
      <c r="B959" s="394"/>
      <c r="C959" s="395"/>
      <c r="D959" s="417"/>
      <c r="E959" s="662"/>
      <c r="F959" s="417"/>
      <c r="G959" s="384"/>
      <c r="H959" s="768"/>
      <c r="I959" s="384"/>
      <c r="J959" s="384"/>
      <c r="K959" s="657"/>
      <c r="L959" s="658"/>
      <c r="M959" s="384"/>
      <c r="N959" s="384"/>
      <c r="O959" s="384"/>
      <c r="P959" s="384"/>
      <c r="Q959" s="384"/>
      <c r="R959" s="384"/>
      <c r="S959" s="660"/>
      <c r="T959" s="396"/>
      <c r="U959" s="384"/>
      <c r="V959" s="384"/>
      <c r="W959" s="384"/>
      <c r="X959" s="384"/>
      <c r="Y959" s="442"/>
      <c r="Z959" s="442"/>
      <c r="AA959" s="441"/>
      <c r="AB959" s="441"/>
      <c r="AC959" s="441"/>
      <c r="AD959" s="441"/>
      <c r="AE959" s="441"/>
      <c r="AF959" s="441"/>
      <c r="AG959" s="441"/>
      <c r="AH959" s="441"/>
      <c r="AI959" s="441"/>
      <c r="AJ959" s="441"/>
      <c r="AK959" s="395"/>
      <c r="AL959" s="395"/>
      <c r="AM959" s="395"/>
      <c r="AN959" s="395"/>
      <c r="AO959" s="395"/>
      <c r="AP959" s="410"/>
      <c r="AQ959" s="410"/>
    </row>
    <row r="960" spans="2:43" ht="15" customHeight="1">
      <c r="B960" s="394"/>
      <c r="C960" s="395"/>
      <c r="D960" s="417"/>
      <c r="E960" s="662"/>
      <c r="F960" s="417"/>
      <c r="G960" s="384"/>
      <c r="H960" s="768"/>
      <c r="I960" s="384"/>
      <c r="J960" s="384"/>
      <c r="K960" s="657"/>
      <c r="L960" s="658"/>
      <c r="M960" s="384"/>
      <c r="N960" s="384"/>
      <c r="O960" s="384"/>
      <c r="P960" s="384"/>
      <c r="Q960" s="384"/>
      <c r="R960" s="384"/>
      <c r="S960" s="660"/>
      <c r="T960" s="396"/>
      <c r="U960" s="384"/>
      <c r="V960" s="384"/>
      <c r="W960" s="384"/>
      <c r="X960" s="384"/>
      <c r="Y960" s="442"/>
      <c r="Z960" s="442"/>
      <c r="AA960" s="441"/>
      <c r="AB960" s="441"/>
      <c r="AC960" s="441"/>
      <c r="AD960" s="441"/>
      <c r="AE960" s="441"/>
      <c r="AF960" s="441"/>
      <c r="AG960" s="441"/>
      <c r="AH960" s="441"/>
      <c r="AI960" s="441"/>
      <c r="AJ960" s="441"/>
      <c r="AK960" s="395"/>
      <c r="AL960" s="395"/>
      <c r="AM960" s="395"/>
      <c r="AN960" s="395"/>
      <c r="AO960" s="395"/>
      <c r="AP960" s="410"/>
      <c r="AQ960" s="410"/>
    </row>
    <row r="961" spans="2:43" ht="15" customHeight="1">
      <c r="B961" s="394"/>
      <c r="C961" s="395"/>
      <c r="D961" s="417"/>
      <c r="E961" s="662"/>
      <c r="F961" s="417"/>
      <c r="G961" s="384"/>
      <c r="H961" s="768"/>
      <c r="I961" s="384"/>
      <c r="J961" s="384"/>
      <c r="K961" s="657"/>
      <c r="L961" s="658"/>
      <c r="M961" s="384"/>
      <c r="N961" s="384"/>
      <c r="O961" s="384"/>
      <c r="P961" s="384"/>
      <c r="Q961" s="384"/>
      <c r="R961" s="384"/>
      <c r="S961" s="660"/>
      <c r="T961" s="396"/>
      <c r="U961" s="384"/>
      <c r="V961" s="384"/>
      <c r="W961" s="384"/>
      <c r="X961" s="384"/>
      <c r="Y961" s="442"/>
      <c r="Z961" s="442"/>
      <c r="AA961" s="441"/>
      <c r="AB961" s="441"/>
      <c r="AC961" s="441"/>
      <c r="AD961" s="441"/>
      <c r="AE961" s="441"/>
      <c r="AF961" s="441"/>
      <c r="AG961" s="441"/>
      <c r="AH961" s="441"/>
      <c r="AI961" s="441"/>
      <c r="AJ961" s="441"/>
      <c r="AK961" s="395"/>
      <c r="AL961" s="395"/>
      <c r="AM961" s="395"/>
      <c r="AN961" s="395"/>
      <c r="AO961" s="395"/>
      <c r="AP961" s="410"/>
      <c r="AQ961" s="410"/>
    </row>
    <row r="962" spans="2:43" ht="15" customHeight="1">
      <c r="B962" s="394"/>
      <c r="C962" s="395"/>
      <c r="D962" s="417"/>
      <c r="E962" s="662"/>
      <c r="F962" s="417"/>
      <c r="G962" s="384"/>
      <c r="H962" s="768"/>
      <c r="I962" s="384"/>
      <c r="J962" s="384"/>
      <c r="K962" s="657"/>
      <c r="L962" s="658"/>
      <c r="M962" s="384"/>
      <c r="N962" s="384"/>
      <c r="O962" s="384"/>
      <c r="P962" s="384"/>
      <c r="Q962" s="384"/>
      <c r="R962" s="384"/>
      <c r="S962" s="660"/>
      <c r="T962" s="396"/>
      <c r="U962" s="384"/>
      <c r="V962" s="384"/>
      <c r="W962" s="384"/>
      <c r="X962" s="384"/>
      <c r="Y962" s="442"/>
      <c r="Z962" s="442"/>
      <c r="AA962" s="441"/>
      <c r="AB962" s="441"/>
      <c r="AC962" s="441"/>
      <c r="AD962" s="441"/>
      <c r="AE962" s="441"/>
      <c r="AF962" s="441"/>
      <c r="AG962" s="441"/>
      <c r="AH962" s="441"/>
      <c r="AI962" s="441"/>
      <c r="AJ962" s="441"/>
      <c r="AK962" s="395"/>
      <c r="AL962" s="395"/>
      <c r="AM962" s="395"/>
      <c r="AN962" s="395"/>
      <c r="AO962" s="395"/>
      <c r="AP962" s="410"/>
      <c r="AQ962" s="410"/>
    </row>
    <row r="963" spans="2:43" ht="15" customHeight="1">
      <c r="B963" s="394"/>
      <c r="C963" s="395"/>
      <c r="D963" s="417"/>
      <c r="E963" s="662"/>
      <c r="F963" s="417"/>
      <c r="G963" s="384"/>
      <c r="H963" s="768"/>
      <c r="I963" s="384"/>
      <c r="J963" s="384"/>
      <c r="K963" s="657"/>
      <c r="L963" s="658"/>
      <c r="M963" s="384"/>
      <c r="N963" s="384"/>
      <c r="O963" s="384"/>
      <c r="P963" s="384"/>
      <c r="Q963" s="384"/>
      <c r="R963" s="384"/>
      <c r="S963" s="660"/>
      <c r="T963" s="396"/>
      <c r="U963" s="384"/>
      <c r="V963" s="384"/>
      <c r="W963" s="384"/>
      <c r="X963" s="384"/>
      <c r="Y963" s="442"/>
      <c r="Z963" s="442"/>
      <c r="AA963" s="441"/>
      <c r="AB963" s="441"/>
      <c r="AC963" s="441"/>
      <c r="AD963" s="441"/>
      <c r="AE963" s="441"/>
      <c r="AF963" s="441"/>
      <c r="AG963" s="441"/>
      <c r="AH963" s="441"/>
      <c r="AI963" s="441"/>
      <c r="AJ963" s="441"/>
      <c r="AK963" s="395"/>
      <c r="AL963" s="395"/>
      <c r="AM963" s="395"/>
      <c r="AN963" s="395"/>
      <c r="AO963" s="395"/>
      <c r="AP963" s="410"/>
      <c r="AQ963" s="410"/>
    </row>
    <row r="964" spans="2:43" ht="15" customHeight="1">
      <c r="B964" s="394"/>
      <c r="C964" s="395"/>
      <c r="D964" s="417"/>
      <c r="E964" s="662"/>
      <c r="F964" s="417"/>
      <c r="G964" s="384"/>
      <c r="H964" s="768"/>
      <c r="I964" s="384"/>
      <c r="J964" s="384"/>
      <c r="K964" s="657"/>
      <c r="L964" s="658"/>
      <c r="M964" s="384"/>
      <c r="N964" s="384"/>
      <c r="O964" s="384"/>
      <c r="P964" s="384"/>
      <c r="Q964" s="384"/>
      <c r="R964" s="384"/>
      <c r="S964" s="660"/>
      <c r="T964" s="396"/>
      <c r="U964" s="384"/>
      <c r="V964" s="384"/>
      <c r="W964" s="384"/>
      <c r="X964" s="384"/>
      <c r="Y964" s="442"/>
      <c r="Z964" s="442"/>
      <c r="AA964" s="441"/>
      <c r="AB964" s="441"/>
      <c r="AC964" s="441"/>
      <c r="AD964" s="441"/>
      <c r="AE964" s="441"/>
      <c r="AF964" s="441"/>
      <c r="AG964" s="441"/>
      <c r="AH964" s="441"/>
      <c r="AI964" s="441"/>
      <c r="AJ964" s="441"/>
      <c r="AK964" s="395"/>
      <c r="AL964" s="395"/>
      <c r="AM964" s="395"/>
      <c r="AN964" s="395"/>
      <c r="AO964" s="395"/>
      <c r="AP964" s="410"/>
      <c r="AQ964" s="410"/>
    </row>
    <row r="965" spans="2:43" ht="15" customHeight="1">
      <c r="B965" s="394"/>
      <c r="C965" s="395"/>
      <c r="D965" s="417"/>
      <c r="E965" s="662"/>
      <c r="F965" s="417"/>
      <c r="G965" s="384"/>
      <c r="H965" s="768"/>
      <c r="I965" s="384"/>
      <c r="J965" s="384"/>
      <c r="K965" s="657"/>
      <c r="L965" s="658"/>
      <c r="M965" s="384"/>
      <c r="N965" s="384"/>
      <c r="O965" s="384"/>
      <c r="P965" s="384"/>
      <c r="Q965" s="384"/>
      <c r="R965" s="384"/>
      <c r="S965" s="660"/>
      <c r="T965" s="396"/>
      <c r="U965" s="384"/>
      <c r="V965" s="384"/>
      <c r="W965" s="384"/>
      <c r="X965" s="384"/>
      <c r="Y965" s="442"/>
      <c r="Z965" s="442"/>
      <c r="AA965" s="441"/>
      <c r="AB965" s="441"/>
      <c r="AC965" s="441"/>
      <c r="AD965" s="441"/>
      <c r="AE965" s="441"/>
      <c r="AF965" s="441"/>
      <c r="AG965" s="441"/>
      <c r="AH965" s="441"/>
      <c r="AI965" s="441"/>
      <c r="AJ965" s="441"/>
      <c r="AK965" s="395"/>
      <c r="AL965" s="395"/>
      <c r="AM965" s="395"/>
      <c r="AN965" s="395"/>
      <c r="AO965" s="395"/>
      <c r="AP965" s="410"/>
      <c r="AQ965" s="410"/>
    </row>
    <row r="966" spans="2:43" ht="15" customHeight="1">
      <c r="B966" s="394"/>
      <c r="C966" s="395"/>
      <c r="D966" s="417"/>
      <c r="E966" s="662"/>
      <c r="F966" s="417"/>
      <c r="G966" s="384"/>
      <c r="H966" s="768"/>
      <c r="I966" s="384"/>
      <c r="J966" s="384"/>
      <c r="K966" s="657"/>
      <c r="L966" s="658"/>
      <c r="M966" s="384"/>
      <c r="N966" s="384"/>
      <c r="O966" s="384"/>
      <c r="P966" s="384"/>
      <c r="Q966" s="384"/>
      <c r="R966" s="384"/>
      <c r="S966" s="660"/>
      <c r="T966" s="396"/>
      <c r="U966" s="384"/>
      <c r="V966" s="384"/>
      <c r="W966" s="384"/>
      <c r="X966" s="384"/>
      <c r="Y966" s="442"/>
      <c r="Z966" s="442"/>
      <c r="AA966" s="441"/>
      <c r="AB966" s="441"/>
      <c r="AC966" s="441"/>
      <c r="AD966" s="441"/>
      <c r="AE966" s="441"/>
      <c r="AF966" s="441"/>
      <c r="AG966" s="441"/>
      <c r="AH966" s="441"/>
      <c r="AI966" s="441"/>
      <c r="AJ966" s="441"/>
      <c r="AK966" s="395"/>
      <c r="AL966" s="395"/>
      <c r="AM966" s="395"/>
      <c r="AN966" s="395"/>
      <c r="AO966" s="395"/>
      <c r="AP966" s="410"/>
      <c r="AQ966" s="410"/>
    </row>
    <row r="967" spans="2:43" ht="15" customHeight="1">
      <c r="B967" s="394"/>
      <c r="C967" s="395"/>
      <c r="D967" s="417"/>
      <c r="E967" s="662"/>
      <c r="F967" s="417"/>
      <c r="G967" s="384"/>
      <c r="H967" s="768"/>
      <c r="I967" s="384"/>
      <c r="J967" s="384"/>
      <c r="K967" s="657"/>
      <c r="L967" s="658"/>
      <c r="M967" s="384"/>
      <c r="N967" s="384"/>
      <c r="O967" s="384"/>
      <c r="P967" s="384"/>
      <c r="Q967" s="384"/>
      <c r="R967" s="384"/>
      <c r="S967" s="660"/>
      <c r="T967" s="396"/>
      <c r="U967" s="384"/>
      <c r="V967" s="384"/>
      <c r="W967" s="384"/>
      <c r="X967" s="384"/>
      <c r="Y967" s="442"/>
      <c r="Z967" s="442"/>
      <c r="AA967" s="441"/>
      <c r="AB967" s="441"/>
      <c r="AC967" s="441"/>
      <c r="AD967" s="441"/>
      <c r="AE967" s="441"/>
      <c r="AF967" s="441"/>
      <c r="AG967" s="441"/>
      <c r="AH967" s="441"/>
      <c r="AI967" s="441"/>
      <c r="AJ967" s="441"/>
      <c r="AK967" s="395"/>
      <c r="AL967" s="395"/>
      <c r="AM967" s="395"/>
      <c r="AN967" s="395"/>
      <c r="AO967" s="395"/>
      <c r="AP967" s="410"/>
      <c r="AQ967" s="410"/>
    </row>
    <row r="968" spans="2:43" ht="15" customHeight="1">
      <c r="B968" s="394"/>
      <c r="C968" s="395"/>
      <c r="D968" s="417"/>
      <c r="E968" s="662"/>
      <c r="F968" s="417"/>
      <c r="G968" s="384"/>
      <c r="H968" s="768"/>
      <c r="I968" s="384"/>
      <c r="J968" s="384"/>
      <c r="K968" s="657"/>
      <c r="L968" s="658"/>
      <c r="M968" s="384"/>
      <c r="N968" s="384"/>
      <c r="O968" s="384"/>
      <c r="P968" s="384"/>
      <c r="Q968" s="384"/>
      <c r="R968" s="384"/>
      <c r="S968" s="660"/>
      <c r="T968" s="396"/>
      <c r="U968" s="384"/>
      <c r="V968" s="384"/>
      <c r="W968" s="384"/>
      <c r="X968" s="384"/>
      <c r="Y968" s="442"/>
      <c r="Z968" s="442"/>
      <c r="AA968" s="441"/>
      <c r="AB968" s="441"/>
      <c r="AC968" s="441"/>
      <c r="AD968" s="441"/>
      <c r="AE968" s="441"/>
      <c r="AF968" s="441"/>
      <c r="AG968" s="441"/>
      <c r="AH968" s="441"/>
      <c r="AI968" s="441"/>
      <c r="AJ968" s="441"/>
      <c r="AK968" s="395"/>
      <c r="AL968" s="395"/>
      <c r="AM968" s="395"/>
      <c r="AN968" s="395"/>
      <c r="AO968" s="395"/>
      <c r="AP968" s="410"/>
      <c r="AQ968" s="410"/>
    </row>
    <row r="969" spans="2:43" ht="15" customHeight="1">
      <c r="B969" s="394"/>
      <c r="C969" s="395"/>
      <c r="D969" s="417"/>
      <c r="E969" s="662"/>
      <c r="F969" s="417"/>
      <c r="G969" s="384"/>
      <c r="H969" s="768"/>
      <c r="I969" s="384"/>
      <c r="J969" s="384"/>
      <c r="K969" s="657"/>
      <c r="L969" s="658"/>
      <c r="M969" s="384"/>
      <c r="N969" s="384"/>
      <c r="O969" s="384"/>
      <c r="P969" s="384"/>
      <c r="Q969" s="384"/>
      <c r="R969" s="384"/>
      <c r="S969" s="660"/>
      <c r="T969" s="396"/>
      <c r="U969" s="384"/>
      <c r="V969" s="384"/>
      <c r="W969" s="384"/>
      <c r="X969" s="384"/>
      <c r="Y969" s="442"/>
      <c r="Z969" s="442"/>
      <c r="AA969" s="441"/>
      <c r="AB969" s="441"/>
      <c r="AC969" s="441"/>
      <c r="AD969" s="441"/>
      <c r="AE969" s="441"/>
      <c r="AF969" s="441"/>
      <c r="AG969" s="441"/>
      <c r="AH969" s="441"/>
      <c r="AI969" s="441"/>
      <c r="AJ969" s="441"/>
      <c r="AK969" s="395"/>
      <c r="AL969" s="395"/>
      <c r="AM969" s="395"/>
      <c r="AN969" s="395"/>
      <c r="AO969" s="395"/>
      <c r="AP969" s="410"/>
      <c r="AQ969" s="410"/>
    </row>
    <row r="970" spans="2:43" ht="15" customHeight="1">
      <c r="B970" s="394"/>
      <c r="C970" s="395"/>
      <c r="D970" s="417"/>
      <c r="E970" s="662"/>
      <c r="F970" s="417"/>
      <c r="G970" s="384"/>
      <c r="H970" s="768"/>
      <c r="I970" s="384"/>
      <c r="J970" s="384"/>
      <c r="K970" s="657"/>
      <c r="L970" s="658"/>
      <c r="M970" s="384"/>
      <c r="N970" s="384"/>
      <c r="O970" s="384"/>
      <c r="P970" s="384"/>
      <c r="Q970" s="384"/>
      <c r="R970" s="384"/>
      <c r="S970" s="660"/>
      <c r="T970" s="396"/>
      <c r="U970" s="384"/>
      <c r="V970" s="384"/>
      <c r="W970" s="384"/>
      <c r="X970" s="384"/>
      <c r="Y970" s="442"/>
      <c r="Z970" s="442"/>
      <c r="AA970" s="441"/>
      <c r="AB970" s="441"/>
      <c r="AC970" s="441"/>
      <c r="AD970" s="441"/>
      <c r="AE970" s="441"/>
      <c r="AF970" s="441"/>
      <c r="AG970" s="441"/>
      <c r="AH970" s="441"/>
      <c r="AI970" s="441"/>
      <c r="AJ970" s="441"/>
      <c r="AK970" s="395"/>
      <c r="AL970" s="395"/>
      <c r="AM970" s="395"/>
      <c r="AN970" s="395"/>
      <c r="AO970" s="395"/>
      <c r="AP970" s="410"/>
      <c r="AQ970" s="410"/>
    </row>
    <row r="971" spans="2:43" ht="15" customHeight="1">
      <c r="B971" s="394"/>
      <c r="C971" s="395"/>
      <c r="D971" s="417"/>
      <c r="E971" s="662"/>
      <c r="F971" s="417"/>
      <c r="G971" s="384"/>
      <c r="H971" s="768"/>
      <c r="I971" s="384"/>
      <c r="J971" s="384"/>
      <c r="K971" s="657"/>
      <c r="L971" s="658"/>
      <c r="M971" s="384"/>
      <c r="N971" s="384"/>
      <c r="O971" s="384"/>
      <c r="P971" s="384"/>
      <c r="Q971" s="384"/>
      <c r="R971" s="384"/>
      <c r="S971" s="660"/>
      <c r="T971" s="396"/>
      <c r="U971" s="384"/>
      <c r="V971" s="384"/>
      <c r="W971" s="384"/>
      <c r="X971" s="384"/>
      <c r="Y971" s="442"/>
      <c r="Z971" s="442"/>
      <c r="AA971" s="441"/>
      <c r="AB971" s="441"/>
      <c r="AC971" s="441"/>
      <c r="AD971" s="441"/>
      <c r="AE971" s="441"/>
      <c r="AF971" s="441"/>
      <c r="AG971" s="441"/>
      <c r="AH971" s="441"/>
      <c r="AI971" s="441"/>
      <c r="AJ971" s="441"/>
      <c r="AK971" s="395"/>
      <c r="AL971" s="395"/>
      <c r="AM971" s="395"/>
      <c r="AN971" s="395"/>
      <c r="AO971" s="395"/>
      <c r="AP971" s="410"/>
      <c r="AQ971" s="410"/>
    </row>
    <row r="972" spans="2:43" ht="15" customHeight="1">
      <c r="B972" s="394"/>
      <c r="C972" s="395"/>
      <c r="D972" s="417"/>
      <c r="E972" s="662"/>
      <c r="F972" s="417"/>
      <c r="G972" s="384"/>
      <c r="H972" s="768"/>
      <c r="I972" s="384"/>
      <c r="J972" s="384"/>
      <c r="K972" s="657"/>
      <c r="L972" s="658"/>
      <c r="M972" s="384"/>
      <c r="N972" s="384"/>
      <c r="O972" s="384"/>
      <c r="P972" s="384"/>
      <c r="Q972" s="384"/>
      <c r="R972" s="384"/>
      <c r="S972" s="660"/>
      <c r="T972" s="396"/>
      <c r="U972" s="384"/>
      <c r="V972" s="384"/>
      <c r="W972" s="384"/>
      <c r="X972" s="384"/>
      <c r="Y972" s="442"/>
      <c r="Z972" s="442"/>
      <c r="AA972" s="441"/>
      <c r="AB972" s="441"/>
      <c r="AC972" s="441"/>
      <c r="AD972" s="441"/>
      <c r="AE972" s="441"/>
      <c r="AF972" s="441"/>
      <c r="AG972" s="441"/>
      <c r="AH972" s="441"/>
      <c r="AI972" s="441"/>
      <c r="AJ972" s="441"/>
      <c r="AK972" s="395"/>
      <c r="AL972" s="395"/>
      <c r="AM972" s="395"/>
      <c r="AN972" s="395"/>
      <c r="AO972" s="395"/>
      <c r="AP972" s="410"/>
      <c r="AQ972" s="410"/>
    </row>
    <row r="973" spans="2:43" ht="15" customHeight="1">
      <c r="B973" s="394"/>
      <c r="C973" s="395"/>
      <c r="D973" s="417"/>
      <c r="E973" s="662"/>
      <c r="F973" s="417"/>
      <c r="G973" s="384"/>
      <c r="H973" s="768"/>
      <c r="I973" s="384"/>
      <c r="J973" s="384"/>
      <c r="K973" s="657"/>
      <c r="L973" s="658"/>
      <c r="M973" s="384"/>
      <c r="N973" s="384"/>
      <c r="O973" s="384"/>
      <c r="P973" s="384"/>
      <c r="Q973" s="384"/>
      <c r="R973" s="384"/>
      <c r="S973" s="660"/>
      <c r="T973" s="396"/>
      <c r="U973" s="384"/>
      <c r="V973" s="384"/>
      <c r="W973" s="384"/>
      <c r="X973" s="384"/>
      <c r="Y973" s="442"/>
      <c r="Z973" s="442"/>
      <c r="AA973" s="441"/>
      <c r="AB973" s="441"/>
      <c r="AC973" s="441"/>
      <c r="AD973" s="441"/>
      <c r="AE973" s="441"/>
      <c r="AF973" s="441"/>
      <c r="AG973" s="441"/>
      <c r="AH973" s="441"/>
      <c r="AI973" s="441"/>
      <c r="AJ973" s="441"/>
      <c r="AK973" s="395"/>
      <c r="AL973" s="395"/>
      <c r="AM973" s="395"/>
      <c r="AN973" s="395"/>
      <c r="AO973" s="395"/>
      <c r="AP973" s="410"/>
      <c r="AQ973" s="410"/>
    </row>
    <row r="974" spans="2:43" ht="15" customHeight="1">
      <c r="B974" s="394"/>
      <c r="C974" s="395"/>
      <c r="D974" s="417"/>
      <c r="E974" s="662"/>
      <c r="F974" s="417"/>
      <c r="G974" s="384"/>
      <c r="H974" s="768"/>
      <c r="I974" s="384"/>
      <c r="J974" s="384"/>
      <c r="K974" s="657"/>
      <c r="L974" s="658"/>
      <c r="M974" s="384"/>
      <c r="N974" s="384"/>
      <c r="O974" s="384"/>
      <c r="P974" s="384"/>
      <c r="Q974" s="384"/>
      <c r="R974" s="384"/>
      <c r="S974" s="660"/>
      <c r="T974" s="396"/>
      <c r="U974" s="384"/>
      <c r="V974" s="384"/>
      <c r="W974" s="384"/>
      <c r="X974" s="384"/>
      <c r="Y974" s="442"/>
      <c r="Z974" s="442"/>
      <c r="AA974" s="441"/>
      <c r="AB974" s="441"/>
      <c r="AC974" s="441"/>
      <c r="AD974" s="441"/>
      <c r="AE974" s="441"/>
      <c r="AF974" s="441"/>
      <c r="AG974" s="441"/>
      <c r="AH974" s="441"/>
      <c r="AI974" s="441"/>
      <c r="AJ974" s="441"/>
      <c r="AK974" s="395"/>
      <c r="AL974" s="395"/>
      <c r="AM974" s="395"/>
      <c r="AN974" s="395"/>
      <c r="AO974" s="395"/>
      <c r="AP974" s="410"/>
      <c r="AQ974" s="410"/>
    </row>
    <row r="975" spans="2:43" ht="15" customHeight="1">
      <c r="B975" s="394"/>
      <c r="C975" s="395"/>
      <c r="D975" s="417"/>
      <c r="E975" s="662"/>
      <c r="F975" s="417"/>
      <c r="G975" s="384"/>
      <c r="H975" s="768"/>
      <c r="I975" s="384"/>
      <c r="J975" s="384"/>
      <c r="K975" s="657"/>
      <c r="L975" s="658"/>
      <c r="M975" s="384"/>
      <c r="N975" s="384"/>
      <c r="O975" s="384"/>
      <c r="P975" s="384"/>
      <c r="Q975" s="384"/>
      <c r="R975" s="384"/>
      <c r="S975" s="660"/>
      <c r="T975" s="396"/>
      <c r="U975" s="384"/>
      <c r="V975" s="384"/>
      <c r="W975" s="384"/>
      <c r="X975" s="384"/>
      <c r="Y975" s="442"/>
      <c r="Z975" s="442"/>
      <c r="AA975" s="441"/>
      <c r="AB975" s="441"/>
      <c r="AC975" s="441"/>
      <c r="AD975" s="441"/>
      <c r="AE975" s="441"/>
      <c r="AF975" s="441"/>
      <c r="AG975" s="441"/>
      <c r="AH975" s="441"/>
      <c r="AI975" s="441"/>
      <c r="AJ975" s="441"/>
      <c r="AK975" s="395"/>
      <c r="AL975" s="395"/>
      <c r="AM975" s="395"/>
      <c r="AN975" s="395"/>
      <c r="AO975" s="395"/>
      <c r="AP975" s="410"/>
      <c r="AQ975" s="410"/>
    </row>
    <row r="976" spans="2:43" ht="15" customHeight="1">
      <c r="B976" s="394"/>
      <c r="C976" s="395"/>
      <c r="D976" s="417"/>
      <c r="E976" s="662"/>
      <c r="F976" s="417"/>
      <c r="G976" s="384"/>
      <c r="H976" s="768"/>
      <c r="I976" s="384"/>
      <c r="J976" s="384"/>
      <c r="K976" s="657"/>
      <c r="L976" s="658"/>
      <c r="M976" s="384"/>
      <c r="N976" s="384"/>
      <c r="O976" s="384"/>
      <c r="P976" s="384"/>
      <c r="Q976" s="384"/>
      <c r="R976" s="384"/>
      <c r="S976" s="660"/>
      <c r="T976" s="396"/>
      <c r="U976" s="384"/>
      <c r="V976" s="384"/>
      <c r="W976" s="384"/>
      <c r="X976" s="384"/>
      <c r="Y976" s="442"/>
      <c r="Z976" s="442"/>
      <c r="AA976" s="441"/>
      <c r="AB976" s="441"/>
      <c r="AC976" s="441"/>
      <c r="AD976" s="441"/>
      <c r="AE976" s="441"/>
      <c r="AF976" s="441"/>
      <c r="AG976" s="441"/>
      <c r="AH976" s="441"/>
      <c r="AI976" s="441"/>
      <c r="AJ976" s="441"/>
      <c r="AK976" s="395"/>
      <c r="AL976" s="395"/>
      <c r="AM976" s="395"/>
      <c r="AN976" s="395"/>
      <c r="AO976" s="395"/>
      <c r="AP976" s="410"/>
      <c r="AQ976" s="410"/>
    </row>
    <row r="977" spans="2:43" ht="15" customHeight="1">
      <c r="B977" s="394"/>
      <c r="C977" s="395"/>
      <c r="D977" s="417"/>
      <c r="E977" s="662"/>
      <c r="F977" s="417"/>
      <c r="G977" s="384"/>
      <c r="H977" s="768"/>
      <c r="I977" s="384"/>
      <c r="J977" s="384"/>
      <c r="K977" s="657"/>
      <c r="L977" s="658"/>
      <c r="M977" s="384"/>
      <c r="N977" s="384"/>
      <c r="O977" s="384"/>
      <c r="P977" s="384"/>
      <c r="Q977" s="384"/>
      <c r="R977" s="384"/>
      <c r="S977" s="660"/>
      <c r="T977" s="396"/>
      <c r="U977" s="384"/>
      <c r="V977" s="384"/>
      <c r="W977" s="384"/>
      <c r="X977" s="384"/>
      <c r="Y977" s="442"/>
      <c r="Z977" s="442"/>
      <c r="AA977" s="441"/>
      <c r="AB977" s="441"/>
      <c r="AC977" s="441"/>
      <c r="AD977" s="441"/>
      <c r="AE977" s="441"/>
      <c r="AF977" s="441"/>
      <c r="AG977" s="441"/>
      <c r="AH977" s="441"/>
      <c r="AI977" s="441"/>
      <c r="AJ977" s="441"/>
      <c r="AK977" s="395"/>
      <c r="AL977" s="395"/>
      <c r="AM977" s="395"/>
      <c r="AN977" s="395"/>
      <c r="AO977" s="395"/>
      <c r="AP977" s="410"/>
      <c r="AQ977" s="410"/>
    </row>
    <row r="978" spans="2:43" ht="15" customHeight="1">
      <c r="B978" s="394"/>
      <c r="C978" s="395"/>
      <c r="D978" s="417"/>
      <c r="E978" s="662"/>
      <c r="F978" s="417"/>
      <c r="G978" s="384"/>
      <c r="H978" s="768"/>
      <c r="I978" s="384"/>
      <c r="J978" s="384"/>
      <c r="K978" s="657"/>
      <c r="L978" s="658"/>
      <c r="M978" s="384"/>
      <c r="N978" s="384"/>
      <c r="O978" s="384"/>
      <c r="P978" s="384"/>
      <c r="Q978" s="384"/>
      <c r="R978" s="384"/>
      <c r="S978" s="660"/>
      <c r="T978" s="396"/>
      <c r="U978" s="384"/>
      <c r="V978" s="384"/>
      <c r="W978" s="384"/>
      <c r="X978" s="384"/>
      <c r="Y978" s="442"/>
      <c r="Z978" s="442"/>
      <c r="AA978" s="441"/>
      <c r="AB978" s="441"/>
      <c r="AC978" s="441"/>
      <c r="AD978" s="441"/>
      <c r="AE978" s="441"/>
      <c r="AF978" s="441"/>
      <c r="AG978" s="441"/>
      <c r="AH978" s="441"/>
      <c r="AI978" s="441"/>
      <c r="AJ978" s="441"/>
      <c r="AK978" s="395"/>
      <c r="AL978" s="395"/>
      <c r="AM978" s="395"/>
      <c r="AN978" s="395"/>
      <c r="AO978" s="395"/>
      <c r="AP978" s="410"/>
      <c r="AQ978" s="410"/>
    </row>
    <row r="979" spans="2:43" ht="15" customHeight="1">
      <c r="B979" s="394"/>
      <c r="C979" s="395"/>
      <c r="D979" s="417"/>
      <c r="E979" s="662"/>
      <c r="F979" s="417"/>
      <c r="G979" s="384"/>
      <c r="H979" s="768"/>
      <c r="I979" s="384"/>
      <c r="J979" s="384"/>
      <c r="K979" s="657"/>
      <c r="L979" s="658"/>
      <c r="M979" s="384"/>
      <c r="N979" s="384"/>
      <c r="O979" s="384"/>
      <c r="P979" s="384"/>
      <c r="Q979" s="384"/>
      <c r="R979" s="384"/>
      <c r="S979" s="660"/>
      <c r="T979" s="396"/>
      <c r="U979" s="384"/>
      <c r="V979" s="384"/>
      <c r="W979" s="384"/>
      <c r="X979" s="384"/>
      <c r="Y979" s="442"/>
      <c r="Z979" s="442"/>
      <c r="AA979" s="441"/>
      <c r="AB979" s="441"/>
      <c r="AC979" s="441"/>
      <c r="AD979" s="441"/>
      <c r="AE979" s="441"/>
      <c r="AF979" s="441"/>
      <c r="AG979" s="441"/>
      <c r="AH979" s="441"/>
      <c r="AI979" s="441"/>
      <c r="AJ979" s="441"/>
      <c r="AK979" s="395"/>
      <c r="AL979" s="395"/>
      <c r="AM979" s="395"/>
      <c r="AN979" s="395"/>
      <c r="AO979" s="395"/>
      <c r="AP979" s="410"/>
      <c r="AQ979" s="410"/>
    </row>
    <row r="980" spans="2:43" ht="15" customHeight="1">
      <c r="B980" s="394"/>
      <c r="C980" s="395"/>
      <c r="D980" s="417"/>
      <c r="E980" s="662"/>
      <c r="F980" s="417"/>
      <c r="G980" s="384"/>
      <c r="H980" s="768"/>
      <c r="I980" s="384"/>
      <c r="J980" s="384"/>
      <c r="K980" s="657"/>
      <c r="L980" s="658"/>
      <c r="M980" s="384"/>
      <c r="N980" s="384"/>
      <c r="O980" s="384"/>
      <c r="P980" s="384"/>
      <c r="Q980" s="384"/>
      <c r="R980" s="384"/>
      <c r="S980" s="660"/>
      <c r="T980" s="396"/>
      <c r="U980" s="384"/>
      <c r="V980" s="384"/>
      <c r="W980" s="384"/>
      <c r="X980" s="384"/>
      <c r="Y980" s="442"/>
      <c r="Z980" s="442"/>
      <c r="AA980" s="441"/>
      <c r="AB980" s="441"/>
      <c r="AC980" s="441"/>
      <c r="AD980" s="441"/>
      <c r="AE980" s="441"/>
      <c r="AF980" s="441"/>
      <c r="AG980" s="441"/>
      <c r="AH980" s="441"/>
      <c r="AI980" s="441"/>
      <c r="AJ980" s="441"/>
      <c r="AK980" s="395"/>
      <c r="AL980" s="395"/>
      <c r="AM980" s="395"/>
      <c r="AN980" s="395"/>
      <c r="AO980" s="395"/>
      <c r="AP980" s="410"/>
      <c r="AQ980" s="410"/>
    </row>
    <row r="981" spans="2:43" ht="15" customHeight="1">
      <c r="B981" s="394"/>
      <c r="C981" s="395"/>
      <c r="D981" s="417"/>
      <c r="E981" s="662"/>
      <c r="F981" s="417"/>
      <c r="G981" s="384"/>
      <c r="H981" s="768"/>
      <c r="I981" s="384"/>
      <c r="J981" s="384"/>
      <c r="K981" s="657"/>
      <c r="L981" s="658"/>
      <c r="M981" s="384"/>
      <c r="N981" s="384"/>
      <c r="O981" s="384"/>
      <c r="P981" s="384"/>
      <c r="Q981" s="384"/>
      <c r="R981" s="384"/>
      <c r="S981" s="660"/>
      <c r="T981" s="396"/>
      <c r="U981" s="384"/>
      <c r="V981" s="384"/>
      <c r="W981" s="384"/>
      <c r="X981" s="384"/>
      <c r="Y981" s="442"/>
      <c r="Z981" s="442"/>
      <c r="AA981" s="441"/>
      <c r="AB981" s="441"/>
      <c r="AC981" s="441"/>
      <c r="AD981" s="441"/>
      <c r="AE981" s="441"/>
      <c r="AF981" s="441"/>
      <c r="AG981" s="441"/>
      <c r="AH981" s="441"/>
      <c r="AI981" s="441"/>
      <c r="AJ981" s="441"/>
      <c r="AK981" s="395"/>
      <c r="AL981" s="395"/>
      <c r="AM981" s="395"/>
      <c r="AN981" s="395"/>
      <c r="AO981" s="395"/>
      <c r="AP981" s="410"/>
      <c r="AQ981" s="410"/>
    </row>
    <row r="982" spans="2:43" ht="15" customHeight="1">
      <c r="B982" s="394"/>
      <c r="C982" s="395"/>
      <c r="D982" s="417"/>
      <c r="E982" s="662"/>
      <c r="F982" s="417"/>
      <c r="G982" s="384"/>
      <c r="H982" s="768"/>
      <c r="I982" s="384"/>
      <c r="J982" s="384"/>
      <c r="K982" s="657"/>
      <c r="L982" s="658"/>
      <c r="M982" s="384"/>
      <c r="N982" s="384"/>
      <c r="O982" s="384"/>
      <c r="P982" s="384"/>
      <c r="Q982" s="384"/>
      <c r="R982" s="384"/>
      <c r="S982" s="660"/>
      <c r="T982" s="396"/>
      <c r="U982" s="384"/>
      <c r="V982" s="384"/>
      <c r="W982" s="384"/>
      <c r="X982" s="384"/>
      <c r="Y982" s="442"/>
      <c r="Z982" s="442"/>
      <c r="AA982" s="441"/>
      <c r="AB982" s="441"/>
      <c r="AC982" s="441"/>
      <c r="AD982" s="441"/>
      <c r="AE982" s="441"/>
      <c r="AF982" s="441"/>
      <c r="AG982" s="441"/>
      <c r="AH982" s="441"/>
      <c r="AI982" s="441"/>
      <c r="AJ982" s="441"/>
      <c r="AK982" s="395"/>
      <c r="AL982" s="395"/>
      <c r="AM982" s="395"/>
      <c r="AN982" s="395"/>
      <c r="AO982" s="395"/>
      <c r="AP982" s="410"/>
      <c r="AQ982" s="410"/>
    </row>
    <row r="983" spans="2:43" ht="15" customHeight="1">
      <c r="B983" s="394"/>
      <c r="C983" s="395"/>
      <c r="D983" s="417"/>
      <c r="E983" s="662"/>
      <c r="F983" s="417"/>
      <c r="G983" s="384"/>
      <c r="H983" s="768"/>
      <c r="I983" s="384"/>
      <c r="J983" s="384"/>
      <c r="K983" s="657"/>
      <c r="L983" s="658"/>
      <c r="M983" s="384"/>
      <c r="N983" s="384"/>
      <c r="O983" s="384"/>
      <c r="P983" s="384"/>
      <c r="Q983" s="384"/>
      <c r="R983" s="384"/>
      <c r="S983" s="660"/>
      <c r="T983" s="396"/>
      <c r="U983" s="384"/>
      <c r="V983" s="384"/>
      <c r="W983" s="384"/>
      <c r="X983" s="384"/>
      <c r="Y983" s="442"/>
      <c r="Z983" s="442"/>
      <c r="AA983" s="441"/>
      <c r="AB983" s="441"/>
      <c r="AC983" s="441"/>
      <c r="AD983" s="441"/>
      <c r="AE983" s="441"/>
      <c r="AF983" s="441"/>
      <c r="AG983" s="441"/>
      <c r="AH983" s="441"/>
      <c r="AI983" s="441"/>
      <c r="AJ983" s="441"/>
      <c r="AK983" s="395"/>
      <c r="AL983" s="395"/>
      <c r="AM983" s="395"/>
      <c r="AN983" s="395"/>
      <c r="AO983" s="395"/>
      <c r="AP983" s="410"/>
      <c r="AQ983" s="410"/>
    </row>
    <row r="984" spans="2:43" ht="15" customHeight="1">
      <c r="B984" s="394"/>
      <c r="C984" s="395"/>
      <c r="D984" s="417"/>
      <c r="E984" s="662"/>
      <c r="F984" s="417"/>
      <c r="G984" s="384"/>
      <c r="H984" s="768"/>
      <c r="I984" s="384"/>
      <c r="J984" s="384"/>
      <c r="K984" s="657"/>
      <c r="L984" s="658"/>
      <c r="M984" s="384"/>
      <c r="N984" s="384"/>
      <c r="O984" s="384"/>
      <c r="P984" s="384"/>
      <c r="Q984" s="384"/>
      <c r="R984" s="384"/>
      <c r="S984" s="660"/>
      <c r="T984" s="396"/>
      <c r="U984" s="384"/>
      <c r="V984" s="384"/>
      <c r="W984" s="384"/>
      <c r="X984" s="384"/>
      <c r="Y984" s="442"/>
      <c r="Z984" s="442"/>
      <c r="AA984" s="441"/>
      <c r="AB984" s="441"/>
      <c r="AC984" s="441"/>
      <c r="AD984" s="441"/>
      <c r="AE984" s="441"/>
      <c r="AF984" s="441"/>
      <c r="AG984" s="441"/>
      <c r="AH984" s="441"/>
      <c r="AI984" s="441"/>
      <c r="AJ984" s="441"/>
      <c r="AK984" s="395"/>
      <c r="AL984" s="395"/>
      <c r="AM984" s="395"/>
      <c r="AN984" s="395"/>
      <c r="AO984" s="395"/>
      <c r="AP984" s="410"/>
      <c r="AQ984" s="410"/>
    </row>
    <row r="985" spans="2:43" ht="15" customHeight="1">
      <c r="B985" s="394"/>
      <c r="C985" s="395"/>
      <c r="D985" s="417"/>
      <c r="E985" s="662"/>
      <c r="F985" s="417"/>
      <c r="G985" s="384"/>
      <c r="H985" s="768"/>
      <c r="I985" s="384"/>
      <c r="J985" s="384"/>
      <c r="K985" s="657"/>
      <c r="L985" s="658"/>
      <c r="M985" s="384"/>
      <c r="N985" s="384"/>
      <c r="O985" s="384"/>
      <c r="P985" s="384"/>
      <c r="Q985" s="384"/>
      <c r="R985" s="384"/>
      <c r="S985" s="660"/>
      <c r="T985" s="396"/>
      <c r="U985" s="384"/>
      <c r="V985" s="384"/>
      <c r="W985" s="384"/>
      <c r="X985" s="384"/>
      <c r="Y985" s="442"/>
      <c r="Z985" s="442"/>
      <c r="AA985" s="441"/>
      <c r="AB985" s="441"/>
      <c r="AC985" s="441"/>
      <c r="AD985" s="441"/>
      <c r="AE985" s="441"/>
      <c r="AF985" s="441"/>
      <c r="AG985" s="441"/>
      <c r="AH985" s="441"/>
      <c r="AI985" s="441"/>
      <c r="AJ985" s="441"/>
      <c r="AK985" s="395"/>
      <c r="AL985" s="395"/>
      <c r="AM985" s="395"/>
      <c r="AN985" s="395"/>
      <c r="AO985" s="395"/>
      <c r="AP985" s="410"/>
      <c r="AQ985" s="410"/>
    </row>
    <row r="986" spans="2:43" ht="15" customHeight="1">
      <c r="B986" s="394"/>
      <c r="C986" s="395"/>
      <c r="D986" s="417"/>
      <c r="E986" s="662"/>
      <c r="F986" s="417"/>
      <c r="G986" s="384"/>
      <c r="H986" s="768"/>
      <c r="I986" s="384"/>
      <c r="J986" s="384"/>
      <c r="K986" s="657"/>
      <c r="L986" s="658"/>
      <c r="M986" s="384"/>
      <c r="N986" s="384"/>
      <c r="O986" s="384"/>
      <c r="P986" s="384"/>
      <c r="Q986" s="384"/>
      <c r="R986" s="384"/>
      <c r="S986" s="660"/>
      <c r="T986" s="396"/>
      <c r="U986" s="384"/>
      <c r="V986" s="384"/>
      <c r="W986" s="384"/>
      <c r="X986" s="384"/>
      <c r="Y986" s="442"/>
      <c r="Z986" s="442"/>
      <c r="AA986" s="441"/>
      <c r="AB986" s="441"/>
      <c r="AC986" s="441"/>
      <c r="AD986" s="441"/>
      <c r="AE986" s="441"/>
      <c r="AF986" s="441"/>
      <c r="AG986" s="441"/>
      <c r="AH986" s="441"/>
      <c r="AI986" s="441"/>
      <c r="AJ986" s="441"/>
      <c r="AK986" s="395"/>
      <c r="AL986" s="395"/>
      <c r="AM986" s="395"/>
      <c r="AN986" s="395"/>
      <c r="AO986" s="395"/>
      <c r="AP986" s="410"/>
      <c r="AQ986" s="410"/>
    </row>
    <row r="987" spans="2:43" ht="15" customHeight="1">
      <c r="B987" s="394"/>
      <c r="C987" s="395"/>
      <c r="D987" s="417"/>
      <c r="E987" s="662"/>
      <c r="F987" s="417"/>
      <c r="G987" s="384"/>
      <c r="H987" s="768"/>
      <c r="I987" s="384"/>
      <c r="J987" s="384"/>
      <c r="K987" s="657"/>
      <c r="L987" s="658"/>
      <c r="M987" s="384"/>
      <c r="N987" s="384"/>
      <c r="O987" s="384"/>
      <c r="P987" s="384"/>
      <c r="Q987" s="384"/>
      <c r="R987" s="384"/>
      <c r="S987" s="660"/>
      <c r="T987" s="396"/>
      <c r="U987" s="384"/>
      <c r="V987" s="384"/>
      <c r="W987" s="384"/>
      <c r="X987" s="384"/>
      <c r="Y987" s="442"/>
      <c r="Z987" s="442"/>
      <c r="AA987" s="441"/>
      <c r="AB987" s="441"/>
      <c r="AC987" s="441"/>
      <c r="AD987" s="441"/>
      <c r="AE987" s="441"/>
      <c r="AF987" s="441"/>
      <c r="AG987" s="441"/>
      <c r="AH987" s="441"/>
      <c r="AI987" s="441"/>
      <c r="AJ987" s="441"/>
      <c r="AK987" s="395"/>
      <c r="AL987" s="395"/>
      <c r="AM987" s="395"/>
      <c r="AN987" s="395"/>
      <c r="AO987" s="395"/>
      <c r="AP987" s="410"/>
      <c r="AQ987" s="410"/>
    </row>
    <row r="988" spans="2:43" ht="15" customHeight="1">
      <c r="B988" s="394"/>
      <c r="C988" s="395"/>
      <c r="D988" s="417"/>
      <c r="E988" s="662"/>
      <c r="F988" s="417"/>
      <c r="G988" s="384"/>
      <c r="H988" s="768"/>
      <c r="I988" s="384"/>
      <c r="J988" s="384"/>
      <c r="K988" s="657"/>
      <c r="L988" s="658"/>
      <c r="M988" s="384"/>
      <c r="N988" s="384"/>
      <c r="O988" s="384"/>
      <c r="P988" s="384"/>
      <c r="Q988" s="384"/>
      <c r="R988" s="384"/>
      <c r="S988" s="660"/>
      <c r="T988" s="396"/>
      <c r="U988" s="384"/>
      <c r="V988" s="384"/>
      <c r="W988" s="384"/>
      <c r="X988" s="384"/>
      <c r="Y988" s="442"/>
      <c r="Z988" s="442"/>
      <c r="AA988" s="441"/>
      <c r="AB988" s="441"/>
      <c r="AC988" s="441"/>
      <c r="AD988" s="441"/>
      <c r="AE988" s="441"/>
      <c r="AF988" s="441"/>
      <c r="AG988" s="441"/>
      <c r="AH988" s="441"/>
      <c r="AI988" s="441"/>
      <c r="AJ988" s="441"/>
      <c r="AK988" s="395"/>
      <c r="AL988" s="395"/>
      <c r="AM988" s="395"/>
      <c r="AN988" s="395"/>
      <c r="AO988" s="395"/>
      <c r="AP988" s="410"/>
      <c r="AQ988" s="410"/>
    </row>
    <row r="989" spans="2:43" ht="15" customHeight="1">
      <c r="B989" s="394"/>
      <c r="C989" s="395"/>
      <c r="D989" s="417"/>
      <c r="E989" s="662"/>
      <c r="F989" s="417"/>
      <c r="G989" s="384"/>
      <c r="H989" s="768"/>
      <c r="I989" s="384"/>
      <c r="J989" s="384"/>
      <c r="K989" s="657"/>
      <c r="L989" s="658"/>
      <c r="M989" s="384"/>
      <c r="N989" s="384"/>
      <c r="O989" s="384"/>
      <c r="P989" s="384"/>
      <c r="Q989" s="384"/>
      <c r="R989" s="384"/>
      <c r="S989" s="660"/>
      <c r="T989" s="396"/>
      <c r="U989" s="384"/>
      <c r="V989" s="384"/>
      <c r="W989" s="384"/>
      <c r="X989" s="384"/>
      <c r="Y989" s="442"/>
      <c r="Z989" s="442"/>
      <c r="AA989" s="441"/>
      <c r="AB989" s="441"/>
      <c r="AC989" s="441"/>
      <c r="AD989" s="441"/>
      <c r="AE989" s="441"/>
      <c r="AF989" s="441"/>
      <c r="AG989" s="441"/>
      <c r="AH989" s="441"/>
      <c r="AI989" s="441"/>
      <c r="AJ989" s="441"/>
      <c r="AK989" s="395"/>
      <c r="AL989" s="395"/>
      <c r="AM989" s="395"/>
      <c r="AN989" s="395"/>
      <c r="AO989" s="395"/>
      <c r="AP989" s="410"/>
      <c r="AQ989" s="410"/>
    </row>
    <row r="990" spans="2:43" ht="15" customHeight="1">
      <c r="B990" s="394"/>
      <c r="C990" s="395"/>
      <c r="D990" s="417"/>
      <c r="E990" s="662"/>
      <c r="F990" s="417"/>
      <c r="G990" s="384"/>
      <c r="H990" s="768"/>
      <c r="I990" s="384"/>
      <c r="J990" s="384"/>
      <c r="K990" s="657"/>
      <c r="L990" s="658"/>
      <c r="M990" s="384"/>
      <c r="N990" s="384"/>
      <c r="O990" s="384"/>
      <c r="P990" s="384"/>
      <c r="Q990" s="384"/>
      <c r="R990" s="384"/>
      <c r="S990" s="660"/>
      <c r="T990" s="396"/>
      <c r="U990" s="384"/>
      <c r="V990" s="384"/>
      <c r="W990" s="384"/>
      <c r="X990" s="384"/>
      <c r="Y990" s="442"/>
      <c r="Z990" s="442"/>
      <c r="AA990" s="441"/>
      <c r="AB990" s="441"/>
      <c r="AC990" s="441"/>
      <c r="AD990" s="441"/>
      <c r="AE990" s="441"/>
      <c r="AF990" s="441"/>
      <c r="AG990" s="441"/>
      <c r="AH990" s="441"/>
      <c r="AI990" s="441"/>
      <c r="AJ990" s="441"/>
      <c r="AK990" s="395"/>
      <c r="AL990" s="395"/>
      <c r="AM990" s="395"/>
      <c r="AN990" s="395"/>
      <c r="AO990" s="395"/>
      <c r="AP990" s="410"/>
      <c r="AQ990" s="410"/>
    </row>
    <row r="991" spans="2:43" ht="15" customHeight="1">
      <c r="B991" s="394"/>
      <c r="C991" s="395"/>
      <c r="D991" s="417"/>
      <c r="E991" s="662"/>
      <c r="F991" s="417"/>
      <c r="G991" s="384"/>
      <c r="H991" s="768"/>
      <c r="I991" s="384"/>
      <c r="J991" s="384"/>
      <c r="K991" s="657"/>
      <c r="L991" s="658"/>
      <c r="M991" s="384"/>
      <c r="N991" s="384"/>
      <c r="O991" s="384"/>
      <c r="P991" s="384"/>
      <c r="Q991" s="384"/>
      <c r="R991" s="384"/>
      <c r="S991" s="660"/>
      <c r="T991" s="396"/>
      <c r="U991" s="384"/>
      <c r="V991" s="384"/>
      <c r="W991" s="384"/>
      <c r="X991" s="384"/>
      <c r="Y991" s="442"/>
      <c r="Z991" s="442"/>
      <c r="AA991" s="441"/>
      <c r="AB991" s="441"/>
      <c r="AC991" s="441"/>
      <c r="AD991" s="441"/>
      <c r="AE991" s="441"/>
      <c r="AF991" s="441"/>
      <c r="AG991" s="441"/>
      <c r="AH991" s="441"/>
      <c r="AI991" s="441"/>
      <c r="AJ991" s="441"/>
      <c r="AK991" s="395"/>
      <c r="AL991" s="395"/>
      <c r="AM991" s="395"/>
      <c r="AN991" s="395"/>
      <c r="AO991" s="395"/>
      <c r="AP991" s="410"/>
      <c r="AQ991" s="410"/>
    </row>
    <row r="992" spans="2:43" ht="15" customHeight="1">
      <c r="B992" s="394"/>
      <c r="C992" s="395"/>
      <c r="D992" s="417"/>
      <c r="E992" s="662"/>
      <c r="F992" s="417"/>
      <c r="G992" s="384"/>
      <c r="H992" s="768"/>
      <c r="I992" s="384"/>
      <c r="J992" s="384"/>
      <c r="K992" s="657"/>
      <c r="L992" s="658"/>
      <c r="M992" s="384"/>
      <c r="N992" s="384"/>
      <c r="O992" s="384"/>
      <c r="P992" s="384"/>
      <c r="Q992" s="384"/>
      <c r="R992" s="384"/>
      <c r="S992" s="660"/>
      <c r="T992" s="396"/>
      <c r="U992" s="384"/>
      <c r="V992" s="384"/>
      <c r="W992" s="384"/>
      <c r="X992" s="384"/>
      <c r="Y992" s="442"/>
      <c r="Z992" s="442"/>
      <c r="AA992" s="441"/>
      <c r="AB992" s="441"/>
      <c r="AC992" s="441"/>
      <c r="AD992" s="441"/>
      <c r="AE992" s="441"/>
      <c r="AF992" s="441"/>
      <c r="AG992" s="441"/>
      <c r="AH992" s="441"/>
      <c r="AI992" s="441"/>
      <c r="AJ992" s="441"/>
      <c r="AK992" s="395"/>
      <c r="AL992" s="395"/>
      <c r="AM992" s="395"/>
      <c r="AN992" s="395"/>
      <c r="AO992" s="395"/>
      <c r="AP992" s="410"/>
      <c r="AQ992" s="410"/>
    </row>
    <row r="993" spans="2:43" ht="15" customHeight="1">
      <c r="B993" s="394"/>
      <c r="C993" s="395"/>
      <c r="D993" s="417"/>
      <c r="E993" s="662"/>
      <c r="F993" s="417"/>
      <c r="G993" s="384"/>
      <c r="H993" s="768"/>
      <c r="I993" s="384"/>
      <c r="J993" s="384"/>
      <c r="K993" s="657"/>
      <c r="L993" s="658"/>
      <c r="M993" s="384"/>
      <c r="N993" s="384"/>
      <c r="O993" s="384"/>
      <c r="P993" s="384"/>
      <c r="Q993" s="384"/>
      <c r="R993" s="384"/>
      <c r="S993" s="660"/>
      <c r="T993" s="396"/>
      <c r="U993" s="384"/>
      <c r="V993" s="384"/>
      <c r="W993" s="384"/>
      <c r="X993" s="384"/>
      <c r="Y993" s="442"/>
      <c r="Z993" s="442"/>
      <c r="AA993" s="441"/>
      <c r="AB993" s="441"/>
      <c r="AC993" s="441"/>
      <c r="AD993" s="441"/>
      <c r="AE993" s="441"/>
      <c r="AF993" s="441"/>
      <c r="AG993" s="441"/>
      <c r="AH993" s="441"/>
      <c r="AI993" s="441"/>
      <c r="AJ993" s="441"/>
      <c r="AK993" s="395"/>
      <c r="AL993" s="395"/>
      <c r="AM993" s="395"/>
      <c r="AN993" s="395"/>
      <c r="AO993" s="395"/>
      <c r="AP993" s="410"/>
      <c r="AQ993" s="410"/>
    </row>
    <row r="994" spans="2:43" ht="15" customHeight="1">
      <c r="B994" s="394"/>
      <c r="C994" s="395"/>
      <c r="D994" s="417"/>
      <c r="E994" s="662"/>
      <c r="F994" s="417"/>
      <c r="G994" s="384"/>
      <c r="H994" s="768"/>
      <c r="I994" s="384"/>
      <c r="J994" s="384"/>
      <c r="K994" s="657"/>
      <c r="L994" s="658"/>
      <c r="M994" s="384"/>
      <c r="N994" s="384"/>
      <c r="O994" s="384"/>
      <c r="P994" s="384"/>
      <c r="Q994" s="384"/>
      <c r="R994" s="384"/>
      <c r="S994" s="660"/>
      <c r="T994" s="396"/>
      <c r="U994" s="384"/>
      <c r="V994" s="384"/>
      <c r="W994" s="384"/>
      <c r="X994" s="384"/>
      <c r="Y994" s="442"/>
      <c r="Z994" s="442"/>
      <c r="AA994" s="441"/>
      <c r="AB994" s="441"/>
      <c r="AC994" s="441"/>
      <c r="AD994" s="441"/>
      <c r="AE994" s="441"/>
      <c r="AF994" s="441"/>
      <c r="AG994" s="441"/>
      <c r="AH994" s="441"/>
      <c r="AI994" s="441"/>
      <c r="AJ994" s="441"/>
      <c r="AK994" s="395"/>
      <c r="AL994" s="395"/>
      <c r="AM994" s="395"/>
      <c r="AN994" s="395"/>
      <c r="AO994" s="395"/>
      <c r="AP994" s="410"/>
      <c r="AQ994" s="410"/>
    </row>
    <row r="995" spans="2:43" ht="15" customHeight="1">
      <c r="B995" s="394"/>
      <c r="C995" s="395"/>
      <c r="D995" s="417"/>
      <c r="E995" s="662"/>
      <c r="F995" s="417"/>
      <c r="G995" s="384"/>
      <c r="H995" s="768"/>
      <c r="I995" s="384"/>
      <c r="J995" s="384"/>
      <c r="K995" s="657"/>
      <c r="L995" s="658"/>
      <c r="M995" s="384"/>
      <c r="N995" s="384"/>
      <c r="O995" s="384"/>
      <c r="P995" s="384"/>
      <c r="Q995" s="384"/>
      <c r="R995" s="384"/>
      <c r="S995" s="660"/>
      <c r="T995" s="396"/>
      <c r="U995" s="384"/>
      <c r="V995" s="384"/>
      <c r="W995" s="384"/>
      <c r="X995" s="384"/>
      <c r="Y995" s="442"/>
      <c r="Z995" s="442"/>
      <c r="AA995" s="441"/>
      <c r="AB995" s="441"/>
      <c r="AC995" s="441"/>
      <c r="AD995" s="441"/>
      <c r="AE995" s="441"/>
      <c r="AF995" s="441"/>
      <c r="AG995" s="441"/>
      <c r="AH995" s="441"/>
      <c r="AI995" s="441"/>
      <c r="AJ995" s="441"/>
      <c r="AK995" s="395"/>
      <c r="AL995" s="395"/>
      <c r="AM995" s="395"/>
      <c r="AN995" s="395"/>
      <c r="AO995" s="395"/>
      <c r="AP995" s="410"/>
      <c r="AQ995" s="410"/>
    </row>
    <row r="996" spans="2:43" ht="15" customHeight="1">
      <c r="B996" s="394"/>
      <c r="C996" s="395"/>
      <c r="D996" s="417"/>
      <c r="E996" s="662"/>
      <c r="F996" s="417"/>
      <c r="G996" s="384"/>
      <c r="H996" s="768"/>
      <c r="I996" s="384"/>
      <c r="J996" s="384"/>
      <c r="K996" s="657"/>
      <c r="L996" s="658"/>
      <c r="M996" s="384"/>
      <c r="N996" s="384"/>
      <c r="O996" s="384"/>
      <c r="P996" s="384"/>
      <c r="Q996" s="384"/>
      <c r="R996" s="384"/>
      <c r="S996" s="660"/>
      <c r="T996" s="396"/>
      <c r="U996" s="384"/>
      <c r="V996" s="384"/>
      <c r="W996" s="384"/>
      <c r="X996" s="384"/>
      <c r="Y996" s="442"/>
      <c r="Z996" s="442"/>
      <c r="AA996" s="441"/>
      <c r="AB996" s="441"/>
      <c r="AC996" s="441"/>
      <c r="AD996" s="441"/>
      <c r="AE996" s="441"/>
      <c r="AF996" s="441"/>
      <c r="AG996" s="441"/>
      <c r="AH996" s="441"/>
      <c r="AI996" s="441"/>
      <c r="AJ996" s="441"/>
      <c r="AK996" s="395"/>
      <c r="AL996" s="395"/>
      <c r="AM996" s="395"/>
      <c r="AN996" s="395"/>
      <c r="AO996" s="395"/>
      <c r="AP996" s="410"/>
      <c r="AQ996" s="410"/>
    </row>
    <row r="997" spans="2:43" ht="15" customHeight="1">
      <c r="B997" s="394"/>
      <c r="C997" s="395"/>
      <c r="D997" s="417"/>
      <c r="E997" s="662"/>
      <c r="F997" s="417"/>
      <c r="G997" s="384"/>
      <c r="H997" s="768"/>
      <c r="I997" s="384"/>
      <c r="J997" s="384"/>
      <c r="K997" s="657"/>
      <c r="L997" s="658"/>
      <c r="M997" s="384"/>
      <c r="N997" s="384"/>
      <c r="O997" s="384"/>
      <c r="P997" s="384"/>
      <c r="Q997" s="384"/>
      <c r="R997" s="384"/>
      <c r="S997" s="660"/>
      <c r="T997" s="396"/>
      <c r="U997" s="384"/>
      <c r="V997" s="384"/>
      <c r="W997" s="384"/>
      <c r="X997" s="384"/>
      <c r="Y997" s="442"/>
      <c r="Z997" s="442"/>
      <c r="AA997" s="441"/>
      <c r="AB997" s="441"/>
      <c r="AC997" s="441"/>
      <c r="AD997" s="441"/>
      <c r="AE997" s="441"/>
      <c r="AF997" s="441"/>
      <c r="AG997" s="441"/>
      <c r="AH997" s="441"/>
      <c r="AI997" s="441"/>
      <c r="AJ997" s="441"/>
      <c r="AK997" s="395"/>
      <c r="AL997" s="395"/>
      <c r="AM997" s="395"/>
      <c r="AN997" s="395"/>
      <c r="AO997" s="395"/>
      <c r="AP997" s="410"/>
      <c r="AQ997" s="410"/>
    </row>
    <row r="998" spans="2:43" ht="15" customHeight="1">
      <c r="B998" s="394"/>
      <c r="C998" s="395"/>
      <c r="D998" s="417"/>
      <c r="E998" s="662"/>
      <c r="F998" s="417"/>
      <c r="G998" s="384"/>
      <c r="H998" s="768"/>
      <c r="I998" s="384"/>
      <c r="J998" s="384"/>
      <c r="K998" s="657"/>
      <c r="L998" s="658"/>
      <c r="M998" s="384"/>
      <c r="N998" s="384"/>
      <c r="O998" s="384"/>
      <c r="P998" s="384"/>
      <c r="Q998" s="384"/>
      <c r="R998" s="384"/>
      <c r="S998" s="660"/>
      <c r="T998" s="396"/>
      <c r="U998" s="384"/>
      <c r="V998" s="384"/>
      <c r="W998" s="384"/>
      <c r="X998" s="384"/>
      <c r="Y998" s="442"/>
      <c r="Z998" s="442"/>
      <c r="AA998" s="441"/>
      <c r="AB998" s="441"/>
      <c r="AC998" s="441"/>
      <c r="AD998" s="441"/>
      <c r="AE998" s="441"/>
      <c r="AF998" s="441"/>
      <c r="AG998" s="441"/>
      <c r="AH998" s="441"/>
      <c r="AI998" s="441"/>
      <c r="AJ998" s="441"/>
      <c r="AK998" s="395"/>
      <c r="AL998" s="395"/>
      <c r="AM998" s="395"/>
      <c r="AN998" s="395"/>
      <c r="AO998" s="395"/>
      <c r="AP998" s="410"/>
      <c r="AQ998" s="410"/>
    </row>
    <row r="999" spans="2:43" ht="15" customHeight="1">
      <c r="B999" s="394"/>
      <c r="C999" s="395"/>
      <c r="D999" s="417"/>
      <c r="E999" s="662"/>
      <c r="F999" s="417"/>
      <c r="G999" s="384"/>
      <c r="H999" s="768"/>
      <c r="I999" s="384"/>
      <c r="J999" s="384"/>
      <c r="K999" s="657"/>
      <c r="L999" s="658"/>
      <c r="M999" s="384"/>
      <c r="N999" s="384"/>
      <c r="O999" s="384"/>
      <c r="P999" s="384"/>
      <c r="Q999" s="384"/>
      <c r="R999" s="384"/>
      <c r="S999" s="660"/>
      <c r="T999" s="396"/>
      <c r="U999" s="384"/>
      <c r="V999" s="384"/>
      <c r="W999" s="384"/>
      <c r="X999" s="384"/>
      <c r="Y999" s="442"/>
      <c r="Z999" s="442"/>
      <c r="AA999" s="441"/>
      <c r="AB999" s="441"/>
      <c r="AC999" s="441"/>
      <c r="AD999" s="441"/>
      <c r="AE999" s="441"/>
      <c r="AF999" s="441"/>
      <c r="AG999" s="441"/>
      <c r="AH999" s="441"/>
      <c r="AI999" s="441"/>
      <c r="AJ999" s="441"/>
      <c r="AK999" s="395"/>
      <c r="AL999" s="395"/>
      <c r="AM999" s="395"/>
      <c r="AN999" s="395"/>
      <c r="AO999" s="395"/>
      <c r="AP999" s="410"/>
      <c r="AQ999" s="410"/>
    </row>
    <row r="1000" spans="2:43" ht="15" customHeight="1">
      <c r="B1000" s="394"/>
      <c r="C1000" s="395"/>
      <c r="D1000" s="417"/>
      <c r="E1000" s="662"/>
      <c r="F1000" s="417"/>
      <c r="G1000" s="384"/>
      <c r="H1000" s="768"/>
      <c r="I1000" s="384"/>
      <c r="J1000" s="384"/>
      <c r="K1000" s="657"/>
      <c r="L1000" s="658"/>
      <c r="M1000" s="384"/>
      <c r="N1000" s="384"/>
      <c r="O1000" s="384"/>
      <c r="P1000" s="384"/>
      <c r="Q1000" s="384"/>
      <c r="R1000" s="384"/>
      <c r="S1000" s="660"/>
      <c r="T1000" s="396"/>
      <c r="U1000" s="384"/>
      <c r="V1000" s="384"/>
      <c r="W1000" s="384"/>
      <c r="X1000" s="384"/>
      <c r="Y1000" s="442"/>
      <c r="Z1000" s="442"/>
      <c r="AA1000" s="441"/>
      <c r="AB1000" s="441"/>
      <c r="AC1000" s="441"/>
      <c r="AD1000" s="441"/>
      <c r="AE1000" s="441"/>
      <c r="AF1000" s="441"/>
      <c r="AG1000" s="441"/>
      <c r="AH1000" s="441"/>
      <c r="AI1000" s="441"/>
      <c r="AJ1000" s="441"/>
      <c r="AK1000" s="395"/>
      <c r="AL1000" s="395"/>
      <c r="AM1000" s="395"/>
      <c r="AN1000" s="395"/>
      <c r="AO1000" s="395"/>
      <c r="AP1000" s="410"/>
      <c r="AQ1000" s="410"/>
    </row>
    <row r="1001" spans="2:43" ht="15" customHeight="1">
      <c r="B1001" s="394"/>
      <c r="C1001" s="395"/>
      <c r="D1001" s="417"/>
      <c r="E1001" s="662"/>
      <c r="F1001" s="417"/>
      <c r="G1001" s="384"/>
      <c r="H1001" s="768"/>
      <c r="I1001" s="384"/>
      <c r="J1001" s="384"/>
      <c r="K1001" s="657"/>
      <c r="L1001" s="658"/>
      <c r="M1001" s="384"/>
      <c r="N1001" s="384"/>
      <c r="O1001" s="384"/>
      <c r="P1001" s="384"/>
      <c r="Q1001" s="384"/>
      <c r="R1001" s="384"/>
      <c r="S1001" s="660"/>
      <c r="T1001" s="396"/>
      <c r="U1001" s="384"/>
      <c r="V1001" s="384"/>
      <c r="W1001" s="384"/>
      <c r="X1001" s="384"/>
      <c r="Y1001" s="442"/>
      <c r="Z1001" s="442"/>
      <c r="AA1001" s="441"/>
      <c r="AB1001" s="441"/>
      <c r="AC1001" s="441"/>
      <c r="AD1001" s="441"/>
      <c r="AE1001" s="441"/>
      <c r="AF1001" s="441"/>
      <c r="AG1001" s="441"/>
      <c r="AH1001" s="441"/>
      <c r="AI1001" s="441"/>
      <c r="AJ1001" s="441"/>
      <c r="AK1001" s="395"/>
      <c r="AL1001" s="395"/>
      <c r="AM1001" s="395"/>
      <c r="AN1001" s="395"/>
      <c r="AO1001" s="395"/>
      <c r="AP1001" s="410"/>
      <c r="AQ1001" s="410"/>
    </row>
    <row r="1002" spans="2:43" ht="15" customHeight="1">
      <c r="B1002" s="394"/>
      <c r="C1002" s="395"/>
      <c r="D1002" s="417"/>
      <c r="E1002" s="662"/>
      <c r="F1002" s="417"/>
      <c r="G1002" s="384"/>
      <c r="H1002" s="768"/>
      <c r="I1002" s="384"/>
      <c r="J1002" s="384"/>
      <c r="K1002" s="657"/>
      <c r="L1002" s="658"/>
      <c r="M1002" s="384"/>
      <c r="N1002" s="384"/>
      <c r="O1002" s="384"/>
      <c r="P1002" s="384"/>
      <c r="Q1002" s="384"/>
      <c r="R1002" s="384"/>
      <c r="S1002" s="660"/>
      <c r="T1002" s="396"/>
      <c r="U1002" s="384"/>
      <c r="V1002" s="384"/>
      <c r="W1002" s="384"/>
      <c r="X1002" s="384"/>
      <c r="Y1002" s="442"/>
      <c r="Z1002" s="442"/>
      <c r="AA1002" s="441"/>
      <c r="AB1002" s="441"/>
      <c r="AC1002" s="441"/>
      <c r="AD1002" s="441"/>
      <c r="AE1002" s="441"/>
      <c r="AF1002" s="441"/>
      <c r="AG1002" s="441"/>
      <c r="AH1002" s="441"/>
      <c r="AI1002" s="441"/>
      <c r="AJ1002" s="441"/>
      <c r="AK1002" s="395"/>
      <c r="AL1002" s="395"/>
      <c r="AM1002" s="395"/>
      <c r="AN1002" s="395"/>
      <c r="AO1002" s="395"/>
      <c r="AP1002" s="410"/>
      <c r="AQ1002" s="410"/>
    </row>
    <row r="1003" spans="2:43" ht="15" customHeight="1">
      <c r="B1003" s="394"/>
      <c r="C1003" s="395"/>
      <c r="D1003" s="417"/>
      <c r="E1003" s="662"/>
      <c r="F1003" s="417"/>
      <c r="G1003" s="384"/>
      <c r="H1003" s="768"/>
      <c r="I1003" s="384"/>
      <c r="J1003" s="384"/>
      <c r="K1003" s="657"/>
      <c r="L1003" s="658"/>
      <c r="M1003" s="384"/>
      <c r="N1003" s="384"/>
      <c r="O1003" s="384"/>
      <c r="P1003" s="384"/>
      <c r="Q1003" s="384"/>
      <c r="R1003" s="384"/>
      <c r="S1003" s="660"/>
      <c r="T1003" s="396"/>
      <c r="U1003" s="384"/>
      <c r="V1003" s="384"/>
      <c r="W1003" s="384"/>
      <c r="X1003" s="384"/>
      <c r="Y1003" s="442"/>
      <c r="Z1003" s="442"/>
      <c r="AA1003" s="441"/>
      <c r="AB1003" s="441"/>
      <c r="AC1003" s="441"/>
      <c r="AD1003" s="441"/>
      <c r="AE1003" s="441"/>
      <c r="AF1003" s="441"/>
      <c r="AG1003" s="441"/>
      <c r="AH1003" s="441"/>
      <c r="AI1003" s="441"/>
      <c r="AJ1003" s="441"/>
      <c r="AK1003" s="395"/>
      <c r="AL1003" s="395"/>
      <c r="AM1003" s="395"/>
      <c r="AN1003" s="395"/>
      <c r="AO1003" s="395"/>
      <c r="AP1003" s="410"/>
      <c r="AQ1003" s="410"/>
    </row>
    <row r="1004" spans="2:43" ht="15" customHeight="1">
      <c r="B1004" s="394"/>
      <c r="C1004" s="395"/>
      <c r="D1004" s="417"/>
      <c r="E1004" s="662"/>
      <c r="F1004" s="417"/>
      <c r="G1004" s="384"/>
      <c r="H1004" s="768"/>
      <c r="I1004" s="384"/>
      <c r="J1004" s="384"/>
      <c r="K1004" s="657"/>
      <c r="L1004" s="658"/>
      <c r="M1004" s="384"/>
      <c r="N1004" s="384"/>
      <c r="O1004" s="384"/>
      <c r="P1004" s="384"/>
      <c r="Q1004" s="384"/>
      <c r="R1004" s="384"/>
      <c r="S1004" s="660"/>
      <c r="T1004" s="396"/>
      <c r="U1004" s="384"/>
      <c r="V1004" s="384"/>
      <c r="W1004" s="384"/>
      <c r="X1004" s="384"/>
      <c r="Y1004" s="442"/>
      <c r="Z1004" s="442"/>
      <c r="AA1004" s="441"/>
      <c r="AB1004" s="441"/>
      <c r="AC1004" s="441"/>
      <c r="AD1004" s="441"/>
      <c r="AE1004" s="441"/>
      <c r="AF1004" s="441"/>
      <c r="AG1004" s="441"/>
      <c r="AH1004" s="441"/>
      <c r="AI1004" s="441"/>
      <c r="AJ1004" s="441"/>
      <c r="AK1004" s="395"/>
      <c r="AL1004" s="395"/>
      <c r="AM1004" s="395"/>
      <c r="AN1004" s="395"/>
      <c r="AO1004" s="395"/>
      <c r="AP1004" s="410"/>
      <c r="AQ1004" s="410"/>
    </row>
    <row r="1005" spans="2:43" ht="15" customHeight="1">
      <c r="B1005" s="394"/>
      <c r="C1005" s="395"/>
      <c r="D1005" s="417"/>
      <c r="E1005" s="662"/>
      <c r="F1005" s="417"/>
      <c r="G1005" s="384"/>
      <c r="H1005" s="768"/>
      <c r="I1005" s="384"/>
      <c r="J1005" s="384"/>
      <c r="K1005" s="657"/>
      <c r="L1005" s="658"/>
      <c r="M1005" s="384"/>
      <c r="N1005" s="384"/>
      <c r="O1005" s="384"/>
      <c r="P1005" s="384"/>
      <c r="Q1005" s="384"/>
      <c r="R1005" s="384"/>
      <c r="S1005" s="660"/>
      <c r="T1005" s="396"/>
      <c r="U1005" s="384"/>
      <c r="V1005" s="384"/>
      <c r="W1005" s="384"/>
      <c r="X1005" s="384"/>
      <c r="Y1005" s="442"/>
      <c r="Z1005" s="442"/>
      <c r="AA1005" s="441"/>
      <c r="AB1005" s="441"/>
      <c r="AC1005" s="441"/>
      <c r="AD1005" s="441"/>
      <c r="AE1005" s="441"/>
      <c r="AF1005" s="441"/>
      <c r="AG1005" s="441"/>
      <c r="AH1005" s="441"/>
      <c r="AI1005" s="441"/>
      <c r="AJ1005" s="441"/>
      <c r="AK1005" s="395"/>
      <c r="AL1005" s="395"/>
      <c r="AM1005" s="395"/>
      <c r="AN1005" s="395"/>
      <c r="AO1005" s="395"/>
      <c r="AP1005" s="410"/>
      <c r="AQ1005" s="410"/>
    </row>
    <row r="1006" spans="2:43" ht="15" customHeight="1">
      <c r="B1006" s="394"/>
      <c r="C1006" s="395"/>
      <c r="D1006" s="417"/>
      <c r="E1006" s="662"/>
      <c r="F1006" s="417"/>
      <c r="G1006" s="384"/>
      <c r="H1006" s="768"/>
      <c r="I1006" s="384"/>
      <c r="J1006" s="384"/>
      <c r="K1006" s="657"/>
      <c r="L1006" s="658"/>
      <c r="M1006" s="384"/>
      <c r="N1006" s="384"/>
      <c r="O1006" s="384"/>
      <c r="P1006" s="384"/>
      <c r="Q1006" s="384"/>
      <c r="R1006" s="384"/>
      <c r="S1006" s="660"/>
      <c r="T1006" s="396"/>
      <c r="U1006" s="384"/>
      <c r="V1006" s="384"/>
      <c r="W1006" s="384"/>
      <c r="X1006" s="384"/>
      <c r="Y1006" s="442"/>
      <c r="Z1006" s="442"/>
      <c r="AA1006" s="441"/>
      <c r="AB1006" s="441"/>
      <c r="AC1006" s="441"/>
      <c r="AD1006" s="441"/>
      <c r="AE1006" s="441"/>
      <c r="AF1006" s="441"/>
      <c r="AG1006" s="441"/>
      <c r="AH1006" s="441"/>
      <c r="AI1006" s="441"/>
      <c r="AJ1006" s="441"/>
      <c r="AK1006" s="395"/>
      <c r="AL1006" s="395"/>
      <c r="AM1006" s="395"/>
      <c r="AN1006" s="395"/>
      <c r="AO1006" s="395"/>
      <c r="AP1006" s="410"/>
      <c r="AQ1006" s="410"/>
    </row>
    <row r="1007" spans="2:43" ht="15" customHeight="1">
      <c r="B1007" s="394"/>
      <c r="C1007" s="395"/>
      <c r="D1007" s="417"/>
      <c r="E1007" s="662"/>
      <c r="F1007" s="417"/>
      <c r="G1007" s="384"/>
      <c r="H1007" s="768"/>
      <c r="I1007" s="384"/>
      <c r="J1007" s="384"/>
      <c r="K1007" s="657"/>
      <c r="L1007" s="658"/>
      <c r="M1007" s="384"/>
      <c r="N1007" s="384"/>
      <c r="O1007" s="384"/>
      <c r="P1007" s="384"/>
      <c r="Q1007" s="384"/>
      <c r="R1007" s="384"/>
      <c r="S1007" s="660"/>
      <c r="T1007" s="396"/>
      <c r="U1007" s="384"/>
      <c r="V1007" s="384"/>
      <c r="W1007" s="384"/>
      <c r="X1007" s="384"/>
      <c r="Y1007" s="442"/>
      <c r="Z1007" s="442"/>
      <c r="AA1007" s="441"/>
      <c r="AB1007" s="441"/>
      <c r="AC1007" s="441"/>
      <c r="AD1007" s="441"/>
      <c r="AE1007" s="441"/>
      <c r="AF1007" s="441"/>
      <c r="AG1007" s="441"/>
      <c r="AH1007" s="441"/>
      <c r="AI1007" s="441"/>
      <c r="AJ1007" s="441"/>
      <c r="AK1007" s="395"/>
      <c r="AL1007" s="395"/>
      <c r="AM1007" s="395"/>
      <c r="AN1007" s="395"/>
      <c r="AO1007" s="395"/>
      <c r="AP1007" s="410"/>
      <c r="AQ1007" s="410"/>
    </row>
    <row r="1008" spans="2:43" ht="15" customHeight="1">
      <c r="B1008" s="394"/>
      <c r="C1008" s="395"/>
      <c r="D1008" s="417"/>
      <c r="E1008" s="662"/>
      <c r="F1008" s="417"/>
      <c r="G1008" s="384"/>
      <c r="H1008" s="768"/>
      <c r="I1008" s="384"/>
      <c r="J1008" s="384"/>
      <c r="K1008" s="657"/>
      <c r="L1008" s="658"/>
      <c r="M1008" s="384"/>
      <c r="N1008" s="384"/>
      <c r="O1008" s="384"/>
      <c r="P1008" s="384"/>
      <c r="Q1008" s="384"/>
      <c r="R1008" s="384"/>
      <c r="S1008" s="660"/>
      <c r="T1008" s="396"/>
      <c r="U1008" s="384"/>
      <c r="V1008" s="384"/>
      <c r="W1008" s="384"/>
      <c r="X1008" s="384"/>
      <c r="Y1008" s="442"/>
      <c r="Z1008" s="442"/>
      <c r="AA1008" s="441"/>
      <c r="AB1008" s="441"/>
      <c r="AC1008" s="441"/>
      <c r="AD1008" s="441"/>
      <c r="AE1008" s="441"/>
      <c r="AF1008" s="441"/>
      <c r="AG1008" s="441"/>
      <c r="AH1008" s="441"/>
      <c r="AI1008" s="441"/>
      <c r="AJ1008" s="441"/>
      <c r="AK1008" s="395"/>
      <c r="AL1008" s="395"/>
      <c r="AM1008" s="395"/>
      <c r="AN1008" s="395"/>
      <c r="AO1008" s="395"/>
      <c r="AP1008" s="410"/>
      <c r="AQ1008" s="410"/>
    </row>
    <row r="1009" spans="2:43" ht="15" customHeight="1">
      <c r="B1009" s="394"/>
      <c r="C1009" s="395"/>
      <c r="D1009" s="417"/>
      <c r="E1009" s="662"/>
      <c r="F1009" s="417"/>
      <c r="G1009" s="384"/>
      <c r="H1009" s="768"/>
      <c r="I1009" s="384"/>
      <c r="J1009" s="384"/>
      <c r="K1009" s="657"/>
      <c r="L1009" s="658"/>
      <c r="M1009" s="384"/>
      <c r="N1009" s="384"/>
      <c r="O1009" s="384"/>
      <c r="P1009" s="384"/>
      <c r="Q1009" s="384"/>
      <c r="R1009" s="384"/>
      <c r="S1009" s="660"/>
      <c r="T1009" s="396"/>
      <c r="U1009" s="384"/>
      <c r="V1009" s="384"/>
      <c r="W1009" s="384"/>
      <c r="X1009" s="384"/>
      <c r="Y1009" s="442"/>
      <c r="Z1009" s="442"/>
      <c r="AA1009" s="441"/>
      <c r="AB1009" s="441"/>
      <c r="AC1009" s="441"/>
      <c r="AD1009" s="441"/>
      <c r="AE1009" s="441"/>
      <c r="AF1009" s="441"/>
      <c r="AG1009" s="441"/>
      <c r="AH1009" s="441"/>
      <c r="AI1009" s="441"/>
      <c r="AJ1009" s="441"/>
      <c r="AK1009" s="395"/>
      <c r="AL1009" s="395"/>
      <c r="AM1009" s="395"/>
      <c r="AN1009" s="395"/>
      <c r="AO1009" s="395"/>
      <c r="AP1009" s="410"/>
      <c r="AQ1009" s="410"/>
    </row>
    <row r="1010" spans="2:43" ht="15" customHeight="1">
      <c r="B1010" s="394"/>
      <c r="C1010" s="395"/>
      <c r="D1010" s="417"/>
      <c r="E1010" s="662"/>
      <c r="F1010" s="417"/>
      <c r="G1010" s="384"/>
      <c r="H1010" s="768"/>
      <c r="I1010" s="384"/>
      <c r="J1010" s="384"/>
      <c r="K1010" s="657"/>
      <c r="L1010" s="658"/>
      <c r="M1010" s="384"/>
      <c r="N1010" s="384"/>
      <c r="O1010" s="384"/>
      <c r="P1010" s="384"/>
      <c r="Q1010" s="384"/>
      <c r="R1010" s="384"/>
      <c r="S1010" s="660"/>
      <c r="T1010" s="396"/>
      <c r="U1010" s="384"/>
      <c r="V1010" s="384"/>
      <c r="W1010" s="384"/>
      <c r="X1010" s="384"/>
      <c r="Y1010" s="442"/>
      <c r="Z1010" s="442"/>
      <c r="AA1010" s="441"/>
      <c r="AB1010" s="441"/>
      <c r="AC1010" s="441"/>
      <c r="AD1010" s="441"/>
      <c r="AE1010" s="441"/>
      <c r="AF1010" s="441"/>
      <c r="AG1010" s="441"/>
      <c r="AH1010" s="441"/>
      <c r="AI1010" s="441"/>
      <c r="AJ1010" s="441"/>
      <c r="AK1010" s="395"/>
      <c r="AL1010" s="395"/>
      <c r="AM1010" s="395"/>
      <c r="AN1010" s="395"/>
      <c r="AO1010" s="395"/>
      <c r="AP1010" s="410"/>
      <c r="AQ1010" s="410"/>
    </row>
    <row r="1011" spans="2:43" ht="15" customHeight="1">
      <c r="B1011" s="394"/>
      <c r="C1011" s="395"/>
      <c r="D1011" s="417"/>
      <c r="E1011" s="662"/>
      <c r="F1011" s="417"/>
      <c r="G1011" s="384"/>
      <c r="H1011" s="768"/>
      <c r="I1011" s="384"/>
      <c r="J1011" s="384"/>
      <c r="K1011" s="657"/>
      <c r="L1011" s="658"/>
      <c r="M1011" s="384"/>
      <c r="N1011" s="384"/>
      <c r="O1011" s="384"/>
      <c r="P1011" s="384"/>
      <c r="Q1011" s="384"/>
      <c r="R1011" s="384"/>
      <c r="S1011" s="660"/>
      <c r="T1011" s="396"/>
      <c r="U1011" s="384"/>
      <c r="V1011" s="384"/>
      <c r="W1011" s="384"/>
      <c r="X1011" s="384"/>
      <c r="Y1011" s="442"/>
      <c r="Z1011" s="442"/>
      <c r="AA1011" s="441"/>
      <c r="AB1011" s="441"/>
      <c r="AC1011" s="441"/>
      <c r="AD1011" s="441"/>
      <c r="AE1011" s="441"/>
      <c r="AF1011" s="441"/>
      <c r="AG1011" s="441"/>
      <c r="AH1011" s="441"/>
      <c r="AI1011" s="441"/>
      <c r="AJ1011" s="441"/>
      <c r="AK1011" s="395"/>
      <c r="AL1011" s="395"/>
      <c r="AM1011" s="395"/>
      <c r="AN1011" s="395"/>
      <c r="AO1011" s="395"/>
      <c r="AP1011" s="410"/>
      <c r="AQ1011" s="410"/>
    </row>
    <row r="1012" spans="2:43" ht="15" customHeight="1">
      <c r="B1012" s="394"/>
      <c r="C1012" s="395"/>
      <c r="D1012" s="417"/>
      <c r="E1012" s="662"/>
      <c r="F1012" s="417"/>
      <c r="G1012" s="384"/>
      <c r="H1012" s="768"/>
      <c r="I1012" s="384"/>
      <c r="J1012" s="384"/>
      <c r="K1012" s="657"/>
      <c r="L1012" s="658"/>
      <c r="M1012" s="384"/>
      <c r="N1012" s="384"/>
      <c r="O1012" s="384"/>
      <c r="P1012" s="384"/>
      <c r="Q1012" s="384"/>
      <c r="R1012" s="384"/>
      <c r="S1012" s="660"/>
      <c r="T1012" s="396"/>
      <c r="U1012" s="384"/>
      <c r="V1012" s="384"/>
      <c r="W1012" s="384"/>
      <c r="X1012" s="384"/>
      <c r="Y1012" s="442"/>
      <c r="Z1012" s="442"/>
      <c r="AA1012" s="441"/>
      <c r="AB1012" s="441"/>
      <c r="AC1012" s="441"/>
      <c r="AD1012" s="441"/>
      <c r="AE1012" s="441"/>
      <c r="AF1012" s="441"/>
      <c r="AG1012" s="441"/>
      <c r="AH1012" s="441"/>
      <c r="AI1012" s="441"/>
      <c r="AJ1012" s="441"/>
      <c r="AK1012" s="395"/>
      <c r="AL1012" s="395"/>
      <c r="AM1012" s="395"/>
      <c r="AN1012" s="395"/>
      <c r="AO1012" s="395"/>
      <c r="AP1012" s="410"/>
      <c r="AQ1012" s="410"/>
    </row>
    <row r="1013" spans="2:43" ht="15" customHeight="1">
      <c r="B1013" s="394"/>
      <c r="C1013" s="395"/>
      <c r="D1013" s="417"/>
      <c r="E1013" s="662"/>
      <c r="F1013" s="417"/>
      <c r="G1013" s="384"/>
      <c r="H1013" s="768"/>
      <c r="I1013" s="384"/>
      <c r="J1013" s="384"/>
      <c r="K1013" s="657"/>
      <c r="L1013" s="658"/>
      <c r="M1013" s="384"/>
      <c r="N1013" s="384"/>
      <c r="O1013" s="384"/>
      <c r="P1013" s="384"/>
      <c r="Q1013" s="384"/>
      <c r="R1013" s="384"/>
      <c r="S1013" s="660"/>
      <c r="T1013" s="396"/>
      <c r="U1013" s="384"/>
      <c r="V1013" s="384"/>
      <c r="W1013" s="384"/>
      <c r="X1013" s="384"/>
      <c r="Y1013" s="442"/>
      <c r="Z1013" s="442"/>
      <c r="AA1013" s="441"/>
      <c r="AB1013" s="441"/>
      <c r="AC1013" s="441"/>
      <c r="AD1013" s="441"/>
      <c r="AE1013" s="441"/>
      <c r="AF1013" s="441"/>
      <c r="AG1013" s="441"/>
      <c r="AH1013" s="441"/>
      <c r="AI1013" s="441"/>
      <c r="AJ1013" s="441"/>
      <c r="AK1013" s="395"/>
      <c r="AL1013" s="395"/>
      <c r="AM1013" s="395"/>
      <c r="AN1013" s="395"/>
      <c r="AO1013" s="395"/>
      <c r="AP1013" s="410"/>
      <c r="AQ1013" s="410"/>
    </row>
    <row r="1014" spans="2:43" ht="15" customHeight="1">
      <c r="B1014" s="394"/>
      <c r="C1014" s="395"/>
      <c r="D1014" s="417"/>
      <c r="E1014" s="662"/>
      <c r="F1014" s="417"/>
      <c r="G1014" s="384"/>
      <c r="H1014" s="768"/>
      <c r="I1014" s="384"/>
      <c r="J1014" s="384"/>
      <c r="K1014" s="657"/>
      <c r="L1014" s="658"/>
      <c r="M1014" s="384"/>
      <c r="N1014" s="384"/>
      <c r="O1014" s="384"/>
      <c r="P1014" s="384"/>
      <c r="Q1014" s="384"/>
      <c r="R1014" s="384"/>
      <c r="S1014" s="660"/>
      <c r="T1014" s="396"/>
      <c r="U1014" s="384"/>
      <c r="V1014" s="384"/>
      <c r="W1014" s="384"/>
      <c r="X1014" s="384"/>
      <c r="Y1014" s="442"/>
      <c r="Z1014" s="442"/>
      <c r="AA1014" s="441"/>
      <c r="AB1014" s="441"/>
      <c r="AC1014" s="441"/>
      <c r="AD1014" s="441"/>
      <c r="AE1014" s="441"/>
      <c r="AF1014" s="441"/>
      <c r="AG1014" s="441"/>
      <c r="AH1014" s="441"/>
      <c r="AI1014" s="441"/>
      <c r="AJ1014" s="441"/>
      <c r="AK1014" s="395"/>
      <c r="AL1014" s="395"/>
      <c r="AM1014" s="395"/>
      <c r="AN1014" s="395"/>
      <c r="AO1014" s="395"/>
      <c r="AP1014" s="410"/>
      <c r="AQ1014" s="410"/>
    </row>
    <row r="1015" spans="2:43" ht="15" customHeight="1">
      <c r="B1015" s="394"/>
      <c r="C1015" s="395"/>
      <c r="D1015" s="417"/>
      <c r="E1015" s="662"/>
      <c r="F1015" s="417"/>
      <c r="G1015" s="384"/>
      <c r="H1015" s="768"/>
      <c r="I1015" s="384"/>
      <c r="J1015" s="384"/>
      <c r="K1015" s="657"/>
      <c r="L1015" s="658"/>
      <c r="M1015" s="384"/>
      <c r="N1015" s="384"/>
      <c r="O1015" s="384"/>
      <c r="P1015" s="384"/>
      <c r="Q1015" s="384"/>
      <c r="R1015" s="384"/>
      <c r="S1015" s="660"/>
      <c r="T1015" s="396"/>
      <c r="U1015" s="384"/>
      <c r="V1015" s="384"/>
      <c r="W1015" s="384"/>
      <c r="X1015" s="384"/>
      <c r="Y1015" s="442"/>
      <c r="Z1015" s="442"/>
      <c r="AA1015" s="441"/>
      <c r="AB1015" s="441"/>
      <c r="AC1015" s="441"/>
      <c r="AD1015" s="441"/>
      <c r="AE1015" s="441"/>
      <c r="AF1015" s="441"/>
      <c r="AG1015" s="441"/>
      <c r="AH1015" s="441"/>
      <c r="AI1015" s="441"/>
      <c r="AJ1015" s="441"/>
      <c r="AK1015" s="395"/>
      <c r="AL1015" s="395"/>
      <c r="AM1015" s="395"/>
      <c r="AN1015" s="395"/>
      <c r="AO1015" s="395"/>
      <c r="AP1015" s="410"/>
      <c r="AQ1015" s="410"/>
    </row>
    <row r="1016" spans="2:43" ht="15" customHeight="1">
      <c r="B1016" s="394"/>
      <c r="C1016" s="395"/>
      <c r="D1016" s="417"/>
      <c r="E1016" s="662"/>
      <c r="F1016" s="417"/>
      <c r="G1016" s="384"/>
      <c r="H1016" s="768"/>
      <c r="I1016" s="384"/>
      <c r="J1016" s="384"/>
      <c r="K1016" s="657"/>
      <c r="L1016" s="658"/>
      <c r="M1016" s="384"/>
      <c r="N1016" s="384"/>
      <c r="O1016" s="384"/>
      <c r="P1016" s="384"/>
      <c r="Q1016" s="384"/>
      <c r="R1016" s="384"/>
      <c r="S1016" s="660"/>
      <c r="T1016" s="396"/>
      <c r="U1016" s="384"/>
      <c r="V1016" s="384"/>
      <c r="W1016" s="384"/>
      <c r="X1016" s="384"/>
      <c r="Y1016" s="442"/>
      <c r="Z1016" s="442"/>
      <c r="AA1016" s="441"/>
      <c r="AB1016" s="441"/>
      <c r="AC1016" s="441"/>
      <c r="AD1016" s="441"/>
      <c r="AE1016" s="441"/>
      <c r="AF1016" s="441"/>
      <c r="AG1016" s="441"/>
      <c r="AH1016" s="441"/>
      <c r="AI1016" s="441"/>
      <c r="AJ1016" s="441"/>
      <c r="AK1016" s="395"/>
      <c r="AL1016" s="395"/>
      <c r="AM1016" s="395"/>
      <c r="AN1016" s="395"/>
      <c r="AO1016" s="395"/>
      <c r="AP1016" s="410"/>
      <c r="AQ1016" s="410"/>
    </row>
    <row r="1017" spans="2:43" ht="15" customHeight="1">
      <c r="B1017" s="394"/>
      <c r="C1017" s="395"/>
      <c r="D1017" s="417"/>
      <c r="E1017" s="662"/>
      <c r="F1017" s="417"/>
      <c r="G1017" s="384"/>
      <c r="H1017" s="768"/>
      <c r="I1017" s="384"/>
      <c r="J1017" s="384"/>
      <c r="K1017" s="657"/>
      <c r="L1017" s="658"/>
      <c r="M1017" s="384"/>
      <c r="N1017" s="384"/>
      <c r="O1017" s="384"/>
      <c r="P1017" s="384"/>
      <c r="Q1017" s="384"/>
      <c r="R1017" s="384"/>
      <c r="S1017" s="660"/>
      <c r="T1017" s="396"/>
      <c r="U1017" s="384"/>
      <c r="V1017" s="384"/>
      <c r="W1017" s="384"/>
      <c r="X1017" s="384"/>
      <c r="Y1017" s="442"/>
      <c r="Z1017" s="442"/>
      <c r="AA1017" s="441"/>
      <c r="AB1017" s="441"/>
      <c r="AC1017" s="441"/>
      <c r="AD1017" s="441"/>
      <c r="AE1017" s="441"/>
      <c r="AF1017" s="441"/>
      <c r="AG1017" s="441"/>
      <c r="AH1017" s="441"/>
      <c r="AI1017" s="441"/>
      <c r="AJ1017" s="441"/>
      <c r="AK1017" s="395"/>
      <c r="AL1017" s="395"/>
      <c r="AM1017" s="395"/>
      <c r="AN1017" s="395"/>
      <c r="AO1017" s="395"/>
      <c r="AP1017" s="410"/>
      <c r="AQ1017" s="410"/>
    </row>
    <row r="1018" spans="2:43" ht="15" customHeight="1">
      <c r="B1018" s="394"/>
      <c r="C1018" s="395"/>
      <c r="D1018" s="417"/>
      <c r="E1018" s="662"/>
      <c r="F1018" s="417"/>
      <c r="G1018" s="384"/>
      <c r="H1018" s="768"/>
      <c r="I1018" s="384"/>
      <c r="J1018" s="384"/>
      <c r="K1018" s="657"/>
      <c r="L1018" s="658"/>
      <c r="M1018" s="384"/>
      <c r="N1018" s="384"/>
      <c r="O1018" s="384"/>
      <c r="P1018" s="384"/>
      <c r="Q1018" s="384"/>
      <c r="R1018" s="384"/>
      <c r="S1018" s="660"/>
      <c r="T1018" s="396"/>
      <c r="U1018" s="384"/>
      <c r="V1018" s="384"/>
      <c r="W1018" s="384"/>
      <c r="X1018" s="384"/>
      <c r="Y1018" s="442"/>
      <c r="Z1018" s="442"/>
      <c r="AA1018" s="441"/>
      <c r="AB1018" s="441"/>
      <c r="AC1018" s="441"/>
      <c r="AD1018" s="441"/>
      <c r="AE1018" s="441"/>
      <c r="AF1018" s="441"/>
      <c r="AG1018" s="441"/>
      <c r="AH1018" s="441"/>
      <c r="AI1018" s="441"/>
      <c r="AJ1018" s="441"/>
      <c r="AK1018" s="395"/>
      <c r="AL1018" s="395"/>
      <c r="AM1018" s="395"/>
      <c r="AN1018" s="395"/>
      <c r="AO1018" s="395"/>
      <c r="AP1018" s="410"/>
      <c r="AQ1018" s="410"/>
    </row>
    <row r="1019" spans="2:43" ht="15" customHeight="1">
      <c r="B1019" s="394"/>
      <c r="C1019" s="395"/>
      <c r="D1019" s="417"/>
      <c r="E1019" s="662"/>
      <c r="F1019" s="417"/>
      <c r="G1019" s="384"/>
      <c r="H1019" s="768"/>
      <c r="I1019" s="384"/>
      <c r="J1019" s="384"/>
      <c r="K1019" s="657"/>
      <c r="L1019" s="658"/>
      <c r="M1019" s="384"/>
      <c r="N1019" s="384"/>
      <c r="O1019" s="384"/>
      <c r="P1019" s="384"/>
      <c r="Q1019" s="384"/>
      <c r="R1019" s="384"/>
      <c r="S1019" s="660"/>
      <c r="T1019" s="396"/>
      <c r="U1019" s="384"/>
      <c r="V1019" s="384"/>
      <c r="W1019" s="384"/>
      <c r="X1019" s="384"/>
      <c r="Y1019" s="442"/>
      <c r="Z1019" s="442"/>
      <c r="AA1019" s="441"/>
      <c r="AB1019" s="441"/>
      <c r="AC1019" s="441"/>
      <c r="AD1019" s="441"/>
      <c r="AE1019" s="441"/>
      <c r="AF1019" s="441"/>
      <c r="AG1019" s="441"/>
      <c r="AH1019" s="441"/>
      <c r="AI1019" s="441"/>
      <c r="AJ1019" s="441"/>
      <c r="AK1019" s="395"/>
      <c r="AL1019" s="395"/>
      <c r="AM1019" s="395"/>
      <c r="AN1019" s="395"/>
      <c r="AO1019" s="395"/>
      <c r="AP1019" s="410"/>
      <c r="AQ1019" s="410"/>
    </row>
    <row r="1020" spans="2:43" ht="15" customHeight="1">
      <c r="B1020" s="394"/>
      <c r="C1020" s="395"/>
      <c r="D1020" s="417"/>
      <c r="E1020" s="662"/>
      <c r="F1020" s="417"/>
      <c r="G1020" s="384"/>
      <c r="H1020" s="768"/>
      <c r="I1020" s="384"/>
      <c r="J1020" s="384"/>
      <c r="K1020" s="657"/>
      <c r="L1020" s="658"/>
      <c r="M1020" s="384"/>
      <c r="N1020" s="384"/>
      <c r="O1020" s="384"/>
      <c r="P1020" s="384"/>
      <c r="Q1020" s="384"/>
      <c r="R1020" s="384"/>
      <c r="S1020" s="660"/>
      <c r="T1020" s="396"/>
      <c r="U1020" s="384"/>
      <c r="V1020" s="384"/>
      <c r="W1020" s="384"/>
      <c r="X1020" s="384"/>
      <c r="Y1020" s="442"/>
      <c r="Z1020" s="442"/>
      <c r="AA1020" s="441"/>
      <c r="AB1020" s="441"/>
      <c r="AC1020" s="441"/>
      <c r="AD1020" s="441"/>
      <c r="AE1020" s="441"/>
      <c r="AF1020" s="441"/>
      <c r="AG1020" s="441"/>
      <c r="AH1020" s="441"/>
      <c r="AI1020" s="441"/>
      <c r="AJ1020" s="441"/>
      <c r="AK1020" s="395"/>
      <c r="AL1020" s="395"/>
      <c r="AM1020" s="395"/>
      <c r="AN1020" s="395"/>
      <c r="AO1020" s="395"/>
      <c r="AP1020" s="410"/>
      <c r="AQ1020" s="410"/>
    </row>
    <row r="1021" spans="2:43" ht="15" customHeight="1">
      <c r="B1021" s="394"/>
      <c r="C1021" s="395"/>
      <c r="D1021" s="417"/>
      <c r="E1021" s="662"/>
      <c r="F1021" s="417"/>
      <c r="G1021" s="384"/>
      <c r="H1021" s="768"/>
      <c r="I1021" s="384"/>
      <c r="J1021" s="384"/>
      <c r="K1021" s="657"/>
      <c r="L1021" s="658"/>
      <c r="M1021" s="384"/>
      <c r="N1021" s="384"/>
      <c r="O1021" s="384"/>
      <c r="P1021" s="384"/>
      <c r="Q1021" s="384"/>
      <c r="R1021" s="384"/>
      <c r="S1021" s="660"/>
      <c r="T1021" s="396"/>
      <c r="U1021" s="384"/>
      <c r="V1021" s="384"/>
      <c r="W1021" s="384"/>
      <c r="X1021" s="384"/>
      <c r="Y1021" s="442"/>
      <c r="Z1021" s="442"/>
      <c r="AA1021" s="441"/>
      <c r="AB1021" s="441"/>
      <c r="AC1021" s="441"/>
      <c r="AD1021" s="441"/>
      <c r="AE1021" s="441"/>
      <c r="AF1021" s="441"/>
      <c r="AG1021" s="441"/>
      <c r="AH1021" s="441"/>
      <c r="AI1021" s="441"/>
      <c r="AJ1021" s="441"/>
      <c r="AK1021" s="395"/>
      <c r="AL1021" s="395"/>
      <c r="AM1021" s="395"/>
      <c r="AN1021" s="395"/>
      <c r="AO1021" s="395"/>
      <c r="AP1021" s="410"/>
      <c r="AQ1021" s="410"/>
    </row>
    <row r="1022" spans="2:43" ht="15" customHeight="1">
      <c r="B1022" s="394"/>
      <c r="C1022" s="395"/>
      <c r="D1022" s="417"/>
      <c r="E1022" s="662"/>
      <c r="F1022" s="417"/>
      <c r="G1022" s="384"/>
      <c r="H1022" s="768"/>
      <c r="I1022" s="384"/>
      <c r="J1022" s="384"/>
      <c r="K1022" s="657"/>
      <c r="L1022" s="658"/>
      <c r="M1022" s="384"/>
      <c r="N1022" s="384"/>
      <c r="O1022" s="384"/>
      <c r="P1022" s="384"/>
      <c r="Q1022" s="384"/>
      <c r="R1022" s="384"/>
      <c r="S1022" s="660"/>
      <c r="T1022" s="396"/>
      <c r="U1022" s="384"/>
      <c r="V1022" s="384"/>
      <c r="W1022" s="384"/>
      <c r="X1022" s="384"/>
      <c r="Y1022" s="442"/>
      <c r="Z1022" s="442"/>
      <c r="AA1022" s="441"/>
      <c r="AB1022" s="441"/>
      <c r="AC1022" s="441"/>
      <c r="AD1022" s="441"/>
      <c r="AE1022" s="441"/>
      <c r="AF1022" s="441"/>
      <c r="AG1022" s="441"/>
      <c r="AH1022" s="441"/>
      <c r="AI1022" s="441"/>
      <c r="AJ1022" s="441"/>
      <c r="AK1022" s="395"/>
      <c r="AL1022" s="395"/>
      <c r="AM1022" s="395"/>
      <c r="AN1022" s="395"/>
      <c r="AO1022" s="395"/>
      <c r="AP1022" s="410"/>
      <c r="AQ1022" s="410"/>
    </row>
    <row r="1023" spans="2:43" ht="15" customHeight="1">
      <c r="B1023" s="394"/>
      <c r="C1023" s="395"/>
      <c r="D1023" s="417"/>
      <c r="E1023" s="662"/>
      <c r="F1023" s="417"/>
      <c r="G1023" s="384"/>
      <c r="H1023" s="768"/>
      <c r="I1023" s="384"/>
      <c r="J1023" s="384"/>
      <c r="K1023" s="657"/>
      <c r="L1023" s="658"/>
      <c r="M1023" s="384"/>
      <c r="N1023" s="384"/>
      <c r="O1023" s="384"/>
      <c r="P1023" s="384"/>
      <c r="Q1023" s="384"/>
      <c r="R1023" s="384"/>
      <c r="S1023" s="660"/>
      <c r="T1023" s="396"/>
      <c r="U1023" s="384"/>
      <c r="V1023" s="384"/>
      <c r="W1023" s="384"/>
      <c r="X1023" s="384"/>
      <c r="Y1023" s="442"/>
      <c r="Z1023" s="442"/>
      <c r="AA1023" s="441"/>
      <c r="AB1023" s="441"/>
      <c r="AC1023" s="441"/>
      <c r="AD1023" s="441"/>
      <c r="AE1023" s="441"/>
      <c r="AF1023" s="441"/>
      <c r="AG1023" s="441"/>
      <c r="AH1023" s="441"/>
      <c r="AI1023" s="441"/>
      <c r="AJ1023" s="441"/>
      <c r="AK1023" s="395"/>
      <c r="AL1023" s="395"/>
      <c r="AM1023" s="395"/>
      <c r="AN1023" s="395"/>
      <c r="AO1023" s="395"/>
      <c r="AP1023" s="410"/>
      <c r="AQ1023" s="410"/>
    </row>
    <row r="1024" spans="2:43" ht="15" customHeight="1">
      <c r="B1024" s="394"/>
      <c r="C1024" s="395"/>
      <c r="D1024" s="417"/>
      <c r="E1024" s="662"/>
      <c r="F1024" s="417"/>
      <c r="G1024" s="384"/>
      <c r="H1024" s="768"/>
      <c r="I1024" s="384"/>
      <c r="J1024" s="384"/>
      <c r="K1024" s="657"/>
      <c r="L1024" s="658"/>
      <c r="M1024" s="384"/>
      <c r="N1024" s="384"/>
      <c r="O1024" s="384"/>
      <c r="P1024" s="384"/>
      <c r="Q1024" s="384"/>
      <c r="R1024" s="384"/>
      <c r="S1024" s="660"/>
      <c r="T1024" s="396"/>
      <c r="U1024" s="384"/>
      <c r="V1024" s="384"/>
      <c r="W1024" s="384"/>
      <c r="X1024" s="384"/>
      <c r="Y1024" s="442"/>
      <c r="Z1024" s="442"/>
      <c r="AA1024" s="441"/>
      <c r="AB1024" s="441"/>
      <c r="AC1024" s="441"/>
      <c r="AD1024" s="441"/>
      <c r="AE1024" s="441"/>
      <c r="AF1024" s="441"/>
      <c r="AG1024" s="441"/>
      <c r="AH1024" s="441"/>
      <c r="AI1024" s="441"/>
      <c r="AJ1024" s="441"/>
      <c r="AK1024" s="395"/>
      <c r="AL1024" s="395"/>
      <c r="AM1024" s="395"/>
      <c r="AN1024" s="395"/>
      <c r="AO1024" s="395"/>
      <c r="AP1024" s="410"/>
      <c r="AQ1024" s="410"/>
    </row>
    <row r="1025" spans="2:43" ht="15" customHeight="1">
      <c r="B1025" s="394"/>
      <c r="C1025" s="395"/>
      <c r="D1025" s="417"/>
      <c r="E1025" s="662"/>
      <c r="F1025" s="417"/>
      <c r="G1025" s="384"/>
      <c r="H1025" s="768"/>
      <c r="I1025" s="384"/>
      <c r="J1025" s="384"/>
      <c r="K1025" s="657"/>
      <c r="L1025" s="658"/>
      <c r="M1025" s="384"/>
      <c r="N1025" s="384"/>
      <c r="O1025" s="384"/>
      <c r="P1025" s="384"/>
      <c r="Q1025" s="384"/>
      <c r="R1025" s="384"/>
      <c r="S1025" s="660"/>
      <c r="T1025" s="396"/>
      <c r="U1025" s="384"/>
      <c r="V1025" s="384"/>
      <c r="W1025" s="384"/>
      <c r="X1025" s="384"/>
      <c r="Y1025" s="442"/>
      <c r="Z1025" s="442"/>
      <c r="AA1025" s="441"/>
      <c r="AB1025" s="441"/>
      <c r="AC1025" s="441"/>
      <c r="AD1025" s="441"/>
      <c r="AE1025" s="441"/>
      <c r="AF1025" s="441"/>
      <c r="AG1025" s="441"/>
      <c r="AH1025" s="441"/>
      <c r="AI1025" s="441"/>
      <c r="AJ1025" s="441"/>
      <c r="AK1025" s="395"/>
      <c r="AL1025" s="395"/>
      <c r="AM1025" s="395"/>
      <c r="AN1025" s="395"/>
      <c r="AO1025" s="395"/>
      <c r="AP1025" s="410"/>
      <c r="AQ1025" s="410"/>
    </row>
    <row r="1026" spans="2:43" ht="15" customHeight="1">
      <c r="B1026" s="394"/>
      <c r="C1026" s="395"/>
      <c r="D1026" s="417"/>
      <c r="E1026" s="662"/>
      <c r="F1026" s="417"/>
      <c r="G1026" s="384"/>
      <c r="H1026" s="768"/>
      <c r="I1026" s="384"/>
      <c r="J1026" s="384"/>
      <c r="K1026" s="657"/>
      <c r="L1026" s="658"/>
      <c r="M1026" s="384"/>
      <c r="N1026" s="384"/>
      <c r="O1026" s="384"/>
      <c r="P1026" s="384"/>
      <c r="Q1026" s="384"/>
      <c r="R1026" s="384"/>
      <c r="S1026" s="660"/>
      <c r="T1026" s="396"/>
      <c r="U1026" s="384"/>
      <c r="V1026" s="384"/>
      <c r="W1026" s="384"/>
      <c r="X1026" s="384"/>
      <c r="Y1026" s="442"/>
      <c r="Z1026" s="442"/>
      <c r="AA1026" s="441"/>
      <c r="AB1026" s="441"/>
      <c r="AC1026" s="441"/>
      <c r="AD1026" s="441"/>
      <c r="AE1026" s="441"/>
      <c r="AF1026" s="441"/>
      <c r="AG1026" s="441"/>
      <c r="AH1026" s="441"/>
      <c r="AI1026" s="441"/>
      <c r="AJ1026" s="441"/>
      <c r="AK1026" s="395"/>
      <c r="AL1026" s="395"/>
      <c r="AM1026" s="395"/>
      <c r="AN1026" s="395"/>
      <c r="AO1026" s="395"/>
      <c r="AP1026" s="410"/>
      <c r="AQ1026" s="410"/>
    </row>
    <row r="1027" spans="2:43" ht="15" customHeight="1">
      <c r="B1027" s="394"/>
      <c r="C1027" s="395"/>
      <c r="D1027" s="417"/>
      <c r="E1027" s="662"/>
      <c r="F1027" s="417"/>
      <c r="G1027" s="384"/>
      <c r="H1027" s="768"/>
      <c r="I1027" s="384"/>
      <c r="J1027" s="384"/>
      <c r="K1027" s="657"/>
      <c r="L1027" s="658"/>
      <c r="M1027" s="384"/>
      <c r="N1027" s="384"/>
      <c r="O1027" s="384"/>
      <c r="P1027" s="384"/>
      <c r="Q1027" s="384"/>
      <c r="R1027" s="384"/>
      <c r="S1027" s="660"/>
      <c r="T1027" s="396"/>
      <c r="U1027" s="384"/>
      <c r="V1027" s="384"/>
      <c r="W1027" s="384"/>
      <c r="X1027" s="384"/>
      <c r="Y1027" s="442"/>
      <c r="Z1027" s="442"/>
      <c r="AA1027" s="441"/>
      <c r="AB1027" s="441"/>
      <c r="AC1027" s="441"/>
      <c r="AD1027" s="441"/>
      <c r="AE1027" s="441"/>
      <c r="AF1027" s="441"/>
      <c r="AG1027" s="441"/>
      <c r="AH1027" s="441"/>
      <c r="AI1027" s="441"/>
      <c r="AJ1027" s="441"/>
      <c r="AK1027" s="395"/>
      <c r="AL1027" s="395"/>
      <c r="AM1027" s="395"/>
      <c r="AN1027" s="395"/>
      <c r="AO1027" s="395"/>
      <c r="AP1027" s="410"/>
      <c r="AQ1027" s="410"/>
    </row>
    <row r="1028" spans="2:43" ht="15" customHeight="1">
      <c r="B1028" s="394"/>
      <c r="C1028" s="395"/>
      <c r="D1028" s="417"/>
      <c r="E1028" s="662"/>
      <c r="F1028" s="417"/>
      <c r="G1028" s="384"/>
      <c r="H1028" s="768"/>
      <c r="I1028" s="384"/>
      <c r="J1028" s="384"/>
      <c r="K1028" s="657"/>
      <c r="L1028" s="658"/>
      <c r="M1028" s="384"/>
      <c r="N1028" s="384"/>
      <c r="O1028" s="384"/>
      <c r="P1028" s="384"/>
      <c r="Q1028" s="384"/>
      <c r="R1028" s="384"/>
      <c r="S1028" s="660"/>
      <c r="T1028" s="396"/>
      <c r="U1028" s="384"/>
      <c r="V1028" s="384"/>
      <c r="W1028" s="384"/>
      <c r="X1028" s="384"/>
      <c r="Y1028" s="442"/>
      <c r="Z1028" s="442"/>
      <c r="AA1028" s="441"/>
      <c r="AB1028" s="441"/>
      <c r="AC1028" s="441"/>
      <c r="AD1028" s="441"/>
      <c r="AE1028" s="441"/>
      <c r="AF1028" s="441"/>
      <c r="AG1028" s="441"/>
      <c r="AH1028" s="441"/>
      <c r="AI1028" s="441"/>
      <c r="AJ1028" s="441"/>
      <c r="AK1028" s="395"/>
      <c r="AL1028" s="395"/>
      <c r="AM1028" s="395"/>
      <c r="AN1028" s="395"/>
      <c r="AO1028" s="395"/>
      <c r="AP1028" s="410"/>
      <c r="AQ1028" s="410"/>
    </row>
    <row r="1029" spans="2:43" ht="15" customHeight="1">
      <c r="B1029" s="394"/>
      <c r="C1029" s="395"/>
      <c r="D1029" s="417"/>
      <c r="E1029" s="662"/>
      <c r="F1029" s="417"/>
      <c r="G1029" s="384"/>
      <c r="H1029" s="768"/>
      <c r="I1029" s="384"/>
      <c r="J1029" s="384"/>
      <c r="K1029" s="657"/>
      <c r="L1029" s="658"/>
      <c r="M1029" s="384"/>
      <c r="N1029" s="384"/>
      <c r="O1029" s="384"/>
      <c r="P1029" s="384"/>
      <c r="Q1029" s="384"/>
      <c r="R1029" s="384"/>
      <c r="S1029" s="660"/>
      <c r="T1029" s="396"/>
      <c r="U1029" s="384"/>
      <c r="V1029" s="384"/>
      <c r="W1029" s="384"/>
      <c r="X1029" s="384"/>
      <c r="Y1029" s="442"/>
      <c r="Z1029" s="442"/>
      <c r="AA1029" s="441"/>
      <c r="AB1029" s="441"/>
      <c r="AC1029" s="441"/>
      <c r="AD1029" s="441"/>
      <c r="AE1029" s="441"/>
      <c r="AF1029" s="441"/>
      <c r="AG1029" s="441"/>
      <c r="AH1029" s="441"/>
      <c r="AI1029" s="441"/>
      <c r="AJ1029" s="441"/>
      <c r="AK1029" s="395"/>
      <c r="AL1029" s="395"/>
      <c r="AM1029" s="395"/>
      <c r="AN1029" s="395"/>
      <c r="AO1029" s="395"/>
      <c r="AP1029" s="410"/>
      <c r="AQ1029" s="410"/>
    </row>
    <row r="1030" spans="2:43" ht="15" customHeight="1">
      <c r="B1030" s="394"/>
      <c r="C1030" s="395"/>
      <c r="D1030" s="417"/>
      <c r="E1030" s="662"/>
      <c r="F1030" s="417"/>
      <c r="G1030" s="384"/>
      <c r="H1030" s="768"/>
      <c r="I1030" s="384"/>
      <c r="J1030" s="384"/>
      <c r="K1030" s="657"/>
      <c r="L1030" s="658"/>
      <c r="M1030" s="384"/>
      <c r="N1030" s="384"/>
      <c r="O1030" s="384"/>
      <c r="P1030" s="384"/>
      <c r="Q1030" s="384"/>
      <c r="R1030" s="384"/>
      <c r="S1030" s="660"/>
      <c r="T1030" s="396"/>
      <c r="U1030" s="384"/>
      <c r="V1030" s="384"/>
      <c r="W1030" s="384"/>
      <c r="X1030" s="384"/>
      <c r="Y1030" s="442"/>
      <c r="Z1030" s="442"/>
      <c r="AA1030" s="441"/>
      <c r="AB1030" s="441"/>
      <c r="AC1030" s="441"/>
      <c r="AD1030" s="441"/>
      <c r="AE1030" s="441"/>
      <c r="AF1030" s="441"/>
      <c r="AG1030" s="441"/>
      <c r="AH1030" s="441"/>
      <c r="AI1030" s="441"/>
      <c r="AJ1030" s="441"/>
      <c r="AK1030" s="395"/>
      <c r="AL1030" s="395"/>
      <c r="AM1030" s="395"/>
      <c r="AN1030" s="395"/>
      <c r="AO1030" s="395"/>
      <c r="AP1030" s="410"/>
      <c r="AQ1030" s="410"/>
    </row>
    <row r="1031" spans="2:43" ht="15" customHeight="1">
      <c r="B1031" s="394"/>
      <c r="C1031" s="395"/>
      <c r="D1031" s="417"/>
      <c r="E1031" s="662"/>
      <c r="F1031" s="417"/>
      <c r="G1031" s="384"/>
      <c r="H1031" s="768"/>
      <c r="I1031" s="384"/>
      <c r="J1031" s="384"/>
      <c r="K1031" s="657"/>
      <c r="L1031" s="658"/>
      <c r="M1031" s="384"/>
      <c r="N1031" s="384"/>
      <c r="O1031" s="384"/>
      <c r="P1031" s="384"/>
      <c r="Q1031" s="384"/>
      <c r="R1031" s="384"/>
      <c r="S1031" s="660"/>
      <c r="T1031" s="396"/>
      <c r="U1031" s="384"/>
      <c r="V1031" s="384"/>
      <c r="W1031" s="384"/>
      <c r="X1031" s="384"/>
      <c r="Y1031" s="442"/>
      <c r="Z1031" s="442"/>
      <c r="AA1031" s="441"/>
      <c r="AB1031" s="441"/>
      <c r="AC1031" s="441"/>
      <c r="AD1031" s="441"/>
      <c r="AE1031" s="441"/>
      <c r="AF1031" s="441"/>
      <c r="AG1031" s="441"/>
      <c r="AH1031" s="441"/>
      <c r="AI1031" s="441"/>
      <c r="AJ1031" s="441"/>
      <c r="AK1031" s="395"/>
      <c r="AL1031" s="395"/>
      <c r="AM1031" s="395"/>
      <c r="AN1031" s="395"/>
      <c r="AO1031" s="395"/>
      <c r="AP1031" s="410"/>
      <c r="AQ1031" s="410"/>
    </row>
    <row r="1032" spans="2:43" ht="15" customHeight="1">
      <c r="B1032" s="394"/>
      <c r="C1032" s="395"/>
      <c r="D1032" s="417"/>
      <c r="E1032" s="662"/>
      <c r="F1032" s="417"/>
      <c r="G1032" s="384"/>
      <c r="H1032" s="768"/>
      <c r="I1032" s="384"/>
      <c r="J1032" s="384"/>
      <c r="K1032" s="657"/>
      <c r="L1032" s="658"/>
      <c r="M1032" s="384"/>
      <c r="N1032" s="384"/>
      <c r="O1032" s="384"/>
      <c r="P1032" s="384"/>
      <c r="Q1032" s="384"/>
      <c r="R1032" s="384"/>
      <c r="S1032" s="660"/>
      <c r="T1032" s="396"/>
      <c r="U1032" s="384"/>
      <c r="V1032" s="384"/>
      <c r="W1032" s="384"/>
      <c r="X1032" s="384"/>
      <c r="Y1032" s="442"/>
      <c r="Z1032" s="442"/>
      <c r="AA1032" s="441"/>
      <c r="AB1032" s="441"/>
      <c r="AC1032" s="441"/>
      <c r="AD1032" s="441"/>
      <c r="AE1032" s="441"/>
      <c r="AF1032" s="441"/>
      <c r="AG1032" s="441"/>
      <c r="AH1032" s="441"/>
      <c r="AI1032" s="441"/>
      <c r="AJ1032" s="441"/>
      <c r="AK1032" s="395"/>
      <c r="AL1032" s="395"/>
      <c r="AM1032" s="395"/>
      <c r="AN1032" s="395"/>
      <c r="AO1032" s="395"/>
      <c r="AP1032" s="410"/>
      <c r="AQ1032" s="410"/>
    </row>
    <row r="1033" spans="2:43" ht="15" customHeight="1">
      <c r="B1033" s="394"/>
      <c r="C1033" s="395"/>
      <c r="D1033" s="417"/>
      <c r="E1033" s="662"/>
      <c r="F1033" s="417"/>
      <c r="G1033" s="384"/>
      <c r="H1033" s="768"/>
      <c r="I1033" s="384"/>
      <c r="J1033" s="384"/>
      <c r="K1033" s="657"/>
      <c r="L1033" s="658"/>
      <c r="M1033" s="384"/>
      <c r="N1033" s="384"/>
      <c r="O1033" s="384"/>
      <c r="P1033" s="384"/>
      <c r="Q1033" s="384"/>
      <c r="R1033" s="384"/>
      <c r="S1033" s="660"/>
      <c r="T1033" s="396"/>
      <c r="U1033" s="384"/>
      <c r="V1033" s="384"/>
      <c r="W1033" s="384"/>
      <c r="X1033" s="384"/>
      <c r="Y1033" s="442"/>
      <c r="Z1033" s="442"/>
      <c r="AA1033" s="441"/>
      <c r="AB1033" s="441"/>
      <c r="AC1033" s="441"/>
      <c r="AD1033" s="441"/>
      <c r="AE1033" s="441"/>
      <c r="AF1033" s="441"/>
      <c r="AG1033" s="441"/>
      <c r="AH1033" s="441"/>
      <c r="AI1033" s="441"/>
      <c r="AJ1033" s="441"/>
      <c r="AK1033" s="395"/>
      <c r="AL1033" s="395"/>
      <c r="AM1033" s="395"/>
      <c r="AN1033" s="395"/>
      <c r="AO1033" s="395"/>
      <c r="AP1033" s="410"/>
      <c r="AQ1033" s="410"/>
    </row>
    <row r="1034" spans="2:43" ht="15" customHeight="1">
      <c r="B1034" s="394"/>
      <c r="C1034" s="395"/>
      <c r="D1034" s="417"/>
      <c r="E1034" s="662"/>
      <c r="F1034" s="417"/>
      <c r="G1034" s="384"/>
      <c r="H1034" s="768"/>
      <c r="I1034" s="384"/>
      <c r="J1034" s="384"/>
      <c r="K1034" s="657"/>
      <c r="L1034" s="658"/>
      <c r="M1034" s="384"/>
      <c r="N1034" s="384"/>
      <c r="O1034" s="384"/>
      <c r="P1034" s="384"/>
      <c r="Q1034" s="384"/>
      <c r="R1034" s="384"/>
      <c r="S1034" s="660"/>
      <c r="T1034" s="396"/>
      <c r="U1034" s="384"/>
      <c r="V1034" s="384"/>
      <c r="W1034" s="384"/>
      <c r="X1034" s="384"/>
      <c r="Y1034" s="442"/>
      <c r="Z1034" s="442"/>
      <c r="AA1034" s="441"/>
      <c r="AB1034" s="441"/>
      <c r="AC1034" s="441"/>
      <c r="AD1034" s="441"/>
      <c r="AE1034" s="441"/>
      <c r="AF1034" s="441"/>
      <c r="AG1034" s="441"/>
      <c r="AH1034" s="441"/>
      <c r="AI1034" s="441"/>
      <c r="AJ1034" s="441"/>
      <c r="AK1034" s="395"/>
      <c r="AL1034" s="395"/>
      <c r="AM1034" s="395"/>
      <c r="AN1034" s="395"/>
      <c r="AO1034" s="395"/>
      <c r="AP1034" s="410"/>
      <c r="AQ1034" s="410"/>
    </row>
    <row r="1035" spans="2:43" ht="15" customHeight="1">
      <c r="B1035" s="394"/>
      <c r="C1035" s="395"/>
      <c r="D1035" s="417"/>
      <c r="E1035" s="662"/>
      <c r="F1035" s="417"/>
      <c r="G1035" s="384"/>
      <c r="H1035" s="768"/>
      <c r="I1035" s="384"/>
      <c r="J1035" s="384"/>
      <c r="K1035" s="657"/>
      <c r="L1035" s="658"/>
      <c r="M1035" s="384"/>
      <c r="N1035" s="384"/>
      <c r="O1035" s="384"/>
      <c r="P1035" s="384"/>
      <c r="Q1035" s="384"/>
      <c r="R1035" s="384"/>
      <c r="S1035" s="660"/>
      <c r="T1035" s="396"/>
      <c r="U1035" s="384"/>
      <c r="V1035" s="384"/>
      <c r="W1035" s="384"/>
      <c r="X1035" s="384"/>
      <c r="Y1035" s="442"/>
      <c r="Z1035" s="442"/>
      <c r="AA1035" s="441"/>
      <c r="AB1035" s="441"/>
      <c r="AC1035" s="441"/>
      <c r="AD1035" s="441"/>
      <c r="AE1035" s="441"/>
      <c r="AF1035" s="441"/>
      <c r="AG1035" s="441"/>
      <c r="AH1035" s="441"/>
      <c r="AI1035" s="441"/>
      <c r="AJ1035" s="441"/>
      <c r="AK1035" s="395"/>
      <c r="AL1035" s="395"/>
      <c r="AM1035" s="395"/>
      <c r="AN1035" s="395"/>
      <c r="AO1035" s="395"/>
      <c r="AP1035" s="410"/>
      <c r="AQ1035" s="410"/>
    </row>
    <row r="1036" spans="2:43" ht="15" customHeight="1">
      <c r="B1036" s="394"/>
      <c r="C1036" s="395"/>
      <c r="D1036" s="417"/>
      <c r="E1036" s="662"/>
      <c r="F1036" s="417"/>
      <c r="G1036" s="384"/>
      <c r="H1036" s="768"/>
      <c r="I1036" s="384"/>
      <c r="J1036" s="384"/>
      <c r="K1036" s="657"/>
      <c r="L1036" s="658"/>
      <c r="M1036" s="384"/>
      <c r="N1036" s="384"/>
      <c r="O1036" s="384"/>
      <c r="P1036" s="384"/>
      <c r="Q1036" s="384"/>
      <c r="R1036" s="384"/>
      <c r="S1036" s="660"/>
      <c r="T1036" s="396"/>
      <c r="U1036" s="384"/>
      <c r="V1036" s="384"/>
      <c r="W1036" s="384"/>
      <c r="X1036" s="384"/>
      <c r="Y1036" s="442"/>
      <c r="Z1036" s="442"/>
      <c r="AA1036" s="441"/>
      <c r="AB1036" s="441"/>
      <c r="AC1036" s="441"/>
      <c r="AD1036" s="441"/>
      <c r="AE1036" s="441"/>
      <c r="AF1036" s="441"/>
      <c r="AG1036" s="441"/>
      <c r="AH1036" s="441"/>
      <c r="AI1036" s="441"/>
      <c r="AJ1036" s="441"/>
      <c r="AK1036" s="395"/>
      <c r="AL1036" s="395"/>
      <c r="AM1036" s="395"/>
      <c r="AN1036" s="395"/>
      <c r="AO1036" s="395"/>
      <c r="AP1036" s="410"/>
      <c r="AQ1036" s="410"/>
    </row>
    <row r="1037" spans="2:43" ht="15" customHeight="1">
      <c r="B1037" s="394"/>
      <c r="C1037" s="395"/>
      <c r="D1037" s="417"/>
      <c r="E1037" s="662"/>
      <c r="F1037" s="417"/>
      <c r="G1037" s="384"/>
      <c r="H1037" s="768"/>
      <c r="I1037" s="384"/>
      <c r="J1037" s="384"/>
      <c r="K1037" s="657"/>
      <c r="L1037" s="658"/>
      <c r="M1037" s="384"/>
      <c r="N1037" s="384"/>
      <c r="O1037" s="384"/>
      <c r="P1037" s="384"/>
      <c r="Q1037" s="384"/>
      <c r="R1037" s="384"/>
      <c r="S1037" s="660"/>
      <c r="T1037" s="396"/>
      <c r="U1037" s="384"/>
      <c r="V1037" s="384"/>
      <c r="W1037" s="384"/>
      <c r="X1037" s="384"/>
      <c r="Y1037" s="442"/>
      <c r="Z1037" s="442"/>
      <c r="AA1037" s="441"/>
      <c r="AB1037" s="441"/>
      <c r="AC1037" s="441"/>
      <c r="AD1037" s="441"/>
      <c r="AE1037" s="441"/>
      <c r="AF1037" s="441"/>
      <c r="AG1037" s="441"/>
      <c r="AH1037" s="441"/>
      <c r="AI1037" s="441"/>
      <c r="AJ1037" s="441"/>
      <c r="AK1037" s="395"/>
      <c r="AL1037" s="395"/>
      <c r="AM1037" s="395"/>
      <c r="AN1037" s="395"/>
      <c r="AO1037" s="395"/>
      <c r="AP1037" s="410"/>
      <c r="AQ1037" s="410"/>
    </row>
    <row r="1038" spans="2:43" ht="15" customHeight="1">
      <c r="B1038" s="394"/>
      <c r="C1038" s="395"/>
      <c r="D1038" s="417"/>
      <c r="E1038" s="662"/>
      <c r="F1038" s="417"/>
      <c r="G1038" s="384"/>
      <c r="H1038" s="768"/>
      <c r="I1038" s="384"/>
      <c r="J1038" s="384"/>
      <c r="K1038" s="657"/>
      <c r="L1038" s="658"/>
      <c r="M1038" s="384"/>
      <c r="N1038" s="384"/>
      <c r="O1038" s="384"/>
      <c r="P1038" s="384"/>
      <c r="Q1038" s="384"/>
      <c r="R1038" s="384"/>
      <c r="S1038" s="660"/>
      <c r="T1038" s="396"/>
      <c r="U1038" s="384"/>
      <c r="V1038" s="384"/>
      <c r="W1038" s="384"/>
      <c r="X1038" s="384"/>
      <c r="Y1038" s="442"/>
      <c r="Z1038" s="442"/>
      <c r="AA1038" s="441"/>
      <c r="AB1038" s="441"/>
      <c r="AC1038" s="441"/>
      <c r="AD1038" s="441"/>
      <c r="AE1038" s="441"/>
      <c r="AF1038" s="441"/>
      <c r="AG1038" s="441"/>
      <c r="AH1038" s="441"/>
      <c r="AI1038" s="441"/>
      <c r="AJ1038" s="441"/>
      <c r="AK1038" s="395"/>
      <c r="AL1038" s="395"/>
      <c r="AM1038" s="395"/>
      <c r="AN1038" s="395"/>
      <c r="AO1038" s="395"/>
      <c r="AP1038" s="410"/>
      <c r="AQ1038" s="410"/>
    </row>
    <row r="1039" spans="2:43" ht="15" customHeight="1">
      <c r="B1039" s="394"/>
      <c r="C1039" s="395"/>
      <c r="D1039" s="417"/>
      <c r="E1039" s="662"/>
      <c r="F1039" s="417"/>
      <c r="G1039" s="384"/>
      <c r="H1039" s="768"/>
      <c r="I1039" s="384"/>
      <c r="J1039" s="384"/>
      <c r="K1039" s="657"/>
      <c r="L1039" s="658"/>
      <c r="M1039" s="384"/>
      <c r="N1039" s="384"/>
      <c r="O1039" s="384"/>
      <c r="P1039" s="384"/>
      <c r="Q1039" s="384"/>
      <c r="R1039" s="384"/>
      <c r="S1039" s="660"/>
      <c r="T1039" s="396"/>
      <c r="U1039" s="384"/>
      <c r="V1039" s="384"/>
      <c r="W1039" s="384"/>
      <c r="X1039" s="384"/>
      <c r="Y1039" s="442"/>
      <c r="Z1039" s="442"/>
      <c r="AA1039" s="441"/>
      <c r="AB1039" s="441"/>
      <c r="AC1039" s="441"/>
      <c r="AD1039" s="441"/>
      <c r="AE1039" s="441"/>
      <c r="AF1039" s="441"/>
      <c r="AG1039" s="441"/>
      <c r="AH1039" s="441"/>
      <c r="AI1039" s="441"/>
      <c r="AJ1039" s="441"/>
      <c r="AK1039" s="395"/>
      <c r="AL1039" s="395"/>
      <c r="AM1039" s="395"/>
      <c r="AN1039" s="395"/>
      <c r="AO1039" s="395"/>
      <c r="AP1039" s="410"/>
      <c r="AQ1039" s="410"/>
    </row>
    <row r="1040" spans="2:43" ht="15" customHeight="1">
      <c r="B1040" s="394"/>
      <c r="C1040" s="395"/>
      <c r="D1040" s="417"/>
      <c r="E1040" s="662"/>
      <c r="F1040" s="417"/>
      <c r="G1040" s="384"/>
      <c r="H1040" s="768"/>
      <c r="I1040" s="384"/>
      <c r="J1040" s="384"/>
      <c r="K1040" s="657"/>
      <c r="L1040" s="658"/>
      <c r="M1040" s="384"/>
      <c r="N1040" s="384"/>
      <c r="O1040" s="384"/>
      <c r="P1040" s="384"/>
      <c r="Q1040" s="384"/>
      <c r="R1040" s="384"/>
      <c r="S1040" s="660"/>
      <c r="T1040" s="396"/>
      <c r="U1040" s="384"/>
      <c r="V1040" s="384"/>
      <c r="W1040" s="384"/>
      <c r="X1040" s="384"/>
      <c r="Y1040" s="442"/>
      <c r="Z1040" s="442"/>
      <c r="AA1040" s="441"/>
      <c r="AB1040" s="441"/>
      <c r="AC1040" s="441"/>
      <c r="AD1040" s="441"/>
      <c r="AE1040" s="441"/>
      <c r="AF1040" s="441"/>
      <c r="AG1040" s="441"/>
      <c r="AH1040" s="441"/>
      <c r="AI1040" s="441"/>
      <c r="AJ1040" s="441"/>
      <c r="AK1040" s="395"/>
      <c r="AL1040" s="395"/>
      <c r="AM1040" s="395"/>
      <c r="AN1040" s="395"/>
      <c r="AO1040" s="395"/>
      <c r="AP1040" s="410"/>
      <c r="AQ1040" s="410"/>
    </row>
    <row r="1041" spans="2:43" ht="15" customHeight="1">
      <c r="B1041" s="394"/>
      <c r="C1041" s="395"/>
      <c r="D1041" s="417"/>
      <c r="E1041" s="662"/>
      <c r="F1041" s="417"/>
      <c r="G1041" s="384"/>
      <c r="H1041" s="768"/>
      <c r="I1041" s="384"/>
      <c r="J1041" s="384"/>
      <c r="K1041" s="657"/>
      <c r="L1041" s="658"/>
      <c r="M1041" s="384"/>
      <c r="N1041" s="384"/>
      <c r="O1041" s="384"/>
      <c r="P1041" s="384"/>
      <c r="Q1041" s="384"/>
      <c r="R1041" s="384"/>
      <c r="S1041" s="660"/>
      <c r="T1041" s="396"/>
      <c r="U1041" s="384"/>
      <c r="V1041" s="384"/>
      <c r="W1041" s="384"/>
      <c r="X1041" s="384"/>
      <c r="Y1041" s="442"/>
      <c r="Z1041" s="442"/>
      <c r="AA1041" s="441"/>
      <c r="AB1041" s="441"/>
      <c r="AC1041" s="441"/>
      <c r="AD1041" s="441"/>
      <c r="AE1041" s="441"/>
      <c r="AF1041" s="441"/>
      <c r="AG1041" s="441"/>
      <c r="AH1041" s="441"/>
      <c r="AI1041" s="441"/>
      <c r="AJ1041" s="441"/>
      <c r="AK1041" s="395"/>
      <c r="AL1041" s="395"/>
      <c r="AM1041" s="395"/>
      <c r="AN1041" s="395"/>
      <c r="AO1041" s="395"/>
      <c r="AP1041" s="410"/>
      <c r="AQ1041" s="410"/>
    </row>
    <row r="1042" spans="2:43" ht="15" customHeight="1">
      <c r="B1042" s="394"/>
      <c r="C1042" s="395"/>
      <c r="D1042" s="417"/>
      <c r="E1042" s="662"/>
      <c r="F1042" s="417"/>
      <c r="G1042" s="384"/>
      <c r="H1042" s="768"/>
      <c r="I1042" s="384"/>
      <c r="J1042" s="384"/>
      <c r="K1042" s="657"/>
      <c r="L1042" s="658"/>
      <c r="M1042" s="384"/>
      <c r="N1042" s="384"/>
      <c r="O1042" s="384"/>
      <c r="P1042" s="384"/>
      <c r="Q1042" s="384"/>
      <c r="R1042" s="384"/>
      <c r="S1042" s="660"/>
      <c r="T1042" s="396"/>
      <c r="U1042" s="384"/>
      <c r="V1042" s="384"/>
      <c r="W1042" s="384"/>
      <c r="X1042" s="384"/>
      <c r="Y1042" s="442"/>
      <c r="Z1042" s="442"/>
      <c r="AA1042" s="441"/>
      <c r="AB1042" s="441"/>
      <c r="AC1042" s="441"/>
      <c r="AD1042" s="441"/>
      <c r="AE1042" s="441"/>
      <c r="AF1042" s="441"/>
      <c r="AG1042" s="441"/>
      <c r="AH1042" s="441"/>
      <c r="AI1042" s="441"/>
      <c r="AJ1042" s="441"/>
      <c r="AK1042" s="395"/>
      <c r="AL1042" s="395"/>
      <c r="AM1042" s="395"/>
      <c r="AN1042" s="395"/>
      <c r="AO1042" s="395"/>
      <c r="AP1042" s="410"/>
      <c r="AQ1042" s="410"/>
    </row>
    <row r="1043" spans="2:43" ht="15" customHeight="1">
      <c r="B1043" s="394"/>
      <c r="C1043" s="395"/>
      <c r="D1043" s="417"/>
      <c r="E1043" s="662"/>
      <c r="F1043" s="417"/>
      <c r="G1043" s="384"/>
      <c r="H1043" s="768"/>
      <c r="I1043" s="384"/>
      <c r="J1043" s="384"/>
      <c r="K1043" s="657"/>
      <c r="L1043" s="658"/>
      <c r="M1043" s="384"/>
      <c r="N1043" s="384"/>
      <c r="O1043" s="384"/>
      <c r="P1043" s="384"/>
      <c r="Q1043" s="384"/>
      <c r="R1043" s="384"/>
      <c r="S1043" s="660"/>
      <c r="T1043" s="396"/>
      <c r="U1043" s="384"/>
      <c r="V1043" s="384"/>
      <c r="W1043" s="384"/>
      <c r="X1043" s="384"/>
      <c r="Y1043" s="442"/>
      <c r="Z1043" s="442"/>
      <c r="AA1043" s="441"/>
      <c r="AB1043" s="441"/>
      <c r="AC1043" s="441"/>
      <c r="AD1043" s="441"/>
      <c r="AE1043" s="441"/>
      <c r="AF1043" s="441"/>
      <c r="AG1043" s="441"/>
      <c r="AH1043" s="441"/>
      <c r="AI1043" s="441"/>
      <c r="AJ1043" s="441"/>
      <c r="AK1043" s="395"/>
      <c r="AL1043" s="395"/>
      <c r="AM1043" s="395"/>
      <c r="AN1043" s="395"/>
      <c r="AO1043" s="395"/>
      <c r="AP1043" s="410"/>
      <c r="AQ1043" s="410"/>
    </row>
    <row r="1044" spans="2:43" ht="15" customHeight="1">
      <c r="B1044" s="394"/>
      <c r="C1044" s="395"/>
      <c r="D1044" s="417"/>
      <c r="E1044" s="662"/>
      <c r="F1044" s="417"/>
      <c r="G1044" s="384"/>
      <c r="H1044" s="768"/>
      <c r="I1044" s="384"/>
      <c r="J1044" s="384"/>
      <c r="K1044" s="657"/>
      <c r="L1044" s="658"/>
      <c r="M1044" s="384"/>
      <c r="N1044" s="384"/>
      <c r="O1044" s="384"/>
      <c r="P1044" s="384"/>
      <c r="Q1044" s="384"/>
      <c r="R1044" s="384"/>
      <c r="S1044" s="660"/>
      <c r="T1044" s="396"/>
      <c r="U1044" s="384"/>
      <c r="V1044" s="384"/>
      <c r="W1044" s="384"/>
      <c r="X1044" s="384"/>
      <c r="Y1044" s="442"/>
      <c r="Z1044" s="442"/>
      <c r="AA1044" s="441"/>
      <c r="AB1044" s="441"/>
      <c r="AC1044" s="441"/>
      <c r="AD1044" s="441"/>
      <c r="AE1044" s="441"/>
      <c r="AF1044" s="441"/>
      <c r="AG1044" s="441"/>
      <c r="AH1044" s="441"/>
      <c r="AI1044" s="441"/>
      <c r="AJ1044" s="441"/>
      <c r="AK1044" s="395"/>
      <c r="AL1044" s="395"/>
      <c r="AM1044" s="395"/>
      <c r="AN1044" s="395"/>
      <c r="AO1044" s="395"/>
      <c r="AP1044" s="410"/>
      <c r="AQ1044" s="410"/>
    </row>
    <row r="1045" spans="2:43" ht="15" customHeight="1">
      <c r="B1045" s="394"/>
      <c r="C1045" s="395"/>
      <c r="D1045" s="417"/>
      <c r="E1045" s="662"/>
      <c r="F1045" s="417"/>
      <c r="G1045" s="384"/>
      <c r="H1045" s="768"/>
      <c r="I1045" s="384"/>
      <c r="J1045" s="384"/>
      <c r="K1045" s="657"/>
      <c r="L1045" s="658"/>
      <c r="M1045" s="384"/>
      <c r="N1045" s="384"/>
      <c r="O1045" s="384"/>
      <c r="P1045" s="384"/>
      <c r="Q1045" s="384"/>
      <c r="R1045" s="384"/>
      <c r="S1045" s="660"/>
      <c r="T1045" s="396"/>
      <c r="U1045" s="384"/>
      <c r="V1045" s="384"/>
      <c r="W1045" s="384"/>
      <c r="X1045" s="384"/>
      <c r="Y1045" s="442"/>
      <c r="Z1045" s="442"/>
      <c r="AA1045" s="441"/>
      <c r="AB1045" s="441"/>
      <c r="AC1045" s="441"/>
      <c r="AD1045" s="441"/>
      <c r="AE1045" s="441"/>
      <c r="AF1045" s="441"/>
      <c r="AG1045" s="441"/>
      <c r="AH1045" s="441"/>
      <c r="AI1045" s="441"/>
      <c r="AJ1045" s="441"/>
      <c r="AK1045" s="395"/>
      <c r="AL1045" s="395"/>
      <c r="AM1045" s="395"/>
      <c r="AN1045" s="395"/>
      <c r="AO1045" s="395"/>
      <c r="AP1045" s="410"/>
      <c r="AQ1045" s="410"/>
    </row>
    <row r="1046" spans="2:43" ht="15" customHeight="1">
      <c r="B1046" s="394"/>
      <c r="C1046" s="395"/>
      <c r="D1046" s="417"/>
      <c r="E1046" s="662"/>
      <c r="F1046" s="417"/>
      <c r="G1046" s="384"/>
      <c r="H1046" s="768"/>
      <c r="I1046" s="384"/>
      <c r="J1046" s="384"/>
      <c r="K1046" s="657"/>
      <c r="L1046" s="658"/>
      <c r="M1046" s="384"/>
      <c r="N1046" s="384"/>
      <c r="O1046" s="384"/>
      <c r="P1046" s="384"/>
      <c r="Q1046" s="384"/>
      <c r="R1046" s="384"/>
      <c r="S1046" s="660"/>
      <c r="T1046" s="396"/>
      <c r="U1046" s="384"/>
      <c r="V1046" s="384"/>
      <c r="W1046" s="384"/>
      <c r="X1046" s="384"/>
      <c r="Y1046" s="442"/>
      <c r="Z1046" s="442"/>
      <c r="AA1046" s="441"/>
      <c r="AB1046" s="441"/>
      <c r="AC1046" s="441"/>
      <c r="AD1046" s="441"/>
      <c r="AE1046" s="441"/>
      <c r="AF1046" s="441"/>
      <c r="AG1046" s="441"/>
      <c r="AH1046" s="441"/>
      <c r="AI1046" s="441"/>
      <c r="AJ1046" s="441"/>
      <c r="AK1046" s="395"/>
      <c r="AL1046" s="395"/>
      <c r="AM1046" s="395"/>
      <c r="AN1046" s="395"/>
      <c r="AO1046" s="395"/>
      <c r="AP1046" s="410"/>
      <c r="AQ1046" s="410"/>
    </row>
    <row r="1047" spans="2:43" ht="15" customHeight="1">
      <c r="B1047" s="394"/>
      <c r="C1047" s="395"/>
      <c r="D1047" s="417"/>
      <c r="E1047" s="662"/>
      <c r="F1047" s="417"/>
      <c r="G1047" s="384"/>
      <c r="H1047" s="768"/>
      <c r="I1047" s="384"/>
      <c r="J1047" s="384"/>
      <c r="K1047" s="657"/>
      <c r="L1047" s="658"/>
      <c r="M1047" s="384"/>
      <c r="N1047" s="384"/>
      <c r="O1047" s="384"/>
      <c r="P1047" s="384"/>
      <c r="Q1047" s="384"/>
      <c r="R1047" s="384"/>
      <c r="S1047" s="660"/>
      <c r="T1047" s="396"/>
      <c r="U1047" s="384"/>
      <c r="V1047" s="384"/>
      <c r="W1047" s="384"/>
      <c r="X1047" s="384"/>
      <c r="Y1047" s="442"/>
      <c r="Z1047" s="442"/>
      <c r="AA1047" s="441"/>
      <c r="AB1047" s="441"/>
      <c r="AC1047" s="441"/>
      <c r="AD1047" s="441"/>
      <c r="AE1047" s="441"/>
      <c r="AF1047" s="441"/>
      <c r="AG1047" s="441"/>
      <c r="AH1047" s="441"/>
      <c r="AI1047" s="441"/>
      <c r="AJ1047" s="441"/>
      <c r="AK1047" s="395"/>
      <c r="AL1047" s="395"/>
      <c r="AM1047" s="395"/>
      <c r="AN1047" s="395"/>
      <c r="AO1047" s="395"/>
      <c r="AP1047" s="410"/>
      <c r="AQ1047" s="410"/>
    </row>
    <row r="1048" spans="2:43" ht="15" customHeight="1">
      <c r="B1048" s="394"/>
      <c r="C1048" s="395"/>
      <c r="D1048" s="417"/>
      <c r="E1048" s="662"/>
      <c r="F1048" s="417"/>
      <c r="G1048" s="384"/>
      <c r="H1048" s="768"/>
      <c r="I1048" s="384"/>
      <c r="J1048" s="384"/>
      <c r="K1048" s="657"/>
      <c r="L1048" s="658"/>
      <c r="M1048" s="384"/>
      <c r="N1048" s="384"/>
      <c r="O1048" s="384"/>
      <c r="P1048" s="384"/>
      <c r="Q1048" s="384"/>
      <c r="R1048" s="384"/>
      <c r="S1048" s="660"/>
      <c r="T1048" s="396"/>
      <c r="U1048" s="384"/>
      <c r="V1048" s="384"/>
      <c r="W1048" s="384"/>
      <c r="X1048" s="384"/>
      <c r="Y1048" s="442"/>
      <c r="Z1048" s="442"/>
      <c r="AA1048" s="441"/>
      <c r="AB1048" s="441"/>
      <c r="AC1048" s="441"/>
      <c r="AD1048" s="441"/>
      <c r="AE1048" s="441"/>
      <c r="AF1048" s="441"/>
      <c r="AG1048" s="441"/>
      <c r="AH1048" s="441"/>
      <c r="AI1048" s="441"/>
      <c r="AJ1048" s="441"/>
      <c r="AK1048" s="395"/>
      <c r="AL1048" s="395"/>
      <c r="AM1048" s="395"/>
      <c r="AN1048" s="395"/>
      <c r="AO1048" s="395"/>
      <c r="AP1048" s="410"/>
      <c r="AQ1048" s="410"/>
    </row>
    <row r="1049" spans="2:43" ht="15" customHeight="1">
      <c r="B1049" s="394"/>
      <c r="C1049" s="395"/>
      <c r="D1049" s="417"/>
      <c r="E1049" s="662"/>
      <c r="F1049" s="417"/>
      <c r="G1049" s="384"/>
      <c r="H1049" s="768"/>
      <c r="I1049" s="384"/>
      <c r="J1049" s="384"/>
      <c r="K1049" s="657"/>
      <c r="L1049" s="658"/>
      <c r="M1049" s="384"/>
      <c r="N1049" s="384"/>
      <c r="O1049" s="384"/>
      <c r="P1049" s="384"/>
      <c r="Q1049" s="384"/>
      <c r="R1049" s="384"/>
      <c r="S1049" s="660"/>
      <c r="T1049" s="396"/>
      <c r="U1049" s="384"/>
      <c r="V1049" s="384"/>
      <c r="W1049" s="384"/>
      <c r="X1049" s="384"/>
      <c r="Y1049" s="442"/>
      <c r="Z1049" s="442"/>
      <c r="AA1049" s="441"/>
      <c r="AB1049" s="441"/>
      <c r="AC1049" s="441"/>
      <c r="AD1049" s="441"/>
      <c r="AE1049" s="441"/>
      <c r="AF1049" s="441"/>
      <c r="AG1049" s="441"/>
      <c r="AH1049" s="441"/>
      <c r="AI1049" s="441"/>
      <c r="AJ1049" s="441"/>
      <c r="AK1049" s="395"/>
      <c r="AL1049" s="395"/>
      <c r="AM1049" s="395"/>
      <c r="AN1049" s="395"/>
      <c r="AO1049" s="395"/>
      <c r="AP1049" s="410"/>
      <c r="AQ1049" s="410"/>
    </row>
    <row r="1050" spans="2:43" ht="15" customHeight="1">
      <c r="B1050" s="394"/>
      <c r="C1050" s="395"/>
      <c r="D1050" s="417"/>
      <c r="E1050" s="662"/>
      <c r="F1050" s="417"/>
      <c r="G1050" s="384"/>
      <c r="H1050" s="768"/>
      <c r="I1050" s="384"/>
      <c r="J1050" s="384"/>
      <c r="K1050" s="657"/>
      <c r="L1050" s="658"/>
      <c r="M1050" s="384"/>
      <c r="N1050" s="384"/>
      <c r="O1050" s="384"/>
      <c r="P1050" s="384"/>
      <c r="Q1050" s="384"/>
      <c r="R1050" s="384"/>
      <c r="S1050" s="660"/>
      <c r="T1050" s="396"/>
      <c r="U1050" s="384"/>
      <c r="V1050" s="384"/>
      <c r="W1050" s="384"/>
      <c r="X1050" s="384"/>
      <c r="Y1050" s="442"/>
      <c r="Z1050" s="442"/>
      <c r="AA1050" s="441"/>
      <c r="AB1050" s="441"/>
      <c r="AC1050" s="441"/>
      <c r="AD1050" s="441"/>
      <c r="AE1050" s="441"/>
      <c r="AF1050" s="441"/>
      <c r="AG1050" s="441"/>
      <c r="AH1050" s="441"/>
      <c r="AI1050" s="441"/>
      <c r="AJ1050" s="441"/>
      <c r="AK1050" s="395"/>
      <c r="AL1050" s="395"/>
      <c r="AM1050" s="395"/>
      <c r="AN1050" s="395"/>
      <c r="AO1050" s="395"/>
      <c r="AP1050" s="410"/>
      <c r="AQ1050" s="410"/>
    </row>
    <row r="1051" spans="2:43" ht="15" customHeight="1">
      <c r="B1051" s="394"/>
      <c r="C1051" s="395"/>
      <c r="D1051" s="417"/>
      <c r="E1051" s="662"/>
      <c r="F1051" s="417"/>
      <c r="G1051" s="384"/>
      <c r="H1051" s="768"/>
      <c r="I1051" s="384"/>
      <c r="J1051" s="384"/>
      <c r="K1051" s="657"/>
      <c r="L1051" s="658"/>
      <c r="M1051" s="384"/>
      <c r="N1051" s="384"/>
      <c r="O1051" s="384"/>
      <c r="P1051" s="384"/>
      <c r="Q1051" s="384"/>
      <c r="R1051" s="384"/>
      <c r="S1051" s="660"/>
      <c r="T1051" s="396"/>
      <c r="U1051" s="384"/>
      <c r="V1051" s="384"/>
      <c r="W1051" s="384"/>
      <c r="X1051" s="384"/>
      <c r="Y1051" s="442"/>
      <c r="Z1051" s="442"/>
      <c r="AA1051" s="441"/>
      <c r="AB1051" s="441"/>
      <c r="AC1051" s="441"/>
      <c r="AD1051" s="441"/>
      <c r="AE1051" s="441"/>
      <c r="AF1051" s="441"/>
      <c r="AG1051" s="441"/>
      <c r="AH1051" s="441"/>
      <c r="AI1051" s="441"/>
      <c r="AJ1051" s="441"/>
      <c r="AK1051" s="395"/>
      <c r="AL1051" s="395"/>
      <c r="AM1051" s="395"/>
      <c r="AN1051" s="395"/>
      <c r="AO1051" s="395"/>
      <c r="AP1051" s="410"/>
      <c r="AQ1051" s="410"/>
    </row>
    <row r="1052" spans="2:43" ht="15" customHeight="1">
      <c r="B1052" s="394"/>
      <c r="C1052" s="395"/>
      <c r="D1052" s="417"/>
      <c r="E1052" s="662"/>
      <c r="F1052" s="417"/>
      <c r="G1052" s="384"/>
      <c r="H1052" s="768"/>
      <c r="I1052" s="384"/>
      <c r="J1052" s="384"/>
      <c r="K1052" s="657"/>
      <c r="L1052" s="658"/>
      <c r="M1052" s="384"/>
      <c r="N1052" s="384"/>
      <c r="O1052" s="384"/>
      <c r="P1052" s="384"/>
      <c r="Q1052" s="384"/>
      <c r="R1052" s="384"/>
      <c r="S1052" s="660"/>
      <c r="T1052" s="396"/>
      <c r="U1052" s="384"/>
      <c r="V1052" s="384"/>
      <c r="W1052" s="384"/>
      <c r="X1052" s="384"/>
      <c r="Y1052" s="442"/>
      <c r="Z1052" s="442"/>
      <c r="AA1052" s="441"/>
      <c r="AB1052" s="441"/>
      <c r="AC1052" s="441"/>
      <c r="AD1052" s="441"/>
      <c r="AE1052" s="441"/>
      <c r="AF1052" s="441"/>
      <c r="AG1052" s="441"/>
      <c r="AH1052" s="441"/>
      <c r="AI1052" s="441"/>
      <c r="AJ1052" s="441"/>
      <c r="AK1052" s="395"/>
      <c r="AL1052" s="395"/>
      <c r="AM1052" s="395"/>
      <c r="AN1052" s="395"/>
      <c r="AO1052" s="395"/>
      <c r="AP1052" s="410"/>
      <c r="AQ1052" s="410"/>
    </row>
    <row r="1053" spans="2:43" ht="15" customHeight="1">
      <c r="B1053" s="394"/>
      <c r="C1053" s="395"/>
      <c r="D1053" s="417"/>
      <c r="E1053" s="662"/>
      <c r="F1053" s="417"/>
      <c r="G1053" s="384"/>
      <c r="H1053" s="768"/>
      <c r="I1053" s="384"/>
      <c r="J1053" s="384"/>
      <c r="K1053" s="657"/>
      <c r="L1053" s="658"/>
      <c r="M1053" s="384"/>
      <c r="N1053" s="384"/>
      <c r="O1053" s="384"/>
      <c r="P1053" s="384"/>
      <c r="Q1053" s="384"/>
      <c r="R1053" s="384"/>
      <c r="S1053" s="660"/>
      <c r="T1053" s="396"/>
      <c r="U1053" s="384"/>
      <c r="V1053" s="384"/>
      <c r="W1053" s="384"/>
      <c r="X1053" s="384"/>
      <c r="Y1053" s="442"/>
      <c r="Z1053" s="442"/>
      <c r="AA1053" s="441"/>
      <c r="AB1053" s="441"/>
      <c r="AC1053" s="441"/>
      <c r="AD1053" s="441"/>
      <c r="AE1053" s="441"/>
      <c r="AF1053" s="441"/>
      <c r="AG1053" s="441"/>
      <c r="AH1053" s="441"/>
      <c r="AI1053" s="441"/>
      <c r="AJ1053" s="441"/>
      <c r="AK1053" s="395"/>
      <c r="AL1053" s="395"/>
      <c r="AM1053" s="395"/>
      <c r="AN1053" s="395"/>
      <c r="AO1053" s="395"/>
      <c r="AP1053" s="410"/>
      <c r="AQ1053" s="410"/>
    </row>
    <row r="1054" spans="2:43" ht="15" customHeight="1">
      <c r="B1054" s="394"/>
      <c r="C1054" s="395"/>
      <c r="D1054" s="417"/>
      <c r="E1054" s="662"/>
      <c r="F1054" s="417"/>
      <c r="G1054" s="384"/>
      <c r="H1054" s="768"/>
      <c r="I1054" s="384"/>
      <c r="J1054" s="384"/>
      <c r="K1054" s="657"/>
      <c r="L1054" s="658"/>
      <c r="M1054" s="384"/>
      <c r="N1054" s="384"/>
      <c r="O1054" s="384"/>
      <c r="P1054" s="384"/>
      <c r="Q1054" s="384"/>
      <c r="R1054" s="384"/>
      <c r="S1054" s="660"/>
      <c r="T1054" s="396"/>
      <c r="U1054" s="384"/>
      <c r="V1054" s="384"/>
      <c r="W1054" s="384"/>
      <c r="X1054" s="384"/>
      <c r="Y1054" s="442"/>
      <c r="Z1054" s="442"/>
      <c r="AA1054" s="441"/>
      <c r="AB1054" s="441"/>
      <c r="AC1054" s="441"/>
      <c r="AD1054" s="441"/>
      <c r="AE1054" s="441"/>
      <c r="AF1054" s="441"/>
      <c r="AG1054" s="441"/>
      <c r="AH1054" s="441"/>
      <c r="AI1054" s="441"/>
      <c r="AJ1054" s="441"/>
      <c r="AK1054" s="395"/>
      <c r="AL1054" s="395"/>
      <c r="AM1054" s="395"/>
      <c r="AN1054" s="395"/>
      <c r="AO1054" s="395"/>
      <c r="AP1054" s="410"/>
      <c r="AQ1054" s="410"/>
    </row>
    <row r="1055" spans="2:43" ht="15" customHeight="1">
      <c r="B1055" s="394"/>
      <c r="C1055" s="395"/>
      <c r="D1055" s="417"/>
      <c r="E1055" s="662"/>
      <c r="F1055" s="417"/>
      <c r="G1055" s="384"/>
      <c r="H1055" s="768"/>
      <c r="I1055" s="384"/>
      <c r="J1055" s="384"/>
      <c r="K1055" s="657"/>
      <c r="L1055" s="658"/>
      <c r="M1055" s="384"/>
      <c r="N1055" s="384"/>
      <c r="O1055" s="384"/>
      <c r="P1055" s="384"/>
      <c r="Q1055" s="384"/>
      <c r="R1055" s="384"/>
      <c r="S1055" s="660"/>
      <c r="T1055" s="396"/>
      <c r="U1055" s="384"/>
      <c r="V1055" s="384"/>
      <c r="W1055" s="384"/>
      <c r="X1055" s="384"/>
      <c r="Y1055" s="442"/>
      <c r="Z1055" s="442"/>
      <c r="AA1055" s="441"/>
      <c r="AB1055" s="441"/>
      <c r="AC1055" s="441"/>
      <c r="AD1055" s="441"/>
      <c r="AE1055" s="441"/>
      <c r="AF1055" s="441"/>
      <c r="AG1055" s="441"/>
      <c r="AH1055" s="441"/>
      <c r="AI1055" s="441"/>
      <c r="AJ1055" s="441"/>
      <c r="AK1055" s="395"/>
      <c r="AL1055" s="395"/>
      <c r="AM1055" s="395"/>
      <c r="AN1055" s="395"/>
      <c r="AO1055" s="395"/>
      <c r="AP1055" s="410"/>
      <c r="AQ1055" s="410"/>
    </row>
    <row r="1056" spans="2:43" ht="15" customHeight="1">
      <c r="B1056" s="394"/>
      <c r="C1056" s="395"/>
      <c r="D1056" s="417"/>
      <c r="E1056" s="662"/>
      <c r="F1056" s="417"/>
      <c r="G1056" s="384"/>
      <c r="H1056" s="768"/>
      <c r="I1056" s="384"/>
      <c r="J1056" s="384"/>
      <c r="K1056" s="657"/>
      <c r="L1056" s="658"/>
      <c r="M1056" s="384"/>
      <c r="N1056" s="384"/>
      <c r="O1056" s="384"/>
      <c r="P1056" s="384"/>
      <c r="Q1056" s="384"/>
      <c r="R1056" s="384"/>
      <c r="S1056" s="660"/>
      <c r="T1056" s="396"/>
      <c r="U1056" s="384"/>
      <c r="V1056" s="384"/>
      <c r="W1056" s="384"/>
      <c r="X1056" s="384"/>
      <c r="Y1056" s="442"/>
      <c r="Z1056" s="442"/>
      <c r="AA1056" s="441"/>
      <c r="AB1056" s="441"/>
      <c r="AC1056" s="441"/>
      <c r="AD1056" s="441"/>
      <c r="AE1056" s="441"/>
      <c r="AF1056" s="441"/>
      <c r="AG1056" s="441"/>
      <c r="AH1056" s="441"/>
      <c r="AI1056" s="441"/>
      <c r="AJ1056" s="441"/>
      <c r="AK1056" s="395"/>
      <c r="AL1056" s="395"/>
      <c r="AM1056" s="395"/>
      <c r="AN1056" s="395"/>
      <c r="AO1056" s="395"/>
      <c r="AP1056" s="410"/>
      <c r="AQ1056" s="410"/>
    </row>
    <row r="1057" spans="2:43" ht="15" customHeight="1">
      <c r="B1057" s="394"/>
      <c r="C1057" s="395"/>
      <c r="D1057" s="417"/>
      <c r="E1057" s="662"/>
      <c r="F1057" s="417"/>
      <c r="G1057" s="384"/>
      <c r="H1057" s="768"/>
      <c r="I1057" s="384"/>
      <c r="J1057" s="384"/>
      <c r="K1057" s="657"/>
      <c r="L1057" s="658"/>
      <c r="M1057" s="384"/>
      <c r="N1057" s="384"/>
      <c r="O1057" s="384"/>
      <c r="P1057" s="384"/>
      <c r="Q1057" s="384"/>
      <c r="R1057" s="384"/>
      <c r="S1057" s="660"/>
      <c r="T1057" s="396"/>
      <c r="U1057" s="384"/>
      <c r="V1057" s="384"/>
      <c r="W1057" s="384"/>
      <c r="X1057" s="384"/>
      <c r="Y1057" s="442"/>
      <c r="Z1057" s="442"/>
      <c r="AA1057" s="441"/>
      <c r="AB1057" s="441"/>
      <c r="AC1057" s="441"/>
      <c r="AD1057" s="441"/>
      <c r="AE1057" s="441"/>
      <c r="AF1057" s="441"/>
      <c r="AG1057" s="441"/>
      <c r="AH1057" s="441"/>
      <c r="AI1057" s="441"/>
      <c r="AJ1057" s="441"/>
      <c r="AK1057" s="395"/>
      <c r="AL1057" s="395"/>
      <c r="AM1057" s="395"/>
      <c r="AN1057" s="395"/>
      <c r="AO1057" s="395"/>
      <c r="AP1057" s="410"/>
      <c r="AQ1057" s="410"/>
    </row>
    <row r="1058" spans="2:43" ht="15" customHeight="1">
      <c r="B1058" s="394"/>
      <c r="C1058" s="395"/>
      <c r="D1058" s="417"/>
      <c r="E1058" s="662"/>
      <c r="F1058" s="417"/>
      <c r="G1058" s="384"/>
      <c r="H1058" s="768"/>
      <c r="I1058" s="384"/>
      <c r="J1058" s="384"/>
      <c r="K1058" s="657"/>
      <c r="L1058" s="658"/>
      <c r="M1058" s="384"/>
      <c r="N1058" s="384"/>
      <c r="O1058" s="384"/>
      <c r="P1058" s="384"/>
      <c r="Q1058" s="384"/>
      <c r="R1058" s="384"/>
      <c r="S1058" s="660"/>
      <c r="T1058" s="396"/>
      <c r="U1058" s="384"/>
      <c r="V1058" s="384"/>
      <c r="W1058" s="384"/>
      <c r="X1058" s="384"/>
      <c r="Y1058" s="442"/>
      <c r="Z1058" s="442"/>
      <c r="AA1058" s="441"/>
      <c r="AB1058" s="441"/>
      <c r="AC1058" s="441"/>
      <c r="AD1058" s="441"/>
      <c r="AE1058" s="441"/>
      <c r="AF1058" s="441"/>
      <c r="AG1058" s="441"/>
      <c r="AH1058" s="441"/>
      <c r="AI1058" s="441"/>
      <c r="AJ1058" s="441"/>
      <c r="AK1058" s="395"/>
      <c r="AL1058" s="395"/>
      <c r="AM1058" s="395"/>
      <c r="AN1058" s="395"/>
      <c r="AO1058" s="395"/>
      <c r="AP1058" s="410"/>
      <c r="AQ1058" s="410"/>
    </row>
    <row r="1059" spans="2:43" ht="15" customHeight="1">
      <c r="B1059" s="394"/>
      <c r="C1059" s="395"/>
      <c r="D1059" s="417"/>
      <c r="E1059" s="662"/>
      <c r="F1059" s="417"/>
      <c r="G1059" s="384"/>
      <c r="H1059" s="768"/>
      <c r="I1059" s="384"/>
      <c r="J1059" s="384"/>
      <c r="K1059" s="657"/>
      <c r="L1059" s="658"/>
      <c r="M1059" s="384"/>
      <c r="N1059" s="384"/>
      <c r="O1059" s="384"/>
      <c r="P1059" s="384"/>
      <c r="Q1059" s="384"/>
      <c r="R1059" s="384"/>
      <c r="S1059" s="660"/>
      <c r="T1059" s="396"/>
      <c r="U1059" s="384"/>
      <c r="V1059" s="384"/>
      <c r="W1059" s="384"/>
      <c r="X1059" s="384"/>
      <c r="Y1059" s="442"/>
      <c r="Z1059" s="442"/>
      <c r="AA1059" s="441"/>
      <c r="AB1059" s="441"/>
      <c r="AC1059" s="441"/>
      <c r="AD1059" s="441"/>
      <c r="AE1059" s="441"/>
      <c r="AF1059" s="441"/>
      <c r="AG1059" s="441"/>
      <c r="AH1059" s="441"/>
      <c r="AI1059" s="441"/>
      <c r="AJ1059" s="441"/>
      <c r="AK1059" s="395"/>
      <c r="AL1059" s="395"/>
      <c r="AM1059" s="395"/>
      <c r="AN1059" s="395"/>
      <c r="AO1059" s="395"/>
      <c r="AP1059" s="410"/>
      <c r="AQ1059" s="410"/>
    </row>
    <row r="1060" spans="2:43" ht="15" customHeight="1">
      <c r="B1060" s="394"/>
      <c r="C1060" s="395"/>
      <c r="D1060" s="417"/>
      <c r="E1060" s="662"/>
      <c r="F1060" s="417"/>
      <c r="G1060" s="384"/>
      <c r="H1060" s="768"/>
      <c r="I1060" s="384"/>
      <c r="J1060" s="384"/>
      <c r="K1060" s="657"/>
      <c r="L1060" s="658"/>
      <c r="M1060" s="384"/>
      <c r="N1060" s="384"/>
      <c r="O1060" s="384"/>
      <c r="P1060" s="384"/>
      <c r="Q1060" s="384"/>
      <c r="R1060" s="384"/>
      <c r="S1060" s="660"/>
      <c r="T1060" s="396"/>
      <c r="U1060" s="384"/>
      <c r="V1060" s="384"/>
      <c r="W1060" s="384"/>
      <c r="X1060" s="384"/>
      <c r="Y1060" s="442"/>
      <c r="Z1060" s="442"/>
      <c r="AA1060" s="441"/>
      <c r="AB1060" s="441"/>
      <c r="AC1060" s="441"/>
      <c r="AD1060" s="441"/>
      <c r="AE1060" s="441"/>
      <c r="AF1060" s="441"/>
      <c r="AG1060" s="441"/>
      <c r="AH1060" s="441"/>
      <c r="AI1060" s="441"/>
      <c r="AJ1060" s="441"/>
      <c r="AK1060" s="395"/>
      <c r="AL1060" s="395"/>
      <c r="AM1060" s="395"/>
      <c r="AN1060" s="395"/>
      <c r="AO1060" s="395"/>
      <c r="AP1060" s="410"/>
      <c r="AQ1060" s="410"/>
    </row>
    <row r="1061" spans="2:43" ht="15" customHeight="1">
      <c r="B1061" s="394"/>
      <c r="C1061" s="395"/>
      <c r="D1061" s="417"/>
      <c r="E1061" s="662"/>
      <c r="F1061" s="417"/>
      <c r="G1061" s="384"/>
      <c r="H1061" s="768"/>
      <c r="I1061" s="384"/>
      <c r="J1061" s="384"/>
      <c r="K1061" s="657"/>
      <c r="L1061" s="658"/>
      <c r="M1061" s="384"/>
      <c r="N1061" s="384"/>
      <c r="O1061" s="384"/>
      <c r="P1061" s="384"/>
      <c r="Q1061" s="384"/>
      <c r="R1061" s="384"/>
      <c r="S1061" s="660"/>
      <c r="T1061" s="396"/>
      <c r="U1061" s="384"/>
      <c r="V1061" s="384"/>
      <c r="W1061" s="384"/>
      <c r="X1061" s="384"/>
      <c r="Y1061" s="442"/>
      <c r="Z1061" s="442"/>
      <c r="AA1061" s="441"/>
      <c r="AB1061" s="441"/>
      <c r="AC1061" s="441"/>
      <c r="AD1061" s="441"/>
      <c r="AE1061" s="441"/>
      <c r="AF1061" s="441"/>
      <c r="AG1061" s="441"/>
      <c r="AH1061" s="441"/>
      <c r="AI1061" s="441"/>
      <c r="AJ1061" s="441"/>
      <c r="AK1061" s="395"/>
      <c r="AL1061" s="395"/>
      <c r="AM1061" s="395"/>
      <c r="AN1061" s="395"/>
      <c r="AO1061" s="395"/>
      <c r="AP1061" s="410"/>
      <c r="AQ1061" s="410"/>
    </row>
    <row r="1062" spans="2:43" ht="15" customHeight="1">
      <c r="B1062" s="394"/>
      <c r="C1062" s="395"/>
      <c r="D1062" s="417"/>
      <c r="E1062" s="662"/>
      <c r="F1062" s="417"/>
      <c r="G1062" s="384"/>
      <c r="H1062" s="768"/>
      <c r="I1062" s="384"/>
      <c r="J1062" s="384"/>
      <c r="K1062" s="657"/>
      <c r="L1062" s="658"/>
      <c r="M1062" s="384"/>
      <c r="N1062" s="384"/>
      <c r="O1062" s="384"/>
      <c r="P1062" s="384"/>
      <c r="Q1062" s="384"/>
      <c r="R1062" s="384"/>
      <c r="S1062" s="660"/>
      <c r="T1062" s="396"/>
      <c r="U1062" s="384"/>
      <c r="V1062" s="384"/>
      <c r="W1062" s="384"/>
      <c r="X1062" s="384"/>
      <c r="Y1062" s="442"/>
      <c r="Z1062" s="442"/>
      <c r="AA1062" s="441"/>
      <c r="AB1062" s="441"/>
      <c r="AC1062" s="441"/>
      <c r="AD1062" s="441"/>
      <c r="AE1062" s="441"/>
      <c r="AF1062" s="441"/>
      <c r="AG1062" s="441"/>
      <c r="AH1062" s="441"/>
      <c r="AI1062" s="441"/>
      <c r="AJ1062" s="441"/>
      <c r="AK1062" s="395"/>
      <c r="AL1062" s="395"/>
      <c r="AM1062" s="395"/>
      <c r="AN1062" s="395"/>
      <c r="AO1062" s="395"/>
      <c r="AP1062" s="410"/>
      <c r="AQ1062" s="410"/>
    </row>
    <row r="1063" spans="2:43" ht="15" customHeight="1">
      <c r="B1063" s="394"/>
      <c r="C1063" s="395"/>
      <c r="D1063" s="417"/>
      <c r="E1063" s="662"/>
      <c r="F1063" s="417"/>
      <c r="G1063" s="384"/>
      <c r="H1063" s="768"/>
      <c r="I1063" s="384"/>
      <c r="J1063" s="384"/>
      <c r="K1063" s="657"/>
      <c r="L1063" s="658"/>
      <c r="M1063" s="384"/>
      <c r="N1063" s="384"/>
      <c r="O1063" s="384"/>
      <c r="P1063" s="384"/>
      <c r="Q1063" s="384"/>
      <c r="R1063" s="384"/>
      <c r="S1063" s="660"/>
      <c r="T1063" s="396"/>
      <c r="U1063" s="384"/>
      <c r="V1063" s="384"/>
      <c r="W1063" s="384"/>
      <c r="X1063" s="384"/>
      <c r="Y1063" s="442"/>
      <c r="Z1063" s="442"/>
      <c r="AA1063" s="441"/>
      <c r="AB1063" s="441"/>
      <c r="AC1063" s="441"/>
      <c r="AD1063" s="441"/>
      <c r="AE1063" s="441"/>
      <c r="AF1063" s="441"/>
      <c r="AG1063" s="441"/>
      <c r="AH1063" s="441"/>
      <c r="AI1063" s="441"/>
      <c r="AJ1063" s="441"/>
      <c r="AK1063" s="395"/>
      <c r="AL1063" s="395"/>
      <c r="AM1063" s="395"/>
      <c r="AN1063" s="395"/>
      <c r="AO1063" s="395"/>
      <c r="AP1063" s="410"/>
      <c r="AQ1063" s="410"/>
    </row>
    <row r="1064" spans="2:43" ht="15" customHeight="1">
      <c r="B1064" s="394"/>
      <c r="C1064" s="395"/>
      <c r="D1064" s="417"/>
      <c r="E1064" s="662"/>
      <c r="F1064" s="417"/>
      <c r="G1064" s="384"/>
      <c r="H1064" s="768"/>
      <c r="I1064" s="384"/>
      <c r="J1064" s="384"/>
      <c r="K1064" s="657"/>
      <c r="L1064" s="658"/>
      <c r="M1064" s="384"/>
      <c r="N1064" s="384"/>
      <c r="O1064" s="384"/>
      <c r="P1064" s="384"/>
      <c r="Q1064" s="384"/>
      <c r="R1064" s="384"/>
      <c r="S1064" s="660"/>
      <c r="T1064" s="396"/>
      <c r="U1064" s="384"/>
      <c r="V1064" s="384"/>
      <c r="W1064" s="384"/>
      <c r="X1064" s="384"/>
      <c r="Y1064" s="442"/>
      <c r="Z1064" s="442"/>
      <c r="AA1064" s="441"/>
      <c r="AB1064" s="441"/>
      <c r="AC1064" s="441"/>
      <c r="AD1064" s="441"/>
      <c r="AE1064" s="441"/>
      <c r="AF1064" s="441"/>
      <c r="AG1064" s="441"/>
      <c r="AH1064" s="441"/>
      <c r="AI1064" s="441"/>
      <c r="AJ1064" s="441"/>
      <c r="AK1064" s="395"/>
      <c r="AL1064" s="395"/>
      <c r="AM1064" s="395"/>
      <c r="AN1064" s="395"/>
      <c r="AO1064" s="395"/>
      <c r="AP1064" s="410"/>
      <c r="AQ1064" s="410"/>
    </row>
    <row r="1065" spans="2:43" ht="15" customHeight="1">
      <c r="B1065" s="394"/>
      <c r="C1065" s="395"/>
      <c r="D1065" s="417"/>
      <c r="E1065" s="662"/>
      <c r="F1065" s="417"/>
      <c r="G1065" s="384"/>
      <c r="H1065" s="768"/>
      <c r="I1065" s="384"/>
      <c r="J1065" s="384"/>
      <c r="K1065" s="657"/>
      <c r="L1065" s="658"/>
      <c r="M1065" s="384"/>
      <c r="N1065" s="384"/>
      <c r="O1065" s="384"/>
      <c r="P1065" s="384"/>
      <c r="Q1065" s="384"/>
      <c r="R1065" s="384"/>
      <c r="S1065" s="660"/>
      <c r="T1065" s="396"/>
      <c r="U1065" s="384"/>
      <c r="V1065" s="384"/>
      <c r="W1065" s="384"/>
      <c r="X1065" s="384"/>
      <c r="Y1065" s="442"/>
      <c r="Z1065" s="442"/>
      <c r="AA1065" s="441"/>
      <c r="AB1065" s="441"/>
      <c r="AC1065" s="441"/>
      <c r="AD1065" s="441"/>
      <c r="AE1065" s="441"/>
      <c r="AF1065" s="441"/>
      <c r="AG1065" s="441"/>
      <c r="AH1065" s="441"/>
      <c r="AI1065" s="441"/>
      <c r="AJ1065" s="441"/>
      <c r="AK1065" s="395"/>
      <c r="AL1065" s="395"/>
      <c r="AM1065" s="395"/>
      <c r="AN1065" s="395"/>
      <c r="AO1065" s="395"/>
      <c r="AP1065" s="410"/>
      <c r="AQ1065" s="410"/>
    </row>
    <row r="1066" spans="2:43" ht="15" customHeight="1">
      <c r="B1066" s="394"/>
      <c r="C1066" s="395"/>
      <c r="D1066" s="417"/>
      <c r="E1066" s="662"/>
      <c r="F1066" s="417"/>
      <c r="G1066" s="384"/>
      <c r="H1066" s="768"/>
      <c r="I1066" s="384"/>
      <c r="J1066" s="384"/>
      <c r="K1066" s="657"/>
      <c r="L1066" s="658"/>
      <c r="M1066" s="384"/>
      <c r="N1066" s="384"/>
      <c r="O1066" s="384"/>
      <c r="P1066" s="384"/>
      <c r="Q1066" s="384"/>
      <c r="R1066" s="384"/>
      <c r="S1066" s="660"/>
      <c r="T1066" s="396"/>
      <c r="U1066" s="384"/>
      <c r="V1066" s="384"/>
      <c r="W1066" s="384"/>
      <c r="X1066" s="384"/>
      <c r="Y1066" s="442"/>
      <c r="Z1066" s="442"/>
      <c r="AA1066" s="441"/>
      <c r="AB1066" s="441"/>
      <c r="AC1066" s="441"/>
      <c r="AD1066" s="441"/>
      <c r="AE1066" s="441"/>
      <c r="AF1066" s="441"/>
      <c r="AG1066" s="441"/>
      <c r="AH1066" s="441"/>
      <c r="AI1066" s="441"/>
      <c r="AJ1066" s="441"/>
      <c r="AK1066" s="395"/>
      <c r="AL1066" s="395"/>
      <c r="AM1066" s="395"/>
      <c r="AN1066" s="395"/>
      <c r="AO1066" s="395"/>
      <c r="AP1066" s="410"/>
      <c r="AQ1066" s="410"/>
    </row>
    <row r="1067" spans="2:43" ht="15" customHeight="1">
      <c r="B1067" s="394"/>
      <c r="C1067" s="395"/>
      <c r="D1067" s="417"/>
      <c r="E1067" s="662"/>
      <c r="F1067" s="417"/>
      <c r="G1067" s="384"/>
      <c r="H1067" s="768"/>
      <c r="I1067" s="384"/>
      <c r="J1067" s="384"/>
      <c r="K1067" s="657"/>
      <c r="L1067" s="658"/>
      <c r="M1067" s="384"/>
      <c r="N1067" s="384"/>
      <c r="O1067" s="384"/>
      <c r="P1067" s="384"/>
      <c r="Q1067" s="384"/>
      <c r="R1067" s="384"/>
      <c r="S1067" s="660"/>
      <c r="T1067" s="396"/>
      <c r="U1067" s="384"/>
      <c r="V1067" s="384"/>
      <c r="W1067" s="384"/>
      <c r="X1067" s="384"/>
      <c r="Y1067" s="442"/>
      <c r="Z1067" s="442"/>
      <c r="AA1067" s="441"/>
      <c r="AB1067" s="441"/>
      <c r="AC1067" s="441"/>
      <c r="AD1067" s="441"/>
      <c r="AE1067" s="441"/>
      <c r="AF1067" s="441"/>
      <c r="AG1067" s="441"/>
      <c r="AH1067" s="441"/>
      <c r="AI1067" s="441"/>
      <c r="AJ1067" s="441"/>
      <c r="AK1067" s="395"/>
      <c r="AL1067" s="395"/>
      <c r="AM1067" s="395"/>
      <c r="AN1067" s="395"/>
      <c r="AO1067" s="395"/>
      <c r="AP1067" s="410"/>
      <c r="AQ1067" s="410"/>
    </row>
    <row r="1068" spans="2:43" ht="15" customHeight="1">
      <c r="B1068" s="394"/>
      <c r="C1068" s="395"/>
      <c r="D1068" s="417"/>
      <c r="E1068" s="662"/>
      <c r="F1068" s="417"/>
      <c r="G1068" s="384"/>
      <c r="H1068" s="768"/>
      <c r="I1068" s="384"/>
      <c r="J1068" s="384"/>
      <c r="K1068" s="657"/>
      <c r="L1068" s="658"/>
      <c r="M1068" s="384"/>
      <c r="N1068" s="384"/>
      <c r="O1068" s="384"/>
      <c r="P1068" s="384"/>
      <c r="Q1068" s="384"/>
      <c r="R1068" s="384"/>
      <c r="S1068" s="660"/>
      <c r="T1068" s="396"/>
      <c r="U1068" s="384"/>
      <c r="V1068" s="384"/>
      <c r="W1068" s="384"/>
      <c r="X1068" s="384"/>
      <c r="Y1068" s="442"/>
      <c r="Z1068" s="442"/>
      <c r="AA1068" s="441"/>
      <c r="AB1068" s="441"/>
      <c r="AC1068" s="441"/>
      <c r="AD1068" s="441"/>
      <c r="AE1068" s="441"/>
      <c r="AF1068" s="441"/>
      <c r="AG1068" s="441"/>
      <c r="AH1068" s="441"/>
      <c r="AI1068" s="441"/>
      <c r="AJ1068" s="441"/>
      <c r="AK1068" s="395"/>
      <c r="AL1068" s="395"/>
      <c r="AM1068" s="395"/>
      <c r="AN1068" s="395"/>
      <c r="AO1068" s="395"/>
      <c r="AP1068" s="410"/>
      <c r="AQ1068" s="410"/>
    </row>
    <row r="1069" spans="2:43" ht="15" customHeight="1">
      <c r="B1069" s="394"/>
      <c r="C1069" s="395"/>
      <c r="D1069" s="417"/>
      <c r="E1069" s="662"/>
      <c r="F1069" s="417"/>
      <c r="G1069" s="384"/>
      <c r="H1069" s="768"/>
      <c r="I1069" s="384"/>
      <c r="J1069" s="384"/>
      <c r="K1069" s="657"/>
      <c r="L1069" s="658"/>
      <c r="M1069" s="384"/>
      <c r="N1069" s="384"/>
      <c r="O1069" s="384"/>
      <c r="P1069" s="384"/>
      <c r="Q1069" s="384"/>
      <c r="R1069" s="384"/>
      <c r="S1069" s="660"/>
      <c r="T1069" s="396"/>
      <c r="U1069" s="384"/>
      <c r="V1069" s="384"/>
      <c r="W1069" s="384"/>
      <c r="X1069" s="384"/>
      <c r="Y1069" s="442"/>
      <c r="Z1069" s="442"/>
      <c r="AA1069" s="441"/>
      <c r="AB1069" s="441"/>
      <c r="AC1069" s="441"/>
      <c r="AD1069" s="441"/>
      <c r="AE1069" s="441"/>
      <c r="AF1069" s="441"/>
      <c r="AG1069" s="441"/>
      <c r="AH1069" s="441"/>
      <c r="AI1069" s="441"/>
      <c r="AJ1069" s="441"/>
      <c r="AK1069" s="395"/>
      <c r="AL1069" s="395"/>
      <c r="AM1069" s="395"/>
      <c r="AN1069" s="395"/>
      <c r="AO1069" s="395"/>
      <c r="AP1069" s="410"/>
      <c r="AQ1069" s="410"/>
    </row>
    <row r="1070" spans="2:43" ht="15" customHeight="1">
      <c r="B1070" s="394"/>
      <c r="C1070" s="395"/>
      <c r="D1070" s="417"/>
      <c r="E1070" s="662"/>
      <c r="F1070" s="417"/>
      <c r="G1070" s="384"/>
      <c r="H1070" s="768"/>
      <c r="I1070" s="384"/>
      <c r="J1070" s="384"/>
      <c r="K1070" s="657"/>
      <c r="L1070" s="658"/>
      <c r="M1070" s="384"/>
      <c r="N1070" s="384"/>
      <c r="O1070" s="384"/>
      <c r="P1070" s="384"/>
      <c r="Q1070" s="384"/>
      <c r="R1070" s="384"/>
      <c r="S1070" s="660"/>
      <c r="T1070" s="396"/>
      <c r="U1070" s="384"/>
      <c r="V1070" s="384"/>
      <c r="W1070" s="384"/>
      <c r="X1070" s="384"/>
      <c r="Y1070" s="442"/>
      <c r="Z1070" s="442"/>
      <c r="AA1070" s="441"/>
      <c r="AB1070" s="441"/>
      <c r="AC1070" s="441"/>
      <c r="AD1070" s="441"/>
      <c r="AE1070" s="441"/>
      <c r="AF1070" s="441"/>
      <c r="AG1070" s="441"/>
      <c r="AH1070" s="441"/>
      <c r="AI1070" s="441"/>
      <c r="AJ1070" s="441"/>
      <c r="AK1070" s="395"/>
      <c r="AL1070" s="395"/>
      <c r="AM1070" s="395"/>
      <c r="AN1070" s="395"/>
      <c r="AO1070" s="395"/>
      <c r="AP1070" s="410"/>
      <c r="AQ1070" s="410"/>
    </row>
    <row r="1071" spans="2:43" ht="15" customHeight="1">
      <c r="B1071" s="394"/>
      <c r="C1071" s="395"/>
      <c r="D1071" s="417"/>
      <c r="E1071" s="662"/>
      <c r="F1071" s="417"/>
      <c r="G1071" s="384"/>
      <c r="H1071" s="768"/>
      <c r="I1071" s="384"/>
      <c r="J1071" s="384"/>
      <c r="K1071" s="657"/>
      <c r="L1071" s="658"/>
      <c r="M1071" s="384"/>
      <c r="N1071" s="384"/>
      <c r="O1071" s="384"/>
      <c r="P1071" s="384"/>
      <c r="Q1071" s="384"/>
      <c r="R1071" s="384"/>
      <c r="S1071" s="660"/>
      <c r="T1071" s="396"/>
      <c r="U1071" s="384"/>
      <c r="V1071" s="384"/>
      <c r="W1071" s="384"/>
      <c r="X1071" s="384"/>
      <c r="Y1071" s="442"/>
      <c r="Z1071" s="442"/>
      <c r="AA1071" s="441"/>
      <c r="AB1071" s="441"/>
      <c r="AC1071" s="441"/>
      <c r="AD1071" s="441"/>
      <c r="AE1071" s="441"/>
      <c r="AF1071" s="441"/>
      <c r="AG1071" s="441"/>
      <c r="AH1071" s="441"/>
      <c r="AI1071" s="441"/>
      <c r="AJ1071" s="441"/>
      <c r="AK1071" s="395"/>
      <c r="AL1071" s="395"/>
      <c r="AM1071" s="395"/>
      <c r="AN1071" s="395"/>
      <c r="AO1071" s="395"/>
      <c r="AP1071" s="410"/>
      <c r="AQ1071" s="410"/>
    </row>
    <row r="1072" spans="2:43" ht="15" customHeight="1">
      <c r="B1072" s="394"/>
      <c r="C1072" s="395"/>
      <c r="D1072" s="417"/>
      <c r="E1072" s="662"/>
      <c r="F1072" s="417"/>
      <c r="G1072" s="384"/>
      <c r="H1072" s="768"/>
      <c r="I1072" s="384"/>
      <c r="J1072" s="384"/>
      <c r="K1072" s="657"/>
      <c r="L1072" s="658"/>
      <c r="M1072" s="384"/>
      <c r="N1072" s="384"/>
      <c r="O1072" s="384"/>
      <c r="P1072" s="384"/>
      <c r="Q1072" s="384"/>
      <c r="R1072" s="384"/>
      <c r="S1072" s="660"/>
      <c r="T1072" s="396"/>
      <c r="U1072" s="384"/>
      <c r="V1072" s="384"/>
      <c r="W1072" s="384"/>
      <c r="X1072" s="384"/>
      <c r="Y1072" s="442"/>
      <c r="Z1072" s="442"/>
      <c r="AA1072" s="441"/>
      <c r="AB1072" s="441"/>
      <c r="AC1072" s="441"/>
      <c r="AD1072" s="441"/>
      <c r="AE1072" s="441"/>
      <c r="AF1072" s="441"/>
      <c r="AG1072" s="441"/>
      <c r="AH1072" s="441"/>
      <c r="AI1072" s="441"/>
      <c r="AJ1072" s="441"/>
      <c r="AK1072" s="395"/>
      <c r="AL1072" s="395"/>
      <c r="AM1072" s="395"/>
      <c r="AN1072" s="395"/>
      <c r="AO1072" s="395"/>
      <c r="AP1072" s="410"/>
      <c r="AQ1072" s="410"/>
    </row>
    <row r="1073" spans="2:43" ht="15" customHeight="1">
      <c r="B1073" s="394"/>
      <c r="C1073" s="395"/>
      <c r="D1073" s="417"/>
      <c r="E1073" s="662"/>
      <c r="F1073" s="417"/>
      <c r="G1073" s="384"/>
      <c r="H1073" s="768"/>
      <c r="I1073" s="384"/>
      <c r="J1073" s="384"/>
      <c r="K1073" s="657"/>
      <c r="L1073" s="658"/>
      <c r="M1073" s="384"/>
      <c r="N1073" s="384"/>
      <c r="O1073" s="384"/>
      <c r="P1073" s="384"/>
      <c r="Q1073" s="384"/>
      <c r="R1073" s="384"/>
      <c r="S1073" s="660"/>
      <c r="T1073" s="396"/>
      <c r="U1073" s="384"/>
      <c r="V1073" s="384"/>
      <c r="W1073" s="384"/>
      <c r="X1073" s="384"/>
      <c r="Y1073" s="442"/>
      <c r="Z1073" s="442"/>
      <c r="AA1073" s="441"/>
      <c r="AB1073" s="441"/>
      <c r="AC1073" s="441"/>
      <c r="AD1073" s="441"/>
      <c r="AE1073" s="441"/>
      <c r="AF1073" s="441"/>
      <c r="AG1073" s="441"/>
      <c r="AH1073" s="441"/>
      <c r="AI1073" s="441"/>
      <c r="AJ1073" s="441"/>
      <c r="AK1073" s="395"/>
      <c r="AL1073" s="395"/>
      <c r="AM1073" s="395"/>
      <c r="AN1073" s="395"/>
      <c r="AO1073" s="395"/>
      <c r="AP1073" s="410"/>
      <c r="AQ1073" s="410"/>
    </row>
    <row r="1074" spans="2:43" ht="15" customHeight="1">
      <c r="B1074" s="394"/>
      <c r="C1074" s="395"/>
      <c r="D1074" s="417"/>
      <c r="E1074" s="662"/>
      <c r="F1074" s="417"/>
      <c r="G1074" s="384"/>
      <c r="H1074" s="768"/>
      <c r="I1074" s="384"/>
      <c r="J1074" s="384"/>
      <c r="K1074" s="657"/>
      <c r="L1074" s="658"/>
      <c r="M1074" s="384"/>
      <c r="N1074" s="384"/>
      <c r="O1074" s="384"/>
      <c r="P1074" s="384"/>
      <c r="Q1074" s="384"/>
      <c r="R1074" s="384"/>
      <c r="S1074" s="660"/>
      <c r="T1074" s="396"/>
      <c r="U1074" s="384"/>
      <c r="V1074" s="384"/>
      <c r="W1074" s="384"/>
      <c r="X1074" s="384"/>
      <c r="Y1074" s="442"/>
      <c r="Z1074" s="442"/>
      <c r="AA1074" s="441"/>
      <c r="AB1074" s="441"/>
      <c r="AC1074" s="441"/>
      <c r="AD1074" s="441"/>
      <c r="AE1074" s="441"/>
      <c r="AF1074" s="441"/>
      <c r="AG1074" s="441"/>
      <c r="AH1074" s="441"/>
      <c r="AI1074" s="441"/>
      <c r="AJ1074" s="441"/>
      <c r="AK1074" s="395"/>
      <c r="AL1074" s="395"/>
      <c r="AM1074" s="395"/>
      <c r="AN1074" s="395"/>
      <c r="AO1074" s="395"/>
      <c r="AP1074" s="410"/>
      <c r="AQ1074" s="410"/>
    </row>
    <row r="1075" spans="2:43" ht="15" customHeight="1">
      <c r="B1075" s="394"/>
      <c r="C1075" s="395"/>
      <c r="D1075" s="417"/>
      <c r="E1075" s="662"/>
      <c r="F1075" s="417"/>
      <c r="G1075" s="384"/>
      <c r="H1075" s="768"/>
      <c r="I1075" s="384"/>
      <c r="J1075" s="384"/>
      <c r="K1075" s="657"/>
      <c r="L1075" s="658"/>
      <c r="M1075" s="384"/>
      <c r="N1075" s="384"/>
      <c r="O1075" s="384"/>
      <c r="P1075" s="384"/>
      <c r="Q1075" s="384"/>
      <c r="R1075" s="384"/>
      <c r="S1075" s="660"/>
      <c r="T1075" s="396"/>
      <c r="U1075" s="384"/>
      <c r="V1075" s="384"/>
      <c r="W1075" s="384"/>
      <c r="X1075" s="384"/>
      <c r="Y1075" s="442"/>
      <c r="Z1075" s="442"/>
      <c r="AA1075" s="441"/>
      <c r="AB1075" s="441"/>
      <c r="AC1075" s="441"/>
      <c r="AD1075" s="441"/>
      <c r="AE1075" s="441"/>
      <c r="AF1075" s="441"/>
      <c r="AG1075" s="441"/>
      <c r="AH1075" s="441"/>
      <c r="AI1075" s="441"/>
      <c r="AJ1075" s="441"/>
      <c r="AK1075" s="395"/>
      <c r="AL1075" s="395"/>
      <c r="AM1075" s="395"/>
      <c r="AN1075" s="395"/>
      <c r="AO1075" s="395"/>
      <c r="AP1075" s="410"/>
      <c r="AQ1075" s="410"/>
    </row>
    <row r="1076" spans="2:43" ht="15" customHeight="1">
      <c r="B1076" s="394"/>
      <c r="C1076" s="395"/>
      <c r="D1076" s="417"/>
      <c r="E1076" s="662"/>
      <c r="F1076" s="417"/>
      <c r="G1076" s="384"/>
      <c r="H1076" s="768"/>
      <c r="I1076" s="384"/>
      <c r="J1076" s="384"/>
      <c r="K1076" s="657"/>
      <c r="L1076" s="658"/>
      <c r="M1076" s="384"/>
      <c r="N1076" s="384"/>
      <c r="O1076" s="384"/>
      <c r="P1076" s="384"/>
      <c r="Q1076" s="384"/>
      <c r="R1076" s="384"/>
      <c r="S1076" s="660"/>
      <c r="T1076" s="396"/>
      <c r="U1076" s="384"/>
      <c r="V1076" s="384"/>
      <c r="W1076" s="384"/>
      <c r="X1076" s="384"/>
      <c r="Y1076" s="442"/>
      <c r="Z1076" s="442"/>
      <c r="AA1076" s="441"/>
      <c r="AB1076" s="441"/>
      <c r="AC1076" s="441"/>
      <c r="AD1076" s="441"/>
      <c r="AE1076" s="441"/>
      <c r="AF1076" s="441"/>
      <c r="AG1076" s="441"/>
      <c r="AH1076" s="441"/>
      <c r="AI1076" s="441"/>
      <c r="AJ1076" s="441"/>
      <c r="AK1076" s="395"/>
      <c r="AL1076" s="395"/>
      <c r="AM1076" s="395"/>
      <c r="AN1076" s="395"/>
      <c r="AO1076" s="395"/>
      <c r="AP1076" s="410"/>
      <c r="AQ1076" s="410"/>
    </row>
    <row r="1077" spans="2:43" ht="15" customHeight="1">
      <c r="B1077" s="394"/>
      <c r="C1077" s="395"/>
      <c r="D1077" s="417"/>
      <c r="E1077" s="662"/>
      <c r="F1077" s="417"/>
      <c r="G1077" s="384"/>
      <c r="H1077" s="768"/>
      <c r="I1077" s="384"/>
      <c r="J1077" s="384"/>
      <c r="K1077" s="657"/>
      <c r="L1077" s="658"/>
      <c r="M1077" s="384"/>
      <c r="N1077" s="384"/>
      <c r="O1077" s="384"/>
      <c r="P1077" s="384"/>
      <c r="Q1077" s="384"/>
      <c r="R1077" s="384"/>
      <c r="S1077" s="660"/>
      <c r="T1077" s="396"/>
      <c r="U1077" s="384"/>
      <c r="V1077" s="384"/>
      <c r="W1077" s="384"/>
      <c r="X1077" s="384"/>
      <c r="Y1077" s="442"/>
      <c r="Z1077" s="442"/>
      <c r="AA1077" s="441"/>
      <c r="AB1077" s="441"/>
      <c r="AC1077" s="441"/>
      <c r="AD1077" s="441"/>
      <c r="AE1077" s="441"/>
      <c r="AF1077" s="441"/>
      <c r="AG1077" s="441"/>
      <c r="AH1077" s="441"/>
      <c r="AI1077" s="441"/>
      <c r="AJ1077" s="441"/>
      <c r="AK1077" s="395"/>
      <c r="AL1077" s="395"/>
      <c r="AM1077" s="395"/>
      <c r="AN1077" s="395"/>
      <c r="AO1077" s="395"/>
      <c r="AP1077" s="410"/>
      <c r="AQ1077" s="410"/>
    </row>
    <row r="1078" spans="2:43" ht="15" customHeight="1">
      <c r="B1078" s="394"/>
      <c r="C1078" s="395"/>
      <c r="D1078" s="417"/>
      <c r="E1078" s="662"/>
      <c r="F1078" s="417"/>
      <c r="G1078" s="384"/>
      <c r="H1078" s="768"/>
      <c r="I1078" s="384"/>
      <c r="J1078" s="384"/>
      <c r="K1078" s="657"/>
      <c r="L1078" s="658"/>
      <c r="M1078" s="384"/>
      <c r="N1078" s="384"/>
      <c r="O1078" s="384"/>
      <c r="P1078" s="384"/>
      <c r="Q1078" s="384"/>
      <c r="R1078" s="384"/>
      <c r="S1078" s="660"/>
      <c r="T1078" s="396"/>
      <c r="U1078" s="384"/>
      <c r="V1078" s="384"/>
      <c r="W1078" s="384"/>
      <c r="X1078" s="384"/>
      <c r="Y1078" s="442"/>
      <c r="Z1078" s="442"/>
      <c r="AA1078" s="441"/>
      <c r="AB1078" s="441"/>
      <c r="AC1078" s="441"/>
      <c r="AD1078" s="441"/>
      <c r="AE1078" s="441"/>
      <c r="AF1078" s="441"/>
      <c r="AG1078" s="441"/>
      <c r="AH1078" s="441"/>
      <c r="AI1078" s="441"/>
      <c r="AJ1078" s="441"/>
      <c r="AK1078" s="395"/>
      <c r="AL1078" s="395"/>
      <c r="AM1078" s="395"/>
      <c r="AN1078" s="395"/>
      <c r="AO1078" s="395"/>
      <c r="AP1078" s="410"/>
      <c r="AQ1078" s="410"/>
    </row>
    <row r="1079" spans="2:43" ht="15" customHeight="1">
      <c r="B1079" s="394"/>
      <c r="C1079" s="395"/>
      <c r="D1079" s="417"/>
      <c r="E1079" s="662"/>
      <c r="F1079" s="417"/>
      <c r="G1079" s="384"/>
      <c r="H1079" s="768"/>
      <c r="I1079" s="384"/>
      <c r="J1079" s="384"/>
      <c r="K1079" s="657"/>
      <c r="L1079" s="658"/>
      <c r="M1079" s="384"/>
      <c r="N1079" s="384"/>
      <c r="O1079" s="384"/>
      <c r="P1079" s="384"/>
      <c r="Q1079" s="384"/>
      <c r="R1079" s="384"/>
      <c r="S1079" s="660"/>
      <c r="T1079" s="396"/>
      <c r="U1079" s="384"/>
      <c r="V1079" s="384"/>
      <c r="W1079" s="384"/>
      <c r="X1079" s="384"/>
      <c r="Y1079" s="442"/>
      <c r="Z1079" s="442"/>
      <c r="AA1079" s="441"/>
      <c r="AB1079" s="441"/>
      <c r="AC1079" s="441"/>
      <c r="AD1079" s="441"/>
      <c r="AE1079" s="441"/>
      <c r="AF1079" s="441"/>
      <c r="AG1079" s="441"/>
      <c r="AH1079" s="441"/>
      <c r="AI1079" s="441"/>
      <c r="AJ1079" s="441"/>
      <c r="AK1079" s="395"/>
      <c r="AL1079" s="395"/>
      <c r="AM1079" s="395"/>
      <c r="AN1079" s="395"/>
      <c r="AO1079" s="395"/>
      <c r="AP1079" s="410"/>
      <c r="AQ1079" s="410"/>
    </row>
    <row r="1080" spans="2:43" ht="15" customHeight="1">
      <c r="B1080" s="394"/>
      <c r="C1080" s="395"/>
      <c r="D1080" s="417"/>
      <c r="E1080" s="662"/>
      <c r="F1080" s="417"/>
      <c r="G1080" s="384"/>
      <c r="H1080" s="768"/>
      <c r="I1080" s="384"/>
      <c r="J1080" s="384"/>
      <c r="K1080" s="657"/>
      <c r="L1080" s="658"/>
      <c r="M1080" s="384"/>
      <c r="N1080" s="384"/>
      <c r="O1080" s="384"/>
      <c r="P1080" s="384"/>
      <c r="Q1080" s="384"/>
      <c r="R1080" s="384"/>
      <c r="S1080" s="660"/>
      <c r="T1080" s="396"/>
      <c r="U1080" s="384"/>
      <c r="V1080" s="384"/>
      <c r="W1080" s="384"/>
      <c r="X1080" s="384"/>
      <c r="Y1080" s="442"/>
      <c r="Z1080" s="442"/>
      <c r="AA1080" s="441"/>
      <c r="AB1080" s="441"/>
      <c r="AC1080" s="441"/>
      <c r="AD1080" s="441"/>
      <c r="AE1080" s="441"/>
      <c r="AF1080" s="441"/>
      <c r="AG1080" s="441"/>
      <c r="AH1080" s="441"/>
      <c r="AI1080" s="441"/>
      <c r="AJ1080" s="441"/>
      <c r="AK1080" s="395"/>
      <c r="AL1080" s="395"/>
      <c r="AM1080" s="395"/>
      <c r="AN1080" s="395"/>
      <c r="AO1080" s="395"/>
      <c r="AP1080" s="410"/>
      <c r="AQ1080" s="410"/>
    </row>
    <row r="1081" spans="2:43" ht="15" customHeight="1">
      <c r="B1081" s="394"/>
      <c r="C1081" s="395"/>
      <c r="D1081" s="417"/>
      <c r="E1081" s="662"/>
      <c r="F1081" s="417"/>
      <c r="G1081" s="384"/>
      <c r="H1081" s="768"/>
      <c r="I1081" s="384"/>
      <c r="J1081" s="384"/>
      <c r="K1081" s="657"/>
      <c r="L1081" s="658"/>
      <c r="M1081" s="384"/>
      <c r="N1081" s="384"/>
      <c r="O1081" s="384"/>
      <c r="P1081" s="384"/>
      <c r="Q1081" s="384"/>
      <c r="R1081" s="384"/>
      <c r="S1081" s="660"/>
      <c r="T1081" s="396"/>
      <c r="U1081" s="384"/>
      <c r="V1081" s="384"/>
      <c r="W1081" s="384"/>
      <c r="X1081" s="384"/>
      <c r="Y1081" s="442"/>
      <c r="Z1081" s="442"/>
      <c r="AA1081" s="441"/>
      <c r="AB1081" s="441"/>
      <c r="AC1081" s="441"/>
      <c r="AD1081" s="441"/>
      <c r="AE1081" s="441"/>
      <c r="AF1081" s="441"/>
      <c r="AG1081" s="441"/>
      <c r="AH1081" s="441"/>
      <c r="AI1081" s="441"/>
      <c r="AJ1081" s="441"/>
      <c r="AK1081" s="395"/>
      <c r="AL1081" s="395"/>
      <c r="AM1081" s="395"/>
      <c r="AN1081" s="395"/>
      <c r="AO1081" s="395"/>
      <c r="AP1081" s="410"/>
      <c r="AQ1081" s="410"/>
    </row>
    <row r="1082" spans="2:43" ht="15" customHeight="1">
      <c r="B1082" s="394"/>
      <c r="C1082" s="395"/>
      <c r="D1082" s="417"/>
      <c r="E1082" s="662"/>
      <c r="F1082" s="417"/>
      <c r="G1082" s="384"/>
      <c r="H1082" s="768"/>
      <c r="I1082" s="384"/>
      <c r="J1082" s="384"/>
      <c r="K1082" s="657"/>
      <c r="L1082" s="658"/>
      <c r="M1082" s="384"/>
      <c r="N1082" s="384"/>
      <c r="O1082" s="384"/>
      <c r="P1082" s="384"/>
      <c r="Q1082" s="384"/>
      <c r="R1082" s="384"/>
      <c r="S1082" s="660"/>
      <c r="T1082" s="396"/>
      <c r="U1082" s="384"/>
      <c r="V1082" s="384"/>
      <c r="W1082" s="384"/>
      <c r="X1082" s="384"/>
      <c r="Y1082" s="442"/>
      <c r="Z1082" s="442"/>
      <c r="AA1082" s="441"/>
      <c r="AB1082" s="441"/>
      <c r="AC1082" s="441"/>
      <c r="AD1082" s="441"/>
      <c r="AE1082" s="441"/>
      <c r="AF1082" s="441"/>
      <c r="AG1082" s="441"/>
      <c r="AH1082" s="441"/>
      <c r="AI1082" s="441"/>
      <c r="AJ1082" s="441"/>
      <c r="AK1082" s="395"/>
      <c r="AL1082" s="395"/>
      <c r="AM1082" s="395"/>
      <c r="AN1082" s="395"/>
      <c r="AO1082" s="395"/>
      <c r="AP1082" s="410"/>
      <c r="AQ1082" s="410"/>
    </row>
    <row r="1083" spans="2:43" ht="15" customHeight="1">
      <c r="B1083" s="394"/>
      <c r="C1083" s="395"/>
      <c r="D1083" s="417"/>
      <c r="E1083" s="662"/>
      <c r="F1083" s="417"/>
      <c r="G1083" s="384"/>
      <c r="H1083" s="768"/>
      <c r="I1083" s="384"/>
      <c r="J1083" s="384"/>
      <c r="K1083" s="657"/>
      <c r="L1083" s="658"/>
      <c r="M1083" s="384"/>
      <c r="N1083" s="384"/>
      <c r="O1083" s="384"/>
      <c r="P1083" s="384"/>
      <c r="Q1083" s="384"/>
      <c r="R1083" s="384"/>
      <c r="S1083" s="660"/>
      <c r="T1083" s="396"/>
      <c r="U1083" s="384"/>
      <c r="V1083" s="384"/>
      <c r="W1083" s="384"/>
      <c r="X1083" s="384"/>
      <c r="Y1083" s="442"/>
      <c r="Z1083" s="442"/>
      <c r="AA1083" s="441"/>
      <c r="AB1083" s="441"/>
      <c r="AC1083" s="441"/>
      <c r="AD1083" s="441"/>
      <c r="AE1083" s="441"/>
      <c r="AF1083" s="441"/>
      <c r="AG1083" s="441"/>
      <c r="AH1083" s="441"/>
      <c r="AI1083" s="441"/>
      <c r="AJ1083" s="441"/>
      <c r="AK1083" s="395"/>
      <c r="AL1083" s="395"/>
      <c r="AM1083" s="395"/>
      <c r="AN1083" s="395"/>
      <c r="AO1083" s="395"/>
      <c r="AP1083" s="410"/>
      <c r="AQ1083" s="410"/>
    </row>
    <row r="1084" spans="2:43" ht="15" customHeight="1">
      <c r="B1084" s="394"/>
      <c r="C1084" s="395"/>
      <c r="D1084" s="417"/>
      <c r="E1084" s="662"/>
      <c r="F1084" s="417"/>
      <c r="G1084" s="384"/>
      <c r="H1084" s="768"/>
      <c r="I1084" s="384"/>
      <c r="J1084" s="384"/>
      <c r="K1084" s="657"/>
      <c r="L1084" s="658"/>
      <c r="M1084" s="384"/>
      <c r="N1084" s="384"/>
      <c r="O1084" s="384"/>
      <c r="P1084" s="384"/>
      <c r="Q1084" s="384"/>
      <c r="R1084" s="384"/>
      <c r="S1084" s="660"/>
      <c r="T1084" s="396"/>
      <c r="U1084" s="384"/>
      <c r="V1084" s="384"/>
      <c r="W1084" s="384"/>
      <c r="X1084" s="384"/>
      <c r="Y1084" s="442"/>
      <c r="Z1084" s="442"/>
      <c r="AA1084" s="441"/>
      <c r="AB1084" s="441"/>
      <c r="AC1084" s="441"/>
      <c r="AD1084" s="441"/>
      <c r="AE1084" s="441"/>
      <c r="AF1084" s="441"/>
      <c r="AG1084" s="441"/>
      <c r="AH1084" s="441"/>
      <c r="AI1084" s="441"/>
      <c r="AJ1084" s="441"/>
      <c r="AK1084" s="395"/>
      <c r="AL1084" s="395"/>
      <c r="AM1084" s="395"/>
      <c r="AN1084" s="395"/>
      <c r="AO1084" s="395"/>
      <c r="AP1084" s="410"/>
      <c r="AQ1084" s="410"/>
    </row>
    <row r="1085" spans="2:43" ht="15" customHeight="1">
      <c r="B1085" s="394"/>
      <c r="C1085" s="395"/>
      <c r="D1085" s="417"/>
      <c r="E1085" s="662"/>
      <c r="F1085" s="417"/>
      <c r="G1085" s="384"/>
      <c r="H1085" s="768"/>
      <c r="I1085" s="384"/>
      <c r="J1085" s="384"/>
      <c r="K1085" s="657"/>
      <c r="L1085" s="658"/>
      <c r="M1085" s="384"/>
      <c r="N1085" s="384"/>
      <c r="O1085" s="384"/>
      <c r="P1085" s="384"/>
      <c r="Q1085" s="384"/>
      <c r="R1085" s="384"/>
      <c r="S1085" s="660"/>
      <c r="T1085" s="396"/>
      <c r="U1085" s="384"/>
      <c r="V1085" s="384"/>
      <c r="W1085" s="384"/>
      <c r="X1085" s="384"/>
      <c r="Y1085" s="442"/>
      <c r="Z1085" s="442"/>
      <c r="AA1085" s="441"/>
      <c r="AB1085" s="441"/>
      <c r="AC1085" s="441"/>
      <c r="AD1085" s="441"/>
      <c r="AE1085" s="441"/>
      <c r="AF1085" s="441"/>
      <c r="AG1085" s="441"/>
      <c r="AH1085" s="441"/>
      <c r="AI1085" s="441"/>
      <c r="AJ1085" s="441"/>
      <c r="AK1085" s="395"/>
      <c r="AL1085" s="395"/>
      <c r="AM1085" s="395"/>
      <c r="AN1085" s="395"/>
      <c r="AO1085" s="395"/>
      <c r="AP1085" s="410"/>
      <c r="AQ1085" s="410"/>
    </row>
    <row r="1086" spans="2:43" ht="15" customHeight="1">
      <c r="B1086" s="394"/>
      <c r="C1086" s="395"/>
      <c r="D1086" s="417"/>
      <c r="E1086" s="662"/>
      <c r="F1086" s="417"/>
      <c r="G1086" s="384"/>
      <c r="H1086" s="768"/>
      <c r="I1086" s="384"/>
      <c r="J1086" s="384"/>
      <c r="K1086" s="657"/>
      <c r="L1086" s="658"/>
      <c r="M1086" s="384"/>
      <c r="N1086" s="384"/>
      <c r="O1086" s="384"/>
      <c r="P1086" s="384"/>
      <c r="Q1086" s="384"/>
      <c r="R1086" s="384"/>
      <c r="S1086" s="660"/>
      <c r="T1086" s="396"/>
      <c r="U1086" s="384"/>
      <c r="V1086" s="384"/>
      <c r="W1086" s="384"/>
      <c r="X1086" s="384"/>
      <c r="Y1086" s="442"/>
      <c r="Z1086" s="442"/>
      <c r="AA1086" s="441"/>
      <c r="AB1086" s="441"/>
      <c r="AC1086" s="441"/>
      <c r="AD1086" s="441"/>
      <c r="AE1086" s="441"/>
      <c r="AF1086" s="441"/>
      <c r="AG1086" s="441"/>
      <c r="AH1086" s="441"/>
      <c r="AI1086" s="441"/>
      <c r="AJ1086" s="441"/>
      <c r="AK1086" s="395"/>
      <c r="AL1086" s="395"/>
      <c r="AM1086" s="395"/>
      <c r="AN1086" s="395"/>
      <c r="AO1086" s="395"/>
      <c r="AP1086" s="410"/>
      <c r="AQ1086" s="410"/>
    </row>
    <row r="1087" spans="2:43" ht="15" customHeight="1">
      <c r="B1087" s="394"/>
      <c r="C1087" s="395"/>
      <c r="D1087" s="417"/>
      <c r="E1087" s="662"/>
      <c r="F1087" s="417"/>
      <c r="G1087" s="384"/>
      <c r="H1087" s="768"/>
      <c r="I1087" s="384"/>
      <c r="J1087" s="384"/>
      <c r="K1087" s="657"/>
      <c r="L1087" s="658"/>
      <c r="M1087" s="384"/>
      <c r="N1087" s="384"/>
      <c r="O1087" s="384"/>
      <c r="P1087" s="384"/>
      <c r="Q1087" s="384"/>
      <c r="R1087" s="384"/>
      <c r="S1087" s="660"/>
      <c r="T1087" s="396"/>
      <c r="U1087" s="384"/>
      <c r="V1087" s="384"/>
      <c r="W1087" s="384"/>
      <c r="X1087" s="384"/>
      <c r="Y1087" s="442"/>
      <c r="Z1087" s="442"/>
      <c r="AA1087" s="441"/>
      <c r="AB1087" s="441"/>
      <c r="AC1087" s="441"/>
      <c r="AD1087" s="441"/>
      <c r="AE1087" s="441"/>
      <c r="AF1087" s="441"/>
      <c r="AG1087" s="441"/>
      <c r="AH1087" s="441"/>
      <c r="AI1087" s="441"/>
      <c r="AJ1087" s="441"/>
      <c r="AK1087" s="395"/>
      <c r="AL1087" s="395"/>
      <c r="AM1087" s="395"/>
      <c r="AN1087" s="395"/>
      <c r="AO1087" s="395"/>
      <c r="AP1087" s="410"/>
      <c r="AQ1087" s="410"/>
    </row>
    <row r="1088" spans="2:43" ht="15" customHeight="1">
      <c r="B1088" s="394"/>
      <c r="C1088" s="395"/>
      <c r="D1088" s="417"/>
      <c r="E1088" s="662"/>
      <c r="F1088" s="417"/>
      <c r="G1088" s="384"/>
      <c r="H1088" s="768"/>
      <c r="I1088" s="384"/>
      <c r="J1088" s="384"/>
      <c r="K1088" s="657"/>
      <c r="L1088" s="658"/>
      <c r="M1088" s="384"/>
      <c r="N1088" s="384"/>
      <c r="O1088" s="384"/>
      <c r="P1088" s="384"/>
      <c r="Q1088" s="384"/>
      <c r="R1088" s="384"/>
      <c r="S1088" s="660"/>
      <c r="T1088" s="396"/>
      <c r="U1088" s="384"/>
      <c r="V1088" s="384"/>
      <c r="W1088" s="384"/>
      <c r="X1088" s="384"/>
      <c r="Y1088" s="442"/>
      <c r="Z1088" s="442"/>
      <c r="AA1088" s="441"/>
      <c r="AB1088" s="441"/>
      <c r="AC1088" s="441"/>
      <c r="AD1088" s="441"/>
      <c r="AE1088" s="441"/>
      <c r="AF1088" s="441"/>
      <c r="AG1088" s="441"/>
      <c r="AH1088" s="441"/>
      <c r="AI1088" s="441"/>
      <c r="AJ1088" s="441"/>
      <c r="AK1088" s="395"/>
      <c r="AL1088" s="395"/>
      <c r="AM1088" s="395"/>
      <c r="AN1088" s="395"/>
      <c r="AO1088" s="395"/>
      <c r="AP1088" s="410"/>
      <c r="AQ1088" s="410"/>
    </row>
    <row r="1089" spans="2:43" ht="15" customHeight="1">
      <c r="B1089" s="394"/>
      <c r="C1089" s="395"/>
      <c r="D1089" s="417"/>
      <c r="E1089" s="662"/>
      <c r="F1089" s="417"/>
      <c r="G1089" s="384"/>
      <c r="H1089" s="768"/>
      <c r="I1089" s="384"/>
      <c r="J1089" s="384"/>
      <c r="K1089" s="657"/>
      <c r="L1089" s="658"/>
      <c r="M1089" s="384"/>
      <c r="N1089" s="384"/>
      <c r="O1089" s="384"/>
      <c r="P1089" s="384"/>
      <c r="Q1089" s="384"/>
      <c r="R1089" s="384"/>
      <c r="S1089" s="660"/>
      <c r="T1089" s="396"/>
      <c r="U1089" s="384"/>
      <c r="V1089" s="384"/>
      <c r="W1089" s="384"/>
      <c r="X1089" s="384"/>
      <c r="Y1089" s="442"/>
      <c r="Z1089" s="442"/>
      <c r="AA1089" s="441"/>
      <c r="AB1089" s="441"/>
      <c r="AC1089" s="441"/>
      <c r="AD1089" s="441"/>
      <c r="AE1089" s="441"/>
      <c r="AF1089" s="441"/>
      <c r="AG1089" s="441"/>
      <c r="AH1089" s="441"/>
      <c r="AI1089" s="441"/>
      <c r="AJ1089" s="441"/>
      <c r="AK1089" s="395"/>
      <c r="AL1089" s="395"/>
      <c r="AM1089" s="395"/>
      <c r="AN1089" s="395"/>
      <c r="AO1089" s="395"/>
      <c r="AP1089" s="410"/>
      <c r="AQ1089" s="410"/>
    </row>
    <row r="1090" spans="2:43" ht="15" customHeight="1">
      <c r="B1090" s="394"/>
      <c r="C1090" s="395"/>
      <c r="D1090" s="417"/>
      <c r="E1090" s="662"/>
      <c r="F1090" s="417"/>
      <c r="G1090" s="384"/>
      <c r="H1090" s="768"/>
      <c r="I1090" s="384"/>
      <c r="J1090" s="384"/>
      <c r="K1090" s="657"/>
      <c r="L1090" s="658"/>
      <c r="M1090" s="384"/>
      <c r="N1090" s="384"/>
      <c r="O1090" s="384"/>
      <c r="P1090" s="384"/>
      <c r="Q1090" s="384"/>
      <c r="R1090" s="384"/>
      <c r="S1090" s="660"/>
      <c r="T1090" s="396"/>
      <c r="U1090" s="384"/>
      <c r="V1090" s="384"/>
      <c r="W1090" s="384"/>
      <c r="X1090" s="384"/>
      <c r="Y1090" s="442"/>
      <c r="Z1090" s="442"/>
      <c r="AA1090" s="441"/>
      <c r="AB1090" s="441"/>
      <c r="AC1090" s="441"/>
      <c r="AD1090" s="441"/>
      <c r="AE1090" s="441"/>
      <c r="AF1090" s="441"/>
      <c r="AG1090" s="441"/>
      <c r="AH1090" s="441"/>
      <c r="AI1090" s="441"/>
      <c r="AJ1090" s="441"/>
      <c r="AK1090" s="395"/>
      <c r="AL1090" s="395"/>
      <c r="AM1090" s="395"/>
      <c r="AN1090" s="395"/>
      <c r="AO1090" s="395"/>
      <c r="AP1090" s="410"/>
      <c r="AQ1090" s="410"/>
    </row>
    <row r="1091" spans="2:43" ht="15" customHeight="1">
      <c r="B1091" s="394"/>
      <c r="C1091" s="395"/>
      <c r="D1091" s="417"/>
      <c r="E1091" s="662"/>
      <c r="F1091" s="417"/>
      <c r="G1091" s="384"/>
      <c r="H1091" s="768"/>
      <c r="I1091" s="384"/>
      <c r="J1091" s="384"/>
      <c r="K1091" s="657"/>
      <c r="L1091" s="658"/>
      <c r="M1091" s="384"/>
      <c r="N1091" s="384"/>
      <c r="O1091" s="384"/>
      <c r="P1091" s="384"/>
      <c r="Q1091" s="384"/>
      <c r="R1091" s="384"/>
      <c r="S1091" s="660"/>
      <c r="T1091" s="396"/>
      <c r="U1091" s="384"/>
      <c r="V1091" s="384"/>
      <c r="W1091" s="384"/>
      <c r="X1091" s="384"/>
      <c r="Y1091" s="442"/>
      <c r="Z1091" s="442"/>
      <c r="AA1091" s="441"/>
      <c r="AB1091" s="441"/>
      <c r="AC1091" s="441"/>
      <c r="AD1091" s="441"/>
      <c r="AE1091" s="441"/>
      <c r="AF1091" s="441"/>
      <c r="AG1091" s="441"/>
      <c r="AH1091" s="441"/>
      <c r="AI1091" s="441"/>
      <c r="AJ1091" s="441"/>
      <c r="AK1091" s="395"/>
      <c r="AL1091" s="395"/>
      <c r="AM1091" s="395"/>
      <c r="AN1091" s="395"/>
      <c r="AO1091" s="395"/>
      <c r="AP1091" s="410"/>
      <c r="AQ1091" s="410"/>
    </row>
    <row r="1092" spans="2:43" ht="15" customHeight="1">
      <c r="B1092" s="394"/>
      <c r="C1092" s="395"/>
      <c r="D1092" s="417"/>
      <c r="E1092" s="662"/>
      <c r="F1092" s="417"/>
      <c r="G1092" s="384"/>
      <c r="H1092" s="768"/>
      <c r="I1092" s="384"/>
      <c r="J1092" s="384"/>
      <c r="K1092" s="657"/>
      <c r="L1092" s="658"/>
      <c r="M1092" s="384"/>
      <c r="N1092" s="384"/>
      <c r="O1092" s="384"/>
      <c r="P1092" s="384"/>
      <c r="Q1092" s="384"/>
      <c r="R1092" s="384"/>
      <c r="S1092" s="660"/>
      <c r="T1092" s="396"/>
      <c r="U1092" s="384"/>
      <c r="V1092" s="384"/>
      <c r="W1092" s="384"/>
      <c r="X1092" s="384"/>
      <c r="Y1092" s="442"/>
      <c r="Z1092" s="442"/>
      <c r="AA1092" s="441"/>
      <c r="AB1092" s="441"/>
      <c r="AC1092" s="441"/>
      <c r="AD1092" s="441"/>
      <c r="AE1092" s="441"/>
      <c r="AF1092" s="441"/>
      <c r="AG1092" s="441"/>
      <c r="AH1092" s="441"/>
      <c r="AI1092" s="441"/>
      <c r="AJ1092" s="441"/>
      <c r="AK1092" s="395"/>
      <c r="AL1092" s="395"/>
      <c r="AM1092" s="395"/>
      <c r="AN1092" s="395"/>
      <c r="AO1092" s="395"/>
      <c r="AP1092" s="410"/>
      <c r="AQ1092" s="410"/>
    </row>
    <row r="1093" spans="2:43" ht="15" customHeight="1">
      <c r="B1093" s="394"/>
      <c r="C1093" s="395"/>
      <c r="D1093" s="417"/>
      <c r="E1093" s="662"/>
      <c r="F1093" s="417"/>
      <c r="G1093" s="384"/>
      <c r="H1093" s="768"/>
      <c r="I1093" s="384"/>
      <c r="J1093" s="384"/>
      <c r="K1093" s="657"/>
      <c r="L1093" s="658"/>
      <c r="M1093" s="384"/>
      <c r="N1093" s="384"/>
      <c r="O1093" s="384"/>
      <c r="P1093" s="384"/>
      <c r="Q1093" s="384"/>
      <c r="R1093" s="384"/>
      <c r="S1093" s="660"/>
      <c r="T1093" s="396"/>
      <c r="U1093" s="384"/>
      <c r="V1093" s="384"/>
      <c r="W1093" s="384"/>
      <c r="X1093" s="384"/>
      <c r="Y1093" s="442"/>
      <c r="Z1093" s="442"/>
      <c r="AA1093" s="441"/>
      <c r="AB1093" s="441"/>
      <c r="AC1093" s="441"/>
      <c r="AD1093" s="441"/>
      <c r="AE1093" s="441"/>
      <c r="AF1093" s="441"/>
      <c r="AG1093" s="441"/>
      <c r="AH1093" s="441"/>
      <c r="AI1093" s="441"/>
      <c r="AJ1093" s="441"/>
      <c r="AK1093" s="395"/>
      <c r="AL1093" s="395"/>
      <c r="AM1093" s="395"/>
      <c r="AN1093" s="395"/>
      <c r="AO1093" s="395"/>
      <c r="AP1093" s="410"/>
      <c r="AQ1093" s="410"/>
    </row>
    <row r="1094" spans="2:43" ht="15" customHeight="1">
      <c r="B1094" s="394"/>
      <c r="C1094" s="395"/>
      <c r="D1094" s="417"/>
      <c r="E1094" s="662"/>
      <c r="F1094" s="417"/>
      <c r="G1094" s="384"/>
      <c r="H1094" s="768"/>
      <c r="I1094" s="384"/>
      <c r="J1094" s="384"/>
      <c r="K1094" s="657"/>
      <c r="L1094" s="658"/>
      <c r="M1094" s="384"/>
      <c r="N1094" s="384"/>
      <c r="O1094" s="384"/>
      <c r="P1094" s="384"/>
      <c r="Q1094" s="384"/>
      <c r="R1094" s="384"/>
      <c r="S1094" s="660"/>
      <c r="T1094" s="396"/>
      <c r="U1094" s="384"/>
      <c r="V1094" s="384"/>
      <c r="W1094" s="384"/>
      <c r="X1094" s="384"/>
      <c r="Y1094" s="442"/>
      <c r="Z1094" s="442"/>
      <c r="AA1094" s="441"/>
      <c r="AB1094" s="441"/>
      <c r="AC1094" s="441"/>
      <c r="AD1094" s="441"/>
      <c r="AE1094" s="441"/>
      <c r="AF1094" s="441"/>
      <c r="AG1094" s="441"/>
      <c r="AH1094" s="441"/>
      <c r="AI1094" s="441"/>
      <c r="AJ1094" s="441"/>
      <c r="AK1094" s="395"/>
      <c r="AL1094" s="395"/>
      <c r="AM1094" s="395"/>
      <c r="AN1094" s="395"/>
      <c r="AO1094" s="395"/>
      <c r="AP1094" s="410"/>
      <c r="AQ1094" s="410"/>
    </row>
    <row r="1095" spans="2:43" ht="15" customHeight="1">
      <c r="B1095" s="394"/>
      <c r="C1095" s="395"/>
      <c r="D1095" s="417"/>
      <c r="E1095" s="662"/>
      <c r="F1095" s="417"/>
      <c r="G1095" s="384"/>
      <c r="H1095" s="768"/>
      <c r="I1095" s="384"/>
      <c r="J1095" s="384"/>
      <c r="K1095" s="657"/>
      <c r="L1095" s="658"/>
      <c r="M1095" s="384"/>
      <c r="N1095" s="384"/>
      <c r="O1095" s="384"/>
      <c r="P1095" s="384"/>
      <c r="Q1095" s="384"/>
      <c r="R1095" s="384"/>
      <c r="S1095" s="660"/>
      <c r="T1095" s="396"/>
      <c r="U1095" s="384"/>
      <c r="V1095" s="384"/>
      <c r="W1095" s="384"/>
      <c r="X1095" s="384"/>
      <c r="Y1095" s="442"/>
      <c r="Z1095" s="442"/>
      <c r="AA1095" s="441"/>
      <c r="AB1095" s="441"/>
      <c r="AC1095" s="441"/>
      <c r="AD1095" s="441"/>
      <c r="AE1095" s="441"/>
      <c r="AF1095" s="441"/>
      <c r="AG1095" s="441"/>
      <c r="AH1095" s="441"/>
      <c r="AI1095" s="441"/>
      <c r="AJ1095" s="441"/>
      <c r="AK1095" s="395"/>
      <c r="AL1095" s="395"/>
      <c r="AM1095" s="395"/>
      <c r="AN1095" s="395"/>
      <c r="AO1095" s="395"/>
      <c r="AP1095" s="410"/>
      <c r="AQ1095" s="410"/>
    </row>
    <row r="1096" spans="2:43" ht="15" customHeight="1">
      <c r="B1096" s="394"/>
      <c r="C1096" s="395"/>
      <c r="D1096" s="417"/>
      <c r="E1096" s="662"/>
      <c r="F1096" s="417"/>
      <c r="G1096" s="384"/>
      <c r="H1096" s="768"/>
      <c r="I1096" s="384"/>
      <c r="J1096" s="384"/>
      <c r="K1096" s="657"/>
      <c r="L1096" s="658"/>
      <c r="M1096" s="384"/>
      <c r="N1096" s="384"/>
      <c r="O1096" s="384"/>
      <c r="P1096" s="384"/>
      <c r="Q1096" s="384"/>
      <c r="R1096" s="384"/>
      <c r="S1096" s="660"/>
      <c r="T1096" s="396"/>
      <c r="U1096" s="384"/>
      <c r="V1096" s="384"/>
      <c r="W1096" s="384"/>
      <c r="X1096" s="384"/>
      <c r="Y1096" s="442"/>
      <c r="Z1096" s="442"/>
      <c r="AA1096" s="441"/>
      <c r="AB1096" s="441"/>
      <c r="AC1096" s="441"/>
      <c r="AD1096" s="441"/>
      <c r="AE1096" s="441"/>
      <c r="AF1096" s="441"/>
      <c r="AG1096" s="441"/>
      <c r="AH1096" s="441"/>
      <c r="AI1096" s="441"/>
      <c r="AJ1096" s="441"/>
      <c r="AK1096" s="395"/>
      <c r="AL1096" s="395"/>
      <c r="AM1096" s="395"/>
      <c r="AN1096" s="395"/>
      <c r="AO1096" s="395"/>
      <c r="AP1096" s="410"/>
      <c r="AQ1096" s="410"/>
    </row>
    <row r="1097" spans="2:43" ht="15" customHeight="1">
      <c r="B1097" s="394"/>
      <c r="C1097" s="395"/>
      <c r="D1097" s="417"/>
      <c r="E1097" s="662"/>
      <c r="F1097" s="417"/>
      <c r="G1097" s="384"/>
      <c r="H1097" s="768"/>
      <c r="I1097" s="384"/>
      <c r="J1097" s="384"/>
      <c r="K1097" s="657"/>
      <c r="L1097" s="658"/>
      <c r="M1097" s="384"/>
      <c r="N1097" s="384"/>
      <c r="O1097" s="384"/>
      <c r="P1097" s="384"/>
      <c r="Q1097" s="384"/>
      <c r="R1097" s="384"/>
      <c r="S1097" s="660"/>
      <c r="T1097" s="396"/>
      <c r="U1097" s="384"/>
      <c r="V1097" s="384"/>
      <c r="W1097" s="384"/>
      <c r="X1097" s="384"/>
      <c r="Y1097" s="442"/>
      <c r="Z1097" s="442"/>
      <c r="AA1097" s="441"/>
      <c r="AB1097" s="441"/>
      <c r="AC1097" s="441"/>
      <c r="AD1097" s="441"/>
      <c r="AE1097" s="441"/>
      <c r="AF1097" s="441"/>
      <c r="AG1097" s="441"/>
      <c r="AH1097" s="441"/>
      <c r="AI1097" s="441"/>
      <c r="AJ1097" s="441"/>
      <c r="AK1097" s="395"/>
      <c r="AL1097" s="395"/>
      <c r="AM1097" s="395"/>
      <c r="AN1097" s="395"/>
      <c r="AO1097" s="395"/>
      <c r="AP1097" s="410"/>
      <c r="AQ1097" s="410"/>
    </row>
    <row r="1098" spans="2:43" ht="15" customHeight="1">
      <c r="B1098" s="394"/>
      <c r="C1098" s="395"/>
      <c r="D1098" s="417"/>
      <c r="E1098" s="662"/>
      <c r="F1098" s="417"/>
      <c r="G1098" s="384"/>
      <c r="H1098" s="768"/>
      <c r="I1098" s="384"/>
      <c r="J1098" s="384"/>
      <c r="K1098" s="657"/>
      <c r="L1098" s="658"/>
      <c r="M1098" s="384"/>
      <c r="N1098" s="384"/>
      <c r="O1098" s="384"/>
      <c r="P1098" s="384"/>
      <c r="Q1098" s="384"/>
      <c r="R1098" s="384"/>
      <c r="S1098" s="660"/>
      <c r="T1098" s="396"/>
      <c r="U1098" s="384"/>
      <c r="V1098" s="384"/>
      <c r="W1098" s="384"/>
      <c r="X1098" s="384"/>
      <c r="Y1098" s="442"/>
      <c r="Z1098" s="442"/>
      <c r="AA1098" s="441"/>
      <c r="AB1098" s="441"/>
      <c r="AC1098" s="441"/>
      <c r="AD1098" s="441"/>
      <c r="AE1098" s="441"/>
      <c r="AF1098" s="441"/>
      <c r="AG1098" s="441"/>
      <c r="AH1098" s="441"/>
      <c r="AI1098" s="441"/>
      <c r="AJ1098" s="441"/>
      <c r="AK1098" s="395"/>
      <c r="AL1098" s="395"/>
      <c r="AM1098" s="395"/>
      <c r="AN1098" s="395"/>
      <c r="AO1098" s="395"/>
      <c r="AP1098" s="410"/>
      <c r="AQ1098" s="410"/>
    </row>
    <row r="1099" spans="2:43" ht="15" customHeight="1">
      <c r="B1099" s="394"/>
      <c r="C1099" s="395"/>
      <c r="D1099" s="417"/>
      <c r="E1099" s="662"/>
      <c r="F1099" s="417"/>
      <c r="G1099" s="384"/>
      <c r="H1099" s="768"/>
      <c r="I1099" s="384"/>
      <c r="J1099" s="384"/>
      <c r="K1099" s="657"/>
      <c r="L1099" s="658"/>
      <c r="M1099" s="384"/>
      <c r="N1099" s="384"/>
      <c r="O1099" s="384"/>
      <c r="P1099" s="384"/>
      <c r="Q1099" s="384"/>
      <c r="R1099" s="384"/>
      <c r="S1099" s="660"/>
      <c r="T1099" s="396"/>
      <c r="U1099" s="384"/>
      <c r="V1099" s="384"/>
      <c r="W1099" s="384"/>
      <c r="X1099" s="384"/>
      <c r="Y1099" s="442"/>
      <c r="Z1099" s="442"/>
      <c r="AA1099" s="441"/>
      <c r="AB1099" s="441"/>
      <c r="AC1099" s="441"/>
      <c r="AD1099" s="441"/>
      <c r="AE1099" s="441"/>
      <c r="AF1099" s="441"/>
      <c r="AG1099" s="441"/>
      <c r="AH1099" s="441"/>
      <c r="AI1099" s="441"/>
      <c r="AJ1099" s="441"/>
      <c r="AK1099" s="395"/>
      <c r="AL1099" s="395"/>
      <c r="AM1099" s="395"/>
      <c r="AN1099" s="395"/>
      <c r="AO1099" s="395"/>
      <c r="AP1099" s="410"/>
      <c r="AQ1099" s="410"/>
    </row>
    <row r="1100" spans="2:43" ht="15" customHeight="1">
      <c r="B1100" s="394"/>
      <c r="C1100" s="395"/>
      <c r="D1100" s="417"/>
      <c r="E1100" s="662"/>
      <c r="F1100" s="417"/>
      <c r="G1100" s="384"/>
      <c r="H1100" s="768"/>
      <c r="I1100" s="384"/>
      <c r="J1100" s="384"/>
      <c r="K1100" s="657"/>
      <c r="L1100" s="658"/>
      <c r="M1100" s="384"/>
      <c r="N1100" s="384"/>
      <c r="O1100" s="384"/>
      <c r="P1100" s="384"/>
      <c r="Q1100" s="384"/>
      <c r="R1100" s="384"/>
      <c r="S1100" s="660"/>
      <c r="T1100" s="396"/>
      <c r="U1100" s="384"/>
      <c r="V1100" s="384"/>
      <c r="W1100" s="384"/>
      <c r="X1100" s="384"/>
      <c r="Y1100" s="442"/>
      <c r="Z1100" s="442"/>
      <c r="AA1100" s="441"/>
      <c r="AB1100" s="441"/>
      <c r="AC1100" s="441"/>
      <c r="AD1100" s="441"/>
      <c r="AE1100" s="441"/>
      <c r="AF1100" s="441"/>
      <c r="AG1100" s="441"/>
      <c r="AH1100" s="441"/>
      <c r="AI1100" s="441"/>
      <c r="AJ1100" s="441"/>
      <c r="AK1100" s="395"/>
      <c r="AL1100" s="395"/>
      <c r="AM1100" s="395"/>
      <c r="AN1100" s="395"/>
      <c r="AO1100" s="395"/>
      <c r="AP1100" s="410"/>
      <c r="AQ1100" s="410"/>
    </row>
    <row r="1101" spans="2:43" ht="15" customHeight="1">
      <c r="B1101" s="394"/>
      <c r="C1101" s="395"/>
      <c r="D1101" s="417"/>
      <c r="E1101" s="662"/>
      <c r="F1101" s="417"/>
      <c r="G1101" s="384"/>
      <c r="H1101" s="768"/>
      <c r="I1101" s="384"/>
      <c r="J1101" s="384"/>
      <c r="K1101" s="657"/>
      <c r="L1101" s="658"/>
      <c r="M1101" s="384"/>
      <c r="N1101" s="384"/>
      <c r="O1101" s="384"/>
      <c r="P1101" s="384"/>
      <c r="Q1101" s="384"/>
      <c r="R1101" s="384"/>
      <c r="S1101" s="660"/>
      <c r="T1101" s="396"/>
      <c r="U1101" s="384"/>
      <c r="V1101" s="384"/>
      <c r="W1101" s="384"/>
      <c r="X1101" s="384"/>
      <c r="Y1101" s="442"/>
      <c r="Z1101" s="442"/>
      <c r="AA1101" s="441"/>
      <c r="AB1101" s="441"/>
      <c r="AC1101" s="441"/>
      <c r="AD1101" s="441"/>
      <c r="AE1101" s="441"/>
      <c r="AF1101" s="441"/>
      <c r="AG1101" s="441"/>
      <c r="AH1101" s="441"/>
      <c r="AI1101" s="441"/>
      <c r="AJ1101" s="441"/>
      <c r="AK1101" s="395"/>
      <c r="AL1101" s="395"/>
      <c r="AM1101" s="395"/>
      <c r="AN1101" s="395"/>
      <c r="AO1101" s="395"/>
      <c r="AP1101" s="410"/>
      <c r="AQ1101" s="410"/>
    </row>
    <row r="1102" spans="2:43" ht="15" customHeight="1">
      <c r="B1102" s="394"/>
      <c r="C1102" s="395"/>
      <c r="D1102" s="417"/>
      <c r="E1102" s="662"/>
      <c r="F1102" s="417"/>
      <c r="G1102" s="384"/>
      <c r="H1102" s="768"/>
      <c r="I1102" s="384"/>
      <c r="J1102" s="384"/>
      <c r="K1102" s="657"/>
      <c r="L1102" s="658"/>
      <c r="M1102" s="384"/>
      <c r="N1102" s="384"/>
      <c r="O1102" s="384"/>
      <c r="P1102" s="384"/>
      <c r="Q1102" s="384"/>
      <c r="R1102" s="384"/>
      <c r="S1102" s="660"/>
      <c r="T1102" s="396"/>
      <c r="U1102" s="384"/>
      <c r="V1102" s="384"/>
      <c r="W1102" s="384"/>
      <c r="X1102" s="384"/>
      <c r="Y1102" s="442"/>
      <c r="Z1102" s="442"/>
      <c r="AA1102" s="441"/>
      <c r="AB1102" s="441"/>
      <c r="AC1102" s="441"/>
      <c r="AD1102" s="441"/>
      <c r="AE1102" s="441"/>
      <c r="AF1102" s="441"/>
      <c r="AG1102" s="441"/>
      <c r="AH1102" s="441"/>
      <c r="AI1102" s="441"/>
      <c r="AJ1102" s="441"/>
      <c r="AK1102" s="395"/>
      <c r="AL1102" s="395"/>
      <c r="AM1102" s="395"/>
      <c r="AN1102" s="395"/>
      <c r="AO1102" s="395"/>
      <c r="AP1102" s="410"/>
      <c r="AQ1102" s="410"/>
    </row>
    <row r="1103" spans="2:43" ht="15" customHeight="1">
      <c r="B1103" s="394"/>
      <c r="C1103" s="395"/>
      <c r="D1103" s="417"/>
      <c r="E1103" s="662"/>
      <c r="F1103" s="417"/>
      <c r="G1103" s="384"/>
      <c r="H1103" s="768"/>
      <c r="I1103" s="384"/>
      <c r="J1103" s="384"/>
      <c r="K1103" s="657"/>
      <c r="L1103" s="658"/>
      <c r="M1103" s="384"/>
      <c r="N1103" s="384"/>
      <c r="O1103" s="384"/>
      <c r="P1103" s="384"/>
      <c r="Q1103" s="384"/>
      <c r="R1103" s="384"/>
      <c r="S1103" s="660"/>
      <c r="T1103" s="396"/>
      <c r="U1103" s="384"/>
      <c r="V1103" s="384"/>
      <c r="W1103" s="384"/>
      <c r="X1103" s="384"/>
      <c r="Y1103" s="442"/>
      <c r="Z1103" s="442"/>
      <c r="AA1103" s="441"/>
      <c r="AB1103" s="441"/>
      <c r="AC1103" s="441"/>
      <c r="AD1103" s="441"/>
      <c r="AE1103" s="441"/>
      <c r="AF1103" s="441"/>
      <c r="AG1103" s="441"/>
      <c r="AH1103" s="441"/>
      <c r="AI1103" s="441"/>
      <c r="AJ1103" s="441"/>
      <c r="AK1103" s="395"/>
      <c r="AL1103" s="395"/>
      <c r="AM1103" s="395"/>
      <c r="AN1103" s="395"/>
      <c r="AO1103" s="395"/>
      <c r="AP1103" s="410"/>
      <c r="AQ1103" s="410"/>
    </row>
    <row r="1104" spans="2:43" ht="15" customHeight="1">
      <c r="B1104" s="394"/>
      <c r="C1104" s="395"/>
      <c r="D1104" s="417"/>
      <c r="E1104" s="662"/>
      <c r="F1104" s="417"/>
      <c r="G1104" s="384"/>
      <c r="H1104" s="768"/>
      <c r="I1104" s="384"/>
      <c r="J1104" s="384"/>
      <c r="K1104" s="657"/>
      <c r="L1104" s="658"/>
      <c r="M1104" s="384"/>
      <c r="N1104" s="384"/>
      <c r="O1104" s="384"/>
      <c r="P1104" s="384"/>
      <c r="Q1104" s="384"/>
      <c r="R1104" s="384"/>
      <c r="S1104" s="660"/>
      <c r="T1104" s="396"/>
      <c r="U1104" s="384"/>
      <c r="V1104" s="384"/>
      <c r="W1104" s="384"/>
      <c r="X1104" s="384"/>
      <c r="Y1104" s="442"/>
      <c r="Z1104" s="442"/>
      <c r="AA1104" s="441"/>
      <c r="AB1104" s="441"/>
      <c r="AC1104" s="441"/>
      <c r="AD1104" s="441"/>
      <c r="AE1104" s="441"/>
      <c r="AF1104" s="441"/>
      <c r="AG1104" s="441"/>
      <c r="AH1104" s="441"/>
      <c r="AI1104" s="441"/>
      <c r="AJ1104" s="441"/>
      <c r="AK1104" s="395"/>
      <c r="AL1104" s="395"/>
      <c r="AM1104" s="395"/>
      <c r="AN1104" s="395"/>
      <c r="AO1104" s="395"/>
      <c r="AP1104" s="410"/>
      <c r="AQ1104" s="410"/>
    </row>
    <row r="1105" spans="2:43" ht="15" customHeight="1">
      <c r="B1105" s="394"/>
      <c r="C1105" s="395"/>
      <c r="D1105" s="417"/>
      <c r="E1105" s="662"/>
      <c r="F1105" s="417"/>
      <c r="G1105" s="384"/>
      <c r="H1105" s="768"/>
      <c r="I1105" s="384"/>
      <c r="J1105" s="384"/>
      <c r="K1105" s="657"/>
      <c r="L1105" s="658"/>
      <c r="M1105" s="384"/>
      <c r="N1105" s="384"/>
      <c r="O1105" s="384"/>
      <c r="P1105" s="384"/>
      <c r="Q1105" s="384"/>
      <c r="R1105" s="384"/>
      <c r="S1105" s="660"/>
      <c r="T1105" s="396"/>
      <c r="U1105" s="384"/>
      <c r="V1105" s="384"/>
      <c r="W1105" s="384"/>
      <c r="X1105" s="384"/>
      <c r="Y1105" s="442"/>
      <c r="Z1105" s="442"/>
      <c r="AA1105" s="441"/>
      <c r="AB1105" s="441"/>
      <c r="AC1105" s="441"/>
      <c r="AD1105" s="441"/>
      <c r="AE1105" s="441"/>
      <c r="AF1105" s="441"/>
      <c r="AG1105" s="441"/>
      <c r="AH1105" s="441"/>
      <c r="AI1105" s="441"/>
      <c r="AJ1105" s="441"/>
      <c r="AK1105" s="395"/>
      <c r="AL1105" s="395"/>
      <c r="AM1105" s="395"/>
      <c r="AN1105" s="395"/>
      <c r="AO1105" s="395"/>
      <c r="AP1105" s="410"/>
      <c r="AQ1105" s="410"/>
    </row>
    <row r="1106" spans="2:43" ht="15" customHeight="1">
      <c r="B1106" s="394"/>
      <c r="C1106" s="395"/>
      <c r="D1106" s="417"/>
      <c r="E1106" s="662"/>
      <c r="F1106" s="417"/>
      <c r="G1106" s="384"/>
      <c r="H1106" s="768"/>
      <c r="I1106" s="384"/>
      <c r="J1106" s="384"/>
      <c r="K1106" s="657"/>
      <c r="L1106" s="658"/>
      <c r="M1106" s="384"/>
      <c r="N1106" s="384"/>
      <c r="O1106" s="384"/>
      <c r="P1106" s="384"/>
      <c r="Q1106" s="384"/>
      <c r="R1106" s="384"/>
      <c r="S1106" s="660"/>
      <c r="T1106" s="396"/>
      <c r="U1106" s="384"/>
      <c r="V1106" s="384"/>
      <c r="W1106" s="384"/>
      <c r="X1106" s="384"/>
      <c r="Y1106" s="442"/>
      <c r="Z1106" s="442"/>
      <c r="AA1106" s="441"/>
      <c r="AB1106" s="441"/>
      <c r="AC1106" s="441"/>
      <c r="AD1106" s="441"/>
      <c r="AE1106" s="441"/>
      <c r="AF1106" s="441"/>
      <c r="AG1106" s="441"/>
      <c r="AH1106" s="441"/>
      <c r="AI1106" s="441"/>
      <c r="AJ1106" s="441"/>
      <c r="AK1106" s="395"/>
      <c r="AL1106" s="395"/>
      <c r="AM1106" s="395"/>
      <c r="AN1106" s="395"/>
      <c r="AO1106" s="395"/>
      <c r="AP1106" s="410"/>
      <c r="AQ1106" s="410"/>
    </row>
    <row r="1107" spans="2:43" ht="15" customHeight="1">
      <c r="B1107" s="394"/>
      <c r="C1107" s="395"/>
      <c r="D1107" s="417"/>
      <c r="E1107" s="662"/>
      <c r="F1107" s="417"/>
      <c r="G1107" s="384"/>
      <c r="H1107" s="768"/>
      <c r="I1107" s="384"/>
      <c r="J1107" s="384"/>
      <c r="K1107" s="657"/>
      <c r="L1107" s="658"/>
      <c r="M1107" s="384"/>
      <c r="N1107" s="384"/>
      <c r="O1107" s="384"/>
      <c r="P1107" s="384"/>
      <c r="Q1107" s="384"/>
      <c r="R1107" s="384"/>
      <c r="S1107" s="660"/>
      <c r="T1107" s="396"/>
      <c r="U1107" s="384"/>
      <c r="V1107" s="384"/>
      <c r="W1107" s="384"/>
      <c r="X1107" s="384"/>
      <c r="Y1107" s="442"/>
      <c r="Z1107" s="442"/>
      <c r="AA1107" s="441"/>
      <c r="AB1107" s="441"/>
      <c r="AC1107" s="441"/>
      <c r="AD1107" s="441"/>
      <c r="AE1107" s="441"/>
      <c r="AF1107" s="441"/>
      <c r="AG1107" s="441"/>
      <c r="AH1107" s="441"/>
      <c r="AI1107" s="441"/>
      <c r="AJ1107" s="441"/>
      <c r="AK1107" s="395"/>
      <c r="AL1107" s="395"/>
      <c r="AM1107" s="395"/>
      <c r="AN1107" s="395"/>
      <c r="AO1107" s="395"/>
      <c r="AP1107" s="410"/>
      <c r="AQ1107" s="410"/>
    </row>
    <row r="1108" spans="2:43" ht="15" customHeight="1">
      <c r="B1108" s="394"/>
      <c r="C1108" s="395"/>
      <c r="D1108" s="417"/>
      <c r="E1108" s="662"/>
      <c r="F1108" s="417"/>
      <c r="G1108" s="384"/>
      <c r="H1108" s="768"/>
      <c r="I1108" s="384"/>
      <c r="J1108" s="384"/>
      <c r="K1108" s="657"/>
      <c r="L1108" s="658"/>
      <c r="M1108" s="384"/>
      <c r="N1108" s="384"/>
      <c r="O1108" s="384"/>
      <c r="P1108" s="384"/>
      <c r="Q1108" s="384"/>
      <c r="R1108" s="384"/>
      <c r="S1108" s="660"/>
      <c r="T1108" s="396"/>
      <c r="U1108" s="384"/>
      <c r="V1108" s="384"/>
      <c r="W1108" s="384"/>
      <c r="X1108" s="384"/>
      <c r="Y1108" s="442"/>
      <c r="Z1108" s="442"/>
      <c r="AA1108" s="441"/>
      <c r="AB1108" s="441"/>
      <c r="AC1108" s="441"/>
      <c r="AD1108" s="441"/>
      <c r="AE1108" s="441"/>
      <c r="AF1108" s="441"/>
      <c r="AG1108" s="441"/>
      <c r="AH1108" s="441"/>
      <c r="AI1108" s="441"/>
      <c r="AJ1108" s="441"/>
      <c r="AK1108" s="395"/>
      <c r="AL1108" s="395"/>
      <c r="AM1108" s="395"/>
      <c r="AN1108" s="395"/>
      <c r="AO1108" s="395"/>
      <c r="AP1108" s="410"/>
      <c r="AQ1108" s="410"/>
    </row>
    <row r="1109" spans="2:43" ht="15" customHeight="1">
      <c r="B1109" s="394"/>
      <c r="C1109" s="395"/>
      <c r="D1109" s="417"/>
      <c r="E1109" s="662"/>
      <c r="F1109" s="417"/>
      <c r="G1109" s="384"/>
      <c r="H1109" s="768"/>
      <c r="I1109" s="384"/>
      <c r="J1109" s="384"/>
      <c r="K1109" s="657"/>
      <c r="L1109" s="658"/>
      <c r="M1109" s="384"/>
      <c r="N1109" s="384"/>
      <c r="O1109" s="384"/>
      <c r="P1109" s="384"/>
      <c r="Q1109" s="384"/>
      <c r="R1109" s="384"/>
      <c r="S1109" s="660"/>
      <c r="T1109" s="396"/>
      <c r="U1109" s="384"/>
      <c r="V1109" s="384"/>
      <c r="W1109" s="384"/>
      <c r="X1109" s="384"/>
      <c r="Y1109" s="442"/>
      <c r="Z1109" s="442"/>
      <c r="AA1109" s="441"/>
      <c r="AB1109" s="441"/>
      <c r="AC1109" s="441"/>
      <c r="AD1109" s="441"/>
      <c r="AE1109" s="441"/>
      <c r="AF1109" s="441"/>
      <c r="AG1109" s="441"/>
      <c r="AH1109" s="441"/>
      <c r="AI1109" s="441"/>
      <c r="AJ1109" s="441"/>
      <c r="AK1109" s="395"/>
      <c r="AL1109" s="395"/>
      <c r="AM1109" s="395"/>
      <c r="AN1109" s="395"/>
      <c r="AO1109" s="395"/>
      <c r="AP1109" s="410"/>
      <c r="AQ1109" s="410"/>
    </row>
    <row r="1110" spans="2:43" ht="15" customHeight="1">
      <c r="B1110" s="394"/>
      <c r="C1110" s="395"/>
      <c r="D1110" s="417"/>
      <c r="E1110" s="662"/>
      <c r="F1110" s="417"/>
      <c r="G1110" s="384"/>
      <c r="H1110" s="768"/>
      <c r="I1110" s="384"/>
      <c r="J1110" s="384"/>
      <c r="K1110" s="657"/>
      <c r="L1110" s="658"/>
      <c r="M1110" s="384"/>
      <c r="N1110" s="384"/>
      <c r="O1110" s="384"/>
      <c r="P1110" s="384"/>
      <c r="Q1110" s="384"/>
      <c r="R1110" s="384"/>
      <c r="S1110" s="660"/>
      <c r="T1110" s="396"/>
      <c r="U1110" s="384"/>
      <c r="V1110" s="384"/>
      <c r="W1110" s="384"/>
      <c r="X1110" s="384"/>
      <c r="Y1110" s="442"/>
      <c r="Z1110" s="442"/>
      <c r="AA1110" s="441"/>
      <c r="AB1110" s="441"/>
      <c r="AC1110" s="441"/>
      <c r="AD1110" s="441"/>
      <c r="AE1110" s="441"/>
      <c r="AF1110" s="441"/>
      <c r="AG1110" s="441"/>
      <c r="AH1110" s="441"/>
      <c r="AI1110" s="441"/>
      <c r="AJ1110" s="441"/>
      <c r="AK1110" s="395"/>
      <c r="AL1110" s="395"/>
      <c r="AM1110" s="395"/>
      <c r="AN1110" s="395"/>
      <c r="AO1110" s="395"/>
      <c r="AP1110" s="410"/>
      <c r="AQ1110" s="410"/>
    </row>
    <row r="1111" spans="2:43" ht="15" customHeight="1">
      <c r="B1111" s="394"/>
      <c r="C1111" s="395"/>
      <c r="D1111" s="417"/>
      <c r="E1111" s="662"/>
      <c r="F1111" s="417"/>
      <c r="G1111" s="384"/>
      <c r="H1111" s="768"/>
      <c r="I1111" s="384"/>
      <c r="J1111" s="384"/>
      <c r="K1111" s="657"/>
      <c r="L1111" s="658"/>
      <c r="M1111" s="384"/>
      <c r="N1111" s="384"/>
      <c r="O1111" s="384"/>
      <c r="P1111" s="384"/>
      <c r="Q1111" s="384"/>
      <c r="R1111" s="384"/>
      <c r="S1111" s="660"/>
      <c r="T1111" s="396"/>
      <c r="U1111" s="384"/>
      <c r="V1111" s="384"/>
      <c r="W1111" s="384"/>
      <c r="X1111" s="384"/>
      <c r="Y1111" s="442"/>
      <c r="Z1111" s="442"/>
      <c r="AA1111" s="441"/>
      <c r="AB1111" s="441"/>
      <c r="AC1111" s="441"/>
      <c r="AD1111" s="441"/>
      <c r="AE1111" s="441"/>
      <c r="AF1111" s="441"/>
      <c r="AG1111" s="441"/>
      <c r="AH1111" s="441"/>
      <c r="AI1111" s="441"/>
      <c r="AJ1111" s="441"/>
      <c r="AK1111" s="395"/>
      <c r="AL1111" s="395"/>
      <c r="AM1111" s="395"/>
      <c r="AN1111" s="395"/>
      <c r="AO1111" s="395"/>
      <c r="AP1111" s="410"/>
      <c r="AQ1111" s="410"/>
    </row>
    <row r="1112" spans="2:43" ht="15" customHeight="1">
      <c r="B1112" s="394"/>
      <c r="C1112" s="395"/>
      <c r="D1112" s="417"/>
      <c r="E1112" s="662"/>
      <c r="F1112" s="417"/>
      <c r="G1112" s="384"/>
      <c r="H1112" s="768"/>
      <c r="I1112" s="384"/>
      <c r="J1112" s="384"/>
      <c r="K1112" s="657"/>
      <c r="L1112" s="658"/>
      <c r="M1112" s="384"/>
      <c r="N1112" s="384"/>
      <c r="O1112" s="384"/>
      <c r="P1112" s="384"/>
      <c r="Q1112" s="384"/>
      <c r="R1112" s="384"/>
      <c r="S1112" s="660"/>
      <c r="T1112" s="396"/>
      <c r="U1112" s="384"/>
      <c r="V1112" s="384"/>
      <c r="W1112" s="384"/>
      <c r="X1112" s="384"/>
      <c r="Y1112" s="442"/>
      <c r="Z1112" s="442"/>
      <c r="AA1112" s="441"/>
      <c r="AB1112" s="441"/>
      <c r="AC1112" s="441"/>
      <c r="AD1112" s="441"/>
      <c r="AE1112" s="441"/>
      <c r="AF1112" s="441"/>
      <c r="AG1112" s="441"/>
      <c r="AH1112" s="441"/>
      <c r="AI1112" s="441"/>
      <c r="AJ1112" s="441"/>
      <c r="AK1112" s="395"/>
      <c r="AL1112" s="395"/>
      <c r="AM1112" s="395"/>
      <c r="AN1112" s="395"/>
      <c r="AO1112" s="395"/>
      <c r="AP1112" s="410"/>
      <c r="AQ1112" s="410"/>
    </row>
    <row r="1113" spans="2:43" ht="15" customHeight="1">
      <c r="B1113" s="394"/>
      <c r="C1113" s="395"/>
      <c r="D1113" s="417"/>
      <c r="E1113" s="662"/>
      <c r="F1113" s="417"/>
      <c r="G1113" s="384"/>
      <c r="H1113" s="768"/>
      <c r="I1113" s="384"/>
      <c r="J1113" s="384"/>
      <c r="K1113" s="657"/>
      <c r="L1113" s="658"/>
      <c r="M1113" s="384"/>
      <c r="N1113" s="384"/>
      <c r="O1113" s="384"/>
      <c r="P1113" s="384"/>
      <c r="Q1113" s="384"/>
      <c r="R1113" s="384"/>
      <c r="S1113" s="660"/>
      <c r="T1113" s="396"/>
      <c r="U1113" s="384"/>
      <c r="V1113" s="384"/>
      <c r="W1113" s="384"/>
      <c r="X1113" s="384"/>
      <c r="Y1113" s="442"/>
      <c r="Z1113" s="442"/>
      <c r="AA1113" s="441"/>
      <c r="AB1113" s="441"/>
      <c r="AC1113" s="441"/>
      <c r="AD1113" s="441"/>
      <c r="AE1113" s="441"/>
      <c r="AF1113" s="441"/>
      <c r="AG1113" s="441"/>
      <c r="AH1113" s="441"/>
      <c r="AI1113" s="441"/>
      <c r="AJ1113" s="441"/>
      <c r="AK1113" s="395"/>
      <c r="AL1113" s="395"/>
      <c r="AM1113" s="395"/>
      <c r="AN1113" s="395"/>
      <c r="AO1113" s="395"/>
      <c r="AP1113" s="410"/>
      <c r="AQ1113" s="410"/>
    </row>
    <row r="1114" spans="2:43" ht="15" customHeight="1">
      <c r="AL1114" s="385"/>
      <c r="AM1114" s="385"/>
      <c r="AN1114" s="385"/>
      <c r="AP1114" s="413"/>
      <c r="AQ1114" s="413"/>
    </row>
    <row r="1115" spans="2:43" ht="15" customHeight="1">
      <c r="AL1115" s="385"/>
      <c r="AM1115" s="385"/>
      <c r="AN1115" s="385"/>
      <c r="AP1115" s="413"/>
      <c r="AQ1115" s="413"/>
    </row>
    <row r="1116" spans="2:43" ht="15" customHeight="1">
      <c r="AL1116" s="385"/>
      <c r="AM1116" s="385"/>
      <c r="AN1116" s="385"/>
      <c r="AP1116" s="413"/>
      <c r="AQ1116" s="413"/>
    </row>
    <row r="1117" spans="2:43" ht="15" customHeight="1">
      <c r="AL1117" s="385"/>
      <c r="AM1117" s="385"/>
      <c r="AN1117" s="385"/>
      <c r="AP1117" s="413"/>
      <c r="AQ1117" s="413"/>
    </row>
    <row r="1118" spans="2:43" ht="15" customHeight="1">
      <c r="AL1118" s="385"/>
      <c r="AM1118" s="385"/>
      <c r="AN1118" s="385"/>
      <c r="AP1118" s="413"/>
      <c r="AQ1118" s="413"/>
    </row>
    <row r="1119" spans="2:43" ht="15" customHeight="1">
      <c r="AL1119" s="385"/>
      <c r="AM1119" s="385"/>
      <c r="AN1119" s="385"/>
      <c r="AP1119" s="413"/>
      <c r="AQ1119" s="413"/>
    </row>
    <row r="1120" spans="2:43" ht="15" customHeight="1">
      <c r="AL1120" s="385"/>
      <c r="AM1120" s="385"/>
      <c r="AN1120" s="385"/>
      <c r="AP1120" s="413"/>
      <c r="AQ1120" s="413"/>
    </row>
    <row r="1121" spans="38:43" ht="15" customHeight="1">
      <c r="AL1121" s="385"/>
      <c r="AM1121" s="385"/>
      <c r="AN1121" s="385"/>
      <c r="AP1121" s="413"/>
      <c r="AQ1121" s="413"/>
    </row>
    <row r="1122" spans="38:43" ht="15" customHeight="1">
      <c r="AL1122" s="385"/>
      <c r="AM1122" s="385"/>
      <c r="AN1122" s="385"/>
      <c r="AP1122" s="413"/>
      <c r="AQ1122" s="413"/>
    </row>
    <row r="1123" spans="38:43" ht="15" customHeight="1">
      <c r="AL1123" s="385"/>
      <c r="AM1123" s="385"/>
      <c r="AN1123" s="385"/>
      <c r="AP1123" s="413"/>
      <c r="AQ1123" s="413"/>
    </row>
    <row r="1124" spans="38:43" ht="15" customHeight="1">
      <c r="AL1124" s="385"/>
      <c r="AM1124" s="385"/>
      <c r="AN1124" s="385"/>
      <c r="AP1124" s="413"/>
      <c r="AQ1124" s="413"/>
    </row>
    <row r="1125" spans="38:43" ht="15" customHeight="1">
      <c r="AL1125" s="385"/>
      <c r="AM1125" s="385"/>
      <c r="AN1125" s="385"/>
      <c r="AP1125" s="413"/>
      <c r="AQ1125" s="413"/>
    </row>
    <row r="1126" spans="38:43" ht="15" customHeight="1">
      <c r="AL1126" s="385"/>
      <c r="AM1126" s="385"/>
      <c r="AN1126" s="385"/>
      <c r="AP1126" s="413"/>
      <c r="AQ1126" s="413"/>
    </row>
    <row r="1127" spans="38:43" ht="15" customHeight="1">
      <c r="AL1127" s="385"/>
      <c r="AM1127" s="385"/>
      <c r="AN1127" s="385"/>
      <c r="AP1127" s="413"/>
      <c r="AQ1127" s="413"/>
    </row>
    <row r="1128" spans="38:43" ht="15" customHeight="1">
      <c r="AL1128" s="385"/>
      <c r="AM1128" s="385"/>
      <c r="AN1128" s="385"/>
      <c r="AP1128" s="413"/>
      <c r="AQ1128" s="413"/>
    </row>
    <row r="1129" spans="38:43" ht="15" customHeight="1">
      <c r="AL1129" s="385"/>
      <c r="AM1129" s="385"/>
      <c r="AN1129" s="385"/>
      <c r="AP1129" s="413"/>
      <c r="AQ1129" s="413"/>
    </row>
    <row r="1130" spans="38:43" ht="15" customHeight="1">
      <c r="AL1130" s="385"/>
      <c r="AM1130" s="385"/>
      <c r="AN1130" s="385"/>
      <c r="AP1130" s="413"/>
      <c r="AQ1130" s="413"/>
    </row>
    <row r="1131" spans="38:43" ht="15" customHeight="1">
      <c r="AL1131" s="385"/>
      <c r="AM1131" s="385"/>
      <c r="AN1131" s="385"/>
      <c r="AP1131" s="413"/>
      <c r="AQ1131" s="413"/>
    </row>
    <row r="1132" spans="38:43" ht="15" customHeight="1">
      <c r="AL1132" s="385"/>
      <c r="AM1132" s="385"/>
      <c r="AN1132" s="385"/>
      <c r="AP1132" s="413"/>
      <c r="AQ1132" s="413"/>
    </row>
    <row r="1133" spans="38:43" ht="15" customHeight="1">
      <c r="AL1133" s="385"/>
      <c r="AM1133" s="385"/>
      <c r="AN1133" s="385"/>
      <c r="AP1133" s="413"/>
      <c r="AQ1133" s="413"/>
    </row>
    <row r="1134" spans="38:43" ht="15" customHeight="1">
      <c r="AL1134" s="385"/>
      <c r="AM1134" s="385"/>
      <c r="AN1134" s="385"/>
      <c r="AP1134" s="413"/>
      <c r="AQ1134" s="413"/>
    </row>
    <row r="1135" spans="38:43" ht="15" customHeight="1">
      <c r="AL1135" s="385"/>
      <c r="AM1135" s="385"/>
      <c r="AN1135" s="385"/>
      <c r="AP1135" s="413"/>
      <c r="AQ1135" s="413"/>
    </row>
    <row r="1136" spans="38:43" ht="15" customHeight="1">
      <c r="AL1136" s="385"/>
      <c r="AM1136" s="385"/>
      <c r="AN1136" s="385"/>
      <c r="AP1136" s="413"/>
      <c r="AQ1136" s="413"/>
    </row>
    <row r="1137" spans="38:43" ht="15" customHeight="1">
      <c r="AL1137" s="385"/>
      <c r="AM1137" s="385"/>
      <c r="AN1137" s="385"/>
      <c r="AP1137" s="413"/>
      <c r="AQ1137" s="413"/>
    </row>
    <row r="1138" spans="38:43" ht="15" customHeight="1">
      <c r="AL1138" s="385"/>
      <c r="AM1138" s="385"/>
      <c r="AN1138" s="385"/>
      <c r="AP1138" s="413"/>
      <c r="AQ1138" s="413"/>
    </row>
    <row r="1139" spans="38:43" ht="15" customHeight="1">
      <c r="AL1139" s="385"/>
      <c r="AM1139" s="385"/>
      <c r="AN1139" s="385"/>
      <c r="AP1139" s="413"/>
      <c r="AQ1139" s="413"/>
    </row>
    <row r="1140" spans="38:43" ht="15" customHeight="1">
      <c r="AL1140" s="385"/>
      <c r="AM1140" s="385"/>
      <c r="AN1140" s="385"/>
      <c r="AP1140" s="413"/>
      <c r="AQ1140" s="413"/>
    </row>
    <row r="1141" spans="38:43" ht="15" customHeight="1">
      <c r="AL1141" s="385"/>
      <c r="AM1141" s="385"/>
      <c r="AN1141" s="385"/>
      <c r="AP1141" s="413"/>
      <c r="AQ1141" s="413"/>
    </row>
    <row r="1142" spans="38:43" ht="15" customHeight="1">
      <c r="AL1142" s="385"/>
      <c r="AM1142" s="385"/>
      <c r="AN1142" s="385"/>
      <c r="AP1142" s="413"/>
      <c r="AQ1142" s="413"/>
    </row>
    <row r="1143" spans="38:43" ht="15" customHeight="1">
      <c r="AL1143" s="385"/>
      <c r="AM1143" s="385"/>
      <c r="AN1143" s="385"/>
      <c r="AP1143" s="413"/>
      <c r="AQ1143" s="413"/>
    </row>
    <row r="1144" spans="38:43" ht="15" customHeight="1">
      <c r="AL1144" s="385"/>
      <c r="AM1144" s="385"/>
      <c r="AN1144" s="385"/>
      <c r="AP1144" s="413"/>
      <c r="AQ1144" s="413"/>
    </row>
    <row r="1145" spans="38:43" ht="15" customHeight="1">
      <c r="AL1145" s="385"/>
      <c r="AM1145" s="385"/>
      <c r="AN1145" s="385"/>
      <c r="AP1145" s="413"/>
      <c r="AQ1145" s="413"/>
    </row>
    <row r="1146" spans="38:43" ht="15" customHeight="1">
      <c r="AL1146" s="385"/>
      <c r="AM1146" s="385"/>
      <c r="AN1146" s="385"/>
      <c r="AP1146" s="413"/>
      <c r="AQ1146" s="413"/>
    </row>
    <row r="1147" spans="38:43" ht="15" customHeight="1">
      <c r="AL1147" s="385"/>
      <c r="AM1147" s="385"/>
      <c r="AN1147" s="385"/>
      <c r="AP1147" s="413"/>
      <c r="AQ1147" s="413"/>
    </row>
    <row r="1148" spans="38:43" ht="15" customHeight="1">
      <c r="AL1148" s="385"/>
      <c r="AM1148" s="385"/>
      <c r="AN1148" s="385"/>
      <c r="AP1148" s="413"/>
      <c r="AQ1148" s="413"/>
    </row>
    <row r="1149" spans="38:43" ht="15" customHeight="1">
      <c r="AL1149" s="385"/>
      <c r="AM1149" s="385"/>
      <c r="AN1149" s="385"/>
      <c r="AP1149" s="413"/>
      <c r="AQ1149" s="413"/>
    </row>
    <row r="1150" spans="38:43" ht="15" customHeight="1">
      <c r="AL1150" s="385"/>
      <c r="AM1150" s="385"/>
      <c r="AN1150" s="385"/>
      <c r="AP1150" s="413"/>
      <c r="AQ1150" s="413"/>
    </row>
    <row r="1151" spans="38:43" ht="15" customHeight="1">
      <c r="AL1151" s="385"/>
      <c r="AM1151" s="385"/>
      <c r="AN1151" s="385"/>
      <c r="AP1151" s="413"/>
      <c r="AQ1151" s="413"/>
    </row>
    <row r="1152" spans="38:43" ht="15" customHeight="1">
      <c r="AL1152" s="385"/>
      <c r="AM1152" s="385"/>
      <c r="AN1152" s="385"/>
      <c r="AP1152" s="413"/>
      <c r="AQ1152" s="413"/>
    </row>
    <row r="1153" spans="38:43" ht="15" customHeight="1">
      <c r="AL1153" s="385"/>
      <c r="AM1153" s="385"/>
      <c r="AN1153" s="385"/>
      <c r="AP1153" s="413"/>
      <c r="AQ1153" s="413"/>
    </row>
    <row r="1154" spans="38:43" ht="15" customHeight="1">
      <c r="AL1154" s="385"/>
      <c r="AM1154" s="385"/>
      <c r="AN1154" s="385"/>
      <c r="AP1154" s="413"/>
      <c r="AQ1154" s="413"/>
    </row>
    <row r="1155" spans="38:43" ht="15" customHeight="1">
      <c r="AL1155" s="385"/>
      <c r="AM1155" s="385"/>
      <c r="AN1155" s="385"/>
      <c r="AP1155" s="413"/>
      <c r="AQ1155" s="413"/>
    </row>
    <row r="1156" spans="38:43" ht="15" customHeight="1">
      <c r="AL1156" s="385"/>
      <c r="AM1156" s="385"/>
      <c r="AN1156" s="385"/>
      <c r="AP1156" s="413"/>
      <c r="AQ1156" s="413"/>
    </row>
    <row r="1157" spans="38:43" ht="15" customHeight="1">
      <c r="AL1157" s="385"/>
      <c r="AM1157" s="385"/>
      <c r="AN1157" s="385"/>
      <c r="AP1157" s="413"/>
      <c r="AQ1157" s="413"/>
    </row>
    <row r="1158" spans="38:43" ht="15" customHeight="1">
      <c r="AL1158" s="385"/>
      <c r="AM1158" s="385"/>
      <c r="AN1158" s="385"/>
      <c r="AP1158" s="413"/>
      <c r="AQ1158" s="413"/>
    </row>
    <row r="1159" spans="38:43" ht="15" customHeight="1">
      <c r="AL1159" s="385"/>
      <c r="AM1159" s="385"/>
      <c r="AN1159" s="385"/>
      <c r="AP1159" s="413"/>
      <c r="AQ1159" s="413"/>
    </row>
    <row r="1160" spans="38:43" ht="15" customHeight="1">
      <c r="AL1160" s="385"/>
      <c r="AM1160" s="385"/>
      <c r="AN1160" s="385"/>
      <c r="AP1160" s="413"/>
      <c r="AQ1160" s="413"/>
    </row>
    <row r="1161" spans="38:43" ht="15" customHeight="1">
      <c r="AL1161" s="385"/>
      <c r="AM1161" s="385"/>
      <c r="AN1161" s="385"/>
      <c r="AP1161" s="413"/>
      <c r="AQ1161" s="413"/>
    </row>
    <row r="1162" spans="38:43" ht="15" customHeight="1">
      <c r="AL1162" s="385"/>
      <c r="AM1162" s="385"/>
      <c r="AN1162" s="385"/>
      <c r="AP1162" s="413"/>
      <c r="AQ1162" s="413"/>
    </row>
    <row r="1163" spans="38:43" ht="15" customHeight="1">
      <c r="AL1163" s="385"/>
      <c r="AM1163" s="385"/>
      <c r="AN1163" s="385"/>
      <c r="AP1163" s="413"/>
      <c r="AQ1163" s="413"/>
    </row>
    <row r="1164" spans="38:43" ht="15" customHeight="1">
      <c r="AL1164" s="385"/>
      <c r="AM1164" s="385"/>
      <c r="AN1164" s="385"/>
      <c r="AP1164" s="413"/>
      <c r="AQ1164" s="413"/>
    </row>
    <row r="1165" spans="38:43" ht="15" customHeight="1">
      <c r="AL1165" s="385"/>
      <c r="AM1165" s="385"/>
      <c r="AN1165" s="385"/>
      <c r="AP1165" s="413"/>
      <c r="AQ1165" s="413"/>
    </row>
    <row r="1166" spans="38:43" ht="15" customHeight="1">
      <c r="AL1166" s="385"/>
      <c r="AM1166" s="385"/>
      <c r="AN1166" s="385"/>
      <c r="AP1166" s="413"/>
      <c r="AQ1166" s="413"/>
    </row>
    <row r="1167" spans="38:43" ht="15" customHeight="1">
      <c r="AL1167" s="385"/>
      <c r="AM1167" s="385"/>
      <c r="AN1167" s="385"/>
      <c r="AP1167" s="413"/>
      <c r="AQ1167" s="413"/>
    </row>
    <row r="1168" spans="38:43" ht="15" customHeight="1">
      <c r="AL1168" s="385"/>
      <c r="AM1168" s="385"/>
      <c r="AN1168" s="385"/>
      <c r="AP1168" s="413"/>
      <c r="AQ1168" s="413"/>
    </row>
    <row r="1169" spans="38:43" ht="15" customHeight="1">
      <c r="AL1169" s="385"/>
      <c r="AM1169" s="385"/>
      <c r="AN1169" s="385"/>
      <c r="AP1169" s="413"/>
      <c r="AQ1169" s="413"/>
    </row>
    <row r="1170" spans="38:43" ht="15" customHeight="1">
      <c r="AL1170" s="385"/>
      <c r="AM1170" s="385"/>
      <c r="AN1170" s="385"/>
      <c r="AP1170" s="413"/>
      <c r="AQ1170" s="413"/>
    </row>
    <row r="1171" spans="38:43" ht="15" customHeight="1">
      <c r="AL1171" s="385"/>
      <c r="AM1171" s="385"/>
      <c r="AN1171" s="385"/>
      <c r="AP1171" s="413"/>
      <c r="AQ1171" s="413"/>
    </row>
    <row r="1172" spans="38:43" ht="15" customHeight="1">
      <c r="AL1172" s="385"/>
      <c r="AM1172" s="385"/>
      <c r="AN1172" s="385"/>
      <c r="AP1172" s="413"/>
      <c r="AQ1172" s="413"/>
    </row>
    <row r="1173" spans="38:43" ht="15" customHeight="1">
      <c r="AL1173" s="385"/>
      <c r="AM1173" s="385"/>
      <c r="AN1173" s="385"/>
      <c r="AP1173" s="413"/>
      <c r="AQ1173" s="413"/>
    </row>
    <row r="1174" spans="38:43" ht="15" customHeight="1">
      <c r="AL1174" s="385"/>
      <c r="AM1174" s="385"/>
      <c r="AN1174" s="385"/>
      <c r="AP1174" s="413"/>
      <c r="AQ1174" s="413"/>
    </row>
    <row r="1175" spans="38:43" ht="15" customHeight="1">
      <c r="AL1175" s="385"/>
      <c r="AM1175" s="385"/>
      <c r="AN1175" s="385"/>
      <c r="AP1175" s="413"/>
      <c r="AQ1175" s="413"/>
    </row>
    <row r="1176" spans="38:43" ht="15" customHeight="1">
      <c r="AL1176" s="385"/>
      <c r="AM1176" s="385"/>
      <c r="AN1176" s="385"/>
      <c r="AP1176" s="413"/>
      <c r="AQ1176" s="413"/>
    </row>
    <row r="1177" spans="38:43" ht="15" customHeight="1">
      <c r="AL1177" s="385"/>
      <c r="AM1177" s="385"/>
      <c r="AN1177" s="385"/>
      <c r="AP1177" s="413"/>
      <c r="AQ1177" s="413"/>
    </row>
    <row r="1178" spans="38:43" ht="15" customHeight="1">
      <c r="AL1178" s="385"/>
      <c r="AM1178" s="385"/>
      <c r="AN1178" s="385"/>
      <c r="AP1178" s="413"/>
      <c r="AQ1178" s="413"/>
    </row>
    <row r="1179" spans="38:43" ht="15" customHeight="1">
      <c r="AL1179" s="385"/>
      <c r="AM1179" s="385"/>
      <c r="AN1179" s="385"/>
      <c r="AP1179" s="413"/>
      <c r="AQ1179" s="413"/>
    </row>
    <row r="1180" spans="38:43" ht="15" customHeight="1">
      <c r="AL1180" s="385"/>
      <c r="AM1180" s="385"/>
      <c r="AN1180" s="385"/>
      <c r="AP1180" s="413"/>
      <c r="AQ1180" s="413"/>
    </row>
    <row r="1181" spans="38:43" ht="15" customHeight="1">
      <c r="AL1181" s="385"/>
      <c r="AM1181" s="385"/>
      <c r="AN1181" s="385"/>
      <c r="AP1181" s="413"/>
      <c r="AQ1181" s="413"/>
    </row>
    <row r="1182" spans="38:43" ht="15" customHeight="1">
      <c r="AL1182" s="385"/>
      <c r="AM1182" s="385"/>
      <c r="AN1182" s="385"/>
      <c r="AP1182" s="413"/>
      <c r="AQ1182" s="413"/>
    </row>
    <row r="1183" spans="38:43" ht="15" customHeight="1">
      <c r="AL1183" s="385"/>
      <c r="AM1183" s="385"/>
      <c r="AN1183" s="385"/>
      <c r="AP1183" s="413"/>
      <c r="AQ1183" s="413"/>
    </row>
    <row r="1184" spans="38:43" ht="15" customHeight="1">
      <c r="AL1184" s="385"/>
      <c r="AM1184" s="385"/>
      <c r="AN1184" s="385"/>
      <c r="AP1184" s="413"/>
      <c r="AQ1184" s="413"/>
    </row>
    <row r="1185" spans="38:43" ht="15" customHeight="1">
      <c r="AL1185" s="385"/>
      <c r="AM1185" s="385"/>
      <c r="AN1185" s="385"/>
      <c r="AP1185" s="413"/>
      <c r="AQ1185" s="413"/>
    </row>
    <row r="1186" spans="38:43" ht="15" customHeight="1">
      <c r="AL1186" s="385"/>
      <c r="AM1186" s="385"/>
      <c r="AN1186" s="385"/>
      <c r="AP1186" s="413"/>
      <c r="AQ1186" s="413"/>
    </row>
    <row r="1187" spans="38:43" ht="15" customHeight="1">
      <c r="AL1187" s="385"/>
      <c r="AM1187" s="385"/>
      <c r="AN1187" s="385"/>
      <c r="AP1187" s="413"/>
      <c r="AQ1187" s="413"/>
    </row>
    <row r="1188" spans="38:43" ht="15" customHeight="1">
      <c r="AL1188" s="385"/>
      <c r="AM1188" s="385"/>
      <c r="AN1188" s="385"/>
      <c r="AP1188" s="413"/>
      <c r="AQ1188" s="413"/>
    </row>
    <row r="1189" spans="38:43" ht="15" customHeight="1">
      <c r="AL1189" s="385"/>
      <c r="AM1189" s="385"/>
      <c r="AN1189" s="385"/>
      <c r="AP1189" s="413"/>
      <c r="AQ1189" s="413"/>
    </row>
    <row r="1190" spans="38:43" ht="15" customHeight="1">
      <c r="AL1190" s="385"/>
      <c r="AM1190" s="385"/>
      <c r="AN1190" s="385"/>
      <c r="AP1190" s="413"/>
      <c r="AQ1190" s="413"/>
    </row>
    <row r="1191" spans="38:43" ht="15" customHeight="1">
      <c r="AL1191" s="385"/>
      <c r="AM1191" s="385"/>
      <c r="AN1191" s="385"/>
      <c r="AP1191" s="413"/>
      <c r="AQ1191" s="413"/>
    </row>
    <row r="1192" spans="38:43" ht="15" customHeight="1">
      <c r="AL1192" s="385"/>
      <c r="AM1192" s="385"/>
      <c r="AN1192" s="385"/>
      <c r="AP1192" s="413"/>
      <c r="AQ1192" s="413"/>
    </row>
    <row r="1193" spans="38:43" ht="15" customHeight="1">
      <c r="AL1193" s="385"/>
      <c r="AM1193" s="385"/>
      <c r="AN1193" s="385"/>
      <c r="AP1193" s="413"/>
      <c r="AQ1193" s="413"/>
    </row>
    <row r="1194" spans="38:43" ht="15" customHeight="1">
      <c r="AL1194" s="385"/>
      <c r="AM1194" s="385"/>
      <c r="AN1194" s="385"/>
      <c r="AP1194" s="413"/>
      <c r="AQ1194" s="413"/>
    </row>
    <row r="1195" spans="38:43" ht="15" customHeight="1">
      <c r="AL1195" s="385"/>
      <c r="AM1195" s="385"/>
      <c r="AN1195" s="385"/>
      <c r="AP1195" s="413"/>
      <c r="AQ1195" s="413"/>
    </row>
    <row r="1196" spans="38:43" ht="15" customHeight="1">
      <c r="AL1196" s="385"/>
      <c r="AM1196" s="385"/>
      <c r="AN1196" s="385"/>
      <c r="AP1196" s="413"/>
      <c r="AQ1196" s="413"/>
    </row>
    <row r="1197" spans="38:43" ht="15" customHeight="1">
      <c r="AL1197" s="385"/>
      <c r="AM1197" s="385"/>
      <c r="AN1197" s="385"/>
      <c r="AP1197" s="413"/>
      <c r="AQ1197" s="413"/>
    </row>
    <row r="1198" spans="38:43" ht="15" customHeight="1">
      <c r="AL1198" s="385"/>
      <c r="AM1198" s="385"/>
      <c r="AN1198" s="385"/>
      <c r="AP1198" s="413"/>
      <c r="AQ1198" s="413"/>
    </row>
    <row r="1199" spans="38:43" ht="15" customHeight="1">
      <c r="AL1199" s="385"/>
      <c r="AM1199" s="385"/>
      <c r="AN1199" s="385"/>
      <c r="AP1199" s="413"/>
      <c r="AQ1199" s="413"/>
    </row>
    <row r="1200" spans="38:43" ht="15" customHeight="1">
      <c r="AL1200" s="385"/>
      <c r="AM1200" s="385"/>
      <c r="AN1200" s="385"/>
      <c r="AP1200" s="413"/>
      <c r="AQ1200" s="413"/>
    </row>
    <row r="1201" spans="38:43" ht="15" customHeight="1">
      <c r="AL1201" s="385"/>
      <c r="AM1201" s="385"/>
      <c r="AN1201" s="385"/>
      <c r="AP1201" s="413"/>
      <c r="AQ1201" s="413"/>
    </row>
    <row r="1202" spans="38:43" ht="15" customHeight="1">
      <c r="AL1202" s="385"/>
      <c r="AM1202" s="385"/>
      <c r="AN1202" s="385"/>
      <c r="AP1202" s="413"/>
      <c r="AQ1202" s="413"/>
    </row>
    <row r="1203" spans="38:43" ht="15" customHeight="1">
      <c r="AL1203" s="385"/>
      <c r="AM1203" s="385"/>
      <c r="AN1203" s="385"/>
      <c r="AP1203" s="413"/>
      <c r="AQ1203" s="413"/>
    </row>
    <row r="1204" spans="38:43" ht="15" customHeight="1">
      <c r="AL1204" s="385"/>
      <c r="AM1204" s="385"/>
      <c r="AN1204" s="385"/>
      <c r="AP1204" s="413"/>
      <c r="AQ1204" s="413"/>
    </row>
    <row r="1205" spans="38:43" ht="15" customHeight="1">
      <c r="AL1205" s="385"/>
      <c r="AM1205" s="385"/>
      <c r="AN1205" s="385"/>
      <c r="AP1205" s="413"/>
      <c r="AQ1205" s="413"/>
    </row>
    <row r="1206" spans="38:43" ht="15" customHeight="1">
      <c r="AL1206" s="385"/>
      <c r="AM1206" s="385"/>
      <c r="AN1206" s="385"/>
      <c r="AP1206" s="413"/>
      <c r="AQ1206" s="413"/>
    </row>
    <row r="1207" spans="38:43" ht="15" customHeight="1">
      <c r="AL1207" s="385"/>
      <c r="AM1207" s="385"/>
      <c r="AN1207" s="385"/>
      <c r="AP1207" s="413"/>
      <c r="AQ1207" s="413"/>
    </row>
    <row r="1208" spans="38:43" ht="15" customHeight="1">
      <c r="AL1208" s="385"/>
      <c r="AM1208" s="385"/>
      <c r="AN1208" s="385"/>
      <c r="AP1208" s="413"/>
      <c r="AQ1208" s="413"/>
    </row>
    <row r="1209" spans="38:43" ht="15" customHeight="1">
      <c r="AL1209" s="385"/>
      <c r="AM1209" s="385"/>
      <c r="AN1209" s="385"/>
      <c r="AP1209" s="413"/>
      <c r="AQ1209" s="413"/>
    </row>
    <row r="1210" spans="38:43" ht="15" customHeight="1">
      <c r="AL1210" s="385"/>
      <c r="AM1210" s="385"/>
      <c r="AN1210" s="385"/>
      <c r="AP1210" s="413"/>
      <c r="AQ1210" s="413"/>
    </row>
    <row r="1211" spans="38:43" ht="15" customHeight="1">
      <c r="AL1211" s="385"/>
      <c r="AM1211" s="385"/>
      <c r="AN1211" s="385"/>
      <c r="AP1211" s="413"/>
      <c r="AQ1211" s="413"/>
    </row>
    <row r="1212" spans="38:43" ht="15" customHeight="1">
      <c r="AL1212" s="385"/>
      <c r="AM1212" s="385"/>
      <c r="AN1212" s="385"/>
      <c r="AP1212" s="413"/>
      <c r="AQ1212" s="413"/>
    </row>
    <row r="1213" spans="38:43" ht="15" customHeight="1">
      <c r="AL1213" s="385"/>
      <c r="AM1213" s="385"/>
      <c r="AN1213" s="385"/>
      <c r="AP1213" s="413"/>
      <c r="AQ1213" s="413"/>
    </row>
    <row r="1214" spans="38:43" ht="15" customHeight="1">
      <c r="AL1214" s="385"/>
      <c r="AM1214" s="385"/>
      <c r="AN1214" s="385"/>
      <c r="AP1214" s="413"/>
      <c r="AQ1214" s="413"/>
    </row>
    <row r="1215" spans="38:43" ht="15" customHeight="1">
      <c r="AL1215" s="385"/>
      <c r="AM1215" s="385"/>
      <c r="AN1215" s="385"/>
      <c r="AP1215" s="413"/>
      <c r="AQ1215" s="413"/>
    </row>
    <row r="1216" spans="38:43" ht="15" customHeight="1">
      <c r="AL1216" s="385"/>
      <c r="AM1216" s="385"/>
      <c r="AN1216" s="385"/>
      <c r="AP1216" s="413"/>
      <c r="AQ1216" s="413"/>
    </row>
    <row r="1217" spans="38:43" ht="15" customHeight="1">
      <c r="AL1217" s="385"/>
      <c r="AM1217" s="385"/>
      <c r="AN1217" s="385"/>
      <c r="AP1217" s="413"/>
      <c r="AQ1217" s="413"/>
    </row>
    <row r="1218" spans="38:43" ht="15" customHeight="1">
      <c r="AL1218" s="385"/>
      <c r="AM1218" s="385"/>
      <c r="AN1218" s="385"/>
      <c r="AP1218" s="413"/>
      <c r="AQ1218" s="413"/>
    </row>
    <row r="1219" spans="38:43" ht="15" customHeight="1">
      <c r="AL1219" s="385"/>
      <c r="AM1219" s="385"/>
      <c r="AN1219" s="385"/>
      <c r="AP1219" s="413"/>
      <c r="AQ1219" s="413"/>
    </row>
    <row r="1220" spans="38:43" ht="15" customHeight="1">
      <c r="AL1220" s="385"/>
      <c r="AM1220" s="385"/>
      <c r="AN1220" s="385"/>
      <c r="AP1220" s="413"/>
      <c r="AQ1220" s="413"/>
    </row>
    <row r="1221" spans="38:43" ht="15" customHeight="1">
      <c r="AL1221" s="385"/>
      <c r="AM1221" s="385"/>
      <c r="AN1221" s="385"/>
      <c r="AP1221" s="413"/>
      <c r="AQ1221" s="413"/>
    </row>
    <row r="1222" spans="38:43" ht="15" customHeight="1">
      <c r="AL1222" s="385"/>
      <c r="AM1222" s="385"/>
      <c r="AN1222" s="385"/>
      <c r="AP1222" s="413"/>
      <c r="AQ1222" s="413"/>
    </row>
    <row r="1223" spans="38:43" ht="15" customHeight="1">
      <c r="AL1223" s="385"/>
      <c r="AM1223" s="385"/>
      <c r="AN1223" s="385"/>
      <c r="AP1223" s="413"/>
      <c r="AQ1223" s="413"/>
    </row>
    <row r="1224" spans="38:43" ht="15" customHeight="1">
      <c r="AL1224" s="385"/>
      <c r="AM1224" s="385"/>
      <c r="AN1224" s="385"/>
      <c r="AP1224" s="413"/>
      <c r="AQ1224" s="413"/>
    </row>
    <row r="1225" spans="38:43" ht="15" customHeight="1">
      <c r="AL1225" s="385"/>
      <c r="AM1225" s="385"/>
      <c r="AN1225" s="385"/>
      <c r="AP1225" s="413"/>
      <c r="AQ1225" s="413"/>
    </row>
    <row r="1226" spans="38:43" ht="15" customHeight="1">
      <c r="AL1226" s="385"/>
      <c r="AM1226" s="385"/>
      <c r="AN1226" s="385"/>
      <c r="AP1226" s="413"/>
      <c r="AQ1226" s="413"/>
    </row>
    <row r="1227" spans="38:43" ht="15" customHeight="1">
      <c r="AL1227" s="385"/>
      <c r="AM1227" s="385"/>
      <c r="AN1227" s="385"/>
      <c r="AP1227" s="413"/>
      <c r="AQ1227" s="413"/>
    </row>
    <row r="1228" spans="38:43" ht="15" customHeight="1">
      <c r="AL1228" s="385"/>
      <c r="AM1228" s="385"/>
      <c r="AN1228" s="385"/>
      <c r="AP1228" s="413"/>
      <c r="AQ1228" s="413"/>
    </row>
    <row r="1229" spans="38:43" ht="15" customHeight="1">
      <c r="AL1229" s="385"/>
      <c r="AM1229" s="385"/>
      <c r="AN1229" s="385"/>
      <c r="AP1229" s="413"/>
      <c r="AQ1229" s="413"/>
    </row>
    <row r="1230" spans="38:43" ht="15" customHeight="1">
      <c r="AL1230" s="385"/>
      <c r="AM1230" s="385"/>
      <c r="AN1230" s="385"/>
      <c r="AP1230" s="413"/>
      <c r="AQ1230" s="413"/>
    </row>
    <row r="1231" spans="38:43" ht="15" customHeight="1">
      <c r="AL1231" s="385"/>
      <c r="AM1231" s="385"/>
      <c r="AN1231" s="385"/>
      <c r="AP1231" s="413"/>
      <c r="AQ1231" s="413"/>
    </row>
    <row r="1232" spans="38:43" ht="15" customHeight="1">
      <c r="AL1232" s="385"/>
      <c r="AM1232" s="385"/>
      <c r="AN1232" s="385"/>
      <c r="AP1232" s="413"/>
      <c r="AQ1232" s="413"/>
    </row>
    <row r="1233" spans="38:43" ht="15" customHeight="1">
      <c r="AL1233" s="385"/>
      <c r="AM1233" s="385"/>
      <c r="AN1233" s="385"/>
      <c r="AP1233" s="413"/>
      <c r="AQ1233" s="413"/>
    </row>
    <row r="1234" spans="38:43" ht="15" customHeight="1">
      <c r="AL1234" s="385"/>
      <c r="AM1234" s="385"/>
      <c r="AN1234" s="385"/>
      <c r="AP1234" s="413"/>
      <c r="AQ1234" s="413"/>
    </row>
    <row r="1235" spans="38:43" ht="15" customHeight="1">
      <c r="AL1235" s="385"/>
      <c r="AM1235" s="385"/>
      <c r="AN1235" s="385"/>
      <c r="AP1235" s="413"/>
      <c r="AQ1235" s="413"/>
    </row>
    <row r="1236" spans="38:43" ht="15" customHeight="1">
      <c r="AL1236" s="385"/>
      <c r="AM1236" s="385"/>
      <c r="AN1236" s="385"/>
      <c r="AP1236" s="413"/>
      <c r="AQ1236" s="413"/>
    </row>
    <row r="1237" spans="38:43" ht="15" customHeight="1">
      <c r="AL1237" s="385"/>
      <c r="AM1237" s="385"/>
      <c r="AN1237" s="385"/>
      <c r="AP1237" s="413"/>
      <c r="AQ1237" s="413"/>
    </row>
    <row r="1238" spans="38:43" ht="15" customHeight="1">
      <c r="AL1238" s="385"/>
      <c r="AM1238" s="385"/>
      <c r="AN1238" s="385"/>
      <c r="AP1238" s="413"/>
      <c r="AQ1238" s="413"/>
    </row>
    <row r="1239" spans="38:43" ht="15" customHeight="1">
      <c r="AL1239" s="385"/>
      <c r="AM1239" s="385"/>
      <c r="AN1239" s="385"/>
      <c r="AP1239" s="413"/>
      <c r="AQ1239" s="413"/>
    </row>
    <row r="1240" spans="38:43" ht="15" customHeight="1">
      <c r="AL1240" s="385"/>
      <c r="AM1240" s="385"/>
      <c r="AN1240" s="385"/>
      <c r="AP1240" s="413"/>
      <c r="AQ1240" s="413"/>
    </row>
    <row r="1241" spans="38:43" ht="15" customHeight="1">
      <c r="AL1241" s="385"/>
      <c r="AM1241" s="385"/>
      <c r="AN1241" s="385"/>
      <c r="AP1241" s="413"/>
      <c r="AQ1241" s="413"/>
    </row>
    <row r="1242" spans="38:43" ht="15" customHeight="1">
      <c r="AL1242" s="385"/>
      <c r="AM1242" s="385"/>
      <c r="AN1242" s="385"/>
      <c r="AP1242" s="413"/>
      <c r="AQ1242" s="413"/>
    </row>
    <row r="1243" spans="38:43" ht="15" customHeight="1">
      <c r="AL1243" s="385"/>
      <c r="AM1243" s="385"/>
      <c r="AN1243" s="385"/>
      <c r="AP1243" s="413"/>
      <c r="AQ1243" s="413"/>
    </row>
    <row r="1244" spans="38:43" ht="15" customHeight="1">
      <c r="AL1244" s="385"/>
      <c r="AM1244" s="385"/>
      <c r="AN1244" s="385"/>
      <c r="AP1244" s="413"/>
      <c r="AQ1244" s="413"/>
    </row>
    <row r="1245" spans="38:43" ht="15" customHeight="1">
      <c r="AL1245" s="385"/>
      <c r="AM1245" s="385"/>
      <c r="AN1245" s="385"/>
      <c r="AP1245" s="413"/>
      <c r="AQ1245" s="413"/>
    </row>
    <row r="1246" spans="38:43" ht="15" customHeight="1">
      <c r="AL1246" s="385"/>
      <c r="AM1246" s="385"/>
      <c r="AN1246" s="385"/>
      <c r="AP1246" s="413"/>
      <c r="AQ1246" s="413"/>
    </row>
    <row r="1247" spans="38:43" ht="15" customHeight="1">
      <c r="AL1247" s="385"/>
      <c r="AM1247" s="385"/>
      <c r="AN1247" s="385"/>
      <c r="AP1247" s="413"/>
      <c r="AQ1247" s="413"/>
    </row>
    <row r="1248" spans="38:43" ht="15" customHeight="1">
      <c r="AL1248" s="385"/>
      <c r="AM1248" s="385"/>
      <c r="AN1248" s="385"/>
      <c r="AP1248" s="413"/>
      <c r="AQ1248" s="413"/>
    </row>
    <row r="1249" spans="38:43" ht="15" customHeight="1">
      <c r="AL1249" s="385"/>
      <c r="AM1249" s="385"/>
      <c r="AN1249" s="385"/>
      <c r="AP1249" s="413"/>
      <c r="AQ1249" s="413"/>
    </row>
    <row r="1250" spans="38:43" ht="15" customHeight="1">
      <c r="AL1250" s="385"/>
      <c r="AM1250" s="385"/>
      <c r="AN1250" s="385"/>
      <c r="AP1250" s="413"/>
      <c r="AQ1250" s="413"/>
    </row>
    <row r="1251" spans="38:43" ht="15" customHeight="1">
      <c r="AL1251" s="385"/>
      <c r="AM1251" s="385"/>
      <c r="AN1251" s="385"/>
      <c r="AP1251" s="413"/>
      <c r="AQ1251" s="413"/>
    </row>
    <row r="1252" spans="38:43" ht="15" customHeight="1">
      <c r="AL1252" s="385"/>
      <c r="AM1252" s="385"/>
      <c r="AN1252" s="385"/>
      <c r="AP1252" s="413"/>
      <c r="AQ1252" s="413"/>
    </row>
    <row r="1253" spans="38:43" ht="15" customHeight="1">
      <c r="AL1253" s="385"/>
      <c r="AM1253" s="385"/>
      <c r="AN1253" s="385"/>
      <c r="AP1253" s="413"/>
      <c r="AQ1253" s="413"/>
    </row>
    <row r="1254" spans="38:43" ht="15" customHeight="1">
      <c r="AL1254" s="385"/>
      <c r="AM1254" s="385"/>
      <c r="AN1254" s="385"/>
      <c r="AP1254" s="413"/>
      <c r="AQ1254" s="413"/>
    </row>
    <row r="1255" spans="38:43" ht="15" customHeight="1">
      <c r="AL1255" s="385"/>
      <c r="AM1255" s="385"/>
      <c r="AN1255" s="385"/>
      <c r="AP1255" s="413"/>
      <c r="AQ1255" s="413"/>
    </row>
    <row r="1256" spans="38:43" ht="15" customHeight="1">
      <c r="AL1256" s="385"/>
      <c r="AM1256" s="385"/>
      <c r="AN1256" s="385"/>
      <c r="AP1256" s="413"/>
      <c r="AQ1256" s="413"/>
    </row>
    <row r="1257" spans="38:43" ht="15" customHeight="1">
      <c r="AL1257" s="385"/>
      <c r="AM1257" s="385"/>
      <c r="AN1257" s="385"/>
      <c r="AP1257" s="413"/>
      <c r="AQ1257" s="413"/>
    </row>
    <row r="1258" spans="38:43" ht="15" customHeight="1">
      <c r="AL1258" s="385"/>
      <c r="AM1258" s="385"/>
      <c r="AN1258" s="385"/>
      <c r="AP1258" s="413"/>
      <c r="AQ1258" s="413"/>
    </row>
    <row r="1259" spans="38:43" ht="15" customHeight="1">
      <c r="AL1259" s="385"/>
      <c r="AM1259" s="385"/>
      <c r="AN1259" s="385"/>
      <c r="AP1259" s="413"/>
      <c r="AQ1259" s="413"/>
    </row>
    <row r="1260" spans="38:43" ht="15" customHeight="1">
      <c r="AL1260" s="385"/>
      <c r="AM1260" s="385"/>
      <c r="AN1260" s="385"/>
      <c r="AP1260" s="413"/>
      <c r="AQ1260" s="413"/>
    </row>
    <row r="1261" spans="38:43" ht="15" customHeight="1">
      <c r="AL1261" s="385"/>
      <c r="AM1261" s="385"/>
      <c r="AN1261" s="385"/>
      <c r="AP1261" s="413"/>
      <c r="AQ1261" s="413"/>
    </row>
    <row r="1262" spans="38:43" ht="15" customHeight="1">
      <c r="AL1262" s="385"/>
      <c r="AM1262" s="385"/>
      <c r="AN1262" s="385"/>
      <c r="AP1262" s="413"/>
      <c r="AQ1262" s="413"/>
    </row>
    <row r="1263" spans="38:43" ht="15" customHeight="1">
      <c r="AL1263" s="385"/>
      <c r="AM1263" s="385"/>
      <c r="AN1263" s="385"/>
      <c r="AP1263" s="413"/>
      <c r="AQ1263" s="413"/>
    </row>
    <row r="1264" spans="38:43" ht="15" customHeight="1">
      <c r="AL1264" s="385"/>
      <c r="AM1264" s="385"/>
      <c r="AN1264" s="385"/>
      <c r="AP1264" s="413"/>
      <c r="AQ1264" s="413"/>
    </row>
    <row r="1265" spans="38:43" ht="15" customHeight="1">
      <c r="AL1265" s="385"/>
      <c r="AM1265" s="385"/>
      <c r="AN1265" s="385"/>
      <c r="AP1265" s="413"/>
      <c r="AQ1265" s="413"/>
    </row>
    <row r="1266" spans="38:43" ht="15" customHeight="1">
      <c r="AL1266" s="385"/>
      <c r="AM1266" s="385"/>
      <c r="AN1266" s="385"/>
      <c r="AP1266" s="413"/>
      <c r="AQ1266" s="413"/>
    </row>
    <row r="1267" spans="38:43" ht="15" customHeight="1">
      <c r="AL1267" s="385"/>
      <c r="AM1267" s="385"/>
      <c r="AN1267" s="385"/>
      <c r="AP1267" s="413"/>
      <c r="AQ1267" s="413"/>
    </row>
    <row r="1268" spans="38:43" ht="15" customHeight="1">
      <c r="AL1268" s="385"/>
      <c r="AM1268" s="385"/>
      <c r="AN1268" s="385"/>
      <c r="AP1268" s="413"/>
      <c r="AQ1268" s="413"/>
    </row>
    <row r="1269" spans="38:43" ht="15" customHeight="1">
      <c r="AL1269" s="385"/>
      <c r="AM1269" s="385"/>
      <c r="AN1269" s="385"/>
      <c r="AP1269" s="413"/>
      <c r="AQ1269" s="413"/>
    </row>
    <row r="1270" spans="38:43" ht="15" customHeight="1">
      <c r="AL1270" s="385"/>
      <c r="AM1270" s="385"/>
      <c r="AN1270" s="385"/>
      <c r="AP1270" s="413"/>
      <c r="AQ1270" s="413"/>
    </row>
    <row r="1271" spans="38:43" ht="15" customHeight="1">
      <c r="AL1271" s="385"/>
      <c r="AM1271" s="385"/>
      <c r="AN1271" s="385"/>
      <c r="AP1271" s="413"/>
      <c r="AQ1271" s="413"/>
    </row>
    <row r="1272" spans="38:43" ht="15" customHeight="1">
      <c r="AL1272" s="385"/>
      <c r="AM1272" s="385"/>
      <c r="AN1272" s="385"/>
      <c r="AP1272" s="413"/>
      <c r="AQ1272" s="413"/>
    </row>
    <row r="1273" spans="38:43" ht="15" customHeight="1">
      <c r="AL1273" s="385"/>
      <c r="AM1273" s="385"/>
      <c r="AN1273" s="385"/>
      <c r="AP1273" s="413"/>
      <c r="AQ1273" s="413"/>
    </row>
    <row r="1274" spans="38:43" ht="15" customHeight="1">
      <c r="AL1274" s="385"/>
      <c r="AM1274" s="385"/>
      <c r="AN1274" s="385"/>
      <c r="AP1274" s="413"/>
      <c r="AQ1274" s="413"/>
    </row>
    <row r="1275" spans="38:43" ht="15" customHeight="1">
      <c r="AL1275" s="385"/>
      <c r="AM1275" s="385"/>
      <c r="AN1275" s="385"/>
      <c r="AP1275" s="413"/>
      <c r="AQ1275" s="413"/>
    </row>
    <row r="1276" spans="38:43" ht="15" customHeight="1">
      <c r="AL1276" s="385"/>
      <c r="AM1276" s="385"/>
      <c r="AN1276" s="385"/>
      <c r="AP1276" s="413"/>
      <c r="AQ1276" s="413"/>
    </row>
    <row r="1277" spans="38:43" ht="15" customHeight="1">
      <c r="AL1277" s="385"/>
      <c r="AM1277" s="385"/>
      <c r="AN1277" s="385"/>
      <c r="AP1277" s="413"/>
      <c r="AQ1277" s="413"/>
    </row>
    <row r="1278" spans="38:43" ht="15" customHeight="1">
      <c r="AL1278" s="385"/>
      <c r="AM1278" s="385"/>
      <c r="AN1278" s="385"/>
      <c r="AP1278" s="413"/>
      <c r="AQ1278" s="413"/>
    </row>
    <row r="1279" spans="38:43" ht="15" customHeight="1">
      <c r="AL1279" s="385"/>
      <c r="AM1279" s="385"/>
      <c r="AN1279" s="385"/>
      <c r="AP1279" s="413"/>
      <c r="AQ1279" s="413"/>
    </row>
    <row r="1280" spans="38:43" ht="15" customHeight="1">
      <c r="AL1280" s="385"/>
      <c r="AM1280" s="385"/>
      <c r="AN1280" s="385"/>
      <c r="AP1280" s="413"/>
      <c r="AQ1280" s="413"/>
    </row>
    <row r="1281" spans="38:43" ht="15" customHeight="1">
      <c r="AL1281" s="385"/>
      <c r="AM1281" s="385"/>
      <c r="AN1281" s="385"/>
      <c r="AP1281" s="413"/>
      <c r="AQ1281" s="413"/>
    </row>
    <row r="1282" spans="38:43" ht="15" customHeight="1">
      <c r="AL1282" s="385"/>
      <c r="AM1282" s="385"/>
      <c r="AN1282" s="385"/>
      <c r="AP1282" s="413"/>
      <c r="AQ1282" s="413"/>
    </row>
    <row r="1283" spans="38:43" ht="15" customHeight="1">
      <c r="AL1283" s="385"/>
      <c r="AM1283" s="385"/>
      <c r="AN1283" s="385"/>
      <c r="AP1283" s="413"/>
      <c r="AQ1283" s="413"/>
    </row>
    <row r="1284" spans="38:43" ht="15" customHeight="1">
      <c r="AL1284" s="385"/>
      <c r="AM1284" s="385"/>
      <c r="AN1284" s="385"/>
      <c r="AP1284" s="413"/>
      <c r="AQ1284" s="413"/>
    </row>
    <row r="1285" spans="38:43" ht="15" customHeight="1">
      <c r="AL1285" s="385"/>
      <c r="AM1285" s="385"/>
      <c r="AN1285" s="385"/>
      <c r="AP1285" s="413"/>
      <c r="AQ1285" s="413"/>
    </row>
    <row r="1286" spans="38:43" ht="15" customHeight="1">
      <c r="AL1286" s="385"/>
      <c r="AM1286" s="385"/>
      <c r="AN1286" s="385"/>
      <c r="AP1286" s="413"/>
      <c r="AQ1286" s="413"/>
    </row>
    <row r="1287" spans="38:43" ht="15" customHeight="1">
      <c r="AL1287" s="385"/>
      <c r="AM1287" s="385"/>
      <c r="AN1287" s="385"/>
      <c r="AP1287" s="413"/>
      <c r="AQ1287" s="413"/>
    </row>
    <row r="1288" spans="38:43" ht="15" customHeight="1">
      <c r="AL1288" s="385"/>
      <c r="AM1288" s="385"/>
      <c r="AN1288" s="385"/>
      <c r="AP1288" s="413"/>
      <c r="AQ1288" s="413"/>
    </row>
    <row r="1289" spans="38:43" ht="15" customHeight="1">
      <c r="AL1289" s="385"/>
      <c r="AM1289" s="385"/>
      <c r="AN1289" s="385"/>
      <c r="AP1289" s="413"/>
      <c r="AQ1289" s="413"/>
    </row>
    <row r="1290" spans="38:43" ht="15" customHeight="1">
      <c r="AL1290" s="385"/>
      <c r="AM1290" s="385"/>
      <c r="AN1290" s="385"/>
      <c r="AP1290" s="413"/>
      <c r="AQ1290" s="413"/>
    </row>
    <row r="1291" spans="38:43" ht="15" customHeight="1">
      <c r="AL1291" s="385"/>
      <c r="AM1291" s="385"/>
      <c r="AN1291" s="385"/>
      <c r="AP1291" s="413"/>
      <c r="AQ1291" s="413"/>
    </row>
    <row r="1292" spans="38:43" ht="15" customHeight="1">
      <c r="AL1292" s="385"/>
      <c r="AM1292" s="385"/>
      <c r="AN1292" s="385"/>
      <c r="AP1292" s="413"/>
      <c r="AQ1292" s="413"/>
    </row>
    <row r="1293" spans="38:43" ht="15" customHeight="1">
      <c r="AL1293" s="385"/>
      <c r="AM1293" s="385"/>
      <c r="AN1293" s="385"/>
      <c r="AP1293" s="413"/>
      <c r="AQ1293" s="413"/>
    </row>
    <row r="1294" spans="38:43" ht="15" customHeight="1">
      <c r="AL1294" s="385"/>
      <c r="AM1294" s="385"/>
      <c r="AN1294" s="385"/>
      <c r="AP1294" s="413"/>
      <c r="AQ1294" s="413"/>
    </row>
    <row r="1295" spans="38:43" ht="15" customHeight="1">
      <c r="AL1295" s="385"/>
      <c r="AM1295" s="385"/>
      <c r="AN1295" s="385"/>
      <c r="AP1295" s="413"/>
      <c r="AQ1295" s="413"/>
    </row>
    <row r="1296" spans="38:43" ht="15" customHeight="1">
      <c r="AL1296" s="385"/>
      <c r="AM1296" s="385"/>
      <c r="AN1296" s="385"/>
      <c r="AP1296" s="413"/>
      <c r="AQ1296" s="413"/>
    </row>
    <row r="1297" spans="38:43" ht="15" customHeight="1">
      <c r="AL1297" s="385"/>
      <c r="AM1297" s="385"/>
      <c r="AN1297" s="385"/>
      <c r="AP1297" s="413"/>
      <c r="AQ1297" s="413"/>
    </row>
    <row r="1298" spans="38:43" ht="15" customHeight="1">
      <c r="AL1298" s="385"/>
      <c r="AM1298" s="385"/>
      <c r="AN1298" s="385"/>
      <c r="AP1298" s="413"/>
      <c r="AQ1298" s="413"/>
    </row>
    <row r="1299" spans="38:43" ht="15" customHeight="1">
      <c r="AL1299" s="385"/>
      <c r="AM1299" s="385"/>
      <c r="AN1299" s="385"/>
      <c r="AP1299" s="413"/>
      <c r="AQ1299" s="413"/>
    </row>
    <row r="1300" spans="38:43" ht="15" customHeight="1">
      <c r="AL1300" s="385"/>
      <c r="AM1300" s="385"/>
      <c r="AN1300" s="385"/>
      <c r="AP1300" s="413"/>
      <c r="AQ1300" s="413"/>
    </row>
    <row r="1301" spans="38:43" ht="15" customHeight="1">
      <c r="AL1301" s="385"/>
      <c r="AM1301" s="385"/>
      <c r="AN1301" s="385"/>
      <c r="AP1301" s="413"/>
      <c r="AQ1301" s="413"/>
    </row>
    <row r="1302" spans="38:43" ht="15" customHeight="1">
      <c r="AL1302" s="385"/>
      <c r="AM1302" s="385"/>
      <c r="AN1302" s="385"/>
      <c r="AP1302" s="413"/>
      <c r="AQ1302" s="413"/>
    </row>
    <row r="1303" spans="38:43" ht="15" customHeight="1">
      <c r="AL1303" s="385"/>
      <c r="AM1303" s="385"/>
      <c r="AN1303" s="385"/>
      <c r="AP1303" s="413"/>
      <c r="AQ1303" s="413"/>
    </row>
    <row r="1304" spans="38:43" ht="15" customHeight="1">
      <c r="AL1304" s="385"/>
      <c r="AM1304" s="385"/>
      <c r="AN1304" s="385"/>
      <c r="AP1304" s="413"/>
      <c r="AQ1304" s="413"/>
    </row>
    <row r="1305" spans="38:43" ht="15" customHeight="1">
      <c r="AL1305" s="385"/>
      <c r="AM1305" s="385"/>
      <c r="AN1305" s="385"/>
      <c r="AP1305" s="413"/>
      <c r="AQ1305" s="413"/>
    </row>
    <row r="1306" spans="38:43" ht="15" customHeight="1">
      <c r="AL1306" s="385"/>
      <c r="AM1306" s="385"/>
      <c r="AN1306" s="385"/>
      <c r="AP1306" s="413"/>
      <c r="AQ1306" s="413"/>
    </row>
    <row r="1307" spans="38:43" ht="15" customHeight="1">
      <c r="AL1307" s="385"/>
      <c r="AM1307" s="385"/>
      <c r="AN1307" s="385"/>
      <c r="AP1307" s="413"/>
      <c r="AQ1307" s="413"/>
    </row>
    <row r="1308" spans="38:43" ht="15" customHeight="1">
      <c r="AL1308" s="385"/>
      <c r="AM1308" s="385"/>
      <c r="AN1308" s="385"/>
      <c r="AP1308" s="413"/>
      <c r="AQ1308" s="413"/>
    </row>
    <row r="1309" spans="38:43" ht="15" customHeight="1">
      <c r="AL1309" s="385"/>
      <c r="AM1309" s="385"/>
      <c r="AN1309" s="385"/>
      <c r="AP1309" s="413"/>
      <c r="AQ1309" s="413"/>
    </row>
    <row r="1310" spans="38:43" ht="15" customHeight="1">
      <c r="AL1310" s="385"/>
      <c r="AM1310" s="385"/>
      <c r="AN1310" s="385"/>
      <c r="AP1310" s="413"/>
      <c r="AQ1310" s="413"/>
    </row>
    <row r="1311" spans="38:43" ht="15" customHeight="1">
      <c r="AL1311" s="385"/>
      <c r="AM1311" s="385"/>
      <c r="AN1311" s="385"/>
      <c r="AP1311" s="413"/>
      <c r="AQ1311" s="413"/>
    </row>
    <row r="1312" spans="38:43" ht="15" customHeight="1">
      <c r="AL1312" s="385"/>
      <c r="AM1312" s="385"/>
      <c r="AN1312" s="385"/>
      <c r="AP1312" s="413"/>
      <c r="AQ1312" s="413"/>
    </row>
    <row r="1313" spans="38:43" ht="15" customHeight="1">
      <c r="AL1313" s="385"/>
      <c r="AM1313" s="385"/>
      <c r="AN1313" s="385"/>
      <c r="AP1313" s="413"/>
      <c r="AQ1313" s="413"/>
    </row>
    <row r="1314" spans="38:43" ht="15" customHeight="1">
      <c r="AL1314" s="385"/>
      <c r="AM1314" s="385"/>
      <c r="AN1314" s="385"/>
      <c r="AP1314" s="413"/>
      <c r="AQ1314" s="413"/>
    </row>
    <row r="1315" spans="38:43" ht="15" customHeight="1">
      <c r="AL1315" s="385"/>
      <c r="AM1315" s="385"/>
      <c r="AN1315" s="385"/>
      <c r="AP1315" s="413"/>
      <c r="AQ1315" s="413"/>
    </row>
    <row r="1316" spans="38:43" ht="15" customHeight="1">
      <c r="AL1316" s="385"/>
      <c r="AM1316" s="385"/>
      <c r="AN1316" s="385"/>
      <c r="AP1316" s="413"/>
      <c r="AQ1316" s="413"/>
    </row>
    <row r="1317" spans="38:43" ht="15" customHeight="1">
      <c r="AL1317" s="385"/>
      <c r="AM1317" s="385"/>
      <c r="AN1317" s="385"/>
      <c r="AP1317" s="413"/>
      <c r="AQ1317" s="413"/>
    </row>
    <row r="1318" spans="38:43" ht="15" customHeight="1">
      <c r="AL1318" s="385"/>
      <c r="AM1318" s="385"/>
      <c r="AN1318" s="385"/>
      <c r="AP1318" s="413"/>
      <c r="AQ1318" s="413"/>
    </row>
    <row r="1319" spans="38:43" ht="15" customHeight="1">
      <c r="AL1319" s="385"/>
      <c r="AM1319" s="385"/>
      <c r="AN1319" s="385"/>
      <c r="AP1319" s="413"/>
      <c r="AQ1319" s="413"/>
    </row>
    <row r="1320" spans="38:43" ht="15" customHeight="1">
      <c r="AL1320" s="385"/>
      <c r="AM1320" s="385"/>
      <c r="AN1320" s="385"/>
      <c r="AP1320" s="413"/>
      <c r="AQ1320" s="413"/>
    </row>
    <row r="1321" spans="38:43" ht="15" customHeight="1">
      <c r="AL1321" s="385"/>
      <c r="AM1321" s="385"/>
      <c r="AN1321" s="385"/>
      <c r="AP1321" s="413"/>
      <c r="AQ1321" s="413"/>
    </row>
    <row r="1322" spans="38:43" ht="15" customHeight="1">
      <c r="AL1322" s="385"/>
      <c r="AM1322" s="385"/>
      <c r="AN1322" s="385"/>
      <c r="AP1322" s="413"/>
      <c r="AQ1322" s="413"/>
    </row>
    <row r="1323" spans="38:43" ht="15" customHeight="1">
      <c r="AL1323" s="385"/>
      <c r="AM1323" s="385"/>
      <c r="AN1323" s="385"/>
      <c r="AP1323" s="413"/>
      <c r="AQ1323" s="413"/>
    </row>
    <row r="1324" spans="38:43" ht="15" customHeight="1">
      <c r="AL1324" s="385"/>
      <c r="AM1324" s="385"/>
      <c r="AN1324" s="385"/>
      <c r="AP1324" s="413"/>
      <c r="AQ1324" s="413"/>
    </row>
    <row r="1325" spans="38:43" ht="15" customHeight="1">
      <c r="AL1325" s="385"/>
      <c r="AM1325" s="385"/>
      <c r="AN1325" s="385"/>
      <c r="AP1325" s="413"/>
      <c r="AQ1325" s="413"/>
    </row>
    <row r="1326" spans="38:43" ht="15" customHeight="1">
      <c r="AL1326" s="385"/>
      <c r="AM1326" s="385"/>
      <c r="AN1326" s="385"/>
      <c r="AP1326" s="413"/>
      <c r="AQ1326" s="413"/>
    </row>
    <row r="1327" spans="38:43" ht="15" customHeight="1">
      <c r="AL1327" s="385"/>
      <c r="AM1327" s="385"/>
      <c r="AN1327" s="385"/>
      <c r="AP1327" s="413"/>
      <c r="AQ1327" s="413"/>
    </row>
    <row r="1328" spans="38:43" ht="15" customHeight="1">
      <c r="AL1328" s="385"/>
      <c r="AM1328" s="385"/>
      <c r="AN1328" s="385"/>
      <c r="AP1328" s="413"/>
      <c r="AQ1328" s="413"/>
    </row>
    <row r="1329" spans="38:43" ht="15" customHeight="1">
      <c r="AL1329" s="385"/>
      <c r="AM1329" s="385"/>
      <c r="AN1329" s="385"/>
      <c r="AP1329" s="413"/>
      <c r="AQ1329" s="413"/>
    </row>
    <row r="1330" spans="38:43" ht="15" customHeight="1">
      <c r="AL1330" s="385"/>
      <c r="AM1330" s="385"/>
      <c r="AN1330" s="385"/>
      <c r="AP1330" s="413"/>
      <c r="AQ1330" s="413"/>
    </row>
    <row r="1331" spans="38:43" ht="15" customHeight="1">
      <c r="AL1331" s="385"/>
      <c r="AM1331" s="385"/>
      <c r="AN1331" s="385"/>
      <c r="AP1331" s="413"/>
      <c r="AQ1331" s="413"/>
    </row>
    <row r="1332" spans="38:43" ht="15" customHeight="1">
      <c r="AL1332" s="385"/>
      <c r="AM1332" s="385"/>
      <c r="AN1332" s="385"/>
      <c r="AP1332" s="413"/>
      <c r="AQ1332" s="413"/>
    </row>
    <row r="1333" spans="38:43" ht="15" customHeight="1">
      <c r="AL1333" s="385"/>
      <c r="AM1333" s="385"/>
      <c r="AN1333" s="385"/>
      <c r="AP1333" s="413"/>
      <c r="AQ1333" s="413"/>
    </row>
    <row r="1334" spans="38:43" ht="15" customHeight="1">
      <c r="AL1334" s="385"/>
      <c r="AM1334" s="385"/>
      <c r="AN1334" s="385"/>
      <c r="AP1334" s="413"/>
      <c r="AQ1334" s="413"/>
    </row>
    <row r="1335" spans="38:43" ht="15" customHeight="1">
      <c r="AL1335" s="385"/>
      <c r="AM1335" s="385"/>
      <c r="AN1335" s="385"/>
      <c r="AP1335" s="413"/>
      <c r="AQ1335" s="413"/>
    </row>
    <row r="1336" spans="38:43" ht="15" customHeight="1">
      <c r="AL1336" s="385"/>
      <c r="AM1336" s="385"/>
      <c r="AN1336" s="385"/>
      <c r="AP1336" s="413"/>
      <c r="AQ1336" s="413"/>
    </row>
    <row r="1337" spans="38:43" ht="15" customHeight="1">
      <c r="AL1337" s="385"/>
      <c r="AM1337" s="385"/>
      <c r="AN1337" s="385"/>
      <c r="AP1337" s="413"/>
      <c r="AQ1337" s="413"/>
    </row>
    <row r="1338" spans="38:43" ht="15" customHeight="1">
      <c r="AL1338" s="385"/>
      <c r="AM1338" s="385"/>
      <c r="AN1338" s="385"/>
      <c r="AP1338" s="413"/>
      <c r="AQ1338" s="413"/>
    </row>
    <row r="1339" spans="38:43" ht="15" customHeight="1">
      <c r="AL1339" s="385"/>
      <c r="AM1339" s="385"/>
      <c r="AN1339" s="385"/>
      <c r="AP1339" s="413"/>
      <c r="AQ1339" s="413"/>
    </row>
    <row r="1340" spans="38:43" ht="15" customHeight="1">
      <c r="AL1340" s="385"/>
      <c r="AM1340" s="385"/>
      <c r="AN1340" s="385"/>
      <c r="AP1340" s="413"/>
      <c r="AQ1340" s="413"/>
    </row>
    <row r="1341" spans="38:43" ht="15" customHeight="1">
      <c r="AL1341" s="385"/>
      <c r="AM1341" s="385"/>
      <c r="AN1341" s="385"/>
      <c r="AP1341" s="413"/>
      <c r="AQ1341" s="413"/>
    </row>
    <row r="1342" spans="38:43" ht="15" customHeight="1">
      <c r="AL1342" s="385"/>
      <c r="AM1342" s="385"/>
      <c r="AN1342" s="385"/>
      <c r="AP1342" s="413"/>
      <c r="AQ1342" s="413"/>
    </row>
    <row r="1343" spans="38:43" ht="15" customHeight="1">
      <c r="AL1343" s="385"/>
      <c r="AM1343" s="385"/>
      <c r="AN1343" s="385"/>
      <c r="AP1343" s="413"/>
      <c r="AQ1343" s="413"/>
    </row>
    <row r="1344" spans="38:43" ht="15" customHeight="1">
      <c r="AL1344" s="385"/>
      <c r="AM1344" s="385"/>
      <c r="AN1344" s="385"/>
      <c r="AP1344" s="413"/>
      <c r="AQ1344" s="413"/>
    </row>
    <row r="1345" spans="38:43" ht="15" customHeight="1">
      <c r="AL1345" s="385"/>
      <c r="AM1345" s="385"/>
      <c r="AN1345" s="385"/>
      <c r="AP1345" s="413"/>
      <c r="AQ1345" s="413"/>
    </row>
    <row r="1346" spans="38:43" ht="15" customHeight="1">
      <c r="AL1346" s="385"/>
      <c r="AM1346" s="385"/>
      <c r="AN1346" s="385"/>
      <c r="AP1346" s="413"/>
      <c r="AQ1346" s="413"/>
    </row>
    <row r="1347" spans="38:43" ht="15" customHeight="1">
      <c r="AL1347" s="385"/>
      <c r="AM1347" s="385"/>
      <c r="AN1347" s="385"/>
      <c r="AP1347" s="413"/>
      <c r="AQ1347" s="413"/>
    </row>
    <row r="1348" spans="38:43" ht="15" customHeight="1">
      <c r="AL1348" s="385"/>
      <c r="AM1348" s="385"/>
      <c r="AN1348" s="385"/>
      <c r="AP1348" s="413"/>
      <c r="AQ1348" s="413"/>
    </row>
    <row r="1349" spans="38:43" ht="15" customHeight="1">
      <c r="AL1349" s="385"/>
      <c r="AM1349" s="385"/>
      <c r="AN1349" s="385"/>
      <c r="AP1349" s="413"/>
      <c r="AQ1349" s="413"/>
    </row>
    <row r="1350" spans="38:43" ht="15" customHeight="1">
      <c r="AL1350" s="385"/>
      <c r="AM1350" s="385"/>
      <c r="AN1350" s="385"/>
      <c r="AP1350" s="413"/>
      <c r="AQ1350" s="413"/>
    </row>
    <row r="1351" spans="38:43" ht="15" customHeight="1">
      <c r="AL1351" s="385"/>
      <c r="AM1351" s="385"/>
      <c r="AN1351" s="385"/>
      <c r="AP1351" s="413"/>
      <c r="AQ1351" s="413"/>
    </row>
    <row r="1352" spans="38:43" ht="15" customHeight="1">
      <c r="AL1352" s="385"/>
      <c r="AM1352" s="385"/>
      <c r="AN1352" s="385"/>
      <c r="AP1352" s="413"/>
      <c r="AQ1352" s="413"/>
    </row>
    <row r="1353" spans="38:43" ht="15" customHeight="1">
      <c r="AL1353" s="385"/>
      <c r="AM1353" s="385"/>
      <c r="AN1353" s="385"/>
      <c r="AP1353" s="413"/>
      <c r="AQ1353" s="413"/>
    </row>
    <row r="1354" spans="38:43" ht="15" customHeight="1">
      <c r="AL1354" s="385"/>
      <c r="AM1354" s="385"/>
      <c r="AN1354" s="385"/>
      <c r="AP1354" s="413"/>
      <c r="AQ1354" s="413"/>
    </row>
    <row r="1355" spans="38:43" ht="15" customHeight="1">
      <c r="AL1355" s="385"/>
      <c r="AM1355" s="385"/>
      <c r="AN1355" s="385"/>
      <c r="AP1355" s="413"/>
      <c r="AQ1355" s="413"/>
    </row>
    <row r="1356" spans="38:43" ht="15" customHeight="1">
      <c r="AL1356" s="385"/>
      <c r="AM1356" s="385"/>
      <c r="AN1356" s="385"/>
      <c r="AP1356" s="413"/>
      <c r="AQ1356" s="413"/>
    </row>
    <row r="1357" spans="38:43" ht="15" customHeight="1">
      <c r="AL1357" s="385"/>
      <c r="AM1357" s="385"/>
      <c r="AN1357" s="385"/>
      <c r="AP1357" s="413"/>
      <c r="AQ1357" s="413"/>
    </row>
    <row r="1358" spans="38:43" ht="15" customHeight="1">
      <c r="AL1358" s="385"/>
      <c r="AM1358" s="385"/>
      <c r="AN1358" s="385"/>
      <c r="AP1358" s="413"/>
      <c r="AQ1358" s="413"/>
    </row>
    <row r="1359" spans="38:43" ht="15" customHeight="1">
      <c r="AL1359" s="385"/>
      <c r="AM1359" s="385"/>
      <c r="AN1359" s="385"/>
      <c r="AP1359" s="413"/>
      <c r="AQ1359" s="413"/>
    </row>
    <row r="1360" spans="38:43" ht="15" customHeight="1">
      <c r="AL1360" s="385"/>
      <c r="AM1360" s="385"/>
      <c r="AN1360" s="385"/>
      <c r="AP1360" s="413"/>
      <c r="AQ1360" s="413"/>
    </row>
    <row r="1361" spans="38:43" ht="15" customHeight="1">
      <c r="AL1361" s="385"/>
      <c r="AM1361" s="385"/>
      <c r="AN1361" s="385"/>
      <c r="AP1361" s="413"/>
      <c r="AQ1361" s="413"/>
    </row>
    <row r="1362" spans="38:43" ht="15" customHeight="1">
      <c r="AL1362" s="385"/>
      <c r="AM1362" s="385"/>
      <c r="AN1362" s="385"/>
      <c r="AP1362" s="413"/>
      <c r="AQ1362" s="413"/>
    </row>
    <row r="1363" spans="38:43" ht="15" customHeight="1">
      <c r="AL1363" s="385"/>
      <c r="AM1363" s="385"/>
      <c r="AN1363" s="385"/>
      <c r="AP1363" s="413"/>
      <c r="AQ1363" s="413"/>
    </row>
    <row r="1364" spans="38:43" ht="15" customHeight="1">
      <c r="AL1364" s="385"/>
      <c r="AM1364" s="385"/>
      <c r="AN1364" s="385"/>
      <c r="AP1364" s="413"/>
      <c r="AQ1364" s="413"/>
    </row>
    <row r="1365" spans="38:43" ht="15" customHeight="1">
      <c r="AL1365" s="385"/>
      <c r="AM1365" s="385"/>
      <c r="AN1365" s="385"/>
      <c r="AP1365" s="413"/>
      <c r="AQ1365" s="413"/>
    </row>
    <row r="1366" spans="38:43" ht="15" customHeight="1">
      <c r="AL1366" s="385"/>
      <c r="AM1366" s="385"/>
      <c r="AN1366" s="385"/>
      <c r="AP1366" s="413"/>
      <c r="AQ1366" s="413"/>
    </row>
    <row r="1367" spans="38:43" ht="15" customHeight="1">
      <c r="AL1367" s="385"/>
      <c r="AM1367" s="385"/>
      <c r="AN1367" s="385"/>
      <c r="AP1367" s="413"/>
      <c r="AQ1367" s="413"/>
    </row>
    <row r="1368" spans="38:43" ht="15" customHeight="1">
      <c r="AL1368" s="385"/>
      <c r="AM1368" s="385"/>
      <c r="AN1368" s="385"/>
      <c r="AP1368" s="413"/>
      <c r="AQ1368" s="413"/>
    </row>
    <row r="1369" spans="38:43" ht="15" customHeight="1">
      <c r="AL1369" s="385"/>
      <c r="AM1369" s="385"/>
      <c r="AN1369" s="385"/>
      <c r="AP1369" s="413"/>
      <c r="AQ1369" s="413"/>
    </row>
    <row r="1370" spans="38:43" ht="15" customHeight="1">
      <c r="AL1370" s="385"/>
      <c r="AM1370" s="385"/>
      <c r="AN1370" s="385"/>
      <c r="AP1370" s="413"/>
      <c r="AQ1370" s="413"/>
    </row>
    <row r="1371" spans="38:43" ht="15" customHeight="1">
      <c r="AL1371" s="385"/>
      <c r="AM1371" s="385"/>
      <c r="AN1371" s="385"/>
      <c r="AP1371" s="413"/>
      <c r="AQ1371" s="413"/>
    </row>
    <row r="1372" spans="38:43" ht="15" customHeight="1">
      <c r="AL1372" s="385"/>
      <c r="AM1372" s="385"/>
      <c r="AN1372" s="385"/>
      <c r="AP1372" s="413"/>
      <c r="AQ1372" s="413"/>
    </row>
    <row r="1373" spans="38:43" ht="15" customHeight="1">
      <c r="AL1373" s="385"/>
      <c r="AM1373" s="385"/>
      <c r="AN1373" s="385"/>
      <c r="AP1373" s="413"/>
      <c r="AQ1373" s="413"/>
    </row>
    <row r="1374" spans="38:43" ht="15" customHeight="1">
      <c r="AL1374" s="385"/>
      <c r="AM1374" s="385"/>
      <c r="AN1374" s="385"/>
      <c r="AP1374" s="413"/>
      <c r="AQ1374" s="413"/>
    </row>
    <row r="1375" spans="38:43" ht="15" customHeight="1">
      <c r="AL1375" s="385"/>
      <c r="AM1375" s="385"/>
      <c r="AN1375" s="385"/>
      <c r="AP1375" s="413"/>
      <c r="AQ1375" s="413"/>
    </row>
    <row r="1376" spans="38:43" ht="15" customHeight="1">
      <c r="AL1376" s="385"/>
      <c r="AM1376" s="385"/>
      <c r="AN1376" s="385"/>
      <c r="AP1376" s="413"/>
      <c r="AQ1376" s="413"/>
    </row>
    <row r="1377" spans="38:43" ht="15" customHeight="1">
      <c r="AL1377" s="385"/>
      <c r="AM1377" s="385"/>
      <c r="AN1377" s="385"/>
      <c r="AP1377" s="413"/>
      <c r="AQ1377" s="413"/>
    </row>
    <row r="1378" spans="38:43" ht="15" customHeight="1">
      <c r="AL1378" s="385"/>
      <c r="AM1378" s="385"/>
      <c r="AN1378" s="385"/>
      <c r="AP1378" s="413"/>
      <c r="AQ1378" s="413"/>
    </row>
    <row r="1379" spans="38:43" ht="15" customHeight="1">
      <c r="AL1379" s="385"/>
      <c r="AM1379" s="385"/>
      <c r="AN1379" s="385"/>
      <c r="AP1379" s="413"/>
      <c r="AQ1379" s="413"/>
    </row>
    <row r="1380" spans="38:43" ht="15" customHeight="1">
      <c r="AL1380" s="385"/>
      <c r="AM1380" s="385"/>
      <c r="AN1380" s="385"/>
      <c r="AP1380" s="413"/>
      <c r="AQ1380" s="413"/>
    </row>
    <row r="1381" spans="38:43" ht="15" customHeight="1">
      <c r="AL1381" s="385"/>
      <c r="AM1381" s="385"/>
      <c r="AN1381" s="385"/>
      <c r="AP1381" s="413"/>
      <c r="AQ1381" s="413"/>
    </row>
    <row r="1382" spans="38:43" ht="15" customHeight="1">
      <c r="AL1382" s="385"/>
      <c r="AM1382" s="385"/>
      <c r="AN1382" s="385"/>
      <c r="AP1382" s="413"/>
      <c r="AQ1382" s="413"/>
    </row>
    <row r="1383" spans="38:43" ht="15" customHeight="1">
      <c r="AL1383" s="385"/>
      <c r="AM1383" s="385"/>
      <c r="AN1383" s="385"/>
      <c r="AP1383" s="413"/>
      <c r="AQ1383" s="413"/>
    </row>
    <row r="1384" spans="38:43" ht="15" customHeight="1">
      <c r="AL1384" s="385"/>
      <c r="AM1384" s="385"/>
      <c r="AN1384" s="385"/>
      <c r="AP1384" s="413"/>
      <c r="AQ1384" s="413"/>
    </row>
    <row r="1385" spans="38:43" ht="15" customHeight="1">
      <c r="AL1385" s="385"/>
      <c r="AM1385" s="385"/>
      <c r="AN1385" s="385"/>
      <c r="AP1385" s="413"/>
      <c r="AQ1385" s="413"/>
    </row>
    <row r="1386" spans="38:43" ht="15" customHeight="1">
      <c r="AL1386" s="385"/>
      <c r="AM1386" s="385"/>
      <c r="AN1386" s="385"/>
      <c r="AP1386" s="413"/>
      <c r="AQ1386" s="413"/>
    </row>
    <row r="1387" spans="38:43" ht="15" customHeight="1">
      <c r="AL1387" s="385"/>
      <c r="AM1387" s="385"/>
      <c r="AN1387" s="385"/>
      <c r="AP1387" s="413"/>
      <c r="AQ1387" s="413"/>
    </row>
    <row r="1388" spans="38:43" ht="15" customHeight="1">
      <c r="AL1388" s="385"/>
      <c r="AM1388" s="385"/>
      <c r="AN1388" s="385"/>
      <c r="AP1388" s="413"/>
      <c r="AQ1388" s="413"/>
    </row>
    <row r="1389" spans="38:43" ht="15" customHeight="1">
      <c r="AL1389" s="385"/>
      <c r="AM1389" s="385"/>
      <c r="AN1389" s="385"/>
      <c r="AP1389" s="413"/>
      <c r="AQ1389" s="413"/>
    </row>
    <row r="1390" spans="38:43" ht="15" customHeight="1">
      <c r="AL1390" s="385"/>
      <c r="AM1390" s="385"/>
      <c r="AN1390" s="385"/>
      <c r="AP1390" s="413"/>
      <c r="AQ1390" s="413"/>
    </row>
    <row r="1391" spans="38:43" ht="15" customHeight="1">
      <c r="AL1391" s="385"/>
      <c r="AM1391" s="385"/>
      <c r="AN1391" s="385"/>
      <c r="AP1391" s="413"/>
      <c r="AQ1391" s="413"/>
    </row>
    <row r="1392" spans="38:43" ht="15" customHeight="1">
      <c r="AL1392" s="385"/>
      <c r="AM1392" s="385"/>
      <c r="AN1392" s="385"/>
      <c r="AP1392" s="413"/>
      <c r="AQ1392" s="413"/>
    </row>
    <row r="1393" spans="38:43" ht="15" customHeight="1">
      <c r="AL1393" s="385"/>
      <c r="AM1393" s="385"/>
      <c r="AN1393" s="385"/>
      <c r="AP1393" s="413"/>
      <c r="AQ1393" s="413"/>
    </row>
    <row r="1394" spans="38:43" ht="15" customHeight="1">
      <c r="AL1394" s="385"/>
      <c r="AM1394" s="385"/>
      <c r="AN1394" s="385"/>
      <c r="AP1394" s="413"/>
      <c r="AQ1394" s="413"/>
    </row>
    <row r="1395" spans="38:43" ht="15" customHeight="1">
      <c r="AL1395" s="385"/>
      <c r="AM1395" s="385"/>
      <c r="AN1395" s="385"/>
      <c r="AP1395" s="413"/>
      <c r="AQ1395" s="413"/>
    </row>
    <row r="1396" spans="38:43" ht="15" customHeight="1">
      <c r="AL1396" s="385"/>
      <c r="AM1396" s="385"/>
      <c r="AN1396" s="385"/>
      <c r="AP1396" s="413"/>
      <c r="AQ1396" s="413"/>
    </row>
    <row r="1397" spans="38:43" ht="15" customHeight="1">
      <c r="AL1397" s="385"/>
      <c r="AM1397" s="385"/>
      <c r="AN1397" s="385"/>
      <c r="AP1397" s="413"/>
      <c r="AQ1397" s="413"/>
    </row>
    <row r="1398" spans="38:43" ht="15" customHeight="1">
      <c r="AL1398" s="385"/>
      <c r="AM1398" s="385"/>
      <c r="AN1398" s="385"/>
      <c r="AP1398" s="413"/>
      <c r="AQ1398" s="413"/>
    </row>
    <row r="1399" spans="38:43" ht="15" customHeight="1">
      <c r="AL1399" s="385"/>
      <c r="AM1399" s="385"/>
      <c r="AN1399" s="385"/>
      <c r="AP1399" s="413"/>
      <c r="AQ1399" s="413"/>
    </row>
    <row r="1400" spans="38:43" ht="15" customHeight="1">
      <c r="AL1400" s="385"/>
      <c r="AM1400" s="385"/>
      <c r="AN1400" s="385"/>
      <c r="AP1400" s="413"/>
      <c r="AQ1400" s="413"/>
    </row>
    <row r="1401" spans="38:43" ht="15" customHeight="1">
      <c r="AL1401" s="385"/>
      <c r="AM1401" s="385"/>
      <c r="AN1401" s="385"/>
      <c r="AP1401" s="413"/>
      <c r="AQ1401" s="413"/>
    </row>
    <row r="1402" spans="38:43" ht="15" customHeight="1">
      <c r="AL1402" s="385"/>
      <c r="AM1402" s="385"/>
      <c r="AN1402" s="385"/>
      <c r="AP1402" s="413"/>
      <c r="AQ1402" s="413"/>
    </row>
    <row r="1403" spans="38:43" ht="15" customHeight="1">
      <c r="AL1403" s="385"/>
      <c r="AM1403" s="385"/>
      <c r="AN1403" s="385"/>
      <c r="AP1403" s="413"/>
      <c r="AQ1403" s="413"/>
    </row>
    <row r="1404" spans="38:43" ht="15" customHeight="1">
      <c r="AL1404" s="385"/>
      <c r="AM1404" s="385"/>
      <c r="AN1404" s="385"/>
      <c r="AP1404" s="413"/>
      <c r="AQ1404" s="413"/>
    </row>
    <row r="1405" spans="38:43" ht="15" customHeight="1">
      <c r="AL1405" s="385"/>
      <c r="AM1405" s="385"/>
      <c r="AN1405" s="385"/>
      <c r="AP1405" s="413"/>
      <c r="AQ1405" s="413"/>
    </row>
    <row r="1406" spans="38:43" ht="15" customHeight="1">
      <c r="AL1406" s="385"/>
      <c r="AM1406" s="385"/>
      <c r="AN1406" s="385"/>
      <c r="AP1406" s="413"/>
      <c r="AQ1406" s="413"/>
    </row>
    <row r="1407" spans="38:43" ht="15" customHeight="1">
      <c r="AL1407" s="385"/>
      <c r="AM1407" s="385"/>
      <c r="AN1407" s="385"/>
      <c r="AP1407" s="413"/>
      <c r="AQ1407" s="413"/>
    </row>
    <row r="1408" spans="38:43" ht="15" customHeight="1">
      <c r="AL1408" s="385"/>
      <c r="AM1408" s="385"/>
      <c r="AN1408" s="385"/>
      <c r="AP1408" s="413"/>
      <c r="AQ1408" s="413"/>
    </row>
    <row r="1409" spans="38:43" ht="15" customHeight="1">
      <c r="AL1409" s="385"/>
      <c r="AM1409" s="385"/>
      <c r="AN1409" s="385"/>
      <c r="AP1409" s="413"/>
      <c r="AQ1409" s="413"/>
    </row>
    <row r="1410" spans="38:43" ht="15" customHeight="1">
      <c r="AL1410" s="385"/>
      <c r="AM1410" s="385"/>
      <c r="AN1410" s="385"/>
      <c r="AP1410" s="413"/>
      <c r="AQ1410" s="413"/>
    </row>
    <row r="1411" spans="38:43" ht="15" customHeight="1">
      <c r="AL1411" s="385"/>
      <c r="AM1411" s="385"/>
      <c r="AN1411" s="385"/>
      <c r="AP1411" s="413"/>
      <c r="AQ1411" s="413"/>
    </row>
    <row r="1412" spans="38:43" ht="15" customHeight="1">
      <c r="AL1412" s="385"/>
      <c r="AM1412" s="385"/>
      <c r="AN1412" s="385"/>
      <c r="AP1412" s="413"/>
      <c r="AQ1412" s="413"/>
    </row>
    <row r="1413" spans="38:43" ht="15" customHeight="1">
      <c r="AL1413" s="385"/>
      <c r="AM1413" s="385"/>
      <c r="AN1413" s="385"/>
      <c r="AP1413" s="413"/>
      <c r="AQ1413" s="413"/>
    </row>
    <row r="1414" spans="38:43" ht="15" customHeight="1">
      <c r="AL1414" s="385"/>
      <c r="AM1414" s="385"/>
      <c r="AN1414" s="385"/>
      <c r="AP1414" s="413"/>
      <c r="AQ1414" s="413"/>
    </row>
    <row r="1415" spans="38:43" ht="15" customHeight="1">
      <c r="AL1415" s="385"/>
      <c r="AM1415" s="385"/>
      <c r="AN1415" s="385"/>
      <c r="AP1415" s="413"/>
      <c r="AQ1415" s="413"/>
    </row>
    <row r="1416" spans="38:43" ht="15" customHeight="1">
      <c r="AL1416" s="385"/>
      <c r="AM1416" s="385"/>
      <c r="AN1416" s="385"/>
      <c r="AP1416" s="413"/>
      <c r="AQ1416" s="413"/>
    </row>
    <row r="1417" spans="38:43" ht="15" customHeight="1">
      <c r="AL1417" s="385"/>
      <c r="AM1417" s="385"/>
      <c r="AN1417" s="385"/>
      <c r="AP1417" s="413"/>
      <c r="AQ1417" s="413"/>
    </row>
    <row r="1418" spans="38:43" ht="15" customHeight="1">
      <c r="AL1418" s="385"/>
      <c r="AM1418" s="385"/>
      <c r="AN1418" s="385"/>
      <c r="AP1418" s="413"/>
      <c r="AQ1418" s="413"/>
    </row>
    <row r="1419" spans="38:43" ht="15" customHeight="1">
      <c r="AL1419" s="385"/>
      <c r="AM1419" s="385"/>
      <c r="AN1419" s="385"/>
      <c r="AP1419" s="413"/>
      <c r="AQ1419" s="413"/>
    </row>
    <row r="1420" spans="38:43" ht="15" customHeight="1">
      <c r="AL1420" s="385"/>
      <c r="AM1420" s="385"/>
      <c r="AN1420" s="385"/>
      <c r="AP1420" s="413"/>
      <c r="AQ1420" s="413"/>
    </row>
    <row r="1421" spans="38:43" ht="15" customHeight="1">
      <c r="AL1421" s="385"/>
      <c r="AM1421" s="385"/>
      <c r="AN1421" s="385"/>
      <c r="AP1421" s="413"/>
      <c r="AQ1421" s="413"/>
    </row>
    <row r="1422" spans="38:43" ht="15" customHeight="1">
      <c r="AL1422" s="385"/>
      <c r="AM1422" s="385"/>
      <c r="AN1422" s="385"/>
      <c r="AP1422" s="413"/>
      <c r="AQ1422" s="413"/>
    </row>
    <row r="1423" spans="38:43" ht="15" customHeight="1">
      <c r="AL1423" s="385"/>
      <c r="AM1423" s="385"/>
      <c r="AN1423" s="385"/>
      <c r="AP1423" s="413"/>
      <c r="AQ1423" s="413"/>
    </row>
    <row r="1424" spans="38:43" ht="15" customHeight="1">
      <c r="AL1424" s="385"/>
      <c r="AM1424" s="385"/>
      <c r="AN1424" s="385"/>
      <c r="AP1424" s="413"/>
      <c r="AQ1424" s="413"/>
    </row>
    <row r="1425" spans="38:43" ht="15" customHeight="1">
      <c r="AL1425" s="385"/>
      <c r="AM1425" s="385"/>
      <c r="AN1425" s="385"/>
      <c r="AP1425" s="413"/>
      <c r="AQ1425" s="413"/>
    </row>
    <row r="1426" spans="38:43" ht="15" customHeight="1">
      <c r="AL1426" s="385"/>
      <c r="AM1426" s="385"/>
      <c r="AN1426" s="385"/>
      <c r="AP1426" s="413"/>
      <c r="AQ1426" s="413"/>
    </row>
    <row r="1427" spans="38:43" ht="15" customHeight="1">
      <c r="AL1427" s="385"/>
      <c r="AM1427" s="385"/>
      <c r="AN1427" s="385"/>
      <c r="AP1427" s="413"/>
      <c r="AQ1427" s="413"/>
    </row>
    <row r="1428" spans="38:43" ht="15" customHeight="1">
      <c r="AL1428" s="385"/>
      <c r="AM1428" s="385"/>
      <c r="AN1428" s="385"/>
      <c r="AP1428" s="413"/>
      <c r="AQ1428" s="413"/>
    </row>
    <row r="1429" spans="38:43" ht="15" customHeight="1">
      <c r="AL1429" s="385"/>
      <c r="AM1429" s="385"/>
      <c r="AN1429" s="385"/>
      <c r="AP1429" s="413"/>
      <c r="AQ1429" s="413"/>
    </row>
    <row r="1430" spans="38:43" ht="15" customHeight="1">
      <c r="AL1430" s="385"/>
      <c r="AM1430" s="385"/>
      <c r="AN1430" s="385"/>
      <c r="AP1430" s="413"/>
      <c r="AQ1430" s="413"/>
    </row>
    <row r="1431" spans="38:43" ht="15" customHeight="1">
      <c r="AL1431" s="385"/>
      <c r="AM1431" s="385"/>
      <c r="AN1431" s="385"/>
      <c r="AP1431" s="413"/>
      <c r="AQ1431" s="413"/>
    </row>
    <row r="1432" spans="38:43" ht="15" customHeight="1">
      <c r="AL1432" s="385"/>
      <c r="AM1432" s="385"/>
      <c r="AN1432" s="385"/>
      <c r="AP1432" s="413"/>
      <c r="AQ1432" s="413"/>
    </row>
    <row r="1433" spans="38:43" ht="15" customHeight="1">
      <c r="AL1433" s="385"/>
      <c r="AM1433" s="385"/>
      <c r="AN1433" s="385"/>
      <c r="AP1433" s="413"/>
      <c r="AQ1433" s="413"/>
    </row>
    <row r="1434" spans="38:43" ht="15" customHeight="1">
      <c r="AL1434" s="385"/>
      <c r="AM1434" s="385"/>
      <c r="AN1434" s="385"/>
      <c r="AP1434" s="413"/>
      <c r="AQ1434" s="413"/>
    </row>
    <row r="1435" spans="38:43" ht="15" customHeight="1">
      <c r="AL1435" s="385"/>
      <c r="AM1435" s="385"/>
      <c r="AN1435" s="385"/>
      <c r="AP1435" s="413"/>
      <c r="AQ1435" s="413"/>
    </row>
    <row r="1436" spans="38:43" ht="15" customHeight="1">
      <c r="AL1436" s="385"/>
      <c r="AM1436" s="385"/>
      <c r="AN1436" s="385"/>
      <c r="AP1436" s="413"/>
      <c r="AQ1436" s="413"/>
    </row>
    <row r="1437" spans="38:43" ht="15" customHeight="1">
      <c r="AL1437" s="385"/>
      <c r="AM1437" s="385"/>
      <c r="AN1437" s="385"/>
      <c r="AP1437" s="413"/>
      <c r="AQ1437" s="413"/>
    </row>
    <row r="1438" spans="38:43" ht="15" customHeight="1">
      <c r="AL1438" s="385"/>
      <c r="AM1438" s="385"/>
      <c r="AN1438" s="385"/>
      <c r="AP1438" s="413"/>
      <c r="AQ1438" s="413"/>
    </row>
    <row r="1439" spans="38:43" ht="15" customHeight="1">
      <c r="AL1439" s="385"/>
      <c r="AM1439" s="385"/>
      <c r="AN1439" s="385"/>
      <c r="AP1439" s="413"/>
      <c r="AQ1439" s="413"/>
    </row>
    <row r="1440" spans="38:43" ht="15" customHeight="1">
      <c r="AL1440" s="385"/>
      <c r="AM1440" s="385"/>
      <c r="AN1440" s="385"/>
      <c r="AP1440" s="413"/>
      <c r="AQ1440" s="413"/>
    </row>
    <row r="1441" spans="38:43" ht="15" customHeight="1">
      <c r="AL1441" s="385"/>
      <c r="AM1441" s="385"/>
      <c r="AN1441" s="385"/>
      <c r="AP1441" s="413"/>
      <c r="AQ1441" s="413"/>
    </row>
    <row r="1442" spans="38:43" ht="15" customHeight="1">
      <c r="AL1442" s="385"/>
      <c r="AM1442" s="385"/>
      <c r="AN1442" s="385"/>
      <c r="AP1442" s="413"/>
      <c r="AQ1442" s="413"/>
    </row>
    <row r="1443" spans="38:43" ht="15" customHeight="1">
      <c r="AL1443" s="385"/>
      <c r="AM1443" s="385"/>
      <c r="AN1443" s="385"/>
      <c r="AP1443" s="413"/>
      <c r="AQ1443" s="413"/>
    </row>
    <row r="1444" spans="38:43" ht="15" customHeight="1">
      <c r="AL1444" s="385"/>
      <c r="AM1444" s="385"/>
      <c r="AN1444" s="385"/>
      <c r="AP1444" s="413"/>
      <c r="AQ1444" s="413"/>
    </row>
    <row r="1445" spans="38:43" ht="15" customHeight="1">
      <c r="AL1445" s="385"/>
      <c r="AM1445" s="385"/>
      <c r="AN1445" s="385"/>
      <c r="AP1445" s="413"/>
      <c r="AQ1445" s="413"/>
    </row>
    <row r="1446" spans="38:43" ht="15" customHeight="1">
      <c r="AL1446" s="385"/>
      <c r="AM1446" s="385"/>
      <c r="AN1446" s="385"/>
      <c r="AP1446" s="413"/>
      <c r="AQ1446" s="413"/>
    </row>
    <row r="1447" spans="38:43" ht="15" customHeight="1">
      <c r="AL1447" s="385"/>
      <c r="AM1447" s="385"/>
      <c r="AN1447" s="385"/>
      <c r="AP1447" s="413"/>
      <c r="AQ1447" s="413"/>
    </row>
    <row r="1448" spans="38:43" ht="15" customHeight="1">
      <c r="AL1448" s="385"/>
      <c r="AM1448" s="385"/>
      <c r="AN1448" s="385"/>
      <c r="AP1448" s="413"/>
      <c r="AQ1448" s="413"/>
    </row>
    <row r="1449" spans="38:43" ht="15" customHeight="1">
      <c r="AL1449" s="385"/>
      <c r="AM1449" s="385"/>
      <c r="AN1449" s="385"/>
      <c r="AP1449" s="413"/>
      <c r="AQ1449" s="413"/>
    </row>
    <row r="1450" spans="38:43" ht="15" customHeight="1">
      <c r="AL1450" s="385"/>
      <c r="AM1450" s="385"/>
      <c r="AN1450" s="385"/>
      <c r="AP1450" s="413"/>
      <c r="AQ1450" s="413"/>
    </row>
    <row r="1451" spans="38:43" ht="15" customHeight="1">
      <c r="AL1451" s="385"/>
      <c r="AM1451" s="385"/>
      <c r="AN1451" s="385"/>
      <c r="AP1451" s="413"/>
      <c r="AQ1451" s="413"/>
    </row>
    <row r="1452" spans="38:43" ht="15" customHeight="1">
      <c r="AL1452" s="385"/>
      <c r="AM1452" s="385"/>
      <c r="AN1452" s="385"/>
      <c r="AP1452" s="413"/>
      <c r="AQ1452" s="413"/>
    </row>
    <row r="1453" spans="38:43" ht="15" customHeight="1">
      <c r="AL1453" s="385"/>
      <c r="AM1453" s="385"/>
      <c r="AN1453" s="385"/>
      <c r="AP1453" s="413"/>
      <c r="AQ1453" s="413"/>
    </row>
    <row r="1454" spans="38:43" ht="15" customHeight="1">
      <c r="AL1454" s="385"/>
      <c r="AM1454" s="385"/>
      <c r="AN1454" s="385"/>
      <c r="AP1454" s="413"/>
      <c r="AQ1454" s="413"/>
    </row>
    <row r="1455" spans="38:43" ht="15" customHeight="1">
      <c r="AL1455" s="385"/>
      <c r="AM1455" s="385"/>
      <c r="AN1455" s="385"/>
      <c r="AP1455" s="413"/>
      <c r="AQ1455" s="413"/>
    </row>
    <row r="1456" spans="38:43" ht="15" customHeight="1">
      <c r="AL1456" s="385"/>
      <c r="AM1456" s="385"/>
      <c r="AN1456" s="385"/>
      <c r="AP1456" s="413"/>
      <c r="AQ1456" s="413"/>
    </row>
    <row r="1457" spans="38:43" ht="15" customHeight="1">
      <c r="AL1457" s="385"/>
      <c r="AM1457" s="385"/>
      <c r="AN1457" s="385"/>
      <c r="AP1457" s="413"/>
      <c r="AQ1457" s="413"/>
    </row>
    <row r="1458" spans="38:43" ht="15" customHeight="1">
      <c r="AL1458" s="385"/>
      <c r="AM1458" s="385"/>
      <c r="AN1458" s="385"/>
      <c r="AP1458" s="413"/>
      <c r="AQ1458" s="413"/>
    </row>
    <row r="1459" spans="38:43" ht="15" customHeight="1">
      <c r="AL1459" s="385"/>
      <c r="AM1459" s="385"/>
      <c r="AN1459" s="385"/>
      <c r="AP1459" s="413"/>
      <c r="AQ1459" s="413"/>
    </row>
    <row r="1460" spans="38:43" ht="15" customHeight="1">
      <c r="AL1460" s="385"/>
      <c r="AM1460" s="385"/>
      <c r="AN1460" s="385"/>
      <c r="AP1460" s="413"/>
      <c r="AQ1460" s="413"/>
    </row>
    <row r="1461" spans="38:43" ht="15" customHeight="1">
      <c r="AL1461" s="385"/>
      <c r="AM1461" s="385"/>
      <c r="AN1461" s="385"/>
      <c r="AP1461" s="413"/>
      <c r="AQ1461" s="413"/>
    </row>
    <row r="1462" spans="38:43" ht="15" customHeight="1">
      <c r="AL1462" s="385"/>
      <c r="AM1462" s="385"/>
      <c r="AN1462" s="385"/>
      <c r="AP1462" s="413"/>
      <c r="AQ1462" s="413"/>
    </row>
    <row r="1463" spans="38:43" ht="15" customHeight="1">
      <c r="AL1463" s="385"/>
      <c r="AM1463" s="385"/>
      <c r="AN1463" s="385"/>
      <c r="AP1463" s="413"/>
      <c r="AQ1463" s="413"/>
    </row>
    <row r="1464" spans="38:43" ht="15" customHeight="1">
      <c r="AL1464" s="385"/>
      <c r="AM1464" s="385"/>
      <c r="AN1464" s="385"/>
      <c r="AP1464" s="413"/>
      <c r="AQ1464" s="413"/>
    </row>
    <row r="1465" spans="38:43" ht="15" customHeight="1">
      <c r="AL1465" s="385"/>
      <c r="AM1465" s="385"/>
      <c r="AN1465" s="385"/>
      <c r="AP1465" s="413"/>
      <c r="AQ1465" s="413"/>
    </row>
    <row r="1466" spans="38:43" ht="15" customHeight="1">
      <c r="AL1466" s="385"/>
      <c r="AM1466" s="385"/>
      <c r="AN1466" s="385"/>
      <c r="AP1466" s="413"/>
      <c r="AQ1466" s="413"/>
    </row>
    <row r="1467" spans="38:43" ht="15" customHeight="1">
      <c r="AL1467" s="385"/>
      <c r="AM1467" s="385"/>
      <c r="AN1467" s="385"/>
      <c r="AP1467" s="413"/>
      <c r="AQ1467" s="413"/>
    </row>
    <row r="1468" spans="38:43" ht="15" customHeight="1">
      <c r="AL1468" s="385"/>
      <c r="AM1468" s="385"/>
      <c r="AN1468" s="385"/>
      <c r="AP1468" s="413"/>
      <c r="AQ1468" s="413"/>
    </row>
    <row r="1469" spans="38:43" ht="15" customHeight="1">
      <c r="AL1469" s="385"/>
      <c r="AM1469" s="385"/>
      <c r="AN1469" s="385"/>
      <c r="AP1469" s="413"/>
      <c r="AQ1469" s="413"/>
    </row>
    <row r="1470" spans="38:43" ht="15" customHeight="1">
      <c r="AL1470" s="385"/>
      <c r="AM1470" s="385"/>
      <c r="AN1470" s="385"/>
      <c r="AP1470" s="413"/>
      <c r="AQ1470" s="413"/>
    </row>
    <row r="1471" spans="38:43" ht="15" customHeight="1">
      <c r="AL1471" s="385"/>
      <c r="AM1471" s="385"/>
      <c r="AN1471" s="385"/>
      <c r="AP1471" s="413"/>
      <c r="AQ1471" s="413"/>
    </row>
    <row r="1472" spans="38:43" ht="15" customHeight="1">
      <c r="AL1472" s="385"/>
      <c r="AM1472" s="385"/>
      <c r="AN1472" s="385"/>
      <c r="AP1472" s="413"/>
      <c r="AQ1472" s="413"/>
    </row>
    <row r="1473" spans="38:43" ht="15" customHeight="1">
      <c r="AL1473" s="385"/>
      <c r="AM1473" s="385"/>
      <c r="AN1473" s="385"/>
      <c r="AP1473" s="413"/>
      <c r="AQ1473" s="413"/>
    </row>
    <row r="1474" spans="38:43" ht="15" customHeight="1">
      <c r="AL1474" s="385"/>
      <c r="AM1474" s="385"/>
      <c r="AN1474" s="385"/>
      <c r="AP1474" s="413"/>
      <c r="AQ1474" s="413"/>
    </row>
    <row r="1475" spans="38:43" ht="15" customHeight="1">
      <c r="AL1475" s="385"/>
      <c r="AM1475" s="385"/>
      <c r="AN1475" s="385"/>
      <c r="AP1475" s="413"/>
      <c r="AQ1475" s="413"/>
    </row>
    <row r="1476" spans="38:43" ht="15" customHeight="1">
      <c r="AL1476" s="385"/>
      <c r="AM1476" s="385"/>
      <c r="AN1476" s="385"/>
      <c r="AP1476" s="413"/>
      <c r="AQ1476" s="413"/>
    </row>
    <row r="1477" spans="38:43" ht="15" customHeight="1">
      <c r="AL1477" s="385"/>
      <c r="AM1477" s="385"/>
      <c r="AN1477" s="385"/>
      <c r="AP1477" s="413"/>
      <c r="AQ1477" s="413"/>
    </row>
    <row r="1478" spans="38:43" ht="15" customHeight="1">
      <c r="AL1478" s="385"/>
      <c r="AM1478" s="385"/>
      <c r="AN1478" s="385"/>
      <c r="AP1478" s="413"/>
      <c r="AQ1478" s="413"/>
    </row>
    <row r="1479" spans="38:43" ht="15" customHeight="1">
      <c r="AL1479" s="385"/>
      <c r="AM1479" s="385"/>
      <c r="AN1479" s="385"/>
      <c r="AP1479" s="413"/>
      <c r="AQ1479" s="413"/>
    </row>
    <row r="1480" spans="38:43" ht="15" customHeight="1">
      <c r="AL1480" s="385"/>
      <c r="AM1480" s="385"/>
      <c r="AN1480" s="385"/>
      <c r="AP1480" s="413"/>
      <c r="AQ1480" s="413"/>
    </row>
    <row r="1481" spans="38:43" ht="15" customHeight="1">
      <c r="AL1481" s="385"/>
      <c r="AM1481" s="385"/>
      <c r="AN1481" s="385"/>
      <c r="AP1481" s="413"/>
      <c r="AQ1481" s="413"/>
    </row>
    <row r="1482" spans="38:43" ht="15" customHeight="1">
      <c r="AL1482" s="385"/>
      <c r="AM1482" s="385"/>
      <c r="AN1482" s="385"/>
      <c r="AP1482" s="413"/>
      <c r="AQ1482" s="413"/>
    </row>
    <row r="1483" spans="38:43" ht="15" customHeight="1">
      <c r="AL1483" s="385"/>
      <c r="AM1483" s="385"/>
      <c r="AN1483" s="385"/>
      <c r="AP1483" s="413"/>
      <c r="AQ1483" s="413"/>
    </row>
    <row r="1484" spans="38:43" ht="15" customHeight="1">
      <c r="AL1484" s="385"/>
      <c r="AM1484" s="385"/>
      <c r="AN1484" s="385"/>
      <c r="AP1484" s="413"/>
      <c r="AQ1484" s="413"/>
    </row>
    <row r="1485" spans="38:43" ht="15" customHeight="1">
      <c r="AL1485" s="385"/>
      <c r="AM1485" s="385"/>
      <c r="AN1485" s="385"/>
      <c r="AP1485" s="413"/>
      <c r="AQ1485" s="413"/>
    </row>
    <row r="1486" spans="38:43" ht="15" customHeight="1">
      <c r="AL1486" s="385"/>
      <c r="AM1486" s="385"/>
      <c r="AN1486" s="385"/>
      <c r="AP1486" s="413"/>
      <c r="AQ1486" s="413"/>
    </row>
    <row r="1487" spans="38:43" ht="15" customHeight="1">
      <c r="AL1487" s="385"/>
      <c r="AM1487" s="385"/>
      <c r="AN1487" s="385"/>
      <c r="AP1487" s="413"/>
      <c r="AQ1487" s="413"/>
    </row>
    <row r="1488" spans="38:43" ht="15" customHeight="1">
      <c r="AL1488" s="385"/>
      <c r="AM1488" s="385"/>
      <c r="AN1488" s="385"/>
      <c r="AP1488" s="413"/>
      <c r="AQ1488" s="413"/>
    </row>
    <row r="1489" spans="38:43" ht="15" customHeight="1">
      <c r="AL1489" s="385"/>
      <c r="AM1489" s="385"/>
      <c r="AN1489" s="385"/>
      <c r="AP1489" s="413"/>
      <c r="AQ1489" s="413"/>
    </row>
    <row r="1490" spans="38:43" ht="15" customHeight="1">
      <c r="AL1490" s="385"/>
      <c r="AM1490" s="385"/>
      <c r="AN1490" s="385"/>
      <c r="AP1490" s="413"/>
      <c r="AQ1490" s="413"/>
    </row>
    <row r="1491" spans="38:43" ht="15" customHeight="1">
      <c r="AL1491" s="385"/>
      <c r="AM1491" s="385"/>
      <c r="AN1491" s="385"/>
      <c r="AP1491" s="413"/>
      <c r="AQ1491" s="413"/>
    </row>
    <row r="1492" spans="38:43" ht="15" customHeight="1">
      <c r="AL1492" s="385"/>
      <c r="AM1492" s="385"/>
      <c r="AN1492" s="385"/>
      <c r="AP1492" s="413"/>
      <c r="AQ1492" s="413"/>
    </row>
    <row r="1493" spans="38:43" ht="15" customHeight="1">
      <c r="AL1493" s="385"/>
      <c r="AM1493" s="385"/>
      <c r="AN1493" s="385"/>
      <c r="AP1493" s="413"/>
      <c r="AQ1493" s="413"/>
    </row>
    <row r="1494" spans="38:43" ht="15" customHeight="1">
      <c r="AL1494" s="385"/>
      <c r="AM1494" s="385"/>
      <c r="AN1494" s="385"/>
      <c r="AP1494" s="413"/>
      <c r="AQ1494" s="413"/>
    </row>
    <row r="1495" spans="38:43" ht="15" customHeight="1">
      <c r="AL1495" s="385"/>
      <c r="AM1495" s="385"/>
      <c r="AN1495" s="385"/>
      <c r="AP1495" s="413"/>
      <c r="AQ1495" s="413"/>
    </row>
    <row r="1496" spans="38:43" ht="15" customHeight="1">
      <c r="AL1496" s="385"/>
      <c r="AM1496" s="385"/>
      <c r="AN1496" s="385"/>
      <c r="AP1496" s="413"/>
      <c r="AQ1496" s="413"/>
    </row>
    <row r="1497" spans="38:43" ht="15" customHeight="1">
      <c r="AL1497" s="385"/>
      <c r="AM1497" s="385"/>
      <c r="AN1497" s="385"/>
      <c r="AP1497" s="413"/>
      <c r="AQ1497" s="413"/>
    </row>
    <row r="1498" spans="38:43" ht="15" customHeight="1">
      <c r="AL1498" s="385"/>
      <c r="AM1498" s="385"/>
      <c r="AN1498" s="385"/>
      <c r="AP1498" s="413"/>
      <c r="AQ1498" s="413"/>
    </row>
    <row r="1499" spans="38:43" ht="15" customHeight="1">
      <c r="AL1499" s="385"/>
      <c r="AM1499" s="385"/>
      <c r="AN1499" s="385"/>
      <c r="AP1499" s="413"/>
      <c r="AQ1499" s="413"/>
    </row>
    <row r="1500" spans="38:43" ht="15" customHeight="1">
      <c r="AL1500" s="385"/>
      <c r="AM1500" s="385"/>
      <c r="AN1500" s="385"/>
      <c r="AP1500" s="413"/>
      <c r="AQ1500" s="413"/>
    </row>
    <row r="1501" spans="38:43" ht="15" customHeight="1">
      <c r="AL1501" s="385"/>
      <c r="AM1501" s="385"/>
      <c r="AN1501" s="385"/>
      <c r="AP1501" s="413"/>
      <c r="AQ1501" s="413"/>
    </row>
    <row r="1502" spans="38:43" ht="15" customHeight="1">
      <c r="AL1502" s="385"/>
      <c r="AM1502" s="385"/>
      <c r="AN1502" s="385"/>
      <c r="AP1502" s="413"/>
      <c r="AQ1502" s="413"/>
    </row>
    <row r="1503" spans="38:43" ht="15" customHeight="1">
      <c r="AL1503" s="385"/>
      <c r="AM1503" s="385"/>
      <c r="AN1503" s="385"/>
      <c r="AP1503" s="413"/>
      <c r="AQ1503" s="413"/>
    </row>
    <row r="1504" spans="38:43" ht="15" customHeight="1">
      <c r="AL1504" s="385"/>
      <c r="AM1504" s="385"/>
      <c r="AN1504" s="385"/>
      <c r="AP1504" s="413"/>
      <c r="AQ1504" s="413"/>
    </row>
    <row r="1505" spans="38:43" ht="15" customHeight="1">
      <c r="AL1505" s="385"/>
      <c r="AM1505" s="385"/>
      <c r="AN1505" s="385"/>
      <c r="AP1505" s="413"/>
      <c r="AQ1505" s="413"/>
    </row>
    <row r="1506" spans="38:43" ht="15" customHeight="1">
      <c r="AL1506" s="385"/>
      <c r="AM1506" s="385"/>
      <c r="AN1506" s="385"/>
      <c r="AP1506" s="413"/>
      <c r="AQ1506" s="413"/>
    </row>
    <row r="1507" spans="38:43" ht="15" customHeight="1">
      <c r="AL1507" s="385"/>
      <c r="AM1507" s="385"/>
      <c r="AN1507" s="385"/>
      <c r="AP1507" s="413"/>
      <c r="AQ1507" s="413"/>
    </row>
    <row r="1508" spans="38:43" ht="15" customHeight="1">
      <c r="AL1508" s="385"/>
      <c r="AM1508" s="385"/>
      <c r="AN1508" s="385"/>
      <c r="AP1508" s="413"/>
      <c r="AQ1508" s="413"/>
    </row>
    <row r="1509" spans="38:43" ht="15" customHeight="1">
      <c r="AL1509" s="385"/>
      <c r="AM1509" s="385"/>
      <c r="AN1509" s="385"/>
      <c r="AP1509" s="413"/>
      <c r="AQ1509" s="413"/>
    </row>
    <row r="1510" spans="38:43" ht="15" customHeight="1">
      <c r="AL1510" s="385"/>
      <c r="AM1510" s="385"/>
      <c r="AN1510" s="385"/>
      <c r="AP1510" s="413"/>
      <c r="AQ1510" s="413"/>
    </row>
    <row r="1511" spans="38:43" ht="15" customHeight="1">
      <c r="AL1511" s="385"/>
      <c r="AM1511" s="385"/>
      <c r="AN1511" s="385"/>
      <c r="AP1511" s="413"/>
      <c r="AQ1511" s="413"/>
    </row>
    <row r="1512" spans="38:43" ht="15" customHeight="1">
      <c r="AL1512" s="385"/>
      <c r="AM1512" s="385"/>
      <c r="AN1512" s="385"/>
      <c r="AP1512" s="413"/>
      <c r="AQ1512" s="413"/>
    </row>
    <row r="1513" spans="38:43" ht="15" customHeight="1">
      <c r="AL1513" s="385"/>
      <c r="AM1513" s="385"/>
      <c r="AN1513" s="385"/>
      <c r="AP1513" s="413"/>
      <c r="AQ1513" s="413"/>
    </row>
    <row r="1514" spans="38:43" ht="15" customHeight="1">
      <c r="AL1514" s="385"/>
      <c r="AM1514" s="385"/>
      <c r="AN1514" s="385"/>
      <c r="AP1514" s="413"/>
      <c r="AQ1514" s="413"/>
    </row>
    <row r="1515" spans="38:43" ht="15" customHeight="1">
      <c r="AL1515" s="385"/>
      <c r="AM1515" s="385"/>
      <c r="AN1515" s="385"/>
      <c r="AP1515" s="413"/>
      <c r="AQ1515" s="413"/>
    </row>
    <row r="1516" spans="38:43" ht="15" customHeight="1">
      <c r="AL1516" s="385"/>
      <c r="AM1516" s="385"/>
      <c r="AN1516" s="385"/>
      <c r="AP1516" s="413"/>
      <c r="AQ1516" s="413"/>
    </row>
    <row r="1517" spans="38:43" ht="15" customHeight="1">
      <c r="AL1517" s="385"/>
      <c r="AM1517" s="385"/>
      <c r="AN1517" s="385"/>
      <c r="AP1517" s="413"/>
      <c r="AQ1517" s="413"/>
    </row>
    <row r="1518" spans="38:43" ht="15" customHeight="1">
      <c r="AL1518" s="385"/>
      <c r="AM1518" s="385"/>
      <c r="AN1518" s="385"/>
      <c r="AP1518" s="413"/>
      <c r="AQ1518" s="413"/>
    </row>
    <row r="1519" spans="38:43" ht="15" customHeight="1">
      <c r="AL1519" s="385"/>
      <c r="AM1519" s="385"/>
      <c r="AN1519" s="385"/>
      <c r="AP1519" s="413"/>
      <c r="AQ1519" s="413"/>
    </row>
    <row r="1520" spans="38:43" ht="15" customHeight="1">
      <c r="AL1520" s="385"/>
      <c r="AM1520" s="385"/>
      <c r="AN1520" s="385"/>
      <c r="AP1520" s="413"/>
      <c r="AQ1520" s="413"/>
    </row>
    <row r="1521" spans="38:43" ht="15" customHeight="1">
      <c r="AL1521" s="385"/>
      <c r="AM1521" s="385"/>
      <c r="AN1521" s="385"/>
      <c r="AP1521" s="413"/>
      <c r="AQ1521" s="413"/>
    </row>
    <row r="1522" spans="38:43" ht="15" customHeight="1">
      <c r="AL1522" s="385"/>
      <c r="AM1522" s="385"/>
      <c r="AN1522" s="385"/>
      <c r="AP1522" s="413"/>
      <c r="AQ1522" s="413"/>
    </row>
    <row r="1523" spans="38:43" ht="15" customHeight="1">
      <c r="AL1523" s="385"/>
      <c r="AM1523" s="385"/>
      <c r="AN1523" s="385"/>
      <c r="AP1523" s="413"/>
      <c r="AQ1523" s="413"/>
    </row>
    <row r="1524" spans="38:43" ht="15" customHeight="1">
      <c r="AL1524" s="385"/>
      <c r="AM1524" s="385"/>
      <c r="AN1524" s="385"/>
      <c r="AP1524" s="413"/>
      <c r="AQ1524" s="413"/>
    </row>
    <row r="1525" spans="38:43" ht="15" customHeight="1">
      <c r="AL1525" s="385"/>
      <c r="AM1525" s="385"/>
      <c r="AN1525" s="385"/>
      <c r="AP1525" s="413"/>
      <c r="AQ1525" s="413"/>
    </row>
    <row r="1526" spans="38:43" ht="15" customHeight="1">
      <c r="AL1526" s="385"/>
      <c r="AM1526" s="385"/>
      <c r="AN1526" s="385"/>
      <c r="AP1526" s="413"/>
      <c r="AQ1526" s="413"/>
    </row>
    <row r="1527" spans="38:43" ht="15" customHeight="1">
      <c r="AL1527" s="385"/>
      <c r="AM1527" s="385"/>
      <c r="AN1527" s="385"/>
      <c r="AP1527" s="413"/>
      <c r="AQ1527" s="413"/>
    </row>
    <row r="1528" spans="38:43" ht="15" customHeight="1">
      <c r="AL1528" s="385"/>
      <c r="AM1528" s="385"/>
      <c r="AN1528" s="385"/>
      <c r="AP1528" s="413"/>
      <c r="AQ1528" s="413"/>
    </row>
    <row r="1529" spans="38:43" ht="15" customHeight="1">
      <c r="AL1529" s="385"/>
      <c r="AM1529" s="385"/>
      <c r="AN1529" s="385"/>
      <c r="AP1529" s="413"/>
      <c r="AQ1529" s="413"/>
    </row>
    <row r="1530" spans="38:43" ht="15" customHeight="1">
      <c r="AL1530" s="385"/>
      <c r="AM1530" s="385"/>
      <c r="AN1530" s="385"/>
      <c r="AP1530" s="413"/>
      <c r="AQ1530" s="413"/>
    </row>
    <row r="1531" spans="38:43" ht="15" customHeight="1">
      <c r="AL1531" s="385"/>
      <c r="AM1531" s="385"/>
      <c r="AN1531" s="385"/>
      <c r="AP1531" s="413"/>
      <c r="AQ1531" s="413"/>
    </row>
    <row r="1532" spans="38:43" ht="15" customHeight="1">
      <c r="AL1532" s="385"/>
      <c r="AM1532" s="385"/>
      <c r="AN1532" s="385"/>
      <c r="AP1532" s="413"/>
      <c r="AQ1532" s="413"/>
    </row>
    <row r="1533" spans="38:43" ht="15" customHeight="1">
      <c r="AL1533" s="385"/>
      <c r="AM1533" s="385"/>
      <c r="AN1533" s="385"/>
      <c r="AP1533" s="413"/>
      <c r="AQ1533" s="413"/>
    </row>
    <row r="1534" spans="38:43" ht="15" customHeight="1">
      <c r="AL1534" s="385"/>
      <c r="AM1534" s="385"/>
      <c r="AN1534" s="385"/>
      <c r="AP1534" s="413"/>
      <c r="AQ1534" s="413"/>
    </row>
    <row r="1535" spans="38:43" ht="15" customHeight="1">
      <c r="AL1535" s="385"/>
      <c r="AM1535" s="385"/>
      <c r="AN1535" s="385"/>
      <c r="AP1535" s="413"/>
      <c r="AQ1535" s="413"/>
    </row>
    <row r="1536" spans="38:43" ht="15" customHeight="1">
      <c r="AL1536" s="385"/>
      <c r="AM1536" s="385"/>
      <c r="AN1536" s="385"/>
      <c r="AP1536" s="413"/>
      <c r="AQ1536" s="413"/>
    </row>
    <row r="1537" spans="38:43" ht="15" customHeight="1">
      <c r="AL1537" s="385"/>
      <c r="AM1537" s="385"/>
      <c r="AN1537" s="385"/>
      <c r="AP1537" s="413"/>
      <c r="AQ1537" s="413"/>
    </row>
    <row r="1538" spans="38:43" ht="15" customHeight="1">
      <c r="AL1538" s="385"/>
      <c r="AM1538" s="385"/>
      <c r="AN1538" s="385"/>
      <c r="AP1538" s="413"/>
      <c r="AQ1538" s="413"/>
    </row>
    <row r="1539" spans="38:43" ht="15" customHeight="1">
      <c r="AL1539" s="385"/>
      <c r="AM1539" s="385"/>
      <c r="AN1539" s="385"/>
      <c r="AP1539" s="413"/>
      <c r="AQ1539" s="413"/>
    </row>
    <row r="1540" spans="38:43" ht="15" customHeight="1">
      <c r="AL1540" s="385"/>
      <c r="AM1540" s="385"/>
      <c r="AN1540" s="385"/>
      <c r="AP1540" s="413"/>
      <c r="AQ1540" s="413"/>
    </row>
    <row r="1541" spans="38:43" ht="15" customHeight="1">
      <c r="AL1541" s="385"/>
      <c r="AM1541" s="385"/>
      <c r="AN1541" s="385"/>
      <c r="AP1541" s="413"/>
      <c r="AQ1541" s="413"/>
    </row>
    <row r="1542" spans="38:43" ht="15" customHeight="1">
      <c r="AL1542" s="385"/>
      <c r="AM1542" s="385"/>
      <c r="AN1542" s="385"/>
      <c r="AP1542" s="413"/>
      <c r="AQ1542" s="413"/>
    </row>
    <row r="1543" spans="38:43" ht="15" customHeight="1">
      <c r="AL1543" s="385"/>
      <c r="AM1543" s="385"/>
      <c r="AN1543" s="385"/>
      <c r="AP1543" s="413"/>
      <c r="AQ1543" s="413"/>
    </row>
    <row r="1544" spans="38:43" ht="15" customHeight="1">
      <c r="AL1544" s="385"/>
      <c r="AM1544" s="385"/>
      <c r="AN1544" s="385"/>
      <c r="AP1544" s="413"/>
      <c r="AQ1544" s="413"/>
    </row>
    <row r="1545" spans="38:43" ht="15" customHeight="1">
      <c r="AL1545" s="385"/>
      <c r="AM1545" s="385"/>
      <c r="AN1545" s="385"/>
      <c r="AP1545" s="413"/>
      <c r="AQ1545" s="413"/>
    </row>
    <row r="1546" spans="38:43" ht="15" customHeight="1">
      <c r="AL1546" s="385"/>
      <c r="AM1546" s="385"/>
      <c r="AN1546" s="385"/>
      <c r="AP1546" s="413"/>
      <c r="AQ1546" s="413"/>
    </row>
    <row r="1547" spans="38:43" ht="15" customHeight="1">
      <c r="AL1547" s="385"/>
      <c r="AM1547" s="385"/>
      <c r="AN1547" s="385"/>
      <c r="AP1547" s="413"/>
      <c r="AQ1547" s="413"/>
    </row>
    <row r="1548" spans="38:43" ht="15" customHeight="1">
      <c r="AL1548" s="385"/>
      <c r="AM1548" s="385"/>
      <c r="AN1548" s="385"/>
      <c r="AP1548" s="413"/>
      <c r="AQ1548" s="413"/>
    </row>
    <row r="1549" spans="38:43" ht="15" customHeight="1">
      <c r="AL1549" s="385"/>
      <c r="AM1549" s="385"/>
      <c r="AN1549" s="385"/>
      <c r="AP1549" s="413"/>
      <c r="AQ1549" s="413"/>
    </row>
    <row r="1550" spans="38:43" ht="15" customHeight="1">
      <c r="AL1550" s="385"/>
      <c r="AM1550" s="385"/>
      <c r="AN1550" s="385"/>
      <c r="AP1550" s="413"/>
      <c r="AQ1550" s="413"/>
    </row>
    <row r="1551" spans="38:43" ht="15" customHeight="1">
      <c r="AL1551" s="385"/>
      <c r="AM1551" s="385"/>
      <c r="AN1551" s="385"/>
      <c r="AP1551" s="413"/>
      <c r="AQ1551" s="413"/>
    </row>
    <row r="1552" spans="38:43" ht="15" customHeight="1">
      <c r="AL1552" s="385"/>
      <c r="AM1552" s="385"/>
      <c r="AN1552" s="385"/>
      <c r="AP1552" s="413"/>
      <c r="AQ1552" s="413"/>
    </row>
    <row r="1553" spans="38:43" ht="15" customHeight="1">
      <c r="AL1553" s="385"/>
      <c r="AM1553" s="385"/>
      <c r="AN1553" s="385"/>
      <c r="AP1553" s="413"/>
      <c r="AQ1553" s="413"/>
    </row>
    <row r="1554" spans="38:43" ht="15" customHeight="1">
      <c r="AL1554" s="385"/>
      <c r="AM1554" s="385"/>
      <c r="AN1554" s="385"/>
      <c r="AP1554" s="413"/>
      <c r="AQ1554" s="413"/>
    </row>
    <row r="1555" spans="38:43" ht="15" customHeight="1">
      <c r="AL1555" s="385"/>
      <c r="AM1555" s="385"/>
      <c r="AN1555" s="385"/>
      <c r="AP1555" s="413"/>
      <c r="AQ1555" s="413"/>
    </row>
    <row r="1556" spans="38:43" ht="15" customHeight="1">
      <c r="AL1556" s="385"/>
      <c r="AM1556" s="385"/>
      <c r="AN1556" s="385"/>
      <c r="AP1556" s="413"/>
      <c r="AQ1556" s="413"/>
    </row>
    <row r="1557" spans="38:43" ht="15" customHeight="1">
      <c r="AL1557" s="385"/>
      <c r="AM1557" s="385"/>
      <c r="AN1557" s="385"/>
      <c r="AP1557" s="413"/>
      <c r="AQ1557" s="413"/>
    </row>
    <row r="1558" spans="38:43" ht="15" customHeight="1">
      <c r="AL1558" s="385"/>
      <c r="AM1558" s="385"/>
      <c r="AN1558" s="385"/>
      <c r="AP1558" s="413"/>
      <c r="AQ1558" s="413"/>
    </row>
    <row r="1559" spans="38:43" ht="15" customHeight="1">
      <c r="AL1559" s="385"/>
      <c r="AM1559" s="385"/>
      <c r="AN1559" s="385"/>
      <c r="AP1559" s="413"/>
      <c r="AQ1559" s="413"/>
    </row>
    <row r="1560" spans="38:43" ht="15" customHeight="1">
      <c r="AL1560" s="385"/>
      <c r="AM1560" s="385"/>
      <c r="AN1560" s="385"/>
      <c r="AP1560" s="413"/>
      <c r="AQ1560" s="413"/>
    </row>
    <row r="1561" spans="38:43" ht="15" customHeight="1">
      <c r="AL1561" s="385"/>
      <c r="AM1561" s="385"/>
      <c r="AN1561" s="385"/>
      <c r="AP1561" s="413"/>
      <c r="AQ1561" s="413"/>
    </row>
    <row r="1562" spans="38:43" ht="15" customHeight="1">
      <c r="AL1562" s="385"/>
      <c r="AM1562" s="385"/>
      <c r="AN1562" s="385"/>
      <c r="AP1562" s="413"/>
      <c r="AQ1562" s="413"/>
    </row>
    <row r="1563" spans="38:43" ht="15" customHeight="1">
      <c r="AL1563" s="385"/>
      <c r="AM1563" s="385"/>
      <c r="AN1563" s="385"/>
      <c r="AP1563" s="413"/>
      <c r="AQ1563" s="413"/>
    </row>
    <row r="1564" spans="38:43" ht="15" customHeight="1">
      <c r="AL1564" s="385"/>
      <c r="AM1564" s="385"/>
      <c r="AN1564" s="385"/>
      <c r="AP1564" s="413"/>
      <c r="AQ1564" s="413"/>
    </row>
    <row r="1565" spans="38:43" ht="15" customHeight="1">
      <c r="AL1565" s="385"/>
      <c r="AM1565" s="385"/>
      <c r="AN1565" s="385"/>
      <c r="AP1565" s="413"/>
      <c r="AQ1565" s="413"/>
    </row>
    <row r="1566" spans="38:43" ht="15" customHeight="1">
      <c r="AL1566" s="385"/>
      <c r="AM1566" s="385"/>
      <c r="AN1566" s="385"/>
      <c r="AP1566" s="413"/>
      <c r="AQ1566" s="413"/>
    </row>
    <row r="1567" spans="38:43" ht="15" customHeight="1">
      <c r="AL1567" s="385"/>
      <c r="AM1567" s="385"/>
      <c r="AN1567" s="385"/>
      <c r="AP1567" s="413"/>
      <c r="AQ1567" s="413"/>
    </row>
    <row r="1568" spans="38:43" ht="15" customHeight="1">
      <c r="AL1568" s="385"/>
      <c r="AM1568" s="385"/>
      <c r="AN1568" s="385"/>
      <c r="AP1568" s="413"/>
      <c r="AQ1568" s="413"/>
    </row>
    <row r="1569" spans="38:43" ht="15" customHeight="1">
      <c r="AL1569" s="385"/>
      <c r="AM1569" s="385"/>
      <c r="AN1569" s="385"/>
      <c r="AP1569" s="413"/>
      <c r="AQ1569" s="413"/>
    </row>
    <row r="1570" spans="38:43" ht="15" customHeight="1">
      <c r="AL1570" s="385"/>
      <c r="AM1570" s="385"/>
      <c r="AN1570" s="385"/>
      <c r="AP1570" s="413"/>
      <c r="AQ1570" s="413"/>
    </row>
    <row r="1571" spans="38:43" ht="15" customHeight="1">
      <c r="AL1571" s="385"/>
      <c r="AM1571" s="385"/>
      <c r="AN1571" s="385"/>
      <c r="AP1571" s="413"/>
      <c r="AQ1571" s="413"/>
    </row>
    <row r="1572" spans="38:43" ht="15" customHeight="1">
      <c r="AL1572" s="385"/>
      <c r="AM1572" s="385"/>
      <c r="AN1572" s="385"/>
      <c r="AP1572" s="413"/>
      <c r="AQ1572" s="413"/>
    </row>
    <row r="1573" spans="38:43" ht="15" customHeight="1">
      <c r="AL1573" s="385"/>
      <c r="AM1573" s="385"/>
      <c r="AN1573" s="385"/>
      <c r="AP1573" s="413"/>
      <c r="AQ1573" s="413"/>
    </row>
    <row r="1574" spans="38:43" ht="15" customHeight="1">
      <c r="AL1574" s="385"/>
      <c r="AM1574" s="385"/>
      <c r="AN1574" s="385"/>
      <c r="AP1574" s="413"/>
      <c r="AQ1574" s="413"/>
    </row>
    <row r="1575" spans="38:43" ht="15" customHeight="1">
      <c r="AL1575" s="385"/>
      <c r="AM1575" s="385"/>
      <c r="AN1575" s="385"/>
      <c r="AP1575" s="413"/>
      <c r="AQ1575" s="413"/>
    </row>
    <row r="1576" spans="38:43" ht="15" customHeight="1">
      <c r="AL1576" s="385"/>
      <c r="AM1576" s="385"/>
      <c r="AN1576" s="385"/>
      <c r="AP1576" s="413"/>
      <c r="AQ1576" s="413"/>
    </row>
    <row r="1577" spans="38:43" ht="15" customHeight="1">
      <c r="AL1577" s="385"/>
      <c r="AM1577" s="385"/>
      <c r="AN1577" s="385"/>
      <c r="AP1577" s="413"/>
      <c r="AQ1577" s="413"/>
    </row>
    <row r="1578" spans="38:43" ht="15" customHeight="1">
      <c r="AL1578" s="385"/>
      <c r="AM1578" s="385"/>
      <c r="AN1578" s="385"/>
      <c r="AP1578" s="413"/>
      <c r="AQ1578" s="413"/>
    </row>
    <row r="1579" spans="38:43" ht="15" customHeight="1">
      <c r="AL1579" s="385"/>
      <c r="AM1579" s="385"/>
      <c r="AN1579" s="385"/>
      <c r="AP1579" s="413"/>
      <c r="AQ1579" s="413"/>
    </row>
    <row r="1580" spans="38:43" ht="15" customHeight="1">
      <c r="AL1580" s="385"/>
      <c r="AM1580" s="385"/>
      <c r="AN1580" s="385"/>
      <c r="AP1580" s="413"/>
      <c r="AQ1580" s="413"/>
    </row>
    <row r="1581" spans="38:43" ht="15" customHeight="1">
      <c r="AL1581" s="385"/>
      <c r="AM1581" s="385"/>
      <c r="AN1581" s="385"/>
      <c r="AP1581" s="413"/>
      <c r="AQ1581" s="413"/>
    </row>
    <row r="1582" spans="38:43" ht="15" customHeight="1">
      <c r="AL1582" s="385"/>
      <c r="AM1582" s="385"/>
      <c r="AN1582" s="385"/>
      <c r="AP1582" s="413"/>
      <c r="AQ1582" s="413"/>
    </row>
    <row r="1583" spans="38:43" ht="15" customHeight="1">
      <c r="AL1583" s="385"/>
      <c r="AM1583" s="385"/>
      <c r="AN1583" s="385"/>
      <c r="AP1583" s="413"/>
      <c r="AQ1583" s="413"/>
    </row>
    <row r="1584" spans="38:43" ht="15" customHeight="1">
      <c r="AL1584" s="385"/>
      <c r="AM1584" s="385"/>
      <c r="AN1584" s="385"/>
      <c r="AP1584" s="413"/>
      <c r="AQ1584" s="413"/>
    </row>
    <row r="1585" spans="38:43" ht="15" customHeight="1">
      <c r="AL1585" s="385"/>
      <c r="AM1585" s="385"/>
      <c r="AN1585" s="385"/>
      <c r="AP1585" s="413"/>
      <c r="AQ1585" s="413"/>
    </row>
    <row r="1586" spans="38:43" ht="15" customHeight="1">
      <c r="AL1586" s="385"/>
      <c r="AM1586" s="385"/>
      <c r="AN1586" s="385"/>
      <c r="AP1586" s="413"/>
      <c r="AQ1586" s="413"/>
    </row>
    <row r="1587" spans="38:43" ht="15" customHeight="1">
      <c r="AL1587" s="385"/>
      <c r="AM1587" s="385"/>
      <c r="AN1587" s="385"/>
      <c r="AP1587" s="413"/>
      <c r="AQ1587" s="413"/>
    </row>
    <row r="1588" spans="38:43" ht="15" customHeight="1">
      <c r="AL1588" s="385"/>
      <c r="AM1588" s="385"/>
      <c r="AN1588" s="385"/>
      <c r="AP1588" s="413"/>
      <c r="AQ1588" s="413"/>
    </row>
    <row r="1589" spans="38:43" ht="15" customHeight="1">
      <c r="AL1589" s="385"/>
      <c r="AM1589" s="385"/>
      <c r="AN1589" s="385"/>
      <c r="AP1589" s="413"/>
      <c r="AQ1589" s="413"/>
    </row>
    <row r="1590" spans="38:43" ht="15" customHeight="1">
      <c r="AL1590" s="385"/>
      <c r="AM1590" s="385"/>
      <c r="AN1590" s="385"/>
      <c r="AP1590" s="413"/>
      <c r="AQ1590" s="413"/>
    </row>
    <row r="1591" spans="38:43" ht="15" customHeight="1">
      <c r="AL1591" s="385"/>
      <c r="AM1591" s="385"/>
      <c r="AN1591" s="385"/>
      <c r="AP1591" s="413"/>
      <c r="AQ1591" s="413"/>
    </row>
    <row r="1592" spans="38:43" ht="15" customHeight="1">
      <c r="AL1592" s="385"/>
      <c r="AM1592" s="385"/>
      <c r="AN1592" s="385"/>
      <c r="AP1592" s="413"/>
      <c r="AQ1592" s="413"/>
    </row>
    <row r="1593" spans="38:43" ht="15" customHeight="1">
      <c r="AL1593" s="385"/>
      <c r="AM1593" s="385"/>
      <c r="AN1593" s="385"/>
      <c r="AP1593" s="413"/>
      <c r="AQ1593" s="413"/>
    </row>
    <row r="1594" spans="38:43" ht="15" customHeight="1">
      <c r="AL1594" s="385"/>
      <c r="AM1594" s="385"/>
      <c r="AN1594" s="385"/>
      <c r="AP1594" s="413"/>
      <c r="AQ1594" s="413"/>
    </row>
    <row r="1595" spans="38:43" ht="15" customHeight="1">
      <c r="AL1595" s="385"/>
      <c r="AM1595" s="385"/>
      <c r="AN1595" s="385"/>
      <c r="AP1595" s="413"/>
      <c r="AQ1595" s="413"/>
    </row>
    <row r="1596" spans="38:43" ht="15" customHeight="1">
      <c r="AL1596" s="385"/>
      <c r="AM1596" s="385"/>
      <c r="AN1596" s="385"/>
      <c r="AP1596" s="413"/>
      <c r="AQ1596" s="413"/>
    </row>
    <row r="1597" spans="38:43" ht="15" customHeight="1">
      <c r="AL1597" s="385"/>
      <c r="AM1597" s="385"/>
      <c r="AN1597" s="385"/>
      <c r="AP1597" s="413"/>
      <c r="AQ1597" s="413"/>
    </row>
    <row r="1598" spans="38:43" ht="15" customHeight="1">
      <c r="AL1598" s="385"/>
      <c r="AM1598" s="385"/>
      <c r="AN1598" s="385"/>
      <c r="AP1598" s="413"/>
      <c r="AQ1598" s="413"/>
    </row>
    <row r="1599" spans="38:43" ht="15" customHeight="1">
      <c r="AL1599" s="385"/>
      <c r="AM1599" s="385"/>
      <c r="AN1599" s="385"/>
      <c r="AP1599" s="413"/>
      <c r="AQ1599" s="413"/>
    </row>
    <row r="1600" spans="38:43" ht="15" customHeight="1">
      <c r="AL1600" s="385"/>
      <c r="AM1600" s="385"/>
      <c r="AN1600" s="385"/>
      <c r="AP1600" s="413"/>
      <c r="AQ1600" s="413"/>
    </row>
    <row r="1601" spans="38:43" ht="15" customHeight="1">
      <c r="AL1601" s="385"/>
      <c r="AM1601" s="385"/>
      <c r="AN1601" s="385"/>
      <c r="AP1601" s="413"/>
      <c r="AQ1601" s="413"/>
    </row>
    <row r="1602" spans="38:43" ht="15" customHeight="1">
      <c r="AL1602" s="385"/>
      <c r="AM1602" s="385"/>
      <c r="AN1602" s="385"/>
      <c r="AP1602" s="413"/>
      <c r="AQ1602" s="413"/>
    </row>
    <row r="1603" spans="38:43" ht="15" customHeight="1">
      <c r="AL1603" s="385"/>
      <c r="AM1603" s="385"/>
      <c r="AN1603" s="385"/>
      <c r="AP1603" s="413"/>
      <c r="AQ1603" s="413"/>
    </row>
    <row r="1604" spans="38:43" ht="15" customHeight="1">
      <c r="AL1604" s="385"/>
      <c r="AM1604" s="385"/>
      <c r="AN1604" s="385"/>
      <c r="AP1604" s="413"/>
      <c r="AQ1604" s="413"/>
    </row>
    <row r="1605" spans="38:43" ht="15" customHeight="1">
      <c r="AL1605" s="385"/>
      <c r="AM1605" s="385"/>
      <c r="AN1605" s="385"/>
      <c r="AP1605" s="413"/>
      <c r="AQ1605" s="413"/>
    </row>
    <row r="1606" spans="38:43" ht="15" customHeight="1">
      <c r="AL1606" s="385"/>
      <c r="AM1606" s="385"/>
      <c r="AN1606" s="385"/>
      <c r="AP1606" s="413"/>
      <c r="AQ1606" s="413"/>
    </row>
    <row r="1607" spans="38:43" ht="15" customHeight="1">
      <c r="AL1607" s="385"/>
      <c r="AM1607" s="385"/>
      <c r="AN1607" s="385"/>
      <c r="AP1607" s="413"/>
      <c r="AQ1607" s="413"/>
    </row>
    <row r="1608" spans="38:43" ht="15" customHeight="1">
      <c r="AL1608" s="385"/>
      <c r="AM1608" s="385"/>
      <c r="AN1608" s="385"/>
      <c r="AP1608" s="413"/>
      <c r="AQ1608" s="413"/>
    </row>
    <row r="1609" spans="38:43" ht="15" customHeight="1">
      <c r="AL1609" s="385"/>
      <c r="AM1609" s="385"/>
      <c r="AN1609" s="385"/>
      <c r="AP1609" s="413"/>
      <c r="AQ1609" s="413"/>
    </row>
    <row r="1610" spans="38:43" ht="15" customHeight="1">
      <c r="AL1610" s="385"/>
      <c r="AM1610" s="385"/>
      <c r="AN1610" s="385"/>
      <c r="AP1610" s="413"/>
      <c r="AQ1610" s="413"/>
    </row>
    <row r="1611" spans="38:43" ht="15" customHeight="1">
      <c r="AL1611" s="385"/>
      <c r="AM1611" s="385"/>
      <c r="AN1611" s="385"/>
      <c r="AP1611" s="413"/>
      <c r="AQ1611" s="413"/>
    </row>
    <row r="1612" spans="38:43" ht="15" customHeight="1">
      <c r="AL1612" s="385"/>
      <c r="AM1612" s="385"/>
      <c r="AN1612" s="385"/>
      <c r="AP1612" s="413"/>
      <c r="AQ1612" s="413"/>
    </row>
    <row r="1613" spans="38:43" ht="15" customHeight="1">
      <c r="AL1613" s="385"/>
      <c r="AM1613" s="385"/>
      <c r="AN1613" s="385"/>
      <c r="AP1613" s="413"/>
      <c r="AQ1613" s="413"/>
    </row>
    <row r="1614" spans="38:43" ht="15" customHeight="1">
      <c r="AL1614" s="385"/>
      <c r="AM1614" s="385"/>
      <c r="AN1614" s="385"/>
      <c r="AP1614" s="413"/>
      <c r="AQ1614" s="413"/>
    </row>
    <row r="1615" spans="38:43" ht="15" customHeight="1">
      <c r="AL1615" s="385"/>
      <c r="AM1615" s="385"/>
      <c r="AN1615" s="385"/>
      <c r="AP1615" s="413"/>
      <c r="AQ1615" s="413"/>
    </row>
    <row r="1616" spans="38:43" ht="15" customHeight="1">
      <c r="AL1616" s="385"/>
      <c r="AM1616" s="385"/>
      <c r="AN1616" s="385"/>
      <c r="AP1616" s="413"/>
      <c r="AQ1616" s="413"/>
    </row>
    <row r="1617" spans="38:43" ht="15" customHeight="1">
      <c r="AL1617" s="385"/>
      <c r="AM1617" s="385"/>
      <c r="AN1617" s="385"/>
      <c r="AP1617" s="413"/>
      <c r="AQ1617" s="413"/>
    </row>
    <row r="1618" spans="38:43" ht="15" customHeight="1">
      <c r="AL1618" s="385"/>
      <c r="AM1618" s="385"/>
      <c r="AN1618" s="385"/>
      <c r="AP1618" s="413"/>
      <c r="AQ1618" s="413"/>
    </row>
    <row r="1619" spans="38:43" ht="15" customHeight="1">
      <c r="AL1619" s="385"/>
      <c r="AM1619" s="385"/>
      <c r="AN1619" s="385"/>
      <c r="AP1619" s="413"/>
      <c r="AQ1619" s="413"/>
    </row>
    <row r="1620" spans="38:43" ht="15" customHeight="1">
      <c r="AL1620" s="385"/>
      <c r="AM1620" s="385"/>
      <c r="AN1620" s="385"/>
      <c r="AP1620" s="413"/>
      <c r="AQ1620" s="413"/>
    </row>
    <row r="1621" spans="38:43" ht="15" customHeight="1">
      <c r="AL1621" s="385"/>
      <c r="AM1621" s="385"/>
      <c r="AN1621" s="385"/>
      <c r="AP1621" s="413"/>
      <c r="AQ1621" s="413"/>
    </row>
    <row r="1622" spans="38:43" ht="15" customHeight="1">
      <c r="AL1622" s="385"/>
      <c r="AM1622" s="385"/>
      <c r="AN1622" s="385"/>
      <c r="AP1622" s="413"/>
      <c r="AQ1622" s="413"/>
    </row>
    <row r="1623" spans="38:43" ht="15" customHeight="1">
      <c r="AL1623" s="385"/>
      <c r="AM1623" s="385"/>
      <c r="AN1623" s="385"/>
      <c r="AP1623" s="413"/>
      <c r="AQ1623" s="413"/>
    </row>
    <row r="1624" spans="38:43" ht="15" customHeight="1">
      <c r="AL1624" s="385"/>
      <c r="AM1624" s="385"/>
      <c r="AN1624" s="385"/>
      <c r="AP1624" s="413"/>
      <c r="AQ1624" s="413"/>
    </row>
    <row r="1625" spans="38:43" ht="15" customHeight="1">
      <c r="AL1625" s="385"/>
      <c r="AM1625" s="385"/>
      <c r="AN1625" s="385"/>
      <c r="AP1625" s="413"/>
      <c r="AQ1625" s="413"/>
    </row>
    <row r="1626" spans="38:43" ht="15" customHeight="1">
      <c r="AL1626" s="385"/>
      <c r="AM1626" s="385"/>
      <c r="AN1626" s="385"/>
      <c r="AP1626" s="413"/>
      <c r="AQ1626" s="413"/>
    </row>
    <row r="1627" spans="38:43" ht="15" customHeight="1">
      <c r="AL1627" s="385"/>
      <c r="AM1627" s="385"/>
      <c r="AN1627" s="385"/>
      <c r="AP1627" s="413"/>
      <c r="AQ1627" s="413"/>
    </row>
    <row r="1628" spans="38:43" ht="15" customHeight="1">
      <c r="AL1628" s="385"/>
      <c r="AM1628" s="385"/>
      <c r="AN1628" s="385"/>
      <c r="AP1628" s="413"/>
      <c r="AQ1628" s="413"/>
    </row>
    <row r="1629" spans="38:43" ht="15" customHeight="1">
      <c r="AL1629" s="385"/>
      <c r="AM1629" s="385"/>
      <c r="AN1629" s="385"/>
      <c r="AP1629" s="413"/>
      <c r="AQ1629" s="413"/>
    </row>
    <row r="1630" spans="38:43" ht="15" customHeight="1">
      <c r="AL1630" s="385"/>
      <c r="AM1630" s="385"/>
      <c r="AN1630" s="385"/>
      <c r="AP1630" s="413"/>
      <c r="AQ1630" s="413"/>
    </row>
    <row r="1631" spans="38:43" ht="15" customHeight="1">
      <c r="AL1631" s="385"/>
      <c r="AM1631" s="385"/>
      <c r="AN1631" s="385"/>
      <c r="AP1631" s="413"/>
      <c r="AQ1631" s="413"/>
    </row>
    <row r="1632" spans="38:43" ht="15" customHeight="1">
      <c r="AL1632" s="385"/>
      <c r="AM1632" s="385"/>
      <c r="AN1632" s="385"/>
      <c r="AP1632" s="413"/>
      <c r="AQ1632" s="413"/>
    </row>
    <row r="1633" spans="38:43" ht="15" customHeight="1">
      <c r="AL1633" s="385"/>
      <c r="AM1633" s="385"/>
      <c r="AN1633" s="385"/>
      <c r="AP1633" s="413"/>
      <c r="AQ1633" s="413"/>
    </row>
    <row r="1634" spans="38:43" ht="15" customHeight="1">
      <c r="AL1634" s="385"/>
      <c r="AM1634" s="385"/>
      <c r="AN1634" s="385"/>
      <c r="AP1634" s="413"/>
      <c r="AQ1634" s="413"/>
    </row>
    <row r="1635" spans="38:43" ht="15" customHeight="1">
      <c r="AL1635" s="385"/>
      <c r="AM1635" s="385"/>
      <c r="AN1635" s="385"/>
      <c r="AP1635" s="413"/>
      <c r="AQ1635" s="413"/>
    </row>
    <row r="1636" spans="38:43" ht="15" customHeight="1">
      <c r="AL1636" s="385"/>
      <c r="AM1636" s="385"/>
      <c r="AN1636" s="385"/>
      <c r="AP1636" s="413"/>
      <c r="AQ1636" s="413"/>
    </row>
    <row r="1637" spans="38:43" ht="15" customHeight="1">
      <c r="AL1637" s="385"/>
      <c r="AM1637" s="385"/>
      <c r="AN1637" s="385"/>
      <c r="AP1637" s="413"/>
      <c r="AQ1637" s="413"/>
    </row>
    <row r="1638" spans="38:43" ht="15" customHeight="1">
      <c r="AL1638" s="385"/>
      <c r="AM1638" s="385"/>
      <c r="AN1638" s="385"/>
      <c r="AP1638" s="413"/>
      <c r="AQ1638" s="413"/>
    </row>
    <row r="1639" spans="38:43" ht="15" customHeight="1">
      <c r="AL1639" s="385"/>
      <c r="AM1639" s="385"/>
      <c r="AN1639" s="385"/>
      <c r="AP1639" s="413"/>
      <c r="AQ1639" s="413"/>
    </row>
    <row r="1640" spans="38:43" ht="15" customHeight="1">
      <c r="AL1640" s="385"/>
      <c r="AM1640" s="385"/>
      <c r="AN1640" s="385"/>
      <c r="AP1640" s="413"/>
      <c r="AQ1640" s="413"/>
    </row>
    <row r="1641" spans="38:43" ht="15" customHeight="1">
      <c r="AL1641" s="385"/>
      <c r="AM1641" s="385"/>
      <c r="AN1641" s="385"/>
      <c r="AP1641" s="413"/>
      <c r="AQ1641" s="413"/>
    </row>
    <row r="1642" spans="38:43" ht="15" customHeight="1">
      <c r="AL1642" s="385"/>
      <c r="AM1642" s="385"/>
      <c r="AN1642" s="385"/>
      <c r="AP1642" s="413"/>
      <c r="AQ1642" s="413"/>
    </row>
    <row r="1643" spans="38:43" ht="15" customHeight="1">
      <c r="AL1643" s="385"/>
      <c r="AM1643" s="385"/>
      <c r="AN1643" s="385"/>
      <c r="AP1643" s="413"/>
      <c r="AQ1643" s="413"/>
    </row>
    <row r="1644" spans="38:43" ht="15" customHeight="1">
      <c r="AL1644" s="385"/>
      <c r="AM1644" s="385"/>
      <c r="AN1644" s="385"/>
      <c r="AP1644" s="413"/>
      <c r="AQ1644" s="413"/>
    </row>
    <row r="1645" spans="38:43" ht="15" customHeight="1">
      <c r="AL1645" s="385"/>
      <c r="AM1645" s="385"/>
      <c r="AN1645" s="385"/>
      <c r="AP1645" s="413"/>
      <c r="AQ1645" s="413"/>
    </row>
    <row r="1646" spans="38:43" ht="15" customHeight="1">
      <c r="AL1646" s="385"/>
      <c r="AM1646" s="385"/>
      <c r="AN1646" s="385"/>
      <c r="AP1646" s="413"/>
      <c r="AQ1646" s="413"/>
    </row>
  </sheetData>
  <sheetProtection insertRows="0" deleteRows="0" sort="0" autoFilter="0"/>
  <autoFilter ref="B1:AQ507" xr:uid="{00000000-0009-0000-0000-000000000000}"/>
  <dataConsolidate/>
  <phoneticPr fontId="78" type="noConversion"/>
  <conditionalFormatting sqref="AM208:AQ208 AK208:AL221 AM209:AM211 AO209:AQ210 AN209:AN221 AP211:AQ211 AO211:AO221 D2:AQ3 D4:I73 D230:I281 D87:F211 K208:M211 J4:J487 N3:N4 N193:N196 R208:AJ211 K194:N207 O3:Q54 K192:N192 R192:AQ207 O192:Q217 O280:Q289 K222:M229 O222:O229 N205:N229 R222:AQ229 K4:AQ84 P218:Q229 K87:AQ191 K230:AQ281 D282:AQ1113 H194:I211 D222:F229 H222:I229 H87:I192 D74:F84 H74:I84 H193:N193 G3:G54 G74:G507">
    <cfRule type="expression" dxfId="1107" priority="2645">
      <formula>IF(CELL("Содержимое",$C2)=0,TRUE)</formula>
    </cfRule>
  </conditionalFormatting>
  <conditionalFormatting sqref="B2:B1113">
    <cfRule type="cellIs" dxfId="1106" priority="2539" operator="equal">
      <formula>1</formula>
    </cfRule>
    <cfRule type="cellIs" dxfId="1105" priority="2540" operator="equal">
      <formula>0</formula>
    </cfRule>
  </conditionalFormatting>
  <conditionalFormatting sqref="R2:R84 L2:M84 Z2:AJ84 AM2:AQ84 Z87:AJ211 L87:M211 R87:R211 R222:R1113 Z222:AJ1113 AM209:AM211 AO209:AQ210 AN209:AN221 AP211:AQ211 AO211:AO221 AM87:AQ208 AM222:AQ1113 L222:M1113">
    <cfRule type="expression" dxfId="1104" priority="2053">
      <formula>IF(CELL("Содержимое",$C2)="FB_DI_BUF_S",TRUE)</formula>
    </cfRule>
    <cfRule type="expression" dxfId="1103" priority="2856">
      <formula>IF(CELL("Содержимое",$C2)="FB_DI_S",TRUE)</formula>
    </cfRule>
  </conditionalFormatting>
  <conditionalFormatting sqref="AO2:AQ84 M2:M84 AL2:AL84 Z2:AJ84 Z87:AJ211 M87:M211 M222:M1113 Z222:AJ1113 AL87:AL1113 AP211:AQ211 AO211:AO221 AO87:AQ210 AO222:AQ1113 R192:R211 R222:R229 P2:R84 P87:R191 P192:Q229 P230:R1113">
    <cfRule type="expression" dxfId="1102" priority="2055">
      <formula>IF(CELL("Содержимое",$C2)="FB_AI_BUF_S",TRUE)</formula>
    </cfRule>
    <cfRule type="expression" dxfId="1101" priority="2859">
      <formula>IF(CELL("Содержимое",$C2)="FB_AI_S",TRUE)</formula>
    </cfRule>
  </conditionalFormatting>
  <conditionalFormatting sqref="R2:R84 Y2:Y84 AK2:AQ84 Y87:Y211 R87:R211 R222:R1113 Y222:Y1113 AM208:AQ208 AK208:AL221 AM209:AM211 AO209:AQ210 AN209:AN221 AP211:AQ211 AO211:AO221 AK87:AQ207 AK222:AQ1113 M208:M211 M192:N207 O192:P217 M222:M229 O222:O229 N205:N229 M2:P84 P218:P229 M87:P191 M230:P1113">
    <cfRule type="expression" dxfId="1100" priority="2864">
      <formula>IF(CELL("Содержимое",$C2)="FB_IMstp_S",TRUE)</formula>
    </cfRule>
  </conditionalFormatting>
  <conditionalFormatting sqref="K2:K84 Y2:Y84 AF2:AQ84 Y87:Y211 K87:K211 Y222:Y1113 AF208:AJ211 AM208:AQ208 AK208:AL221 AM209:AM211 AO209:AQ210 AN209:AN221 AP211:AQ211 AO211:AO221 AF87:AQ207 AF222:AQ1113 M208:M211 M192:N207 R192:R211 O192:Q217 M222:M229 O222:O229 N205:N229 R222:R229 M2:R84 P218:Q229 M87:R191 K222:K1113 M230:R1113">
    <cfRule type="expression" dxfId="1099" priority="2035">
      <formula>IF(CELL("Содержимое",$C2)="FB_dREG_BUF_S",TRUE)</formula>
    </cfRule>
    <cfRule type="expression" dxfId="1098" priority="2047">
      <formula>IF(CELL("Содержимое",$C2)="FB_REG_BUF_S",TRUE)</formula>
    </cfRule>
  </conditionalFormatting>
  <conditionalFormatting sqref="AE2:AF84 AB2:AC84 Y2:Y84 AH2:AI84 AK2:AQ84 AH87:AI211 Y87:Y211 AB87:AC211 AE87:AF211 AE222:AF1113 AB222:AC1113 Y222:Y1113 AH222:AI1113 AM208:AQ208 AK208:AL221 AM209:AM211 AO209:AQ210 AN209:AN221 AP211:AQ211 AO211:AO221 AK87:AQ207 AK222:AQ1113 K208:M211 K192:N207 R192:R211 O192:Q217 K222:M229 O222:O229 N205:N229 R222:R229 K2:R84 P218:Q229 K87:R191 K230:R1113">
    <cfRule type="expression" dxfId="1097" priority="2875">
      <formula>IF(CELL("Содержимое",$C2)="FB_IMsp_MON_S",TRUE)</formula>
    </cfRule>
  </conditionalFormatting>
  <conditionalFormatting sqref="R2:R84 AB2:AC84 Y2:Y84 AE2:AG84 AJ2:AQ84 AE87:AG211 Y87:Y211 AB87:AC211 R87:R211 R222:R1113 AB222:AC1113 Y222:Y1113 AE222:AG1113 AJ208:AJ211 AM208:AQ208 AK208:AL221 AM209:AM211 AO209:AQ210 AN209:AN221 AP211:AQ211 AO211:AO221 AJ87:AQ207 AJ222:AQ1113 M208:M211 M192:N207 O192:P217 M222:M229 O222:O229 N205:N229 M2:P84 P218:P229 M87:P191 M230:P1113">
    <cfRule type="expression" dxfId="1096" priority="2876">
      <formula>IF(CELL("Содержимое",$C2)="FB_IMst_MON_S",TRUE)</formula>
    </cfRule>
  </conditionalFormatting>
  <conditionalFormatting sqref="R2:R84 Y2:AC84 AE2:AG84 AJ2:AQ84 AE87:AG211 Y87:AC211 R87:R211 R222:R1113 Y222:AC1113 AE222:AG1113 AJ208:AJ211 AM208:AQ208 AK208:AL221 AM209:AM211 AO209:AQ210 AN209:AN221 AP211:AQ211 AO211:AO221 AJ87:AQ207 AJ222:AQ1113 O222:O229 N218:N229 N2:P84 P218:P229 N87:P217 N230:P1113">
    <cfRule type="expression" dxfId="1095" priority="2872">
      <formula>IF(CELL("Содержимое",$C2)="FB_IMt_MON_S",TRUE)</formula>
    </cfRule>
  </conditionalFormatting>
  <conditionalFormatting sqref="R2:R84 K2:K84 Y2:Y84 AG2:AQ84 Y87:Y211 K87:K211 R87:R211 R222:R1113 Y222:Y1113 AG208:AJ211 AM208:AQ208 AK208:AL221 AM209:AM211 AO209:AQ210 AN209:AN221 AP211:AQ211 AO211:AO221 AG87:AQ207 AG222:AQ1113 M208:M211 M192:N207 O192:P217 M222:M229 O222:O229 N205:N229 M2:P84 P218:P229 M87:P191 K222:K1113 M230:P1113">
    <cfRule type="expression" dxfId="1094" priority="2606">
      <formula>IF(CELL("Содержимое",$C2)="FB_IMs_S",TRUE)</formula>
    </cfRule>
  </conditionalFormatting>
  <conditionalFormatting sqref="M2:M84 Y2:AQ84 M87:M211 M222:M1113 Y208:AJ211 AM208:AQ208 AK208:AL221 AM209:AM211 AO209:AQ210 AN209:AN221 AP211:AQ211 AO211:AO221 Y87:AQ207 Y222:AQ1113 R192:R211 R222:R229 P2:R84 P87:R191 P192:Q229 P230:R1113">
    <cfRule type="expression" dxfId="1093" priority="2489">
      <formula>IF(CELL("Содержимое",$C2)="AI_2",TRUE)</formula>
    </cfRule>
  </conditionalFormatting>
  <conditionalFormatting sqref="D2:D84 Y2:AQ84 H87:I211 D87:D211 D222:D1113 G230:I1113 Y208:AJ211 AM208:AQ208 AK208:AL221 AM209:AM211 AO209:AQ210 AN209:AN221 AP211:AQ211 AO211:AO221 Y87:AQ207 Y222:AQ1113 K208:M211 K192:N207 R192:R211 O192:Q217 K222:M229 O222:O229 N205:N229 R222:R229 K2:R84 P218:Q229 K87:R191 K230:R1113 H74:I84 H222:I229 G2:I73 G74:G507">
    <cfRule type="expression" dxfId="1092" priority="2537">
      <formula>IF(CELL("Содержимое",$C2)="IMv_SIM",TRUE)</formula>
    </cfRule>
  </conditionalFormatting>
  <conditionalFormatting sqref="R2:R84 K2:K84 Y2:Y84 AH2:AI84 AK2:AQ84 AH87:AI211 Y87:Y211 K87:K211 R87:R211 R222:R1113 Y222:Y1113 AH222:AI1113 AM208:AQ208 AK208:AL221 AM209:AM211 AO209:AQ210 AN209:AN221 AP211:AQ211 AO211:AO221 AK87:AQ207 AK222:AQ1113 M208:M211 M192:N207 O192:P217 M222:M229 O222:O229 N205:N229 M2:P84 P218:P229 M87:P191 K222:K1113 M230:P1113">
    <cfRule type="expression" dxfId="1091" priority="2535">
      <formula>IF(CELL("Содержимое",$C2)="FB_IMsp_S",TRUE)</formula>
    </cfRule>
  </conditionalFormatting>
  <conditionalFormatting sqref="AP2:AQ84 R2:R84 Y2:Y84 AM2:AM84 AM87:AM211 Y87:Y211 R87:R211 AP87:AQ211 AP222:AQ1113 R222:R1113 Y222:Y1113 AM222:AM1113 K208:M211 K192:N207 O192:P217 K222:M229 O222:O229 N205:N229 K2:P84 P218:P229 K87:P191 K230:P1113">
    <cfRule type="expression" dxfId="1090" priority="2493">
      <formula>IF(CELL("Содержимое",$C2)="FB_IM_ADES_S",TRUE)</formula>
    </cfRule>
  </conditionalFormatting>
  <conditionalFormatting sqref="AL2:AL84 R2:R84 K2:M84 AN2:AQ84 Z2:AJ84 Z87:AJ211 K87:M211 R87:R211 R222:R1113 Z222:AJ1113 AL87:AL1113 AO209:AQ210 AN209:AN221 AP211:AQ211 AO211:AO221 AN87:AQ208 AN222:AQ1113 K222:M1113">
    <cfRule type="expression" dxfId="1089" priority="2519">
      <formula>IF(CELL("Содержимое",$C2)="FB_SHPS_S",TRUE)</formula>
    </cfRule>
  </conditionalFormatting>
  <conditionalFormatting sqref="R2:R84 K2:M84 AN2:AQ84 Z2:AL84 Z87:AL207 K87:M211 R87:R211 R222:R1113 Z222:AL1113 Z208:AJ211 AK208:AL221 AO209:AQ210 AN209:AN221 AP211:AQ211 AO211:AO221 AN87:AQ208 AN222:AQ1113 O2:P84 O87:P217 O222:O229 P218:P229 K222:M1113 O230:P1113">
    <cfRule type="expression" dxfId="1088" priority="2518">
      <formula>IF(CELL("Содержимое",$C2)="FB_SHOP_S",TRUE)</formula>
    </cfRule>
  </conditionalFormatting>
  <conditionalFormatting sqref="AE2:AQ84 AE208:AJ211 AM208:AQ208 AK208:AL221 AM209:AM211 AO209:AQ210 AN209:AN221 AP211:AQ211 AO211:AO221 AE87:AQ207 AE222:AQ1113 K208:M211 K192:N207 R192:R211 O192:Q217 K222:M229 O222:O229 N205:N229 R222:R229 K2:R84 P218:Q229 K87:R191 K230:R1113">
    <cfRule type="expression" dxfId="1087" priority="2514">
      <formula>IF(CELL("Содержимое",$C2)="FB_QOP_S",TRUE)</formula>
    </cfRule>
  </conditionalFormatting>
  <conditionalFormatting sqref="D2:D84 H2:I84 K2:M84 K87:M211 H87:I211 D87:D211 D222:D1113 H222:I1113 R208:AJ211 AM208:AQ208 AK208:AL221 AM209:AM211 AO209:AQ210 AN209:AN221 AP211:AQ211 AO211:AO221 R192:AQ207 R222:AQ229 P2:AQ84 P87:AQ191 P192:Q229 P230:AQ1113 K222:M1113">
    <cfRule type="expression" dxfId="1086" priority="2505">
      <formula>IF(CELL("Содержимое",$C2)="PING",TRUE)</formula>
    </cfRule>
  </conditionalFormatting>
  <conditionalFormatting sqref="AN2:AQ84 Z2:AC84 AE2:AL84 AE87:AL207 Z87:AC211 Z222:AC1113 AE222:AL1113 AE208:AJ211 AK208:AL221 AO209:AQ210 AN209:AN221 AP211:AQ211 AO211:AO221 AN87:AQ208 AN222:AQ1113 K208:M211 R192:R211 K2:N84 K222:M229 N205:N229 Q2:R84 Q87:R191 R222:R229 Q192:Q229 Q230:R1113 K87:N207 K230:N1113">
    <cfRule type="expression" dxfId="1085" priority="2500">
      <formula>IF(CELL("Содержимое",$C2)="FB_BTF_S",TRUE)</formula>
    </cfRule>
  </conditionalFormatting>
  <conditionalFormatting sqref="AO2:AO84 M2:M84 AL2:AL84 AB2:AC84 AE2:AJ84 AE87:AJ211 AB87:AC211 M87:M211 M222:M1113 AB222:AC1113 AE222:AJ1113 AL87:AL1113 AO87:AO1113 R192:R211 R222:R229 P2:R84 P87:R191 P192:Q229 P230:R1113">
    <cfRule type="expression" dxfId="1084" priority="2512">
      <formula>IF(CELL("Содержимое",$C2)="FB_QSA_S",TRUE)</formula>
    </cfRule>
  </conditionalFormatting>
  <conditionalFormatting sqref="AO2:AQ84 AB2:AC84 Y2:Y84 AG2:AL84 AG87:AL207 Y87:Y211 AB87:AC211 AB222:AC1113 Y222:Y1113 AG222:AL1113 AG208:AJ211 AK208:AL221 AP211:AQ211 AO211:AO221 AO87:AQ210 AO222:AQ1113 K208:M211 K192:N207 R192:R211 O192:Q217 K222:M229 O222:O229 N205:N229 R222:R229 K2:R84 P218:Q229 K87:R191 K230:R1113">
    <cfRule type="expression" dxfId="1083" priority="2497">
      <formula>IF(CELL("Содержимое",$C2)="FB_OZK_KD_S",TRUE)</formula>
    </cfRule>
  </conditionalFormatting>
  <conditionalFormatting sqref="K2:M84 Y2:AQ84 K87:M211 Y208:AJ211 AM208:AQ208 AK208:AL221 AM209:AM211 AO209:AQ210 AN209:AN221 AP211:AQ211 AO211:AO221 Y87:AQ207 Y222:AQ1113 R192:R211 O192:Q217 O222:O229 R222:R229 O2:R84 O87:R191 P218:Q229 K222:M1113 O230:R1113">
    <cfRule type="expression" dxfId="1082" priority="2495">
      <formula>IF(CELL("Содержимое",$C2)="FB_UPG_S",TRUE)</formula>
    </cfRule>
  </conditionalFormatting>
  <conditionalFormatting sqref="R2:R84 Y2:AQ84 R87:R211 R222:R1113 Y208:AJ211 AM208:AQ208 AK208:AL221 AM209:AM211 AO209:AQ210 AN209:AN221 AP211:AQ211 AO211:AO221 Y87:AQ207 Y222:AQ1113 K208:M211 K2:N84 K222:M229 N205:N229 K87:N207 K230:N1113">
    <cfRule type="expression" dxfId="1081" priority="2039">
      <formula>IF(CELL("Содержимое",$C2)="DI_BUF",TRUE)</formula>
    </cfRule>
    <cfRule type="expression" dxfId="1080" priority="2604">
      <formula>IF(CELL("Содержимое",$C2)="DI",TRUE)</formula>
    </cfRule>
  </conditionalFormatting>
  <conditionalFormatting sqref="R2:R84 Z2:AB84 AD2:AD84 AG2:AQ84 AD87:AD211 Z87:AB211 R87:R211 R222:R1113 Z222:AB1113 AD222:AD1113 AG208:AJ211 AM208:AQ208 AK208:AL221 AM209:AM211 AO209:AQ210 AN209:AN221 AP211:AQ211 AO211:AO221 AG87:AQ207 AG222:AQ1113 K208:M211 K192:N207 O192:O217 K2:O84 K222:M229 O222:O229 N205:N229 K87:O191 K230:O1113">
    <cfRule type="expression" dxfId="1079" priority="2048">
      <formula>IF(CELL("Содержимое",$C2)="FB_DO_BUF_S",TRUE)</formula>
    </cfRule>
    <cfRule type="expression" dxfId="1078" priority="2491">
      <formula>IF(CELL("Содержимое",$C2)="FB_DO_S",TRUE)</formula>
    </cfRule>
  </conditionalFormatting>
  <conditionalFormatting sqref="T2:AQ84 T208:AJ211 AM208:AQ208 AK208:AL221 AM209:AM211 AO209:AQ210 AN209:AN221 AP211:AQ211 AO211:AO221 T87:AQ207 T222:AQ1113 M208:M211 M192:N207 R192:R211 O192:Q217 M222:M229 O222:O229 N205:N229 R222:R229 M2:R84 P218:Q229 M87:R191 M230:R1113">
    <cfRule type="expression" dxfId="1077" priority="2485">
      <formula>IF(CELL("Содержимое",$C2)="ENUM",TRUE)</formula>
    </cfRule>
  </conditionalFormatting>
  <conditionalFormatting sqref="D2:D84 H2:I84 H87:I211 D87:D211 D222:D1113 H222:I1113 L208:M211 AM208:AQ208 AK208:AL221 AM209:AM211 AO209:AQ210 AN209:AN221 AP211:AQ211 AO211:AO221 R208:AJ211 L192:N207 R192:AQ207 O192:Q217 L222:M229 O222:O229 N205:N229 R222:AQ229 L2:AQ84 P218:Q229 L87:AQ191 L230:AQ1113">
    <cfRule type="expression" dxfId="1076" priority="2483">
      <formula>IF(CELL("Содержимое",$C2)="SYS_DIAG",TRUE)</formula>
    </cfRule>
  </conditionalFormatting>
  <conditionalFormatting sqref="AK2:AK84 AK87:AK1113">
    <cfRule type="expression" dxfId="1075" priority="2482">
      <formula>AND(IF(CELL("Содержимое",$C2)="FB_SHPS_S",CELL("Содержимое",$N2)&lt;&gt;5),TRUE)</formula>
    </cfRule>
  </conditionalFormatting>
  <conditionalFormatting sqref="M2:M84 Y2:AJ84 AL2:AQ84 Y87:AJ211 M87:M211 M222:M1113 Y222:AJ1113 AM208:AQ208 AL208:AL221 AM209:AM211 AO209:AQ210 AN209:AN221 AP211:AQ211 AO211:AO221 AL87:AQ207 AL222:AQ1113 R192:R211 R222:R229 P2:R84 P87:R191 P192:Q229 P230:R1113">
    <cfRule type="expression" dxfId="1074" priority="2042">
      <formula>IF(CELL("Содержимое",$C2)="AI_BUF",TRUE)</formula>
    </cfRule>
    <cfRule type="expression" dxfId="1073" priority="2919">
      <formula>IF(CELL("Содержимое",$C2)="AI",TRUE)</formula>
    </cfRule>
  </conditionalFormatting>
  <conditionalFormatting sqref="D2:D84 H2:I84 L2:M84 AK2:AQ84 L87:M211 H87:I211 D87:D211 D222:D1113 H222:I1113 AM208:AQ208 AK208:AL221 AM209:AM211 AO209:AQ210 AN209:AN221 AP211:AQ211 AO211:AO221 AK87:AQ207 AK222:AQ1113 R192:R211 R222:R229 P2:R84 P87:R191 P192:Q229 P230:R1113 L222:M1113">
    <cfRule type="expression" dxfId="1072" priority="2406">
      <formula>IF(CELL("Содержимое",$C2)="SW_AR550",TRUE)</formula>
    </cfRule>
  </conditionalFormatting>
  <conditionalFormatting sqref="R2:R84 Y2:AD84 AF2:AQ84 Y87:AD211 R87:R211 R222:R1113 Y222:AD1113 AF208:AJ211 AM208:AQ208 AK208:AL221 AM209:AM211 AO209:AQ210 AN209:AN221 AP211:AQ211 AO211:AO221 AF87:AQ207 AF222:AQ1113 K208:M211 K192:N207 O192:O217 K2:O84 K222:M229 O222:O229 N205:N229 K87:O191 K230:O1113">
    <cfRule type="expression" dxfId="1071" priority="2472">
      <formula>IF(CELL("Содержимое",$C2)="FB_DO_STB_S",TRUE)</formula>
    </cfRule>
  </conditionalFormatting>
  <conditionalFormatting sqref="T2:AJ84 AL2:AQ84 T87:AJ211 T222:AJ1113 AM208:AQ208 AL208:AL221 AM209:AM211 AO209:AQ210 AN209:AN221 AP211:AQ211 AO211:AO221 AL87:AQ207 AL222:AQ1113 L208:M211 L192:N207 O192:Q217 L222:M229 O222:O229 N205:N229 L2:Q84 P218:Q229 L87:Q191 L230:Q1113">
    <cfRule type="expression" dxfId="1070" priority="2470">
      <formula>IF(CELL("Содержимое",$C2)="CPU_DIAG",TRUE)</formula>
    </cfRule>
  </conditionalFormatting>
  <conditionalFormatting sqref="K208:M211 AM208:AQ208 AK208:AL221 AM209:AM211 AO209:AQ210 AN209:AN221 AP211:AQ211 AO211:AO221 R208:AJ211 K192:N207 R192:AQ207 O192:Q217 K222:M229 O222:O229 N205:N229 R222:AQ229 K2:AQ84 P218:Q229 K87:AQ191 K230:AQ1113">
    <cfRule type="expression" dxfId="1069" priority="2033">
      <formula>IF(CELL("Содержимое",$C2)="FB_HA_UPI_S",TRUE)</formula>
    </cfRule>
    <cfRule type="expression" dxfId="1068" priority="2476">
      <formula>IF(CELL("Содержимое",$C2)="FB_QSA_ALL",TRUE)</formula>
    </cfRule>
    <cfRule type="expression" dxfId="1067" priority="2477">
      <formula>IF(CELL("Содержимое",$C2)="FB_SHOP_ALL",TRUE)</formula>
    </cfRule>
    <cfRule type="expression" dxfId="1066" priority="2478">
      <formula>IF(CELL("Содержимое",$C2)="FB_SH_ALL",TRUE)</formula>
    </cfRule>
    <cfRule type="expression" dxfId="1065" priority="2533">
      <formula>IF(CELL("Содержимое",$C2)="DO",TRUE)</formula>
    </cfRule>
  </conditionalFormatting>
  <conditionalFormatting sqref="Z2:AQ84 Z208:AJ211 AM208:AQ208 AK208:AL221 AM209:AM211 AO209:AQ210 AN209:AN221 AP211:AQ211 AO211:AO221 Z87:AQ207 Z222:AQ1113 K208:M211 K192:N207 R192:R211 O192:Q217 K222:M229 O222:O229 N205:N229 R222:R229 K2:R84 P218:Q229 K87:R191 K230:R1113">
    <cfRule type="expression" dxfId="1064" priority="2498">
      <formula>IF(CELL("Содержимое",$C2)="FB_KL_UPT_S",TRUE)</formula>
    </cfRule>
  </conditionalFormatting>
  <conditionalFormatting sqref="AB2:AC84 Y2:Y84 AE2:AQ84 Y87:Y211 AB87:AC211 AB222:AC1113 Y222:Y1113 AE208:AJ211 AM208:AQ208 AK208:AL221 AM209:AM211 AO209:AQ210 AN209:AN221 AP211:AQ211 AO211:AO221 AE87:AQ207 AE222:AQ1113 K208:M211 K192:N207 R192:R211 O192:Q217 K222:M229 O222:O229 N205:N229 R222:R229 K2:R84 P218:Q229 K87:R191 K230:R1113">
    <cfRule type="expression" dxfId="1063" priority="2528">
      <formula>IF(CELL("Содержимое",$C2)="FB_IMs_MON_S",TRUE)</formula>
    </cfRule>
    <cfRule type="expression" dxfId="1062" priority="2529">
      <formula>IF(CELL("Содержимое",$C2)="FB_IMp_MON_S",TRUE)</formula>
    </cfRule>
    <cfRule type="expression" dxfId="1061" priority="2530">
      <formula>IF(CELL("Содержимое",$C2)="FB_IMv_MON_S",TRUE)</formula>
    </cfRule>
  </conditionalFormatting>
  <conditionalFormatting sqref="Y2:AQ84 Y208:AJ211 AM208:AQ208 AK208:AL221 AM209:AM211 AO209:AQ210 AN209:AN221 AP211:AQ211 AO211:AO221 Y87:AQ207 Y222:AQ1113 K208:M211 K192:N207 R192:R211 O192:Q217 K222:M229 O222:O229 N205:N229 R222:R229 K2:R84 P218:Q229 K87:R191 K230:R1113">
    <cfRule type="expression" dxfId="1060" priority="2041">
      <formula>IF(CELL("Содержимое",$C2)="DO_BUF",TRUE)</formula>
    </cfRule>
    <cfRule type="expression" dxfId="1059" priority="2499">
      <formula>IF(CELL("Содержимое",$C2)="FB_UPP_S",TRUE)</formula>
    </cfRule>
    <cfRule type="expression" dxfId="1058" priority="2874">
      <formula>IF(CELL("Содержимое",$C2)="FB_IMtp_MON_S",TRUE)</formula>
    </cfRule>
  </conditionalFormatting>
  <conditionalFormatting sqref="AP2:AQ84 Y2:Y84 AH2:AJ84 AM2:AM84 AM87:AM211 AH87:AJ211 Y87:Y211 AP87:AQ211 AP222:AQ1113 Y222:Y1113 AH222:AJ1113 AM222:AM1113 K208:M211 K192:N207 R192:R211 O192:Q217 K222:M229 O222:O229 N205:N229 R222:R229 K2:R84 P218:Q229 K87:R191 K230:R1113">
    <cfRule type="expression" dxfId="1057" priority="2051">
      <formula>IF(CELL("Содержимое",$C2)="FB_IMv_BUF_S",TRUE)</formula>
    </cfRule>
    <cfRule type="expression" dxfId="1056" priority="2531">
      <formula>IF(CELL("Содержимое",$C2)="FB_IMv_S",TRUE)</formula>
    </cfRule>
    <cfRule type="expression" dxfId="1055" priority="2532">
      <formula>IF(CELL("Содержимое",$C2)="FB_IMp_S",TRUE)</formula>
    </cfRule>
  </conditionalFormatting>
  <conditionalFormatting sqref="C2:C1113">
    <cfRule type="cellIs" dxfId="1054" priority="1794" operator="equal">
      <formula>"SW_MES3348F"</formula>
    </cfRule>
    <cfRule type="cellIs" dxfId="1053" priority="1795" operator="equal">
      <formula>"SW_MES3508"</formula>
    </cfRule>
    <cfRule type="cellIs" dxfId="1052" priority="1799" operator="equal">
      <formula>"TOR"</formula>
    </cfRule>
    <cfRule type="cellIs" dxfId="1051" priority="2015" operator="equal">
      <formula>"IM_ADES"</formula>
    </cfRule>
    <cfRule type="cellIs" dxfId="1050" priority="2016" operator="equal">
      <formula>"IMstp"</formula>
    </cfRule>
    <cfRule type="cellIs" dxfId="1049" priority="2025" operator="equal">
      <formula>"IMsp_MON"</formula>
    </cfRule>
    <cfRule type="cellIs" dxfId="1048" priority="2026" operator="equal">
      <formula>"IMt_MON"</formula>
    </cfRule>
    <cfRule type="cellIs" dxfId="1047" priority="2027" operator="equal">
      <formula>"IMs_MON"</formula>
    </cfRule>
    <cfRule type="cellIs" dxfId="1046" priority="2028" operator="equal">
      <formula>"IMsp"</formula>
    </cfRule>
    <cfRule type="cellIs" dxfId="1045" priority="2029" operator="equal">
      <formula>"IMv_MON"</formula>
    </cfRule>
    <cfRule type="cellIs" dxfId="1044" priority="2030" operator="equal">
      <formula>"IMp_MON"</formula>
    </cfRule>
    <cfRule type="cellIs" dxfId="1043" priority="2031" operator="equal">
      <formula>"IMv"</formula>
    </cfRule>
    <cfRule type="cellIs" dxfId="1042" priority="2032" operator="equal">
      <formula>"IMp"</formula>
    </cfRule>
    <cfRule type="cellIs" dxfId="1041" priority="2034" operator="equal">
      <formula>"FB_HA_UPI_S"</formula>
    </cfRule>
    <cfRule type="cellIs" dxfId="1040" priority="2036" operator="equal">
      <formula>"FB_dREG_BUF_S"</formula>
    </cfRule>
    <cfRule type="cellIs" dxfId="1039" priority="2038" operator="equal">
      <formula>"AI_SLIM_BUF"</formula>
    </cfRule>
    <cfRule type="cellIs" dxfId="1038" priority="2043" operator="equal">
      <formula>"DI_DIAG_BUF"</formula>
    </cfRule>
    <cfRule type="cellIs" dxfId="1037" priority="2044" operator="equal">
      <formula>"DI_BUF"</formula>
    </cfRule>
    <cfRule type="cellIs" dxfId="1036" priority="2045" operator="equal">
      <formula>"DO_BUF"</formula>
    </cfRule>
    <cfRule type="cellIs" dxfId="1035" priority="2046" operator="equal">
      <formula>"AI_BUF"</formula>
    </cfRule>
    <cfRule type="cellIs" dxfId="1034" priority="2049" operator="equal">
      <formula>"FB_REG_BUF_S"</formula>
    </cfRule>
    <cfRule type="cellIs" dxfId="1033" priority="2050" operator="equal">
      <formula>"FB_DO_BUF_S"</formula>
    </cfRule>
    <cfRule type="cellIs" dxfId="1032" priority="2052" operator="equal">
      <formula>"FB_IMv_BUF_S"</formula>
    </cfRule>
    <cfRule type="cellIs" dxfId="1031" priority="2054" operator="equal">
      <formula>"FB_DI_BUF_S"</formula>
    </cfRule>
    <cfRule type="cellIs" dxfId="1030" priority="2056" operator="equal">
      <formula>"FB_AI_BUF_S"</formula>
    </cfRule>
    <cfRule type="cellIs" dxfId="1029" priority="2448" operator="equal">
      <formula>"DO"</formula>
    </cfRule>
  </conditionalFormatting>
  <conditionalFormatting sqref="D2:D84 H2:I84 L2:M84 AI2:AQ84 L87:M211 H87:I211 D87:D211 D222:D1113 H222:I1113 AI208:AJ211 AM208:AQ208 AK208:AL221 AM209:AM211 AO209:AQ210 AN209:AN221 AP211:AQ211 AO211:AO221 AI87:AQ207 AI222:AQ1113 R192:R211 R222:R229 P2:R84 P87:R191 P192:Q229 P230:R1113 L222:M1113">
    <cfRule type="expression" dxfId="1028" priority="1797">
      <formula>IF(CELL("Содержимое",$C2)="SW_MES3508",TRUE)</formula>
    </cfRule>
    <cfRule type="expression" dxfId="1027" priority="2426">
      <formula>IF(CELL("Содержимое",$C2)="SW_S301",TRUE)</formula>
    </cfRule>
  </conditionalFormatting>
  <conditionalFormatting sqref="Y2:AO84 Y208:AJ211 AM208:AO208 AK208:AL221 AM209:AM211 AN209:AO221 Y87:AO207 Y222:AO1113 K208:M211 R192:R211 K2:N84 K222:M229 N205:N229 R222:R229 P2:R84 P87:R191 P192:Q229 P230:R1113 K87:N207 K230:N1113">
    <cfRule type="expression" dxfId="1026" priority="2413">
      <formula>IF(CELL("Содержимое",$C2)="FB_MPS_S",TRUE)</formula>
    </cfRule>
  </conditionalFormatting>
  <conditionalFormatting sqref="C2:AQ2 AM208:AQ208 AK208:AL221 AM209:AM211 AO209:AQ210 AN209:AN221 AP211:AQ211 AO211:AO221 C3:C462 D3:AQ3 D4:I73 D230:I281 D87:F211 K208:M211 J4:J487 N3:N4 N193:N196 R208:AJ211 K194:N207 O3:Q54 K192:N192 R192:AQ207 O192:Q217 O280:Q289 K222:M229 O222:O229 N205:N229 R222:AQ229 K4:AQ84 P218:Q229 K87:AQ191 K230:AQ281 C463:AQ1113 D282:AQ462 H194:I211 D222:F229 H222:I229 H87:I192 D74:F84 H74:I84 H193:N193 G3:G54 G74:G507">
    <cfRule type="expression" dxfId="1025" priority="2412">
      <formula>IF(CELL("Содержимое",$C2)="-",TRUE)</formula>
    </cfRule>
  </conditionalFormatting>
  <conditionalFormatting sqref="Z2:AQ84 Z208:AJ211 AM208:AQ208 AK208:AL221 AM209:AM211 AO209:AQ210 AN209:AN221 AP211:AQ211 AO211:AO221 Z87:AQ207 Z222:AQ1113 K208:M211 K192:N207 R192:R211 O192:Q217 K222:M229 O222:O229 N205:N229 R222:R229 K2:R84 P218:Q229 K87:R191 K230:R1113">
    <cfRule type="expression" dxfId="1024" priority="2410">
      <formula>IF(CELL("Содержимое",$C2)="DO_DIAG",TRUE)</formula>
    </cfRule>
  </conditionalFormatting>
  <conditionalFormatting sqref="R2:R84 Z2:AQ84 R87:R211 R222:R1113 Z208:AJ211 AM208:AQ208 AK208:AL221 AM209:AM211 AO209:AQ210 AN209:AN221 AP211:AQ211 AO211:AO221 Z87:AQ207 Z222:AQ1113 K208:M211 K2:N84 K222:M229 N205:N229 K87:N207 K230:N1113">
    <cfRule type="expression" dxfId="1023" priority="2040">
      <formula>IF(CELL("Содержимое",$C2)="DI_DIAG_BUF",TRUE)</formula>
    </cfRule>
    <cfRule type="expression" dxfId="1022" priority="2516">
      <formula>IF(CELL("Содержимое",$C2)="DI_DIAG",TRUE)</formula>
    </cfRule>
  </conditionalFormatting>
  <conditionalFormatting sqref="AQ2:AQ84 AQ87:AQ211 AQ222:AQ1113 AM208:AO208 AK208:AL221 AM209:AM211 AN209:AO221 F2:AO3 F4:I73 F230:I281 F87:F211 K208:M211 J4:J487 N3:N4 N193:N196 R208:AJ211 K194:N207 O3:Q54 K192:N192 R192:AO207 O192:Q217 O280:Q289 K222:M229 O222:O229 N205:N229 R222:AO229 K4:AO84 P218:Q229 K87:AO191 K230:AO281 F282:AO1113 H194:I211 F222:F229 H222:I229 H87:I192 F74:F84 H74:I84 H193:N193 G3:G54 G74:G507">
    <cfRule type="expression" dxfId="1021" priority="2408">
      <formula>IF(CELL("Содержимое",$C2)="FB_RIM_S",TRUE)</formula>
    </cfRule>
  </conditionalFormatting>
  <conditionalFormatting sqref="D2:D84 T2:AQ84 D87:D211 D222:D1113 T208:AJ211 AM208:AQ208 AK208:AL221 AM209:AM211 AO209:AQ210 AN209:AN221 AP211:AQ211 AO211:AO221 T87:AQ207 T222:AQ1113 K208:M211 K192:N207 R192:R211 O192:Q217 K222:M229 O222:O229 N205:N229 R222:R229 K2:R84 P218:Q229 K87:R191 K230:R1113">
    <cfRule type="expression" dxfId="1020" priority="2404">
      <formula>IF(CELL("Содержимое",$C2)="TREI_DIAG",TRUE)</formula>
    </cfRule>
  </conditionalFormatting>
  <conditionalFormatting sqref="AL2:AL84 AN2:AQ84 Y2:AJ84 Y87:AJ211 Y222:AJ1113 AL87:AL1113 AO209:AQ210 AN209:AN221 AP211:AQ211 AO211:AO221 AN87:AQ208 AN222:AQ1113 K208:M211 K192:N207 R192:R211 O192:Q217 K222:M229 O222:O229 N205:N229 R222:R229 K2:R84 P218:Q229 K87:R191 K230:R1113">
    <cfRule type="expression" dxfId="1019" priority="2402">
      <formula>IF(CELL("Содержимое",$C2)="AO",TRUE)</formula>
    </cfRule>
  </conditionalFormatting>
  <conditionalFormatting sqref="Y2:AQ84 Y208:AJ211 AM208:AQ208 AK208:AL221 AM209:AM211 AO209:AQ210 AN209:AN221 AP211:AQ211 AO211:AO221 Y87:AQ207 Y222:AQ1113 K208:M211 K192:N207 O192:Q217 K222:M229 O222:O229 N205:N229 K2:Q84 P218:Q229 K87:Q191 K230:Q1113">
    <cfRule type="expression" dxfId="1018" priority="2918">
      <formula>IF(CELL("Содержимое",$C2)="SEPAM",TRUE)</formula>
    </cfRule>
  </conditionalFormatting>
  <conditionalFormatting sqref="Y2:AQ84 Y208:AJ211 AM208:AQ208 AK208:AL221 AM209:AM211 AO209:AQ210 AN209:AN221 AP211:AQ211 AO211:AO221 Y87:AQ207 Y222:AQ1113 K208:M211 R192:R211 K2:N84 K222:M229 N205:N229 R222:R229 P2:R84 P87:R191 P192:Q229 P230:R1113 K87:N207 K230:N1113">
    <cfRule type="expression" dxfId="1017" priority="2282">
      <formula>IF(CELL("Содержимое",$C2)="BMCS",TRUE)</formula>
    </cfRule>
  </conditionalFormatting>
  <conditionalFormatting sqref="C2:C1113">
    <cfRule type="cellIs" dxfId="1016" priority="2058" operator="equal">
      <formula>"AI_SLIM"</formula>
    </cfRule>
    <cfRule type="cellIs" dxfId="1015" priority="2059" operator="equal">
      <formula>"BMCS"</formula>
    </cfRule>
    <cfRule type="cellIs" dxfId="1014" priority="2061" operator="equal">
      <formula>"SW_AR550"</formula>
    </cfRule>
    <cfRule type="cellIs" dxfId="1013" priority="2063" operator="equal">
      <formula>"AO"</formula>
    </cfRule>
    <cfRule type="cellIs" dxfId="1012" priority="2065" operator="equal">
      <formula>"TREI_DIAG"</formula>
    </cfRule>
    <cfRule type="cellIs" dxfId="1011" priority="2068" operator="equal">
      <formula>"FB_RIM_S"</formula>
    </cfRule>
    <cfRule type="cellIs" dxfId="1010" priority="2070" operator="equal">
      <formula>"DO_DIAG"</formula>
    </cfRule>
    <cfRule type="cellIs" dxfId="1009" priority="2073" operator="equal">
      <formula>"FB_MPS_S"</formula>
    </cfRule>
    <cfRule type="cellIs" dxfId="1008" priority="2074" operator="equal">
      <formula>"CPU_DIAG"</formula>
    </cfRule>
    <cfRule type="cellIs" dxfId="1007" priority="2075" operator="equal">
      <formula>"FB_DO_STB_S"</formula>
    </cfRule>
    <cfRule type="cellIs" dxfId="1006" priority="2076" operator="equal">
      <formula>"SW_MAYAK"</formula>
    </cfRule>
    <cfRule type="cellIs" dxfId="1005" priority="2077" operator="equal">
      <formula>"FB_QSA_ALL"</formula>
    </cfRule>
    <cfRule type="cellIs" dxfId="1004" priority="2078" operator="equal">
      <formula>"FB_SHOP_ALL"</formula>
    </cfRule>
    <cfRule type="cellIs" dxfId="1003" priority="2079" operator="equal">
      <formula>"FB_SH_ALL"</formula>
    </cfRule>
    <cfRule type="cellIs" dxfId="1002" priority="2080" operator="equal">
      <formula>"SYS_DIAG"</formula>
    </cfRule>
    <cfRule type="cellIs" dxfId="1001" priority="2081" operator="equal">
      <formula>"ENUM"</formula>
    </cfRule>
    <cfRule type="cellIs" dxfId="1000" priority="2083" operator="equal">
      <formula>"SW_S301"</formula>
    </cfRule>
    <cfRule type="cellIs" dxfId="999" priority="2084" operator="equal">
      <formula>"AI_2"</formula>
    </cfRule>
    <cfRule type="cellIs" dxfId="998" priority="2085" operator="equal">
      <formula>"FB_DO_S"</formula>
    </cfRule>
    <cfRule type="cellIs" dxfId="997" priority="2086" operator="equal">
      <formula>"FB_IM_ADES_S"</formula>
    </cfRule>
    <cfRule type="cellIs" dxfId="996" priority="2087" operator="equal">
      <formula>"FB_UPG_S"</formula>
    </cfRule>
    <cfRule type="cellIs" dxfId="995" priority="2088" operator="equal">
      <formula>"FB_OZK_KD_S"</formula>
    </cfRule>
    <cfRule type="cellIs" dxfId="994" priority="2089" operator="equal">
      <formula>"FB_KL_UPT_S"</formula>
    </cfRule>
    <cfRule type="cellIs" dxfId="993" priority="2090" operator="equal">
      <formula>"FB_UPP_S"</formula>
    </cfRule>
    <cfRule type="cellIs" dxfId="992" priority="2091" operator="equal">
      <formula>"FB_BTF_S"</formula>
    </cfRule>
    <cfRule type="cellIs" dxfId="991" priority="2092" operator="equal">
      <formula>"PING"</formula>
    </cfRule>
    <cfRule type="cellIs" dxfId="990" priority="2093" operator="equal">
      <formula>"FB_QSA_S"</formula>
    </cfRule>
    <cfRule type="cellIs" dxfId="989" priority="2095" operator="equal">
      <formula>"DI_DIAG"</formula>
    </cfRule>
    <cfRule type="cellIs" dxfId="988" priority="2096" operator="equal">
      <formula>"FB_SHOP_S"</formula>
    </cfRule>
    <cfRule type="cellIs" dxfId="987" priority="2097" operator="equal">
      <formula>"FB_SHPS_S"</formula>
    </cfRule>
    <cfRule type="cellIs" dxfId="986" priority="2098" operator="equal">
      <formula>"FB_IMv_MON_S"</formula>
    </cfRule>
    <cfRule type="cellIs" dxfId="985" priority="2099" operator="equal">
      <formula>"FB_IMp_MON_S"</formula>
    </cfRule>
    <cfRule type="cellIs" dxfId="984" priority="2100" operator="equal">
      <formula>"FB_IMs_MON_S"</formula>
    </cfRule>
    <cfRule type="cellIs" dxfId="983" priority="2101" operator="equal">
      <formula>"FB_IMv_S"</formula>
    </cfRule>
    <cfRule type="cellIs" dxfId="982" priority="2102" operator="equal">
      <formula>"FB_IMp_S"</formula>
    </cfRule>
    <cfRule type="cellIs" dxfId="981" priority="2104" operator="equal">
      <formula>"FB_IMsp_S"</formula>
    </cfRule>
    <cfRule type="cellIs" dxfId="980" priority="2105" operator="equal">
      <formula>"IMv_SIM"</formula>
    </cfRule>
    <cfRule type="cellIs" dxfId="979" priority="2106" operator="equal">
      <formula>"BMPA"</formula>
    </cfRule>
    <cfRule type="cellIs" dxfId="978" priority="2107" operator="equal">
      <formula>"BMRZ"</formula>
    </cfRule>
    <cfRule type="cellIs" dxfId="977" priority="2108" operator="equal">
      <formula>"SEPAM"</formula>
    </cfRule>
    <cfRule type="cellIs" dxfId="976" priority="2109" operator="equal">
      <formula>"DI"</formula>
    </cfRule>
    <cfRule type="cellIs" dxfId="975" priority="2110" operator="equal">
      <formula>"AI"</formula>
    </cfRule>
    <cfRule type="cellIs" dxfId="974" priority="2111" operator="equal">
      <formula>"FB_IMs_S"</formula>
    </cfRule>
    <cfRule type="cellIs" dxfId="973" priority="2112" operator="equal">
      <formula>"FB_REG_S"</formula>
    </cfRule>
    <cfRule type="cellIs" dxfId="972" priority="2113" operator="equal">
      <formula>"FB_DI_S"</formula>
    </cfRule>
    <cfRule type="cellIs" dxfId="971" priority="2114" operator="equal">
      <formula>"FB_IMt_MON_S"</formula>
    </cfRule>
    <cfRule type="cellIs" dxfId="970" priority="2115" operator="equal">
      <formula>"FB_IMtp_MON_S"</formula>
    </cfRule>
    <cfRule type="cellIs" dxfId="969" priority="2116" operator="equal">
      <formula>"FB_IMsp_MON_S"</formula>
    </cfRule>
    <cfRule type="cellIs" dxfId="968" priority="2117" operator="equal">
      <formula>"FB_IMst_MON_S"</formula>
    </cfRule>
    <cfRule type="cellIs" dxfId="967" priority="2118" operator="equal">
      <formula>"FB_IMstp_S"</formula>
    </cfRule>
    <cfRule type="cellIs" dxfId="966" priority="2119" operator="equal">
      <formula>"FB_AI_S"</formula>
    </cfRule>
  </conditionalFormatting>
  <conditionalFormatting sqref="Y2:AJ84 AL2:AQ84 Y87:AJ211 Y222:AJ1113 AM208:AQ208 AL208:AL221 AM209:AM211 AO209:AQ210 AN209:AN221 AP211:AQ211 AO211:AO221 AL87:AQ207 AL222:AQ1113 M208:M211 M192:N207 R192:R211 O192:Q217 M222:M229 O222:O229 N205:N229 R222:R229 M2:R84 P218:Q229 M87:R191 M230:R1113">
    <cfRule type="expression" dxfId="965" priority="2037">
      <formula>IF(CELL("Содержимое",$C2)="AI_SLIM_BUF",TRUE)</formula>
    </cfRule>
    <cfRule type="expression" dxfId="964" priority="2057">
      <formula>IF(CELL("Содержимое",$C2)="AI_SLIM",TRUE)</formula>
    </cfRule>
  </conditionalFormatting>
  <conditionalFormatting sqref="R2:R84 Y2:AQ84 R87:R211 R222:R1113 Y208:AJ211 AM208:AQ208 AK208:AL221 AM209:AM211 AO209:AQ210 AN209:AN221 AP211:AQ211 AO211:AO221 Y87:AQ207 Y222:AQ1113 M208:M211 M192:N207 O192:P217 M222:M229 O222:O229 N205:N229 M2:P84 P218:P229 M87:P191 M230:P1113">
    <cfRule type="expression" dxfId="963" priority="2916">
      <formula>IF(CELL("Содержимое",$C2)="BMPA",TRUE)</formula>
    </cfRule>
  </conditionalFormatting>
  <conditionalFormatting sqref="D2:D84 I2:I84 R2:R84 AK2:AQ84 R87:R211 I87:I211 D87:D211 D222:D1113 I222:I1113 R222:R1113 AM208:AQ208 AK208:AL221 AM209:AM211 AO209:AQ210 AN209:AN221 AP211:AQ211 AO211:AO221 AK87:AQ207 AK222:AQ1113 O222:O229 N218:N229 N2:P84 P218:P229 N87:P217 N230:P1113">
    <cfRule type="expression" dxfId="962" priority="2018">
      <formula>IF(CELL("Содержимое",$C2)="IMt_MON",TRUE)</formula>
    </cfRule>
  </conditionalFormatting>
  <conditionalFormatting sqref="D2:D84 I2:I84 R2:R84 AK2:AQ84 R87:R211 I87:I211 D87:D211 D222:D1113 I222:I1113 R222:R1113 AM208:AQ208 AK208:AL221 AM209:AM211 AO209:AQ210 AN209:AN221 AP211:AQ211 AO211:AO221 AK87:AQ207 AK222:AQ1113 K208:M211 K192:N207 O192:P217 K222:M229 O222:O229 N205:N229 K2:P84 P218:P229 K87:P191 K230:P1113">
    <cfRule type="expression" dxfId="961" priority="2019">
      <formula>IF(CELL("Содержимое",$C2)="IMs_MON",TRUE)</formula>
    </cfRule>
  </conditionalFormatting>
  <conditionalFormatting sqref="M2:M84 D2:D84 I2:I84 R2:R84 AK2:AQ84 R87:R211 I87:I211 D87:D211 M87:M211 M222:M1113 D222:D1113 I222:I1113 R222:R1113 AM208:AQ208 AK208:AL221 AM209:AM211 AO209:AQ210 AN209:AN221 AP211:AQ211 AO211:AO221 AK87:AQ207 AK222:AQ1113 O2:P84 O87:P217 O222:O229 P218:P229 O230:P1113">
    <cfRule type="expression" dxfId="960" priority="2013">
      <formula>IF(CELL("Содержимое",$C2)="IMstp",TRUE)</formula>
    </cfRule>
  </conditionalFormatting>
  <conditionalFormatting sqref="D2:D84 I2:I84 K2:M84 AK2:AQ84 K87:M211 I87:I211 D87:D211 D222:D1113 I222:I1113 AM208:AQ208 AK208:AL221 AM209:AM211 AO209:AQ210 AN209:AN221 AP211:AQ211 AO211:AO221 AK87:AQ207 AK222:AQ1113 R192:R211 O192:Q217 O222:O229 R222:R229 O2:R84 O87:R191 P218:Q229 K222:M1113 O230:R1113">
    <cfRule type="expression" dxfId="959" priority="2023">
      <formula>IF(CELL("Содержимое",$C2)="IMv",TRUE)</formula>
    </cfRule>
    <cfRule type="expression" dxfId="958" priority="2024">
      <formula>IF(CELL("Содержимое",$C2)="IMp",TRUE)</formula>
    </cfRule>
  </conditionalFormatting>
  <conditionalFormatting sqref="D2:D84 I2:I84 R2:R84 K2:M84 AK2:AQ84 K87:M211 R87:R211 I87:I211 D87:D211 D222:D1113 I222:I1113 R222:R1113 AM208:AQ208 AK208:AL221 AM209:AM211 AO209:AQ210 AN209:AN221 AP211:AQ211 AO211:AO221 AK87:AQ207 AK222:AQ1113 O2:P84 O87:P217 O222:O229 P218:P229 K222:M1113 O230:P1113">
    <cfRule type="expression" dxfId="957" priority="2014">
      <formula>IF(CELL("Содержимое",$C2)="IM_ADES",TRUE)</formula>
    </cfRule>
  </conditionalFormatting>
  <conditionalFormatting sqref="M2:M84 D2:D84 I2:I84 K2:K84 AK2:AQ84 K87:K211 I87:I211 D87:D211 M87:M211 M222:M1113 D222:D1113 I222:I1113 AM208:AQ208 AK208:AL221 AM209:AM211 AO209:AQ210 AN209:AN221 AP211:AQ211 AO211:AO221 AK87:AQ207 AK222:AQ1113 R192:R211 O192:Q217 O222:O229 R222:R229 O2:R84 O87:R191 P218:Q229 K222:K1113 O230:R1113">
    <cfRule type="expression" dxfId="956" priority="2020">
      <formula>IF(CELL("Содержимое",$C2)="IMsp",TRUE)</formula>
    </cfRule>
  </conditionalFormatting>
  <conditionalFormatting sqref="D2:D84 I2:I84 AK2:AQ84 I87:I211 D87:D211 D222:D1113 I222:I1113 AM208:AQ208 AK208:AL221 AM209:AM211 AO209:AQ210 AN209:AN221 AP211:AQ211 AO211:AO221 AK87:AQ207 AK222:AQ1113 K208:M211 K192:N207 R192:R211 O192:Q217 K222:M229 O222:O229 N205:N229 R222:R229 K2:R84 P218:Q229 K87:R191 K230:R1113">
    <cfRule type="expression" dxfId="955" priority="2017">
      <formula>IF(CELL("Содержимое",$C2)="IMsp_MON",TRUE)</formula>
    </cfRule>
  </conditionalFormatting>
  <conditionalFormatting sqref="D2:D84 I2:I84 AK2:AQ84 I87:I211 D87:D211 D222:D1113 I222:I1113 AM208:AQ208 AK208:AL221 AM209:AM211 AO209:AQ210 AN209:AN221 AP211:AQ211 AO211:AO221 AK87:AQ207 AK222:AQ1113 K208:M211 K192:N207 R192:R211 O192:Q217 K222:M229 O222:O229 N205:N229 R222:R229 K2:R84 P218:Q229 K87:R191 K230:R1113">
    <cfRule type="expression" dxfId="954" priority="2022">
      <formula>IF(CELL("Содержимое",$C2)="IMp_MON",TRUE)</formula>
    </cfRule>
  </conditionalFormatting>
  <conditionalFormatting sqref="D2:D84 I2:I84 AK2:AQ84 I87:I211 D87:D211 D222:D1113 I222:I1113 AM208:AQ208 AK208:AL221 AM209:AM211 AO209:AQ210 AN209:AN221 AP211:AQ211 AO211:AO221 AK87:AQ207 AK222:AQ1113 K208:M211 K192:N207 R192:R211 O192:Q217 K222:M229 O222:O229 N205:N229 R222:R229 K2:R84 P218:Q229 K87:R191 K230:R1113">
    <cfRule type="expression" dxfId="953" priority="2021">
      <formula>IF(CELL("Содержимое",$C2)="IMv_MON",TRUE)</formula>
    </cfRule>
  </conditionalFormatting>
  <conditionalFormatting sqref="Y2:AQ84 Y208:AJ211 AM208:AQ208 AK208:AL221 AM209:AM211 AO209:AQ210 AN209:AN221 AP211:AQ211 AO211:AO221 Y87:AQ207 Y222:AQ1113 M208:M211 M192:N207 O192:P217 M222:M229 O222:O229 N205:N229 M2:P84 P218:P229 M87:P191 M230:P1113">
    <cfRule type="expression" dxfId="952" priority="2012">
      <formula>IF(CELL("Содержимое",$C2)="TOR",TRUE)</formula>
    </cfRule>
    <cfRule type="expression" dxfId="951" priority="2917">
      <formula>IF(CELL("Содержимое",$C2)="BMRZ",TRUE)</formula>
    </cfRule>
  </conditionalFormatting>
  <conditionalFormatting sqref="K2:K84 Y2:Z84 AF2:AQ84 Y87:Z211 K87:K211 Y222:Z1113 AF208:AJ211 AM208:AQ208 AK208:AL221 AM209:AM211 AO209:AQ210 AN209:AN221 AP211:AQ211 AO211:AO221 AF87:AQ207 AF222:AQ1113 M208:M211 M192:N207 R192:R211 O192:Q217 M222:M229 O222:O229 N205:N229 R222:R229 M2:R84 P218:Q229 M87:R191 K222:K1113 M230:R1113">
    <cfRule type="expression" dxfId="950" priority="2877">
      <formula>IF(CELL("Содержимое",$C2)="FB_REG_S",TRUE)</formula>
    </cfRule>
  </conditionalFormatting>
  <conditionalFormatting sqref="Y2:AJ84 Y87:AJ211 Y222:AJ1113">
    <cfRule type="duplicateValues" dxfId="949" priority="17663"/>
  </conditionalFormatting>
  <conditionalFormatting sqref="D2:D84 H2:I84 M2:M84 AK2:AQ84 M87:M211 H87:I211 D87:D211 D222:D1113 H222:I1113 M222:M1113 AM208:AQ208 AK208:AL221 AM209:AM211 AO209:AQ210 AN209:AN221 AP211:AQ211 AO211:AO221 AK87:AQ207 AK222:AQ1113 R192:R211 R222:R229 P2:R84 P87:R191 P192:Q229 P230:R1113">
    <cfRule type="expression" dxfId="948" priority="2474">
      <formula>IF(CELL("Содержимое",$C2)="SW_MAYAK",TRUE)</formula>
    </cfRule>
  </conditionalFormatting>
  <conditionalFormatting sqref="AM2:AM84 AM87:AM211 AM222:AM1113">
    <cfRule type="expression" dxfId="947" priority="1798">
      <formula>IF(AND(CELL("Содержимое",$C2)="FB_SHPS_S",CELL("Содержимое",$N2)&gt;4),TRUE)</formula>
    </cfRule>
  </conditionalFormatting>
  <conditionalFormatting sqref="D2:D84 H2:I84 L2:M84 Y2:AQ84 L87:M211 H87:I211 D87:D211 D222:D1113 H222:I1113 Y208:AJ211 AM208:AQ208 AK208:AL221 AM209:AM211 AO209:AQ210 AN209:AN221 AP211:AQ211 AO211:AO221 Y87:AQ207 Y222:AQ1113 R192:R211 R222:R229 P2:R84 P87:R191 P192:Q229 P230:R1113 L222:M1113">
    <cfRule type="expression" dxfId="946" priority="1796">
      <formula>IF(CELL("Содержимое",$C2)="SW_MES3348F",TRUE)</formula>
    </cfRule>
  </conditionalFormatting>
  <conditionalFormatting sqref="D85:F86 K85:AQ86 H85:I86">
    <cfRule type="expression" dxfId="945" priority="1779">
      <formula>IF(CELL("Содержимое",$C85)=0,TRUE)</formula>
    </cfRule>
  </conditionalFormatting>
  <conditionalFormatting sqref="R85:R86 L85:M86 Z85:AJ86 AM85:AQ86">
    <cfRule type="expression" dxfId="944" priority="1678">
      <formula>IF(CELL("Содержимое",$C85)="FB_DI_BUF_S",TRUE)</formula>
    </cfRule>
    <cfRule type="expression" dxfId="943" priority="1780">
      <formula>IF(CELL("Содержимое",$C85)="FB_DI_S",TRUE)</formula>
    </cfRule>
  </conditionalFormatting>
  <conditionalFormatting sqref="AO85:AQ86 M85:M86 AL85:AL86 Z85:AJ86 P85:R86">
    <cfRule type="expression" dxfId="942" priority="1680">
      <formula>IF(CELL("Содержимое",$C85)="FB_AI_BUF_S",TRUE)</formula>
    </cfRule>
    <cfRule type="expression" dxfId="941" priority="1781">
      <formula>IF(CELL("Содержимое",$C85)="FB_AI_S",TRUE)</formula>
    </cfRule>
  </conditionalFormatting>
  <conditionalFormatting sqref="R85:R86 Y85:Y86 AK85:AQ86 M85:P86">
    <cfRule type="expression" dxfId="940" priority="1782">
      <formula>IF(CELL("Содержимое",$C85)="FB_IMstp_S",TRUE)</formula>
    </cfRule>
  </conditionalFormatting>
  <conditionalFormatting sqref="K85:K86 Y85:Y86 AF85:AQ86 M85:R86">
    <cfRule type="expression" dxfId="939" priority="1660">
      <formula>IF(CELL("Содержимое",$C85)="FB_dREG_BUF_S",TRUE)</formula>
    </cfRule>
    <cfRule type="expression" dxfId="938" priority="1672">
      <formula>IF(CELL("Содержимое",$C85)="FB_REG_BUF_S",TRUE)</formula>
    </cfRule>
  </conditionalFormatting>
  <conditionalFormatting sqref="AE85:AF86 AB85:AC86 Y85:Y86 AH85:AI86 AK85:AQ86 K85:R86">
    <cfRule type="expression" dxfId="937" priority="1785">
      <formula>IF(CELL("Содержимое",$C85)="FB_IMsp_MON_S",TRUE)</formula>
    </cfRule>
  </conditionalFormatting>
  <conditionalFormatting sqref="R85:R86 AB85:AC86 Y85:Y86 AE85:AG86 AJ85:AQ86 M85:P86">
    <cfRule type="expression" dxfId="936" priority="1786">
      <formula>IF(CELL("Содержимое",$C85)="FB_IMst_MON_S",TRUE)</formula>
    </cfRule>
  </conditionalFormatting>
  <conditionalFormatting sqref="R85:R86 Y85:AC86 AE85:AG86 AJ85:AQ86 N85:P86">
    <cfRule type="expression" dxfId="935" priority="1783">
      <formula>IF(CELL("Содержимое",$C85)="FB_IMt_MON_S",TRUE)</formula>
    </cfRule>
  </conditionalFormatting>
  <conditionalFormatting sqref="R85:R86 K85:K86 Y85:Y86 AG85:AQ86 M85:P86">
    <cfRule type="expression" dxfId="934" priority="1778">
      <formula>IF(CELL("Содержимое",$C85)="FB_IMs_S",TRUE)</formula>
    </cfRule>
  </conditionalFormatting>
  <conditionalFormatting sqref="M85:M86 Y85:AQ86 P85:R86">
    <cfRule type="expression" dxfId="933" priority="1753">
      <formula>IF(CELL("Содержимое",$C85)="AI_2",TRUE)</formula>
    </cfRule>
  </conditionalFormatting>
  <conditionalFormatting sqref="D85:D86 H85:I86 Y85:AQ86 K85:R86">
    <cfRule type="expression" dxfId="932" priority="1774">
      <formula>IF(CELL("Содержимое",$C85)="IMv_SIM",TRUE)</formula>
    </cfRule>
  </conditionalFormatting>
  <conditionalFormatting sqref="R85:R86 K85:K86 Y85:Y86 AH85:AI86 AK85:AQ86 M85:P86">
    <cfRule type="expression" dxfId="931" priority="1773">
      <formula>IF(CELL("Содержимое",$C85)="FB_IMsp_S",TRUE)</formula>
    </cfRule>
  </conditionalFormatting>
  <conditionalFormatting sqref="AP85:AQ86 R85:R86 Y85:Y86 AM85:AM86 K85:P86">
    <cfRule type="expression" dxfId="930" priority="1755">
      <formula>IF(CELL("Содержимое",$C85)="FB_IM_ADES_S",TRUE)</formula>
    </cfRule>
  </conditionalFormatting>
  <conditionalFormatting sqref="AL85:AL86 R85:R86 K85:M86 AN85:AQ86 Z85:AJ86">
    <cfRule type="expression" dxfId="929" priority="1766">
      <formula>IF(CELL("Содержимое",$C85)="FB_SHPS_S",TRUE)</formula>
    </cfRule>
  </conditionalFormatting>
  <conditionalFormatting sqref="R85:R86 K85:M86 AN85:AQ86 Z85:AL86 O85:P86">
    <cfRule type="expression" dxfId="928" priority="1765">
      <formula>IF(CELL("Содержимое",$C85)="FB_SHOP_S",TRUE)</formula>
    </cfRule>
  </conditionalFormatting>
  <conditionalFormatting sqref="AE85:AQ86 K85:R86">
    <cfRule type="expression" dxfId="927" priority="1763">
      <formula>IF(CELL("Содержимое",$C85)="FB_QOP_S",TRUE)</formula>
    </cfRule>
  </conditionalFormatting>
  <conditionalFormatting sqref="D85:D86 H85:I86 K85:M86 P85:AQ86">
    <cfRule type="expression" dxfId="926" priority="1761">
      <formula>IF(CELL("Содержимое",$C85)="PING",TRUE)</formula>
    </cfRule>
  </conditionalFormatting>
  <conditionalFormatting sqref="AN85:AQ86 K85:N86 Z85:AC86 Q85:R86 AE85:AL86">
    <cfRule type="expression" dxfId="925" priority="1760">
      <formula>IF(CELL("Содержимое",$C85)="FB_BTF_S",TRUE)</formula>
    </cfRule>
  </conditionalFormatting>
  <conditionalFormatting sqref="AO85:AO86 M85:M86 AL85:AL86 AB85:AC86 AE85:AJ86 P85:R86">
    <cfRule type="expression" dxfId="924" priority="1762">
      <formula>IF(CELL("Содержимое",$C85)="FB_QSA_S",TRUE)</formula>
    </cfRule>
  </conditionalFormatting>
  <conditionalFormatting sqref="AO85:AQ86 AB85:AC86 Y85:Y86 AG85:AL86 K85:R86">
    <cfRule type="expression" dxfId="923" priority="1757">
      <formula>IF(CELL("Содержимое",$C85)="FB_OZK_KD_S",TRUE)</formula>
    </cfRule>
  </conditionalFormatting>
  <conditionalFormatting sqref="K85:M86 Y85:AQ86 O85:R86">
    <cfRule type="expression" dxfId="922" priority="1756">
      <formula>IF(CELL("Содержимое",$C85)="FB_UPG_S",TRUE)</formula>
    </cfRule>
  </conditionalFormatting>
  <conditionalFormatting sqref="R85:R86 K85:N86 Y85:AQ86">
    <cfRule type="expression" dxfId="921" priority="1664">
      <formula>IF(CELL("Содержимое",$C85)="DI_BUF",TRUE)</formula>
    </cfRule>
    <cfRule type="expression" dxfId="920" priority="1777">
      <formula>IF(CELL("Содержимое",$C85)="DI",TRUE)</formula>
    </cfRule>
  </conditionalFormatting>
  <conditionalFormatting sqref="R85:R86 Z85:AB86 AD85:AD86 AG85:AQ86 K85:O86">
    <cfRule type="expression" dxfId="919" priority="1673">
      <formula>IF(CELL("Содержимое",$C85)="FB_DO_BUF_S",TRUE)</formula>
    </cfRule>
    <cfRule type="expression" dxfId="918" priority="1754">
      <formula>IF(CELL("Содержимое",$C85)="FB_DO_S",TRUE)</formula>
    </cfRule>
  </conditionalFormatting>
  <conditionalFormatting sqref="T85:AQ86 M85:R86">
    <cfRule type="expression" dxfId="917" priority="1752">
      <formula>IF(CELL("Содержимое",$C85)="ENUM",TRUE)</formula>
    </cfRule>
  </conditionalFormatting>
  <conditionalFormatting sqref="D85:D86 H85:I86 L85:AQ86">
    <cfRule type="expression" dxfId="916" priority="1751">
      <formula>IF(CELL("Содержимое",$C85)="SYS_DIAG",TRUE)</formula>
    </cfRule>
  </conditionalFormatting>
  <conditionalFormatting sqref="AK85:AK86">
    <cfRule type="expression" dxfId="915" priority="1750">
      <formula>AND(IF(CELL("Содержимое",$C85)="FB_SHPS_S",CELL("Содержимое",$N85)&lt;&gt;5),TRUE)</formula>
    </cfRule>
  </conditionalFormatting>
  <conditionalFormatting sqref="M85:M86 Y85:AJ86 AL85:AQ86 P85:R86">
    <cfRule type="expression" dxfId="914" priority="1667">
      <formula>IF(CELL("Содержимое",$C85)="AI_BUF",TRUE)</formula>
    </cfRule>
    <cfRule type="expression" dxfId="913" priority="1791">
      <formula>IF(CELL("Содержимое",$C85)="AI",TRUE)</formula>
    </cfRule>
  </conditionalFormatting>
  <conditionalFormatting sqref="D85:D86 H85:I86 L85:M86 AK85:AQ86 P85:R86">
    <cfRule type="expression" dxfId="912" priority="1737">
      <formula>IF(CELL("Содержимое",$C85)="SW_AR550",TRUE)</formula>
    </cfRule>
  </conditionalFormatting>
  <conditionalFormatting sqref="R85:R86 Y85:AD86 AF85:AQ86 K85:O86">
    <cfRule type="expression" dxfId="911" priority="1745">
      <formula>IF(CELL("Содержимое",$C85)="FB_DO_STB_S",TRUE)</formula>
    </cfRule>
  </conditionalFormatting>
  <conditionalFormatting sqref="T85:AJ86 AL85:AQ86 L85:Q86">
    <cfRule type="expression" dxfId="910" priority="1744">
      <formula>IF(CELL("Содержимое",$C85)="CPU_DIAG",TRUE)</formula>
    </cfRule>
  </conditionalFormatting>
  <conditionalFormatting sqref="K85:AQ86">
    <cfRule type="expression" dxfId="909" priority="1658">
      <formula>IF(CELL("Содержимое",$C85)="FB_HA_UPI_S",TRUE)</formula>
    </cfRule>
    <cfRule type="expression" dxfId="908" priority="1747">
      <formula>IF(CELL("Содержимое",$C85)="FB_QSA_ALL",TRUE)</formula>
    </cfRule>
    <cfRule type="expression" dxfId="907" priority="1748">
      <formula>IF(CELL("Содержимое",$C85)="FB_SHOP_ALL",TRUE)</formula>
    </cfRule>
    <cfRule type="expression" dxfId="906" priority="1749">
      <formula>IF(CELL("Содержимое",$C85)="FB_SH_ALL",TRUE)</formula>
    </cfRule>
    <cfRule type="expression" dxfId="905" priority="1772">
      <formula>IF(CELL("Содержимое",$C85)="DO",TRUE)</formula>
    </cfRule>
  </conditionalFormatting>
  <conditionalFormatting sqref="Z85:AQ86 K85:R86">
    <cfRule type="expression" dxfId="904" priority="1758">
      <formula>IF(CELL("Содержимое",$C85)="FB_KL_UPT_S",TRUE)</formula>
    </cfRule>
  </conditionalFormatting>
  <conditionalFormatting sqref="AB85:AC86 Y85:Y86 AE85:AQ86 K85:R86">
    <cfRule type="expression" dxfId="903" priority="1767">
      <formula>IF(CELL("Содержимое",$C85)="FB_IMs_MON_S",TRUE)</formula>
    </cfRule>
    <cfRule type="expression" dxfId="902" priority="1768">
      <formula>IF(CELL("Содержимое",$C85)="FB_IMp_MON_S",TRUE)</formula>
    </cfRule>
    <cfRule type="expression" dxfId="901" priority="1769">
      <formula>IF(CELL("Содержимое",$C85)="FB_IMv_MON_S",TRUE)</formula>
    </cfRule>
  </conditionalFormatting>
  <conditionalFormatting sqref="Y85:AQ86 K85:R86">
    <cfRule type="expression" dxfId="900" priority="1666">
      <formula>IF(CELL("Содержимое",$C85)="DO_BUF",TRUE)</formula>
    </cfRule>
    <cfRule type="expression" dxfId="899" priority="1759">
      <formula>IF(CELL("Содержимое",$C85)="FB_UPP_S",TRUE)</formula>
    </cfRule>
    <cfRule type="expression" dxfId="898" priority="1784">
      <formula>IF(CELL("Содержимое",$C85)="FB_IMtp_MON_S",TRUE)</formula>
    </cfRule>
  </conditionalFormatting>
  <conditionalFormatting sqref="AP85:AQ86 Y85:Y86 AH85:AJ86 AM85:AM86 K85:R86">
    <cfRule type="expression" dxfId="897" priority="1676">
      <formula>IF(CELL("Содержимое",$C85)="FB_IMv_BUF_S",TRUE)</formula>
    </cfRule>
    <cfRule type="expression" dxfId="896" priority="1770">
      <formula>IF(CELL("Содержимое",$C85)="FB_IMv_S",TRUE)</formula>
    </cfRule>
    <cfRule type="expression" dxfId="895" priority="1771">
      <formula>IF(CELL("Содержимое",$C85)="FB_IMp_S",TRUE)</formula>
    </cfRule>
  </conditionalFormatting>
  <conditionalFormatting sqref="D85:D86 H85:I86 L85:M86 AI85:AQ86 P85:R86">
    <cfRule type="expression" dxfId="894" priority="1634">
      <formula>IF(CELL("Содержимое",$C85)="SW_MES3508",TRUE)</formula>
    </cfRule>
    <cfRule type="expression" dxfId="893" priority="1742">
      <formula>IF(CELL("Содержимое",$C85)="SW_S301",TRUE)</formula>
    </cfRule>
  </conditionalFormatting>
  <conditionalFormatting sqref="K85:N86 Y85:AO86 P85:R86">
    <cfRule type="expression" dxfId="892" priority="1741">
      <formula>IF(CELL("Содержимое",$C85)="FB_MPS_S",TRUE)</formula>
    </cfRule>
  </conditionalFormatting>
  <conditionalFormatting sqref="D85:F86 K85:AQ86 H85:I86">
    <cfRule type="expression" dxfId="891" priority="1740">
      <formula>IF(CELL("Содержимое",$C85)="-",TRUE)</formula>
    </cfRule>
  </conditionalFormatting>
  <conditionalFormatting sqref="Z85:AQ86 K85:R86">
    <cfRule type="expression" dxfId="890" priority="1739">
      <formula>IF(CELL("Содержимое",$C85)="DO_DIAG",TRUE)</formula>
    </cfRule>
  </conditionalFormatting>
  <conditionalFormatting sqref="R85:R86 K85:N86 Z85:AQ86">
    <cfRule type="expression" dxfId="889" priority="1665">
      <formula>IF(CELL("Содержимое",$C85)="DI_DIAG_BUF",TRUE)</formula>
    </cfRule>
    <cfRule type="expression" dxfId="888" priority="1764">
      <formula>IF(CELL("Содержимое",$C85)="DI_DIAG",TRUE)</formula>
    </cfRule>
  </conditionalFormatting>
  <conditionalFormatting sqref="AQ85:AQ86 F85:F86 K85:AO86 H85:I86">
    <cfRule type="expression" dxfId="887" priority="1738">
      <formula>IF(CELL("Содержимое",$C85)="FB_RIM_S",TRUE)</formula>
    </cfRule>
  </conditionalFormatting>
  <conditionalFormatting sqref="D85:D86 T85:AQ86 K85:R86">
    <cfRule type="expression" dxfId="886" priority="1736">
      <formula>IF(CELL("Содержимое",$C85)="TREI_DIAG",TRUE)</formula>
    </cfRule>
  </conditionalFormatting>
  <conditionalFormatting sqref="AL85:AL86 AN85:AQ86 Y85:AJ86 K85:R86">
    <cfRule type="expression" dxfId="885" priority="1735">
      <formula>IF(CELL("Содержимое",$C85)="AO",TRUE)</formula>
    </cfRule>
  </conditionalFormatting>
  <conditionalFormatting sqref="Y85:AQ86 K85:Q86">
    <cfRule type="expression" dxfId="884" priority="1790">
      <formula>IF(CELL("Содержимое",$C85)="SEPAM",TRUE)</formula>
    </cfRule>
  </conditionalFormatting>
  <conditionalFormatting sqref="K85:N86 Y85:AQ86 P85:R86">
    <cfRule type="expression" dxfId="883" priority="1734">
      <formula>IF(CELL("Содержимое",$C85)="BMCS",TRUE)</formula>
    </cfRule>
  </conditionalFormatting>
  <conditionalFormatting sqref="Y85:AJ86 AL85:AQ86 M85:R86">
    <cfRule type="expression" dxfId="882" priority="1662">
      <formula>IF(CELL("Содержимое",$C85)="AI_SLIM_BUF",TRUE)</formula>
    </cfRule>
    <cfRule type="expression" dxfId="881" priority="1682">
      <formula>IF(CELL("Содержимое",$C85)="AI_SLIM",TRUE)</formula>
    </cfRule>
  </conditionalFormatting>
  <conditionalFormatting sqref="R85:R86 Y85:AQ86 M85:P86">
    <cfRule type="expression" dxfId="880" priority="1788">
      <formula>IF(CELL("Содержимое",$C85)="BMPA",TRUE)</formula>
    </cfRule>
  </conditionalFormatting>
  <conditionalFormatting sqref="D85:D86 I85:I86 R85:R86 AK85:AQ86 N85:P86">
    <cfRule type="expression" dxfId="879" priority="1643">
      <formula>IF(CELL("Содержимое",$C85)="IMt_MON",TRUE)</formula>
    </cfRule>
  </conditionalFormatting>
  <conditionalFormatting sqref="D85:D86 I85:I86 R85:R86 AK85:AQ86 K85:P86">
    <cfRule type="expression" dxfId="878" priority="1644">
      <formula>IF(CELL("Содержимое",$C85)="IMs_MON",TRUE)</formula>
    </cfRule>
  </conditionalFormatting>
  <conditionalFormatting sqref="M85:M86 D85:D86 I85:I86 R85:R86 AK85:AQ86 O85:P86">
    <cfRule type="expression" dxfId="877" priority="1638">
      <formula>IF(CELL("Содержимое",$C85)="IMstp",TRUE)</formula>
    </cfRule>
  </conditionalFormatting>
  <conditionalFormatting sqref="D85:D86 I85:I86 K85:M86 AK85:AQ86 O85:R86">
    <cfRule type="expression" dxfId="876" priority="1648">
      <formula>IF(CELL("Содержимое",$C85)="IMv",TRUE)</formula>
    </cfRule>
    <cfRule type="expression" dxfId="875" priority="1649">
      <formula>IF(CELL("Содержимое",$C85)="IMp",TRUE)</formula>
    </cfRule>
  </conditionalFormatting>
  <conditionalFormatting sqref="D85:D86 I85:I86 R85:R86 K85:M86 AK85:AQ86 O85:P86">
    <cfRule type="expression" dxfId="874" priority="1639">
      <formula>IF(CELL("Содержимое",$C85)="IM_ADES",TRUE)</formula>
    </cfRule>
  </conditionalFormatting>
  <conditionalFormatting sqref="M85:M86 D85:D86 I85:I86 K85:K86 AK85:AQ86 O85:R86">
    <cfRule type="expression" dxfId="873" priority="1645">
      <formula>IF(CELL("Содержимое",$C85)="IMsp",TRUE)</formula>
    </cfRule>
  </conditionalFormatting>
  <conditionalFormatting sqref="D85:D86 I85:I86 AK85:AQ86 K85:R86">
    <cfRule type="expression" dxfId="872" priority="1642">
      <formula>IF(CELL("Содержимое",$C85)="IMsp_MON",TRUE)</formula>
    </cfRule>
  </conditionalFormatting>
  <conditionalFormatting sqref="D85:D86 I85:I86 AK85:AQ86 K85:R86">
    <cfRule type="expression" dxfId="871" priority="1647">
      <formula>IF(CELL("Содержимое",$C85)="IMp_MON",TRUE)</formula>
    </cfRule>
  </conditionalFormatting>
  <conditionalFormatting sqref="D85:D86 I85:I86 AK85:AQ86 K85:R86">
    <cfRule type="expression" dxfId="870" priority="1646">
      <formula>IF(CELL("Содержимое",$C85)="IMv_MON",TRUE)</formula>
    </cfRule>
  </conditionalFormatting>
  <conditionalFormatting sqref="Y85:AQ86 M85:P86">
    <cfRule type="expression" dxfId="869" priority="1637">
      <formula>IF(CELL("Содержимое",$C85)="TOR",TRUE)</formula>
    </cfRule>
    <cfRule type="expression" dxfId="868" priority="1789">
      <formula>IF(CELL("Содержимое",$C85)="BMRZ",TRUE)</formula>
    </cfRule>
  </conditionalFormatting>
  <conditionalFormatting sqref="K85:K86 Y85:Z86 AF85:AQ86 M85:R86">
    <cfRule type="expression" dxfId="867" priority="1787">
      <formula>IF(CELL("Содержимое",$C85)="FB_REG_S",TRUE)</formula>
    </cfRule>
  </conditionalFormatting>
  <conditionalFormatting sqref="Y85:AJ86">
    <cfRule type="duplicateValues" dxfId="866" priority="1792"/>
  </conditionalFormatting>
  <conditionalFormatting sqref="D85:D86 H85:I86 M85:M86 AK85:AQ86 P85:R86">
    <cfRule type="expression" dxfId="865" priority="1746">
      <formula>IF(CELL("Содержимое",$C85)="SW_MAYAK",TRUE)</formula>
    </cfRule>
  </conditionalFormatting>
  <conditionalFormatting sqref="AM85:AM86">
    <cfRule type="expression" dxfId="864" priority="1635">
      <formula>IF(AND(CELL("Содержимое",$C85)="FB_SHPS_S",CELL("Содержимое",$N85)&gt;4),TRUE)</formula>
    </cfRule>
  </conditionalFormatting>
  <conditionalFormatting sqref="D85:D86 H85:I86 L85:M86 Y85:AQ86 P85:R86">
    <cfRule type="expression" dxfId="863" priority="1633">
      <formula>IF(CELL("Содержимое",$C85)="SW_MES3348F",TRUE)</formula>
    </cfRule>
  </conditionalFormatting>
  <conditionalFormatting sqref="D212:F212 D213:E221 AM212 AP212:AQ212 K212:M212 R212:AJ212 H212:I212">
    <cfRule type="expression" dxfId="862" priority="1616">
      <formula>IF(CELL("Содержимое",$C212)=0,TRUE)</formula>
    </cfRule>
  </conditionalFormatting>
  <conditionalFormatting sqref="AM212 Z212:AJ212 L212:M212 R212 AP212:AQ212">
    <cfRule type="expression" dxfId="861" priority="1515">
      <formula>IF(CELL("Содержимое",$C212)="FB_DI_BUF_S",TRUE)</formula>
    </cfRule>
    <cfRule type="expression" dxfId="860" priority="1617">
      <formula>IF(CELL("Содержимое",$C212)="FB_DI_S",TRUE)</formula>
    </cfRule>
  </conditionalFormatting>
  <conditionalFormatting sqref="R212 Z212:AJ212 M212 AP212:AQ212">
    <cfRule type="expression" dxfId="859" priority="1517">
      <formula>IF(CELL("Содержимое",$C212)="FB_AI_BUF_S",TRUE)</formula>
    </cfRule>
    <cfRule type="expression" dxfId="858" priority="1618">
      <formula>IF(CELL("Содержимое",$C212)="FB_AI_S",TRUE)</formula>
    </cfRule>
  </conditionalFormatting>
  <conditionalFormatting sqref="M212 AM212 Y212 R212 AP212:AQ212">
    <cfRule type="expression" dxfId="857" priority="1619">
      <formula>IF(CELL("Содержимое",$C212)="FB_IMstp_S",TRUE)</formula>
    </cfRule>
  </conditionalFormatting>
  <conditionalFormatting sqref="M212 AF212:AJ212 Y212 K212 AM212 AP212:AQ212 R212">
    <cfRule type="expression" dxfId="856" priority="1497">
      <formula>IF(CELL("Содержимое",$C212)="FB_dREG_BUF_S",TRUE)</formula>
    </cfRule>
    <cfRule type="expression" dxfId="855" priority="1509">
      <formula>IF(CELL("Содержимое",$C212)="FB_REG_BUF_S",TRUE)</formula>
    </cfRule>
  </conditionalFormatting>
  <conditionalFormatting sqref="K212:M212 AM212 AH212:AI212 Y212 AB212:AC212 AE212:AF212 AP212:AQ212 R212">
    <cfRule type="expression" dxfId="854" priority="1622">
      <formula>IF(CELL("Содержимое",$C212)="FB_IMsp_MON_S",TRUE)</formula>
    </cfRule>
  </conditionalFormatting>
  <conditionalFormatting sqref="M212 AJ212 AE212:AG212 Y212 AB212:AC212 R212 AM212 AP212:AQ212">
    <cfRule type="expression" dxfId="853" priority="1623">
      <formula>IF(CELL("Содержимое",$C212)="FB_IMst_MON_S",TRUE)</formula>
    </cfRule>
  </conditionalFormatting>
  <conditionalFormatting sqref="AJ212 AE212:AG212 Y212:AC212 R212 AM212 AP212:AQ212">
    <cfRule type="expression" dxfId="852" priority="1620">
      <formula>IF(CELL("Содержимое",$C212)="FB_IMt_MON_S",TRUE)</formula>
    </cfRule>
  </conditionalFormatting>
  <conditionalFormatting sqref="M212 AG212:AJ212 Y212 K212 R212 AM212 AP212:AQ212">
    <cfRule type="expression" dxfId="851" priority="1615">
      <formula>IF(CELL("Содержимое",$C212)="FB_IMs_S",TRUE)</formula>
    </cfRule>
  </conditionalFormatting>
  <conditionalFormatting sqref="R212 Y212:AJ212 M212 AM212 AP212:AQ212">
    <cfRule type="expression" dxfId="850" priority="1590">
      <formula>IF(CELL("Содержимое",$C212)="AI_2",TRUE)</formula>
    </cfRule>
  </conditionalFormatting>
  <conditionalFormatting sqref="K212:M212 Y212:AJ212 H212:I212 D212:D221 AM212 AP212:AQ212 R212">
    <cfRule type="expression" dxfId="849" priority="1611">
      <formula>IF(CELL("Содержимое",$C212)="IMv_SIM",TRUE)</formula>
    </cfRule>
  </conditionalFormatting>
  <conditionalFormatting sqref="M212 AM212 AH212:AI212 Y212 K212 R212 AP212:AQ212">
    <cfRule type="expression" dxfId="848" priority="1610">
      <formula>IF(CELL("Содержимое",$C212)="FB_IMsp_S",TRUE)</formula>
    </cfRule>
  </conditionalFormatting>
  <conditionalFormatting sqref="K212:M212 AM212 Y212 R212 AP212:AQ212">
    <cfRule type="expression" dxfId="847" priority="1592">
      <formula>IF(CELL("Содержимое",$C212)="FB_IM_ADES_S",TRUE)</formula>
    </cfRule>
  </conditionalFormatting>
  <conditionalFormatting sqref="Z212:AJ212 AP212:AQ212 K212:M212 R212">
    <cfRule type="expression" dxfId="846" priority="1603">
      <formula>IF(CELL("Содержимое",$C212)="FB_SHPS_S",TRUE)</formula>
    </cfRule>
  </conditionalFormatting>
  <conditionalFormatting sqref="Z212:AJ212 AP212:AQ212 K212:M212 R212">
    <cfRule type="expression" dxfId="845" priority="1602">
      <formula>IF(CELL("Содержимое",$C212)="FB_SHOP_S",TRUE)</formula>
    </cfRule>
  </conditionalFormatting>
  <conditionalFormatting sqref="K212:M212 AE212:AJ212 AM212 AP212:AQ212 R212">
    <cfRule type="expression" dxfId="844" priority="1600">
      <formula>IF(CELL("Содержимое",$C212)="FB_QOP_S",TRUE)</formula>
    </cfRule>
  </conditionalFormatting>
  <conditionalFormatting sqref="R212:AJ212 K212:M212 H212:I212 D212:D221 AM212 AP212:AQ212">
    <cfRule type="expression" dxfId="843" priority="1598">
      <formula>IF(CELL("Содержимое",$C212)="PING",TRUE)</formula>
    </cfRule>
  </conditionalFormatting>
  <conditionalFormatting sqref="AE212:AJ212 R212 Z212:AC212 K212:M212 AP212:AQ212">
    <cfRule type="expression" dxfId="842" priority="1597">
      <formula>IF(CELL("Содержимое",$C212)="FB_BTF_S",TRUE)</formula>
    </cfRule>
  </conditionalFormatting>
  <conditionalFormatting sqref="R212 AE212:AJ212 AB212:AC212 M212">
    <cfRule type="expression" dxfId="841" priority="1599">
      <formula>IF(CELL("Содержимое",$C212)="FB_QSA_S",TRUE)</formula>
    </cfRule>
  </conditionalFormatting>
  <conditionalFormatting sqref="K212:M212 AG212:AJ212 Y212 AB212:AC212 AP212:AQ212 R212">
    <cfRule type="expression" dxfId="840" priority="1594">
      <formula>IF(CELL("Содержимое",$C212)="FB_OZK_KD_S",TRUE)</formula>
    </cfRule>
  </conditionalFormatting>
  <conditionalFormatting sqref="R212 Y212:AJ212 K212:M212 AM212 AP212:AQ212">
    <cfRule type="expression" dxfId="839" priority="1593">
      <formula>IF(CELL("Содержимое",$C212)="FB_UPG_S",TRUE)</formula>
    </cfRule>
  </conditionalFormatting>
  <conditionalFormatting sqref="Y212:AJ212 K212:M212 R212 AM212 AP212:AQ212">
    <cfRule type="expression" dxfId="838" priority="1501">
      <formula>IF(CELL("Содержимое",$C212)="DI_BUF",TRUE)</formula>
    </cfRule>
    <cfRule type="expression" dxfId="837" priority="1614">
      <formula>IF(CELL("Содержимое",$C212)="DI",TRUE)</formula>
    </cfRule>
  </conditionalFormatting>
  <conditionalFormatting sqref="K212:M212 AG212:AJ212 AD212 Z212:AB212 R212 AM212 AP212:AQ212">
    <cfRule type="expression" dxfId="836" priority="1510">
      <formula>IF(CELL("Содержимое",$C212)="FB_DO_BUF_S",TRUE)</formula>
    </cfRule>
    <cfRule type="expression" dxfId="835" priority="1591">
      <formula>IF(CELL("Содержимое",$C212)="FB_DO_S",TRUE)</formula>
    </cfRule>
  </conditionalFormatting>
  <conditionalFormatting sqref="M212 T212:AJ212 AM212 AP212:AQ212 R212">
    <cfRule type="expression" dxfId="834" priority="1589">
      <formula>IF(CELL("Содержимое",$C212)="ENUM",TRUE)</formula>
    </cfRule>
  </conditionalFormatting>
  <conditionalFormatting sqref="L212:M212 H212:I212 D212:D221 AM212 AP212:AQ212 R212:AJ212">
    <cfRule type="expression" dxfId="833" priority="1588">
      <formula>IF(CELL("Содержимое",$C212)="SYS_DIAG",TRUE)</formula>
    </cfRule>
  </conditionalFormatting>
  <conditionalFormatting sqref="R212 AM212 Y212:AJ212 M212 AP212:AQ212">
    <cfRule type="expression" dxfId="832" priority="1504">
      <formula>IF(CELL("Содержимое",$C212)="AI_BUF",TRUE)</formula>
    </cfRule>
    <cfRule type="expression" dxfId="831" priority="1628">
      <formula>IF(CELL("Содержимое",$C212)="AI",TRUE)</formula>
    </cfRule>
  </conditionalFormatting>
  <conditionalFormatting sqref="R212 AM212 L212:M212 H212:I212 D212:D221 AP212:AQ212">
    <cfRule type="expression" dxfId="830" priority="1574">
      <formula>IF(CELL("Содержимое",$C212)="SW_AR550",TRUE)</formula>
    </cfRule>
  </conditionalFormatting>
  <conditionalFormatting sqref="K212:M212 AF212:AJ212 Y212:AD212 R212 AM212 AP212:AQ212">
    <cfRule type="expression" dxfId="829" priority="1582">
      <formula>IF(CELL("Содержимое",$C212)="FB_DO_STB_S",TRUE)</formula>
    </cfRule>
  </conditionalFormatting>
  <conditionalFormatting sqref="L212:M212 AM212 T212:AJ212 AP212:AQ212">
    <cfRule type="expression" dxfId="828" priority="1581">
      <formula>IF(CELL("Содержимое",$C212)="CPU_DIAG",TRUE)</formula>
    </cfRule>
  </conditionalFormatting>
  <conditionalFormatting sqref="K212:M212 AM212 AP212:AQ212 R212:AJ212">
    <cfRule type="expression" dxfId="827" priority="1495">
      <formula>IF(CELL("Содержимое",$C212)="FB_HA_UPI_S",TRUE)</formula>
    </cfRule>
    <cfRule type="expression" dxfId="826" priority="1584">
      <formula>IF(CELL("Содержимое",$C212)="FB_QSA_ALL",TRUE)</formula>
    </cfRule>
    <cfRule type="expression" dxfId="825" priority="1585">
      <formula>IF(CELL("Содержимое",$C212)="FB_SHOP_ALL",TRUE)</formula>
    </cfRule>
    <cfRule type="expression" dxfId="824" priority="1586">
      <formula>IF(CELL("Содержимое",$C212)="FB_SH_ALL",TRUE)</formula>
    </cfRule>
    <cfRule type="expression" dxfId="823" priority="1609">
      <formula>IF(CELL("Содержимое",$C212)="DO",TRUE)</formula>
    </cfRule>
  </conditionalFormatting>
  <conditionalFormatting sqref="K212:M212 Z212:AJ212 AM212 AP212:AQ212 R212">
    <cfRule type="expression" dxfId="822" priority="1595">
      <formula>IF(CELL("Содержимое",$C212)="FB_KL_UPT_S",TRUE)</formula>
    </cfRule>
  </conditionalFormatting>
  <conditionalFormatting sqref="K212:M212 AE212:AJ212 Y212 AB212:AC212 AM212 AP212:AQ212 R212">
    <cfRule type="expression" dxfId="821" priority="1604">
      <formula>IF(CELL("Содержимое",$C212)="FB_IMs_MON_S",TRUE)</formula>
    </cfRule>
    <cfRule type="expression" dxfId="820" priority="1605">
      <formula>IF(CELL("Содержимое",$C212)="FB_IMp_MON_S",TRUE)</formula>
    </cfRule>
    <cfRule type="expression" dxfId="819" priority="1606">
      <formula>IF(CELL("Содержимое",$C212)="FB_IMv_MON_S",TRUE)</formula>
    </cfRule>
  </conditionalFormatting>
  <conditionalFormatting sqref="K212:M212 Y212:AJ212 AM212 AP212:AQ212 R212">
    <cfRule type="expression" dxfId="818" priority="1503">
      <formula>IF(CELL("Содержимое",$C212)="DO_BUF",TRUE)</formula>
    </cfRule>
    <cfRule type="expression" dxfId="817" priority="1596">
      <formula>IF(CELL("Содержимое",$C212)="FB_UPP_S",TRUE)</formula>
    </cfRule>
    <cfRule type="expression" dxfId="816" priority="1621">
      <formula>IF(CELL("Содержимое",$C212)="FB_IMtp_MON_S",TRUE)</formula>
    </cfRule>
  </conditionalFormatting>
  <conditionalFormatting sqref="K212:M212 AM212 AH212:AJ212 Y212 AP212:AQ212 R212">
    <cfRule type="expression" dxfId="815" priority="1513">
      <formula>IF(CELL("Содержимое",$C212)="FB_IMv_BUF_S",TRUE)</formula>
    </cfRule>
    <cfRule type="expression" dxfId="814" priority="1607">
      <formula>IF(CELL("Содержимое",$C212)="FB_IMv_S",TRUE)</formula>
    </cfRule>
    <cfRule type="expression" dxfId="813" priority="1608">
      <formula>IF(CELL("Содержимое",$C212)="FB_IMp_S",TRUE)</formula>
    </cfRule>
  </conditionalFormatting>
  <conditionalFormatting sqref="R212 AI212:AJ212 L212:M212 H212:I212 D212:D221 AM212 AP212:AQ212">
    <cfRule type="expression" dxfId="812" priority="1471">
      <formula>IF(CELL("Содержимое",$C212)="SW_MES3508",TRUE)</formula>
    </cfRule>
    <cfRule type="expression" dxfId="811" priority="1579">
      <formula>IF(CELL("Содержимое",$C212)="SW_S301",TRUE)</formula>
    </cfRule>
  </conditionalFormatting>
  <conditionalFormatting sqref="R212 Y212:AJ212 K212:M212 AM212">
    <cfRule type="expression" dxfId="810" priority="1578">
      <formula>IF(CELL("Содержимое",$C212)="FB_MPS_S",TRUE)</formula>
    </cfRule>
  </conditionalFormatting>
  <conditionalFormatting sqref="D212:F212 D213:E221 AM212 AP212:AQ212 K212:M212 R212:AJ212 H212:I212">
    <cfRule type="expression" dxfId="809" priority="1577">
      <formula>IF(CELL("Содержимое",$C212)="-",TRUE)</formula>
    </cfRule>
  </conditionalFormatting>
  <conditionalFormatting sqref="K212:M212 Z212:AJ212 AM212 AP212:AQ212 R212">
    <cfRule type="expression" dxfId="808" priority="1576">
      <formula>IF(CELL("Содержимое",$C212)="DO_DIAG",TRUE)</formula>
    </cfRule>
  </conditionalFormatting>
  <conditionalFormatting sqref="Z212:AJ212 K212:M212 R212 AM212 AP212:AQ212">
    <cfRule type="expression" dxfId="807" priority="1502">
      <formula>IF(CELL("Содержимое",$C212)="DI_DIAG_BUF",TRUE)</formula>
    </cfRule>
    <cfRule type="expression" dxfId="806" priority="1601">
      <formula>IF(CELL("Содержимое",$C212)="DI_DIAG",TRUE)</formula>
    </cfRule>
  </conditionalFormatting>
  <conditionalFormatting sqref="F212 AQ212 AM212 K212:M212 R212:AJ212 H212:I212">
    <cfRule type="expression" dxfId="805" priority="1575">
      <formula>IF(CELL("Содержимое",$C212)="FB_RIM_S",TRUE)</formula>
    </cfRule>
  </conditionalFormatting>
  <conditionalFormatting sqref="K212:M212 T212:AJ212 D212:D221 AM212 AP212:AQ212 R212">
    <cfRule type="expression" dxfId="804" priority="1573">
      <formula>IF(CELL("Содержимое",$C212)="TREI_DIAG",TRUE)</formula>
    </cfRule>
  </conditionalFormatting>
  <conditionalFormatting sqref="K212:M212 Y212:AJ212 AP212:AQ212 R212">
    <cfRule type="expression" dxfId="803" priority="1572">
      <formula>IF(CELL("Содержимое",$C212)="AO",TRUE)</formula>
    </cfRule>
  </conditionalFormatting>
  <conditionalFormatting sqref="K212:M212 Y212:AJ212 AM212 AP212:AQ212">
    <cfRule type="expression" dxfId="802" priority="1627">
      <formula>IF(CELL("Содержимое",$C212)="SEPAM",TRUE)</formula>
    </cfRule>
  </conditionalFormatting>
  <conditionalFormatting sqref="R212 Y212:AJ212 K212:M212 AM212 AP212:AQ212">
    <cfRule type="expression" dxfId="801" priority="1571">
      <formula>IF(CELL("Содержимое",$C212)="BMCS",TRUE)</formula>
    </cfRule>
  </conditionalFormatting>
  <conditionalFormatting sqref="M212 AM212 Y212:AJ212 AP212:AQ212 R212">
    <cfRule type="expression" dxfId="800" priority="1499">
      <formula>IF(CELL("Содержимое",$C212)="AI_SLIM_BUF",TRUE)</formula>
    </cfRule>
    <cfRule type="expression" dxfId="799" priority="1519">
      <formula>IF(CELL("Содержимое",$C212)="AI_SLIM",TRUE)</formula>
    </cfRule>
  </conditionalFormatting>
  <conditionalFormatting sqref="M212 Y212:AJ212 R212 AM212 AP212:AQ212">
    <cfRule type="expression" dxfId="798" priority="1625">
      <formula>IF(CELL("Содержимое",$C212)="BMPA",TRUE)</formula>
    </cfRule>
  </conditionalFormatting>
  <conditionalFormatting sqref="AM212 R212 I212 D212:D221 AP212:AQ212">
    <cfRule type="expression" dxfId="797" priority="1480">
      <formula>IF(CELL("Содержимое",$C212)="IMt_MON",TRUE)</formula>
    </cfRule>
  </conditionalFormatting>
  <conditionalFormatting sqref="K212:M212 AM212 R212 I212 D212:D221 AP212:AQ212">
    <cfRule type="expression" dxfId="796" priority="1481">
      <formula>IF(CELL("Содержимое",$C212)="IMs_MON",TRUE)</formula>
    </cfRule>
  </conditionalFormatting>
  <conditionalFormatting sqref="AM212 R212 I212 M212 D212:D221 AP212:AQ212">
    <cfRule type="expression" dxfId="795" priority="1475">
      <formula>IF(CELL("Содержимое",$C212)="IMstp",TRUE)</formula>
    </cfRule>
  </conditionalFormatting>
  <conditionalFormatting sqref="R212 AM212 K212:M212 I212 D212:D221 AP212:AQ212">
    <cfRule type="expression" dxfId="794" priority="1485">
      <formula>IF(CELL("Содержимое",$C212)="IMv",TRUE)</formula>
    </cfRule>
    <cfRule type="expression" dxfId="793" priority="1486">
      <formula>IF(CELL("Содержимое",$C212)="IMp",TRUE)</formula>
    </cfRule>
  </conditionalFormatting>
  <conditionalFormatting sqref="AM212 K212:M212 R212 I212 D212:D221 AP212:AQ212">
    <cfRule type="expression" dxfId="792" priority="1476">
      <formula>IF(CELL("Содержимое",$C212)="IM_ADES",TRUE)</formula>
    </cfRule>
  </conditionalFormatting>
  <conditionalFormatting sqref="R212 AM212 K212 I212 M212 D212:D221 AP212:AQ212">
    <cfRule type="expression" dxfId="791" priority="1482">
      <formula>IF(CELL("Содержимое",$C212)="IMsp",TRUE)</formula>
    </cfRule>
  </conditionalFormatting>
  <conditionalFormatting sqref="K212:M212 AM212 I212 D212:D221 AP212:AQ212 R212">
    <cfRule type="expression" dxfId="790" priority="1479">
      <formula>IF(CELL("Содержимое",$C212)="IMsp_MON",TRUE)</formula>
    </cfRule>
  </conditionalFormatting>
  <conditionalFormatting sqref="K212:M212 AM212 I212 D212:D221 AP212:AQ212 R212">
    <cfRule type="expression" dxfId="789" priority="1484">
      <formula>IF(CELL("Содержимое",$C212)="IMp_MON",TRUE)</formula>
    </cfRule>
  </conditionalFormatting>
  <conditionalFormatting sqref="K212:M212 AM212 I212 D212:D221 AP212:AQ212 R212">
    <cfRule type="expression" dxfId="788" priority="1483">
      <formula>IF(CELL("Содержимое",$C212)="IMv_MON",TRUE)</formula>
    </cfRule>
  </conditionalFormatting>
  <conditionalFormatting sqref="M212 Y212:AJ212 AM212 AP212:AQ212">
    <cfRule type="expression" dxfId="787" priority="1474">
      <formula>IF(CELL("Содержимое",$C212)="TOR",TRUE)</formula>
    </cfRule>
    <cfRule type="expression" dxfId="786" priority="1626">
      <formula>IF(CELL("Содержимое",$C212)="BMRZ",TRUE)</formula>
    </cfRule>
  </conditionalFormatting>
  <conditionalFormatting sqref="M212 AF212:AJ212 Y212:Z212 K212 AM212 AP212:AQ212 R212">
    <cfRule type="expression" dxfId="785" priority="1624">
      <formula>IF(CELL("Содержимое",$C212)="FB_REG_S",TRUE)</formula>
    </cfRule>
  </conditionalFormatting>
  <conditionalFormatting sqref="Y212:AJ212">
    <cfRule type="duplicateValues" dxfId="784" priority="1629"/>
  </conditionalFormatting>
  <conditionalFormatting sqref="R212 AM212 M212 H212:I212 D212:D221 AP212:AQ212">
    <cfRule type="expression" dxfId="783" priority="1583">
      <formula>IF(CELL("Содержимое",$C212)="SW_MAYAK",TRUE)</formula>
    </cfRule>
  </conditionalFormatting>
  <conditionalFormatting sqref="AM212">
    <cfRule type="expression" dxfId="782" priority="1472">
      <formula>IF(AND(CELL("Содержимое",$C212)="FB_SHPS_S",CELL("Содержимое",$N212)&gt;4),TRUE)</formula>
    </cfRule>
  </conditionalFormatting>
  <conditionalFormatting sqref="R212 Y212:AJ212 L212:M212 H212:I212 D212:D221 AM212 AP212:AQ212">
    <cfRule type="expression" dxfId="781" priority="1470">
      <formula>IF(CELL("Содержимое",$C212)="SW_MES3348F",TRUE)</formula>
    </cfRule>
  </conditionalFormatting>
  <conditionalFormatting sqref="F213 AM213 AP213:AQ213 K213:M213 R213:AJ213 H213:I213">
    <cfRule type="expression" dxfId="780" priority="1453">
      <formula>IF(CELL("Содержимое",$C213)=0,TRUE)</formula>
    </cfRule>
  </conditionalFormatting>
  <conditionalFormatting sqref="AM213 Z213:AJ213 L213:M213 R213 AP213:AQ213">
    <cfRule type="expression" dxfId="779" priority="1352">
      <formula>IF(CELL("Содержимое",$C213)="FB_DI_BUF_S",TRUE)</formula>
    </cfRule>
    <cfRule type="expression" dxfId="778" priority="1454">
      <formula>IF(CELL("Содержимое",$C213)="FB_DI_S",TRUE)</formula>
    </cfRule>
  </conditionalFormatting>
  <conditionalFormatting sqref="R213 Z213:AJ213 M213 AP213:AQ213">
    <cfRule type="expression" dxfId="777" priority="1354">
      <formula>IF(CELL("Содержимое",$C213)="FB_AI_BUF_S",TRUE)</formula>
    </cfRule>
    <cfRule type="expression" dxfId="776" priority="1455">
      <formula>IF(CELL("Содержимое",$C213)="FB_AI_S",TRUE)</formula>
    </cfRule>
  </conditionalFormatting>
  <conditionalFormatting sqref="M213 AM213 Y213 R213 AP213:AQ213">
    <cfRule type="expression" dxfId="775" priority="1456">
      <formula>IF(CELL("Содержимое",$C213)="FB_IMstp_S",TRUE)</formula>
    </cfRule>
  </conditionalFormatting>
  <conditionalFormatting sqref="M213 AF213:AJ213 Y213 K213 AM213 AP213:AQ213 R213">
    <cfRule type="expression" dxfId="774" priority="1334">
      <formula>IF(CELL("Содержимое",$C213)="FB_dREG_BUF_S",TRUE)</formula>
    </cfRule>
    <cfRule type="expression" dxfId="773" priority="1346">
      <formula>IF(CELL("Содержимое",$C213)="FB_REG_BUF_S",TRUE)</formula>
    </cfRule>
  </conditionalFormatting>
  <conditionalFormatting sqref="K213:M213 AM213 AH213:AI213 Y213 AB213:AC213 AE213:AF213 AP213:AQ213 R213">
    <cfRule type="expression" dxfId="772" priority="1459">
      <formula>IF(CELL("Содержимое",$C213)="FB_IMsp_MON_S",TRUE)</formula>
    </cfRule>
  </conditionalFormatting>
  <conditionalFormatting sqref="M213 AJ213 AE213:AG213 Y213 AB213:AC213 R213 AM213 AP213:AQ213">
    <cfRule type="expression" dxfId="771" priority="1460">
      <formula>IF(CELL("Содержимое",$C213)="FB_IMst_MON_S",TRUE)</formula>
    </cfRule>
  </conditionalFormatting>
  <conditionalFormatting sqref="AJ213 AE213:AG213 Y213:AC213 R213 AM213 AP213:AQ213">
    <cfRule type="expression" dxfId="770" priority="1457">
      <formula>IF(CELL("Содержимое",$C213)="FB_IMt_MON_S",TRUE)</formula>
    </cfRule>
  </conditionalFormatting>
  <conditionalFormatting sqref="M213 AG213:AJ213 Y213 K213 R213 AM213 AP213:AQ213">
    <cfRule type="expression" dxfId="769" priority="1452">
      <formula>IF(CELL("Содержимое",$C213)="FB_IMs_S",TRUE)</formula>
    </cfRule>
  </conditionalFormatting>
  <conditionalFormatting sqref="R213 Y213:AJ213 M213 AM213 AP213:AQ213">
    <cfRule type="expression" dxfId="768" priority="1427">
      <formula>IF(CELL("Содержимое",$C213)="AI_2",TRUE)</formula>
    </cfRule>
  </conditionalFormatting>
  <conditionalFormatting sqref="K213:M213 Y213:AJ213 H213:I213 AM213 AP213:AQ213 R213">
    <cfRule type="expression" dxfId="767" priority="1448">
      <formula>IF(CELL("Содержимое",$C213)="IMv_SIM",TRUE)</formula>
    </cfRule>
  </conditionalFormatting>
  <conditionalFormatting sqref="M213 AM213 AH213:AI213 Y213 K213 R213 AP213:AQ213">
    <cfRule type="expression" dxfId="766" priority="1447">
      <formula>IF(CELL("Содержимое",$C213)="FB_IMsp_S",TRUE)</formula>
    </cfRule>
  </conditionalFormatting>
  <conditionalFormatting sqref="K213:M213 AM213 Y213 R213 AP213:AQ213">
    <cfRule type="expression" dxfId="765" priority="1429">
      <formula>IF(CELL("Содержимое",$C213)="FB_IM_ADES_S",TRUE)</formula>
    </cfRule>
  </conditionalFormatting>
  <conditionalFormatting sqref="Z213:AJ213 AP213:AQ213 K213:M213 R213">
    <cfRule type="expression" dxfId="764" priority="1440">
      <formula>IF(CELL("Содержимое",$C213)="FB_SHPS_S",TRUE)</formula>
    </cfRule>
  </conditionalFormatting>
  <conditionalFormatting sqref="Z213:AJ213 AP213:AQ213 K213:M213 R213">
    <cfRule type="expression" dxfId="763" priority="1439">
      <formula>IF(CELL("Содержимое",$C213)="FB_SHOP_S",TRUE)</formula>
    </cfRule>
  </conditionalFormatting>
  <conditionalFormatting sqref="K213:M213 AE213:AJ213 AM213 AP213:AQ213 R213">
    <cfRule type="expression" dxfId="762" priority="1437">
      <formula>IF(CELL("Содержимое",$C213)="FB_QOP_S",TRUE)</formula>
    </cfRule>
  </conditionalFormatting>
  <conditionalFormatting sqref="R213:AJ213 K213:M213 H213:I213 AM213 AP213:AQ213">
    <cfRule type="expression" dxfId="761" priority="1435">
      <formula>IF(CELL("Содержимое",$C213)="PING",TRUE)</formula>
    </cfRule>
  </conditionalFormatting>
  <conditionalFormatting sqref="AE213:AJ213 R213 Z213:AC213 K213:M213 AP213:AQ213">
    <cfRule type="expression" dxfId="760" priority="1434">
      <formula>IF(CELL("Содержимое",$C213)="FB_BTF_S",TRUE)</formula>
    </cfRule>
  </conditionalFormatting>
  <conditionalFormatting sqref="R213 AE213:AJ213 AB213:AC213 M213">
    <cfRule type="expression" dxfId="759" priority="1436">
      <formula>IF(CELL("Содержимое",$C213)="FB_QSA_S",TRUE)</formula>
    </cfRule>
  </conditionalFormatting>
  <conditionalFormatting sqref="K213:M213 AG213:AJ213 Y213 AB213:AC213 AP213:AQ213 R213">
    <cfRule type="expression" dxfId="758" priority="1431">
      <formula>IF(CELL("Содержимое",$C213)="FB_OZK_KD_S",TRUE)</formula>
    </cfRule>
  </conditionalFormatting>
  <conditionalFormatting sqref="R213 Y213:AJ213 K213:M213 AM213 AP213:AQ213">
    <cfRule type="expression" dxfId="757" priority="1430">
      <formula>IF(CELL("Содержимое",$C213)="FB_UPG_S",TRUE)</formula>
    </cfRule>
  </conditionalFormatting>
  <conditionalFormatting sqref="Y213:AJ213 K213:M213 R213 AM213 AP213:AQ213">
    <cfRule type="expression" dxfId="756" priority="1338">
      <formula>IF(CELL("Содержимое",$C213)="DI_BUF",TRUE)</formula>
    </cfRule>
    <cfRule type="expression" dxfId="755" priority="1451">
      <formula>IF(CELL("Содержимое",$C213)="DI",TRUE)</formula>
    </cfRule>
  </conditionalFormatting>
  <conditionalFormatting sqref="K213:M213 AG213:AJ213 AD213 Z213:AB213 R213 AM213 AP213:AQ213">
    <cfRule type="expression" dxfId="754" priority="1347">
      <formula>IF(CELL("Содержимое",$C213)="FB_DO_BUF_S",TRUE)</formula>
    </cfRule>
    <cfRule type="expression" dxfId="753" priority="1428">
      <formula>IF(CELL("Содержимое",$C213)="FB_DO_S",TRUE)</formula>
    </cfRule>
  </conditionalFormatting>
  <conditionalFormatting sqref="M213 T213:AJ213 AM213 AP213:AQ213 R213">
    <cfRule type="expression" dxfId="752" priority="1426">
      <formula>IF(CELL("Содержимое",$C213)="ENUM",TRUE)</formula>
    </cfRule>
  </conditionalFormatting>
  <conditionalFormatting sqref="L213:M213 H213:I213 AM213 AP213:AQ213 R213:AJ213">
    <cfRule type="expression" dxfId="751" priority="1425">
      <formula>IF(CELL("Содержимое",$C213)="SYS_DIAG",TRUE)</formula>
    </cfRule>
  </conditionalFormatting>
  <conditionalFormatting sqref="R213 AM213 Y213:AJ213 M213 AP213:AQ213">
    <cfRule type="expression" dxfId="750" priority="1341">
      <formula>IF(CELL("Содержимое",$C213)="AI_BUF",TRUE)</formula>
    </cfRule>
    <cfRule type="expression" dxfId="749" priority="1465">
      <formula>IF(CELL("Содержимое",$C213)="AI",TRUE)</formula>
    </cfRule>
  </conditionalFormatting>
  <conditionalFormatting sqref="R213 AM213 L213:M213 H213:I213 AP213:AQ213">
    <cfRule type="expression" dxfId="748" priority="1411">
      <formula>IF(CELL("Содержимое",$C213)="SW_AR550",TRUE)</formula>
    </cfRule>
  </conditionalFormatting>
  <conditionalFormatting sqref="K213:M213 AF213:AJ213 Y213:AD213 R213 AM213 AP213:AQ213">
    <cfRule type="expression" dxfId="747" priority="1419">
      <formula>IF(CELL("Содержимое",$C213)="FB_DO_STB_S",TRUE)</formula>
    </cfRule>
  </conditionalFormatting>
  <conditionalFormatting sqref="L213:M213 AM213 T213:AJ213 AP213:AQ213">
    <cfRule type="expression" dxfId="746" priority="1418">
      <formula>IF(CELL("Содержимое",$C213)="CPU_DIAG",TRUE)</formula>
    </cfRule>
  </conditionalFormatting>
  <conditionalFormatting sqref="K213:M213 AM213 AP213:AQ213 R213:AJ213">
    <cfRule type="expression" dxfId="745" priority="1332">
      <formula>IF(CELL("Содержимое",$C213)="FB_HA_UPI_S",TRUE)</formula>
    </cfRule>
    <cfRule type="expression" dxfId="744" priority="1421">
      <formula>IF(CELL("Содержимое",$C213)="FB_QSA_ALL",TRUE)</formula>
    </cfRule>
    <cfRule type="expression" dxfId="743" priority="1422">
      <formula>IF(CELL("Содержимое",$C213)="FB_SHOP_ALL",TRUE)</formula>
    </cfRule>
    <cfRule type="expression" dxfId="742" priority="1423">
      <formula>IF(CELL("Содержимое",$C213)="FB_SH_ALL",TRUE)</formula>
    </cfRule>
    <cfRule type="expression" dxfId="741" priority="1446">
      <formula>IF(CELL("Содержимое",$C213)="DO",TRUE)</formula>
    </cfRule>
  </conditionalFormatting>
  <conditionalFormatting sqref="K213:M213 Z213:AJ213 AM213 AP213:AQ213 R213">
    <cfRule type="expression" dxfId="740" priority="1432">
      <formula>IF(CELL("Содержимое",$C213)="FB_KL_UPT_S",TRUE)</formula>
    </cfRule>
  </conditionalFormatting>
  <conditionalFormatting sqref="K213:M213 AE213:AJ213 Y213 AB213:AC213 AM213 AP213:AQ213 R213">
    <cfRule type="expression" dxfId="739" priority="1441">
      <formula>IF(CELL("Содержимое",$C213)="FB_IMs_MON_S",TRUE)</formula>
    </cfRule>
    <cfRule type="expression" dxfId="738" priority="1442">
      <formula>IF(CELL("Содержимое",$C213)="FB_IMp_MON_S",TRUE)</formula>
    </cfRule>
    <cfRule type="expression" dxfId="737" priority="1443">
      <formula>IF(CELL("Содержимое",$C213)="FB_IMv_MON_S",TRUE)</formula>
    </cfRule>
  </conditionalFormatting>
  <conditionalFormatting sqref="K213:M213 Y213:AJ213 AM213 AP213:AQ213 R213">
    <cfRule type="expression" dxfId="736" priority="1340">
      <formula>IF(CELL("Содержимое",$C213)="DO_BUF",TRUE)</formula>
    </cfRule>
    <cfRule type="expression" dxfId="735" priority="1433">
      <formula>IF(CELL("Содержимое",$C213)="FB_UPP_S",TRUE)</formula>
    </cfRule>
    <cfRule type="expression" dxfId="734" priority="1458">
      <formula>IF(CELL("Содержимое",$C213)="FB_IMtp_MON_S",TRUE)</formula>
    </cfRule>
  </conditionalFormatting>
  <conditionalFormatting sqref="K213:M213 AM213 AH213:AJ213 Y213 AP213:AQ213 R213">
    <cfRule type="expression" dxfId="733" priority="1350">
      <formula>IF(CELL("Содержимое",$C213)="FB_IMv_BUF_S",TRUE)</formula>
    </cfRule>
    <cfRule type="expression" dxfId="732" priority="1444">
      <formula>IF(CELL("Содержимое",$C213)="FB_IMv_S",TRUE)</formula>
    </cfRule>
    <cfRule type="expression" dxfId="731" priority="1445">
      <formula>IF(CELL("Содержимое",$C213)="FB_IMp_S",TRUE)</formula>
    </cfRule>
  </conditionalFormatting>
  <conditionalFormatting sqref="R213 AI213:AJ213 L213:M213 H213:I213 AM213 AP213:AQ213">
    <cfRule type="expression" dxfId="730" priority="1308">
      <formula>IF(CELL("Содержимое",$C213)="SW_MES3508",TRUE)</formula>
    </cfRule>
    <cfRule type="expression" dxfId="729" priority="1416">
      <formula>IF(CELL("Содержимое",$C213)="SW_S301",TRUE)</formula>
    </cfRule>
  </conditionalFormatting>
  <conditionalFormatting sqref="R213 Y213:AJ213 K213:M213 AM213">
    <cfRule type="expression" dxfId="728" priority="1415">
      <formula>IF(CELL("Содержимое",$C213)="FB_MPS_S",TRUE)</formula>
    </cfRule>
  </conditionalFormatting>
  <conditionalFormatting sqref="F213 AM213 AP213:AQ213 K213:M213 R213:AJ213 H213:I213">
    <cfRule type="expression" dxfId="727" priority="1414">
      <formula>IF(CELL("Содержимое",$C213)="-",TRUE)</formula>
    </cfRule>
  </conditionalFormatting>
  <conditionalFormatting sqref="K213:M213 Z213:AJ213 AM213 AP213:AQ213 R213">
    <cfRule type="expression" dxfId="726" priority="1413">
      <formula>IF(CELL("Содержимое",$C213)="DO_DIAG",TRUE)</formula>
    </cfRule>
  </conditionalFormatting>
  <conditionalFormatting sqref="Z213:AJ213 K213:M213 R213 AM213 AP213:AQ213">
    <cfRule type="expression" dxfId="725" priority="1339">
      <formula>IF(CELL("Содержимое",$C213)="DI_DIAG_BUF",TRUE)</formula>
    </cfRule>
    <cfRule type="expression" dxfId="724" priority="1438">
      <formula>IF(CELL("Содержимое",$C213)="DI_DIAG",TRUE)</formula>
    </cfRule>
  </conditionalFormatting>
  <conditionalFormatting sqref="F213 AQ213 AM213 K213:M213 R213:AJ213 H213:I213">
    <cfRule type="expression" dxfId="723" priority="1412">
      <formula>IF(CELL("Содержимое",$C213)="FB_RIM_S",TRUE)</formula>
    </cfRule>
  </conditionalFormatting>
  <conditionalFormatting sqref="K213:M213 T213:AJ213 AM213 AP213:AQ213 R213">
    <cfRule type="expression" dxfId="722" priority="1410">
      <formula>IF(CELL("Содержимое",$C213)="TREI_DIAG",TRUE)</formula>
    </cfRule>
  </conditionalFormatting>
  <conditionalFormatting sqref="K213:M213 Y213:AJ213 AP213:AQ213 R213">
    <cfRule type="expression" dxfId="721" priority="1409">
      <formula>IF(CELL("Содержимое",$C213)="AO",TRUE)</formula>
    </cfRule>
  </conditionalFormatting>
  <conditionalFormatting sqref="K213:M213 Y213:AJ213 AM213 AP213:AQ213">
    <cfRule type="expression" dxfId="720" priority="1464">
      <formula>IF(CELL("Содержимое",$C213)="SEPAM",TRUE)</formula>
    </cfRule>
  </conditionalFormatting>
  <conditionalFormatting sqref="R213 Y213:AJ213 K213:M213 AM213 AP213:AQ213">
    <cfRule type="expression" dxfId="719" priority="1408">
      <formula>IF(CELL("Содержимое",$C213)="BMCS",TRUE)</formula>
    </cfRule>
  </conditionalFormatting>
  <conditionalFormatting sqref="M213 AM213 Y213:AJ213 AP213:AQ213 R213">
    <cfRule type="expression" dxfId="718" priority="1336">
      <formula>IF(CELL("Содержимое",$C213)="AI_SLIM_BUF",TRUE)</formula>
    </cfRule>
    <cfRule type="expression" dxfId="717" priority="1356">
      <formula>IF(CELL("Содержимое",$C213)="AI_SLIM",TRUE)</formula>
    </cfRule>
  </conditionalFormatting>
  <conditionalFormatting sqref="M213 Y213:AJ213 R213 AM213 AP213:AQ213">
    <cfRule type="expression" dxfId="716" priority="1462">
      <formula>IF(CELL("Содержимое",$C213)="BMPA",TRUE)</formula>
    </cfRule>
  </conditionalFormatting>
  <conditionalFormatting sqref="AM213 R213 I213 AP213:AQ213">
    <cfRule type="expression" dxfId="715" priority="1317">
      <formula>IF(CELL("Содержимое",$C213)="IMt_MON",TRUE)</formula>
    </cfRule>
  </conditionalFormatting>
  <conditionalFormatting sqref="K213:M213 AM213 R213 I213 AP213:AQ213">
    <cfRule type="expression" dxfId="714" priority="1318">
      <formula>IF(CELL("Содержимое",$C213)="IMs_MON",TRUE)</formula>
    </cfRule>
  </conditionalFormatting>
  <conditionalFormatting sqref="AM213 R213 I213 M213 AP213:AQ213">
    <cfRule type="expression" dxfId="713" priority="1312">
      <formula>IF(CELL("Содержимое",$C213)="IMstp",TRUE)</formula>
    </cfRule>
  </conditionalFormatting>
  <conditionalFormatting sqref="R213 AM213 K213:M213 I213 AP213:AQ213">
    <cfRule type="expression" dxfId="712" priority="1322">
      <formula>IF(CELL("Содержимое",$C213)="IMv",TRUE)</formula>
    </cfRule>
    <cfRule type="expression" dxfId="711" priority="1323">
      <formula>IF(CELL("Содержимое",$C213)="IMp",TRUE)</formula>
    </cfRule>
  </conditionalFormatting>
  <conditionalFormatting sqref="AM213 K213:M213 R213 I213 AP213:AQ213">
    <cfRule type="expression" dxfId="710" priority="1313">
      <formula>IF(CELL("Содержимое",$C213)="IM_ADES",TRUE)</formula>
    </cfRule>
  </conditionalFormatting>
  <conditionalFormatting sqref="R213 AM213 K213 I213 M213 AP213:AQ213">
    <cfRule type="expression" dxfId="709" priority="1319">
      <formula>IF(CELL("Содержимое",$C213)="IMsp",TRUE)</formula>
    </cfRule>
  </conditionalFormatting>
  <conditionalFormatting sqref="K213:M213 AM213 I213 AP213:AQ213 R213">
    <cfRule type="expression" dxfId="708" priority="1316">
      <formula>IF(CELL("Содержимое",$C213)="IMsp_MON",TRUE)</formula>
    </cfRule>
  </conditionalFormatting>
  <conditionalFormatting sqref="K213:M213 AM213 I213 AP213:AQ213 R213">
    <cfRule type="expression" dxfId="707" priority="1321">
      <formula>IF(CELL("Содержимое",$C213)="IMp_MON",TRUE)</formula>
    </cfRule>
  </conditionalFormatting>
  <conditionalFormatting sqref="K213:M213 AM213 I213 AP213:AQ213 R213">
    <cfRule type="expression" dxfId="706" priority="1320">
      <formula>IF(CELL("Содержимое",$C213)="IMv_MON",TRUE)</formula>
    </cfRule>
  </conditionalFormatting>
  <conditionalFormatting sqref="M213 Y213:AJ213 AM213 AP213:AQ213">
    <cfRule type="expression" dxfId="705" priority="1311">
      <formula>IF(CELL("Содержимое",$C213)="TOR",TRUE)</formula>
    </cfRule>
    <cfRule type="expression" dxfId="704" priority="1463">
      <formula>IF(CELL("Содержимое",$C213)="BMRZ",TRUE)</formula>
    </cfRule>
  </conditionalFormatting>
  <conditionalFormatting sqref="M213 AF213:AJ213 Y213:Z213 K213 AM213 AP213:AQ213 R213">
    <cfRule type="expression" dxfId="703" priority="1461">
      <formula>IF(CELL("Содержимое",$C213)="FB_REG_S",TRUE)</formula>
    </cfRule>
  </conditionalFormatting>
  <conditionalFormatting sqref="Y213:AJ213">
    <cfRule type="duplicateValues" dxfId="702" priority="1466"/>
  </conditionalFormatting>
  <conditionalFormatting sqref="R213 AM213 M213 H213:I213 AP213:AQ213">
    <cfRule type="expression" dxfId="701" priority="1420">
      <formula>IF(CELL("Содержимое",$C213)="SW_MAYAK",TRUE)</formula>
    </cfRule>
  </conditionalFormatting>
  <conditionalFormatting sqref="AM213">
    <cfRule type="expression" dxfId="700" priority="1309">
      <formula>IF(AND(CELL("Содержимое",$C213)="FB_SHPS_S",CELL("Содержимое",$N213)&gt;4),TRUE)</formula>
    </cfRule>
  </conditionalFormatting>
  <conditionalFormatting sqref="R213 Y213:AJ213 L213:M213 H213:I213 AM213 AP213:AQ213">
    <cfRule type="expression" dxfId="699" priority="1307">
      <formula>IF(CELL("Содержимое",$C213)="SW_MES3348F",TRUE)</formula>
    </cfRule>
  </conditionalFormatting>
  <conditionalFormatting sqref="F214 AM214 AP214:AQ214 K214:M214 R214:AJ214 H214:I214">
    <cfRule type="expression" dxfId="698" priority="1290">
      <formula>IF(CELL("Содержимое",$C214)=0,TRUE)</formula>
    </cfRule>
  </conditionalFormatting>
  <conditionalFormatting sqref="AM214 Z214:AJ214 L214:M214 R214 AP214:AQ214">
    <cfRule type="expression" dxfId="697" priority="1189">
      <formula>IF(CELL("Содержимое",$C214)="FB_DI_BUF_S",TRUE)</formula>
    </cfRule>
    <cfRule type="expression" dxfId="696" priority="1291">
      <formula>IF(CELL("Содержимое",$C214)="FB_DI_S",TRUE)</formula>
    </cfRule>
  </conditionalFormatting>
  <conditionalFormatting sqref="R214 Z214:AJ214 M214 AP214:AQ214">
    <cfRule type="expression" dxfId="695" priority="1191">
      <formula>IF(CELL("Содержимое",$C214)="FB_AI_BUF_S",TRUE)</formula>
    </cfRule>
    <cfRule type="expression" dxfId="694" priority="1292">
      <formula>IF(CELL("Содержимое",$C214)="FB_AI_S",TRUE)</formula>
    </cfRule>
  </conditionalFormatting>
  <conditionalFormatting sqref="M214 AM214 Y214 R214 AP214:AQ214">
    <cfRule type="expression" dxfId="693" priority="1293">
      <formula>IF(CELL("Содержимое",$C214)="FB_IMstp_S",TRUE)</formula>
    </cfRule>
  </conditionalFormatting>
  <conditionalFormatting sqref="M214 AF214:AJ214 Y214 K214 AM214 AP214:AQ214 R214">
    <cfRule type="expression" dxfId="692" priority="1171">
      <formula>IF(CELL("Содержимое",$C214)="FB_dREG_BUF_S",TRUE)</formula>
    </cfRule>
    <cfRule type="expression" dxfId="691" priority="1183">
      <formula>IF(CELL("Содержимое",$C214)="FB_REG_BUF_S",TRUE)</formula>
    </cfRule>
  </conditionalFormatting>
  <conditionalFormatting sqref="K214:M214 AM214 AH214:AI214 Y214 AB214:AC214 AE214:AF214 AP214:AQ214 R214">
    <cfRule type="expression" dxfId="690" priority="1296">
      <formula>IF(CELL("Содержимое",$C214)="FB_IMsp_MON_S",TRUE)</formula>
    </cfRule>
  </conditionalFormatting>
  <conditionalFormatting sqref="M214 AJ214 AE214:AG214 Y214 AB214:AC214 R214 AM214 AP214:AQ214">
    <cfRule type="expression" dxfId="689" priority="1297">
      <formula>IF(CELL("Содержимое",$C214)="FB_IMst_MON_S",TRUE)</formula>
    </cfRule>
  </conditionalFormatting>
  <conditionalFormatting sqref="AJ214 AE214:AG214 Y214:AC214 R214 AM214 AP214:AQ214">
    <cfRule type="expression" dxfId="688" priority="1294">
      <formula>IF(CELL("Содержимое",$C214)="FB_IMt_MON_S",TRUE)</formula>
    </cfRule>
  </conditionalFormatting>
  <conditionalFormatting sqref="M214 AG214:AJ214 Y214 K214 R214 AM214 AP214:AQ214">
    <cfRule type="expression" dxfId="687" priority="1289">
      <formula>IF(CELL("Содержимое",$C214)="FB_IMs_S",TRUE)</formula>
    </cfRule>
  </conditionalFormatting>
  <conditionalFormatting sqref="R214 Y214:AJ214 M214 AM214 AP214:AQ214">
    <cfRule type="expression" dxfId="686" priority="1264">
      <formula>IF(CELL("Содержимое",$C214)="AI_2",TRUE)</formula>
    </cfRule>
  </conditionalFormatting>
  <conditionalFormatting sqref="K214:M214 Y214:AJ214 H214:I214 AM214 AP214:AQ214 R214">
    <cfRule type="expression" dxfId="685" priority="1285">
      <formula>IF(CELL("Содержимое",$C214)="IMv_SIM",TRUE)</formula>
    </cfRule>
  </conditionalFormatting>
  <conditionalFormatting sqref="M214 AM214 AH214:AI214 Y214 K214 R214 AP214:AQ214">
    <cfRule type="expression" dxfId="684" priority="1284">
      <formula>IF(CELL("Содержимое",$C214)="FB_IMsp_S",TRUE)</formula>
    </cfRule>
  </conditionalFormatting>
  <conditionalFormatting sqref="K214:M214 AM214 Y214 R214 AP214:AQ214">
    <cfRule type="expression" dxfId="683" priority="1266">
      <formula>IF(CELL("Содержимое",$C214)="FB_IM_ADES_S",TRUE)</formula>
    </cfRule>
  </conditionalFormatting>
  <conditionalFormatting sqref="Z214:AJ214 AP214:AQ214 K214:M214 R214">
    <cfRule type="expression" dxfId="682" priority="1277">
      <formula>IF(CELL("Содержимое",$C214)="FB_SHPS_S",TRUE)</formula>
    </cfRule>
  </conditionalFormatting>
  <conditionalFormatting sqref="Z214:AJ214 AP214:AQ214 K214:M214 R214">
    <cfRule type="expression" dxfId="681" priority="1276">
      <formula>IF(CELL("Содержимое",$C214)="FB_SHOP_S",TRUE)</formula>
    </cfRule>
  </conditionalFormatting>
  <conditionalFormatting sqref="K214:M214 AE214:AJ214 AM214 AP214:AQ214 R214">
    <cfRule type="expression" dxfId="680" priority="1274">
      <formula>IF(CELL("Содержимое",$C214)="FB_QOP_S",TRUE)</formula>
    </cfRule>
  </conditionalFormatting>
  <conditionalFormatting sqref="R214:AJ214 K214:M214 H214:I214 AM214 AP214:AQ214">
    <cfRule type="expression" dxfId="679" priority="1272">
      <formula>IF(CELL("Содержимое",$C214)="PING",TRUE)</formula>
    </cfRule>
  </conditionalFormatting>
  <conditionalFormatting sqref="AE214:AJ214 R214 Z214:AC214 K214:M214 AP214:AQ214">
    <cfRule type="expression" dxfId="678" priority="1271">
      <formula>IF(CELL("Содержимое",$C214)="FB_BTF_S",TRUE)</formula>
    </cfRule>
  </conditionalFormatting>
  <conditionalFormatting sqref="R214 AE214:AJ214 AB214:AC214 M214">
    <cfRule type="expression" dxfId="677" priority="1273">
      <formula>IF(CELL("Содержимое",$C214)="FB_QSA_S",TRUE)</formula>
    </cfRule>
  </conditionalFormatting>
  <conditionalFormatting sqref="K214:M214 AG214:AJ214 Y214 AB214:AC214 AP214:AQ214 R214">
    <cfRule type="expression" dxfId="676" priority="1268">
      <formula>IF(CELL("Содержимое",$C214)="FB_OZK_KD_S",TRUE)</formula>
    </cfRule>
  </conditionalFormatting>
  <conditionalFormatting sqref="R214 Y214:AJ214 K214:M214 AM214 AP214:AQ214">
    <cfRule type="expression" dxfId="675" priority="1267">
      <formula>IF(CELL("Содержимое",$C214)="FB_UPG_S",TRUE)</formula>
    </cfRule>
  </conditionalFormatting>
  <conditionalFormatting sqref="Y214:AJ214 K214:M214 R214 AM214 AP214:AQ214">
    <cfRule type="expression" dxfId="674" priority="1175">
      <formula>IF(CELL("Содержимое",$C214)="DI_BUF",TRUE)</formula>
    </cfRule>
    <cfRule type="expression" dxfId="673" priority="1288">
      <formula>IF(CELL("Содержимое",$C214)="DI",TRUE)</formula>
    </cfRule>
  </conditionalFormatting>
  <conditionalFormatting sqref="K214:M214 AG214:AJ214 AD214 Z214:AB214 R214 AM214 AP214:AQ214">
    <cfRule type="expression" dxfId="672" priority="1184">
      <formula>IF(CELL("Содержимое",$C214)="FB_DO_BUF_S",TRUE)</formula>
    </cfRule>
    <cfRule type="expression" dxfId="671" priority="1265">
      <formula>IF(CELL("Содержимое",$C214)="FB_DO_S",TRUE)</formula>
    </cfRule>
  </conditionalFormatting>
  <conditionalFormatting sqref="M214 T214:AJ214 AM214 AP214:AQ214 R214">
    <cfRule type="expression" dxfId="670" priority="1263">
      <formula>IF(CELL("Содержимое",$C214)="ENUM",TRUE)</formula>
    </cfRule>
  </conditionalFormatting>
  <conditionalFormatting sqref="L214:M214 H214:I214 AM214 AP214:AQ214 R214:AJ214">
    <cfRule type="expression" dxfId="669" priority="1262">
      <formula>IF(CELL("Содержимое",$C214)="SYS_DIAG",TRUE)</formula>
    </cfRule>
  </conditionalFormatting>
  <conditionalFormatting sqref="R214 AM214 Y214:AJ214 M214 AP214:AQ214">
    <cfRule type="expression" dxfId="668" priority="1178">
      <formula>IF(CELL("Содержимое",$C214)="AI_BUF",TRUE)</formula>
    </cfRule>
    <cfRule type="expression" dxfId="667" priority="1302">
      <formula>IF(CELL("Содержимое",$C214)="AI",TRUE)</formula>
    </cfRule>
  </conditionalFormatting>
  <conditionalFormatting sqref="R214 AM214 L214:M214 H214:I214 AP214:AQ214">
    <cfRule type="expression" dxfId="666" priority="1248">
      <formula>IF(CELL("Содержимое",$C214)="SW_AR550",TRUE)</formula>
    </cfRule>
  </conditionalFormatting>
  <conditionalFormatting sqref="K214:M214 AF214:AJ214 Y214:AD214 R214 AM214 AP214:AQ214">
    <cfRule type="expression" dxfId="665" priority="1256">
      <formula>IF(CELL("Содержимое",$C214)="FB_DO_STB_S",TRUE)</formula>
    </cfRule>
  </conditionalFormatting>
  <conditionalFormatting sqref="L214:M214 AM214 T214:AJ214 AP214:AQ214">
    <cfRule type="expression" dxfId="664" priority="1255">
      <formula>IF(CELL("Содержимое",$C214)="CPU_DIAG",TRUE)</formula>
    </cfRule>
  </conditionalFormatting>
  <conditionalFormatting sqref="K214:M214 AM214 AP214:AQ214 R214:AJ214">
    <cfRule type="expression" dxfId="663" priority="1169">
      <formula>IF(CELL("Содержимое",$C214)="FB_HA_UPI_S",TRUE)</formula>
    </cfRule>
    <cfRule type="expression" dxfId="662" priority="1258">
      <formula>IF(CELL("Содержимое",$C214)="FB_QSA_ALL",TRUE)</formula>
    </cfRule>
    <cfRule type="expression" dxfId="661" priority="1259">
      <formula>IF(CELL("Содержимое",$C214)="FB_SHOP_ALL",TRUE)</formula>
    </cfRule>
    <cfRule type="expression" dxfId="660" priority="1260">
      <formula>IF(CELL("Содержимое",$C214)="FB_SH_ALL",TRUE)</formula>
    </cfRule>
    <cfRule type="expression" dxfId="659" priority="1283">
      <formula>IF(CELL("Содержимое",$C214)="DO",TRUE)</formula>
    </cfRule>
  </conditionalFormatting>
  <conditionalFormatting sqref="K214:M214 Z214:AJ214 AM214 AP214:AQ214 R214">
    <cfRule type="expression" dxfId="658" priority="1269">
      <formula>IF(CELL("Содержимое",$C214)="FB_KL_UPT_S",TRUE)</formula>
    </cfRule>
  </conditionalFormatting>
  <conditionalFormatting sqref="K214:M214 AE214:AJ214 Y214 AB214:AC214 AM214 AP214:AQ214 R214">
    <cfRule type="expression" dxfId="657" priority="1278">
      <formula>IF(CELL("Содержимое",$C214)="FB_IMs_MON_S",TRUE)</formula>
    </cfRule>
    <cfRule type="expression" dxfId="656" priority="1279">
      <formula>IF(CELL("Содержимое",$C214)="FB_IMp_MON_S",TRUE)</formula>
    </cfRule>
    <cfRule type="expression" dxfId="655" priority="1280">
      <formula>IF(CELL("Содержимое",$C214)="FB_IMv_MON_S",TRUE)</formula>
    </cfRule>
  </conditionalFormatting>
  <conditionalFormatting sqref="K214:M214 Y214:AJ214 AM214 AP214:AQ214 R214">
    <cfRule type="expression" dxfId="654" priority="1177">
      <formula>IF(CELL("Содержимое",$C214)="DO_BUF",TRUE)</formula>
    </cfRule>
    <cfRule type="expression" dxfId="653" priority="1270">
      <formula>IF(CELL("Содержимое",$C214)="FB_UPP_S",TRUE)</formula>
    </cfRule>
    <cfRule type="expression" dxfId="652" priority="1295">
      <formula>IF(CELL("Содержимое",$C214)="FB_IMtp_MON_S",TRUE)</formula>
    </cfRule>
  </conditionalFormatting>
  <conditionalFormatting sqref="K214:M214 AM214 AH214:AJ214 Y214 AP214:AQ214 R214">
    <cfRule type="expression" dxfId="651" priority="1187">
      <formula>IF(CELL("Содержимое",$C214)="FB_IMv_BUF_S",TRUE)</formula>
    </cfRule>
    <cfRule type="expression" dxfId="650" priority="1281">
      <formula>IF(CELL("Содержимое",$C214)="FB_IMv_S",TRUE)</formula>
    </cfRule>
    <cfRule type="expression" dxfId="649" priority="1282">
      <formula>IF(CELL("Содержимое",$C214)="FB_IMp_S",TRUE)</formula>
    </cfRule>
  </conditionalFormatting>
  <conditionalFormatting sqref="R214 AI214:AJ214 L214:M214 H214:I214 AM214 AP214:AQ214">
    <cfRule type="expression" dxfId="648" priority="1145">
      <formula>IF(CELL("Содержимое",$C214)="SW_MES3508",TRUE)</formula>
    </cfRule>
    <cfRule type="expression" dxfId="647" priority="1253">
      <formula>IF(CELL("Содержимое",$C214)="SW_S301",TRUE)</formula>
    </cfRule>
  </conditionalFormatting>
  <conditionalFormatting sqref="R214 Y214:AJ214 K214:M214 AM214">
    <cfRule type="expression" dxfId="646" priority="1252">
      <formula>IF(CELL("Содержимое",$C214)="FB_MPS_S",TRUE)</formula>
    </cfRule>
  </conditionalFormatting>
  <conditionalFormatting sqref="F214 AM214 AP214:AQ214 K214:M214 R214:AJ214 H214:I214">
    <cfRule type="expression" dxfId="645" priority="1251">
      <formula>IF(CELL("Содержимое",$C214)="-",TRUE)</formula>
    </cfRule>
  </conditionalFormatting>
  <conditionalFormatting sqref="K214:M214 Z214:AJ214 AM214 AP214:AQ214 R214">
    <cfRule type="expression" dxfId="644" priority="1250">
      <formula>IF(CELL("Содержимое",$C214)="DO_DIAG",TRUE)</formula>
    </cfRule>
  </conditionalFormatting>
  <conditionalFormatting sqref="Z214:AJ214 K214:M214 R214 AM214 AP214:AQ214">
    <cfRule type="expression" dxfId="643" priority="1176">
      <formula>IF(CELL("Содержимое",$C214)="DI_DIAG_BUF",TRUE)</formula>
    </cfRule>
    <cfRule type="expression" dxfId="642" priority="1275">
      <formula>IF(CELL("Содержимое",$C214)="DI_DIAG",TRUE)</formula>
    </cfRule>
  </conditionalFormatting>
  <conditionalFormatting sqref="F214 AQ214 AM214 K214:M214 R214:AJ214 H214:I214">
    <cfRule type="expression" dxfId="641" priority="1249">
      <formula>IF(CELL("Содержимое",$C214)="FB_RIM_S",TRUE)</formula>
    </cfRule>
  </conditionalFormatting>
  <conditionalFormatting sqref="K214:M214 T214:AJ214 AM214 AP214:AQ214 R214">
    <cfRule type="expression" dxfId="640" priority="1247">
      <formula>IF(CELL("Содержимое",$C214)="TREI_DIAG",TRUE)</formula>
    </cfRule>
  </conditionalFormatting>
  <conditionalFormatting sqref="K214:M214 Y214:AJ214 AP214:AQ214 R214">
    <cfRule type="expression" dxfId="639" priority="1246">
      <formula>IF(CELL("Содержимое",$C214)="AO",TRUE)</formula>
    </cfRule>
  </conditionalFormatting>
  <conditionalFormatting sqref="K214:M214 Y214:AJ214 AM214 AP214:AQ214">
    <cfRule type="expression" dxfId="638" priority="1301">
      <formula>IF(CELL("Содержимое",$C214)="SEPAM",TRUE)</formula>
    </cfRule>
  </conditionalFormatting>
  <conditionalFormatting sqref="R214 Y214:AJ214 K214:M214 AM214 AP214:AQ214">
    <cfRule type="expression" dxfId="637" priority="1245">
      <formula>IF(CELL("Содержимое",$C214)="BMCS",TRUE)</formula>
    </cfRule>
  </conditionalFormatting>
  <conditionalFormatting sqref="M214 AM214 Y214:AJ214 AP214:AQ214 R214">
    <cfRule type="expression" dxfId="636" priority="1173">
      <formula>IF(CELL("Содержимое",$C214)="AI_SLIM_BUF",TRUE)</formula>
    </cfRule>
    <cfRule type="expression" dxfId="635" priority="1193">
      <formula>IF(CELL("Содержимое",$C214)="AI_SLIM",TRUE)</formula>
    </cfRule>
  </conditionalFormatting>
  <conditionalFormatting sqref="M214 Y214:AJ214 R214 AM214 AP214:AQ214">
    <cfRule type="expression" dxfId="634" priority="1299">
      <formula>IF(CELL("Содержимое",$C214)="BMPA",TRUE)</formula>
    </cfRule>
  </conditionalFormatting>
  <conditionalFormatting sqref="AM214 R214 I214 AP214:AQ214">
    <cfRule type="expression" dxfId="633" priority="1154">
      <formula>IF(CELL("Содержимое",$C214)="IMt_MON",TRUE)</formula>
    </cfRule>
  </conditionalFormatting>
  <conditionalFormatting sqref="K214:M214 AM214 R214 I214 AP214:AQ214">
    <cfRule type="expression" dxfId="632" priority="1155">
      <formula>IF(CELL("Содержимое",$C214)="IMs_MON",TRUE)</formula>
    </cfRule>
  </conditionalFormatting>
  <conditionalFormatting sqref="AM214 R214 I214 M214 AP214:AQ214">
    <cfRule type="expression" dxfId="631" priority="1149">
      <formula>IF(CELL("Содержимое",$C214)="IMstp",TRUE)</formula>
    </cfRule>
  </conditionalFormatting>
  <conditionalFormatting sqref="R214 AM214 K214:M214 I214 AP214:AQ214">
    <cfRule type="expression" dxfId="630" priority="1159">
      <formula>IF(CELL("Содержимое",$C214)="IMv",TRUE)</formula>
    </cfRule>
    <cfRule type="expression" dxfId="629" priority="1160">
      <formula>IF(CELL("Содержимое",$C214)="IMp",TRUE)</formula>
    </cfRule>
  </conditionalFormatting>
  <conditionalFormatting sqref="AM214 K214:M214 R214 I214 AP214:AQ214">
    <cfRule type="expression" dxfId="628" priority="1150">
      <formula>IF(CELL("Содержимое",$C214)="IM_ADES",TRUE)</formula>
    </cfRule>
  </conditionalFormatting>
  <conditionalFormatting sqref="R214 AM214 K214 I214 M214 AP214:AQ214">
    <cfRule type="expression" dxfId="627" priority="1156">
      <formula>IF(CELL("Содержимое",$C214)="IMsp",TRUE)</formula>
    </cfRule>
  </conditionalFormatting>
  <conditionalFormatting sqref="K214:M214 AM214 I214 AP214:AQ214 R214">
    <cfRule type="expression" dxfId="626" priority="1153">
      <formula>IF(CELL("Содержимое",$C214)="IMsp_MON",TRUE)</formula>
    </cfRule>
  </conditionalFormatting>
  <conditionalFormatting sqref="K214:M214 AM214 I214 AP214:AQ214 R214">
    <cfRule type="expression" dxfId="625" priority="1158">
      <formula>IF(CELL("Содержимое",$C214)="IMp_MON",TRUE)</formula>
    </cfRule>
  </conditionalFormatting>
  <conditionalFormatting sqref="K214:M214 AM214 I214 AP214:AQ214 R214">
    <cfRule type="expression" dxfId="624" priority="1157">
      <formula>IF(CELL("Содержимое",$C214)="IMv_MON",TRUE)</formula>
    </cfRule>
  </conditionalFormatting>
  <conditionalFormatting sqref="M214 Y214:AJ214 AM214 AP214:AQ214">
    <cfRule type="expression" dxfId="623" priority="1148">
      <formula>IF(CELL("Содержимое",$C214)="TOR",TRUE)</formula>
    </cfRule>
    <cfRule type="expression" dxfId="622" priority="1300">
      <formula>IF(CELL("Содержимое",$C214)="BMRZ",TRUE)</formula>
    </cfRule>
  </conditionalFormatting>
  <conditionalFormatting sqref="M214 AF214:AJ214 Y214:Z214 K214 AM214 AP214:AQ214 R214">
    <cfRule type="expression" dxfId="621" priority="1298">
      <formula>IF(CELL("Содержимое",$C214)="FB_REG_S",TRUE)</formula>
    </cfRule>
  </conditionalFormatting>
  <conditionalFormatting sqref="Y214:AJ214">
    <cfRule type="duplicateValues" dxfId="620" priority="1303"/>
  </conditionalFormatting>
  <conditionalFormatting sqref="R214 AM214 M214 H214:I214 AP214:AQ214">
    <cfRule type="expression" dxfId="619" priority="1257">
      <formula>IF(CELL("Содержимое",$C214)="SW_MAYAK",TRUE)</formula>
    </cfRule>
  </conditionalFormatting>
  <conditionalFormatting sqref="AM214">
    <cfRule type="expression" dxfId="618" priority="1146">
      <formula>IF(AND(CELL("Содержимое",$C214)="FB_SHPS_S",CELL("Содержимое",$N214)&gt;4),TRUE)</formula>
    </cfRule>
  </conditionalFormatting>
  <conditionalFormatting sqref="R214 Y214:AJ214 L214:M214 H214:I214 AM214 AP214:AQ214">
    <cfRule type="expression" dxfId="617" priority="1144">
      <formula>IF(CELL("Содержимое",$C214)="SW_MES3348F",TRUE)</formula>
    </cfRule>
  </conditionalFormatting>
  <conditionalFormatting sqref="F215 AM215 AP215:AQ215 K215:M215 R215:AJ215 H215:I215">
    <cfRule type="expression" dxfId="616" priority="1127">
      <formula>IF(CELL("Содержимое",$C215)=0,TRUE)</formula>
    </cfRule>
  </conditionalFormatting>
  <conditionalFormatting sqref="AM215 Z215:AJ215 L215:M215 R215 AP215:AQ215">
    <cfRule type="expression" dxfId="615" priority="1026">
      <formula>IF(CELL("Содержимое",$C215)="FB_DI_BUF_S",TRUE)</formula>
    </cfRule>
    <cfRule type="expression" dxfId="614" priority="1128">
      <formula>IF(CELL("Содержимое",$C215)="FB_DI_S",TRUE)</formula>
    </cfRule>
  </conditionalFormatting>
  <conditionalFormatting sqref="R215 Z215:AJ215 M215 AP215:AQ215">
    <cfRule type="expression" dxfId="613" priority="1028">
      <formula>IF(CELL("Содержимое",$C215)="FB_AI_BUF_S",TRUE)</formula>
    </cfRule>
    <cfRule type="expression" dxfId="612" priority="1129">
      <formula>IF(CELL("Содержимое",$C215)="FB_AI_S",TRUE)</formula>
    </cfRule>
  </conditionalFormatting>
  <conditionalFormatting sqref="M215 AM215 Y215 R215 AP215:AQ215">
    <cfRule type="expression" dxfId="611" priority="1130">
      <formula>IF(CELL("Содержимое",$C215)="FB_IMstp_S",TRUE)</formula>
    </cfRule>
  </conditionalFormatting>
  <conditionalFormatting sqref="M215 AF215:AJ215 Y215 K215 AM215 AP215:AQ215 R215">
    <cfRule type="expression" dxfId="610" priority="1008">
      <formula>IF(CELL("Содержимое",$C215)="FB_dREG_BUF_S",TRUE)</formula>
    </cfRule>
    <cfRule type="expression" dxfId="609" priority="1020">
      <formula>IF(CELL("Содержимое",$C215)="FB_REG_BUF_S",TRUE)</formula>
    </cfRule>
  </conditionalFormatting>
  <conditionalFormatting sqref="K215:M215 AM215 AH215:AI215 Y215 AB215:AC215 AE215:AF215 AP215:AQ215 R215">
    <cfRule type="expression" dxfId="608" priority="1133">
      <formula>IF(CELL("Содержимое",$C215)="FB_IMsp_MON_S",TRUE)</formula>
    </cfRule>
  </conditionalFormatting>
  <conditionalFormatting sqref="M215 AJ215 AE215:AG215 Y215 AB215:AC215 R215 AM215 AP215:AQ215">
    <cfRule type="expression" dxfId="607" priority="1134">
      <formula>IF(CELL("Содержимое",$C215)="FB_IMst_MON_S",TRUE)</formula>
    </cfRule>
  </conditionalFormatting>
  <conditionalFormatting sqref="AJ215 AE215:AG215 Y215:AC215 R215 AM215 AP215:AQ215">
    <cfRule type="expression" dxfId="606" priority="1131">
      <formula>IF(CELL("Содержимое",$C215)="FB_IMt_MON_S",TRUE)</formula>
    </cfRule>
  </conditionalFormatting>
  <conditionalFormatting sqref="M215 AG215:AJ215 Y215 K215 R215 AM215 AP215:AQ215">
    <cfRule type="expression" dxfId="605" priority="1126">
      <formula>IF(CELL("Содержимое",$C215)="FB_IMs_S",TRUE)</formula>
    </cfRule>
  </conditionalFormatting>
  <conditionalFormatting sqref="R215 Y215:AJ215 M215 AM215 AP215:AQ215">
    <cfRule type="expression" dxfId="604" priority="1101">
      <formula>IF(CELL("Содержимое",$C215)="AI_2",TRUE)</formula>
    </cfRule>
  </conditionalFormatting>
  <conditionalFormatting sqref="K215:M215 Y215:AJ215 H215:I215 AM215 AP215:AQ215 R215">
    <cfRule type="expression" dxfId="603" priority="1122">
      <formula>IF(CELL("Содержимое",$C215)="IMv_SIM",TRUE)</formula>
    </cfRule>
  </conditionalFormatting>
  <conditionalFormatting sqref="M215 AM215 AH215:AI215 Y215 K215 R215 AP215:AQ215">
    <cfRule type="expression" dxfId="602" priority="1121">
      <formula>IF(CELL("Содержимое",$C215)="FB_IMsp_S",TRUE)</formula>
    </cfRule>
  </conditionalFormatting>
  <conditionalFormatting sqref="K215:M215 AM215 Y215 R215 AP215:AQ215">
    <cfRule type="expression" dxfId="601" priority="1103">
      <formula>IF(CELL("Содержимое",$C215)="FB_IM_ADES_S",TRUE)</formula>
    </cfRule>
  </conditionalFormatting>
  <conditionalFormatting sqref="Z215:AJ215 AP215:AQ215 K215:M215 R215">
    <cfRule type="expression" dxfId="600" priority="1114">
      <formula>IF(CELL("Содержимое",$C215)="FB_SHPS_S",TRUE)</formula>
    </cfRule>
  </conditionalFormatting>
  <conditionalFormatting sqref="Z215:AJ215 AP215:AQ215 K215:M215 R215">
    <cfRule type="expression" dxfId="599" priority="1113">
      <formula>IF(CELL("Содержимое",$C215)="FB_SHOP_S",TRUE)</formula>
    </cfRule>
  </conditionalFormatting>
  <conditionalFormatting sqref="K215:M215 AE215:AJ215 AM215 AP215:AQ215 R215">
    <cfRule type="expression" dxfId="598" priority="1111">
      <formula>IF(CELL("Содержимое",$C215)="FB_QOP_S",TRUE)</formula>
    </cfRule>
  </conditionalFormatting>
  <conditionalFormatting sqref="R215:AJ215 K215:M215 H215:I215 AM215 AP215:AQ215">
    <cfRule type="expression" dxfId="597" priority="1109">
      <formula>IF(CELL("Содержимое",$C215)="PING",TRUE)</formula>
    </cfRule>
  </conditionalFormatting>
  <conditionalFormatting sqref="AE215:AJ215 R215 Z215:AC215 K215:M215 AP215:AQ215">
    <cfRule type="expression" dxfId="596" priority="1108">
      <formula>IF(CELL("Содержимое",$C215)="FB_BTF_S",TRUE)</formula>
    </cfRule>
  </conditionalFormatting>
  <conditionalFormatting sqref="R215 AE215:AJ215 AB215:AC215 M215">
    <cfRule type="expression" dxfId="595" priority="1110">
      <formula>IF(CELL("Содержимое",$C215)="FB_QSA_S",TRUE)</formula>
    </cfRule>
  </conditionalFormatting>
  <conditionalFormatting sqref="K215:M215 AG215:AJ215 Y215 AB215:AC215 AP215:AQ215 R215">
    <cfRule type="expression" dxfId="594" priority="1105">
      <formula>IF(CELL("Содержимое",$C215)="FB_OZK_KD_S",TRUE)</formula>
    </cfRule>
  </conditionalFormatting>
  <conditionalFormatting sqref="R215 Y215:AJ215 K215:M215 AM215 AP215:AQ215">
    <cfRule type="expression" dxfId="593" priority="1104">
      <formula>IF(CELL("Содержимое",$C215)="FB_UPG_S",TRUE)</formula>
    </cfRule>
  </conditionalFormatting>
  <conditionalFormatting sqref="Y215:AJ215 K215:M215 R215 AM215 AP215:AQ215">
    <cfRule type="expression" dxfId="592" priority="1012">
      <formula>IF(CELL("Содержимое",$C215)="DI_BUF",TRUE)</formula>
    </cfRule>
    <cfRule type="expression" dxfId="591" priority="1125">
      <formula>IF(CELL("Содержимое",$C215)="DI",TRUE)</formula>
    </cfRule>
  </conditionalFormatting>
  <conditionalFormatting sqref="K215:M215 AG215:AJ215 AD215 Z215:AB215 R215 AM215 AP215:AQ215">
    <cfRule type="expression" dxfId="590" priority="1021">
      <formula>IF(CELL("Содержимое",$C215)="FB_DO_BUF_S",TRUE)</formula>
    </cfRule>
    <cfRule type="expression" dxfId="589" priority="1102">
      <formula>IF(CELL("Содержимое",$C215)="FB_DO_S",TRUE)</formula>
    </cfRule>
  </conditionalFormatting>
  <conditionalFormatting sqref="M215 T215:AJ215 AM215 AP215:AQ215 R215">
    <cfRule type="expression" dxfId="588" priority="1100">
      <formula>IF(CELL("Содержимое",$C215)="ENUM",TRUE)</formula>
    </cfRule>
  </conditionalFormatting>
  <conditionalFormatting sqref="L215:M215 H215:I215 AM215 AP215:AQ215 R215:AJ215">
    <cfRule type="expression" dxfId="587" priority="1099">
      <formula>IF(CELL("Содержимое",$C215)="SYS_DIAG",TRUE)</formula>
    </cfRule>
  </conditionalFormatting>
  <conditionalFormatting sqref="R215 AM215 Y215:AJ215 M215 AP215:AQ215">
    <cfRule type="expression" dxfId="586" priority="1015">
      <formula>IF(CELL("Содержимое",$C215)="AI_BUF",TRUE)</formula>
    </cfRule>
    <cfRule type="expression" dxfId="585" priority="1139">
      <formula>IF(CELL("Содержимое",$C215)="AI",TRUE)</formula>
    </cfRule>
  </conditionalFormatting>
  <conditionalFormatting sqref="R215 AM215 L215:M215 H215:I215 AP215:AQ215">
    <cfRule type="expression" dxfId="584" priority="1085">
      <formula>IF(CELL("Содержимое",$C215)="SW_AR550",TRUE)</formula>
    </cfRule>
  </conditionalFormatting>
  <conditionalFormatting sqref="K215:M215 AF215:AJ215 Y215:AD215 R215 AM215 AP215:AQ215">
    <cfRule type="expression" dxfId="583" priority="1093">
      <formula>IF(CELL("Содержимое",$C215)="FB_DO_STB_S",TRUE)</formula>
    </cfRule>
  </conditionalFormatting>
  <conditionalFormatting sqref="L215:M215 AM215 T215:AJ215 AP215:AQ215">
    <cfRule type="expression" dxfId="582" priority="1092">
      <formula>IF(CELL("Содержимое",$C215)="CPU_DIAG",TRUE)</formula>
    </cfRule>
  </conditionalFormatting>
  <conditionalFormatting sqref="K215:M215 AM215 AP215:AQ215 R215:AJ215">
    <cfRule type="expression" dxfId="581" priority="1006">
      <formula>IF(CELL("Содержимое",$C215)="FB_HA_UPI_S",TRUE)</formula>
    </cfRule>
    <cfRule type="expression" dxfId="580" priority="1095">
      <formula>IF(CELL("Содержимое",$C215)="FB_QSA_ALL",TRUE)</formula>
    </cfRule>
    <cfRule type="expression" dxfId="579" priority="1096">
      <formula>IF(CELL("Содержимое",$C215)="FB_SHOP_ALL",TRUE)</formula>
    </cfRule>
    <cfRule type="expression" dxfId="578" priority="1097">
      <formula>IF(CELL("Содержимое",$C215)="FB_SH_ALL",TRUE)</formula>
    </cfRule>
    <cfRule type="expression" dxfId="577" priority="1120">
      <formula>IF(CELL("Содержимое",$C215)="DO",TRUE)</formula>
    </cfRule>
  </conditionalFormatting>
  <conditionalFormatting sqref="K215:M215 Z215:AJ215 AM215 AP215:AQ215 R215">
    <cfRule type="expression" dxfId="576" priority="1106">
      <formula>IF(CELL("Содержимое",$C215)="FB_KL_UPT_S",TRUE)</formula>
    </cfRule>
  </conditionalFormatting>
  <conditionalFormatting sqref="K215:M215 AE215:AJ215 Y215 AB215:AC215 AM215 AP215:AQ215 R215">
    <cfRule type="expression" dxfId="575" priority="1115">
      <formula>IF(CELL("Содержимое",$C215)="FB_IMs_MON_S",TRUE)</formula>
    </cfRule>
    <cfRule type="expression" dxfId="574" priority="1116">
      <formula>IF(CELL("Содержимое",$C215)="FB_IMp_MON_S",TRUE)</formula>
    </cfRule>
    <cfRule type="expression" dxfId="573" priority="1117">
      <formula>IF(CELL("Содержимое",$C215)="FB_IMv_MON_S",TRUE)</formula>
    </cfRule>
  </conditionalFormatting>
  <conditionalFormatting sqref="K215:M215 Y215:AJ215 AM215 AP215:AQ215 R215">
    <cfRule type="expression" dxfId="572" priority="1014">
      <formula>IF(CELL("Содержимое",$C215)="DO_BUF",TRUE)</formula>
    </cfRule>
    <cfRule type="expression" dxfId="571" priority="1107">
      <formula>IF(CELL("Содержимое",$C215)="FB_UPP_S",TRUE)</formula>
    </cfRule>
    <cfRule type="expression" dxfId="570" priority="1132">
      <formula>IF(CELL("Содержимое",$C215)="FB_IMtp_MON_S",TRUE)</formula>
    </cfRule>
  </conditionalFormatting>
  <conditionalFormatting sqref="K215:M215 AM215 AH215:AJ215 Y215 AP215:AQ215 R215">
    <cfRule type="expression" dxfId="569" priority="1024">
      <formula>IF(CELL("Содержимое",$C215)="FB_IMv_BUF_S",TRUE)</formula>
    </cfRule>
    <cfRule type="expression" dxfId="568" priority="1118">
      <formula>IF(CELL("Содержимое",$C215)="FB_IMv_S",TRUE)</formula>
    </cfRule>
    <cfRule type="expression" dxfId="567" priority="1119">
      <formula>IF(CELL("Содержимое",$C215)="FB_IMp_S",TRUE)</formula>
    </cfRule>
  </conditionalFormatting>
  <conditionalFormatting sqref="R215 AI215:AJ215 L215:M215 H215:I215 AM215 AP215:AQ215">
    <cfRule type="expression" dxfId="566" priority="982">
      <formula>IF(CELL("Содержимое",$C215)="SW_MES3508",TRUE)</formula>
    </cfRule>
    <cfRule type="expression" dxfId="565" priority="1090">
      <formula>IF(CELL("Содержимое",$C215)="SW_S301",TRUE)</formula>
    </cfRule>
  </conditionalFormatting>
  <conditionalFormatting sqref="R215 Y215:AJ215 K215:M215 AM215">
    <cfRule type="expression" dxfId="564" priority="1089">
      <formula>IF(CELL("Содержимое",$C215)="FB_MPS_S",TRUE)</formula>
    </cfRule>
  </conditionalFormatting>
  <conditionalFormatting sqref="F215 AM215 AP215:AQ215 K215:M215 R215:AJ215 H215:I215">
    <cfRule type="expression" dxfId="563" priority="1088">
      <formula>IF(CELL("Содержимое",$C215)="-",TRUE)</formula>
    </cfRule>
  </conditionalFormatting>
  <conditionalFormatting sqref="K215:M215 Z215:AJ215 AM215 AP215:AQ215 R215">
    <cfRule type="expression" dxfId="562" priority="1087">
      <formula>IF(CELL("Содержимое",$C215)="DO_DIAG",TRUE)</formula>
    </cfRule>
  </conditionalFormatting>
  <conditionalFormatting sqref="Z215:AJ215 K215:M215 R215 AM215 AP215:AQ215">
    <cfRule type="expression" dxfId="561" priority="1013">
      <formula>IF(CELL("Содержимое",$C215)="DI_DIAG_BUF",TRUE)</formula>
    </cfRule>
    <cfRule type="expression" dxfId="560" priority="1112">
      <formula>IF(CELL("Содержимое",$C215)="DI_DIAG",TRUE)</formula>
    </cfRule>
  </conditionalFormatting>
  <conditionalFormatting sqref="F215 AQ215 AM215 K215:M215 R215:AJ215 H215:I215">
    <cfRule type="expression" dxfId="559" priority="1086">
      <formula>IF(CELL("Содержимое",$C215)="FB_RIM_S",TRUE)</formula>
    </cfRule>
  </conditionalFormatting>
  <conditionalFormatting sqref="K215:M215 T215:AJ215 AM215 AP215:AQ215 R215">
    <cfRule type="expression" dxfId="558" priority="1084">
      <formula>IF(CELL("Содержимое",$C215)="TREI_DIAG",TRUE)</formula>
    </cfRule>
  </conditionalFormatting>
  <conditionalFormatting sqref="K215:M215 Y215:AJ215 AP215:AQ215 R215">
    <cfRule type="expression" dxfId="557" priority="1083">
      <formula>IF(CELL("Содержимое",$C215)="AO",TRUE)</formula>
    </cfRule>
  </conditionalFormatting>
  <conditionalFormatting sqref="K215:M215 Y215:AJ215 AM215 AP215:AQ215">
    <cfRule type="expression" dxfId="556" priority="1138">
      <formula>IF(CELL("Содержимое",$C215)="SEPAM",TRUE)</formula>
    </cfRule>
  </conditionalFormatting>
  <conditionalFormatting sqref="R215 Y215:AJ215 K215:M215 AM215 AP215:AQ215">
    <cfRule type="expression" dxfId="555" priority="1082">
      <formula>IF(CELL("Содержимое",$C215)="BMCS",TRUE)</formula>
    </cfRule>
  </conditionalFormatting>
  <conditionalFormatting sqref="M215 AM215 Y215:AJ215 AP215:AQ215 R215">
    <cfRule type="expression" dxfId="554" priority="1010">
      <formula>IF(CELL("Содержимое",$C215)="AI_SLIM_BUF",TRUE)</formula>
    </cfRule>
    <cfRule type="expression" dxfId="553" priority="1030">
      <formula>IF(CELL("Содержимое",$C215)="AI_SLIM",TRUE)</formula>
    </cfRule>
  </conditionalFormatting>
  <conditionalFormatting sqref="M215 Y215:AJ215 R215 AM215 AP215:AQ215">
    <cfRule type="expression" dxfId="552" priority="1136">
      <formula>IF(CELL("Содержимое",$C215)="BMPA",TRUE)</formula>
    </cfRule>
  </conditionalFormatting>
  <conditionalFormatting sqref="AM215 R215 I215 AP215:AQ215">
    <cfRule type="expression" dxfId="551" priority="991">
      <formula>IF(CELL("Содержимое",$C215)="IMt_MON",TRUE)</formula>
    </cfRule>
  </conditionalFormatting>
  <conditionalFormatting sqref="K215:M215 AM215 R215 I215 AP215:AQ215">
    <cfRule type="expression" dxfId="550" priority="992">
      <formula>IF(CELL("Содержимое",$C215)="IMs_MON",TRUE)</formula>
    </cfRule>
  </conditionalFormatting>
  <conditionalFormatting sqref="AM215 R215 I215 M215 AP215:AQ215">
    <cfRule type="expression" dxfId="549" priority="986">
      <formula>IF(CELL("Содержимое",$C215)="IMstp",TRUE)</formula>
    </cfRule>
  </conditionalFormatting>
  <conditionalFormatting sqref="R215 AM215 K215:M215 I215 AP215:AQ215">
    <cfRule type="expression" dxfId="548" priority="996">
      <formula>IF(CELL("Содержимое",$C215)="IMv",TRUE)</formula>
    </cfRule>
    <cfRule type="expression" dxfId="547" priority="997">
      <formula>IF(CELL("Содержимое",$C215)="IMp",TRUE)</formula>
    </cfRule>
  </conditionalFormatting>
  <conditionalFormatting sqref="AM215 K215:M215 R215 I215 AP215:AQ215">
    <cfRule type="expression" dxfId="546" priority="987">
      <formula>IF(CELL("Содержимое",$C215)="IM_ADES",TRUE)</formula>
    </cfRule>
  </conditionalFormatting>
  <conditionalFormatting sqref="R215 AM215 K215 I215 M215 AP215:AQ215">
    <cfRule type="expression" dxfId="545" priority="993">
      <formula>IF(CELL("Содержимое",$C215)="IMsp",TRUE)</formula>
    </cfRule>
  </conditionalFormatting>
  <conditionalFormatting sqref="K215:M215 AM215 I215 AP215:AQ215 R215">
    <cfRule type="expression" dxfId="544" priority="990">
      <formula>IF(CELL("Содержимое",$C215)="IMsp_MON",TRUE)</formula>
    </cfRule>
  </conditionalFormatting>
  <conditionalFormatting sqref="K215:M215 AM215 I215 AP215:AQ215 R215">
    <cfRule type="expression" dxfId="543" priority="995">
      <formula>IF(CELL("Содержимое",$C215)="IMp_MON",TRUE)</formula>
    </cfRule>
  </conditionalFormatting>
  <conditionalFormatting sqref="K215:M215 AM215 I215 AP215:AQ215 R215">
    <cfRule type="expression" dxfId="542" priority="994">
      <formula>IF(CELL("Содержимое",$C215)="IMv_MON",TRUE)</formula>
    </cfRule>
  </conditionalFormatting>
  <conditionalFormatting sqref="M215 Y215:AJ215 AM215 AP215:AQ215">
    <cfRule type="expression" dxfId="541" priority="985">
      <formula>IF(CELL("Содержимое",$C215)="TOR",TRUE)</formula>
    </cfRule>
    <cfRule type="expression" dxfId="540" priority="1137">
      <formula>IF(CELL("Содержимое",$C215)="BMRZ",TRUE)</formula>
    </cfRule>
  </conditionalFormatting>
  <conditionalFormatting sqref="M215 AF215:AJ215 Y215:Z215 K215 AM215 AP215:AQ215 R215">
    <cfRule type="expression" dxfId="539" priority="1135">
      <formula>IF(CELL("Содержимое",$C215)="FB_REG_S",TRUE)</formula>
    </cfRule>
  </conditionalFormatting>
  <conditionalFormatting sqref="Y215:AJ215">
    <cfRule type="duplicateValues" dxfId="538" priority="1140"/>
  </conditionalFormatting>
  <conditionalFormatting sqref="R215 AM215 M215 H215:I215 AP215:AQ215">
    <cfRule type="expression" dxfId="537" priority="1094">
      <formula>IF(CELL("Содержимое",$C215)="SW_MAYAK",TRUE)</formula>
    </cfRule>
  </conditionalFormatting>
  <conditionalFormatting sqref="AM215">
    <cfRule type="expression" dxfId="536" priority="983">
      <formula>IF(AND(CELL("Содержимое",$C215)="FB_SHPS_S",CELL("Содержимое",$N215)&gt;4),TRUE)</formula>
    </cfRule>
  </conditionalFormatting>
  <conditionalFormatting sqref="R215 Y215:AJ215 L215:M215 H215:I215 AM215 AP215:AQ215">
    <cfRule type="expression" dxfId="535" priority="981">
      <formula>IF(CELL("Содержимое",$C215)="SW_MES3348F",TRUE)</formula>
    </cfRule>
  </conditionalFormatting>
  <conditionalFormatting sqref="F216 AM216 AP216:AQ216 K216:M216 R216:AJ216 H216:I216">
    <cfRule type="expression" dxfId="534" priority="964">
      <formula>IF(CELL("Содержимое",$C216)=0,TRUE)</formula>
    </cfRule>
  </conditionalFormatting>
  <conditionalFormatting sqref="AM216 Z216:AJ216 L216:M216 R216 AP216:AQ216">
    <cfRule type="expression" dxfId="533" priority="863">
      <formula>IF(CELL("Содержимое",$C216)="FB_DI_BUF_S",TRUE)</formula>
    </cfRule>
    <cfRule type="expression" dxfId="532" priority="965">
      <formula>IF(CELL("Содержимое",$C216)="FB_DI_S",TRUE)</formula>
    </cfRule>
  </conditionalFormatting>
  <conditionalFormatting sqref="R216 Z216:AJ216 M216 AP216:AQ216">
    <cfRule type="expression" dxfId="531" priority="865">
      <formula>IF(CELL("Содержимое",$C216)="FB_AI_BUF_S",TRUE)</formula>
    </cfRule>
    <cfRule type="expression" dxfId="530" priority="966">
      <formula>IF(CELL("Содержимое",$C216)="FB_AI_S",TRUE)</formula>
    </cfRule>
  </conditionalFormatting>
  <conditionalFormatting sqref="M216 AM216 Y216 R216 AP216:AQ216">
    <cfRule type="expression" dxfId="529" priority="967">
      <formula>IF(CELL("Содержимое",$C216)="FB_IMstp_S",TRUE)</formula>
    </cfRule>
  </conditionalFormatting>
  <conditionalFormatting sqref="M216 AF216:AJ216 Y216 K216 AM216 AP216:AQ216 R216">
    <cfRule type="expression" dxfId="528" priority="845">
      <formula>IF(CELL("Содержимое",$C216)="FB_dREG_BUF_S",TRUE)</formula>
    </cfRule>
    <cfRule type="expression" dxfId="527" priority="857">
      <formula>IF(CELL("Содержимое",$C216)="FB_REG_BUF_S",TRUE)</formula>
    </cfRule>
  </conditionalFormatting>
  <conditionalFormatting sqref="K216:M216 AM216 AH216:AI216 Y216 AB216:AC216 AE216:AF216 AP216:AQ216 R216">
    <cfRule type="expression" dxfId="526" priority="970">
      <formula>IF(CELL("Содержимое",$C216)="FB_IMsp_MON_S",TRUE)</formula>
    </cfRule>
  </conditionalFormatting>
  <conditionalFormatting sqref="M216 AJ216 AE216:AG216 Y216 AB216:AC216 R216 AM216 AP216:AQ216">
    <cfRule type="expression" dxfId="525" priority="971">
      <formula>IF(CELL("Содержимое",$C216)="FB_IMst_MON_S",TRUE)</formula>
    </cfRule>
  </conditionalFormatting>
  <conditionalFormatting sqref="AJ216 AE216:AG216 Y216:AC216 R216 AM216 AP216:AQ216">
    <cfRule type="expression" dxfId="524" priority="968">
      <formula>IF(CELL("Содержимое",$C216)="FB_IMt_MON_S",TRUE)</formula>
    </cfRule>
  </conditionalFormatting>
  <conditionalFormatting sqref="M216 AG216:AJ216 Y216 K216 R216 AM216 AP216:AQ216">
    <cfRule type="expression" dxfId="523" priority="963">
      <formula>IF(CELL("Содержимое",$C216)="FB_IMs_S",TRUE)</formula>
    </cfRule>
  </conditionalFormatting>
  <conditionalFormatting sqref="R216 Y216:AJ216 M216 AM216 AP216:AQ216">
    <cfRule type="expression" dxfId="522" priority="938">
      <formula>IF(CELL("Содержимое",$C216)="AI_2",TRUE)</formula>
    </cfRule>
  </conditionalFormatting>
  <conditionalFormatting sqref="K216:M216 Y216:AJ216 H216:I216 AM216 AP216:AQ216 R216">
    <cfRule type="expression" dxfId="521" priority="959">
      <formula>IF(CELL("Содержимое",$C216)="IMv_SIM",TRUE)</formula>
    </cfRule>
  </conditionalFormatting>
  <conditionalFormatting sqref="M216 AM216 AH216:AI216 Y216 K216 R216 AP216:AQ216">
    <cfRule type="expression" dxfId="520" priority="958">
      <formula>IF(CELL("Содержимое",$C216)="FB_IMsp_S",TRUE)</formula>
    </cfRule>
  </conditionalFormatting>
  <conditionalFormatting sqref="K216:M216 AM216 Y216 R216 AP216:AQ216">
    <cfRule type="expression" dxfId="519" priority="940">
      <formula>IF(CELL("Содержимое",$C216)="FB_IM_ADES_S",TRUE)</formula>
    </cfRule>
  </conditionalFormatting>
  <conditionalFormatting sqref="Z216:AJ216 AP216:AQ216 K216:M216 R216">
    <cfRule type="expression" dxfId="518" priority="951">
      <formula>IF(CELL("Содержимое",$C216)="FB_SHPS_S",TRUE)</formula>
    </cfRule>
  </conditionalFormatting>
  <conditionalFormatting sqref="Z216:AJ216 AP216:AQ216 K216:M216 R216">
    <cfRule type="expression" dxfId="517" priority="950">
      <formula>IF(CELL("Содержимое",$C216)="FB_SHOP_S",TRUE)</formula>
    </cfRule>
  </conditionalFormatting>
  <conditionalFormatting sqref="K216:M216 AE216:AJ216 AM216 AP216:AQ216 R216">
    <cfRule type="expression" dxfId="516" priority="948">
      <formula>IF(CELL("Содержимое",$C216)="FB_QOP_S",TRUE)</formula>
    </cfRule>
  </conditionalFormatting>
  <conditionalFormatting sqref="R216:AJ216 K216:M216 H216:I216 AM216 AP216:AQ216">
    <cfRule type="expression" dxfId="515" priority="946">
      <formula>IF(CELL("Содержимое",$C216)="PING",TRUE)</formula>
    </cfRule>
  </conditionalFormatting>
  <conditionalFormatting sqref="AE216:AJ216 R216 Z216:AC216 K216:M216 AP216:AQ216">
    <cfRule type="expression" dxfId="514" priority="945">
      <formula>IF(CELL("Содержимое",$C216)="FB_BTF_S",TRUE)</formula>
    </cfRule>
  </conditionalFormatting>
  <conditionalFormatting sqref="R216 AE216:AJ216 AB216:AC216 M216">
    <cfRule type="expression" dxfId="513" priority="947">
      <formula>IF(CELL("Содержимое",$C216)="FB_QSA_S",TRUE)</formula>
    </cfRule>
  </conditionalFormatting>
  <conditionalFormatting sqref="K216:M216 AG216:AJ216 Y216 AB216:AC216 AP216:AQ216 R216">
    <cfRule type="expression" dxfId="512" priority="942">
      <formula>IF(CELL("Содержимое",$C216)="FB_OZK_KD_S",TRUE)</formula>
    </cfRule>
  </conditionalFormatting>
  <conditionalFormatting sqref="R216 Y216:AJ216 K216:M216 AM216 AP216:AQ216">
    <cfRule type="expression" dxfId="511" priority="941">
      <formula>IF(CELL("Содержимое",$C216)="FB_UPG_S",TRUE)</formula>
    </cfRule>
  </conditionalFormatting>
  <conditionalFormatting sqref="Y216:AJ216 K216:M216 R216 AM216 AP216:AQ216">
    <cfRule type="expression" dxfId="510" priority="849">
      <formula>IF(CELL("Содержимое",$C216)="DI_BUF",TRUE)</formula>
    </cfRule>
    <cfRule type="expression" dxfId="509" priority="962">
      <formula>IF(CELL("Содержимое",$C216)="DI",TRUE)</formula>
    </cfRule>
  </conditionalFormatting>
  <conditionalFormatting sqref="K216:M216 AG216:AJ216 AD216 Z216:AB216 R216 AM216 AP216:AQ216">
    <cfRule type="expression" dxfId="508" priority="858">
      <formula>IF(CELL("Содержимое",$C216)="FB_DO_BUF_S",TRUE)</formula>
    </cfRule>
    <cfRule type="expression" dxfId="507" priority="939">
      <formula>IF(CELL("Содержимое",$C216)="FB_DO_S",TRUE)</formula>
    </cfRule>
  </conditionalFormatting>
  <conditionalFormatting sqref="M216 T216:AJ216 AM216 AP216:AQ216 R216">
    <cfRule type="expression" dxfId="506" priority="937">
      <formula>IF(CELL("Содержимое",$C216)="ENUM",TRUE)</formula>
    </cfRule>
  </conditionalFormatting>
  <conditionalFormatting sqref="L216:M216 H216:I216 AM216 AP216:AQ216 R216:AJ216">
    <cfRule type="expression" dxfId="505" priority="936">
      <formula>IF(CELL("Содержимое",$C216)="SYS_DIAG",TRUE)</formula>
    </cfRule>
  </conditionalFormatting>
  <conditionalFormatting sqref="R216 AM216 Y216:AJ216 M216 AP216:AQ216">
    <cfRule type="expression" dxfId="504" priority="852">
      <formula>IF(CELL("Содержимое",$C216)="AI_BUF",TRUE)</formula>
    </cfRule>
    <cfRule type="expression" dxfId="503" priority="976">
      <formula>IF(CELL("Содержимое",$C216)="AI",TRUE)</formula>
    </cfRule>
  </conditionalFormatting>
  <conditionalFormatting sqref="R216 AM216 L216:M216 H216:I216 AP216:AQ216">
    <cfRule type="expression" dxfId="502" priority="922">
      <formula>IF(CELL("Содержимое",$C216)="SW_AR550",TRUE)</formula>
    </cfRule>
  </conditionalFormatting>
  <conditionalFormatting sqref="K216:M216 AF216:AJ216 Y216:AD216 R216 AM216 AP216:AQ216">
    <cfRule type="expression" dxfId="501" priority="930">
      <formula>IF(CELL("Содержимое",$C216)="FB_DO_STB_S",TRUE)</formula>
    </cfRule>
  </conditionalFormatting>
  <conditionalFormatting sqref="L216:M216 AM216 T216:AJ216 AP216:AQ216">
    <cfRule type="expression" dxfId="500" priority="929">
      <formula>IF(CELL("Содержимое",$C216)="CPU_DIAG",TRUE)</formula>
    </cfRule>
  </conditionalFormatting>
  <conditionalFormatting sqref="K216:M216 AM216 AP216:AQ216 R216:AJ216">
    <cfRule type="expression" dxfId="499" priority="843">
      <formula>IF(CELL("Содержимое",$C216)="FB_HA_UPI_S",TRUE)</formula>
    </cfRule>
    <cfRule type="expression" dxfId="498" priority="932">
      <formula>IF(CELL("Содержимое",$C216)="FB_QSA_ALL",TRUE)</formula>
    </cfRule>
    <cfRule type="expression" dxfId="497" priority="933">
      <formula>IF(CELL("Содержимое",$C216)="FB_SHOP_ALL",TRUE)</formula>
    </cfRule>
    <cfRule type="expression" dxfId="496" priority="934">
      <formula>IF(CELL("Содержимое",$C216)="FB_SH_ALL",TRUE)</formula>
    </cfRule>
    <cfRule type="expression" dxfId="495" priority="957">
      <formula>IF(CELL("Содержимое",$C216)="DO",TRUE)</formula>
    </cfRule>
  </conditionalFormatting>
  <conditionalFormatting sqref="K216:M216 Z216:AJ216 AM216 AP216:AQ216 R216">
    <cfRule type="expression" dxfId="494" priority="943">
      <formula>IF(CELL("Содержимое",$C216)="FB_KL_UPT_S",TRUE)</formula>
    </cfRule>
  </conditionalFormatting>
  <conditionalFormatting sqref="K216:M216 AE216:AJ216 Y216 AB216:AC216 AM216 AP216:AQ216 R216">
    <cfRule type="expression" dxfId="493" priority="952">
      <formula>IF(CELL("Содержимое",$C216)="FB_IMs_MON_S",TRUE)</formula>
    </cfRule>
    <cfRule type="expression" dxfId="492" priority="953">
      <formula>IF(CELL("Содержимое",$C216)="FB_IMp_MON_S",TRUE)</formula>
    </cfRule>
    <cfRule type="expression" dxfId="491" priority="954">
      <formula>IF(CELL("Содержимое",$C216)="FB_IMv_MON_S",TRUE)</formula>
    </cfRule>
  </conditionalFormatting>
  <conditionalFormatting sqref="K216:M216 Y216:AJ216 AM216 AP216:AQ216 R216">
    <cfRule type="expression" dxfId="490" priority="851">
      <formula>IF(CELL("Содержимое",$C216)="DO_BUF",TRUE)</formula>
    </cfRule>
    <cfRule type="expression" dxfId="489" priority="944">
      <formula>IF(CELL("Содержимое",$C216)="FB_UPP_S",TRUE)</formula>
    </cfRule>
    <cfRule type="expression" dxfId="488" priority="969">
      <formula>IF(CELL("Содержимое",$C216)="FB_IMtp_MON_S",TRUE)</formula>
    </cfRule>
  </conditionalFormatting>
  <conditionalFormatting sqref="K216:M216 AM216 AH216:AJ216 Y216 AP216:AQ216 R216">
    <cfRule type="expression" dxfId="487" priority="861">
      <formula>IF(CELL("Содержимое",$C216)="FB_IMv_BUF_S",TRUE)</formula>
    </cfRule>
    <cfRule type="expression" dxfId="486" priority="955">
      <formula>IF(CELL("Содержимое",$C216)="FB_IMv_S",TRUE)</formula>
    </cfRule>
    <cfRule type="expression" dxfId="485" priority="956">
      <formula>IF(CELL("Содержимое",$C216)="FB_IMp_S",TRUE)</formula>
    </cfRule>
  </conditionalFormatting>
  <conditionalFormatting sqref="R216 AI216:AJ216 L216:M216 H216:I216 AM216 AP216:AQ216">
    <cfRule type="expression" dxfId="484" priority="819">
      <formula>IF(CELL("Содержимое",$C216)="SW_MES3508",TRUE)</formula>
    </cfRule>
    <cfRule type="expression" dxfId="483" priority="927">
      <formula>IF(CELL("Содержимое",$C216)="SW_S301",TRUE)</formula>
    </cfRule>
  </conditionalFormatting>
  <conditionalFormatting sqref="R216 Y216:AJ216 K216:M216 AM216">
    <cfRule type="expression" dxfId="482" priority="926">
      <formula>IF(CELL("Содержимое",$C216)="FB_MPS_S",TRUE)</formula>
    </cfRule>
  </conditionalFormatting>
  <conditionalFormatting sqref="F216 AM216 AP216:AQ216 K216:M216 R216:AJ216 H216:I216">
    <cfRule type="expression" dxfId="481" priority="925">
      <formula>IF(CELL("Содержимое",$C216)="-",TRUE)</formula>
    </cfRule>
  </conditionalFormatting>
  <conditionalFormatting sqref="K216:M216 Z216:AJ216 AM216 AP216:AQ216 R216">
    <cfRule type="expression" dxfId="480" priority="924">
      <formula>IF(CELL("Содержимое",$C216)="DO_DIAG",TRUE)</formula>
    </cfRule>
  </conditionalFormatting>
  <conditionalFormatting sqref="Z216:AJ216 K216:M216 R216 AM216 AP216:AQ216">
    <cfRule type="expression" dxfId="479" priority="850">
      <formula>IF(CELL("Содержимое",$C216)="DI_DIAG_BUF",TRUE)</formula>
    </cfRule>
    <cfRule type="expression" dxfId="478" priority="949">
      <formula>IF(CELL("Содержимое",$C216)="DI_DIAG",TRUE)</formula>
    </cfRule>
  </conditionalFormatting>
  <conditionalFormatting sqref="F216 AQ216 AM216 K216:M216 R216:AJ216 H216:I216">
    <cfRule type="expression" dxfId="477" priority="923">
      <formula>IF(CELL("Содержимое",$C216)="FB_RIM_S",TRUE)</formula>
    </cfRule>
  </conditionalFormatting>
  <conditionalFormatting sqref="K216:M216 T216:AJ216 AM216 AP216:AQ216 R216">
    <cfRule type="expression" dxfId="476" priority="921">
      <formula>IF(CELL("Содержимое",$C216)="TREI_DIAG",TRUE)</formula>
    </cfRule>
  </conditionalFormatting>
  <conditionalFormatting sqref="K216:M216 Y216:AJ216 AP216:AQ216 R216">
    <cfRule type="expression" dxfId="475" priority="920">
      <formula>IF(CELL("Содержимое",$C216)="AO",TRUE)</formula>
    </cfRule>
  </conditionalFormatting>
  <conditionalFormatting sqref="K216:M216 Y216:AJ216 AM216 AP216:AQ216">
    <cfRule type="expression" dxfId="474" priority="975">
      <formula>IF(CELL("Содержимое",$C216)="SEPAM",TRUE)</formula>
    </cfRule>
  </conditionalFormatting>
  <conditionalFormatting sqref="R216 Y216:AJ216 K216:M216 AM216 AP216:AQ216">
    <cfRule type="expression" dxfId="473" priority="919">
      <formula>IF(CELL("Содержимое",$C216)="BMCS",TRUE)</formula>
    </cfRule>
  </conditionalFormatting>
  <conditionalFormatting sqref="M216 AM216 Y216:AJ216 AP216:AQ216 R216">
    <cfRule type="expression" dxfId="472" priority="847">
      <formula>IF(CELL("Содержимое",$C216)="AI_SLIM_BUF",TRUE)</formula>
    </cfRule>
    <cfRule type="expression" dxfId="471" priority="867">
      <formula>IF(CELL("Содержимое",$C216)="AI_SLIM",TRUE)</formula>
    </cfRule>
  </conditionalFormatting>
  <conditionalFormatting sqref="M216 Y216:AJ216 R216 AM216 AP216:AQ216">
    <cfRule type="expression" dxfId="470" priority="973">
      <formula>IF(CELL("Содержимое",$C216)="BMPA",TRUE)</formula>
    </cfRule>
  </conditionalFormatting>
  <conditionalFormatting sqref="AM216 R216 I216 AP216:AQ216">
    <cfRule type="expression" dxfId="469" priority="828">
      <formula>IF(CELL("Содержимое",$C216)="IMt_MON",TRUE)</formula>
    </cfRule>
  </conditionalFormatting>
  <conditionalFormatting sqref="K216:M216 AM216 R216 I216 AP216:AQ216">
    <cfRule type="expression" dxfId="468" priority="829">
      <formula>IF(CELL("Содержимое",$C216)="IMs_MON",TRUE)</formula>
    </cfRule>
  </conditionalFormatting>
  <conditionalFormatting sqref="AM216 R216 I216 M216 AP216:AQ216">
    <cfRule type="expression" dxfId="467" priority="823">
      <formula>IF(CELL("Содержимое",$C216)="IMstp",TRUE)</formula>
    </cfRule>
  </conditionalFormatting>
  <conditionalFormatting sqref="R216 AM216 K216:M216 I216 AP216:AQ216">
    <cfRule type="expression" dxfId="466" priority="833">
      <formula>IF(CELL("Содержимое",$C216)="IMv",TRUE)</formula>
    </cfRule>
    <cfRule type="expression" dxfId="465" priority="834">
      <formula>IF(CELL("Содержимое",$C216)="IMp",TRUE)</formula>
    </cfRule>
  </conditionalFormatting>
  <conditionalFormatting sqref="AM216 K216:M216 R216 I216 AP216:AQ216">
    <cfRule type="expression" dxfId="464" priority="824">
      <formula>IF(CELL("Содержимое",$C216)="IM_ADES",TRUE)</formula>
    </cfRule>
  </conditionalFormatting>
  <conditionalFormatting sqref="R216 AM216 K216 I216 M216 AP216:AQ216">
    <cfRule type="expression" dxfId="463" priority="830">
      <formula>IF(CELL("Содержимое",$C216)="IMsp",TRUE)</formula>
    </cfRule>
  </conditionalFormatting>
  <conditionalFormatting sqref="K216:M216 AM216 I216 AP216:AQ216 R216">
    <cfRule type="expression" dxfId="462" priority="827">
      <formula>IF(CELL("Содержимое",$C216)="IMsp_MON",TRUE)</formula>
    </cfRule>
  </conditionalFormatting>
  <conditionalFormatting sqref="K216:M216 AM216 I216 AP216:AQ216 R216">
    <cfRule type="expression" dxfId="461" priority="832">
      <formula>IF(CELL("Содержимое",$C216)="IMp_MON",TRUE)</formula>
    </cfRule>
  </conditionalFormatting>
  <conditionalFormatting sqref="K216:M216 AM216 I216 AP216:AQ216 R216">
    <cfRule type="expression" dxfId="460" priority="831">
      <formula>IF(CELL("Содержимое",$C216)="IMv_MON",TRUE)</formula>
    </cfRule>
  </conditionalFormatting>
  <conditionalFormatting sqref="M216 Y216:AJ216 AM216 AP216:AQ216">
    <cfRule type="expression" dxfId="459" priority="822">
      <formula>IF(CELL("Содержимое",$C216)="TOR",TRUE)</formula>
    </cfRule>
    <cfRule type="expression" dxfId="458" priority="974">
      <formula>IF(CELL("Содержимое",$C216)="BMRZ",TRUE)</formula>
    </cfRule>
  </conditionalFormatting>
  <conditionalFormatting sqref="M216 AF216:AJ216 Y216:Z216 K216 AM216 AP216:AQ216 R216">
    <cfRule type="expression" dxfId="457" priority="972">
      <formula>IF(CELL("Содержимое",$C216)="FB_REG_S",TRUE)</formula>
    </cfRule>
  </conditionalFormatting>
  <conditionalFormatting sqref="Y216:AJ216">
    <cfRule type="duplicateValues" dxfId="456" priority="977"/>
  </conditionalFormatting>
  <conditionalFormatting sqref="R216 AM216 M216 H216:I216 AP216:AQ216">
    <cfRule type="expression" dxfId="455" priority="931">
      <formula>IF(CELL("Содержимое",$C216)="SW_MAYAK",TRUE)</formula>
    </cfRule>
  </conditionalFormatting>
  <conditionalFormatting sqref="AM216">
    <cfRule type="expression" dxfId="454" priority="820">
      <formula>IF(AND(CELL("Содержимое",$C216)="FB_SHPS_S",CELL("Содержимое",$N216)&gt;4),TRUE)</formula>
    </cfRule>
  </conditionalFormatting>
  <conditionalFormatting sqref="R216 Y216:AJ216 L216:M216 H216:I216 AM216 AP216:AQ216">
    <cfRule type="expression" dxfId="453" priority="818">
      <formula>IF(CELL("Содержимое",$C216)="SW_MES3348F",TRUE)</formula>
    </cfRule>
  </conditionalFormatting>
  <conditionalFormatting sqref="F217 AM217 AP217:AQ217 K217:M217 R217:AJ217 H217:I217">
    <cfRule type="expression" dxfId="452" priority="801">
      <formula>IF(CELL("Содержимое",$C217)=0,TRUE)</formula>
    </cfRule>
  </conditionalFormatting>
  <conditionalFormatting sqref="AM217 Z217:AJ217 L217:M217 R217 AP217:AQ217">
    <cfRule type="expression" dxfId="451" priority="700">
      <formula>IF(CELL("Содержимое",$C217)="FB_DI_BUF_S",TRUE)</formula>
    </cfRule>
    <cfRule type="expression" dxfId="450" priority="802">
      <formula>IF(CELL("Содержимое",$C217)="FB_DI_S",TRUE)</formula>
    </cfRule>
  </conditionalFormatting>
  <conditionalFormatting sqref="R217 Z217:AJ217 M217 AP217:AQ217">
    <cfRule type="expression" dxfId="449" priority="702">
      <formula>IF(CELL("Содержимое",$C217)="FB_AI_BUF_S",TRUE)</formula>
    </cfRule>
    <cfRule type="expression" dxfId="448" priority="803">
      <formula>IF(CELL("Содержимое",$C217)="FB_AI_S",TRUE)</formula>
    </cfRule>
  </conditionalFormatting>
  <conditionalFormatting sqref="M217 AM217 Y217 R217 AP217:AQ217">
    <cfRule type="expression" dxfId="447" priority="804">
      <formula>IF(CELL("Содержимое",$C217)="FB_IMstp_S",TRUE)</formula>
    </cfRule>
  </conditionalFormatting>
  <conditionalFormatting sqref="M217 AF217:AJ217 Y217 K217 AM217 AP217:AQ217 R217">
    <cfRule type="expression" dxfId="446" priority="682">
      <formula>IF(CELL("Содержимое",$C217)="FB_dREG_BUF_S",TRUE)</formula>
    </cfRule>
    <cfRule type="expression" dxfId="445" priority="694">
      <formula>IF(CELL("Содержимое",$C217)="FB_REG_BUF_S",TRUE)</formula>
    </cfRule>
  </conditionalFormatting>
  <conditionalFormatting sqref="K217:M217 AM217 AH217:AI217 Y217 AB217:AC217 AE217:AF217 AP217:AQ217 R217">
    <cfRule type="expression" dxfId="444" priority="807">
      <formula>IF(CELL("Содержимое",$C217)="FB_IMsp_MON_S",TRUE)</formula>
    </cfRule>
  </conditionalFormatting>
  <conditionalFormatting sqref="M217 AJ217 AE217:AG217 Y217 AB217:AC217 R217 AM217 AP217:AQ217">
    <cfRule type="expression" dxfId="443" priority="808">
      <formula>IF(CELL("Содержимое",$C217)="FB_IMst_MON_S",TRUE)</formula>
    </cfRule>
  </conditionalFormatting>
  <conditionalFormatting sqref="AJ217 AE217:AG217 Y217:AC217 R217 AM217 AP217:AQ217">
    <cfRule type="expression" dxfId="442" priority="805">
      <formula>IF(CELL("Содержимое",$C217)="FB_IMt_MON_S",TRUE)</formula>
    </cfRule>
  </conditionalFormatting>
  <conditionalFormatting sqref="M217 AG217:AJ217 Y217 K217 R217 AM217 AP217:AQ217">
    <cfRule type="expression" dxfId="441" priority="800">
      <formula>IF(CELL("Содержимое",$C217)="FB_IMs_S",TRUE)</formula>
    </cfRule>
  </conditionalFormatting>
  <conditionalFormatting sqref="R217 Y217:AJ217 M217 AM217 AP217:AQ217">
    <cfRule type="expression" dxfId="440" priority="775">
      <formula>IF(CELL("Содержимое",$C217)="AI_2",TRUE)</formula>
    </cfRule>
  </conditionalFormatting>
  <conditionalFormatting sqref="K217:M217 Y217:AJ217 H217:I217 AM217 AP217:AQ217 R217">
    <cfRule type="expression" dxfId="439" priority="796">
      <formula>IF(CELL("Содержимое",$C217)="IMv_SIM",TRUE)</formula>
    </cfRule>
  </conditionalFormatting>
  <conditionalFormatting sqref="M217 AM217 AH217:AI217 Y217 K217 R217 AP217:AQ217">
    <cfRule type="expression" dxfId="438" priority="795">
      <formula>IF(CELL("Содержимое",$C217)="FB_IMsp_S",TRUE)</formula>
    </cfRule>
  </conditionalFormatting>
  <conditionalFormatting sqref="K217:M217 AM217 Y217 R217 AP217:AQ217">
    <cfRule type="expression" dxfId="437" priority="777">
      <formula>IF(CELL("Содержимое",$C217)="FB_IM_ADES_S",TRUE)</formula>
    </cfRule>
  </conditionalFormatting>
  <conditionalFormatting sqref="Z217:AJ217 AP217:AQ217 K217:M217 R217">
    <cfRule type="expression" dxfId="436" priority="788">
      <formula>IF(CELL("Содержимое",$C217)="FB_SHPS_S",TRUE)</formula>
    </cfRule>
  </conditionalFormatting>
  <conditionalFormatting sqref="Z217:AJ217 AP217:AQ217 K217:M217 R217">
    <cfRule type="expression" dxfId="435" priority="787">
      <formula>IF(CELL("Содержимое",$C217)="FB_SHOP_S",TRUE)</formula>
    </cfRule>
  </conditionalFormatting>
  <conditionalFormatting sqref="K217:M217 AE217:AJ217 AM217 AP217:AQ217 R217">
    <cfRule type="expression" dxfId="434" priority="785">
      <formula>IF(CELL("Содержимое",$C217)="FB_QOP_S",TRUE)</formula>
    </cfRule>
  </conditionalFormatting>
  <conditionalFormatting sqref="R217:AJ217 K217:M217 H217:I217 AM217 AP217:AQ217">
    <cfRule type="expression" dxfId="433" priority="783">
      <formula>IF(CELL("Содержимое",$C217)="PING",TRUE)</formula>
    </cfRule>
  </conditionalFormatting>
  <conditionalFormatting sqref="AE217:AJ217 R217 Z217:AC217 K217:M217 AP217:AQ217">
    <cfRule type="expression" dxfId="432" priority="782">
      <formula>IF(CELL("Содержимое",$C217)="FB_BTF_S",TRUE)</formula>
    </cfRule>
  </conditionalFormatting>
  <conditionalFormatting sqref="R217 AE217:AJ217 AB217:AC217 M217">
    <cfRule type="expression" dxfId="431" priority="784">
      <formula>IF(CELL("Содержимое",$C217)="FB_QSA_S",TRUE)</formula>
    </cfRule>
  </conditionalFormatting>
  <conditionalFormatting sqref="K217:M217 AG217:AJ217 Y217 AB217:AC217 AP217:AQ217 R217">
    <cfRule type="expression" dxfId="430" priority="779">
      <formula>IF(CELL("Содержимое",$C217)="FB_OZK_KD_S",TRUE)</formula>
    </cfRule>
  </conditionalFormatting>
  <conditionalFormatting sqref="R217 Y217:AJ217 K217:M217 AM217 AP217:AQ217">
    <cfRule type="expression" dxfId="429" priority="778">
      <formula>IF(CELL("Содержимое",$C217)="FB_UPG_S",TRUE)</formula>
    </cfRule>
  </conditionalFormatting>
  <conditionalFormatting sqref="Y217:AJ217 K217:M217 R217 AM217 AP217:AQ217">
    <cfRule type="expression" dxfId="428" priority="686">
      <formula>IF(CELL("Содержимое",$C217)="DI_BUF",TRUE)</formula>
    </cfRule>
    <cfRule type="expression" dxfId="427" priority="799">
      <formula>IF(CELL("Содержимое",$C217)="DI",TRUE)</formula>
    </cfRule>
  </conditionalFormatting>
  <conditionalFormatting sqref="K217:M217 AG217:AJ217 AD217 Z217:AB217 R217 AM217 AP217:AQ217">
    <cfRule type="expression" dxfId="426" priority="695">
      <formula>IF(CELL("Содержимое",$C217)="FB_DO_BUF_S",TRUE)</formula>
    </cfRule>
    <cfRule type="expression" dxfId="425" priority="776">
      <formula>IF(CELL("Содержимое",$C217)="FB_DO_S",TRUE)</formula>
    </cfRule>
  </conditionalFormatting>
  <conditionalFormatting sqref="M217 T217:AJ217 AM217 AP217:AQ217 R217">
    <cfRule type="expression" dxfId="424" priority="774">
      <formula>IF(CELL("Содержимое",$C217)="ENUM",TRUE)</formula>
    </cfRule>
  </conditionalFormatting>
  <conditionalFormatting sqref="L217:M217 H217:I217 AM217 AP217:AQ217 R217:AJ217">
    <cfRule type="expression" dxfId="423" priority="773">
      <formula>IF(CELL("Содержимое",$C217)="SYS_DIAG",TRUE)</formula>
    </cfRule>
  </conditionalFormatting>
  <conditionalFormatting sqref="R217 AM217 Y217:AJ217 M217 AP217:AQ217">
    <cfRule type="expression" dxfId="422" priority="689">
      <formula>IF(CELL("Содержимое",$C217)="AI_BUF",TRUE)</formula>
    </cfRule>
    <cfRule type="expression" dxfId="421" priority="813">
      <formula>IF(CELL("Содержимое",$C217)="AI",TRUE)</formula>
    </cfRule>
  </conditionalFormatting>
  <conditionalFormatting sqref="R217 AM217 L217:M217 H217:I217 AP217:AQ217">
    <cfRule type="expression" dxfId="420" priority="759">
      <formula>IF(CELL("Содержимое",$C217)="SW_AR550",TRUE)</formula>
    </cfRule>
  </conditionalFormatting>
  <conditionalFormatting sqref="K217:M217 AF217:AJ217 Y217:AD217 R217 AM217 AP217:AQ217">
    <cfRule type="expression" dxfId="419" priority="767">
      <formula>IF(CELL("Содержимое",$C217)="FB_DO_STB_S",TRUE)</formula>
    </cfRule>
  </conditionalFormatting>
  <conditionalFormatting sqref="L217:M217 AM217 T217:AJ217 AP217:AQ217">
    <cfRule type="expression" dxfId="418" priority="766">
      <formula>IF(CELL("Содержимое",$C217)="CPU_DIAG",TRUE)</formula>
    </cfRule>
  </conditionalFormatting>
  <conditionalFormatting sqref="K217:M217 AM217 AP217:AQ217 R217:AJ217">
    <cfRule type="expression" dxfId="417" priority="680">
      <formula>IF(CELL("Содержимое",$C217)="FB_HA_UPI_S",TRUE)</formula>
    </cfRule>
    <cfRule type="expression" dxfId="416" priority="769">
      <formula>IF(CELL("Содержимое",$C217)="FB_QSA_ALL",TRUE)</formula>
    </cfRule>
    <cfRule type="expression" dxfId="415" priority="770">
      <formula>IF(CELL("Содержимое",$C217)="FB_SHOP_ALL",TRUE)</formula>
    </cfRule>
    <cfRule type="expression" dxfId="414" priority="771">
      <formula>IF(CELL("Содержимое",$C217)="FB_SH_ALL",TRUE)</formula>
    </cfRule>
    <cfRule type="expression" dxfId="413" priority="794">
      <formula>IF(CELL("Содержимое",$C217)="DO",TRUE)</formula>
    </cfRule>
  </conditionalFormatting>
  <conditionalFormatting sqref="K217:M217 Z217:AJ217 AM217 AP217:AQ217 R217">
    <cfRule type="expression" dxfId="412" priority="780">
      <formula>IF(CELL("Содержимое",$C217)="FB_KL_UPT_S",TRUE)</formula>
    </cfRule>
  </conditionalFormatting>
  <conditionalFormatting sqref="K217:M217 AE217:AJ217 Y217 AB217:AC217 AM217 AP217:AQ217 R217">
    <cfRule type="expression" dxfId="411" priority="789">
      <formula>IF(CELL("Содержимое",$C217)="FB_IMs_MON_S",TRUE)</formula>
    </cfRule>
    <cfRule type="expression" dxfId="410" priority="790">
      <formula>IF(CELL("Содержимое",$C217)="FB_IMp_MON_S",TRUE)</formula>
    </cfRule>
    <cfRule type="expression" dxfId="409" priority="791">
      <formula>IF(CELL("Содержимое",$C217)="FB_IMv_MON_S",TRUE)</formula>
    </cfRule>
  </conditionalFormatting>
  <conditionalFormatting sqref="K217:M217 Y217:AJ217 AM217 AP217:AQ217 R217">
    <cfRule type="expression" dxfId="408" priority="688">
      <formula>IF(CELL("Содержимое",$C217)="DO_BUF",TRUE)</formula>
    </cfRule>
    <cfRule type="expression" dxfId="407" priority="781">
      <formula>IF(CELL("Содержимое",$C217)="FB_UPP_S",TRUE)</formula>
    </cfRule>
    <cfRule type="expression" dxfId="406" priority="806">
      <formula>IF(CELL("Содержимое",$C217)="FB_IMtp_MON_S",TRUE)</formula>
    </cfRule>
  </conditionalFormatting>
  <conditionalFormatting sqref="K217:M217 AM217 AH217:AJ217 Y217 AP217:AQ217 R217">
    <cfRule type="expression" dxfId="405" priority="698">
      <formula>IF(CELL("Содержимое",$C217)="FB_IMv_BUF_S",TRUE)</formula>
    </cfRule>
    <cfRule type="expression" dxfId="404" priority="792">
      <formula>IF(CELL("Содержимое",$C217)="FB_IMv_S",TRUE)</formula>
    </cfRule>
    <cfRule type="expression" dxfId="403" priority="793">
      <formula>IF(CELL("Содержимое",$C217)="FB_IMp_S",TRUE)</formula>
    </cfRule>
  </conditionalFormatting>
  <conditionalFormatting sqref="R217 AI217:AJ217 L217:M217 H217:I217 AM217 AP217:AQ217">
    <cfRule type="expression" dxfId="402" priority="656">
      <formula>IF(CELL("Содержимое",$C217)="SW_MES3508",TRUE)</formula>
    </cfRule>
    <cfRule type="expression" dxfId="401" priority="764">
      <formula>IF(CELL("Содержимое",$C217)="SW_S301",TRUE)</formula>
    </cfRule>
  </conditionalFormatting>
  <conditionalFormatting sqref="R217 Y217:AJ217 K217:M217 AM217">
    <cfRule type="expression" dxfId="400" priority="763">
      <formula>IF(CELL("Содержимое",$C217)="FB_MPS_S",TRUE)</formula>
    </cfRule>
  </conditionalFormatting>
  <conditionalFormatting sqref="F217 AM217 AP217:AQ217 K217:M217 R217:AJ217 H217:I217">
    <cfRule type="expression" dxfId="399" priority="762">
      <formula>IF(CELL("Содержимое",$C217)="-",TRUE)</formula>
    </cfRule>
  </conditionalFormatting>
  <conditionalFormatting sqref="K217:M217 Z217:AJ217 AM217 AP217:AQ217 R217">
    <cfRule type="expression" dxfId="398" priority="761">
      <formula>IF(CELL("Содержимое",$C217)="DO_DIAG",TRUE)</formula>
    </cfRule>
  </conditionalFormatting>
  <conditionalFormatting sqref="Z217:AJ217 K217:M217 R217 AM217 AP217:AQ217">
    <cfRule type="expression" dxfId="397" priority="687">
      <formula>IF(CELL("Содержимое",$C217)="DI_DIAG_BUF",TRUE)</formula>
    </cfRule>
    <cfRule type="expression" dxfId="396" priority="786">
      <formula>IF(CELL("Содержимое",$C217)="DI_DIAG",TRUE)</formula>
    </cfRule>
  </conditionalFormatting>
  <conditionalFormatting sqref="F217 AQ217 AM217 K217:M217 R217:AJ217 H217:I217">
    <cfRule type="expression" dxfId="395" priority="760">
      <formula>IF(CELL("Содержимое",$C217)="FB_RIM_S",TRUE)</formula>
    </cfRule>
  </conditionalFormatting>
  <conditionalFormatting sqref="K217:M217 T217:AJ217 AM217 AP217:AQ217 R217">
    <cfRule type="expression" dxfId="394" priority="758">
      <formula>IF(CELL("Содержимое",$C217)="TREI_DIAG",TRUE)</formula>
    </cfRule>
  </conditionalFormatting>
  <conditionalFormatting sqref="K217:M217 Y217:AJ217 AP217:AQ217 R217">
    <cfRule type="expression" dxfId="393" priority="757">
      <formula>IF(CELL("Содержимое",$C217)="AO",TRUE)</formula>
    </cfRule>
  </conditionalFormatting>
  <conditionalFormatting sqref="K217:M217 Y217:AJ217 AM217 AP217:AQ217">
    <cfRule type="expression" dxfId="392" priority="812">
      <formula>IF(CELL("Содержимое",$C217)="SEPAM",TRUE)</formula>
    </cfRule>
  </conditionalFormatting>
  <conditionalFormatting sqref="R217 Y217:AJ217 K217:M217 AM217 AP217:AQ217">
    <cfRule type="expression" dxfId="391" priority="756">
      <formula>IF(CELL("Содержимое",$C217)="BMCS",TRUE)</formula>
    </cfRule>
  </conditionalFormatting>
  <conditionalFormatting sqref="M217 AM217 Y217:AJ217 AP217:AQ217 R217">
    <cfRule type="expression" dxfId="390" priority="684">
      <formula>IF(CELL("Содержимое",$C217)="AI_SLIM_BUF",TRUE)</formula>
    </cfRule>
    <cfRule type="expression" dxfId="389" priority="704">
      <formula>IF(CELL("Содержимое",$C217)="AI_SLIM",TRUE)</formula>
    </cfRule>
  </conditionalFormatting>
  <conditionalFormatting sqref="M217 Y217:AJ217 R217 AM217 AP217:AQ217">
    <cfRule type="expression" dxfId="388" priority="810">
      <formula>IF(CELL("Содержимое",$C217)="BMPA",TRUE)</formula>
    </cfRule>
  </conditionalFormatting>
  <conditionalFormatting sqref="AM217 R217 I217 AP217:AQ217">
    <cfRule type="expression" dxfId="387" priority="665">
      <formula>IF(CELL("Содержимое",$C217)="IMt_MON",TRUE)</formula>
    </cfRule>
  </conditionalFormatting>
  <conditionalFormatting sqref="K217:M217 AM217 R217 I217 AP217:AQ217">
    <cfRule type="expression" dxfId="386" priority="666">
      <formula>IF(CELL("Содержимое",$C217)="IMs_MON",TRUE)</formula>
    </cfRule>
  </conditionalFormatting>
  <conditionalFormatting sqref="AM217 R217 I217 M217 AP217:AQ217">
    <cfRule type="expression" dxfId="385" priority="660">
      <formula>IF(CELL("Содержимое",$C217)="IMstp",TRUE)</formula>
    </cfRule>
  </conditionalFormatting>
  <conditionalFormatting sqref="R217 AM217 K217:M217 I217 AP217:AQ217">
    <cfRule type="expression" dxfId="384" priority="670">
      <formula>IF(CELL("Содержимое",$C217)="IMv",TRUE)</formula>
    </cfRule>
    <cfRule type="expression" dxfId="383" priority="671">
      <formula>IF(CELL("Содержимое",$C217)="IMp",TRUE)</formula>
    </cfRule>
  </conditionalFormatting>
  <conditionalFormatting sqref="AM217 K217:M217 R217 I217 AP217:AQ217">
    <cfRule type="expression" dxfId="382" priority="661">
      <formula>IF(CELL("Содержимое",$C217)="IM_ADES",TRUE)</formula>
    </cfRule>
  </conditionalFormatting>
  <conditionalFormatting sqref="R217 AM217 K217 I217 M217 AP217:AQ217">
    <cfRule type="expression" dxfId="381" priority="667">
      <formula>IF(CELL("Содержимое",$C217)="IMsp",TRUE)</formula>
    </cfRule>
  </conditionalFormatting>
  <conditionalFormatting sqref="K217:M217 AM217 I217 AP217:AQ217 R217">
    <cfRule type="expression" dxfId="380" priority="664">
      <formula>IF(CELL("Содержимое",$C217)="IMsp_MON",TRUE)</formula>
    </cfRule>
  </conditionalFormatting>
  <conditionalFormatting sqref="K217:M217 AM217 I217 AP217:AQ217 R217">
    <cfRule type="expression" dxfId="379" priority="669">
      <formula>IF(CELL("Содержимое",$C217)="IMp_MON",TRUE)</formula>
    </cfRule>
  </conditionalFormatting>
  <conditionalFormatting sqref="K217:M217 AM217 I217 AP217:AQ217 R217">
    <cfRule type="expression" dxfId="378" priority="668">
      <formula>IF(CELL("Содержимое",$C217)="IMv_MON",TRUE)</formula>
    </cfRule>
  </conditionalFormatting>
  <conditionalFormatting sqref="M217 Y217:AJ217 AM217 AP217:AQ217">
    <cfRule type="expression" dxfId="377" priority="659">
      <formula>IF(CELL("Содержимое",$C217)="TOR",TRUE)</formula>
    </cfRule>
    <cfRule type="expression" dxfId="376" priority="811">
      <formula>IF(CELL("Содержимое",$C217)="BMRZ",TRUE)</formula>
    </cfRule>
  </conditionalFormatting>
  <conditionalFormatting sqref="M217 AF217:AJ217 Y217:Z217 K217 AM217 AP217:AQ217 R217">
    <cfRule type="expression" dxfId="375" priority="809">
      <formula>IF(CELL("Содержимое",$C217)="FB_REG_S",TRUE)</formula>
    </cfRule>
  </conditionalFormatting>
  <conditionalFormatting sqref="Y217:AJ217">
    <cfRule type="duplicateValues" dxfId="374" priority="814"/>
  </conditionalFormatting>
  <conditionalFormatting sqref="R217 AM217 M217 H217:I217 AP217:AQ217">
    <cfRule type="expression" dxfId="373" priority="768">
      <formula>IF(CELL("Содержимое",$C217)="SW_MAYAK",TRUE)</formula>
    </cfRule>
  </conditionalFormatting>
  <conditionalFormatting sqref="AM217">
    <cfRule type="expression" dxfId="372" priority="657">
      <formula>IF(AND(CELL("Содержимое",$C217)="FB_SHPS_S",CELL("Содержимое",$N217)&gt;4),TRUE)</formula>
    </cfRule>
  </conditionalFormatting>
  <conditionalFormatting sqref="R217 Y217:AJ217 L217:M217 H217:I217 AM217 AP217:AQ217">
    <cfRule type="expression" dxfId="371" priority="655">
      <formula>IF(CELL("Содержимое",$C217)="SW_MES3348F",TRUE)</formula>
    </cfRule>
  </conditionalFormatting>
  <conditionalFormatting sqref="F218 AM218 AP218:AQ218 K218:M218 O218 R218:AJ218 H218:I218">
    <cfRule type="expression" dxfId="370" priority="638">
      <formula>IF(CELL("Содержимое",$C218)=0,TRUE)</formula>
    </cfRule>
  </conditionalFormatting>
  <conditionalFormatting sqref="AM218 Z218:AJ218 L218:M218 R218 AP218:AQ218">
    <cfRule type="expression" dxfId="369" priority="537">
      <formula>IF(CELL("Содержимое",$C218)="FB_DI_BUF_S",TRUE)</formula>
    </cfRule>
    <cfRule type="expression" dxfId="368" priority="639">
      <formula>IF(CELL("Содержимое",$C218)="FB_DI_S",TRUE)</formula>
    </cfRule>
  </conditionalFormatting>
  <conditionalFormatting sqref="R218 Z218:AJ218 M218 AP218:AQ218">
    <cfRule type="expression" dxfId="367" priority="539">
      <formula>IF(CELL("Содержимое",$C218)="FB_AI_BUF_S",TRUE)</formula>
    </cfRule>
    <cfRule type="expression" dxfId="366" priority="640">
      <formula>IF(CELL("Содержимое",$C218)="FB_AI_S",TRUE)</formula>
    </cfRule>
  </conditionalFormatting>
  <conditionalFormatting sqref="M218 AM218 Y218 R218 AP218:AQ218 O218">
    <cfRule type="expression" dxfId="365" priority="641">
      <formula>IF(CELL("Содержимое",$C218)="FB_IMstp_S",TRUE)</formula>
    </cfRule>
  </conditionalFormatting>
  <conditionalFormatting sqref="M218 AF218:AJ218 Y218 K218 AM218 AP218:AQ218 O218 R218">
    <cfRule type="expression" dxfId="364" priority="519">
      <formula>IF(CELL("Содержимое",$C218)="FB_dREG_BUF_S",TRUE)</formula>
    </cfRule>
    <cfRule type="expression" dxfId="363" priority="531">
      <formula>IF(CELL("Содержимое",$C218)="FB_REG_BUF_S",TRUE)</formula>
    </cfRule>
  </conditionalFormatting>
  <conditionalFormatting sqref="K218:M218 AM218 AH218:AI218 Y218 AB218:AC218 AE218:AF218 AP218:AQ218 O218 R218">
    <cfRule type="expression" dxfId="362" priority="644">
      <formula>IF(CELL("Содержимое",$C218)="FB_IMsp_MON_S",TRUE)</formula>
    </cfRule>
  </conditionalFormatting>
  <conditionalFormatting sqref="M218 AJ218 AE218:AG218 Y218 AB218:AC218 R218 AM218 AP218:AQ218 O218">
    <cfRule type="expression" dxfId="361" priority="645">
      <formula>IF(CELL("Содержимое",$C218)="FB_IMst_MON_S",TRUE)</formula>
    </cfRule>
  </conditionalFormatting>
  <conditionalFormatting sqref="O218 AJ218 AE218:AG218 Y218:AC218 R218 AM218 AP218:AQ218">
    <cfRule type="expression" dxfId="360" priority="642">
      <formula>IF(CELL("Содержимое",$C218)="FB_IMt_MON_S",TRUE)</formula>
    </cfRule>
  </conditionalFormatting>
  <conditionalFormatting sqref="M218 AG218:AJ218 Y218 K218 R218 AM218 AP218:AQ218 O218">
    <cfRule type="expression" dxfId="359" priority="637">
      <formula>IF(CELL("Содержимое",$C218)="FB_IMs_S",TRUE)</formula>
    </cfRule>
  </conditionalFormatting>
  <conditionalFormatting sqref="R218 Y218:AJ218 M218 AM218 AP218:AQ218">
    <cfRule type="expression" dxfId="358" priority="612">
      <formula>IF(CELL("Содержимое",$C218)="AI_2",TRUE)</formula>
    </cfRule>
  </conditionalFormatting>
  <conditionalFormatting sqref="K218:M218 Y218:AJ218 H218:I218 AM218 AP218:AQ218 O218 R218">
    <cfRule type="expression" dxfId="357" priority="633">
      <formula>IF(CELL("Содержимое",$C218)="IMv_SIM",TRUE)</formula>
    </cfRule>
  </conditionalFormatting>
  <conditionalFormatting sqref="M218 AM218 AH218:AI218 Y218 K218 R218 AP218:AQ218 O218">
    <cfRule type="expression" dxfId="356" priority="632">
      <formula>IF(CELL("Содержимое",$C218)="FB_IMsp_S",TRUE)</formula>
    </cfRule>
  </conditionalFormatting>
  <conditionalFormatting sqref="K218:M218 AM218 Y218 R218 AP218:AQ218 O218">
    <cfRule type="expression" dxfId="355" priority="614">
      <formula>IF(CELL("Содержимое",$C218)="FB_IM_ADES_S",TRUE)</formula>
    </cfRule>
  </conditionalFormatting>
  <conditionalFormatting sqref="Z218:AJ218 AP218:AQ218 K218:M218 R218">
    <cfRule type="expression" dxfId="354" priority="625">
      <formula>IF(CELL("Содержимое",$C218)="FB_SHPS_S",TRUE)</formula>
    </cfRule>
  </conditionalFormatting>
  <conditionalFormatting sqref="O218 Z218:AJ218 AP218:AQ218 K218:M218 R218">
    <cfRule type="expression" dxfId="353" priority="624">
      <formula>IF(CELL("Содержимое",$C218)="FB_SHOP_S",TRUE)</formula>
    </cfRule>
  </conditionalFormatting>
  <conditionalFormatting sqref="K218:M218 AE218:AJ218 AM218 AP218:AQ218 O218 R218">
    <cfRule type="expression" dxfId="352" priority="622">
      <formula>IF(CELL("Содержимое",$C218)="FB_QOP_S",TRUE)</formula>
    </cfRule>
  </conditionalFormatting>
  <conditionalFormatting sqref="R218:AJ218 K218:M218 H218:I218 AM218 AP218:AQ218">
    <cfRule type="expression" dxfId="351" priority="620">
      <formula>IF(CELL("Содержимое",$C218)="PING",TRUE)</formula>
    </cfRule>
  </conditionalFormatting>
  <conditionalFormatting sqref="AE218:AJ218 R218 Z218:AC218 K218:M218 AP218:AQ218">
    <cfRule type="expression" dxfId="350" priority="619">
      <formula>IF(CELL("Содержимое",$C218)="FB_BTF_S",TRUE)</formula>
    </cfRule>
  </conditionalFormatting>
  <conditionalFormatting sqref="R218 AE218:AJ218 AB218:AC218 M218">
    <cfRule type="expression" dxfId="349" priority="621">
      <formula>IF(CELL("Содержимое",$C218)="FB_QSA_S",TRUE)</formula>
    </cfRule>
  </conditionalFormatting>
  <conditionalFormatting sqref="K218:M218 AG218:AJ218 Y218 AB218:AC218 AP218:AQ218 O218 R218">
    <cfRule type="expression" dxfId="348" priority="616">
      <formula>IF(CELL("Содержимое",$C218)="FB_OZK_KD_S",TRUE)</formula>
    </cfRule>
  </conditionalFormatting>
  <conditionalFormatting sqref="O218 Y218:AJ218 K218:M218 AM218 AP218:AQ218 R218">
    <cfRule type="expression" dxfId="347" priority="615">
      <formula>IF(CELL("Содержимое",$C218)="FB_UPG_S",TRUE)</formula>
    </cfRule>
  </conditionalFormatting>
  <conditionalFormatting sqref="Y218:AJ218 K218:M218 R218 AM218 AP218:AQ218">
    <cfRule type="expression" dxfId="346" priority="523">
      <formula>IF(CELL("Содержимое",$C218)="DI_BUF",TRUE)</formula>
    </cfRule>
    <cfRule type="expression" dxfId="345" priority="636">
      <formula>IF(CELL("Содержимое",$C218)="DI",TRUE)</formula>
    </cfRule>
  </conditionalFormatting>
  <conditionalFormatting sqref="K218:M218 AG218:AJ218 AD218 Z218:AB218 R218 AM218 AP218:AQ218 O218">
    <cfRule type="expression" dxfId="344" priority="532">
      <formula>IF(CELL("Содержимое",$C218)="FB_DO_BUF_S",TRUE)</formula>
    </cfRule>
    <cfRule type="expression" dxfId="343" priority="613">
      <formula>IF(CELL("Содержимое",$C218)="FB_DO_S",TRUE)</formula>
    </cfRule>
  </conditionalFormatting>
  <conditionalFormatting sqref="M218 T218:AJ218 AM218 AP218:AQ218 O218 R218">
    <cfRule type="expression" dxfId="342" priority="611">
      <formula>IF(CELL("Содержимое",$C218)="ENUM",TRUE)</formula>
    </cfRule>
  </conditionalFormatting>
  <conditionalFormatting sqref="L218:M218 H218:I218 AM218 AP218:AQ218 O218 R218:AJ218">
    <cfRule type="expression" dxfId="341" priority="610">
      <formula>IF(CELL("Содержимое",$C218)="SYS_DIAG",TRUE)</formula>
    </cfRule>
  </conditionalFormatting>
  <conditionalFormatting sqref="R218 AM218 Y218:AJ218 M218 AP218:AQ218">
    <cfRule type="expression" dxfId="340" priority="526">
      <formula>IF(CELL("Содержимое",$C218)="AI_BUF",TRUE)</formula>
    </cfRule>
    <cfRule type="expression" dxfId="339" priority="650">
      <formula>IF(CELL("Содержимое",$C218)="AI",TRUE)</formula>
    </cfRule>
  </conditionalFormatting>
  <conditionalFormatting sqref="R218 AM218 L218:M218 H218:I218 AP218:AQ218">
    <cfRule type="expression" dxfId="338" priority="596">
      <formula>IF(CELL("Содержимое",$C218)="SW_AR550",TRUE)</formula>
    </cfRule>
  </conditionalFormatting>
  <conditionalFormatting sqref="K218:M218 AF218:AJ218 Y218:AD218 R218 AM218 AP218:AQ218 O218">
    <cfRule type="expression" dxfId="337" priority="604">
      <formula>IF(CELL("Содержимое",$C218)="FB_DO_STB_S",TRUE)</formula>
    </cfRule>
  </conditionalFormatting>
  <conditionalFormatting sqref="L218:M218 AM218 T218:AJ218 AP218:AQ218 O218">
    <cfRule type="expression" dxfId="336" priority="603">
      <formula>IF(CELL("Содержимое",$C218)="CPU_DIAG",TRUE)</formula>
    </cfRule>
  </conditionalFormatting>
  <conditionalFormatting sqref="K218:M218 AM218 AP218:AQ218 O218 R218:AJ218">
    <cfRule type="expression" dxfId="335" priority="517">
      <formula>IF(CELL("Содержимое",$C218)="FB_HA_UPI_S",TRUE)</formula>
    </cfRule>
    <cfRule type="expression" dxfId="334" priority="606">
      <formula>IF(CELL("Содержимое",$C218)="FB_QSA_ALL",TRUE)</formula>
    </cfRule>
    <cfRule type="expression" dxfId="333" priority="607">
      <formula>IF(CELL("Содержимое",$C218)="FB_SHOP_ALL",TRUE)</formula>
    </cfRule>
    <cfRule type="expression" dxfId="332" priority="608">
      <formula>IF(CELL("Содержимое",$C218)="FB_SH_ALL",TRUE)</formula>
    </cfRule>
    <cfRule type="expression" dxfId="331" priority="631">
      <formula>IF(CELL("Содержимое",$C218)="DO",TRUE)</formula>
    </cfRule>
  </conditionalFormatting>
  <conditionalFormatting sqref="K218:M218 Z218:AJ218 AM218 AP218:AQ218 O218 R218">
    <cfRule type="expression" dxfId="330" priority="617">
      <formula>IF(CELL("Содержимое",$C218)="FB_KL_UPT_S",TRUE)</formula>
    </cfRule>
  </conditionalFormatting>
  <conditionalFormatting sqref="K218:M218 AE218:AJ218 Y218 AB218:AC218 AM218 AP218:AQ218 O218 R218">
    <cfRule type="expression" dxfId="329" priority="626">
      <formula>IF(CELL("Содержимое",$C218)="FB_IMs_MON_S",TRUE)</formula>
    </cfRule>
    <cfRule type="expression" dxfId="328" priority="627">
      <formula>IF(CELL("Содержимое",$C218)="FB_IMp_MON_S",TRUE)</formula>
    </cfRule>
    <cfRule type="expression" dxfId="327" priority="628">
      <formula>IF(CELL("Содержимое",$C218)="FB_IMv_MON_S",TRUE)</formula>
    </cfRule>
  </conditionalFormatting>
  <conditionalFormatting sqref="K218:M218 Y218:AJ218 AM218 AP218:AQ218 O218 R218">
    <cfRule type="expression" dxfId="326" priority="525">
      <formula>IF(CELL("Содержимое",$C218)="DO_BUF",TRUE)</formula>
    </cfRule>
    <cfRule type="expression" dxfId="325" priority="618">
      <formula>IF(CELL("Содержимое",$C218)="FB_UPP_S",TRUE)</formula>
    </cfRule>
    <cfRule type="expression" dxfId="324" priority="643">
      <formula>IF(CELL("Содержимое",$C218)="FB_IMtp_MON_S",TRUE)</formula>
    </cfRule>
  </conditionalFormatting>
  <conditionalFormatting sqref="K218:M218 AM218 AH218:AJ218 Y218 AP218:AQ218 O218 R218">
    <cfRule type="expression" dxfId="323" priority="535">
      <formula>IF(CELL("Содержимое",$C218)="FB_IMv_BUF_S",TRUE)</formula>
    </cfRule>
    <cfRule type="expression" dxfId="322" priority="629">
      <formula>IF(CELL("Содержимое",$C218)="FB_IMv_S",TRUE)</formula>
    </cfRule>
    <cfRule type="expression" dxfId="321" priority="630">
      <formula>IF(CELL("Содержимое",$C218)="FB_IMp_S",TRUE)</formula>
    </cfRule>
  </conditionalFormatting>
  <conditionalFormatting sqref="R218 AI218:AJ218 L218:M218 H218:I218 AM218 AP218:AQ218">
    <cfRule type="expression" dxfId="320" priority="493">
      <formula>IF(CELL("Содержимое",$C218)="SW_MES3508",TRUE)</formula>
    </cfRule>
    <cfRule type="expression" dxfId="319" priority="601">
      <formula>IF(CELL("Содержимое",$C218)="SW_S301",TRUE)</formula>
    </cfRule>
  </conditionalFormatting>
  <conditionalFormatting sqref="R218 Y218:AJ218 K218:M218 AM218">
    <cfRule type="expression" dxfId="318" priority="600">
      <formula>IF(CELL("Содержимое",$C218)="FB_MPS_S",TRUE)</formula>
    </cfRule>
  </conditionalFormatting>
  <conditionalFormatting sqref="F218 AM218 AP218:AQ218 K218:M218 O218 R218:AJ218 H218:I218">
    <cfRule type="expression" dxfId="317" priority="599">
      <formula>IF(CELL("Содержимое",$C218)="-",TRUE)</formula>
    </cfRule>
  </conditionalFormatting>
  <conditionalFormatting sqref="K218:M218 Z218:AJ218 AM218 AP218:AQ218 O218 R218">
    <cfRule type="expression" dxfId="316" priority="598">
      <formula>IF(CELL("Содержимое",$C218)="DO_DIAG",TRUE)</formula>
    </cfRule>
  </conditionalFormatting>
  <conditionalFormatting sqref="Z218:AJ218 K218:M218 R218 AM218 AP218:AQ218">
    <cfRule type="expression" dxfId="315" priority="524">
      <formula>IF(CELL("Содержимое",$C218)="DI_DIAG_BUF",TRUE)</formula>
    </cfRule>
    <cfRule type="expression" dxfId="314" priority="623">
      <formula>IF(CELL("Содержимое",$C218)="DI_DIAG",TRUE)</formula>
    </cfRule>
  </conditionalFormatting>
  <conditionalFormatting sqref="F218 AQ218 AM218 K218:M218 O218 R218:AJ218 H218:I218">
    <cfRule type="expression" dxfId="313" priority="597">
      <formula>IF(CELL("Содержимое",$C218)="FB_RIM_S",TRUE)</formula>
    </cfRule>
  </conditionalFormatting>
  <conditionalFormatting sqref="K218:M218 T218:AJ218 AM218 AP218:AQ218 O218 R218">
    <cfRule type="expression" dxfId="312" priority="595">
      <formula>IF(CELL("Содержимое",$C218)="TREI_DIAG",TRUE)</formula>
    </cfRule>
  </conditionalFormatting>
  <conditionalFormatting sqref="K218:M218 Y218:AJ218 AP218:AQ218 O218 R218">
    <cfRule type="expression" dxfId="311" priority="594">
      <formula>IF(CELL("Содержимое",$C218)="AO",TRUE)</formula>
    </cfRule>
  </conditionalFormatting>
  <conditionalFormatting sqref="K218:M218 Y218:AJ218 AM218 AP218:AQ218 O218">
    <cfRule type="expression" dxfId="310" priority="649">
      <formula>IF(CELL("Содержимое",$C218)="SEPAM",TRUE)</formula>
    </cfRule>
  </conditionalFormatting>
  <conditionalFormatting sqref="R218 Y218:AJ218 K218:M218 AM218 AP218:AQ218">
    <cfRule type="expression" dxfId="309" priority="593">
      <formula>IF(CELL("Содержимое",$C218)="BMCS",TRUE)</formula>
    </cfRule>
  </conditionalFormatting>
  <conditionalFormatting sqref="M218 AM218 Y218:AJ218 AP218:AQ218 O218 R218">
    <cfRule type="expression" dxfId="308" priority="521">
      <formula>IF(CELL("Содержимое",$C218)="AI_SLIM_BUF",TRUE)</formula>
    </cfRule>
    <cfRule type="expression" dxfId="307" priority="541">
      <formula>IF(CELL("Содержимое",$C218)="AI_SLIM",TRUE)</formula>
    </cfRule>
  </conditionalFormatting>
  <conditionalFormatting sqref="M218 Y218:AJ218 R218 AM218 AP218:AQ218 O218">
    <cfRule type="expression" dxfId="306" priority="647">
      <formula>IF(CELL("Содержимое",$C218)="BMPA",TRUE)</formula>
    </cfRule>
  </conditionalFormatting>
  <conditionalFormatting sqref="O218 AM218 R218 I218 AP218:AQ218">
    <cfRule type="expression" dxfId="305" priority="502">
      <formula>IF(CELL("Содержимое",$C218)="IMt_MON",TRUE)</formula>
    </cfRule>
  </conditionalFormatting>
  <conditionalFormatting sqref="K218:M218 AM218 R218 I218 AP218:AQ218 O218">
    <cfRule type="expression" dxfId="304" priority="503">
      <formula>IF(CELL("Содержимое",$C218)="IMs_MON",TRUE)</formula>
    </cfRule>
  </conditionalFormatting>
  <conditionalFormatting sqref="O218 AM218 R218 I218 M218 AP218:AQ218">
    <cfRule type="expression" dxfId="303" priority="497">
      <formula>IF(CELL("Содержимое",$C218)="IMstp",TRUE)</formula>
    </cfRule>
  </conditionalFormatting>
  <conditionalFormatting sqref="O218 AM218 K218:M218 I218 AP218:AQ218 R218">
    <cfRule type="expression" dxfId="302" priority="507">
      <formula>IF(CELL("Содержимое",$C218)="IMv",TRUE)</formula>
    </cfRule>
    <cfRule type="expression" dxfId="301" priority="508">
      <formula>IF(CELL("Содержимое",$C218)="IMp",TRUE)</formula>
    </cfRule>
  </conditionalFormatting>
  <conditionalFormatting sqref="O218 AM218 K218:M218 R218 I218 AP218:AQ218">
    <cfRule type="expression" dxfId="300" priority="498">
      <formula>IF(CELL("Содержимое",$C218)="IM_ADES",TRUE)</formula>
    </cfRule>
  </conditionalFormatting>
  <conditionalFormatting sqref="O218 AM218 K218 I218 M218 AP218:AQ218 R218">
    <cfRule type="expression" dxfId="299" priority="504">
      <formula>IF(CELL("Содержимое",$C218)="IMsp",TRUE)</formula>
    </cfRule>
  </conditionalFormatting>
  <conditionalFormatting sqref="K218:M218 AM218 I218 AP218:AQ218 O218 R218">
    <cfRule type="expression" dxfId="298" priority="501">
      <formula>IF(CELL("Содержимое",$C218)="IMsp_MON",TRUE)</formula>
    </cfRule>
  </conditionalFormatting>
  <conditionalFormatting sqref="K218:M218 AM218 I218 AP218:AQ218 O218 R218">
    <cfRule type="expression" dxfId="297" priority="506">
      <formula>IF(CELL("Содержимое",$C218)="IMp_MON",TRUE)</formula>
    </cfRule>
  </conditionalFormatting>
  <conditionalFormatting sqref="K218:M218 AM218 I218 AP218:AQ218 O218 R218">
    <cfRule type="expression" dxfId="296" priority="505">
      <formula>IF(CELL("Содержимое",$C218)="IMv_MON",TRUE)</formula>
    </cfRule>
  </conditionalFormatting>
  <conditionalFormatting sqref="M218 Y218:AJ218 AM218 AP218:AQ218 O218">
    <cfRule type="expression" dxfId="295" priority="496">
      <formula>IF(CELL("Содержимое",$C218)="TOR",TRUE)</formula>
    </cfRule>
    <cfRule type="expression" dxfId="294" priority="648">
      <formula>IF(CELL("Содержимое",$C218)="BMRZ",TRUE)</formula>
    </cfRule>
  </conditionalFormatting>
  <conditionalFormatting sqref="M218 AF218:AJ218 Y218:Z218 K218 AM218 AP218:AQ218 O218 R218">
    <cfRule type="expression" dxfId="293" priority="646">
      <formula>IF(CELL("Содержимое",$C218)="FB_REG_S",TRUE)</formula>
    </cfRule>
  </conditionalFormatting>
  <conditionalFormatting sqref="Y218:AJ218">
    <cfRule type="duplicateValues" dxfId="292" priority="651"/>
  </conditionalFormatting>
  <conditionalFormatting sqref="R218 AM218 M218 H218:I218 AP218:AQ218">
    <cfRule type="expression" dxfId="291" priority="605">
      <formula>IF(CELL("Содержимое",$C218)="SW_MAYAK",TRUE)</formula>
    </cfRule>
  </conditionalFormatting>
  <conditionalFormatting sqref="AM218">
    <cfRule type="expression" dxfId="290" priority="494">
      <formula>IF(AND(CELL("Содержимое",$C218)="FB_SHPS_S",CELL("Содержимое",$N218)&gt;4),TRUE)</formula>
    </cfRule>
  </conditionalFormatting>
  <conditionalFormatting sqref="R218 Y218:AJ218 L218:M218 H218:I218 AM218 AP218:AQ218">
    <cfRule type="expression" dxfId="289" priority="492">
      <formula>IF(CELL("Содержимое",$C218)="SW_MES3348F",TRUE)</formula>
    </cfRule>
  </conditionalFormatting>
  <conditionalFormatting sqref="F219 AM219 AP219:AQ219 K219:M219 O219 R219:AJ219 H219:I219">
    <cfRule type="expression" dxfId="288" priority="475">
      <formula>IF(CELL("Содержимое",$C219)=0,TRUE)</formula>
    </cfRule>
  </conditionalFormatting>
  <conditionalFormatting sqref="AM219 Z219:AJ219 L219:M219 R219 AP219:AQ219">
    <cfRule type="expression" dxfId="287" priority="374">
      <formula>IF(CELL("Содержимое",$C219)="FB_DI_BUF_S",TRUE)</formula>
    </cfRule>
    <cfRule type="expression" dxfId="286" priority="476">
      <formula>IF(CELL("Содержимое",$C219)="FB_DI_S",TRUE)</formula>
    </cfRule>
  </conditionalFormatting>
  <conditionalFormatting sqref="R219 Z219:AJ219 M219 AP219:AQ219">
    <cfRule type="expression" dxfId="285" priority="376">
      <formula>IF(CELL("Содержимое",$C219)="FB_AI_BUF_S",TRUE)</formula>
    </cfRule>
    <cfRule type="expression" dxfId="284" priority="477">
      <formula>IF(CELL("Содержимое",$C219)="FB_AI_S",TRUE)</formula>
    </cfRule>
  </conditionalFormatting>
  <conditionalFormatting sqref="M219 AM219 Y219 R219 AP219:AQ219 O219">
    <cfRule type="expression" dxfId="283" priority="478">
      <formula>IF(CELL("Содержимое",$C219)="FB_IMstp_S",TRUE)</formula>
    </cfRule>
  </conditionalFormatting>
  <conditionalFormatting sqref="M219 AF219:AJ219 Y219 K219 AM219 AP219:AQ219 O219 R219">
    <cfRule type="expression" dxfId="282" priority="356">
      <formula>IF(CELL("Содержимое",$C219)="FB_dREG_BUF_S",TRUE)</formula>
    </cfRule>
    <cfRule type="expression" dxfId="281" priority="368">
      <formula>IF(CELL("Содержимое",$C219)="FB_REG_BUF_S",TRUE)</formula>
    </cfRule>
  </conditionalFormatting>
  <conditionalFormatting sqref="K219:M219 AM219 AH219:AI219 Y219 AB219:AC219 AE219:AF219 AP219:AQ219 O219 R219">
    <cfRule type="expression" dxfId="280" priority="481">
      <formula>IF(CELL("Содержимое",$C219)="FB_IMsp_MON_S",TRUE)</formula>
    </cfRule>
  </conditionalFormatting>
  <conditionalFormatting sqref="M219 AJ219 AE219:AG219 Y219 AB219:AC219 R219 AM219 AP219:AQ219 O219">
    <cfRule type="expression" dxfId="279" priority="482">
      <formula>IF(CELL("Содержимое",$C219)="FB_IMst_MON_S",TRUE)</formula>
    </cfRule>
  </conditionalFormatting>
  <conditionalFormatting sqref="O219 AJ219 AE219:AG219 Y219:AC219 R219 AM219 AP219:AQ219">
    <cfRule type="expression" dxfId="278" priority="479">
      <formula>IF(CELL("Содержимое",$C219)="FB_IMt_MON_S",TRUE)</formula>
    </cfRule>
  </conditionalFormatting>
  <conditionalFormatting sqref="M219 AG219:AJ219 Y219 K219 R219 AM219 AP219:AQ219 O219">
    <cfRule type="expression" dxfId="277" priority="474">
      <formula>IF(CELL("Содержимое",$C219)="FB_IMs_S",TRUE)</formula>
    </cfRule>
  </conditionalFormatting>
  <conditionalFormatting sqref="R219 Y219:AJ219 M219 AM219 AP219:AQ219">
    <cfRule type="expression" dxfId="276" priority="449">
      <formula>IF(CELL("Содержимое",$C219)="AI_2",TRUE)</formula>
    </cfRule>
  </conditionalFormatting>
  <conditionalFormatting sqref="K219:M219 Y219:AJ219 H219:I219 AM219 AP219:AQ219 O219 R219">
    <cfRule type="expression" dxfId="275" priority="470">
      <formula>IF(CELL("Содержимое",$C219)="IMv_SIM",TRUE)</formula>
    </cfRule>
  </conditionalFormatting>
  <conditionalFormatting sqref="M219 AM219 AH219:AI219 Y219 K219 R219 AP219:AQ219 O219">
    <cfRule type="expression" dxfId="274" priority="469">
      <formula>IF(CELL("Содержимое",$C219)="FB_IMsp_S",TRUE)</formula>
    </cfRule>
  </conditionalFormatting>
  <conditionalFormatting sqref="K219:M219 AM219 Y219 R219 AP219:AQ219 O219">
    <cfRule type="expression" dxfId="273" priority="451">
      <formula>IF(CELL("Содержимое",$C219)="FB_IM_ADES_S",TRUE)</formula>
    </cfRule>
  </conditionalFormatting>
  <conditionalFormatting sqref="Z219:AJ219 AP219:AQ219 K219:M219 R219">
    <cfRule type="expression" dxfId="272" priority="462">
      <formula>IF(CELL("Содержимое",$C219)="FB_SHPS_S",TRUE)</formula>
    </cfRule>
  </conditionalFormatting>
  <conditionalFormatting sqref="O219 Z219:AJ219 AP219:AQ219 K219:M219 R219">
    <cfRule type="expression" dxfId="271" priority="461">
      <formula>IF(CELL("Содержимое",$C219)="FB_SHOP_S",TRUE)</formula>
    </cfRule>
  </conditionalFormatting>
  <conditionalFormatting sqref="K219:M219 AE219:AJ219 AM219 AP219:AQ219 O219 R219">
    <cfRule type="expression" dxfId="270" priority="459">
      <formula>IF(CELL("Содержимое",$C219)="FB_QOP_S",TRUE)</formula>
    </cfRule>
  </conditionalFormatting>
  <conditionalFormatting sqref="R219:AJ219 K219:M219 H219:I219 AM219 AP219:AQ219">
    <cfRule type="expression" dxfId="269" priority="457">
      <formula>IF(CELL("Содержимое",$C219)="PING",TRUE)</formula>
    </cfRule>
  </conditionalFormatting>
  <conditionalFormatting sqref="AE219:AJ219 R219 Z219:AC219 K219:M219 AP219:AQ219">
    <cfRule type="expression" dxfId="268" priority="456">
      <formula>IF(CELL("Содержимое",$C219)="FB_BTF_S",TRUE)</formula>
    </cfRule>
  </conditionalFormatting>
  <conditionalFormatting sqref="R219 AE219:AJ219 AB219:AC219 M219">
    <cfRule type="expression" dxfId="267" priority="458">
      <formula>IF(CELL("Содержимое",$C219)="FB_QSA_S",TRUE)</formula>
    </cfRule>
  </conditionalFormatting>
  <conditionalFormatting sqref="K219:M219 AG219:AJ219 Y219 AB219:AC219 AP219:AQ219 O219 R219">
    <cfRule type="expression" dxfId="266" priority="453">
      <formula>IF(CELL("Содержимое",$C219)="FB_OZK_KD_S",TRUE)</formula>
    </cfRule>
  </conditionalFormatting>
  <conditionalFormatting sqref="O219 Y219:AJ219 K219:M219 AM219 AP219:AQ219 R219">
    <cfRule type="expression" dxfId="265" priority="452">
      <formula>IF(CELL("Содержимое",$C219)="FB_UPG_S",TRUE)</formula>
    </cfRule>
  </conditionalFormatting>
  <conditionalFormatting sqref="Y219:AJ219 K219:M219 R219 AM219 AP219:AQ219">
    <cfRule type="expression" dxfId="264" priority="360">
      <formula>IF(CELL("Содержимое",$C219)="DI_BUF",TRUE)</formula>
    </cfRule>
    <cfRule type="expression" dxfId="263" priority="473">
      <formula>IF(CELL("Содержимое",$C219)="DI",TRUE)</formula>
    </cfRule>
  </conditionalFormatting>
  <conditionalFormatting sqref="K219:M219 AG219:AJ219 AD219 Z219:AB219 R219 AM219 AP219:AQ219 O219">
    <cfRule type="expression" dxfId="262" priority="369">
      <formula>IF(CELL("Содержимое",$C219)="FB_DO_BUF_S",TRUE)</formula>
    </cfRule>
    <cfRule type="expression" dxfId="261" priority="450">
      <formula>IF(CELL("Содержимое",$C219)="FB_DO_S",TRUE)</formula>
    </cfRule>
  </conditionalFormatting>
  <conditionalFormatting sqref="M219 T219:AJ219 AM219 AP219:AQ219 O219 R219">
    <cfRule type="expression" dxfId="260" priority="448">
      <formula>IF(CELL("Содержимое",$C219)="ENUM",TRUE)</formula>
    </cfRule>
  </conditionalFormatting>
  <conditionalFormatting sqref="L219:M219 H219:I219 AM219 AP219:AQ219 O219 R219:AJ219">
    <cfRule type="expression" dxfId="259" priority="447">
      <formula>IF(CELL("Содержимое",$C219)="SYS_DIAG",TRUE)</formula>
    </cfRule>
  </conditionalFormatting>
  <conditionalFormatting sqref="R219 AM219 Y219:AJ219 M219 AP219:AQ219">
    <cfRule type="expression" dxfId="258" priority="363">
      <formula>IF(CELL("Содержимое",$C219)="AI_BUF",TRUE)</formula>
    </cfRule>
    <cfRule type="expression" dxfId="257" priority="487">
      <formula>IF(CELL("Содержимое",$C219)="AI",TRUE)</formula>
    </cfRule>
  </conditionalFormatting>
  <conditionalFormatting sqref="R219 AM219 L219:M219 H219:I219 AP219:AQ219">
    <cfRule type="expression" dxfId="256" priority="433">
      <formula>IF(CELL("Содержимое",$C219)="SW_AR550",TRUE)</formula>
    </cfRule>
  </conditionalFormatting>
  <conditionalFormatting sqref="K219:M219 AF219:AJ219 Y219:AD219 R219 AM219 AP219:AQ219 O219">
    <cfRule type="expression" dxfId="255" priority="441">
      <formula>IF(CELL("Содержимое",$C219)="FB_DO_STB_S",TRUE)</formula>
    </cfRule>
  </conditionalFormatting>
  <conditionalFormatting sqref="L219:M219 AM219 T219:AJ219 AP219:AQ219 O219">
    <cfRule type="expression" dxfId="254" priority="440">
      <formula>IF(CELL("Содержимое",$C219)="CPU_DIAG",TRUE)</formula>
    </cfRule>
  </conditionalFormatting>
  <conditionalFormatting sqref="K219:M219 AM219 AP219:AQ219 O219 R219:AJ219">
    <cfRule type="expression" dxfId="253" priority="354">
      <formula>IF(CELL("Содержимое",$C219)="FB_HA_UPI_S",TRUE)</formula>
    </cfRule>
    <cfRule type="expression" dxfId="252" priority="443">
      <formula>IF(CELL("Содержимое",$C219)="FB_QSA_ALL",TRUE)</formula>
    </cfRule>
    <cfRule type="expression" dxfId="251" priority="444">
      <formula>IF(CELL("Содержимое",$C219)="FB_SHOP_ALL",TRUE)</formula>
    </cfRule>
    <cfRule type="expression" dxfId="250" priority="445">
      <formula>IF(CELL("Содержимое",$C219)="FB_SH_ALL",TRUE)</formula>
    </cfRule>
    <cfRule type="expression" dxfId="249" priority="468">
      <formula>IF(CELL("Содержимое",$C219)="DO",TRUE)</formula>
    </cfRule>
  </conditionalFormatting>
  <conditionalFormatting sqref="K219:M219 Z219:AJ219 AM219 AP219:AQ219 O219 R219">
    <cfRule type="expression" dxfId="248" priority="454">
      <formula>IF(CELL("Содержимое",$C219)="FB_KL_UPT_S",TRUE)</formula>
    </cfRule>
  </conditionalFormatting>
  <conditionalFormatting sqref="K219:M219 AE219:AJ219 Y219 AB219:AC219 AM219 AP219:AQ219 O219 R219">
    <cfRule type="expression" dxfId="247" priority="463">
      <formula>IF(CELL("Содержимое",$C219)="FB_IMs_MON_S",TRUE)</formula>
    </cfRule>
    <cfRule type="expression" dxfId="246" priority="464">
      <formula>IF(CELL("Содержимое",$C219)="FB_IMp_MON_S",TRUE)</formula>
    </cfRule>
    <cfRule type="expression" dxfId="245" priority="465">
      <formula>IF(CELL("Содержимое",$C219)="FB_IMv_MON_S",TRUE)</formula>
    </cfRule>
  </conditionalFormatting>
  <conditionalFormatting sqref="K219:M219 Y219:AJ219 AM219 AP219:AQ219 O219 R219">
    <cfRule type="expression" dxfId="244" priority="362">
      <formula>IF(CELL("Содержимое",$C219)="DO_BUF",TRUE)</formula>
    </cfRule>
    <cfRule type="expression" dxfId="243" priority="455">
      <formula>IF(CELL("Содержимое",$C219)="FB_UPP_S",TRUE)</formula>
    </cfRule>
    <cfRule type="expression" dxfId="242" priority="480">
      <formula>IF(CELL("Содержимое",$C219)="FB_IMtp_MON_S",TRUE)</formula>
    </cfRule>
  </conditionalFormatting>
  <conditionalFormatting sqref="K219:M219 AM219 AH219:AJ219 Y219 AP219:AQ219 O219 R219">
    <cfRule type="expression" dxfId="241" priority="372">
      <formula>IF(CELL("Содержимое",$C219)="FB_IMv_BUF_S",TRUE)</formula>
    </cfRule>
    <cfRule type="expression" dxfId="240" priority="466">
      <formula>IF(CELL("Содержимое",$C219)="FB_IMv_S",TRUE)</formula>
    </cfRule>
    <cfRule type="expression" dxfId="239" priority="467">
      <formula>IF(CELL("Содержимое",$C219)="FB_IMp_S",TRUE)</formula>
    </cfRule>
  </conditionalFormatting>
  <conditionalFormatting sqref="R219 AI219:AJ219 L219:M219 H219:I219 AM219 AP219:AQ219">
    <cfRule type="expression" dxfId="238" priority="330">
      <formula>IF(CELL("Содержимое",$C219)="SW_MES3508",TRUE)</formula>
    </cfRule>
    <cfRule type="expression" dxfId="237" priority="438">
      <formula>IF(CELL("Содержимое",$C219)="SW_S301",TRUE)</formula>
    </cfRule>
  </conditionalFormatting>
  <conditionalFormatting sqref="R219 Y219:AJ219 K219:M219 AM219">
    <cfRule type="expression" dxfId="236" priority="437">
      <formula>IF(CELL("Содержимое",$C219)="FB_MPS_S",TRUE)</formula>
    </cfRule>
  </conditionalFormatting>
  <conditionalFormatting sqref="F219 AM219 AP219:AQ219 K219:M219 O219 R219:AJ219 H219:I219">
    <cfRule type="expression" dxfId="235" priority="436">
      <formula>IF(CELL("Содержимое",$C219)="-",TRUE)</formula>
    </cfRule>
  </conditionalFormatting>
  <conditionalFormatting sqref="K219:M219 Z219:AJ219 AM219 AP219:AQ219 O219 R219">
    <cfRule type="expression" dxfId="234" priority="435">
      <formula>IF(CELL("Содержимое",$C219)="DO_DIAG",TRUE)</formula>
    </cfRule>
  </conditionalFormatting>
  <conditionalFormatting sqref="Z219:AJ219 K219:M219 R219 AM219 AP219:AQ219">
    <cfRule type="expression" dxfId="233" priority="361">
      <formula>IF(CELL("Содержимое",$C219)="DI_DIAG_BUF",TRUE)</formula>
    </cfRule>
    <cfRule type="expression" dxfId="232" priority="460">
      <formula>IF(CELL("Содержимое",$C219)="DI_DIAG",TRUE)</formula>
    </cfRule>
  </conditionalFormatting>
  <conditionalFormatting sqref="F219 AQ219 AM219 K219:M219 O219 R219:AJ219 H219:I219">
    <cfRule type="expression" dxfId="231" priority="434">
      <formula>IF(CELL("Содержимое",$C219)="FB_RIM_S",TRUE)</formula>
    </cfRule>
  </conditionalFormatting>
  <conditionalFormatting sqref="K219:M219 T219:AJ219 AM219 AP219:AQ219 O219 R219">
    <cfRule type="expression" dxfId="230" priority="432">
      <formula>IF(CELL("Содержимое",$C219)="TREI_DIAG",TRUE)</formula>
    </cfRule>
  </conditionalFormatting>
  <conditionalFormatting sqref="K219:M219 Y219:AJ219 AP219:AQ219 O219 R219">
    <cfRule type="expression" dxfId="229" priority="431">
      <formula>IF(CELL("Содержимое",$C219)="AO",TRUE)</formula>
    </cfRule>
  </conditionalFormatting>
  <conditionalFormatting sqref="K219:M219 Y219:AJ219 AM219 AP219:AQ219 O219">
    <cfRule type="expression" dxfId="228" priority="486">
      <formula>IF(CELL("Содержимое",$C219)="SEPAM",TRUE)</formula>
    </cfRule>
  </conditionalFormatting>
  <conditionalFormatting sqref="R219 Y219:AJ219 K219:M219 AM219 AP219:AQ219">
    <cfRule type="expression" dxfId="227" priority="430">
      <formula>IF(CELL("Содержимое",$C219)="BMCS",TRUE)</formula>
    </cfRule>
  </conditionalFormatting>
  <conditionalFormatting sqref="M219 AM219 Y219:AJ219 AP219:AQ219 O219 R219">
    <cfRule type="expression" dxfId="226" priority="358">
      <formula>IF(CELL("Содержимое",$C219)="AI_SLIM_BUF",TRUE)</formula>
    </cfRule>
    <cfRule type="expression" dxfId="225" priority="378">
      <formula>IF(CELL("Содержимое",$C219)="AI_SLIM",TRUE)</formula>
    </cfRule>
  </conditionalFormatting>
  <conditionalFormatting sqref="M219 Y219:AJ219 R219 AM219 AP219:AQ219 O219">
    <cfRule type="expression" dxfId="224" priority="484">
      <formula>IF(CELL("Содержимое",$C219)="BMPA",TRUE)</formula>
    </cfRule>
  </conditionalFormatting>
  <conditionalFormatting sqref="O219 AM219 R219 I219 AP219:AQ219">
    <cfRule type="expression" dxfId="223" priority="339">
      <formula>IF(CELL("Содержимое",$C219)="IMt_MON",TRUE)</formula>
    </cfRule>
  </conditionalFormatting>
  <conditionalFormatting sqref="K219:M219 AM219 R219 I219 AP219:AQ219 O219">
    <cfRule type="expression" dxfId="222" priority="340">
      <formula>IF(CELL("Содержимое",$C219)="IMs_MON",TRUE)</formula>
    </cfRule>
  </conditionalFormatting>
  <conditionalFormatting sqref="O219 AM219 R219 I219 M219 AP219:AQ219">
    <cfRule type="expression" dxfId="221" priority="334">
      <formula>IF(CELL("Содержимое",$C219)="IMstp",TRUE)</formula>
    </cfRule>
  </conditionalFormatting>
  <conditionalFormatting sqref="O219 AM219 K219:M219 I219 AP219:AQ219 R219">
    <cfRule type="expression" dxfId="220" priority="344">
      <formula>IF(CELL("Содержимое",$C219)="IMv",TRUE)</formula>
    </cfRule>
    <cfRule type="expression" dxfId="219" priority="345">
      <formula>IF(CELL("Содержимое",$C219)="IMp",TRUE)</formula>
    </cfRule>
  </conditionalFormatting>
  <conditionalFormatting sqref="O219 AM219 K219:M219 R219 I219 AP219:AQ219">
    <cfRule type="expression" dxfId="218" priority="335">
      <formula>IF(CELL("Содержимое",$C219)="IM_ADES",TRUE)</formula>
    </cfRule>
  </conditionalFormatting>
  <conditionalFormatting sqref="O219 AM219 K219 I219 M219 AP219:AQ219 R219">
    <cfRule type="expression" dxfId="217" priority="341">
      <formula>IF(CELL("Содержимое",$C219)="IMsp",TRUE)</formula>
    </cfRule>
  </conditionalFormatting>
  <conditionalFormatting sqref="K219:M219 AM219 I219 AP219:AQ219 O219 R219">
    <cfRule type="expression" dxfId="216" priority="338">
      <formula>IF(CELL("Содержимое",$C219)="IMsp_MON",TRUE)</formula>
    </cfRule>
  </conditionalFormatting>
  <conditionalFormatting sqref="K219:M219 AM219 I219 AP219:AQ219 O219 R219">
    <cfRule type="expression" dxfId="215" priority="343">
      <formula>IF(CELL("Содержимое",$C219)="IMp_MON",TRUE)</formula>
    </cfRule>
  </conditionalFormatting>
  <conditionalFormatting sqref="K219:M219 AM219 I219 AP219:AQ219 O219 R219">
    <cfRule type="expression" dxfId="214" priority="342">
      <formula>IF(CELL("Содержимое",$C219)="IMv_MON",TRUE)</formula>
    </cfRule>
  </conditionalFormatting>
  <conditionalFormatting sqref="M219 Y219:AJ219 AM219 AP219:AQ219 O219">
    <cfRule type="expression" dxfId="213" priority="333">
      <formula>IF(CELL("Содержимое",$C219)="TOR",TRUE)</formula>
    </cfRule>
    <cfRule type="expression" dxfId="212" priority="485">
      <formula>IF(CELL("Содержимое",$C219)="BMRZ",TRUE)</formula>
    </cfRule>
  </conditionalFormatting>
  <conditionalFormatting sqref="M219 AF219:AJ219 Y219:Z219 K219 AM219 AP219:AQ219 O219 R219">
    <cfRule type="expression" dxfId="211" priority="483">
      <formula>IF(CELL("Содержимое",$C219)="FB_REG_S",TRUE)</formula>
    </cfRule>
  </conditionalFormatting>
  <conditionalFormatting sqref="Y219:AJ219">
    <cfRule type="duplicateValues" dxfId="210" priority="488"/>
  </conditionalFormatting>
  <conditionalFormatting sqref="R219 AM219 M219 H219:I219 AP219:AQ219">
    <cfRule type="expression" dxfId="209" priority="442">
      <formula>IF(CELL("Содержимое",$C219)="SW_MAYAK",TRUE)</formula>
    </cfRule>
  </conditionalFormatting>
  <conditionalFormatting sqref="AM219">
    <cfRule type="expression" dxfId="208" priority="331">
      <formula>IF(AND(CELL("Содержимое",$C219)="FB_SHPS_S",CELL("Содержимое",$N219)&gt;4),TRUE)</formula>
    </cfRule>
  </conditionalFormatting>
  <conditionalFormatting sqref="R219 Y219:AJ219 L219:M219 H219:I219 AM219 AP219:AQ219">
    <cfRule type="expression" dxfId="207" priority="329">
      <formula>IF(CELL("Содержимое",$C219)="SW_MES3348F",TRUE)</formula>
    </cfRule>
  </conditionalFormatting>
  <conditionalFormatting sqref="F220 AM220 AP220:AQ220 K220:M220 O220 R220:AJ220 H220:I220">
    <cfRule type="expression" dxfId="206" priority="312">
      <formula>IF(CELL("Содержимое",$C220)=0,TRUE)</formula>
    </cfRule>
  </conditionalFormatting>
  <conditionalFormatting sqref="AM220 Z220:AJ220 L220:M220 R220 AP220:AQ220">
    <cfRule type="expression" dxfId="205" priority="211">
      <formula>IF(CELL("Содержимое",$C220)="FB_DI_BUF_S",TRUE)</formula>
    </cfRule>
    <cfRule type="expression" dxfId="204" priority="313">
      <formula>IF(CELL("Содержимое",$C220)="FB_DI_S",TRUE)</formula>
    </cfRule>
  </conditionalFormatting>
  <conditionalFormatting sqref="R220 Z220:AJ220 M220 AP220:AQ220">
    <cfRule type="expression" dxfId="203" priority="213">
      <formula>IF(CELL("Содержимое",$C220)="FB_AI_BUF_S",TRUE)</formula>
    </cfRule>
    <cfRule type="expression" dxfId="202" priority="314">
      <formula>IF(CELL("Содержимое",$C220)="FB_AI_S",TRUE)</formula>
    </cfRule>
  </conditionalFormatting>
  <conditionalFormatting sqref="M220 AM220 Y220 R220 AP220:AQ220 O220">
    <cfRule type="expression" dxfId="201" priority="315">
      <formula>IF(CELL("Содержимое",$C220)="FB_IMstp_S",TRUE)</formula>
    </cfRule>
  </conditionalFormatting>
  <conditionalFormatting sqref="M220 AF220:AJ220 Y220 K220 AM220 AP220:AQ220 O220 R220">
    <cfRule type="expression" dxfId="200" priority="193">
      <formula>IF(CELL("Содержимое",$C220)="FB_dREG_BUF_S",TRUE)</formula>
    </cfRule>
    <cfRule type="expression" dxfId="199" priority="205">
      <formula>IF(CELL("Содержимое",$C220)="FB_REG_BUF_S",TRUE)</formula>
    </cfRule>
  </conditionalFormatting>
  <conditionalFormatting sqref="K220:M220 AM220 AH220:AI220 Y220 AB220:AC220 AE220:AF220 AP220:AQ220 O220 R220">
    <cfRule type="expression" dxfId="198" priority="318">
      <formula>IF(CELL("Содержимое",$C220)="FB_IMsp_MON_S",TRUE)</formula>
    </cfRule>
  </conditionalFormatting>
  <conditionalFormatting sqref="M220 AJ220 AE220:AG220 Y220 AB220:AC220 R220 AM220 AP220:AQ220 O220">
    <cfRule type="expression" dxfId="197" priority="319">
      <formula>IF(CELL("Содержимое",$C220)="FB_IMst_MON_S",TRUE)</formula>
    </cfRule>
  </conditionalFormatting>
  <conditionalFormatting sqref="O220 AJ220 AE220:AG220 Y220:AC220 R220 AM220 AP220:AQ220">
    <cfRule type="expression" dxfId="196" priority="316">
      <formula>IF(CELL("Содержимое",$C220)="FB_IMt_MON_S",TRUE)</formula>
    </cfRule>
  </conditionalFormatting>
  <conditionalFormatting sqref="M220 AG220:AJ220 Y220 K220 R220 AM220 AP220:AQ220 O220">
    <cfRule type="expression" dxfId="195" priority="311">
      <formula>IF(CELL("Содержимое",$C220)="FB_IMs_S",TRUE)</formula>
    </cfRule>
  </conditionalFormatting>
  <conditionalFormatting sqref="R220 Y220:AJ220 M220 AM220 AP220:AQ220">
    <cfRule type="expression" dxfId="194" priority="286">
      <formula>IF(CELL("Содержимое",$C220)="AI_2",TRUE)</formula>
    </cfRule>
  </conditionalFormatting>
  <conditionalFormatting sqref="K220:M220 Y220:AJ220 H220:I220 AM220 AP220:AQ220 O220 R220">
    <cfRule type="expression" dxfId="193" priority="307">
      <formula>IF(CELL("Содержимое",$C220)="IMv_SIM",TRUE)</formula>
    </cfRule>
  </conditionalFormatting>
  <conditionalFormatting sqref="M220 AM220 AH220:AI220 Y220 K220 R220 AP220:AQ220 O220">
    <cfRule type="expression" dxfId="192" priority="306">
      <formula>IF(CELL("Содержимое",$C220)="FB_IMsp_S",TRUE)</formula>
    </cfRule>
  </conditionalFormatting>
  <conditionalFormatting sqref="K220:M220 AM220 Y220 R220 AP220:AQ220 O220">
    <cfRule type="expression" dxfId="191" priority="288">
      <formula>IF(CELL("Содержимое",$C220)="FB_IM_ADES_S",TRUE)</formula>
    </cfRule>
  </conditionalFormatting>
  <conditionalFormatting sqref="Z220:AJ220 AP220:AQ220 K220:M220 R220">
    <cfRule type="expression" dxfId="190" priority="299">
      <formula>IF(CELL("Содержимое",$C220)="FB_SHPS_S",TRUE)</formula>
    </cfRule>
  </conditionalFormatting>
  <conditionalFormatting sqref="O220 Z220:AJ220 AP220:AQ220 K220:M220 R220">
    <cfRule type="expression" dxfId="189" priority="298">
      <formula>IF(CELL("Содержимое",$C220)="FB_SHOP_S",TRUE)</formula>
    </cfRule>
  </conditionalFormatting>
  <conditionalFormatting sqref="K220:M220 AE220:AJ220 AM220 AP220:AQ220 O220 R220">
    <cfRule type="expression" dxfId="188" priority="296">
      <formula>IF(CELL("Содержимое",$C220)="FB_QOP_S",TRUE)</formula>
    </cfRule>
  </conditionalFormatting>
  <conditionalFormatting sqref="R220:AJ220 K220:M220 H220:I220 AM220 AP220:AQ220">
    <cfRule type="expression" dxfId="187" priority="294">
      <formula>IF(CELL("Содержимое",$C220)="PING",TRUE)</formula>
    </cfRule>
  </conditionalFormatting>
  <conditionalFormatting sqref="AE220:AJ220 R220 Z220:AC220 K220:M220 AP220:AQ220">
    <cfRule type="expression" dxfId="186" priority="293">
      <formula>IF(CELL("Содержимое",$C220)="FB_BTF_S",TRUE)</formula>
    </cfRule>
  </conditionalFormatting>
  <conditionalFormatting sqref="R220 AE220:AJ220 AB220:AC220 M220">
    <cfRule type="expression" dxfId="185" priority="295">
      <formula>IF(CELL("Содержимое",$C220)="FB_QSA_S",TRUE)</formula>
    </cfRule>
  </conditionalFormatting>
  <conditionalFormatting sqref="K220:M220 AG220:AJ220 Y220 AB220:AC220 AP220:AQ220 O220 R220">
    <cfRule type="expression" dxfId="184" priority="290">
      <formula>IF(CELL("Содержимое",$C220)="FB_OZK_KD_S",TRUE)</formula>
    </cfRule>
  </conditionalFormatting>
  <conditionalFormatting sqref="O220 Y220:AJ220 K220:M220 AM220 AP220:AQ220 R220">
    <cfRule type="expression" dxfId="183" priority="289">
      <formula>IF(CELL("Содержимое",$C220)="FB_UPG_S",TRUE)</formula>
    </cfRule>
  </conditionalFormatting>
  <conditionalFormatting sqref="Y220:AJ220 K220:M220 R220 AM220 AP220:AQ220">
    <cfRule type="expression" dxfId="182" priority="197">
      <formula>IF(CELL("Содержимое",$C220)="DI_BUF",TRUE)</formula>
    </cfRule>
    <cfRule type="expression" dxfId="181" priority="310">
      <formula>IF(CELL("Содержимое",$C220)="DI",TRUE)</formula>
    </cfRule>
  </conditionalFormatting>
  <conditionalFormatting sqref="K220:M220 AG220:AJ220 AD220 Z220:AB220 R220 AM220 AP220:AQ220 O220">
    <cfRule type="expression" dxfId="180" priority="206">
      <formula>IF(CELL("Содержимое",$C220)="FB_DO_BUF_S",TRUE)</formula>
    </cfRule>
    <cfRule type="expression" dxfId="179" priority="287">
      <formula>IF(CELL("Содержимое",$C220)="FB_DO_S",TRUE)</formula>
    </cfRule>
  </conditionalFormatting>
  <conditionalFormatting sqref="M220 T220:AJ220 AM220 AP220:AQ220 O220 R220">
    <cfRule type="expression" dxfId="178" priority="285">
      <formula>IF(CELL("Содержимое",$C220)="ENUM",TRUE)</formula>
    </cfRule>
  </conditionalFormatting>
  <conditionalFormatting sqref="L220:M220 H220:I220 AM220 AP220:AQ220 O220 R220:AJ220">
    <cfRule type="expression" dxfId="177" priority="284">
      <formula>IF(CELL("Содержимое",$C220)="SYS_DIAG",TRUE)</formula>
    </cfRule>
  </conditionalFormatting>
  <conditionalFormatting sqref="R220 AM220 Y220:AJ220 M220 AP220:AQ220">
    <cfRule type="expression" dxfId="176" priority="200">
      <formula>IF(CELL("Содержимое",$C220)="AI_BUF",TRUE)</formula>
    </cfRule>
    <cfRule type="expression" dxfId="175" priority="324">
      <formula>IF(CELL("Содержимое",$C220)="AI",TRUE)</formula>
    </cfRule>
  </conditionalFormatting>
  <conditionalFormatting sqref="R220 AM220 L220:M220 H220:I220 AP220:AQ220">
    <cfRule type="expression" dxfId="174" priority="270">
      <formula>IF(CELL("Содержимое",$C220)="SW_AR550",TRUE)</formula>
    </cfRule>
  </conditionalFormatting>
  <conditionalFormatting sqref="K220:M220 AF220:AJ220 Y220:AD220 R220 AM220 AP220:AQ220 O220">
    <cfRule type="expression" dxfId="173" priority="278">
      <formula>IF(CELL("Содержимое",$C220)="FB_DO_STB_S",TRUE)</formula>
    </cfRule>
  </conditionalFormatting>
  <conditionalFormatting sqref="L220:M220 AM220 T220:AJ220 AP220:AQ220 O220">
    <cfRule type="expression" dxfId="172" priority="277">
      <formula>IF(CELL("Содержимое",$C220)="CPU_DIAG",TRUE)</formula>
    </cfRule>
  </conditionalFormatting>
  <conditionalFormatting sqref="K220:M220 AM220 AP220:AQ220 O220 R220:AJ220">
    <cfRule type="expression" dxfId="171" priority="191">
      <formula>IF(CELL("Содержимое",$C220)="FB_HA_UPI_S",TRUE)</formula>
    </cfRule>
    <cfRule type="expression" dxfId="170" priority="280">
      <formula>IF(CELL("Содержимое",$C220)="FB_QSA_ALL",TRUE)</formula>
    </cfRule>
    <cfRule type="expression" dxfId="169" priority="281">
      <formula>IF(CELL("Содержимое",$C220)="FB_SHOP_ALL",TRUE)</formula>
    </cfRule>
    <cfRule type="expression" dxfId="168" priority="282">
      <formula>IF(CELL("Содержимое",$C220)="FB_SH_ALL",TRUE)</formula>
    </cfRule>
    <cfRule type="expression" dxfId="167" priority="305">
      <formula>IF(CELL("Содержимое",$C220)="DO",TRUE)</formula>
    </cfRule>
  </conditionalFormatting>
  <conditionalFormatting sqref="K220:M220 Z220:AJ220 AM220 AP220:AQ220 O220 R220">
    <cfRule type="expression" dxfId="166" priority="291">
      <formula>IF(CELL("Содержимое",$C220)="FB_KL_UPT_S",TRUE)</formula>
    </cfRule>
  </conditionalFormatting>
  <conditionalFormatting sqref="K220:M220 AE220:AJ220 Y220 AB220:AC220 AM220 AP220:AQ220 O220 R220">
    <cfRule type="expression" dxfId="165" priority="300">
      <formula>IF(CELL("Содержимое",$C220)="FB_IMs_MON_S",TRUE)</formula>
    </cfRule>
    <cfRule type="expression" dxfId="164" priority="301">
      <formula>IF(CELL("Содержимое",$C220)="FB_IMp_MON_S",TRUE)</formula>
    </cfRule>
    <cfRule type="expression" dxfId="163" priority="302">
      <formula>IF(CELL("Содержимое",$C220)="FB_IMv_MON_S",TRUE)</formula>
    </cfRule>
  </conditionalFormatting>
  <conditionalFormatting sqref="K220:M220 Y220:AJ220 AM220 AP220:AQ220 O220 R220">
    <cfRule type="expression" dxfId="162" priority="199">
      <formula>IF(CELL("Содержимое",$C220)="DO_BUF",TRUE)</formula>
    </cfRule>
    <cfRule type="expression" dxfId="161" priority="292">
      <formula>IF(CELL("Содержимое",$C220)="FB_UPP_S",TRUE)</formula>
    </cfRule>
    <cfRule type="expression" dxfId="160" priority="317">
      <formula>IF(CELL("Содержимое",$C220)="FB_IMtp_MON_S",TRUE)</formula>
    </cfRule>
  </conditionalFormatting>
  <conditionalFormatting sqref="K220:M220 AM220 AH220:AJ220 Y220 AP220:AQ220 O220 R220">
    <cfRule type="expression" dxfId="159" priority="209">
      <formula>IF(CELL("Содержимое",$C220)="FB_IMv_BUF_S",TRUE)</formula>
    </cfRule>
    <cfRule type="expression" dxfId="158" priority="303">
      <formula>IF(CELL("Содержимое",$C220)="FB_IMv_S",TRUE)</formula>
    </cfRule>
    <cfRule type="expression" dxfId="157" priority="304">
      <formula>IF(CELL("Содержимое",$C220)="FB_IMp_S",TRUE)</formula>
    </cfRule>
  </conditionalFormatting>
  <conditionalFormatting sqref="R220 AI220:AJ220 L220:M220 H220:I220 AM220 AP220:AQ220">
    <cfRule type="expression" dxfId="156" priority="167">
      <formula>IF(CELL("Содержимое",$C220)="SW_MES3508",TRUE)</formula>
    </cfRule>
    <cfRule type="expression" dxfId="155" priority="275">
      <formula>IF(CELL("Содержимое",$C220)="SW_S301",TRUE)</formula>
    </cfRule>
  </conditionalFormatting>
  <conditionalFormatting sqref="R220 Y220:AJ220 K220:M220 AM220">
    <cfRule type="expression" dxfId="154" priority="274">
      <formula>IF(CELL("Содержимое",$C220)="FB_MPS_S",TRUE)</formula>
    </cfRule>
  </conditionalFormatting>
  <conditionalFormatting sqref="F220 AM220 AP220:AQ220 K220:M220 O220 R220:AJ220 H220:I220">
    <cfRule type="expression" dxfId="153" priority="273">
      <formula>IF(CELL("Содержимое",$C220)="-",TRUE)</formula>
    </cfRule>
  </conditionalFormatting>
  <conditionalFormatting sqref="K220:M220 Z220:AJ220 AM220 AP220:AQ220 O220 R220">
    <cfRule type="expression" dxfId="152" priority="272">
      <formula>IF(CELL("Содержимое",$C220)="DO_DIAG",TRUE)</formula>
    </cfRule>
  </conditionalFormatting>
  <conditionalFormatting sqref="Z220:AJ220 K220:M220 R220 AM220 AP220:AQ220">
    <cfRule type="expression" dxfId="151" priority="198">
      <formula>IF(CELL("Содержимое",$C220)="DI_DIAG_BUF",TRUE)</formula>
    </cfRule>
    <cfRule type="expression" dxfId="150" priority="297">
      <formula>IF(CELL("Содержимое",$C220)="DI_DIAG",TRUE)</formula>
    </cfRule>
  </conditionalFormatting>
  <conditionalFormatting sqref="F220 AQ220 AM220 K220:M220 O220 R220:AJ220 H220:I220">
    <cfRule type="expression" dxfId="149" priority="271">
      <formula>IF(CELL("Содержимое",$C220)="FB_RIM_S",TRUE)</formula>
    </cfRule>
  </conditionalFormatting>
  <conditionalFormatting sqref="K220:M220 T220:AJ220 AM220 AP220:AQ220 O220 R220">
    <cfRule type="expression" dxfId="148" priority="269">
      <formula>IF(CELL("Содержимое",$C220)="TREI_DIAG",TRUE)</formula>
    </cfRule>
  </conditionalFormatting>
  <conditionalFormatting sqref="K220:M220 Y220:AJ220 AP220:AQ220 O220 R220">
    <cfRule type="expression" dxfId="147" priority="268">
      <formula>IF(CELL("Содержимое",$C220)="AO",TRUE)</formula>
    </cfRule>
  </conditionalFormatting>
  <conditionalFormatting sqref="K220:M220 Y220:AJ220 AM220 AP220:AQ220 O220">
    <cfRule type="expression" dxfId="146" priority="323">
      <formula>IF(CELL("Содержимое",$C220)="SEPAM",TRUE)</formula>
    </cfRule>
  </conditionalFormatting>
  <conditionalFormatting sqref="R220 Y220:AJ220 K220:M220 AM220 AP220:AQ220">
    <cfRule type="expression" dxfId="145" priority="267">
      <formula>IF(CELL("Содержимое",$C220)="BMCS",TRUE)</formula>
    </cfRule>
  </conditionalFormatting>
  <conditionalFormatting sqref="M220 AM220 Y220:AJ220 AP220:AQ220 O220 R220">
    <cfRule type="expression" dxfId="144" priority="195">
      <formula>IF(CELL("Содержимое",$C220)="AI_SLIM_BUF",TRUE)</formula>
    </cfRule>
    <cfRule type="expression" dxfId="143" priority="215">
      <formula>IF(CELL("Содержимое",$C220)="AI_SLIM",TRUE)</formula>
    </cfRule>
  </conditionalFormatting>
  <conditionalFormatting sqref="M220 Y220:AJ220 R220 AM220 AP220:AQ220 O220">
    <cfRule type="expression" dxfId="142" priority="321">
      <formula>IF(CELL("Содержимое",$C220)="BMPA",TRUE)</formula>
    </cfRule>
  </conditionalFormatting>
  <conditionalFormatting sqref="O220 AM220 R220 I220 AP220:AQ220">
    <cfRule type="expression" dxfId="141" priority="176">
      <formula>IF(CELL("Содержимое",$C220)="IMt_MON",TRUE)</formula>
    </cfRule>
  </conditionalFormatting>
  <conditionalFormatting sqref="K220:M220 AM220 R220 I220 AP220:AQ220 O220">
    <cfRule type="expression" dxfId="140" priority="177">
      <formula>IF(CELL("Содержимое",$C220)="IMs_MON",TRUE)</formula>
    </cfRule>
  </conditionalFormatting>
  <conditionalFormatting sqref="O220 AM220 R220 I220 M220 AP220:AQ220">
    <cfRule type="expression" dxfId="139" priority="171">
      <formula>IF(CELL("Содержимое",$C220)="IMstp",TRUE)</formula>
    </cfRule>
  </conditionalFormatting>
  <conditionalFormatting sqref="O220 AM220 K220:M220 I220 AP220:AQ220 R220">
    <cfRule type="expression" dxfId="138" priority="181">
      <formula>IF(CELL("Содержимое",$C220)="IMv",TRUE)</formula>
    </cfRule>
    <cfRule type="expression" dxfId="137" priority="182">
      <formula>IF(CELL("Содержимое",$C220)="IMp",TRUE)</formula>
    </cfRule>
  </conditionalFormatting>
  <conditionalFormatting sqref="O220 AM220 K220:M220 R220 I220 AP220:AQ220">
    <cfRule type="expression" dxfId="136" priority="172">
      <formula>IF(CELL("Содержимое",$C220)="IM_ADES",TRUE)</formula>
    </cfRule>
  </conditionalFormatting>
  <conditionalFormatting sqref="O220 AM220 K220 I220 M220 AP220:AQ220 R220">
    <cfRule type="expression" dxfId="135" priority="178">
      <formula>IF(CELL("Содержимое",$C220)="IMsp",TRUE)</formula>
    </cfRule>
  </conditionalFormatting>
  <conditionalFormatting sqref="K220:M220 AM220 I220 AP220:AQ220 O220 R220">
    <cfRule type="expression" dxfId="134" priority="175">
      <formula>IF(CELL("Содержимое",$C220)="IMsp_MON",TRUE)</formula>
    </cfRule>
  </conditionalFormatting>
  <conditionalFormatting sqref="K220:M220 AM220 I220 AP220:AQ220 O220 R220">
    <cfRule type="expression" dxfId="133" priority="180">
      <formula>IF(CELL("Содержимое",$C220)="IMp_MON",TRUE)</formula>
    </cfRule>
  </conditionalFormatting>
  <conditionalFormatting sqref="K220:M220 AM220 I220 AP220:AQ220 O220 R220">
    <cfRule type="expression" dxfId="132" priority="179">
      <formula>IF(CELL("Содержимое",$C220)="IMv_MON",TRUE)</formula>
    </cfRule>
  </conditionalFormatting>
  <conditionalFormatting sqref="M220 Y220:AJ220 AM220 AP220:AQ220 O220">
    <cfRule type="expression" dxfId="131" priority="170">
      <formula>IF(CELL("Содержимое",$C220)="TOR",TRUE)</formula>
    </cfRule>
    <cfRule type="expression" dxfId="130" priority="322">
      <formula>IF(CELL("Содержимое",$C220)="BMRZ",TRUE)</formula>
    </cfRule>
  </conditionalFormatting>
  <conditionalFormatting sqref="M220 AF220:AJ220 Y220:Z220 K220 AM220 AP220:AQ220 O220 R220">
    <cfRule type="expression" dxfId="129" priority="320">
      <formula>IF(CELL("Содержимое",$C220)="FB_REG_S",TRUE)</formula>
    </cfRule>
  </conditionalFormatting>
  <conditionalFormatting sqref="Y220:AJ220">
    <cfRule type="duplicateValues" dxfId="128" priority="325"/>
  </conditionalFormatting>
  <conditionalFormatting sqref="R220 AM220 M220 H220:I220 AP220:AQ220">
    <cfRule type="expression" dxfId="127" priority="279">
      <formula>IF(CELL("Содержимое",$C220)="SW_MAYAK",TRUE)</formula>
    </cfRule>
  </conditionalFormatting>
  <conditionalFormatting sqref="AM220">
    <cfRule type="expression" dxfId="126" priority="168">
      <formula>IF(AND(CELL("Содержимое",$C220)="FB_SHPS_S",CELL("Содержимое",$N220)&gt;4),TRUE)</formula>
    </cfRule>
  </conditionalFormatting>
  <conditionalFormatting sqref="R220 Y220:AJ220 L220:M220 H220:I220 AM220 AP220:AQ220">
    <cfRule type="expression" dxfId="125" priority="166">
      <formula>IF(CELL("Содержимое",$C220)="SW_MES3348F",TRUE)</formula>
    </cfRule>
  </conditionalFormatting>
  <conditionalFormatting sqref="F221 AM221 AP221:AQ221 K221:M221 O221 R221:AJ221 H221:I221">
    <cfRule type="expression" dxfId="124" priority="149">
      <formula>IF(CELL("Содержимое",$C221)=0,TRUE)</formula>
    </cfRule>
  </conditionalFormatting>
  <conditionalFormatting sqref="AM221 Z221:AJ221 L221:M221 R221 AP221:AQ221">
    <cfRule type="expression" dxfId="123" priority="48">
      <formula>IF(CELL("Содержимое",$C221)="FB_DI_BUF_S",TRUE)</formula>
    </cfRule>
    <cfRule type="expression" dxfId="122" priority="150">
      <formula>IF(CELL("Содержимое",$C221)="FB_DI_S",TRUE)</formula>
    </cfRule>
  </conditionalFormatting>
  <conditionalFormatting sqref="R221 Z221:AJ221 M221 AP221:AQ221">
    <cfRule type="expression" dxfId="121" priority="50">
      <formula>IF(CELL("Содержимое",$C221)="FB_AI_BUF_S",TRUE)</formula>
    </cfRule>
    <cfRule type="expression" dxfId="120" priority="151">
      <formula>IF(CELL("Содержимое",$C221)="FB_AI_S",TRUE)</formula>
    </cfRule>
  </conditionalFormatting>
  <conditionalFormatting sqref="M221 AM221 Y221 R221 AP221:AQ221 O221">
    <cfRule type="expression" dxfId="119" priority="152">
      <formula>IF(CELL("Содержимое",$C221)="FB_IMstp_S",TRUE)</formula>
    </cfRule>
  </conditionalFormatting>
  <conditionalFormatting sqref="M221 AF221:AJ221 Y221 K221 AM221 AP221:AQ221 O221 R221">
    <cfRule type="expression" dxfId="118" priority="30">
      <formula>IF(CELL("Содержимое",$C221)="FB_dREG_BUF_S",TRUE)</formula>
    </cfRule>
    <cfRule type="expression" dxfId="117" priority="42">
      <formula>IF(CELL("Содержимое",$C221)="FB_REG_BUF_S",TRUE)</formula>
    </cfRule>
  </conditionalFormatting>
  <conditionalFormatting sqref="K221:M221 AM221 AH221:AI221 Y221 AB221:AC221 AE221:AF221 AP221:AQ221 O221 R221">
    <cfRule type="expression" dxfId="116" priority="155">
      <formula>IF(CELL("Содержимое",$C221)="FB_IMsp_MON_S",TRUE)</formula>
    </cfRule>
  </conditionalFormatting>
  <conditionalFormatting sqref="M221 AJ221 AE221:AG221 Y221 AB221:AC221 R221 AM221 AP221:AQ221 O221">
    <cfRule type="expression" dxfId="115" priority="156">
      <formula>IF(CELL("Содержимое",$C221)="FB_IMst_MON_S",TRUE)</formula>
    </cfRule>
  </conditionalFormatting>
  <conditionalFormatting sqref="O221 AJ221 AE221:AG221 Y221:AC221 R221 AM221 AP221:AQ221">
    <cfRule type="expression" dxfId="114" priority="153">
      <formula>IF(CELL("Содержимое",$C221)="FB_IMt_MON_S",TRUE)</formula>
    </cfRule>
  </conditionalFormatting>
  <conditionalFormatting sqref="M221 AG221:AJ221 Y221 K221 R221 AM221 AP221:AQ221 O221">
    <cfRule type="expression" dxfId="113" priority="148">
      <formula>IF(CELL("Содержимое",$C221)="FB_IMs_S",TRUE)</formula>
    </cfRule>
  </conditionalFormatting>
  <conditionalFormatting sqref="R221 Y221:AJ221 M221 AM221 AP221:AQ221">
    <cfRule type="expression" dxfId="112" priority="123">
      <formula>IF(CELL("Содержимое",$C221)="AI_2",TRUE)</formula>
    </cfRule>
  </conditionalFormatting>
  <conditionalFormatting sqref="K221:M221 Y221:AJ221 H221:I221 AM221 AP221:AQ221 O221 R221">
    <cfRule type="expression" dxfId="111" priority="144">
      <formula>IF(CELL("Содержимое",$C221)="IMv_SIM",TRUE)</formula>
    </cfRule>
  </conditionalFormatting>
  <conditionalFormatting sqref="M221 AM221 AH221:AI221 Y221 K221 R221 AP221:AQ221 O221">
    <cfRule type="expression" dxfId="110" priority="143">
      <formula>IF(CELL("Содержимое",$C221)="FB_IMsp_S",TRUE)</formula>
    </cfRule>
  </conditionalFormatting>
  <conditionalFormatting sqref="K221:M221 AM221 Y221 R221 AP221:AQ221 O221">
    <cfRule type="expression" dxfId="109" priority="125">
      <formula>IF(CELL("Содержимое",$C221)="FB_IM_ADES_S",TRUE)</formula>
    </cfRule>
  </conditionalFormatting>
  <conditionalFormatting sqref="Z221:AJ221 AP221:AQ221 K221:M221 R221">
    <cfRule type="expression" dxfId="108" priority="136">
      <formula>IF(CELL("Содержимое",$C221)="FB_SHPS_S",TRUE)</formula>
    </cfRule>
  </conditionalFormatting>
  <conditionalFormatting sqref="O221 Z221:AJ221 AP221:AQ221 K221:M221 R221">
    <cfRule type="expression" dxfId="107" priority="135">
      <formula>IF(CELL("Содержимое",$C221)="FB_SHOP_S",TRUE)</formula>
    </cfRule>
  </conditionalFormatting>
  <conditionalFormatting sqref="K221:M221 AE221:AJ221 AM221 AP221:AQ221 O221 R221">
    <cfRule type="expression" dxfId="106" priority="133">
      <formula>IF(CELL("Содержимое",$C221)="FB_QOP_S",TRUE)</formula>
    </cfRule>
  </conditionalFormatting>
  <conditionalFormatting sqref="R221:AJ221 K221:M221 H221:I221 AM221 AP221:AQ221">
    <cfRule type="expression" dxfId="105" priority="131">
      <formula>IF(CELL("Содержимое",$C221)="PING",TRUE)</formula>
    </cfRule>
  </conditionalFormatting>
  <conditionalFormatting sqref="AE221:AJ221 R221 Z221:AC221 K221:M221 AP221:AQ221">
    <cfRule type="expression" dxfId="104" priority="130">
      <formula>IF(CELL("Содержимое",$C221)="FB_BTF_S",TRUE)</formula>
    </cfRule>
  </conditionalFormatting>
  <conditionalFormatting sqref="R221 AE221:AJ221 AB221:AC221 M221">
    <cfRule type="expression" dxfId="103" priority="132">
      <formula>IF(CELL("Содержимое",$C221)="FB_QSA_S",TRUE)</formula>
    </cfRule>
  </conditionalFormatting>
  <conditionalFormatting sqref="K221:M221 AG221:AJ221 Y221 AB221:AC221 AP221:AQ221 O221 R221">
    <cfRule type="expression" dxfId="102" priority="127">
      <formula>IF(CELL("Содержимое",$C221)="FB_OZK_KD_S",TRUE)</formula>
    </cfRule>
  </conditionalFormatting>
  <conditionalFormatting sqref="O221 Y221:AJ221 K221:M221 AM221 AP221:AQ221 R221">
    <cfRule type="expression" dxfId="101" priority="126">
      <formula>IF(CELL("Содержимое",$C221)="FB_UPG_S",TRUE)</formula>
    </cfRule>
  </conditionalFormatting>
  <conditionalFormatting sqref="Y221:AJ221 K221:M221 R221 AM221 AP221:AQ221">
    <cfRule type="expression" dxfId="100" priority="34">
      <formula>IF(CELL("Содержимое",$C221)="DI_BUF",TRUE)</formula>
    </cfRule>
    <cfRule type="expression" dxfId="99" priority="147">
      <formula>IF(CELL("Содержимое",$C221)="DI",TRUE)</formula>
    </cfRule>
  </conditionalFormatting>
  <conditionalFormatting sqref="K221:M221 AG221:AJ221 AD221 Z221:AB221 R221 AM221 AP221:AQ221 O221">
    <cfRule type="expression" dxfId="98" priority="43">
      <formula>IF(CELL("Содержимое",$C221)="FB_DO_BUF_S",TRUE)</formula>
    </cfRule>
    <cfRule type="expression" dxfId="97" priority="124">
      <formula>IF(CELL("Содержимое",$C221)="FB_DO_S",TRUE)</formula>
    </cfRule>
  </conditionalFormatting>
  <conditionalFormatting sqref="M221 T221:AJ221 AM221 AP221:AQ221 O221 R221">
    <cfRule type="expression" dxfId="96" priority="122">
      <formula>IF(CELL("Содержимое",$C221)="ENUM",TRUE)</formula>
    </cfRule>
  </conditionalFormatting>
  <conditionalFormatting sqref="L221:M221 H221:I221 AM221 AP221:AQ221 O221 R221:AJ221">
    <cfRule type="expression" dxfId="95" priority="121">
      <formula>IF(CELL("Содержимое",$C221)="SYS_DIAG",TRUE)</formula>
    </cfRule>
  </conditionalFormatting>
  <conditionalFormatting sqref="R221 AM221 Y221:AJ221 M221 AP221:AQ221">
    <cfRule type="expression" dxfId="94" priority="37">
      <formula>IF(CELL("Содержимое",$C221)="AI_BUF",TRUE)</formula>
    </cfRule>
    <cfRule type="expression" dxfId="93" priority="161">
      <formula>IF(CELL("Содержимое",$C221)="AI",TRUE)</formula>
    </cfRule>
  </conditionalFormatting>
  <conditionalFormatting sqref="R221 AM221 L221:M221 H221:I221 AP221:AQ221">
    <cfRule type="expression" dxfId="92" priority="107">
      <formula>IF(CELL("Содержимое",$C221)="SW_AR550",TRUE)</formula>
    </cfRule>
  </conditionalFormatting>
  <conditionalFormatting sqref="K221:M221 AF221:AJ221 Y221:AD221 R221 AM221 AP221:AQ221 O221">
    <cfRule type="expression" dxfId="91" priority="115">
      <formula>IF(CELL("Содержимое",$C221)="FB_DO_STB_S",TRUE)</formula>
    </cfRule>
  </conditionalFormatting>
  <conditionalFormatting sqref="L221:M221 AM221 T221:AJ221 AP221:AQ221 O221">
    <cfRule type="expression" dxfId="90" priority="114">
      <formula>IF(CELL("Содержимое",$C221)="CPU_DIAG",TRUE)</formula>
    </cfRule>
  </conditionalFormatting>
  <conditionalFormatting sqref="K221:M221 AM221 AP221:AQ221 O221 R221:AJ221">
    <cfRule type="expression" dxfId="89" priority="28">
      <formula>IF(CELL("Содержимое",$C221)="FB_HA_UPI_S",TRUE)</formula>
    </cfRule>
    <cfRule type="expression" dxfId="88" priority="117">
      <formula>IF(CELL("Содержимое",$C221)="FB_QSA_ALL",TRUE)</formula>
    </cfRule>
    <cfRule type="expression" dxfId="87" priority="118">
      <formula>IF(CELL("Содержимое",$C221)="FB_SHOP_ALL",TRUE)</formula>
    </cfRule>
    <cfRule type="expression" dxfId="86" priority="119">
      <formula>IF(CELL("Содержимое",$C221)="FB_SH_ALL",TRUE)</formula>
    </cfRule>
    <cfRule type="expression" dxfId="85" priority="142">
      <formula>IF(CELL("Содержимое",$C221)="DO",TRUE)</formula>
    </cfRule>
  </conditionalFormatting>
  <conditionalFormatting sqref="K221:M221 Z221:AJ221 AM221 AP221:AQ221 O221 R221">
    <cfRule type="expression" dxfId="84" priority="128">
      <formula>IF(CELL("Содержимое",$C221)="FB_KL_UPT_S",TRUE)</formula>
    </cfRule>
  </conditionalFormatting>
  <conditionalFormatting sqref="K221:M221 AE221:AJ221 Y221 AB221:AC221 AM221 AP221:AQ221 O221 R221">
    <cfRule type="expression" dxfId="83" priority="137">
      <formula>IF(CELL("Содержимое",$C221)="FB_IMs_MON_S",TRUE)</formula>
    </cfRule>
    <cfRule type="expression" dxfId="82" priority="138">
      <formula>IF(CELL("Содержимое",$C221)="FB_IMp_MON_S",TRUE)</formula>
    </cfRule>
    <cfRule type="expression" dxfId="81" priority="139">
      <formula>IF(CELL("Содержимое",$C221)="FB_IMv_MON_S",TRUE)</formula>
    </cfRule>
  </conditionalFormatting>
  <conditionalFormatting sqref="K221:M221 Y221:AJ221 AM221 AP221:AQ221 O221 R221">
    <cfRule type="expression" dxfId="80" priority="36">
      <formula>IF(CELL("Содержимое",$C221)="DO_BUF",TRUE)</formula>
    </cfRule>
    <cfRule type="expression" dxfId="79" priority="129">
      <formula>IF(CELL("Содержимое",$C221)="FB_UPP_S",TRUE)</formula>
    </cfRule>
    <cfRule type="expression" dxfId="78" priority="154">
      <formula>IF(CELL("Содержимое",$C221)="FB_IMtp_MON_S",TRUE)</formula>
    </cfRule>
  </conditionalFormatting>
  <conditionalFormatting sqref="K221:M221 AM221 AH221:AJ221 Y221 AP221:AQ221 O221 R221">
    <cfRule type="expression" dxfId="77" priority="46">
      <formula>IF(CELL("Содержимое",$C221)="FB_IMv_BUF_S",TRUE)</formula>
    </cfRule>
    <cfRule type="expression" dxfId="76" priority="140">
      <formula>IF(CELL("Содержимое",$C221)="FB_IMv_S",TRUE)</formula>
    </cfRule>
    <cfRule type="expression" dxfId="75" priority="141">
      <formula>IF(CELL("Содержимое",$C221)="FB_IMp_S",TRUE)</formula>
    </cfRule>
  </conditionalFormatting>
  <conditionalFormatting sqref="R221 AI221:AJ221 L221:M221 H221:I221 AM221 AP221:AQ221">
    <cfRule type="expression" dxfId="74" priority="4">
      <formula>IF(CELL("Содержимое",$C221)="SW_MES3508",TRUE)</formula>
    </cfRule>
    <cfRule type="expression" dxfId="73" priority="112">
      <formula>IF(CELL("Содержимое",$C221)="SW_S301",TRUE)</formula>
    </cfRule>
  </conditionalFormatting>
  <conditionalFormatting sqref="R221 Y221:AJ221 K221:M221 AM221">
    <cfRule type="expression" dxfId="72" priority="111">
      <formula>IF(CELL("Содержимое",$C221)="FB_MPS_S",TRUE)</formula>
    </cfRule>
  </conditionalFormatting>
  <conditionalFormatting sqref="F221 AM221 AP221:AQ221 K221:M221 O221 R221:AJ221 H221:I221">
    <cfRule type="expression" dxfId="71" priority="110">
      <formula>IF(CELL("Содержимое",$C221)="-",TRUE)</formula>
    </cfRule>
  </conditionalFormatting>
  <conditionalFormatting sqref="K221:M221 Z221:AJ221 AM221 AP221:AQ221 O221 R221">
    <cfRule type="expression" dxfId="70" priority="109">
      <formula>IF(CELL("Содержимое",$C221)="DO_DIAG",TRUE)</formula>
    </cfRule>
  </conditionalFormatting>
  <conditionalFormatting sqref="Z221:AJ221 K221:M221 R221 AM221 AP221:AQ221">
    <cfRule type="expression" dxfId="69" priority="35">
      <formula>IF(CELL("Содержимое",$C221)="DI_DIAG_BUF",TRUE)</formula>
    </cfRule>
    <cfRule type="expression" dxfId="68" priority="134">
      <formula>IF(CELL("Содержимое",$C221)="DI_DIAG",TRUE)</formula>
    </cfRule>
  </conditionalFormatting>
  <conditionalFormatting sqref="F221 AQ221 AM221 K221:M221 O221 R221:AJ221 H221:I221">
    <cfRule type="expression" dxfId="67" priority="108">
      <formula>IF(CELL("Содержимое",$C221)="FB_RIM_S",TRUE)</formula>
    </cfRule>
  </conditionalFormatting>
  <conditionalFormatting sqref="K221:M221 T221:AJ221 AM221 AP221:AQ221 O221 R221">
    <cfRule type="expression" dxfId="66" priority="106">
      <formula>IF(CELL("Содержимое",$C221)="TREI_DIAG",TRUE)</formula>
    </cfRule>
  </conditionalFormatting>
  <conditionalFormatting sqref="K221:M221 Y221:AJ221 AP221:AQ221 O221 R221">
    <cfRule type="expression" dxfId="65" priority="105">
      <formula>IF(CELL("Содержимое",$C221)="AO",TRUE)</formula>
    </cfRule>
  </conditionalFormatting>
  <conditionalFormatting sqref="K221:M221 Y221:AJ221 AM221 AP221:AQ221 O221">
    <cfRule type="expression" dxfId="64" priority="160">
      <formula>IF(CELL("Содержимое",$C221)="SEPAM",TRUE)</formula>
    </cfRule>
  </conditionalFormatting>
  <conditionalFormatting sqref="R221 Y221:AJ221 K221:M221 AM221 AP221:AQ221">
    <cfRule type="expression" dxfId="63" priority="104">
      <formula>IF(CELL("Содержимое",$C221)="BMCS",TRUE)</formula>
    </cfRule>
  </conditionalFormatting>
  <conditionalFormatting sqref="M221 AM221 Y221:AJ221 AP221:AQ221 O221 R221">
    <cfRule type="expression" dxfId="62" priority="32">
      <formula>IF(CELL("Содержимое",$C221)="AI_SLIM_BUF",TRUE)</formula>
    </cfRule>
    <cfRule type="expression" dxfId="61" priority="52">
      <formula>IF(CELL("Содержимое",$C221)="AI_SLIM",TRUE)</formula>
    </cfRule>
  </conditionalFormatting>
  <conditionalFormatting sqref="M221 Y221:AJ221 R221 AM221 AP221:AQ221 O221">
    <cfRule type="expression" dxfId="60" priority="158">
      <formula>IF(CELL("Содержимое",$C221)="BMPA",TRUE)</formula>
    </cfRule>
  </conditionalFormatting>
  <conditionalFormatting sqref="O221 AM221 R221 I221 AP221:AQ221">
    <cfRule type="expression" dxfId="59" priority="13">
      <formula>IF(CELL("Содержимое",$C221)="IMt_MON",TRUE)</formula>
    </cfRule>
  </conditionalFormatting>
  <conditionalFormatting sqref="K221:M221 AM221 R221 I221 AP221:AQ221 O221">
    <cfRule type="expression" dxfId="58" priority="14">
      <formula>IF(CELL("Содержимое",$C221)="IMs_MON",TRUE)</formula>
    </cfRule>
  </conditionalFormatting>
  <conditionalFormatting sqref="O221 AM221 R221 I221 M221 AP221:AQ221">
    <cfRule type="expression" dxfId="57" priority="8">
      <formula>IF(CELL("Содержимое",$C221)="IMstp",TRUE)</formula>
    </cfRule>
  </conditionalFormatting>
  <conditionalFormatting sqref="O221 AM221 K221:M221 I221 AP221:AQ221 R221">
    <cfRule type="expression" dxfId="56" priority="18">
      <formula>IF(CELL("Содержимое",$C221)="IMv",TRUE)</formula>
    </cfRule>
    <cfRule type="expression" dxfId="55" priority="19">
      <formula>IF(CELL("Содержимое",$C221)="IMp",TRUE)</formula>
    </cfRule>
  </conditionalFormatting>
  <conditionalFormatting sqref="O221 AM221 K221:M221 R221 I221 AP221:AQ221">
    <cfRule type="expression" dxfId="54" priority="9">
      <formula>IF(CELL("Содержимое",$C221)="IM_ADES",TRUE)</formula>
    </cfRule>
  </conditionalFormatting>
  <conditionalFormatting sqref="O221 AM221 K221 I221 M221 AP221:AQ221 R221">
    <cfRule type="expression" dxfId="53" priority="15">
      <formula>IF(CELL("Содержимое",$C221)="IMsp",TRUE)</formula>
    </cfRule>
  </conditionalFormatting>
  <conditionalFormatting sqref="K221:M221 AM221 I221 AP221:AQ221 O221 R221">
    <cfRule type="expression" dxfId="52" priority="12">
      <formula>IF(CELL("Содержимое",$C221)="IMsp_MON",TRUE)</formula>
    </cfRule>
  </conditionalFormatting>
  <conditionalFormatting sqref="K221:M221 AM221 I221 AP221:AQ221 O221 R221">
    <cfRule type="expression" dxfId="51" priority="17">
      <formula>IF(CELL("Содержимое",$C221)="IMp_MON",TRUE)</formula>
    </cfRule>
  </conditionalFormatting>
  <conditionalFormatting sqref="K221:M221 AM221 I221 AP221:AQ221 O221 R221">
    <cfRule type="expression" dxfId="50" priority="16">
      <formula>IF(CELL("Содержимое",$C221)="IMv_MON",TRUE)</formula>
    </cfRule>
  </conditionalFormatting>
  <conditionalFormatting sqref="M221 Y221:AJ221 AM221 AP221:AQ221 O221">
    <cfRule type="expression" dxfId="49" priority="7">
      <formula>IF(CELL("Содержимое",$C221)="TOR",TRUE)</formula>
    </cfRule>
    <cfRule type="expression" dxfId="48" priority="159">
      <formula>IF(CELL("Содержимое",$C221)="BMRZ",TRUE)</formula>
    </cfRule>
  </conditionalFormatting>
  <conditionalFormatting sqref="M221 AF221:AJ221 Y221:Z221 K221 AM221 AP221:AQ221 O221 R221">
    <cfRule type="expression" dxfId="47" priority="157">
      <formula>IF(CELL("Содержимое",$C221)="FB_REG_S",TRUE)</formula>
    </cfRule>
  </conditionalFormatting>
  <conditionalFormatting sqref="Y221:AJ221">
    <cfRule type="duplicateValues" dxfId="46" priority="162"/>
  </conditionalFormatting>
  <conditionalFormatting sqref="R221 AM221 M221 H221:I221 AP221:AQ221">
    <cfRule type="expression" dxfId="45" priority="116">
      <formula>IF(CELL("Содержимое",$C221)="SW_MAYAK",TRUE)</formula>
    </cfRule>
  </conditionalFormatting>
  <conditionalFormatting sqref="AM221">
    <cfRule type="expression" dxfId="44" priority="5">
      <formula>IF(AND(CELL("Содержимое",$C221)="FB_SHPS_S",CELL("Содержимое",$N221)&gt;4),TRUE)</formula>
    </cfRule>
  </conditionalFormatting>
  <conditionalFormatting sqref="R221 Y221:AJ221 L221:M221 H221:I221 AM221 AP221:AQ221">
    <cfRule type="expression" dxfId="43" priority="3">
      <formula>IF(CELL("Содержимое",$C221)="SW_MES3348F",TRUE)</formula>
    </cfRule>
  </conditionalFormatting>
  <dataValidations count="5">
    <dataValidation allowBlank="1" showInputMessage="1" showErrorMessage="1" promptTitle="Префикс для TREI" prompt="Формат данных ХХХ\YYY_x000a_Не должно начинаться с цифры, без пробелов" sqref="D1" xr:uid="{00000000-0002-0000-0000-000000000000}"/>
    <dataValidation allowBlank="1" showInputMessage="1" showErrorMessage="1" promptTitle="Комментарий для TREI и INFINITY" prompt="Без ограничений" sqref="E1" xr:uid="{00000000-0002-0000-0000-000001000000}"/>
    <dataValidation allowBlank="1" showInputMessage="1" showErrorMessage="1" promptTitle="ТЭГ в дереве INFINITY Server" prompt="Формат XXX.YYY_x000a_Не должно начинаться с цифры, без пробелов" sqref="F1" xr:uid="{00000000-0002-0000-0000-000002000000}"/>
    <dataValidation allowBlank="1" showInputMessage="1" showErrorMessage="1" promptTitle="ОРС путь" prompt="Формат XXX\YYY" sqref="H1" xr:uid="{00000000-0002-0000-0000-000003000000}"/>
    <dataValidation allowBlank="1" showInputMessage="1" showErrorMessage="1" errorTitle="Ошибочный ввод" error="Разрешается вводить не более 17 символов" sqref="D2:D1113" xr:uid="{00000000-0002-0000-0000-000004000000}"/>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17673" id="{AA6A98F8-F10C-4311-83DC-862D6F33B2F8}">
            <x14:iconSet iconSet="3Symbols" showValue="0" custom="1">
              <x14:cfvo type="percent">
                <xm:f>0</xm:f>
              </x14:cfvo>
              <x14:cfvo type="num">
                <xm:f>0</xm:f>
              </x14:cfvo>
              <x14:cfvo type="num">
                <xm:f>1</xm:f>
              </x14:cfvo>
              <x14:cfIcon iconSet="3Symbols" iconId="1"/>
              <x14:cfIcon iconSet="3Symbols" iconId="0"/>
              <x14:cfIcon iconSet="3Symbols" iconId="2"/>
            </x14:iconSet>
          </x14:cfRule>
          <xm:sqref>B2:B1113</xm:sqref>
        </x14:conditionalFormatting>
      </x14:conditionalFormattings>
    </ext>
    <ext xmlns:x14="http://schemas.microsoft.com/office/spreadsheetml/2009/9/main" uri="{CCE6A557-97BC-4b89-ADB6-D9C93CAAB3DF}">
      <x14:dataValidations xmlns:xm="http://schemas.microsoft.com/office/excel/2006/main" count="11">
        <x14:dataValidation type="list" allowBlank="1" showInputMessage="1" showErrorMessage="1" xr:uid="{00000000-0002-0000-0000-000005000000}">
          <x14:formula1>
            <xm:f>Настройки!$F$2:$F$65</xm:f>
          </x14:formula1>
          <xm:sqref>C5025:C5026</xm:sqref>
        </x14:dataValidation>
        <x14:dataValidation type="list" allowBlank="1" showInputMessage="1" showErrorMessage="1" xr:uid="{00000000-0002-0000-0000-000006000000}">
          <x14:formula1>
            <xm:f>Настройки!$F$2:$F$73</xm:f>
          </x14:formula1>
          <xm:sqref>C5015:C5024</xm:sqref>
        </x14:dataValidation>
        <x14:dataValidation type="list" allowBlank="1" showInputMessage="1" showErrorMessage="1" xr:uid="{00000000-0002-0000-0000-000007000000}">
          <x14:formula1>
            <xm:f>Настройки!$F$2:$F$75</xm:f>
          </x14:formula1>
          <xm:sqref>C5014</xm:sqref>
        </x14:dataValidation>
        <x14:dataValidation type="list" allowBlank="1" showInputMessage="1" showErrorMessage="1" xr:uid="{00000000-0002-0000-0000-000008000000}">
          <x14:formula1>
            <xm:f>Настройки!$I$2:$I$54</xm:f>
          </x14:formula1>
          <xm:sqref>C5027</xm:sqref>
        </x14:dataValidation>
        <x14:dataValidation type="list" allowBlank="1" showInputMessage="1" showErrorMessage="1" error="Введите TRUE или FALSE" xr:uid="{00000000-0002-0000-0000-000009000000}">
          <x14:formula1>
            <xm:f>Настройки!$L$2:$L$3</xm:f>
          </x14:formula1>
          <xm:sqref>AL2:AL1113</xm:sqref>
        </x14:dataValidation>
        <x14:dataValidation type="list" allowBlank="1" showInputMessage="1" showErrorMessage="1" xr:uid="{00000000-0002-0000-0000-00000A000000}">
          <x14:formula1>
            <xm:f>Настройки!$J$2:$J$13</xm:f>
          </x14:formula1>
          <xm:sqref>M2:M1113 Q2:Q1113</xm:sqref>
        </x14:dataValidation>
        <x14:dataValidation type="list" allowBlank="1" showInputMessage="1" showErrorMessage="1" xr:uid="{00000000-0002-0000-0000-00000B000000}">
          <x14:formula1>
            <xm:f>Настройки!$N$2:$N$3</xm:f>
          </x14:formula1>
          <xm:sqref>B2:B1113</xm:sqref>
        </x14:dataValidation>
        <x14:dataValidation type="list" allowBlank="1" showInputMessage="1" showErrorMessage="1" xr:uid="{00000000-0002-0000-0000-00000C000000}">
          <x14:formula1>
            <xm:f>Настройки!$A$2:$A$16</xm:f>
          </x14:formula1>
          <xm:sqref>P2:P1113</xm:sqref>
        </x14:dataValidation>
        <x14:dataValidation type="list" allowBlank="1" showInputMessage="1" showErrorMessage="1" error="Введите TRUE или FALSE" xr:uid="{00000000-0002-0000-0000-00000D000000}">
          <x14:formula1>
            <xm:f>Настройки!$N$2:$N$9</xm:f>
          </x14:formula1>
          <xm:sqref>AO2:AO1113</xm:sqref>
        </x14:dataValidation>
        <x14:dataValidation type="list" allowBlank="1" showInputMessage="1" showErrorMessage="1" xr:uid="{00000000-0002-0000-0000-00000E000000}">
          <x14:formula1>
            <xm:f>Настройки!$E$2:$E$9</xm:f>
          </x14:formula1>
          <xm:sqref>R2:R1113</xm:sqref>
        </x14:dataValidation>
        <x14:dataValidation type="list" allowBlank="1" showInputMessage="1" showErrorMessage="1" xr:uid="{00000000-0002-0000-0000-00000F000000}">
          <x14:formula1>
            <xm:f>Настройки!$F$2:$F$78</xm:f>
          </x14:formula1>
          <xm:sqref>C2:C5013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Лист106">
    <tabColor theme="3" tint="0.79998168889431442"/>
  </sheetPr>
  <dimension ref="A1:G102"/>
  <sheetViews>
    <sheetView zoomScale="80" zoomScaleNormal="80" workbookViewId="0">
      <selection activeCell="B32" sqref="B32"/>
    </sheetView>
  </sheetViews>
  <sheetFormatPr defaultColWidth="9.109375" defaultRowHeight="14.4"/>
  <cols>
    <col min="1" max="1" width="12.6640625" style="556" customWidth="1"/>
    <col min="2" max="2" width="13.6640625" style="557" customWidth="1"/>
    <col min="3" max="3" width="46.5546875" style="556" customWidth="1"/>
    <col min="4" max="4" width="32.88671875" style="556" customWidth="1"/>
    <col min="5" max="5" width="28.88671875" style="556" customWidth="1"/>
    <col min="6" max="6" width="56.109375" style="556" customWidth="1"/>
    <col min="7" max="7" width="38.5546875" style="556" customWidth="1"/>
    <col min="8" max="16384" width="9.109375" style="556"/>
  </cols>
  <sheetData>
    <row r="1" spans="1:7">
      <c r="A1" s="553" t="s">
        <v>1410</v>
      </c>
      <c r="B1" s="554" t="s">
        <v>846</v>
      </c>
      <c r="C1" s="555" t="s">
        <v>1459</v>
      </c>
      <c r="D1" s="553" t="s">
        <v>1467</v>
      </c>
      <c r="E1" s="553" t="s">
        <v>1535</v>
      </c>
      <c r="F1" s="553" t="s">
        <v>2944</v>
      </c>
      <c r="G1" s="553" t="s">
        <v>1676</v>
      </c>
    </row>
    <row r="2" spans="1:7">
      <c r="A2" s="617" t="s">
        <v>1409</v>
      </c>
      <c r="B2" s="49" t="s">
        <v>3083</v>
      </c>
      <c r="C2" s="559"/>
      <c r="D2" s="558"/>
      <c r="E2" s="558"/>
      <c r="F2" s="558" t="s">
        <v>1602</v>
      </c>
      <c r="G2" s="558" t="s">
        <v>1677</v>
      </c>
    </row>
    <row r="3" spans="1:7">
      <c r="A3" s="617" t="s">
        <v>991</v>
      </c>
      <c r="B3" s="49" t="s">
        <v>1878</v>
      </c>
      <c r="C3" s="558" t="s">
        <v>1461</v>
      </c>
    </row>
    <row r="4" spans="1:7">
      <c r="A4" s="617" t="s">
        <v>992</v>
      </c>
      <c r="B4" s="49" t="s">
        <v>1880</v>
      </c>
      <c r="C4" s="558" t="s">
        <v>1462</v>
      </c>
    </row>
    <row r="5" spans="1:7">
      <c r="A5" s="617" t="s">
        <v>993</v>
      </c>
      <c r="B5" s="49" t="s">
        <v>1880</v>
      </c>
      <c r="C5" s="558" t="s">
        <v>1463</v>
      </c>
    </row>
    <row r="6" spans="1:7">
      <c r="A6" s="617" t="s">
        <v>994</v>
      </c>
      <c r="B6" s="49" t="s">
        <v>1878</v>
      </c>
      <c r="C6" s="558" t="s">
        <v>1464</v>
      </c>
    </row>
    <row r="7" spans="1:7">
      <c r="A7" s="617" t="s">
        <v>995</v>
      </c>
      <c r="B7" s="49" t="s">
        <v>1879</v>
      </c>
      <c r="C7" s="558" t="s">
        <v>1465</v>
      </c>
    </row>
    <row r="8" spans="1:7">
      <c r="A8" s="617" t="s">
        <v>996</v>
      </c>
      <c r="B8" s="49" t="s">
        <v>1879</v>
      </c>
      <c r="C8" s="558" t="s">
        <v>1466</v>
      </c>
    </row>
    <row r="9" spans="1:7">
      <c r="A9" s="617" t="s">
        <v>997</v>
      </c>
      <c r="B9" s="49" t="s">
        <v>1879</v>
      </c>
      <c r="C9" s="558" t="s">
        <v>3417</v>
      </c>
    </row>
    <row r="10" spans="1:7">
      <c r="A10" s="617" t="s">
        <v>998</v>
      </c>
      <c r="B10" s="49" t="s">
        <v>1879</v>
      </c>
      <c r="C10" s="558" t="s">
        <v>3418</v>
      </c>
    </row>
    <row r="11" spans="1:7">
      <c r="A11" s="617" t="s">
        <v>999</v>
      </c>
      <c r="B11" s="49" t="s">
        <v>1878</v>
      </c>
      <c r="C11" s="558" t="s">
        <v>3419</v>
      </c>
    </row>
    <row r="12" spans="1:7">
      <c r="A12" s="617" t="s">
        <v>1000</v>
      </c>
      <c r="B12" s="49" t="s">
        <v>1879</v>
      </c>
      <c r="C12" s="558" t="s">
        <v>3420</v>
      </c>
    </row>
    <row r="13" spans="1:7">
      <c r="A13" s="617" t="s">
        <v>1001</v>
      </c>
      <c r="B13" s="49" t="s">
        <v>1878</v>
      </c>
      <c r="C13" s="558" t="s">
        <v>3421</v>
      </c>
    </row>
    <row r="14" spans="1:7">
      <c r="A14" s="617" t="s">
        <v>1002</v>
      </c>
      <c r="B14" s="49" t="s">
        <v>1878</v>
      </c>
      <c r="C14" s="558" t="s">
        <v>3422</v>
      </c>
      <c r="F14" s="557"/>
    </row>
    <row r="15" spans="1:7">
      <c r="A15" s="617" t="s">
        <v>1003</v>
      </c>
      <c r="B15" s="49" t="s">
        <v>1878</v>
      </c>
      <c r="C15" s="558" t="s">
        <v>3423</v>
      </c>
      <c r="F15" s="557"/>
    </row>
    <row r="16" spans="1:7">
      <c r="A16" s="617" t="s">
        <v>1004</v>
      </c>
      <c r="B16" s="49" t="s">
        <v>1878</v>
      </c>
      <c r="C16" s="558" t="s">
        <v>3424</v>
      </c>
      <c r="F16" s="557"/>
    </row>
    <row r="17" spans="1:6">
      <c r="A17" s="617" t="s">
        <v>1005</v>
      </c>
      <c r="B17" s="49" t="s">
        <v>1879</v>
      </c>
      <c r="C17" s="558" t="s">
        <v>3425</v>
      </c>
      <c r="F17" s="557"/>
    </row>
    <row r="18" spans="1:6">
      <c r="A18" s="617" t="s">
        <v>1006</v>
      </c>
      <c r="B18" s="49" t="s">
        <v>1879</v>
      </c>
      <c r="C18" s="558" t="s">
        <v>4961</v>
      </c>
      <c r="F18" s="557"/>
    </row>
    <row r="19" spans="1:6">
      <c r="A19" s="617" t="s">
        <v>1007</v>
      </c>
      <c r="B19" s="49" t="s">
        <v>1879</v>
      </c>
      <c r="C19" s="558" t="s">
        <v>4962</v>
      </c>
      <c r="F19" s="557"/>
    </row>
    <row r="20" spans="1:6">
      <c r="A20" s="617" t="s">
        <v>1008</v>
      </c>
      <c r="B20" s="49" t="s">
        <v>1879</v>
      </c>
      <c r="C20" s="558" t="s">
        <v>4963</v>
      </c>
      <c r="F20" s="557"/>
    </row>
    <row r="21" spans="1:6">
      <c r="A21" s="617" t="s">
        <v>1009</v>
      </c>
      <c r="B21" s="49" t="s">
        <v>1879</v>
      </c>
      <c r="C21" s="558" t="s">
        <v>4964</v>
      </c>
      <c r="F21" s="557"/>
    </row>
    <row r="22" spans="1:6">
      <c r="A22" s="617" t="s">
        <v>1010</v>
      </c>
      <c r="B22" s="49" t="s">
        <v>1878</v>
      </c>
      <c r="C22" s="558" t="s">
        <v>4965</v>
      </c>
      <c r="F22" s="557"/>
    </row>
    <row r="23" spans="1:6">
      <c r="A23" s="617" t="s">
        <v>1011</v>
      </c>
      <c r="B23" s="49" t="s">
        <v>1879</v>
      </c>
      <c r="C23" s="558" t="s">
        <v>4966</v>
      </c>
      <c r="F23" s="557"/>
    </row>
    <row r="24" spans="1:6">
      <c r="A24" s="617" t="s">
        <v>1012</v>
      </c>
      <c r="B24" s="49" t="s">
        <v>1878</v>
      </c>
      <c r="C24" s="558" t="s">
        <v>4967</v>
      </c>
      <c r="F24" s="557"/>
    </row>
    <row r="25" spans="1:6">
      <c r="A25" s="617" t="s">
        <v>1013</v>
      </c>
      <c r="B25" s="49" t="s">
        <v>1879</v>
      </c>
      <c r="C25" s="558" t="s">
        <v>4968</v>
      </c>
      <c r="F25" s="557"/>
    </row>
    <row r="26" spans="1:6">
      <c r="A26" s="617" t="s">
        <v>1014</v>
      </c>
      <c r="B26" s="49" t="s">
        <v>1878</v>
      </c>
      <c r="C26" s="558" t="s">
        <v>4969</v>
      </c>
    </row>
    <row r="27" spans="1:6">
      <c r="A27" s="617" t="s">
        <v>1015</v>
      </c>
      <c r="B27" s="49" t="s">
        <v>1878</v>
      </c>
      <c r="C27" s="558" t="s">
        <v>4970</v>
      </c>
    </row>
    <row r="28" spans="1:6">
      <c r="A28" s="617" t="s">
        <v>1016</v>
      </c>
      <c r="B28" s="49" t="s">
        <v>1878</v>
      </c>
      <c r="C28" s="558" t="s">
        <v>4971</v>
      </c>
    </row>
    <row r="29" spans="1:6">
      <c r="A29" s="617" t="s">
        <v>1017</v>
      </c>
      <c r="B29" s="49" t="s">
        <v>1878</v>
      </c>
      <c r="C29" s="558" t="s">
        <v>4972</v>
      </c>
    </row>
    <row r="30" spans="1:6">
      <c r="A30" s="617" t="s">
        <v>1018</v>
      </c>
      <c r="B30" s="49" t="s">
        <v>1878</v>
      </c>
      <c r="C30" s="558" t="s">
        <v>4973</v>
      </c>
    </row>
    <row r="31" spans="1:6">
      <c r="A31" s="617" t="s">
        <v>1019</v>
      </c>
      <c r="B31" s="49" t="s">
        <v>1879</v>
      </c>
      <c r="C31" s="558" t="s">
        <v>4974</v>
      </c>
    </row>
    <row r="32" spans="1:6">
      <c r="A32" s="617" t="s">
        <v>1020</v>
      </c>
      <c r="B32" s="49" t="s">
        <v>1878</v>
      </c>
      <c r="C32" s="558" t="s">
        <v>4975</v>
      </c>
    </row>
    <row r="33" spans="1:3">
      <c r="A33" s="617" t="s">
        <v>1021</v>
      </c>
      <c r="B33" s="49" t="s">
        <v>1878</v>
      </c>
      <c r="C33" s="558" t="s">
        <v>4976</v>
      </c>
    </row>
    <row r="34" spans="1:3">
      <c r="A34" s="617" t="s">
        <v>1022</v>
      </c>
      <c r="B34" s="49" t="s">
        <v>1878</v>
      </c>
      <c r="C34" s="558" t="s">
        <v>4977</v>
      </c>
    </row>
    <row r="35" spans="1:3">
      <c r="A35" s="617" t="s">
        <v>1023</v>
      </c>
      <c r="B35" s="49" t="s">
        <v>1878</v>
      </c>
      <c r="C35" s="558" t="s">
        <v>4978</v>
      </c>
    </row>
    <row r="36" spans="1:3">
      <c r="A36" s="617" t="s">
        <v>1024</v>
      </c>
      <c r="B36" s="49" t="s">
        <v>1878</v>
      </c>
      <c r="C36" s="558" t="s">
        <v>4979</v>
      </c>
    </row>
    <row r="37" spans="1:3">
      <c r="A37" s="617" t="s">
        <v>1025</v>
      </c>
      <c r="B37" s="49" t="s">
        <v>1878</v>
      </c>
      <c r="C37" s="558" t="s">
        <v>4980</v>
      </c>
    </row>
    <row r="38" spans="1:3">
      <c r="A38" s="617" t="s">
        <v>1026</v>
      </c>
      <c r="B38" s="49"/>
      <c r="C38" s="559"/>
    </row>
    <row r="39" spans="1:3">
      <c r="A39" s="617" t="s">
        <v>1027</v>
      </c>
      <c r="B39" s="49"/>
      <c r="C39" s="559"/>
    </row>
    <row r="40" spans="1:3">
      <c r="A40" s="617" t="s">
        <v>1028</v>
      </c>
      <c r="B40" s="49"/>
      <c r="C40" s="559"/>
    </row>
    <row r="41" spans="1:3">
      <c r="A41" s="617" t="s">
        <v>1029</v>
      </c>
      <c r="B41" s="49"/>
      <c r="C41" s="559"/>
    </row>
    <row r="42" spans="1:3">
      <c r="A42" s="617" t="s">
        <v>1030</v>
      </c>
      <c r="B42" s="49"/>
      <c r="C42" s="559"/>
    </row>
    <row r="43" spans="1:3">
      <c r="A43" s="617" t="s">
        <v>1948</v>
      </c>
      <c r="B43" s="49"/>
      <c r="C43" s="559"/>
    </row>
    <row r="44" spans="1:3">
      <c r="A44" s="617" t="s">
        <v>1949</v>
      </c>
      <c r="B44" s="49"/>
      <c r="C44" s="559"/>
    </row>
    <row r="45" spans="1:3">
      <c r="A45" s="617" t="s">
        <v>1950</v>
      </c>
      <c r="B45" s="49"/>
      <c r="C45" s="559"/>
    </row>
    <row r="46" spans="1:3">
      <c r="A46" s="617" t="s">
        <v>1951</v>
      </c>
      <c r="B46" s="49"/>
      <c r="C46" s="559"/>
    </row>
    <row r="47" spans="1:3">
      <c r="A47" s="617" t="s">
        <v>1952</v>
      </c>
      <c r="B47" s="49"/>
      <c r="C47" s="559"/>
    </row>
    <row r="48" spans="1:3">
      <c r="A48" s="617" t="s">
        <v>1953</v>
      </c>
      <c r="B48" s="49"/>
      <c r="C48" s="559"/>
    </row>
    <row r="49" spans="1:3">
      <c r="A49" s="617" t="s">
        <v>1954</v>
      </c>
      <c r="B49" s="49"/>
      <c r="C49" s="559"/>
    </row>
    <row r="50" spans="1:3">
      <c r="A50" s="617" t="s">
        <v>1955</v>
      </c>
      <c r="B50" s="49"/>
      <c r="C50" s="559"/>
    </row>
    <row r="51" spans="1:3">
      <c r="A51" s="617" t="s">
        <v>1956</v>
      </c>
      <c r="B51" s="49"/>
      <c r="C51" s="559"/>
    </row>
    <row r="52" spans="1:3">
      <c r="A52" s="617" t="s">
        <v>1957</v>
      </c>
      <c r="B52" s="49"/>
      <c r="C52" s="559"/>
    </row>
    <row r="53" spans="1:3">
      <c r="A53" s="617" t="s">
        <v>1958</v>
      </c>
      <c r="B53" s="49"/>
      <c r="C53" s="559"/>
    </row>
    <row r="54" spans="1:3">
      <c r="A54" s="617" t="s">
        <v>1959</v>
      </c>
      <c r="B54" s="49"/>
      <c r="C54" s="559"/>
    </row>
    <row r="55" spans="1:3">
      <c r="A55" s="617" t="s">
        <v>1960</v>
      </c>
      <c r="B55" s="49"/>
      <c r="C55" s="559"/>
    </row>
    <row r="56" spans="1:3">
      <c r="A56" s="617" t="s">
        <v>1961</v>
      </c>
      <c r="B56" s="49"/>
      <c r="C56" s="559"/>
    </row>
    <row r="57" spans="1:3">
      <c r="A57" s="617" t="s">
        <v>1962</v>
      </c>
      <c r="B57" s="49"/>
      <c r="C57" s="559"/>
    </row>
    <row r="58" spans="1:3">
      <c r="A58" s="617" t="s">
        <v>1963</v>
      </c>
      <c r="B58" s="49"/>
      <c r="C58" s="559"/>
    </row>
    <row r="59" spans="1:3">
      <c r="A59" s="617" t="s">
        <v>1964</v>
      </c>
      <c r="B59" s="49"/>
      <c r="C59" s="559"/>
    </row>
    <row r="60" spans="1:3">
      <c r="A60" s="617" t="s">
        <v>1965</v>
      </c>
      <c r="B60" s="49"/>
      <c r="C60" s="559"/>
    </row>
    <row r="61" spans="1:3">
      <c r="A61" s="617" t="s">
        <v>1966</v>
      </c>
      <c r="B61" s="49"/>
      <c r="C61" s="559"/>
    </row>
    <row r="62" spans="1:3">
      <c r="A62" s="617" t="s">
        <v>1967</v>
      </c>
      <c r="B62" s="49"/>
      <c r="C62" s="559"/>
    </row>
    <row r="63" spans="1:3">
      <c r="A63" s="617" t="s">
        <v>2528</v>
      </c>
      <c r="B63" s="49"/>
      <c r="C63" s="559"/>
    </row>
    <row r="64" spans="1:3">
      <c r="A64" s="617" t="s">
        <v>2529</v>
      </c>
      <c r="B64" s="49"/>
      <c r="C64" s="559"/>
    </row>
    <row r="65" spans="1:3">
      <c r="A65" s="617" t="s">
        <v>2530</v>
      </c>
      <c r="B65" s="49"/>
      <c r="C65" s="559"/>
    </row>
    <row r="66" spans="1:3">
      <c r="A66" s="617" t="s">
        <v>2531</v>
      </c>
      <c r="B66" s="49"/>
      <c r="C66" s="559"/>
    </row>
    <row r="67" spans="1:3">
      <c r="A67" s="617" t="s">
        <v>2532</v>
      </c>
      <c r="B67" s="49"/>
      <c r="C67" s="559"/>
    </row>
    <row r="68" spans="1:3">
      <c r="A68" s="617" t="s">
        <v>2533</v>
      </c>
      <c r="B68" s="49"/>
      <c r="C68" s="559"/>
    </row>
    <row r="69" spans="1:3">
      <c r="A69" s="617" t="s">
        <v>2534</v>
      </c>
      <c r="B69" s="49"/>
      <c r="C69" s="559"/>
    </row>
    <row r="70" spans="1:3">
      <c r="A70" s="617" t="s">
        <v>2535</v>
      </c>
      <c r="B70" s="49"/>
      <c r="C70" s="559"/>
    </row>
    <row r="71" spans="1:3">
      <c r="A71" s="617" t="s">
        <v>2536</v>
      </c>
      <c r="B71" s="49"/>
      <c r="C71" s="559"/>
    </row>
    <row r="72" spans="1:3">
      <c r="A72" s="617" t="s">
        <v>2537</v>
      </c>
      <c r="B72" s="49"/>
      <c r="C72" s="559"/>
    </row>
    <row r="73" spans="1:3">
      <c r="A73" s="617" t="s">
        <v>2538</v>
      </c>
      <c r="B73" s="49"/>
      <c r="C73" s="559"/>
    </row>
    <row r="74" spans="1:3">
      <c r="A74" s="617" t="s">
        <v>2539</v>
      </c>
      <c r="B74" s="49"/>
      <c r="C74" s="559"/>
    </row>
    <row r="75" spans="1:3">
      <c r="A75" s="617" t="s">
        <v>2540</v>
      </c>
      <c r="B75" s="49"/>
      <c r="C75" s="559"/>
    </row>
    <row r="76" spans="1:3">
      <c r="A76" s="617" t="s">
        <v>2541</v>
      </c>
      <c r="B76" s="49"/>
      <c r="C76" s="559"/>
    </row>
    <row r="77" spans="1:3">
      <c r="A77" s="617" t="s">
        <v>2542</v>
      </c>
      <c r="B77" s="49"/>
      <c r="C77" s="559"/>
    </row>
    <row r="78" spans="1:3">
      <c r="A78" s="617" t="s">
        <v>2543</v>
      </c>
      <c r="B78" s="49"/>
      <c r="C78" s="559"/>
    </row>
    <row r="79" spans="1:3">
      <c r="A79" s="617" t="s">
        <v>2544</v>
      </c>
      <c r="B79" s="49"/>
      <c r="C79" s="559"/>
    </row>
    <row r="80" spans="1:3">
      <c r="A80" s="617" t="s">
        <v>2545</v>
      </c>
      <c r="B80" s="49"/>
      <c r="C80" s="559"/>
    </row>
    <row r="81" spans="1:3">
      <c r="A81" s="617" t="s">
        <v>2546</v>
      </c>
      <c r="B81" s="49"/>
      <c r="C81" s="559"/>
    </row>
    <row r="82" spans="1:3">
      <c r="A82" s="617" t="s">
        <v>2547</v>
      </c>
      <c r="B82" s="49"/>
      <c r="C82" s="559"/>
    </row>
    <row r="83" spans="1:3">
      <c r="A83" s="617" t="s">
        <v>2548</v>
      </c>
      <c r="B83" s="49"/>
      <c r="C83" s="559"/>
    </row>
    <row r="84" spans="1:3">
      <c r="A84" s="617" t="s">
        <v>2549</v>
      </c>
      <c r="B84" s="49"/>
      <c r="C84" s="559"/>
    </row>
    <row r="85" spans="1:3">
      <c r="A85" s="617" t="s">
        <v>2550</v>
      </c>
      <c r="B85" s="49"/>
      <c r="C85" s="559"/>
    </row>
    <row r="86" spans="1:3">
      <c r="A86" s="617" t="s">
        <v>2551</v>
      </c>
      <c r="B86" s="49"/>
      <c r="C86" s="559"/>
    </row>
    <row r="87" spans="1:3">
      <c r="A87" s="617" t="s">
        <v>2552</v>
      </c>
      <c r="B87" s="49"/>
      <c r="C87" s="559"/>
    </row>
    <row r="88" spans="1:3">
      <c r="A88" s="617" t="s">
        <v>2553</v>
      </c>
      <c r="B88" s="49"/>
      <c r="C88" s="559"/>
    </row>
    <row r="89" spans="1:3">
      <c r="A89" s="617" t="s">
        <v>2554</v>
      </c>
      <c r="B89" s="49"/>
      <c r="C89" s="559"/>
    </row>
    <row r="90" spans="1:3">
      <c r="A90" s="617" t="s">
        <v>2555</v>
      </c>
      <c r="B90" s="49"/>
      <c r="C90" s="559"/>
    </row>
    <row r="91" spans="1:3">
      <c r="A91" s="617" t="s">
        <v>2556</v>
      </c>
      <c r="B91" s="49"/>
      <c r="C91" s="559"/>
    </row>
    <row r="92" spans="1:3">
      <c r="A92" s="617" t="s">
        <v>2557</v>
      </c>
      <c r="B92" s="49"/>
      <c r="C92" s="559"/>
    </row>
    <row r="93" spans="1:3">
      <c r="A93" s="617" t="s">
        <v>2558</v>
      </c>
      <c r="B93" s="49"/>
      <c r="C93" s="559"/>
    </row>
    <row r="94" spans="1:3">
      <c r="A94" s="617" t="s">
        <v>2559</v>
      </c>
      <c r="B94" s="49"/>
      <c r="C94" s="559"/>
    </row>
    <row r="95" spans="1:3">
      <c r="A95" s="617" t="s">
        <v>2560</v>
      </c>
      <c r="B95" s="49"/>
      <c r="C95" s="559"/>
    </row>
    <row r="96" spans="1:3">
      <c r="A96" s="617" t="s">
        <v>2561</v>
      </c>
      <c r="B96" s="49"/>
      <c r="C96" s="559"/>
    </row>
    <row r="97" spans="1:3">
      <c r="A97" s="617" t="s">
        <v>2562</v>
      </c>
      <c r="B97" s="49"/>
      <c r="C97" s="559"/>
    </row>
    <row r="98" spans="1:3">
      <c r="A98" s="617" t="s">
        <v>2563</v>
      </c>
      <c r="B98" s="49"/>
      <c r="C98" s="559"/>
    </row>
    <row r="99" spans="1:3">
      <c r="A99" s="617" t="s">
        <v>2564</v>
      </c>
      <c r="B99" s="49"/>
      <c r="C99" s="559"/>
    </row>
    <row r="100" spans="1:3">
      <c r="A100" s="617" t="s">
        <v>2565</v>
      </c>
      <c r="B100" s="49"/>
      <c r="C100" s="559"/>
    </row>
    <row r="101" spans="1:3">
      <c r="A101" s="617" t="s">
        <v>2566</v>
      </c>
      <c r="B101" s="49"/>
      <c r="C101" s="559"/>
    </row>
    <row r="102" spans="1:3">
      <c r="A102" s="617" t="s">
        <v>2567</v>
      </c>
      <c r="B102" s="49"/>
      <c r="C102" s="559"/>
    </row>
  </sheetData>
  <sheetProtection selectLockedCells="1"/>
  <phoneticPr fontId="78" type="noConversion"/>
  <conditionalFormatting sqref="B3:B102">
    <cfRule type="cellIs" dxfId="42" priority="23" operator="equal">
      <formula>"M558DR"</formula>
    </cfRule>
    <cfRule type="cellIs" dxfId="41" priority="24" operator="equal">
      <formula>"M541HR"</formula>
    </cfRule>
    <cfRule type="cellIs" dxfId="40" priority="25" operator="equal">
      <formula>"M548A"</formula>
    </cfRule>
    <cfRule type="cellIs" dxfId="39" priority="26" operator="equal">
      <formula>"M558O"</formula>
    </cfRule>
    <cfRule type="cellIs" dxfId="38" priority="27" operator="equal">
      <formula>"M558D"</formula>
    </cfRule>
    <cfRule type="cellIs" dxfId="37" priority="95" operator="equal">
      <formula>"M557DR"</formula>
    </cfRule>
    <cfRule type="cellIs" dxfId="36" priority="110" operator="equal">
      <formula>"M954D"</formula>
    </cfRule>
    <cfRule type="cellIs" dxfId="35" priority="124" operator="equal">
      <formula>"МУПС"</formula>
    </cfRule>
    <cfRule type="cellIs" dxfId="34" priority="125" operator="equal">
      <formula>"M941A"</formula>
    </cfRule>
    <cfRule type="cellIs" dxfId="33" priority="136" operator="equal">
      <formula>"M947R"</formula>
    </cfRule>
  </conditionalFormatting>
  <conditionalFormatting sqref="B3:B102">
    <cfRule type="cellIs" dxfId="32" priority="130" operator="equal">
      <formula>"M931T"</formula>
    </cfRule>
    <cfRule type="cellIs" dxfId="31" priority="131" operator="equal">
      <formula>"M931V"</formula>
    </cfRule>
    <cfRule type="cellIs" dxfId="30" priority="132" operator="equal">
      <formula>"M943DR"</formula>
    </cfRule>
    <cfRule type="cellIs" dxfId="29" priority="133" operator="equal">
      <formula>"M957O"</formula>
    </cfRule>
    <cfRule type="cellIs" dxfId="28" priority="134" operator="equal">
      <formula>"M942A"</formula>
    </cfRule>
    <cfRule type="cellIs" dxfId="27" priority="135" operator="equal">
      <formula>"M957D"</formula>
    </cfRule>
  </conditionalFormatting>
  <conditionalFormatting sqref="B3:B102">
    <cfRule type="cellIs" dxfId="26" priority="126" operator="equal">
      <formula>"M557O"</formula>
    </cfRule>
    <cfRule type="cellIs" dxfId="25" priority="127" operator="equal">
      <formula>"M557D"</formula>
    </cfRule>
    <cfRule type="cellIs" dxfId="24" priority="128" operator="equal">
      <formula>"M537V"</formula>
    </cfRule>
    <cfRule type="cellIs" dxfId="23" priority="129" operator="equal">
      <formula>"M547A"</formula>
    </cfRule>
  </conditionalFormatting>
  <conditionalFormatting sqref="F2">
    <cfRule type="expression" dxfId="22" priority="89">
      <formula>IF(CELL("Содержимое",$B2)="M903E",TRUE)</formula>
    </cfRule>
    <cfRule type="expression" dxfId="21" priority="90">
      <formula>IF(CELL("Содержимое",$B2)="M915E",TRUE)</formula>
    </cfRule>
  </conditionalFormatting>
  <conditionalFormatting sqref="B2">
    <cfRule type="expression" dxfId="20" priority="21">
      <formula>IF(CELL("Содержимое",$B2)="M501E(рез)",TRUE)</formula>
    </cfRule>
    <cfRule type="expression" dxfId="19" priority="22">
      <formula>IF(CELL("Содержимое",$B2)="M501E",TRUE)</formula>
    </cfRule>
    <cfRule type="expression" dxfId="18" priority="88">
      <formula>IF(CELL("Содержимое",$B2)="M991S",TRUE)</formula>
    </cfRule>
    <cfRule type="expression" dxfId="17" priority="91">
      <formula>IF(CELL("Содержимое",$B2)="M915E(рез)",TRUE)</formula>
    </cfRule>
    <cfRule type="expression" dxfId="16" priority="92">
      <formula>IF(CELL("Содержимое",$B2)="M903E(рез)",TRUE)</formula>
    </cfRule>
    <cfRule type="expression" dxfId="15" priority="93">
      <formula>IF(CELL("Содержимое",$B2)="M903E",TRUE)</formula>
    </cfRule>
    <cfRule type="expression" dxfId="14" priority="94">
      <formula>IF(CELL("Содержимое",$B2)="M915E",TRUE)</formula>
    </cfRule>
  </conditionalFormatting>
  <dataValidations count="3">
    <dataValidation allowBlank="1" showInputMessage="1" showErrorMessage="1" promptTitle="Путь TREI" prompt="Формат ХХХ\YYY_x000a_" sqref="D2:E2" xr:uid="{00000000-0002-0000-0100-000000000000}"/>
    <dataValidation allowBlank="1" showErrorMessage="1" prompt="_x000a_" sqref="F2" xr:uid="{00000000-0002-0000-0100-000001000000}"/>
    <dataValidation allowBlank="1" showInputMessage="1" showErrorMessage="1" promptTitle="Путь TREI" prompt="Формат ХХХ.YYY_x000a_" sqref="G2" xr:uid="{00000000-0002-0000-0100-000002000000}"/>
  </dataValidation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errorTitle="Ошибка" error="Не допустимое значение" xr:uid="{00000000-0002-0000-0100-000003000000}">
          <x14:formula1>
            <xm:f>Настройки!$O$2:$O$22</xm:f>
          </x14:formula1>
          <xm:sqref>B3:B102</xm:sqref>
        </x14:dataValidation>
        <x14:dataValidation type="list" showInputMessage="1" showErrorMessage="1" xr:uid="{00000000-0002-0000-0100-000004000000}">
          <x14:formula1>
            <xm:f>Настройки!$D$6:$D$12</xm:f>
          </x14:formula1>
          <xm:sqref>B2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Лист2">
    <tabColor theme="3" tint="0.79998168889431442"/>
  </sheetPr>
  <dimension ref="A1:D1"/>
  <sheetViews>
    <sheetView topLeftCell="A852" zoomScale="80" zoomScaleNormal="80" workbookViewId="0">
      <selection activeCell="A886" sqref="A886"/>
    </sheetView>
  </sheetViews>
  <sheetFormatPr defaultColWidth="9.109375" defaultRowHeight="14.4"/>
  <cols>
    <col min="1" max="1" width="34.88671875" customWidth="1"/>
    <col min="4" max="4" width="62.6640625" customWidth="1"/>
    <col min="5" max="5" width="27.5546875" style="15" customWidth="1"/>
    <col min="6" max="8" width="9.109375" style="15"/>
    <col min="9" max="9" width="7.6640625" style="15" customWidth="1"/>
    <col min="10" max="16384" width="9.109375" style="15"/>
  </cols>
  <sheetData/>
  <sheetProtection selectLockedCells="1"/>
  <sortState xmlns:xlrd2="http://schemas.microsoft.com/office/spreadsheetml/2017/richdata2" ref="A1:D198">
    <sortCondition ref="A1"/>
  </sortState>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Лист27">
    <tabColor theme="3" tint="0.79998168889431442"/>
  </sheetPr>
  <dimension ref="A1:D1"/>
  <sheetViews>
    <sheetView zoomScale="80" zoomScaleNormal="80" workbookViewId="0"/>
  </sheetViews>
  <sheetFormatPr defaultColWidth="9.109375" defaultRowHeight="14.4"/>
  <cols>
    <col min="1" max="1" width="34.88671875" customWidth="1"/>
    <col min="4" max="4" width="62.6640625" customWidth="1"/>
    <col min="5" max="16384" width="9.109375" style="43"/>
  </cols>
  <sheetData/>
  <sheetProtection selectLockedCells="1"/>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Лист139">
    <tabColor theme="3" tint="0.79998168889431442"/>
  </sheetPr>
  <dimension ref="A1:E1"/>
  <sheetViews>
    <sheetView zoomScale="80" zoomScaleNormal="80" workbookViewId="0"/>
  </sheetViews>
  <sheetFormatPr defaultColWidth="9.109375" defaultRowHeight="14.4"/>
  <cols>
    <col min="1" max="1" width="31.88671875" customWidth="1"/>
    <col min="2" max="2" width="7.109375" customWidth="1"/>
    <col min="3" max="3" width="8" customWidth="1"/>
    <col min="4" max="4" width="35.33203125" customWidth="1"/>
    <col min="5" max="5" width="11.6640625" customWidth="1"/>
    <col min="6" max="16384" width="9.109375" style="43"/>
  </cols>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Лист6">
    <tabColor theme="3" tint="0.79998168889431442"/>
  </sheetPr>
  <dimension ref="A1:R1"/>
  <sheetViews>
    <sheetView zoomScale="80" zoomScaleNormal="80" workbookViewId="0"/>
  </sheetViews>
  <sheetFormatPr defaultColWidth="9.109375" defaultRowHeight="15" customHeight="1"/>
  <cols>
    <col min="1" max="1" width="38.33203125" customWidth="1"/>
    <col min="2" max="2" width="5.6640625" customWidth="1"/>
    <col min="3" max="3" width="2.88671875" customWidth="1"/>
    <col min="4" max="4" width="3.109375" customWidth="1"/>
    <col min="5" max="5" width="2.5546875" customWidth="1"/>
    <col min="6" max="6" width="10" customWidth="1"/>
    <col min="7" max="7" width="12.109375" customWidth="1"/>
    <col min="8" max="8" width="4.44140625" customWidth="1"/>
    <col min="9" max="9" width="9.33203125" customWidth="1"/>
    <col min="10" max="10" width="5.33203125" customWidth="1"/>
    <col min="11" max="11" width="7.33203125" customWidth="1"/>
    <col min="12" max="12" width="5" customWidth="1"/>
    <col min="13" max="13" width="4" customWidth="1"/>
    <col min="14" max="14" width="9.6640625" customWidth="1"/>
    <col min="15" max="15" width="6.5546875" customWidth="1"/>
    <col min="16" max="17" width="6.109375" customWidth="1"/>
    <col min="18" max="18" width="68.88671875" customWidth="1"/>
    <col min="19" max="16384" width="9.109375" style="43"/>
  </cols>
  <sheetData>
    <row r="1" spans="1:18" ht="108.75" customHeight="1">
      <c r="A1" s="421" t="s">
        <v>57</v>
      </c>
      <c r="B1" s="421" t="s">
        <v>58</v>
      </c>
      <c r="C1" s="421" t="s">
        <v>59</v>
      </c>
      <c r="D1" s="421" t="s">
        <v>60</v>
      </c>
      <c r="E1" s="421" t="s">
        <v>61</v>
      </c>
      <c r="F1" s="421" t="s">
        <v>62</v>
      </c>
      <c r="G1" s="421" t="s">
        <v>63</v>
      </c>
      <c r="H1" s="421" t="s">
        <v>238</v>
      </c>
      <c r="I1" s="421" t="s">
        <v>64</v>
      </c>
      <c r="J1" s="421" t="s">
        <v>65</v>
      </c>
      <c r="K1" s="421" t="s">
        <v>66</v>
      </c>
      <c r="L1" s="421" t="s">
        <v>67</v>
      </c>
      <c r="M1" s="421" t="s">
        <v>1690</v>
      </c>
      <c r="N1" s="421" t="s">
        <v>1691</v>
      </c>
      <c r="O1" s="421" t="s">
        <v>1692</v>
      </c>
      <c r="P1" s="421" t="s">
        <v>1693</v>
      </c>
      <c r="Q1" s="421" t="s">
        <v>1694</v>
      </c>
      <c r="R1" s="421" t="s">
        <v>68</v>
      </c>
    </row>
  </sheetData>
  <sheetProtection selectLockedCells="1"/>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Лист107">
    <tabColor theme="3" tint="0.79998168889431442"/>
  </sheetPr>
  <dimension ref="A1:F1"/>
  <sheetViews>
    <sheetView topLeftCell="A93" zoomScale="80" zoomScaleNormal="80" workbookViewId="0">
      <selection activeCell="E118" sqref="E118"/>
    </sheetView>
  </sheetViews>
  <sheetFormatPr defaultColWidth="9.109375" defaultRowHeight="14.4"/>
  <cols>
    <col min="1" max="1" width="38.109375" customWidth="1"/>
    <col min="2" max="2" width="14.109375" customWidth="1"/>
    <col min="3" max="3" width="4.6640625" customWidth="1"/>
    <col min="4" max="4" width="1.33203125" customWidth="1"/>
    <col min="5" max="5" width="30.88671875" customWidth="1"/>
    <col min="6" max="6" width="44" customWidth="1"/>
    <col min="7" max="16384" width="9.109375" style="444"/>
  </cols>
  <sheetData>
    <row r="1" ht="159.75" customHeight="1"/>
  </sheetData>
  <sheetProtection selectLockedCells="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Лист154">
    <tabColor theme="3" tint="0.79998168889431442"/>
  </sheetPr>
  <dimension ref="A1:F1"/>
  <sheetViews>
    <sheetView zoomScale="80" zoomScaleNormal="80" workbookViewId="0">
      <selection activeCell="C25" sqref="C25"/>
    </sheetView>
  </sheetViews>
  <sheetFormatPr defaultColWidth="9.109375" defaultRowHeight="14.4"/>
  <cols>
    <col min="1" max="1" width="39.5546875" customWidth="1"/>
    <col min="2" max="2" width="6.5546875" customWidth="1"/>
    <col min="3" max="3" width="9.44140625" customWidth="1"/>
    <col min="4" max="4" width="6.88671875" customWidth="1"/>
    <col min="5" max="5" width="12.44140625" customWidth="1"/>
    <col min="6" max="6" width="44" customWidth="1"/>
    <col min="7" max="16384" width="9.109375" style="444"/>
  </cols>
  <sheetData>
    <row r="1" ht="159.75" customHeight="1"/>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Лист3">
    <tabColor theme="3" tint="0.79998168889431442"/>
  </sheetPr>
  <dimension ref="A1:N915"/>
  <sheetViews>
    <sheetView zoomScale="80" zoomScaleNormal="80" workbookViewId="0">
      <selection activeCell="D2" sqref="D2:D4"/>
    </sheetView>
  </sheetViews>
  <sheetFormatPr defaultColWidth="9.109375" defaultRowHeight="14.4"/>
  <cols>
    <col min="1" max="1" width="26.5546875" style="775" customWidth="1"/>
    <col min="2" max="2" width="77.88671875" style="89" customWidth="1"/>
    <col min="3" max="3" width="2.88671875" style="43" customWidth="1"/>
    <col min="4" max="4" width="91.88671875" style="43" customWidth="1"/>
    <col min="5" max="13" width="15.6640625" style="43" customWidth="1"/>
    <col min="14" max="15" width="13.109375" style="43" customWidth="1"/>
    <col min="16" max="16" width="15" style="43" customWidth="1"/>
    <col min="17" max="17" width="15.33203125" style="43" customWidth="1"/>
    <col min="18" max="16384" width="9.109375" style="43"/>
  </cols>
  <sheetData>
    <row r="1" spans="2:14" ht="15" customHeight="1">
      <c r="B1" s="90" t="s">
        <v>3080</v>
      </c>
      <c r="C1" s="85"/>
      <c r="D1" s="84" t="s">
        <v>399</v>
      </c>
      <c r="E1" s="86"/>
      <c r="F1" s="86"/>
      <c r="G1" s="86"/>
      <c r="H1" s="86"/>
      <c r="I1" s="86"/>
      <c r="J1" s="86"/>
      <c r="K1" s="86"/>
      <c r="L1" s="86"/>
      <c r="M1" s="86"/>
      <c r="N1" s="86"/>
    </row>
    <row r="2" spans="2:14" ht="20.25" customHeight="1">
      <c r="B2" s="84"/>
      <c r="C2" s="87"/>
      <c r="D2" s="776" t="s">
        <v>3093</v>
      </c>
      <c r="E2" s="80"/>
      <c r="F2" s="80"/>
      <c r="G2" s="80"/>
      <c r="H2" s="80"/>
      <c r="I2" s="80"/>
      <c r="J2" s="80"/>
      <c r="K2" s="80"/>
      <c r="L2" s="80"/>
      <c r="M2" s="80"/>
      <c r="N2" s="80"/>
    </row>
    <row r="3" spans="2:14" ht="342" customHeight="1">
      <c r="B3" s="763" t="s">
        <v>2851</v>
      </c>
      <c r="C3" s="87"/>
      <c r="D3" s="777"/>
      <c r="E3" s="80"/>
      <c r="F3" s="80"/>
      <c r="G3" s="80"/>
      <c r="H3" s="80"/>
      <c r="I3" s="80"/>
      <c r="J3" s="80"/>
      <c r="K3" s="80"/>
      <c r="L3" s="80"/>
      <c r="M3" s="80"/>
      <c r="N3" s="80"/>
    </row>
    <row r="4" spans="2:14" ht="377.25" customHeight="1">
      <c r="B4" s="307" t="s">
        <v>2852</v>
      </c>
      <c r="D4" s="777"/>
    </row>
    <row r="5" spans="2:14" ht="15" customHeight="1">
      <c r="B5" s="88"/>
      <c r="D5" s="250"/>
    </row>
    <row r="6" spans="2:14" ht="283.5" customHeight="1">
      <c r="B6" s="403" t="s">
        <v>702</v>
      </c>
      <c r="D6" s="250"/>
    </row>
    <row r="7" spans="2:14" ht="195.75" customHeight="1">
      <c r="B7" s="682" t="s">
        <v>1875</v>
      </c>
      <c r="D7" s="95"/>
    </row>
    <row r="8" spans="2:14" ht="219.75" customHeight="1">
      <c r="B8" s="762" t="s">
        <v>2347</v>
      </c>
      <c r="D8" s="364"/>
    </row>
    <row r="9" spans="2:14" ht="363.75" customHeight="1">
      <c r="B9" s="706" t="s">
        <v>3001</v>
      </c>
      <c r="D9" s="84"/>
    </row>
    <row r="10" spans="2:14">
      <c r="B10" s="43"/>
      <c r="D10" s="84"/>
    </row>
    <row r="11" spans="2:14">
      <c r="B11" s="43"/>
      <c r="D11" s="84"/>
    </row>
    <row r="12" spans="2:14">
      <c r="B12" s="43"/>
      <c r="D12" s="84"/>
    </row>
    <row r="13" spans="2:14">
      <c r="B13" s="43"/>
      <c r="D13" s="84"/>
    </row>
    <row r="14" spans="2:14">
      <c r="B14" s="43"/>
      <c r="D14" s="84"/>
    </row>
    <row r="15" spans="2:14">
      <c r="B15" s="43"/>
      <c r="D15" s="84"/>
    </row>
    <row r="16" spans="2:14">
      <c r="B16" s="43"/>
      <c r="D16" s="84"/>
    </row>
    <row r="17" spans="2:4">
      <c r="B17" s="43"/>
      <c r="D17" s="84"/>
    </row>
    <row r="18" spans="2:4">
      <c r="B18" s="43"/>
      <c r="D18" s="84"/>
    </row>
    <row r="19" spans="2:4">
      <c r="B19" s="43"/>
      <c r="D19" s="84"/>
    </row>
    <row r="20" spans="2:4">
      <c r="B20" s="43"/>
      <c r="D20" s="84"/>
    </row>
    <row r="21" spans="2:4">
      <c r="B21" s="43"/>
      <c r="D21" s="84"/>
    </row>
    <row r="22" spans="2:4">
      <c r="B22" s="43"/>
      <c r="D22" s="84"/>
    </row>
    <row r="23" spans="2:4">
      <c r="B23" s="43"/>
      <c r="D23" s="84"/>
    </row>
    <row r="24" spans="2:4">
      <c r="B24" s="43"/>
      <c r="D24" s="84"/>
    </row>
    <row r="25" spans="2:4">
      <c r="B25" s="43"/>
      <c r="D25" s="84"/>
    </row>
    <row r="26" spans="2:4">
      <c r="B26" s="43"/>
      <c r="D26" s="84"/>
    </row>
    <row r="27" spans="2:4">
      <c r="B27" s="43"/>
      <c r="D27" s="84"/>
    </row>
    <row r="28" spans="2:4">
      <c r="B28" s="43"/>
      <c r="D28" s="84"/>
    </row>
    <row r="29" spans="2:4">
      <c r="B29" s="43"/>
      <c r="D29" s="84"/>
    </row>
    <row r="30" spans="2:4">
      <c r="B30" s="43"/>
      <c r="D30" s="84"/>
    </row>
    <row r="31" spans="2:4">
      <c r="B31" s="43"/>
      <c r="D31" s="84"/>
    </row>
    <row r="32" spans="2:4">
      <c r="B32" s="43"/>
      <c r="D32" s="84"/>
    </row>
    <row r="33" spans="2:4">
      <c r="B33" s="43"/>
      <c r="D33" s="84"/>
    </row>
    <row r="34" spans="2:4">
      <c r="B34" s="43"/>
      <c r="D34" s="84"/>
    </row>
    <row r="35" spans="2:4">
      <c r="B35" s="43"/>
      <c r="D35" s="84"/>
    </row>
    <row r="36" spans="2:4">
      <c r="B36" s="43"/>
      <c r="D36" s="84"/>
    </row>
    <row r="37" spans="2:4">
      <c r="B37" s="43"/>
      <c r="D37" s="84"/>
    </row>
    <row r="38" spans="2:4">
      <c r="B38" s="43"/>
      <c r="D38" s="84"/>
    </row>
    <row r="39" spans="2:4">
      <c r="B39" s="43"/>
      <c r="D39" s="84"/>
    </row>
    <row r="40" spans="2:4">
      <c r="B40" s="43"/>
      <c r="D40" s="84"/>
    </row>
    <row r="41" spans="2:4">
      <c r="B41" s="43"/>
      <c r="D41" s="84"/>
    </row>
    <row r="42" spans="2:4">
      <c r="B42" s="43"/>
      <c r="D42" s="84"/>
    </row>
    <row r="43" spans="2:4">
      <c r="B43" s="43"/>
      <c r="D43" s="84"/>
    </row>
    <row r="44" spans="2:4">
      <c r="B44" s="43"/>
      <c r="D44" s="84"/>
    </row>
    <row r="45" spans="2:4">
      <c r="B45" s="43"/>
      <c r="D45" s="84"/>
    </row>
    <row r="46" spans="2:4">
      <c r="B46" s="43"/>
      <c r="D46" s="84"/>
    </row>
    <row r="47" spans="2:4">
      <c r="B47" s="43"/>
      <c r="D47" s="84"/>
    </row>
    <row r="48" spans="2:4">
      <c r="B48" s="43"/>
      <c r="D48" s="84"/>
    </row>
    <row r="49" spans="2:4">
      <c r="B49" s="43"/>
      <c r="D49" s="84"/>
    </row>
    <row r="50" spans="2:4">
      <c r="B50" s="43"/>
      <c r="D50" s="84"/>
    </row>
    <row r="51" spans="2:4">
      <c r="B51" s="43"/>
      <c r="D51" s="84"/>
    </row>
    <row r="52" spans="2:4">
      <c r="B52" s="43"/>
      <c r="D52" s="84"/>
    </row>
    <row r="53" spans="2:4">
      <c r="B53" s="43"/>
      <c r="D53" s="84"/>
    </row>
    <row r="54" spans="2:4">
      <c r="B54" s="43"/>
      <c r="D54" s="84"/>
    </row>
    <row r="55" spans="2:4">
      <c r="B55" s="43"/>
      <c r="D55" s="84"/>
    </row>
    <row r="56" spans="2:4">
      <c r="B56" s="43"/>
      <c r="D56" s="84"/>
    </row>
    <row r="57" spans="2:4">
      <c r="B57" s="43"/>
      <c r="D57" s="84"/>
    </row>
    <row r="58" spans="2:4">
      <c r="B58" s="43"/>
      <c r="D58" s="84"/>
    </row>
    <row r="59" spans="2:4">
      <c r="B59" s="43"/>
      <c r="D59" s="84"/>
    </row>
    <row r="60" spans="2:4">
      <c r="B60" s="43"/>
      <c r="D60" s="84"/>
    </row>
    <row r="61" spans="2:4">
      <c r="B61" s="43"/>
      <c r="D61" s="84"/>
    </row>
    <row r="62" spans="2:4">
      <c r="B62" s="43"/>
      <c r="D62" s="84"/>
    </row>
    <row r="63" spans="2:4">
      <c r="B63" s="43"/>
      <c r="D63" s="84"/>
    </row>
    <row r="64" spans="2:4">
      <c r="B64" s="43"/>
      <c r="D64" s="84"/>
    </row>
    <row r="65" spans="2:4">
      <c r="B65" s="43"/>
      <c r="D65" s="84"/>
    </row>
    <row r="66" spans="2:4">
      <c r="B66" s="43"/>
      <c r="D66" s="84"/>
    </row>
    <row r="67" spans="2:4">
      <c r="B67" s="43"/>
      <c r="D67" s="84"/>
    </row>
    <row r="68" spans="2:4">
      <c r="B68" s="43"/>
      <c r="D68" s="84"/>
    </row>
    <row r="69" spans="2:4">
      <c r="B69" s="43"/>
      <c r="D69" s="84"/>
    </row>
    <row r="70" spans="2:4">
      <c r="B70" s="43"/>
      <c r="D70" s="84"/>
    </row>
    <row r="71" spans="2:4">
      <c r="B71" s="43"/>
      <c r="D71" s="84"/>
    </row>
    <row r="72" spans="2:4">
      <c r="B72" s="43"/>
      <c r="D72" s="84"/>
    </row>
    <row r="73" spans="2:4">
      <c r="B73" s="43"/>
      <c r="D73" s="84"/>
    </row>
    <row r="74" spans="2:4">
      <c r="B74" s="43"/>
      <c r="D74" s="84"/>
    </row>
    <row r="75" spans="2:4">
      <c r="B75" s="43"/>
      <c r="D75" s="84"/>
    </row>
    <row r="76" spans="2:4">
      <c r="B76" s="43"/>
      <c r="D76" s="84"/>
    </row>
    <row r="77" spans="2:4">
      <c r="B77" s="43"/>
      <c r="D77" s="84"/>
    </row>
    <row r="78" spans="2:4">
      <c r="B78" s="43"/>
      <c r="D78" s="84"/>
    </row>
    <row r="79" spans="2:4">
      <c r="B79" s="43"/>
      <c r="D79" s="84"/>
    </row>
    <row r="80" spans="2:4">
      <c r="B80" s="43"/>
      <c r="D80" s="84"/>
    </row>
    <row r="81" spans="2:4">
      <c r="B81" s="43"/>
      <c r="D81" s="84"/>
    </row>
    <row r="82" spans="2:4">
      <c r="B82" s="43"/>
      <c r="D82" s="84"/>
    </row>
    <row r="83" spans="2:4">
      <c r="B83" s="43"/>
      <c r="D83" s="84"/>
    </row>
    <row r="84" spans="2:4">
      <c r="B84" s="43"/>
      <c r="D84" s="84"/>
    </row>
    <row r="85" spans="2:4">
      <c r="B85" s="43"/>
      <c r="D85" s="84"/>
    </row>
    <row r="86" spans="2:4">
      <c r="B86" s="43"/>
      <c r="D86" s="84"/>
    </row>
    <row r="87" spans="2:4">
      <c r="B87" s="43"/>
      <c r="D87" s="84"/>
    </row>
    <row r="88" spans="2:4">
      <c r="B88" s="43"/>
      <c r="D88" s="84"/>
    </row>
    <row r="89" spans="2:4">
      <c r="B89" s="43"/>
      <c r="D89" s="84"/>
    </row>
    <row r="90" spans="2:4">
      <c r="B90" s="43"/>
      <c r="D90" s="84"/>
    </row>
    <row r="91" spans="2:4">
      <c r="B91" s="43"/>
      <c r="D91" s="84"/>
    </row>
    <row r="92" spans="2:4">
      <c r="B92" s="43"/>
      <c r="D92" s="84"/>
    </row>
    <row r="93" spans="2:4">
      <c r="B93" s="43"/>
      <c r="D93" s="84"/>
    </row>
    <row r="94" spans="2:4">
      <c r="B94" s="43"/>
      <c r="D94" s="84"/>
    </row>
    <row r="95" spans="2:4">
      <c r="B95" s="43"/>
      <c r="D95" s="84"/>
    </row>
    <row r="96" spans="2:4">
      <c r="B96" s="43"/>
      <c r="D96" s="84"/>
    </row>
    <row r="97" spans="2:4">
      <c r="B97" s="43"/>
      <c r="D97" s="84"/>
    </row>
    <row r="98" spans="2:4">
      <c r="B98" s="43"/>
      <c r="D98" s="84"/>
    </row>
    <row r="99" spans="2:4">
      <c r="B99" s="43"/>
      <c r="D99" s="84"/>
    </row>
    <row r="100" spans="2:4">
      <c r="B100" s="43"/>
      <c r="D100" s="84"/>
    </row>
    <row r="101" spans="2:4">
      <c r="B101" s="43"/>
    </row>
    <row r="102" spans="2:4">
      <c r="B102" s="43"/>
    </row>
    <row r="103" spans="2:4">
      <c r="B103" s="43"/>
    </row>
    <row r="104" spans="2:4">
      <c r="B104" s="43"/>
    </row>
    <row r="105" spans="2:4">
      <c r="B105" s="43"/>
    </row>
    <row r="106" spans="2:4">
      <c r="B106" s="43"/>
    </row>
    <row r="107" spans="2:4">
      <c r="B107" s="43"/>
    </row>
    <row r="108" spans="2:4">
      <c r="B108" s="43"/>
    </row>
    <row r="109" spans="2:4">
      <c r="B109" s="43"/>
    </row>
    <row r="110" spans="2:4">
      <c r="B110" s="43"/>
    </row>
    <row r="111" spans="2:4">
      <c r="B111" s="43"/>
    </row>
    <row r="112" spans="2:4">
      <c r="B112" s="43"/>
    </row>
    <row r="113" spans="2:2">
      <c r="B113" s="43"/>
    </row>
    <row r="114" spans="2:2">
      <c r="B114" s="43"/>
    </row>
    <row r="115" spans="2:2">
      <c r="B115" s="43"/>
    </row>
    <row r="116" spans="2:2">
      <c r="B116" s="43"/>
    </row>
    <row r="117" spans="2:2">
      <c r="B117" s="43"/>
    </row>
    <row r="118" spans="2:2">
      <c r="B118" s="43"/>
    </row>
    <row r="119" spans="2:2">
      <c r="B119" s="43"/>
    </row>
    <row r="120" spans="2:2">
      <c r="B120" s="43"/>
    </row>
    <row r="121" spans="2:2">
      <c r="B121" s="43"/>
    </row>
    <row r="122" spans="2:2">
      <c r="B122" s="43"/>
    </row>
    <row r="123" spans="2:2">
      <c r="B123" s="43"/>
    </row>
    <row r="124" spans="2:2">
      <c r="B124" s="43"/>
    </row>
    <row r="125" spans="2:2">
      <c r="B125" s="43"/>
    </row>
    <row r="126" spans="2:2">
      <c r="B126" s="43"/>
    </row>
    <row r="127" spans="2:2">
      <c r="B127" s="43"/>
    </row>
    <row r="128" spans="2:2">
      <c r="B128" s="43"/>
    </row>
    <row r="129" spans="2:2">
      <c r="B129" s="43"/>
    </row>
    <row r="130" spans="2:2">
      <c r="B130" s="43"/>
    </row>
    <row r="131" spans="2:2">
      <c r="B131" s="43"/>
    </row>
    <row r="132" spans="2:2">
      <c r="B132" s="43"/>
    </row>
    <row r="133" spans="2:2">
      <c r="B133" s="43"/>
    </row>
    <row r="134" spans="2:2">
      <c r="B134" s="43"/>
    </row>
    <row r="135" spans="2:2">
      <c r="B135" s="43"/>
    </row>
    <row r="136" spans="2:2">
      <c r="B136" s="43"/>
    </row>
    <row r="137" spans="2:2">
      <c r="B137" s="43"/>
    </row>
    <row r="138" spans="2:2">
      <c r="B138" s="43"/>
    </row>
    <row r="139" spans="2:2">
      <c r="B139" s="43"/>
    </row>
    <row r="140" spans="2:2">
      <c r="B140" s="43"/>
    </row>
    <row r="141" spans="2:2">
      <c r="B141" s="43"/>
    </row>
    <row r="142" spans="2:2">
      <c r="B142" s="43"/>
    </row>
    <row r="143" spans="2:2">
      <c r="B143" s="43"/>
    </row>
    <row r="144" spans="2:2">
      <c r="B144" s="43"/>
    </row>
    <row r="145" spans="2:2">
      <c r="B145" s="43"/>
    </row>
    <row r="146" spans="2:2">
      <c r="B146" s="43"/>
    </row>
    <row r="147" spans="2:2">
      <c r="B147" s="43"/>
    </row>
    <row r="148" spans="2:2">
      <c r="B148" s="43"/>
    </row>
    <row r="149" spans="2:2">
      <c r="B149" s="43"/>
    </row>
    <row r="150" spans="2:2">
      <c r="B150" s="43"/>
    </row>
    <row r="151" spans="2:2">
      <c r="B151" s="43"/>
    </row>
    <row r="152" spans="2:2">
      <c r="B152" s="43"/>
    </row>
    <row r="153" spans="2:2">
      <c r="B153" s="43"/>
    </row>
    <row r="154" spans="2:2">
      <c r="B154" s="43"/>
    </row>
    <row r="155" spans="2:2">
      <c r="B155" s="43"/>
    </row>
    <row r="156" spans="2:2">
      <c r="B156" s="43"/>
    </row>
    <row r="157" spans="2:2">
      <c r="B157" s="43"/>
    </row>
    <row r="158" spans="2:2">
      <c r="B158" s="43"/>
    </row>
    <row r="159" spans="2:2">
      <c r="B159" s="43"/>
    </row>
    <row r="160" spans="2:2">
      <c r="B160" s="43"/>
    </row>
    <row r="161" spans="2:2">
      <c r="B161" s="43"/>
    </row>
    <row r="162" spans="2:2">
      <c r="B162" s="43"/>
    </row>
    <row r="163" spans="2:2">
      <c r="B163" s="43"/>
    </row>
    <row r="164" spans="2:2">
      <c r="B164" s="43"/>
    </row>
    <row r="165" spans="2:2">
      <c r="B165" s="43"/>
    </row>
    <row r="166" spans="2:2">
      <c r="B166" s="43"/>
    </row>
    <row r="167" spans="2:2">
      <c r="B167" s="43"/>
    </row>
    <row r="168" spans="2:2">
      <c r="B168" s="43"/>
    </row>
    <row r="169" spans="2:2">
      <c r="B169" s="43"/>
    </row>
    <row r="170" spans="2:2">
      <c r="B170" s="43"/>
    </row>
    <row r="171" spans="2:2">
      <c r="B171" s="43"/>
    </row>
    <row r="172" spans="2:2">
      <c r="B172" s="43"/>
    </row>
    <row r="173" spans="2:2">
      <c r="B173" s="43"/>
    </row>
    <row r="174" spans="2:2">
      <c r="B174" s="43"/>
    </row>
    <row r="175" spans="2:2">
      <c r="B175" s="43"/>
    </row>
    <row r="176" spans="2:2">
      <c r="B176" s="43"/>
    </row>
    <row r="177" spans="2:2">
      <c r="B177" s="43"/>
    </row>
    <row r="178" spans="2:2">
      <c r="B178" s="43"/>
    </row>
    <row r="179" spans="2:2">
      <c r="B179" s="43"/>
    </row>
    <row r="180" spans="2:2">
      <c r="B180" s="43"/>
    </row>
    <row r="181" spans="2:2">
      <c r="B181" s="43"/>
    </row>
    <row r="182" spans="2:2">
      <c r="B182" s="43"/>
    </row>
    <row r="183" spans="2:2">
      <c r="B183" s="43"/>
    </row>
    <row r="184" spans="2:2">
      <c r="B184" s="43"/>
    </row>
    <row r="185" spans="2:2">
      <c r="B185" s="43"/>
    </row>
    <row r="186" spans="2:2">
      <c r="B186" s="43"/>
    </row>
    <row r="187" spans="2:2">
      <c r="B187" s="43"/>
    </row>
    <row r="188" spans="2:2">
      <c r="B188" s="43"/>
    </row>
    <row r="189" spans="2:2">
      <c r="B189" s="43"/>
    </row>
    <row r="190" spans="2:2">
      <c r="B190" s="43"/>
    </row>
    <row r="191" spans="2:2">
      <c r="B191" s="43"/>
    </row>
    <row r="192" spans="2:2">
      <c r="B192" s="43"/>
    </row>
    <row r="193" spans="2:2">
      <c r="B193" s="43"/>
    </row>
    <row r="194" spans="2:2">
      <c r="B194" s="43"/>
    </row>
    <row r="195" spans="2:2">
      <c r="B195" s="43"/>
    </row>
    <row r="196" spans="2:2">
      <c r="B196" s="43"/>
    </row>
    <row r="197" spans="2:2">
      <c r="B197" s="43"/>
    </row>
    <row r="198" spans="2:2">
      <c r="B198" s="43"/>
    </row>
    <row r="199" spans="2:2">
      <c r="B199" s="43"/>
    </row>
    <row r="200" spans="2:2">
      <c r="B200" s="43"/>
    </row>
    <row r="201" spans="2:2">
      <c r="B201" s="43"/>
    </row>
    <row r="202" spans="2:2">
      <c r="B202" s="43"/>
    </row>
    <row r="203" spans="2:2">
      <c r="B203" s="43"/>
    </row>
    <row r="204" spans="2:2">
      <c r="B204" s="43"/>
    </row>
    <row r="205" spans="2:2">
      <c r="B205" s="43"/>
    </row>
    <row r="206" spans="2:2">
      <c r="B206" s="43"/>
    </row>
    <row r="207" spans="2:2">
      <c r="B207" s="43"/>
    </row>
    <row r="208" spans="2:2">
      <c r="B208" s="43"/>
    </row>
    <row r="209" spans="2:2">
      <c r="B209" s="43"/>
    </row>
    <row r="210" spans="2:2">
      <c r="B210" s="43"/>
    </row>
    <row r="211" spans="2:2">
      <c r="B211" s="43"/>
    </row>
    <row r="212" spans="2:2">
      <c r="B212" s="43"/>
    </row>
    <row r="213" spans="2:2">
      <c r="B213" s="43"/>
    </row>
    <row r="214" spans="2:2">
      <c r="B214" s="43"/>
    </row>
    <row r="215" spans="2:2">
      <c r="B215" s="43"/>
    </row>
    <row r="216" spans="2:2">
      <c r="B216" s="43"/>
    </row>
    <row r="217" spans="2:2">
      <c r="B217" s="43"/>
    </row>
    <row r="218" spans="2:2">
      <c r="B218" s="43"/>
    </row>
    <row r="219" spans="2:2">
      <c r="B219" s="43"/>
    </row>
    <row r="220" spans="2:2">
      <c r="B220" s="43"/>
    </row>
    <row r="221" spans="2:2">
      <c r="B221" s="43"/>
    </row>
    <row r="222" spans="2:2">
      <c r="B222" s="43"/>
    </row>
    <row r="223" spans="2:2">
      <c r="B223" s="43"/>
    </row>
    <row r="224" spans="2:2">
      <c r="B224" s="43"/>
    </row>
    <row r="225" spans="2:2">
      <c r="B225" s="43"/>
    </row>
    <row r="226" spans="2:2">
      <c r="B226" s="43"/>
    </row>
    <row r="227" spans="2:2">
      <c r="B227" s="43"/>
    </row>
    <row r="228" spans="2:2">
      <c r="B228" s="43"/>
    </row>
    <row r="229" spans="2:2">
      <c r="B229" s="43"/>
    </row>
    <row r="230" spans="2:2">
      <c r="B230" s="43"/>
    </row>
    <row r="231" spans="2:2">
      <c r="B231" s="43"/>
    </row>
    <row r="232" spans="2:2">
      <c r="B232" s="43"/>
    </row>
    <row r="233" spans="2:2">
      <c r="B233" s="43"/>
    </row>
    <row r="234" spans="2:2">
      <c r="B234" s="43"/>
    </row>
    <row r="235" spans="2:2">
      <c r="B235" s="43"/>
    </row>
    <row r="236" spans="2:2">
      <c r="B236" s="43"/>
    </row>
    <row r="237" spans="2:2">
      <c r="B237" s="43"/>
    </row>
    <row r="238" spans="2:2">
      <c r="B238" s="43"/>
    </row>
    <row r="239" spans="2:2">
      <c r="B239" s="43"/>
    </row>
    <row r="240" spans="2:2">
      <c r="B240" s="43"/>
    </row>
    <row r="241" spans="2:2">
      <c r="B241" s="43"/>
    </row>
    <row r="242" spans="2:2">
      <c r="B242" s="43"/>
    </row>
    <row r="243" spans="2:2">
      <c r="B243" s="43"/>
    </row>
    <row r="244" spans="2:2">
      <c r="B244" s="43"/>
    </row>
    <row r="245" spans="2:2">
      <c r="B245" s="43"/>
    </row>
    <row r="246" spans="2:2">
      <c r="B246" s="43"/>
    </row>
    <row r="247" spans="2:2">
      <c r="B247" s="43"/>
    </row>
    <row r="248" spans="2:2">
      <c r="B248" s="43"/>
    </row>
    <row r="249" spans="2:2">
      <c r="B249" s="43"/>
    </row>
    <row r="250" spans="2:2">
      <c r="B250" s="43"/>
    </row>
    <row r="251" spans="2:2">
      <c r="B251" s="43"/>
    </row>
    <row r="252" spans="2:2">
      <c r="B252" s="43"/>
    </row>
    <row r="253" spans="2:2">
      <c r="B253" s="43"/>
    </row>
    <row r="254" spans="2:2">
      <c r="B254" s="43"/>
    </row>
    <row r="255" spans="2:2">
      <c r="B255" s="43"/>
    </row>
    <row r="256" spans="2:2">
      <c r="B256" s="43"/>
    </row>
    <row r="257" spans="2:2">
      <c r="B257" s="43"/>
    </row>
    <row r="258" spans="2:2">
      <c r="B258" s="43"/>
    </row>
    <row r="259" spans="2:2">
      <c r="B259" s="43"/>
    </row>
    <row r="260" spans="2:2">
      <c r="B260" s="43"/>
    </row>
    <row r="261" spans="2:2">
      <c r="B261" s="43"/>
    </row>
    <row r="262" spans="2:2">
      <c r="B262" s="43"/>
    </row>
    <row r="263" spans="2:2">
      <c r="B263" s="43"/>
    </row>
    <row r="264" spans="2:2">
      <c r="B264" s="43"/>
    </row>
    <row r="265" spans="2:2">
      <c r="B265" s="43"/>
    </row>
    <row r="266" spans="2:2">
      <c r="B266" s="43"/>
    </row>
    <row r="267" spans="2:2">
      <c r="B267" s="43"/>
    </row>
    <row r="268" spans="2:2">
      <c r="B268" s="43"/>
    </row>
    <row r="269" spans="2:2">
      <c r="B269" s="43"/>
    </row>
    <row r="270" spans="2:2">
      <c r="B270" s="43"/>
    </row>
    <row r="271" spans="2:2">
      <c r="B271" s="43"/>
    </row>
    <row r="272" spans="2:2">
      <c r="B272" s="43"/>
    </row>
    <row r="273" spans="2:2">
      <c r="B273" s="43"/>
    </row>
    <row r="274" spans="2:2">
      <c r="B274" s="43"/>
    </row>
    <row r="275" spans="2:2">
      <c r="B275" s="43"/>
    </row>
    <row r="276" spans="2:2">
      <c r="B276" s="43"/>
    </row>
    <row r="277" spans="2:2">
      <c r="B277" s="43"/>
    </row>
    <row r="278" spans="2:2">
      <c r="B278" s="43"/>
    </row>
    <row r="279" spans="2:2">
      <c r="B279" s="43"/>
    </row>
    <row r="280" spans="2:2">
      <c r="B280" s="43"/>
    </row>
    <row r="281" spans="2:2">
      <c r="B281" s="43"/>
    </row>
    <row r="282" spans="2:2">
      <c r="B282" s="43"/>
    </row>
    <row r="283" spans="2:2">
      <c r="B283" s="43"/>
    </row>
    <row r="284" spans="2:2">
      <c r="B284" s="43"/>
    </row>
    <row r="285" spans="2:2">
      <c r="B285" s="43"/>
    </row>
    <row r="286" spans="2:2">
      <c r="B286" s="43"/>
    </row>
    <row r="287" spans="2:2">
      <c r="B287" s="43"/>
    </row>
    <row r="288" spans="2:2">
      <c r="B288" s="43"/>
    </row>
    <row r="289" spans="2:2">
      <c r="B289" s="43"/>
    </row>
    <row r="290" spans="2:2">
      <c r="B290" s="43"/>
    </row>
    <row r="291" spans="2:2">
      <c r="B291" s="43"/>
    </row>
    <row r="292" spans="2:2">
      <c r="B292" s="43"/>
    </row>
    <row r="293" spans="2:2">
      <c r="B293" s="43"/>
    </row>
    <row r="294" spans="2:2">
      <c r="B294" s="43"/>
    </row>
    <row r="295" spans="2:2">
      <c r="B295" s="43"/>
    </row>
    <row r="296" spans="2:2">
      <c r="B296" s="43"/>
    </row>
    <row r="297" spans="2:2">
      <c r="B297" s="43"/>
    </row>
    <row r="298" spans="2:2">
      <c r="B298" s="43"/>
    </row>
    <row r="299" spans="2:2">
      <c r="B299" s="43"/>
    </row>
    <row r="300" spans="2:2">
      <c r="B300" s="43"/>
    </row>
    <row r="301" spans="2:2">
      <c r="B301" s="43"/>
    </row>
    <row r="302" spans="2:2">
      <c r="B302" s="43"/>
    </row>
    <row r="303" spans="2:2">
      <c r="B303" s="43"/>
    </row>
    <row r="304" spans="2:2">
      <c r="B304" s="43"/>
    </row>
    <row r="305" spans="2:2">
      <c r="B305" s="43"/>
    </row>
    <row r="306" spans="2:2">
      <c r="B306" s="43"/>
    </row>
    <row r="307" spans="2:2">
      <c r="B307" s="43"/>
    </row>
    <row r="308" spans="2:2">
      <c r="B308" s="43"/>
    </row>
    <row r="309" spans="2:2">
      <c r="B309" s="43"/>
    </row>
    <row r="310" spans="2:2">
      <c r="B310" s="43"/>
    </row>
    <row r="311" spans="2:2">
      <c r="B311" s="43"/>
    </row>
    <row r="312" spans="2:2">
      <c r="B312" s="43"/>
    </row>
    <row r="313" spans="2:2">
      <c r="B313" s="43"/>
    </row>
    <row r="314" spans="2:2">
      <c r="B314" s="43"/>
    </row>
    <row r="315" spans="2:2">
      <c r="B315" s="43"/>
    </row>
    <row r="316" spans="2:2">
      <c r="B316" s="43"/>
    </row>
    <row r="317" spans="2:2">
      <c r="B317" s="43"/>
    </row>
    <row r="318" spans="2:2">
      <c r="B318" s="43"/>
    </row>
    <row r="319" spans="2:2">
      <c r="B319" s="43"/>
    </row>
    <row r="320" spans="2:2">
      <c r="B320" s="43"/>
    </row>
    <row r="321" spans="2:2">
      <c r="B321" s="43"/>
    </row>
    <row r="322" spans="2:2">
      <c r="B322" s="43"/>
    </row>
    <row r="323" spans="2:2">
      <c r="B323" s="43"/>
    </row>
    <row r="324" spans="2:2">
      <c r="B324" s="43"/>
    </row>
    <row r="325" spans="2:2">
      <c r="B325" s="43"/>
    </row>
    <row r="326" spans="2:2">
      <c r="B326" s="43"/>
    </row>
    <row r="327" spans="2:2">
      <c r="B327" s="43"/>
    </row>
    <row r="328" spans="2:2">
      <c r="B328" s="43"/>
    </row>
    <row r="329" spans="2:2">
      <c r="B329" s="43"/>
    </row>
    <row r="330" spans="2:2">
      <c r="B330" s="43"/>
    </row>
    <row r="331" spans="2:2">
      <c r="B331" s="43"/>
    </row>
    <row r="332" spans="2:2">
      <c r="B332" s="43"/>
    </row>
    <row r="333" spans="2:2">
      <c r="B333" s="43"/>
    </row>
    <row r="334" spans="2:2">
      <c r="B334" s="43"/>
    </row>
    <row r="335" spans="2:2">
      <c r="B335" s="43"/>
    </row>
    <row r="336" spans="2:2">
      <c r="B336" s="43"/>
    </row>
    <row r="337" spans="2:2">
      <c r="B337" s="43"/>
    </row>
    <row r="338" spans="2:2">
      <c r="B338" s="43"/>
    </row>
    <row r="339" spans="2:2">
      <c r="B339" s="43"/>
    </row>
    <row r="340" spans="2:2">
      <c r="B340" s="43"/>
    </row>
    <row r="341" spans="2:2">
      <c r="B341" s="43"/>
    </row>
    <row r="342" spans="2:2">
      <c r="B342" s="43"/>
    </row>
    <row r="343" spans="2:2">
      <c r="B343" s="43"/>
    </row>
    <row r="344" spans="2:2">
      <c r="B344" s="43"/>
    </row>
    <row r="345" spans="2:2">
      <c r="B345" s="43"/>
    </row>
    <row r="346" spans="2:2">
      <c r="B346" s="43"/>
    </row>
    <row r="347" spans="2:2">
      <c r="B347" s="43"/>
    </row>
    <row r="348" spans="2:2">
      <c r="B348" s="43"/>
    </row>
    <row r="349" spans="2:2">
      <c r="B349" s="43"/>
    </row>
    <row r="350" spans="2:2">
      <c r="B350" s="43"/>
    </row>
    <row r="351" spans="2:2">
      <c r="B351" s="43"/>
    </row>
    <row r="352" spans="2:2">
      <c r="B352" s="43"/>
    </row>
    <row r="353" spans="2:2">
      <c r="B353" s="43"/>
    </row>
    <row r="354" spans="2:2">
      <c r="B354" s="43"/>
    </row>
    <row r="355" spans="2:2">
      <c r="B355" s="43"/>
    </row>
    <row r="356" spans="2:2">
      <c r="B356" s="43"/>
    </row>
    <row r="357" spans="2:2">
      <c r="B357" s="43"/>
    </row>
    <row r="358" spans="2:2">
      <c r="B358" s="43"/>
    </row>
    <row r="359" spans="2:2">
      <c r="B359" s="43"/>
    </row>
    <row r="360" spans="2:2">
      <c r="B360" s="43"/>
    </row>
    <row r="361" spans="2:2">
      <c r="B361" s="43"/>
    </row>
    <row r="362" spans="2:2">
      <c r="B362" s="43"/>
    </row>
    <row r="363" spans="2:2">
      <c r="B363" s="43"/>
    </row>
    <row r="364" spans="2:2">
      <c r="B364" s="43"/>
    </row>
    <row r="365" spans="2:2">
      <c r="B365" s="43"/>
    </row>
    <row r="366" spans="2:2">
      <c r="B366" s="43"/>
    </row>
    <row r="367" spans="2:2">
      <c r="B367" s="43"/>
    </row>
    <row r="368" spans="2:2">
      <c r="B368" s="43"/>
    </row>
    <row r="369" spans="2:2">
      <c r="B369" s="43"/>
    </row>
    <row r="370" spans="2:2">
      <c r="B370" s="43"/>
    </row>
    <row r="371" spans="2:2">
      <c r="B371" s="43"/>
    </row>
    <row r="372" spans="2:2">
      <c r="B372" s="43"/>
    </row>
    <row r="373" spans="2:2">
      <c r="B373" s="43"/>
    </row>
    <row r="374" spans="2:2">
      <c r="B374" s="43"/>
    </row>
    <row r="375" spans="2:2">
      <c r="B375" s="43"/>
    </row>
    <row r="376" spans="2:2">
      <c r="B376" s="43"/>
    </row>
    <row r="377" spans="2:2">
      <c r="B377" s="43"/>
    </row>
    <row r="378" spans="2:2">
      <c r="B378" s="43"/>
    </row>
    <row r="379" spans="2:2">
      <c r="B379" s="43"/>
    </row>
    <row r="380" spans="2:2">
      <c r="B380" s="43"/>
    </row>
    <row r="381" spans="2:2">
      <c r="B381" s="43"/>
    </row>
    <row r="382" spans="2:2">
      <c r="B382" s="43"/>
    </row>
    <row r="383" spans="2:2">
      <c r="B383" s="43"/>
    </row>
    <row r="384" spans="2:2">
      <c r="B384" s="43"/>
    </row>
    <row r="385" spans="2:2">
      <c r="B385" s="43"/>
    </row>
    <row r="386" spans="2:2">
      <c r="B386" s="43"/>
    </row>
    <row r="387" spans="2:2">
      <c r="B387" s="43"/>
    </row>
    <row r="388" spans="2:2">
      <c r="B388" s="43"/>
    </row>
    <row r="389" spans="2:2">
      <c r="B389" s="43"/>
    </row>
    <row r="390" spans="2:2">
      <c r="B390" s="43"/>
    </row>
    <row r="391" spans="2:2">
      <c r="B391" s="43"/>
    </row>
    <row r="392" spans="2:2">
      <c r="B392" s="43"/>
    </row>
    <row r="393" spans="2:2">
      <c r="B393" s="43"/>
    </row>
    <row r="394" spans="2:2">
      <c r="B394" s="43"/>
    </row>
    <row r="395" spans="2:2">
      <c r="B395" s="43"/>
    </row>
    <row r="396" spans="2:2">
      <c r="B396" s="43"/>
    </row>
    <row r="397" spans="2:2">
      <c r="B397" s="43"/>
    </row>
    <row r="398" spans="2:2">
      <c r="B398" s="43"/>
    </row>
    <row r="399" spans="2:2">
      <c r="B399" s="43"/>
    </row>
    <row r="400" spans="2:2">
      <c r="B400" s="43"/>
    </row>
    <row r="401" spans="2:2">
      <c r="B401" s="43"/>
    </row>
    <row r="402" spans="2:2">
      <c r="B402" s="43"/>
    </row>
    <row r="403" spans="2:2">
      <c r="B403" s="43"/>
    </row>
    <row r="404" spans="2:2">
      <c r="B404" s="43"/>
    </row>
    <row r="405" spans="2:2">
      <c r="B405" s="43"/>
    </row>
    <row r="406" spans="2:2">
      <c r="B406" s="43"/>
    </row>
    <row r="407" spans="2:2">
      <c r="B407" s="43"/>
    </row>
    <row r="408" spans="2:2">
      <c r="B408" s="43"/>
    </row>
    <row r="409" spans="2:2">
      <c r="B409" s="43"/>
    </row>
    <row r="410" spans="2:2">
      <c r="B410" s="43"/>
    </row>
    <row r="411" spans="2:2">
      <c r="B411" s="43"/>
    </row>
    <row r="412" spans="2:2">
      <c r="B412" s="43"/>
    </row>
    <row r="413" spans="2:2">
      <c r="B413" s="43"/>
    </row>
    <row r="414" spans="2:2">
      <c r="B414" s="43"/>
    </row>
    <row r="415" spans="2:2">
      <c r="B415" s="43"/>
    </row>
    <row r="416" spans="2:2">
      <c r="B416" s="43"/>
    </row>
    <row r="417" spans="2:2">
      <c r="B417" s="43"/>
    </row>
    <row r="418" spans="2:2">
      <c r="B418" s="43"/>
    </row>
    <row r="419" spans="2:2">
      <c r="B419" s="43"/>
    </row>
    <row r="420" spans="2:2">
      <c r="B420" s="43"/>
    </row>
    <row r="421" spans="2:2">
      <c r="B421" s="43"/>
    </row>
    <row r="422" spans="2:2">
      <c r="B422" s="43"/>
    </row>
    <row r="423" spans="2:2">
      <c r="B423" s="43"/>
    </row>
    <row r="424" spans="2:2">
      <c r="B424" s="43"/>
    </row>
    <row r="425" spans="2:2">
      <c r="B425" s="43"/>
    </row>
    <row r="426" spans="2:2">
      <c r="B426" s="43"/>
    </row>
    <row r="427" spans="2:2">
      <c r="B427" s="43"/>
    </row>
    <row r="428" spans="2:2">
      <c r="B428" s="43"/>
    </row>
    <row r="429" spans="2:2">
      <c r="B429" s="43"/>
    </row>
    <row r="430" spans="2:2">
      <c r="B430" s="43"/>
    </row>
    <row r="431" spans="2:2">
      <c r="B431" s="43"/>
    </row>
    <row r="432" spans="2:2">
      <c r="B432" s="43"/>
    </row>
    <row r="433" spans="2:2">
      <c r="B433" s="43"/>
    </row>
    <row r="434" spans="2:2">
      <c r="B434" s="43"/>
    </row>
    <row r="435" spans="2:2">
      <c r="B435" s="43"/>
    </row>
    <row r="436" spans="2:2">
      <c r="B436" s="43"/>
    </row>
    <row r="437" spans="2:2">
      <c r="B437" s="43"/>
    </row>
    <row r="438" spans="2:2">
      <c r="B438" s="43"/>
    </row>
    <row r="439" spans="2:2">
      <c r="B439" s="43"/>
    </row>
    <row r="440" spans="2:2">
      <c r="B440" s="43"/>
    </row>
    <row r="441" spans="2:2">
      <c r="B441" s="43"/>
    </row>
    <row r="442" spans="2:2">
      <c r="B442" s="43"/>
    </row>
    <row r="443" spans="2:2">
      <c r="B443" s="43"/>
    </row>
    <row r="444" spans="2:2">
      <c r="B444" s="43"/>
    </row>
    <row r="445" spans="2:2">
      <c r="B445" s="43"/>
    </row>
    <row r="446" spans="2:2">
      <c r="B446" s="43"/>
    </row>
    <row r="447" spans="2:2">
      <c r="B447" s="43"/>
    </row>
    <row r="448" spans="2:2">
      <c r="B448" s="43"/>
    </row>
    <row r="449" spans="2:2">
      <c r="B449" s="43"/>
    </row>
    <row r="450" spans="2:2">
      <c r="B450" s="43"/>
    </row>
    <row r="451" spans="2:2">
      <c r="B451" s="43"/>
    </row>
    <row r="452" spans="2:2">
      <c r="B452" s="43"/>
    </row>
    <row r="453" spans="2:2">
      <c r="B453" s="43"/>
    </row>
    <row r="454" spans="2:2">
      <c r="B454" s="43"/>
    </row>
    <row r="455" spans="2:2">
      <c r="B455" s="43"/>
    </row>
    <row r="456" spans="2:2">
      <c r="B456" s="43"/>
    </row>
    <row r="457" spans="2:2">
      <c r="B457" s="43"/>
    </row>
    <row r="458" spans="2:2">
      <c r="B458" s="43"/>
    </row>
    <row r="459" spans="2:2">
      <c r="B459" s="43"/>
    </row>
    <row r="460" spans="2:2">
      <c r="B460" s="43"/>
    </row>
    <row r="461" spans="2:2">
      <c r="B461" s="43"/>
    </row>
    <row r="462" spans="2:2">
      <c r="B462" s="43"/>
    </row>
    <row r="463" spans="2:2">
      <c r="B463" s="43"/>
    </row>
    <row r="464" spans="2:2">
      <c r="B464" s="43"/>
    </row>
    <row r="465" spans="2:2">
      <c r="B465" s="43"/>
    </row>
    <row r="466" spans="2:2">
      <c r="B466" s="43"/>
    </row>
    <row r="467" spans="2:2">
      <c r="B467" s="43"/>
    </row>
    <row r="468" spans="2:2">
      <c r="B468" s="43"/>
    </row>
    <row r="469" spans="2:2">
      <c r="B469" s="43"/>
    </row>
    <row r="470" spans="2:2">
      <c r="B470" s="43"/>
    </row>
    <row r="471" spans="2:2">
      <c r="B471" s="43"/>
    </row>
    <row r="472" spans="2:2">
      <c r="B472" s="43"/>
    </row>
    <row r="473" spans="2:2">
      <c r="B473" s="43"/>
    </row>
    <row r="474" spans="2:2">
      <c r="B474" s="43"/>
    </row>
    <row r="475" spans="2:2">
      <c r="B475" s="43"/>
    </row>
    <row r="476" spans="2:2">
      <c r="B476" s="43"/>
    </row>
    <row r="477" spans="2:2">
      <c r="B477" s="43"/>
    </row>
    <row r="478" spans="2:2">
      <c r="B478" s="43"/>
    </row>
    <row r="479" spans="2:2">
      <c r="B479" s="43"/>
    </row>
    <row r="480" spans="2:2">
      <c r="B480" s="43"/>
    </row>
    <row r="481" spans="2:2">
      <c r="B481" s="43"/>
    </row>
    <row r="482" spans="2:2">
      <c r="B482" s="43"/>
    </row>
    <row r="483" spans="2:2">
      <c r="B483" s="43"/>
    </row>
    <row r="484" spans="2:2">
      <c r="B484" s="43"/>
    </row>
    <row r="485" spans="2:2">
      <c r="B485" s="43"/>
    </row>
    <row r="486" spans="2:2">
      <c r="B486" s="43"/>
    </row>
    <row r="487" spans="2:2">
      <c r="B487" s="43"/>
    </row>
    <row r="488" spans="2:2">
      <c r="B488" s="43"/>
    </row>
    <row r="489" spans="2:2">
      <c r="B489" s="43"/>
    </row>
    <row r="490" spans="2:2">
      <c r="B490" s="43"/>
    </row>
    <row r="491" spans="2:2">
      <c r="B491" s="43"/>
    </row>
    <row r="492" spans="2:2">
      <c r="B492" s="43"/>
    </row>
    <row r="493" spans="2:2">
      <c r="B493" s="43"/>
    </row>
    <row r="494" spans="2:2">
      <c r="B494" s="43"/>
    </row>
    <row r="495" spans="2:2">
      <c r="B495" s="43"/>
    </row>
    <row r="496" spans="2:2">
      <c r="B496" s="43"/>
    </row>
    <row r="497" spans="2:2">
      <c r="B497" s="43"/>
    </row>
    <row r="498" spans="2:2">
      <c r="B498" s="43"/>
    </row>
    <row r="499" spans="2:2">
      <c r="B499" s="43"/>
    </row>
    <row r="500" spans="2:2">
      <c r="B500" s="43"/>
    </row>
    <row r="501" spans="2:2">
      <c r="B501" s="43"/>
    </row>
    <row r="502" spans="2:2">
      <c r="B502" s="43"/>
    </row>
    <row r="503" spans="2:2">
      <c r="B503" s="43"/>
    </row>
    <row r="504" spans="2:2">
      <c r="B504" s="43"/>
    </row>
    <row r="505" spans="2:2">
      <c r="B505" s="43"/>
    </row>
    <row r="506" spans="2:2">
      <c r="B506" s="43"/>
    </row>
    <row r="507" spans="2:2">
      <c r="B507" s="43"/>
    </row>
    <row r="508" spans="2:2">
      <c r="B508" s="43"/>
    </row>
    <row r="509" spans="2:2">
      <c r="B509" s="43"/>
    </row>
    <row r="510" spans="2:2">
      <c r="B510" s="43"/>
    </row>
    <row r="511" spans="2:2">
      <c r="B511" s="43"/>
    </row>
    <row r="512" spans="2:2">
      <c r="B512" s="43"/>
    </row>
    <row r="513" spans="2:2">
      <c r="B513" s="43"/>
    </row>
    <row r="514" spans="2:2">
      <c r="B514" s="43"/>
    </row>
    <row r="515" spans="2:2">
      <c r="B515" s="43"/>
    </row>
    <row r="516" spans="2:2">
      <c r="B516" s="43"/>
    </row>
    <row r="517" spans="2:2">
      <c r="B517" s="43"/>
    </row>
    <row r="518" spans="2:2">
      <c r="B518" s="43"/>
    </row>
    <row r="519" spans="2:2">
      <c r="B519" s="43"/>
    </row>
    <row r="520" spans="2:2">
      <c r="B520" s="43"/>
    </row>
    <row r="521" spans="2:2">
      <c r="B521" s="43"/>
    </row>
    <row r="522" spans="2:2">
      <c r="B522" s="43"/>
    </row>
    <row r="523" spans="2:2">
      <c r="B523" s="43"/>
    </row>
    <row r="524" spans="2:2">
      <c r="B524" s="43"/>
    </row>
    <row r="525" spans="2:2">
      <c r="B525" s="43"/>
    </row>
    <row r="526" spans="2:2">
      <c r="B526" s="43"/>
    </row>
    <row r="527" spans="2:2">
      <c r="B527" s="43"/>
    </row>
    <row r="528" spans="2:2">
      <c r="B528" s="43"/>
    </row>
    <row r="529" spans="2:2">
      <c r="B529" s="43"/>
    </row>
    <row r="530" spans="2:2">
      <c r="B530" s="43"/>
    </row>
    <row r="531" spans="2:2">
      <c r="B531" s="43"/>
    </row>
    <row r="532" spans="2:2">
      <c r="B532" s="43"/>
    </row>
    <row r="533" spans="2:2">
      <c r="B533" s="43"/>
    </row>
    <row r="534" spans="2:2">
      <c r="B534" s="43"/>
    </row>
    <row r="535" spans="2:2">
      <c r="B535" s="43"/>
    </row>
    <row r="536" spans="2:2">
      <c r="B536" s="43"/>
    </row>
    <row r="537" spans="2:2">
      <c r="B537" s="43"/>
    </row>
    <row r="538" spans="2:2">
      <c r="B538" s="43"/>
    </row>
    <row r="539" spans="2:2">
      <c r="B539" s="43"/>
    </row>
    <row r="540" spans="2:2">
      <c r="B540" s="43"/>
    </row>
    <row r="541" spans="2:2">
      <c r="B541" s="43"/>
    </row>
    <row r="542" spans="2:2">
      <c r="B542" s="43"/>
    </row>
    <row r="543" spans="2:2">
      <c r="B543" s="43"/>
    </row>
    <row r="544" spans="2:2">
      <c r="B544" s="43"/>
    </row>
    <row r="545" spans="2:2">
      <c r="B545" s="43"/>
    </row>
    <row r="546" spans="2:2">
      <c r="B546" s="43"/>
    </row>
    <row r="547" spans="2:2">
      <c r="B547" s="43"/>
    </row>
    <row r="548" spans="2:2">
      <c r="B548" s="43"/>
    </row>
    <row r="549" spans="2:2">
      <c r="B549" s="43"/>
    </row>
    <row r="550" spans="2:2">
      <c r="B550" s="43"/>
    </row>
    <row r="551" spans="2:2">
      <c r="B551" s="43"/>
    </row>
    <row r="552" spans="2:2">
      <c r="B552" s="43"/>
    </row>
    <row r="553" spans="2:2">
      <c r="B553" s="43"/>
    </row>
    <row r="554" spans="2:2">
      <c r="B554" s="43"/>
    </row>
    <row r="555" spans="2:2">
      <c r="B555" s="43"/>
    </row>
    <row r="556" spans="2:2">
      <c r="B556" s="43"/>
    </row>
    <row r="557" spans="2:2">
      <c r="B557" s="43"/>
    </row>
    <row r="558" spans="2:2">
      <c r="B558" s="43"/>
    </row>
    <row r="559" spans="2:2">
      <c r="B559" s="43"/>
    </row>
    <row r="560" spans="2:2">
      <c r="B560" s="43"/>
    </row>
    <row r="561" spans="2:2">
      <c r="B561" s="43"/>
    </row>
    <row r="562" spans="2:2">
      <c r="B562" s="43"/>
    </row>
    <row r="563" spans="2:2">
      <c r="B563" s="43"/>
    </row>
    <row r="564" spans="2:2">
      <c r="B564" s="43"/>
    </row>
    <row r="565" spans="2:2">
      <c r="B565" s="43"/>
    </row>
    <row r="566" spans="2:2">
      <c r="B566" s="43"/>
    </row>
    <row r="567" spans="2:2">
      <c r="B567" s="43"/>
    </row>
    <row r="568" spans="2:2">
      <c r="B568" s="43"/>
    </row>
    <row r="569" spans="2:2">
      <c r="B569" s="43"/>
    </row>
    <row r="570" spans="2:2">
      <c r="B570" s="43"/>
    </row>
    <row r="571" spans="2:2">
      <c r="B571" s="43"/>
    </row>
    <row r="572" spans="2:2">
      <c r="B572" s="43"/>
    </row>
    <row r="573" spans="2:2">
      <c r="B573" s="43"/>
    </row>
    <row r="574" spans="2:2">
      <c r="B574" s="43"/>
    </row>
    <row r="575" spans="2:2">
      <c r="B575" s="43"/>
    </row>
    <row r="576" spans="2:2">
      <c r="B576" s="43"/>
    </row>
    <row r="577" spans="2:2">
      <c r="B577" s="43"/>
    </row>
    <row r="578" spans="2:2">
      <c r="B578" s="43"/>
    </row>
    <row r="579" spans="2:2">
      <c r="B579" s="43"/>
    </row>
    <row r="580" spans="2:2">
      <c r="B580" s="43"/>
    </row>
    <row r="581" spans="2:2">
      <c r="B581" s="43"/>
    </row>
    <row r="582" spans="2:2">
      <c r="B582" s="43"/>
    </row>
    <row r="583" spans="2:2">
      <c r="B583" s="43"/>
    </row>
    <row r="584" spans="2:2">
      <c r="B584" s="43"/>
    </row>
    <row r="585" spans="2:2">
      <c r="B585" s="43"/>
    </row>
    <row r="586" spans="2:2">
      <c r="B586" s="43"/>
    </row>
    <row r="587" spans="2:2">
      <c r="B587" s="43"/>
    </row>
    <row r="588" spans="2:2">
      <c r="B588" s="43"/>
    </row>
    <row r="589" spans="2:2">
      <c r="B589" s="43"/>
    </row>
    <row r="590" spans="2:2">
      <c r="B590" s="43"/>
    </row>
    <row r="591" spans="2:2">
      <c r="B591" s="43"/>
    </row>
    <row r="592" spans="2:2">
      <c r="B592" s="43"/>
    </row>
    <row r="593" spans="2:2">
      <c r="B593" s="43"/>
    </row>
    <row r="594" spans="2:2">
      <c r="B594" s="43"/>
    </row>
    <row r="595" spans="2:2">
      <c r="B595" s="43"/>
    </row>
    <row r="596" spans="2:2">
      <c r="B596" s="43"/>
    </row>
    <row r="597" spans="2:2">
      <c r="B597" s="43"/>
    </row>
    <row r="598" spans="2:2">
      <c r="B598" s="43"/>
    </row>
    <row r="599" spans="2:2">
      <c r="B599" s="43"/>
    </row>
    <row r="600" spans="2:2">
      <c r="B600" s="43"/>
    </row>
    <row r="601" spans="2:2">
      <c r="B601" s="43"/>
    </row>
    <row r="602" spans="2:2">
      <c r="B602" s="43"/>
    </row>
    <row r="603" spans="2:2">
      <c r="B603" s="43"/>
    </row>
    <row r="604" spans="2:2">
      <c r="B604" s="43"/>
    </row>
    <row r="605" spans="2:2">
      <c r="B605" s="43"/>
    </row>
    <row r="606" spans="2:2">
      <c r="B606" s="43"/>
    </row>
    <row r="607" spans="2:2">
      <c r="B607" s="43"/>
    </row>
    <row r="608" spans="2:2">
      <c r="B608" s="43"/>
    </row>
    <row r="609" spans="2:2">
      <c r="B609" s="43"/>
    </row>
    <row r="610" spans="2:2">
      <c r="B610" s="43"/>
    </row>
    <row r="611" spans="2:2">
      <c r="B611" s="43"/>
    </row>
    <row r="612" spans="2:2">
      <c r="B612" s="43"/>
    </row>
    <row r="613" spans="2:2">
      <c r="B613" s="43"/>
    </row>
    <row r="614" spans="2:2">
      <c r="B614" s="43"/>
    </row>
    <row r="615" spans="2:2">
      <c r="B615" s="43"/>
    </row>
    <row r="616" spans="2:2">
      <c r="B616" s="43"/>
    </row>
    <row r="617" spans="2:2">
      <c r="B617" s="43"/>
    </row>
    <row r="618" spans="2:2">
      <c r="B618" s="43"/>
    </row>
    <row r="619" spans="2:2">
      <c r="B619" s="43"/>
    </row>
    <row r="620" spans="2:2">
      <c r="B620" s="43"/>
    </row>
    <row r="621" spans="2:2">
      <c r="B621" s="43"/>
    </row>
    <row r="622" spans="2:2">
      <c r="B622" s="43"/>
    </row>
    <row r="623" spans="2:2">
      <c r="B623" s="43"/>
    </row>
    <row r="624" spans="2:2">
      <c r="B624" s="43"/>
    </row>
    <row r="625" spans="2:2">
      <c r="B625" s="43"/>
    </row>
    <row r="626" spans="2:2">
      <c r="B626" s="43"/>
    </row>
    <row r="627" spans="2:2">
      <c r="B627" s="43"/>
    </row>
    <row r="628" spans="2:2">
      <c r="B628" s="43"/>
    </row>
    <row r="629" spans="2:2">
      <c r="B629" s="43"/>
    </row>
    <row r="630" spans="2:2">
      <c r="B630" s="43"/>
    </row>
    <row r="631" spans="2:2">
      <c r="B631" s="43"/>
    </row>
    <row r="632" spans="2:2">
      <c r="B632" s="43"/>
    </row>
    <row r="633" spans="2:2">
      <c r="B633" s="43"/>
    </row>
    <row r="634" spans="2:2">
      <c r="B634" s="43"/>
    </row>
    <row r="635" spans="2:2">
      <c r="B635" s="43"/>
    </row>
    <row r="636" spans="2:2">
      <c r="B636" s="43"/>
    </row>
    <row r="637" spans="2:2">
      <c r="B637" s="43"/>
    </row>
    <row r="638" spans="2:2">
      <c r="B638" s="43"/>
    </row>
    <row r="639" spans="2:2">
      <c r="B639" s="43"/>
    </row>
    <row r="640" spans="2:2">
      <c r="B640" s="43"/>
    </row>
    <row r="641" spans="2:2">
      <c r="B641" s="43"/>
    </row>
    <row r="642" spans="2:2">
      <c r="B642" s="43"/>
    </row>
    <row r="643" spans="2:2">
      <c r="B643" s="43"/>
    </row>
    <row r="644" spans="2:2">
      <c r="B644" s="43"/>
    </row>
    <row r="645" spans="2:2">
      <c r="B645" s="43"/>
    </row>
    <row r="646" spans="2:2">
      <c r="B646" s="43"/>
    </row>
    <row r="647" spans="2:2">
      <c r="B647" s="43"/>
    </row>
    <row r="648" spans="2:2">
      <c r="B648" s="43"/>
    </row>
    <row r="649" spans="2:2">
      <c r="B649" s="43"/>
    </row>
    <row r="650" spans="2:2">
      <c r="B650" s="43"/>
    </row>
    <row r="651" spans="2:2">
      <c r="B651" s="43"/>
    </row>
    <row r="652" spans="2:2">
      <c r="B652" s="43"/>
    </row>
    <row r="653" spans="2:2">
      <c r="B653" s="43"/>
    </row>
    <row r="654" spans="2:2">
      <c r="B654" s="43"/>
    </row>
    <row r="655" spans="2:2">
      <c r="B655" s="43"/>
    </row>
    <row r="656" spans="2:2">
      <c r="B656" s="43"/>
    </row>
    <row r="657" spans="2:2">
      <c r="B657" s="43"/>
    </row>
    <row r="658" spans="2:2">
      <c r="B658" s="43"/>
    </row>
    <row r="659" spans="2:2">
      <c r="B659" s="43"/>
    </row>
    <row r="660" spans="2:2">
      <c r="B660" s="43"/>
    </row>
    <row r="661" spans="2:2">
      <c r="B661" s="43"/>
    </row>
    <row r="662" spans="2:2">
      <c r="B662" s="43"/>
    </row>
    <row r="663" spans="2:2">
      <c r="B663" s="43"/>
    </row>
    <row r="664" spans="2:2">
      <c r="B664" s="43"/>
    </row>
    <row r="665" spans="2:2">
      <c r="B665" s="43"/>
    </row>
    <row r="666" spans="2:2">
      <c r="B666" s="43"/>
    </row>
    <row r="667" spans="2:2">
      <c r="B667" s="43"/>
    </row>
    <row r="668" spans="2:2">
      <c r="B668" s="43"/>
    </row>
    <row r="669" spans="2:2">
      <c r="B669" s="43"/>
    </row>
    <row r="670" spans="2:2">
      <c r="B670" s="43"/>
    </row>
    <row r="671" spans="2:2">
      <c r="B671" s="43"/>
    </row>
    <row r="672" spans="2:2">
      <c r="B672" s="43"/>
    </row>
    <row r="673" spans="2:2">
      <c r="B673" s="43"/>
    </row>
    <row r="674" spans="2:2">
      <c r="B674" s="43"/>
    </row>
    <row r="675" spans="2:2">
      <c r="B675" s="43"/>
    </row>
    <row r="676" spans="2:2">
      <c r="B676" s="43"/>
    </row>
    <row r="677" spans="2:2">
      <c r="B677" s="43"/>
    </row>
    <row r="678" spans="2:2">
      <c r="B678" s="43"/>
    </row>
    <row r="679" spans="2:2">
      <c r="B679" s="43"/>
    </row>
    <row r="680" spans="2:2">
      <c r="B680" s="43"/>
    </row>
    <row r="681" spans="2:2">
      <c r="B681" s="43"/>
    </row>
    <row r="682" spans="2:2">
      <c r="B682" s="43"/>
    </row>
    <row r="683" spans="2:2">
      <c r="B683" s="43"/>
    </row>
    <row r="684" spans="2:2">
      <c r="B684" s="43"/>
    </row>
    <row r="685" spans="2:2">
      <c r="B685" s="43"/>
    </row>
    <row r="686" spans="2:2">
      <c r="B686" s="43"/>
    </row>
    <row r="687" spans="2:2">
      <c r="B687" s="43"/>
    </row>
    <row r="688" spans="2:2">
      <c r="B688" s="43"/>
    </row>
    <row r="689" spans="2:2">
      <c r="B689" s="43"/>
    </row>
    <row r="690" spans="2:2">
      <c r="B690" s="43"/>
    </row>
    <row r="691" spans="2:2">
      <c r="B691" s="43"/>
    </row>
    <row r="692" spans="2:2">
      <c r="B692" s="43"/>
    </row>
    <row r="693" spans="2:2">
      <c r="B693" s="43"/>
    </row>
    <row r="694" spans="2:2">
      <c r="B694" s="43"/>
    </row>
    <row r="695" spans="2:2">
      <c r="B695" s="43"/>
    </row>
    <row r="696" spans="2:2">
      <c r="B696" s="43"/>
    </row>
    <row r="697" spans="2:2">
      <c r="B697" s="43"/>
    </row>
    <row r="698" spans="2:2">
      <c r="B698" s="43"/>
    </row>
    <row r="699" spans="2:2">
      <c r="B699" s="43"/>
    </row>
    <row r="700" spans="2:2">
      <c r="B700" s="43"/>
    </row>
    <row r="701" spans="2:2">
      <c r="B701" s="43"/>
    </row>
    <row r="702" spans="2:2">
      <c r="B702" s="43"/>
    </row>
    <row r="703" spans="2:2">
      <c r="B703" s="43"/>
    </row>
    <row r="704" spans="2:2">
      <c r="B704" s="43"/>
    </row>
    <row r="705" spans="2:2">
      <c r="B705" s="43"/>
    </row>
    <row r="706" spans="2:2">
      <c r="B706" s="43"/>
    </row>
    <row r="707" spans="2:2">
      <c r="B707" s="43"/>
    </row>
    <row r="708" spans="2:2">
      <c r="B708" s="43"/>
    </row>
    <row r="709" spans="2:2">
      <c r="B709" s="43"/>
    </row>
    <row r="710" spans="2:2">
      <c r="B710" s="43"/>
    </row>
    <row r="711" spans="2:2">
      <c r="B711" s="43"/>
    </row>
    <row r="712" spans="2:2">
      <c r="B712" s="43"/>
    </row>
    <row r="713" spans="2:2">
      <c r="B713" s="43"/>
    </row>
    <row r="714" spans="2:2">
      <c r="B714" s="43"/>
    </row>
    <row r="715" spans="2:2">
      <c r="B715" s="43"/>
    </row>
    <row r="716" spans="2:2">
      <c r="B716" s="43"/>
    </row>
    <row r="717" spans="2:2">
      <c r="B717" s="43"/>
    </row>
    <row r="718" spans="2:2">
      <c r="B718" s="43"/>
    </row>
    <row r="719" spans="2:2">
      <c r="B719" s="43"/>
    </row>
    <row r="720" spans="2:2">
      <c r="B720" s="43"/>
    </row>
    <row r="721" spans="2:2">
      <c r="B721" s="43"/>
    </row>
    <row r="722" spans="2:2">
      <c r="B722" s="43"/>
    </row>
    <row r="723" spans="2:2">
      <c r="B723" s="43"/>
    </row>
    <row r="724" spans="2:2">
      <c r="B724" s="43"/>
    </row>
    <row r="725" spans="2:2">
      <c r="B725" s="43"/>
    </row>
    <row r="726" spans="2:2">
      <c r="B726" s="43"/>
    </row>
    <row r="727" spans="2:2">
      <c r="B727" s="43"/>
    </row>
    <row r="728" spans="2:2">
      <c r="B728" s="43"/>
    </row>
    <row r="729" spans="2:2">
      <c r="B729" s="43"/>
    </row>
    <row r="730" spans="2:2">
      <c r="B730" s="43"/>
    </row>
    <row r="731" spans="2:2">
      <c r="B731" s="43"/>
    </row>
    <row r="732" spans="2:2">
      <c r="B732" s="43"/>
    </row>
    <row r="733" spans="2:2">
      <c r="B733" s="43"/>
    </row>
    <row r="734" spans="2:2">
      <c r="B734" s="43"/>
    </row>
    <row r="735" spans="2:2">
      <c r="B735" s="43"/>
    </row>
    <row r="736" spans="2:2">
      <c r="B736" s="43"/>
    </row>
    <row r="737" spans="2:2">
      <c r="B737" s="43"/>
    </row>
    <row r="738" spans="2:2">
      <c r="B738" s="43"/>
    </row>
    <row r="739" spans="2:2">
      <c r="B739" s="43"/>
    </row>
    <row r="740" spans="2:2">
      <c r="B740" s="43"/>
    </row>
    <row r="741" spans="2:2">
      <c r="B741" s="43"/>
    </row>
    <row r="742" spans="2:2">
      <c r="B742" s="43"/>
    </row>
    <row r="743" spans="2:2">
      <c r="B743" s="43"/>
    </row>
    <row r="744" spans="2:2">
      <c r="B744" s="43"/>
    </row>
    <row r="745" spans="2:2">
      <c r="B745" s="43"/>
    </row>
    <row r="746" spans="2:2">
      <c r="B746" s="43"/>
    </row>
    <row r="747" spans="2:2">
      <c r="B747" s="43"/>
    </row>
    <row r="748" spans="2:2">
      <c r="B748" s="43"/>
    </row>
    <row r="749" spans="2:2">
      <c r="B749" s="43"/>
    </row>
    <row r="750" spans="2:2">
      <c r="B750" s="43"/>
    </row>
    <row r="751" spans="2:2">
      <c r="B751" s="43"/>
    </row>
    <row r="752" spans="2:2">
      <c r="B752" s="43"/>
    </row>
    <row r="753" spans="2:2">
      <c r="B753" s="43"/>
    </row>
    <row r="754" spans="2:2">
      <c r="B754" s="43"/>
    </row>
    <row r="755" spans="2:2">
      <c r="B755" s="43"/>
    </row>
    <row r="756" spans="2:2">
      <c r="B756" s="43"/>
    </row>
    <row r="757" spans="2:2">
      <c r="B757" s="43"/>
    </row>
    <row r="758" spans="2:2">
      <c r="B758" s="43"/>
    </row>
    <row r="759" spans="2:2">
      <c r="B759" s="43"/>
    </row>
    <row r="760" spans="2:2">
      <c r="B760" s="43"/>
    </row>
    <row r="761" spans="2:2">
      <c r="B761" s="43"/>
    </row>
    <row r="762" spans="2:2">
      <c r="B762" s="43"/>
    </row>
    <row r="763" spans="2:2">
      <c r="B763" s="43"/>
    </row>
    <row r="764" spans="2:2">
      <c r="B764" s="43"/>
    </row>
    <row r="765" spans="2:2">
      <c r="B765" s="43"/>
    </row>
    <row r="766" spans="2:2">
      <c r="B766" s="43"/>
    </row>
    <row r="767" spans="2:2">
      <c r="B767" s="43"/>
    </row>
    <row r="768" spans="2:2">
      <c r="B768" s="43"/>
    </row>
    <row r="769" spans="2:2">
      <c r="B769" s="43"/>
    </row>
    <row r="770" spans="2:2">
      <c r="B770" s="43"/>
    </row>
    <row r="771" spans="2:2">
      <c r="B771" s="43"/>
    </row>
    <row r="772" spans="2:2">
      <c r="B772" s="43"/>
    </row>
    <row r="773" spans="2:2">
      <c r="B773" s="43"/>
    </row>
    <row r="774" spans="2:2">
      <c r="B774" s="43"/>
    </row>
    <row r="775" spans="2:2">
      <c r="B775" s="43"/>
    </row>
    <row r="776" spans="2:2">
      <c r="B776" s="43"/>
    </row>
    <row r="777" spans="2:2">
      <c r="B777" s="43"/>
    </row>
    <row r="778" spans="2:2">
      <c r="B778" s="43"/>
    </row>
    <row r="779" spans="2:2">
      <c r="B779" s="43"/>
    </row>
    <row r="780" spans="2:2">
      <c r="B780" s="43"/>
    </row>
    <row r="781" spans="2:2">
      <c r="B781" s="43"/>
    </row>
    <row r="782" spans="2:2">
      <c r="B782" s="43"/>
    </row>
    <row r="783" spans="2:2">
      <c r="B783" s="43"/>
    </row>
    <row r="784" spans="2:2">
      <c r="B784" s="43"/>
    </row>
    <row r="785" spans="2:2">
      <c r="B785" s="43"/>
    </row>
    <row r="786" spans="2:2">
      <c r="B786" s="43"/>
    </row>
    <row r="787" spans="2:2">
      <c r="B787" s="43"/>
    </row>
    <row r="788" spans="2:2">
      <c r="B788" s="43"/>
    </row>
    <row r="789" spans="2:2">
      <c r="B789" s="43"/>
    </row>
    <row r="790" spans="2:2">
      <c r="B790" s="43"/>
    </row>
    <row r="791" spans="2:2">
      <c r="B791" s="43"/>
    </row>
    <row r="792" spans="2:2">
      <c r="B792" s="43"/>
    </row>
    <row r="793" spans="2:2">
      <c r="B793" s="43"/>
    </row>
    <row r="794" spans="2:2">
      <c r="B794" s="43"/>
    </row>
    <row r="795" spans="2:2">
      <c r="B795" s="43"/>
    </row>
    <row r="796" spans="2:2">
      <c r="B796" s="43"/>
    </row>
    <row r="797" spans="2:2">
      <c r="B797" s="43"/>
    </row>
    <row r="798" spans="2:2">
      <c r="B798" s="43"/>
    </row>
    <row r="799" spans="2:2">
      <c r="B799" s="43"/>
    </row>
    <row r="800" spans="2:2">
      <c r="B800" s="43"/>
    </row>
    <row r="801" spans="2:2">
      <c r="B801" s="43"/>
    </row>
    <row r="802" spans="2:2">
      <c r="B802" s="43"/>
    </row>
    <row r="803" spans="2:2">
      <c r="B803" s="43"/>
    </row>
    <row r="804" spans="2:2">
      <c r="B804" s="43"/>
    </row>
    <row r="805" spans="2:2">
      <c r="B805" s="43"/>
    </row>
    <row r="806" spans="2:2">
      <c r="B806" s="43"/>
    </row>
    <row r="807" spans="2:2">
      <c r="B807" s="43"/>
    </row>
    <row r="808" spans="2:2">
      <c r="B808" s="43"/>
    </row>
    <row r="809" spans="2:2">
      <c r="B809" s="43"/>
    </row>
    <row r="810" spans="2:2">
      <c r="B810" s="43"/>
    </row>
    <row r="811" spans="2:2">
      <c r="B811" s="43"/>
    </row>
    <row r="812" spans="2:2">
      <c r="B812" s="43"/>
    </row>
    <row r="813" spans="2:2">
      <c r="B813" s="43"/>
    </row>
    <row r="814" spans="2:2">
      <c r="B814" s="43"/>
    </row>
    <row r="815" spans="2:2">
      <c r="B815" s="43"/>
    </row>
    <row r="816" spans="2:2">
      <c r="B816" s="43"/>
    </row>
    <row r="817" spans="2:2">
      <c r="B817" s="43"/>
    </row>
    <row r="818" spans="2:2">
      <c r="B818" s="43"/>
    </row>
    <row r="819" spans="2:2">
      <c r="B819" s="43"/>
    </row>
    <row r="820" spans="2:2">
      <c r="B820" s="43"/>
    </row>
    <row r="821" spans="2:2">
      <c r="B821" s="43"/>
    </row>
    <row r="822" spans="2:2">
      <c r="B822" s="43"/>
    </row>
    <row r="823" spans="2:2">
      <c r="B823" s="43"/>
    </row>
    <row r="824" spans="2:2">
      <c r="B824" s="43"/>
    </row>
    <row r="825" spans="2:2">
      <c r="B825" s="43"/>
    </row>
    <row r="826" spans="2:2">
      <c r="B826" s="43"/>
    </row>
    <row r="827" spans="2:2">
      <c r="B827" s="43"/>
    </row>
    <row r="828" spans="2:2">
      <c r="B828" s="43"/>
    </row>
    <row r="829" spans="2:2">
      <c r="B829" s="43"/>
    </row>
    <row r="830" spans="2:2">
      <c r="B830" s="43"/>
    </row>
    <row r="831" spans="2:2">
      <c r="B831" s="43"/>
    </row>
    <row r="832" spans="2:2">
      <c r="B832" s="43"/>
    </row>
    <row r="833" spans="2:2">
      <c r="B833" s="43"/>
    </row>
    <row r="834" spans="2:2">
      <c r="B834" s="43"/>
    </row>
    <row r="835" spans="2:2">
      <c r="B835" s="43"/>
    </row>
    <row r="836" spans="2:2">
      <c r="B836" s="43"/>
    </row>
    <row r="837" spans="2:2">
      <c r="B837" s="43"/>
    </row>
    <row r="838" spans="2:2">
      <c r="B838" s="43"/>
    </row>
    <row r="839" spans="2:2">
      <c r="B839" s="43"/>
    </row>
    <row r="840" spans="2:2">
      <c r="B840" s="43"/>
    </row>
    <row r="841" spans="2:2">
      <c r="B841" s="43"/>
    </row>
    <row r="842" spans="2:2">
      <c r="B842" s="43"/>
    </row>
    <row r="843" spans="2:2">
      <c r="B843" s="43"/>
    </row>
    <row r="844" spans="2:2">
      <c r="B844" s="43"/>
    </row>
    <row r="845" spans="2:2">
      <c r="B845" s="43"/>
    </row>
    <row r="846" spans="2:2">
      <c r="B846" s="43"/>
    </row>
    <row r="847" spans="2:2">
      <c r="B847" s="43"/>
    </row>
    <row r="848" spans="2:2">
      <c r="B848" s="43"/>
    </row>
    <row r="849" spans="2:2">
      <c r="B849" s="43"/>
    </row>
    <row r="850" spans="2:2">
      <c r="B850" s="43"/>
    </row>
    <row r="851" spans="2:2">
      <c r="B851" s="43"/>
    </row>
    <row r="852" spans="2:2">
      <c r="B852" s="43"/>
    </row>
    <row r="853" spans="2:2">
      <c r="B853" s="43"/>
    </row>
    <row r="854" spans="2:2">
      <c r="B854" s="43"/>
    </row>
    <row r="855" spans="2:2">
      <c r="B855" s="43"/>
    </row>
    <row r="856" spans="2:2">
      <c r="B856" s="43"/>
    </row>
    <row r="857" spans="2:2">
      <c r="B857" s="43"/>
    </row>
    <row r="858" spans="2:2">
      <c r="B858" s="43"/>
    </row>
    <row r="859" spans="2:2">
      <c r="B859" s="43"/>
    </row>
    <row r="860" spans="2:2">
      <c r="B860" s="43"/>
    </row>
    <row r="861" spans="2:2">
      <c r="B861" s="43"/>
    </row>
    <row r="862" spans="2:2">
      <c r="B862" s="43"/>
    </row>
    <row r="863" spans="2:2">
      <c r="B863" s="43"/>
    </row>
    <row r="864" spans="2:2">
      <c r="B864" s="43"/>
    </row>
    <row r="865" spans="2:2">
      <c r="B865" s="43"/>
    </row>
    <row r="866" spans="2:2">
      <c r="B866" s="43"/>
    </row>
    <row r="867" spans="2:2">
      <c r="B867" s="43"/>
    </row>
    <row r="868" spans="2:2">
      <c r="B868" s="43"/>
    </row>
    <row r="869" spans="2:2">
      <c r="B869" s="43"/>
    </row>
    <row r="870" spans="2:2">
      <c r="B870" s="43"/>
    </row>
    <row r="871" spans="2:2">
      <c r="B871" s="43"/>
    </row>
    <row r="872" spans="2:2">
      <c r="B872" s="43"/>
    </row>
    <row r="873" spans="2:2">
      <c r="B873" s="43"/>
    </row>
    <row r="874" spans="2:2">
      <c r="B874" s="43"/>
    </row>
    <row r="875" spans="2:2">
      <c r="B875" s="43"/>
    </row>
    <row r="876" spans="2:2">
      <c r="B876" s="43"/>
    </row>
    <row r="877" spans="2:2">
      <c r="B877" s="43"/>
    </row>
    <row r="878" spans="2:2">
      <c r="B878" s="43"/>
    </row>
    <row r="879" spans="2:2">
      <c r="B879" s="43"/>
    </row>
    <row r="880" spans="2:2">
      <c r="B880" s="43"/>
    </row>
    <row r="881" spans="2:2">
      <c r="B881" s="43"/>
    </row>
    <row r="882" spans="2:2">
      <c r="B882" s="43"/>
    </row>
    <row r="883" spans="2:2">
      <c r="B883" s="43"/>
    </row>
    <row r="884" spans="2:2">
      <c r="B884" s="43"/>
    </row>
    <row r="885" spans="2:2">
      <c r="B885" s="43"/>
    </row>
    <row r="886" spans="2:2">
      <c r="B886" s="43"/>
    </row>
    <row r="887" spans="2:2">
      <c r="B887" s="43"/>
    </row>
    <row r="888" spans="2:2">
      <c r="B888" s="43"/>
    </row>
    <row r="889" spans="2:2">
      <c r="B889" s="43"/>
    </row>
    <row r="890" spans="2:2">
      <c r="B890" s="43"/>
    </row>
    <row r="891" spans="2:2">
      <c r="B891" s="43"/>
    </row>
    <row r="892" spans="2:2">
      <c r="B892" s="43"/>
    </row>
    <row r="893" spans="2:2">
      <c r="B893" s="43"/>
    </row>
    <row r="894" spans="2:2">
      <c r="B894" s="43"/>
    </row>
    <row r="895" spans="2:2">
      <c r="B895" s="43"/>
    </row>
    <row r="896" spans="2:2">
      <c r="B896" s="43"/>
    </row>
    <row r="897" spans="2:2">
      <c r="B897" s="43"/>
    </row>
    <row r="898" spans="2:2">
      <c r="B898" s="43"/>
    </row>
    <row r="899" spans="2:2">
      <c r="B899" s="43"/>
    </row>
    <row r="900" spans="2:2">
      <c r="B900" s="43"/>
    </row>
    <row r="901" spans="2:2">
      <c r="B901" s="43"/>
    </row>
    <row r="902" spans="2:2">
      <c r="B902" s="43"/>
    </row>
    <row r="903" spans="2:2">
      <c r="B903" s="43"/>
    </row>
    <row r="904" spans="2:2">
      <c r="B904" s="43"/>
    </row>
    <row r="905" spans="2:2">
      <c r="B905" s="43"/>
    </row>
    <row r="906" spans="2:2">
      <c r="B906" s="43"/>
    </row>
    <row r="907" spans="2:2">
      <c r="B907" s="43"/>
    </row>
    <row r="908" spans="2:2">
      <c r="B908" s="43"/>
    </row>
    <row r="909" spans="2:2">
      <c r="B909" s="43"/>
    </row>
    <row r="910" spans="2:2">
      <c r="B910" s="43"/>
    </row>
    <row r="911" spans="2:2">
      <c r="B911" s="43"/>
    </row>
    <row r="912" spans="2:2">
      <c r="B912" s="43"/>
    </row>
    <row r="913" spans="2:2">
      <c r="B913" s="43"/>
    </row>
    <row r="914" spans="2:2">
      <c r="B914" s="43"/>
    </row>
    <row r="915" spans="2:2">
      <c r="B915" s="43"/>
    </row>
  </sheetData>
  <sheetProtection selectLockedCells="1"/>
  <mergeCells count="2">
    <mergeCell ref="A1:A1048576"/>
    <mergeCell ref="D2:D4"/>
  </mergeCells>
  <conditionalFormatting sqref="E2:M3">
    <cfRule type="iconSet" priority="10">
      <iconSet iconSet="3Symbols" showValue="0">
        <cfvo type="percent" val="0"/>
        <cfvo type="percent" val="1"/>
        <cfvo type="percent" val="1"/>
      </iconSet>
    </cfRule>
  </conditionalFormatting>
  <conditionalFormatting sqref="I2 E2:G2 E3:I3">
    <cfRule type="iconSet" priority="9">
      <iconSet iconSet="3Symbols" showValue="0">
        <cfvo type="percent" val="0"/>
        <cfvo type="percent" val="1"/>
        <cfvo type="percent" val="1"/>
      </iconSet>
    </cfRule>
  </conditionalFormatting>
  <conditionalFormatting sqref="M2:M3 K2 J3:M3">
    <cfRule type="iconSet" priority="8">
      <iconSet iconSet="3Symbols" showValue="0">
        <cfvo type="percent" val="0"/>
        <cfvo type="percent" val="1"/>
        <cfvo type="percent" val="1"/>
      </iconSet>
    </cfRule>
  </conditionalFormatting>
  <conditionalFormatting sqref="H2:H3">
    <cfRule type="iconSet" priority="7">
      <iconSet iconSet="3Symbols" showValue="0">
        <cfvo type="percent" val="0"/>
        <cfvo type="percent" val="1"/>
        <cfvo type="percent" val="1"/>
      </iconSet>
    </cfRule>
  </conditionalFormatting>
  <conditionalFormatting sqref="I2:J3">
    <cfRule type="iconSet" priority="6">
      <iconSet iconSet="3Symbols" showValue="0">
        <cfvo type="percent" val="0"/>
        <cfvo type="percent" val="1"/>
        <cfvo type="percent" val="1"/>
      </iconSet>
    </cfRule>
  </conditionalFormatting>
  <conditionalFormatting sqref="K2">
    <cfRule type="iconSet" priority="5">
      <iconSet iconSet="3Symbols" showValue="0">
        <cfvo type="percent" val="0"/>
        <cfvo type="percent" val="1"/>
        <cfvo type="percent" val="1"/>
      </iconSet>
    </cfRule>
  </conditionalFormatting>
  <conditionalFormatting sqref="L2:M3">
    <cfRule type="iconSet" priority="4">
      <iconSet iconSet="3Symbols" showValue="0">
        <cfvo type="percent" val="0"/>
        <cfvo type="percent" val="1"/>
        <cfvo type="percent" val="1"/>
      </iconSet>
    </cfRule>
  </conditionalFormatting>
  <conditionalFormatting sqref="N2:N3">
    <cfRule type="iconSet" priority="3">
      <iconSet iconSet="3Symbols" showValue="0">
        <cfvo type="percent" val="0"/>
        <cfvo type="percent" val="1"/>
        <cfvo type="percent" val="1"/>
      </iconSet>
    </cfRule>
  </conditionalFormatting>
  <conditionalFormatting sqref="N2:N3">
    <cfRule type="iconSet" priority="2">
      <iconSet iconSet="3Symbols" showValue="0">
        <cfvo type="percent" val="0"/>
        <cfvo type="percent" val="1"/>
        <cfvo type="percent" val="1"/>
      </iconSet>
    </cfRule>
  </conditionalFormatting>
  <conditionalFormatting sqref="N2:N3">
    <cfRule type="iconSet" priority="1">
      <iconSet iconSet="3Symbols" showValue="0">
        <cfvo type="percent" val="0"/>
        <cfvo type="percent" val="1"/>
        <cfvo type="percent" val="1"/>
      </iconSet>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Лист28">
    <tabColor rgb="FFC00000"/>
  </sheetPr>
  <dimension ref="A1:CW202"/>
  <sheetViews>
    <sheetView zoomScale="82" zoomScaleNormal="82" workbookViewId="0">
      <selection activeCell="D2" sqref="D2:D4"/>
    </sheetView>
  </sheetViews>
  <sheetFormatPr defaultColWidth="9.109375" defaultRowHeight="14.4"/>
  <cols>
    <col min="1" max="1" width="36.6640625" style="43" customWidth="1"/>
    <col min="2" max="2" width="23.33203125" style="43" bestFit="1" customWidth="1"/>
    <col min="3" max="3" width="18.44140625" style="43" customWidth="1"/>
    <col min="4" max="4" width="42.33203125" style="546" customWidth="1"/>
    <col min="5" max="5" width="24.109375" style="43" customWidth="1"/>
    <col min="6" max="6" width="21.44140625" style="637" customWidth="1"/>
    <col min="7" max="7" width="20.6640625" style="43" customWidth="1"/>
    <col min="8" max="8" width="21.88671875" style="43" customWidth="1"/>
    <col min="9" max="9" width="22.5546875" style="78" customWidth="1"/>
    <col min="10" max="10" width="29.6640625" style="43" customWidth="1"/>
    <col min="11" max="11" width="29.44140625" style="43" customWidth="1"/>
    <col min="12" max="12" width="22.109375" style="43" customWidth="1"/>
    <col min="13" max="13" width="36.44140625" style="561" customWidth="1"/>
    <col min="14" max="14" width="17.33203125" style="43" customWidth="1"/>
    <col min="15" max="15" width="17.33203125" style="437" customWidth="1"/>
    <col min="16" max="16" width="6" style="43" customWidth="1"/>
    <col min="17" max="39" width="15.6640625" style="43" customWidth="1"/>
    <col min="40" max="42" width="9.109375" style="43"/>
    <col min="43" max="43" width="17" style="637" customWidth="1"/>
    <col min="44" max="44" width="39.6640625" style="43" customWidth="1"/>
    <col min="45" max="45" width="42.44140625" style="43" customWidth="1"/>
    <col min="46" max="46" width="30.44140625" style="43" customWidth="1"/>
    <col min="47" max="47" width="48" style="43" customWidth="1"/>
    <col min="48" max="48" width="37.6640625" style="43" customWidth="1"/>
    <col min="49" max="50" width="27.5546875" style="43" customWidth="1"/>
    <col min="51" max="51" width="14.109375" style="43" customWidth="1"/>
    <col min="52" max="52" width="16.6640625" style="43" customWidth="1"/>
    <col min="53" max="57" width="0" style="43" hidden="1" customWidth="1"/>
    <col min="58" max="58" width="50" style="43" customWidth="1"/>
    <col min="59" max="59" width="50.5546875" style="43" customWidth="1"/>
    <col min="60" max="60" width="49.44140625" style="43" customWidth="1"/>
    <col min="61" max="62" width="36.6640625" style="43" customWidth="1"/>
    <col min="63" max="63" width="47.5546875" style="43" customWidth="1"/>
    <col min="64" max="64" width="43.6640625" style="43" customWidth="1"/>
    <col min="65" max="69" width="36.6640625" style="43" customWidth="1"/>
    <col min="70" max="70" width="36.33203125" style="43" customWidth="1"/>
    <col min="71" max="71" width="30.44140625" style="43" customWidth="1"/>
    <col min="72" max="72" width="26.109375" style="43" customWidth="1"/>
    <col min="73" max="73" width="23" style="43" customWidth="1"/>
    <col min="74" max="74" width="33" style="43" customWidth="1"/>
    <col min="75" max="75" width="30" style="43" customWidth="1"/>
    <col min="76" max="76" width="27.44140625" style="43" customWidth="1"/>
    <col min="77" max="16384" width="9.109375" style="43"/>
  </cols>
  <sheetData>
    <row r="1" spans="1:101" ht="15" customHeight="1" thickBot="1">
      <c r="A1" s="91" t="s">
        <v>56</v>
      </c>
      <c r="B1" s="92" t="s">
        <v>55</v>
      </c>
      <c r="C1" s="91" t="s">
        <v>54</v>
      </c>
      <c r="D1" s="547" t="str">
        <f>'Конфигурация TREI'!D1</f>
        <v>Путь TREI для сигналов NOT_LINK</v>
      </c>
      <c r="E1" s="422" t="s">
        <v>1472</v>
      </c>
      <c r="F1" s="422" t="s">
        <v>1787</v>
      </c>
      <c r="G1" s="93" t="s">
        <v>2338</v>
      </c>
      <c r="H1" s="93" t="s">
        <v>1708</v>
      </c>
      <c r="I1" s="93" t="s">
        <v>1709</v>
      </c>
      <c r="J1" s="93" t="s">
        <v>186</v>
      </c>
      <c r="K1" s="93" t="s">
        <v>301</v>
      </c>
      <c r="L1" s="94" t="s">
        <v>243</v>
      </c>
      <c r="M1" s="93" t="s">
        <v>1307</v>
      </c>
      <c r="N1" s="648" t="s">
        <v>325</v>
      </c>
      <c r="O1" s="435" t="s">
        <v>857</v>
      </c>
      <c r="P1" s="430"/>
      <c r="Q1" s="434"/>
      <c r="R1" s="434" t="s">
        <v>860</v>
      </c>
      <c r="S1" s="422" t="s">
        <v>861</v>
      </c>
      <c r="T1" s="422" t="s">
        <v>926</v>
      </c>
      <c r="U1" s="422" t="s">
        <v>927</v>
      </c>
      <c r="V1" s="422" t="s">
        <v>928</v>
      </c>
      <c r="W1" s="422" t="s">
        <v>929</v>
      </c>
      <c r="X1" s="422" t="s">
        <v>954</v>
      </c>
      <c r="Y1" s="422" t="s">
        <v>955</v>
      </c>
      <c r="Z1" s="422" t="s">
        <v>956</v>
      </c>
      <c r="AA1" s="422" t="s">
        <v>957</v>
      </c>
      <c r="AB1" s="422" t="s">
        <v>958</v>
      </c>
      <c r="AC1" s="422" t="s">
        <v>1194</v>
      </c>
      <c r="AD1" s="422" t="s">
        <v>1207</v>
      </c>
      <c r="AE1" s="422" t="s">
        <v>1209</v>
      </c>
      <c r="AF1" s="422" t="s">
        <v>1315</v>
      </c>
      <c r="AG1" s="422" t="s">
        <v>1380</v>
      </c>
      <c r="AH1" s="422" t="s">
        <v>1878</v>
      </c>
      <c r="AI1" s="422" t="s">
        <v>1879</v>
      </c>
      <c r="AJ1" s="422" t="s">
        <v>1880</v>
      </c>
      <c r="AK1" s="422" t="s">
        <v>2670</v>
      </c>
      <c r="AL1" s="422" t="s">
        <v>2668</v>
      </c>
      <c r="AM1" s="422" t="s">
        <v>1182</v>
      </c>
      <c r="AQ1" s="422" t="s">
        <v>1742</v>
      </c>
      <c r="AR1" s="638" t="s">
        <v>3002</v>
      </c>
      <c r="AS1" s="383" t="s">
        <v>2929</v>
      </c>
      <c r="AT1" s="383" t="s">
        <v>2616</v>
      </c>
      <c r="AU1" s="752" t="s">
        <v>3006</v>
      </c>
      <c r="AV1" s="383" t="s">
        <v>3014</v>
      </c>
      <c r="AW1" s="383" t="s">
        <v>1863</v>
      </c>
      <c r="AX1" s="383" t="s">
        <v>2676</v>
      </c>
      <c r="AY1" s="383" t="s">
        <v>2763</v>
      </c>
      <c r="AZ1" s="391" t="s">
        <v>451</v>
      </c>
      <c r="BA1" s="383"/>
      <c r="BB1" s="423"/>
      <c r="BC1" s="423"/>
      <c r="BD1" s="423"/>
      <c r="BE1" s="423"/>
      <c r="BF1" s="440" t="s">
        <v>3018</v>
      </c>
      <c r="BG1" s="440" t="s">
        <v>3020</v>
      </c>
      <c r="BH1" s="440" t="s">
        <v>3028</v>
      </c>
      <c r="BI1" s="440" t="s">
        <v>3036</v>
      </c>
      <c r="BJ1" s="440" t="s">
        <v>3042</v>
      </c>
      <c r="BK1" s="440" t="s">
        <v>3047</v>
      </c>
      <c r="BL1" s="440" t="s">
        <v>3055</v>
      </c>
      <c r="BM1" s="440" t="s">
        <v>3063</v>
      </c>
      <c r="BN1" s="440" t="s">
        <v>3071</v>
      </c>
      <c r="BO1" s="440" t="s">
        <v>3075</v>
      </c>
      <c r="BP1" s="440" t="s">
        <v>1174</v>
      </c>
      <c r="BQ1" s="440" t="s">
        <v>1175</v>
      </c>
      <c r="BR1" s="392" t="s">
        <v>1747</v>
      </c>
      <c r="BS1" s="392" t="s">
        <v>1678</v>
      </c>
      <c r="BT1" s="392" t="s">
        <v>2940</v>
      </c>
      <c r="BU1" s="392" t="s">
        <v>823</v>
      </c>
      <c r="BV1" s="392" t="s">
        <v>1705</v>
      </c>
      <c r="BW1" s="412" t="s">
        <v>1333</v>
      </c>
      <c r="BX1" s="412" t="s">
        <v>1206</v>
      </c>
      <c r="CF1" s="421" t="s">
        <v>57</v>
      </c>
      <c r="CG1" s="421" t="s">
        <v>58</v>
      </c>
      <c r="CH1" s="421" t="s">
        <v>59</v>
      </c>
      <c r="CI1" s="421" t="s">
        <v>60</v>
      </c>
      <c r="CJ1" s="421" t="s">
        <v>61</v>
      </c>
      <c r="CK1" s="421" t="s">
        <v>62</v>
      </c>
      <c r="CL1" s="421" t="s">
        <v>63</v>
      </c>
      <c r="CM1" s="421" t="s">
        <v>238</v>
      </c>
      <c r="CN1" s="421" t="s">
        <v>64</v>
      </c>
      <c r="CO1" s="421" t="s">
        <v>65</v>
      </c>
      <c r="CP1" s="421" t="s">
        <v>66</v>
      </c>
      <c r="CQ1" s="421" t="s">
        <v>67</v>
      </c>
      <c r="CR1" s="421" t="s">
        <v>1690</v>
      </c>
      <c r="CS1" s="421" t="s">
        <v>1691</v>
      </c>
      <c r="CT1" s="421" t="s">
        <v>1692</v>
      </c>
      <c r="CU1" s="421" t="s">
        <v>1693</v>
      </c>
      <c r="CV1" s="421" t="s">
        <v>1694</v>
      </c>
      <c r="CW1" s="421" t="s">
        <v>68</v>
      </c>
    </row>
    <row r="2" spans="1:101" ht="15" customHeight="1">
      <c r="A2" s="51" t="s">
        <v>229</v>
      </c>
      <c r="B2" s="48">
        <v>4</v>
      </c>
      <c r="C2" s="530" t="s">
        <v>229</v>
      </c>
      <c r="D2" s="488" t="str">
        <f>IF(ISBLANK('Конфигурация TREI'!D2),"",SUBSTITUTE('Конфигурация TREI'!D2&amp;"|","\","|"))</f>
        <v/>
      </c>
      <c r="E2" s="488" t="s">
        <v>1473</v>
      </c>
      <c r="F2" s="45" t="s">
        <v>293</v>
      </c>
      <c r="G2" s="640" t="s">
        <v>594</v>
      </c>
      <c r="H2" s="640" t="s">
        <v>597</v>
      </c>
      <c r="I2" s="640" t="s">
        <v>607</v>
      </c>
      <c r="J2" s="46" t="s">
        <v>227</v>
      </c>
      <c r="K2" s="45" t="s">
        <v>318</v>
      </c>
      <c r="L2" s="60" t="s">
        <v>76</v>
      </c>
      <c r="M2" s="488" t="b">
        <v>1</v>
      </c>
      <c r="N2" s="649">
        <v>0</v>
      </c>
      <c r="O2" s="61" t="s">
        <v>956</v>
      </c>
      <c r="P2" s="433">
        <v>1</v>
      </c>
      <c r="Q2" s="432"/>
      <c r="R2" s="424" t="s">
        <v>829</v>
      </c>
      <c r="S2" s="432" t="s">
        <v>867</v>
      </c>
      <c r="T2" s="432" t="s">
        <v>894</v>
      </c>
      <c r="U2" s="432" t="s">
        <v>894</v>
      </c>
      <c r="V2" s="432" t="s">
        <v>930</v>
      </c>
      <c r="W2" s="432" t="s">
        <v>946</v>
      </c>
      <c r="X2" s="432" t="s">
        <v>862</v>
      </c>
      <c r="Y2" s="432" t="s">
        <v>959</v>
      </c>
      <c r="Z2" s="432" t="s">
        <v>959</v>
      </c>
      <c r="AA2" s="432" t="s">
        <v>959</v>
      </c>
      <c r="AB2" s="432" t="s">
        <v>959</v>
      </c>
      <c r="AC2" s="432" t="s">
        <v>1183</v>
      </c>
      <c r="AD2" s="432" t="s">
        <v>1183</v>
      </c>
      <c r="AE2" s="432" t="s">
        <v>862</v>
      </c>
      <c r="AF2" s="424" t="s">
        <v>829</v>
      </c>
      <c r="AG2" s="432" t="s">
        <v>959</v>
      </c>
      <c r="AH2" s="432" t="s">
        <v>959</v>
      </c>
      <c r="AI2" s="432" t="s">
        <v>959</v>
      </c>
      <c r="AJ2" s="432" t="s">
        <v>959</v>
      </c>
      <c r="AK2" s="432" t="s">
        <v>959</v>
      </c>
      <c r="AL2" s="432" t="s">
        <v>959</v>
      </c>
      <c r="AM2" s="46" t="s">
        <v>293</v>
      </c>
      <c r="AQ2" s="422" t="s">
        <v>1707</v>
      </c>
      <c r="AR2" s="638" t="s">
        <v>3003</v>
      </c>
      <c r="AS2" s="383" t="s">
        <v>2930</v>
      </c>
      <c r="AT2" s="383"/>
      <c r="AU2" s="752" t="s">
        <v>3007</v>
      </c>
      <c r="AV2" s="383" t="s">
        <v>3015</v>
      </c>
      <c r="AW2" s="383" t="s">
        <v>1710</v>
      </c>
      <c r="AX2" s="383" t="s">
        <v>1711</v>
      </c>
      <c r="AY2" s="383"/>
      <c r="AZ2" s="391" t="s">
        <v>451</v>
      </c>
      <c r="BA2" s="383"/>
      <c r="BB2" s="423"/>
      <c r="BC2" s="423"/>
      <c r="BD2" s="423"/>
      <c r="BE2" s="423"/>
      <c r="BF2" s="440" t="s">
        <v>3019</v>
      </c>
      <c r="BG2" s="440" t="s">
        <v>3021</v>
      </c>
      <c r="BH2" s="440" t="s">
        <v>3029</v>
      </c>
      <c r="BI2" s="440" t="s">
        <v>3037</v>
      </c>
      <c r="BJ2" s="440" t="s">
        <v>3043</v>
      </c>
      <c r="BK2" s="440" t="s">
        <v>3048</v>
      </c>
      <c r="BL2" s="440" t="s">
        <v>3056</v>
      </c>
      <c r="BM2" s="440" t="s">
        <v>3064</v>
      </c>
      <c r="BN2" s="440" t="s">
        <v>3072</v>
      </c>
      <c r="BO2" s="440" t="s">
        <v>3076</v>
      </c>
      <c r="BP2" s="440" t="s">
        <v>1712</v>
      </c>
      <c r="BQ2" s="440" t="s">
        <v>1713</v>
      </c>
      <c r="BR2" s="392" t="s">
        <v>1748</v>
      </c>
      <c r="BS2" s="392" t="s">
        <v>1714</v>
      </c>
      <c r="BT2" s="392" t="s">
        <v>2937</v>
      </c>
      <c r="BU2" s="392" t="s">
        <v>1715</v>
      </c>
      <c r="BV2" s="392" t="s">
        <v>1717</v>
      </c>
      <c r="BW2" s="412" t="s">
        <v>1718</v>
      </c>
      <c r="BX2" s="412" t="s">
        <v>1719</v>
      </c>
    </row>
    <row r="3" spans="1:101" ht="15" customHeight="1">
      <c r="A3" s="44" t="s">
        <v>230</v>
      </c>
      <c r="B3" s="49">
        <v>8</v>
      </c>
      <c r="C3" s="50" t="s">
        <v>230</v>
      </c>
      <c r="D3" s="422" t="str">
        <f>'Конфигурация TREI'!E1</f>
        <v>Путь TREI для сигналов CPU</v>
      </c>
      <c r="E3" s="488" t="s">
        <v>1474</v>
      </c>
      <c r="F3" s="695" t="s">
        <v>591</v>
      </c>
      <c r="G3" s="640" t="s">
        <v>595</v>
      </c>
      <c r="H3" s="640" t="s">
        <v>598</v>
      </c>
      <c r="I3" s="640" t="s">
        <v>608</v>
      </c>
      <c r="J3" s="45" t="s">
        <v>226</v>
      </c>
      <c r="K3" s="45" t="s">
        <v>319</v>
      </c>
      <c r="L3" s="488" t="s">
        <v>72</v>
      </c>
      <c r="M3" s="422" t="s">
        <v>1308</v>
      </c>
      <c r="N3" s="649">
        <v>1</v>
      </c>
      <c r="O3" s="61" t="s">
        <v>2670</v>
      </c>
      <c r="P3" s="433">
        <v>2</v>
      </c>
      <c r="Q3" s="432"/>
      <c r="R3" s="424" t="s">
        <v>831</v>
      </c>
      <c r="S3" s="432" t="s">
        <v>868</v>
      </c>
      <c r="T3" s="432" t="s">
        <v>895</v>
      </c>
      <c r="U3" s="432" t="s">
        <v>895</v>
      </c>
      <c r="V3" s="432" t="s">
        <v>931</v>
      </c>
      <c r="W3" s="432" t="s">
        <v>947</v>
      </c>
      <c r="X3" s="432" t="s">
        <v>869</v>
      </c>
      <c r="Y3" s="432" t="s">
        <v>960</v>
      </c>
      <c r="Z3" s="432" t="s">
        <v>960</v>
      </c>
      <c r="AA3" s="432" t="s">
        <v>960</v>
      </c>
      <c r="AB3" s="432" t="s">
        <v>960</v>
      </c>
      <c r="AC3" s="432" t="s">
        <v>1184</v>
      </c>
      <c r="AD3" s="432" t="s">
        <v>1184</v>
      </c>
      <c r="AE3" s="432" t="s">
        <v>866</v>
      </c>
      <c r="AF3" s="424" t="s">
        <v>831</v>
      </c>
      <c r="AG3" s="432" t="s">
        <v>960</v>
      </c>
      <c r="AH3" s="432" t="s">
        <v>960</v>
      </c>
      <c r="AI3" s="432" t="s">
        <v>960</v>
      </c>
      <c r="AJ3" s="432" t="s">
        <v>960</v>
      </c>
      <c r="AK3" s="432" t="s">
        <v>960</v>
      </c>
      <c r="AL3" s="432" t="s">
        <v>960</v>
      </c>
      <c r="AM3" s="46" t="s">
        <v>293</v>
      </c>
      <c r="AQ3" s="422" t="s">
        <v>1739</v>
      </c>
      <c r="AR3" s="638" t="s">
        <v>2764</v>
      </c>
      <c r="AS3" s="383" t="s">
        <v>2931</v>
      </c>
      <c r="AT3" s="383" t="s">
        <v>2616</v>
      </c>
      <c r="AU3" s="752" t="s">
        <v>3008</v>
      </c>
      <c r="AV3" s="383" t="s">
        <v>3016</v>
      </c>
      <c r="AW3" s="383" t="s">
        <v>1727</v>
      </c>
      <c r="AX3" s="383" t="s">
        <v>2617</v>
      </c>
      <c r="AY3" s="383" t="s">
        <v>2763</v>
      </c>
      <c r="AZ3" s="391" t="s">
        <v>451</v>
      </c>
      <c r="BA3" s="383"/>
      <c r="BB3" s="423"/>
      <c r="BC3" s="423"/>
      <c r="BD3" s="423"/>
      <c r="BE3" s="423"/>
      <c r="BF3" s="440" t="s">
        <v>3019</v>
      </c>
      <c r="BG3" s="440" t="s">
        <v>3022</v>
      </c>
      <c r="BH3" s="440" t="s">
        <v>3030</v>
      </c>
      <c r="BI3" s="440" t="s">
        <v>3038</v>
      </c>
      <c r="BJ3" s="440" t="s">
        <v>3044</v>
      </c>
      <c r="BK3" s="440" t="s">
        <v>3049</v>
      </c>
      <c r="BL3" s="440" t="s">
        <v>3057</v>
      </c>
      <c r="BM3" s="440" t="s">
        <v>3065</v>
      </c>
      <c r="BN3" s="440" t="s">
        <v>3073</v>
      </c>
      <c r="BO3" s="440" t="s">
        <v>3075</v>
      </c>
      <c r="BP3" s="440" t="s">
        <v>1174</v>
      </c>
      <c r="BQ3" s="440" t="s">
        <v>1175</v>
      </c>
      <c r="BR3" s="392" t="s">
        <v>1749</v>
      </c>
      <c r="BS3" s="392" t="s">
        <v>1731</v>
      </c>
      <c r="BT3" s="392" t="s">
        <v>2937</v>
      </c>
      <c r="BU3" s="392" t="s">
        <v>1732</v>
      </c>
      <c r="BV3" s="392" t="s">
        <v>1733</v>
      </c>
      <c r="BW3" s="412" t="s">
        <v>1723</v>
      </c>
      <c r="BX3" s="412" t="s">
        <v>1719</v>
      </c>
    </row>
    <row r="4" spans="1:101" ht="15" customHeight="1">
      <c r="A4" s="44" t="s">
        <v>110</v>
      </c>
      <c r="B4" s="49">
        <v>12</v>
      </c>
      <c r="C4" s="50" t="s">
        <v>110</v>
      </c>
      <c r="D4" s="46" t="str">
        <f>IF(ISBLANK('Конфигурация TREI'!E2),"",SUBSTITUTE('Конфигурация TREI'!E2&amp;"|","\","|"))</f>
        <v/>
      </c>
      <c r="E4" s="488" t="s">
        <v>1476</v>
      </c>
      <c r="F4" s="696" t="s">
        <v>592</v>
      </c>
      <c r="G4" s="640" t="s">
        <v>596</v>
      </c>
      <c r="H4" s="640" t="s">
        <v>599</v>
      </c>
      <c r="I4" s="640" t="s">
        <v>609</v>
      </c>
      <c r="J4" s="45" t="s">
        <v>187</v>
      </c>
      <c r="K4" s="45" t="s">
        <v>320</v>
      </c>
      <c r="M4" s="46" t="b">
        <v>1</v>
      </c>
      <c r="N4" s="649">
        <v>2</v>
      </c>
      <c r="O4" s="61" t="s">
        <v>955</v>
      </c>
      <c r="P4" s="433">
        <v>3</v>
      </c>
      <c r="Q4" s="432"/>
      <c r="R4" s="424" t="s">
        <v>832</v>
      </c>
      <c r="S4" s="432" t="s">
        <v>887</v>
      </c>
      <c r="T4" s="432" t="s">
        <v>896</v>
      </c>
      <c r="U4" s="432" t="s">
        <v>896</v>
      </c>
      <c r="V4" s="432" t="s">
        <v>932</v>
      </c>
      <c r="W4" s="432" t="s">
        <v>948</v>
      </c>
      <c r="X4" s="432" t="s">
        <v>870</v>
      </c>
      <c r="Y4" s="432" t="s">
        <v>961</v>
      </c>
      <c r="Z4" s="432" t="s">
        <v>961</v>
      </c>
      <c r="AA4" s="432" t="s">
        <v>961</v>
      </c>
      <c r="AB4" s="432" t="s">
        <v>961</v>
      </c>
      <c r="AC4" s="432" t="s">
        <v>1185</v>
      </c>
      <c r="AD4" s="432" t="s">
        <v>1185</v>
      </c>
      <c r="AE4" s="432" t="s">
        <v>869</v>
      </c>
      <c r="AF4" s="424" t="s">
        <v>1316</v>
      </c>
      <c r="AG4" s="432" t="s">
        <v>961</v>
      </c>
      <c r="AH4" s="432" t="s">
        <v>961</v>
      </c>
      <c r="AI4" s="432" t="s">
        <v>961</v>
      </c>
      <c r="AJ4" s="432" t="s">
        <v>961</v>
      </c>
      <c r="AK4" s="432" t="s">
        <v>961</v>
      </c>
      <c r="AL4" s="432" t="s">
        <v>961</v>
      </c>
      <c r="AM4" s="46" t="s">
        <v>293</v>
      </c>
      <c r="AQ4" s="422" t="s">
        <v>1709</v>
      </c>
      <c r="AR4" s="638" t="s">
        <v>3004</v>
      </c>
      <c r="AS4" s="383" t="s">
        <v>2932</v>
      </c>
      <c r="AT4" s="383"/>
      <c r="AU4" s="752" t="s">
        <v>3009</v>
      </c>
      <c r="AV4" s="383" t="s">
        <v>3017</v>
      </c>
      <c r="AW4" s="383" t="s">
        <v>1863</v>
      </c>
      <c r="AX4" s="383" t="s">
        <v>2677</v>
      </c>
      <c r="AY4" s="383"/>
      <c r="AZ4" s="391" t="s">
        <v>451</v>
      </c>
      <c r="BA4" s="383"/>
      <c r="BB4" s="423"/>
      <c r="BC4" s="423"/>
      <c r="BD4" s="423"/>
      <c r="BE4" s="423"/>
      <c r="BF4" s="440" t="s">
        <v>3018</v>
      </c>
      <c r="BG4" s="440" t="s">
        <v>3023</v>
      </c>
      <c r="BH4" s="440" t="s">
        <v>3031</v>
      </c>
      <c r="BI4" s="440" t="s">
        <v>3039</v>
      </c>
      <c r="BJ4" s="440" t="s">
        <v>3045</v>
      </c>
      <c r="BK4" s="440" t="s">
        <v>3050</v>
      </c>
      <c r="BL4" s="440" t="s">
        <v>3058</v>
      </c>
      <c r="BM4" s="440" t="s">
        <v>3066</v>
      </c>
      <c r="BN4" s="440" t="s">
        <v>3074</v>
      </c>
      <c r="BO4" s="440" t="s">
        <v>3076</v>
      </c>
      <c r="BP4" s="440" t="s">
        <v>1712</v>
      </c>
      <c r="BQ4" s="440" t="s">
        <v>1713</v>
      </c>
      <c r="BR4" s="392" t="s">
        <v>1750</v>
      </c>
      <c r="BS4" s="392" t="s">
        <v>1721</v>
      </c>
      <c r="BT4" s="392" t="s">
        <v>2941</v>
      </c>
      <c r="BU4" s="392" t="s">
        <v>1725</v>
      </c>
      <c r="BV4" s="392" t="s">
        <v>1716</v>
      </c>
      <c r="BW4" s="412" t="s">
        <v>1726</v>
      </c>
      <c r="BX4" s="412" t="s">
        <v>1206</v>
      </c>
    </row>
    <row r="5" spans="1:101" ht="15" customHeight="1">
      <c r="A5" s="44" t="s">
        <v>231</v>
      </c>
      <c r="B5" s="49">
        <v>18</v>
      </c>
      <c r="C5" s="534" t="s">
        <v>231</v>
      </c>
      <c r="D5" s="422" t="s">
        <v>1402</v>
      </c>
      <c r="E5" s="488" t="s">
        <v>1475</v>
      </c>
      <c r="F5" s="696" t="s">
        <v>593</v>
      </c>
      <c r="G5" s="640" t="s">
        <v>605</v>
      </c>
      <c r="H5" s="640" t="s">
        <v>600</v>
      </c>
      <c r="I5" s="640" t="s">
        <v>610</v>
      </c>
      <c r="J5" s="45" t="s">
        <v>302</v>
      </c>
      <c r="K5" s="45" t="s">
        <v>310</v>
      </c>
      <c r="M5" s="422" t="s">
        <v>1382</v>
      </c>
      <c r="N5" s="649">
        <v>3</v>
      </c>
      <c r="O5" s="61" t="s">
        <v>1880</v>
      </c>
      <c r="P5" s="433">
        <v>4</v>
      </c>
      <c r="Q5" s="432"/>
      <c r="R5" s="424" t="s">
        <v>830</v>
      </c>
      <c r="S5" s="432" t="s">
        <v>888</v>
      </c>
      <c r="T5" s="432" t="s">
        <v>897</v>
      </c>
      <c r="U5" s="432" t="s">
        <v>897</v>
      </c>
      <c r="V5" s="432" t="s">
        <v>933</v>
      </c>
      <c r="W5" s="432" t="s">
        <v>949</v>
      </c>
      <c r="X5" s="432" t="s">
        <v>871</v>
      </c>
      <c r="Y5" s="432" t="s">
        <v>962</v>
      </c>
      <c r="Z5" s="432" t="s">
        <v>962</v>
      </c>
      <c r="AA5" s="432" t="s">
        <v>962</v>
      </c>
      <c r="AB5" s="432" t="s">
        <v>962</v>
      </c>
      <c r="AC5" s="432" t="s">
        <v>1186</v>
      </c>
      <c r="AD5" s="432" t="s">
        <v>1186</v>
      </c>
      <c r="AE5" s="432" t="s">
        <v>863</v>
      </c>
      <c r="AF5" s="424" t="s">
        <v>1317</v>
      </c>
      <c r="AG5" s="432" t="s">
        <v>962</v>
      </c>
      <c r="AH5" s="432" t="s">
        <v>962</v>
      </c>
      <c r="AI5" s="432" t="s">
        <v>962</v>
      </c>
      <c r="AJ5" s="432" t="s">
        <v>962</v>
      </c>
      <c r="AK5" s="432" t="s">
        <v>962</v>
      </c>
      <c r="AL5" s="432" t="s">
        <v>962</v>
      </c>
      <c r="AM5" s="46" t="s">
        <v>293</v>
      </c>
      <c r="AQ5" s="422" t="s">
        <v>1740</v>
      </c>
      <c r="AR5" s="638" t="s">
        <v>3005</v>
      </c>
      <c r="AS5" s="383" t="s">
        <v>2933</v>
      </c>
      <c r="AT5" s="383" t="s">
        <v>2616</v>
      </c>
      <c r="AU5" s="752" t="s">
        <v>3010</v>
      </c>
      <c r="AV5" s="383" t="s">
        <v>3016</v>
      </c>
      <c r="AW5" s="383" t="s">
        <v>1727</v>
      </c>
      <c r="AX5" s="383" t="s">
        <v>2617</v>
      </c>
      <c r="AY5" s="383" t="s">
        <v>2763</v>
      </c>
      <c r="AZ5" s="391" t="s">
        <v>451</v>
      </c>
      <c r="BA5" s="383"/>
      <c r="BB5" s="423"/>
      <c r="BC5" s="423"/>
      <c r="BD5" s="423"/>
      <c r="BE5" s="423"/>
      <c r="BF5" s="440" t="s">
        <v>3019</v>
      </c>
      <c r="BG5" s="440" t="s">
        <v>3024</v>
      </c>
      <c r="BH5" s="440" t="s">
        <v>3032</v>
      </c>
      <c r="BI5" s="440" t="s">
        <v>3040</v>
      </c>
      <c r="BJ5" s="440" t="s">
        <v>3042</v>
      </c>
      <c r="BK5" s="440" t="s">
        <v>3051</v>
      </c>
      <c r="BL5" s="440" t="s">
        <v>3059</v>
      </c>
      <c r="BM5" s="440" t="s">
        <v>3067</v>
      </c>
      <c r="BN5" s="440" t="s">
        <v>3071</v>
      </c>
      <c r="BO5" s="440" t="s">
        <v>3075</v>
      </c>
      <c r="BP5" s="440" t="s">
        <v>1174</v>
      </c>
      <c r="BQ5" s="440" t="s">
        <v>1175</v>
      </c>
      <c r="BR5" s="392" t="s">
        <v>2618</v>
      </c>
      <c r="BS5" s="392" t="s">
        <v>1678</v>
      </c>
      <c r="BT5" s="392" t="s">
        <v>2937</v>
      </c>
      <c r="BU5" s="392" t="s">
        <v>1728</v>
      </c>
      <c r="BV5" s="392" t="s">
        <v>1729</v>
      </c>
      <c r="BW5" s="412" t="s">
        <v>1730</v>
      </c>
      <c r="BX5" s="412" t="s">
        <v>1719</v>
      </c>
    </row>
    <row r="6" spans="1:101" ht="15" customHeight="1">
      <c r="A6" s="44" t="s">
        <v>232</v>
      </c>
      <c r="B6" s="49">
        <v>10</v>
      </c>
      <c r="C6" s="534" t="s">
        <v>232</v>
      </c>
      <c r="D6" s="46" t="s">
        <v>1403</v>
      </c>
      <c r="E6" s="488" t="s">
        <v>1608</v>
      </c>
      <c r="F6" s="696" t="s">
        <v>330</v>
      </c>
      <c r="G6" s="640" t="s">
        <v>606</v>
      </c>
      <c r="H6" s="640" t="s">
        <v>601</v>
      </c>
      <c r="I6" s="640" t="s">
        <v>611</v>
      </c>
      <c r="J6" s="46" t="s">
        <v>303</v>
      </c>
      <c r="K6" s="45" t="s">
        <v>311</v>
      </c>
      <c r="M6" s="46" t="b">
        <v>0</v>
      </c>
      <c r="N6" s="649">
        <v>4</v>
      </c>
      <c r="O6" s="61" t="s">
        <v>957</v>
      </c>
      <c r="P6" s="433">
        <v>5</v>
      </c>
      <c r="Q6" s="432"/>
      <c r="R6" s="424" t="s">
        <v>833</v>
      </c>
      <c r="S6" s="432" t="s">
        <v>864</v>
      </c>
      <c r="T6" s="432" t="s">
        <v>898</v>
      </c>
      <c r="U6" s="432" t="s">
        <v>898</v>
      </c>
      <c r="V6" s="432" t="s">
        <v>934</v>
      </c>
      <c r="W6" s="432" t="s">
        <v>950</v>
      </c>
      <c r="X6" s="432" t="s">
        <v>874</v>
      </c>
      <c r="Y6" s="432" t="s">
        <v>963</v>
      </c>
      <c r="Z6" s="432" t="s">
        <v>963</v>
      </c>
      <c r="AA6" s="432" t="s">
        <v>963</v>
      </c>
      <c r="AB6" s="432" t="s">
        <v>963</v>
      </c>
      <c r="AC6" s="432" t="s">
        <v>1187</v>
      </c>
      <c r="AD6" s="432" t="s">
        <v>1187</v>
      </c>
      <c r="AE6" s="432" t="s">
        <v>870</v>
      </c>
      <c r="AF6" s="424" t="s">
        <v>832</v>
      </c>
      <c r="AG6" s="432" t="s">
        <v>963</v>
      </c>
      <c r="AH6" s="432" t="s">
        <v>963</v>
      </c>
      <c r="AI6" s="432" t="s">
        <v>963</v>
      </c>
      <c r="AJ6" s="432" t="s">
        <v>963</v>
      </c>
      <c r="AK6" s="432" t="s">
        <v>963</v>
      </c>
      <c r="AL6" s="432" t="s">
        <v>963</v>
      </c>
      <c r="AM6" s="46" t="s">
        <v>293</v>
      </c>
      <c r="AQ6" s="422" t="s">
        <v>1741</v>
      </c>
      <c r="AR6" s="638" t="s">
        <v>3002</v>
      </c>
      <c r="AS6" s="383" t="s">
        <v>2929</v>
      </c>
      <c r="AT6" s="383" t="s">
        <v>2616</v>
      </c>
      <c r="AU6" s="752" t="s">
        <v>3011</v>
      </c>
      <c r="AV6" s="383" t="s">
        <v>3014</v>
      </c>
      <c r="AW6" s="383" t="s">
        <v>1863</v>
      </c>
      <c r="AX6" s="383" t="s">
        <v>2676</v>
      </c>
      <c r="AY6" s="383" t="s">
        <v>2763</v>
      </c>
      <c r="AZ6" s="391" t="s">
        <v>451</v>
      </c>
      <c r="BA6" s="383"/>
      <c r="BB6" s="423"/>
      <c r="BC6" s="423"/>
      <c r="BD6" s="423"/>
      <c r="BE6" s="423"/>
      <c r="BF6" s="440" t="s">
        <v>3018</v>
      </c>
      <c r="BG6" s="440" t="s">
        <v>3025</v>
      </c>
      <c r="BH6" s="440" t="s">
        <v>3033</v>
      </c>
      <c r="BI6" s="440" t="s">
        <v>3038</v>
      </c>
      <c r="BJ6" s="440" t="s">
        <v>3046</v>
      </c>
      <c r="BK6" s="440" t="s">
        <v>3052</v>
      </c>
      <c r="BL6" s="440" t="s">
        <v>3060</v>
      </c>
      <c r="BM6" s="440" t="s">
        <v>3068</v>
      </c>
      <c r="BN6" s="440" t="s">
        <v>3073</v>
      </c>
      <c r="BO6" s="440" t="s">
        <v>3075</v>
      </c>
      <c r="BP6" s="440" t="s">
        <v>1174</v>
      </c>
      <c r="BQ6" s="440" t="s">
        <v>1175</v>
      </c>
      <c r="BR6" s="392" t="s">
        <v>1751</v>
      </c>
      <c r="BS6" s="392" t="s">
        <v>1731</v>
      </c>
      <c r="BT6" s="392" t="s">
        <v>2941</v>
      </c>
      <c r="BU6" s="392" t="s">
        <v>1734</v>
      </c>
      <c r="BV6" s="392" t="s">
        <v>1735</v>
      </c>
      <c r="BW6" s="412" t="s">
        <v>1726</v>
      </c>
      <c r="BX6" s="412" t="s">
        <v>1206</v>
      </c>
    </row>
    <row r="7" spans="1:101" ht="15" customHeight="1">
      <c r="A7" s="44" t="s">
        <v>81</v>
      </c>
      <c r="B7" s="49">
        <v>16</v>
      </c>
      <c r="C7" s="534" t="s">
        <v>81</v>
      </c>
      <c r="D7" s="46" t="s">
        <v>1404</v>
      </c>
      <c r="E7" s="488" t="s">
        <v>1890</v>
      </c>
      <c r="F7" s="696" t="s">
        <v>1744</v>
      </c>
      <c r="G7" s="640" t="s">
        <v>1332</v>
      </c>
      <c r="H7" s="640" t="s">
        <v>602</v>
      </c>
      <c r="I7" s="640" t="s">
        <v>612</v>
      </c>
      <c r="J7" s="46" t="s">
        <v>304</v>
      </c>
      <c r="K7" s="45" t="s">
        <v>312</v>
      </c>
      <c r="M7" s="532" t="s">
        <v>1774</v>
      </c>
      <c r="N7" s="649">
        <v>5</v>
      </c>
      <c r="O7" s="61" t="s">
        <v>1380</v>
      </c>
      <c r="P7" s="433">
        <v>6</v>
      </c>
      <c r="Q7" s="432"/>
      <c r="R7" s="424" t="s">
        <v>834</v>
      </c>
      <c r="S7" s="432" t="s">
        <v>890</v>
      </c>
      <c r="T7" s="432" t="s">
        <v>899</v>
      </c>
      <c r="U7" s="432" t="s">
        <v>899</v>
      </c>
      <c r="V7" s="432" t="s">
        <v>935</v>
      </c>
      <c r="W7" s="432" t="s">
        <v>951</v>
      </c>
      <c r="X7" s="432" t="s">
        <v>875</v>
      </c>
      <c r="Y7" s="432" t="s">
        <v>964</v>
      </c>
      <c r="Z7" s="432" t="s">
        <v>964</v>
      </c>
      <c r="AA7" s="432" t="s">
        <v>964</v>
      </c>
      <c r="AB7" s="432" t="s">
        <v>964</v>
      </c>
      <c r="AC7" s="432" t="s">
        <v>1188</v>
      </c>
      <c r="AD7" s="432" t="s">
        <v>1188</v>
      </c>
      <c r="AE7" s="432" t="s">
        <v>889</v>
      </c>
      <c r="AF7" s="424" t="s">
        <v>830</v>
      </c>
      <c r="AG7" s="432" t="s">
        <v>964</v>
      </c>
      <c r="AH7" s="432" t="s">
        <v>964</v>
      </c>
      <c r="AI7" s="432" t="s">
        <v>964</v>
      </c>
      <c r="AJ7" s="432" t="s">
        <v>964</v>
      </c>
      <c r="AK7" s="432" t="s">
        <v>964</v>
      </c>
      <c r="AL7" s="432" t="s">
        <v>964</v>
      </c>
      <c r="AM7" s="46" t="s">
        <v>293</v>
      </c>
      <c r="AQ7" s="422" t="s">
        <v>1720</v>
      </c>
      <c r="AR7" s="638" t="s">
        <v>3004</v>
      </c>
      <c r="AS7" s="383" t="s">
        <v>2934</v>
      </c>
      <c r="AT7" s="383"/>
      <c r="AU7" s="752" t="s">
        <v>3012</v>
      </c>
      <c r="AV7" s="383" t="s">
        <v>3017</v>
      </c>
      <c r="AW7" s="383" t="s">
        <v>1863</v>
      </c>
      <c r="AX7" s="383" t="s">
        <v>2677</v>
      </c>
      <c r="AY7" s="383"/>
      <c r="AZ7" s="391" t="s">
        <v>451</v>
      </c>
      <c r="BA7" s="383"/>
      <c r="BB7" s="423"/>
      <c r="BC7" s="423"/>
      <c r="BD7" s="423"/>
      <c r="BE7" s="423"/>
      <c r="BF7" s="440" t="s">
        <v>3018</v>
      </c>
      <c r="BG7" s="440" t="s">
        <v>3026</v>
      </c>
      <c r="BH7" s="440" t="s">
        <v>3034</v>
      </c>
      <c r="BI7" s="440" t="s">
        <v>3041</v>
      </c>
      <c r="BJ7" s="440" t="s">
        <v>3043</v>
      </c>
      <c r="BK7" s="440" t="s">
        <v>3053</v>
      </c>
      <c r="BL7" s="440" t="s">
        <v>3061</v>
      </c>
      <c r="BM7" s="440" t="s">
        <v>3069</v>
      </c>
      <c r="BN7" s="440" t="s">
        <v>3072</v>
      </c>
      <c r="BO7" s="440" t="s">
        <v>3076</v>
      </c>
      <c r="BP7" s="440" t="s">
        <v>1712</v>
      </c>
      <c r="BQ7" s="440" t="s">
        <v>1713</v>
      </c>
      <c r="BR7" s="392" t="s">
        <v>1752</v>
      </c>
      <c r="BS7" s="392" t="s">
        <v>1714</v>
      </c>
      <c r="BT7" s="392" t="s">
        <v>2941</v>
      </c>
      <c r="BU7" s="392" t="s">
        <v>1724</v>
      </c>
      <c r="BV7" s="392" t="s">
        <v>1716</v>
      </c>
      <c r="BW7" s="412" t="s">
        <v>1333</v>
      </c>
      <c r="BX7" s="412" t="s">
        <v>1206</v>
      </c>
    </row>
    <row r="8" spans="1:101" ht="15" customHeight="1">
      <c r="A8" s="44" t="s">
        <v>89</v>
      </c>
      <c r="B8" s="49">
        <v>14</v>
      </c>
      <c r="C8" s="50" t="s">
        <v>89</v>
      </c>
      <c r="D8" s="46" t="s">
        <v>3082</v>
      </c>
      <c r="E8" s="488" t="s">
        <v>1891</v>
      </c>
      <c r="F8" s="696" t="s">
        <v>329</v>
      </c>
      <c r="G8" s="640" t="s">
        <v>2331</v>
      </c>
      <c r="H8" s="640" t="s">
        <v>603</v>
      </c>
      <c r="I8" s="640" t="s">
        <v>613</v>
      </c>
      <c r="J8" s="46" t="s">
        <v>305</v>
      </c>
      <c r="K8" s="45" t="s">
        <v>313</v>
      </c>
      <c r="M8" s="533" t="b">
        <v>0</v>
      </c>
      <c r="N8" s="649">
        <v>6</v>
      </c>
      <c r="O8" s="61" t="s">
        <v>1878</v>
      </c>
      <c r="P8" s="433">
        <v>7</v>
      </c>
      <c r="Q8" s="432"/>
      <c r="R8" s="424" t="s">
        <v>835</v>
      </c>
      <c r="S8" s="432" t="s">
        <v>873</v>
      </c>
      <c r="T8" s="432" t="s">
        <v>900</v>
      </c>
      <c r="U8" s="432" t="s">
        <v>900</v>
      </c>
      <c r="V8" s="432" t="s">
        <v>936</v>
      </c>
      <c r="W8" s="432" t="s">
        <v>952</v>
      </c>
      <c r="X8" s="432" t="s">
        <v>876</v>
      </c>
      <c r="Y8" s="432" t="s">
        <v>965</v>
      </c>
      <c r="Z8" s="432" t="s">
        <v>965</v>
      </c>
      <c r="AA8" s="432" t="s">
        <v>965</v>
      </c>
      <c r="AB8" s="432" t="s">
        <v>965</v>
      </c>
      <c r="AC8" s="432" t="s">
        <v>1189</v>
      </c>
      <c r="AD8" s="432" t="s">
        <v>1189</v>
      </c>
      <c r="AE8" s="432" t="s">
        <v>871</v>
      </c>
      <c r="AF8" s="424" t="s">
        <v>1318</v>
      </c>
      <c r="AG8" s="432" t="s">
        <v>965</v>
      </c>
      <c r="AH8" s="432" t="s">
        <v>965</v>
      </c>
      <c r="AI8" s="432" t="s">
        <v>965</v>
      </c>
      <c r="AJ8" s="432" t="s">
        <v>965</v>
      </c>
      <c r="AK8" s="432" t="s">
        <v>965</v>
      </c>
      <c r="AL8" s="432" t="s">
        <v>965</v>
      </c>
      <c r="AM8" s="46" t="s">
        <v>293</v>
      </c>
      <c r="AQ8" s="639" t="s">
        <v>293</v>
      </c>
      <c r="AR8" s="638" t="s">
        <v>3003</v>
      </c>
      <c r="AS8" s="383" t="s">
        <v>2935</v>
      </c>
      <c r="AT8" s="383"/>
      <c r="AU8" s="752" t="s">
        <v>3013</v>
      </c>
      <c r="AV8" s="383" t="s">
        <v>3015</v>
      </c>
      <c r="AW8" s="383" t="s">
        <v>1864</v>
      </c>
      <c r="AX8" s="383" t="s">
        <v>1711</v>
      </c>
      <c r="AY8" s="383"/>
      <c r="AZ8" s="391" t="s">
        <v>451</v>
      </c>
      <c r="BA8" s="383"/>
      <c r="BB8" s="423"/>
      <c r="BC8" s="423"/>
      <c r="BD8" s="423"/>
      <c r="BE8" s="423"/>
      <c r="BF8" s="440" t="s">
        <v>3019</v>
      </c>
      <c r="BG8" s="440" t="s">
        <v>3027</v>
      </c>
      <c r="BH8" s="440" t="s">
        <v>3035</v>
      </c>
      <c r="BI8" s="440" t="s">
        <v>3039</v>
      </c>
      <c r="BJ8" s="440" t="s">
        <v>3045</v>
      </c>
      <c r="BK8" s="440" t="s">
        <v>3054</v>
      </c>
      <c r="BL8" s="440" t="s">
        <v>3062</v>
      </c>
      <c r="BM8" s="440" t="s">
        <v>3070</v>
      </c>
      <c r="BN8" s="440" t="s">
        <v>3074</v>
      </c>
      <c r="BO8" s="440" t="s">
        <v>3076</v>
      </c>
      <c r="BP8" s="440" t="s">
        <v>1712</v>
      </c>
      <c r="BQ8" s="440" t="s">
        <v>1713</v>
      </c>
      <c r="BR8" s="392" t="s">
        <v>1753</v>
      </c>
      <c r="BS8" s="392" t="s">
        <v>1721</v>
      </c>
      <c r="BT8" s="392" t="s">
        <v>2937</v>
      </c>
      <c r="BU8" s="392" t="s">
        <v>1722</v>
      </c>
      <c r="BV8" s="392" t="s">
        <v>1719</v>
      </c>
      <c r="BW8" s="412" t="s">
        <v>1723</v>
      </c>
      <c r="BX8" s="412" t="s">
        <v>1719</v>
      </c>
    </row>
    <row r="9" spans="1:101" ht="15" customHeight="1">
      <c r="A9" s="44" t="s">
        <v>452</v>
      </c>
      <c r="B9" s="49">
        <v>20</v>
      </c>
      <c r="C9" s="50" t="s">
        <v>452</v>
      </c>
      <c r="D9" s="46" t="s">
        <v>1605</v>
      </c>
      <c r="E9" s="488" t="s">
        <v>2762</v>
      </c>
      <c r="F9" s="696" t="s">
        <v>1379</v>
      </c>
      <c r="G9" s="640" t="s">
        <v>2332</v>
      </c>
      <c r="H9" s="640" t="s">
        <v>604</v>
      </c>
      <c r="I9" s="640" t="s">
        <v>614</v>
      </c>
      <c r="J9" s="46" t="s">
        <v>306</v>
      </c>
      <c r="K9" s="45" t="s">
        <v>314</v>
      </c>
      <c r="M9" s="422" t="s">
        <v>1738</v>
      </c>
      <c r="N9" s="15"/>
      <c r="O9" s="61" t="s">
        <v>2668</v>
      </c>
      <c r="P9" s="433">
        <v>8</v>
      </c>
      <c r="Q9" s="432"/>
      <c r="R9" s="424" t="s">
        <v>836</v>
      </c>
      <c r="S9" s="432" t="s">
        <v>865</v>
      </c>
      <c r="T9" s="432" t="s">
        <v>901</v>
      </c>
      <c r="U9" s="432" t="s">
        <v>901</v>
      </c>
      <c r="V9" s="432" t="s">
        <v>937</v>
      </c>
      <c r="W9" s="432" t="s">
        <v>953</v>
      </c>
      <c r="X9" s="432" t="s">
        <v>877</v>
      </c>
      <c r="Y9" s="432" t="s">
        <v>966</v>
      </c>
      <c r="Z9" s="432" t="s">
        <v>966</v>
      </c>
      <c r="AA9" s="432" t="s">
        <v>966</v>
      </c>
      <c r="AB9" s="432" t="s">
        <v>966</v>
      </c>
      <c r="AC9" s="432" t="s">
        <v>1190</v>
      </c>
      <c r="AD9" s="432" t="s">
        <v>1190</v>
      </c>
      <c r="AE9" s="432" t="s">
        <v>872</v>
      </c>
      <c r="AF9" s="424" t="s">
        <v>1319</v>
      </c>
      <c r="AG9" s="432" t="s">
        <v>966</v>
      </c>
      <c r="AH9" s="432" t="s">
        <v>966</v>
      </c>
      <c r="AI9" s="432" t="s">
        <v>966</v>
      </c>
      <c r="AJ9" s="432" t="s">
        <v>966</v>
      </c>
      <c r="AK9" s="432" t="s">
        <v>966</v>
      </c>
      <c r="AL9" s="432" t="s">
        <v>966</v>
      </c>
      <c r="AM9" s="46" t="s">
        <v>293</v>
      </c>
      <c r="AQ9" s="636"/>
    </row>
    <row r="10" spans="1:101">
      <c r="A10" s="206" t="s">
        <v>453</v>
      </c>
      <c r="B10" s="207">
        <v>5</v>
      </c>
      <c r="C10" s="207" t="s">
        <v>453</v>
      </c>
      <c r="D10" s="46" t="s">
        <v>1592</v>
      </c>
      <c r="E10" s="488"/>
      <c r="F10" s="696" t="s">
        <v>1477</v>
      </c>
      <c r="G10" s="640" t="s">
        <v>2333</v>
      </c>
      <c r="H10" s="640" t="s">
        <v>615</v>
      </c>
      <c r="I10" s="640" t="s">
        <v>693</v>
      </c>
      <c r="J10" s="46" t="s">
        <v>307</v>
      </c>
      <c r="K10" s="45" t="s">
        <v>315</v>
      </c>
      <c r="M10" s="46" t="b">
        <v>0</v>
      </c>
      <c r="N10" s="15"/>
      <c r="O10" s="61" t="s">
        <v>958</v>
      </c>
      <c r="P10" s="433">
        <v>9</v>
      </c>
      <c r="Q10" s="432"/>
      <c r="R10" s="424" t="s">
        <v>837</v>
      </c>
      <c r="S10" s="432" t="s">
        <v>892</v>
      </c>
      <c r="T10" s="432" t="s">
        <v>902</v>
      </c>
      <c r="U10" s="432" t="s">
        <v>902</v>
      </c>
      <c r="V10" s="432" t="s">
        <v>938</v>
      </c>
      <c r="W10" s="46" t="s">
        <v>293</v>
      </c>
      <c r="X10" s="46" t="s">
        <v>293</v>
      </c>
      <c r="Y10" s="432" t="s">
        <v>967</v>
      </c>
      <c r="Z10" s="46" t="s">
        <v>293</v>
      </c>
      <c r="AA10" s="432" t="s">
        <v>967</v>
      </c>
      <c r="AB10" s="432" t="s">
        <v>967</v>
      </c>
      <c r="AC10" s="432" t="s">
        <v>1195</v>
      </c>
      <c r="AD10" s="432" t="s">
        <v>1195</v>
      </c>
      <c r="AE10" s="432" t="s">
        <v>874</v>
      </c>
      <c r="AF10" s="424" t="s">
        <v>833</v>
      </c>
      <c r="AG10" s="432" t="s">
        <v>967</v>
      </c>
      <c r="AH10" s="432" t="s">
        <v>967</v>
      </c>
      <c r="AI10" s="432" t="s">
        <v>967</v>
      </c>
      <c r="AJ10" s="432" t="s">
        <v>967</v>
      </c>
      <c r="AK10" s="46" t="s">
        <v>293</v>
      </c>
      <c r="AL10" s="432" t="s">
        <v>967</v>
      </c>
      <c r="AM10" s="46" t="s">
        <v>293</v>
      </c>
      <c r="AQ10" s="79"/>
    </row>
    <row r="11" spans="1:101">
      <c r="A11" s="206" t="s">
        <v>454</v>
      </c>
      <c r="B11" s="207">
        <v>1</v>
      </c>
      <c r="C11" s="207" t="s">
        <v>454</v>
      </c>
      <c r="D11" s="46" t="s">
        <v>1593</v>
      </c>
      <c r="E11" s="488"/>
      <c r="F11" s="696" t="s">
        <v>435</v>
      </c>
      <c r="G11" s="640" t="s">
        <v>2334</v>
      </c>
      <c r="H11" s="640" t="s">
        <v>2612</v>
      </c>
      <c r="I11" s="640" t="s">
        <v>694</v>
      </c>
      <c r="J11" s="46" t="s">
        <v>308</v>
      </c>
      <c r="K11" s="61" t="s">
        <v>316</v>
      </c>
      <c r="M11" s="422" t="s">
        <v>1584</v>
      </c>
      <c r="N11" s="15"/>
      <c r="O11" s="61" t="s">
        <v>1879</v>
      </c>
      <c r="P11" s="433">
        <v>10</v>
      </c>
      <c r="Q11" s="432"/>
      <c r="R11" s="424" t="s">
        <v>838</v>
      </c>
      <c r="S11" s="432" t="s">
        <v>893</v>
      </c>
      <c r="T11" s="432" t="s">
        <v>903</v>
      </c>
      <c r="U11" s="432" t="s">
        <v>903</v>
      </c>
      <c r="V11" s="432" t="s">
        <v>939</v>
      </c>
      <c r="W11" s="46" t="s">
        <v>293</v>
      </c>
      <c r="X11" s="46" t="s">
        <v>293</v>
      </c>
      <c r="Y11" s="432" t="s">
        <v>968</v>
      </c>
      <c r="Z11" s="46" t="s">
        <v>293</v>
      </c>
      <c r="AA11" s="432" t="s">
        <v>968</v>
      </c>
      <c r="AB11" s="432" t="s">
        <v>968</v>
      </c>
      <c r="AC11" s="432" t="s">
        <v>1196</v>
      </c>
      <c r="AD11" s="432" t="s">
        <v>1196</v>
      </c>
      <c r="AE11" s="432" t="s">
        <v>891</v>
      </c>
      <c r="AF11" s="424" t="s">
        <v>834</v>
      </c>
      <c r="AG11" s="432" t="s">
        <v>968</v>
      </c>
      <c r="AH11" s="432" t="s">
        <v>968</v>
      </c>
      <c r="AI11" s="432" t="s">
        <v>968</v>
      </c>
      <c r="AJ11" s="432" t="s">
        <v>968</v>
      </c>
      <c r="AK11" s="46" t="s">
        <v>293</v>
      </c>
      <c r="AL11" s="432" t="s">
        <v>968</v>
      </c>
      <c r="AM11" s="46" t="s">
        <v>293</v>
      </c>
    </row>
    <row r="12" spans="1:101">
      <c r="A12" s="206" t="s">
        <v>426</v>
      </c>
      <c r="B12" s="337">
        <v>2</v>
      </c>
      <c r="C12" s="337" t="s">
        <v>426</v>
      </c>
      <c r="D12" s="46" t="s">
        <v>3083</v>
      </c>
      <c r="E12" s="488"/>
      <c r="F12" s="696" t="s">
        <v>1210</v>
      </c>
      <c r="G12" s="640" t="s">
        <v>407</v>
      </c>
      <c r="H12" s="640" t="s">
        <v>2335</v>
      </c>
      <c r="I12" s="640" t="s">
        <v>695</v>
      </c>
      <c r="J12" s="46" t="s">
        <v>309</v>
      </c>
      <c r="K12" s="45" t="s">
        <v>317</v>
      </c>
      <c r="M12" s="46">
        <v>1</v>
      </c>
      <c r="N12" s="15"/>
      <c r="O12" s="61" t="s">
        <v>954</v>
      </c>
      <c r="P12" s="433">
        <v>11</v>
      </c>
      <c r="Q12" s="432"/>
      <c r="R12" s="424" t="s">
        <v>839</v>
      </c>
      <c r="S12" s="432" t="s">
        <v>882</v>
      </c>
      <c r="T12" s="432" t="s">
        <v>904</v>
      </c>
      <c r="U12" s="432" t="s">
        <v>904</v>
      </c>
      <c r="V12" s="432" t="s">
        <v>940</v>
      </c>
      <c r="W12" s="46" t="s">
        <v>293</v>
      </c>
      <c r="X12" s="46" t="s">
        <v>293</v>
      </c>
      <c r="Y12" s="432" t="s">
        <v>969</v>
      </c>
      <c r="Z12" s="46" t="s">
        <v>293</v>
      </c>
      <c r="AA12" s="432" t="s">
        <v>969</v>
      </c>
      <c r="AB12" s="432" t="s">
        <v>969</v>
      </c>
      <c r="AC12" s="432" t="s">
        <v>1198</v>
      </c>
      <c r="AD12" s="432" t="s">
        <v>1198</v>
      </c>
      <c r="AE12" s="432" t="s">
        <v>875</v>
      </c>
      <c r="AF12" s="424" t="s">
        <v>1320</v>
      </c>
      <c r="AG12" s="432" t="s">
        <v>969</v>
      </c>
      <c r="AH12" s="432" t="s">
        <v>969</v>
      </c>
      <c r="AI12" s="432" t="s">
        <v>969</v>
      </c>
      <c r="AJ12" s="432" t="s">
        <v>969</v>
      </c>
      <c r="AK12" s="46" t="s">
        <v>293</v>
      </c>
      <c r="AL12" s="432" t="s">
        <v>969</v>
      </c>
      <c r="AM12" s="46" t="s">
        <v>293</v>
      </c>
    </row>
    <row r="13" spans="1:101">
      <c r="A13" s="206" t="s">
        <v>654</v>
      </c>
      <c r="B13" s="337">
        <v>3</v>
      </c>
      <c r="C13" s="337" t="s">
        <v>654</v>
      </c>
      <c r="D13" s="422" t="str">
        <f>'Конфигурация TREI'!G1</f>
        <v>Путь INFINITY для меток времени</v>
      </c>
      <c r="E13" s="488"/>
      <c r="F13" s="696" t="s">
        <v>640</v>
      </c>
      <c r="G13" s="640"/>
      <c r="H13" s="640" t="s">
        <v>2337</v>
      </c>
      <c r="I13" s="641" t="s">
        <v>793</v>
      </c>
      <c r="J13" s="46" t="s">
        <v>421</v>
      </c>
      <c r="K13" s="45"/>
      <c r="M13" s="422" t="s">
        <v>1664</v>
      </c>
      <c r="N13" s="15"/>
      <c r="O13" s="61" t="s">
        <v>929</v>
      </c>
      <c r="P13" s="433">
        <v>12</v>
      </c>
      <c r="Q13" s="432"/>
      <c r="R13" s="424" t="s">
        <v>840</v>
      </c>
      <c r="S13" s="432" t="s">
        <v>883</v>
      </c>
      <c r="T13" s="432" t="s">
        <v>905</v>
      </c>
      <c r="U13" s="432" t="s">
        <v>905</v>
      </c>
      <c r="V13" s="432" t="s">
        <v>941</v>
      </c>
      <c r="W13" s="46" t="s">
        <v>293</v>
      </c>
      <c r="X13" s="46" t="s">
        <v>293</v>
      </c>
      <c r="Y13" s="432" t="s">
        <v>970</v>
      </c>
      <c r="Z13" s="46" t="s">
        <v>293</v>
      </c>
      <c r="AA13" s="432" t="s">
        <v>970</v>
      </c>
      <c r="AB13" s="432" t="s">
        <v>970</v>
      </c>
      <c r="AC13" s="432" t="s">
        <v>1197</v>
      </c>
      <c r="AD13" s="432" t="s">
        <v>1197</v>
      </c>
      <c r="AE13" s="432" t="s">
        <v>881</v>
      </c>
      <c r="AF13" s="424" t="s">
        <v>1321</v>
      </c>
      <c r="AG13" s="432" t="s">
        <v>970</v>
      </c>
      <c r="AH13" s="432" t="s">
        <v>970</v>
      </c>
      <c r="AI13" s="432" t="s">
        <v>970</v>
      </c>
      <c r="AJ13" s="432" t="s">
        <v>970</v>
      </c>
      <c r="AK13" s="46" t="s">
        <v>293</v>
      </c>
      <c r="AL13" s="432" t="s">
        <v>970</v>
      </c>
      <c r="AM13" s="46" t="s">
        <v>293</v>
      </c>
    </row>
    <row r="14" spans="1:101">
      <c r="A14" s="206" t="s">
        <v>655</v>
      </c>
      <c r="B14" s="337">
        <v>6</v>
      </c>
      <c r="C14" s="337" t="s">
        <v>655</v>
      </c>
      <c r="D14" s="46" t="str">
        <f>IF(ISBLANK('Конфигурация TREI'!G2),"",'Конфигурация TREI'!G2&amp;".")</f>
        <v>TimeStampSignals.УСО18.</v>
      </c>
      <c r="E14" s="488"/>
      <c r="F14" s="696" t="s">
        <v>717</v>
      </c>
      <c r="G14" s="641"/>
      <c r="H14" s="641" t="s">
        <v>2336</v>
      </c>
      <c r="I14" s="641" t="s">
        <v>1191</v>
      </c>
      <c r="J14" s="60"/>
      <c r="K14" s="45"/>
      <c r="M14" s="46">
        <v>1</v>
      </c>
      <c r="N14" s="15"/>
      <c r="O14" s="436" t="s">
        <v>861</v>
      </c>
      <c r="P14" s="433">
        <v>13</v>
      </c>
      <c r="Q14" s="432"/>
      <c r="R14" s="424" t="s">
        <v>841</v>
      </c>
      <c r="S14" s="432" t="s">
        <v>885</v>
      </c>
      <c r="T14" s="432" t="s">
        <v>906</v>
      </c>
      <c r="U14" s="432" t="s">
        <v>906</v>
      </c>
      <c r="V14" s="432" t="s">
        <v>942</v>
      </c>
      <c r="W14" s="46" t="s">
        <v>293</v>
      </c>
      <c r="X14" s="46" t="s">
        <v>293</v>
      </c>
      <c r="Y14" s="432" t="s">
        <v>971</v>
      </c>
      <c r="Z14" s="46" t="s">
        <v>293</v>
      </c>
      <c r="AA14" s="432" t="s">
        <v>971</v>
      </c>
      <c r="AB14" s="432" t="s">
        <v>971</v>
      </c>
      <c r="AC14" s="432" t="s">
        <v>1199</v>
      </c>
      <c r="AD14" s="432" t="s">
        <v>1199</v>
      </c>
      <c r="AE14" s="432" t="s">
        <v>876</v>
      </c>
      <c r="AF14" s="424" t="s">
        <v>835</v>
      </c>
      <c r="AG14" s="432" t="s">
        <v>971</v>
      </c>
      <c r="AH14" s="432" t="s">
        <v>971</v>
      </c>
      <c r="AI14" s="432" t="s">
        <v>971</v>
      </c>
      <c r="AJ14" s="432" t="s">
        <v>971</v>
      </c>
      <c r="AK14" s="46" t="s">
        <v>293</v>
      </c>
      <c r="AL14" s="432" t="s">
        <v>971</v>
      </c>
      <c r="AM14" s="46" t="s">
        <v>293</v>
      </c>
    </row>
    <row r="15" spans="1:101">
      <c r="A15" s="206" t="s">
        <v>656</v>
      </c>
      <c r="B15" s="337">
        <v>13</v>
      </c>
      <c r="C15" s="337" t="s">
        <v>656</v>
      </c>
      <c r="E15" s="488"/>
      <c r="F15" s="696" t="s">
        <v>1352</v>
      </c>
      <c r="G15" s="641"/>
      <c r="H15" s="640" t="s">
        <v>2339</v>
      </c>
      <c r="I15" s="641" t="s">
        <v>1867</v>
      </c>
      <c r="M15" s="422" t="s">
        <v>1665</v>
      </c>
      <c r="N15" s="15"/>
      <c r="O15" s="61" t="s">
        <v>860</v>
      </c>
      <c r="P15" s="433">
        <v>14</v>
      </c>
      <c r="Q15" s="432"/>
      <c r="R15" s="424" t="s">
        <v>842</v>
      </c>
      <c r="S15" s="432" t="s">
        <v>886</v>
      </c>
      <c r="T15" s="432" t="s">
        <v>907</v>
      </c>
      <c r="U15" s="432" t="s">
        <v>907</v>
      </c>
      <c r="V15" s="432" t="s">
        <v>943</v>
      </c>
      <c r="W15" s="46" t="s">
        <v>293</v>
      </c>
      <c r="X15" s="46" t="s">
        <v>293</v>
      </c>
      <c r="Y15" s="432" t="s">
        <v>972</v>
      </c>
      <c r="Z15" s="46" t="s">
        <v>293</v>
      </c>
      <c r="AA15" s="432" t="s">
        <v>972</v>
      </c>
      <c r="AB15" s="432" t="s">
        <v>972</v>
      </c>
      <c r="AC15" s="432" t="s">
        <v>1200</v>
      </c>
      <c r="AD15" s="432" t="s">
        <v>1200</v>
      </c>
      <c r="AE15" s="432" t="s">
        <v>884</v>
      </c>
      <c r="AF15" s="424" t="s">
        <v>836</v>
      </c>
      <c r="AG15" s="432" t="s">
        <v>972</v>
      </c>
      <c r="AH15" s="432" t="s">
        <v>972</v>
      </c>
      <c r="AI15" s="432" t="s">
        <v>972</v>
      </c>
      <c r="AJ15" s="432" t="s">
        <v>972</v>
      </c>
      <c r="AK15" s="46" t="s">
        <v>293</v>
      </c>
      <c r="AL15" s="432" t="s">
        <v>972</v>
      </c>
      <c r="AM15" s="46" t="s">
        <v>293</v>
      </c>
    </row>
    <row r="16" spans="1:101">
      <c r="A16" s="206" t="s">
        <v>682</v>
      </c>
      <c r="B16" s="337">
        <v>22</v>
      </c>
      <c r="C16" s="337" t="s">
        <v>682</v>
      </c>
      <c r="E16" s="547" t="s">
        <v>1786</v>
      </c>
      <c r="F16" s="696" t="s">
        <v>2993</v>
      </c>
      <c r="G16" s="641"/>
      <c r="H16" s="641" t="s">
        <v>2613</v>
      </c>
      <c r="I16" s="641"/>
      <c r="M16" s="46">
        <v>1</v>
      </c>
      <c r="N16" s="15"/>
      <c r="O16" s="61" t="s">
        <v>928</v>
      </c>
      <c r="P16" s="433">
        <v>15</v>
      </c>
      <c r="Q16" s="432"/>
      <c r="R16" s="424" t="s">
        <v>843</v>
      </c>
      <c r="S16" s="432" t="s">
        <v>879</v>
      </c>
      <c r="T16" s="432" t="s">
        <v>908</v>
      </c>
      <c r="U16" s="432" t="s">
        <v>908</v>
      </c>
      <c r="V16" s="432" t="s">
        <v>944</v>
      </c>
      <c r="W16" s="46" t="s">
        <v>293</v>
      </c>
      <c r="X16" s="46" t="s">
        <v>293</v>
      </c>
      <c r="Y16" s="432" t="s">
        <v>973</v>
      </c>
      <c r="Z16" s="46" t="s">
        <v>293</v>
      </c>
      <c r="AA16" s="432" t="s">
        <v>973</v>
      </c>
      <c r="AB16" s="432" t="s">
        <v>973</v>
      </c>
      <c r="AC16" s="432" t="s">
        <v>1201</v>
      </c>
      <c r="AD16" s="432" t="s">
        <v>1201</v>
      </c>
      <c r="AE16" s="432" t="s">
        <v>877</v>
      </c>
      <c r="AF16" s="424" t="s">
        <v>1322</v>
      </c>
      <c r="AG16" s="432" t="s">
        <v>973</v>
      </c>
      <c r="AH16" s="432" t="s">
        <v>973</v>
      </c>
      <c r="AI16" s="432" t="s">
        <v>973</v>
      </c>
      <c r="AJ16" s="432" t="s">
        <v>973</v>
      </c>
      <c r="AK16" s="46" t="s">
        <v>293</v>
      </c>
      <c r="AL16" s="432" t="s">
        <v>973</v>
      </c>
      <c r="AM16" s="46" t="s">
        <v>293</v>
      </c>
    </row>
    <row r="17" spans="1:39">
      <c r="E17" s="698" t="s">
        <v>1783</v>
      </c>
      <c r="F17" s="697" t="s">
        <v>2994</v>
      </c>
      <c r="G17" s="641"/>
      <c r="H17" s="641" t="s">
        <v>331</v>
      </c>
      <c r="I17" s="641"/>
      <c r="M17" s="422" t="s">
        <v>1471</v>
      </c>
      <c r="N17" s="15"/>
      <c r="O17" s="61" t="s">
        <v>926</v>
      </c>
      <c r="P17" s="433">
        <v>16</v>
      </c>
      <c r="Q17" s="432"/>
      <c r="R17" s="424" t="s">
        <v>844</v>
      </c>
      <c r="S17" s="432" t="s">
        <v>880</v>
      </c>
      <c r="T17" s="432" t="s">
        <v>909</v>
      </c>
      <c r="U17" s="432" t="s">
        <v>909</v>
      </c>
      <c r="V17" s="432" t="s">
        <v>945</v>
      </c>
      <c r="W17" s="46" t="s">
        <v>293</v>
      </c>
      <c r="X17" s="46" t="s">
        <v>293</v>
      </c>
      <c r="Y17" s="432" t="s">
        <v>974</v>
      </c>
      <c r="Z17" s="46" t="s">
        <v>293</v>
      </c>
      <c r="AA17" s="432" t="s">
        <v>974</v>
      </c>
      <c r="AB17" s="432" t="s">
        <v>974</v>
      </c>
      <c r="AC17" s="432" t="s">
        <v>1202</v>
      </c>
      <c r="AD17" s="432" t="s">
        <v>1202</v>
      </c>
      <c r="AE17" s="432" t="s">
        <v>878</v>
      </c>
      <c r="AF17" s="424" t="s">
        <v>1323</v>
      </c>
      <c r="AG17" s="432" t="s">
        <v>974</v>
      </c>
      <c r="AH17" s="432" t="s">
        <v>974</v>
      </c>
      <c r="AI17" s="432" t="s">
        <v>974</v>
      </c>
      <c r="AJ17" s="432" t="s">
        <v>974</v>
      </c>
      <c r="AK17" s="46" t="s">
        <v>293</v>
      </c>
      <c r="AL17" s="432" t="s">
        <v>974</v>
      </c>
      <c r="AM17" s="46" t="s">
        <v>293</v>
      </c>
    </row>
    <row r="18" spans="1:39">
      <c r="E18" s="698" t="s">
        <v>1785</v>
      </c>
      <c r="F18" s="696" t="s">
        <v>643</v>
      </c>
      <c r="G18" s="699"/>
      <c r="H18" s="641" t="s">
        <v>2759</v>
      </c>
      <c r="I18" s="641"/>
      <c r="M18" s="46">
        <v>1000</v>
      </c>
      <c r="N18" s="15"/>
      <c r="O18" s="61" t="s">
        <v>927</v>
      </c>
      <c r="P18" s="433">
        <v>17</v>
      </c>
      <c r="Q18" s="432"/>
      <c r="R18" s="46" t="s">
        <v>293</v>
      </c>
      <c r="S18" s="46" t="s">
        <v>293</v>
      </c>
      <c r="T18" s="432" t="s">
        <v>910</v>
      </c>
      <c r="U18" s="432" t="s">
        <v>910</v>
      </c>
      <c r="V18" s="46" t="s">
        <v>293</v>
      </c>
      <c r="W18" s="46" t="s">
        <v>293</v>
      </c>
      <c r="X18" s="46" t="s">
        <v>293</v>
      </c>
      <c r="Y18" s="46" t="s">
        <v>293</v>
      </c>
      <c r="Z18" s="46" t="s">
        <v>293</v>
      </c>
      <c r="AA18" s="432" t="s">
        <v>975</v>
      </c>
      <c r="AB18" s="432" t="s">
        <v>975</v>
      </c>
      <c r="AC18" s="46" t="s">
        <v>293</v>
      </c>
      <c r="AD18" s="46" t="s">
        <v>293</v>
      </c>
      <c r="AE18" s="46" t="s">
        <v>293</v>
      </c>
      <c r="AF18" s="424" t="s">
        <v>837</v>
      </c>
      <c r="AG18" s="432" t="s">
        <v>975</v>
      </c>
      <c r="AH18" s="432" t="s">
        <v>975</v>
      </c>
      <c r="AI18" s="432" t="s">
        <v>975</v>
      </c>
      <c r="AJ18" s="46" t="s">
        <v>293</v>
      </c>
      <c r="AK18" s="46" t="s">
        <v>293</v>
      </c>
      <c r="AL18" s="432" t="s">
        <v>975</v>
      </c>
      <c r="AM18" s="46" t="s">
        <v>293</v>
      </c>
    </row>
    <row r="19" spans="1:39">
      <c r="E19" s="698" t="s">
        <v>1791</v>
      </c>
      <c r="F19" s="697" t="s">
        <v>653</v>
      </c>
      <c r="G19" s="641"/>
      <c r="H19" s="641" t="s">
        <v>332</v>
      </c>
      <c r="I19" s="641"/>
      <c r="J19" s="47"/>
      <c r="M19" s="422" t="s">
        <v>1736</v>
      </c>
      <c r="N19" s="15"/>
      <c r="O19" s="61" t="s">
        <v>1209</v>
      </c>
      <c r="P19" s="433">
        <v>18</v>
      </c>
      <c r="Q19" s="432"/>
      <c r="R19" s="46" t="s">
        <v>293</v>
      </c>
      <c r="S19" s="46" t="s">
        <v>293</v>
      </c>
      <c r="T19" s="432" t="s">
        <v>911</v>
      </c>
      <c r="U19" s="432" t="s">
        <v>911</v>
      </c>
      <c r="V19" s="46" t="s">
        <v>293</v>
      </c>
      <c r="W19" s="46" t="s">
        <v>293</v>
      </c>
      <c r="X19" s="46" t="s">
        <v>293</v>
      </c>
      <c r="Y19" s="46" t="s">
        <v>293</v>
      </c>
      <c r="Z19" s="46" t="s">
        <v>293</v>
      </c>
      <c r="AA19" s="432" t="s">
        <v>976</v>
      </c>
      <c r="AB19" s="432" t="s">
        <v>976</v>
      </c>
      <c r="AC19" s="46" t="s">
        <v>293</v>
      </c>
      <c r="AD19" s="46" t="s">
        <v>293</v>
      </c>
      <c r="AE19" s="46" t="s">
        <v>293</v>
      </c>
      <c r="AF19" s="424" t="s">
        <v>838</v>
      </c>
      <c r="AG19" s="432" t="s">
        <v>976</v>
      </c>
      <c r="AH19" s="432" t="s">
        <v>976</v>
      </c>
      <c r="AI19" s="432" t="s">
        <v>976</v>
      </c>
      <c r="AJ19" s="46" t="s">
        <v>293</v>
      </c>
      <c r="AK19" s="46" t="s">
        <v>293</v>
      </c>
      <c r="AL19" s="432" t="s">
        <v>976</v>
      </c>
      <c r="AM19" s="46" t="s">
        <v>293</v>
      </c>
    </row>
    <row r="20" spans="1:39">
      <c r="E20" s="647" t="s">
        <v>1789</v>
      </c>
      <c r="F20" s="696" t="s">
        <v>1368</v>
      </c>
      <c r="G20" s="641"/>
      <c r="H20" s="641" t="s">
        <v>333</v>
      </c>
      <c r="I20" s="640"/>
      <c r="J20" s="47"/>
      <c r="M20" s="46">
        <v>1</v>
      </c>
      <c r="N20" s="15"/>
      <c r="O20" s="61" t="s">
        <v>1315</v>
      </c>
      <c r="P20" s="433">
        <v>19</v>
      </c>
      <c r="Q20" s="432"/>
      <c r="R20" s="46" t="s">
        <v>293</v>
      </c>
      <c r="S20" s="46" t="s">
        <v>293</v>
      </c>
      <c r="T20" s="432" t="s">
        <v>912</v>
      </c>
      <c r="U20" s="432" t="s">
        <v>912</v>
      </c>
      <c r="V20" s="46" t="s">
        <v>293</v>
      </c>
      <c r="W20" s="46" t="s">
        <v>293</v>
      </c>
      <c r="X20" s="46" t="s">
        <v>293</v>
      </c>
      <c r="Y20" s="46" t="s">
        <v>293</v>
      </c>
      <c r="Z20" s="46" t="s">
        <v>293</v>
      </c>
      <c r="AA20" s="432" t="s">
        <v>977</v>
      </c>
      <c r="AB20" s="432" t="s">
        <v>977</v>
      </c>
      <c r="AC20" s="46" t="s">
        <v>293</v>
      </c>
      <c r="AD20" s="46" t="s">
        <v>293</v>
      </c>
      <c r="AE20" s="46" t="s">
        <v>293</v>
      </c>
      <c r="AF20" s="424" t="s">
        <v>1324</v>
      </c>
      <c r="AG20" s="432" t="s">
        <v>977</v>
      </c>
      <c r="AH20" s="432" t="s">
        <v>977</v>
      </c>
      <c r="AI20" s="432" t="s">
        <v>977</v>
      </c>
      <c r="AJ20" s="46" t="s">
        <v>293</v>
      </c>
      <c r="AK20" s="46" t="s">
        <v>293</v>
      </c>
      <c r="AL20" s="432" t="s">
        <v>977</v>
      </c>
      <c r="AM20" s="46" t="s">
        <v>293</v>
      </c>
    </row>
    <row r="21" spans="1:39">
      <c r="E21" s="647" t="s">
        <v>1792</v>
      </c>
      <c r="F21" s="696" t="s">
        <v>449</v>
      </c>
      <c r="G21" s="641"/>
      <c r="H21" s="641" t="s">
        <v>1609</v>
      </c>
      <c r="I21" s="641"/>
      <c r="J21" s="47"/>
      <c r="M21" s="422" t="s">
        <v>1737</v>
      </c>
      <c r="N21" s="15"/>
      <c r="O21" s="61" t="s">
        <v>1881</v>
      </c>
      <c r="P21" s="433">
        <v>20</v>
      </c>
      <c r="Q21" s="432"/>
      <c r="R21" s="46" t="s">
        <v>293</v>
      </c>
      <c r="S21" s="46" t="s">
        <v>293</v>
      </c>
      <c r="T21" s="432" t="s">
        <v>913</v>
      </c>
      <c r="U21" s="432" t="s">
        <v>913</v>
      </c>
      <c r="V21" s="46" t="s">
        <v>293</v>
      </c>
      <c r="W21" s="46" t="s">
        <v>293</v>
      </c>
      <c r="X21" s="46" t="s">
        <v>293</v>
      </c>
      <c r="Y21" s="46" t="s">
        <v>293</v>
      </c>
      <c r="Z21" s="46" t="s">
        <v>293</v>
      </c>
      <c r="AA21" s="432" t="s">
        <v>978</v>
      </c>
      <c r="AB21" s="432" t="s">
        <v>978</v>
      </c>
      <c r="AC21" s="46" t="s">
        <v>293</v>
      </c>
      <c r="AD21" s="46" t="s">
        <v>293</v>
      </c>
      <c r="AE21" s="46" t="s">
        <v>293</v>
      </c>
      <c r="AF21" s="424" t="s">
        <v>1325</v>
      </c>
      <c r="AG21" s="432" t="s">
        <v>978</v>
      </c>
      <c r="AH21" s="432" t="s">
        <v>978</v>
      </c>
      <c r="AI21" s="432" t="s">
        <v>978</v>
      </c>
      <c r="AJ21" s="46" t="s">
        <v>293</v>
      </c>
      <c r="AK21" s="46" t="s">
        <v>293</v>
      </c>
      <c r="AL21" s="432" t="s">
        <v>978</v>
      </c>
      <c r="AM21" s="46" t="s">
        <v>293</v>
      </c>
    </row>
    <row r="22" spans="1:39">
      <c r="E22" s="647" t="s">
        <v>1817</v>
      </c>
      <c r="F22" s="46" t="s">
        <v>594</v>
      </c>
      <c r="G22" s="79"/>
      <c r="H22" s="79"/>
      <c r="I22" s="79"/>
      <c r="J22" s="47"/>
      <c r="M22" s="46">
        <v>8193</v>
      </c>
      <c r="N22" s="15"/>
      <c r="O22" s="61"/>
      <c r="P22" s="433">
        <v>21</v>
      </c>
      <c r="Q22" s="432"/>
      <c r="R22" s="46" t="s">
        <v>293</v>
      </c>
      <c r="S22" s="46" t="s">
        <v>293</v>
      </c>
      <c r="T22" s="432" t="s">
        <v>914</v>
      </c>
      <c r="U22" s="432" t="s">
        <v>914</v>
      </c>
      <c r="V22" s="46" t="s">
        <v>293</v>
      </c>
      <c r="W22" s="46" t="s">
        <v>293</v>
      </c>
      <c r="X22" s="46" t="s">
        <v>293</v>
      </c>
      <c r="Y22" s="46" t="s">
        <v>293</v>
      </c>
      <c r="Z22" s="46" t="s">
        <v>293</v>
      </c>
      <c r="AA22" s="432" t="s">
        <v>979</v>
      </c>
      <c r="AB22" s="432" t="s">
        <v>979</v>
      </c>
      <c r="AC22" s="46" t="s">
        <v>293</v>
      </c>
      <c r="AD22" s="46" t="s">
        <v>293</v>
      </c>
      <c r="AE22" s="46" t="s">
        <v>293</v>
      </c>
      <c r="AF22" s="424" t="s">
        <v>839</v>
      </c>
      <c r="AG22" s="432" t="s">
        <v>979</v>
      </c>
      <c r="AH22" s="432" t="s">
        <v>979</v>
      </c>
      <c r="AI22" s="432" t="s">
        <v>979</v>
      </c>
      <c r="AJ22" s="46" t="s">
        <v>293</v>
      </c>
      <c r="AK22" s="46" t="s">
        <v>293</v>
      </c>
      <c r="AL22" s="432" t="s">
        <v>979</v>
      </c>
      <c r="AM22" s="46" t="s">
        <v>293</v>
      </c>
    </row>
    <row r="23" spans="1:39">
      <c r="E23" s="647" t="s">
        <v>1801</v>
      </c>
      <c r="F23" s="46" t="s">
        <v>595</v>
      </c>
      <c r="G23" s="79"/>
      <c r="H23" s="79"/>
      <c r="I23" s="79"/>
      <c r="J23" s="47"/>
      <c r="M23" s="422" t="s">
        <v>1707</v>
      </c>
      <c r="N23" s="15"/>
      <c r="O23" s="61"/>
      <c r="P23" s="433">
        <v>22</v>
      </c>
      <c r="Q23" s="432"/>
      <c r="R23" s="46" t="s">
        <v>293</v>
      </c>
      <c r="S23" s="46" t="s">
        <v>293</v>
      </c>
      <c r="T23" s="432" t="s">
        <v>915</v>
      </c>
      <c r="U23" s="432" t="s">
        <v>915</v>
      </c>
      <c r="V23" s="46" t="s">
        <v>293</v>
      </c>
      <c r="W23" s="46" t="s">
        <v>293</v>
      </c>
      <c r="X23" s="46" t="s">
        <v>293</v>
      </c>
      <c r="Y23" s="46" t="s">
        <v>293</v>
      </c>
      <c r="Z23" s="46" t="s">
        <v>293</v>
      </c>
      <c r="AA23" s="432" t="s">
        <v>980</v>
      </c>
      <c r="AB23" s="432" t="s">
        <v>980</v>
      </c>
      <c r="AC23" s="46" t="s">
        <v>293</v>
      </c>
      <c r="AD23" s="46" t="s">
        <v>293</v>
      </c>
      <c r="AE23" s="46" t="s">
        <v>293</v>
      </c>
      <c r="AF23" s="424" t="s">
        <v>840</v>
      </c>
      <c r="AG23" s="432" t="s">
        <v>980</v>
      </c>
      <c r="AH23" s="432" t="s">
        <v>980</v>
      </c>
      <c r="AI23" s="432" t="s">
        <v>980</v>
      </c>
      <c r="AJ23" s="46" t="s">
        <v>293</v>
      </c>
      <c r="AK23" s="46" t="s">
        <v>293</v>
      </c>
      <c r="AL23" s="432" t="s">
        <v>980</v>
      </c>
      <c r="AM23" s="46" t="s">
        <v>293</v>
      </c>
    </row>
    <row r="24" spans="1:39">
      <c r="E24" s="647" t="s">
        <v>1806</v>
      </c>
      <c r="F24" s="46" t="s">
        <v>596</v>
      </c>
      <c r="G24" s="79"/>
      <c r="H24" s="79"/>
      <c r="I24" s="79"/>
      <c r="J24" s="47"/>
      <c r="M24" s="46" t="b">
        <v>1</v>
      </c>
      <c r="N24" s="15"/>
      <c r="O24" s="61"/>
      <c r="P24" s="433">
        <v>23</v>
      </c>
      <c r="Q24" s="432"/>
      <c r="R24" s="46" t="s">
        <v>293</v>
      </c>
      <c r="S24" s="46" t="s">
        <v>293</v>
      </c>
      <c r="T24" s="432" t="s">
        <v>916</v>
      </c>
      <c r="U24" s="432" t="s">
        <v>916</v>
      </c>
      <c r="V24" s="46" t="s">
        <v>293</v>
      </c>
      <c r="W24" s="46" t="s">
        <v>293</v>
      </c>
      <c r="X24" s="46" t="s">
        <v>293</v>
      </c>
      <c r="Y24" s="46" t="s">
        <v>293</v>
      </c>
      <c r="Z24" s="46" t="s">
        <v>293</v>
      </c>
      <c r="AA24" s="432" t="s">
        <v>981</v>
      </c>
      <c r="AB24" s="432" t="s">
        <v>981</v>
      </c>
      <c r="AC24" s="46" t="s">
        <v>293</v>
      </c>
      <c r="AD24" s="46" t="s">
        <v>293</v>
      </c>
      <c r="AE24" s="46" t="s">
        <v>293</v>
      </c>
      <c r="AF24" s="424" t="s">
        <v>1326</v>
      </c>
      <c r="AG24" s="432" t="s">
        <v>981</v>
      </c>
      <c r="AH24" s="432" t="s">
        <v>981</v>
      </c>
      <c r="AI24" s="432" t="s">
        <v>981</v>
      </c>
      <c r="AJ24" s="46" t="s">
        <v>293</v>
      </c>
      <c r="AK24" s="46" t="s">
        <v>293</v>
      </c>
      <c r="AL24" s="432" t="s">
        <v>981</v>
      </c>
      <c r="AM24" s="46" t="s">
        <v>293</v>
      </c>
    </row>
    <row r="25" spans="1:39">
      <c r="E25" s="647" t="s">
        <v>1802</v>
      </c>
      <c r="F25" s="46" t="s">
        <v>605</v>
      </c>
      <c r="G25" s="79"/>
      <c r="H25" s="79"/>
      <c r="I25" s="79"/>
      <c r="J25" s="47"/>
      <c r="L25" s="47"/>
      <c r="M25" s="422" t="s">
        <v>1708</v>
      </c>
      <c r="N25" s="15"/>
      <c r="O25" s="61"/>
      <c r="P25" s="433">
        <v>24</v>
      </c>
      <c r="Q25" s="432"/>
      <c r="R25" s="46" t="s">
        <v>293</v>
      </c>
      <c r="S25" s="46" t="s">
        <v>293</v>
      </c>
      <c r="T25" s="432" t="s">
        <v>917</v>
      </c>
      <c r="U25" s="432" t="s">
        <v>917</v>
      </c>
      <c r="V25" s="46" t="s">
        <v>293</v>
      </c>
      <c r="W25" s="46" t="s">
        <v>293</v>
      </c>
      <c r="X25" s="46" t="s">
        <v>293</v>
      </c>
      <c r="Y25" s="46" t="s">
        <v>293</v>
      </c>
      <c r="Z25" s="46" t="s">
        <v>293</v>
      </c>
      <c r="AA25" s="432" t="s">
        <v>982</v>
      </c>
      <c r="AB25" s="432" t="s">
        <v>982</v>
      </c>
      <c r="AC25" s="46" t="s">
        <v>293</v>
      </c>
      <c r="AD25" s="46" t="s">
        <v>293</v>
      </c>
      <c r="AE25" s="46" t="s">
        <v>293</v>
      </c>
      <c r="AF25" s="424" t="s">
        <v>1327</v>
      </c>
      <c r="AG25" s="432" t="s">
        <v>982</v>
      </c>
      <c r="AH25" s="432" t="s">
        <v>982</v>
      </c>
      <c r="AI25" s="432" t="s">
        <v>982</v>
      </c>
      <c r="AJ25" s="46" t="s">
        <v>293</v>
      </c>
      <c r="AK25" s="46" t="s">
        <v>293</v>
      </c>
      <c r="AL25" s="432" t="s">
        <v>982</v>
      </c>
      <c r="AM25" s="46" t="s">
        <v>293</v>
      </c>
    </row>
    <row r="26" spans="1:39">
      <c r="E26" s="488" t="s">
        <v>1803</v>
      </c>
      <c r="F26" s="46" t="s">
        <v>606</v>
      </c>
      <c r="G26" s="79"/>
      <c r="H26" s="79"/>
      <c r="I26" s="79"/>
      <c r="J26" s="47"/>
      <c r="L26" s="47"/>
      <c r="M26" s="46" t="b">
        <v>1</v>
      </c>
      <c r="N26" s="15"/>
      <c r="O26" s="61"/>
      <c r="P26" s="433">
        <v>25</v>
      </c>
      <c r="Q26" s="432"/>
      <c r="R26" s="46" t="s">
        <v>293</v>
      </c>
      <c r="S26" s="46" t="s">
        <v>293</v>
      </c>
      <c r="T26" s="432" t="s">
        <v>918</v>
      </c>
      <c r="U26" s="432" t="s">
        <v>918</v>
      </c>
      <c r="V26" s="46" t="s">
        <v>293</v>
      </c>
      <c r="W26" s="46" t="s">
        <v>293</v>
      </c>
      <c r="X26" s="46" t="s">
        <v>293</v>
      </c>
      <c r="Y26" s="46" t="s">
        <v>293</v>
      </c>
      <c r="Z26" s="46" t="s">
        <v>293</v>
      </c>
      <c r="AA26" s="432" t="s">
        <v>983</v>
      </c>
      <c r="AB26" s="432" t="s">
        <v>983</v>
      </c>
      <c r="AC26" s="46" t="s">
        <v>293</v>
      </c>
      <c r="AD26" s="46" t="s">
        <v>293</v>
      </c>
      <c r="AE26" s="46" t="s">
        <v>293</v>
      </c>
      <c r="AF26" s="424" t="s">
        <v>841</v>
      </c>
      <c r="AG26" s="432" t="s">
        <v>983</v>
      </c>
      <c r="AH26" s="432" t="s">
        <v>983</v>
      </c>
      <c r="AI26" s="432" t="s">
        <v>983</v>
      </c>
      <c r="AJ26" s="46" t="s">
        <v>293</v>
      </c>
      <c r="AK26" s="46" t="s">
        <v>293</v>
      </c>
      <c r="AL26" s="432" t="s">
        <v>983</v>
      </c>
      <c r="AM26" s="46" t="s">
        <v>293</v>
      </c>
    </row>
    <row r="27" spans="1:39">
      <c r="E27" s="488" t="s">
        <v>1804</v>
      </c>
      <c r="F27" s="46" t="s">
        <v>1332</v>
      </c>
      <c r="G27" s="79"/>
      <c r="H27" s="79"/>
      <c r="I27" s="79"/>
      <c r="J27" s="47"/>
      <c r="L27" s="47"/>
      <c r="M27" s="422" t="s">
        <v>1709</v>
      </c>
      <c r="N27" s="15"/>
      <c r="O27" s="61"/>
      <c r="P27" s="433">
        <v>26</v>
      </c>
      <c r="Q27" s="432"/>
      <c r="R27" s="46" t="s">
        <v>293</v>
      </c>
      <c r="S27" s="46" t="s">
        <v>293</v>
      </c>
      <c r="T27" s="432" t="s">
        <v>919</v>
      </c>
      <c r="U27" s="432" t="s">
        <v>919</v>
      </c>
      <c r="V27" s="46" t="s">
        <v>293</v>
      </c>
      <c r="W27" s="46" t="s">
        <v>293</v>
      </c>
      <c r="X27" s="46" t="s">
        <v>293</v>
      </c>
      <c r="Y27" s="46" t="s">
        <v>293</v>
      </c>
      <c r="Z27" s="46" t="s">
        <v>293</v>
      </c>
      <c r="AA27" s="432" t="s">
        <v>984</v>
      </c>
      <c r="AB27" s="432" t="s">
        <v>984</v>
      </c>
      <c r="AC27" s="46" t="s">
        <v>293</v>
      </c>
      <c r="AD27" s="46" t="s">
        <v>293</v>
      </c>
      <c r="AE27" s="46" t="s">
        <v>293</v>
      </c>
      <c r="AF27" s="424" t="s">
        <v>842</v>
      </c>
      <c r="AG27" s="432" t="s">
        <v>984</v>
      </c>
      <c r="AH27" s="432" t="s">
        <v>984</v>
      </c>
      <c r="AI27" s="432" t="s">
        <v>984</v>
      </c>
      <c r="AJ27" s="46" t="s">
        <v>293</v>
      </c>
      <c r="AK27" s="46" t="s">
        <v>293</v>
      </c>
      <c r="AL27" s="432" t="s">
        <v>984</v>
      </c>
      <c r="AM27" s="46" t="s">
        <v>293</v>
      </c>
    </row>
    <row r="28" spans="1:39">
      <c r="A28" s="422" t="s">
        <v>1980</v>
      </c>
      <c r="B28" s="422" t="s">
        <v>1968</v>
      </c>
      <c r="E28" s="206"/>
      <c r="F28" s="46" t="s">
        <v>2331</v>
      </c>
      <c r="G28" s="79"/>
      <c r="H28" s="79"/>
      <c r="I28" s="79"/>
      <c r="J28" s="47"/>
      <c r="L28" s="47"/>
      <c r="M28" s="46" t="b">
        <v>1</v>
      </c>
      <c r="N28" s="15"/>
      <c r="O28" s="61"/>
      <c r="P28" s="433">
        <v>27</v>
      </c>
      <c r="Q28" s="432"/>
      <c r="R28" s="46" t="s">
        <v>293</v>
      </c>
      <c r="S28" s="46" t="s">
        <v>293</v>
      </c>
      <c r="T28" s="432" t="s">
        <v>920</v>
      </c>
      <c r="U28" s="432" t="s">
        <v>920</v>
      </c>
      <c r="V28" s="46" t="s">
        <v>293</v>
      </c>
      <c r="W28" s="46" t="s">
        <v>293</v>
      </c>
      <c r="X28" s="46" t="s">
        <v>293</v>
      </c>
      <c r="Y28" s="46" t="s">
        <v>293</v>
      </c>
      <c r="Z28" s="46" t="s">
        <v>293</v>
      </c>
      <c r="AA28" s="432" t="s">
        <v>985</v>
      </c>
      <c r="AB28" s="432" t="s">
        <v>985</v>
      </c>
      <c r="AC28" s="46" t="s">
        <v>293</v>
      </c>
      <c r="AD28" s="46" t="s">
        <v>293</v>
      </c>
      <c r="AE28" s="46" t="s">
        <v>293</v>
      </c>
      <c r="AF28" s="424" t="s">
        <v>1328</v>
      </c>
      <c r="AG28" s="432" t="s">
        <v>985</v>
      </c>
      <c r="AH28" s="432" t="s">
        <v>985</v>
      </c>
      <c r="AI28" s="432" t="s">
        <v>985</v>
      </c>
      <c r="AJ28" s="46" t="s">
        <v>293</v>
      </c>
      <c r="AK28" s="46" t="s">
        <v>293</v>
      </c>
      <c r="AL28" s="432" t="s">
        <v>985</v>
      </c>
      <c r="AM28" s="46" t="s">
        <v>293</v>
      </c>
    </row>
    <row r="29" spans="1:39">
      <c r="A29" s="46" t="b">
        <f>IF(AND(B29,B31),TRUE,FALSE)</f>
        <v>0</v>
      </c>
      <c r="B29" s="46" t="b">
        <v>0</v>
      </c>
      <c r="F29" s="46" t="s">
        <v>2332</v>
      </c>
      <c r="G29" s="79"/>
      <c r="H29" s="79"/>
      <c r="I29" s="79"/>
      <c r="J29" s="47"/>
      <c r="L29" s="47"/>
      <c r="M29" s="422" t="s">
        <v>1788</v>
      </c>
      <c r="N29" s="15"/>
      <c r="O29" s="61"/>
      <c r="P29" s="433">
        <v>28</v>
      </c>
      <c r="Q29" s="432"/>
      <c r="R29" s="46" t="s">
        <v>293</v>
      </c>
      <c r="S29" s="46" t="s">
        <v>293</v>
      </c>
      <c r="T29" s="432" t="s">
        <v>921</v>
      </c>
      <c r="U29" s="432" t="s">
        <v>921</v>
      </c>
      <c r="V29" s="46" t="s">
        <v>293</v>
      </c>
      <c r="W29" s="46" t="s">
        <v>293</v>
      </c>
      <c r="X29" s="46" t="s">
        <v>293</v>
      </c>
      <c r="Y29" s="46" t="s">
        <v>293</v>
      </c>
      <c r="Z29" s="46" t="s">
        <v>293</v>
      </c>
      <c r="AA29" s="432" t="s">
        <v>986</v>
      </c>
      <c r="AB29" s="432" t="s">
        <v>986</v>
      </c>
      <c r="AC29" s="46" t="s">
        <v>293</v>
      </c>
      <c r="AD29" s="46" t="s">
        <v>293</v>
      </c>
      <c r="AE29" s="46" t="s">
        <v>293</v>
      </c>
      <c r="AF29" s="424" t="s">
        <v>1329</v>
      </c>
      <c r="AG29" s="432" t="s">
        <v>986</v>
      </c>
      <c r="AH29" s="432" t="s">
        <v>986</v>
      </c>
      <c r="AI29" s="432" t="s">
        <v>986</v>
      </c>
      <c r="AJ29" s="46" t="s">
        <v>293</v>
      </c>
      <c r="AK29" s="46" t="s">
        <v>293</v>
      </c>
      <c r="AL29" s="432" t="s">
        <v>986</v>
      </c>
      <c r="AM29" s="46" t="s">
        <v>293</v>
      </c>
    </row>
    <row r="30" spans="1:39">
      <c r="A30" s="422" t="s">
        <v>1979</v>
      </c>
      <c r="B30" s="422" t="s">
        <v>1980</v>
      </c>
      <c r="F30" s="46" t="s">
        <v>2333</v>
      </c>
      <c r="G30" s="79"/>
      <c r="H30" s="79"/>
      <c r="I30" s="79"/>
      <c r="J30" s="47"/>
      <c r="L30" s="47"/>
      <c r="M30" s="46" t="b">
        <v>1</v>
      </c>
      <c r="N30" s="15"/>
      <c r="O30" s="61"/>
      <c r="P30" s="433">
        <v>29</v>
      </c>
      <c r="Q30" s="432"/>
      <c r="R30" s="46" t="s">
        <v>293</v>
      </c>
      <c r="S30" s="46" t="s">
        <v>293</v>
      </c>
      <c r="T30" s="432" t="s">
        <v>922</v>
      </c>
      <c r="U30" s="432" t="s">
        <v>922</v>
      </c>
      <c r="V30" s="46" t="s">
        <v>293</v>
      </c>
      <c r="W30" s="46" t="s">
        <v>293</v>
      </c>
      <c r="X30" s="46" t="s">
        <v>293</v>
      </c>
      <c r="Y30" s="46" t="s">
        <v>293</v>
      </c>
      <c r="Z30" s="46" t="s">
        <v>293</v>
      </c>
      <c r="AA30" s="432" t="s">
        <v>987</v>
      </c>
      <c r="AB30" s="432" t="s">
        <v>987</v>
      </c>
      <c r="AC30" s="46" t="s">
        <v>293</v>
      </c>
      <c r="AD30" s="46" t="s">
        <v>293</v>
      </c>
      <c r="AE30" s="46" t="s">
        <v>293</v>
      </c>
      <c r="AF30" s="424" t="s">
        <v>843</v>
      </c>
      <c r="AG30" s="432" t="s">
        <v>987</v>
      </c>
      <c r="AH30" s="432" t="s">
        <v>987</v>
      </c>
      <c r="AI30" s="432" t="s">
        <v>987</v>
      </c>
      <c r="AJ30" s="46" t="s">
        <v>293</v>
      </c>
      <c r="AK30" s="46" t="s">
        <v>293</v>
      </c>
      <c r="AL30" s="432" t="s">
        <v>987</v>
      </c>
      <c r="AM30" s="46" t="s">
        <v>293</v>
      </c>
    </row>
    <row r="31" spans="1:39">
      <c r="A31" s="46" t="b">
        <f>IF(AND(B29,B33),TRUE,FALSE)</f>
        <v>0</v>
      </c>
      <c r="B31" s="46" t="b">
        <v>1</v>
      </c>
      <c r="F31" s="46" t="s">
        <v>2334</v>
      </c>
      <c r="G31" s="79"/>
      <c r="H31" s="79"/>
      <c r="I31" s="79"/>
      <c r="J31" s="47"/>
      <c r="L31" s="47"/>
      <c r="M31" s="422" t="s">
        <v>1808</v>
      </c>
      <c r="N31" s="15"/>
      <c r="O31" s="61"/>
      <c r="P31" s="433">
        <v>30</v>
      </c>
      <c r="Q31" s="432"/>
      <c r="R31" s="46" t="s">
        <v>293</v>
      </c>
      <c r="S31" s="46" t="s">
        <v>293</v>
      </c>
      <c r="T31" s="432" t="s">
        <v>923</v>
      </c>
      <c r="U31" s="432" t="s">
        <v>923</v>
      </c>
      <c r="V31" s="46" t="s">
        <v>293</v>
      </c>
      <c r="W31" s="46" t="s">
        <v>293</v>
      </c>
      <c r="X31" s="46" t="s">
        <v>293</v>
      </c>
      <c r="Y31" s="46" t="s">
        <v>293</v>
      </c>
      <c r="Z31" s="46" t="s">
        <v>293</v>
      </c>
      <c r="AA31" s="432" t="s">
        <v>988</v>
      </c>
      <c r="AB31" s="432" t="s">
        <v>988</v>
      </c>
      <c r="AC31" s="46" t="s">
        <v>293</v>
      </c>
      <c r="AD31" s="46" t="s">
        <v>293</v>
      </c>
      <c r="AE31" s="46" t="s">
        <v>293</v>
      </c>
      <c r="AF31" s="424" t="s">
        <v>844</v>
      </c>
      <c r="AG31" s="432" t="s">
        <v>988</v>
      </c>
      <c r="AH31" s="432" t="s">
        <v>988</v>
      </c>
      <c r="AI31" s="432" t="s">
        <v>988</v>
      </c>
      <c r="AJ31" s="46" t="s">
        <v>293</v>
      </c>
      <c r="AK31" s="46" t="s">
        <v>293</v>
      </c>
      <c r="AL31" s="432" t="s">
        <v>988</v>
      </c>
      <c r="AM31" s="46" t="s">
        <v>293</v>
      </c>
    </row>
    <row r="32" spans="1:39">
      <c r="A32" s="422" t="s">
        <v>1978</v>
      </c>
      <c r="B32" s="422" t="s">
        <v>1979</v>
      </c>
      <c r="F32" s="46" t="s">
        <v>407</v>
      </c>
      <c r="G32" s="79"/>
      <c r="H32" s="79"/>
      <c r="I32" s="79"/>
      <c r="J32" s="47"/>
      <c r="L32" s="47"/>
      <c r="M32" s="46">
        <v>65500</v>
      </c>
      <c r="N32" s="15"/>
      <c r="O32" s="61"/>
      <c r="P32" s="433">
        <v>31</v>
      </c>
      <c r="Q32" s="432"/>
      <c r="R32" s="46" t="s">
        <v>293</v>
      </c>
      <c r="S32" s="46" t="s">
        <v>293</v>
      </c>
      <c r="T32" s="432" t="s">
        <v>924</v>
      </c>
      <c r="U32" s="432" t="s">
        <v>924</v>
      </c>
      <c r="V32" s="46" t="s">
        <v>293</v>
      </c>
      <c r="W32" s="46" t="s">
        <v>293</v>
      </c>
      <c r="X32" s="46" t="s">
        <v>293</v>
      </c>
      <c r="Y32" s="46" t="s">
        <v>293</v>
      </c>
      <c r="Z32" s="46" t="s">
        <v>293</v>
      </c>
      <c r="AA32" s="432" t="s">
        <v>989</v>
      </c>
      <c r="AB32" s="432" t="s">
        <v>989</v>
      </c>
      <c r="AC32" s="46" t="s">
        <v>293</v>
      </c>
      <c r="AD32" s="46" t="s">
        <v>293</v>
      </c>
      <c r="AE32" s="46" t="s">
        <v>293</v>
      </c>
      <c r="AF32" s="424" t="s">
        <v>1330</v>
      </c>
      <c r="AG32" s="432" t="s">
        <v>989</v>
      </c>
      <c r="AH32" s="432" t="s">
        <v>989</v>
      </c>
      <c r="AI32" s="432" t="s">
        <v>989</v>
      </c>
      <c r="AJ32" s="46" t="s">
        <v>293</v>
      </c>
      <c r="AK32" s="46" t="s">
        <v>293</v>
      </c>
      <c r="AL32" s="432" t="s">
        <v>989</v>
      </c>
      <c r="AM32" s="46" t="s">
        <v>293</v>
      </c>
    </row>
    <row r="33" spans="1:39">
      <c r="A33" s="46" t="b">
        <f>IF(AND(B35,B37),TRUE,FALSE)</f>
        <v>0</v>
      </c>
      <c r="B33" s="46" t="b">
        <v>0</v>
      </c>
      <c r="F33" s="46" t="s">
        <v>597</v>
      </c>
      <c r="G33" s="80"/>
      <c r="H33" s="79"/>
      <c r="I33" s="79"/>
      <c r="J33" s="47"/>
      <c r="L33" s="47"/>
      <c r="M33" s="422" t="s">
        <v>2927</v>
      </c>
      <c r="N33" s="15"/>
      <c r="O33" s="628"/>
      <c r="P33" s="629">
        <v>32</v>
      </c>
      <c r="Q33" s="630"/>
      <c r="R33" s="631" t="s">
        <v>293</v>
      </c>
      <c r="S33" s="46" t="s">
        <v>293</v>
      </c>
      <c r="T33" s="630" t="s">
        <v>925</v>
      </c>
      <c r="U33" s="630" t="s">
        <v>925</v>
      </c>
      <c r="V33" s="631" t="s">
        <v>293</v>
      </c>
      <c r="W33" s="631" t="s">
        <v>293</v>
      </c>
      <c r="X33" s="631" t="s">
        <v>293</v>
      </c>
      <c r="Y33" s="631" t="s">
        <v>293</v>
      </c>
      <c r="Z33" s="631" t="s">
        <v>293</v>
      </c>
      <c r="AA33" s="630" t="s">
        <v>990</v>
      </c>
      <c r="AB33" s="630" t="s">
        <v>990</v>
      </c>
      <c r="AC33" s="631" t="s">
        <v>293</v>
      </c>
      <c r="AD33" s="631" t="s">
        <v>293</v>
      </c>
      <c r="AE33" s="631" t="s">
        <v>293</v>
      </c>
      <c r="AF33" s="632" t="s">
        <v>1331</v>
      </c>
      <c r="AG33" s="630" t="s">
        <v>990</v>
      </c>
      <c r="AH33" s="630" t="s">
        <v>990</v>
      </c>
      <c r="AI33" s="630" t="s">
        <v>990</v>
      </c>
      <c r="AJ33" s="631" t="s">
        <v>293</v>
      </c>
      <c r="AK33" s="631" t="s">
        <v>293</v>
      </c>
      <c r="AL33" s="630" t="s">
        <v>990</v>
      </c>
      <c r="AM33" s="631" t="s">
        <v>293</v>
      </c>
    </row>
    <row r="34" spans="1:39">
      <c r="A34" s="422" t="s">
        <v>1981</v>
      </c>
      <c r="B34" s="422" t="s">
        <v>1977</v>
      </c>
      <c r="F34" s="46" t="s">
        <v>598</v>
      </c>
      <c r="G34" s="80"/>
      <c r="H34" s="79"/>
      <c r="I34" s="79"/>
      <c r="J34" s="47"/>
      <c r="L34" s="47"/>
      <c r="M34" s="46" t="b">
        <v>1</v>
      </c>
      <c r="N34" s="15"/>
      <c r="O34" s="634"/>
      <c r="P34" s="635"/>
      <c r="Q34" s="636"/>
      <c r="R34" s="636"/>
      <c r="S34" s="636"/>
      <c r="T34" s="636"/>
      <c r="U34" s="636"/>
      <c r="V34" s="636"/>
      <c r="W34" s="636"/>
      <c r="X34" s="636"/>
      <c r="Y34" s="636"/>
      <c r="Z34" s="636"/>
      <c r="AA34" s="636"/>
      <c r="AB34" s="636"/>
      <c r="AC34" s="636"/>
      <c r="AD34" s="636"/>
      <c r="AE34" s="636"/>
      <c r="AF34" s="636"/>
      <c r="AG34" s="636"/>
      <c r="AH34" s="636"/>
      <c r="AI34" s="636"/>
      <c r="AJ34" s="636"/>
      <c r="AK34" s="636"/>
      <c r="AL34" s="636"/>
      <c r="AM34" s="636"/>
    </row>
    <row r="35" spans="1:39">
      <c r="A35" s="46" t="b">
        <f>IF(AND(B35,B39),TRUE,FALSE)</f>
        <v>0</v>
      </c>
      <c r="B35" s="46" t="b">
        <v>0</v>
      </c>
      <c r="F35" s="46" t="s">
        <v>599</v>
      </c>
      <c r="G35" s="79"/>
      <c r="H35" s="80"/>
      <c r="I35" s="79"/>
      <c r="J35" s="47"/>
      <c r="L35" s="47"/>
      <c r="N35" s="15"/>
      <c r="O35" s="520"/>
      <c r="P35" s="633"/>
      <c r="Q35" s="79"/>
      <c r="R35" s="79"/>
      <c r="S35" s="79"/>
      <c r="T35" s="79"/>
      <c r="U35" s="79"/>
      <c r="V35" s="79"/>
      <c r="W35" s="79"/>
      <c r="X35" s="79"/>
      <c r="Y35" s="79"/>
      <c r="Z35" s="79"/>
      <c r="AA35" s="79"/>
      <c r="AB35" s="79"/>
      <c r="AC35" s="79"/>
      <c r="AD35" s="79"/>
      <c r="AE35" s="79"/>
      <c r="AF35" s="79"/>
      <c r="AG35" s="79"/>
      <c r="AH35" s="79"/>
      <c r="AI35" s="79"/>
      <c r="AJ35" s="79"/>
      <c r="AK35" s="79"/>
      <c r="AL35" s="79"/>
      <c r="AM35" s="79"/>
    </row>
    <row r="36" spans="1:39">
      <c r="A36" s="422" t="s">
        <v>1970</v>
      </c>
      <c r="B36" s="422" t="s">
        <v>1978</v>
      </c>
      <c r="F36" s="46" t="s">
        <v>600</v>
      </c>
      <c r="G36" s="79"/>
      <c r="H36" s="79"/>
      <c r="I36" s="79"/>
      <c r="J36" s="47"/>
      <c r="L36" s="47"/>
      <c r="N36" s="15"/>
      <c r="O36" s="520"/>
      <c r="P36" s="633"/>
      <c r="Q36" s="79"/>
      <c r="R36" s="79"/>
      <c r="S36" s="79"/>
      <c r="T36" s="79"/>
      <c r="U36" s="79"/>
      <c r="V36" s="79"/>
      <c r="W36" s="79"/>
      <c r="X36" s="79"/>
      <c r="Y36" s="79"/>
      <c r="Z36" s="79"/>
      <c r="AA36" s="79"/>
      <c r="AB36" s="79"/>
      <c r="AC36" s="79"/>
      <c r="AD36" s="79"/>
      <c r="AE36" s="79"/>
      <c r="AF36" s="79"/>
      <c r="AG36" s="79"/>
      <c r="AH36" s="79"/>
      <c r="AI36" s="79"/>
      <c r="AJ36" s="79"/>
      <c r="AK36" s="79"/>
      <c r="AL36" s="79"/>
      <c r="AM36" s="79"/>
    </row>
    <row r="37" spans="1:39">
      <c r="A37" s="46" t="b">
        <v>0</v>
      </c>
      <c r="B37" s="46" t="b">
        <v>1</v>
      </c>
      <c r="F37" s="46" t="s">
        <v>601</v>
      </c>
      <c r="G37" s="79"/>
      <c r="H37" s="79"/>
      <c r="I37" s="79"/>
      <c r="J37" s="47"/>
      <c r="L37" s="47"/>
      <c r="N37" s="15"/>
      <c r="O37" s="520"/>
      <c r="P37" s="633"/>
      <c r="Q37" s="79"/>
      <c r="R37" s="79"/>
      <c r="S37" s="79"/>
      <c r="T37" s="79"/>
      <c r="U37" s="79"/>
      <c r="V37" s="79"/>
      <c r="W37" s="79"/>
      <c r="X37" s="79"/>
      <c r="Y37" s="79"/>
      <c r="Z37" s="79"/>
      <c r="AA37" s="79"/>
      <c r="AB37" s="79"/>
      <c r="AC37" s="79"/>
      <c r="AD37" s="79"/>
      <c r="AE37" s="79"/>
      <c r="AF37" s="79"/>
      <c r="AG37" s="79"/>
      <c r="AH37" s="79"/>
      <c r="AI37" s="79"/>
      <c r="AJ37" s="79"/>
      <c r="AK37" s="79"/>
      <c r="AL37" s="79"/>
      <c r="AM37" s="79"/>
    </row>
    <row r="38" spans="1:39">
      <c r="A38" s="422" t="s">
        <v>1971</v>
      </c>
      <c r="B38" s="422" t="s">
        <v>1981</v>
      </c>
      <c r="F38" s="46" t="s">
        <v>602</v>
      </c>
      <c r="G38" s="79"/>
      <c r="H38" s="79"/>
      <c r="I38" s="79"/>
      <c r="J38" s="47"/>
      <c r="N38" s="15"/>
      <c r="O38" s="520"/>
      <c r="P38" s="633"/>
      <c r="Q38" s="79"/>
      <c r="R38" s="79"/>
      <c r="S38" s="79"/>
      <c r="T38" s="79"/>
      <c r="U38" s="79"/>
      <c r="V38" s="79"/>
      <c r="W38" s="79"/>
      <c r="X38" s="79"/>
      <c r="Y38" s="79"/>
      <c r="Z38" s="79"/>
      <c r="AA38" s="79"/>
      <c r="AB38" s="79"/>
      <c r="AC38" s="79"/>
      <c r="AD38" s="79"/>
      <c r="AE38" s="79"/>
      <c r="AF38" s="79"/>
      <c r="AG38" s="79"/>
      <c r="AH38" s="79"/>
      <c r="AI38" s="79"/>
      <c r="AJ38" s="79"/>
      <c r="AK38" s="79"/>
      <c r="AL38" s="79"/>
      <c r="AM38" s="79"/>
    </row>
    <row r="39" spans="1:39">
      <c r="A39" s="46" t="b">
        <v>0</v>
      </c>
      <c r="B39" s="46" t="b">
        <v>0</v>
      </c>
      <c r="F39" s="46" t="s">
        <v>603</v>
      </c>
      <c r="G39" s="79"/>
      <c r="H39" s="79"/>
      <c r="I39" s="79"/>
      <c r="J39" s="47"/>
      <c r="N39" s="15"/>
      <c r="O39" s="520"/>
      <c r="P39" s="633"/>
      <c r="Q39" s="79"/>
      <c r="R39" s="79"/>
      <c r="S39" s="79"/>
      <c r="T39" s="79"/>
      <c r="U39" s="79"/>
      <c r="V39" s="79"/>
      <c r="W39" s="79"/>
      <c r="X39" s="79"/>
      <c r="Y39" s="79"/>
      <c r="Z39" s="79"/>
      <c r="AA39" s="79"/>
      <c r="AB39" s="79"/>
      <c r="AC39" s="79"/>
      <c r="AD39" s="79"/>
      <c r="AE39" s="79"/>
      <c r="AF39" s="79"/>
      <c r="AG39" s="79"/>
      <c r="AH39" s="79"/>
      <c r="AI39" s="79"/>
      <c r="AJ39" s="79"/>
      <c r="AK39" s="79"/>
      <c r="AL39" s="79"/>
      <c r="AM39" s="79"/>
    </row>
    <row r="40" spans="1:39">
      <c r="A40" s="422" t="s">
        <v>1969</v>
      </c>
      <c r="B40" s="422" t="s">
        <v>2304</v>
      </c>
      <c r="F40" s="46" t="s">
        <v>604</v>
      </c>
      <c r="G40" s="79"/>
      <c r="H40" s="79"/>
      <c r="I40" s="80"/>
      <c r="J40" s="47"/>
      <c r="N40" s="15"/>
      <c r="O40" s="520"/>
      <c r="P40" s="633"/>
      <c r="Q40" s="79"/>
      <c r="R40" s="79"/>
      <c r="S40" s="79"/>
      <c r="T40" s="79"/>
      <c r="U40" s="79"/>
      <c r="V40" s="79"/>
      <c r="W40" s="79"/>
      <c r="X40" s="79"/>
      <c r="Y40" s="79"/>
      <c r="Z40" s="79"/>
      <c r="AA40" s="79"/>
      <c r="AB40" s="79"/>
      <c r="AC40" s="79"/>
      <c r="AD40" s="79"/>
      <c r="AE40" s="79"/>
      <c r="AF40" s="79"/>
      <c r="AG40" s="79"/>
      <c r="AH40" s="79"/>
      <c r="AI40" s="79"/>
      <c r="AJ40" s="79"/>
      <c r="AK40" s="79"/>
      <c r="AL40" s="79"/>
      <c r="AM40" s="79"/>
    </row>
    <row r="41" spans="1:39">
      <c r="A41" s="46" t="b">
        <v>0</v>
      </c>
      <c r="B41" s="206" t="s">
        <v>3094</v>
      </c>
      <c r="C41" s="43" t="s">
        <v>796</v>
      </c>
      <c r="F41" s="46" t="s">
        <v>615</v>
      </c>
      <c r="G41" s="79"/>
      <c r="H41" s="79"/>
      <c r="I41" s="80"/>
      <c r="J41" s="47"/>
      <c r="N41" s="15"/>
      <c r="O41" s="520"/>
      <c r="P41" s="633"/>
      <c r="Q41" s="79"/>
      <c r="R41" s="79"/>
      <c r="S41" s="79"/>
      <c r="T41" s="79"/>
      <c r="U41" s="79"/>
      <c r="V41" s="79"/>
      <c r="W41" s="79"/>
      <c r="X41" s="79"/>
      <c r="Y41" s="79"/>
      <c r="Z41" s="79"/>
      <c r="AA41" s="79"/>
      <c r="AB41" s="79"/>
      <c r="AC41" s="79"/>
      <c r="AD41" s="79"/>
      <c r="AE41" s="79"/>
      <c r="AF41" s="79"/>
      <c r="AG41" s="79"/>
      <c r="AH41" s="79"/>
      <c r="AI41" s="79"/>
      <c r="AJ41" s="79"/>
      <c r="AK41" s="79"/>
      <c r="AL41" s="79"/>
      <c r="AM41" s="79"/>
    </row>
    <row r="42" spans="1:39">
      <c r="A42" s="422" t="s">
        <v>1972</v>
      </c>
      <c r="B42" s="422" t="s">
        <v>2305</v>
      </c>
      <c r="F42" s="46" t="s">
        <v>2612</v>
      </c>
      <c r="G42" s="79"/>
      <c r="H42" s="79"/>
      <c r="I42" s="79"/>
      <c r="J42" s="47"/>
      <c r="N42" s="15"/>
      <c r="O42" s="520"/>
      <c r="P42" s="633"/>
      <c r="Q42" s="79"/>
      <c r="R42" s="79"/>
      <c r="S42" s="79"/>
      <c r="T42" s="79"/>
      <c r="U42" s="79"/>
      <c r="V42" s="79"/>
      <c r="W42" s="79"/>
      <c r="X42" s="79"/>
      <c r="Y42" s="79"/>
      <c r="Z42" s="79"/>
      <c r="AA42" s="79"/>
      <c r="AB42" s="79"/>
      <c r="AC42" s="79"/>
      <c r="AD42" s="79"/>
      <c r="AE42" s="79"/>
      <c r="AF42" s="79"/>
      <c r="AG42" s="79"/>
      <c r="AH42" s="79"/>
      <c r="AI42" s="79"/>
      <c r="AJ42" s="79"/>
      <c r="AK42" s="79"/>
      <c r="AL42" s="79"/>
      <c r="AM42" s="79"/>
    </row>
    <row r="43" spans="1:39">
      <c r="A43" s="46" t="b">
        <v>0</v>
      </c>
      <c r="B43" s="206" t="b">
        <v>1</v>
      </c>
      <c r="F43" s="46" t="s">
        <v>2335</v>
      </c>
      <c r="G43" s="79"/>
      <c r="H43" s="79"/>
      <c r="I43" s="79"/>
      <c r="J43" s="47"/>
      <c r="N43" s="15"/>
      <c r="O43" s="520"/>
      <c r="P43" s="633"/>
      <c r="Q43" s="79"/>
      <c r="R43" s="79"/>
      <c r="S43" s="79"/>
      <c r="T43" s="79"/>
      <c r="U43" s="79"/>
      <c r="V43" s="79"/>
      <c r="W43" s="79"/>
      <c r="X43" s="79"/>
      <c r="Y43" s="79"/>
      <c r="Z43" s="79"/>
      <c r="AA43" s="79"/>
      <c r="AB43" s="79"/>
      <c r="AC43" s="79"/>
      <c r="AD43" s="79"/>
      <c r="AE43" s="79"/>
      <c r="AF43" s="79"/>
      <c r="AG43" s="79"/>
      <c r="AH43" s="79"/>
      <c r="AI43" s="79"/>
      <c r="AJ43" s="79"/>
      <c r="AK43" s="79"/>
      <c r="AL43" s="79"/>
      <c r="AM43" s="79"/>
    </row>
    <row r="44" spans="1:39">
      <c r="A44" s="422" t="s">
        <v>1973</v>
      </c>
      <c r="B44" s="206"/>
      <c r="F44" s="46" t="s">
        <v>2337</v>
      </c>
      <c r="G44" s="79"/>
      <c r="H44" s="79"/>
      <c r="I44" s="79"/>
      <c r="J44" s="47"/>
      <c r="N44" s="15"/>
      <c r="O44" s="520"/>
      <c r="P44" s="633"/>
      <c r="Q44" s="79"/>
      <c r="R44" s="79"/>
      <c r="S44" s="79"/>
      <c r="T44" s="79"/>
      <c r="U44" s="79"/>
      <c r="V44" s="79"/>
      <c r="W44" s="79"/>
      <c r="X44" s="79"/>
      <c r="Y44" s="79"/>
      <c r="Z44" s="79"/>
      <c r="AA44" s="79"/>
      <c r="AB44" s="79"/>
      <c r="AC44" s="79"/>
      <c r="AD44" s="79"/>
      <c r="AE44" s="79"/>
      <c r="AF44" s="79"/>
      <c r="AG44" s="79"/>
      <c r="AH44" s="79"/>
      <c r="AI44" s="79"/>
      <c r="AJ44" s="79"/>
      <c r="AK44" s="79"/>
      <c r="AL44" s="79"/>
      <c r="AM44" s="79"/>
    </row>
    <row r="45" spans="1:39">
      <c r="A45" s="46" t="b">
        <v>0</v>
      </c>
      <c r="B45" s="206"/>
      <c r="F45" s="46" t="s">
        <v>2336</v>
      </c>
      <c r="G45" s="79"/>
      <c r="H45" s="79"/>
      <c r="I45" s="79"/>
      <c r="J45" s="47"/>
      <c r="N45" s="15"/>
      <c r="O45" s="520"/>
      <c r="P45" s="633"/>
      <c r="Q45" s="79"/>
      <c r="R45" s="79"/>
      <c r="S45" s="79"/>
      <c r="T45" s="79"/>
      <c r="U45" s="79"/>
      <c r="V45" s="79"/>
      <c r="W45" s="79"/>
      <c r="X45" s="79"/>
      <c r="Y45" s="79"/>
      <c r="Z45" s="79"/>
      <c r="AA45" s="79"/>
      <c r="AB45" s="79"/>
      <c r="AC45" s="79"/>
      <c r="AD45" s="79"/>
      <c r="AE45" s="79"/>
      <c r="AF45" s="79"/>
      <c r="AG45" s="79"/>
      <c r="AH45" s="79"/>
      <c r="AI45" s="79"/>
      <c r="AJ45" s="79"/>
      <c r="AK45" s="79"/>
      <c r="AL45" s="79"/>
      <c r="AM45" s="79"/>
    </row>
    <row r="46" spans="1:39">
      <c r="A46" s="422" t="s">
        <v>1974</v>
      </c>
      <c r="B46" s="206"/>
      <c r="F46" s="46" t="s">
        <v>2339</v>
      </c>
      <c r="G46" s="79"/>
      <c r="H46" s="79"/>
      <c r="I46" s="79"/>
      <c r="J46" s="47"/>
      <c r="N46" s="15"/>
      <c r="O46" s="520"/>
      <c r="P46" s="633"/>
      <c r="Q46" s="79"/>
      <c r="R46" s="79"/>
      <c r="S46" s="79"/>
      <c r="T46" s="79"/>
      <c r="U46" s="79"/>
      <c r="V46" s="79"/>
      <c r="W46" s="79"/>
      <c r="X46" s="79"/>
      <c r="Y46" s="79"/>
      <c r="Z46" s="79"/>
      <c r="AA46" s="79"/>
      <c r="AB46" s="79"/>
      <c r="AC46" s="79"/>
      <c r="AD46" s="79"/>
      <c r="AE46" s="79"/>
      <c r="AF46" s="79"/>
      <c r="AG46" s="79"/>
      <c r="AH46" s="79"/>
      <c r="AI46" s="79"/>
      <c r="AJ46" s="79"/>
      <c r="AK46" s="79"/>
      <c r="AL46" s="79"/>
      <c r="AM46" s="79"/>
    </row>
    <row r="47" spans="1:39">
      <c r="A47" s="46" t="b">
        <v>0</v>
      </c>
      <c r="B47" s="206"/>
      <c r="F47" s="46" t="s">
        <v>2613</v>
      </c>
      <c r="G47" s="79"/>
      <c r="H47" s="79"/>
      <c r="I47" s="79"/>
      <c r="J47" s="47"/>
      <c r="N47" s="15"/>
      <c r="O47" s="520"/>
      <c r="P47" s="633"/>
      <c r="Q47" s="79"/>
      <c r="R47" s="79"/>
      <c r="S47" s="79"/>
      <c r="T47" s="79"/>
      <c r="U47" s="79"/>
      <c r="V47" s="79"/>
      <c r="W47" s="79"/>
      <c r="X47" s="79"/>
      <c r="Y47" s="79"/>
      <c r="Z47" s="79"/>
      <c r="AA47" s="79"/>
      <c r="AB47" s="79"/>
      <c r="AC47" s="79"/>
      <c r="AD47" s="79"/>
      <c r="AE47" s="79"/>
      <c r="AF47" s="79"/>
      <c r="AG47" s="79"/>
      <c r="AH47" s="79"/>
      <c r="AI47" s="79"/>
      <c r="AJ47" s="79"/>
      <c r="AK47" s="79"/>
      <c r="AL47" s="79"/>
      <c r="AM47" s="79"/>
    </row>
    <row r="48" spans="1:39">
      <c r="A48" s="422" t="s">
        <v>1975</v>
      </c>
      <c r="B48" s="206"/>
      <c r="F48" s="46" t="s">
        <v>331</v>
      </c>
      <c r="G48" s="79"/>
      <c r="H48" s="79"/>
      <c r="I48" s="79"/>
      <c r="J48" s="47"/>
      <c r="N48" s="15"/>
      <c r="O48" s="520"/>
      <c r="P48" s="633"/>
      <c r="Q48" s="79"/>
      <c r="R48" s="79"/>
      <c r="S48" s="79"/>
      <c r="T48" s="79"/>
      <c r="U48" s="79"/>
      <c r="V48" s="79"/>
      <c r="W48" s="79"/>
      <c r="X48" s="79"/>
      <c r="Y48" s="79"/>
      <c r="Z48" s="79"/>
      <c r="AA48" s="79"/>
      <c r="AB48" s="79"/>
      <c r="AC48" s="79"/>
      <c r="AD48" s="79"/>
      <c r="AE48" s="79"/>
      <c r="AF48" s="79"/>
      <c r="AG48" s="79"/>
      <c r="AH48" s="79"/>
      <c r="AI48" s="79"/>
      <c r="AJ48" s="79"/>
      <c r="AK48" s="79"/>
      <c r="AL48" s="79"/>
      <c r="AM48" s="79"/>
    </row>
    <row r="49" spans="1:43">
      <c r="A49" s="46" t="b">
        <v>0</v>
      </c>
      <c r="B49" s="206"/>
      <c r="F49" s="46" t="s">
        <v>2759</v>
      </c>
      <c r="G49" s="79"/>
      <c r="H49" s="79"/>
      <c r="I49" s="79"/>
      <c r="J49" s="47"/>
      <c r="N49" s="15"/>
      <c r="O49" s="520"/>
      <c r="P49" s="633"/>
      <c r="Q49" s="79"/>
      <c r="R49" s="79"/>
      <c r="S49" s="79"/>
      <c r="T49" s="79"/>
      <c r="U49" s="79"/>
      <c r="V49" s="79"/>
      <c r="W49" s="79"/>
      <c r="X49" s="79"/>
      <c r="Y49" s="79"/>
      <c r="Z49" s="79"/>
      <c r="AA49" s="79"/>
      <c r="AB49" s="79"/>
      <c r="AC49" s="79"/>
      <c r="AD49" s="79"/>
      <c r="AE49" s="79"/>
      <c r="AF49" s="79"/>
      <c r="AG49" s="79"/>
      <c r="AH49" s="79"/>
      <c r="AI49" s="79"/>
      <c r="AJ49" s="79"/>
      <c r="AK49" s="79"/>
      <c r="AL49" s="79"/>
      <c r="AM49" s="79"/>
    </row>
    <row r="50" spans="1:43">
      <c r="A50" s="422" t="s">
        <v>1976</v>
      </c>
      <c r="B50" s="206"/>
      <c r="F50" s="46" t="s">
        <v>332</v>
      </c>
      <c r="G50" s="79"/>
      <c r="H50" s="79"/>
      <c r="I50" s="79"/>
      <c r="J50" s="47"/>
      <c r="N50" s="15"/>
      <c r="O50" s="520"/>
      <c r="P50" s="633"/>
      <c r="Q50" s="79"/>
      <c r="R50" s="79"/>
      <c r="S50" s="79"/>
      <c r="T50" s="79"/>
      <c r="U50" s="79"/>
      <c r="V50" s="79"/>
      <c r="W50" s="79"/>
      <c r="X50" s="79"/>
      <c r="Y50" s="79"/>
      <c r="Z50" s="79"/>
      <c r="AA50" s="79"/>
      <c r="AB50" s="79"/>
      <c r="AC50" s="79"/>
      <c r="AD50" s="79"/>
      <c r="AE50" s="79"/>
      <c r="AF50" s="79"/>
      <c r="AG50" s="79"/>
      <c r="AH50" s="79"/>
      <c r="AI50" s="79"/>
      <c r="AJ50" s="79"/>
      <c r="AK50" s="79"/>
      <c r="AL50" s="79"/>
      <c r="AM50" s="79"/>
    </row>
    <row r="51" spans="1:43">
      <c r="A51" s="46" t="b">
        <v>0</v>
      </c>
      <c r="B51" s="206"/>
      <c r="F51" s="46" t="s">
        <v>333</v>
      </c>
      <c r="G51" s="79"/>
      <c r="H51" s="79"/>
      <c r="I51" s="79"/>
      <c r="J51" s="47"/>
      <c r="N51" s="15"/>
      <c r="O51" s="520"/>
      <c r="P51" s="633"/>
      <c r="Q51" s="79"/>
      <c r="R51" s="79"/>
      <c r="S51" s="79"/>
      <c r="T51" s="79"/>
      <c r="U51" s="79"/>
      <c r="V51" s="79"/>
      <c r="W51" s="79"/>
      <c r="X51" s="79"/>
      <c r="Y51" s="79"/>
      <c r="Z51" s="79"/>
      <c r="AA51" s="79"/>
      <c r="AB51" s="79"/>
      <c r="AC51" s="79"/>
      <c r="AD51" s="79"/>
      <c r="AE51" s="79"/>
      <c r="AF51" s="79"/>
      <c r="AG51" s="79"/>
      <c r="AH51" s="79"/>
      <c r="AI51" s="79"/>
      <c r="AJ51" s="79"/>
      <c r="AK51" s="79"/>
      <c r="AL51" s="79"/>
      <c r="AM51" s="79"/>
    </row>
    <row r="52" spans="1:43">
      <c r="A52" s="422" t="s">
        <v>2726</v>
      </c>
      <c r="B52" s="206"/>
      <c r="F52" s="46" t="s">
        <v>1609</v>
      </c>
      <c r="G52" s="79"/>
      <c r="H52" s="79"/>
      <c r="I52" s="79"/>
      <c r="J52" s="47"/>
      <c r="N52" s="15"/>
      <c r="O52" s="520"/>
      <c r="P52" s="633"/>
      <c r="Q52" s="79"/>
      <c r="R52" s="79"/>
      <c r="S52" s="79"/>
      <c r="T52" s="79"/>
      <c r="U52" s="79"/>
      <c r="V52" s="79"/>
      <c r="W52" s="79"/>
      <c r="X52" s="79"/>
      <c r="Y52" s="79"/>
      <c r="Z52" s="79"/>
      <c r="AA52" s="79"/>
      <c r="AB52" s="79"/>
      <c r="AC52" s="79"/>
      <c r="AD52" s="79"/>
      <c r="AE52" s="79"/>
      <c r="AF52" s="79"/>
      <c r="AG52" s="79"/>
      <c r="AH52" s="79"/>
      <c r="AI52" s="79"/>
      <c r="AJ52" s="79"/>
      <c r="AK52" s="79"/>
      <c r="AL52" s="79"/>
      <c r="AM52" s="79"/>
    </row>
    <row r="53" spans="1:43">
      <c r="A53" s="46" t="b">
        <v>1</v>
      </c>
      <c r="B53" s="206"/>
      <c r="F53" s="46" t="s">
        <v>607</v>
      </c>
      <c r="G53" s="79"/>
      <c r="H53" s="79"/>
      <c r="I53" s="79"/>
      <c r="J53" s="47"/>
      <c r="N53" s="15"/>
      <c r="O53" s="520"/>
      <c r="P53" s="633"/>
      <c r="Q53" s="79"/>
      <c r="R53" s="79"/>
      <c r="S53" s="79"/>
      <c r="T53" s="79"/>
      <c r="U53" s="79"/>
      <c r="V53" s="79"/>
      <c r="W53" s="79"/>
      <c r="X53" s="79"/>
      <c r="Y53" s="79"/>
      <c r="Z53" s="79"/>
      <c r="AA53" s="79"/>
      <c r="AB53" s="79"/>
      <c r="AC53" s="79"/>
      <c r="AD53" s="79"/>
      <c r="AE53" s="79"/>
      <c r="AF53" s="79"/>
      <c r="AG53" s="79"/>
      <c r="AH53" s="79"/>
      <c r="AI53" s="79"/>
      <c r="AJ53" s="79"/>
      <c r="AK53" s="79"/>
      <c r="AL53" s="79"/>
      <c r="AM53" s="79"/>
    </row>
    <row r="54" spans="1:43">
      <c r="A54" s="206"/>
      <c r="B54" s="206"/>
      <c r="F54" s="46" t="s">
        <v>608</v>
      </c>
      <c r="G54" s="79"/>
      <c r="H54" s="47"/>
      <c r="I54" s="79"/>
      <c r="J54" s="47"/>
      <c r="N54" s="15"/>
    </row>
    <row r="55" spans="1:43">
      <c r="A55" s="206"/>
      <c r="B55" s="206"/>
      <c r="F55" s="46" t="s">
        <v>609</v>
      </c>
      <c r="G55" s="79"/>
      <c r="H55" s="47"/>
      <c r="I55" s="79"/>
      <c r="J55" s="47"/>
      <c r="N55" s="15"/>
    </row>
    <row r="56" spans="1:43">
      <c r="A56" s="422"/>
      <c r="B56" s="206"/>
      <c r="F56" s="46" t="s">
        <v>610</v>
      </c>
      <c r="G56" s="47"/>
      <c r="H56" s="47"/>
      <c r="I56" s="79"/>
      <c r="J56" s="47"/>
      <c r="N56" s="15"/>
    </row>
    <row r="57" spans="1:43">
      <c r="A57" s="46"/>
      <c r="B57" s="206"/>
      <c r="E57" s="47"/>
      <c r="F57" s="46" t="s">
        <v>611</v>
      </c>
      <c r="G57" s="47"/>
      <c r="H57" s="47"/>
      <c r="I57" s="79"/>
      <c r="J57" s="47"/>
      <c r="N57" s="15"/>
    </row>
    <row r="58" spans="1:43">
      <c r="A58" s="206"/>
      <c r="B58" s="206"/>
      <c r="D58" s="676"/>
      <c r="E58" s="47"/>
      <c r="F58" s="46" t="s">
        <v>612</v>
      </c>
      <c r="G58" s="47"/>
      <c r="H58" s="47"/>
      <c r="I58" s="79"/>
      <c r="J58" s="47"/>
      <c r="M58" s="676"/>
      <c r="N58" s="15"/>
      <c r="AQ58" s="676"/>
    </row>
    <row r="59" spans="1:43">
      <c r="A59" s="206"/>
      <c r="B59" s="206"/>
      <c r="E59" s="47"/>
      <c r="F59" s="46" t="s">
        <v>613</v>
      </c>
      <c r="G59" s="47"/>
      <c r="H59" s="47"/>
      <c r="I59" s="79"/>
      <c r="J59" s="47"/>
      <c r="N59" s="15"/>
    </row>
    <row r="60" spans="1:43">
      <c r="A60" s="206"/>
      <c r="B60" s="206"/>
      <c r="E60" s="47"/>
      <c r="F60" s="46" t="s">
        <v>614</v>
      </c>
      <c r="G60" s="47"/>
      <c r="H60" s="47"/>
      <c r="I60" s="79"/>
      <c r="J60" s="47"/>
      <c r="N60" s="15"/>
    </row>
    <row r="61" spans="1:43">
      <c r="A61" s="206"/>
      <c r="B61" s="206"/>
      <c r="E61" s="47"/>
      <c r="F61" s="46" t="s">
        <v>693</v>
      </c>
      <c r="G61" s="47"/>
      <c r="H61" s="47"/>
      <c r="I61" s="79"/>
      <c r="J61" s="47"/>
      <c r="N61" s="15"/>
    </row>
    <row r="62" spans="1:43">
      <c r="A62" s="206"/>
      <c r="B62" s="206"/>
      <c r="E62" s="47"/>
      <c r="F62" s="46" t="s">
        <v>694</v>
      </c>
      <c r="G62" s="47"/>
      <c r="H62" s="47"/>
      <c r="I62" s="79"/>
      <c r="J62" s="47"/>
      <c r="N62" s="15"/>
    </row>
    <row r="63" spans="1:43">
      <c r="A63" s="206"/>
      <c r="B63" s="206"/>
      <c r="E63" s="47"/>
      <c r="F63" s="46" t="s">
        <v>695</v>
      </c>
      <c r="G63" s="47"/>
      <c r="H63" s="47"/>
      <c r="I63" s="79"/>
      <c r="J63" s="47"/>
      <c r="N63" s="15"/>
    </row>
    <row r="64" spans="1:43">
      <c r="E64" s="47"/>
      <c r="F64" s="46" t="s">
        <v>793</v>
      </c>
      <c r="G64" s="47"/>
      <c r="H64" s="47"/>
      <c r="I64" s="79"/>
      <c r="J64" s="47"/>
      <c r="N64" s="15"/>
    </row>
    <row r="65" spans="5:14">
      <c r="E65" s="47"/>
      <c r="F65" s="46" t="s">
        <v>1191</v>
      </c>
      <c r="G65" s="47"/>
      <c r="H65" s="47"/>
      <c r="I65" s="79"/>
      <c r="J65" s="47"/>
      <c r="N65" s="15"/>
    </row>
    <row r="66" spans="5:14">
      <c r="E66" s="47"/>
      <c r="F66" s="46" t="s">
        <v>1867</v>
      </c>
      <c r="G66" s="47"/>
      <c r="H66" s="47"/>
      <c r="I66" s="79"/>
      <c r="J66" s="47"/>
      <c r="N66" s="15"/>
    </row>
    <row r="67" spans="5:14">
      <c r="E67" s="47"/>
      <c r="F67" s="46" t="s">
        <v>1783</v>
      </c>
      <c r="G67" s="47"/>
      <c r="H67" s="47"/>
      <c r="I67" s="79"/>
      <c r="J67" s="47"/>
      <c r="N67" s="15"/>
    </row>
    <row r="68" spans="5:14">
      <c r="E68" s="47"/>
      <c r="F68" s="46" t="s">
        <v>1785</v>
      </c>
      <c r="G68" s="47"/>
      <c r="H68" s="47"/>
      <c r="I68" s="79"/>
      <c r="J68" s="47"/>
      <c r="N68" s="15"/>
    </row>
    <row r="69" spans="5:14">
      <c r="E69" s="47"/>
      <c r="F69" s="46" t="s">
        <v>1791</v>
      </c>
      <c r="G69" s="47"/>
      <c r="H69" s="47"/>
      <c r="I69" s="79"/>
      <c r="J69" s="47"/>
      <c r="N69" s="15"/>
    </row>
    <row r="70" spans="5:14">
      <c r="E70" s="47"/>
      <c r="F70" s="46" t="s">
        <v>1789</v>
      </c>
      <c r="G70" s="47"/>
      <c r="H70" s="47"/>
      <c r="I70" s="79"/>
      <c r="J70" s="47"/>
      <c r="N70" s="15"/>
    </row>
    <row r="71" spans="5:14">
      <c r="E71" s="47"/>
      <c r="F71" s="46" t="s">
        <v>1792</v>
      </c>
      <c r="G71" s="47"/>
      <c r="H71" s="47"/>
      <c r="I71" s="79"/>
      <c r="J71" s="47"/>
      <c r="N71" s="15"/>
    </row>
    <row r="72" spans="5:14">
      <c r="E72" s="47"/>
      <c r="F72" s="46" t="s">
        <v>1817</v>
      </c>
      <c r="G72" s="47"/>
      <c r="H72" s="47"/>
      <c r="I72" s="79"/>
      <c r="J72" s="47"/>
      <c r="N72" s="15"/>
    </row>
    <row r="73" spans="5:14">
      <c r="E73" s="47"/>
      <c r="F73" s="46" t="s">
        <v>1801</v>
      </c>
      <c r="G73" s="47"/>
      <c r="H73" s="47"/>
      <c r="I73" s="79"/>
      <c r="J73" s="47"/>
      <c r="N73" s="15"/>
    </row>
    <row r="74" spans="5:14">
      <c r="E74" s="47"/>
      <c r="F74" s="46" t="s">
        <v>1806</v>
      </c>
      <c r="G74" s="47"/>
      <c r="H74" s="47"/>
      <c r="I74" s="79"/>
      <c r="J74" s="47"/>
      <c r="N74" s="15"/>
    </row>
    <row r="75" spans="5:14">
      <c r="E75" s="47"/>
      <c r="F75" s="46" t="s">
        <v>1802</v>
      </c>
      <c r="G75" s="47"/>
      <c r="H75" s="47"/>
      <c r="I75" s="79"/>
      <c r="J75" s="47"/>
      <c r="N75" s="15"/>
    </row>
    <row r="76" spans="5:14">
      <c r="F76" s="46" t="s">
        <v>1803</v>
      </c>
      <c r="N76" s="15"/>
    </row>
    <row r="77" spans="5:14">
      <c r="F77" s="46" t="s">
        <v>1804</v>
      </c>
      <c r="N77" s="15"/>
    </row>
    <row r="78" spans="5:14">
      <c r="F78" s="46"/>
      <c r="N78" s="15"/>
    </row>
    <row r="79" spans="5:14">
      <c r="F79" s="46"/>
      <c r="N79" s="15"/>
    </row>
    <row r="80" spans="5:14">
      <c r="F80" s="46"/>
      <c r="N80" s="15"/>
    </row>
    <row r="81" spans="6:14">
      <c r="F81" s="46"/>
      <c r="N81" s="15"/>
    </row>
    <row r="82" spans="6:14">
      <c r="F82" s="46"/>
      <c r="N82" s="15"/>
    </row>
    <row r="83" spans="6:14">
      <c r="N83" s="15"/>
    </row>
    <row r="84" spans="6:14">
      <c r="N84" s="15"/>
    </row>
    <row r="85" spans="6:14">
      <c r="N85" s="15"/>
    </row>
    <row r="86" spans="6:14">
      <c r="N86" s="15"/>
    </row>
    <row r="87" spans="6:14">
      <c r="N87" s="15"/>
    </row>
    <row r="88" spans="6:14">
      <c r="N88" s="15"/>
    </row>
    <row r="89" spans="6:14">
      <c r="N89" s="15"/>
    </row>
    <row r="90" spans="6:14">
      <c r="N90" s="15"/>
    </row>
    <row r="91" spans="6:14">
      <c r="N91" s="15"/>
    </row>
    <row r="92" spans="6:14">
      <c r="N92" s="15"/>
    </row>
    <row r="93" spans="6:14">
      <c r="N93" s="15"/>
    </row>
    <row r="94" spans="6:14">
      <c r="N94" s="15"/>
    </row>
    <row r="95" spans="6:14">
      <c r="N95" s="15"/>
    </row>
    <row r="96" spans="6:14">
      <c r="N96" s="15"/>
    </row>
    <row r="97" spans="14:14">
      <c r="N97" s="15"/>
    </row>
    <row r="98" spans="14:14">
      <c r="N98" s="15"/>
    </row>
    <row r="99" spans="14:14">
      <c r="N99" s="15"/>
    </row>
    <row r="100" spans="14:14">
      <c r="N100" s="15"/>
    </row>
    <row r="101" spans="14:14">
      <c r="N101" s="15"/>
    </row>
    <row r="102" spans="14:14">
      <c r="N102" s="15"/>
    </row>
    <row r="103" spans="14:14">
      <c r="N103" s="15"/>
    </row>
    <row r="104" spans="14:14">
      <c r="N104" s="15"/>
    </row>
    <row r="105" spans="14:14">
      <c r="N105" s="15"/>
    </row>
    <row r="106" spans="14:14">
      <c r="N106" s="15"/>
    </row>
    <row r="107" spans="14:14">
      <c r="N107" s="15"/>
    </row>
    <row r="108" spans="14:14">
      <c r="N108" s="15"/>
    </row>
    <row r="109" spans="14:14">
      <c r="N109" s="15"/>
    </row>
    <row r="110" spans="14:14">
      <c r="N110" s="15"/>
    </row>
    <row r="111" spans="14:14">
      <c r="N111" s="15"/>
    </row>
    <row r="112" spans="14:14">
      <c r="N112" s="15"/>
    </row>
    <row r="113" spans="14:14">
      <c r="N113" s="15"/>
    </row>
    <row r="114" spans="14:14">
      <c r="N114" s="15"/>
    </row>
    <row r="115" spans="14:14">
      <c r="N115" s="15"/>
    </row>
    <row r="116" spans="14:14">
      <c r="N116" s="15"/>
    </row>
    <row r="117" spans="14:14">
      <c r="N117" s="15"/>
    </row>
    <row r="118" spans="14:14">
      <c r="N118" s="15"/>
    </row>
    <row r="119" spans="14:14">
      <c r="N119" s="15"/>
    </row>
    <row r="120" spans="14:14">
      <c r="N120" s="15"/>
    </row>
    <row r="121" spans="14:14">
      <c r="N121" s="15"/>
    </row>
    <row r="122" spans="14:14">
      <c r="N122" s="15"/>
    </row>
    <row r="123" spans="14:14">
      <c r="N123" s="15"/>
    </row>
    <row r="124" spans="14:14">
      <c r="N124" s="15"/>
    </row>
    <row r="125" spans="14:14">
      <c r="N125" s="15"/>
    </row>
    <row r="126" spans="14:14">
      <c r="N126" s="15"/>
    </row>
    <row r="127" spans="14:14">
      <c r="N127" s="15"/>
    </row>
    <row r="128" spans="14:14">
      <c r="N128" s="15"/>
    </row>
    <row r="129" spans="14:14">
      <c r="N129" s="15"/>
    </row>
    <row r="130" spans="14:14">
      <c r="N130" s="15"/>
    </row>
    <row r="131" spans="14:14">
      <c r="N131" s="15"/>
    </row>
    <row r="132" spans="14:14">
      <c r="N132" s="15"/>
    </row>
    <row r="133" spans="14:14">
      <c r="N133" s="15"/>
    </row>
    <row r="134" spans="14:14">
      <c r="N134" s="15"/>
    </row>
    <row r="135" spans="14:14">
      <c r="N135" s="15"/>
    </row>
    <row r="136" spans="14:14">
      <c r="N136" s="15"/>
    </row>
    <row r="137" spans="14:14">
      <c r="N137" s="15"/>
    </row>
    <row r="138" spans="14:14">
      <c r="N138" s="15"/>
    </row>
    <row r="139" spans="14:14">
      <c r="N139" s="15"/>
    </row>
    <row r="140" spans="14:14">
      <c r="N140" s="15"/>
    </row>
    <row r="141" spans="14:14">
      <c r="N141" s="15"/>
    </row>
    <row r="142" spans="14:14">
      <c r="N142" s="15"/>
    </row>
    <row r="143" spans="14:14">
      <c r="N143" s="15"/>
    </row>
    <row r="144" spans="14:14">
      <c r="N144" s="15"/>
    </row>
    <row r="145" spans="14:14">
      <c r="N145" s="15"/>
    </row>
    <row r="146" spans="14:14">
      <c r="N146" s="15"/>
    </row>
    <row r="147" spans="14:14">
      <c r="N147" s="15"/>
    </row>
    <row r="148" spans="14:14">
      <c r="N148" s="15"/>
    </row>
    <row r="149" spans="14:14">
      <c r="N149" s="15"/>
    </row>
    <row r="150" spans="14:14">
      <c r="N150" s="15"/>
    </row>
    <row r="151" spans="14:14">
      <c r="N151" s="15"/>
    </row>
    <row r="152" spans="14:14">
      <c r="N152" s="15"/>
    </row>
    <row r="153" spans="14:14">
      <c r="N153" s="15"/>
    </row>
    <row r="154" spans="14:14">
      <c r="N154" s="15"/>
    </row>
    <row r="155" spans="14:14">
      <c r="N155" s="15"/>
    </row>
    <row r="156" spans="14:14">
      <c r="N156" s="15"/>
    </row>
    <row r="157" spans="14:14">
      <c r="N157" s="15"/>
    </row>
    <row r="158" spans="14:14">
      <c r="N158" s="15"/>
    </row>
    <row r="159" spans="14:14">
      <c r="N159" s="15"/>
    </row>
    <row r="160" spans="14:14">
      <c r="N160" s="15"/>
    </row>
    <row r="161" spans="14:14">
      <c r="N161" s="15"/>
    </row>
    <row r="162" spans="14:14">
      <c r="N162" s="15"/>
    </row>
    <row r="163" spans="14:14">
      <c r="N163" s="15"/>
    </row>
    <row r="164" spans="14:14">
      <c r="N164" s="15"/>
    </row>
    <row r="165" spans="14:14">
      <c r="N165" s="15"/>
    </row>
    <row r="166" spans="14:14">
      <c r="N166" s="15"/>
    </row>
    <row r="167" spans="14:14">
      <c r="N167" s="15"/>
    </row>
    <row r="168" spans="14:14">
      <c r="N168" s="15"/>
    </row>
    <row r="169" spans="14:14">
      <c r="N169" s="15"/>
    </row>
    <row r="170" spans="14:14">
      <c r="N170" s="15"/>
    </row>
    <row r="171" spans="14:14">
      <c r="N171" s="15"/>
    </row>
    <row r="172" spans="14:14">
      <c r="N172" s="15"/>
    </row>
    <row r="173" spans="14:14">
      <c r="N173" s="15"/>
    </row>
    <row r="174" spans="14:14">
      <c r="N174" s="15"/>
    </row>
    <row r="175" spans="14:14">
      <c r="N175" s="15"/>
    </row>
    <row r="176" spans="14:14">
      <c r="N176" s="15"/>
    </row>
    <row r="177" spans="14:14">
      <c r="N177" s="15"/>
    </row>
    <row r="178" spans="14:14">
      <c r="N178" s="15"/>
    </row>
    <row r="179" spans="14:14">
      <c r="N179" s="15"/>
    </row>
    <row r="180" spans="14:14">
      <c r="N180" s="15"/>
    </row>
    <row r="181" spans="14:14">
      <c r="N181" s="15"/>
    </row>
    <row r="182" spans="14:14">
      <c r="N182" s="15"/>
    </row>
    <row r="183" spans="14:14">
      <c r="N183" s="15"/>
    </row>
    <row r="184" spans="14:14">
      <c r="N184" s="15"/>
    </row>
    <row r="185" spans="14:14">
      <c r="N185" s="15"/>
    </row>
    <row r="186" spans="14:14">
      <c r="N186" s="15"/>
    </row>
    <row r="187" spans="14:14">
      <c r="N187" s="15"/>
    </row>
    <row r="188" spans="14:14">
      <c r="N188" s="15"/>
    </row>
    <row r="189" spans="14:14">
      <c r="N189" s="15"/>
    </row>
    <row r="190" spans="14:14">
      <c r="N190" s="15"/>
    </row>
    <row r="191" spans="14:14">
      <c r="N191" s="15"/>
    </row>
    <row r="192" spans="14:14">
      <c r="N192" s="15"/>
    </row>
    <row r="193" spans="14:14">
      <c r="N193" s="15"/>
    </row>
    <row r="194" spans="14:14">
      <c r="N194" s="15"/>
    </row>
    <row r="195" spans="14:14">
      <c r="N195" s="15"/>
    </row>
    <row r="196" spans="14:14">
      <c r="N196" s="15"/>
    </row>
    <row r="197" spans="14:14">
      <c r="N197" s="15"/>
    </row>
    <row r="198" spans="14:14">
      <c r="N198" s="15"/>
    </row>
    <row r="199" spans="14:14">
      <c r="N199" s="15"/>
    </row>
    <row r="200" spans="14:14">
      <c r="N200" s="15"/>
    </row>
    <row r="201" spans="14:14">
      <c r="N201" s="15"/>
    </row>
    <row r="202" spans="14:14">
      <c r="N202" s="15"/>
    </row>
  </sheetData>
  <sheetProtection selectLockedCells="1"/>
  <sortState xmlns:xlrd2="http://schemas.microsoft.com/office/spreadsheetml/2017/richdata2" ref="O2:O45">
    <sortCondition ref="O1"/>
  </sortState>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Лист4">
    <tabColor rgb="FFFFC000"/>
  </sheetPr>
  <dimension ref="A1:BI495"/>
  <sheetViews>
    <sheetView topLeftCell="A82" zoomScale="80" zoomScaleNormal="80" workbookViewId="0">
      <selection activeCell="D2" sqref="D2:D4"/>
    </sheetView>
  </sheetViews>
  <sheetFormatPr defaultRowHeight="15" customHeight="1"/>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1" width="40.33203125" customWidth="1"/>
    <col min="32" max="35" width="9.109375" hidden="1" customWidth="1"/>
    <col min="36" max="36" width="6.88671875"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7.109375" customWidth="1"/>
    <col min="55" max="55" width="10.88671875" customWidth="1"/>
    <col min="57" max="57" width="65.109375" customWidth="1"/>
  </cols>
  <sheetData>
    <row r="1" spans="1:61" s="258" customFormat="1" ht="204.6" thickBot="1">
      <c r="A1" s="257"/>
      <c r="B1" s="260" t="s">
        <v>84</v>
      </c>
      <c r="C1" s="257"/>
      <c r="D1" s="257"/>
      <c r="E1" s="257"/>
      <c r="F1" s="257"/>
      <c r="P1" s="263" t="str">
        <f>Таблица!D1</f>
        <v>Префикс для TREI
Тэг ОРС для INFINITY</v>
      </c>
      <c r="Q1" s="263" t="str">
        <f>Таблица!E1</f>
        <v>Комментарий для TREI и INFINITY</v>
      </c>
      <c r="R1" s="263" t="str">
        <f>Таблица!F1</f>
        <v>ТЭГ в дереве INFINITY Server</v>
      </c>
      <c r="S1" s="263"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63" t="str">
        <f>Таблица!H1</f>
        <v>OPC путь 
№ маршрута Modbus TCP, Modbus RTU, Modbus over TCP (1-255)
№ КП IEC104 (1-65534)</v>
      </c>
      <c r="U1" s="263" t="str">
        <f>Таблица!I1</f>
        <v>OPC путь</v>
      </c>
      <c r="V1" s="263" t="str">
        <f>Таблица!J1</f>
        <v>Мнемосхема</v>
      </c>
      <c r="W1" s="263"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63"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63" t="str">
        <f>Таблица!M1</f>
        <v>FB_IMt_MON_S, IMt_MON: Только для трансформатора. Цвет нижних обмоток(-ки) при наличии напряжения</v>
      </c>
      <c r="Z1" s="263"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63"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63" t="str">
        <f>Таблица!P1</f>
        <v xml:space="preserve">FB_DI_S, FB_DO_S, DI, DI_DIAG, FB_DO_STB_S: Тип сигнализации (Авария, предупреждение, телесигнализация и тд.)
FB_SHPS_S(SB), FB_BTF_S: Тип сигнализации XFRX
</v>
      </c>
      <c r="AC1" s="263"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63" t="str">
        <f>Таблица!R1</f>
        <v>SEPAM: Тип ячейки (OL,SV,VV,TN)
BMRZ: Тип ячейки (VV,AV)
TOR: Тип ячейки (OL,SV,VV,TN,BK)</v>
      </c>
      <c r="AE1" s="263" t="str">
        <f>Таблица!S1</f>
        <v>Формула для fNoLink.Device</v>
      </c>
      <c r="AF1" s="263">
        <f>Таблица!T1</f>
        <v>0</v>
      </c>
      <c r="AG1" s="263">
        <f>Таблица!U1</f>
        <v>0</v>
      </c>
      <c r="AH1" s="263">
        <f>Таблица!V1</f>
        <v>0</v>
      </c>
      <c r="AI1" s="263">
        <f>Таблица!W1</f>
        <v>0</v>
      </c>
      <c r="AJ1" s="263">
        <f>Таблица!X1</f>
        <v>0</v>
      </c>
      <c r="AK1" s="264" t="str">
        <f>Таблица!Y1</f>
        <v>FB_AI_S, FB_DI_S, FB_QSA_S, FB_DO_S, FB_SHPS_S, FB_SHOP_S, FB_BTF_S: IVXX
FB_KL_UPT_S: ISON
SW_S301, SW_MES3508: Подключение к порту 1
SW_MAYAK: Подключение к порту 1,2 (через "\")
DI_DIAG, DO_DIAG: XVLX</v>
      </c>
      <c r="AL1" s="264"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64"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64" t="str">
        <f>Таблица!AB1</f>
        <v>FB_IMstp_S, FB_IMsp_S, FB_IMs_S, FB_REG_S, FB_IM_ADES_S : ILCX
SW_S301: Подключение к порту 4
SW_MAYAK, SW_MES3508: Подключение к порту 7,8 (через "\")</v>
      </c>
      <c r="AO1" s="265" t="str">
        <f>Таблица!AC1</f>
        <v xml:space="preserve">FB_IMstp_S, FB_IMsp_S, FB_IMs_S, FB_IMp_S, FB_IMv_S, FB_REG_S, FB_IM_ADES_S, FB_DO_S : IRCX
SW_S301, SW_MES3508: Подключение к порту 5
SW_MAYAK: Подключение к порту 9,10 (через "\")
</v>
      </c>
      <c r="AP1" s="26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6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65" t="str">
        <f>Таблица!AF1</f>
        <v xml:space="preserve">FB_IMstp_S, FB_IMsp_S, FB_IMs_S, FB_IMp_S, FB_IMv_S, FB_IM_ADES_S, FB_OZK_KD_S, FB_DO_S: OXOF
SW_S301, SW_MES3508: Подключение к порту 8
SW_MAYAK: Подключение к порту 15,16 (через "\")
</v>
      </c>
      <c r="AS1" s="265" t="str">
        <f>Таблица!AG1</f>
        <v xml:space="preserve">FB_IM_ADES_S, FB_IMp_S, FB_IMv_S: OXSP
FB_IMstp_S, FB_IMsp_S, FB_IMsp_MON_S: IPTC
SW_S301, SW_MES3508: Подключение к порту 9
SW_MAYAK: Подключение к порту 17,18 (через "\")
</v>
      </c>
      <c r="AT1" s="265" t="str">
        <f>Таблица!AH1</f>
        <v xml:space="preserve">FB_IMstp_S, FB_IMst_MON_S, FB_IMt_MON_S: ITON
FB_IM_ADES_S: IOLD
SW_S301, SW_MES3508: Подключение к порту 10
SW_MAYAK: Подключение к порту 19,20 (через "\")
</v>
      </c>
      <c r="AU1" s="265" t="str">
        <f>Таблица!AI1</f>
        <v>FB_IMstp_S, FB_IMst_MON_S, FB_IMt_MON_S: ITOF
FB_IM_ADES_S: IRAD
SW_MAYAK: Подключение к порту 21,22 (через "\")</v>
      </c>
      <c r="AV1" s="265" t="str">
        <f>Таблица!AJ1</f>
        <v xml:space="preserve">FB_IMstp_S, FB_IMsp_S, FB_IMsp_MON_S, FB_IM_ADES_S: IPTO
SW_MAYAK: Подключение к порту 23,24 (через "\")
</v>
      </c>
      <c r="AW1" s="261"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61" t="str">
        <f>Таблица!AL1</f>
        <v>Для TREI
FB_IMstp_S, FB_IMs_S, FB_IMp_S, FB_IMv_S, FB_IM_ADES_S: Настройка перехода ручной-/автоматический-(TRUE/FALSE) 
FB_DI_S: Генерировать метки времени (TRUE/FALSE)</v>
      </c>
      <c r="AY1" s="261"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61" t="str">
        <f>Таблица!AN1</f>
        <v>Для TREI
FB_AI_S, FB_QSA_S: Верхний предел датчика
FB_IMp_S, FB_IMv_S, FB_IM_ADES_S, FB_OZK_KD_S: Время перестановки</v>
      </c>
      <c r="BA1" s="261"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F1" s="259"/>
      <c r="BG1" s="259"/>
      <c r="BH1" s="259"/>
      <c r="BI1" s="259"/>
    </row>
    <row r="2" spans="1:61" ht="15" customHeight="1">
      <c r="A2" s="9"/>
      <c r="B2" s="9"/>
      <c r="C2" s="9"/>
      <c r="D2" s="9"/>
      <c r="E2" s="9"/>
      <c r="F2" s="9"/>
      <c r="P2" s="2" t="s">
        <v>1388</v>
      </c>
      <c r="Q2" s="2" t="s">
        <v>762</v>
      </c>
      <c r="R2" s="2" t="s">
        <v>591</v>
      </c>
      <c r="S2" s="3">
        <v>2</v>
      </c>
      <c r="T2" s="3" t="s">
        <v>1698</v>
      </c>
      <c r="U2" s="3"/>
      <c r="V2" s="3" t="s">
        <v>569</v>
      </c>
      <c r="W2" s="12" t="s">
        <v>247</v>
      </c>
      <c r="X2" s="12" t="s">
        <v>248</v>
      </c>
      <c r="Y2" s="12"/>
      <c r="Z2" s="12" t="s">
        <v>249</v>
      </c>
      <c r="AA2" s="12" t="s">
        <v>250</v>
      </c>
      <c r="AB2" s="2"/>
      <c r="AC2" s="2"/>
      <c r="AD2" s="2"/>
      <c r="AE2" s="2" t="s">
        <v>1414</v>
      </c>
      <c r="AF2" s="2"/>
      <c r="AG2" s="2"/>
      <c r="AH2" s="2"/>
      <c r="AI2" s="2"/>
      <c r="AJ2" s="2"/>
      <c r="AK2" s="2" t="s">
        <v>1214</v>
      </c>
      <c r="AL2" s="2"/>
      <c r="AM2" s="2"/>
      <c r="AN2" s="2"/>
      <c r="AO2" s="2"/>
      <c r="AP2" s="2"/>
      <c r="AQ2" s="2"/>
      <c r="AR2" s="2"/>
      <c r="AS2" s="2"/>
      <c r="AT2" s="2"/>
      <c r="AU2" s="2"/>
      <c r="AV2" s="2"/>
      <c r="AW2" s="2">
        <v>0</v>
      </c>
      <c r="AX2" s="2"/>
      <c r="AY2" s="2">
        <v>5</v>
      </c>
      <c r="AZ2" s="2">
        <v>20</v>
      </c>
      <c r="BA2" s="2"/>
      <c r="BF2" s="4"/>
      <c r="BG2" s="4"/>
      <c r="BH2" s="4"/>
      <c r="BI2" s="4"/>
    </row>
    <row r="3" spans="1:61" ht="15" customHeight="1">
      <c r="A3" s="9"/>
      <c r="B3" s="9"/>
      <c r="C3" s="9"/>
      <c r="D3" s="9"/>
      <c r="E3" s="9"/>
      <c r="F3" s="9"/>
      <c r="P3" s="10"/>
      <c r="Q3" s="10"/>
      <c r="R3" s="10"/>
      <c r="S3" s="10"/>
      <c r="T3" s="10"/>
      <c r="U3" s="10"/>
      <c r="V3" s="10"/>
      <c r="W3" s="10"/>
      <c r="X3" s="10"/>
      <c r="Y3" s="10"/>
      <c r="Z3" s="10"/>
      <c r="AA3" s="10"/>
      <c r="BF3" s="4"/>
      <c r="BG3" s="4"/>
      <c r="BH3" s="4"/>
      <c r="BI3" s="4"/>
    </row>
    <row r="4" spans="1:61" ht="15" customHeight="1">
      <c r="A4" s="9"/>
      <c r="B4" s="9"/>
      <c r="C4" s="9"/>
      <c r="D4" s="9"/>
      <c r="E4" s="9"/>
      <c r="F4" s="9"/>
      <c r="P4" s="7" t="str">
        <f>Настройки!A1</f>
        <v>Событие</v>
      </c>
      <c r="Q4" s="7" t="str">
        <f>Настройки!B1</f>
        <v>Важность</v>
      </c>
      <c r="R4" s="7" t="str">
        <f>Настройки!C1</f>
        <v>Звук</v>
      </c>
      <c r="T4" s="548" t="str">
        <f>Настройки!M11</f>
        <v>№ Модуля commands</v>
      </c>
      <c r="U4" s="10"/>
      <c r="V4" s="10"/>
      <c r="W4" s="10"/>
      <c r="X4" s="10"/>
      <c r="Y4" s="10"/>
      <c r="Z4" s="10"/>
      <c r="AA4" s="10"/>
      <c r="BF4" s="4"/>
      <c r="BG4" s="4"/>
      <c r="BH4" s="4"/>
      <c r="BI4" s="4"/>
    </row>
    <row r="5" spans="1:61" ht="15" customHeight="1">
      <c r="A5" s="9"/>
      <c r="B5" s="9"/>
      <c r="C5" s="9"/>
      <c r="D5" s="9"/>
      <c r="E5" s="9"/>
      <c r="F5" s="9"/>
      <c r="P5" s="6" t="str">
        <f>Настройки!A2</f>
        <v>Авария</v>
      </c>
      <c r="Q5" s="5">
        <f>Настройки!B2</f>
        <v>4</v>
      </c>
      <c r="R5" s="5" t="str">
        <f>Настройки!C2</f>
        <v>Авария</v>
      </c>
      <c r="T5" s="458">
        <f>Настройки!M12</f>
        <v>1</v>
      </c>
      <c r="U5" s="10"/>
      <c r="V5" s="10"/>
      <c r="W5" s="10"/>
      <c r="X5" s="10"/>
      <c r="Y5" s="10"/>
      <c r="Z5" s="10"/>
      <c r="AA5" s="10"/>
      <c r="BF5" s="4"/>
      <c r="BG5" s="4"/>
      <c r="BH5" s="4"/>
      <c r="BI5" s="4"/>
    </row>
    <row r="6" spans="1:61"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F6" s="4"/>
      <c r="BG6" s="4"/>
      <c r="BH6" s="4"/>
      <c r="BI6" s="4"/>
    </row>
    <row r="7" spans="1:61"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F7" s="4"/>
      <c r="BG7" s="4"/>
      <c r="BH7" s="4"/>
      <c r="BI7" s="4"/>
    </row>
    <row r="8" spans="1:61" ht="15" customHeight="1">
      <c r="A8" s="9"/>
      <c r="B8" s="9"/>
      <c r="C8" s="9"/>
      <c r="D8" s="9"/>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BF8" s="4"/>
      <c r="BG8" s="4"/>
      <c r="BH8" s="4"/>
      <c r="BI8" s="4"/>
    </row>
    <row r="9" spans="1:61" ht="15" customHeight="1">
      <c r="A9" s="9"/>
      <c r="B9" s="9"/>
      <c r="C9" s="9"/>
      <c r="D9" s="9"/>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BF9" s="4"/>
      <c r="BG9" s="4"/>
      <c r="BH9" s="4"/>
      <c r="BI9" s="4"/>
    </row>
    <row r="10" spans="1:61" ht="15" customHeight="1">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BF10" s="4"/>
      <c r="BG10" s="4"/>
      <c r="BH10" s="4"/>
      <c r="BI10" s="4"/>
    </row>
    <row r="11" spans="1:61" ht="15" customHeight="1">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BF11" s="4"/>
      <c r="BG11" s="4"/>
      <c r="BH11" s="4"/>
      <c r="BI11" s="4"/>
    </row>
    <row r="12" spans="1:61"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BF12" s="4"/>
      <c r="BG12" s="4"/>
      <c r="BH12" s="4"/>
      <c r="BI12" s="4"/>
    </row>
    <row r="13" spans="1:61"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F13" s="4"/>
      <c r="BG13" s="4"/>
      <c r="BH13" s="4"/>
      <c r="BI13" s="4"/>
    </row>
    <row r="14" spans="1:61"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F14" s="4"/>
      <c r="BG14" s="4"/>
      <c r="BH14" s="4"/>
      <c r="BI14" s="4"/>
    </row>
    <row r="15" spans="1:61"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F15" s="4"/>
      <c r="BG15" s="4"/>
      <c r="BH15" s="4"/>
      <c r="BI15" s="4"/>
    </row>
    <row r="16" spans="1:61"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F16" s="4"/>
      <c r="BG16" s="4"/>
      <c r="BH16" s="4"/>
      <c r="BI16" s="4"/>
    </row>
    <row r="17" spans="1:61"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F17" s="4"/>
      <c r="BG17" s="4"/>
      <c r="BH17" s="4"/>
      <c r="BI17" s="4"/>
    </row>
    <row r="18" spans="1:61"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F18" s="4"/>
      <c r="BG18" s="4"/>
      <c r="BH18" s="4"/>
      <c r="BI18" s="4"/>
    </row>
    <row r="19" spans="1:61"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F19" s="4"/>
      <c r="BG19" s="4"/>
      <c r="BH19" s="4"/>
      <c r="BI19" s="4"/>
    </row>
    <row r="20" spans="1:61" ht="15" customHeight="1">
      <c r="A20" s="16" t="str">
        <f t="shared" ref="A20:A33" si="0">$R$2</f>
        <v>FB_AI_S</v>
      </c>
      <c r="B20" s="17">
        <v>11001</v>
      </c>
      <c r="C20" s="17" t="s">
        <v>0</v>
      </c>
      <c r="D20" s="18" t="str">
        <f>$Q$2&amp;". "</f>
        <v xml:space="preserve">Аналоговый датчик FB. </v>
      </c>
      <c r="E20" s="4"/>
      <c r="F20" s="4"/>
      <c r="BF20" s="4"/>
      <c r="BG20" s="4"/>
      <c r="BH20" s="4"/>
      <c r="BI20" s="4"/>
    </row>
    <row r="21" spans="1:61" ht="15" customHeight="1">
      <c r="A21" s="19" t="str">
        <f t="shared" si="0"/>
        <v>FB_AI_S</v>
      </c>
      <c r="B21" s="11">
        <v>11156</v>
      </c>
      <c r="C21" s="11" t="s">
        <v>0</v>
      </c>
      <c r="D21" s="20" t="str">
        <f>$V$2</f>
        <v>Тестовый экран</v>
      </c>
      <c r="E21" s="4"/>
      <c r="F21" s="4"/>
      <c r="BF21" s="4"/>
      <c r="BG21" s="4"/>
      <c r="BH21" s="4"/>
      <c r="BI21" s="4"/>
    </row>
    <row r="22" spans="1:61" ht="15" customHeight="1">
      <c r="A22" s="19" t="str">
        <f t="shared" si="0"/>
        <v>FB_AI_S</v>
      </c>
      <c r="B22" s="11">
        <v>1</v>
      </c>
      <c r="C22" s="11" t="s">
        <v>1</v>
      </c>
      <c r="D22" s="20">
        <v>17</v>
      </c>
      <c r="BF22" s="4"/>
      <c r="BG22" s="4"/>
      <c r="BH22" s="4"/>
      <c r="BI22" s="4"/>
    </row>
    <row r="23" spans="1:61" ht="15" customHeight="1">
      <c r="A23" s="21" t="str">
        <f t="shared" si="0"/>
        <v>FB_AI_S</v>
      </c>
      <c r="B23" s="8">
        <v>100</v>
      </c>
      <c r="C23" s="8" t="s">
        <v>0</v>
      </c>
      <c r="D23" s="22" t="b">
        <f>$T$7</f>
        <v>0</v>
      </c>
      <c r="BF23" s="4"/>
      <c r="BG23" s="4"/>
      <c r="BH23" s="4"/>
      <c r="BI23" s="4"/>
    </row>
    <row r="24" spans="1:61" ht="15" customHeight="1">
      <c r="A24" s="19" t="str">
        <f t="shared" si="0"/>
        <v>FB_AI_S</v>
      </c>
      <c r="B24" s="11">
        <v>11120</v>
      </c>
      <c r="C24" s="11" t="s">
        <v>0</v>
      </c>
      <c r="D24" s="20" t="str">
        <f>$X$2</f>
        <v>C</v>
      </c>
      <c r="BF24" s="4"/>
      <c r="BG24" s="4"/>
      <c r="BH24" s="4"/>
      <c r="BI24" s="4"/>
    </row>
    <row r="25" spans="1:61" ht="15" customHeight="1">
      <c r="A25" s="19" t="str">
        <f t="shared" si="0"/>
        <v>FB_AI_S</v>
      </c>
      <c r="B25" s="11">
        <v>11121</v>
      </c>
      <c r="C25" s="11" t="s">
        <v>0</v>
      </c>
      <c r="D25" s="20" t="str">
        <f>$W$2</f>
        <v>T</v>
      </c>
      <c r="BF25" s="4"/>
      <c r="BG25" s="4"/>
      <c r="BH25" s="4"/>
      <c r="BI25" s="4"/>
    </row>
    <row r="26" spans="1:61" ht="15" customHeight="1">
      <c r="A26" s="19" t="str">
        <f t="shared" si="0"/>
        <v>FB_AI_S</v>
      </c>
      <c r="B26" s="11">
        <v>11122</v>
      </c>
      <c r="C26" s="11" t="s">
        <v>0</v>
      </c>
      <c r="D26" s="20" t="str">
        <f>$AA$2</f>
        <v>ТСМ</v>
      </c>
      <c r="BF26" s="4"/>
      <c r="BG26" s="4"/>
      <c r="BH26" s="4"/>
      <c r="BI26" s="4"/>
    </row>
    <row r="27" spans="1:61" ht="15" customHeight="1">
      <c r="A27" s="19" t="str">
        <f t="shared" si="0"/>
        <v>FB_AI_S</v>
      </c>
      <c r="B27" s="11">
        <v>11123</v>
      </c>
      <c r="C27" s="11" t="s">
        <v>0</v>
      </c>
      <c r="D27" s="20" t="str">
        <f>$Z$2</f>
        <v>ЗРУ</v>
      </c>
      <c r="BF27" s="4"/>
      <c r="BG27" s="4"/>
      <c r="BH27" s="4"/>
      <c r="BI27" s="4"/>
    </row>
    <row r="28" spans="1:61" ht="15" customHeight="1">
      <c r="A28" s="19" t="str">
        <f t="shared" si="0"/>
        <v>FB_AI_S</v>
      </c>
      <c r="B28" s="11">
        <v>11124</v>
      </c>
      <c r="C28" s="11" t="s">
        <v>0</v>
      </c>
      <c r="D28" s="20" t="str">
        <f>$AK$2</f>
        <v>3+5</v>
      </c>
      <c r="BF28" s="4"/>
      <c r="BG28" s="4"/>
      <c r="BH28" s="4"/>
      <c r="BI28" s="4"/>
    </row>
    <row r="29" spans="1:61" ht="15" customHeight="1">
      <c r="A29" s="19" t="str">
        <f t="shared" si="0"/>
        <v>FB_AI_S</v>
      </c>
      <c r="B29" s="11">
        <v>11125</v>
      </c>
      <c r="C29" s="11" t="s">
        <v>0</v>
      </c>
      <c r="D29" s="20" t="str">
        <f>IF($AW$2=0,"мА",IF($AW$2=1,"мВ",$X$2))</f>
        <v>мА</v>
      </c>
      <c r="BF29" s="4"/>
      <c r="BG29" s="4"/>
      <c r="BH29" s="4"/>
      <c r="BI29" s="4"/>
    </row>
    <row r="30" spans="1:61" ht="15" customHeight="1">
      <c r="A30" s="16" t="str">
        <f t="shared" si="0"/>
        <v>FB_AI_S</v>
      </c>
      <c r="B30" s="17">
        <v>13</v>
      </c>
      <c r="C30" s="17" t="s">
        <v>2</v>
      </c>
      <c r="D30" s="18" t="s">
        <v>3</v>
      </c>
      <c r="BF30" s="4"/>
      <c r="BG30" s="4"/>
      <c r="BH30" s="4"/>
      <c r="BI30" s="4"/>
    </row>
    <row r="31" spans="1:61" ht="15" customHeight="1">
      <c r="A31" s="19" t="str">
        <f t="shared" si="0"/>
        <v>FB_AI_S</v>
      </c>
      <c r="B31" s="11">
        <v>3000013</v>
      </c>
      <c r="C31" s="11" t="s">
        <v>0</v>
      </c>
      <c r="D31" s="20" t="str">
        <f>$AE$2</f>
        <v>Диагностика.CPU.NOT_LINK.noLink</v>
      </c>
      <c r="BF31" s="4"/>
      <c r="BG31" s="4"/>
      <c r="BH31" s="4"/>
      <c r="BI31" s="4"/>
    </row>
    <row r="32" spans="1:61" ht="15" customHeight="1">
      <c r="A32" s="19" t="str">
        <f t="shared" si="0"/>
        <v>FB_AI_S</v>
      </c>
      <c r="B32" s="11">
        <v>4000013</v>
      </c>
      <c r="C32" s="11" t="s">
        <v>0</v>
      </c>
      <c r="D32" s="20" t="s">
        <v>1768</v>
      </c>
      <c r="BF32" s="4"/>
      <c r="BG32" s="4"/>
      <c r="BH32" s="4"/>
      <c r="BI32" s="4"/>
    </row>
    <row r="33" spans="1:61" ht="15" customHeight="1">
      <c r="A33" s="21" t="str">
        <f t="shared" si="0"/>
        <v>FB_AI_S</v>
      </c>
      <c r="B33" s="8">
        <v>7000013</v>
      </c>
      <c r="C33" s="8" t="s">
        <v>6</v>
      </c>
      <c r="D33" s="22">
        <v>2</v>
      </c>
      <c r="BF33" s="4"/>
      <c r="BG33" s="4"/>
      <c r="BH33" s="4"/>
      <c r="BI33" s="4"/>
    </row>
    <row r="34" spans="1:61" ht="15" customHeight="1">
      <c r="A34" s="148" t="str">
        <f t="shared" ref="A34:A43" si="1">$R$2&amp;".XHAS"</f>
        <v>FB_AI_S.XHAS</v>
      </c>
      <c r="B34" s="149">
        <v>11154</v>
      </c>
      <c r="C34" s="149" t="s">
        <v>4</v>
      </c>
      <c r="D34" s="150">
        <f>$Q$5</f>
        <v>4</v>
      </c>
    </row>
    <row r="35" spans="1:61" ht="15" customHeight="1">
      <c r="A35" s="148" t="str">
        <f t="shared" si="1"/>
        <v>FB_AI_S.XHAS</v>
      </c>
      <c r="B35" s="149">
        <v>11152</v>
      </c>
      <c r="C35" s="149" t="s">
        <v>0</v>
      </c>
      <c r="D35" s="151" t="str">
        <f>$R$5</f>
        <v>Авария</v>
      </c>
    </row>
    <row r="36" spans="1:61" ht="15" customHeight="1">
      <c r="A36" s="148" t="str">
        <f t="shared" si="1"/>
        <v>FB_AI_S.XHAS</v>
      </c>
      <c r="B36" s="149">
        <v>11150</v>
      </c>
      <c r="C36" s="149" t="s">
        <v>0</v>
      </c>
      <c r="D36" s="125" t="s">
        <v>85</v>
      </c>
    </row>
    <row r="37" spans="1:61" ht="15" customHeight="1">
      <c r="A37" s="148" t="str">
        <f t="shared" si="1"/>
        <v>FB_AI_S.XHAS</v>
      </c>
      <c r="B37" s="149">
        <v>11000</v>
      </c>
      <c r="C37" s="149" t="s">
        <v>5</v>
      </c>
      <c r="D37" s="125">
        <v>2147483680</v>
      </c>
    </row>
    <row r="38" spans="1:61" ht="15" customHeight="1">
      <c r="A38" s="19" t="str">
        <f t="shared" si="1"/>
        <v>FB_AI_S.XHAS</v>
      </c>
      <c r="B38" s="11">
        <v>7999</v>
      </c>
      <c r="C38" s="11" t="s">
        <v>0</v>
      </c>
      <c r="D38" s="20" t="str">
        <f>"#"&amp;$S$2&amp;"#"&amp;$T$2&amp;"\"&amp;$P$2&amp;"\XHAS"</f>
        <v>#2#treiOPCDA.CoOPCserv.1\pcmaster\TT_VOS\XHAS</v>
      </c>
    </row>
    <row r="39" spans="1:61" ht="15" customHeight="1">
      <c r="A39" s="19" t="str">
        <f t="shared" si="1"/>
        <v>FB_AI_S.XHAS</v>
      </c>
      <c r="B39" s="11">
        <v>7998</v>
      </c>
      <c r="C39" s="11" t="s">
        <v>6</v>
      </c>
      <c r="D39" s="20">
        <v>1</v>
      </c>
    </row>
    <row r="40" spans="1:61" ht="15" customHeight="1">
      <c r="A40" s="19" t="str">
        <f t="shared" si="1"/>
        <v>FB_AI_S.XHAS</v>
      </c>
      <c r="B40" s="11">
        <v>101</v>
      </c>
      <c r="C40" s="11" t="s">
        <v>0</v>
      </c>
      <c r="D40" s="20" t="s">
        <v>46</v>
      </c>
    </row>
    <row r="41" spans="1:61" ht="15" customHeight="1">
      <c r="A41" s="19" t="str">
        <f t="shared" si="1"/>
        <v>FB_AI_S.XHAS</v>
      </c>
      <c r="B41" s="11">
        <v>3</v>
      </c>
      <c r="C41" s="11" t="s">
        <v>1</v>
      </c>
      <c r="D41" s="20">
        <v>192</v>
      </c>
    </row>
    <row r="42" spans="1:61" ht="15" customHeight="1">
      <c r="A42" s="19" t="str">
        <f t="shared" si="1"/>
        <v>FB_AI_S.XHAS</v>
      </c>
      <c r="B42" s="11">
        <v>2</v>
      </c>
      <c r="C42" s="11" t="s">
        <v>2</v>
      </c>
      <c r="D42" s="20" t="s">
        <v>3</v>
      </c>
    </row>
    <row r="43" spans="1:61" ht="15" customHeight="1">
      <c r="A43" s="21" t="str">
        <f t="shared" si="1"/>
        <v>FB_AI_S.XHAS</v>
      </c>
      <c r="B43" s="8">
        <v>1</v>
      </c>
      <c r="C43" s="8" t="s">
        <v>1</v>
      </c>
      <c r="D43" s="22">
        <v>11</v>
      </c>
    </row>
    <row r="44" spans="1:61" ht="15" customHeight="1">
      <c r="A44" s="148" t="str">
        <f t="shared" ref="A44:A53" si="2">$R$2&amp;".XLAS"</f>
        <v>FB_AI_S.XLAS</v>
      </c>
      <c r="B44" s="149">
        <v>11154</v>
      </c>
      <c r="C44" s="149" t="s">
        <v>4</v>
      </c>
      <c r="D44" s="150">
        <f>$Q$5</f>
        <v>4</v>
      </c>
    </row>
    <row r="45" spans="1:61" ht="15" customHeight="1">
      <c r="A45" s="148" t="str">
        <f t="shared" si="2"/>
        <v>FB_AI_S.XLAS</v>
      </c>
      <c r="B45" s="149">
        <v>11152</v>
      </c>
      <c r="C45" s="149" t="s">
        <v>0</v>
      </c>
      <c r="D45" s="151" t="str">
        <f>$R$5</f>
        <v>Авария</v>
      </c>
    </row>
    <row r="46" spans="1:61" ht="15" customHeight="1">
      <c r="A46" s="148" t="str">
        <f t="shared" si="2"/>
        <v>FB_AI_S.XLAS</v>
      </c>
      <c r="B46" s="149">
        <v>11150</v>
      </c>
      <c r="C46" s="149" t="s">
        <v>0</v>
      </c>
      <c r="D46" s="125" t="s">
        <v>87</v>
      </c>
    </row>
    <row r="47" spans="1:61" ht="15" customHeight="1">
      <c r="A47" s="148" t="str">
        <f t="shared" si="2"/>
        <v>FB_AI_S.XLAS</v>
      </c>
      <c r="B47" s="149">
        <v>11000</v>
      </c>
      <c r="C47" s="149" t="s">
        <v>5</v>
      </c>
      <c r="D47" s="125">
        <v>2147483680</v>
      </c>
    </row>
    <row r="48" spans="1:61" ht="15" customHeight="1">
      <c r="A48" s="19" t="str">
        <f t="shared" si="2"/>
        <v>FB_AI_S.XLAS</v>
      </c>
      <c r="B48" s="11">
        <v>7999</v>
      </c>
      <c r="C48" s="11" t="s">
        <v>0</v>
      </c>
      <c r="D48" s="20" t="str">
        <f>"#"&amp;$S$2&amp;"#"&amp;$T$2&amp;"\"&amp;$P$2&amp;"\XLAS"</f>
        <v>#2#treiOPCDA.CoOPCserv.1\pcmaster\TT_VOS\XLAS</v>
      </c>
    </row>
    <row r="49" spans="1:4" ht="15" customHeight="1">
      <c r="A49" s="19" t="str">
        <f t="shared" si="2"/>
        <v>FB_AI_S.XLAS</v>
      </c>
      <c r="B49" s="11">
        <v>7998</v>
      </c>
      <c r="C49" s="11" t="s">
        <v>6</v>
      </c>
      <c r="D49" s="20">
        <v>1</v>
      </c>
    </row>
    <row r="50" spans="1:4" ht="15" customHeight="1">
      <c r="A50" s="19" t="str">
        <f t="shared" si="2"/>
        <v>FB_AI_S.XLAS</v>
      </c>
      <c r="B50" s="11">
        <v>101</v>
      </c>
      <c r="C50" s="11" t="s">
        <v>0</v>
      </c>
      <c r="D50" s="20" t="s">
        <v>48</v>
      </c>
    </row>
    <row r="51" spans="1:4" ht="15" customHeight="1">
      <c r="A51" s="19" t="str">
        <f t="shared" si="2"/>
        <v>FB_AI_S.XLAS</v>
      </c>
      <c r="B51" s="11">
        <v>3</v>
      </c>
      <c r="C51" s="11" t="s">
        <v>1</v>
      </c>
      <c r="D51" s="20">
        <v>192</v>
      </c>
    </row>
    <row r="52" spans="1:4" ht="15" customHeight="1">
      <c r="A52" s="19" t="str">
        <f t="shared" si="2"/>
        <v>FB_AI_S.XLAS</v>
      </c>
      <c r="B52" s="11">
        <v>2</v>
      </c>
      <c r="C52" s="11" t="s">
        <v>2</v>
      </c>
      <c r="D52" s="20" t="s">
        <v>3</v>
      </c>
    </row>
    <row r="53" spans="1:4" ht="15" customHeight="1">
      <c r="A53" s="21" t="str">
        <f t="shared" si="2"/>
        <v>FB_AI_S.XLAS</v>
      </c>
      <c r="B53" s="8">
        <v>1</v>
      </c>
      <c r="C53" s="8" t="s">
        <v>1</v>
      </c>
      <c r="D53" s="22">
        <v>11</v>
      </c>
    </row>
    <row r="54" spans="1:4" ht="15" customHeight="1">
      <c r="A54" s="63" t="str">
        <f t="shared" ref="A54:A63" si="3">$R$2&amp;".XDAX"</f>
        <v>FB_AI_S.XDAX</v>
      </c>
      <c r="B54" s="64">
        <v>11152</v>
      </c>
      <c r="C54" s="64" t="s">
        <v>0</v>
      </c>
      <c r="D54" s="129" t="str">
        <f>$R$6</f>
        <v>Предупреждение</v>
      </c>
    </row>
    <row r="55" spans="1:4" ht="15" customHeight="1">
      <c r="A55" s="63" t="str">
        <f t="shared" si="3"/>
        <v>FB_AI_S.XDAX</v>
      </c>
      <c r="B55" s="64">
        <v>11154</v>
      </c>
      <c r="C55" s="64" t="s">
        <v>4</v>
      </c>
      <c r="D55" s="98">
        <f>$Q$6</f>
        <v>8</v>
      </c>
    </row>
    <row r="56" spans="1:4" ht="15" customHeight="1">
      <c r="A56" s="63" t="str">
        <f t="shared" si="3"/>
        <v>FB_AI_S.XDAX</v>
      </c>
      <c r="B56" s="64">
        <v>11150</v>
      </c>
      <c r="C56" s="64" t="s">
        <v>0</v>
      </c>
      <c r="D56" s="65" t="s">
        <v>11</v>
      </c>
    </row>
    <row r="57" spans="1:4" ht="15" customHeight="1">
      <c r="A57" s="63" t="str">
        <f t="shared" si="3"/>
        <v>FB_AI_S.XDAX</v>
      </c>
      <c r="B57" s="64">
        <v>11000</v>
      </c>
      <c r="C57" s="64" t="s">
        <v>5</v>
      </c>
      <c r="D57" s="65">
        <v>2147483680</v>
      </c>
    </row>
    <row r="58" spans="1:4" ht="15" customHeight="1">
      <c r="A58" s="19" t="str">
        <f t="shared" si="3"/>
        <v>FB_AI_S.XDAX</v>
      </c>
      <c r="B58" s="11">
        <v>7999</v>
      </c>
      <c r="C58" s="11" t="s">
        <v>0</v>
      </c>
      <c r="D58" s="20" t="str">
        <f>"#"&amp;$S$2&amp;"#"&amp;$T$2&amp;"\"&amp;$P$2&amp;"\XDAX"</f>
        <v>#2#treiOPCDA.CoOPCserv.1\pcmaster\TT_VOS\XDAX</v>
      </c>
    </row>
    <row r="59" spans="1:4" ht="15" customHeight="1">
      <c r="A59" s="19" t="str">
        <f t="shared" si="3"/>
        <v>FB_AI_S.XDAX</v>
      </c>
      <c r="B59" s="11">
        <v>7998</v>
      </c>
      <c r="C59" s="11" t="s">
        <v>6</v>
      </c>
      <c r="D59" s="20">
        <v>1</v>
      </c>
    </row>
    <row r="60" spans="1:4" ht="15" customHeight="1">
      <c r="A60" s="19" t="str">
        <f t="shared" si="3"/>
        <v>FB_AI_S.XDAX</v>
      </c>
      <c r="B60" s="11">
        <v>101</v>
      </c>
      <c r="C60" s="11" t="s">
        <v>0</v>
      </c>
      <c r="D60" s="20" t="s">
        <v>11</v>
      </c>
    </row>
    <row r="61" spans="1:4" ht="15" customHeight="1">
      <c r="A61" s="19" t="str">
        <f t="shared" si="3"/>
        <v>FB_AI_S.XDAX</v>
      </c>
      <c r="B61" s="11">
        <v>3</v>
      </c>
      <c r="C61" s="11" t="s">
        <v>1</v>
      </c>
      <c r="D61" s="20">
        <v>192</v>
      </c>
    </row>
    <row r="62" spans="1:4" ht="15" customHeight="1">
      <c r="A62" s="19" t="str">
        <f t="shared" si="3"/>
        <v>FB_AI_S.XDAX</v>
      </c>
      <c r="B62" s="11">
        <v>2</v>
      </c>
      <c r="C62" s="11" t="s">
        <v>2</v>
      </c>
      <c r="D62" s="20" t="s">
        <v>3</v>
      </c>
    </row>
    <row r="63" spans="1:4" ht="15" customHeight="1">
      <c r="A63" s="21" t="str">
        <f t="shared" si="3"/>
        <v>FB_AI_S.XDAX</v>
      </c>
      <c r="B63" s="8">
        <v>1</v>
      </c>
      <c r="C63" s="8" t="s">
        <v>1</v>
      </c>
      <c r="D63" s="22">
        <v>11</v>
      </c>
    </row>
    <row r="64" spans="1:4" ht="15" customHeight="1">
      <c r="A64" s="63" t="str">
        <f t="shared" ref="A64:A73" si="4">$R$2&amp;".XHWS"</f>
        <v>FB_AI_S.XHWS</v>
      </c>
      <c r="B64" s="64">
        <v>11154</v>
      </c>
      <c r="C64" s="64" t="s">
        <v>4</v>
      </c>
      <c r="D64" s="98">
        <f>$Q$6</f>
        <v>8</v>
      </c>
    </row>
    <row r="65" spans="1:4" ht="15" customHeight="1">
      <c r="A65" s="63" t="str">
        <f t="shared" si="4"/>
        <v>FB_AI_S.XHWS</v>
      </c>
      <c r="B65" s="64">
        <v>11152</v>
      </c>
      <c r="C65" s="64" t="s">
        <v>0</v>
      </c>
      <c r="D65" s="129" t="str">
        <f>$R$6</f>
        <v>Предупреждение</v>
      </c>
    </row>
    <row r="66" spans="1:4" ht="15" customHeight="1">
      <c r="A66" s="63" t="str">
        <f t="shared" si="4"/>
        <v>FB_AI_S.XHWS</v>
      </c>
      <c r="B66" s="64">
        <v>11150</v>
      </c>
      <c r="C66" s="64" t="s">
        <v>0</v>
      </c>
      <c r="D66" s="65" t="s">
        <v>86</v>
      </c>
    </row>
    <row r="67" spans="1:4" ht="15" customHeight="1">
      <c r="A67" s="63" t="str">
        <f t="shared" si="4"/>
        <v>FB_AI_S.XHWS</v>
      </c>
      <c r="B67" s="64">
        <v>11000</v>
      </c>
      <c r="C67" s="64" t="s">
        <v>5</v>
      </c>
      <c r="D67" s="65">
        <v>2147483680</v>
      </c>
    </row>
    <row r="68" spans="1:4" ht="15" customHeight="1">
      <c r="A68" s="19" t="str">
        <f t="shared" si="4"/>
        <v>FB_AI_S.XHWS</v>
      </c>
      <c r="B68" s="11">
        <v>7999</v>
      </c>
      <c r="C68" s="11" t="s">
        <v>0</v>
      </c>
      <c r="D68" s="20" t="str">
        <f>"#"&amp;$S$2&amp;"#"&amp;$T$2&amp;"\"&amp;$P$2&amp;"\XHWS"</f>
        <v>#2#treiOPCDA.CoOPCserv.1\pcmaster\TT_VOS\XHWS</v>
      </c>
    </row>
    <row r="69" spans="1:4" ht="15" customHeight="1">
      <c r="A69" s="19" t="str">
        <f t="shared" si="4"/>
        <v>FB_AI_S.XHWS</v>
      </c>
      <c r="B69" s="11">
        <v>7998</v>
      </c>
      <c r="C69" s="11" t="s">
        <v>6</v>
      </c>
      <c r="D69" s="20">
        <v>1</v>
      </c>
    </row>
    <row r="70" spans="1:4" ht="15" customHeight="1">
      <c r="A70" s="19" t="str">
        <f t="shared" si="4"/>
        <v>FB_AI_S.XHWS</v>
      </c>
      <c r="B70" s="11">
        <v>101</v>
      </c>
      <c r="C70" s="11" t="s">
        <v>0</v>
      </c>
      <c r="D70" s="20" t="s">
        <v>47</v>
      </c>
    </row>
    <row r="71" spans="1:4" ht="15" customHeight="1">
      <c r="A71" s="19" t="str">
        <f t="shared" si="4"/>
        <v>FB_AI_S.XHWS</v>
      </c>
      <c r="B71" s="11">
        <v>3</v>
      </c>
      <c r="C71" s="11" t="s">
        <v>1</v>
      </c>
      <c r="D71" s="20">
        <v>192</v>
      </c>
    </row>
    <row r="72" spans="1:4" ht="15" customHeight="1">
      <c r="A72" s="19" t="str">
        <f t="shared" si="4"/>
        <v>FB_AI_S.XHWS</v>
      </c>
      <c r="B72" s="11">
        <v>2</v>
      </c>
      <c r="C72" s="11" t="s">
        <v>2</v>
      </c>
      <c r="D72" s="20" t="s">
        <v>3</v>
      </c>
    </row>
    <row r="73" spans="1:4" s="1" customFormat="1" ht="15" customHeight="1">
      <c r="A73" s="21" t="str">
        <f t="shared" si="4"/>
        <v>FB_AI_S.XHWS</v>
      </c>
      <c r="B73" s="8">
        <v>1</v>
      </c>
      <c r="C73" s="8" t="s">
        <v>1</v>
      </c>
      <c r="D73" s="22">
        <v>11</v>
      </c>
    </row>
    <row r="74" spans="1:4" s="1" customFormat="1" ht="15" customHeight="1">
      <c r="A74" s="63" t="str">
        <f t="shared" ref="A74:A83" si="5">$R$2&amp;".XLWS"</f>
        <v>FB_AI_S.XLWS</v>
      </c>
      <c r="B74" s="64">
        <v>11154</v>
      </c>
      <c r="C74" s="64" t="s">
        <v>4</v>
      </c>
      <c r="D74" s="98">
        <f>$Q$6</f>
        <v>8</v>
      </c>
    </row>
    <row r="75" spans="1:4" ht="15" customHeight="1">
      <c r="A75" s="63" t="str">
        <f t="shared" si="5"/>
        <v>FB_AI_S.XLWS</v>
      </c>
      <c r="B75" s="64">
        <v>11152</v>
      </c>
      <c r="C75" s="64" t="s">
        <v>0</v>
      </c>
      <c r="D75" s="129" t="str">
        <f>$R$6</f>
        <v>Предупреждение</v>
      </c>
    </row>
    <row r="76" spans="1:4" ht="15" customHeight="1">
      <c r="A76" s="63" t="str">
        <f t="shared" si="5"/>
        <v>FB_AI_S.XLWS</v>
      </c>
      <c r="B76" s="64">
        <v>11150</v>
      </c>
      <c r="C76" s="64" t="s">
        <v>0</v>
      </c>
      <c r="D76" s="65" t="s">
        <v>88</v>
      </c>
    </row>
    <row r="77" spans="1:4" ht="15" customHeight="1">
      <c r="A77" s="63" t="str">
        <f t="shared" si="5"/>
        <v>FB_AI_S.XLWS</v>
      </c>
      <c r="B77" s="64">
        <v>11000</v>
      </c>
      <c r="C77" s="64" t="s">
        <v>5</v>
      </c>
      <c r="D77" s="65">
        <v>2147483680</v>
      </c>
    </row>
    <row r="78" spans="1:4" ht="15" customHeight="1">
      <c r="A78" s="19" t="str">
        <f t="shared" si="5"/>
        <v>FB_AI_S.XLWS</v>
      </c>
      <c r="B78" s="11">
        <v>7999</v>
      </c>
      <c r="C78" s="11" t="s">
        <v>0</v>
      </c>
      <c r="D78" s="20" t="str">
        <f>"#"&amp;$S$2&amp;"#"&amp;$T$2&amp;"\"&amp;$P$2&amp;"\XLWS"</f>
        <v>#2#treiOPCDA.CoOPCserv.1\pcmaster\TT_VOS\XLWS</v>
      </c>
    </row>
    <row r="79" spans="1:4" ht="15" customHeight="1">
      <c r="A79" s="19" t="str">
        <f t="shared" si="5"/>
        <v>FB_AI_S.XLWS</v>
      </c>
      <c r="B79" s="11">
        <v>7998</v>
      </c>
      <c r="C79" s="11" t="s">
        <v>6</v>
      </c>
      <c r="D79" s="20">
        <v>1</v>
      </c>
    </row>
    <row r="80" spans="1:4" ht="15" customHeight="1">
      <c r="A80" s="19" t="str">
        <f t="shared" si="5"/>
        <v>FB_AI_S.XLWS</v>
      </c>
      <c r="B80" s="11">
        <v>101</v>
      </c>
      <c r="C80" s="11" t="s">
        <v>0</v>
      </c>
      <c r="D80" s="20" t="s">
        <v>49</v>
      </c>
    </row>
    <row r="81" spans="1:4" ht="15" customHeight="1">
      <c r="A81" s="19" t="str">
        <f t="shared" si="5"/>
        <v>FB_AI_S.XLWS</v>
      </c>
      <c r="B81" s="11">
        <v>3</v>
      </c>
      <c r="C81" s="11" t="s">
        <v>1</v>
      </c>
      <c r="D81" s="20">
        <v>192</v>
      </c>
    </row>
    <row r="82" spans="1:4" ht="15" customHeight="1">
      <c r="A82" s="19" t="str">
        <f t="shared" si="5"/>
        <v>FB_AI_S.XLWS</v>
      </c>
      <c r="B82" s="11">
        <v>2</v>
      </c>
      <c r="C82" s="11" t="s">
        <v>2</v>
      </c>
      <c r="D82" s="20" t="s">
        <v>3</v>
      </c>
    </row>
    <row r="83" spans="1:4" ht="15" customHeight="1">
      <c r="A83" s="19" t="str">
        <f t="shared" si="5"/>
        <v>FB_AI_S.XLWS</v>
      </c>
      <c r="B83" s="11">
        <v>1</v>
      </c>
      <c r="C83" s="11" t="s">
        <v>1</v>
      </c>
      <c r="D83" s="20">
        <v>11</v>
      </c>
    </row>
    <row r="84" spans="1:4" ht="15" customHeight="1">
      <c r="A84" s="69" t="str">
        <f t="shared" ref="A84:A93" si="6">$R$2&amp;".FSLX"</f>
        <v>FB_AI_S.FSLX</v>
      </c>
      <c r="B84" s="70">
        <v>11154</v>
      </c>
      <c r="C84" s="70" t="s">
        <v>4</v>
      </c>
      <c r="D84" s="144">
        <f>$Q$6</f>
        <v>8</v>
      </c>
    </row>
    <row r="85" spans="1:4" ht="15" customHeight="1">
      <c r="A85" s="63" t="str">
        <f t="shared" si="6"/>
        <v>FB_AI_S.FSLX</v>
      </c>
      <c r="B85" s="64">
        <v>11152</v>
      </c>
      <c r="C85" s="64" t="s">
        <v>0</v>
      </c>
      <c r="D85" s="99" t="str">
        <f>$R$6</f>
        <v>Предупреждение</v>
      </c>
    </row>
    <row r="86" spans="1:4" ht="15" customHeight="1">
      <c r="A86" s="63" t="str">
        <f t="shared" si="6"/>
        <v>FB_AI_S.FSLX</v>
      </c>
      <c r="B86" s="64">
        <v>11150</v>
      </c>
      <c r="C86" s="64" t="s">
        <v>0</v>
      </c>
      <c r="D86" s="65" t="s">
        <v>40</v>
      </c>
    </row>
    <row r="87" spans="1:4" ht="15" customHeight="1">
      <c r="A87" s="63" t="str">
        <f t="shared" si="6"/>
        <v>FB_AI_S.FSLX</v>
      </c>
      <c r="B87" s="64">
        <v>11000</v>
      </c>
      <c r="C87" s="64" t="s">
        <v>5</v>
      </c>
      <c r="D87" s="65">
        <v>2147483680</v>
      </c>
    </row>
    <row r="88" spans="1:4" ht="15" customHeight="1">
      <c r="A88" s="19" t="str">
        <f t="shared" si="6"/>
        <v>FB_AI_S.FSLX</v>
      </c>
      <c r="B88" s="11">
        <v>7999</v>
      </c>
      <c r="C88" s="11" t="s">
        <v>0</v>
      </c>
      <c r="D88" s="20" t="str">
        <f>"#"&amp;$S$2&amp;"#"&amp;$T$2&amp;"\"&amp;$P$2&amp;"\FSLX"</f>
        <v>#2#treiOPCDA.CoOPCserv.1\pcmaster\TT_VOS\FSLX</v>
      </c>
    </row>
    <row r="89" spans="1:4" ht="15" customHeight="1">
      <c r="A89" s="19" t="str">
        <f t="shared" si="6"/>
        <v>FB_AI_S.FSLX</v>
      </c>
      <c r="B89" s="11">
        <v>7998</v>
      </c>
      <c r="C89" s="11" t="s">
        <v>6</v>
      </c>
      <c r="D89" s="20">
        <v>1</v>
      </c>
    </row>
    <row r="90" spans="1:4" ht="15" customHeight="1">
      <c r="A90" s="19" t="str">
        <f t="shared" si="6"/>
        <v>FB_AI_S.FSLX</v>
      </c>
      <c r="B90" s="11">
        <v>101</v>
      </c>
      <c r="C90" s="11" t="s">
        <v>0</v>
      </c>
      <c r="D90" s="20" t="s">
        <v>40</v>
      </c>
    </row>
    <row r="91" spans="1:4" ht="15" customHeight="1">
      <c r="A91" s="19" t="str">
        <f t="shared" si="6"/>
        <v>FB_AI_S.FSLX</v>
      </c>
      <c r="B91" s="11">
        <v>3</v>
      </c>
      <c r="C91" s="11" t="s">
        <v>1</v>
      </c>
      <c r="D91" s="20">
        <v>192</v>
      </c>
    </row>
    <row r="92" spans="1:4" ht="15" customHeight="1">
      <c r="A92" s="19" t="str">
        <f t="shared" si="6"/>
        <v>FB_AI_S.FSLX</v>
      </c>
      <c r="B92" s="11">
        <v>2</v>
      </c>
      <c r="C92" s="11" t="s">
        <v>2</v>
      </c>
      <c r="D92" s="20" t="s">
        <v>3</v>
      </c>
    </row>
    <row r="93" spans="1:4" ht="15" customHeight="1">
      <c r="A93" s="21" t="str">
        <f t="shared" si="6"/>
        <v>FB_AI_S.FSLX</v>
      </c>
      <c r="B93" s="8">
        <v>1</v>
      </c>
      <c r="C93" s="8" t="s">
        <v>1</v>
      </c>
      <c r="D93" s="22">
        <v>11</v>
      </c>
    </row>
    <row r="94" spans="1:4" ht="15" customHeight="1">
      <c r="A94" s="217" t="str">
        <f t="shared" ref="A94:A103" si="7">$R$2&amp;".FBXX"</f>
        <v>FB_AI_S.FBXX</v>
      </c>
      <c r="B94" s="218">
        <v>11154</v>
      </c>
      <c r="C94" s="218" t="s">
        <v>4</v>
      </c>
      <c r="D94" s="219">
        <f>$Q$7</f>
        <v>12</v>
      </c>
    </row>
    <row r="95" spans="1:4" ht="15" customHeight="1">
      <c r="A95" s="211" t="str">
        <f t="shared" si="7"/>
        <v>FB_AI_S.FBXX</v>
      </c>
      <c r="B95" s="212">
        <v>11152</v>
      </c>
      <c r="C95" s="212" t="s">
        <v>0</v>
      </c>
      <c r="D95" s="220" t="str">
        <f>$R$7</f>
        <v>Неисправность</v>
      </c>
    </row>
    <row r="96" spans="1:4" ht="15" customHeight="1">
      <c r="A96" s="211" t="str">
        <f t="shared" si="7"/>
        <v>FB_AI_S.FBXX</v>
      </c>
      <c r="B96" s="212">
        <v>11150</v>
      </c>
      <c r="C96" s="212" t="s">
        <v>0</v>
      </c>
      <c r="D96" s="213" t="s">
        <v>36</v>
      </c>
    </row>
    <row r="97" spans="1:17" ht="15" customHeight="1">
      <c r="A97" s="211" t="str">
        <f t="shared" si="7"/>
        <v>FB_AI_S.FBXX</v>
      </c>
      <c r="B97" s="212">
        <v>11000</v>
      </c>
      <c r="C97" s="212" t="s">
        <v>5</v>
      </c>
      <c r="D97" s="213">
        <v>2147483680</v>
      </c>
    </row>
    <row r="98" spans="1:17" ht="15" customHeight="1">
      <c r="A98" s="19" t="str">
        <f t="shared" si="7"/>
        <v>FB_AI_S.FBXX</v>
      </c>
      <c r="B98" s="11">
        <v>7999</v>
      </c>
      <c r="C98" s="11" t="s">
        <v>0</v>
      </c>
      <c r="D98" s="20" t="str">
        <f>"#"&amp;$S$2&amp;"#"&amp;$T$2&amp;"\"&amp;$P$2&amp;"\FBXX"</f>
        <v>#2#treiOPCDA.CoOPCserv.1\pcmaster\TT_VOS\FBXX</v>
      </c>
    </row>
    <row r="99" spans="1:17" ht="15" customHeight="1">
      <c r="A99" s="19" t="str">
        <f t="shared" si="7"/>
        <v>FB_AI_S.FBXX</v>
      </c>
      <c r="B99" s="11">
        <v>7998</v>
      </c>
      <c r="C99" s="11" t="s">
        <v>6</v>
      </c>
      <c r="D99" s="20">
        <v>1</v>
      </c>
    </row>
    <row r="100" spans="1:17" ht="15" customHeight="1">
      <c r="A100" s="19" t="str">
        <f t="shared" si="7"/>
        <v>FB_AI_S.FBXX</v>
      </c>
      <c r="B100" s="11">
        <v>101</v>
      </c>
      <c r="C100" s="11" t="s">
        <v>0</v>
      </c>
      <c r="D100" s="20" t="s">
        <v>36</v>
      </c>
    </row>
    <row r="101" spans="1:17" ht="15" customHeight="1">
      <c r="A101" s="19" t="str">
        <f t="shared" si="7"/>
        <v>FB_AI_S.FBXX</v>
      </c>
      <c r="B101" s="11">
        <v>3</v>
      </c>
      <c r="C101" s="11" t="s">
        <v>1</v>
      </c>
      <c r="D101" s="20">
        <v>192</v>
      </c>
    </row>
    <row r="102" spans="1:17" ht="15" customHeight="1">
      <c r="A102" s="19" t="str">
        <f t="shared" si="7"/>
        <v>FB_AI_S.FBXX</v>
      </c>
      <c r="B102" s="11">
        <v>2</v>
      </c>
      <c r="C102" s="11" t="s">
        <v>2</v>
      </c>
      <c r="D102" s="20" t="s">
        <v>3</v>
      </c>
    </row>
    <row r="103" spans="1:17" ht="15" customHeight="1">
      <c r="A103" s="21" t="str">
        <f t="shared" si="7"/>
        <v>FB_AI_S.FBXX</v>
      </c>
      <c r="B103" s="8">
        <v>1</v>
      </c>
      <c r="C103" s="8" t="s">
        <v>1</v>
      </c>
      <c r="D103" s="22">
        <v>11</v>
      </c>
    </row>
    <row r="104" spans="1:17" ht="15" customHeight="1">
      <c r="A104" s="211" t="str">
        <f t="shared" ref="A104:A113" si="8">$R$2&amp;".FSCX"</f>
        <v>FB_AI_S.FSCX</v>
      </c>
      <c r="B104" s="212">
        <v>11154</v>
      </c>
      <c r="C104" s="212" t="s">
        <v>4</v>
      </c>
      <c r="D104" s="221">
        <f>$Q$7</f>
        <v>12</v>
      </c>
    </row>
    <row r="105" spans="1:17" ht="15" customHeight="1">
      <c r="A105" s="211" t="str">
        <f t="shared" si="8"/>
        <v>FB_AI_S.FSCX</v>
      </c>
      <c r="B105" s="212">
        <v>11152</v>
      </c>
      <c r="C105" s="212" t="s">
        <v>0</v>
      </c>
      <c r="D105" s="220" t="str">
        <f>$R$7</f>
        <v>Неисправность</v>
      </c>
    </row>
    <row r="106" spans="1:17" ht="15" customHeight="1">
      <c r="A106" s="211" t="str">
        <f t="shared" si="8"/>
        <v>FB_AI_S.FSCX</v>
      </c>
      <c r="B106" s="212">
        <v>11150</v>
      </c>
      <c r="C106" s="212" t="s">
        <v>0</v>
      </c>
      <c r="D106" s="213" t="s">
        <v>37</v>
      </c>
    </row>
    <row r="107" spans="1:17" ht="15" customHeight="1">
      <c r="A107" s="211" t="str">
        <f t="shared" si="8"/>
        <v>FB_AI_S.FSCX</v>
      </c>
      <c r="B107" s="212">
        <v>11000</v>
      </c>
      <c r="C107" s="212" t="s">
        <v>5</v>
      </c>
      <c r="D107" s="213">
        <v>2147483680</v>
      </c>
    </row>
    <row r="108" spans="1:17" ht="15" customHeight="1">
      <c r="A108" s="19" t="str">
        <f t="shared" si="8"/>
        <v>FB_AI_S.FSCX</v>
      </c>
      <c r="B108" s="11">
        <v>7999</v>
      </c>
      <c r="C108" s="11" t="s">
        <v>0</v>
      </c>
      <c r="D108" s="20" t="str">
        <f>"#"&amp;$S$2&amp;"#"&amp;$T$2&amp;"\"&amp;$P$2&amp;"\FSCX"</f>
        <v>#2#treiOPCDA.CoOPCserv.1\pcmaster\TT_VOS\FSCX</v>
      </c>
    </row>
    <row r="109" spans="1:17" ht="15" customHeight="1">
      <c r="A109" s="19" t="str">
        <f t="shared" si="8"/>
        <v>FB_AI_S.FSCX</v>
      </c>
      <c r="B109" s="11">
        <v>7998</v>
      </c>
      <c r="C109" s="11" t="s">
        <v>6</v>
      </c>
      <c r="D109" s="20">
        <v>1</v>
      </c>
    </row>
    <row r="110" spans="1:17" ht="15" customHeight="1">
      <c r="A110" s="19" t="str">
        <f t="shared" si="8"/>
        <v>FB_AI_S.FSCX</v>
      </c>
      <c r="B110" s="11">
        <v>101</v>
      </c>
      <c r="C110" s="11" t="s">
        <v>0</v>
      </c>
      <c r="D110" s="20" t="s">
        <v>37</v>
      </c>
    </row>
    <row r="111" spans="1:17" ht="15" customHeight="1">
      <c r="A111" s="19" t="str">
        <f t="shared" si="8"/>
        <v>FB_AI_S.FSCX</v>
      </c>
      <c r="B111" s="11">
        <v>3</v>
      </c>
      <c r="C111" s="11" t="s">
        <v>1</v>
      </c>
      <c r="D111" s="20">
        <v>192</v>
      </c>
    </row>
    <row r="112" spans="1:17" ht="15" customHeight="1">
      <c r="A112" s="19" t="str">
        <f t="shared" si="8"/>
        <v>FB_AI_S.FSCX</v>
      </c>
      <c r="B112" s="11">
        <v>2</v>
      </c>
      <c r="C112" s="11" t="s">
        <v>2</v>
      </c>
      <c r="D112" s="20" t="s">
        <v>3</v>
      </c>
      <c r="Q112" t="s">
        <v>796</v>
      </c>
    </row>
    <row r="113" spans="1:4" ht="15" customHeight="1">
      <c r="A113" s="21" t="str">
        <f t="shared" si="8"/>
        <v>FB_AI_S.FSCX</v>
      </c>
      <c r="B113" s="8">
        <v>1</v>
      </c>
      <c r="C113" s="8" t="s">
        <v>1</v>
      </c>
      <c r="D113" s="22">
        <v>11</v>
      </c>
    </row>
    <row r="114" spans="1:4" ht="15" customHeight="1">
      <c r="A114" s="211" t="str">
        <f t="shared" ref="A114:A123" si="9">$R$2&amp;".FHSX"</f>
        <v>FB_AI_S.FHSX</v>
      </c>
      <c r="B114" s="212">
        <v>11154</v>
      </c>
      <c r="C114" s="212" t="s">
        <v>4</v>
      </c>
      <c r="D114" s="221">
        <f>$Q$7</f>
        <v>12</v>
      </c>
    </row>
    <row r="115" spans="1:4" ht="15" customHeight="1">
      <c r="A115" s="211" t="str">
        <f t="shared" si="9"/>
        <v>FB_AI_S.FHSX</v>
      </c>
      <c r="B115" s="212">
        <v>11152</v>
      </c>
      <c r="C115" s="212" t="s">
        <v>0</v>
      </c>
      <c r="D115" s="220" t="str">
        <f>$R$7</f>
        <v>Неисправность</v>
      </c>
    </row>
    <row r="116" spans="1:4" ht="15" customHeight="1">
      <c r="A116" s="211" t="str">
        <f t="shared" si="9"/>
        <v>FB_AI_S.FHSX</v>
      </c>
      <c r="B116" s="212">
        <v>11150</v>
      </c>
      <c r="C116" s="212" t="s">
        <v>0</v>
      </c>
      <c r="D116" s="213" t="s">
        <v>38</v>
      </c>
    </row>
    <row r="117" spans="1:4" ht="15" customHeight="1">
      <c r="A117" s="211" t="str">
        <f t="shared" si="9"/>
        <v>FB_AI_S.FHSX</v>
      </c>
      <c r="B117" s="212">
        <v>11000</v>
      </c>
      <c r="C117" s="212" t="s">
        <v>5</v>
      </c>
      <c r="D117" s="213">
        <v>2147483680</v>
      </c>
    </row>
    <row r="118" spans="1:4" ht="15" customHeight="1">
      <c r="A118" s="19" t="str">
        <f t="shared" si="9"/>
        <v>FB_AI_S.FHSX</v>
      </c>
      <c r="B118" s="11">
        <v>7999</v>
      </c>
      <c r="C118" s="11" t="s">
        <v>0</v>
      </c>
      <c r="D118" s="20" t="str">
        <f>"#"&amp;$S$2&amp;"#"&amp;$T$2&amp;"\"&amp;$P$2&amp;"\FHSX"</f>
        <v>#2#treiOPCDA.CoOPCserv.1\pcmaster\TT_VOS\FHSX</v>
      </c>
    </row>
    <row r="119" spans="1:4" ht="15" customHeight="1">
      <c r="A119" s="19" t="str">
        <f t="shared" si="9"/>
        <v>FB_AI_S.FHSX</v>
      </c>
      <c r="B119" s="11">
        <v>7998</v>
      </c>
      <c r="C119" s="11" t="s">
        <v>6</v>
      </c>
      <c r="D119" s="20">
        <v>1</v>
      </c>
    </row>
    <row r="120" spans="1:4" ht="15" customHeight="1">
      <c r="A120" s="19" t="str">
        <f t="shared" si="9"/>
        <v>FB_AI_S.FHSX</v>
      </c>
      <c r="B120" s="11">
        <v>101</v>
      </c>
      <c r="C120" s="11" t="s">
        <v>0</v>
      </c>
      <c r="D120" s="20" t="s">
        <v>38</v>
      </c>
    </row>
    <row r="121" spans="1:4" ht="15" customHeight="1">
      <c r="A121" s="19" t="str">
        <f t="shared" si="9"/>
        <v>FB_AI_S.FHSX</v>
      </c>
      <c r="B121" s="11">
        <v>3</v>
      </c>
      <c r="C121" s="11" t="s">
        <v>1</v>
      </c>
      <c r="D121" s="20">
        <v>192</v>
      </c>
    </row>
    <row r="122" spans="1:4" ht="15" customHeight="1">
      <c r="A122" s="19" t="str">
        <f t="shared" si="9"/>
        <v>FB_AI_S.FHSX</v>
      </c>
      <c r="B122" s="11">
        <v>2</v>
      </c>
      <c r="C122" s="11" t="s">
        <v>2</v>
      </c>
      <c r="D122" s="20" t="s">
        <v>3</v>
      </c>
    </row>
    <row r="123" spans="1:4" ht="15" customHeight="1">
      <c r="A123" s="21" t="str">
        <f t="shared" si="9"/>
        <v>FB_AI_S.FHSX</v>
      </c>
      <c r="B123" s="8">
        <v>1</v>
      </c>
      <c r="C123" s="8" t="s">
        <v>1</v>
      </c>
      <c r="D123" s="22">
        <v>11</v>
      </c>
    </row>
    <row r="124" spans="1:4" ht="15" customHeight="1">
      <c r="A124" s="211" t="str">
        <f t="shared" ref="A124:A133" si="10">$R$2&amp;".FLSX"</f>
        <v>FB_AI_S.FLSX</v>
      </c>
      <c r="B124" s="212">
        <v>11154</v>
      </c>
      <c r="C124" s="212" t="s">
        <v>4</v>
      </c>
      <c r="D124" s="221">
        <f>$Q$7</f>
        <v>12</v>
      </c>
    </row>
    <row r="125" spans="1:4" ht="15" customHeight="1">
      <c r="A125" s="211" t="str">
        <f t="shared" si="10"/>
        <v>FB_AI_S.FLSX</v>
      </c>
      <c r="B125" s="212">
        <v>11152</v>
      </c>
      <c r="C125" s="212" t="s">
        <v>0</v>
      </c>
      <c r="D125" s="220" t="str">
        <f>$R$7</f>
        <v>Неисправность</v>
      </c>
    </row>
    <row r="126" spans="1:4" ht="15" customHeight="1">
      <c r="A126" s="211" t="str">
        <f t="shared" si="10"/>
        <v>FB_AI_S.FLSX</v>
      </c>
      <c r="B126" s="212">
        <v>11150</v>
      </c>
      <c r="C126" s="212" t="s">
        <v>0</v>
      </c>
      <c r="D126" s="213" t="s">
        <v>39</v>
      </c>
    </row>
    <row r="127" spans="1:4" ht="15" customHeight="1">
      <c r="A127" s="211" t="str">
        <f t="shared" si="10"/>
        <v>FB_AI_S.FLSX</v>
      </c>
      <c r="B127" s="212">
        <v>11000</v>
      </c>
      <c r="C127" s="212" t="s">
        <v>5</v>
      </c>
      <c r="D127" s="213">
        <v>2147483680</v>
      </c>
    </row>
    <row r="128" spans="1:4" ht="15" customHeight="1">
      <c r="A128" s="19" t="str">
        <f t="shared" si="10"/>
        <v>FB_AI_S.FLSX</v>
      </c>
      <c r="B128" s="11">
        <v>7999</v>
      </c>
      <c r="C128" s="11" t="s">
        <v>0</v>
      </c>
      <c r="D128" s="20" t="str">
        <f>"#"&amp;$S$2&amp;"#"&amp;$T$2&amp;"\"&amp;$P$2&amp;"\FLSX"</f>
        <v>#2#treiOPCDA.CoOPCserv.1\pcmaster\TT_VOS\FLSX</v>
      </c>
    </row>
    <row r="129" spans="1:4" ht="15" customHeight="1">
      <c r="A129" s="19" t="str">
        <f t="shared" si="10"/>
        <v>FB_AI_S.FLSX</v>
      </c>
      <c r="B129" s="11">
        <v>7998</v>
      </c>
      <c r="C129" s="11" t="s">
        <v>6</v>
      </c>
      <c r="D129" s="20">
        <v>1</v>
      </c>
    </row>
    <row r="130" spans="1:4" ht="15" customHeight="1">
      <c r="A130" s="19" t="str">
        <f t="shared" si="10"/>
        <v>FB_AI_S.FLSX</v>
      </c>
      <c r="B130" s="11">
        <v>101</v>
      </c>
      <c r="C130" s="11" t="s">
        <v>0</v>
      </c>
      <c r="D130" s="20" t="s">
        <v>39</v>
      </c>
    </row>
    <row r="131" spans="1:4" ht="15" customHeight="1">
      <c r="A131" s="19" t="str">
        <f t="shared" si="10"/>
        <v>FB_AI_S.FLSX</v>
      </c>
      <c r="B131" s="11">
        <v>3</v>
      </c>
      <c r="C131" s="11" t="s">
        <v>1</v>
      </c>
      <c r="D131" s="20">
        <v>192</v>
      </c>
    </row>
    <row r="132" spans="1:4" ht="15" customHeight="1">
      <c r="A132" s="19" t="str">
        <f t="shared" si="10"/>
        <v>FB_AI_S.FLSX</v>
      </c>
      <c r="B132" s="11">
        <v>2</v>
      </c>
      <c r="C132" s="11" t="s">
        <v>2</v>
      </c>
      <c r="D132" s="20" t="s">
        <v>3</v>
      </c>
    </row>
    <row r="133" spans="1:4" ht="15" customHeight="1">
      <c r="A133" s="21" t="str">
        <f t="shared" si="10"/>
        <v>FB_AI_S.FLSX</v>
      </c>
      <c r="B133" s="8">
        <v>1</v>
      </c>
      <c r="C133" s="8" t="s">
        <v>1</v>
      </c>
      <c r="D133" s="22">
        <v>11</v>
      </c>
    </row>
    <row r="134" spans="1:4" ht="15" customHeight="1">
      <c r="A134" s="217" t="str">
        <f>$R$2&amp;".FSTX"</f>
        <v>FB_AI_S.FSTX</v>
      </c>
      <c r="B134" s="218">
        <v>11154</v>
      </c>
      <c r="C134" s="218" t="s">
        <v>4</v>
      </c>
      <c r="D134" s="219">
        <f>$Q$7</f>
        <v>12</v>
      </c>
    </row>
    <row r="135" spans="1:4" ht="15" customHeight="1">
      <c r="A135" s="211" t="str">
        <f t="shared" ref="A135:A142" si="11">$R$2&amp;".FSTX"</f>
        <v>FB_AI_S.FSTX</v>
      </c>
      <c r="B135" s="212">
        <v>11152</v>
      </c>
      <c r="C135" s="212" t="s">
        <v>0</v>
      </c>
      <c r="D135" s="220" t="str">
        <f>$R$7</f>
        <v>Неисправность</v>
      </c>
    </row>
    <row r="136" spans="1:4" ht="15" customHeight="1">
      <c r="A136" s="211" t="str">
        <f t="shared" si="11"/>
        <v>FB_AI_S.FSTX</v>
      </c>
      <c r="B136" s="212">
        <v>11150</v>
      </c>
      <c r="C136" s="212" t="s">
        <v>0</v>
      </c>
      <c r="D136" s="213" t="s">
        <v>680</v>
      </c>
    </row>
    <row r="137" spans="1:4" ht="15" customHeight="1">
      <c r="A137" s="211" t="str">
        <f t="shared" si="11"/>
        <v>FB_AI_S.FSTX</v>
      </c>
      <c r="B137" s="212">
        <v>11000</v>
      </c>
      <c r="C137" s="212" t="s">
        <v>5</v>
      </c>
      <c r="D137" s="213">
        <v>2147483680</v>
      </c>
    </row>
    <row r="138" spans="1:4" ht="15" customHeight="1">
      <c r="A138" s="19" t="str">
        <f t="shared" si="11"/>
        <v>FB_AI_S.FSTX</v>
      </c>
      <c r="B138" s="1">
        <v>3000000</v>
      </c>
      <c r="C138" s="1" t="s">
        <v>0</v>
      </c>
      <c r="D138" s="30" t="s">
        <v>815</v>
      </c>
    </row>
    <row r="139" spans="1:4" ht="15" customHeight="1">
      <c r="A139" s="19" t="str">
        <f t="shared" si="11"/>
        <v>FB_AI_S.FSTX</v>
      </c>
      <c r="B139" s="11">
        <v>101</v>
      </c>
      <c r="C139" s="11" t="s">
        <v>0</v>
      </c>
      <c r="D139" s="20" t="s">
        <v>680</v>
      </c>
    </row>
    <row r="140" spans="1:4" ht="15" customHeight="1">
      <c r="A140" s="19" t="str">
        <f t="shared" si="11"/>
        <v>FB_AI_S.FSTX</v>
      </c>
      <c r="B140" s="11">
        <v>3</v>
      </c>
      <c r="C140" s="11" t="s">
        <v>1</v>
      </c>
      <c r="D140" s="20">
        <v>192</v>
      </c>
    </row>
    <row r="141" spans="1:4" ht="15" customHeight="1">
      <c r="A141" s="19" t="str">
        <f t="shared" si="11"/>
        <v>FB_AI_S.FSTX</v>
      </c>
      <c r="B141" s="11">
        <v>2</v>
      </c>
      <c r="C141" s="11" t="s">
        <v>2</v>
      </c>
      <c r="D141" s="20" t="s">
        <v>3</v>
      </c>
    </row>
    <row r="142" spans="1:4" ht="15" customHeight="1">
      <c r="A142" s="21" t="str">
        <f t="shared" si="11"/>
        <v>FB_AI_S.FSTX</v>
      </c>
      <c r="B142" s="8">
        <v>1</v>
      </c>
      <c r="C142" s="8" t="s">
        <v>1</v>
      </c>
      <c r="D142" s="22">
        <v>11</v>
      </c>
    </row>
    <row r="143" spans="1:4" ht="15" customHeight="1">
      <c r="A143" s="110" t="str">
        <f>$R$2&amp;".DVXX"</f>
        <v>FB_AI_S.DVXX</v>
      </c>
      <c r="B143" s="123">
        <v>11154</v>
      </c>
      <c r="C143" s="123" t="s">
        <v>4</v>
      </c>
      <c r="D143" s="124">
        <f>$Q$9</f>
        <v>10</v>
      </c>
    </row>
    <row r="144" spans="1:4" ht="15" customHeight="1">
      <c r="A144" s="110" t="str">
        <f>$R$2&amp;".DVXX"</f>
        <v>FB_AI_S.DVXX</v>
      </c>
      <c r="B144" s="111">
        <v>11152</v>
      </c>
      <c r="C144" s="111" t="s">
        <v>0</v>
      </c>
      <c r="D144" s="113" t="str">
        <f>$R$9</f>
        <v>Недостоверность</v>
      </c>
    </row>
    <row r="145" spans="1:4" ht="15" customHeight="1">
      <c r="A145" s="110" t="str">
        <f>$R$2&amp;".DVXX"</f>
        <v>FB_AI_S.DVXX</v>
      </c>
      <c r="B145" s="111">
        <v>11150</v>
      </c>
      <c r="C145" s="111" t="s">
        <v>0</v>
      </c>
      <c r="D145" s="112" t="s">
        <v>83</v>
      </c>
    </row>
    <row r="146" spans="1:4" ht="15" customHeight="1">
      <c r="A146" s="110" t="str">
        <f>$R$2&amp;".DVXX"</f>
        <v>FB_AI_S.DVXX</v>
      </c>
      <c r="B146" s="111">
        <v>11000</v>
      </c>
      <c r="C146" s="111" t="s">
        <v>5</v>
      </c>
      <c r="D146" s="112">
        <v>2147483680</v>
      </c>
    </row>
    <row r="147" spans="1:4" ht="15" customHeight="1">
      <c r="A147" s="19" t="str">
        <f t="shared" ref="A147:A152" si="12">$R$2&amp;".DVXX"</f>
        <v>FB_AI_S.DVXX</v>
      </c>
      <c r="B147" s="11">
        <v>7999</v>
      </c>
      <c r="C147" s="11" t="s">
        <v>0</v>
      </c>
      <c r="D147" s="20" t="str">
        <f>"#"&amp;$S$2&amp;"#"&amp;$T$2&amp;"\"&amp;$P$2&amp;"\DVXX"</f>
        <v>#2#treiOPCDA.CoOPCserv.1\pcmaster\TT_VOS\DVXX</v>
      </c>
    </row>
    <row r="148" spans="1:4" ht="15" customHeight="1">
      <c r="A148" s="19" t="str">
        <f t="shared" si="12"/>
        <v>FB_AI_S.DVXX</v>
      </c>
      <c r="B148" s="11">
        <v>7998</v>
      </c>
      <c r="C148" s="11" t="s">
        <v>6</v>
      </c>
      <c r="D148" s="20">
        <v>1</v>
      </c>
    </row>
    <row r="149" spans="1:4" ht="15" customHeight="1">
      <c r="A149" s="19" t="str">
        <f t="shared" si="12"/>
        <v>FB_AI_S.DVXX</v>
      </c>
      <c r="B149" s="11">
        <v>101</v>
      </c>
      <c r="C149" s="11" t="s">
        <v>0</v>
      </c>
      <c r="D149" s="20" t="s">
        <v>83</v>
      </c>
    </row>
    <row r="150" spans="1:4" ht="15" customHeight="1">
      <c r="A150" s="19" t="str">
        <f t="shared" si="12"/>
        <v>FB_AI_S.DVXX</v>
      </c>
      <c r="B150" s="11">
        <v>3</v>
      </c>
      <c r="C150" s="11" t="s">
        <v>1</v>
      </c>
      <c r="D150" s="20">
        <v>192</v>
      </c>
    </row>
    <row r="151" spans="1:4" ht="15" customHeight="1">
      <c r="A151" s="19" t="str">
        <f t="shared" si="12"/>
        <v>FB_AI_S.DVXX</v>
      </c>
      <c r="B151" s="11">
        <v>2</v>
      </c>
      <c r="C151" s="11" t="s">
        <v>2</v>
      </c>
      <c r="D151" s="20" t="s">
        <v>3</v>
      </c>
    </row>
    <row r="152" spans="1:4" ht="15" customHeight="1">
      <c r="A152" s="19" t="str">
        <f t="shared" si="12"/>
        <v>FB_AI_S.DVXX</v>
      </c>
      <c r="B152" s="11">
        <v>1</v>
      </c>
      <c r="C152" s="11" t="s">
        <v>1</v>
      </c>
      <c r="D152" s="20">
        <v>11</v>
      </c>
    </row>
    <row r="153" spans="1:4" ht="15" customHeight="1">
      <c r="A153" s="130" t="str">
        <f t="shared" ref="A153:A164" si="13">$R$2&amp;".XRPX"</f>
        <v>FB_AI_S.XRPX</v>
      </c>
      <c r="B153" s="131">
        <v>11154</v>
      </c>
      <c r="C153" s="131" t="s">
        <v>4</v>
      </c>
      <c r="D153" s="132">
        <f>$Q$11</f>
        <v>14</v>
      </c>
    </row>
    <row r="154" spans="1:4" ht="15" customHeight="1">
      <c r="A154" s="133" t="str">
        <f t="shared" si="13"/>
        <v>FB_AI_S.XRPX</v>
      </c>
      <c r="B154" s="134">
        <v>11150</v>
      </c>
      <c r="C154" s="134" t="s">
        <v>0</v>
      </c>
      <c r="D154" s="135" t="s">
        <v>89</v>
      </c>
    </row>
    <row r="155" spans="1:4" ht="15" customHeight="1">
      <c r="A155" s="133" t="str">
        <f t="shared" si="13"/>
        <v>FB_AI_S.XRPX</v>
      </c>
      <c r="B155" s="134">
        <v>11152</v>
      </c>
      <c r="C155" s="134" t="s">
        <v>0</v>
      </c>
      <c r="D155" s="136" t="str">
        <f>$R$11</f>
        <v>Ремонт</v>
      </c>
    </row>
    <row r="156" spans="1:4" ht="15" customHeight="1">
      <c r="A156" s="133" t="str">
        <f t="shared" si="13"/>
        <v>FB_AI_S.XRPX</v>
      </c>
      <c r="B156" s="134">
        <v>11000</v>
      </c>
      <c r="C156" s="134" t="s">
        <v>5</v>
      </c>
      <c r="D156" s="135">
        <v>2147483680</v>
      </c>
    </row>
    <row r="157" spans="1:4" ht="15" customHeight="1">
      <c r="A157" s="19" t="str">
        <f t="shared" si="13"/>
        <v>FB_AI_S.XRPX</v>
      </c>
      <c r="B157" s="11">
        <v>7999</v>
      </c>
      <c r="C157" s="11" t="s">
        <v>0</v>
      </c>
      <c r="D157" s="20" t="str">
        <f>"#"&amp;$S$2&amp;"#"&amp;$T$2&amp;"\"&amp;$P$2&amp;"\XRPX"</f>
        <v>#2#treiOPCDA.CoOPCserv.1\pcmaster\TT_VOS\XRPX</v>
      </c>
    </row>
    <row r="158" spans="1:4" ht="15" customHeight="1">
      <c r="A158" s="19" t="str">
        <f t="shared" si="13"/>
        <v>FB_AI_S.XRPX</v>
      </c>
      <c r="B158" s="11">
        <v>7998</v>
      </c>
      <c r="C158" s="11" t="s">
        <v>6</v>
      </c>
      <c r="D158" s="20">
        <v>1</v>
      </c>
    </row>
    <row r="159" spans="1:4" ht="15" customHeight="1">
      <c r="A159" s="19" t="str">
        <f t="shared" si="13"/>
        <v>FB_AI_S.XRPX</v>
      </c>
      <c r="B159" s="11">
        <v>101</v>
      </c>
      <c r="C159" s="11" t="s">
        <v>0</v>
      </c>
      <c r="D159" s="20" t="s">
        <v>89</v>
      </c>
    </row>
    <row r="160" spans="1:4" ht="15" customHeight="1">
      <c r="A160" s="19" t="str">
        <f t="shared" si="13"/>
        <v>FB_AI_S.XRPX</v>
      </c>
      <c r="B160" s="11">
        <v>3</v>
      </c>
      <c r="C160" s="11" t="s">
        <v>1</v>
      </c>
      <c r="D160" s="20">
        <v>192</v>
      </c>
    </row>
    <row r="161" spans="1:4" ht="15" customHeight="1">
      <c r="A161" s="19" t="str">
        <f t="shared" si="13"/>
        <v>FB_AI_S.XRPX</v>
      </c>
      <c r="B161" s="11">
        <v>2</v>
      </c>
      <c r="C161" s="11" t="s">
        <v>2</v>
      </c>
      <c r="D161" s="20" t="s">
        <v>3</v>
      </c>
    </row>
    <row r="162" spans="1:4" ht="15" customHeight="1">
      <c r="A162" s="19" t="str">
        <f t="shared" si="13"/>
        <v>FB_AI_S.XRPX</v>
      </c>
      <c r="B162" s="11">
        <v>1</v>
      </c>
      <c r="C162" s="11" t="s">
        <v>1</v>
      </c>
      <c r="D162" s="20">
        <v>11</v>
      </c>
    </row>
    <row r="163" spans="1:4" ht="15" customHeight="1">
      <c r="A163" s="29" t="str">
        <f t="shared" si="13"/>
        <v>FB_AI_S.XRPX</v>
      </c>
      <c r="B163" s="1">
        <v>4000000</v>
      </c>
      <c r="C163" s="1" t="s">
        <v>0</v>
      </c>
      <c r="D163" s="415" t="s">
        <v>1478</v>
      </c>
    </row>
    <row r="164" spans="1:4" ht="15" customHeight="1">
      <c r="A164" s="26" t="str">
        <f t="shared" si="13"/>
        <v>FB_AI_S.XRPX</v>
      </c>
      <c r="B164" s="27">
        <v>7000000</v>
      </c>
      <c r="C164" s="27" t="s">
        <v>6</v>
      </c>
      <c r="D164" s="28">
        <v>2</v>
      </c>
    </row>
    <row r="165" spans="1:4" ht="15" customHeight="1">
      <c r="A165" s="105" t="str">
        <f t="shared" ref="A165:A174" si="14">$R$2&amp;".FZCX"</f>
        <v>FB_AI_S.FZCX</v>
      </c>
      <c r="B165" s="106">
        <v>11152</v>
      </c>
      <c r="C165" s="106" t="s">
        <v>0</v>
      </c>
      <c r="D165" s="109" t="str">
        <f>$R$8</f>
        <v>Телесигнализация</v>
      </c>
    </row>
    <row r="166" spans="1:4" ht="15" customHeight="1">
      <c r="A166" s="105" t="str">
        <f t="shared" si="14"/>
        <v>FB_AI_S.FZCX</v>
      </c>
      <c r="B166" s="106">
        <v>11154</v>
      </c>
      <c r="C166" s="106" t="s">
        <v>4</v>
      </c>
      <c r="D166" s="107">
        <f>$Q$8</f>
        <v>18</v>
      </c>
    </row>
    <row r="167" spans="1:4" ht="15" customHeight="1">
      <c r="A167" s="105" t="str">
        <f t="shared" si="14"/>
        <v>FB_AI_S.FZCX</v>
      </c>
      <c r="B167" s="106">
        <v>11150</v>
      </c>
      <c r="C167" s="106" t="s">
        <v>0</v>
      </c>
      <c r="D167" s="108" t="s">
        <v>82</v>
      </c>
    </row>
    <row r="168" spans="1:4" ht="15" customHeight="1">
      <c r="A168" s="105" t="str">
        <f t="shared" si="14"/>
        <v>FB_AI_S.FZCX</v>
      </c>
      <c r="B168" s="106">
        <v>11000</v>
      </c>
      <c r="C168" s="106" t="s">
        <v>5</v>
      </c>
      <c r="D168" s="108">
        <v>2147483680</v>
      </c>
    </row>
    <row r="169" spans="1:4" ht="15" customHeight="1">
      <c r="A169" s="19" t="str">
        <f t="shared" si="14"/>
        <v>FB_AI_S.FZCX</v>
      </c>
      <c r="B169" s="11">
        <v>7999</v>
      </c>
      <c r="C169" s="11" t="s">
        <v>0</v>
      </c>
      <c r="D169" s="20" t="str">
        <f>"#"&amp;$S$2&amp;"#"&amp;$T$2&amp;"\"&amp;$P$2&amp;"\FZCX"</f>
        <v>#2#treiOPCDA.CoOPCserv.1\pcmaster\TT_VOS\FZCX</v>
      </c>
    </row>
    <row r="170" spans="1:4" ht="15" customHeight="1">
      <c r="A170" s="19" t="str">
        <f t="shared" si="14"/>
        <v>FB_AI_S.FZCX</v>
      </c>
      <c r="B170" s="11">
        <v>7998</v>
      </c>
      <c r="C170" s="11" t="s">
        <v>6</v>
      </c>
      <c r="D170" s="20">
        <v>1</v>
      </c>
    </row>
    <row r="171" spans="1:4" ht="15" customHeight="1">
      <c r="A171" s="19" t="str">
        <f t="shared" si="14"/>
        <v>FB_AI_S.FZCX</v>
      </c>
      <c r="B171" s="11">
        <v>101</v>
      </c>
      <c r="C171" s="11" t="s">
        <v>0</v>
      </c>
      <c r="D171" s="20" t="s">
        <v>41</v>
      </c>
    </row>
    <row r="172" spans="1:4" ht="15" customHeight="1">
      <c r="A172" s="19" t="str">
        <f t="shared" si="14"/>
        <v>FB_AI_S.FZCX</v>
      </c>
      <c r="B172" s="11">
        <v>3</v>
      </c>
      <c r="C172" s="11" t="s">
        <v>1</v>
      </c>
      <c r="D172" s="20">
        <v>192</v>
      </c>
    </row>
    <row r="173" spans="1:4" ht="15" customHeight="1">
      <c r="A173" s="19" t="str">
        <f t="shared" si="14"/>
        <v>FB_AI_S.FZCX</v>
      </c>
      <c r="B173" s="11">
        <v>2</v>
      </c>
      <c r="C173" s="11" t="s">
        <v>2</v>
      </c>
      <c r="D173" s="20" t="s">
        <v>3</v>
      </c>
    </row>
    <row r="174" spans="1:4" ht="15" customHeight="1">
      <c r="A174" s="21" t="str">
        <f t="shared" si="14"/>
        <v>FB_AI_S.FZCX</v>
      </c>
      <c r="B174" s="8">
        <v>1</v>
      </c>
      <c r="C174" s="8" t="s">
        <v>1</v>
      </c>
      <c r="D174" s="22">
        <v>11</v>
      </c>
    </row>
    <row r="175" spans="1:4" ht="15" customHeight="1">
      <c r="A175" s="105" t="str">
        <f t="shared" ref="A175:A184" si="15">$R$2&amp;".BHAX"</f>
        <v>FB_AI_S.BHAX</v>
      </c>
      <c r="B175" s="106">
        <v>11154</v>
      </c>
      <c r="C175" s="106" t="s">
        <v>4</v>
      </c>
      <c r="D175" s="107">
        <f>$Q$8</f>
        <v>18</v>
      </c>
    </row>
    <row r="176" spans="1:4" s="4" customFormat="1" ht="15" customHeight="1">
      <c r="A176" s="105" t="str">
        <f t="shared" si="15"/>
        <v>FB_AI_S.BHAX</v>
      </c>
      <c r="B176" s="106">
        <v>11150</v>
      </c>
      <c r="C176" s="106" t="s">
        <v>0</v>
      </c>
      <c r="D176" s="108" t="s">
        <v>7</v>
      </c>
    </row>
    <row r="177" spans="1:22" ht="15" customHeight="1">
      <c r="A177" s="105" t="str">
        <f t="shared" si="15"/>
        <v>FB_AI_S.BHAX</v>
      </c>
      <c r="B177" s="106">
        <v>11152</v>
      </c>
      <c r="C177" s="106" t="s">
        <v>0</v>
      </c>
      <c r="D177" s="109" t="str">
        <f>$R$8</f>
        <v>Телесигнализация</v>
      </c>
    </row>
    <row r="178" spans="1:22" ht="15" customHeight="1">
      <c r="A178" s="105" t="str">
        <f t="shared" si="15"/>
        <v>FB_AI_S.BHAX</v>
      </c>
      <c r="B178" s="106">
        <v>11000</v>
      </c>
      <c r="C178" s="106" t="s">
        <v>5</v>
      </c>
      <c r="D178" s="108">
        <v>2147483680</v>
      </c>
      <c r="Q178" s="4"/>
      <c r="R178" s="4"/>
      <c r="S178" s="4"/>
      <c r="T178" s="4"/>
      <c r="U178" s="4"/>
      <c r="V178" s="4"/>
    </row>
    <row r="179" spans="1:22" ht="15" customHeight="1">
      <c r="A179" s="19" t="str">
        <f t="shared" si="15"/>
        <v>FB_AI_S.BHAX</v>
      </c>
      <c r="B179" s="11">
        <v>7999</v>
      </c>
      <c r="C179" s="11" t="s">
        <v>0</v>
      </c>
      <c r="D179" s="20" t="str">
        <f>"#"&amp;$S$2&amp;"#"&amp;$T$2&amp;"\"&amp;$P$2&amp;"\BHAX"</f>
        <v>#2#treiOPCDA.CoOPCserv.1\pcmaster\TT_VOS\BHAX</v>
      </c>
      <c r="Q179" s="4"/>
      <c r="R179" s="4"/>
      <c r="S179" s="4"/>
      <c r="T179" s="4"/>
      <c r="U179" s="4"/>
      <c r="V179" s="4"/>
    </row>
    <row r="180" spans="1:22" ht="15" customHeight="1">
      <c r="A180" s="19" t="str">
        <f t="shared" si="15"/>
        <v>FB_AI_S.BHAX</v>
      </c>
      <c r="B180" s="11">
        <v>7998</v>
      </c>
      <c r="C180" s="11" t="s">
        <v>6</v>
      </c>
      <c r="D180" s="20">
        <v>1</v>
      </c>
      <c r="Q180" s="4"/>
      <c r="R180" s="4"/>
      <c r="S180" s="4"/>
      <c r="T180" s="4"/>
      <c r="U180" s="4"/>
      <c r="V180" s="4"/>
    </row>
    <row r="181" spans="1:22" ht="15" customHeight="1">
      <c r="A181" s="19" t="str">
        <f t="shared" si="15"/>
        <v>FB_AI_S.BHAX</v>
      </c>
      <c r="B181" s="11">
        <v>101</v>
      </c>
      <c r="C181" s="11" t="s">
        <v>0</v>
      </c>
      <c r="D181" s="20" t="s">
        <v>7</v>
      </c>
      <c r="Q181" s="4"/>
      <c r="R181" s="4"/>
      <c r="S181" s="4"/>
      <c r="T181" s="4"/>
      <c r="U181" s="4"/>
      <c r="V181" s="4"/>
    </row>
    <row r="182" spans="1:22" ht="15" customHeight="1">
      <c r="A182" s="19" t="str">
        <f t="shared" si="15"/>
        <v>FB_AI_S.BHAX</v>
      </c>
      <c r="B182" s="11">
        <v>3</v>
      </c>
      <c r="C182" s="11" t="s">
        <v>1</v>
      </c>
      <c r="D182" s="20">
        <v>192</v>
      </c>
      <c r="Q182" s="4"/>
      <c r="R182" s="4"/>
      <c r="S182" s="4"/>
      <c r="T182" s="4"/>
      <c r="U182" s="4"/>
      <c r="V182" s="4"/>
    </row>
    <row r="183" spans="1:22" ht="15" customHeight="1">
      <c r="A183" s="19" t="str">
        <f t="shared" si="15"/>
        <v>FB_AI_S.BHAX</v>
      </c>
      <c r="B183" s="11">
        <v>2</v>
      </c>
      <c r="C183" s="11" t="s">
        <v>2</v>
      </c>
      <c r="D183" s="20" t="s">
        <v>3</v>
      </c>
      <c r="Q183" s="4"/>
      <c r="R183" s="4"/>
      <c r="S183" s="4"/>
      <c r="T183" s="4"/>
      <c r="U183" s="4"/>
      <c r="V183" s="4"/>
    </row>
    <row r="184" spans="1:22" ht="15" customHeight="1">
      <c r="A184" s="21" t="str">
        <f t="shared" si="15"/>
        <v>FB_AI_S.BHAX</v>
      </c>
      <c r="B184" s="8">
        <v>1</v>
      </c>
      <c r="C184" s="8" t="s">
        <v>1</v>
      </c>
      <c r="D184" s="22">
        <v>11</v>
      </c>
      <c r="Q184" s="4"/>
      <c r="R184" s="4"/>
      <c r="S184" s="4"/>
      <c r="T184" s="4"/>
      <c r="U184" s="4"/>
      <c r="V184" s="4"/>
    </row>
    <row r="185" spans="1:22" ht="15" customHeight="1">
      <c r="A185" s="105" t="str">
        <f t="shared" ref="A185:A194" si="16">$R$2&amp;".BHWX"</f>
        <v>FB_AI_S.BHWX</v>
      </c>
      <c r="B185" s="106">
        <v>11154</v>
      </c>
      <c r="C185" s="106" t="s">
        <v>4</v>
      </c>
      <c r="D185" s="107">
        <f>$Q$8</f>
        <v>18</v>
      </c>
      <c r="Q185" s="4"/>
      <c r="R185" s="4"/>
      <c r="S185" s="4"/>
      <c r="T185" s="4"/>
      <c r="U185" s="4"/>
      <c r="V185" s="4"/>
    </row>
    <row r="186" spans="1:22" ht="15" customHeight="1">
      <c r="A186" s="105" t="str">
        <f t="shared" si="16"/>
        <v>FB_AI_S.BHWX</v>
      </c>
      <c r="B186" s="106">
        <v>11150</v>
      </c>
      <c r="C186" s="106" t="s">
        <v>0</v>
      </c>
      <c r="D186" s="108" t="s">
        <v>8</v>
      </c>
      <c r="Q186" s="4"/>
      <c r="R186" s="4"/>
      <c r="S186" s="4"/>
      <c r="T186" s="4"/>
      <c r="U186" s="4"/>
      <c r="V186" s="4"/>
    </row>
    <row r="187" spans="1:22" ht="15" customHeight="1">
      <c r="A187" s="105" t="str">
        <f t="shared" si="16"/>
        <v>FB_AI_S.BHWX</v>
      </c>
      <c r="B187" s="106">
        <v>11152</v>
      </c>
      <c r="C187" s="106" t="s">
        <v>0</v>
      </c>
      <c r="D187" s="109" t="str">
        <f>$R$8</f>
        <v>Телесигнализация</v>
      </c>
      <c r="Q187" s="4"/>
      <c r="R187" s="4"/>
      <c r="S187" s="4"/>
      <c r="T187" s="4"/>
      <c r="U187" s="4"/>
      <c r="V187" s="4"/>
    </row>
    <row r="188" spans="1:22" s="4" customFormat="1" ht="15" customHeight="1">
      <c r="A188" s="105" t="str">
        <f t="shared" si="16"/>
        <v>FB_AI_S.BHWX</v>
      </c>
      <c r="B188" s="106">
        <v>11000</v>
      </c>
      <c r="C188" s="106" t="s">
        <v>5</v>
      </c>
      <c r="D188" s="108">
        <v>2147483680</v>
      </c>
    </row>
    <row r="189" spans="1:22" ht="15" customHeight="1">
      <c r="A189" s="19" t="str">
        <f t="shared" si="16"/>
        <v>FB_AI_S.BHWX</v>
      </c>
      <c r="B189" s="11">
        <v>7999</v>
      </c>
      <c r="C189" s="11" t="s">
        <v>0</v>
      </c>
      <c r="D189" s="20" t="str">
        <f>"#"&amp;$S$2&amp;"#"&amp;$T$2&amp;"\"&amp;$P$2&amp;"\BHWX"</f>
        <v>#2#treiOPCDA.CoOPCserv.1\pcmaster\TT_VOS\BHWX</v>
      </c>
      <c r="Q189" s="4"/>
      <c r="R189" s="4"/>
      <c r="S189" s="4"/>
      <c r="T189" s="4"/>
      <c r="U189" s="4"/>
      <c r="V189" s="4"/>
    </row>
    <row r="190" spans="1:22" ht="15" customHeight="1">
      <c r="A190" s="19" t="str">
        <f t="shared" si="16"/>
        <v>FB_AI_S.BHWX</v>
      </c>
      <c r="B190" s="11">
        <v>7998</v>
      </c>
      <c r="C190" s="11" t="s">
        <v>6</v>
      </c>
      <c r="D190" s="20">
        <v>1</v>
      </c>
      <c r="Q190" s="4"/>
      <c r="R190" s="4"/>
      <c r="S190" s="4"/>
      <c r="T190" s="4"/>
      <c r="U190" s="4"/>
      <c r="V190" s="4"/>
    </row>
    <row r="191" spans="1:22" ht="15" customHeight="1">
      <c r="A191" s="19" t="str">
        <f t="shared" si="16"/>
        <v>FB_AI_S.BHWX</v>
      </c>
      <c r="B191" s="11">
        <v>101</v>
      </c>
      <c r="C191" s="11" t="s">
        <v>0</v>
      </c>
      <c r="D191" s="20" t="s">
        <v>8</v>
      </c>
      <c r="Q191" s="4"/>
      <c r="R191" s="4"/>
      <c r="S191" s="4"/>
      <c r="T191" s="4"/>
      <c r="U191" s="4"/>
      <c r="V191" s="4"/>
    </row>
    <row r="192" spans="1:22" ht="15" customHeight="1">
      <c r="A192" s="19" t="str">
        <f t="shared" si="16"/>
        <v>FB_AI_S.BHWX</v>
      </c>
      <c r="B192" s="11">
        <v>3</v>
      </c>
      <c r="C192" s="11" t="s">
        <v>1</v>
      </c>
      <c r="D192" s="20">
        <v>192</v>
      </c>
      <c r="Q192" s="4"/>
      <c r="R192" s="4"/>
      <c r="S192" s="4"/>
      <c r="T192" s="4"/>
      <c r="U192" s="4"/>
      <c r="V192" s="4"/>
    </row>
    <row r="193" spans="1:22" ht="15" customHeight="1">
      <c r="A193" s="19" t="str">
        <f t="shared" si="16"/>
        <v>FB_AI_S.BHWX</v>
      </c>
      <c r="B193" s="11">
        <v>2</v>
      </c>
      <c r="C193" s="11" t="s">
        <v>2</v>
      </c>
      <c r="D193" s="20" t="s">
        <v>3</v>
      </c>
      <c r="Q193" s="4"/>
      <c r="R193" s="4"/>
      <c r="S193" s="4"/>
      <c r="T193" s="4"/>
      <c r="U193" s="4"/>
      <c r="V193" s="4"/>
    </row>
    <row r="194" spans="1:22" s="4" customFormat="1" ht="15" customHeight="1">
      <c r="A194" s="21" t="str">
        <f t="shared" si="16"/>
        <v>FB_AI_S.BHWX</v>
      </c>
      <c r="B194" s="8">
        <v>1</v>
      </c>
      <c r="C194" s="8" t="s">
        <v>1</v>
      </c>
      <c r="D194" s="22">
        <v>11</v>
      </c>
    </row>
    <row r="195" spans="1:22" ht="15" customHeight="1">
      <c r="A195" s="105" t="str">
        <f t="shared" ref="A195:A204" si="17">$R$2&amp;".BLAX"</f>
        <v>FB_AI_S.BLAX</v>
      </c>
      <c r="B195" s="106">
        <v>11154</v>
      </c>
      <c r="C195" s="106" t="s">
        <v>4</v>
      </c>
      <c r="D195" s="107">
        <f>$Q$8</f>
        <v>18</v>
      </c>
      <c r="Q195" s="4"/>
      <c r="R195" s="4"/>
      <c r="S195" s="4"/>
      <c r="T195" s="4"/>
      <c r="U195" s="4"/>
      <c r="V195" s="4"/>
    </row>
    <row r="196" spans="1:22" ht="15" customHeight="1">
      <c r="A196" s="105" t="str">
        <f t="shared" si="17"/>
        <v>FB_AI_S.BLAX</v>
      </c>
      <c r="B196" s="106">
        <v>11150</v>
      </c>
      <c r="C196" s="106" t="s">
        <v>0</v>
      </c>
      <c r="D196" s="108" t="s">
        <v>9</v>
      </c>
    </row>
    <row r="197" spans="1:22" ht="15" customHeight="1">
      <c r="A197" s="105" t="str">
        <f t="shared" si="17"/>
        <v>FB_AI_S.BLAX</v>
      </c>
      <c r="B197" s="106">
        <v>11152</v>
      </c>
      <c r="C197" s="106" t="s">
        <v>0</v>
      </c>
      <c r="D197" s="109" t="str">
        <f>$R$8</f>
        <v>Телесигнализация</v>
      </c>
    </row>
    <row r="198" spans="1:22" ht="15" customHeight="1">
      <c r="A198" s="105" t="str">
        <f t="shared" si="17"/>
        <v>FB_AI_S.BLAX</v>
      </c>
      <c r="B198" s="106">
        <v>11000</v>
      </c>
      <c r="C198" s="106" t="s">
        <v>5</v>
      </c>
      <c r="D198" s="108">
        <v>2147483680</v>
      </c>
    </row>
    <row r="199" spans="1:22" ht="15" customHeight="1">
      <c r="A199" s="19" t="str">
        <f t="shared" si="17"/>
        <v>FB_AI_S.BLAX</v>
      </c>
      <c r="B199" s="11">
        <v>7999</v>
      </c>
      <c r="C199" s="11" t="s">
        <v>0</v>
      </c>
      <c r="D199" s="20" t="str">
        <f>"#"&amp;$S$2&amp;"#"&amp;$T$2&amp;"\"&amp;$P$2&amp;"\BLAX"</f>
        <v>#2#treiOPCDA.CoOPCserv.1\pcmaster\TT_VOS\BLAX</v>
      </c>
    </row>
    <row r="200" spans="1:22" s="4" customFormat="1" ht="15" customHeight="1">
      <c r="A200" s="19" t="str">
        <f t="shared" si="17"/>
        <v>FB_AI_S.BLAX</v>
      </c>
      <c r="B200" s="11">
        <v>7998</v>
      </c>
      <c r="C200" s="11" t="s">
        <v>6</v>
      </c>
      <c r="D200" s="20">
        <v>1</v>
      </c>
    </row>
    <row r="201" spans="1:22" ht="15" customHeight="1">
      <c r="A201" s="19" t="str">
        <f t="shared" si="17"/>
        <v>FB_AI_S.BLAX</v>
      </c>
      <c r="B201" s="11">
        <v>101</v>
      </c>
      <c r="C201" s="11" t="s">
        <v>0</v>
      </c>
      <c r="D201" s="20" t="s">
        <v>9</v>
      </c>
    </row>
    <row r="202" spans="1:22" ht="15" customHeight="1">
      <c r="A202" s="19" t="str">
        <f t="shared" si="17"/>
        <v>FB_AI_S.BLAX</v>
      </c>
      <c r="B202" s="11">
        <v>3</v>
      </c>
      <c r="C202" s="11" t="s">
        <v>1</v>
      </c>
      <c r="D202" s="20">
        <v>192</v>
      </c>
    </row>
    <row r="203" spans="1:22" ht="15" customHeight="1">
      <c r="A203" s="19" t="str">
        <f t="shared" si="17"/>
        <v>FB_AI_S.BLAX</v>
      </c>
      <c r="B203" s="11">
        <v>2</v>
      </c>
      <c r="C203" s="11" t="s">
        <v>2</v>
      </c>
      <c r="D203" s="20" t="s">
        <v>3</v>
      </c>
    </row>
    <row r="204" spans="1:22" ht="15" customHeight="1">
      <c r="A204" s="21" t="str">
        <f t="shared" si="17"/>
        <v>FB_AI_S.BLAX</v>
      </c>
      <c r="B204" s="8">
        <v>1</v>
      </c>
      <c r="C204" s="8" t="s">
        <v>1</v>
      </c>
      <c r="D204" s="22">
        <v>11</v>
      </c>
    </row>
    <row r="205" spans="1:22" ht="15" customHeight="1">
      <c r="A205" s="105" t="str">
        <f t="shared" ref="A205:A214" si="18">$R$2&amp;".BLWX"</f>
        <v>FB_AI_S.BLWX</v>
      </c>
      <c r="B205" s="106">
        <v>11154</v>
      </c>
      <c r="C205" s="106" t="s">
        <v>4</v>
      </c>
      <c r="D205" s="107">
        <f>$Q$8</f>
        <v>18</v>
      </c>
    </row>
    <row r="206" spans="1:22" s="4" customFormat="1" ht="15" customHeight="1">
      <c r="A206" s="105" t="str">
        <f t="shared" si="18"/>
        <v>FB_AI_S.BLWX</v>
      </c>
      <c r="B206" s="106">
        <v>11150</v>
      </c>
      <c r="C206" s="106" t="s">
        <v>0</v>
      </c>
      <c r="D206" s="108" t="s">
        <v>10</v>
      </c>
    </row>
    <row r="207" spans="1:22" ht="15" customHeight="1">
      <c r="A207" s="105" t="str">
        <f t="shared" si="18"/>
        <v>FB_AI_S.BLWX</v>
      </c>
      <c r="B207" s="106">
        <v>11152</v>
      </c>
      <c r="C207" s="106" t="s">
        <v>0</v>
      </c>
      <c r="D207" s="109" t="str">
        <f>$R$8</f>
        <v>Телесигнализация</v>
      </c>
    </row>
    <row r="208" spans="1:22" ht="15" customHeight="1">
      <c r="A208" s="105" t="str">
        <f t="shared" si="18"/>
        <v>FB_AI_S.BLWX</v>
      </c>
      <c r="B208" s="106">
        <v>11000</v>
      </c>
      <c r="C208" s="106" t="s">
        <v>5</v>
      </c>
      <c r="D208" s="108">
        <v>2147483680</v>
      </c>
    </row>
    <row r="209" spans="1:4" ht="15" customHeight="1">
      <c r="A209" s="19" t="str">
        <f t="shared" si="18"/>
        <v>FB_AI_S.BLWX</v>
      </c>
      <c r="B209" s="11">
        <v>7999</v>
      </c>
      <c r="C209" s="11" t="s">
        <v>0</v>
      </c>
      <c r="D209" s="20" t="str">
        <f>"#"&amp;$S$2&amp;"#"&amp;$T$2&amp;"\"&amp;$P$2&amp;"\BLWX"</f>
        <v>#2#treiOPCDA.CoOPCserv.1\pcmaster\TT_VOS\BLWX</v>
      </c>
    </row>
    <row r="210" spans="1:4" ht="15" customHeight="1">
      <c r="A210" s="19" t="str">
        <f t="shared" si="18"/>
        <v>FB_AI_S.BLWX</v>
      </c>
      <c r="B210" s="11">
        <v>7998</v>
      </c>
      <c r="C210" s="11" t="s">
        <v>6</v>
      </c>
      <c r="D210" s="20">
        <v>1</v>
      </c>
    </row>
    <row r="211" spans="1:4" ht="15" customHeight="1">
      <c r="A211" s="19" t="str">
        <f t="shared" si="18"/>
        <v>FB_AI_S.BLWX</v>
      </c>
      <c r="B211" s="11">
        <v>101</v>
      </c>
      <c r="C211" s="11" t="s">
        <v>0</v>
      </c>
      <c r="D211" s="20" t="s">
        <v>10</v>
      </c>
    </row>
    <row r="212" spans="1:4" s="4" customFormat="1" ht="15" customHeight="1">
      <c r="A212" s="19" t="str">
        <f t="shared" si="18"/>
        <v>FB_AI_S.BLWX</v>
      </c>
      <c r="B212" s="11">
        <v>3</v>
      </c>
      <c r="C212" s="11" t="s">
        <v>1</v>
      </c>
      <c r="D212" s="20">
        <v>192</v>
      </c>
    </row>
    <row r="213" spans="1:4" ht="15" customHeight="1">
      <c r="A213" s="19" t="str">
        <f t="shared" si="18"/>
        <v>FB_AI_S.BLWX</v>
      </c>
      <c r="B213" s="11">
        <v>2</v>
      </c>
      <c r="C213" s="11" t="s">
        <v>2</v>
      </c>
      <c r="D213" s="20" t="s">
        <v>3</v>
      </c>
    </row>
    <row r="214" spans="1:4" ht="15" customHeight="1">
      <c r="A214" s="21" t="str">
        <f t="shared" si="18"/>
        <v>FB_AI_S.BLWX</v>
      </c>
      <c r="B214" s="8">
        <v>1</v>
      </c>
      <c r="C214" s="8" t="s">
        <v>1</v>
      </c>
      <c r="D214" s="22">
        <v>11</v>
      </c>
    </row>
    <row r="215" spans="1:4" ht="15" customHeight="1">
      <c r="A215" s="114" t="str">
        <f t="shared" ref="A215:A224" si="19">$R$2&amp;".CIMX"</f>
        <v>FB_AI_S.CIMX</v>
      </c>
      <c r="B215" s="115">
        <v>11154</v>
      </c>
      <c r="C215" s="115" t="s">
        <v>4</v>
      </c>
      <c r="D215" s="116">
        <f>$Q$10</f>
        <v>16</v>
      </c>
    </row>
    <row r="216" spans="1:4" ht="15" customHeight="1">
      <c r="A216" s="114" t="str">
        <f t="shared" si="19"/>
        <v>FB_AI_S.CIMX</v>
      </c>
      <c r="B216" s="115">
        <v>11150</v>
      </c>
      <c r="C216" s="115" t="s">
        <v>0</v>
      </c>
      <c r="D216" s="117" t="s">
        <v>81</v>
      </c>
    </row>
    <row r="217" spans="1:4" s="4" customFormat="1" ht="15" customHeight="1">
      <c r="A217" s="114" t="str">
        <f t="shared" si="19"/>
        <v>FB_AI_S.CIMX</v>
      </c>
      <c r="B217" s="115">
        <v>11152</v>
      </c>
      <c r="C217" s="115" t="s">
        <v>0</v>
      </c>
      <c r="D217" s="118" t="str">
        <f>$R$10</f>
        <v>Имитация</v>
      </c>
    </row>
    <row r="218" spans="1:4" ht="15" customHeight="1">
      <c r="A218" s="114" t="str">
        <f t="shared" si="19"/>
        <v>FB_AI_S.CIMX</v>
      </c>
      <c r="B218" s="115">
        <v>11000</v>
      </c>
      <c r="C218" s="115" t="s">
        <v>5</v>
      </c>
      <c r="D218" s="117">
        <v>2147483680</v>
      </c>
    </row>
    <row r="219" spans="1:4" ht="15" customHeight="1">
      <c r="A219" s="19" t="str">
        <f t="shared" si="19"/>
        <v>FB_AI_S.CIMX</v>
      </c>
      <c r="B219" s="11">
        <v>7999</v>
      </c>
      <c r="C219" s="11" t="s">
        <v>0</v>
      </c>
      <c r="D219" s="20" t="str">
        <f>"#"&amp;$S$2&amp;"#"&amp;$T$2&amp;"\"&amp;$P$2&amp;"\CIMX"</f>
        <v>#2#treiOPCDA.CoOPCserv.1\pcmaster\TT_VOS\CIMX</v>
      </c>
    </row>
    <row r="220" spans="1:4" ht="15" customHeight="1">
      <c r="A220" s="19" t="str">
        <f t="shared" si="19"/>
        <v>FB_AI_S.CIMX</v>
      </c>
      <c r="B220" s="11">
        <v>7998</v>
      </c>
      <c r="C220" s="11" t="s">
        <v>6</v>
      </c>
      <c r="D220" s="20">
        <v>1</v>
      </c>
    </row>
    <row r="221" spans="1:4" ht="15" customHeight="1">
      <c r="A221" s="19" t="str">
        <f t="shared" si="19"/>
        <v>FB_AI_S.CIMX</v>
      </c>
      <c r="B221" s="11">
        <v>101</v>
      </c>
      <c r="C221" s="11" t="s">
        <v>0</v>
      </c>
      <c r="D221" s="20" t="s">
        <v>1312</v>
      </c>
    </row>
    <row r="222" spans="1:4" s="4" customFormat="1" ht="15" customHeight="1">
      <c r="A222" s="19" t="str">
        <f t="shared" si="19"/>
        <v>FB_AI_S.CIMX</v>
      </c>
      <c r="B222" s="11">
        <v>3</v>
      </c>
      <c r="C222" s="11" t="s">
        <v>1</v>
      </c>
      <c r="D222" s="20">
        <v>192</v>
      </c>
    </row>
    <row r="223" spans="1:4" ht="15" customHeight="1">
      <c r="A223" s="19" t="str">
        <f t="shared" si="19"/>
        <v>FB_AI_S.CIMX</v>
      </c>
      <c r="B223" s="11">
        <v>2</v>
      </c>
      <c r="C223" s="11" t="s">
        <v>2</v>
      </c>
      <c r="D223" s="20" t="s">
        <v>3</v>
      </c>
    </row>
    <row r="224" spans="1:4" ht="15" customHeight="1">
      <c r="A224" s="19" t="str">
        <f t="shared" si="19"/>
        <v>FB_AI_S.CIMX</v>
      </c>
      <c r="B224" s="11">
        <v>1</v>
      </c>
      <c r="C224" s="11" t="s">
        <v>1</v>
      </c>
      <c r="D224" s="20">
        <v>11</v>
      </c>
    </row>
    <row r="225" spans="1:4" ht="15" customHeight="1">
      <c r="A225" s="16" t="str">
        <f>$R$2&amp;".Commands.CDAX"</f>
        <v>FB_AI_S.Commands.CDAX</v>
      </c>
      <c r="B225" s="17">
        <v>101</v>
      </c>
      <c r="C225" s="17" t="s">
        <v>0</v>
      </c>
      <c r="D225" s="18" t="s">
        <v>16</v>
      </c>
    </row>
    <row r="226" spans="1:4" ht="15" customHeight="1">
      <c r="A226" s="19" t="str">
        <f>$R$2&amp;".Commands.CDAX"</f>
        <v>FB_AI_S.Commands.CDAX</v>
      </c>
      <c r="B226" s="11">
        <v>7999</v>
      </c>
      <c r="C226" s="11" t="s">
        <v>0</v>
      </c>
      <c r="D226" s="20" t="str">
        <f>"#"&amp;$T$5&amp;"#"&amp;$T$2&amp;"\"&amp;$P$2&amp;"\CDAX"</f>
        <v>#1#treiOPCDA.CoOPCserv.1\pcmaster\TT_VOS\CDAX</v>
      </c>
    </row>
    <row r="227" spans="1:4" ht="15" customHeight="1">
      <c r="A227" s="19" t="str">
        <f>$R$2&amp;".Commands.CDAX"</f>
        <v>FB_AI_S.Commands.CDAX</v>
      </c>
      <c r="B227" s="11">
        <v>7998</v>
      </c>
      <c r="C227" s="11" t="s">
        <v>6</v>
      </c>
      <c r="D227" s="20">
        <v>2</v>
      </c>
    </row>
    <row r="228" spans="1:4" ht="15" customHeight="1">
      <c r="A228" s="21" t="str">
        <f>$R$2&amp;".Commands.CDAX"</f>
        <v>FB_AI_S.Commands.CDAX</v>
      </c>
      <c r="B228" s="8">
        <v>1</v>
      </c>
      <c r="C228" s="8" t="s">
        <v>1</v>
      </c>
      <c r="D228" s="22">
        <v>11</v>
      </c>
    </row>
    <row r="229" spans="1:4" ht="15" customHeight="1">
      <c r="A229" s="16" t="str">
        <f>$R$2&amp;".Commands.CHAX"</f>
        <v>FB_AI_S.Commands.CHAX</v>
      </c>
      <c r="B229" s="17">
        <v>101</v>
      </c>
      <c r="C229" s="17" t="s">
        <v>0</v>
      </c>
      <c r="D229" s="18" t="s">
        <v>17</v>
      </c>
    </row>
    <row r="230" spans="1:4" ht="15" customHeight="1">
      <c r="A230" s="19" t="str">
        <f>$R$2&amp;".Commands.CHAX"</f>
        <v>FB_AI_S.Commands.CHAX</v>
      </c>
      <c r="B230" s="11">
        <v>7999</v>
      </c>
      <c r="C230" s="11" t="s">
        <v>0</v>
      </c>
      <c r="D230" s="20" t="str">
        <f>"#"&amp;$T$5&amp;"#"&amp;$T$2&amp;"\"&amp;$P$2&amp;"\CHAX"</f>
        <v>#1#treiOPCDA.CoOPCserv.1\pcmaster\TT_VOS\CHAX</v>
      </c>
    </row>
    <row r="231" spans="1:4" ht="15" customHeight="1">
      <c r="A231" s="19" t="str">
        <f>$R$2&amp;".Commands.CHAX"</f>
        <v>FB_AI_S.Commands.CHAX</v>
      </c>
      <c r="B231" s="11">
        <v>7998</v>
      </c>
      <c r="C231" s="11" t="s">
        <v>6</v>
      </c>
      <c r="D231" s="20">
        <v>2</v>
      </c>
    </row>
    <row r="232" spans="1:4" ht="15" customHeight="1">
      <c r="A232" s="21" t="str">
        <f>$R$2&amp;".Commands.CHAX"</f>
        <v>FB_AI_S.Commands.CHAX</v>
      </c>
      <c r="B232" s="8">
        <v>1</v>
      </c>
      <c r="C232" s="8" t="s">
        <v>1</v>
      </c>
      <c r="D232" s="22">
        <v>11</v>
      </c>
    </row>
    <row r="233" spans="1:4" ht="15" customHeight="1">
      <c r="A233" s="19" t="str">
        <f>$R$2&amp;".Commands.CHWX"</f>
        <v>FB_AI_S.Commands.CHWX</v>
      </c>
      <c r="B233" s="11">
        <v>101</v>
      </c>
      <c r="C233" s="11" t="s">
        <v>0</v>
      </c>
      <c r="D233" s="20" t="s">
        <v>18</v>
      </c>
    </row>
    <row r="234" spans="1:4" ht="15" customHeight="1">
      <c r="A234" s="19" t="str">
        <f>$R$2&amp;".Commands.CHWX"</f>
        <v>FB_AI_S.Commands.CHWX</v>
      </c>
      <c r="B234" s="11">
        <v>7999</v>
      </c>
      <c r="C234" s="11" t="s">
        <v>0</v>
      </c>
      <c r="D234" s="20" t="str">
        <f>"#"&amp;$T$5&amp;"#"&amp;$T$2&amp;"\"&amp;$P$2&amp;"\CHWX"</f>
        <v>#1#treiOPCDA.CoOPCserv.1\pcmaster\TT_VOS\CHWX</v>
      </c>
    </row>
    <row r="235" spans="1:4" ht="15" customHeight="1">
      <c r="A235" s="19" t="str">
        <f>$R$2&amp;".Commands.CHWX"</f>
        <v>FB_AI_S.Commands.CHWX</v>
      </c>
      <c r="B235" s="11">
        <v>7998</v>
      </c>
      <c r="C235" s="11" t="s">
        <v>6</v>
      </c>
      <c r="D235" s="20">
        <v>2</v>
      </c>
    </row>
    <row r="236" spans="1:4" ht="15" customHeight="1">
      <c r="A236" s="21" t="str">
        <f>$R$2&amp;".Commands.CHWX"</f>
        <v>FB_AI_S.Commands.CHWX</v>
      </c>
      <c r="B236" s="8">
        <v>1</v>
      </c>
      <c r="C236" s="8" t="s">
        <v>1</v>
      </c>
      <c r="D236" s="22">
        <v>11</v>
      </c>
    </row>
    <row r="237" spans="1:4" s="4" customFormat="1" ht="15" customHeight="1">
      <c r="A237" s="19" t="str">
        <f>$R$2&amp;".Commands.CIMX"</f>
        <v>FB_AI_S.Commands.CIMX</v>
      </c>
      <c r="B237" s="11">
        <v>101</v>
      </c>
      <c r="C237" s="11" t="s">
        <v>0</v>
      </c>
      <c r="D237" s="20" t="s">
        <v>1314</v>
      </c>
    </row>
    <row r="238" spans="1:4" ht="15" customHeight="1">
      <c r="A238" s="19" t="str">
        <f>$R$2&amp;".Commands.CIMX"</f>
        <v>FB_AI_S.Commands.CIMX</v>
      </c>
      <c r="B238" s="11">
        <v>7999</v>
      </c>
      <c r="C238" s="11" t="s">
        <v>0</v>
      </c>
      <c r="D238" s="20" t="str">
        <f>"#"&amp;$T$5&amp;"#"&amp;$T$2&amp;"\"&amp;$P$2&amp;"\CIMX"</f>
        <v>#1#treiOPCDA.CoOPCserv.1\pcmaster\TT_VOS\CIMX</v>
      </c>
    </row>
    <row r="239" spans="1:4" ht="15" customHeight="1">
      <c r="A239" s="19" t="str">
        <f>$R$2&amp;".Commands.CIMX"</f>
        <v>FB_AI_S.Commands.CIMX</v>
      </c>
      <c r="B239" s="11">
        <v>7998</v>
      </c>
      <c r="C239" s="11" t="s">
        <v>6</v>
      </c>
      <c r="D239" s="20">
        <v>2</v>
      </c>
    </row>
    <row r="240" spans="1:4" s="4" customFormat="1" ht="15" customHeight="1">
      <c r="A240" s="21" t="str">
        <f>$R$2&amp;".Commands.CIMX"</f>
        <v>FB_AI_S.Commands.CIMX</v>
      </c>
      <c r="B240" s="8">
        <v>1</v>
      </c>
      <c r="C240" s="8" t="s">
        <v>1</v>
      </c>
      <c r="D240" s="22">
        <v>11</v>
      </c>
    </row>
    <row r="241" spans="1:4" ht="15" customHeight="1">
      <c r="A241" s="16" t="str">
        <f>$R$2&amp;".Commands.CLAX"</f>
        <v>FB_AI_S.Commands.CLAX</v>
      </c>
      <c r="B241" s="17">
        <v>101</v>
      </c>
      <c r="C241" s="17" t="s">
        <v>0</v>
      </c>
      <c r="D241" s="18" t="s">
        <v>20</v>
      </c>
    </row>
    <row r="242" spans="1:4" ht="15" customHeight="1">
      <c r="A242" s="19" t="str">
        <f>$R$2&amp;".Commands.CLAX"</f>
        <v>FB_AI_S.Commands.CLAX</v>
      </c>
      <c r="B242" s="11">
        <v>7999</v>
      </c>
      <c r="C242" s="11" t="s">
        <v>0</v>
      </c>
      <c r="D242" s="20" t="str">
        <f>"#"&amp;$T$5&amp;"#"&amp;$T$2&amp;"\"&amp;$P$2&amp;"\CLAX"</f>
        <v>#1#treiOPCDA.CoOPCserv.1\pcmaster\TT_VOS\CLAX</v>
      </c>
    </row>
    <row r="243" spans="1:4" ht="15" customHeight="1">
      <c r="A243" s="19" t="str">
        <f>$R$2&amp;".Commands.CLAX"</f>
        <v>FB_AI_S.Commands.CLAX</v>
      </c>
      <c r="B243" s="11">
        <v>7998</v>
      </c>
      <c r="C243" s="11" t="s">
        <v>6</v>
      </c>
      <c r="D243" s="20">
        <v>2</v>
      </c>
    </row>
    <row r="244" spans="1:4" s="4" customFormat="1" ht="15" customHeight="1">
      <c r="A244" s="21" t="str">
        <f>$R$2&amp;".Commands.CLAX"</f>
        <v>FB_AI_S.Commands.CLAX</v>
      </c>
      <c r="B244" s="8">
        <v>1</v>
      </c>
      <c r="C244" s="8" t="s">
        <v>1</v>
      </c>
      <c r="D244" s="22">
        <v>11</v>
      </c>
    </row>
    <row r="245" spans="1:4" ht="15" customHeight="1">
      <c r="A245" s="19" t="str">
        <f>$R$2&amp;".Commands.CLWX"</f>
        <v>FB_AI_S.Commands.CLWX</v>
      </c>
      <c r="B245" s="11">
        <v>101</v>
      </c>
      <c r="C245" s="11" t="s">
        <v>0</v>
      </c>
      <c r="D245" s="20" t="s">
        <v>21</v>
      </c>
    </row>
    <row r="246" spans="1:4" ht="15" customHeight="1">
      <c r="A246" s="19" t="str">
        <f>$R$2&amp;".Commands.CLWX"</f>
        <v>FB_AI_S.Commands.CLWX</v>
      </c>
      <c r="B246" s="11">
        <v>7999</v>
      </c>
      <c r="C246" s="11" t="s">
        <v>0</v>
      </c>
      <c r="D246" s="20" t="str">
        <f>"#"&amp;$T$5&amp;"#"&amp;$T$2&amp;"\"&amp;$P$2&amp;"\CLWX"</f>
        <v>#1#treiOPCDA.CoOPCserv.1\pcmaster\TT_VOS\CLWX</v>
      </c>
    </row>
    <row r="247" spans="1:4" ht="15" customHeight="1">
      <c r="A247" s="19" t="str">
        <f>$R$2&amp;".Commands.CLWX"</f>
        <v>FB_AI_S.Commands.CLWX</v>
      </c>
      <c r="B247" s="11">
        <v>7998</v>
      </c>
      <c r="C247" s="11" t="s">
        <v>6</v>
      </c>
      <c r="D247" s="20">
        <v>2</v>
      </c>
    </row>
    <row r="248" spans="1:4" s="4" customFormat="1" ht="15" customHeight="1">
      <c r="A248" s="21" t="str">
        <f>$R$2&amp;".Commands.CLWX"</f>
        <v>FB_AI_S.Commands.CLWX</v>
      </c>
      <c r="B248" s="8">
        <v>1</v>
      </c>
      <c r="C248" s="8" t="s">
        <v>1</v>
      </c>
      <c r="D248" s="22">
        <v>11</v>
      </c>
    </row>
    <row r="249" spans="1:4" ht="15" customHeight="1">
      <c r="A249" s="19" t="str">
        <f>$R$2&amp;".Commands.CRPX"</f>
        <v>FB_AI_S.Commands.CRPX</v>
      </c>
      <c r="B249" s="11">
        <v>101</v>
      </c>
      <c r="C249" s="11" t="s">
        <v>0</v>
      </c>
      <c r="D249" s="20" t="s">
        <v>90</v>
      </c>
    </row>
    <row r="250" spans="1:4" ht="15" customHeight="1">
      <c r="A250" s="19" t="str">
        <f>$R$2&amp;".Commands.CRPX"</f>
        <v>FB_AI_S.Commands.CRPX</v>
      </c>
      <c r="B250" s="11">
        <v>7999</v>
      </c>
      <c r="C250" s="11" t="s">
        <v>0</v>
      </c>
      <c r="D250" s="20" t="str">
        <f>"#"&amp;$T$5&amp;"#"&amp;$T$2&amp;"\"&amp;$P$2&amp;"\CRPX"</f>
        <v>#1#treiOPCDA.CoOPCserv.1\pcmaster\TT_VOS\CRPX</v>
      </c>
    </row>
    <row r="251" spans="1:4" ht="15" customHeight="1">
      <c r="A251" s="19" t="str">
        <f>$R$2&amp;".Commands.CRPX"</f>
        <v>FB_AI_S.Commands.CRPX</v>
      </c>
      <c r="B251" s="11">
        <v>7998</v>
      </c>
      <c r="C251" s="11" t="s">
        <v>6</v>
      </c>
      <c r="D251" s="20">
        <v>2</v>
      </c>
    </row>
    <row r="252" spans="1:4" s="4" customFormat="1" ht="15" customHeight="1">
      <c r="A252" s="19" t="str">
        <f>$R$2&amp;".Commands.CRPX"</f>
        <v>FB_AI_S.Commands.CRPX</v>
      </c>
      <c r="B252" s="11">
        <v>1</v>
      </c>
      <c r="C252" s="11" t="s">
        <v>1</v>
      </c>
      <c r="D252" s="20">
        <v>11</v>
      </c>
    </row>
    <row r="253" spans="1:4" ht="15" customHeight="1">
      <c r="A253" s="16" t="str">
        <f>$R$2&amp;".Commands.CZCX"</f>
        <v>FB_AI_S.Commands.CZCX</v>
      </c>
      <c r="B253" s="17">
        <v>101</v>
      </c>
      <c r="C253" s="17" t="s">
        <v>0</v>
      </c>
      <c r="D253" s="18" t="s">
        <v>22</v>
      </c>
    </row>
    <row r="254" spans="1:4" ht="15" customHeight="1">
      <c r="A254" s="19" t="str">
        <f>$R$2&amp;".Commands.CZCX"</f>
        <v>FB_AI_S.Commands.CZCX</v>
      </c>
      <c r="B254" s="11">
        <v>7999</v>
      </c>
      <c r="C254" s="11" t="s">
        <v>0</v>
      </c>
      <c r="D254" s="20" t="str">
        <f>"#"&amp;$T$5&amp;"#"&amp;$T$2&amp;"\"&amp;$P$2&amp;"\CZCX"</f>
        <v>#1#treiOPCDA.CoOPCserv.1\pcmaster\TT_VOS\CZCX</v>
      </c>
    </row>
    <row r="255" spans="1:4" ht="15" customHeight="1">
      <c r="A255" s="19" t="str">
        <f>$R$2&amp;".Commands.CZCX"</f>
        <v>FB_AI_S.Commands.CZCX</v>
      </c>
      <c r="B255" s="11">
        <v>7998</v>
      </c>
      <c r="C255" s="11" t="s">
        <v>6</v>
      </c>
      <c r="D255" s="20">
        <v>2</v>
      </c>
    </row>
    <row r="256" spans="1:4" s="4" customFormat="1" ht="15" customHeight="1">
      <c r="A256" s="21" t="str">
        <f>$R$2&amp;".Commands.CZCX"</f>
        <v>FB_AI_S.Commands.CZCX</v>
      </c>
      <c r="B256" s="8">
        <v>1</v>
      </c>
      <c r="C256" s="8" t="s">
        <v>1</v>
      </c>
      <c r="D256" s="22">
        <v>11</v>
      </c>
    </row>
    <row r="257" spans="1:4" ht="15" customHeight="1">
      <c r="A257" s="16" t="str">
        <f>$R$2&amp;".Commands.CRST"</f>
        <v>FB_AI_S.Commands.CRST</v>
      </c>
      <c r="B257" s="17">
        <v>101</v>
      </c>
      <c r="C257" s="17" t="s">
        <v>0</v>
      </c>
      <c r="D257" s="18" t="s">
        <v>114</v>
      </c>
    </row>
    <row r="258" spans="1:4" ht="15" customHeight="1">
      <c r="A258" s="19" t="str">
        <f>$R$2&amp;".Commands.CRST"</f>
        <v>FB_AI_S.Commands.CRST</v>
      </c>
      <c r="B258" s="11">
        <v>7999</v>
      </c>
      <c r="C258" s="11" t="s">
        <v>0</v>
      </c>
      <c r="D258" s="20" t="str">
        <f>"#"&amp;$T$5&amp;"#"&amp;$T$2&amp;"\"&amp;$P$2&amp;"\CRST"</f>
        <v>#1#treiOPCDA.CoOPCserv.1\pcmaster\TT_VOS\CRST</v>
      </c>
    </row>
    <row r="259" spans="1:4" ht="15" customHeight="1">
      <c r="A259" s="19" t="str">
        <f>$R$2&amp;".Commands.CRST"</f>
        <v>FB_AI_S.Commands.CRST</v>
      </c>
      <c r="B259" s="11">
        <v>7998</v>
      </c>
      <c r="C259" s="11" t="s">
        <v>6</v>
      </c>
      <c r="D259" s="20">
        <v>2</v>
      </c>
    </row>
    <row r="260" spans="1:4" s="4" customFormat="1" ht="15" customHeight="1">
      <c r="A260" s="21" t="str">
        <f>$R$2&amp;".Commands.CRST"</f>
        <v>FB_AI_S.Commands.CRST</v>
      </c>
      <c r="B260" s="8">
        <v>1</v>
      </c>
      <c r="C260" s="8" t="s">
        <v>1</v>
      </c>
      <c r="D260" s="22">
        <v>11</v>
      </c>
    </row>
    <row r="261" spans="1:4" ht="15" customHeight="1">
      <c r="A261" s="266" t="str">
        <f>$R$2&amp;".Commands.STSX"</f>
        <v>FB_AI_S.Commands.STSX</v>
      </c>
      <c r="B261" s="267">
        <v>101</v>
      </c>
      <c r="C261" s="267" t="s">
        <v>0</v>
      </c>
      <c r="D261" s="268" t="s">
        <v>34</v>
      </c>
    </row>
    <row r="262" spans="1:4" ht="15" customHeight="1">
      <c r="A262" s="269" t="str">
        <f>$R$2&amp;".Commands.STSX"</f>
        <v>FB_AI_S.Commands.STSX</v>
      </c>
      <c r="B262" s="270">
        <v>7999</v>
      </c>
      <c r="C262" s="270" t="s">
        <v>0</v>
      </c>
      <c r="D262" s="271" t="str">
        <f>"#"&amp;$T$5&amp;"#"&amp;$T$2&amp;"\"&amp;$P$2&amp;"\STSX"</f>
        <v>#1#treiOPCDA.CoOPCserv.1\pcmaster\TT_VOS\STSX</v>
      </c>
    </row>
    <row r="263" spans="1:4" ht="15" customHeight="1">
      <c r="A263" s="269" t="str">
        <f>$R$2&amp;".Commands.STSX"</f>
        <v>FB_AI_S.Commands.STSX</v>
      </c>
      <c r="B263" s="270">
        <v>7998</v>
      </c>
      <c r="C263" s="270" t="s">
        <v>6</v>
      </c>
      <c r="D263" s="271">
        <v>2</v>
      </c>
    </row>
    <row r="264" spans="1:4" s="4" customFormat="1" ht="15" customHeight="1">
      <c r="A264" s="272" t="str">
        <f>$R$2&amp;".Commands.STSX"</f>
        <v>FB_AI_S.Commands.STSX</v>
      </c>
      <c r="B264" s="273">
        <v>1</v>
      </c>
      <c r="C264" s="273" t="s">
        <v>1</v>
      </c>
      <c r="D264" s="274">
        <v>3</v>
      </c>
    </row>
    <row r="265" spans="1:4" ht="15" customHeight="1">
      <c r="A265" s="266" t="str">
        <f>$R$2&amp;".Commands.SFTX"</f>
        <v>FB_AI_S.Commands.SFTX</v>
      </c>
      <c r="B265" s="267">
        <v>101</v>
      </c>
      <c r="C265" s="267" t="s">
        <v>0</v>
      </c>
      <c r="D265" s="268" t="s">
        <v>25</v>
      </c>
    </row>
    <row r="266" spans="1:4" ht="15" customHeight="1">
      <c r="A266" s="269" t="str">
        <f>$R$2&amp;".Commands.SFTX"</f>
        <v>FB_AI_S.Commands.SFTX</v>
      </c>
      <c r="B266" s="270">
        <v>7999</v>
      </c>
      <c r="C266" s="270" t="s">
        <v>0</v>
      </c>
      <c r="D266" s="271" t="str">
        <f>"#"&amp;$T$5&amp;"#"&amp;$T$2&amp;"\"&amp;$P$2&amp;"\SFTX"</f>
        <v>#1#treiOPCDA.CoOPCserv.1\pcmaster\TT_VOS\SFTX</v>
      </c>
    </row>
    <row r="267" spans="1:4" ht="15" customHeight="1">
      <c r="A267" s="269" t="str">
        <f>$R$2&amp;".Commands.SFTX"</f>
        <v>FB_AI_S.Commands.SFTX</v>
      </c>
      <c r="B267" s="270">
        <v>7998</v>
      </c>
      <c r="C267" s="270" t="s">
        <v>6</v>
      </c>
      <c r="D267" s="271">
        <v>2</v>
      </c>
    </row>
    <row r="268" spans="1:4" s="4" customFormat="1" ht="15" customHeight="1">
      <c r="A268" s="272" t="str">
        <f>$R$2&amp;".Commands.SFTX"</f>
        <v>FB_AI_S.Commands.SFTX</v>
      </c>
      <c r="B268" s="273">
        <v>1</v>
      </c>
      <c r="C268" s="273" t="s">
        <v>1</v>
      </c>
      <c r="D268" s="274">
        <v>3</v>
      </c>
    </row>
    <row r="269" spans="1:4" ht="15" customHeight="1">
      <c r="A269" s="275" t="str">
        <f>$R$2&amp;".Commands.SHVX"</f>
        <v>FB_AI_S.Commands.SHVX</v>
      </c>
      <c r="B269" s="276">
        <v>101</v>
      </c>
      <c r="C269" s="276" t="s">
        <v>0</v>
      </c>
      <c r="D269" s="277" t="s">
        <v>44</v>
      </c>
    </row>
    <row r="270" spans="1:4" ht="15" customHeight="1">
      <c r="A270" s="278" t="str">
        <f>$R$2&amp;".Commands.SHVX"</f>
        <v>FB_AI_S.Commands.SHVX</v>
      </c>
      <c r="B270" s="279">
        <v>7999</v>
      </c>
      <c r="C270" s="279" t="s">
        <v>0</v>
      </c>
      <c r="D270" s="280" t="str">
        <f>"#"&amp;$T$5&amp;"#"&amp;$T$2&amp;"\"&amp;$P$2&amp;"\SHVX"</f>
        <v>#1#treiOPCDA.CoOPCserv.1\pcmaster\TT_VOS\SHVX</v>
      </c>
    </row>
    <row r="271" spans="1:4" ht="15" customHeight="1">
      <c r="A271" s="278" t="str">
        <f>$R$2&amp;".Commands.SHVX"</f>
        <v>FB_AI_S.Commands.SHVX</v>
      </c>
      <c r="B271" s="279">
        <v>7998</v>
      </c>
      <c r="C271" s="279" t="s">
        <v>6</v>
      </c>
      <c r="D271" s="280">
        <v>2</v>
      </c>
    </row>
    <row r="272" spans="1:4" s="4" customFormat="1" ht="15" customHeight="1">
      <c r="A272" s="281" t="str">
        <f>$R$2&amp;".Commands.SHVX"</f>
        <v>FB_AI_S.Commands.SHVX</v>
      </c>
      <c r="B272" s="282">
        <v>1</v>
      </c>
      <c r="C272" s="282" t="s">
        <v>1</v>
      </c>
      <c r="D272" s="283">
        <v>4</v>
      </c>
    </row>
    <row r="273" spans="1:4" ht="15" customHeight="1">
      <c r="A273" s="275" t="str">
        <f>$R$2&amp;".Commands.SLVX"</f>
        <v>FB_AI_S.Commands.SLVX</v>
      </c>
      <c r="B273" s="276">
        <v>101</v>
      </c>
      <c r="C273" s="276" t="s">
        <v>0</v>
      </c>
      <c r="D273" s="277" t="s">
        <v>45</v>
      </c>
    </row>
    <row r="274" spans="1:4" ht="15" customHeight="1">
      <c r="A274" s="278" t="str">
        <f>$R$2&amp;".Commands.SLVX"</f>
        <v>FB_AI_S.Commands.SLVX</v>
      </c>
      <c r="B274" s="279">
        <v>7999</v>
      </c>
      <c r="C274" s="279" t="s">
        <v>0</v>
      </c>
      <c r="D274" s="280" t="str">
        <f>"#"&amp;$T$5&amp;"#"&amp;$T$2&amp;"\"&amp;$P$2&amp;"\SLVX"</f>
        <v>#1#treiOPCDA.CoOPCserv.1\pcmaster\TT_VOS\SLVX</v>
      </c>
    </row>
    <row r="275" spans="1:4" ht="15" customHeight="1">
      <c r="A275" s="278" t="str">
        <f>$R$2&amp;".Commands.SLVX"</f>
        <v>FB_AI_S.Commands.SLVX</v>
      </c>
      <c r="B275" s="279">
        <v>7998</v>
      </c>
      <c r="C275" s="279" t="s">
        <v>6</v>
      </c>
      <c r="D275" s="280">
        <v>2</v>
      </c>
    </row>
    <row r="276" spans="1:4" ht="15" customHeight="1">
      <c r="A276" s="281" t="str">
        <f>$R$2&amp;".Commands.SLVX"</f>
        <v>FB_AI_S.Commands.SLVX</v>
      </c>
      <c r="B276" s="282">
        <v>1</v>
      </c>
      <c r="C276" s="282" t="s">
        <v>1</v>
      </c>
      <c r="D276" s="283">
        <v>4</v>
      </c>
    </row>
    <row r="277" spans="1:4" ht="15" customHeight="1">
      <c r="A277" s="278" t="str">
        <f>$R$2&amp;".Commands.SDBX"</f>
        <v>FB_AI_S.Commands.SDBX</v>
      </c>
      <c r="B277" s="279">
        <v>101</v>
      </c>
      <c r="C277" s="279" t="s">
        <v>0</v>
      </c>
      <c r="D277" s="280" t="s">
        <v>23</v>
      </c>
    </row>
    <row r="278" spans="1:4" ht="15" customHeight="1">
      <c r="A278" s="278" t="str">
        <f>$R$2&amp;".Commands.SDBX"</f>
        <v>FB_AI_S.Commands.SDBX</v>
      </c>
      <c r="B278" s="279">
        <v>7999</v>
      </c>
      <c r="C278" s="279" t="s">
        <v>0</v>
      </c>
      <c r="D278" s="280" t="str">
        <f>"#"&amp;$T$5&amp;"#"&amp;$T$2&amp;"\"&amp;$P$2&amp;"\SDBX"</f>
        <v>#1#treiOPCDA.CoOPCserv.1\pcmaster\TT_VOS\SDBX</v>
      </c>
    </row>
    <row r="279" spans="1:4" ht="15" customHeight="1">
      <c r="A279" s="278" t="str">
        <f>$R$2&amp;".Commands.SDBX"</f>
        <v>FB_AI_S.Commands.SDBX</v>
      </c>
      <c r="B279" s="279">
        <v>7998</v>
      </c>
      <c r="C279" s="279" t="s">
        <v>6</v>
      </c>
      <c r="D279" s="280">
        <v>2</v>
      </c>
    </row>
    <row r="280" spans="1:4" ht="15" customHeight="1">
      <c r="A280" s="278" t="str">
        <f>$R$2&amp;".Commands.SDBX"</f>
        <v>FB_AI_S.Commands.SDBX</v>
      </c>
      <c r="B280" s="279">
        <v>1</v>
      </c>
      <c r="C280" s="279" t="s">
        <v>1</v>
      </c>
      <c r="D280" s="280">
        <v>4</v>
      </c>
    </row>
    <row r="281" spans="1:4" ht="15" customHeight="1">
      <c r="A281" s="278" t="str">
        <f>$R$2&amp;".Commands.SDLX"</f>
        <v>FB_AI_S.Commands.SDLX</v>
      </c>
      <c r="B281" s="279">
        <v>101</v>
      </c>
      <c r="C281" s="279" t="s">
        <v>0</v>
      </c>
      <c r="D281" s="280" t="s">
        <v>24</v>
      </c>
    </row>
    <row r="282" spans="1:4" ht="15" customHeight="1">
      <c r="A282" s="278" t="str">
        <f>$R$2&amp;".Commands.SDLX"</f>
        <v>FB_AI_S.Commands.SDLX</v>
      </c>
      <c r="B282" s="279">
        <v>7999</v>
      </c>
      <c r="C282" s="279" t="s">
        <v>0</v>
      </c>
      <c r="D282" s="280" t="str">
        <f>"#"&amp;$T$5&amp;"#"&amp;$T$2&amp;"\"&amp;$P$2&amp;"\SDLX"</f>
        <v>#1#treiOPCDA.CoOPCserv.1\pcmaster\TT_VOS\SDLX</v>
      </c>
    </row>
    <row r="283" spans="1:4" ht="15" customHeight="1">
      <c r="A283" s="278" t="str">
        <f>$R$2&amp;".Commands.SDLX"</f>
        <v>FB_AI_S.Commands.SDLX</v>
      </c>
      <c r="B283" s="279">
        <v>7998</v>
      </c>
      <c r="C283" s="279" t="s">
        <v>6</v>
      </c>
      <c r="D283" s="280">
        <v>2</v>
      </c>
    </row>
    <row r="284" spans="1:4" ht="15" customHeight="1">
      <c r="A284" s="281" t="str">
        <f>$R$2&amp;".Commands.SDLX"</f>
        <v>FB_AI_S.Commands.SDLX</v>
      </c>
      <c r="B284" s="282">
        <v>1</v>
      </c>
      <c r="C284" s="282" t="s">
        <v>1</v>
      </c>
      <c r="D284" s="283">
        <v>4</v>
      </c>
    </row>
    <row r="285" spans="1:4" ht="15" customHeight="1">
      <c r="A285" s="278" t="str">
        <f>$R$2&amp;".Commands.SHAX"</f>
        <v>FB_AI_S.Commands.SHAX</v>
      </c>
      <c r="B285" s="279">
        <v>101</v>
      </c>
      <c r="C285" s="279" t="s">
        <v>0</v>
      </c>
      <c r="D285" s="280" t="s">
        <v>26</v>
      </c>
    </row>
    <row r="286" spans="1:4" ht="15" customHeight="1">
      <c r="A286" s="278" t="str">
        <f>$R$2&amp;".Commands.SHAX"</f>
        <v>FB_AI_S.Commands.SHAX</v>
      </c>
      <c r="B286" s="279">
        <v>7999</v>
      </c>
      <c r="C286" s="279" t="s">
        <v>0</v>
      </c>
      <c r="D286" s="280" t="str">
        <f>"#"&amp;$T$5&amp;"#"&amp;$T$2&amp;"\"&amp;$P$2&amp;"\SHAX"</f>
        <v>#1#treiOPCDA.CoOPCserv.1\pcmaster\TT_VOS\SHAX</v>
      </c>
    </row>
    <row r="287" spans="1:4" ht="15" customHeight="1">
      <c r="A287" s="278" t="str">
        <f>$R$2&amp;".Commands.SHAX"</f>
        <v>FB_AI_S.Commands.SHAX</v>
      </c>
      <c r="B287" s="279">
        <v>7998</v>
      </c>
      <c r="C287" s="279" t="s">
        <v>6</v>
      </c>
      <c r="D287" s="280">
        <v>2</v>
      </c>
    </row>
    <row r="288" spans="1:4" ht="15" customHeight="1">
      <c r="A288" s="281" t="str">
        <f>$R$2&amp;".Commands.SHAX"</f>
        <v>FB_AI_S.Commands.SHAX</v>
      </c>
      <c r="B288" s="282">
        <v>1</v>
      </c>
      <c r="C288" s="282" t="s">
        <v>1</v>
      </c>
      <c r="D288" s="283">
        <v>4</v>
      </c>
    </row>
    <row r="289" spans="1:4" ht="15" customHeight="1">
      <c r="A289" s="278" t="str">
        <f>$R$2&amp;".Commands.SHSX"</f>
        <v>FB_AI_S.Commands.SHSX</v>
      </c>
      <c r="B289" s="279">
        <v>101</v>
      </c>
      <c r="C289" s="279" t="s">
        <v>0</v>
      </c>
      <c r="D289" s="280" t="s">
        <v>27</v>
      </c>
    </row>
    <row r="290" spans="1:4" ht="15" customHeight="1">
      <c r="A290" s="278" t="str">
        <f>$R$2&amp;".Commands.SHSX"</f>
        <v>FB_AI_S.Commands.SHSX</v>
      </c>
      <c r="B290" s="279">
        <v>7999</v>
      </c>
      <c r="C290" s="279" t="s">
        <v>0</v>
      </c>
      <c r="D290" s="280" t="str">
        <f>"#"&amp;$T$5&amp;"#"&amp;$T$2&amp;"\"&amp;$P$2&amp;"\SHSX"</f>
        <v>#1#treiOPCDA.CoOPCserv.1\pcmaster\TT_VOS\SHSX</v>
      </c>
    </row>
    <row r="291" spans="1:4" ht="15" customHeight="1">
      <c r="A291" s="278" t="str">
        <f>$R$2&amp;".Commands.SHSX"</f>
        <v>FB_AI_S.Commands.SHSX</v>
      </c>
      <c r="B291" s="279">
        <v>7998</v>
      </c>
      <c r="C291" s="279" t="s">
        <v>6</v>
      </c>
      <c r="D291" s="280">
        <v>2</v>
      </c>
    </row>
    <row r="292" spans="1:4" ht="15" customHeight="1">
      <c r="A292" s="281" t="str">
        <f>$R$2&amp;".Commands.SHSX"</f>
        <v>FB_AI_S.Commands.SHSX</v>
      </c>
      <c r="B292" s="282">
        <v>1</v>
      </c>
      <c r="C292" s="282" t="s">
        <v>1</v>
      </c>
      <c r="D292" s="283">
        <v>4</v>
      </c>
    </row>
    <row r="293" spans="1:4" ht="15" customHeight="1">
      <c r="A293" s="278" t="str">
        <f>$R$2&amp;".Commands.SHWX"</f>
        <v>FB_AI_S.Commands.SHWX</v>
      </c>
      <c r="B293" s="279">
        <v>101</v>
      </c>
      <c r="C293" s="279" t="s">
        <v>0</v>
      </c>
      <c r="D293" s="280" t="s">
        <v>28</v>
      </c>
    </row>
    <row r="294" spans="1:4" ht="15" customHeight="1">
      <c r="A294" s="278" t="str">
        <f>$R$2&amp;".Commands.SHWX"</f>
        <v>FB_AI_S.Commands.SHWX</v>
      </c>
      <c r="B294" s="279">
        <v>7999</v>
      </c>
      <c r="C294" s="279" t="s">
        <v>0</v>
      </c>
      <c r="D294" s="280" t="str">
        <f>"#"&amp;$T$5&amp;"#"&amp;$T$2&amp;"\"&amp;$P$2&amp;"\SHWX"</f>
        <v>#1#treiOPCDA.CoOPCserv.1\pcmaster\TT_VOS\SHWX</v>
      </c>
    </row>
    <row r="295" spans="1:4" ht="15" customHeight="1">
      <c r="A295" s="278" t="str">
        <f>$R$2&amp;".Commands.SHWX"</f>
        <v>FB_AI_S.Commands.SHWX</v>
      </c>
      <c r="B295" s="279">
        <v>7998</v>
      </c>
      <c r="C295" s="279" t="s">
        <v>6</v>
      </c>
      <c r="D295" s="280">
        <v>2</v>
      </c>
    </row>
    <row r="296" spans="1:4" ht="15" customHeight="1">
      <c r="A296" s="281" t="str">
        <f>$R$2&amp;".Commands.SHWX"</f>
        <v>FB_AI_S.Commands.SHWX</v>
      </c>
      <c r="B296" s="282">
        <v>1</v>
      </c>
      <c r="C296" s="282" t="s">
        <v>1</v>
      </c>
      <c r="D296" s="283">
        <v>4</v>
      </c>
    </row>
    <row r="297" spans="1:4" ht="15" customHeight="1">
      <c r="A297" s="278" t="str">
        <f>$R$2&amp;".Commands.SIMX"</f>
        <v>FB_AI_S.Commands.SIMX</v>
      </c>
      <c r="B297" s="279">
        <v>101</v>
      </c>
      <c r="C297" s="279" t="s">
        <v>0</v>
      </c>
      <c r="D297" s="280" t="s">
        <v>1313</v>
      </c>
    </row>
    <row r="298" spans="1:4" ht="15" customHeight="1">
      <c r="A298" s="278" t="str">
        <f>$R$2&amp;".Commands.SIMX"</f>
        <v>FB_AI_S.Commands.SIMX</v>
      </c>
      <c r="B298" s="279">
        <v>7999</v>
      </c>
      <c r="C298" s="279" t="s">
        <v>0</v>
      </c>
      <c r="D298" s="280" t="str">
        <f>"#"&amp;$T$5&amp;"#"&amp;$T$2&amp;"\"&amp;$P$2&amp;"\SIMX"</f>
        <v>#1#treiOPCDA.CoOPCserv.1\pcmaster\TT_VOS\SIMX</v>
      </c>
    </row>
    <row r="299" spans="1:4" ht="15" customHeight="1">
      <c r="A299" s="278" t="str">
        <f>$R$2&amp;".Commands.SIMX"</f>
        <v>FB_AI_S.Commands.SIMX</v>
      </c>
      <c r="B299" s="279">
        <v>7998</v>
      </c>
      <c r="C299" s="279" t="s">
        <v>6</v>
      </c>
      <c r="D299" s="280">
        <v>2</v>
      </c>
    </row>
    <row r="300" spans="1:4" ht="15" customHeight="1">
      <c r="A300" s="281" t="str">
        <f>$R$2&amp;".Commands.SIMX"</f>
        <v>FB_AI_S.Commands.SIMX</v>
      </c>
      <c r="B300" s="282">
        <v>1</v>
      </c>
      <c r="C300" s="282" t="s">
        <v>1</v>
      </c>
      <c r="D300" s="283">
        <v>4</v>
      </c>
    </row>
    <row r="301" spans="1:4" ht="15" customHeight="1">
      <c r="A301" s="278" t="str">
        <f>$R$2&amp;".Commands.SLAX"</f>
        <v>FB_AI_S.Commands.SLAX</v>
      </c>
      <c r="B301" s="279">
        <v>101</v>
      </c>
      <c r="C301" s="279" t="s">
        <v>0</v>
      </c>
      <c r="D301" s="280" t="s">
        <v>30</v>
      </c>
    </row>
    <row r="302" spans="1:4" ht="15" customHeight="1">
      <c r="A302" s="278" t="str">
        <f>$R$2&amp;".Commands.SLAX"</f>
        <v>FB_AI_S.Commands.SLAX</v>
      </c>
      <c r="B302" s="279">
        <v>7999</v>
      </c>
      <c r="C302" s="279" t="s">
        <v>0</v>
      </c>
      <c r="D302" s="280" t="str">
        <f>"#"&amp;$T$5&amp;"#"&amp;$T$2&amp;"\"&amp;$P$2&amp;"\SLAX"</f>
        <v>#1#treiOPCDA.CoOPCserv.1\pcmaster\TT_VOS\SLAX</v>
      </c>
    </row>
    <row r="303" spans="1:4" ht="15" customHeight="1">
      <c r="A303" s="278" t="str">
        <f>$R$2&amp;".Commands.SLAX"</f>
        <v>FB_AI_S.Commands.SLAX</v>
      </c>
      <c r="B303" s="279">
        <v>7998</v>
      </c>
      <c r="C303" s="279" t="s">
        <v>6</v>
      </c>
      <c r="D303" s="280">
        <v>2</v>
      </c>
    </row>
    <row r="304" spans="1:4" ht="15" customHeight="1">
      <c r="A304" s="281" t="str">
        <f>$R$2&amp;".Commands.SLAX"</f>
        <v>FB_AI_S.Commands.SLAX</v>
      </c>
      <c r="B304" s="282">
        <v>1</v>
      </c>
      <c r="C304" s="282" t="s">
        <v>1</v>
      </c>
      <c r="D304" s="283">
        <v>4</v>
      </c>
    </row>
    <row r="305" spans="1:4" ht="15" customHeight="1">
      <c r="A305" s="278" t="str">
        <f>$R$2&amp;".Commands.SLSX"</f>
        <v>FB_AI_S.Commands.SLSX</v>
      </c>
      <c r="B305" s="279">
        <v>101</v>
      </c>
      <c r="C305" s="279" t="s">
        <v>0</v>
      </c>
      <c r="D305" s="280" t="s">
        <v>31</v>
      </c>
    </row>
    <row r="306" spans="1:4" ht="15" customHeight="1">
      <c r="A306" s="278" t="str">
        <f>$R$2&amp;".Commands.SLSX"</f>
        <v>FB_AI_S.Commands.SLSX</v>
      </c>
      <c r="B306" s="279">
        <v>7999</v>
      </c>
      <c r="C306" s="279" t="s">
        <v>0</v>
      </c>
      <c r="D306" s="280" t="str">
        <f>"#"&amp;$T$5&amp;"#"&amp;$T$2&amp;"\"&amp;$P$2&amp;"\SLSX"</f>
        <v>#1#treiOPCDA.CoOPCserv.1\pcmaster\TT_VOS\SLSX</v>
      </c>
    </row>
    <row r="307" spans="1:4" ht="15" customHeight="1">
      <c r="A307" s="278" t="str">
        <f>$R$2&amp;".Commands.SLSX"</f>
        <v>FB_AI_S.Commands.SLSX</v>
      </c>
      <c r="B307" s="279">
        <v>7998</v>
      </c>
      <c r="C307" s="279" t="s">
        <v>6</v>
      </c>
      <c r="D307" s="280">
        <v>2</v>
      </c>
    </row>
    <row r="308" spans="1:4" ht="15" customHeight="1">
      <c r="A308" s="281" t="str">
        <f>$R$2&amp;".Commands.SLSX"</f>
        <v>FB_AI_S.Commands.SLSX</v>
      </c>
      <c r="B308" s="282">
        <v>1</v>
      </c>
      <c r="C308" s="282" t="s">
        <v>1</v>
      </c>
      <c r="D308" s="283">
        <v>4</v>
      </c>
    </row>
    <row r="309" spans="1:4" ht="15" customHeight="1">
      <c r="A309" s="278" t="str">
        <f>$R$2&amp;".Commands.SLWX"</f>
        <v>FB_AI_S.Commands.SLWX</v>
      </c>
      <c r="B309" s="279">
        <v>101</v>
      </c>
      <c r="C309" s="279" t="s">
        <v>0</v>
      </c>
      <c r="D309" s="280" t="s">
        <v>32</v>
      </c>
    </row>
    <row r="310" spans="1:4" ht="15" customHeight="1">
      <c r="A310" s="278" t="str">
        <f>$R$2&amp;".Commands.SLWX"</f>
        <v>FB_AI_S.Commands.SLWX</v>
      </c>
      <c r="B310" s="279">
        <v>7999</v>
      </c>
      <c r="C310" s="279" t="s">
        <v>0</v>
      </c>
      <c r="D310" s="280" t="str">
        <f>"#"&amp;$T$5&amp;"#"&amp;$T$2&amp;"\"&amp;$P$2&amp;"\SLWX"</f>
        <v>#1#treiOPCDA.CoOPCserv.1\pcmaster\TT_VOS\SLWX</v>
      </c>
    </row>
    <row r="311" spans="1:4" ht="15" customHeight="1">
      <c r="A311" s="278" t="str">
        <f>$R$2&amp;".Commands.SLWX"</f>
        <v>FB_AI_S.Commands.SLWX</v>
      </c>
      <c r="B311" s="279">
        <v>7998</v>
      </c>
      <c r="C311" s="279" t="s">
        <v>6</v>
      </c>
      <c r="D311" s="280">
        <v>2</v>
      </c>
    </row>
    <row r="312" spans="1:4" ht="15" customHeight="1">
      <c r="A312" s="281" t="str">
        <f>$R$2&amp;".Commands.SLWX"</f>
        <v>FB_AI_S.Commands.SLWX</v>
      </c>
      <c r="B312" s="282">
        <v>1</v>
      </c>
      <c r="C312" s="282" t="s">
        <v>1</v>
      </c>
      <c r="D312" s="283">
        <v>4</v>
      </c>
    </row>
    <row r="313" spans="1:4" ht="15" customHeight="1">
      <c r="A313" s="278" t="str">
        <f>$R$2&amp;".Commands.SSLX"</f>
        <v>FB_AI_S.Commands.SSLX</v>
      </c>
      <c r="B313" s="279">
        <v>101</v>
      </c>
      <c r="C313" s="279" t="s">
        <v>0</v>
      </c>
      <c r="D313" s="280" t="s">
        <v>33</v>
      </c>
    </row>
    <row r="314" spans="1:4" ht="15" customHeight="1">
      <c r="A314" s="278" t="str">
        <f>$R$2&amp;".Commands.SSLX"</f>
        <v>FB_AI_S.Commands.SSLX</v>
      </c>
      <c r="B314" s="279">
        <v>7999</v>
      </c>
      <c r="C314" s="279" t="s">
        <v>0</v>
      </c>
      <c r="D314" s="280" t="str">
        <f>"#"&amp;$T$5&amp;"#"&amp;$T$2&amp;"\"&amp;$P$2&amp;"\SSLX"</f>
        <v>#1#treiOPCDA.CoOPCserv.1\pcmaster\TT_VOS\SSLX</v>
      </c>
    </row>
    <row r="315" spans="1:4" ht="15" customHeight="1">
      <c r="A315" s="278" t="str">
        <f>$R$2&amp;".Commands.SSLX"</f>
        <v>FB_AI_S.Commands.SSLX</v>
      </c>
      <c r="B315" s="279">
        <v>7998</v>
      </c>
      <c r="C315" s="279" t="s">
        <v>6</v>
      </c>
      <c r="D315" s="280">
        <v>2</v>
      </c>
    </row>
    <row r="316" spans="1:4" ht="15" customHeight="1">
      <c r="A316" s="281" t="str">
        <f>$R$2&amp;".Commands.SSLX"</f>
        <v>FB_AI_S.Commands.SSLX</v>
      </c>
      <c r="B316" s="282">
        <v>1</v>
      </c>
      <c r="C316" s="282" t="s">
        <v>1</v>
      </c>
      <c r="D316" s="283">
        <v>4</v>
      </c>
    </row>
    <row r="317" spans="1:4" ht="15" customHeight="1">
      <c r="A317" s="278" t="str">
        <f>$R$2&amp;".Commands.SZCX"</f>
        <v>FB_AI_S.Commands.SZCX</v>
      </c>
      <c r="B317" s="279">
        <v>101</v>
      </c>
      <c r="C317" s="279" t="s">
        <v>0</v>
      </c>
      <c r="D317" s="280" t="s">
        <v>35</v>
      </c>
    </row>
    <row r="318" spans="1:4" ht="15" customHeight="1">
      <c r="A318" s="278" t="str">
        <f>$R$2&amp;".Commands.SZCX"</f>
        <v>FB_AI_S.Commands.SZCX</v>
      </c>
      <c r="B318" s="279">
        <v>7999</v>
      </c>
      <c r="C318" s="279" t="s">
        <v>0</v>
      </c>
      <c r="D318" s="280" t="str">
        <f>"#"&amp;$T$5&amp;"#"&amp;$T$2&amp;"\"&amp;$P$2&amp;"\SZCX"</f>
        <v>#1#treiOPCDA.CoOPCserv.1\pcmaster\TT_VOS\SZCX</v>
      </c>
    </row>
    <row r="319" spans="1:4" ht="15" customHeight="1">
      <c r="A319" s="278" t="str">
        <f>$R$2&amp;".Commands.SZCX"</f>
        <v>FB_AI_S.Commands.SZCX</v>
      </c>
      <c r="B319" s="279">
        <v>7998</v>
      </c>
      <c r="C319" s="279" t="s">
        <v>6</v>
      </c>
      <c r="D319" s="280">
        <v>2</v>
      </c>
    </row>
    <row r="320" spans="1:4" ht="15" customHeight="1">
      <c r="A320" s="281" t="str">
        <f>$R$2&amp;".Commands.SZCX"</f>
        <v>FB_AI_S.Commands.SZCX</v>
      </c>
      <c r="B320" s="282">
        <v>1</v>
      </c>
      <c r="C320" s="282" t="s">
        <v>1</v>
      </c>
      <c r="D320" s="283">
        <v>4</v>
      </c>
    </row>
    <row r="321" spans="1:4" ht="15" customHeight="1">
      <c r="A321" s="19" t="str">
        <f t="shared" ref="A321:A326" si="20">$R$2&amp;".CHAX"</f>
        <v>FB_AI_S.CHAX</v>
      </c>
      <c r="B321" s="11">
        <v>7999</v>
      </c>
      <c r="C321" s="11" t="s">
        <v>0</v>
      </c>
      <c r="D321" s="20" t="str">
        <f>"#"&amp;$S$2&amp;"#"&amp;$T$2&amp;"\"&amp;$P$2&amp;"\CHAX"</f>
        <v>#2#treiOPCDA.CoOPCserv.1\pcmaster\TT_VOS\CHAX</v>
      </c>
    </row>
    <row r="322" spans="1:4" ht="15" customHeight="1">
      <c r="A322" s="19" t="str">
        <f t="shared" si="20"/>
        <v>FB_AI_S.CHAX</v>
      </c>
      <c r="B322" s="11">
        <v>7998</v>
      </c>
      <c r="C322" s="11" t="s">
        <v>6</v>
      </c>
      <c r="D322" s="20">
        <v>1</v>
      </c>
    </row>
    <row r="323" spans="1:4" ht="15" customHeight="1">
      <c r="A323" s="19" t="str">
        <f t="shared" si="20"/>
        <v>FB_AI_S.CHAX</v>
      </c>
      <c r="B323" s="11">
        <v>101</v>
      </c>
      <c r="C323" s="11" t="s">
        <v>0</v>
      </c>
      <c r="D323" s="20" t="s">
        <v>12</v>
      </c>
    </row>
    <row r="324" spans="1:4" ht="15" customHeight="1">
      <c r="A324" s="19" t="str">
        <f t="shared" si="20"/>
        <v>FB_AI_S.CHAX</v>
      </c>
      <c r="B324" s="11">
        <v>3</v>
      </c>
      <c r="C324" s="11" t="s">
        <v>1</v>
      </c>
      <c r="D324" s="20">
        <v>192</v>
      </c>
    </row>
    <row r="325" spans="1:4" ht="15" customHeight="1">
      <c r="A325" s="19" t="str">
        <f t="shared" si="20"/>
        <v>FB_AI_S.CHAX</v>
      </c>
      <c r="B325" s="11">
        <v>2</v>
      </c>
      <c r="C325" s="11" t="s">
        <v>2</v>
      </c>
      <c r="D325" s="20" t="s">
        <v>3</v>
      </c>
    </row>
    <row r="326" spans="1:4" ht="15" customHeight="1">
      <c r="A326" s="21" t="str">
        <f t="shared" si="20"/>
        <v>FB_AI_S.CHAX</v>
      </c>
      <c r="B326" s="8">
        <v>1</v>
      </c>
      <c r="C326" s="8" t="s">
        <v>1</v>
      </c>
      <c r="D326" s="22">
        <v>11</v>
      </c>
    </row>
    <row r="327" spans="1:4" ht="15" customHeight="1">
      <c r="A327" s="19" t="str">
        <f t="shared" ref="A327:A332" si="21">$R$2&amp;".CHWX"</f>
        <v>FB_AI_S.CHWX</v>
      </c>
      <c r="B327" s="11">
        <v>7999</v>
      </c>
      <c r="C327" s="11" t="s">
        <v>0</v>
      </c>
      <c r="D327" s="20" t="str">
        <f>"#"&amp;$S$2&amp;"#"&amp;$T$2&amp;"\"&amp;$P$2&amp;"\CHWX"</f>
        <v>#2#treiOPCDA.CoOPCserv.1\pcmaster\TT_VOS\CHWX</v>
      </c>
    </row>
    <row r="328" spans="1:4" ht="15" customHeight="1">
      <c r="A328" s="19" t="str">
        <f t="shared" si="21"/>
        <v>FB_AI_S.CHWX</v>
      </c>
      <c r="B328" s="11">
        <v>7998</v>
      </c>
      <c r="C328" s="11" t="s">
        <v>6</v>
      </c>
      <c r="D328" s="20">
        <v>1</v>
      </c>
    </row>
    <row r="329" spans="1:4" ht="15" customHeight="1">
      <c r="A329" s="19" t="str">
        <f t="shared" si="21"/>
        <v>FB_AI_S.CHWX</v>
      </c>
      <c r="B329" s="11">
        <v>101</v>
      </c>
      <c r="C329" s="11" t="s">
        <v>0</v>
      </c>
      <c r="D329" s="20" t="s">
        <v>13</v>
      </c>
    </row>
    <row r="330" spans="1:4" ht="15" customHeight="1">
      <c r="A330" s="19" t="str">
        <f t="shared" si="21"/>
        <v>FB_AI_S.CHWX</v>
      </c>
      <c r="B330" s="11">
        <v>3</v>
      </c>
      <c r="C330" s="11" t="s">
        <v>1</v>
      </c>
      <c r="D330" s="20">
        <v>192</v>
      </c>
    </row>
    <row r="331" spans="1:4" ht="15" customHeight="1">
      <c r="A331" s="19" t="str">
        <f t="shared" si="21"/>
        <v>FB_AI_S.CHWX</v>
      </c>
      <c r="B331" s="11">
        <v>2</v>
      </c>
      <c r="C331" s="11" t="s">
        <v>2</v>
      </c>
      <c r="D331" s="20" t="s">
        <v>3</v>
      </c>
    </row>
    <row r="332" spans="1:4" ht="15" customHeight="1">
      <c r="A332" s="21" t="str">
        <f t="shared" si="21"/>
        <v>FB_AI_S.CHWX</v>
      </c>
      <c r="B332" s="8">
        <v>1</v>
      </c>
      <c r="C332" s="8" t="s">
        <v>1</v>
      </c>
      <c r="D332" s="22">
        <v>11</v>
      </c>
    </row>
    <row r="333" spans="1:4" ht="15" customHeight="1">
      <c r="A333" s="19" t="str">
        <f t="shared" ref="A333:A338" si="22">$R$2&amp;".CLAX"</f>
        <v>FB_AI_S.CLAX</v>
      </c>
      <c r="B333" s="11">
        <v>7999</v>
      </c>
      <c r="C333" s="11" t="s">
        <v>0</v>
      </c>
      <c r="D333" s="20" t="str">
        <f>"#"&amp;$S$2&amp;"#"&amp;$T$2&amp;"\"&amp;$P$2&amp;"\CLAX"</f>
        <v>#2#treiOPCDA.CoOPCserv.1\pcmaster\TT_VOS\CLAX</v>
      </c>
    </row>
    <row r="334" spans="1:4" ht="15" customHeight="1">
      <c r="A334" s="19" t="str">
        <f t="shared" si="22"/>
        <v>FB_AI_S.CLAX</v>
      </c>
      <c r="B334" s="11">
        <v>7998</v>
      </c>
      <c r="C334" s="11" t="s">
        <v>6</v>
      </c>
      <c r="D334" s="20">
        <v>1</v>
      </c>
    </row>
    <row r="335" spans="1:4" ht="15" customHeight="1">
      <c r="A335" s="19" t="str">
        <f t="shared" si="22"/>
        <v>FB_AI_S.CLAX</v>
      </c>
      <c r="B335" s="11">
        <v>101</v>
      </c>
      <c r="C335" s="11" t="s">
        <v>0</v>
      </c>
      <c r="D335" s="20" t="s">
        <v>14</v>
      </c>
    </row>
    <row r="336" spans="1:4" ht="15" customHeight="1">
      <c r="A336" s="19" t="str">
        <f t="shared" si="22"/>
        <v>FB_AI_S.CLAX</v>
      </c>
      <c r="B336" s="11">
        <v>3</v>
      </c>
      <c r="C336" s="11" t="s">
        <v>1</v>
      </c>
      <c r="D336" s="20">
        <v>192</v>
      </c>
    </row>
    <row r="337" spans="1:4" ht="15" customHeight="1">
      <c r="A337" s="19" t="str">
        <f t="shared" si="22"/>
        <v>FB_AI_S.CLAX</v>
      </c>
      <c r="B337" s="11">
        <v>2</v>
      </c>
      <c r="C337" s="11" t="s">
        <v>2</v>
      </c>
      <c r="D337" s="20" t="s">
        <v>3</v>
      </c>
    </row>
    <row r="338" spans="1:4" ht="15" customHeight="1">
      <c r="A338" s="21" t="str">
        <f t="shared" si="22"/>
        <v>FB_AI_S.CLAX</v>
      </c>
      <c r="B338" s="8">
        <v>1</v>
      </c>
      <c r="C338" s="8" t="s">
        <v>1</v>
      </c>
      <c r="D338" s="22">
        <v>11</v>
      </c>
    </row>
    <row r="339" spans="1:4" ht="15" customHeight="1">
      <c r="A339" s="19" t="str">
        <f t="shared" ref="A339:A344" si="23">$R$2&amp;".CLWX"</f>
        <v>FB_AI_S.CLWX</v>
      </c>
      <c r="B339" s="11">
        <v>7999</v>
      </c>
      <c r="C339" s="11" t="s">
        <v>0</v>
      </c>
      <c r="D339" s="20" t="str">
        <f>"#"&amp;$S$2&amp;"#"&amp;$T$2&amp;"\"&amp;$P$2&amp;"\CLWX"</f>
        <v>#2#treiOPCDA.CoOPCserv.1\pcmaster\TT_VOS\CLWX</v>
      </c>
    </row>
    <row r="340" spans="1:4" ht="15" customHeight="1">
      <c r="A340" s="19" t="str">
        <f t="shared" si="23"/>
        <v>FB_AI_S.CLWX</v>
      </c>
      <c r="B340" s="11">
        <v>7998</v>
      </c>
      <c r="C340" s="11" t="s">
        <v>6</v>
      </c>
      <c r="D340" s="20">
        <v>1</v>
      </c>
    </row>
    <row r="341" spans="1:4" ht="15" customHeight="1">
      <c r="A341" s="19" t="str">
        <f t="shared" si="23"/>
        <v>FB_AI_S.CLWX</v>
      </c>
      <c r="B341" s="11">
        <v>101</v>
      </c>
      <c r="C341" s="11" t="s">
        <v>0</v>
      </c>
      <c r="D341" s="20" t="s">
        <v>15</v>
      </c>
    </row>
    <row r="342" spans="1:4" ht="15" customHeight="1">
      <c r="A342" s="19" t="str">
        <f t="shared" si="23"/>
        <v>FB_AI_S.CLWX</v>
      </c>
      <c r="B342" s="11">
        <v>3</v>
      </c>
      <c r="C342" s="11" t="s">
        <v>1</v>
      </c>
      <c r="D342" s="20">
        <v>192</v>
      </c>
    </row>
    <row r="343" spans="1:4" ht="15" customHeight="1">
      <c r="A343" s="19" t="str">
        <f t="shared" si="23"/>
        <v>FB_AI_S.CLWX</v>
      </c>
      <c r="B343" s="11">
        <v>2</v>
      </c>
      <c r="C343" s="11" t="s">
        <v>2</v>
      </c>
      <c r="D343" s="20" t="s">
        <v>3</v>
      </c>
    </row>
    <row r="344" spans="1:4" ht="15" customHeight="1">
      <c r="A344" s="21" t="str">
        <f t="shared" si="23"/>
        <v>FB_AI_S.CLWX</v>
      </c>
      <c r="B344" s="8">
        <v>1</v>
      </c>
      <c r="C344" s="8" t="s">
        <v>1</v>
      </c>
      <c r="D344" s="22">
        <v>11</v>
      </c>
    </row>
    <row r="345" spans="1:4" ht="15" customHeight="1">
      <c r="A345" s="19" t="str">
        <f t="shared" ref="A345:A350" si="24">$R$2&amp;".CZCX"</f>
        <v>FB_AI_S.CZCX</v>
      </c>
      <c r="B345" s="11">
        <v>7999</v>
      </c>
      <c r="C345" s="11" t="s">
        <v>0</v>
      </c>
      <c r="D345" s="20" t="str">
        <f>"#"&amp;$S$2&amp;"#"&amp;$T$2&amp;"\"&amp;$P$2&amp;"\CZCX"</f>
        <v>#2#treiOPCDA.CoOPCserv.1\pcmaster\TT_VOS\CZCX</v>
      </c>
    </row>
    <row r="346" spans="1:4" ht="15" customHeight="1">
      <c r="A346" s="19" t="str">
        <f t="shared" si="24"/>
        <v>FB_AI_S.CZCX</v>
      </c>
      <c r="B346" s="11">
        <v>7998</v>
      </c>
      <c r="C346" s="11" t="s">
        <v>6</v>
      </c>
      <c r="D346" s="20">
        <v>1</v>
      </c>
    </row>
    <row r="347" spans="1:4" ht="15" customHeight="1">
      <c r="A347" s="19" t="str">
        <f t="shared" si="24"/>
        <v>FB_AI_S.CZCX</v>
      </c>
      <c r="B347" s="11">
        <v>101</v>
      </c>
      <c r="C347" s="11" t="s">
        <v>0</v>
      </c>
      <c r="D347" s="20" t="s">
        <v>22</v>
      </c>
    </row>
    <row r="348" spans="1:4" ht="15" customHeight="1">
      <c r="A348" s="19" t="str">
        <f t="shared" si="24"/>
        <v>FB_AI_S.CZCX</v>
      </c>
      <c r="B348" s="11">
        <v>3</v>
      </c>
      <c r="C348" s="11" t="s">
        <v>1</v>
      </c>
      <c r="D348" s="20">
        <v>192</v>
      </c>
    </row>
    <row r="349" spans="1:4" ht="15" customHeight="1">
      <c r="A349" s="19" t="str">
        <f t="shared" si="24"/>
        <v>FB_AI_S.CZCX</v>
      </c>
      <c r="B349" s="11">
        <v>2</v>
      </c>
      <c r="C349" s="11" t="s">
        <v>2</v>
      </c>
      <c r="D349" s="20" t="s">
        <v>3</v>
      </c>
    </row>
    <row r="350" spans="1:4" ht="15" customHeight="1">
      <c r="A350" s="21" t="str">
        <f t="shared" si="24"/>
        <v>FB_AI_S.CZCX</v>
      </c>
      <c r="B350" s="8">
        <v>1</v>
      </c>
      <c r="C350" s="8" t="s">
        <v>1</v>
      </c>
      <c r="D350" s="22">
        <v>11</v>
      </c>
    </row>
    <row r="351" spans="1:4" ht="15" customHeight="1">
      <c r="A351" s="19" t="str">
        <f t="shared" ref="A351:A356" si="25">$R$2&amp;".CRST"</f>
        <v>FB_AI_S.CRST</v>
      </c>
      <c r="B351" s="11">
        <v>7999</v>
      </c>
      <c r="C351" s="11" t="s">
        <v>0</v>
      </c>
      <c r="D351" s="20" t="str">
        <f>"#"&amp;$S$2&amp;"#"&amp;$T$2&amp;"\"&amp;$P$2&amp;"\CRST"</f>
        <v>#2#treiOPCDA.CoOPCserv.1\pcmaster\TT_VOS\CRST</v>
      </c>
    </row>
    <row r="352" spans="1:4" ht="15" customHeight="1">
      <c r="A352" s="19" t="str">
        <f t="shared" si="25"/>
        <v>FB_AI_S.CRST</v>
      </c>
      <c r="B352" s="11">
        <v>7998</v>
      </c>
      <c r="C352" s="11" t="s">
        <v>6</v>
      </c>
      <c r="D352" s="20">
        <v>1</v>
      </c>
    </row>
    <row r="353" spans="1:20" ht="15" customHeight="1">
      <c r="A353" s="19" t="str">
        <f t="shared" si="25"/>
        <v>FB_AI_S.CRST</v>
      </c>
      <c r="B353" s="11">
        <v>101</v>
      </c>
      <c r="C353" s="11" t="s">
        <v>0</v>
      </c>
      <c r="D353" s="20" t="s">
        <v>114</v>
      </c>
    </row>
    <row r="354" spans="1:20" ht="15" customHeight="1">
      <c r="A354" s="19" t="str">
        <f t="shared" si="25"/>
        <v>FB_AI_S.CRST</v>
      </c>
      <c r="B354" s="11">
        <v>3</v>
      </c>
      <c r="C354" s="11" t="s">
        <v>1</v>
      </c>
      <c r="D354" s="20">
        <v>192</v>
      </c>
      <c r="Q354" s="4"/>
      <c r="R354" s="4"/>
      <c r="S354" s="4"/>
      <c r="T354" s="4"/>
    </row>
    <row r="355" spans="1:20" ht="15" customHeight="1">
      <c r="A355" s="19" t="str">
        <f t="shared" si="25"/>
        <v>FB_AI_S.CRST</v>
      </c>
      <c r="B355" s="11">
        <v>2</v>
      </c>
      <c r="C355" s="11" t="s">
        <v>2</v>
      </c>
      <c r="D355" s="20" t="s">
        <v>3</v>
      </c>
      <c r="Q355" s="4"/>
      <c r="R355" s="4"/>
      <c r="S355" s="4"/>
      <c r="T355" s="4"/>
    </row>
    <row r="356" spans="1:20" ht="15" customHeight="1">
      <c r="A356" s="21" t="str">
        <f t="shared" si="25"/>
        <v>FB_AI_S.CRST</v>
      </c>
      <c r="B356" s="8">
        <v>1</v>
      </c>
      <c r="C356" s="8" t="s">
        <v>1</v>
      </c>
      <c r="D356" s="22">
        <v>11</v>
      </c>
      <c r="Q356" s="4"/>
      <c r="R356" s="4"/>
      <c r="S356" s="4"/>
      <c r="T356" s="4"/>
    </row>
    <row r="357" spans="1:20" ht="15" customHeight="1">
      <c r="A357" s="19" t="str">
        <f t="shared" ref="A357:A364" si="26">$R$2&amp;".FXXX"</f>
        <v>FB_AI_S.FXXX</v>
      </c>
      <c r="B357" s="11">
        <v>7999</v>
      </c>
      <c r="C357" s="11" t="s">
        <v>0</v>
      </c>
      <c r="D357" s="20" t="str">
        <f>"#"&amp;$S$2&amp;"#"&amp;$T$2&amp;"\"&amp;$P$2&amp;"\FXXX"</f>
        <v>#2#treiOPCDA.CoOPCserv.1\pcmaster\TT_VOS\FXXX</v>
      </c>
      <c r="Q357" s="4"/>
      <c r="R357" s="4"/>
      <c r="S357" s="4"/>
      <c r="T357" s="4"/>
    </row>
    <row r="358" spans="1:20" ht="15" customHeight="1">
      <c r="A358" s="19" t="str">
        <f t="shared" si="26"/>
        <v>FB_AI_S.FXXX</v>
      </c>
      <c r="B358" s="11">
        <v>7998</v>
      </c>
      <c r="C358" s="11" t="s">
        <v>6</v>
      </c>
      <c r="D358" s="20">
        <v>1</v>
      </c>
      <c r="Q358" s="4"/>
      <c r="R358" s="4"/>
      <c r="S358" s="4"/>
      <c r="T358" s="4"/>
    </row>
    <row r="359" spans="1:20" ht="15" customHeight="1">
      <c r="A359" s="19" t="str">
        <f t="shared" si="26"/>
        <v>FB_AI_S.FXXX</v>
      </c>
      <c r="B359" s="11">
        <v>101</v>
      </c>
      <c r="C359" s="11" t="s">
        <v>0</v>
      </c>
      <c r="D359" s="20" t="s">
        <v>434</v>
      </c>
      <c r="Q359" s="4"/>
      <c r="R359" s="4"/>
      <c r="S359" s="4"/>
      <c r="T359" s="4"/>
    </row>
    <row r="360" spans="1:20" ht="15" customHeight="1">
      <c r="A360" s="19" t="str">
        <f t="shared" si="26"/>
        <v>FB_AI_S.FXXX</v>
      </c>
      <c r="B360" s="11">
        <v>3</v>
      </c>
      <c r="C360" s="11" t="s">
        <v>1</v>
      </c>
      <c r="D360" s="20">
        <v>192</v>
      </c>
      <c r="Q360" s="4"/>
      <c r="R360" s="4"/>
      <c r="S360" s="4"/>
      <c r="T360" s="4"/>
    </row>
    <row r="361" spans="1:20" ht="15" customHeight="1">
      <c r="A361" s="19" t="str">
        <f t="shared" si="26"/>
        <v>FB_AI_S.FXXX</v>
      </c>
      <c r="B361" s="11">
        <v>2</v>
      </c>
      <c r="C361" s="11" t="s">
        <v>2</v>
      </c>
      <c r="D361" s="20" t="s">
        <v>3</v>
      </c>
    </row>
    <row r="362" spans="1:20" ht="15" customHeight="1">
      <c r="A362" s="19" t="str">
        <f t="shared" si="26"/>
        <v>FB_AI_S.FXXX</v>
      </c>
      <c r="B362" s="11">
        <v>1</v>
      </c>
      <c r="C362" s="11" t="s">
        <v>1</v>
      </c>
      <c r="D362" s="20">
        <v>11</v>
      </c>
    </row>
    <row r="363" spans="1:20" ht="15" customHeight="1">
      <c r="A363" s="19" t="str">
        <f t="shared" si="26"/>
        <v>FB_AI_S.FXXX</v>
      </c>
      <c r="B363" s="11">
        <v>7000000</v>
      </c>
      <c r="C363" s="11" t="s">
        <v>6</v>
      </c>
      <c r="D363" s="20">
        <v>2</v>
      </c>
    </row>
    <row r="364" spans="1:20" ht="15" customHeight="1">
      <c r="A364" s="21" t="str">
        <f t="shared" si="26"/>
        <v>FB_AI_S.FXXX</v>
      </c>
      <c r="B364" s="8">
        <v>4000000</v>
      </c>
      <c r="C364" s="8" t="s">
        <v>0</v>
      </c>
      <c r="D364" s="68" t="s">
        <v>1767</v>
      </c>
    </row>
    <row r="365" spans="1:20" ht="15" customHeight="1">
      <c r="A365" s="275" t="str">
        <f t="shared" ref="A365:A370" si="27">$R$2&amp;".IVXX"</f>
        <v>FB_AI_S.IVXX</v>
      </c>
      <c r="B365" s="276">
        <v>7999</v>
      </c>
      <c r="C365" s="276" t="s">
        <v>0</v>
      </c>
      <c r="D365" s="277" t="str">
        <f>"#"&amp;$S$2&amp;"#"&amp;$T$2&amp;"\"&amp;$P$2&amp;"\IVXX"</f>
        <v>#2#treiOPCDA.CoOPCserv.1\pcmaster\TT_VOS\IVXX</v>
      </c>
    </row>
    <row r="366" spans="1:20" ht="15" customHeight="1">
      <c r="A366" s="278" t="str">
        <f t="shared" si="27"/>
        <v>FB_AI_S.IVXX</v>
      </c>
      <c r="B366" s="279">
        <v>7998</v>
      </c>
      <c r="C366" s="279" t="s">
        <v>6</v>
      </c>
      <c r="D366" s="280">
        <v>1</v>
      </c>
    </row>
    <row r="367" spans="1:20" ht="15" customHeight="1">
      <c r="A367" s="278" t="str">
        <f t="shared" si="27"/>
        <v>FB_AI_S.IVXX</v>
      </c>
      <c r="B367" s="279">
        <v>101</v>
      </c>
      <c r="C367" s="279" t="s">
        <v>0</v>
      </c>
      <c r="D367" s="280" t="s">
        <v>42</v>
      </c>
    </row>
    <row r="368" spans="1:20" ht="15" customHeight="1">
      <c r="A368" s="278" t="str">
        <f t="shared" si="27"/>
        <v>FB_AI_S.IVXX</v>
      </c>
      <c r="B368" s="279">
        <v>3</v>
      </c>
      <c r="C368" s="279" t="s">
        <v>1</v>
      </c>
      <c r="D368" s="280">
        <v>192</v>
      </c>
    </row>
    <row r="369" spans="1:4" ht="15" customHeight="1">
      <c r="A369" s="278" t="str">
        <f t="shared" si="27"/>
        <v>FB_AI_S.IVXX</v>
      </c>
      <c r="B369" s="279">
        <v>2</v>
      </c>
      <c r="C369" s="279" t="s">
        <v>80</v>
      </c>
      <c r="D369" s="280">
        <v>0</v>
      </c>
    </row>
    <row r="370" spans="1:4" ht="15" customHeight="1">
      <c r="A370" s="281" t="str">
        <f t="shared" si="27"/>
        <v>FB_AI_S.IVXX</v>
      </c>
      <c r="B370" s="282">
        <v>1</v>
      </c>
      <c r="C370" s="282" t="s">
        <v>1</v>
      </c>
      <c r="D370" s="283">
        <v>4</v>
      </c>
    </row>
    <row r="371" spans="1:4" ht="15" customHeight="1">
      <c r="A371" s="278" t="str">
        <f t="shared" ref="A371:A376" si="28">$R$2&amp;".SDBX"</f>
        <v>FB_AI_S.SDBX</v>
      </c>
      <c r="B371" s="279">
        <v>7999</v>
      </c>
      <c r="C371" s="279" t="s">
        <v>0</v>
      </c>
      <c r="D371" s="280" t="str">
        <f>"#"&amp;$S$2&amp;"#"&amp;$T$2&amp;"\"&amp;$P$2&amp;"\SDBX"</f>
        <v>#2#treiOPCDA.CoOPCserv.1\pcmaster\TT_VOS\SDBX</v>
      </c>
    </row>
    <row r="372" spans="1:4" ht="15" customHeight="1">
      <c r="A372" s="278" t="str">
        <f t="shared" si="28"/>
        <v>FB_AI_S.SDBX</v>
      </c>
      <c r="B372" s="279">
        <v>7998</v>
      </c>
      <c r="C372" s="279" t="s">
        <v>6</v>
      </c>
      <c r="D372" s="280">
        <v>1</v>
      </c>
    </row>
    <row r="373" spans="1:4" ht="15" customHeight="1">
      <c r="A373" s="278" t="str">
        <f t="shared" si="28"/>
        <v>FB_AI_S.SDBX</v>
      </c>
      <c r="B373" s="279">
        <v>101</v>
      </c>
      <c r="C373" s="279" t="s">
        <v>0</v>
      </c>
      <c r="D373" s="280" t="s">
        <v>23</v>
      </c>
    </row>
    <row r="374" spans="1:4" ht="15" customHeight="1">
      <c r="A374" s="278" t="str">
        <f t="shared" si="28"/>
        <v>FB_AI_S.SDBX</v>
      </c>
      <c r="B374" s="279">
        <v>3</v>
      </c>
      <c r="C374" s="279" t="s">
        <v>1</v>
      </c>
      <c r="D374" s="280">
        <v>192</v>
      </c>
    </row>
    <row r="375" spans="1:4" ht="15" customHeight="1">
      <c r="A375" s="278" t="str">
        <f t="shared" si="28"/>
        <v>FB_AI_S.SDBX</v>
      </c>
      <c r="B375" s="279">
        <v>2</v>
      </c>
      <c r="C375" s="279" t="s">
        <v>80</v>
      </c>
      <c r="D375" s="280">
        <v>0</v>
      </c>
    </row>
    <row r="376" spans="1:4" ht="15" customHeight="1">
      <c r="A376" s="281" t="str">
        <f t="shared" si="28"/>
        <v>FB_AI_S.SDBX</v>
      </c>
      <c r="B376" s="282">
        <v>1</v>
      </c>
      <c r="C376" s="282" t="s">
        <v>1</v>
      </c>
      <c r="D376" s="283">
        <v>4</v>
      </c>
    </row>
    <row r="377" spans="1:4" ht="15" customHeight="1">
      <c r="A377" s="275" t="str">
        <f t="shared" ref="A377:A382" si="29">$R$2&amp;".SDLX"</f>
        <v>FB_AI_S.SDLX</v>
      </c>
      <c r="B377" s="276">
        <v>7999</v>
      </c>
      <c r="C377" s="276" t="s">
        <v>0</v>
      </c>
      <c r="D377" s="277" t="str">
        <f>"#"&amp;$S$2&amp;"#"&amp;$T$2&amp;"\"&amp;$P$2&amp;"\SDLX"</f>
        <v>#2#treiOPCDA.CoOPCserv.1\pcmaster\TT_VOS\SDLX</v>
      </c>
    </row>
    <row r="378" spans="1:4" ht="15" customHeight="1">
      <c r="A378" s="278" t="str">
        <f t="shared" si="29"/>
        <v>FB_AI_S.SDLX</v>
      </c>
      <c r="B378" s="279">
        <v>7998</v>
      </c>
      <c r="C378" s="279" t="s">
        <v>6</v>
      </c>
      <c r="D378" s="280">
        <v>1</v>
      </c>
    </row>
    <row r="379" spans="1:4" ht="15" customHeight="1">
      <c r="A379" s="278" t="str">
        <f t="shared" si="29"/>
        <v>FB_AI_S.SDLX</v>
      </c>
      <c r="B379" s="279">
        <v>101</v>
      </c>
      <c r="C379" s="279" t="s">
        <v>0</v>
      </c>
      <c r="D379" s="280" t="s">
        <v>24</v>
      </c>
    </row>
    <row r="380" spans="1:4" ht="15" customHeight="1">
      <c r="A380" s="278" t="str">
        <f t="shared" si="29"/>
        <v>FB_AI_S.SDLX</v>
      </c>
      <c r="B380" s="279">
        <v>3</v>
      </c>
      <c r="C380" s="279" t="s">
        <v>1</v>
      </c>
      <c r="D380" s="280">
        <v>192</v>
      </c>
    </row>
    <row r="381" spans="1:4" ht="15" customHeight="1">
      <c r="A381" s="278" t="str">
        <f t="shared" si="29"/>
        <v>FB_AI_S.SDLX</v>
      </c>
      <c r="B381" s="279">
        <v>2</v>
      </c>
      <c r="C381" s="279" t="s">
        <v>80</v>
      </c>
      <c r="D381" s="280">
        <v>0</v>
      </c>
    </row>
    <row r="382" spans="1:4" ht="15" customHeight="1">
      <c r="A382" s="281" t="str">
        <f t="shared" si="29"/>
        <v>FB_AI_S.SDLX</v>
      </c>
      <c r="B382" s="282">
        <v>1</v>
      </c>
      <c r="C382" s="282" t="s">
        <v>1</v>
      </c>
      <c r="D382" s="283">
        <v>4</v>
      </c>
    </row>
    <row r="383" spans="1:4" ht="15" customHeight="1">
      <c r="A383" s="275" t="str">
        <f t="shared" ref="A383:A388" si="30">$R$2&amp;".SHAX"</f>
        <v>FB_AI_S.SHAX</v>
      </c>
      <c r="B383" s="276">
        <v>7999</v>
      </c>
      <c r="C383" s="276" t="s">
        <v>0</v>
      </c>
      <c r="D383" s="277" t="str">
        <f>"#"&amp;$S$2&amp;"#"&amp;$T$2&amp;"\"&amp;$P$2&amp;"\SHAX"</f>
        <v>#2#treiOPCDA.CoOPCserv.1\pcmaster\TT_VOS\SHAX</v>
      </c>
    </row>
    <row r="384" spans="1:4" ht="15" customHeight="1">
      <c r="A384" s="278" t="str">
        <f t="shared" si="30"/>
        <v>FB_AI_S.SHAX</v>
      </c>
      <c r="B384" s="279">
        <v>7998</v>
      </c>
      <c r="C384" s="279" t="s">
        <v>6</v>
      </c>
      <c r="D384" s="280">
        <v>1</v>
      </c>
    </row>
    <row r="385" spans="1:4" ht="15" customHeight="1">
      <c r="A385" s="278" t="str">
        <f t="shared" si="30"/>
        <v>FB_AI_S.SHAX</v>
      </c>
      <c r="B385" s="279">
        <v>101</v>
      </c>
      <c r="C385" s="279" t="s">
        <v>0</v>
      </c>
      <c r="D385" s="280" t="s">
        <v>26</v>
      </c>
    </row>
    <row r="386" spans="1:4" ht="15" customHeight="1">
      <c r="A386" s="278" t="str">
        <f t="shared" si="30"/>
        <v>FB_AI_S.SHAX</v>
      </c>
      <c r="B386" s="279">
        <v>3</v>
      </c>
      <c r="C386" s="279" t="s">
        <v>1</v>
      </c>
      <c r="D386" s="280">
        <v>192</v>
      </c>
    </row>
    <row r="387" spans="1:4" ht="15" customHeight="1">
      <c r="A387" s="278" t="str">
        <f t="shared" si="30"/>
        <v>FB_AI_S.SHAX</v>
      </c>
      <c r="B387" s="279">
        <v>2</v>
      </c>
      <c r="C387" s="279" t="s">
        <v>80</v>
      </c>
      <c r="D387" s="280">
        <v>0</v>
      </c>
    </row>
    <row r="388" spans="1:4" ht="15" customHeight="1">
      <c r="A388" s="281" t="str">
        <f t="shared" si="30"/>
        <v>FB_AI_S.SHAX</v>
      </c>
      <c r="B388" s="282">
        <v>1</v>
      </c>
      <c r="C388" s="282" t="s">
        <v>1</v>
      </c>
      <c r="D388" s="283">
        <v>4</v>
      </c>
    </row>
    <row r="389" spans="1:4" ht="15" customHeight="1">
      <c r="A389" s="275" t="str">
        <f t="shared" ref="A389:A394" si="31">$R$2&amp;".SHSX"</f>
        <v>FB_AI_S.SHSX</v>
      </c>
      <c r="B389" s="276">
        <v>7999</v>
      </c>
      <c r="C389" s="276" t="s">
        <v>0</v>
      </c>
      <c r="D389" s="277" t="str">
        <f>"#"&amp;$S$2&amp;"#"&amp;$T$2&amp;"\"&amp;$P$2&amp;"\SHSX"</f>
        <v>#2#treiOPCDA.CoOPCserv.1\pcmaster\TT_VOS\SHSX</v>
      </c>
    </row>
    <row r="390" spans="1:4" ht="15" customHeight="1">
      <c r="A390" s="278" t="str">
        <f t="shared" si="31"/>
        <v>FB_AI_S.SHSX</v>
      </c>
      <c r="B390" s="279">
        <v>7998</v>
      </c>
      <c r="C390" s="279" t="s">
        <v>6</v>
      </c>
      <c r="D390" s="280">
        <v>1</v>
      </c>
    </row>
    <row r="391" spans="1:4" ht="15" customHeight="1">
      <c r="A391" s="278" t="str">
        <f t="shared" si="31"/>
        <v>FB_AI_S.SHSX</v>
      </c>
      <c r="B391" s="279">
        <v>101</v>
      </c>
      <c r="C391" s="279" t="s">
        <v>0</v>
      </c>
      <c r="D391" s="280" t="s">
        <v>27</v>
      </c>
    </row>
    <row r="392" spans="1:4" ht="15" customHeight="1">
      <c r="A392" s="278" t="str">
        <f t="shared" si="31"/>
        <v>FB_AI_S.SHSX</v>
      </c>
      <c r="B392" s="279">
        <v>3</v>
      </c>
      <c r="C392" s="279" t="s">
        <v>1</v>
      </c>
      <c r="D392" s="280">
        <v>192</v>
      </c>
    </row>
    <row r="393" spans="1:4" ht="15" customHeight="1">
      <c r="A393" s="278" t="str">
        <f t="shared" si="31"/>
        <v>FB_AI_S.SHSX</v>
      </c>
      <c r="B393" s="279">
        <v>2</v>
      </c>
      <c r="C393" s="279" t="s">
        <v>80</v>
      </c>
      <c r="D393" s="280">
        <v>0</v>
      </c>
    </row>
    <row r="394" spans="1:4" ht="15" customHeight="1">
      <c r="A394" s="281" t="str">
        <f t="shared" si="31"/>
        <v>FB_AI_S.SHSX</v>
      </c>
      <c r="B394" s="282">
        <v>1</v>
      </c>
      <c r="C394" s="282" t="s">
        <v>1</v>
      </c>
      <c r="D394" s="283">
        <v>4</v>
      </c>
    </row>
    <row r="395" spans="1:4" ht="15" customHeight="1">
      <c r="A395" s="275" t="str">
        <f t="shared" ref="A395:A400" si="32">$R$2&amp;".SHVX"</f>
        <v>FB_AI_S.SHVX</v>
      </c>
      <c r="B395" s="276">
        <v>7999</v>
      </c>
      <c r="C395" s="276" t="s">
        <v>0</v>
      </c>
      <c r="D395" s="277" t="str">
        <f>"#"&amp;$S$2&amp;"#"&amp;$T$2&amp;"\"&amp;$P$2&amp;"\SHVX"</f>
        <v>#2#treiOPCDA.CoOPCserv.1\pcmaster\TT_VOS\SHVX</v>
      </c>
    </row>
    <row r="396" spans="1:4" ht="15" customHeight="1">
      <c r="A396" s="278" t="str">
        <f t="shared" si="32"/>
        <v>FB_AI_S.SHVX</v>
      </c>
      <c r="B396" s="279">
        <v>7998</v>
      </c>
      <c r="C396" s="279" t="s">
        <v>6</v>
      </c>
      <c r="D396" s="280">
        <v>1</v>
      </c>
    </row>
    <row r="397" spans="1:4" ht="15" customHeight="1">
      <c r="A397" s="278" t="str">
        <f t="shared" si="32"/>
        <v>FB_AI_S.SHVX</v>
      </c>
      <c r="B397" s="279">
        <v>101</v>
      </c>
      <c r="C397" s="279" t="s">
        <v>0</v>
      </c>
      <c r="D397" s="280" t="s">
        <v>44</v>
      </c>
    </row>
    <row r="398" spans="1:4" ht="15" customHeight="1">
      <c r="A398" s="278" t="str">
        <f t="shared" si="32"/>
        <v>FB_AI_S.SHVX</v>
      </c>
      <c r="B398" s="279">
        <v>3</v>
      </c>
      <c r="C398" s="279" t="s">
        <v>1</v>
      </c>
      <c r="D398" s="280">
        <v>192</v>
      </c>
    </row>
    <row r="399" spans="1:4" ht="15" customHeight="1">
      <c r="A399" s="278" t="str">
        <f t="shared" si="32"/>
        <v>FB_AI_S.SHVX</v>
      </c>
      <c r="B399" s="279">
        <v>2</v>
      </c>
      <c r="C399" s="279" t="s">
        <v>80</v>
      </c>
      <c r="D399" s="280">
        <v>0</v>
      </c>
    </row>
    <row r="400" spans="1:4" ht="15" customHeight="1">
      <c r="A400" s="281" t="str">
        <f t="shared" si="32"/>
        <v>FB_AI_S.SHVX</v>
      </c>
      <c r="B400" s="282">
        <v>1</v>
      </c>
      <c r="C400" s="282" t="s">
        <v>1</v>
      </c>
      <c r="D400" s="283">
        <v>4</v>
      </c>
    </row>
    <row r="401" spans="1:4" ht="15" customHeight="1">
      <c r="A401" s="275" t="str">
        <f t="shared" ref="A401:A406" si="33">$R$2&amp;".SHWX"</f>
        <v>FB_AI_S.SHWX</v>
      </c>
      <c r="B401" s="276">
        <v>7999</v>
      </c>
      <c r="C401" s="276" t="s">
        <v>0</v>
      </c>
      <c r="D401" s="277" t="str">
        <f>"#"&amp;$S$2&amp;"#"&amp;$T$2&amp;"\"&amp;$P$2&amp;"\SHWX"</f>
        <v>#2#treiOPCDA.CoOPCserv.1\pcmaster\TT_VOS\SHWX</v>
      </c>
    </row>
    <row r="402" spans="1:4" ht="15" customHeight="1">
      <c r="A402" s="278" t="str">
        <f t="shared" si="33"/>
        <v>FB_AI_S.SHWX</v>
      </c>
      <c r="B402" s="279">
        <v>7998</v>
      </c>
      <c r="C402" s="279" t="s">
        <v>6</v>
      </c>
      <c r="D402" s="280">
        <v>1</v>
      </c>
    </row>
    <row r="403" spans="1:4" ht="15" customHeight="1">
      <c r="A403" s="278" t="str">
        <f t="shared" si="33"/>
        <v>FB_AI_S.SHWX</v>
      </c>
      <c r="B403" s="279">
        <v>101</v>
      </c>
      <c r="C403" s="279" t="s">
        <v>0</v>
      </c>
      <c r="D403" s="280" t="s">
        <v>28</v>
      </c>
    </row>
    <row r="404" spans="1:4" ht="15" customHeight="1">
      <c r="A404" s="278" t="str">
        <f t="shared" si="33"/>
        <v>FB_AI_S.SHWX</v>
      </c>
      <c r="B404" s="279">
        <v>3</v>
      </c>
      <c r="C404" s="279" t="s">
        <v>1</v>
      </c>
      <c r="D404" s="280">
        <v>192</v>
      </c>
    </row>
    <row r="405" spans="1:4" ht="15" customHeight="1">
      <c r="A405" s="278" t="str">
        <f t="shared" si="33"/>
        <v>FB_AI_S.SHWX</v>
      </c>
      <c r="B405" s="279">
        <v>2</v>
      </c>
      <c r="C405" s="279" t="s">
        <v>80</v>
      </c>
      <c r="D405" s="280">
        <v>0</v>
      </c>
    </row>
    <row r="406" spans="1:4" ht="15" customHeight="1">
      <c r="A406" s="281" t="str">
        <f t="shared" si="33"/>
        <v>FB_AI_S.SHWX</v>
      </c>
      <c r="B406" s="282">
        <v>1</v>
      </c>
      <c r="C406" s="282" t="s">
        <v>1</v>
      </c>
      <c r="D406" s="283">
        <v>4</v>
      </c>
    </row>
    <row r="407" spans="1:4" ht="15" customHeight="1">
      <c r="A407" s="275" t="str">
        <f t="shared" ref="A407:A412" si="34">$R$2&amp;".SIMX"</f>
        <v>FB_AI_S.SIMX</v>
      </c>
      <c r="B407" s="276">
        <v>7999</v>
      </c>
      <c r="C407" s="276" t="s">
        <v>0</v>
      </c>
      <c r="D407" s="277" t="str">
        <f>"#"&amp;$S$2&amp;"#"&amp;$T$2&amp;"\"&amp;$P$2&amp;"\SIMX"</f>
        <v>#2#treiOPCDA.CoOPCserv.1\pcmaster\TT_VOS\SIMX</v>
      </c>
    </row>
    <row r="408" spans="1:4" ht="15" customHeight="1">
      <c r="A408" s="278" t="str">
        <f t="shared" si="34"/>
        <v>FB_AI_S.SIMX</v>
      </c>
      <c r="B408" s="279">
        <v>7998</v>
      </c>
      <c r="C408" s="279" t="s">
        <v>6</v>
      </c>
      <c r="D408" s="280">
        <v>1</v>
      </c>
    </row>
    <row r="409" spans="1:4" ht="15" customHeight="1">
      <c r="A409" s="278" t="str">
        <f t="shared" si="34"/>
        <v>FB_AI_S.SIMX</v>
      </c>
      <c r="B409" s="279">
        <v>101</v>
      </c>
      <c r="C409" s="279" t="s">
        <v>0</v>
      </c>
      <c r="D409" s="280" t="s">
        <v>1313</v>
      </c>
    </row>
    <row r="410" spans="1:4" ht="15" customHeight="1">
      <c r="A410" s="278" t="str">
        <f t="shared" si="34"/>
        <v>FB_AI_S.SIMX</v>
      </c>
      <c r="B410" s="279">
        <v>3</v>
      </c>
      <c r="C410" s="279" t="s">
        <v>1</v>
      </c>
      <c r="D410" s="280">
        <v>192</v>
      </c>
    </row>
    <row r="411" spans="1:4" ht="15" customHeight="1">
      <c r="A411" s="278" t="str">
        <f t="shared" si="34"/>
        <v>FB_AI_S.SIMX</v>
      </c>
      <c r="B411" s="279">
        <v>2</v>
      </c>
      <c r="C411" s="279" t="s">
        <v>80</v>
      </c>
      <c r="D411" s="280">
        <v>0</v>
      </c>
    </row>
    <row r="412" spans="1:4" ht="15" customHeight="1">
      <c r="A412" s="281" t="str">
        <f t="shared" si="34"/>
        <v>FB_AI_S.SIMX</v>
      </c>
      <c r="B412" s="282">
        <v>1</v>
      </c>
      <c r="C412" s="282" t="s">
        <v>1</v>
      </c>
      <c r="D412" s="283">
        <v>4</v>
      </c>
    </row>
    <row r="413" spans="1:4" ht="15" customHeight="1">
      <c r="A413" s="275" t="str">
        <f t="shared" ref="A413:A418" si="35">$R$2&amp;".SLAX"</f>
        <v>FB_AI_S.SLAX</v>
      </c>
      <c r="B413" s="276">
        <v>7999</v>
      </c>
      <c r="C413" s="276" t="s">
        <v>0</v>
      </c>
      <c r="D413" s="277" t="str">
        <f>"#"&amp;$S$2&amp;"#"&amp;$T$2&amp;"\"&amp;$P$2&amp;"\SLAX"</f>
        <v>#2#treiOPCDA.CoOPCserv.1\pcmaster\TT_VOS\SLAX</v>
      </c>
    </row>
    <row r="414" spans="1:4" ht="15" customHeight="1">
      <c r="A414" s="278" t="str">
        <f t="shared" si="35"/>
        <v>FB_AI_S.SLAX</v>
      </c>
      <c r="B414" s="279">
        <v>7998</v>
      </c>
      <c r="C414" s="279" t="s">
        <v>6</v>
      </c>
      <c r="D414" s="280">
        <v>1</v>
      </c>
    </row>
    <row r="415" spans="1:4" ht="15" customHeight="1">
      <c r="A415" s="278" t="str">
        <f t="shared" si="35"/>
        <v>FB_AI_S.SLAX</v>
      </c>
      <c r="B415" s="279">
        <v>101</v>
      </c>
      <c r="C415" s="279" t="s">
        <v>0</v>
      </c>
      <c r="D415" s="280" t="s">
        <v>30</v>
      </c>
    </row>
    <row r="416" spans="1:4" ht="15" customHeight="1">
      <c r="A416" s="278" t="str">
        <f t="shared" si="35"/>
        <v>FB_AI_S.SLAX</v>
      </c>
      <c r="B416" s="279">
        <v>3</v>
      </c>
      <c r="C416" s="279" t="s">
        <v>1</v>
      </c>
      <c r="D416" s="280">
        <v>192</v>
      </c>
    </row>
    <row r="417" spans="1:17" ht="15" customHeight="1">
      <c r="A417" s="278" t="str">
        <f t="shared" si="35"/>
        <v>FB_AI_S.SLAX</v>
      </c>
      <c r="B417" s="279">
        <v>2</v>
      </c>
      <c r="C417" s="279" t="s">
        <v>80</v>
      </c>
      <c r="D417" s="280">
        <v>0</v>
      </c>
    </row>
    <row r="418" spans="1:17" ht="15" customHeight="1">
      <c r="A418" s="281" t="str">
        <f t="shared" si="35"/>
        <v>FB_AI_S.SLAX</v>
      </c>
      <c r="B418" s="282">
        <v>1</v>
      </c>
      <c r="C418" s="282" t="s">
        <v>1</v>
      </c>
      <c r="D418" s="283">
        <v>4</v>
      </c>
    </row>
    <row r="419" spans="1:17" ht="15" customHeight="1">
      <c r="A419" s="275" t="str">
        <f t="shared" ref="A419:A424" si="36">$R$2&amp;".SLSX"</f>
        <v>FB_AI_S.SLSX</v>
      </c>
      <c r="B419" s="276">
        <v>7999</v>
      </c>
      <c r="C419" s="276" t="s">
        <v>0</v>
      </c>
      <c r="D419" s="277" t="str">
        <f>"#"&amp;$S$2&amp;"#"&amp;$T$2&amp;"\"&amp;$P$2&amp;"\SLSX"</f>
        <v>#2#treiOPCDA.CoOPCserv.1\pcmaster\TT_VOS\SLSX</v>
      </c>
    </row>
    <row r="420" spans="1:17" ht="15" customHeight="1">
      <c r="A420" s="278" t="str">
        <f t="shared" si="36"/>
        <v>FB_AI_S.SLSX</v>
      </c>
      <c r="B420" s="279">
        <v>7998</v>
      </c>
      <c r="C420" s="279" t="s">
        <v>6</v>
      </c>
      <c r="D420" s="280">
        <v>1</v>
      </c>
    </row>
    <row r="421" spans="1:17" ht="15" customHeight="1">
      <c r="A421" s="278" t="str">
        <f t="shared" si="36"/>
        <v>FB_AI_S.SLSX</v>
      </c>
      <c r="B421" s="279">
        <v>101</v>
      </c>
      <c r="C421" s="279" t="s">
        <v>0</v>
      </c>
      <c r="D421" s="280" t="s">
        <v>31</v>
      </c>
    </row>
    <row r="422" spans="1:17" ht="15" customHeight="1">
      <c r="A422" s="278" t="str">
        <f t="shared" si="36"/>
        <v>FB_AI_S.SLSX</v>
      </c>
      <c r="B422" s="279">
        <v>3</v>
      </c>
      <c r="C422" s="279" t="s">
        <v>1</v>
      </c>
      <c r="D422" s="280">
        <v>192</v>
      </c>
    </row>
    <row r="423" spans="1:17" ht="15" customHeight="1">
      <c r="A423" s="278" t="str">
        <f t="shared" si="36"/>
        <v>FB_AI_S.SLSX</v>
      </c>
      <c r="B423" s="279">
        <v>2</v>
      </c>
      <c r="C423" s="279" t="s">
        <v>80</v>
      </c>
      <c r="D423" s="280">
        <v>0</v>
      </c>
    </row>
    <row r="424" spans="1:17" ht="15" customHeight="1">
      <c r="A424" s="281" t="str">
        <f t="shared" si="36"/>
        <v>FB_AI_S.SLSX</v>
      </c>
      <c r="B424" s="282">
        <v>1</v>
      </c>
      <c r="C424" s="282" t="s">
        <v>1</v>
      </c>
      <c r="D424" s="283">
        <v>4</v>
      </c>
    </row>
    <row r="425" spans="1:17" ht="15" customHeight="1">
      <c r="A425" s="275" t="str">
        <f t="shared" ref="A425:A430" si="37">$R$2&amp;".SLVX"</f>
        <v>FB_AI_S.SLVX</v>
      </c>
      <c r="B425" s="276">
        <v>7999</v>
      </c>
      <c r="C425" s="276" t="s">
        <v>0</v>
      </c>
      <c r="D425" s="277" t="str">
        <f>"#"&amp;$S$2&amp;"#"&amp;$T$2&amp;"\"&amp;$P$2&amp;"\SLVX"</f>
        <v>#2#treiOPCDA.CoOPCserv.1\pcmaster\TT_VOS\SLVX</v>
      </c>
    </row>
    <row r="426" spans="1:17" ht="15" customHeight="1">
      <c r="A426" s="278" t="str">
        <f t="shared" si="37"/>
        <v>FB_AI_S.SLVX</v>
      </c>
      <c r="B426" s="279">
        <v>7998</v>
      </c>
      <c r="C426" s="279" t="s">
        <v>6</v>
      </c>
      <c r="D426" s="280">
        <v>1</v>
      </c>
    </row>
    <row r="427" spans="1:17" ht="15" customHeight="1">
      <c r="A427" s="278" t="str">
        <f t="shared" si="37"/>
        <v>FB_AI_S.SLVX</v>
      </c>
      <c r="B427" s="279">
        <v>101</v>
      </c>
      <c r="C427" s="279" t="s">
        <v>0</v>
      </c>
      <c r="D427" s="280" t="s">
        <v>45</v>
      </c>
    </row>
    <row r="428" spans="1:17" ht="15" customHeight="1">
      <c r="A428" s="278" t="str">
        <f t="shared" si="37"/>
        <v>FB_AI_S.SLVX</v>
      </c>
      <c r="B428" s="279">
        <v>3</v>
      </c>
      <c r="C428" s="279" t="s">
        <v>1</v>
      </c>
      <c r="D428" s="280">
        <v>192</v>
      </c>
    </row>
    <row r="429" spans="1:17" ht="15" customHeight="1">
      <c r="A429" s="278" t="str">
        <f t="shared" si="37"/>
        <v>FB_AI_S.SLVX</v>
      </c>
      <c r="B429" s="279">
        <v>2</v>
      </c>
      <c r="C429" s="279" t="s">
        <v>80</v>
      </c>
      <c r="D429" s="280">
        <v>0</v>
      </c>
    </row>
    <row r="430" spans="1:17" ht="15" customHeight="1">
      <c r="A430" s="281" t="str">
        <f t="shared" si="37"/>
        <v>FB_AI_S.SLVX</v>
      </c>
      <c r="B430" s="282">
        <v>1</v>
      </c>
      <c r="C430" s="282" t="s">
        <v>1</v>
      </c>
      <c r="D430" s="283">
        <v>4</v>
      </c>
    </row>
    <row r="431" spans="1:17" ht="15" customHeight="1">
      <c r="A431" s="275" t="str">
        <f t="shared" ref="A431:A436" si="38">$R$2&amp;".SLWX"</f>
        <v>FB_AI_S.SLWX</v>
      </c>
      <c r="B431" s="276">
        <v>7999</v>
      </c>
      <c r="C431" s="276" t="s">
        <v>0</v>
      </c>
      <c r="D431" s="277" t="str">
        <f>"#"&amp;$S$2&amp;"#"&amp;$T$2&amp;"\"&amp;$P$2&amp;"\SLWX"</f>
        <v>#2#treiOPCDA.CoOPCserv.1\pcmaster\TT_VOS\SLWX</v>
      </c>
    </row>
    <row r="432" spans="1:17" ht="15" customHeight="1">
      <c r="A432" s="278" t="str">
        <f t="shared" si="38"/>
        <v>FB_AI_S.SLWX</v>
      </c>
      <c r="B432" s="279">
        <v>7998</v>
      </c>
      <c r="C432" s="279" t="s">
        <v>6</v>
      </c>
      <c r="D432" s="280">
        <v>1</v>
      </c>
      <c r="Q432" s="11"/>
    </row>
    <row r="433" spans="1:4" ht="15" customHeight="1">
      <c r="A433" s="278" t="str">
        <f t="shared" si="38"/>
        <v>FB_AI_S.SLWX</v>
      </c>
      <c r="B433" s="279">
        <v>101</v>
      </c>
      <c r="C433" s="279" t="s">
        <v>0</v>
      </c>
      <c r="D433" s="280" t="s">
        <v>32</v>
      </c>
    </row>
    <row r="434" spans="1:4" ht="15" customHeight="1">
      <c r="A434" s="278" t="str">
        <f t="shared" si="38"/>
        <v>FB_AI_S.SLWX</v>
      </c>
      <c r="B434" s="279">
        <v>3</v>
      </c>
      <c r="C434" s="279" t="s">
        <v>1</v>
      </c>
      <c r="D434" s="280">
        <v>192</v>
      </c>
    </row>
    <row r="435" spans="1:4" ht="15" customHeight="1">
      <c r="A435" s="278" t="str">
        <f t="shared" si="38"/>
        <v>FB_AI_S.SLWX</v>
      </c>
      <c r="B435" s="279">
        <v>2</v>
      </c>
      <c r="C435" s="279" t="s">
        <v>80</v>
      </c>
      <c r="D435" s="280">
        <v>0</v>
      </c>
    </row>
    <row r="436" spans="1:4" ht="15" customHeight="1">
      <c r="A436" s="281" t="str">
        <f t="shared" si="38"/>
        <v>FB_AI_S.SLWX</v>
      </c>
      <c r="B436" s="282">
        <v>1</v>
      </c>
      <c r="C436" s="282" t="s">
        <v>1</v>
      </c>
      <c r="D436" s="283">
        <v>4</v>
      </c>
    </row>
    <row r="437" spans="1:4" ht="15" customHeight="1">
      <c r="A437" s="275" t="str">
        <f t="shared" ref="A437:A442" si="39">$R$2&amp;".SSLX"</f>
        <v>FB_AI_S.SSLX</v>
      </c>
      <c r="B437" s="276">
        <v>7999</v>
      </c>
      <c r="C437" s="276" t="s">
        <v>0</v>
      </c>
      <c r="D437" s="277" t="str">
        <f>"#"&amp;$S$2&amp;"#"&amp;$T$2&amp;"\"&amp;$P$2&amp;"\SSLX"</f>
        <v>#2#treiOPCDA.CoOPCserv.1\pcmaster\TT_VOS\SSLX</v>
      </c>
    </row>
    <row r="438" spans="1:4" ht="15" customHeight="1">
      <c r="A438" s="278" t="str">
        <f t="shared" si="39"/>
        <v>FB_AI_S.SSLX</v>
      </c>
      <c r="B438" s="279">
        <v>7998</v>
      </c>
      <c r="C438" s="279" t="s">
        <v>6</v>
      </c>
      <c r="D438" s="280">
        <v>1</v>
      </c>
    </row>
    <row r="439" spans="1:4" ht="15" customHeight="1">
      <c r="A439" s="278" t="str">
        <f t="shared" si="39"/>
        <v>FB_AI_S.SSLX</v>
      </c>
      <c r="B439" s="279">
        <v>101</v>
      </c>
      <c r="C439" s="279" t="s">
        <v>0</v>
      </c>
      <c r="D439" s="280" t="s">
        <v>33</v>
      </c>
    </row>
    <row r="440" spans="1:4" ht="15" customHeight="1">
      <c r="A440" s="278" t="str">
        <f t="shared" si="39"/>
        <v>FB_AI_S.SSLX</v>
      </c>
      <c r="B440" s="279">
        <v>3</v>
      </c>
      <c r="C440" s="279" t="s">
        <v>1</v>
      </c>
      <c r="D440" s="280">
        <v>192</v>
      </c>
    </row>
    <row r="441" spans="1:4" ht="15" customHeight="1">
      <c r="A441" s="278" t="str">
        <f t="shared" si="39"/>
        <v>FB_AI_S.SSLX</v>
      </c>
      <c r="B441" s="279">
        <v>2</v>
      </c>
      <c r="C441" s="279" t="s">
        <v>80</v>
      </c>
      <c r="D441" s="280">
        <v>0</v>
      </c>
    </row>
    <row r="442" spans="1:4" ht="15" customHeight="1">
      <c r="A442" s="278" t="str">
        <f t="shared" si="39"/>
        <v>FB_AI_S.SSLX</v>
      </c>
      <c r="B442" s="279">
        <v>1</v>
      </c>
      <c r="C442" s="279" t="s">
        <v>1</v>
      </c>
      <c r="D442" s="280">
        <v>4</v>
      </c>
    </row>
    <row r="443" spans="1:4" ht="15" customHeight="1">
      <c r="A443" s="275" t="str">
        <f t="shared" ref="A443:A448" si="40">$R$2&amp;".XVLP"</f>
        <v>FB_AI_S.XVLP</v>
      </c>
      <c r="B443" s="276">
        <v>7999</v>
      </c>
      <c r="C443" s="276" t="s">
        <v>0</v>
      </c>
      <c r="D443" s="277" t="str">
        <f>"#"&amp;$S$2&amp;"#"&amp;$T$2&amp;"\"&amp;$P$2&amp;"\XVLP"</f>
        <v>#2#treiOPCDA.CoOPCserv.1\pcmaster\TT_VOS\XVLP</v>
      </c>
    </row>
    <row r="444" spans="1:4" ht="15" customHeight="1">
      <c r="A444" s="278" t="str">
        <f t="shared" si="40"/>
        <v>FB_AI_S.XVLP</v>
      </c>
      <c r="B444" s="279">
        <v>7998</v>
      </c>
      <c r="C444" s="279" t="s">
        <v>6</v>
      </c>
      <c r="D444" s="280">
        <v>1</v>
      </c>
    </row>
    <row r="445" spans="1:4" ht="15" customHeight="1">
      <c r="A445" s="278" t="str">
        <f t="shared" si="40"/>
        <v>FB_AI_S.XVLP</v>
      </c>
      <c r="B445" s="279">
        <v>101</v>
      </c>
      <c r="C445" s="279" t="s">
        <v>0</v>
      </c>
      <c r="D445" s="280" t="s">
        <v>50</v>
      </c>
    </row>
    <row r="446" spans="1:4" ht="15" customHeight="1">
      <c r="A446" s="278" t="str">
        <f t="shared" si="40"/>
        <v>FB_AI_S.XVLP</v>
      </c>
      <c r="B446" s="279">
        <v>3</v>
      </c>
      <c r="C446" s="279" t="s">
        <v>1</v>
      </c>
      <c r="D446" s="280">
        <v>192</v>
      </c>
    </row>
    <row r="447" spans="1:4" ht="15" customHeight="1">
      <c r="A447" s="278" t="str">
        <f t="shared" si="40"/>
        <v>FB_AI_S.XVLP</v>
      </c>
      <c r="B447" s="279">
        <v>2</v>
      </c>
      <c r="C447" s="279" t="s">
        <v>80</v>
      </c>
      <c r="D447" s="280">
        <v>0</v>
      </c>
    </row>
    <row r="448" spans="1:4" ht="15" customHeight="1">
      <c r="A448" s="278" t="str">
        <f t="shared" si="40"/>
        <v>FB_AI_S.XVLP</v>
      </c>
      <c r="B448" s="279">
        <v>1</v>
      </c>
      <c r="C448" s="279" t="s">
        <v>1</v>
      </c>
      <c r="D448" s="280">
        <v>4</v>
      </c>
    </row>
    <row r="449" spans="1:20" ht="15" customHeight="1">
      <c r="A449" s="275" t="str">
        <f t="shared" ref="A449:A462" si="41">$R$2&amp;".XVLX"</f>
        <v>FB_AI_S.XVLX</v>
      </c>
      <c r="B449" s="276">
        <v>7999</v>
      </c>
      <c r="C449" s="276" t="s">
        <v>0</v>
      </c>
      <c r="D449" s="277" t="str">
        <f>"#"&amp;$S$2&amp;"#"&amp;$T$2&amp;"\"&amp;$P$2&amp;"\XVLX"</f>
        <v>#2#treiOPCDA.CoOPCserv.1\pcmaster\TT_VOS\XVLX</v>
      </c>
    </row>
    <row r="450" spans="1:20" ht="15" customHeight="1">
      <c r="A450" s="278" t="str">
        <f t="shared" si="41"/>
        <v>FB_AI_S.XVLX</v>
      </c>
      <c r="B450" s="279">
        <v>7998</v>
      </c>
      <c r="C450" s="279" t="s">
        <v>6</v>
      </c>
      <c r="D450" s="280">
        <v>1</v>
      </c>
    </row>
    <row r="451" spans="1:20" ht="15" customHeight="1">
      <c r="A451" s="278" t="str">
        <f t="shared" si="41"/>
        <v>FB_AI_S.XVLX</v>
      </c>
      <c r="B451" s="279">
        <v>101</v>
      </c>
      <c r="C451" s="279" t="s">
        <v>0</v>
      </c>
      <c r="D451" s="280" t="str">
        <f>$Q$2&amp;", "&amp;$X$2</f>
        <v>Аналоговый датчик FB, C</v>
      </c>
      <c r="Q451" s="11"/>
    </row>
    <row r="452" spans="1:20" ht="15" customHeight="1">
      <c r="A452" s="278" t="str">
        <f t="shared" si="41"/>
        <v>FB_AI_S.XVLX</v>
      </c>
      <c r="B452" s="279">
        <v>3</v>
      </c>
      <c r="C452" s="279" t="s">
        <v>1</v>
      </c>
      <c r="D452" s="280">
        <v>192</v>
      </c>
    </row>
    <row r="453" spans="1:20" ht="15" customHeight="1">
      <c r="A453" s="278" t="str">
        <f t="shared" si="41"/>
        <v>FB_AI_S.XVLX</v>
      </c>
      <c r="B453" s="279">
        <v>2</v>
      </c>
      <c r="C453" s="279" t="s">
        <v>80</v>
      </c>
      <c r="D453" s="280">
        <v>0</v>
      </c>
    </row>
    <row r="454" spans="1:20" ht="15" customHeight="1">
      <c r="A454" s="278" t="str">
        <f t="shared" si="41"/>
        <v>FB_AI_S.XVLX</v>
      </c>
      <c r="B454" s="279">
        <v>1</v>
      </c>
      <c r="C454" s="279" t="s">
        <v>1</v>
      </c>
      <c r="D454" s="280">
        <v>4</v>
      </c>
    </row>
    <row r="455" spans="1:20" ht="15" customHeight="1">
      <c r="A455" s="278" t="str">
        <f t="shared" si="41"/>
        <v>FB_AI_S.XVLX</v>
      </c>
      <c r="B455" s="279">
        <v>3000011</v>
      </c>
      <c r="C455" s="279" t="s">
        <v>0</v>
      </c>
      <c r="D455" s="280" t="s">
        <v>1470</v>
      </c>
    </row>
    <row r="456" spans="1:20" ht="15" customHeight="1">
      <c r="A456" s="278" t="str">
        <f t="shared" si="41"/>
        <v>FB_AI_S.XVLX</v>
      </c>
      <c r="B456" s="279">
        <v>3000010</v>
      </c>
      <c r="C456" s="279" t="s">
        <v>0</v>
      </c>
      <c r="D456" s="280" t="s">
        <v>1469</v>
      </c>
    </row>
    <row r="457" spans="1:20" ht="15" customHeight="1">
      <c r="A457" s="286" t="str">
        <f t="shared" si="41"/>
        <v>FB_AI_S.XVLX</v>
      </c>
      <c r="B457" s="279">
        <v>3000012</v>
      </c>
      <c r="C457" s="279" t="s">
        <v>0</v>
      </c>
      <c r="D457" s="280" t="s">
        <v>323</v>
      </c>
      <c r="Q457" s="4"/>
      <c r="R457" s="4"/>
      <c r="S457" s="4"/>
      <c r="T457" s="4"/>
    </row>
    <row r="458" spans="1:20" ht="15" customHeight="1">
      <c r="A458" s="278" t="str">
        <f t="shared" si="41"/>
        <v>FB_AI_S.XVLX</v>
      </c>
      <c r="B458" s="279">
        <v>10</v>
      </c>
      <c r="C458" s="279" t="s">
        <v>80</v>
      </c>
      <c r="D458" s="285">
        <v>1</v>
      </c>
    </row>
    <row r="459" spans="1:20" ht="15" customHeight="1">
      <c r="A459" s="278" t="str">
        <f t="shared" si="41"/>
        <v>FB_AI_S.XVLX</v>
      </c>
      <c r="B459" s="279">
        <v>11</v>
      </c>
      <c r="C459" s="279" t="s">
        <v>80</v>
      </c>
      <c r="D459" s="285">
        <v>2</v>
      </c>
    </row>
    <row r="460" spans="1:20" ht="15" customHeight="1">
      <c r="A460" s="286" t="str">
        <f t="shared" si="41"/>
        <v>FB_AI_S.XVLX</v>
      </c>
      <c r="B460" s="279">
        <v>7011</v>
      </c>
      <c r="C460" s="279" t="s">
        <v>2</v>
      </c>
      <c r="D460" s="285" t="s">
        <v>266</v>
      </c>
      <c r="E460" s="4"/>
      <c r="F460" s="4"/>
      <c r="G460" s="4"/>
      <c r="H460" s="4"/>
      <c r="I460" s="4"/>
      <c r="J460" s="4"/>
      <c r="K460" s="4"/>
      <c r="L460" s="4"/>
      <c r="M460" s="4"/>
      <c r="N460" s="4"/>
      <c r="O460" s="4"/>
      <c r="P460" s="4"/>
    </row>
    <row r="461" spans="1:20" ht="15" customHeight="1">
      <c r="A461" s="286" t="str">
        <f t="shared" si="41"/>
        <v>FB_AI_S.XVLX</v>
      </c>
      <c r="B461" s="279">
        <v>9002</v>
      </c>
      <c r="C461" s="279" t="s">
        <v>0</v>
      </c>
      <c r="D461" s="285">
        <v>2</v>
      </c>
      <c r="E461" s="4"/>
      <c r="F461" s="4"/>
      <c r="G461" s="4"/>
      <c r="H461" s="4"/>
      <c r="I461" s="4"/>
      <c r="J461" s="4"/>
      <c r="K461" s="4"/>
      <c r="L461" s="4"/>
      <c r="M461" s="4"/>
      <c r="N461" s="4"/>
      <c r="O461" s="4"/>
      <c r="P461" s="4"/>
    </row>
    <row r="462" spans="1:20" ht="15" customHeight="1">
      <c r="A462" s="287" t="str">
        <f t="shared" si="41"/>
        <v>FB_AI_S.XVLX</v>
      </c>
      <c r="B462" s="282">
        <v>12</v>
      </c>
      <c r="C462" s="282" t="s">
        <v>2</v>
      </c>
      <c r="D462" s="283" t="s">
        <v>175</v>
      </c>
      <c r="E462" s="4"/>
      <c r="F462" s="4"/>
      <c r="G462" s="4"/>
      <c r="H462" s="4"/>
      <c r="I462" s="4"/>
      <c r="J462" s="4"/>
      <c r="K462" s="4"/>
      <c r="L462" s="4"/>
      <c r="M462" s="4"/>
      <c r="N462" s="4"/>
      <c r="O462" s="4"/>
      <c r="P462" s="4"/>
    </row>
    <row r="463" spans="1:20" ht="15" customHeight="1">
      <c r="A463" s="275" t="str">
        <f t="shared" ref="A463:A468" si="42">$R$2&amp;".XVXX"</f>
        <v>FB_AI_S.XVXX</v>
      </c>
      <c r="B463" s="276">
        <v>7999</v>
      </c>
      <c r="C463" s="276" t="s">
        <v>0</v>
      </c>
      <c r="D463" s="277" t="str">
        <f>"#"&amp;$S$2&amp;"#"&amp;$T$2&amp;"\"&amp;$P$2&amp;"\XVXX"</f>
        <v>#2#treiOPCDA.CoOPCserv.1\pcmaster\TT_VOS\XVXX</v>
      </c>
      <c r="E463" s="4"/>
      <c r="F463" s="4"/>
      <c r="G463" s="4"/>
      <c r="H463" s="4"/>
      <c r="I463" s="4"/>
      <c r="J463" s="4"/>
      <c r="K463" s="4"/>
      <c r="L463" s="4"/>
      <c r="M463" s="4"/>
      <c r="N463" s="4"/>
      <c r="O463" s="4"/>
      <c r="P463" s="4"/>
    </row>
    <row r="464" spans="1:20" ht="15" customHeight="1">
      <c r="A464" s="278" t="str">
        <f t="shared" si="42"/>
        <v>FB_AI_S.XVXX</v>
      </c>
      <c r="B464" s="279">
        <v>7998</v>
      </c>
      <c r="C464" s="279" t="s">
        <v>6</v>
      </c>
      <c r="D464" s="280">
        <v>1</v>
      </c>
      <c r="E464" s="4"/>
      <c r="F464" s="4"/>
      <c r="G464" s="4"/>
      <c r="H464" s="4"/>
      <c r="I464" s="4"/>
      <c r="J464" s="4"/>
      <c r="K464" s="4"/>
      <c r="L464" s="4"/>
      <c r="M464" s="4"/>
      <c r="N464" s="4"/>
      <c r="O464" s="4"/>
      <c r="P464" s="4"/>
    </row>
    <row r="465" spans="1:16" ht="15" customHeight="1">
      <c r="A465" s="278" t="str">
        <f t="shared" si="42"/>
        <v>FB_AI_S.XVXX</v>
      </c>
      <c r="B465" s="279">
        <v>101</v>
      </c>
      <c r="C465" s="279" t="s">
        <v>0</v>
      </c>
      <c r="D465" s="280" t="s">
        <v>234</v>
      </c>
      <c r="E465" s="4"/>
      <c r="F465" s="4"/>
      <c r="G465" s="4"/>
      <c r="H465" s="4"/>
      <c r="I465" s="4"/>
      <c r="J465" s="4"/>
      <c r="K465" s="4"/>
      <c r="L465" s="4"/>
      <c r="M465" s="4"/>
      <c r="N465" s="4"/>
      <c r="O465" s="4"/>
      <c r="P465" s="4"/>
    </row>
    <row r="466" spans="1:16" ht="15" customHeight="1">
      <c r="A466" s="278" t="str">
        <f t="shared" si="42"/>
        <v>FB_AI_S.XVXX</v>
      </c>
      <c r="B466" s="279">
        <v>3</v>
      </c>
      <c r="C466" s="279" t="s">
        <v>1</v>
      </c>
      <c r="D466" s="280">
        <v>192</v>
      </c>
      <c r="E466" s="4"/>
      <c r="F466" s="4"/>
      <c r="G466" s="4"/>
      <c r="H466" s="4"/>
      <c r="I466" s="4"/>
      <c r="J466" s="4"/>
      <c r="K466" s="4"/>
      <c r="L466" s="4"/>
      <c r="M466" s="4"/>
      <c r="N466" s="4"/>
      <c r="O466" s="4"/>
      <c r="P466" s="4"/>
    </row>
    <row r="467" spans="1:16" ht="15" customHeight="1">
      <c r="A467" s="278" t="str">
        <f t="shared" si="42"/>
        <v>FB_AI_S.XVXX</v>
      </c>
      <c r="B467" s="279">
        <v>2</v>
      </c>
      <c r="C467" s="279" t="s">
        <v>80</v>
      </c>
      <c r="D467" s="280">
        <v>0</v>
      </c>
      <c r="E467" s="4"/>
      <c r="F467" s="4"/>
      <c r="G467" s="4"/>
      <c r="H467" s="4"/>
      <c r="I467" s="4"/>
      <c r="J467" s="4"/>
      <c r="K467" s="4"/>
      <c r="L467" s="4"/>
      <c r="M467" s="4"/>
      <c r="N467" s="4"/>
      <c r="O467" s="4"/>
      <c r="P467" s="4"/>
    </row>
    <row r="468" spans="1:16" ht="15" customHeight="1">
      <c r="A468" s="278" t="str">
        <f t="shared" si="42"/>
        <v>FB_AI_S.XVXX</v>
      </c>
      <c r="B468" s="279">
        <v>1</v>
      </c>
      <c r="C468" s="279" t="s">
        <v>1</v>
      </c>
      <c r="D468" s="280">
        <v>4</v>
      </c>
      <c r="E468" s="4"/>
      <c r="F468" s="4"/>
      <c r="G468" s="4"/>
      <c r="H468" s="4"/>
      <c r="I468" s="4"/>
      <c r="J468" s="4"/>
      <c r="K468" s="4"/>
      <c r="L468" s="4"/>
      <c r="M468" s="4"/>
      <c r="N468" s="4"/>
      <c r="O468" s="4"/>
      <c r="P468" s="4"/>
    </row>
    <row r="469" spans="1:16" ht="15" customHeight="1">
      <c r="A469" s="275" t="str">
        <f t="shared" ref="A469:A474" si="43">$R$2&amp;".SZCX"</f>
        <v>FB_AI_S.SZCX</v>
      </c>
      <c r="B469" s="276">
        <v>7999</v>
      </c>
      <c r="C469" s="276" t="s">
        <v>0</v>
      </c>
      <c r="D469" s="277" t="str">
        <f>"#"&amp;$S$2&amp;"#"&amp;$T$2&amp;"\"&amp;$P$2&amp;"\SZCX"</f>
        <v>#2#treiOPCDA.CoOPCserv.1\pcmaster\TT_VOS\SZCX</v>
      </c>
      <c r="E469" s="4"/>
      <c r="F469" s="4"/>
      <c r="G469" s="4"/>
      <c r="H469" s="4"/>
      <c r="I469" s="4"/>
      <c r="J469" s="4"/>
      <c r="K469" s="4"/>
      <c r="L469" s="4"/>
      <c r="M469" s="4"/>
      <c r="N469" s="4"/>
      <c r="O469" s="4"/>
      <c r="P469" s="4"/>
    </row>
    <row r="470" spans="1:16" ht="15" customHeight="1">
      <c r="A470" s="278" t="str">
        <f t="shared" si="43"/>
        <v>FB_AI_S.SZCX</v>
      </c>
      <c r="B470" s="279">
        <v>7998</v>
      </c>
      <c r="C470" s="279" t="s">
        <v>6</v>
      </c>
      <c r="D470" s="280">
        <v>1</v>
      </c>
    </row>
    <row r="471" spans="1:16" ht="15" customHeight="1">
      <c r="A471" s="278" t="str">
        <f t="shared" si="43"/>
        <v>FB_AI_S.SZCX</v>
      </c>
      <c r="B471" s="279">
        <v>101</v>
      </c>
      <c r="C471" s="279" t="s">
        <v>0</v>
      </c>
      <c r="D471" s="280" t="s">
        <v>35</v>
      </c>
    </row>
    <row r="472" spans="1:16" ht="15" customHeight="1">
      <c r="A472" s="278" t="str">
        <f t="shared" si="43"/>
        <v>FB_AI_S.SZCX</v>
      </c>
      <c r="B472" s="279">
        <v>3</v>
      </c>
      <c r="C472" s="279" t="s">
        <v>1</v>
      </c>
      <c r="D472" s="280">
        <v>192</v>
      </c>
    </row>
    <row r="473" spans="1:16" ht="15" customHeight="1">
      <c r="A473" s="278" t="str">
        <f t="shared" si="43"/>
        <v>FB_AI_S.SZCX</v>
      </c>
      <c r="B473" s="279">
        <v>2</v>
      </c>
      <c r="C473" s="279" t="s">
        <v>80</v>
      </c>
      <c r="D473" s="280">
        <v>0</v>
      </c>
    </row>
    <row r="474" spans="1:16" ht="15" customHeight="1">
      <c r="A474" s="281" t="str">
        <f t="shared" si="43"/>
        <v>FB_AI_S.SZCX</v>
      </c>
      <c r="B474" s="282">
        <v>1</v>
      </c>
      <c r="C474" s="282" t="s">
        <v>1</v>
      </c>
      <c r="D474" s="283">
        <v>4</v>
      </c>
    </row>
    <row r="475" spans="1:16" ht="15" customHeight="1">
      <c r="A475" s="266" t="str">
        <f t="shared" ref="A475:A480" si="44">$R$2&amp;".STSX"</f>
        <v>FB_AI_S.STSX</v>
      </c>
      <c r="B475" s="267">
        <v>7999</v>
      </c>
      <c r="C475" s="267" t="s">
        <v>0</v>
      </c>
      <c r="D475" s="268" t="str">
        <f>"#"&amp;$S$2&amp;"#"&amp;$T$2&amp;"\"&amp;$P$2&amp;"\STSX"</f>
        <v>#2#treiOPCDA.CoOPCserv.1\pcmaster\TT_VOS\STSX</v>
      </c>
    </row>
    <row r="476" spans="1:16" ht="15" customHeight="1">
      <c r="A476" s="269" t="str">
        <f t="shared" si="44"/>
        <v>FB_AI_S.STSX</v>
      </c>
      <c r="B476" s="270">
        <v>7998</v>
      </c>
      <c r="C476" s="270" t="s">
        <v>6</v>
      </c>
      <c r="D476" s="271">
        <v>1</v>
      </c>
    </row>
    <row r="477" spans="1:16" ht="15" customHeight="1">
      <c r="A477" s="269" t="str">
        <f t="shared" si="44"/>
        <v>FB_AI_S.STSX</v>
      </c>
      <c r="B477" s="270">
        <v>101</v>
      </c>
      <c r="C477" s="270" t="s">
        <v>0</v>
      </c>
      <c r="D477" s="271" t="s">
        <v>34</v>
      </c>
    </row>
    <row r="478" spans="1:16" ht="15" customHeight="1">
      <c r="A478" s="269" t="str">
        <f t="shared" si="44"/>
        <v>FB_AI_S.STSX</v>
      </c>
      <c r="B478" s="270">
        <v>3</v>
      </c>
      <c r="C478" s="270" t="s">
        <v>1</v>
      </c>
      <c r="D478" s="271">
        <v>192</v>
      </c>
    </row>
    <row r="479" spans="1:16" ht="15" customHeight="1">
      <c r="A479" s="269" t="str">
        <f t="shared" si="44"/>
        <v>FB_AI_S.STSX</v>
      </c>
      <c r="B479" s="270">
        <v>2</v>
      </c>
      <c r="C479" s="270" t="s">
        <v>6</v>
      </c>
      <c r="D479" s="271">
        <v>0</v>
      </c>
    </row>
    <row r="480" spans="1:16" ht="15" customHeight="1">
      <c r="A480" s="272" t="str">
        <f t="shared" si="44"/>
        <v>FB_AI_S.STSX</v>
      </c>
      <c r="B480" s="273">
        <v>1</v>
      </c>
      <c r="C480" s="273" t="s">
        <v>1</v>
      </c>
      <c r="D480" s="274">
        <v>3</v>
      </c>
    </row>
    <row r="481" spans="1:4" ht="15" customHeight="1">
      <c r="A481" s="266" t="str">
        <f t="shared" ref="A481:A486" si="45">$R$2&amp;".SFTX"</f>
        <v>FB_AI_S.SFTX</v>
      </c>
      <c r="B481" s="267">
        <v>7999</v>
      </c>
      <c r="C481" s="267" t="s">
        <v>0</v>
      </c>
      <c r="D481" s="268" t="str">
        <f>"#"&amp;$S$2&amp;"#"&amp;$T$2&amp;"\"&amp;$P$2&amp;"\SFTX"</f>
        <v>#2#treiOPCDA.CoOPCserv.1\pcmaster\TT_VOS\SFTX</v>
      </c>
    </row>
    <row r="482" spans="1:4" ht="15" customHeight="1">
      <c r="A482" s="269" t="str">
        <f t="shared" si="45"/>
        <v>FB_AI_S.SFTX</v>
      </c>
      <c r="B482" s="270">
        <v>7998</v>
      </c>
      <c r="C482" s="270" t="s">
        <v>6</v>
      </c>
      <c r="D482" s="271">
        <v>1</v>
      </c>
    </row>
    <row r="483" spans="1:4" ht="15" customHeight="1">
      <c r="A483" s="269" t="str">
        <f t="shared" si="45"/>
        <v>FB_AI_S.SFTX</v>
      </c>
      <c r="B483" s="270">
        <v>101</v>
      </c>
      <c r="C483" s="270" t="s">
        <v>0</v>
      </c>
      <c r="D483" s="271" t="s">
        <v>25</v>
      </c>
    </row>
    <row r="484" spans="1:4" ht="15" customHeight="1">
      <c r="A484" s="269" t="str">
        <f t="shared" si="45"/>
        <v>FB_AI_S.SFTX</v>
      </c>
      <c r="B484" s="270">
        <v>3</v>
      </c>
      <c r="C484" s="270" t="s">
        <v>1</v>
      </c>
      <c r="D484" s="271">
        <v>192</v>
      </c>
    </row>
    <row r="485" spans="1:4" ht="15" customHeight="1">
      <c r="A485" s="269" t="str">
        <f t="shared" si="45"/>
        <v>FB_AI_S.SFTX</v>
      </c>
      <c r="B485" s="270">
        <v>2</v>
      </c>
      <c r="C485" s="270" t="s">
        <v>6</v>
      </c>
      <c r="D485" s="271">
        <v>0</v>
      </c>
    </row>
    <row r="486" spans="1:4" ht="15" customHeight="1">
      <c r="A486" s="272" t="str">
        <f t="shared" si="45"/>
        <v>FB_AI_S.SFTX</v>
      </c>
      <c r="B486" s="273">
        <v>1</v>
      </c>
      <c r="C486" s="273" t="s">
        <v>1</v>
      </c>
      <c r="D486" s="274">
        <v>3</v>
      </c>
    </row>
    <row r="487" spans="1:4" ht="15" customHeight="1">
      <c r="A487" s="269" t="str">
        <f t="shared" ref="A487:A492" si="46">$R$2&amp;".DSTX"</f>
        <v>FB_AI_S.DSTX</v>
      </c>
      <c r="B487" s="267">
        <v>7999</v>
      </c>
      <c r="C487" s="267" t="s">
        <v>0</v>
      </c>
      <c r="D487" s="268" t="str">
        <f>"#"&amp;$S$2&amp;"#"&amp;$T$2&amp;"\"&amp;$P$2&amp;"\DSTX"</f>
        <v>#2#treiOPCDA.CoOPCserv.1\pcmaster\TT_VOS\DSTX</v>
      </c>
    </row>
    <row r="488" spans="1:4" ht="15" customHeight="1">
      <c r="A488" s="269" t="str">
        <f t="shared" si="46"/>
        <v>FB_AI_S.DSTX</v>
      </c>
      <c r="B488" s="270">
        <v>7998</v>
      </c>
      <c r="C488" s="270" t="s">
        <v>6</v>
      </c>
      <c r="D488" s="271">
        <v>1</v>
      </c>
    </row>
    <row r="489" spans="1:4" ht="15" customHeight="1">
      <c r="A489" s="269" t="str">
        <f t="shared" si="46"/>
        <v>FB_AI_S.DSTX</v>
      </c>
      <c r="B489" s="270">
        <v>101</v>
      </c>
      <c r="C489" s="270" t="s">
        <v>0</v>
      </c>
      <c r="D489" s="271" t="s">
        <v>709</v>
      </c>
    </row>
    <row r="490" spans="1:4" ht="15" customHeight="1">
      <c r="A490" s="269" t="str">
        <f t="shared" si="46"/>
        <v>FB_AI_S.DSTX</v>
      </c>
      <c r="B490" s="270">
        <v>3</v>
      </c>
      <c r="C490" s="270" t="s">
        <v>1</v>
      </c>
      <c r="D490" s="271">
        <v>192</v>
      </c>
    </row>
    <row r="491" spans="1:4" ht="15" customHeight="1">
      <c r="A491" s="269" t="str">
        <f t="shared" si="46"/>
        <v>FB_AI_S.DSTX</v>
      </c>
      <c r="B491" s="270">
        <v>2</v>
      </c>
      <c r="C491" s="270" t="s">
        <v>6</v>
      </c>
      <c r="D491" s="271">
        <v>0</v>
      </c>
    </row>
    <row r="492" spans="1:4" ht="15" customHeight="1">
      <c r="A492" s="272" t="str">
        <f t="shared" si="46"/>
        <v>FB_AI_S.DSTX</v>
      </c>
      <c r="B492" s="273">
        <v>1</v>
      </c>
      <c r="C492" s="273" t="s">
        <v>1</v>
      </c>
      <c r="D492" s="274">
        <v>3</v>
      </c>
    </row>
    <row r="493" spans="1:4" ht="15" customHeight="1">
      <c r="A493" s="59"/>
      <c r="B493" s="4"/>
      <c r="C493" s="4"/>
      <c r="D493" s="4"/>
    </row>
    <row r="494" spans="1:4" ht="15" customHeight="1">
      <c r="A494" s="59"/>
      <c r="B494" s="4"/>
      <c r="C494" s="4"/>
      <c r="D494" s="4"/>
    </row>
    <row r="495" spans="1:4" ht="15" customHeight="1">
      <c r="A495" s="59"/>
      <c r="B495" s="4"/>
      <c r="C495" s="4"/>
      <c r="D495" s="4"/>
    </row>
  </sheetData>
  <autoFilter ref="B1:B492" xr:uid="{00000000-0009-0000-0000-00000A000000}"/>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Лист7">
    <tabColor rgb="FFFFC000"/>
  </sheetPr>
  <dimension ref="A1:BP142"/>
  <sheetViews>
    <sheetView topLeftCell="A10" zoomScale="80" zoomScaleNormal="80"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57" t="s">
        <v>84</v>
      </c>
      <c r="C1" s="257"/>
      <c r="D1" s="257"/>
      <c r="E1" s="257"/>
      <c r="F1" s="257"/>
      <c r="P1" s="263"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1"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61"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61" t="str">
        <f>Таблица!AL1</f>
        <v>Для TREI
FB_IMstp_S, FB_IMs_S, FB_IMp_S, FB_IMv_S, FB_IM_ADES_S: Настройка перехода ручной-/автоматический-(TRUE/FALSE) 
FB_DI_S: Генерировать метки времени (TRUE/FALSE)</v>
      </c>
      <c r="AY1" s="261"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61" t="str">
        <f>Таблица!AN1</f>
        <v>Для TREI
FB_AI_S, FB_QSA_S: Верхний предел датчика
FB_IMp_S, FB_IMv_S, FB_IM_ADES_S, FB_OZK_KD_S: Время перестановки</v>
      </c>
      <c r="BA1" s="261"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t="s">
        <v>1397</v>
      </c>
      <c r="Q2" s="2" t="s">
        <v>763</v>
      </c>
      <c r="R2" s="2" t="s">
        <v>592</v>
      </c>
      <c r="S2" s="3">
        <v>1</v>
      </c>
      <c r="T2" s="3" t="s">
        <v>1698</v>
      </c>
      <c r="U2" s="3"/>
      <c r="V2" s="3" t="s">
        <v>569</v>
      </c>
      <c r="W2" s="12" t="s">
        <v>293</v>
      </c>
      <c r="X2" s="12"/>
      <c r="Y2" s="12"/>
      <c r="Z2" s="12" t="s">
        <v>249</v>
      </c>
      <c r="AA2" s="12" t="s">
        <v>293</v>
      </c>
      <c r="AB2" s="2" t="s">
        <v>230</v>
      </c>
      <c r="AC2" s="2" t="s">
        <v>226</v>
      </c>
      <c r="AD2" s="2"/>
      <c r="AE2" s="2" t="s">
        <v>1414</v>
      </c>
      <c r="AF2" s="2"/>
      <c r="AG2" s="2"/>
      <c r="AH2" s="2"/>
      <c r="AI2" s="2"/>
      <c r="AJ2" s="2"/>
      <c r="AK2" s="2" t="s">
        <v>1215</v>
      </c>
      <c r="AL2" s="2"/>
      <c r="AM2" s="2"/>
      <c r="AN2" s="2"/>
      <c r="AO2" s="2"/>
      <c r="AP2" s="2"/>
      <c r="AQ2" s="2"/>
      <c r="AR2" s="2"/>
      <c r="AS2" s="2"/>
      <c r="AT2" s="2"/>
      <c r="AU2" s="2"/>
      <c r="AV2" s="2"/>
      <c r="AW2" s="2">
        <v>2</v>
      </c>
      <c r="AX2" s="2" t="s">
        <v>72</v>
      </c>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AB3" s="10"/>
      <c r="AC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AB4" s="10"/>
      <c r="AC4" s="10"/>
      <c r="BM4" s="4"/>
      <c r="BN4" s="4"/>
      <c r="BO4" s="4"/>
      <c r="BP4" s="4"/>
    </row>
    <row r="5" spans="1:68"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AB5" s="10"/>
      <c r="AC5" s="10"/>
      <c r="BM5" s="4"/>
      <c r="BN5" s="4"/>
      <c r="BO5" s="4"/>
      <c r="BP5" s="4"/>
    </row>
    <row r="6" spans="1:68"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AB6" s="10"/>
      <c r="AC6" s="10"/>
      <c r="BM6" s="4"/>
      <c r="BN6" s="4"/>
      <c r="BO6" s="4"/>
      <c r="BP6" s="4"/>
    </row>
    <row r="7" spans="1:68"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AB7" s="10"/>
      <c r="AC7" s="10"/>
      <c r="BM7" s="4"/>
      <c r="BN7" s="4"/>
      <c r="BO7" s="4"/>
      <c r="BP7" s="4"/>
    </row>
    <row r="8" spans="1:68" ht="15" customHeight="1">
      <c r="A8" s="9"/>
      <c r="B8" s="9"/>
      <c r="C8" s="9"/>
      <c r="D8" s="9"/>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AB8" s="10"/>
      <c r="AC8" s="10"/>
      <c r="BM8" s="4"/>
      <c r="BN8" s="4"/>
      <c r="BO8" s="4"/>
      <c r="BP8" s="4"/>
    </row>
    <row r="9" spans="1:68" ht="15" customHeight="1">
      <c r="A9" s="9"/>
      <c r="B9" s="9"/>
      <c r="C9" s="9"/>
      <c r="D9" s="9"/>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AB9" s="10"/>
      <c r="AC9" s="10"/>
      <c r="BM9" s="4"/>
      <c r="BN9" s="4"/>
      <c r="BO9" s="4"/>
      <c r="BP9" s="4"/>
    </row>
    <row r="10" spans="1:68" ht="15" customHeight="1">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AB10" s="10"/>
      <c r="AC10" s="10"/>
      <c r="BM10" s="4"/>
      <c r="BN10" s="4"/>
      <c r="BO10" s="4"/>
      <c r="BP10" s="4"/>
    </row>
    <row r="11" spans="1:68" ht="15" customHeight="1">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AB11" s="10"/>
      <c r="AC11" s="10"/>
      <c r="BM11" s="4"/>
      <c r="BN11" s="4"/>
      <c r="BO11" s="4"/>
      <c r="BP11" s="4"/>
    </row>
    <row r="12" spans="1:68"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AB12" s="10"/>
      <c r="AC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AB13" s="10"/>
      <c r="AC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AB14" s="10"/>
      <c r="AC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AB15" s="10"/>
      <c r="AC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AB16" s="10"/>
      <c r="AC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AB17" s="10"/>
      <c r="AC17" s="10"/>
      <c r="BM17" s="4"/>
      <c r="BN17" s="4"/>
      <c r="BO17" s="4"/>
      <c r="BP17" s="4"/>
    </row>
    <row r="18" spans="1:68"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AB18" s="10"/>
      <c r="AC18" s="10"/>
      <c r="BM18" s="4"/>
      <c r="BN18" s="4"/>
      <c r="BO18" s="4"/>
      <c r="BP18" s="4"/>
    </row>
    <row r="19" spans="1:68"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AB19" s="10"/>
      <c r="AC19" s="10"/>
      <c r="BM19" s="4"/>
      <c r="BN19" s="4"/>
      <c r="BO19" s="4"/>
      <c r="BP19" s="4"/>
    </row>
    <row r="20" spans="1:68" ht="15" customHeight="1">
      <c r="A20" s="16" t="str">
        <f t="shared" ref="A20:A32" si="0">$R$2</f>
        <v>FB_DI_S</v>
      </c>
      <c r="B20" s="17">
        <v>11001</v>
      </c>
      <c r="C20" s="17" t="s">
        <v>0</v>
      </c>
      <c r="D20" s="18" t="str">
        <f>$Q$2</f>
        <v>Дискретный датчик FB</v>
      </c>
      <c r="E20" s="4"/>
      <c r="F20" s="4"/>
      <c r="BM20" s="4"/>
      <c r="BN20" s="4"/>
      <c r="BO20" s="4"/>
      <c r="BP20" s="4"/>
    </row>
    <row r="21" spans="1:68" ht="15" customHeight="1">
      <c r="A21" s="19" t="str">
        <f t="shared" si="0"/>
        <v>FB_DI_S</v>
      </c>
      <c r="B21" s="11">
        <v>11156</v>
      </c>
      <c r="C21" s="11" t="s">
        <v>0</v>
      </c>
      <c r="D21" s="20" t="str">
        <f>$V$2</f>
        <v>Тестовый экран</v>
      </c>
      <c r="E21" s="4"/>
      <c r="F21" s="4"/>
      <c r="BM21" s="4"/>
      <c r="BN21" s="4"/>
      <c r="BO21" s="4"/>
      <c r="BP21" s="4"/>
    </row>
    <row r="22" spans="1:68" ht="15" customHeight="1">
      <c r="A22" s="19" t="str">
        <f t="shared" si="0"/>
        <v>FB_DI_S</v>
      </c>
      <c r="B22" s="11">
        <v>1</v>
      </c>
      <c r="C22" s="11" t="s">
        <v>1</v>
      </c>
      <c r="D22" s="20">
        <v>17</v>
      </c>
      <c r="BM22" s="4"/>
      <c r="BN22" s="4"/>
      <c r="BO22" s="4"/>
      <c r="BP22" s="4"/>
    </row>
    <row r="23" spans="1:68" ht="15" customHeight="1">
      <c r="A23" s="16" t="str">
        <f t="shared" si="0"/>
        <v>FB_DI_S</v>
      </c>
      <c r="B23" s="17">
        <v>100</v>
      </c>
      <c r="C23" s="17" t="s">
        <v>0</v>
      </c>
      <c r="D23" s="18" t="b">
        <f>$T$7</f>
        <v>0</v>
      </c>
      <c r="BF23" s="4"/>
      <c r="BG23" s="4"/>
      <c r="BH23" s="4"/>
      <c r="BI23" s="4"/>
    </row>
    <row r="24" spans="1:68" ht="15" customHeight="1">
      <c r="A24" s="19" t="str">
        <f t="shared" si="0"/>
        <v>FB_DI_S</v>
      </c>
      <c r="B24" s="11">
        <v>11120</v>
      </c>
      <c r="C24" s="11" t="s">
        <v>0</v>
      </c>
      <c r="D24" s="20" t="str">
        <f>$AC$2</f>
        <v>Желтый</v>
      </c>
      <c r="BM24" s="4"/>
      <c r="BN24" s="4"/>
      <c r="BO24" s="4"/>
      <c r="BP24" s="4"/>
    </row>
    <row r="25" spans="1:68" ht="15" customHeight="1">
      <c r="A25" s="19" t="str">
        <f t="shared" si="0"/>
        <v>FB_DI_S</v>
      </c>
      <c r="B25" s="11">
        <v>11121</v>
      </c>
      <c r="C25" s="11" t="s">
        <v>0</v>
      </c>
      <c r="D25" s="20" t="str">
        <f>$AK$2</f>
        <v>1+1</v>
      </c>
      <c r="BM25" s="4"/>
      <c r="BN25" s="4"/>
      <c r="BO25" s="4"/>
      <c r="BP25" s="4"/>
    </row>
    <row r="26" spans="1:68" ht="15" customHeight="1">
      <c r="A26" s="19" t="str">
        <f t="shared" si="0"/>
        <v>FB_DI_S</v>
      </c>
      <c r="B26" s="11">
        <v>11122</v>
      </c>
      <c r="C26" s="11" t="s">
        <v>0</v>
      </c>
      <c r="D26" s="20" t="str">
        <f>$AA$2</f>
        <v>-</v>
      </c>
      <c r="BM26" s="4"/>
      <c r="BN26" s="4"/>
      <c r="BO26" s="4"/>
      <c r="BP26" s="4"/>
    </row>
    <row r="27" spans="1:68" ht="15" customHeight="1">
      <c r="A27" s="19" t="str">
        <f t="shared" si="0"/>
        <v>FB_DI_S</v>
      </c>
      <c r="B27" s="11">
        <v>11123</v>
      </c>
      <c r="C27" s="11" t="s">
        <v>0</v>
      </c>
      <c r="D27" s="20" t="str">
        <f>$Z$2</f>
        <v>ЗРУ</v>
      </c>
      <c r="BM27" s="4"/>
      <c r="BN27" s="4"/>
      <c r="BO27" s="4"/>
      <c r="BP27" s="4"/>
    </row>
    <row r="28" spans="1:68" ht="15" customHeight="1">
      <c r="A28" s="21" t="str">
        <f t="shared" si="0"/>
        <v>FB_DI_S</v>
      </c>
      <c r="B28" s="8">
        <v>11124</v>
      </c>
      <c r="C28" s="8" t="s">
        <v>0</v>
      </c>
      <c r="D28" s="22" t="str">
        <f>$W$2</f>
        <v>-</v>
      </c>
      <c r="BM28" s="4"/>
      <c r="BN28" s="4"/>
      <c r="BO28" s="4"/>
      <c r="BP28" s="4"/>
    </row>
    <row r="29" spans="1:68" ht="15" customHeight="1">
      <c r="A29" s="19" t="str">
        <f t="shared" si="0"/>
        <v>FB_DI_S</v>
      </c>
      <c r="B29" s="11">
        <v>13</v>
      </c>
      <c r="C29" s="11" t="s">
        <v>2</v>
      </c>
      <c r="D29" s="20" t="s">
        <v>3</v>
      </c>
      <c r="BF29" s="4"/>
      <c r="BG29" s="4"/>
      <c r="BH29" s="4"/>
      <c r="BI29" s="4"/>
    </row>
    <row r="30" spans="1:68" ht="15" customHeight="1">
      <c r="A30" s="19" t="str">
        <f t="shared" si="0"/>
        <v>FB_DI_S</v>
      </c>
      <c r="B30" s="11">
        <v>3000013</v>
      </c>
      <c r="C30" s="11" t="s">
        <v>0</v>
      </c>
      <c r="D30" s="20" t="str">
        <f>$AE$2</f>
        <v>Диагностика.CPU.NOT_LINK.noLink</v>
      </c>
      <c r="BF30" s="4"/>
      <c r="BG30" s="4"/>
      <c r="BH30" s="4"/>
      <c r="BI30" s="4"/>
    </row>
    <row r="31" spans="1:68" ht="15" customHeight="1">
      <c r="A31" s="19" t="str">
        <f t="shared" si="0"/>
        <v>FB_DI_S</v>
      </c>
      <c r="B31" s="11">
        <v>4000013</v>
      </c>
      <c r="C31" s="11" t="s">
        <v>0</v>
      </c>
      <c r="D31" s="20" t="s">
        <v>1769</v>
      </c>
      <c r="BF31" s="4"/>
      <c r="BG31" s="4"/>
      <c r="BH31" s="4"/>
      <c r="BI31" s="4"/>
    </row>
    <row r="32" spans="1:68" ht="15" customHeight="1">
      <c r="A32" s="21" t="str">
        <f t="shared" si="0"/>
        <v>FB_DI_S</v>
      </c>
      <c r="B32" s="8">
        <v>7000013</v>
      </c>
      <c r="C32" s="8" t="s">
        <v>6</v>
      </c>
      <c r="D32" s="22">
        <v>2</v>
      </c>
      <c r="BF32" s="4"/>
      <c r="BG32" s="4"/>
      <c r="BH32" s="4"/>
      <c r="BI32" s="4"/>
    </row>
    <row r="33" spans="1:68" ht="15" customHeight="1">
      <c r="A33" s="69" t="str">
        <f t="shared" ref="A33:A42" si="1">$R$2&amp;".XDAX"</f>
        <v>FB_DI_S.XDAX</v>
      </c>
      <c r="B33" s="70">
        <v>11154</v>
      </c>
      <c r="C33" s="70" t="s">
        <v>4</v>
      </c>
      <c r="D33" s="144">
        <f>$Q$6</f>
        <v>8</v>
      </c>
      <c r="BM33" s="4"/>
      <c r="BN33" s="4"/>
      <c r="BO33" s="4"/>
      <c r="BP33" s="4"/>
    </row>
    <row r="34" spans="1:68" ht="15" customHeight="1">
      <c r="A34" s="63" t="str">
        <f t="shared" si="1"/>
        <v>FB_DI_S.XDAX</v>
      </c>
      <c r="B34" s="64">
        <v>11150</v>
      </c>
      <c r="C34" s="64" t="s">
        <v>0</v>
      </c>
      <c r="D34" s="65" t="s">
        <v>528</v>
      </c>
      <c r="BM34" s="4"/>
      <c r="BN34" s="4"/>
      <c r="BO34" s="4"/>
      <c r="BP34" s="4"/>
    </row>
    <row r="35" spans="1:68" ht="15" customHeight="1">
      <c r="A35" s="63" t="str">
        <f t="shared" si="1"/>
        <v>FB_DI_S.XDAX</v>
      </c>
      <c r="B35" s="64">
        <v>11152</v>
      </c>
      <c r="C35" s="64" t="s">
        <v>0</v>
      </c>
      <c r="D35" s="99" t="str">
        <f>$R$6</f>
        <v>Предупреждение</v>
      </c>
      <c r="BM35" s="4"/>
      <c r="BN35" s="4"/>
      <c r="BO35" s="4"/>
      <c r="BP35" s="4"/>
    </row>
    <row r="36" spans="1:68" ht="15" customHeight="1">
      <c r="A36" s="63" t="str">
        <f t="shared" si="1"/>
        <v>FB_DI_S.XDAX</v>
      </c>
      <c r="B36" s="64">
        <v>11000</v>
      </c>
      <c r="C36" s="64" t="s">
        <v>5</v>
      </c>
      <c r="D36" s="65">
        <v>2147483680</v>
      </c>
      <c r="BM36" s="4"/>
      <c r="BN36" s="4"/>
      <c r="BO36" s="4"/>
      <c r="BP36" s="4"/>
    </row>
    <row r="37" spans="1:68" ht="15" customHeight="1">
      <c r="A37" s="19" t="str">
        <f t="shared" si="1"/>
        <v>FB_DI_S.XDAX</v>
      </c>
      <c r="B37" s="11">
        <v>7999</v>
      </c>
      <c r="C37" s="11" t="s">
        <v>0</v>
      </c>
      <c r="D37" s="20" t="str">
        <f>"#"&amp;$S$2&amp;"#"&amp;$T$2&amp;"\"&amp;$P$2&amp;"\XDAX"</f>
        <v>#1#treiOPCDA.CoOPCserv.1\pcmaster\AVR_OK\XDAX</v>
      </c>
      <c r="BM37" s="4"/>
      <c r="BN37" s="4"/>
      <c r="BO37" s="4"/>
      <c r="BP37" s="4"/>
    </row>
    <row r="38" spans="1:68" ht="15" customHeight="1">
      <c r="A38" s="19" t="str">
        <f t="shared" si="1"/>
        <v>FB_DI_S.XDAX</v>
      </c>
      <c r="B38" s="11">
        <v>7998</v>
      </c>
      <c r="C38" s="11" t="s">
        <v>6</v>
      </c>
      <c r="D38" s="20">
        <v>1</v>
      </c>
      <c r="BM38" s="4"/>
      <c r="BN38" s="4"/>
      <c r="BO38" s="4"/>
      <c r="BP38" s="4"/>
    </row>
    <row r="39" spans="1:68" ht="15" customHeight="1">
      <c r="A39" s="19" t="str">
        <f t="shared" si="1"/>
        <v>FB_DI_S.XDAX</v>
      </c>
      <c r="B39" s="11">
        <v>101</v>
      </c>
      <c r="C39" s="11" t="s">
        <v>0</v>
      </c>
      <c r="D39" s="20" t="s">
        <v>180</v>
      </c>
      <c r="BM39" s="4"/>
      <c r="BN39" s="4"/>
      <c r="BO39" s="4"/>
      <c r="BP39" s="4"/>
    </row>
    <row r="40" spans="1:68" ht="15" customHeight="1">
      <c r="A40" s="19" t="str">
        <f t="shared" si="1"/>
        <v>FB_DI_S.XDAX</v>
      </c>
      <c r="B40" s="11">
        <v>3</v>
      </c>
      <c r="C40" s="11" t="s">
        <v>1</v>
      </c>
      <c r="D40" s="20">
        <v>192</v>
      </c>
      <c r="BM40" s="4"/>
      <c r="BN40" s="4"/>
      <c r="BO40" s="4"/>
      <c r="BP40" s="4"/>
    </row>
    <row r="41" spans="1:68" ht="15" customHeight="1">
      <c r="A41" s="19" t="str">
        <f t="shared" si="1"/>
        <v>FB_DI_S.XDAX</v>
      </c>
      <c r="B41" s="11">
        <v>2</v>
      </c>
      <c r="C41" s="11" t="s">
        <v>2</v>
      </c>
      <c r="D41" s="20" t="s">
        <v>3</v>
      </c>
      <c r="BM41" s="4"/>
      <c r="BN41" s="4"/>
      <c r="BO41" s="4"/>
      <c r="BP41" s="4"/>
    </row>
    <row r="42" spans="1:68" ht="15" customHeight="1">
      <c r="A42" s="21" t="str">
        <f t="shared" si="1"/>
        <v>FB_DI_S.XDAX</v>
      </c>
      <c r="B42" s="8">
        <v>1</v>
      </c>
      <c r="C42" s="8" t="s">
        <v>1</v>
      </c>
      <c r="D42" s="22">
        <v>11</v>
      </c>
      <c r="BM42" s="4"/>
      <c r="BN42" s="4"/>
      <c r="BO42" s="4"/>
      <c r="BP42" s="4"/>
    </row>
    <row r="43" spans="1:68" ht="15" customHeight="1">
      <c r="A43" s="241" t="str">
        <f t="shared" ref="A43:A52" si="2">$R$2&amp;".XVLX"</f>
        <v>FB_DI_S.XVLX</v>
      </c>
      <c r="B43" s="242">
        <v>11154</v>
      </c>
      <c r="C43" s="242" t="s">
        <v>4</v>
      </c>
      <c r="D43" s="243">
        <f>IF($AB$2=$P$5,$Q$5,IF($AB$2=$P$6,$Q$6,IF($AB$2=$P$7,$Q$7,IF($AB$2=$P$8,$Q$8,IF($AB$2=$P$9,$Q$9,IF($AB$2=$P$10,$Q$10,IF($AB$2=$P$11,$Q$11,IF($AB$2=$P$12,$Q$12,IF($AB$2=$P$13,$Q$13,IF($AB$2=$P$14,$Q$14,IF($AB$2=$P$15,$Q$15,IF($AB$2=$P$16,$Q$16,IF($AB$2=$P$17,$Q$17,IF($AB$2=$P$18,$Q$18,IF($AB$2=$P$19,$Q$19,0)))))))))))))))</f>
        <v>8</v>
      </c>
      <c r="BM43" s="4"/>
      <c r="BN43" s="4"/>
      <c r="BO43" s="4"/>
      <c r="BP43" s="4"/>
    </row>
    <row r="44" spans="1:68" ht="15" customHeight="1">
      <c r="A44" s="244" t="str">
        <f t="shared" si="2"/>
        <v>FB_DI_S.XVLX</v>
      </c>
      <c r="B44" s="245">
        <v>11150</v>
      </c>
      <c r="C44" s="245" t="s">
        <v>0</v>
      </c>
      <c r="D44" s="246" t="s">
        <v>178</v>
      </c>
      <c r="BM44" s="4"/>
      <c r="BN44" s="4"/>
      <c r="BO44" s="4"/>
      <c r="BP44" s="4"/>
    </row>
    <row r="45" spans="1:68" ht="15" customHeight="1">
      <c r="A45" s="244" t="str">
        <f t="shared" si="2"/>
        <v>FB_DI_S.XVLX</v>
      </c>
      <c r="B45" s="245">
        <v>11152</v>
      </c>
      <c r="C45" s="245" t="s">
        <v>0</v>
      </c>
      <c r="D45" s="247" t="str">
        <f>IF($AB$2=$P$5,$R$5,IF($AB$2=$P$6,$R$6,IF($AB$2=$P$7,$R$7,IF($AB$2=$P$8,$R$8,IF($AB$2=$P$9,$R$9,IF($AB$2=$P$10,$R$10,IF($AB$2=$P$11,$R$11,IF($AB$2=$P$12,$R$12,IF($AB$2=$P$13,$R$13,IF($AB$2=$P$14,$R$14,IF($AB$2=$P$15,$R$15,IF($AB$2=$P$16,$R$16,IF($AB$2=$P$17,$R$17,IF($AB$2=$P$18,$R$18,IF($AB$2=$P$19,$R$19,0)))))))))))))))</f>
        <v>Предупреждение</v>
      </c>
      <c r="BM45" s="4"/>
      <c r="BN45" s="4"/>
      <c r="BO45" s="4"/>
      <c r="BP45" s="4"/>
    </row>
    <row r="46" spans="1:68" ht="15" customHeight="1">
      <c r="A46" s="244" t="str">
        <f t="shared" si="2"/>
        <v>FB_DI_S.XVLX</v>
      </c>
      <c r="B46" s="245">
        <v>11000</v>
      </c>
      <c r="C46" s="245" t="s">
        <v>5</v>
      </c>
      <c r="D46" s="246">
        <v>2147483680</v>
      </c>
      <c r="BM46" s="4"/>
      <c r="BN46" s="4"/>
      <c r="BO46" s="4"/>
      <c r="BP46" s="4"/>
    </row>
    <row r="47" spans="1:68" ht="15" customHeight="1">
      <c r="A47" s="19" t="str">
        <f t="shared" si="2"/>
        <v>FB_DI_S.XVLX</v>
      </c>
      <c r="B47" s="11">
        <v>7999</v>
      </c>
      <c r="C47" s="11" t="s">
        <v>0</v>
      </c>
      <c r="D47" s="20" t="str">
        <f>"#"&amp;$S$2&amp;"#"&amp;$T$2&amp;"\"&amp;$P$2&amp;"\XVLX"</f>
        <v>#1#treiOPCDA.CoOPCserv.1\pcmaster\AVR_OK\XVLX</v>
      </c>
      <c r="BM47" s="4"/>
      <c r="BN47" s="4"/>
      <c r="BO47" s="4"/>
      <c r="BP47" s="4"/>
    </row>
    <row r="48" spans="1:68" ht="15" customHeight="1">
      <c r="A48" s="19" t="str">
        <f t="shared" si="2"/>
        <v>FB_DI_S.XVLX</v>
      </c>
      <c r="B48" s="11">
        <v>7998</v>
      </c>
      <c r="C48" s="11" t="s">
        <v>6</v>
      </c>
      <c r="D48" s="20">
        <v>1</v>
      </c>
      <c r="BM48" s="4"/>
      <c r="BN48" s="4"/>
      <c r="BO48" s="4"/>
      <c r="BP48" s="4"/>
    </row>
    <row r="49" spans="1:68" ht="15" customHeight="1">
      <c r="A49" s="19" t="str">
        <f t="shared" si="2"/>
        <v>FB_DI_S.XVLX</v>
      </c>
      <c r="B49" s="11">
        <v>101</v>
      </c>
      <c r="C49" s="11" t="s">
        <v>0</v>
      </c>
      <c r="D49" s="20" t="s">
        <v>572</v>
      </c>
      <c r="BM49" s="4"/>
      <c r="BN49" s="4"/>
      <c r="BO49" s="4"/>
      <c r="BP49" s="4"/>
    </row>
    <row r="50" spans="1:68" ht="15" customHeight="1">
      <c r="A50" s="19" t="str">
        <f t="shared" si="2"/>
        <v>FB_DI_S.XVLX</v>
      </c>
      <c r="B50" s="11">
        <v>3</v>
      </c>
      <c r="C50" s="11" t="s">
        <v>1</v>
      </c>
      <c r="D50" s="20">
        <v>192</v>
      </c>
      <c r="BM50" s="4"/>
      <c r="BN50" s="4"/>
      <c r="BO50" s="4"/>
      <c r="BP50" s="4"/>
    </row>
    <row r="51" spans="1:68" ht="15" customHeight="1">
      <c r="A51" s="19" t="str">
        <f t="shared" si="2"/>
        <v>FB_DI_S.XVLX</v>
      </c>
      <c r="B51" s="11">
        <v>2</v>
      </c>
      <c r="C51" s="11" t="s">
        <v>2</v>
      </c>
      <c r="D51" s="20" t="s">
        <v>3</v>
      </c>
      <c r="BM51" s="4"/>
      <c r="BN51" s="4"/>
      <c r="BO51" s="4"/>
      <c r="BP51" s="4"/>
    </row>
    <row r="52" spans="1:68" ht="15" customHeight="1">
      <c r="A52" s="21" t="str">
        <f t="shared" si="2"/>
        <v>FB_DI_S.XVLX</v>
      </c>
      <c r="B52" s="8">
        <v>1</v>
      </c>
      <c r="C52" s="8" t="s">
        <v>1</v>
      </c>
      <c r="D52" s="22">
        <v>11</v>
      </c>
      <c r="BM52" s="4"/>
      <c r="BN52" s="4"/>
      <c r="BO52" s="4"/>
      <c r="BP52" s="4"/>
    </row>
    <row r="53" spans="1:68" ht="15" customHeight="1">
      <c r="A53" s="163" t="str">
        <f>$R$2&amp;".DVXX"</f>
        <v>FB_DI_S.DVXX</v>
      </c>
      <c r="B53" s="123">
        <v>11154</v>
      </c>
      <c r="C53" s="123" t="s">
        <v>4</v>
      </c>
      <c r="D53" s="124">
        <f>$Q$9</f>
        <v>10</v>
      </c>
      <c r="BM53" s="4"/>
      <c r="BN53" s="4"/>
      <c r="BO53" s="4"/>
      <c r="BP53" s="4"/>
    </row>
    <row r="54" spans="1:68" ht="15" customHeight="1">
      <c r="A54" s="110" t="str">
        <f>$R$2&amp;".DVXX"</f>
        <v>FB_DI_S.DVXX</v>
      </c>
      <c r="B54" s="111">
        <v>11150</v>
      </c>
      <c r="C54" s="111" t="s">
        <v>0</v>
      </c>
      <c r="D54" s="112" t="s">
        <v>513</v>
      </c>
      <c r="BM54" s="4"/>
      <c r="BN54" s="4"/>
      <c r="BO54" s="4"/>
      <c r="BP54" s="4"/>
    </row>
    <row r="55" spans="1:68" ht="15" customHeight="1">
      <c r="A55" s="110" t="str">
        <f>$R$2&amp;".DVXX"</f>
        <v>FB_DI_S.DVXX</v>
      </c>
      <c r="B55" s="111">
        <v>11152</v>
      </c>
      <c r="C55" s="111" t="s">
        <v>0</v>
      </c>
      <c r="D55" s="113" t="str">
        <f>$R$9</f>
        <v>Недостоверность</v>
      </c>
      <c r="BM55" s="4"/>
      <c r="BN55" s="4"/>
      <c r="BO55" s="4"/>
      <c r="BP55" s="4"/>
    </row>
    <row r="56" spans="1:68" ht="15" customHeight="1">
      <c r="A56" s="110" t="str">
        <f>$R$2&amp;".DVXX"</f>
        <v>FB_DI_S.DVXX</v>
      </c>
      <c r="B56" s="111">
        <v>11000</v>
      </c>
      <c r="C56" s="111" t="s">
        <v>5</v>
      </c>
      <c r="D56" s="112">
        <v>2147483680</v>
      </c>
      <c r="BM56" s="4"/>
      <c r="BN56" s="4"/>
      <c r="BO56" s="4"/>
      <c r="BP56" s="4"/>
    </row>
    <row r="57" spans="1:68" ht="15" customHeight="1">
      <c r="A57" s="19" t="str">
        <f t="shared" ref="A57:A62" si="3">$R$2&amp;".DVXX"</f>
        <v>FB_DI_S.DVXX</v>
      </c>
      <c r="B57" s="11">
        <v>7999</v>
      </c>
      <c r="C57" s="11" t="s">
        <v>0</v>
      </c>
      <c r="D57" s="20" t="str">
        <f>"#"&amp;$S$2&amp;"#"&amp;$T$2&amp;"\"&amp;$P$2&amp;"\DVXX"</f>
        <v>#1#treiOPCDA.CoOPCserv.1\pcmaster\AVR_OK\DVXX</v>
      </c>
      <c r="BM57" s="4"/>
      <c r="BN57" s="4"/>
      <c r="BO57" s="4"/>
      <c r="BP57" s="4"/>
    </row>
    <row r="58" spans="1:68" ht="15" customHeight="1">
      <c r="A58" s="19" t="str">
        <f t="shared" si="3"/>
        <v>FB_DI_S.DVXX</v>
      </c>
      <c r="B58" s="11">
        <v>7998</v>
      </c>
      <c r="C58" s="11" t="s">
        <v>6</v>
      </c>
      <c r="D58" s="20">
        <v>1</v>
      </c>
      <c r="BM58" s="4"/>
      <c r="BN58" s="4"/>
      <c r="BO58" s="4"/>
      <c r="BP58" s="4"/>
    </row>
    <row r="59" spans="1:68" ht="15" customHeight="1">
      <c r="A59" s="19" t="str">
        <f t="shared" si="3"/>
        <v>FB_DI_S.DVXX</v>
      </c>
      <c r="B59" s="11">
        <v>101</v>
      </c>
      <c r="C59" s="11" t="s">
        <v>0</v>
      </c>
      <c r="D59" s="20" t="s">
        <v>83</v>
      </c>
      <c r="BM59" s="4"/>
      <c r="BN59" s="4"/>
      <c r="BO59" s="4"/>
      <c r="BP59" s="4"/>
    </row>
    <row r="60" spans="1:68" ht="15" customHeight="1">
      <c r="A60" s="19" t="str">
        <f t="shared" si="3"/>
        <v>FB_DI_S.DVXX</v>
      </c>
      <c r="B60" s="11">
        <v>3</v>
      </c>
      <c r="C60" s="11" t="s">
        <v>1</v>
      </c>
      <c r="D60" s="20">
        <v>192</v>
      </c>
      <c r="BM60" s="4"/>
      <c r="BN60" s="4"/>
      <c r="BO60" s="4"/>
      <c r="BP60" s="4"/>
    </row>
    <row r="61" spans="1:68" ht="15" customHeight="1">
      <c r="A61" s="19" t="str">
        <f t="shared" si="3"/>
        <v>FB_DI_S.DVXX</v>
      </c>
      <c r="B61" s="11">
        <v>2</v>
      </c>
      <c r="C61" s="11" t="s">
        <v>2</v>
      </c>
      <c r="D61" s="20" t="s">
        <v>3</v>
      </c>
      <c r="BM61" s="4"/>
      <c r="BN61" s="4"/>
      <c r="BO61" s="4"/>
      <c r="BP61" s="4"/>
    </row>
    <row r="62" spans="1:68" ht="15" customHeight="1">
      <c r="A62" s="21" t="str">
        <f t="shared" si="3"/>
        <v>FB_DI_S.DVXX</v>
      </c>
      <c r="B62" s="8">
        <v>1</v>
      </c>
      <c r="C62" s="8" t="s">
        <v>1</v>
      </c>
      <c r="D62" s="22">
        <v>11</v>
      </c>
      <c r="BM62" s="4"/>
      <c r="BN62" s="4"/>
      <c r="BO62" s="4"/>
      <c r="BP62" s="4"/>
    </row>
    <row r="63" spans="1:68" ht="15" customHeight="1">
      <c r="A63" s="152" t="str">
        <f t="shared" ref="A63:A72" si="4">$R$2&amp;".CIMX"</f>
        <v>FB_DI_S.CIMX</v>
      </c>
      <c r="B63" s="153">
        <v>11154</v>
      </c>
      <c r="C63" s="153" t="s">
        <v>4</v>
      </c>
      <c r="D63" s="154">
        <f>$Q$10</f>
        <v>16</v>
      </c>
      <c r="BM63" s="4"/>
      <c r="BN63" s="4"/>
      <c r="BO63" s="4"/>
      <c r="BP63" s="4"/>
    </row>
    <row r="64" spans="1:68" ht="15" customHeight="1">
      <c r="A64" s="145" t="str">
        <f t="shared" si="4"/>
        <v>FB_DI_S.CIMX</v>
      </c>
      <c r="B64" s="146">
        <v>11150</v>
      </c>
      <c r="C64" s="146" t="s">
        <v>0</v>
      </c>
      <c r="D64" s="147" t="s">
        <v>529</v>
      </c>
      <c r="BM64" s="4"/>
      <c r="BN64" s="4"/>
      <c r="BO64" s="4"/>
      <c r="BP64" s="4"/>
    </row>
    <row r="65" spans="1:68" ht="15" customHeight="1">
      <c r="A65" s="145" t="str">
        <f t="shared" si="4"/>
        <v>FB_DI_S.CIMX</v>
      </c>
      <c r="B65" s="146">
        <v>11152</v>
      </c>
      <c r="C65" s="146" t="s">
        <v>0</v>
      </c>
      <c r="D65" s="155" t="str">
        <f>$R$10</f>
        <v>Имитация</v>
      </c>
      <c r="BM65" s="4"/>
      <c r="BN65" s="4"/>
      <c r="BO65" s="4"/>
      <c r="BP65" s="4"/>
    </row>
    <row r="66" spans="1:68" ht="15" customHeight="1">
      <c r="A66" s="145" t="str">
        <f t="shared" si="4"/>
        <v>FB_DI_S.CIMX</v>
      </c>
      <c r="B66" s="146">
        <v>11000</v>
      </c>
      <c r="C66" s="146" t="s">
        <v>5</v>
      </c>
      <c r="D66" s="147">
        <v>2147483680</v>
      </c>
      <c r="BM66" s="4"/>
      <c r="BN66" s="4"/>
      <c r="BO66" s="4"/>
      <c r="BP66" s="4"/>
    </row>
    <row r="67" spans="1:68" ht="15" customHeight="1">
      <c r="A67" s="19" t="str">
        <f t="shared" si="4"/>
        <v>FB_DI_S.CIMX</v>
      </c>
      <c r="B67" s="11">
        <v>7999</v>
      </c>
      <c r="C67" s="11" t="s">
        <v>0</v>
      </c>
      <c r="D67" s="20" t="str">
        <f>"#"&amp;$S$2&amp;"#"&amp;$T$2&amp;"\"&amp;$P$2&amp;"\CIMX"</f>
        <v>#1#treiOPCDA.CoOPCserv.1\pcmaster\AVR_OK\CIMX</v>
      </c>
      <c r="BM67" s="4"/>
      <c r="BN67" s="4"/>
      <c r="BO67" s="4"/>
      <c r="BP67" s="4"/>
    </row>
    <row r="68" spans="1:68" ht="15" customHeight="1">
      <c r="A68" s="19" t="str">
        <f t="shared" si="4"/>
        <v>FB_DI_S.CIMX</v>
      </c>
      <c r="B68" s="11">
        <v>7998</v>
      </c>
      <c r="C68" s="11" t="s">
        <v>6</v>
      </c>
      <c r="D68" s="20">
        <v>1</v>
      </c>
      <c r="BM68" s="4"/>
      <c r="BN68" s="4"/>
      <c r="BO68" s="4"/>
      <c r="BP68" s="4"/>
    </row>
    <row r="69" spans="1:68" ht="15" customHeight="1">
      <c r="A69" s="19" t="str">
        <f t="shared" si="4"/>
        <v>FB_DI_S.CIMX</v>
      </c>
      <c r="B69" s="11">
        <v>101</v>
      </c>
      <c r="C69" s="11" t="s">
        <v>0</v>
      </c>
      <c r="D69" s="20" t="s">
        <v>1314</v>
      </c>
      <c r="BM69" s="4"/>
      <c r="BN69" s="4"/>
      <c r="BO69" s="4"/>
      <c r="BP69" s="4"/>
    </row>
    <row r="70" spans="1:68" ht="15" customHeight="1">
      <c r="A70" s="19" t="str">
        <f t="shared" si="4"/>
        <v>FB_DI_S.CIMX</v>
      </c>
      <c r="B70" s="11">
        <v>3</v>
      </c>
      <c r="C70" s="11" t="s">
        <v>1</v>
      </c>
      <c r="D70" s="20">
        <v>192</v>
      </c>
      <c r="BM70" s="4"/>
      <c r="BN70" s="4"/>
      <c r="BO70" s="4"/>
      <c r="BP70" s="4"/>
    </row>
    <row r="71" spans="1:68" ht="15" customHeight="1">
      <c r="A71" s="19" t="str">
        <f t="shared" si="4"/>
        <v>FB_DI_S.CIMX</v>
      </c>
      <c r="B71" s="11">
        <v>2</v>
      </c>
      <c r="C71" s="11" t="s">
        <v>2</v>
      </c>
      <c r="D71" s="20" t="s">
        <v>3</v>
      </c>
      <c r="BM71" s="4"/>
      <c r="BN71" s="4"/>
      <c r="BO71" s="4"/>
      <c r="BP71" s="4"/>
    </row>
    <row r="72" spans="1:68" ht="15" customHeight="1">
      <c r="A72" s="19" t="str">
        <f t="shared" si="4"/>
        <v>FB_DI_S.CIMX</v>
      </c>
      <c r="B72" s="11">
        <v>1</v>
      </c>
      <c r="C72" s="11" t="s">
        <v>1</v>
      </c>
      <c r="D72" s="20">
        <v>11</v>
      </c>
      <c r="BM72" s="4"/>
      <c r="BN72" s="4"/>
      <c r="BO72" s="4"/>
      <c r="BP72" s="4"/>
    </row>
    <row r="73" spans="1:68" ht="15" customHeight="1">
      <c r="A73" s="130" t="str">
        <f t="shared" ref="A73:A84" si="5">$R$2&amp;".XRPX"</f>
        <v>FB_DI_S.XRPX</v>
      </c>
      <c r="B73" s="131">
        <v>11154</v>
      </c>
      <c r="C73" s="131" t="s">
        <v>4</v>
      </c>
      <c r="D73" s="132">
        <f>$Q$11</f>
        <v>14</v>
      </c>
      <c r="BM73" s="4"/>
      <c r="BN73" s="4"/>
      <c r="BO73" s="4"/>
      <c r="BP73" s="4"/>
    </row>
    <row r="74" spans="1:68" ht="15" customHeight="1">
      <c r="A74" s="133" t="str">
        <f t="shared" si="5"/>
        <v>FB_DI_S.XRPX</v>
      </c>
      <c r="B74" s="134">
        <v>11150</v>
      </c>
      <c r="C74" s="134" t="s">
        <v>0</v>
      </c>
      <c r="D74" s="135" t="s">
        <v>530</v>
      </c>
      <c r="BM74" s="4"/>
      <c r="BN74" s="4"/>
      <c r="BO74" s="4"/>
      <c r="BP74" s="4"/>
    </row>
    <row r="75" spans="1:68" ht="15" customHeight="1">
      <c r="A75" s="133" t="str">
        <f t="shared" si="5"/>
        <v>FB_DI_S.XRPX</v>
      </c>
      <c r="B75" s="134">
        <v>11152</v>
      </c>
      <c r="C75" s="134" t="s">
        <v>0</v>
      </c>
      <c r="D75" s="136" t="str">
        <f>$R$11</f>
        <v>Ремонт</v>
      </c>
      <c r="BM75" s="4"/>
      <c r="BN75" s="4"/>
      <c r="BO75" s="4"/>
      <c r="BP75" s="4"/>
    </row>
    <row r="76" spans="1:68" ht="15" customHeight="1">
      <c r="A76" s="133" t="str">
        <f t="shared" si="5"/>
        <v>FB_DI_S.XRPX</v>
      </c>
      <c r="B76" s="134">
        <v>11000</v>
      </c>
      <c r="C76" s="134" t="s">
        <v>5</v>
      </c>
      <c r="D76" s="135">
        <v>2147483680</v>
      </c>
      <c r="BM76" s="4"/>
      <c r="BN76" s="4"/>
      <c r="BO76" s="4"/>
      <c r="BP76" s="4"/>
    </row>
    <row r="77" spans="1:68" ht="15" customHeight="1">
      <c r="A77" s="19" t="str">
        <f t="shared" si="5"/>
        <v>FB_DI_S.XRPX</v>
      </c>
      <c r="B77" s="11">
        <v>7999</v>
      </c>
      <c r="C77" s="11" t="s">
        <v>0</v>
      </c>
      <c r="D77" s="20" t="str">
        <f>"#"&amp;$S$2&amp;"#"&amp;$T$2&amp;"\"&amp;$P$2&amp;"\XRPX"</f>
        <v>#1#treiOPCDA.CoOPCserv.1\pcmaster\AVR_OK\XRPX</v>
      </c>
      <c r="BM77" s="4"/>
      <c r="BN77" s="4"/>
      <c r="BO77" s="4"/>
      <c r="BP77" s="4"/>
    </row>
    <row r="78" spans="1:68" ht="15" customHeight="1">
      <c r="A78" s="19" t="str">
        <f t="shared" si="5"/>
        <v>FB_DI_S.XRPX</v>
      </c>
      <c r="B78" s="11">
        <v>7998</v>
      </c>
      <c r="C78" s="11" t="s">
        <v>6</v>
      </c>
      <c r="D78" s="20">
        <v>1</v>
      </c>
      <c r="BM78" s="4"/>
      <c r="BN78" s="4"/>
      <c r="BO78" s="4"/>
      <c r="BP78" s="4"/>
    </row>
    <row r="79" spans="1:68" ht="15" customHeight="1">
      <c r="A79" s="19" t="str">
        <f t="shared" si="5"/>
        <v>FB_DI_S.XRPX</v>
      </c>
      <c r="B79" s="11">
        <v>101</v>
      </c>
      <c r="C79" s="11" t="s">
        <v>0</v>
      </c>
      <c r="D79" s="20" t="s">
        <v>181</v>
      </c>
    </row>
    <row r="80" spans="1:68" ht="15" customHeight="1">
      <c r="A80" s="19" t="str">
        <f t="shared" si="5"/>
        <v>FB_DI_S.XRPX</v>
      </c>
      <c r="B80" s="11">
        <v>3</v>
      </c>
      <c r="C80" s="11" t="s">
        <v>1</v>
      </c>
      <c r="D80" s="20">
        <v>192</v>
      </c>
    </row>
    <row r="81" spans="1:4" ht="15" customHeight="1">
      <c r="A81" s="19" t="str">
        <f t="shared" si="5"/>
        <v>FB_DI_S.XRPX</v>
      </c>
      <c r="B81" s="11">
        <v>2</v>
      </c>
      <c r="C81" s="11" t="s">
        <v>2</v>
      </c>
      <c r="D81" s="20" t="s">
        <v>3</v>
      </c>
    </row>
    <row r="82" spans="1:4" ht="15" customHeight="1">
      <c r="A82" s="19" t="str">
        <f t="shared" si="5"/>
        <v>FB_DI_S.XRPX</v>
      </c>
      <c r="B82" s="11">
        <v>1</v>
      </c>
      <c r="C82" s="11" t="s">
        <v>1</v>
      </c>
      <c r="D82" s="20">
        <v>11</v>
      </c>
    </row>
    <row r="83" spans="1:4" ht="14.25" customHeight="1">
      <c r="A83" s="29" t="str">
        <f t="shared" si="5"/>
        <v>FB_DI_S.XRPX</v>
      </c>
      <c r="B83" s="1">
        <v>4000000</v>
      </c>
      <c r="C83" s="1" t="s">
        <v>0</v>
      </c>
      <c r="D83" s="415" t="s">
        <v>1479</v>
      </c>
    </row>
    <row r="84" spans="1:4">
      <c r="A84" s="26" t="str">
        <f t="shared" si="5"/>
        <v>FB_DI_S.XRPX</v>
      </c>
      <c r="B84" s="27">
        <v>7000000</v>
      </c>
      <c r="C84" s="27" t="s">
        <v>6</v>
      </c>
      <c r="D84" s="28">
        <v>2</v>
      </c>
    </row>
    <row r="85" spans="1:4">
      <c r="A85" s="100" t="str">
        <f t="shared" ref="A85:A94" si="6">$R$2&amp;".BVLS"</f>
        <v>FB_DI_S.BVLS</v>
      </c>
      <c r="B85" s="101">
        <v>11154</v>
      </c>
      <c r="C85" s="101" t="s">
        <v>4</v>
      </c>
      <c r="D85" s="102">
        <f>$Q$8</f>
        <v>18</v>
      </c>
    </row>
    <row r="86" spans="1:4">
      <c r="A86" s="100" t="str">
        <f t="shared" si="6"/>
        <v>FB_DI_S.BVLS</v>
      </c>
      <c r="B86" s="101">
        <v>11150</v>
      </c>
      <c r="C86" s="101" t="s">
        <v>0</v>
      </c>
      <c r="D86" s="103" t="s">
        <v>531</v>
      </c>
    </row>
    <row r="87" spans="1:4">
      <c r="A87" s="100" t="str">
        <f t="shared" si="6"/>
        <v>FB_DI_S.BVLS</v>
      </c>
      <c r="B87" s="101">
        <v>11152</v>
      </c>
      <c r="C87" s="101" t="s">
        <v>0</v>
      </c>
      <c r="D87" s="104" t="str">
        <f>$R$8</f>
        <v>Телесигнализация</v>
      </c>
    </row>
    <row r="88" spans="1:4">
      <c r="A88" s="100" t="str">
        <f t="shared" si="6"/>
        <v>FB_DI_S.BVLS</v>
      </c>
      <c r="B88" s="101">
        <v>11000</v>
      </c>
      <c r="C88" s="101" t="s">
        <v>5</v>
      </c>
      <c r="D88" s="103">
        <v>2147483680</v>
      </c>
    </row>
    <row r="89" spans="1:4">
      <c r="A89" s="19" t="str">
        <f t="shared" si="6"/>
        <v>FB_DI_S.BVLS</v>
      </c>
      <c r="B89" s="11">
        <v>7999</v>
      </c>
      <c r="C89" s="11" t="s">
        <v>0</v>
      </c>
      <c r="D89" s="20" t="str">
        <f>"#"&amp;$S$2&amp;"#"&amp;$T$2&amp;"\"&amp;$P$2&amp;"\BVLS"</f>
        <v>#1#treiOPCDA.CoOPCserv.1\pcmaster\AVR_OK\BVLS</v>
      </c>
    </row>
    <row r="90" spans="1:4">
      <c r="A90" s="19" t="str">
        <f t="shared" si="6"/>
        <v>FB_DI_S.BVLS</v>
      </c>
      <c r="B90" s="11">
        <v>7998</v>
      </c>
      <c r="C90" s="11" t="s">
        <v>6</v>
      </c>
      <c r="D90" s="20">
        <v>1</v>
      </c>
    </row>
    <row r="91" spans="1:4">
      <c r="A91" s="19" t="str">
        <f t="shared" si="6"/>
        <v>FB_DI_S.BVLS</v>
      </c>
      <c r="B91" s="11">
        <v>101</v>
      </c>
      <c r="C91" s="11" t="s">
        <v>0</v>
      </c>
      <c r="D91" s="20" t="s">
        <v>179</v>
      </c>
    </row>
    <row r="92" spans="1:4">
      <c r="A92" s="19" t="str">
        <f t="shared" si="6"/>
        <v>FB_DI_S.BVLS</v>
      </c>
      <c r="B92" s="11">
        <v>3</v>
      </c>
      <c r="C92" s="11" t="s">
        <v>1</v>
      </c>
      <c r="D92" s="20">
        <v>192</v>
      </c>
    </row>
    <row r="93" spans="1:4">
      <c r="A93" s="19" t="str">
        <f t="shared" si="6"/>
        <v>FB_DI_S.BVLS</v>
      </c>
      <c r="B93" s="11">
        <v>2</v>
      </c>
      <c r="C93" s="11" t="s">
        <v>2</v>
      </c>
      <c r="D93" s="20" t="s">
        <v>3</v>
      </c>
    </row>
    <row r="94" spans="1:4">
      <c r="A94" s="21" t="str">
        <f t="shared" si="6"/>
        <v>FB_DI_S.BVLS</v>
      </c>
      <c r="B94" s="8">
        <v>1</v>
      </c>
      <c r="C94" s="8" t="s">
        <v>1</v>
      </c>
      <c r="D94" s="22">
        <v>11</v>
      </c>
    </row>
    <row r="95" spans="1:4">
      <c r="A95" s="266" t="str">
        <f>$R$2&amp;".Commands.SFTX"</f>
        <v>FB_DI_S.Commands.SFTX</v>
      </c>
      <c r="B95" s="267">
        <v>101</v>
      </c>
      <c r="C95" s="267" t="s">
        <v>0</v>
      </c>
      <c r="D95" s="268" t="s">
        <v>25</v>
      </c>
    </row>
    <row r="96" spans="1:4">
      <c r="A96" s="269" t="str">
        <f>$R$2&amp;".Commands.SFTX"</f>
        <v>FB_DI_S.Commands.SFTX</v>
      </c>
      <c r="B96" s="270">
        <v>7999</v>
      </c>
      <c r="C96" s="270" t="s">
        <v>0</v>
      </c>
      <c r="D96" s="271" t="str">
        <f>"#"&amp;$T$5&amp;"#"&amp;$T$2&amp;"\"&amp;$P$2&amp;"\SFTX"</f>
        <v>#1#treiOPCDA.CoOPCserv.1\pcmaster\AVR_OK\SFTX</v>
      </c>
    </row>
    <row r="97" spans="1:22">
      <c r="A97" s="269" t="str">
        <f>$R$2&amp;".Commands.SFTX"</f>
        <v>FB_DI_S.Commands.SFTX</v>
      </c>
      <c r="B97" s="270">
        <v>7998</v>
      </c>
      <c r="C97" s="270" t="s">
        <v>6</v>
      </c>
      <c r="D97" s="271">
        <v>2</v>
      </c>
    </row>
    <row r="98" spans="1:22">
      <c r="A98" s="272" t="str">
        <f>$R$2&amp;".Commands.SFTX"</f>
        <v>FB_DI_S.Commands.SFTX</v>
      </c>
      <c r="B98" s="273">
        <v>1</v>
      </c>
      <c r="C98" s="273" t="s">
        <v>1</v>
      </c>
      <c r="D98" s="274">
        <v>3</v>
      </c>
    </row>
    <row r="99" spans="1:22">
      <c r="A99" s="16" t="str">
        <f>$R$2&amp;".Commands.CDAX"</f>
        <v>FB_DI_S.Commands.CDAX</v>
      </c>
      <c r="B99" s="17">
        <v>101</v>
      </c>
      <c r="C99" s="17" t="s">
        <v>0</v>
      </c>
      <c r="D99" s="18" t="s">
        <v>183</v>
      </c>
    </row>
    <row r="100" spans="1:22">
      <c r="A100" s="19" t="str">
        <f>$R$2&amp;".Commands.CDAX"</f>
        <v>FB_DI_S.Commands.CDAX</v>
      </c>
      <c r="B100" s="11">
        <v>7999</v>
      </c>
      <c r="C100" s="11" t="s">
        <v>0</v>
      </c>
      <c r="D100" s="20" t="str">
        <f>"#"&amp;$T$5&amp;"#"&amp;$T$2&amp;"\"&amp;$P$2&amp;"\CDAX"</f>
        <v>#1#treiOPCDA.CoOPCserv.1\pcmaster\AVR_OK\CDAX</v>
      </c>
    </row>
    <row r="101" spans="1:22">
      <c r="A101" s="19" t="str">
        <f>$R$2&amp;".Commands.CDAX"</f>
        <v>FB_DI_S.Commands.CDAX</v>
      </c>
      <c r="B101" s="11">
        <v>7998</v>
      </c>
      <c r="C101" s="11" t="s">
        <v>6</v>
      </c>
      <c r="D101" s="20">
        <v>2</v>
      </c>
    </row>
    <row r="102" spans="1:22">
      <c r="A102" s="21" t="str">
        <f>$R$2&amp;".Commands.CDAX"</f>
        <v>FB_DI_S.Commands.CDAX</v>
      </c>
      <c r="B102" s="8">
        <v>1</v>
      </c>
      <c r="C102" s="8" t="s">
        <v>1</v>
      </c>
      <c r="D102" s="22">
        <v>11</v>
      </c>
    </row>
    <row r="103" spans="1:22">
      <c r="A103" s="16" t="str">
        <f>$R$2&amp;".Commands.CRPX"</f>
        <v>FB_DI_S.Commands.CRPX</v>
      </c>
      <c r="B103" s="17">
        <v>101</v>
      </c>
      <c r="C103" s="17" t="s">
        <v>0</v>
      </c>
      <c r="D103" s="18" t="s">
        <v>90</v>
      </c>
    </row>
    <row r="104" spans="1:22">
      <c r="A104" s="19" t="str">
        <f>$R$2&amp;".Commands.CRPX"</f>
        <v>FB_DI_S.Commands.CRPX</v>
      </c>
      <c r="B104" s="11">
        <v>7999</v>
      </c>
      <c r="C104" s="11" t="s">
        <v>0</v>
      </c>
      <c r="D104" s="20" t="str">
        <f>"#"&amp;$T$5&amp;"#"&amp;$T$2&amp;"\"&amp;$P$2&amp;"\CRPX"</f>
        <v>#1#treiOPCDA.CoOPCserv.1\pcmaster\AVR_OK\CRPX</v>
      </c>
    </row>
    <row r="105" spans="1:22">
      <c r="A105" s="19" t="str">
        <f>$R$2&amp;".Commands.CRPX"</f>
        <v>FB_DI_S.Commands.CRPX</v>
      </c>
      <c r="B105" s="11">
        <v>7998</v>
      </c>
      <c r="C105" s="11" t="s">
        <v>6</v>
      </c>
      <c r="D105" s="20">
        <v>2</v>
      </c>
    </row>
    <row r="106" spans="1:22">
      <c r="A106" s="21" t="str">
        <f>$R$2&amp;".Commands.CRPX"</f>
        <v>FB_DI_S.Commands.CRPX</v>
      </c>
      <c r="B106" s="8">
        <v>1</v>
      </c>
      <c r="C106" s="8" t="s">
        <v>1</v>
      </c>
      <c r="D106" s="22">
        <v>11</v>
      </c>
    </row>
    <row r="107" spans="1:22">
      <c r="A107" s="16" t="str">
        <f>$R$2&amp;".Commands.CIMX"</f>
        <v>FB_DI_S.Commands.CIMX</v>
      </c>
      <c r="B107" s="17">
        <v>101</v>
      </c>
      <c r="C107" s="17" t="s">
        <v>0</v>
      </c>
      <c r="D107" s="18" t="s">
        <v>1314</v>
      </c>
    </row>
    <row r="108" spans="1:22">
      <c r="A108" s="19" t="str">
        <f>$R$2&amp;".Commands.CIMX"</f>
        <v>FB_DI_S.Commands.CIMX</v>
      </c>
      <c r="B108" s="11">
        <v>7999</v>
      </c>
      <c r="C108" s="11" t="s">
        <v>0</v>
      </c>
      <c r="D108" s="20" t="str">
        <f>"#"&amp;$T$5&amp;"#"&amp;$T$2&amp;"\"&amp;$P$2&amp;"\CIMX"</f>
        <v>#1#treiOPCDA.CoOPCserv.1\pcmaster\AVR_OK\CIMX</v>
      </c>
    </row>
    <row r="109" spans="1:22" s="4" customFormat="1">
      <c r="A109" s="19" t="str">
        <f>$R$2&amp;".Commands.CIMX"</f>
        <v>FB_DI_S.Commands.CIMX</v>
      </c>
      <c r="B109" s="11">
        <v>7998</v>
      </c>
      <c r="C109" s="11" t="s">
        <v>6</v>
      </c>
      <c r="D109" s="20">
        <v>2</v>
      </c>
    </row>
    <row r="110" spans="1:22">
      <c r="A110" s="21" t="str">
        <f>$R$2&amp;".Commands.CIMX"</f>
        <v>FB_DI_S.Commands.CIMX</v>
      </c>
      <c r="B110" s="8">
        <v>1</v>
      </c>
      <c r="C110" s="8" t="s">
        <v>1</v>
      </c>
      <c r="D110" s="22">
        <v>11</v>
      </c>
    </row>
    <row r="111" spans="1:22">
      <c r="A111" s="16" t="str">
        <f>$R$2&amp;".Commands.SIMX"</f>
        <v>FB_DI_S.Commands.SIMX</v>
      </c>
      <c r="B111" s="17">
        <v>101</v>
      </c>
      <c r="C111" s="17" t="s">
        <v>0</v>
      </c>
      <c r="D111" s="18" t="s">
        <v>1313</v>
      </c>
      <c r="Q111" s="4"/>
      <c r="R111" s="4"/>
      <c r="S111" s="4"/>
      <c r="T111" s="4"/>
      <c r="U111" s="4"/>
      <c r="V111" s="4"/>
    </row>
    <row r="112" spans="1:22">
      <c r="A112" s="19" t="str">
        <f>$R$2&amp;".Commands.SIMX"</f>
        <v>FB_DI_S.Commands.SIMX</v>
      </c>
      <c r="B112" s="11">
        <v>7999</v>
      </c>
      <c r="C112" s="11" t="s">
        <v>0</v>
      </c>
      <c r="D112" s="20" t="str">
        <f>"#"&amp;$T$5&amp;"#"&amp;$T$2&amp;"\"&amp;$P$2&amp;"\SIMX"</f>
        <v>#1#treiOPCDA.CoOPCserv.1\pcmaster\AVR_OK\SIMX</v>
      </c>
      <c r="Q112" s="4"/>
      <c r="R112" s="4"/>
      <c r="S112" s="4"/>
      <c r="T112" s="4"/>
      <c r="U112" s="4"/>
      <c r="V112" s="4"/>
    </row>
    <row r="113" spans="1:22">
      <c r="A113" s="19" t="str">
        <f>$R$2&amp;".Commands.SIMX"</f>
        <v>FB_DI_S.Commands.SIMX</v>
      </c>
      <c r="B113" s="11">
        <v>7998</v>
      </c>
      <c r="C113" s="11" t="s">
        <v>6</v>
      </c>
      <c r="D113" s="20">
        <v>2</v>
      </c>
      <c r="Q113" s="4"/>
      <c r="R113" s="4"/>
      <c r="S113" s="4"/>
      <c r="T113" s="4"/>
      <c r="U113" s="4"/>
      <c r="V113" s="4"/>
    </row>
    <row r="114" spans="1:22">
      <c r="A114" s="21" t="str">
        <f>$R$2&amp;".Commands.SIMX"</f>
        <v>FB_DI_S.Commands.SIMX</v>
      </c>
      <c r="B114" s="8">
        <v>1</v>
      </c>
      <c r="C114" s="8" t="s">
        <v>1</v>
      </c>
      <c r="D114" s="22">
        <v>11</v>
      </c>
      <c r="Q114" s="4"/>
      <c r="R114" s="4"/>
      <c r="S114" s="4"/>
      <c r="T114" s="4"/>
      <c r="U114" s="4"/>
      <c r="V114" s="4"/>
    </row>
    <row r="115" spans="1:22">
      <c r="A115" s="16" t="str">
        <f>$R$2&amp;".Commands.CFTX"</f>
        <v>FB_DI_S.Commands.CFTX</v>
      </c>
      <c r="B115" s="17">
        <v>101</v>
      </c>
      <c r="C115" s="17" t="s">
        <v>0</v>
      </c>
      <c r="D115" s="18" t="s">
        <v>273</v>
      </c>
      <c r="Q115" s="4"/>
      <c r="R115" s="4"/>
      <c r="S115" s="4"/>
      <c r="T115" s="4"/>
      <c r="U115" s="4"/>
      <c r="V115" s="4"/>
    </row>
    <row r="116" spans="1:22">
      <c r="A116" s="19" t="str">
        <f>$R$2&amp;".Commands.CFTX"</f>
        <v>FB_DI_S.Commands.CFTX</v>
      </c>
      <c r="B116" s="11">
        <v>7999</v>
      </c>
      <c r="C116" s="11" t="s">
        <v>0</v>
      </c>
      <c r="D116" s="20" t="str">
        <f>"#"&amp;$T$5&amp;"#"&amp;$T$2&amp;"\"&amp;$P$2&amp;"\CFTX"</f>
        <v>#1#treiOPCDA.CoOPCserv.1\pcmaster\AVR_OK\CFTX</v>
      </c>
      <c r="Q116" s="4"/>
      <c r="R116" s="4"/>
      <c r="S116" s="4"/>
      <c r="T116" s="4"/>
      <c r="U116" s="4"/>
      <c r="V116" s="4"/>
    </row>
    <row r="117" spans="1:22" s="4" customFormat="1">
      <c r="A117" s="19" t="str">
        <f>$R$2&amp;".Commands.CFTX"</f>
        <v>FB_DI_S.Commands.CFTX</v>
      </c>
      <c r="B117" s="11">
        <v>7998</v>
      </c>
      <c r="C117" s="11" t="s">
        <v>6</v>
      </c>
      <c r="D117" s="20">
        <v>2</v>
      </c>
    </row>
    <row r="118" spans="1:22">
      <c r="A118" s="21" t="str">
        <f>$R$2&amp;".Commands.CFTX"</f>
        <v>FB_DI_S.Commands.CFTX</v>
      </c>
      <c r="B118" s="8">
        <v>1</v>
      </c>
      <c r="C118" s="8" t="s">
        <v>1</v>
      </c>
      <c r="D118" s="22">
        <v>11</v>
      </c>
      <c r="Q118" s="4"/>
      <c r="R118" s="4"/>
      <c r="S118" s="4"/>
      <c r="T118" s="4"/>
      <c r="U118" s="4"/>
      <c r="V118" s="4"/>
    </row>
    <row r="119" spans="1:22">
      <c r="A119" s="19" t="str">
        <f t="shared" ref="A119:A124" si="7">$R$2&amp;".FXXX"</f>
        <v>FB_DI_S.FXXX</v>
      </c>
      <c r="B119" s="11">
        <v>7999</v>
      </c>
      <c r="C119" s="11" t="s">
        <v>0</v>
      </c>
      <c r="D119" s="20" t="str">
        <f>"#"&amp;$S$2&amp;"#"&amp;$T$2&amp;"\"&amp;$P$2&amp;"\FXXX"</f>
        <v>#1#treiOPCDA.CoOPCserv.1\pcmaster\AVR_OK\FXXX</v>
      </c>
      <c r="Q119" s="4"/>
      <c r="R119" s="4"/>
      <c r="S119" s="4"/>
      <c r="T119" s="4"/>
      <c r="U119" s="4"/>
      <c r="V119" s="4"/>
    </row>
    <row r="120" spans="1:22">
      <c r="A120" s="19" t="str">
        <f t="shared" si="7"/>
        <v>FB_DI_S.FXXX</v>
      </c>
      <c r="B120" s="11">
        <v>7998</v>
      </c>
      <c r="C120" s="11" t="s">
        <v>6</v>
      </c>
      <c r="D120" s="20">
        <v>1</v>
      </c>
      <c r="Q120" s="4"/>
      <c r="R120" s="4"/>
      <c r="S120" s="4"/>
      <c r="T120" s="4"/>
      <c r="U120" s="4"/>
      <c r="V120" s="4"/>
    </row>
    <row r="121" spans="1:22">
      <c r="A121" s="19" t="str">
        <f t="shared" si="7"/>
        <v>FB_DI_S.FXXX</v>
      </c>
      <c r="B121" s="11">
        <v>101</v>
      </c>
      <c r="C121" s="11" t="s">
        <v>0</v>
      </c>
      <c r="D121" s="20" t="s">
        <v>434</v>
      </c>
      <c r="Q121" s="4"/>
      <c r="R121" s="4"/>
      <c r="S121" s="4"/>
      <c r="T121" s="4"/>
      <c r="U121" s="4"/>
      <c r="V121" s="4"/>
    </row>
    <row r="122" spans="1:22">
      <c r="A122" s="19" t="str">
        <f t="shared" si="7"/>
        <v>FB_DI_S.FXXX</v>
      </c>
      <c r="B122" s="11">
        <v>3</v>
      </c>
      <c r="C122" s="11" t="s">
        <v>1</v>
      </c>
      <c r="D122" s="20">
        <v>192</v>
      </c>
      <c r="Q122" s="4"/>
      <c r="R122" s="4"/>
      <c r="S122" s="4"/>
      <c r="T122" s="4"/>
      <c r="U122" s="4"/>
      <c r="V122" s="4"/>
    </row>
    <row r="123" spans="1:22" s="4" customFormat="1">
      <c r="A123" s="19" t="str">
        <f t="shared" si="7"/>
        <v>FB_DI_S.FXXX</v>
      </c>
      <c r="B123" s="11">
        <v>2</v>
      </c>
      <c r="C123" s="11" t="s">
        <v>2</v>
      </c>
      <c r="D123" s="20" t="s">
        <v>3</v>
      </c>
    </row>
    <row r="124" spans="1:22">
      <c r="A124" s="21" t="str">
        <f t="shared" si="7"/>
        <v>FB_DI_S.FXXX</v>
      </c>
      <c r="B124" s="8">
        <v>1</v>
      </c>
      <c r="C124" s="8" t="s">
        <v>1</v>
      </c>
      <c r="D124" s="22">
        <v>11</v>
      </c>
      <c r="Q124" s="4"/>
      <c r="R124" s="4"/>
      <c r="S124" s="4"/>
      <c r="T124" s="4"/>
      <c r="U124" s="4"/>
      <c r="V124" s="4"/>
    </row>
    <row r="125" spans="1:22">
      <c r="A125" s="19" t="str">
        <f t="shared" ref="A125:A130" si="8">$R$2&amp;".IVXX"</f>
        <v>FB_DI_S.IVXX</v>
      </c>
      <c r="B125" s="11">
        <v>7999</v>
      </c>
      <c r="C125" s="11" t="s">
        <v>0</v>
      </c>
      <c r="D125" s="20" t="str">
        <f>"#"&amp;$S$2&amp;"#"&amp;$T$2&amp;"\"&amp;$P$2&amp;"\IVXX"</f>
        <v>#1#treiOPCDA.CoOPCserv.1\pcmaster\AVR_OK\IVXX</v>
      </c>
    </row>
    <row r="126" spans="1:22">
      <c r="A126" s="19" t="str">
        <f t="shared" si="8"/>
        <v>FB_DI_S.IVXX</v>
      </c>
      <c r="B126" s="11">
        <v>7998</v>
      </c>
      <c r="C126" s="11" t="s">
        <v>6</v>
      </c>
      <c r="D126" s="20">
        <v>1</v>
      </c>
    </row>
    <row r="127" spans="1:22">
      <c r="A127" s="19" t="str">
        <f t="shared" si="8"/>
        <v>FB_DI_S.IVXX</v>
      </c>
      <c r="B127" s="11">
        <v>101</v>
      </c>
      <c r="C127" s="11" t="s">
        <v>0</v>
      </c>
      <c r="D127" s="20" t="s">
        <v>42</v>
      </c>
    </row>
    <row r="128" spans="1:22">
      <c r="A128" s="19" t="str">
        <f t="shared" si="8"/>
        <v>FB_DI_S.IVXX</v>
      </c>
      <c r="B128" s="11">
        <v>3</v>
      </c>
      <c r="C128" s="11" t="s">
        <v>1</v>
      </c>
      <c r="D128" s="20">
        <v>192</v>
      </c>
    </row>
    <row r="129" spans="1:17" s="4" customFormat="1">
      <c r="A129" s="19" t="str">
        <f t="shared" si="8"/>
        <v>FB_DI_S.IVXX</v>
      </c>
      <c r="B129" s="11">
        <v>2</v>
      </c>
      <c r="C129" s="11" t="s">
        <v>2</v>
      </c>
      <c r="D129" s="20" t="s">
        <v>3</v>
      </c>
      <c r="Q129"/>
    </row>
    <row r="130" spans="1:17">
      <c r="A130" s="21" t="str">
        <f t="shared" si="8"/>
        <v>FB_DI_S.IVXX</v>
      </c>
      <c r="B130" s="8">
        <v>1</v>
      </c>
      <c r="C130" s="8" t="s">
        <v>1</v>
      </c>
      <c r="D130" s="22">
        <v>11</v>
      </c>
    </row>
    <row r="131" spans="1:17">
      <c r="A131" s="19" t="str">
        <f t="shared" ref="A131:A136" si="9">$R$2&amp;".CFTX"</f>
        <v>FB_DI_S.CFTX</v>
      </c>
      <c r="B131" s="11">
        <v>7999</v>
      </c>
      <c r="C131" s="11" t="s">
        <v>0</v>
      </c>
      <c r="D131" s="20" t="str">
        <f>"#"&amp;$S$2&amp;"#"&amp;$T$2&amp;"\"&amp;$P$2&amp;"\CFTX"</f>
        <v>#1#treiOPCDA.CoOPCserv.1\pcmaster\AVR_OK\CFTX</v>
      </c>
    </row>
    <row r="132" spans="1:17">
      <c r="A132" s="19" t="str">
        <f t="shared" si="9"/>
        <v>FB_DI_S.CFTX</v>
      </c>
      <c r="B132" s="11">
        <v>7998</v>
      </c>
      <c r="C132" s="11" t="s">
        <v>6</v>
      </c>
      <c r="D132" s="20">
        <v>1</v>
      </c>
    </row>
    <row r="133" spans="1:17">
      <c r="A133" s="19" t="str">
        <f t="shared" si="9"/>
        <v>FB_DI_S.CFTX</v>
      </c>
      <c r="B133" s="11">
        <v>101</v>
      </c>
      <c r="C133" s="11" t="s">
        <v>0</v>
      </c>
      <c r="D133" s="20" t="s">
        <v>184</v>
      </c>
    </row>
    <row r="134" spans="1:17">
      <c r="A134" s="19" t="str">
        <f t="shared" si="9"/>
        <v>FB_DI_S.CFTX</v>
      </c>
      <c r="B134" s="11">
        <v>3</v>
      </c>
      <c r="C134" s="11" t="s">
        <v>1</v>
      </c>
      <c r="D134" s="20">
        <v>192</v>
      </c>
    </row>
    <row r="135" spans="1:17">
      <c r="A135" s="19" t="str">
        <f t="shared" si="9"/>
        <v>FB_DI_S.CFTX</v>
      </c>
      <c r="B135" s="11">
        <v>2</v>
      </c>
      <c r="C135" s="11" t="s">
        <v>2</v>
      </c>
      <c r="D135" s="20" t="s">
        <v>3</v>
      </c>
    </row>
    <row r="136" spans="1:17">
      <c r="A136" s="21" t="str">
        <f t="shared" si="9"/>
        <v>FB_DI_S.CFTX</v>
      </c>
      <c r="B136" s="8">
        <v>1</v>
      </c>
      <c r="C136" s="8" t="s">
        <v>1</v>
      </c>
      <c r="D136" s="22">
        <v>11</v>
      </c>
    </row>
    <row r="137" spans="1:17">
      <c r="A137" s="266" t="str">
        <f t="shared" ref="A137:A142" si="10">$R$2&amp;".SFTX"</f>
        <v>FB_DI_S.SFTX</v>
      </c>
      <c r="B137" s="267">
        <v>7999</v>
      </c>
      <c r="C137" s="267" t="s">
        <v>0</v>
      </c>
      <c r="D137" s="268" t="str">
        <f>"#"&amp;$S$2&amp;"#"&amp;$T$2&amp;"\"&amp;$P$2&amp;"\SFTX"</f>
        <v>#1#treiOPCDA.CoOPCserv.1\pcmaster\AVR_OK\SFTX</v>
      </c>
    </row>
    <row r="138" spans="1:17">
      <c r="A138" s="269" t="str">
        <f t="shared" si="10"/>
        <v>FB_DI_S.SFTX</v>
      </c>
      <c r="B138" s="270">
        <v>7998</v>
      </c>
      <c r="C138" s="270" t="s">
        <v>6</v>
      </c>
      <c r="D138" s="271">
        <v>1</v>
      </c>
    </row>
    <row r="139" spans="1:17">
      <c r="A139" s="269" t="str">
        <f t="shared" si="10"/>
        <v>FB_DI_S.SFTX</v>
      </c>
      <c r="B139" s="270">
        <v>101</v>
      </c>
      <c r="C139" s="270" t="s">
        <v>0</v>
      </c>
      <c r="D139" s="271" t="s">
        <v>25</v>
      </c>
    </row>
    <row r="140" spans="1:17">
      <c r="A140" s="269" t="str">
        <f t="shared" si="10"/>
        <v>FB_DI_S.SFTX</v>
      </c>
      <c r="B140" s="270">
        <v>3</v>
      </c>
      <c r="C140" s="270" t="s">
        <v>1</v>
      </c>
      <c r="D140" s="271">
        <v>192</v>
      </c>
    </row>
    <row r="141" spans="1:17">
      <c r="A141" s="269" t="str">
        <f t="shared" si="10"/>
        <v>FB_DI_S.SFTX</v>
      </c>
      <c r="B141" s="270">
        <v>2</v>
      </c>
      <c r="C141" s="270" t="s">
        <v>6</v>
      </c>
      <c r="D141" s="271">
        <v>0</v>
      </c>
    </row>
    <row r="142" spans="1:17">
      <c r="A142" s="272" t="str">
        <f t="shared" si="10"/>
        <v>FB_DI_S.SFTX</v>
      </c>
      <c r="B142" s="273">
        <v>1</v>
      </c>
      <c r="C142" s="273" t="s">
        <v>1</v>
      </c>
      <c r="D142" s="274">
        <v>3</v>
      </c>
    </row>
  </sheetData>
  <autoFilter ref="B1:B142" xr:uid="{00000000-0009-0000-0000-00000B000000}"/>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Лист86">
    <tabColor rgb="FFFFC000"/>
  </sheetPr>
  <dimension ref="A1:BP296"/>
  <sheetViews>
    <sheetView zoomScale="60" zoomScaleNormal="60"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57" t="s">
        <v>84</v>
      </c>
      <c r="C1" s="257"/>
      <c r="D1" s="257"/>
      <c r="E1" s="257"/>
      <c r="F1" s="257"/>
      <c r="P1" s="263"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1"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61"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61" t="str">
        <f>Таблица!AL1</f>
        <v>Для TREI
FB_IMstp_S, FB_IMs_S, FB_IMp_S, FB_IMv_S, FB_IM_ADES_S: Настройка перехода ручной-/автоматический-(TRUE/FALSE) 
FB_DI_S: Генерировать метки времени (TRUE/FALSE)</v>
      </c>
      <c r="AY1" s="261"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61" t="str">
        <f>Таблица!AN1</f>
        <v>Для TREI
FB_AI_S, FB_QSA_S: Верхний предел датчика
FB_IMp_S, FB_IMv_S, FB_IM_ADES_S, FB_OZK_KD_S: Время перестановки</v>
      </c>
      <c r="BA1" s="261"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t="s">
        <v>1400</v>
      </c>
      <c r="Q2" s="2" t="s">
        <v>777</v>
      </c>
      <c r="R2" s="2" t="s">
        <v>593</v>
      </c>
      <c r="S2" s="3">
        <v>1</v>
      </c>
      <c r="T2" s="3" t="s">
        <v>1698</v>
      </c>
      <c r="U2" s="3"/>
      <c r="V2" s="3" t="s">
        <v>569</v>
      </c>
      <c r="W2" s="12"/>
      <c r="X2" s="12"/>
      <c r="Y2" s="12"/>
      <c r="Z2" s="12"/>
      <c r="AA2" s="12"/>
      <c r="AB2" s="2" t="s">
        <v>230</v>
      </c>
      <c r="AC2" s="2" t="s">
        <v>226</v>
      </c>
      <c r="AD2" s="2"/>
      <c r="AE2" s="2" t="s">
        <v>1414</v>
      </c>
      <c r="AF2" s="2"/>
      <c r="AG2" s="2"/>
      <c r="AH2" s="2"/>
      <c r="AI2" s="2"/>
      <c r="AJ2" s="2"/>
      <c r="AK2" s="2" t="s">
        <v>1346</v>
      </c>
      <c r="AL2" s="2"/>
      <c r="AM2" s="2"/>
      <c r="AN2" s="2"/>
      <c r="AO2" s="2" t="s">
        <v>1347</v>
      </c>
      <c r="AP2" s="2"/>
      <c r="AQ2" s="2" t="s">
        <v>1344</v>
      </c>
      <c r="AR2" s="2" t="s">
        <v>1345</v>
      </c>
      <c r="AS2" s="2"/>
      <c r="AT2" s="2"/>
      <c r="AU2" s="2"/>
      <c r="AV2" s="2"/>
      <c r="AW2" s="2"/>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AB3" s="10"/>
      <c r="AC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AB4" s="10"/>
      <c r="AC4" s="10"/>
      <c r="BM4" s="4"/>
      <c r="BN4" s="4"/>
      <c r="BO4" s="4"/>
      <c r="BP4" s="4"/>
    </row>
    <row r="5" spans="1:68"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AB5" s="10"/>
      <c r="AC5" s="10"/>
      <c r="BM5" s="4"/>
      <c r="BN5" s="4"/>
      <c r="BO5" s="4"/>
      <c r="BP5" s="4"/>
    </row>
    <row r="6" spans="1:68"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AB6" s="10"/>
      <c r="AC6" s="10"/>
      <c r="BM6" s="4"/>
      <c r="BN6" s="4"/>
      <c r="BO6" s="4"/>
      <c r="BP6" s="4"/>
    </row>
    <row r="7" spans="1:68"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AB7" s="10"/>
      <c r="AC7" s="10"/>
      <c r="BM7" s="4"/>
      <c r="BN7" s="4"/>
      <c r="BO7" s="4"/>
      <c r="BP7" s="4"/>
    </row>
    <row r="8" spans="1:68" ht="15" customHeight="1">
      <c r="A8" s="9"/>
      <c r="B8" s="9"/>
      <c r="C8" s="9"/>
      <c r="D8" s="9"/>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AB8" s="10"/>
      <c r="AC8" s="10"/>
      <c r="BM8" s="4"/>
      <c r="BN8" s="4"/>
      <c r="BO8" s="4"/>
      <c r="BP8" s="4"/>
    </row>
    <row r="9" spans="1:68" ht="15" customHeight="1">
      <c r="A9" s="9"/>
      <c r="B9" s="9"/>
      <c r="C9" s="9"/>
      <c r="D9" s="9"/>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AB9" s="10"/>
      <c r="AC9" s="10"/>
      <c r="BM9" s="4"/>
      <c r="BN9" s="4"/>
      <c r="BO9" s="4"/>
      <c r="BP9" s="4"/>
    </row>
    <row r="10" spans="1:68" ht="15" customHeight="1">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AB10" s="10"/>
      <c r="AC10" s="10"/>
      <c r="BM10" s="4"/>
      <c r="BN10" s="4"/>
      <c r="BO10" s="4"/>
      <c r="BP10" s="4"/>
    </row>
    <row r="11" spans="1:68" ht="15" customHeight="1">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AB11" s="10"/>
      <c r="AC11" s="10"/>
      <c r="BM11" s="4"/>
      <c r="BN11" s="4"/>
      <c r="BO11" s="4"/>
      <c r="BP11" s="4"/>
    </row>
    <row r="12" spans="1:68"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AB12" s="10"/>
      <c r="AC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AB13" s="10"/>
      <c r="AC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AB14" s="10"/>
      <c r="AC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AB15" s="10"/>
      <c r="AC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AB16" s="10"/>
      <c r="AC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AB17" s="10"/>
      <c r="AC17" s="10"/>
      <c r="BM17" s="4"/>
      <c r="BN17" s="4"/>
      <c r="BO17" s="4"/>
      <c r="BP17" s="4"/>
    </row>
    <row r="18" spans="1:68"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AB18" s="10"/>
      <c r="AC18" s="10"/>
      <c r="BM18" s="4"/>
      <c r="BN18" s="4"/>
      <c r="BO18" s="4"/>
      <c r="BP18" s="4"/>
    </row>
    <row r="19" spans="1:68"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AB19" s="10"/>
      <c r="AC19" s="10"/>
      <c r="BM19" s="4"/>
      <c r="BN19" s="4"/>
      <c r="BO19" s="4"/>
      <c r="BP19" s="4"/>
    </row>
    <row r="20" spans="1:68" ht="15" customHeight="1">
      <c r="A20" s="16" t="str">
        <f t="shared" ref="A20:A32" si="0">$R$2</f>
        <v>FB_DO_S</v>
      </c>
      <c r="B20" s="17">
        <v>11001</v>
      </c>
      <c r="C20" s="17" t="s">
        <v>0</v>
      </c>
      <c r="D20" s="18" t="str">
        <f>$Q$2</f>
        <v>Дискретный выход FB</v>
      </c>
      <c r="E20" s="4"/>
      <c r="F20" s="4"/>
      <c r="BM20" s="4"/>
      <c r="BN20" s="4"/>
      <c r="BO20" s="4"/>
      <c r="BP20" s="4"/>
    </row>
    <row r="21" spans="1:68" ht="15" customHeight="1">
      <c r="A21" s="19" t="str">
        <f t="shared" si="0"/>
        <v>FB_DO_S</v>
      </c>
      <c r="B21" s="11">
        <v>11156</v>
      </c>
      <c r="C21" s="11" t="s">
        <v>0</v>
      </c>
      <c r="D21" s="20" t="str">
        <f>$V$2</f>
        <v>Тестовый экран</v>
      </c>
      <c r="E21" s="4"/>
      <c r="F21" s="4"/>
      <c r="BM21" s="4"/>
      <c r="BN21" s="4"/>
      <c r="BO21" s="4"/>
      <c r="BP21" s="4"/>
    </row>
    <row r="22" spans="1:68" ht="15" customHeight="1">
      <c r="A22" s="19" t="str">
        <f t="shared" si="0"/>
        <v>FB_DO_S</v>
      </c>
      <c r="B22" s="11">
        <v>1</v>
      </c>
      <c r="C22" s="11" t="s">
        <v>1</v>
      </c>
      <c r="D22" s="20">
        <v>17</v>
      </c>
      <c r="BM22" s="4"/>
      <c r="BN22" s="4"/>
      <c r="BO22" s="4"/>
      <c r="BP22" s="4"/>
    </row>
    <row r="23" spans="1:68" ht="15" customHeight="1">
      <c r="A23" s="16" t="str">
        <f t="shared" si="0"/>
        <v>FB_DO_S</v>
      </c>
      <c r="B23" s="17">
        <v>100</v>
      </c>
      <c r="C23" s="17" t="s">
        <v>0</v>
      </c>
      <c r="D23" s="18" t="b">
        <f>$T$7</f>
        <v>0</v>
      </c>
      <c r="BF23" s="4"/>
      <c r="BG23" s="4"/>
      <c r="BH23" s="4"/>
      <c r="BI23" s="4"/>
    </row>
    <row r="24" spans="1:68" ht="15" customHeight="1">
      <c r="A24" s="19" t="str">
        <f t="shared" si="0"/>
        <v>FB_DO_S</v>
      </c>
      <c r="B24" s="11">
        <v>11120</v>
      </c>
      <c r="C24" s="11" t="s">
        <v>0</v>
      </c>
      <c r="D24" s="20" t="str">
        <f>$AC$2</f>
        <v>Желтый</v>
      </c>
      <c r="BM24" s="4"/>
      <c r="BN24" s="4"/>
      <c r="BO24" s="4"/>
      <c r="BP24" s="4"/>
    </row>
    <row r="25" spans="1:68" ht="15" customHeight="1">
      <c r="A25" s="19" t="str">
        <f t="shared" si="0"/>
        <v>FB_DO_S</v>
      </c>
      <c r="B25" s="11">
        <v>11121</v>
      </c>
      <c r="C25" s="11" t="s">
        <v>0</v>
      </c>
      <c r="D25" s="20" t="str">
        <f>$AK$2</f>
        <v>10+10</v>
      </c>
      <c r="BM25" s="4"/>
      <c r="BN25" s="4"/>
      <c r="BO25" s="4"/>
      <c r="BP25" s="4"/>
    </row>
    <row r="26" spans="1:68" ht="15" customHeight="1">
      <c r="A26" s="19" t="str">
        <f t="shared" si="0"/>
        <v>FB_DO_S</v>
      </c>
      <c r="B26" s="11">
        <v>11122</v>
      </c>
      <c r="C26" s="11" t="s">
        <v>0</v>
      </c>
      <c r="D26" s="20" t="str">
        <f>$AO$2</f>
        <v>10+11</v>
      </c>
      <c r="BM26" s="4"/>
      <c r="BN26" s="4"/>
      <c r="BO26" s="4"/>
      <c r="BP26" s="4"/>
    </row>
    <row r="27" spans="1:68" ht="15" customHeight="1">
      <c r="A27" s="19" t="str">
        <f t="shared" si="0"/>
        <v>FB_DO_S</v>
      </c>
      <c r="B27" s="11">
        <v>11123</v>
      </c>
      <c r="C27" s="11" t="s">
        <v>0</v>
      </c>
      <c r="D27" s="20" t="str">
        <f>$AQ$2</f>
        <v>11+5</v>
      </c>
      <c r="BM27" s="4"/>
      <c r="BN27" s="4"/>
      <c r="BO27" s="4"/>
      <c r="BP27" s="4"/>
    </row>
    <row r="28" spans="1:68" ht="15" customHeight="1">
      <c r="A28" s="21" t="str">
        <f t="shared" si="0"/>
        <v>FB_DO_S</v>
      </c>
      <c r="B28" s="8">
        <v>11124</v>
      </c>
      <c r="C28" s="8" t="s">
        <v>0</v>
      </c>
      <c r="D28" s="22" t="str">
        <f>$AR$2</f>
        <v>11+6</v>
      </c>
      <c r="BM28" s="4"/>
      <c r="BN28" s="4"/>
      <c r="BO28" s="4"/>
      <c r="BP28" s="4"/>
    </row>
    <row r="29" spans="1:68" ht="15" customHeight="1">
      <c r="A29" s="19" t="str">
        <f t="shared" si="0"/>
        <v>FB_DO_S</v>
      </c>
      <c r="B29" s="11">
        <v>13</v>
      </c>
      <c r="C29" s="11" t="s">
        <v>2</v>
      </c>
      <c r="D29" s="20" t="s">
        <v>3</v>
      </c>
      <c r="BF29" s="4"/>
      <c r="BG29" s="4"/>
      <c r="BH29" s="4"/>
      <c r="BI29" s="4"/>
    </row>
    <row r="30" spans="1:68" ht="15" customHeight="1">
      <c r="A30" s="19" t="str">
        <f t="shared" si="0"/>
        <v>FB_DO_S</v>
      </c>
      <c r="B30" s="11">
        <v>3000013</v>
      </c>
      <c r="C30" s="11" t="s">
        <v>0</v>
      </c>
      <c r="D30" s="20" t="str">
        <f>$AE$2</f>
        <v>Диагностика.CPU.NOT_LINK.noLink</v>
      </c>
      <c r="BF30" s="4"/>
      <c r="BG30" s="4"/>
      <c r="BH30" s="4"/>
      <c r="BI30" s="4"/>
    </row>
    <row r="31" spans="1:68" ht="15" customHeight="1">
      <c r="A31" s="19" t="str">
        <f t="shared" si="0"/>
        <v>FB_DO_S</v>
      </c>
      <c r="B31" s="11">
        <v>4000013</v>
      </c>
      <c r="C31" s="11" t="s">
        <v>0</v>
      </c>
      <c r="D31" s="20" t="s">
        <v>1769</v>
      </c>
      <c r="BF31" s="4"/>
      <c r="BG31" s="4"/>
      <c r="BH31" s="4"/>
      <c r="BI31" s="4"/>
    </row>
    <row r="32" spans="1:68" ht="15" customHeight="1">
      <c r="A32" s="21" t="str">
        <f t="shared" si="0"/>
        <v>FB_DO_S</v>
      </c>
      <c r="B32" s="8">
        <v>7000013</v>
      </c>
      <c r="C32" s="8" t="s">
        <v>6</v>
      </c>
      <c r="D32" s="22">
        <v>2</v>
      </c>
      <c r="BF32" s="4"/>
      <c r="BG32" s="4"/>
      <c r="BH32" s="4"/>
      <c r="BI32" s="4"/>
    </row>
    <row r="33" spans="1:68" ht="15" customHeight="1">
      <c r="A33" s="69" t="str">
        <f t="shared" ref="A33:A42" si="1">$R$2&amp;".LAON"</f>
        <v>FB_DO_S.LAON</v>
      </c>
      <c r="B33" s="70">
        <v>11154</v>
      </c>
      <c r="C33" s="70" t="s">
        <v>4</v>
      </c>
      <c r="D33" s="144">
        <f>$Q$6</f>
        <v>8</v>
      </c>
      <c r="BM33" s="4"/>
      <c r="BN33" s="4"/>
      <c r="BO33" s="4"/>
      <c r="BP33" s="4"/>
    </row>
    <row r="34" spans="1:68" ht="15" customHeight="1">
      <c r="A34" s="63" t="str">
        <f t="shared" si="1"/>
        <v>FB_DO_S.LAON</v>
      </c>
      <c r="B34" s="64">
        <v>11150</v>
      </c>
      <c r="C34" s="64" t="s">
        <v>0</v>
      </c>
      <c r="D34" s="65" t="s">
        <v>535</v>
      </c>
      <c r="BM34" s="4"/>
      <c r="BN34" s="4"/>
      <c r="BO34" s="4"/>
      <c r="BP34" s="4"/>
    </row>
    <row r="35" spans="1:68" ht="15" customHeight="1">
      <c r="A35" s="63" t="str">
        <f t="shared" si="1"/>
        <v>FB_DO_S.LAON</v>
      </c>
      <c r="B35" s="64">
        <v>11152</v>
      </c>
      <c r="C35" s="64" t="s">
        <v>0</v>
      </c>
      <c r="D35" s="99" t="str">
        <f>$R$6</f>
        <v>Предупреждение</v>
      </c>
      <c r="BM35" s="4"/>
      <c r="BN35" s="4"/>
      <c r="BO35" s="4"/>
      <c r="BP35" s="4"/>
    </row>
    <row r="36" spans="1:68" ht="15" customHeight="1">
      <c r="A36" s="63" t="str">
        <f t="shared" si="1"/>
        <v>FB_DO_S.LAON</v>
      </c>
      <c r="B36" s="64">
        <v>11000</v>
      </c>
      <c r="C36" s="64" t="s">
        <v>5</v>
      </c>
      <c r="D36" s="65">
        <v>2147483680</v>
      </c>
      <c r="BM36" s="4"/>
      <c r="BN36" s="4"/>
      <c r="BO36" s="4"/>
      <c r="BP36" s="4"/>
    </row>
    <row r="37" spans="1:68" ht="15" customHeight="1">
      <c r="A37" s="19" t="str">
        <f t="shared" si="1"/>
        <v>FB_DO_S.LAON</v>
      </c>
      <c r="B37" s="11">
        <v>7999</v>
      </c>
      <c r="C37" s="11" t="s">
        <v>0</v>
      </c>
      <c r="D37" s="20" t="str">
        <f>"#"&amp;$S$2&amp;"#"&amp;$T$2&amp;"\"&amp;$P$2&amp;"\LAON"</f>
        <v>#1#treiOPCDA.CoOPCserv.1\pcmaster\ALARM_SOUND\LAON</v>
      </c>
      <c r="BM37" s="4"/>
      <c r="BN37" s="4"/>
      <c r="BO37" s="4"/>
      <c r="BP37" s="4"/>
    </row>
    <row r="38" spans="1:68" ht="15" customHeight="1">
      <c r="A38" s="19" t="str">
        <f t="shared" si="1"/>
        <v>FB_DO_S.LAON</v>
      </c>
      <c r="B38" s="11">
        <v>7998</v>
      </c>
      <c r="C38" s="11" t="s">
        <v>6</v>
      </c>
      <c r="D38" s="20">
        <v>1</v>
      </c>
      <c r="BM38" s="4"/>
      <c r="BN38" s="4"/>
      <c r="BO38" s="4"/>
      <c r="BP38" s="4"/>
    </row>
    <row r="39" spans="1:68" ht="15" customHeight="1">
      <c r="A39" s="19" t="str">
        <f t="shared" si="1"/>
        <v>FB_DO_S.LAON</v>
      </c>
      <c r="B39" s="11">
        <v>101</v>
      </c>
      <c r="C39" s="11" t="s">
        <v>0</v>
      </c>
      <c r="D39" s="20" t="s">
        <v>159</v>
      </c>
      <c r="BM39" s="4"/>
      <c r="BN39" s="4"/>
      <c r="BO39" s="4"/>
      <c r="BP39" s="4"/>
    </row>
    <row r="40" spans="1:68" ht="15" customHeight="1">
      <c r="A40" s="19" t="str">
        <f t="shared" si="1"/>
        <v>FB_DO_S.LAON</v>
      </c>
      <c r="B40" s="11">
        <v>3</v>
      </c>
      <c r="C40" s="11" t="s">
        <v>1</v>
      </c>
      <c r="D40" s="20">
        <v>192</v>
      </c>
      <c r="BM40" s="4"/>
      <c r="BN40" s="4"/>
      <c r="BO40" s="4"/>
      <c r="BP40" s="4"/>
    </row>
    <row r="41" spans="1:68" ht="15" customHeight="1">
      <c r="A41" s="19" t="str">
        <f t="shared" si="1"/>
        <v>FB_DO_S.LAON</v>
      </c>
      <c r="B41" s="11">
        <v>2</v>
      </c>
      <c r="C41" s="11" t="s">
        <v>2</v>
      </c>
      <c r="D41" s="20" t="s">
        <v>3</v>
      </c>
      <c r="BM41" s="4"/>
      <c r="BN41" s="4"/>
      <c r="BO41" s="4"/>
      <c r="BP41" s="4"/>
    </row>
    <row r="42" spans="1:68" ht="15" customHeight="1">
      <c r="A42" s="21" t="str">
        <f t="shared" si="1"/>
        <v>FB_DO_S.LAON</v>
      </c>
      <c r="B42" s="8">
        <v>1</v>
      </c>
      <c r="C42" s="8" t="s">
        <v>1</v>
      </c>
      <c r="D42" s="22">
        <v>11</v>
      </c>
      <c r="BM42" s="4"/>
      <c r="BN42" s="4"/>
      <c r="BO42" s="4"/>
      <c r="BP42" s="4"/>
    </row>
    <row r="43" spans="1:68" ht="15" customHeight="1">
      <c r="A43" s="69" t="str">
        <f t="shared" ref="A43:A52" si="2">$R$2&amp;".LAOF"</f>
        <v>FB_DO_S.LAOF</v>
      </c>
      <c r="B43" s="70">
        <v>11154</v>
      </c>
      <c r="C43" s="70" t="s">
        <v>4</v>
      </c>
      <c r="D43" s="144">
        <f>$Q$6</f>
        <v>8</v>
      </c>
      <c r="BM43" s="4"/>
      <c r="BN43" s="4"/>
      <c r="BO43" s="4"/>
      <c r="BP43" s="4"/>
    </row>
    <row r="44" spans="1:68" ht="15" customHeight="1">
      <c r="A44" s="63" t="str">
        <f t="shared" si="2"/>
        <v>FB_DO_S.LAOF</v>
      </c>
      <c r="B44" s="64">
        <v>11150</v>
      </c>
      <c r="C44" s="64" t="s">
        <v>0</v>
      </c>
      <c r="D44" s="65" t="s">
        <v>536</v>
      </c>
      <c r="BM44" s="4"/>
      <c r="BN44" s="4"/>
      <c r="BO44" s="4"/>
      <c r="BP44" s="4"/>
    </row>
    <row r="45" spans="1:68" ht="15" customHeight="1">
      <c r="A45" s="63" t="str">
        <f t="shared" si="2"/>
        <v>FB_DO_S.LAOF</v>
      </c>
      <c r="B45" s="64">
        <v>11152</v>
      </c>
      <c r="C45" s="64" t="s">
        <v>0</v>
      </c>
      <c r="D45" s="99" t="str">
        <f>$R$6</f>
        <v>Предупреждение</v>
      </c>
      <c r="BM45" s="4"/>
      <c r="BN45" s="4"/>
      <c r="BO45" s="4"/>
      <c r="BP45" s="4"/>
    </row>
    <row r="46" spans="1:68" ht="15" customHeight="1">
      <c r="A46" s="63" t="str">
        <f t="shared" si="2"/>
        <v>FB_DO_S.LAOF</v>
      </c>
      <c r="B46" s="64">
        <v>11000</v>
      </c>
      <c r="C46" s="64" t="s">
        <v>5</v>
      </c>
      <c r="D46" s="65">
        <v>2147483680</v>
      </c>
      <c r="BM46" s="4"/>
      <c r="BN46" s="4"/>
      <c r="BO46" s="4"/>
      <c r="BP46" s="4"/>
    </row>
    <row r="47" spans="1:68" ht="15" customHeight="1">
      <c r="A47" s="19" t="str">
        <f t="shared" si="2"/>
        <v>FB_DO_S.LAOF</v>
      </c>
      <c r="B47" s="11">
        <v>7999</v>
      </c>
      <c r="C47" s="11" t="s">
        <v>0</v>
      </c>
      <c r="D47" s="20" t="str">
        <f>"#"&amp;$S$2&amp;"#"&amp;$T$2&amp;"\"&amp;$P$2&amp;"\LAOF"</f>
        <v>#1#treiOPCDA.CoOPCserv.1\pcmaster\ALARM_SOUND\LAOF</v>
      </c>
      <c r="BM47" s="4"/>
      <c r="BN47" s="4"/>
      <c r="BO47" s="4"/>
      <c r="BP47" s="4"/>
    </row>
    <row r="48" spans="1:68" ht="15" customHeight="1">
      <c r="A48" s="19" t="str">
        <f t="shared" si="2"/>
        <v>FB_DO_S.LAOF</v>
      </c>
      <c r="B48" s="11">
        <v>7998</v>
      </c>
      <c r="C48" s="11" t="s">
        <v>6</v>
      </c>
      <c r="D48" s="20">
        <v>1</v>
      </c>
      <c r="BM48" s="4"/>
      <c r="BN48" s="4"/>
      <c r="BO48" s="4"/>
      <c r="BP48" s="4"/>
    </row>
    <row r="49" spans="1:68" ht="15" customHeight="1">
      <c r="A49" s="19" t="str">
        <f t="shared" si="2"/>
        <v>FB_DO_S.LAOF</v>
      </c>
      <c r="B49" s="11">
        <v>101</v>
      </c>
      <c r="C49" s="11" t="s">
        <v>0</v>
      </c>
      <c r="D49" s="20" t="s">
        <v>525</v>
      </c>
      <c r="BM49" s="4"/>
      <c r="BN49" s="4"/>
      <c r="BO49" s="4"/>
      <c r="BP49" s="4"/>
    </row>
    <row r="50" spans="1:68" ht="15" customHeight="1">
      <c r="A50" s="19" t="str">
        <f t="shared" si="2"/>
        <v>FB_DO_S.LAOF</v>
      </c>
      <c r="B50" s="11">
        <v>3</v>
      </c>
      <c r="C50" s="11" t="s">
        <v>1</v>
      </c>
      <c r="D50" s="20">
        <v>192</v>
      </c>
      <c r="BM50" s="4"/>
      <c r="BN50" s="4"/>
      <c r="BO50" s="4"/>
      <c r="BP50" s="4"/>
    </row>
    <row r="51" spans="1:68" ht="15" customHeight="1">
      <c r="A51" s="19" t="str">
        <f t="shared" si="2"/>
        <v>FB_DO_S.LAOF</v>
      </c>
      <c r="B51" s="11">
        <v>2</v>
      </c>
      <c r="C51" s="11" t="s">
        <v>2</v>
      </c>
      <c r="D51" s="20" t="s">
        <v>3</v>
      </c>
      <c r="BM51" s="4"/>
      <c r="BN51" s="4"/>
      <c r="BO51" s="4"/>
      <c r="BP51" s="4"/>
    </row>
    <row r="52" spans="1:68" ht="15" customHeight="1">
      <c r="A52" s="21" t="str">
        <f t="shared" si="2"/>
        <v>FB_DO_S.LAOF</v>
      </c>
      <c r="B52" s="8">
        <v>1</v>
      </c>
      <c r="C52" s="8" t="s">
        <v>1</v>
      </c>
      <c r="D52" s="22">
        <v>11</v>
      </c>
      <c r="BM52" s="4"/>
      <c r="BN52" s="4"/>
      <c r="BO52" s="4"/>
      <c r="BP52" s="4"/>
    </row>
    <row r="53" spans="1:68" ht="15" customHeight="1">
      <c r="A53" s="69" t="str">
        <f t="shared" ref="A53:A62" si="3">$R$2&amp;".CEON"</f>
        <v>FB_DO_S.CEON</v>
      </c>
      <c r="B53" s="70">
        <v>11154</v>
      </c>
      <c r="C53" s="70" t="s">
        <v>4</v>
      </c>
      <c r="D53" s="144">
        <f>$Q$6</f>
        <v>8</v>
      </c>
      <c r="BM53" s="4"/>
      <c r="BN53" s="4"/>
      <c r="BO53" s="4"/>
      <c r="BP53" s="4"/>
    </row>
    <row r="54" spans="1:68" ht="15" customHeight="1">
      <c r="A54" s="63" t="str">
        <f t="shared" si="3"/>
        <v>FB_DO_S.CEON</v>
      </c>
      <c r="B54" s="64">
        <v>11150</v>
      </c>
      <c r="C54" s="64" t="s">
        <v>0</v>
      </c>
      <c r="D54" s="65" t="s">
        <v>1829</v>
      </c>
      <c r="BM54" s="4"/>
      <c r="BN54" s="4"/>
      <c r="BO54" s="4"/>
      <c r="BP54" s="4"/>
    </row>
    <row r="55" spans="1:68" ht="15" customHeight="1">
      <c r="A55" s="63" t="str">
        <f t="shared" si="3"/>
        <v>FB_DO_S.CEON</v>
      </c>
      <c r="B55" s="64">
        <v>11152</v>
      </c>
      <c r="C55" s="64" t="s">
        <v>0</v>
      </c>
      <c r="D55" s="99" t="str">
        <f>$R$6</f>
        <v>Предупреждение</v>
      </c>
      <c r="BM55" s="4"/>
      <c r="BN55" s="4"/>
      <c r="BO55" s="4"/>
      <c r="BP55" s="4"/>
    </row>
    <row r="56" spans="1:68" ht="15" customHeight="1">
      <c r="A56" s="63" t="str">
        <f t="shared" si="3"/>
        <v>FB_DO_S.CEON</v>
      </c>
      <c r="B56" s="64">
        <v>11000</v>
      </c>
      <c r="C56" s="64" t="s">
        <v>5</v>
      </c>
      <c r="D56" s="65">
        <v>2147483680</v>
      </c>
      <c r="BM56" s="4"/>
      <c r="BN56" s="4"/>
      <c r="BO56" s="4"/>
      <c r="BP56" s="4"/>
    </row>
    <row r="57" spans="1:68" ht="15" customHeight="1">
      <c r="A57" s="19" t="str">
        <f t="shared" si="3"/>
        <v>FB_DO_S.CEON</v>
      </c>
      <c r="B57" s="11">
        <v>7999</v>
      </c>
      <c r="C57" s="11" t="s">
        <v>0</v>
      </c>
      <c r="D57" s="20" t="str">
        <f>"#"&amp;$S$2&amp;"#"&amp;$T$2&amp;"\"&amp;$P$2&amp;"\CEON"</f>
        <v>#1#treiOPCDA.CoOPCserv.1\pcmaster\ALARM_SOUND\CEON</v>
      </c>
      <c r="BM57" s="4"/>
      <c r="BN57" s="4"/>
      <c r="BO57" s="4"/>
      <c r="BP57" s="4"/>
    </row>
    <row r="58" spans="1:68" ht="15" customHeight="1">
      <c r="A58" s="19" t="str">
        <f t="shared" si="3"/>
        <v>FB_DO_S.CEON</v>
      </c>
      <c r="B58" s="11">
        <v>7998</v>
      </c>
      <c r="C58" s="11" t="s">
        <v>6</v>
      </c>
      <c r="D58" s="20">
        <v>1</v>
      </c>
      <c r="BM58" s="4"/>
      <c r="BN58" s="4"/>
      <c r="BO58" s="4"/>
      <c r="BP58" s="4"/>
    </row>
    <row r="59" spans="1:68" ht="15" customHeight="1">
      <c r="A59" s="19" t="str">
        <f t="shared" si="3"/>
        <v>FB_DO_S.CEON</v>
      </c>
      <c r="B59" s="11">
        <v>101</v>
      </c>
      <c r="C59" s="11" t="s">
        <v>0</v>
      </c>
      <c r="D59" s="20" t="s">
        <v>1835</v>
      </c>
      <c r="BM59" s="4"/>
      <c r="BN59" s="4"/>
      <c r="BO59" s="4"/>
      <c r="BP59" s="4"/>
    </row>
    <row r="60" spans="1:68" ht="15" customHeight="1">
      <c r="A60" s="19" t="str">
        <f t="shared" si="3"/>
        <v>FB_DO_S.CEON</v>
      </c>
      <c r="B60" s="11">
        <v>3</v>
      </c>
      <c r="C60" s="11" t="s">
        <v>1</v>
      </c>
      <c r="D60" s="20">
        <v>192</v>
      </c>
      <c r="BM60" s="4"/>
      <c r="BN60" s="4"/>
      <c r="BO60" s="4"/>
      <c r="BP60" s="4"/>
    </row>
    <row r="61" spans="1:68" ht="15" customHeight="1">
      <c r="A61" s="19" t="str">
        <f t="shared" si="3"/>
        <v>FB_DO_S.CEON</v>
      </c>
      <c r="B61" s="11">
        <v>2</v>
      </c>
      <c r="C61" s="11" t="s">
        <v>2</v>
      </c>
      <c r="D61" s="20" t="s">
        <v>3</v>
      </c>
      <c r="BM61" s="4"/>
      <c r="BN61" s="4"/>
      <c r="BO61" s="4"/>
      <c r="BP61" s="4"/>
    </row>
    <row r="62" spans="1:68" ht="15" customHeight="1">
      <c r="A62" s="21" t="str">
        <f t="shared" si="3"/>
        <v>FB_DO_S.CEON</v>
      </c>
      <c r="B62" s="8">
        <v>1</v>
      </c>
      <c r="C62" s="8" t="s">
        <v>1</v>
      </c>
      <c r="D62" s="22">
        <v>11</v>
      </c>
      <c r="BM62" s="4"/>
      <c r="BN62" s="4"/>
      <c r="BO62" s="4"/>
      <c r="BP62" s="4"/>
    </row>
    <row r="63" spans="1:68" ht="15" customHeight="1">
      <c r="A63" s="69" t="str">
        <f t="shared" ref="A63:A72" si="4">$R$2&amp;".CEOF"</f>
        <v>FB_DO_S.CEOF</v>
      </c>
      <c r="B63" s="70">
        <v>11154</v>
      </c>
      <c r="C63" s="70" t="s">
        <v>4</v>
      </c>
      <c r="D63" s="144">
        <f>$Q$6</f>
        <v>8</v>
      </c>
    </row>
    <row r="64" spans="1:68" ht="15" customHeight="1">
      <c r="A64" s="63" t="str">
        <f t="shared" si="4"/>
        <v>FB_DO_S.CEOF</v>
      </c>
      <c r="B64" s="64">
        <v>11150</v>
      </c>
      <c r="C64" s="64" t="s">
        <v>0</v>
      </c>
      <c r="D64" s="65" t="s">
        <v>1830</v>
      </c>
    </row>
    <row r="65" spans="1:22" ht="15" customHeight="1">
      <c r="A65" s="63" t="str">
        <f t="shared" si="4"/>
        <v>FB_DO_S.CEOF</v>
      </c>
      <c r="B65" s="64">
        <v>11152</v>
      </c>
      <c r="C65" s="64" t="s">
        <v>0</v>
      </c>
      <c r="D65" s="99" t="str">
        <f>$R$6</f>
        <v>Предупреждение</v>
      </c>
    </row>
    <row r="66" spans="1:22" ht="15" customHeight="1">
      <c r="A66" s="63" t="str">
        <f t="shared" si="4"/>
        <v>FB_DO_S.CEOF</v>
      </c>
      <c r="B66" s="64">
        <v>11000</v>
      </c>
      <c r="C66" s="64" t="s">
        <v>5</v>
      </c>
      <c r="D66" s="65">
        <v>2147483680</v>
      </c>
    </row>
    <row r="67" spans="1:22">
      <c r="A67" s="19" t="str">
        <f t="shared" si="4"/>
        <v>FB_DO_S.CEOF</v>
      </c>
      <c r="B67" s="11">
        <v>7999</v>
      </c>
      <c r="C67" s="11" t="s">
        <v>0</v>
      </c>
      <c r="D67" s="20" t="str">
        <f>"#"&amp;$S$2&amp;"#"&amp;$T$2&amp;"\"&amp;$P$2&amp;"\CEOF"</f>
        <v>#1#treiOPCDA.CoOPCserv.1\pcmaster\ALARM_SOUND\CEOF</v>
      </c>
      <c r="Q67" s="4"/>
      <c r="R67" s="4"/>
      <c r="S67" s="4"/>
      <c r="T67" s="4"/>
      <c r="U67" s="4"/>
      <c r="V67" s="4"/>
    </row>
    <row r="68" spans="1:22">
      <c r="A68" s="19" t="str">
        <f t="shared" si="4"/>
        <v>FB_DO_S.CEOF</v>
      </c>
      <c r="B68" s="11">
        <v>7998</v>
      </c>
      <c r="C68" s="11" t="s">
        <v>6</v>
      </c>
      <c r="D68" s="20">
        <v>1</v>
      </c>
      <c r="Q68" s="4"/>
      <c r="R68" s="4"/>
      <c r="S68" s="4"/>
      <c r="T68" s="4"/>
      <c r="U68" s="4"/>
      <c r="V68" s="4"/>
    </row>
    <row r="69" spans="1:22">
      <c r="A69" s="19" t="str">
        <f t="shared" si="4"/>
        <v>FB_DO_S.CEOF</v>
      </c>
      <c r="B69" s="11">
        <v>101</v>
      </c>
      <c r="C69" s="11" t="s">
        <v>0</v>
      </c>
      <c r="D69" s="20" t="s">
        <v>1836</v>
      </c>
      <c r="Q69" s="4"/>
      <c r="R69" s="4"/>
      <c r="S69" s="4"/>
      <c r="T69" s="4"/>
      <c r="U69" s="4"/>
      <c r="V69" s="4"/>
    </row>
    <row r="70" spans="1:22">
      <c r="A70" s="19" t="str">
        <f t="shared" si="4"/>
        <v>FB_DO_S.CEOF</v>
      </c>
      <c r="B70" s="11">
        <v>3</v>
      </c>
      <c r="C70" s="11" t="s">
        <v>1</v>
      </c>
      <c r="D70" s="20">
        <v>192</v>
      </c>
      <c r="Q70" s="4"/>
      <c r="R70" s="4"/>
      <c r="S70" s="4"/>
      <c r="T70" s="4"/>
      <c r="U70" s="4"/>
      <c r="V70" s="4"/>
    </row>
    <row r="71" spans="1:22">
      <c r="A71" s="19" t="str">
        <f t="shared" si="4"/>
        <v>FB_DO_S.CEOF</v>
      </c>
      <c r="B71" s="11">
        <v>2</v>
      </c>
      <c r="C71" s="11" t="s">
        <v>2</v>
      </c>
      <c r="D71" s="20" t="s">
        <v>3</v>
      </c>
      <c r="Q71" s="4"/>
      <c r="R71" s="4"/>
      <c r="S71" s="4"/>
      <c r="T71" s="4"/>
      <c r="U71" s="4"/>
      <c r="V71" s="4"/>
    </row>
    <row r="72" spans="1:22">
      <c r="A72" s="21" t="str">
        <f t="shared" si="4"/>
        <v>FB_DO_S.CEOF</v>
      </c>
      <c r="B72" s="8">
        <v>1</v>
      </c>
      <c r="C72" s="8" t="s">
        <v>1</v>
      </c>
      <c r="D72" s="22">
        <v>11</v>
      </c>
      <c r="Q72" s="4"/>
      <c r="R72" s="4"/>
      <c r="S72" s="4"/>
      <c r="T72" s="4"/>
      <c r="U72" s="4"/>
      <c r="V72" s="4"/>
    </row>
    <row r="73" spans="1:22" ht="15" customHeight="1">
      <c r="A73" s="69" t="str">
        <f t="shared" ref="A73:A76" si="5">$R$2&amp;".CBON"</f>
        <v>FB_DO_S.CBON</v>
      </c>
      <c r="B73" s="70">
        <v>11154</v>
      </c>
      <c r="C73" s="70" t="s">
        <v>4</v>
      </c>
      <c r="D73" s="144">
        <f>$Q$6</f>
        <v>8</v>
      </c>
    </row>
    <row r="74" spans="1:22" ht="15" customHeight="1">
      <c r="A74" s="63" t="str">
        <f t="shared" si="5"/>
        <v>FB_DO_S.CBON</v>
      </c>
      <c r="B74" s="64">
        <v>11150</v>
      </c>
      <c r="C74" s="64" t="s">
        <v>0</v>
      </c>
      <c r="D74" s="65" t="s">
        <v>1831</v>
      </c>
    </row>
    <row r="75" spans="1:22" ht="15" customHeight="1">
      <c r="A75" s="63" t="str">
        <f t="shared" si="5"/>
        <v>FB_DO_S.CBON</v>
      </c>
      <c r="B75" s="64">
        <v>11152</v>
      </c>
      <c r="C75" s="64" t="s">
        <v>0</v>
      </c>
      <c r="D75" s="99" t="str">
        <f>$R$6</f>
        <v>Предупреждение</v>
      </c>
    </row>
    <row r="76" spans="1:22" ht="15" customHeight="1">
      <c r="A76" s="63" t="str">
        <f t="shared" si="5"/>
        <v>FB_DO_S.CBON</v>
      </c>
      <c r="B76" s="64">
        <v>11000</v>
      </c>
      <c r="C76" s="64" t="s">
        <v>5</v>
      </c>
      <c r="D76" s="65">
        <v>2147483680</v>
      </c>
    </row>
    <row r="77" spans="1:22">
      <c r="A77" s="19" t="str">
        <f t="shared" ref="A77:A82" si="6">$R$2&amp;".CBON"</f>
        <v>FB_DO_S.CBON</v>
      </c>
      <c r="B77" s="11">
        <v>7999</v>
      </c>
      <c r="C77" s="11" t="s">
        <v>0</v>
      </c>
      <c r="D77" s="20" t="str">
        <f>"#"&amp;$S$2&amp;"#"&amp;$T$2&amp;"\"&amp;$P$2&amp;"\CBON"</f>
        <v>#1#treiOPCDA.CoOPCserv.1\pcmaster\ALARM_SOUND\CBON</v>
      </c>
    </row>
    <row r="78" spans="1:22">
      <c r="A78" s="19" t="str">
        <f t="shared" si="6"/>
        <v>FB_DO_S.CBON</v>
      </c>
      <c r="B78" s="11">
        <v>7998</v>
      </c>
      <c r="C78" s="11" t="s">
        <v>6</v>
      </c>
      <c r="D78" s="20">
        <v>1</v>
      </c>
    </row>
    <row r="79" spans="1:22">
      <c r="A79" s="19" t="str">
        <f t="shared" si="6"/>
        <v>FB_DO_S.CBON</v>
      </c>
      <c r="B79" s="11">
        <v>101</v>
      </c>
      <c r="C79" s="11" t="s">
        <v>0</v>
      </c>
      <c r="D79" s="20" t="s">
        <v>1837</v>
      </c>
    </row>
    <row r="80" spans="1:22">
      <c r="A80" s="19" t="str">
        <f t="shared" si="6"/>
        <v>FB_DO_S.CBON</v>
      </c>
      <c r="B80" s="11">
        <v>3</v>
      </c>
      <c r="C80" s="11" t="s">
        <v>1</v>
      </c>
      <c r="D80" s="20">
        <v>192</v>
      </c>
    </row>
    <row r="81" spans="1:22">
      <c r="A81" s="19" t="str">
        <f t="shared" si="6"/>
        <v>FB_DO_S.CBON</v>
      </c>
      <c r="B81" s="11">
        <v>2</v>
      </c>
      <c r="C81" s="11" t="s">
        <v>2</v>
      </c>
      <c r="D81" s="20" t="s">
        <v>3</v>
      </c>
    </row>
    <row r="82" spans="1:22">
      <c r="A82" s="21" t="str">
        <f t="shared" si="6"/>
        <v>FB_DO_S.CBON</v>
      </c>
      <c r="B82" s="8">
        <v>1</v>
      </c>
      <c r="C82" s="8" t="s">
        <v>1</v>
      </c>
      <c r="D82" s="22">
        <v>11</v>
      </c>
    </row>
    <row r="83" spans="1:22" ht="15" customHeight="1">
      <c r="A83" s="69" t="str">
        <f t="shared" ref="A83:A86" si="7">$R$2&amp;".CBOF"</f>
        <v>FB_DO_S.CBOF</v>
      </c>
      <c r="B83" s="70">
        <v>11154</v>
      </c>
      <c r="C83" s="70" t="s">
        <v>4</v>
      </c>
      <c r="D83" s="144">
        <f>$Q$6</f>
        <v>8</v>
      </c>
    </row>
    <row r="84" spans="1:22" ht="15" customHeight="1">
      <c r="A84" s="63" t="str">
        <f t="shared" si="7"/>
        <v>FB_DO_S.CBOF</v>
      </c>
      <c r="B84" s="64">
        <v>11150</v>
      </c>
      <c r="C84" s="64" t="s">
        <v>0</v>
      </c>
      <c r="D84" s="65" t="s">
        <v>1832</v>
      </c>
    </row>
    <row r="85" spans="1:22" ht="15" customHeight="1">
      <c r="A85" s="63" t="str">
        <f t="shared" si="7"/>
        <v>FB_DO_S.CBOF</v>
      </c>
      <c r="B85" s="64">
        <v>11152</v>
      </c>
      <c r="C85" s="64" t="s">
        <v>0</v>
      </c>
      <c r="D85" s="99" t="str">
        <f>$R$6</f>
        <v>Предупреждение</v>
      </c>
    </row>
    <row r="86" spans="1:22" ht="15" customHeight="1">
      <c r="A86" s="63" t="str">
        <f t="shared" si="7"/>
        <v>FB_DO_S.CBOF</v>
      </c>
      <c r="B86" s="64">
        <v>11000</v>
      </c>
      <c r="C86" s="64" t="s">
        <v>5</v>
      </c>
      <c r="D86" s="65">
        <v>2147483680</v>
      </c>
    </row>
    <row r="87" spans="1:22">
      <c r="A87" s="19" t="str">
        <f t="shared" ref="A87:A92" si="8">$R$2&amp;".CBOF"</f>
        <v>FB_DO_S.CBOF</v>
      </c>
      <c r="B87" s="11">
        <v>7999</v>
      </c>
      <c r="C87" s="11" t="s">
        <v>0</v>
      </c>
      <c r="D87" s="20" t="str">
        <f>"#"&amp;$S$2&amp;"#"&amp;$T$2&amp;"\"&amp;$P$2&amp;"\CBOF"</f>
        <v>#1#treiOPCDA.CoOPCserv.1\pcmaster\ALARM_SOUND\CBOF</v>
      </c>
    </row>
    <row r="88" spans="1:22">
      <c r="A88" s="19" t="str">
        <f t="shared" si="8"/>
        <v>FB_DO_S.CBOF</v>
      </c>
      <c r="B88" s="11">
        <v>7998</v>
      </c>
      <c r="C88" s="11" t="s">
        <v>6</v>
      </c>
      <c r="D88" s="20">
        <v>1</v>
      </c>
    </row>
    <row r="89" spans="1:22">
      <c r="A89" s="19" t="str">
        <f t="shared" si="8"/>
        <v>FB_DO_S.CBOF</v>
      </c>
      <c r="B89" s="11">
        <v>101</v>
      </c>
      <c r="C89" s="11" t="s">
        <v>0</v>
      </c>
      <c r="D89" s="20" t="s">
        <v>1838</v>
      </c>
    </row>
    <row r="90" spans="1:22">
      <c r="A90" s="19" t="str">
        <f t="shared" si="8"/>
        <v>FB_DO_S.CBOF</v>
      </c>
      <c r="B90" s="11">
        <v>3</v>
      </c>
      <c r="C90" s="11" t="s">
        <v>1</v>
      </c>
      <c r="D90" s="20">
        <v>192</v>
      </c>
    </row>
    <row r="91" spans="1:22">
      <c r="A91" s="19" t="str">
        <f t="shared" si="8"/>
        <v>FB_DO_S.CBOF</v>
      </c>
      <c r="B91" s="11">
        <v>2</v>
      </c>
      <c r="C91" s="11" t="s">
        <v>2</v>
      </c>
      <c r="D91" s="20" t="s">
        <v>3</v>
      </c>
    </row>
    <row r="92" spans="1:22">
      <c r="A92" s="21" t="str">
        <f t="shared" si="8"/>
        <v>FB_DO_S.CBOF</v>
      </c>
      <c r="B92" s="8">
        <v>1</v>
      </c>
      <c r="C92" s="8" t="s">
        <v>1</v>
      </c>
      <c r="D92" s="22">
        <v>11</v>
      </c>
    </row>
    <row r="93" spans="1:22" s="4" customFormat="1">
      <c r="A93" s="217" t="str">
        <f t="shared" ref="A93:A102" si="9">$R$2&amp;".FCOM"</f>
        <v>FB_DO_S.FCOM</v>
      </c>
      <c r="B93" s="218">
        <v>11154</v>
      </c>
      <c r="C93" s="218" t="s">
        <v>4</v>
      </c>
      <c r="D93" s="219">
        <f>$Q$7</f>
        <v>12</v>
      </c>
    </row>
    <row r="94" spans="1:22">
      <c r="A94" s="211" t="str">
        <f t="shared" si="9"/>
        <v>FB_DO_S.FCOM</v>
      </c>
      <c r="B94" s="212">
        <v>11150</v>
      </c>
      <c r="C94" s="212" t="s">
        <v>0</v>
      </c>
      <c r="D94" s="213" t="s">
        <v>537</v>
      </c>
      <c r="Q94" s="4"/>
      <c r="R94" s="4"/>
      <c r="S94" s="4"/>
      <c r="T94" s="4"/>
      <c r="U94" s="4"/>
      <c r="V94" s="4"/>
    </row>
    <row r="95" spans="1:22">
      <c r="A95" s="211" t="str">
        <f t="shared" si="9"/>
        <v>FB_DO_S.FCOM</v>
      </c>
      <c r="B95" s="212">
        <v>11152</v>
      </c>
      <c r="C95" s="212" t="s">
        <v>0</v>
      </c>
      <c r="D95" s="220" t="str">
        <f>$R$7</f>
        <v>Неисправность</v>
      </c>
      <c r="Q95" s="4"/>
      <c r="R95" s="4"/>
      <c r="S95" s="4"/>
      <c r="T95" s="4"/>
      <c r="U95" s="4"/>
      <c r="V95" s="4"/>
    </row>
    <row r="96" spans="1:22">
      <c r="A96" s="211" t="str">
        <f t="shared" si="9"/>
        <v>FB_DO_S.FCOM</v>
      </c>
      <c r="B96" s="212">
        <v>11000</v>
      </c>
      <c r="C96" s="212" t="s">
        <v>5</v>
      </c>
      <c r="D96" s="213">
        <v>2147483680</v>
      </c>
      <c r="Q96" s="4"/>
      <c r="R96" s="4"/>
      <c r="S96" s="4"/>
      <c r="T96" s="4"/>
      <c r="U96" s="4"/>
      <c r="V96" s="4"/>
    </row>
    <row r="97" spans="1:22">
      <c r="A97" s="19" t="str">
        <f t="shared" si="9"/>
        <v>FB_DO_S.FCOM</v>
      </c>
      <c r="B97" s="11">
        <v>7999</v>
      </c>
      <c r="C97" s="11" t="s">
        <v>0</v>
      </c>
      <c r="D97" s="20" t="str">
        <f>"#"&amp;$S$2&amp;"#"&amp;$T$2&amp;"\"&amp;$P$2&amp;"\FCOM"</f>
        <v>#1#treiOPCDA.CoOPCserv.1\pcmaster\ALARM_SOUND\FCOM</v>
      </c>
      <c r="Q97" s="4"/>
      <c r="R97" s="4"/>
      <c r="S97" s="4"/>
      <c r="T97" s="4"/>
      <c r="U97" s="4"/>
      <c r="V97" s="4"/>
    </row>
    <row r="98" spans="1:22">
      <c r="A98" s="19" t="str">
        <f t="shared" si="9"/>
        <v>FB_DO_S.FCOM</v>
      </c>
      <c r="B98" s="11">
        <v>7998</v>
      </c>
      <c r="C98" s="11" t="s">
        <v>6</v>
      </c>
      <c r="D98" s="20">
        <v>1</v>
      </c>
      <c r="Q98" s="4"/>
      <c r="R98" s="4"/>
      <c r="S98" s="4"/>
      <c r="T98" s="4"/>
      <c r="U98" s="4"/>
      <c r="V98" s="4"/>
    </row>
    <row r="99" spans="1:22" s="4" customFormat="1">
      <c r="A99" s="19" t="str">
        <f t="shared" si="9"/>
        <v>FB_DO_S.FCOM</v>
      </c>
      <c r="B99" s="11">
        <v>101</v>
      </c>
      <c r="C99" s="11" t="s">
        <v>0</v>
      </c>
      <c r="D99" s="20" t="s">
        <v>149</v>
      </c>
    </row>
    <row r="100" spans="1:22">
      <c r="A100" s="19" t="str">
        <f t="shared" si="9"/>
        <v>FB_DO_S.FCOM</v>
      </c>
      <c r="B100" s="11">
        <v>3</v>
      </c>
      <c r="C100" s="11" t="s">
        <v>1</v>
      </c>
      <c r="D100" s="20">
        <v>192</v>
      </c>
      <c r="Q100" s="4"/>
      <c r="R100" s="4"/>
      <c r="S100" s="4"/>
      <c r="T100" s="4"/>
      <c r="U100" s="4"/>
      <c r="V100" s="4"/>
    </row>
    <row r="101" spans="1:22">
      <c r="A101" s="19" t="str">
        <f t="shared" si="9"/>
        <v>FB_DO_S.FCOM</v>
      </c>
      <c r="B101" s="11">
        <v>2</v>
      </c>
      <c r="C101" s="11" t="s">
        <v>2</v>
      </c>
      <c r="D101" s="20" t="s">
        <v>3</v>
      </c>
    </row>
    <row r="102" spans="1:22">
      <c r="A102" s="21" t="str">
        <f t="shared" si="9"/>
        <v>FB_DO_S.FCOM</v>
      </c>
      <c r="B102" s="8">
        <v>1</v>
      </c>
      <c r="C102" s="8" t="s">
        <v>1</v>
      </c>
      <c r="D102" s="22">
        <v>11</v>
      </c>
    </row>
    <row r="103" spans="1:22">
      <c r="A103" s="163" t="str">
        <f t="shared" ref="A103:A112" si="10">$R$2&amp;".DOON"</f>
        <v>FB_DO_S.DOON</v>
      </c>
      <c r="B103" s="123">
        <v>11154</v>
      </c>
      <c r="C103" s="123" t="s">
        <v>4</v>
      </c>
      <c r="D103" s="124">
        <f>$Q$9</f>
        <v>10</v>
      </c>
    </row>
    <row r="104" spans="1:22">
      <c r="A104" s="110" t="str">
        <f t="shared" si="10"/>
        <v>FB_DO_S.DOON</v>
      </c>
      <c r="B104" s="111">
        <v>11150</v>
      </c>
      <c r="C104" s="111" t="s">
        <v>0</v>
      </c>
      <c r="D104" s="112" t="s">
        <v>538</v>
      </c>
    </row>
    <row r="105" spans="1:22">
      <c r="A105" s="110" t="str">
        <f t="shared" si="10"/>
        <v>FB_DO_S.DOON</v>
      </c>
      <c r="B105" s="111">
        <v>11152</v>
      </c>
      <c r="C105" s="111" t="s">
        <v>0</v>
      </c>
      <c r="D105" s="113" t="str">
        <f>$R$9</f>
        <v>Недостоверность</v>
      </c>
    </row>
    <row r="106" spans="1:22">
      <c r="A106" s="110" t="str">
        <f t="shared" si="10"/>
        <v>FB_DO_S.DOON</v>
      </c>
      <c r="B106" s="111">
        <v>11000</v>
      </c>
      <c r="C106" s="111" t="s">
        <v>5</v>
      </c>
      <c r="D106" s="112">
        <v>2147483680</v>
      </c>
    </row>
    <row r="107" spans="1:22">
      <c r="A107" s="19" t="str">
        <f t="shared" si="10"/>
        <v>FB_DO_S.DOON</v>
      </c>
      <c r="B107" s="11">
        <v>7999</v>
      </c>
      <c r="C107" s="11" t="s">
        <v>0</v>
      </c>
      <c r="D107" s="20" t="str">
        <f>"#"&amp;$S$2&amp;"#"&amp;$T$2&amp;"\"&amp;$P$2&amp;"\DOON"</f>
        <v>#1#treiOPCDA.CoOPCserv.1\pcmaster\ALARM_SOUND\DOON</v>
      </c>
    </row>
    <row r="108" spans="1:22">
      <c r="A108" s="19" t="str">
        <f t="shared" si="10"/>
        <v>FB_DO_S.DOON</v>
      </c>
      <c r="B108" s="11">
        <v>7998</v>
      </c>
      <c r="C108" s="11" t="s">
        <v>6</v>
      </c>
      <c r="D108" s="20">
        <v>1</v>
      </c>
    </row>
    <row r="109" spans="1:22">
      <c r="A109" s="19" t="str">
        <f t="shared" si="10"/>
        <v>FB_DO_S.DOON</v>
      </c>
      <c r="B109" s="11">
        <v>101</v>
      </c>
      <c r="C109" s="11" t="s">
        <v>0</v>
      </c>
      <c r="D109" s="20" t="s">
        <v>272</v>
      </c>
    </row>
    <row r="110" spans="1:22">
      <c r="A110" s="19" t="str">
        <f t="shared" si="10"/>
        <v>FB_DO_S.DOON</v>
      </c>
      <c r="B110" s="11">
        <v>3</v>
      </c>
      <c r="C110" s="11" t="s">
        <v>1</v>
      </c>
      <c r="D110" s="20">
        <v>192</v>
      </c>
    </row>
    <row r="111" spans="1:22">
      <c r="A111" s="19" t="str">
        <f t="shared" si="10"/>
        <v>FB_DO_S.DOON</v>
      </c>
      <c r="B111" s="11">
        <v>2</v>
      </c>
      <c r="C111" s="11" t="s">
        <v>2</v>
      </c>
      <c r="D111" s="20" t="s">
        <v>3</v>
      </c>
    </row>
    <row r="112" spans="1:22">
      <c r="A112" s="21" t="str">
        <f t="shared" si="10"/>
        <v>FB_DO_S.DOON</v>
      </c>
      <c r="B112" s="8">
        <v>1</v>
      </c>
      <c r="C112" s="8" t="s">
        <v>1</v>
      </c>
      <c r="D112" s="22">
        <v>11</v>
      </c>
    </row>
    <row r="113" spans="1:4">
      <c r="A113" s="163" t="str">
        <f t="shared" ref="A113:A122" si="11">$R$2&amp;".DOOF"</f>
        <v>FB_DO_S.DOOF</v>
      </c>
      <c r="B113" s="123">
        <v>11154</v>
      </c>
      <c r="C113" s="123" t="s">
        <v>4</v>
      </c>
      <c r="D113" s="124">
        <f>$Q$9</f>
        <v>10</v>
      </c>
    </row>
    <row r="114" spans="1:4">
      <c r="A114" s="110" t="str">
        <f t="shared" si="11"/>
        <v>FB_DO_S.DOOF</v>
      </c>
      <c r="B114" s="111">
        <v>11150</v>
      </c>
      <c r="C114" s="111" t="s">
        <v>0</v>
      </c>
      <c r="D114" s="112" t="s">
        <v>539</v>
      </c>
    </row>
    <row r="115" spans="1:4">
      <c r="A115" s="110" t="str">
        <f t="shared" si="11"/>
        <v>FB_DO_S.DOOF</v>
      </c>
      <c r="B115" s="111">
        <v>11152</v>
      </c>
      <c r="C115" s="111" t="s">
        <v>0</v>
      </c>
      <c r="D115" s="113" t="str">
        <f>$R$9</f>
        <v>Недостоверность</v>
      </c>
    </row>
    <row r="116" spans="1:4">
      <c r="A116" s="110" t="str">
        <f t="shared" si="11"/>
        <v>FB_DO_S.DOOF</v>
      </c>
      <c r="B116" s="111">
        <v>11000</v>
      </c>
      <c r="C116" s="111" t="s">
        <v>5</v>
      </c>
      <c r="D116" s="112">
        <v>2147483680</v>
      </c>
    </row>
    <row r="117" spans="1:4">
      <c r="A117" s="19" t="str">
        <f t="shared" si="11"/>
        <v>FB_DO_S.DOOF</v>
      </c>
      <c r="B117" s="11">
        <v>7999</v>
      </c>
      <c r="C117" s="11" t="s">
        <v>0</v>
      </c>
      <c r="D117" s="20" t="str">
        <f>"#"&amp;$S$2&amp;"#"&amp;$T$2&amp;"\"&amp;$P$2&amp;"\DOOF"</f>
        <v>#1#treiOPCDA.CoOPCserv.1\pcmaster\ALARM_SOUND\DOOF</v>
      </c>
    </row>
    <row r="118" spans="1:4">
      <c r="A118" s="19" t="str">
        <f t="shared" si="11"/>
        <v>FB_DO_S.DOOF</v>
      </c>
      <c r="B118" s="11">
        <v>7998</v>
      </c>
      <c r="C118" s="11" t="s">
        <v>6</v>
      </c>
      <c r="D118" s="20">
        <v>1</v>
      </c>
    </row>
    <row r="119" spans="1:4">
      <c r="A119" s="19" t="str">
        <f t="shared" si="11"/>
        <v>FB_DO_S.DOOF</v>
      </c>
      <c r="B119" s="11">
        <v>101</v>
      </c>
      <c r="C119" s="11" t="s">
        <v>0</v>
      </c>
      <c r="D119" s="20" t="s">
        <v>540</v>
      </c>
    </row>
    <row r="120" spans="1:4">
      <c r="A120" s="19" t="str">
        <f t="shared" si="11"/>
        <v>FB_DO_S.DOOF</v>
      </c>
      <c r="B120" s="11">
        <v>3</v>
      </c>
      <c r="C120" s="11" t="s">
        <v>1</v>
      </c>
      <c r="D120" s="20">
        <v>192</v>
      </c>
    </row>
    <row r="121" spans="1:4">
      <c r="A121" s="19" t="str">
        <f t="shared" si="11"/>
        <v>FB_DO_S.DOOF</v>
      </c>
      <c r="B121" s="11">
        <v>2</v>
      </c>
      <c r="C121" s="11" t="s">
        <v>2</v>
      </c>
      <c r="D121" s="20" t="s">
        <v>3</v>
      </c>
    </row>
    <row r="122" spans="1:4">
      <c r="A122" s="21" t="str">
        <f t="shared" si="11"/>
        <v>FB_DO_S.DOOF</v>
      </c>
      <c r="B122" s="8">
        <v>1</v>
      </c>
      <c r="C122" s="8" t="s">
        <v>1</v>
      </c>
      <c r="D122" s="22">
        <v>11</v>
      </c>
    </row>
    <row r="123" spans="1:4">
      <c r="A123" s="163" t="str">
        <f t="shared" ref="A123:A132" si="12">$R$2&amp;".DRCX"</f>
        <v>FB_DO_S.DRCX</v>
      </c>
      <c r="B123" s="123">
        <v>11154</v>
      </c>
      <c r="C123" s="123" t="s">
        <v>4</v>
      </c>
      <c r="D123" s="124">
        <f>$Q$9</f>
        <v>10</v>
      </c>
    </row>
    <row r="124" spans="1:4">
      <c r="A124" s="110" t="str">
        <f t="shared" si="12"/>
        <v>FB_DO_S.DRCX</v>
      </c>
      <c r="B124" s="111">
        <v>11150</v>
      </c>
      <c r="C124" s="111" t="s">
        <v>0</v>
      </c>
      <c r="D124" s="112" t="s">
        <v>534</v>
      </c>
    </row>
    <row r="125" spans="1:4">
      <c r="A125" s="110" t="str">
        <f t="shared" si="12"/>
        <v>FB_DO_S.DRCX</v>
      </c>
      <c r="B125" s="111">
        <v>11152</v>
      </c>
      <c r="C125" s="111" t="s">
        <v>0</v>
      </c>
      <c r="D125" s="113" t="str">
        <f>$R$9</f>
        <v>Недостоверность</v>
      </c>
    </row>
    <row r="126" spans="1:4">
      <c r="A126" s="110" t="str">
        <f t="shared" si="12"/>
        <v>FB_DO_S.DRCX</v>
      </c>
      <c r="B126" s="111">
        <v>11000</v>
      </c>
      <c r="C126" s="111" t="s">
        <v>5</v>
      </c>
      <c r="D126" s="112">
        <v>2147483680</v>
      </c>
    </row>
    <row r="127" spans="1:4">
      <c r="A127" s="19" t="str">
        <f t="shared" si="12"/>
        <v>FB_DO_S.DRCX</v>
      </c>
      <c r="B127" s="11">
        <v>7999</v>
      </c>
      <c r="C127" s="11" t="s">
        <v>0</v>
      </c>
      <c r="D127" s="20" t="str">
        <f>"#"&amp;$S$2&amp;"#"&amp;$T$2&amp;"\"&amp;$P$2&amp;"\DRCX"</f>
        <v>#1#treiOPCDA.CoOPCserv.1\pcmaster\ALARM_SOUND\DRCX</v>
      </c>
    </row>
    <row r="128" spans="1:4">
      <c r="A128" s="19" t="str">
        <f t="shared" si="12"/>
        <v>FB_DO_S.DRCX</v>
      </c>
      <c r="B128" s="11">
        <v>7998</v>
      </c>
      <c r="C128" s="11" t="s">
        <v>6</v>
      </c>
      <c r="D128" s="20">
        <v>1</v>
      </c>
    </row>
    <row r="129" spans="1:4">
      <c r="A129" s="19" t="str">
        <f t="shared" si="12"/>
        <v>FB_DO_S.DRCX</v>
      </c>
      <c r="B129" s="11">
        <v>101</v>
      </c>
      <c r="C129" s="11" t="s">
        <v>0</v>
      </c>
      <c r="D129" s="20" t="s">
        <v>573</v>
      </c>
    </row>
    <row r="130" spans="1:4">
      <c r="A130" s="19" t="str">
        <f t="shared" si="12"/>
        <v>FB_DO_S.DRCX</v>
      </c>
      <c r="B130" s="11">
        <v>3</v>
      </c>
      <c r="C130" s="11" t="s">
        <v>1</v>
      </c>
      <c r="D130" s="20">
        <v>192</v>
      </c>
    </row>
    <row r="131" spans="1:4">
      <c r="A131" s="19" t="str">
        <f t="shared" si="12"/>
        <v>FB_DO_S.DRCX</v>
      </c>
      <c r="B131" s="11">
        <v>2</v>
      </c>
      <c r="C131" s="11" t="s">
        <v>2</v>
      </c>
      <c r="D131" s="20" t="s">
        <v>3</v>
      </c>
    </row>
    <row r="132" spans="1:4">
      <c r="A132" s="21" t="str">
        <f t="shared" si="12"/>
        <v>FB_DO_S.DRCX</v>
      </c>
      <c r="B132" s="8">
        <v>1</v>
      </c>
      <c r="C132" s="8" t="s">
        <v>1</v>
      </c>
      <c r="D132" s="22">
        <v>11</v>
      </c>
    </row>
    <row r="133" spans="1:4">
      <c r="A133" s="163" t="str">
        <f>$R$2&amp;".DVXX"</f>
        <v>FB_DO_S.DVXX</v>
      </c>
      <c r="B133" s="123">
        <v>11154</v>
      </c>
      <c r="C133" s="123" t="s">
        <v>4</v>
      </c>
      <c r="D133" s="124">
        <f>$Q$9</f>
        <v>10</v>
      </c>
    </row>
    <row r="134" spans="1:4">
      <c r="A134" s="110" t="str">
        <f>$R$2&amp;".DVXX"</f>
        <v>FB_DO_S.DVXX</v>
      </c>
      <c r="B134" s="111">
        <v>11150</v>
      </c>
      <c r="C134" s="111" t="s">
        <v>0</v>
      </c>
      <c r="D134" s="112" t="s">
        <v>513</v>
      </c>
    </row>
    <row r="135" spans="1:4">
      <c r="A135" s="110" t="str">
        <f>$R$2&amp;".DVXX"</f>
        <v>FB_DO_S.DVXX</v>
      </c>
      <c r="B135" s="111">
        <v>11152</v>
      </c>
      <c r="C135" s="111" t="s">
        <v>0</v>
      </c>
      <c r="D135" s="113" t="str">
        <f>$R$9</f>
        <v>Недостоверность</v>
      </c>
    </row>
    <row r="136" spans="1:4">
      <c r="A136" s="110" t="str">
        <f>$R$2&amp;".DVXX"</f>
        <v>FB_DO_S.DVXX</v>
      </c>
      <c r="B136" s="111">
        <v>11000</v>
      </c>
      <c r="C136" s="111" t="s">
        <v>5</v>
      </c>
      <c r="D136" s="112">
        <v>2147483680</v>
      </c>
    </row>
    <row r="137" spans="1:4">
      <c r="A137" s="19" t="str">
        <f t="shared" ref="A137:A142" si="13">$R$2&amp;".DVXX"</f>
        <v>FB_DO_S.DVXX</v>
      </c>
      <c r="B137" s="11">
        <v>7999</v>
      </c>
      <c r="C137" s="11" t="s">
        <v>0</v>
      </c>
      <c r="D137" s="20" t="str">
        <f>"#"&amp;$S$2&amp;"#"&amp;$T$2&amp;"\"&amp;$P$2&amp;"\DVXX"</f>
        <v>#1#treiOPCDA.CoOPCserv.1\pcmaster\ALARM_SOUND\DVXX</v>
      </c>
    </row>
    <row r="138" spans="1:4">
      <c r="A138" s="19" t="str">
        <f t="shared" si="13"/>
        <v>FB_DO_S.DVXX</v>
      </c>
      <c r="B138" s="11">
        <v>7998</v>
      </c>
      <c r="C138" s="11" t="s">
        <v>6</v>
      </c>
      <c r="D138" s="20">
        <v>1</v>
      </c>
    </row>
    <row r="139" spans="1:4">
      <c r="A139" s="19" t="str">
        <f t="shared" si="13"/>
        <v>FB_DO_S.DVXX</v>
      </c>
      <c r="B139" s="11">
        <v>101</v>
      </c>
      <c r="C139" s="11" t="s">
        <v>0</v>
      </c>
      <c r="D139" s="20" t="s">
        <v>83</v>
      </c>
    </row>
    <row r="140" spans="1:4">
      <c r="A140" s="19" t="str">
        <f t="shared" si="13"/>
        <v>FB_DO_S.DVXX</v>
      </c>
      <c r="B140" s="11">
        <v>3</v>
      </c>
      <c r="C140" s="11" t="s">
        <v>1</v>
      </c>
      <c r="D140" s="20">
        <v>192</v>
      </c>
    </row>
    <row r="141" spans="1:4">
      <c r="A141" s="19" t="str">
        <f t="shared" si="13"/>
        <v>FB_DO_S.DVXX</v>
      </c>
      <c r="B141" s="11">
        <v>2</v>
      </c>
      <c r="C141" s="11" t="s">
        <v>2</v>
      </c>
      <c r="D141" s="20" t="s">
        <v>3</v>
      </c>
    </row>
    <row r="142" spans="1:4">
      <c r="A142" s="19" t="str">
        <f t="shared" si="13"/>
        <v>FB_DO_S.DVXX</v>
      </c>
      <c r="B142" s="11">
        <v>1</v>
      </c>
      <c r="C142" s="11" t="s">
        <v>1</v>
      </c>
      <c r="D142" s="20">
        <v>11</v>
      </c>
    </row>
    <row r="143" spans="1:4">
      <c r="A143" s="130" t="str">
        <f t="shared" ref="A143:A154" si="14">$R$2&amp;".XRPX"</f>
        <v>FB_DO_S.XRPX</v>
      </c>
      <c r="B143" s="131">
        <v>11154</v>
      </c>
      <c r="C143" s="131" t="s">
        <v>4</v>
      </c>
      <c r="D143" s="132">
        <f>$Q$11</f>
        <v>14</v>
      </c>
    </row>
    <row r="144" spans="1:4">
      <c r="A144" s="133" t="str">
        <f t="shared" si="14"/>
        <v>FB_DO_S.XRPX</v>
      </c>
      <c r="B144" s="134">
        <v>11150</v>
      </c>
      <c r="C144" s="134" t="s">
        <v>0</v>
      </c>
      <c r="D144" s="135" t="s">
        <v>530</v>
      </c>
    </row>
    <row r="145" spans="1:4">
      <c r="A145" s="133" t="str">
        <f t="shared" si="14"/>
        <v>FB_DO_S.XRPX</v>
      </c>
      <c r="B145" s="134">
        <v>11152</v>
      </c>
      <c r="C145" s="134" t="s">
        <v>0</v>
      </c>
      <c r="D145" s="136" t="str">
        <f>$R$11</f>
        <v>Ремонт</v>
      </c>
    </row>
    <row r="146" spans="1:4">
      <c r="A146" s="133" t="str">
        <f t="shared" si="14"/>
        <v>FB_DO_S.XRPX</v>
      </c>
      <c r="B146" s="134">
        <v>11000</v>
      </c>
      <c r="C146" s="134" t="s">
        <v>5</v>
      </c>
      <c r="D146" s="135">
        <v>2147483680</v>
      </c>
    </row>
    <row r="147" spans="1:4">
      <c r="A147" s="19" t="str">
        <f t="shared" si="14"/>
        <v>FB_DO_S.XRPX</v>
      </c>
      <c r="B147" s="11">
        <v>7999</v>
      </c>
      <c r="C147" s="11" t="s">
        <v>0</v>
      </c>
      <c r="D147" s="20" t="str">
        <f>"#"&amp;$S$2&amp;"#"&amp;$T$2&amp;"\"&amp;$P$2&amp;"\XRPX"</f>
        <v>#1#treiOPCDA.CoOPCserv.1\pcmaster\ALARM_SOUND\XRPX</v>
      </c>
    </row>
    <row r="148" spans="1:4">
      <c r="A148" s="19" t="str">
        <f t="shared" si="14"/>
        <v>FB_DO_S.XRPX</v>
      </c>
      <c r="B148" s="11">
        <v>7998</v>
      </c>
      <c r="C148" s="11" t="s">
        <v>6</v>
      </c>
      <c r="D148" s="20">
        <v>1</v>
      </c>
    </row>
    <row r="149" spans="1:4">
      <c r="A149" s="19" t="str">
        <f t="shared" si="14"/>
        <v>FB_DO_S.XRPX</v>
      </c>
      <c r="B149" s="11">
        <v>101</v>
      </c>
      <c r="C149" s="11" t="s">
        <v>0</v>
      </c>
      <c r="D149" s="20" t="s">
        <v>181</v>
      </c>
    </row>
    <row r="150" spans="1:4">
      <c r="A150" s="19" t="str">
        <f t="shared" si="14"/>
        <v>FB_DO_S.XRPX</v>
      </c>
      <c r="B150" s="11">
        <v>3</v>
      </c>
      <c r="C150" s="11" t="s">
        <v>1</v>
      </c>
      <c r="D150" s="20">
        <v>192</v>
      </c>
    </row>
    <row r="151" spans="1:4">
      <c r="A151" s="19" t="str">
        <f t="shared" si="14"/>
        <v>FB_DO_S.XRPX</v>
      </c>
      <c r="B151" s="11">
        <v>2</v>
      </c>
      <c r="C151" s="11" t="s">
        <v>2</v>
      </c>
      <c r="D151" s="20" t="s">
        <v>3</v>
      </c>
    </row>
    <row r="152" spans="1:4">
      <c r="A152" s="19" t="str">
        <f t="shared" si="14"/>
        <v>FB_DO_S.XRPX</v>
      </c>
      <c r="B152" s="11">
        <v>1</v>
      </c>
      <c r="C152" s="11" t="s">
        <v>1</v>
      </c>
      <c r="D152" s="20">
        <v>11</v>
      </c>
    </row>
    <row r="153" spans="1:4" ht="13.5" customHeight="1">
      <c r="A153" s="29" t="str">
        <f t="shared" si="14"/>
        <v>FB_DO_S.XRPX</v>
      </c>
      <c r="B153" s="1">
        <v>4000000</v>
      </c>
      <c r="C153" s="1" t="s">
        <v>0</v>
      </c>
      <c r="D153" s="415" t="s">
        <v>1480</v>
      </c>
    </row>
    <row r="154" spans="1:4">
      <c r="A154" s="26" t="str">
        <f t="shared" si="14"/>
        <v>FB_DO_S.XRPX</v>
      </c>
      <c r="B154" s="27">
        <v>7000000</v>
      </c>
      <c r="C154" s="27" t="s">
        <v>6</v>
      </c>
      <c r="D154" s="28">
        <v>2</v>
      </c>
    </row>
    <row r="155" spans="1:4">
      <c r="A155" s="100" t="str">
        <f>$R$2&amp;".CAON"</f>
        <v>FB_DO_S.CAON</v>
      </c>
      <c r="B155" s="101">
        <v>11154</v>
      </c>
      <c r="C155" s="101" t="s">
        <v>4</v>
      </c>
      <c r="D155" s="102">
        <v>18</v>
      </c>
    </row>
    <row r="156" spans="1:4">
      <c r="A156" s="100" t="str">
        <f t="shared" ref="A156:A164" si="15">$R$2&amp;".CAON"</f>
        <v>FB_DO_S.CAON</v>
      </c>
      <c r="B156" s="101">
        <v>11150</v>
      </c>
      <c r="C156" s="101" t="s">
        <v>0</v>
      </c>
      <c r="D156" s="103" t="s">
        <v>1827</v>
      </c>
    </row>
    <row r="157" spans="1:4">
      <c r="A157" s="100" t="str">
        <f t="shared" si="15"/>
        <v>FB_DO_S.CAON</v>
      </c>
      <c r="B157" s="101">
        <v>11152</v>
      </c>
      <c r="C157" s="101" t="s">
        <v>0</v>
      </c>
      <c r="D157" s="104" t="s">
        <v>231</v>
      </c>
    </row>
    <row r="158" spans="1:4">
      <c r="A158" s="100" t="str">
        <f t="shared" si="15"/>
        <v>FB_DO_S.CAON</v>
      </c>
      <c r="B158" s="101">
        <v>11000</v>
      </c>
      <c r="C158" s="101" t="s">
        <v>5</v>
      </c>
      <c r="D158" s="103">
        <v>2147483680</v>
      </c>
    </row>
    <row r="159" spans="1:4">
      <c r="A159" s="19" t="str">
        <f t="shared" si="15"/>
        <v>FB_DO_S.CAON</v>
      </c>
      <c r="B159" s="11">
        <v>7999</v>
      </c>
      <c r="C159" s="11" t="s">
        <v>0</v>
      </c>
      <c r="D159" s="20" t="str">
        <f>"#"&amp;$S$2&amp;"#"&amp;$T$2&amp;"\"&amp;$P$2&amp;"\CAON"</f>
        <v>#1#treiOPCDA.CoOPCserv.1\pcmaster\ALARM_SOUND\CAON</v>
      </c>
    </row>
    <row r="160" spans="1:4">
      <c r="A160" s="19" t="str">
        <f t="shared" si="15"/>
        <v>FB_DO_S.CAON</v>
      </c>
      <c r="B160" s="11">
        <v>7998</v>
      </c>
      <c r="C160" s="11" t="s">
        <v>6</v>
      </c>
      <c r="D160" s="20">
        <v>1</v>
      </c>
    </row>
    <row r="161" spans="1:4">
      <c r="A161" s="19" t="str">
        <f t="shared" si="15"/>
        <v>FB_DO_S.CAON</v>
      </c>
      <c r="B161" s="11">
        <v>101</v>
      </c>
      <c r="C161" s="11" t="s">
        <v>0</v>
      </c>
      <c r="D161" s="20" t="s">
        <v>1839</v>
      </c>
    </row>
    <row r="162" spans="1:4">
      <c r="A162" s="19" t="str">
        <f t="shared" si="15"/>
        <v>FB_DO_S.CAON</v>
      </c>
      <c r="B162" s="11">
        <v>3</v>
      </c>
      <c r="C162" s="11" t="s">
        <v>1</v>
      </c>
      <c r="D162" s="20">
        <v>192</v>
      </c>
    </row>
    <row r="163" spans="1:4">
      <c r="A163" s="19" t="str">
        <f t="shared" si="15"/>
        <v>FB_DO_S.CAON</v>
      </c>
      <c r="B163" s="11">
        <v>2</v>
      </c>
      <c r="C163" s="11" t="s">
        <v>2</v>
      </c>
      <c r="D163" s="20" t="s">
        <v>3</v>
      </c>
    </row>
    <row r="164" spans="1:4">
      <c r="A164" s="21" t="str">
        <f t="shared" si="15"/>
        <v>FB_DO_S.CAON</v>
      </c>
      <c r="B164" s="8">
        <v>1</v>
      </c>
      <c r="C164" s="8" t="s">
        <v>1</v>
      </c>
      <c r="D164" s="22">
        <v>11</v>
      </c>
    </row>
    <row r="165" spans="1:4">
      <c r="A165" s="100" t="str">
        <f>$R$2&amp;".CAOF"</f>
        <v>FB_DO_S.CAOF</v>
      </c>
      <c r="B165" s="101">
        <v>11154</v>
      </c>
      <c r="C165" s="101" t="s">
        <v>4</v>
      </c>
      <c r="D165" s="102">
        <v>18</v>
      </c>
    </row>
    <row r="166" spans="1:4">
      <c r="A166" s="100" t="str">
        <f t="shared" ref="A166:A174" si="16">$R$2&amp;".CAOF"</f>
        <v>FB_DO_S.CAOF</v>
      </c>
      <c r="B166" s="101">
        <v>11150</v>
      </c>
      <c r="C166" s="101" t="s">
        <v>0</v>
      </c>
      <c r="D166" s="103" t="s">
        <v>1828</v>
      </c>
    </row>
    <row r="167" spans="1:4">
      <c r="A167" s="100" t="str">
        <f t="shared" si="16"/>
        <v>FB_DO_S.CAOF</v>
      </c>
      <c r="B167" s="101">
        <v>11152</v>
      </c>
      <c r="C167" s="101" t="s">
        <v>0</v>
      </c>
      <c r="D167" s="104" t="s">
        <v>231</v>
      </c>
    </row>
    <row r="168" spans="1:4">
      <c r="A168" s="100" t="str">
        <f t="shared" si="16"/>
        <v>FB_DO_S.CAOF</v>
      </c>
      <c r="B168" s="101">
        <v>11000</v>
      </c>
      <c r="C168" s="101" t="s">
        <v>5</v>
      </c>
      <c r="D168" s="103">
        <v>2147483680</v>
      </c>
    </row>
    <row r="169" spans="1:4">
      <c r="A169" s="19" t="str">
        <f t="shared" si="16"/>
        <v>FB_DO_S.CAOF</v>
      </c>
      <c r="B169" s="11">
        <v>7999</v>
      </c>
      <c r="C169" s="11" t="s">
        <v>0</v>
      </c>
      <c r="D169" s="20" t="str">
        <f>"#"&amp;$S$2&amp;"#"&amp;$T$2&amp;"\"&amp;$P$2&amp;"\CAOF"</f>
        <v>#1#treiOPCDA.CoOPCserv.1\pcmaster\ALARM_SOUND\CAOF</v>
      </c>
    </row>
    <row r="170" spans="1:4">
      <c r="A170" s="19" t="str">
        <f t="shared" si="16"/>
        <v>FB_DO_S.CAOF</v>
      </c>
      <c r="B170" s="11">
        <v>7998</v>
      </c>
      <c r="C170" s="11" t="s">
        <v>6</v>
      </c>
      <c r="D170" s="20">
        <v>1</v>
      </c>
    </row>
    <row r="171" spans="1:4">
      <c r="A171" s="19" t="str">
        <f t="shared" si="16"/>
        <v>FB_DO_S.CAOF</v>
      </c>
      <c r="B171" s="11">
        <v>101</v>
      </c>
      <c r="C171" s="11" t="s">
        <v>0</v>
      </c>
      <c r="D171" s="20" t="s">
        <v>1840</v>
      </c>
    </row>
    <row r="172" spans="1:4">
      <c r="A172" s="19" t="str">
        <f t="shared" si="16"/>
        <v>FB_DO_S.CAOF</v>
      </c>
      <c r="B172" s="11">
        <v>3</v>
      </c>
      <c r="C172" s="11" t="s">
        <v>1</v>
      </c>
      <c r="D172" s="20">
        <v>192</v>
      </c>
    </row>
    <row r="173" spans="1:4">
      <c r="A173" s="19" t="str">
        <f t="shared" si="16"/>
        <v>FB_DO_S.CAOF</v>
      </c>
      <c r="B173" s="11">
        <v>2</v>
      </c>
      <c r="C173" s="11" t="s">
        <v>2</v>
      </c>
      <c r="D173" s="20" t="s">
        <v>3</v>
      </c>
    </row>
    <row r="174" spans="1:4">
      <c r="A174" s="21" t="str">
        <f t="shared" si="16"/>
        <v>FB_DO_S.CAOF</v>
      </c>
      <c r="B174" s="8">
        <v>1</v>
      </c>
      <c r="C174" s="8" t="s">
        <v>1</v>
      </c>
      <c r="D174" s="22">
        <v>11</v>
      </c>
    </row>
    <row r="175" spans="1:4">
      <c r="A175" s="100" t="str">
        <f t="shared" ref="A175:A184" si="17">$R$2&amp;".XMMX"</f>
        <v>FB_DO_S.XMMX</v>
      </c>
      <c r="B175" s="101">
        <v>11154</v>
      </c>
      <c r="C175" s="101" t="s">
        <v>4</v>
      </c>
      <c r="D175" s="102">
        <v>18</v>
      </c>
    </row>
    <row r="176" spans="1:4">
      <c r="A176" s="100" t="str">
        <f t="shared" si="17"/>
        <v>FB_DO_S.XMMX</v>
      </c>
      <c r="B176" s="101">
        <v>11150</v>
      </c>
      <c r="C176" s="101" t="s">
        <v>0</v>
      </c>
      <c r="D176" s="103" t="s">
        <v>532</v>
      </c>
    </row>
    <row r="177" spans="1:4">
      <c r="A177" s="100" t="str">
        <f t="shared" si="17"/>
        <v>FB_DO_S.XMMX</v>
      </c>
      <c r="B177" s="101">
        <v>11152</v>
      </c>
      <c r="C177" s="101" t="s">
        <v>0</v>
      </c>
      <c r="D177" s="104" t="s">
        <v>231</v>
      </c>
    </row>
    <row r="178" spans="1:4">
      <c r="A178" s="100" t="str">
        <f t="shared" si="17"/>
        <v>FB_DO_S.XMMX</v>
      </c>
      <c r="B178" s="101">
        <v>11000</v>
      </c>
      <c r="C178" s="101" t="s">
        <v>5</v>
      </c>
      <c r="D178" s="103">
        <v>2147483680</v>
      </c>
    </row>
    <row r="179" spans="1:4">
      <c r="A179" s="19" t="str">
        <f t="shared" si="17"/>
        <v>FB_DO_S.XMMX</v>
      </c>
      <c r="B179" s="11">
        <v>7999</v>
      </c>
      <c r="C179" s="11" t="s">
        <v>0</v>
      </c>
      <c r="D179" s="20" t="str">
        <f>"#"&amp;$S$2&amp;"#"&amp;$T$2&amp;"\"&amp;$P$2&amp;"\XMMX"</f>
        <v>#1#treiOPCDA.CoOPCserv.1\pcmaster\ALARM_SOUND\XMMX</v>
      </c>
    </row>
    <row r="180" spans="1:4">
      <c r="A180" s="19" t="str">
        <f t="shared" si="17"/>
        <v>FB_DO_S.XMMX</v>
      </c>
      <c r="B180" s="11">
        <v>7998</v>
      </c>
      <c r="C180" s="11" t="s">
        <v>6</v>
      </c>
      <c r="D180" s="20">
        <v>1</v>
      </c>
    </row>
    <row r="181" spans="1:4">
      <c r="A181" s="19" t="str">
        <f t="shared" si="17"/>
        <v>FB_DO_S.XMMX</v>
      </c>
      <c r="B181" s="11">
        <v>101</v>
      </c>
      <c r="C181" s="11" t="s">
        <v>0</v>
      </c>
      <c r="D181" s="20" t="s">
        <v>574</v>
      </c>
    </row>
    <row r="182" spans="1:4">
      <c r="A182" s="19" t="str">
        <f t="shared" si="17"/>
        <v>FB_DO_S.XMMX</v>
      </c>
      <c r="B182" s="11">
        <v>3</v>
      </c>
      <c r="C182" s="11" t="s">
        <v>1</v>
      </c>
      <c r="D182" s="20">
        <v>192</v>
      </c>
    </row>
    <row r="183" spans="1:4">
      <c r="A183" s="19" t="str">
        <f t="shared" si="17"/>
        <v>FB_DO_S.XMMX</v>
      </c>
      <c r="B183" s="11">
        <v>2</v>
      </c>
      <c r="C183" s="11" t="s">
        <v>2</v>
      </c>
      <c r="D183" s="20" t="s">
        <v>3</v>
      </c>
    </row>
    <row r="184" spans="1:4">
      <c r="A184" s="21" t="str">
        <f t="shared" si="17"/>
        <v>FB_DO_S.XMMX</v>
      </c>
      <c r="B184" s="8">
        <v>1</v>
      </c>
      <c r="C184" s="8" t="s">
        <v>1</v>
      </c>
      <c r="D184" s="22">
        <v>11</v>
      </c>
    </row>
    <row r="185" spans="1:4">
      <c r="A185" s="159" t="str">
        <f t="shared" ref="A185:A194" si="18">$R$2&amp;".XRCX"</f>
        <v>FB_DO_S.XRCX</v>
      </c>
      <c r="B185" s="160">
        <v>11154</v>
      </c>
      <c r="C185" s="160" t="s">
        <v>4</v>
      </c>
      <c r="D185" s="161">
        <f>$Q$8</f>
        <v>18</v>
      </c>
    </row>
    <row r="186" spans="1:4">
      <c r="A186" s="100" t="str">
        <f t="shared" si="18"/>
        <v>FB_DO_S.XRCX</v>
      </c>
      <c r="B186" s="101">
        <v>11150</v>
      </c>
      <c r="C186" s="101" t="s">
        <v>0</v>
      </c>
      <c r="D186" s="103" t="s">
        <v>533</v>
      </c>
    </row>
    <row r="187" spans="1:4">
      <c r="A187" s="100" t="str">
        <f t="shared" si="18"/>
        <v>FB_DO_S.XRCX</v>
      </c>
      <c r="B187" s="101">
        <v>11152</v>
      </c>
      <c r="C187" s="101" t="s">
        <v>0</v>
      </c>
      <c r="D187" s="104" t="str">
        <f>$R$8</f>
        <v>Телесигнализация</v>
      </c>
    </row>
    <row r="188" spans="1:4">
      <c r="A188" s="100" t="str">
        <f t="shared" si="18"/>
        <v>FB_DO_S.XRCX</v>
      </c>
      <c r="B188" s="101">
        <v>11000</v>
      </c>
      <c r="C188" s="101" t="s">
        <v>5</v>
      </c>
      <c r="D188" s="103">
        <v>2147483680</v>
      </c>
    </row>
    <row r="189" spans="1:4">
      <c r="A189" s="19" t="str">
        <f t="shared" si="18"/>
        <v>FB_DO_S.XRCX</v>
      </c>
      <c r="B189" s="11">
        <v>7999</v>
      </c>
      <c r="C189" s="11" t="s">
        <v>0</v>
      </c>
      <c r="D189" s="20" t="str">
        <f>"#"&amp;$S$2&amp;"#"&amp;$T$2&amp;"\"&amp;$P$2&amp;"\XRCX"</f>
        <v>#1#treiOPCDA.CoOPCserv.1\pcmaster\ALARM_SOUND\XRCX</v>
      </c>
    </row>
    <row r="190" spans="1:4">
      <c r="A190" s="19" t="str">
        <f t="shared" si="18"/>
        <v>FB_DO_S.XRCX</v>
      </c>
      <c r="B190" s="11">
        <v>7998</v>
      </c>
      <c r="C190" s="11" t="s">
        <v>6</v>
      </c>
      <c r="D190" s="20">
        <v>1</v>
      </c>
    </row>
    <row r="191" spans="1:4">
      <c r="A191" s="19" t="str">
        <f t="shared" si="18"/>
        <v>FB_DO_S.XRCX</v>
      </c>
      <c r="B191" s="11">
        <v>101</v>
      </c>
      <c r="C191" s="11" t="s">
        <v>0</v>
      </c>
      <c r="D191" s="20" t="s">
        <v>575</v>
      </c>
    </row>
    <row r="192" spans="1:4">
      <c r="A192" s="19" t="str">
        <f t="shared" si="18"/>
        <v>FB_DO_S.XRCX</v>
      </c>
      <c r="B192" s="11">
        <v>3</v>
      </c>
      <c r="C192" s="11" t="s">
        <v>1</v>
      </c>
      <c r="D192" s="20">
        <v>192</v>
      </c>
    </row>
    <row r="193" spans="1:4">
      <c r="A193" s="19" t="str">
        <f t="shared" si="18"/>
        <v>FB_DO_S.XRCX</v>
      </c>
      <c r="B193" s="11">
        <v>2</v>
      </c>
      <c r="C193" s="11" t="s">
        <v>2</v>
      </c>
      <c r="D193" s="20" t="s">
        <v>3</v>
      </c>
    </row>
    <row r="194" spans="1:4">
      <c r="A194" s="21" t="str">
        <f t="shared" si="18"/>
        <v>FB_DO_S.XRCX</v>
      </c>
      <c r="B194" s="8">
        <v>1</v>
      </c>
      <c r="C194" s="8" t="s">
        <v>1</v>
      </c>
      <c r="D194" s="22">
        <v>11</v>
      </c>
    </row>
    <row r="195" spans="1:4">
      <c r="A195" s="241" t="str">
        <f t="shared" ref="A195:A204" si="19">$R$2&amp;".XVLX"</f>
        <v>FB_DO_S.XVLX</v>
      </c>
      <c r="B195" s="242">
        <v>11154</v>
      </c>
      <c r="C195" s="242" t="s">
        <v>4</v>
      </c>
      <c r="D195" s="243">
        <f>IF($AB$2=$P$5,$Q$5,IF($AB$2=$P$6,$Q$6,IF($AB$2=$P$7,$Q$7,IF($AB$2=$P$8,$Q$8,IF($AB$2=$P$9,$Q$9,IF($AB$2=$P$10,$Q$10,IF($AB$2=$P$11,$Q$11,IF($AB$2=$P$12,$Q$12,IF($AB$2=$P$13,$Q$13,IF($AB$2=$P$14,$Q$14,0))))))))))</f>
        <v>8</v>
      </c>
    </row>
    <row r="196" spans="1:4">
      <c r="A196" s="244" t="str">
        <f t="shared" si="19"/>
        <v>FB_DO_S.XVLX</v>
      </c>
      <c r="B196" s="245">
        <v>11150</v>
      </c>
      <c r="C196" s="245" t="s">
        <v>0</v>
      </c>
      <c r="D196" s="246" t="s">
        <v>178</v>
      </c>
    </row>
    <row r="197" spans="1:4">
      <c r="A197" s="244" t="str">
        <f t="shared" si="19"/>
        <v>FB_DO_S.XVLX</v>
      </c>
      <c r="B197" s="245">
        <v>11152</v>
      </c>
      <c r="C197" s="245" t="s">
        <v>0</v>
      </c>
      <c r="D197" s="247" t="str">
        <f>IF($AB$2=$P$5,$R$5,IF($AB$2=$P$6,$R$6,IF($AB$2=$P$7,$R$7,IF($AB$2=$P$8,$R$8,IF($AB$2=$P$9,$R$9,IF($AB$2=$P$10,$R$10,IF($AB$2=$P$11,$R$11,IF($AB$2=$P$12,$R$12,IF($AB$2=$P$13,$R$13,IF($AB$2=$P$14,$R$14,0))))))))))</f>
        <v>Предупреждение</v>
      </c>
    </row>
    <row r="198" spans="1:4">
      <c r="A198" s="244" t="str">
        <f t="shared" si="19"/>
        <v>FB_DO_S.XVLX</v>
      </c>
      <c r="B198" s="245">
        <v>11000</v>
      </c>
      <c r="C198" s="245" t="s">
        <v>5</v>
      </c>
      <c r="D198" s="246">
        <v>2147483680</v>
      </c>
    </row>
    <row r="199" spans="1:4">
      <c r="A199" s="19" t="str">
        <f t="shared" si="19"/>
        <v>FB_DO_S.XVLX</v>
      </c>
      <c r="B199" s="11">
        <v>7999</v>
      </c>
      <c r="C199" s="11" t="s">
        <v>0</v>
      </c>
      <c r="D199" s="20" t="str">
        <f>"#"&amp;$S$2&amp;"#"&amp;$T$2&amp;"\"&amp;$P$2&amp;"\XVLX"</f>
        <v>#1#treiOPCDA.CoOPCserv.1\pcmaster\ALARM_SOUND\XVLX</v>
      </c>
    </row>
    <row r="200" spans="1:4">
      <c r="A200" s="19" t="str">
        <f t="shared" si="19"/>
        <v>FB_DO_S.XVLX</v>
      </c>
      <c r="B200" s="11">
        <v>7998</v>
      </c>
      <c r="C200" s="11" t="s">
        <v>6</v>
      </c>
      <c r="D200" s="20">
        <v>1</v>
      </c>
    </row>
    <row r="201" spans="1:4">
      <c r="A201" s="19" t="str">
        <f t="shared" si="19"/>
        <v>FB_DO_S.XVLX</v>
      </c>
      <c r="B201" s="11">
        <v>101</v>
      </c>
      <c r="C201" s="11" t="s">
        <v>0</v>
      </c>
      <c r="D201" s="20" t="s">
        <v>572</v>
      </c>
    </row>
    <row r="202" spans="1:4">
      <c r="A202" s="19" t="str">
        <f t="shared" si="19"/>
        <v>FB_DO_S.XVLX</v>
      </c>
      <c r="B202" s="11">
        <v>3</v>
      </c>
      <c r="C202" s="11" t="s">
        <v>1</v>
      </c>
      <c r="D202" s="20">
        <v>192</v>
      </c>
    </row>
    <row r="203" spans="1:4">
      <c r="A203" s="19" t="str">
        <f t="shared" si="19"/>
        <v>FB_DO_S.XVLX</v>
      </c>
      <c r="B203" s="11">
        <v>2</v>
      </c>
      <c r="C203" s="11" t="s">
        <v>2</v>
      </c>
      <c r="D203" s="20" t="s">
        <v>3</v>
      </c>
    </row>
    <row r="204" spans="1:4">
      <c r="A204" s="21" t="str">
        <f t="shared" si="19"/>
        <v>FB_DO_S.XVLX</v>
      </c>
      <c r="B204" s="8">
        <v>1</v>
      </c>
      <c r="C204" s="8" t="s">
        <v>1</v>
      </c>
      <c r="D204" s="22">
        <v>11</v>
      </c>
    </row>
    <row r="205" spans="1:4">
      <c r="A205" s="266" t="str">
        <f>$R$2&amp;".Commands.STCX"</f>
        <v>FB_DO_S.Commands.STCX</v>
      </c>
      <c r="B205" s="267">
        <v>1</v>
      </c>
      <c r="C205" s="267" t="s">
        <v>1</v>
      </c>
      <c r="D205" s="268">
        <v>3</v>
      </c>
    </row>
    <row r="206" spans="1:4">
      <c r="A206" s="269" t="str">
        <f>$R$2&amp;".Commands.STCX"</f>
        <v>FB_DO_S.Commands.STCX</v>
      </c>
      <c r="B206" s="270">
        <v>101</v>
      </c>
      <c r="C206" s="270" t="s">
        <v>0</v>
      </c>
      <c r="D206" s="271" t="s">
        <v>127</v>
      </c>
    </row>
    <row r="207" spans="1:4">
      <c r="A207" s="269" t="str">
        <f>$R$2&amp;".Commands.STCX"</f>
        <v>FB_DO_S.Commands.STCX</v>
      </c>
      <c r="B207" s="270">
        <v>7998</v>
      </c>
      <c r="C207" s="270" t="s">
        <v>6</v>
      </c>
      <c r="D207" s="271">
        <v>2</v>
      </c>
    </row>
    <row r="208" spans="1:4">
      <c r="A208" s="272" t="str">
        <f>$R$2&amp;".Commands.STCX"</f>
        <v>FB_DO_S.Commands.STCX</v>
      </c>
      <c r="B208" s="273">
        <v>7999</v>
      </c>
      <c r="C208" s="273" t="s">
        <v>0</v>
      </c>
      <c r="D208" s="274" t="str">
        <f>"#"&amp;$T$5&amp;"#"&amp;$T$2&amp;"\"&amp;$P$2&amp;"\STCX"</f>
        <v>#1#treiOPCDA.CoOPCserv.1\pcmaster\ALARM_SOUND\STCX</v>
      </c>
    </row>
    <row r="209" spans="1:4">
      <c r="A209" s="16" t="str">
        <f>$R$2&amp;".Commands.COON"</f>
        <v>FB_DO_S.Commands.COON</v>
      </c>
      <c r="B209" s="17">
        <v>101</v>
      </c>
      <c r="C209" s="17" t="s">
        <v>0</v>
      </c>
      <c r="D209" s="18" t="s">
        <v>408</v>
      </c>
    </row>
    <row r="210" spans="1:4">
      <c r="A210" s="19" t="str">
        <f>$R$2&amp;".Commands.COON"</f>
        <v>FB_DO_S.Commands.COON</v>
      </c>
      <c r="B210" s="11">
        <v>7999</v>
      </c>
      <c r="C210" s="11" t="s">
        <v>0</v>
      </c>
      <c r="D210" s="20" t="str">
        <f>"#"&amp;$T$5&amp;"#"&amp;$T$2&amp;"\"&amp;$P$2&amp;"\COON"</f>
        <v>#1#treiOPCDA.CoOPCserv.1\pcmaster\ALARM_SOUND\COON</v>
      </c>
    </row>
    <row r="211" spans="1:4">
      <c r="A211" s="19" t="str">
        <f>$R$2&amp;".Commands.COON"</f>
        <v>FB_DO_S.Commands.COON</v>
      </c>
      <c r="B211" s="11">
        <v>7998</v>
      </c>
      <c r="C211" s="11" t="s">
        <v>6</v>
      </c>
      <c r="D211" s="20">
        <v>2</v>
      </c>
    </row>
    <row r="212" spans="1:4">
      <c r="A212" s="21" t="str">
        <f>$R$2&amp;".Commands.COON"</f>
        <v>FB_DO_S.Commands.COON</v>
      </c>
      <c r="B212" s="8">
        <v>1</v>
      </c>
      <c r="C212" s="8" t="s">
        <v>1</v>
      </c>
      <c r="D212" s="22">
        <v>11</v>
      </c>
    </row>
    <row r="213" spans="1:4">
      <c r="A213" s="16" t="str">
        <f>$R$2&amp;".Commands.COOF"</f>
        <v>FB_DO_S.Commands.COOF</v>
      </c>
      <c r="B213" s="17">
        <v>101</v>
      </c>
      <c r="C213" s="17" t="s">
        <v>0</v>
      </c>
      <c r="D213" s="18" t="s">
        <v>409</v>
      </c>
    </row>
    <row r="214" spans="1:4">
      <c r="A214" s="19" t="str">
        <f>$R$2&amp;".Commands.COOF"</f>
        <v>FB_DO_S.Commands.COOF</v>
      </c>
      <c r="B214" s="11">
        <v>7999</v>
      </c>
      <c r="C214" s="11" t="s">
        <v>0</v>
      </c>
      <c r="D214" s="20" t="str">
        <f>"#"&amp;$T$5&amp;"#"&amp;$T$2&amp;"\"&amp;$P$2&amp;"\COOF"</f>
        <v>#1#treiOPCDA.CoOPCserv.1\pcmaster\ALARM_SOUND\COOF</v>
      </c>
    </row>
    <row r="215" spans="1:4">
      <c r="A215" s="19" t="str">
        <f>$R$2&amp;".Commands.COOF"</f>
        <v>FB_DO_S.Commands.COOF</v>
      </c>
      <c r="B215" s="11">
        <v>7998</v>
      </c>
      <c r="C215" s="11" t="s">
        <v>6</v>
      </c>
      <c r="D215" s="20">
        <v>2</v>
      </c>
    </row>
    <row r="216" spans="1:4">
      <c r="A216" s="21" t="str">
        <f>$R$2&amp;".Commands.COOF"</f>
        <v>FB_DO_S.Commands.COOF</v>
      </c>
      <c r="B216" s="8">
        <v>1</v>
      </c>
      <c r="C216" s="8" t="s">
        <v>1</v>
      </c>
      <c r="D216" s="22">
        <v>11</v>
      </c>
    </row>
    <row r="217" spans="1:4">
      <c r="A217" s="16" t="str">
        <f>$R$2&amp;".Commands.CRPX"</f>
        <v>FB_DO_S.Commands.CRPX</v>
      </c>
      <c r="B217" s="17">
        <v>101</v>
      </c>
      <c r="C217" s="17" t="s">
        <v>0</v>
      </c>
      <c r="D217" s="18" t="s">
        <v>90</v>
      </c>
    </row>
    <row r="218" spans="1:4">
      <c r="A218" s="19" t="str">
        <f>$R$2&amp;".Commands.CRPX"</f>
        <v>FB_DO_S.Commands.CRPX</v>
      </c>
      <c r="B218" s="11">
        <v>7999</v>
      </c>
      <c r="C218" s="11" t="s">
        <v>0</v>
      </c>
      <c r="D218" s="20" t="str">
        <f>"#"&amp;$T$5&amp;"#"&amp;$T$2&amp;"\"&amp;$P$2&amp;"\CRPX"</f>
        <v>#1#treiOPCDA.CoOPCserv.1\pcmaster\ALARM_SOUND\CRPX</v>
      </c>
    </row>
    <row r="219" spans="1:4">
      <c r="A219" s="19" t="str">
        <f>$R$2&amp;".Commands.CRPX"</f>
        <v>FB_DO_S.Commands.CRPX</v>
      </c>
      <c r="B219" s="11">
        <v>7998</v>
      </c>
      <c r="C219" s="11" t="s">
        <v>6</v>
      </c>
      <c r="D219" s="20">
        <v>2</v>
      </c>
    </row>
    <row r="220" spans="1:4">
      <c r="A220" s="21" t="str">
        <f>$R$2&amp;".Commands.CRPX"</f>
        <v>FB_DO_S.Commands.CRPX</v>
      </c>
      <c r="B220" s="8">
        <v>1</v>
      </c>
      <c r="C220" s="8" t="s">
        <v>1</v>
      </c>
      <c r="D220" s="22">
        <v>11</v>
      </c>
    </row>
    <row r="221" spans="1:4">
      <c r="A221" s="16" t="str">
        <f>$R$2&amp;".Commands.CMMX"</f>
        <v>FB_DO_S.Commands.CMMX</v>
      </c>
      <c r="B221" s="17">
        <v>101</v>
      </c>
      <c r="C221" s="17" t="s">
        <v>0</v>
      </c>
      <c r="D221" s="18" t="s">
        <v>94</v>
      </c>
    </row>
    <row r="222" spans="1:4">
      <c r="A222" s="19" t="str">
        <f>$R$2&amp;".Commands.CMMX"</f>
        <v>FB_DO_S.Commands.CMMX</v>
      </c>
      <c r="B222" s="11">
        <v>7999</v>
      </c>
      <c r="C222" s="11" t="s">
        <v>0</v>
      </c>
      <c r="D222" s="20" t="str">
        <f>"#"&amp;$T$5&amp;"#"&amp;$T$2&amp;"\"&amp;$P$2&amp;"\CMMX"</f>
        <v>#1#treiOPCDA.CoOPCserv.1\pcmaster\ALARM_SOUND\CMMX</v>
      </c>
    </row>
    <row r="223" spans="1:4">
      <c r="A223" s="19" t="str">
        <f>$R$2&amp;".Commands.CMMX"</f>
        <v>FB_DO_S.Commands.CMMX</v>
      </c>
      <c r="B223" s="11">
        <v>7998</v>
      </c>
      <c r="C223" s="11" t="s">
        <v>6</v>
      </c>
      <c r="D223" s="20">
        <v>2</v>
      </c>
    </row>
    <row r="224" spans="1:4">
      <c r="A224" s="21" t="str">
        <f>$R$2&amp;".Commands.CMMX"</f>
        <v>FB_DO_S.Commands.CMMX</v>
      </c>
      <c r="B224" s="8">
        <v>1</v>
      </c>
      <c r="C224" s="8" t="s">
        <v>1</v>
      </c>
      <c r="D224" s="22">
        <v>11</v>
      </c>
    </row>
    <row r="225" spans="1:4">
      <c r="A225" s="19" t="str">
        <f t="shared" ref="A225:A230" si="20">$R$2&amp;".OCON"</f>
        <v>FB_DO_S.OCON</v>
      </c>
      <c r="B225" s="11">
        <v>7999</v>
      </c>
      <c r="C225" s="11" t="s">
        <v>0</v>
      </c>
      <c r="D225" s="20" t="str">
        <f>"#"&amp;$S$2&amp;"#"&amp;$T$2&amp;"\"&amp;$P$2&amp;"\OCON"</f>
        <v>#1#treiOPCDA.CoOPCserv.1\pcmaster\ALARM_SOUND\OCON</v>
      </c>
    </row>
    <row r="226" spans="1:4">
      <c r="A226" s="19" t="str">
        <f t="shared" si="20"/>
        <v>FB_DO_S.OCON</v>
      </c>
      <c r="B226" s="11">
        <v>7998</v>
      </c>
      <c r="C226" s="11" t="s">
        <v>6</v>
      </c>
      <c r="D226" s="20">
        <v>1</v>
      </c>
    </row>
    <row r="227" spans="1:4">
      <c r="A227" s="19" t="str">
        <f t="shared" si="20"/>
        <v>FB_DO_S.OCON</v>
      </c>
      <c r="B227" s="11">
        <v>101</v>
      </c>
      <c r="C227" s="11" t="s">
        <v>0</v>
      </c>
      <c r="D227" s="20" t="s">
        <v>526</v>
      </c>
    </row>
    <row r="228" spans="1:4">
      <c r="A228" s="19" t="str">
        <f t="shared" si="20"/>
        <v>FB_DO_S.OCON</v>
      </c>
      <c r="B228" s="11">
        <v>3</v>
      </c>
      <c r="C228" s="11" t="s">
        <v>1</v>
      </c>
      <c r="D228" s="20">
        <v>192</v>
      </c>
    </row>
    <row r="229" spans="1:4">
      <c r="A229" s="19" t="str">
        <f t="shared" si="20"/>
        <v>FB_DO_S.OCON</v>
      </c>
      <c r="B229" s="11">
        <v>2</v>
      </c>
      <c r="C229" s="11" t="s">
        <v>2</v>
      </c>
      <c r="D229" s="20" t="s">
        <v>3</v>
      </c>
    </row>
    <row r="230" spans="1:4">
      <c r="A230" s="21" t="str">
        <f t="shared" si="20"/>
        <v>FB_DO_S.OCON</v>
      </c>
      <c r="B230" s="8">
        <v>1</v>
      </c>
      <c r="C230" s="8" t="s">
        <v>1</v>
      </c>
      <c r="D230" s="22">
        <v>11</v>
      </c>
    </row>
    <row r="231" spans="1:4">
      <c r="A231" s="19" t="str">
        <f t="shared" ref="A231:A236" si="21">$R$2&amp;".OCOF"</f>
        <v>FB_DO_S.OCOF</v>
      </c>
      <c r="B231" s="11">
        <v>7999</v>
      </c>
      <c r="C231" s="11" t="s">
        <v>0</v>
      </c>
      <c r="D231" s="20" t="str">
        <f>"#"&amp;$S$2&amp;"#"&amp;$T$2&amp;"\"&amp;$P$2&amp;"\OCOF"</f>
        <v>#1#treiOPCDA.CoOPCserv.1\pcmaster\ALARM_SOUND\OCOF</v>
      </c>
    </row>
    <row r="232" spans="1:4">
      <c r="A232" s="19" t="str">
        <f t="shared" si="21"/>
        <v>FB_DO_S.OCOF</v>
      </c>
      <c r="B232" s="11">
        <v>7998</v>
      </c>
      <c r="C232" s="11" t="s">
        <v>6</v>
      </c>
      <c r="D232" s="20">
        <v>1</v>
      </c>
    </row>
    <row r="233" spans="1:4">
      <c r="A233" s="19" t="str">
        <f t="shared" si="21"/>
        <v>FB_DO_S.OCOF</v>
      </c>
      <c r="B233" s="11">
        <v>101</v>
      </c>
      <c r="C233" s="11" t="s">
        <v>0</v>
      </c>
      <c r="D233" s="20" t="s">
        <v>541</v>
      </c>
    </row>
    <row r="234" spans="1:4">
      <c r="A234" s="19" t="str">
        <f t="shared" si="21"/>
        <v>FB_DO_S.OCOF</v>
      </c>
      <c r="B234" s="11">
        <v>3</v>
      </c>
      <c r="C234" s="11" t="s">
        <v>1</v>
      </c>
      <c r="D234" s="20">
        <v>192</v>
      </c>
    </row>
    <row r="235" spans="1:4">
      <c r="A235" s="19" t="str">
        <f t="shared" si="21"/>
        <v>FB_DO_S.OCOF</v>
      </c>
      <c r="B235" s="11">
        <v>2</v>
      </c>
      <c r="C235" s="11" t="s">
        <v>2</v>
      </c>
      <c r="D235" s="20" t="s">
        <v>3</v>
      </c>
    </row>
    <row r="236" spans="1:4">
      <c r="A236" s="21" t="str">
        <f t="shared" si="21"/>
        <v>FB_DO_S.OCOF</v>
      </c>
      <c r="B236" s="8">
        <v>1</v>
      </c>
      <c r="C236" s="8" t="s">
        <v>1</v>
      </c>
      <c r="D236" s="22">
        <v>11</v>
      </c>
    </row>
    <row r="237" spans="1:4">
      <c r="A237" s="19" t="str">
        <f t="shared" ref="A237:A242" si="22">$R$2&amp;".CDON"</f>
        <v>FB_DO_S.CDON</v>
      </c>
      <c r="B237" s="11">
        <v>7999</v>
      </c>
      <c r="C237" s="11" t="s">
        <v>0</v>
      </c>
      <c r="D237" s="20" t="str">
        <f>"#"&amp;$S$2&amp;"#"&amp;$T$2&amp;"\"&amp;$P$2&amp;"\CDON"</f>
        <v>#1#treiOPCDA.CoOPCserv.1\pcmaster\ALARM_SOUND\CDON</v>
      </c>
    </row>
    <row r="238" spans="1:4">
      <c r="A238" s="19" t="str">
        <f t="shared" si="22"/>
        <v>FB_DO_S.CDON</v>
      </c>
      <c r="B238" s="11">
        <v>7998</v>
      </c>
      <c r="C238" s="11" t="s">
        <v>6</v>
      </c>
      <c r="D238" s="20">
        <v>1</v>
      </c>
    </row>
    <row r="239" spans="1:4">
      <c r="A239" s="19" t="str">
        <f t="shared" si="22"/>
        <v>FB_DO_S.CDON</v>
      </c>
      <c r="B239" s="11">
        <v>101</v>
      </c>
      <c r="C239" s="11" t="s">
        <v>0</v>
      </c>
      <c r="D239" s="20" t="s">
        <v>543</v>
      </c>
    </row>
    <row r="240" spans="1:4">
      <c r="A240" s="19" t="str">
        <f t="shared" si="22"/>
        <v>FB_DO_S.CDON</v>
      </c>
      <c r="B240" s="11">
        <v>3</v>
      </c>
      <c r="C240" s="11" t="s">
        <v>1</v>
      </c>
      <c r="D240" s="20">
        <v>192</v>
      </c>
    </row>
    <row r="241" spans="1:4">
      <c r="A241" s="19" t="str">
        <f t="shared" si="22"/>
        <v>FB_DO_S.CDON</v>
      </c>
      <c r="B241" s="11">
        <v>2</v>
      </c>
      <c r="C241" s="11" t="s">
        <v>2</v>
      </c>
      <c r="D241" s="20" t="s">
        <v>3</v>
      </c>
    </row>
    <row r="242" spans="1:4">
      <c r="A242" s="21" t="str">
        <f t="shared" si="22"/>
        <v>FB_DO_S.CDON</v>
      </c>
      <c r="B242" s="8">
        <v>1</v>
      </c>
      <c r="C242" s="8" t="s">
        <v>1</v>
      </c>
      <c r="D242" s="22">
        <v>11</v>
      </c>
    </row>
    <row r="243" spans="1:4">
      <c r="A243" s="19" t="str">
        <f t="shared" ref="A243:A248" si="23">$R$2&amp;".CDOF"</f>
        <v>FB_DO_S.CDOF</v>
      </c>
      <c r="B243" s="11">
        <v>7999</v>
      </c>
      <c r="C243" s="11" t="s">
        <v>0</v>
      </c>
      <c r="D243" s="20" t="str">
        <f>"#"&amp;$S$2&amp;"#"&amp;$T$2&amp;"\"&amp;$P$2&amp;"\CDOF"</f>
        <v>#1#treiOPCDA.CoOPCserv.1\pcmaster\ALARM_SOUND\CDOF</v>
      </c>
    </row>
    <row r="244" spans="1:4">
      <c r="A244" s="19" t="str">
        <f t="shared" si="23"/>
        <v>FB_DO_S.CDOF</v>
      </c>
      <c r="B244" s="11">
        <v>7998</v>
      </c>
      <c r="C244" s="11" t="s">
        <v>6</v>
      </c>
      <c r="D244" s="20">
        <v>1</v>
      </c>
    </row>
    <row r="245" spans="1:4">
      <c r="A245" s="19" t="str">
        <f t="shared" si="23"/>
        <v>FB_DO_S.CDOF</v>
      </c>
      <c r="B245" s="11">
        <v>101</v>
      </c>
      <c r="C245" s="11" t="s">
        <v>0</v>
      </c>
      <c r="D245" s="20" t="s">
        <v>542</v>
      </c>
    </row>
    <row r="246" spans="1:4">
      <c r="A246" s="19" t="str">
        <f t="shared" si="23"/>
        <v>FB_DO_S.CDOF</v>
      </c>
      <c r="B246" s="11">
        <v>3</v>
      </c>
      <c r="C246" s="11" t="s">
        <v>1</v>
      </c>
      <c r="D246" s="20">
        <v>192</v>
      </c>
    </row>
    <row r="247" spans="1:4">
      <c r="A247" s="19" t="str">
        <f t="shared" si="23"/>
        <v>FB_DO_S.CDOF</v>
      </c>
      <c r="B247" s="11">
        <v>2</v>
      </c>
      <c r="C247" s="11" t="s">
        <v>2</v>
      </c>
      <c r="D247" s="20" t="s">
        <v>3</v>
      </c>
    </row>
    <row r="248" spans="1:4">
      <c r="A248" s="21" t="str">
        <f t="shared" si="23"/>
        <v>FB_DO_S.CDOF</v>
      </c>
      <c r="B248" s="8">
        <v>1</v>
      </c>
      <c r="C248" s="8" t="s">
        <v>1</v>
      </c>
      <c r="D248" s="22">
        <v>11</v>
      </c>
    </row>
    <row r="249" spans="1:4">
      <c r="A249" s="19" t="str">
        <f t="shared" ref="A249:A254" si="24">$R$2&amp;".OXON"</f>
        <v>FB_DO_S.OXON</v>
      </c>
      <c r="B249" s="11">
        <v>7999</v>
      </c>
      <c r="C249" s="11" t="s">
        <v>0</v>
      </c>
      <c r="D249" s="20" t="str">
        <f>"#"&amp;$S$2&amp;"#"&amp;$T$2&amp;"\"&amp;$P$2&amp;"\OXON"</f>
        <v>#1#treiOPCDA.CoOPCserv.1\pcmaster\ALARM_SOUND\OXON</v>
      </c>
    </row>
    <row r="250" spans="1:4">
      <c r="A250" s="19" t="str">
        <f t="shared" si="24"/>
        <v>FB_DO_S.OXON</v>
      </c>
      <c r="B250" s="11">
        <v>7998</v>
      </c>
      <c r="C250" s="11" t="s">
        <v>6</v>
      </c>
      <c r="D250" s="20">
        <v>1</v>
      </c>
    </row>
    <row r="251" spans="1:4">
      <c r="A251" s="19" t="str">
        <f t="shared" si="24"/>
        <v>FB_DO_S.OXON</v>
      </c>
      <c r="B251" s="11">
        <v>101</v>
      </c>
      <c r="C251" s="11" t="s">
        <v>0</v>
      </c>
      <c r="D251" s="20" t="s">
        <v>271</v>
      </c>
    </row>
    <row r="252" spans="1:4">
      <c r="A252" s="19" t="str">
        <f t="shared" si="24"/>
        <v>FB_DO_S.OXON</v>
      </c>
      <c r="B252" s="11">
        <v>3</v>
      </c>
      <c r="C252" s="11" t="s">
        <v>1</v>
      </c>
      <c r="D252" s="20">
        <v>192</v>
      </c>
    </row>
    <row r="253" spans="1:4">
      <c r="A253" s="19" t="str">
        <f t="shared" si="24"/>
        <v>FB_DO_S.OXON</v>
      </c>
      <c r="B253" s="11">
        <v>2</v>
      </c>
      <c r="C253" s="11" t="s">
        <v>2</v>
      </c>
      <c r="D253" s="20" t="s">
        <v>3</v>
      </c>
    </row>
    <row r="254" spans="1:4">
      <c r="A254" s="21" t="str">
        <f t="shared" si="24"/>
        <v>FB_DO_S.OXON</v>
      </c>
      <c r="B254" s="8">
        <v>1</v>
      </c>
      <c r="C254" s="8" t="s">
        <v>1</v>
      </c>
      <c r="D254" s="22">
        <v>11</v>
      </c>
    </row>
    <row r="255" spans="1:4">
      <c r="A255" s="19" t="str">
        <f t="shared" ref="A255:A260" si="25">$R$2&amp;".OXOF"</f>
        <v>FB_DO_S.OXOF</v>
      </c>
      <c r="B255" s="11">
        <v>7999</v>
      </c>
      <c r="C255" s="11" t="s">
        <v>0</v>
      </c>
      <c r="D255" s="20" t="str">
        <f>"#"&amp;$S$2&amp;"#"&amp;$T$2&amp;"\"&amp;$P$2&amp;"\OXOF"</f>
        <v>#1#treiOPCDA.CoOPCserv.1\pcmaster\ALARM_SOUND\OXOF</v>
      </c>
    </row>
    <row r="256" spans="1:4">
      <c r="A256" s="19" t="str">
        <f t="shared" si="25"/>
        <v>FB_DO_S.OXOF</v>
      </c>
      <c r="B256" s="11">
        <v>7998</v>
      </c>
      <c r="C256" s="11" t="s">
        <v>6</v>
      </c>
      <c r="D256" s="20">
        <v>1</v>
      </c>
    </row>
    <row r="257" spans="1:4">
      <c r="A257" s="19" t="str">
        <f t="shared" si="25"/>
        <v>FB_DO_S.OXOF</v>
      </c>
      <c r="B257" s="11">
        <v>101</v>
      </c>
      <c r="C257" s="11" t="s">
        <v>0</v>
      </c>
      <c r="D257" s="20" t="s">
        <v>132</v>
      </c>
    </row>
    <row r="258" spans="1:4">
      <c r="A258" s="19" t="str">
        <f t="shared" si="25"/>
        <v>FB_DO_S.OXOF</v>
      </c>
      <c r="B258" s="11">
        <v>3</v>
      </c>
      <c r="C258" s="11" t="s">
        <v>1</v>
      </c>
      <c r="D258" s="20">
        <v>192</v>
      </c>
    </row>
    <row r="259" spans="1:4">
      <c r="A259" s="19" t="str">
        <f t="shared" si="25"/>
        <v>FB_DO_S.OXOF</v>
      </c>
      <c r="B259" s="11">
        <v>2</v>
      </c>
      <c r="C259" s="11" t="s">
        <v>2</v>
      </c>
      <c r="D259" s="20" t="s">
        <v>3</v>
      </c>
    </row>
    <row r="260" spans="1:4">
      <c r="A260" s="21" t="str">
        <f t="shared" si="25"/>
        <v>FB_DO_S.OXOF</v>
      </c>
      <c r="B260" s="8">
        <v>1</v>
      </c>
      <c r="C260" s="8" t="s">
        <v>1</v>
      </c>
      <c r="D260" s="22">
        <v>11</v>
      </c>
    </row>
    <row r="261" spans="1:4">
      <c r="A261" s="19" t="str">
        <f t="shared" ref="A261:A266" si="26">$R$2&amp;".FXXX"</f>
        <v>FB_DO_S.FXXX</v>
      </c>
      <c r="B261" s="11">
        <v>7999</v>
      </c>
      <c r="C261" s="11" t="s">
        <v>0</v>
      </c>
      <c r="D261" s="20" t="str">
        <f>"#"&amp;$S$2&amp;"#"&amp;$T$2&amp;"\"&amp;$P$2&amp;"\FXXX"</f>
        <v>#1#treiOPCDA.CoOPCserv.1\pcmaster\ALARM_SOUND\FXXX</v>
      </c>
    </row>
    <row r="262" spans="1:4">
      <c r="A262" s="19" t="str">
        <f t="shared" si="26"/>
        <v>FB_DO_S.FXXX</v>
      </c>
      <c r="B262" s="11">
        <v>7998</v>
      </c>
      <c r="C262" s="11" t="s">
        <v>6</v>
      </c>
      <c r="D262" s="20">
        <v>1</v>
      </c>
    </row>
    <row r="263" spans="1:4">
      <c r="A263" s="19" t="str">
        <f t="shared" si="26"/>
        <v>FB_DO_S.FXXX</v>
      </c>
      <c r="B263" s="11">
        <v>101</v>
      </c>
      <c r="C263" s="11" t="s">
        <v>0</v>
      </c>
      <c r="D263" s="20" t="s">
        <v>434</v>
      </c>
    </row>
    <row r="264" spans="1:4">
      <c r="A264" s="19" t="str">
        <f t="shared" si="26"/>
        <v>FB_DO_S.FXXX</v>
      </c>
      <c r="B264" s="11">
        <v>3</v>
      </c>
      <c r="C264" s="11" t="s">
        <v>1</v>
      </c>
      <c r="D264" s="20">
        <v>192</v>
      </c>
    </row>
    <row r="265" spans="1:4">
      <c r="A265" s="19" t="str">
        <f t="shared" si="26"/>
        <v>FB_DO_S.FXXX</v>
      </c>
      <c r="B265" s="11">
        <v>2</v>
      </c>
      <c r="C265" s="11" t="s">
        <v>2</v>
      </c>
      <c r="D265" s="20" t="s">
        <v>3</v>
      </c>
    </row>
    <row r="266" spans="1:4">
      <c r="A266" s="21" t="str">
        <f t="shared" si="26"/>
        <v>FB_DO_S.FXXX</v>
      </c>
      <c r="B266" s="8">
        <v>1</v>
      </c>
      <c r="C266" s="8" t="s">
        <v>1</v>
      </c>
      <c r="D266" s="22">
        <v>11</v>
      </c>
    </row>
    <row r="267" spans="1:4">
      <c r="A267" s="19" t="str">
        <f t="shared" ref="A267:A272" si="27">$R$2&amp;".IVXX"</f>
        <v>FB_DO_S.IVXX</v>
      </c>
      <c r="B267" s="11">
        <v>7999</v>
      </c>
      <c r="C267" s="11" t="s">
        <v>0</v>
      </c>
      <c r="D267" s="20" t="str">
        <f>"#"&amp;$S$2&amp;"#"&amp;$T$2&amp;"\"&amp;$P$2&amp;"\IVXX"</f>
        <v>#1#treiOPCDA.CoOPCserv.1\pcmaster\ALARM_SOUND\IVXX</v>
      </c>
    </row>
    <row r="268" spans="1:4">
      <c r="A268" s="19" t="str">
        <f t="shared" si="27"/>
        <v>FB_DO_S.IVXX</v>
      </c>
      <c r="B268" s="11">
        <v>7998</v>
      </c>
      <c r="C268" s="11" t="s">
        <v>6</v>
      </c>
      <c r="D268" s="20">
        <v>1</v>
      </c>
    </row>
    <row r="269" spans="1:4">
      <c r="A269" s="19" t="str">
        <f t="shared" si="27"/>
        <v>FB_DO_S.IVXX</v>
      </c>
      <c r="B269" s="11">
        <v>101</v>
      </c>
      <c r="C269" s="11" t="s">
        <v>0</v>
      </c>
      <c r="D269" s="20" t="s">
        <v>42</v>
      </c>
    </row>
    <row r="270" spans="1:4">
      <c r="A270" s="19" t="str">
        <f t="shared" si="27"/>
        <v>FB_DO_S.IVXX</v>
      </c>
      <c r="B270" s="11">
        <v>3</v>
      </c>
      <c r="C270" s="11" t="s">
        <v>1</v>
      </c>
      <c r="D270" s="20">
        <v>192</v>
      </c>
    </row>
    <row r="271" spans="1:4">
      <c r="A271" s="19" t="str">
        <f t="shared" si="27"/>
        <v>FB_DO_S.IVXX</v>
      </c>
      <c r="B271" s="11">
        <v>2</v>
      </c>
      <c r="C271" s="11" t="s">
        <v>2</v>
      </c>
      <c r="D271" s="20" t="s">
        <v>3</v>
      </c>
    </row>
    <row r="272" spans="1:4">
      <c r="A272" s="21" t="str">
        <f t="shared" si="27"/>
        <v>FB_DO_S.IVXX</v>
      </c>
      <c r="B272" s="8">
        <v>1</v>
      </c>
      <c r="C272" s="8" t="s">
        <v>1</v>
      </c>
      <c r="D272" s="22">
        <v>11</v>
      </c>
    </row>
    <row r="273" spans="1:4">
      <c r="A273" s="19" t="str">
        <f t="shared" ref="A273:A278" si="28">$R$2&amp;".IRCX"</f>
        <v>FB_DO_S.IRCX</v>
      </c>
      <c r="B273" s="11">
        <v>7999</v>
      </c>
      <c r="C273" s="11" t="s">
        <v>0</v>
      </c>
      <c r="D273" s="20" t="str">
        <f>"#"&amp;$S$2&amp;"#"&amp;$T$2&amp;"\"&amp;$P$2&amp;"\IRCX"</f>
        <v>#1#treiOPCDA.CoOPCserv.1\pcmaster\ALARM_SOUND\IRCX</v>
      </c>
    </row>
    <row r="274" spans="1:4">
      <c r="A274" s="19" t="str">
        <f t="shared" si="28"/>
        <v>FB_DO_S.IRCX</v>
      </c>
      <c r="B274" s="11">
        <v>7998</v>
      </c>
      <c r="C274" s="11" t="s">
        <v>6</v>
      </c>
      <c r="D274" s="20">
        <v>1</v>
      </c>
    </row>
    <row r="275" spans="1:4">
      <c r="A275" s="19" t="str">
        <f t="shared" si="28"/>
        <v>FB_DO_S.IRCX</v>
      </c>
      <c r="B275" s="11">
        <v>101</v>
      </c>
      <c r="C275" s="11" t="s">
        <v>0</v>
      </c>
      <c r="D275" s="20" t="s">
        <v>576</v>
      </c>
    </row>
    <row r="276" spans="1:4">
      <c r="A276" s="19" t="str">
        <f t="shared" si="28"/>
        <v>FB_DO_S.IRCX</v>
      </c>
      <c r="B276" s="11">
        <v>3</v>
      </c>
      <c r="C276" s="11" t="s">
        <v>1</v>
      </c>
      <c r="D276" s="20">
        <v>192</v>
      </c>
    </row>
    <row r="277" spans="1:4">
      <c r="A277" s="19" t="str">
        <f t="shared" si="28"/>
        <v>FB_DO_S.IRCX</v>
      </c>
      <c r="B277" s="11">
        <v>2</v>
      </c>
      <c r="C277" s="11" t="s">
        <v>2</v>
      </c>
      <c r="D277" s="20" t="s">
        <v>3</v>
      </c>
    </row>
    <row r="278" spans="1:4">
      <c r="A278" s="21" t="str">
        <f t="shared" si="28"/>
        <v>FB_DO_S.IRCX</v>
      </c>
      <c r="B278" s="8">
        <v>1</v>
      </c>
      <c r="C278" s="8" t="s">
        <v>1</v>
      </c>
      <c r="D278" s="22">
        <v>11</v>
      </c>
    </row>
    <row r="279" spans="1:4">
      <c r="A279" s="19" t="str">
        <f t="shared" ref="A279:A284" si="29">$R$2&amp;".CPMM"</f>
        <v>FB_DO_S.CPMM</v>
      </c>
      <c r="B279" s="11">
        <v>7999</v>
      </c>
      <c r="C279" s="11" t="s">
        <v>0</v>
      </c>
      <c r="D279" s="20" t="str">
        <f>"#"&amp;$S$2&amp;"#"&amp;$T$2&amp;"\"&amp;$P$2&amp;"\CPMM"</f>
        <v>#1#treiOPCDA.CoOPCserv.1\pcmaster\ALARM_SOUND\CPMM</v>
      </c>
    </row>
    <row r="280" spans="1:4">
      <c r="A280" s="19" t="str">
        <f t="shared" si="29"/>
        <v>FB_DO_S.CPMM</v>
      </c>
      <c r="B280" s="11">
        <v>7998</v>
      </c>
      <c r="C280" s="11" t="s">
        <v>6</v>
      </c>
      <c r="D280" s="20">
        <v>1</v>
      </c>
    </row>
    <row r="281" spans="1:4">
      <c r="A281" s="19" t="str">
        <f t="shared" si="29"/>
        <v>FB_DO_S.CPMM</v>
      </c>
      <c r="B281" s="11">
        <v>101</v>
      </c>
      <c r="C281" s="11" t="s">
        <v>0</v>
      </c>
      <c r="D281" s="20" t="s">
        <v>115</v>
      </c>
    </row>
    <row r="282" spans="1:4">
      <c r="A282" s="19" t="str">
        <f t="shared" si="29"/>
        <v>FB_DO_S.CPMM</v>
      </c>
      <c r="B282" s="11">
        <v>3</v>
      </c>
      <c r="C282" s="11" t="s">
        <v>1</v>
      </c>
      <c r="D282" s="20">
        <v>192</v>
      </c>
    </row>
    <row r="283" spans="1:4">
      <c r="A283" s="19" t="str">
        <f t="shared" si="29"/>
        <v>FB_DO_S.CPMM</v>
      </c>
      <c r="B283" s="11">
        <v>2</v>
      </c>
      <c r="C283" s="11" t="s">
        <v>2</v>
      </c>
      <c r="D283" s="20" t="s">
        <v>266</v>
      </c>
    </row>
    <row r="284" spans="1:4">
      <c r="A284" s="21" t="str">
        <f t="shared" si="29"/>
        <v>FB_DO_S.CPMM</v>
      </c>
      <c r="B284" s="8">
        <v>1</v>
      </c>
      <c r="C284" s="8" t="s">
        <v>1</v>
      </c>
      <c r="D284" s="22">
        <v>11</v>
      </c>
    </row>
    <row r="285" spans="1:4">
      <c r="A285" s="19" t="str">
        <f t="shared" ref="A285:A290" si="30">$R$2&amp;".SMMX"</f>
        <v>FB_DO_S.SMMX</v>
      </c>
      <c r="B285" s="11">
        <v>7999</v>
      </c>
      <c r="C285" s="11" t="s">
        <v>0</v>
      </c>
      <c r="D285" s="20" t="str">
        <f>"#"&amp;$S$2&amp;"#"&amp;$T$2&amp;"\"&amp;$P$2&amp;"\SMMX"</f>
        <v>#1#treiOPCDA.CoOPCserv.1\pcmaster\ALARM_SOUND\SMMX</v>
      </c>
    </row>
    <row r="286" spans="1:4">
      <c r="A286" s="19" t="str">
        <f t="shared" si="30"/>
        <v>FB_DO_S.SMMX</v>
      </c>
      <c r="B286" s="11">
        <v>7998</v>
      </c>
      <c r="C286" s="11" t="s">
        <v>6</v>
      </c>
      <c r="D286" s="20">
        <v>1</v>
      </c>
    </row>
    <row r="287" spans="1:4">
      <c r="A287" s="19" t="str">
        <f t="shared" si="30"/>
        <v>FB_DO_S.SMMX</v>
      </c>
      <c r="B287" s="11">
        <v>101</v>
      </c>
      <c r="C287" s="11" t="s">
        <v>0</v>
      </c>
      <c r="D287" s="20" t="s">
        <v>251</v>
      </c>
    </row>
    <row r="288" spans="1:4">
      <c r="A288" s="19" t="str">
        <f t="shared" si="30"/>
        <v>FB_DO_S.SMMX</v>
      </c>
      <c r="B288" s="11">
        <v>3</v>
      </c>
      <c r="C288" s="11" t="s">
        <v>1</v>
      </c>
      <c r="D288" s="20">
        <v>192</v>
      </c>
    </row>
    <row r="289" spans="1:4">
      <c r="A289" s="19" t="str">
        <f t="shared" si="30"/>
        <v>FB_DO_S.SMMX</v>
      </c>
      <c r="B289" s="11">
        <v>2</v>
      </c>
      <c r="C289" s="11" t="s">
        <v>2</v>
      </c>
      <c r="D289" s="20" t="s">
        <v>3</v>
      </c>
    </row>
    <row r="290" spans="1:4">
      <c r="A290" s="21" t="str">
        <f t="shared" si="30"/>
        <v>FB_DO_S.SMMX</v>
      </c>
      <c r="B290" s="8">
        <v>1</v>
      </c>
      <c r="C290" s="8" t="s">
        <v>1</v>
      </c>
      <c r="D290" s="22">
        <v>11</v>
      </c>
    </row>
    <row r="291" spans="1:4">
      <c r="A291" s="266" t="str">
        <f t="shared" ref="A291:A296" si="31">$R$2&amp;".STCX"</f>
        <v>FB_DO_S.STCX</v>
      </c>
      <c r="B291" s="267">
        <v>3</v>
      </c>
      <c r="C291" s="267" t="s">
        <v>1</v>
      </c>
      <c r="D291" s="268">
        <v>192</v>
      </c>
    </row>
    <row r="292" spans="1:4">
      <c r="A292" s="269" t="str">
        <f t="shared" si="31"/>
        <v>FB_DO_S.STCX</v>
      </c>
      <c r="B292" s="270">
        <v>2</v>
      </c>
      <c r="C292" s="270" t="s">
        <v>6</v>
      </c>
      <c r="D292" s="271">
        <v>0</v>
      </c>
    </row>
    <row r="293" spans="1:4">
      <c r="A293" s="269" t="str">
        <f t="shared" si="31"/>
        <v>FB_DO_S.STCX</v>
      </c>
      <c r="B293" s="270">
        <v>1</v>
      </c>
      <c r="C293" s="270" t="s">
        <v>1</v>
      </c>
      <c r="D293" s="271">
        <v>3</v>
      </c>
    </row>
    <row r="294" spans="1:4">
      <c r="A294" s="269" t="str">
        <f t="shared" si="31"/>
        <v>FB_DO_S.STCX</v>
      </c>
      <c r="B294" s="270">
        <v>101</v>
      </c>
      <c r="C294" s="270" t="s">
        <v>0</v>
      </c>
      <c r="D294" s="271" t="s">
        <v>127</v>
      </c>
    </row>
    <row r="295" spans="1:4">
      <c r="A295" s="269" t="str">
        <f t="shared" si="31"/>
        <v>FB_DO_S.STCX</v>
      </c>
      <c r="B295" s="270">
        <v>7998</v>
      </c>
      <c r="C295" s="270" t="s">
        <v>6</v>
      </c>
      <c r="D295" s="271">
        <v>1</v>
      </c>
    </row>
    <row r="296" spans="1:4">
      <c r="A296" s="272" t="str">
        <f t="shared" si="31"/>
        <v>FB_DO_S.STCX</v>
      </c>
      <c r="B296" s="273">
        <v>7999</v>
      </c>
      <c r="C296" s="273" t="s">
        <v>0</v>
      </c>
      <c r="D296" s="274" t="str">
        <f>"#"&amp;$S$2&amp;"#"&amp;$T$2&amp;"\"&amp;$P$2&amp;"\STCX"</f>
        <v>#1#treiOPCDA.CoOPCserv.1\pcmaster\ALARM_SOUND\STCX</v>
      </c>
    </row>
  </sheetData>
  <autoFilter ref="B1:B296" xr:uid="{00000000-0009-0000-0000-00000C00000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Лист50">
    <tabColor rgb="FFFFC000"/>
  </sheetPr>
  <dimension ref="A1:BP554"/>
  <sheetViews>
    <sheetView zoomScale="70" zoomScaleNormal="70" workbookViewId="0">
      <selection activeCell="D2" sqref="D2:D4"/>
    </sheetView>
  </sheetViews>
  <sheetFormatPr defaultRowHeight="14.4"/>
  <cols>
    <col min="1" max="1" width="37.109375" customWidth="1"/>
    <col min="2" max="2" width="9.5546875" customWidth="1"/>
    <col min="4" max="4" width="63.88671875" customWidth="1"/>
    <col min="5" max="15" width="9.109375"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7.33203125" customWidth="1"/>
    <col min="56" max="56" width="10.33203125" customWidth="1"/>
    <col min="57" max="57" width="10" customWidth="1"/>
    <col min="59" max="59" width="7.109375" customWidth="1"/>
    <col min="60" max="60" width="10.88671875" customWidth="1"/>
    <col min="62" max="62" width="65.109375" customWidth="1"/>
  </cols>
  <sheetData>
    <row r="1" spans="1:66" s="258" customFormat="1" ht="204.6" thickBot="1">
      <c r="A1" s="257"/>
      <c r="B1" s="257" t="s">
        <v>84</v>
      </c>
      <c r="C1" s="257"/>
      <c r="D1" s="257"/>
      <c r="E1" s="257"/>
      <c r="F1" s="257"/>
      <c r="P1" s="263"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1"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61"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61" t="str">
        <f>Таблица!AL1</f>
        <v>Для TREI
FB_IMstp_S, FB_IMs_S, FB_IMp_S, FB_IMv_S, FB_IM_ADES_S: Настройка перехода ручной-/автоматический-(TRUE/FALSE) 
FB_DI_S: Генерировать метки времени (TRUE/FALSE)</v>
      </c>
      <c r="AY1" s="261"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61" t="str">
        <f>Таблица!AN1</f>
        <v>Для TREI
FB_AI_S, FB_QSA_S: Верхний предел датчика
FB_IMp_S, FB_IMv_S, FB_IM_ADES_S, FB_OZK_KD_S: Время перестановки</v>
      </c>
      <c r="BA1" s="261"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K1" s="259"/>
      <c r="BL1" s="259"/>
      <c r="BM1" s="259"/>
      <c r="BN1" s="259"/>
    </row>
    <row r="2" spans="1:66" ht="15" customHeight="1">
      <c r="A2" s="9"/>
      <c r="B2" s="9"/>
      <c r="C2" s="9"/>
      <c r="D2" s="330"/>
      <c r="E2" s="9"/>
      <c r="F2" s="9"/>
      <c r="P2" s="2" t="s">
        <v>1399</v>
      </c>
      <c r="Q2" s="2" t="s">
        <v>765</v>
      </c>
      <c r="R2" s="2" t="s">
        <v>595</v>
      </c>
      <c r="S2" s="3">
        <v>1</v>
      </c>
      <c r="T2" s="3" t="s">
        <v>1698</v>
      </c>
      <c r="U2" s="3"/>
      <c r="V2" s="3" t="s">
        <v>569</v>
      </c>
      <c r="W2" s="12"/>
      <c r="X2" s="12"/>
      <c r="Y2" s="12"/>
      <c r="Z2" s="12"/>
      <c r="AA2" s="12"/>
      <c r="AB2" s="2"/>
      <c r="AC2" s="2"/>
      <c r="AD2" s="2"/>
      <c r="AE2" s="2" t="s">
        <v>1414</v>
      </c>
      <c r="AF2" s="2"/>
      <c r="AG2" s="2"/>
      <c r="AH2" s="2"/>
      <c r="AI2" s="2"/>
      <c r="AJ2" s="2"/>
      <c r="AK2" s="2"/>
      <c r="AL2" s="2" t="s">
        <v>1223</v>
      </c>
      <c r="AM2" s="2" t="s">
        <v>1224</v>
      </c>
      <c r="AN2" s="2" t="s">
        <v>1225</v>
      </c>
      <c r="AO2" s="2" t="s">
        <v>1226</v>
      </c>
      <c r="AP2" s="2" t="s">
        <v>1227</v>
      </c>
      <c r="AQ2" s="2" t="s">
        <v>1228</v>
      </c>
      <c r="AR2" s="2" t="s">
        <v>1229</v>
      </c>
      <c r="AS2" s="2"/>
      <c r="AT2" s="2"/>
      <c r="AU2" s="2"/>
      <c r="AV2" s="2"/>
      <c r="AW2" s="2">
        <v>5</v>
      </c>
      <c r="AX2" s="2" t="s">
        <v>72</v>
      </c>
      <c r="AY2" s="2"/>
      <c r="AZ2" s="2">
        <v>6</v>
      </c>
      <c r="BA2" s="2">
        <v>2</v>
      </c>
      <c r="BK2" s="4"/>
      <c r="BL2" s="4"/>
      <c r="BM2" s="4"/>
      <c r="BN2" s="4"/>
    </row>
    <row r="3" spans="1:66" ht="15" customHeight="1">
      <c r="A3" s="9"/>
      <c r="B3" s="9"/>
      <c r="C3" s="9"/>
      <c r="D3" s="331"/>
      <c r="E3" s="9"/>
      <c r="F3" s="9"/>
      <c r="P3" s="10"/>
      <c r="Q3" s="10"/>
      <c r="R3" s="10"/>
      <c r="S3" s="10"/>
      <c r="T3" s="10"/>
      <c r="U3" s="10"/>
      <c r="V3" s="10"/>
      <c r="W3" s="10"/>
      <c r="X3" s="10"/>
      <c r="Y3" s="10"/>
      <c r="Z3" s="10"/>
      <c r="AA3" s="10"/>
      <c r="BK3" s="4"/>
      <c r="BL3" s="4"/>
      <c r="BM3" s="4"/>
      <c r="BN3" s="4"/>
    </row>
    <row r="4" spans="1:66" ht="15" customHeight="1">
      <c r="A4" s="9"/>
      <c r="B4" s="9"/>
      <c r="C4" s="9"/>
      <c r="D4" s="331"/>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K4" s="4"/>
      <c r="BL4" s="4"/>
      <c r="BM4" s="4"/>
      <c r="BN4" s="4"/>
    </row>
    <row r="5" spans="1:66"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K5" s="4"/>
      <c r="BL5" s="4"/>
      <c r="BM5" s="4"/>
      <c r="BN5" s="4"/>
    </row>
    <row r="6" spans="1:66"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K6" s="4"/>
      <c r="BL6" s="4"/>
      <c r="BM6" s="4"/>
      <c r="BN6" s="4"/>
    </row>
    <row r="7" spans="1:66"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K7" s="4"/>
      <c r="BL7" s="4"/>
      <c r="BM7" s="4"/>
      <c r="BN7" s="4"/>
    </row>
    <row r="8" spans="1:66" ht="15" customHeight="1">
      <c r="A8" s="9"/>
      <c r="B8" s="9"/>
      <c r="C8" s="9"/>
      <c r="D8" s="9"/>
      <c r="E8" s="9"/>
      <c r="F8" s="9"/>
      <c r="P8" s="6" t="str">
        <f>Настройки!A5</f>
        <v>Телесигнализация</v>
      </c>
      <c r="Q8" s="5">
        <f>Настройки!B5</f>
        <v>18</v>
      </c>
      <c r="R8" s="5" t="str">
        <f>Настройки!C5</f>
        <v>Телесигнализация</v>
      </c>
      <c r="S8" s="10"/>
      <c r="T8" s="14"/>
      <c r="U8" s="10"/>
      <c r="V8" s="10"/>
      <c r="W8" s="10"/>
      <c r="X8" s="10"/>
      <c r="Y8" s="10"/>
      <c r="Z8" s="10"/>
      <c r="AA8" s="10"/>
      <c r="BK8" s="4"/>
      <c r="BL8" s="4"/>
      <c r="BM8" s="4"/>
      <c r="BN8" s="4"/>
    </row>
    <row r="9" spans="1:66" ht="15" customHeight="1">
      <c r="A9" s="9"/>
      <c r="B9" s="9"/>
      <c r="C9" s="9"/>
      <c r="D9" s="9"/>
      <c r="E9" s="9"/>
      <c r="F9" s="9"/>
      <c r="P9" s="6" t="str">
        <f>Настройки!A6</f>
        <v>Недостоверность</v>
      </c>
      <c r="Q9" s="5">
        <f>Настройки!B6</f>
        <v>10</v>
      </c>
      <c r="R9" s="5" t="str">
        <f>Настройки!C6</f>
        <v>Недостоверность</v>
      </c>
      <c r="S9" s="10"/>
      <c r="T9" s="14"/>
      <c r="U9" s="10"/>
      <c r="V9" s="10"/>
      <c r="W9" s="10"/>
      <c r="X9" s="10"/>
      <c r="Y9" s="10"/>
      <c r="Z9" s="10"/>
      <c r="AA9" s="10"/>
      <c r="BK9" s="4"/>
      <c r="BL9" s="4"/>
      <c r="BM9" s="4"/>
      <c r="BN9" s="4"/>
    </row>
    <row r="10" spans="1:66" ht="15" customHeight="1">
      <c r="A10" s="9"/>
      <c r="B10" s="9"/>
      <c r="C10" s="9"/>
      <c r="D10" s="9"/>
      <c r="E10" s="9"/>
      <c r="F10" s="9"/>
      <c r="P10" s="6" t="str">
        <f>Настройки!A7</f>
        <v>Имитация</v>
      </c>
      <c r="Q10" s="5">
        <f>Настройки!B7</f>
        <v>16</v>
      </c>
      <c r="R10" s="5" t="str">
        <f>Настройки!C7</f>
        <v>Имитация</v>
      </c>
      <c r="S10" s="10"/>
      <c r="T10" s="14"/>
      <c r="U10" s="10"/>
      <c r="V10" s="10"/>
      <c r="W10" s="10"/>
      <c r="X10" s="10"/>
      <c r="Y10" s="10"/>
      <c r="Z10" s="10"/>
      <c r="AA10" s="10"/>
      <c r="BK10" s="4"/>
      <c r="BL10" s="4"/>
      <c r="BM10" s="4"/>
      <c r="BN10" s="4"/>
    </row>
    <row r="11" spans="1:66" ht="15" customHeight="1">
      <c r="A11" s="9"/>
      <c r="B11" s="9"/>
      <c r="C11" s="9"/>
      <c r="D11" s="9"/>
      <c r="E11" s="9"/>
      <c r="F11" s="9"/>
      <c r="P11" s="6" t="str">
        <f>Настройки!A8</f>
        <v>Ремонт</v>
      </c>
      <c r="Q11" s="5">
        <f>Настройки!B8</f>
        <v>14</v>
      </c>
      <c r="R11" s="5" t="str">
        <f>Настройки!C8</f>
        <v>Ремонт</v>
      </c>
      <c r="S11" s="10"/>
      <c r="T11" s="14"/>
      <c r="U11" s="10"/>
      <c r="V11" s="10"/>
      <c r="W11" s="10"/>
      <c r="X11" s="10"/>
      <c r="Y11" s="10"/>
      <c r="Z11" s="10"/>
      <c r="AA11" s="10"/>
      <c r="BK11" s="4"/>
      <c r="BL11" s="4"/>
      <c r="BM11" s="4"/>
      <c r="BN11" s="4"/>
    </row>
    <row r="12" spans="1:66"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4"/>
      <c r="U12" s="10"/>
      <c r="V12" s="10"/>
      <c r="W12" s="10"/>
      <c r="X12" s="10"/>
      <c r="Y12" s="10"/>
      <c r="Z12" s="10"/>
      <c r="AA12" s="10"/>
      <c r="BK12" s="4"/>
      <c r="BL12" s="4"/>
      <c r="BM12" s="4"/>
      <c r="BN12" s="4"/>
    </row>
    <row r="13" spans="1:66" ht="15" customHeight="1">
      <c r="A13" s="9"/>
      <c r="B13" s="9"/>
      <c r="C13" s="9"/>
      <c r="D13" s="9"/>
      <c r="E13" s="9"/>
      <c r="F13" s="9"/>
      <c r="P13" s="6" t="str">
        <f>Настройки!A10</f>
        <v>Тревога</v>
      </c>
      <c r="Q13" s="5">
        <f>Настройки!B10</f>
        <v>5</v>
      </c>
      <c r="R13" s="5" t="str">
        <f>Настройки!C10</f>
        <v>Тревога</v>
      </c>
      <c r="S13" s="10"/>
      <c r="T13" s="14"/>
      <c r="U13" s="10"/>
      <c r="V13" s="10"/>
      <c r="W13" s="10"/>
      <c r="X13" s="10"/>
      <c r="Y13" s="10"/>
      <c r="Z13" s="10"/>
      <c r="AA13" s="10"/>
      <c r="BK13" s="4"/>
      <c r="BL13" s="4"/>
      <c r="BM13" s="4"/>
      <c r="BN13" s="4"/>
    </row>
    <row r="14" spans="1:66" ht="15" customHeight="1">
      <c r="A14" s="9"/>
      <c r="B14" s="9"/>
      <c r="C14" s="9"/>
      <c r="D14" s="9"/>
      <c r="E14" s="9"/>
      <c r="F14" s="9"/>
      <c r="P14" s="6" t="str">
        <f>Настройки!A11</f>
        <v>Тушение</v>
      </c>
      <c r="Q14" s="5">
        <f>Настройки!B11</f>
        <v>1</v>
      </c>
      <c r="R14" s="5" t="str">
        <f>Настройки!C11</f>
        <v>Тушение</v>
      </c>
      <c r="S14" s="10"/>
      <c r="T14" s="14"/>
      <c r="U14" s="10"/>
      <c r="V14" s="10"/>
      <c r="W14" s="10"/>
      <c r="X14" s="10"/>
      <c r="Y14" s="10"/>
      <c r="Z14" s="10"/>
      <c r="AA14" s="10"/>
      <c r="BK14" s="4"/>
      <c r="BL14" s="4"/>
      <c r="BM14" s="4"/>
      <c r="BN14" s="4"/>
    </row>
    <row r="15" spans="1:66"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K15" s="4"/>
      <c r="BL15" s="4"/>
      <c r="BM15" s="4"/>
      <c r="BN15" s="4"/>
    </row>
    <row r="16" spans="1:66"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K16" s="4"/>
      <c r="BL16" s="4"/>
      <c r="BM16" s="4"/>
      <c r="BN16" s="4"/>
    </row>
    <row r="17" spans="1:66"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K17" s="4"/>
      <c r="BL17" s="4"/>
      <c r="BM17" s="4"/>
      <c r="BN17" s="4"/>
    </row>
    <row r="18" spans="1:66"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K18" s="4"/>
      <c r="BL18" s="4"/>
      <c r="BM18" s="4"/>
      <c r="BN18" s="4"/>
    </row>
    <row r="19" spans="1:66"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K19" s="4"/>
      <c r="BL19" s="4"/>
      <c r="BM19" s="4"/>
      <c r="BN19" s="4"/>
    </row>
    <row r="20" spans="1:66" ht="15" customHeight="1">
      <c r="A20" s="16" t="str">
        <f t="shared" ref="A20:A36" si="0">$R$2</f>
        <v>FB_IMv_S</v>
      </c>
      <c r="B20" s="17">
        <v>11001</v>
      </c>
      <c r="C20" s="17" t="s">
        <v>0</v>
      </c>
      <c r="D20" s="18" t="str">
        <f>$Q$2&amp;". "</f>
        <v xml:space="preserve">Задвижка FB. </v>
      </c>
      <c r="F20" s="4"/>
      <c r="BK20" s="4"/>
      <c r="BL20" s="4"/>
      <c r="BM20" s="4"/>
      <c r="BN20" s="4"/>
    </row>
    <row r="21" spans="1:66" ht="15" customHeight="1">
      <c r="A21" s="19" t="str">
        <f t="shared" si="0"/>
        <v>FB_IMv_S</v>
      </c>
      <c r="B21" s="11">
        <v>11156</v>
      </c>
      <c r="C21" s="11" t="s">
        <v>0</v>
      </c>
      <c r="D21" s="20" t="str">
        <f>$V$2</f>
        <v>Тестовый экран</v>
      </c>
      <c r="F21" s="4"/>
      <c r="BK21" s="4"/>
      <c r="BL21" s="4"/>
      <c r="BM21" s="4"/>
      <c r="BN21" s="4"/>
    </row>
    <row r="22" spans="1:66" ht="15" customHeight="1">
      <c r="A22" s="21" t="str">
        <f t="shared" si="0"/>
        <v>FB_IMv_S</v>
      </c>
      <c r="B22" s="8">
        <v>1</v>
      </c>
      <c r="C22" s="8" t="s">
        <v>1</v>
      </c>
      <c r="D22" s="22">
        <v>17</v>
      </c>
      <c r="BK22" s="4"/>
      <c r="BL22" s="4"/>
      <c r="BM22" s="4"/>
      <c r="BN22" s="4"/>
    </row>
    <row r="23" spans="1:66" ht="15" customHeight="1">
      <c r="A23" s="16" t="str">
        <f t="shared" si="0"/>
        <v>FB_IMv_S</v>
      </c>
      <c r="B23" s="17">
        <v>100</v>
      </c>
      <c r="C23" s="17" t="s">
        <v>0</v>
      </c>
      <c r="D23" s="20" t="b">
        <f>$T$7</f>
        <v>0</v>
      </c>
      <c r="BF23" s="4"/>
      <c r="BG23" s="4"/>
      <c r="BH23" s="4"/>
      <c r="BI23" s="4"/>
    </row>
    <row r="24" spans="1:66" ht="15" customHeight="1">
      <c r="A24" s="19" t="str">
        <f t="shared" si="0"/>
        <v>FB_IMv_S</v>
      </c>
      <c r="B24" s="11">
        <v>11120</v>
      </c>
      <c r="C24" s="11" t="s">
        <v>0</v>
      </c>
      <c r="D24" s="20" t="str">
        <f>$AL$2</f>
        <v>7+6</v>
      </c>
      <c r="BK24" s="4"/>
      <c r="BL24" s="4"/>
      <c r="BM24" s="4"/>
      <c r="BN24" s="4"/>
    </row>
    <row r="25" spans="1:66" ht="15" customHeight="1">
      <c r="A25" s="19" t="str">
        <f t="shared" si="0"/>
        <v>FB_IMv_S</v>
      </c>
      <c r="B25" s="11">
        <v>11121</v>
      </c>
      <c r="C25" s="11" t="s">
        <v>0</v>
      </c>
      <c r="D25" s="20" t="str">
        <f>$AM$2</f>
        <v>7+7</v>
      </c>
      <c r="BK25" s="4"/>
      <c r="BL25" s="4"/>
      <c r="BM25" s="4"/>
      <c r="BN25" s="4"/>
    </row>
    <row r="26" spans="1:66" ht="15" customHeight="1">
      <c r="A26" s="19" t="str">
        <f t="shared" si="0"/>
        <v>FB_IMv_S</v>
      </c>
      <c r="B26" s="11">
        <v>11122</v>
      </c>
      <c r="C26" s="11" t="s">
        <v>0</v>
      </c>
      <c r="D26" s="20" t="str">
        <f>$AN$2</f>
        <v>7+8</v>
      </c>
      <c r="BK26" s="4"/>
      <c r="BL26" s="4"/>
      <c r="BM26" s="4"/>
      <c r="BN26" s="4"/>
    </row>
    <row r="27" spans="1:66" ht="15" customHeight="1">
      <c r="A27" s="19" t="str">
        <f t="shared" si="0"/>
        <v>FB_IMv_S</v>
      </c>
      <c r="B27" s="11">
        <v>11123</v>
      </c>
      <c r="C27" s="11" t="s">
        <v>0</v>
      </c>
      <c r="D27" s="20" t="str">
        <f>$AO$2</f>
        <v>7+9</v>
      </c>
      <c r="BK27" s="4"/>
      <c r="BL27" s="4"/>
      <c r="BM27" s="4"/>
      <c r="BN27" s="4"/>
    </row>
    <row r="28" spans="1:66" ht="15" customHeight="1">
      <c r="A28" s="19" t="str">
        <f t="shared" si="0"/>
        <v>FB_IMv_S</v>
      </c>
      <c r="B28" s="11">
        <v>11124</v>
      </c>
      <c r="C28" s="11" t="s">
        <v>0</v>
      </c>
      <c r="D28" s="20" t="str">
        <f>$AP$2</f>
        <v>7+11</v>
      </c>
      <c r="BK28" s="4"/>
      <c r="BL28" s="4"/>
      <c r="BM28" s="4"/>
      <c r="BN28" s="4"/>
    </row>
    <row r="29" spans="1:66" ht="15" customHeight="1">
      <c r="A29" s="19" t="str">
        <f t="shared" si="0"/>
        <v>FB_IMv_S</v>
      </c>
      <c r="B29" s="11">
        <v>11125</v>
      </c>
      <c r="C29" s="11" t="s">
        <v>0</v>
      </c>
      <c r="D29" s="20" t="str">
        <f>$AQ$2</f>
        <v>2+4</v>
      </c>
      <c r="BK29" s="4"/>
      <c r="BL29" s="4"/>
      <c r="BM29" s="4"/>
      <c r="BN29" s="4"/>
    </row>
    <row r="30" spans="1:66" ht="15" customHeight="1">
      <c r="A30" s="19" t="str">
        <f t="shared" si="0"/>
        <v>FB_IMv_S</v>
      </c>
      <c r="B30" s="11">
        <v>11126</v>
      </c>
      <c r="C30" s="11" t="s">
        <v>0</v>
      </c>
      <c r="D30" s="20" t="str">
        <f>$AR$2</f>
        <v>2+5</v>
      </c>
      <c r="BK30" s="4"/>
      <c r="BL30" s="4"/>
      <c r="BM30" s="4"/>
      <c r="BN30" s="4"/>
    </row>
    <row r="31" spans="1:66" ht="15" customHeight="1">
      <c r="A31" s="19" t="str">
        <f t="shared" si="0"/>
        <v>FB_IMv_S</v>
      </c>
      <c r="B31" s="11">
        <v>11127</v>
      </c>
      <c r="C31" s="11" t="s">
        <v>0</v>
      </c>
      <c r="D31" s="20">
        <f>$AS$2</f>
        <v>0</v>
      </c>
      <c r="BK31" s="4"/>
      <c r="BL31" s="4"/>
      <c r="BM31" s="4"/>
      <c r="BN31" s="4"/>
    </row>
    <row r="32" spans="1:66" ht="15" customHeight="1">
      <c r="A32" s="19" t="str">
        <f t="shared" si="0"/>
        <v>FB_IMv_S</v>
      </c>
      <c r="B32" s="11">
        <v>201</v>
      </c>
      <c r="C32" s="11" t="s">
        <v>6</v>
      </c>
      <c r="D32" s="20">
        <f>$BA$2</f>
        <v>2</v>
      </c>
      <c r="BK32" s="4"/>
      <c r="BL32" s="4"/>
      <c r="BM32" s="4"/>
      <c r="BN32" s="4"/>
    </row>
    <row r="33" spans="1:68" ht="15" customHeight="1">
      <c r="A33" s="16" t="str">
        <f t="shared" si="0"/>
        <v>FB_IMv_S</v>
      </c>
      <c r="B33" s="17">
        <v>13</v>
      </c>
      <c r="C33" s="17" t="s">
        <v>2</v>
      </c>
      <c r="D33" s="18" t="s">
        <v>3</v>
      </c>
      <c r="BF33" s="4"/>
      <c r="BG33" s="4"/>
      <c r="BH33" s="4"/>
      <c r="BI33" s="4"/>
    </row>
    <row r="34" spans="1:68" ht="15" customHeight="1">
      <c r="A34" s="19" t="str">
        <f t="shared" si="0"/>
        <v>FB_IMv_S</v>
      </c>
      <c r="B34" s="11">
        <v>3000013</v>
      </c>
      <c r="C34" s="11" t="s">
        <v>0</v>
      </c>
      <c r="D34" s="20" t="str">
        <f>$AE$2</f>
        <v>Диагностика.CPU.NOT_LINK.noLink</v>
      </c>
      <c r="BF34" s="4"/>
      <c r="BG34" s="4"/>
      <c r="BH34" s="4"/>
      <c r="BI34" s="4"/>
    </row>
    <row r="35" spans="1:68" ht="15" customHeight="1">
      <c r="A35" s="19" t="str">
        <f t="shared" si="0"/>
        <v>FB_IMv_S</v>
      </c>
      <c r="B35" s="11">
        <v>4000013</v>
      </c>
      <c r="C35" s="11" t="s">
        <v>0</v>
      </c>
      <c r="D35" s="20" t="s">
        <v>1770</v>
      </c>
      <c r="BF35" s="4"/>
      <c r="BG35" s="4"/>
      <c r="BH35" s="4"/>
      <c r="BI35" s="4"/>
    </row>
    <row r="36" spans="1:68" ht="15" customHeight="1">
      <c r="A36" s="21" t="str">
        <f t="shared" si="0"/>
        <v>FB_IMv_S</v>
      </c>
      <c r="B36" s="8">
        <v>7000013</v>
      </c>
      <c r="C36" s="8" t="s">
        <v>6</v>
      </c>
      <c r="D36" s="22">
        <v>2</v>
      </c>
      <c r="BF36" s="4"/>
      <c r="BG36" s="4"/>
      <c r="BH36" s="4"/>
      <c r="BI36" s="4"/>
    </row>
    <row r="37" spans="1:68" ht="15" customHeight="1">
      <c r="A37" s="69" t="str">
        <f t="shared" ref="A37:A46" si="1">$R$2&amp;".LAON"</f>
        <v>FB_IMv_S.LAON</v>
      </c>
      <c r="B37" s="70">
        <v>11154</v>
      </c>
      <c r="C37" s="70" t="s">
        <v>4</v>
      </c>
      <c r="D37" s="144">
        <f>$Q$6</f>
        <v>8</v>
      </c>
      <c r="BM37" s="4"/>
      <c r="BN37" s="4"/>
      <c r="BO37" s="4"/>
      <c r="BP37" s="4"/>
    </row>
    <row r="38" spans="1:68" ht="15" customHeight="1">
      <c r="A38" s="63" t="str">
        <f t="shared" si="1"/>
        <v>FB_IMv_S.LAON</v>
      </c>
      <c r="B38" s="64">
        <v>11150</v>
      </c>
      <c r="C38" s="64" t="s">
        <v>0</v>
      </c>
      <c r="D38" s="65" t="s">
        <v>1841</v>
      </c>
      <c r="BM38" s="4"/>
      <c r="BN38" s="4"/>
      <c r="BO38" s="4"/>
      <c r="BP38" s="4"/>
    </row>
    <row r="39" spans="1:68" ht="15" customHeight="1">
      <c r="A39" s="63" t="str">
        <f t="shared" si="1"/>
        <v>FB_IMv_S.LAON</v>
      </c>
      <c r="B39" s="64">
        <v>11152</v>
      </c>
      <c r="C39" s="64" t="s">
        <v>0</v>
      </c>
      <c r="D39" s="99" t="str">
        <f>$R$6</f>
        <v>Предупреждение</v>
      </c>
      <c r="BM39" s="4"/>
      <c r="BN39" s="4"/>
      <c r="BO39" s="4"/>
      <c r="BP39" s="4"/>
    </row>
    <row r="40" spans="1:68" ht="15" customHeight="1">
      <c r="A40" s="63" t="str">
        <f t="shared" si="1"/>
        <v>FB_IMv_S.LAON</v>
      </c>
      <c r="B40" s="64">
        <v>11000</v>
      </c>
      <c r="C40" s="64" t="s">
        <v>5</v>
      </c>
      <c r="D40" s="65">
        <v>2147483680</v>
      </c>
      <c r="BM40" s="4"/>
      <c r="BN40" s="4"/>
      <c r="BO40" s="4"/>
      <c r="BP40" s="4"/>
    </row>
    <row r="41" spans="1:68" ht="15" customHeight="1">
      <c r="A41" s="19" t="str">
        <f t="shared" si="1"/>
        <v>FB_IMv_S.LAON</v>
      </c>
      <c r="B41" s="11">
        <v>7999</v>
      </c>
      <c r="C41" s="11" t="s">
        <v>0</v>
      </c>
      <c r="D41" s="20" t="str">
        <f>"#"&amp;$S$2&amp;"#"&amp;$T$2&amp;"\"&amp;$P$2&amp;"\LAON"</f>
        <v>#1#treiOPCDA.CoOPCserv.1\pcmaster\KMZ1\LAON</v>
      </c>
      <c r="BM41" s="4"/>
      <c r="BN41" s="4"/>
      <c r="BO41" s="4"/>
      <c r="BP41" s="4"/>
    </row>
    <row r="42" spans="1:68" ht="15" customHeight="1">
      <c r="A42" s="19" t="str">
        <f t="shared" si="1"/>
        <v>FB_IMv_S.LAON</v>
      </c>
      <c r="B42" s="11">
        <v>7998</v>
      </c>
      <c r="C42" s="11" t="s">
        <v>6</v>
      </c>
      <c r="D42" s="20">
        <v>1</v>
      </c>
      <c r="BM42" s="4"/>
      <c r="BN42" s="4"/>
      <c r="BO42" s="4"/>
      <c r="BP42" s="4"/>
    </row>
    <row r="43" spans="1:68" ht="15" customHeight="1">
      <c r="A43" s="19" t="str">
        <f t="shared" si="1"/>
        <v>FB_IMv_S.LAON</v>
      </c>
      <c r="B43" s="11">
        <v>101</v>
      </c>
      <c r="C43" s="11" t="s">
        <v>0</v>
      </c>
      <c r="D43" s="20" t="s">
        <v>1841</v>
      </c>
      <c r="BM43" s="4"/>
      <c r="BN43" s="4"/>
      <c r="BO43" s="4"/>
      <c r="BP43" s="4"/>
    </row>
    <row r="44" spans="1:68" ht="15" customHeight="1">
      <c r="A44" s="19" t="str">
        <f t="shared" si="1"/>
        <v>FB_IMv_S.LAON</v>
      </c>
      <c r="B44" s="11">
        <v>3</v>
      </c>
      <c r="C44" s="11" t="s">
        <v>1</v>
      </c>
      <c r="D44" s="20">
        <v>192</v>
      </c>
      <c r="BM44" s="4"/>
      <c r="BN44" s="4"/>
      <c r="BO44" s="4"/>
      <c r="BP44" s="4"/>
    </row>
    <row r="45" spans="1:68" ht="15" customHeight="1">
      <c r="A45" s="19" t="str">
        <f t="shared" si="1"/>
        <v>FB_IMv_S.LAON</v>
      </c>
      <c r="B45" s="11">
        <v>2</v>
      </c>
      <c r="C45" s="11" t="s">
        <v>2</v>
      </c>
      <c r="D45" s="20" t="s">
        <v>3</v>
      </c>
      <c r="BM45" s="4"/>
      <c r="BN45" s="4"/>
      <c r="BO45" s="4"/>
      <c r="BP45" s="4"/>
    </row>
    <row r="46" spans="1:68" ht="15" customHeight="1">
      <c r="A46" s="21" t="str">
        <f t="shared" si="1"/>
        <v>FB_IMv_S.LAON</v>
      </c>
      <c r="B46" s="8">
        <v>1</v>
      </c>
      <c r="C46" s="8" t="s">
        <v>1</v>
      </c>
      <c r="D46" s="22">
        <v>11</v>
      </c>
      <c r="BM46" s="4"/>
      <c r="BN46" s="4"/>
      <c r="BO46" s="4"/>
      <c r="BP46" s="4"/>
    </row>
    <row r="47" spans="1:68" ht="15" customHeight="1">
      <c r="A47" s="69" t="str">
        <f t="shared" ref="A47:A56" si="2">$R$2&amp;".LAOF"</f>
        <v>FB_IMv_S.LAOF</v>
      </c>
      <c r="B47" s="70">
        <v>11154</v>
      </c>
      <c r="C47" s="70" t="s">
        <v>4</v>
      </c>
      <c r="D47" s="144">
        <f>$Q$6</f>
        <v>8</v>
      </c>
      <c r="BM47" s="4"/>
      <c r="BN47" s="4"/>
      <c r="BO47" s="4"/>
      <c r="BP47" s="4"/>
    </row>
    <row r="48" spans="1:68" ht="15" customHeight="1">
      <c r="A48" s="63" t="str">
        <f t="shared" si="2"/>
        <v>FB_IMv_S.LAOF</v>
      </c>
      <c r="B48" s="64">
        <v>11150</v>
      </c>
      <c r="C48" s="64" t="s">
        <v>0</v>
      </c>
      <c r="D48" s="65" t="s">
        <v>1842</v>
      </c>
      <c r="BM48" s="4"/>
      <c r="BN48" s="4"/>
      <c r="BO48" s="4"/>
      <c r="BP48" s="4"/>
    </row>
    <row r="49" spans="1:68" ht="15" customHeight="1">
      <c r="A49" s="63" t="str">
        <f t="shared" si="2"/>
        <v>FB_IMv_S.LAOF</v>
      </c>
      <c r="B49" s="64">
        <v>11152</v>
      </c>
      <c r="C49" s="64" t="s">
        <v>0</v>
      </c>
      <c r="D49" s="99" t="str">
        <f>$R$6</f>
        <v>Предупреждение</v>
      </c>
      <c r="BM49" s="4"/>
      <c r="BN49" s="4"/>
      <c r="BO49" s="4"/>
      <c r="BP49" s="4"/>
    </row>
    <row r="50" spans="1:68" ht="15" customHeight="1">
      <c r="A50" s="63" t="str">
        <f t="shared" si="2"/>
        <v>FB_IMv_S.LAOF</v>
      </c>
      <c r="B50" s="64">
        <v>11000</v>
      </c>
      <c r="C50" s="64" t="s">
        <v>5</v>
      </c>
      <c r="D50" s="65">
        <v>2147483680</v>
      </c>
      <c r="BM50" s="4"/>
      <c r="BN50" s="4"/>
      <c r="BO50" s="4"/>
      <c r="BP50" s="4"/>
    </row>
    <row r="51" spans="1:68" ht="15" customHeight="1">
      <c r="A51" s="19" t="str">
        <f t="shared" si="2"/>
        <v>FB_IMv_S.LAOF</v>
      </c>
      <c r="B51" s="11">
        <v>7999</v>
      </c>
      <c r="C51" s="11" t="s">
        <v>0</v>
      </c>
      <c r="D51" s="20" t="str">
        <f>"#"&amp;$S$2&amp;"#"&amp;$T$2&amp;"\"&amp;$P$2&amp;"\LAOF"</f>
        <v>#1#treiOPCDA.CoOPCserv.1\pcmaster\KMZ1\LAOF</v>
      </c>
      <c r="BM51" s="4"/>
      <c r="BN51" s="4"/>
      <c r="BO51" s="4"/>
      <c r="BP51" s="4"/>
    </row>
    <row r="52" spans="1:68" ht="15" customHeight="1">
      <c r="A52" s="19" t="str">
        <f t="shared" si="2"/>
        <v>FB_IMv_S.LAOF</v>
      </c>
      <c r="B52" s="11">
        <v>7998</v>
      </c>
      <c r="C52" s="11" t="s">
        <v>6</v>
      </c>
      <c r="D52" s="20">
        <v>1</v>
      </c>
      <c r="BM52" s="4"/>
      <c r="BN52" s="4"/>
      <c r="BO52" s="4"/>
      <c r="BP52" s="4"/>
    </row>
    <row r="53" spans="1:68" ht="15" customHeight="1">
      <c r="A53" s="19" t="str">
        <f t="shared" si="2"/>
        <v>FB_IMv_S.LAOF</v>
      </c>
      <c r="B53" s="11">
        <v>101</v>
      </c>
      <c r="C53" s="11" t="s">
        <v>0</v>
      </c>
      <c r="D53" s="20" t="s">
        <v>1842</v>
      </c>
      <c r="BM53" s="4"/>
      <c r="BN53" s="4"/>
      <c r="BO53" s="4"/>
      <c r="BP53" s="4"/>
    </row>
    <row r="54" spans="1:68" ht="15" customHeight="1">
      <c r="A54" s="19" t="str">
        <f t="shared" si="2"/>
        <v>FB_IMv_S.LAOF</v>
      </c>
      <c r="B54" s="11">
        <v>3</v>
      </c>
      <c r="C54" s="11" t="s">
        <v>1</v>
      </c>
      <c r="D54" s="20">
        <v>192</v>
      </c>
      <c r="BM54" s="4"/>
      <c r="BN54" s="4"/>
      <c r="BO54" s="4"/>
      <c r="BP54" s="4"/>
    </row>
    <row r="55" spans="1:68" ht="15" customHeight="1">
      <c r="A55" s="19" t="str">
        <f t="shared" si="2"/>
        <v>FB_IMv_S.LAOF</v>
      </c>
      <c r="B55" s="11">
        <v>2</v>
      </c>
      <c r="C55" s="11" t="s">
        <v>2</v>
      </c>
      <c r="D55" s="20" t="s">
        <v>3</v>
      </c>
      <c r="BM55" s="4"/>
      <c r="BN55" s="4"/>
      <c r="BO55" s="4"/>
      <c r="BP55" s="4"/>
    </row>
    <row r="56" spans="1:68" ht="15" customHeight="1">
      <c r="A56" s="21" t="str">
        <f t="shared" si="2"/>
        <v>FB_IMv_S.LAOF</v>
      </c>
      <c r="B56" s="8">
        <v>1</v>
      </c>
      <c r="C56" s="8" t="s">
        <v>1</v>
      </c>
      <c r="D56" s="22">
        <v>11</v>
      </c>
      <c r="BM56" s="4"/>
      <c r="BN56" s="4"/>
      <c r="BO56" s="4"/>
      <c r="BP56" s="4"/>
    </row>
    <row r="57" spans="1:68" ht="15" customHeight="1">
      <c r="A57" s="63" t="str">
        <f t="shared" ref="A57:A66" si="3">$R$2&amp;".ILCX"</f>
        <v>FB_IMv_S.ILCX</v>
      </c>
      <c r="B57" s="64">
        <v>11154</v>
      </c>
      <c r="C57" s="64" t="s">
        <v>4</v>
      </c>
      <c r="D57" s="98">
        <f>$Q$6</f>
        <v>8</v>
      </c>
      <c r="BK57" s="4"/>
      <c r="BL57" s="4"/>
      <c r="BM57" s="4"/>
      <c r="BN57" s="4"/>
    </row>
    <row r="58" spans="1:68" ht="15" customHeight="1">
      <c r="A58" s="63" t="str">
        <f t="shared" si="3"/>
        <v>FB_IMv_S.ILCX</v>
      </c>
      <c r="B58" s="64">
        <v>11150</v>
      </c>
      <c r="C58" s="64" t="s">
        <v>0</v>
      </c>
      <c r="D58" s="65" t="s">
        <v>188</v>
      </c>
      <c r="BK58" s="4"/>
      <c r="BL58" s="4"/>
      <c r="BM58" s="4"/>
      <c r="BN58" s="4"/>
    </row>
    <row r="59" spans="1:68" ht="15" customHeight="1">
      <c r="A59" s="63" t="str">
        <f t="shared" si="3"/>
        <v>FB_IMv_S.ILCX</v>
      </c>
      <c r="B59" s="64">
        <v>11152</v>
      </c>
      <c r="C59" s="64" t="s">
        <v>0</v>
      </c>
      <c r="D59" s="99" t="str">
        <f>$R$6</f>
        <v>Предупреждение</v>
      </c>
      <c r="BK59" s="4"/>
      <c r="BL59" s="4"/>
      <c r="BM59" s="4"/>
      <c r="BN59" s="4"/>
    </row>
    <row r="60" spans="1:68" ht="15" customHeight="1">
      <c r="A60" s="63" t="str">
        <f t="shared" si="3"/>
        <v>FB_IMv_S.ILCX</v>
      </c>
      <c r="B60" s="64">
        <v>11000</v>
      </c>
      <c r="C60" s="64" t="s">
        <v>5</v>
      </c>
      <c r="D60" s="65">
        <v>2147483680</v>
      </c>
      <c r="BK60" s="4"/>
      <c r="BL60" s="4"/>
      <c r="BM60" s="4"/>
      <c r="BN60" s="4"/>
    </row>
    <row r="61" spans="1:68" ht="15" customHeight="1">
      <c r="A61" s="19" t="str">
        <f t="shared" si="3"/>
        <v>FB_IMv_S.ILCX</v>
      </c>
      <c r="B61" s="11">
        <v>7999</v>
      </c>
      <c r="C61" s="11" t="s">
        <v>0</v>
      </c>
      <c r="D61" s="20" t="str">
        <f>"#"&amp;$S$2&amp;"#"&amp;$T$2&amp;"\"&amp;$P$2&amp;"\ILCX"</f>
        <v>#1#treiOPCDA.CoOPCserv.1\pcmaster\KMZ1\ILCX</v>
      </c>
      <c r="BK61" s="4"/>
      <c r="BL61" s="4"/>
      <c r="BM61" s="4"/>
      <c r="BN61" s="4"/>
    </row>
    <row r="62" spans="1:68" ht="15" customHeight="1">
      <c r="A62" s="19" t="str">
        <f t="shared" si="3"/>
        <v>FB_IMv_S.ILCX</v>
      </c>
      <c r="B62" s="11">
        <v>7998</v>
      </c>
      <c r="C62" s="11" t="s">
        <v>6</v>
      </c>
      <c r="D62" s="20">
        <v>1</v>
      </c>
      <c r="BK62" s="4"/>
      <c r="BL62" s="4"/>
      <c r="BM62" s="4"/>
      <c r="BN62" s="4"/>
    </row>
    <row r="63" spans="1:68" ht="15" customHeight="1">
      <c r="A63" s="19" t="str">
        <f t="shared" si="3"/>
        <v>FB_IMv_S.ILCX</v>
      </c>
      <c r="B63" s="11">
        <v>101</v>
      </c>
      <c r="C63" s="11" t="s">
        <v>0</v>
      </c>
      <c r="D63" s="20" t="s">
        <v>577</v>
      </c>
      <c r="BK63" s="4"/>
      <c r="BL63" s="4"/>
      <c r="BM63" s="4"/>
      <c r="BN63" s="4"/>
    </row>
    <row r="64" spans="1:68" ht="15" customHeight="1">
      <c r="A64" s="19" t="str">
        <f t="shared" si="3"/>
        <v>FB_IMv_S.ILCX</v>
      </c>
      <c r="B64" s="11">
        <v>3</v>
      </c>
      <c r="C64" s="11" t="s">
        <v>1</v>
      </c>
      <c r="D64" s="20">
        <v>192</v>
      </c>
      <c r="BK64" s="4"/>
      <c r="BL64" s="4"/>
      <c r="BM64" s="4"/>
      <c r="BN64" s="4"/>
    </row>
    <row r="65" spans="1:66" ht="15" customHeight="1">
      <c r="A65" s="19" t="str">
        <f t="shared" si="3"/>
        <v>FB_IMv_S.ILCX</v>
      </c>
      <c r="B65" s="11">
        <v>2</v>
      </c>
      <c r="C65" s="11" t="s">
        <v>2</v>
      </c>
      <c r="D65" s="20" t="s">
        <v>3</v>
      </c>
      <c r="BK65" s="4"/>
      <c r="BL65" s="4"/>
      <c r="BM65" s="4"/>
      <c r="BN65" s="4"/>
    </row>
    <row r="66" spans="1:66" ht="15" customHeight="1">
      <c r="A66" s="21" t="str">
        <f t="shared" si="3"/>
        <v>FB_IMv_S.ILCX</v>
      </c>
      <c r="B66" s="8">
        <v>1</v>
      </c>
      <c r="C66" s="8" t="s">
        <v>1</v>
      </c>
      <c r="D66" s="22">
        <v>11</v>
      </c>
      <c r="BK66" s="4"/>
      <c r="BL66" s="4"/>
      <c r="BM66" s="4"/>
      <c r="BN66" s="4"/>
    </row>
    <row r="67" spans="1:66" ht="15" customHeight="1">
      <c r="A67" s="69" t="str">
        <f t="shared" ref="A67:A76" si="4">$R$2&amp;".CEON"</f>
        <v>FB_IMv_S.CEON</v>
      </c>
      <c r="B67" s="70">
        <v>11154</v>
      </c>
      <c r="C67" s="70" t="s">
        <v>4</v>
      </c>
      <c r="D67" s="144">
        <f>$Q$6</f>
        <v>8</v>
      </c>
      <c r="BK67" s="4"/>
      <c r="BL67" s="4"/>
      <c r="BM67" s="4"/>
      <c r="BN67" s="4"/>
    </row>
    <row r="68" spans="1:66" ht="15" customHeight="1">
      <c r="A68" s="63" t="str">
        <f t="shared" si="4"/>
        <v>FB_IMv_S.CEON</v>
      </c>
      <c r="B68" s="64">
        <v>11150</v>
      </c>
      <c r="C68" s="64" t="s">
        <v>0</v>
      </c>
      <c r="D68" s="65" t="s">
        <v>1845</v>
      </c>
      <c r="BK68" s="4"/>
      <c r="BL68" s="4"/>
      <c r="BM68" s="4"/>
      <c r="BN68" s="4"/>
    </row>
    <row r="69" spans="1:66" ht="15" customHeight="1">
      <c r="A69" s="63" t="str">
        <f t="shared" si="4"/>
        <v>FB_IMv_S.CEON</v>
      </c>
      <c r="B69" s="64">
        <v>11152</v>
      </c>
      <c r="C69" s="64" t="s">
        <v>0</v>
      </c>
      <c r="D69" s="99" t="str">
        <f>$R$6</f>
        <v>Предупреждение</v>
      </c>
      <c r="BK69" s="4"/>
      <c r="BL69" s="4"/>
      <c r="BM69" s="4"/>
      <c r="BN69" s="4"/>
    </row>
    <row r="70" spans="1:66" ht="15" customHeight="1">
      <c r="A70" s="63" t="str">
        <f t="shared" si="4"/>
        <v>FB_IMv_S.CEON</v>
      </c>
      <c r="B70" s="64">
        <v>11000</v>
      </c>
      <c r="C70" s="64" t="s">
        <v>5</v>
      </c>
      <c r="D70" s="65">
        <v>2147483680</v>
      </c>
      <c r="BK70" s="4"/>
      <c r="BL70" s="4"/>
      <c r="BM70" s="4"/>
      <c r="BN70" s="4"/>
    </row>
    <row r="71" spans="1:66" ht="15" customHeight="1">
      <c r="A71" s="19" t="str">
        <f t="shared" si="4"/>
        <v>FB_IMv_S.CEON</v>
      </c>
      <c r="B71" s="11">
        <v>7999</v>
      </c>
      <c r="C71" s="11" t="s">
        <v>0</v>
      </c>
      <c r="D71" s="20" t="str">
        <f>"#"&amp;$S$2&amp;"#"&amp;$T$2&amp;"\"&amp;$P$2&amp;"\CEON"</f>
        <v>#1#treiOPCDA.CoOPCserv.1\pcmaster\KMZ1\CEON</v>
      </c>
      <c r="BK71" s="4"/>
      <c r="BL71" s="4"/>
      <c r="BM71" s="4"/>
      <c r="BN71" s="4"/>
    </row>
    <row r="72" spans="1:66" ht="15" customHeight="1">
      <c r="A72" s="19" t="str">
        <f t="shared" si="4"/>
        <v>FB_IMv_S.CEON</v>
      </c>
      <c r="B72" s="11">
        <v>7998</v>
      </c>
      <c r="C72" s="11" t="s">
        <v>6</v>
      </c>
      <c r="D72" s="20">
        <v>1</v>
      </c>
      <c r="BK72" s="4"/>
      <c r="BL72" s="4"/>
      <c r="BM72" s="4"/>
      <c r="BN72" s="4"/>
    </row>
    <row r="73" spans="1:66" ht="15" customHeight="1">
      <c r="A73" s="19" t="str">
        <f t="shared" si="4"/>
        <v>FB_IMv_S.CEON</v>
      </c>
      <c r="B73" s="11">
        <v>101</v>
      </c>
      <c r="C73" s="11" t="s">
        <v>0</v>
      </c>
      <c r="D73" s="20" t="s">
        <v>1845</v>
      </c>
      <c r="BK73" s="4"/>
      <c r="BL73" s="4"/>
      <c r="BM73" s="4"/>
      <c r="BN73" s="4"/>
    </row>
    <row r="74" spans="1:66" ht="15" customHeight="1">
      <c r="A74" s="19" t="str">
        <f t="shared" si="4"/>
        <v>FB_IMv_S.CEON</v>
      </c>
      <c r="B74" s="11">
        <v>3</v>
      </c>
      <c r="C74" s="11" t="s">
        <v>1</v>
      </c>
      <c r="D74" s="20">
        <v>192</v>
      </c>
      <c r="BK74" s="4"/>
      <c r="BL74" s="4"/>
      <c r="BM74" s="4"/>
      <c r="BN74" s="4"/>
    </row>
    <row r="75" spans="1:66" ht="15" customHeight="1">
      <c r="A75" s="19" t="str">
        <f t="shared" si="4"/>
        <v>FB_IMv_S.CEON</v>
      </c>
      <c r="B75" s="11">
        <v>2</v>
      </c>
      <c r="C75" s="11" t="s">
        <v>2</v>
      </c>
      <c r="D75" s="20" t="s">
        <v>3</v>
      </c>
      <c r="BK75" s="4"/>
      <c r="BL75" s="4"/>
      <c r="BM75" s="4"/>
      <c r="BN75" s="4"/>
    </row>
    <row r="76" spans="1:66" ht="15" customHeight="1">
      <c r="A76" s="21" t="str">
        <f t="shared" si="4"/>
        <v>FB_IMv_S.CEON</v>
      </c>
      <c r="B76" s="8">
        <v>1</v>
      </c>
      <c r="C76" s="8" t="s">
        <v>1</v>
      </c>
      <c r="D76" s="22">
        <v>11</v>
      </c>
      <c r="BK76" s="4"/>
      <c r="BL76" s="4"/>
      <c r="BM76" s="4"/>
      <c r="BN76" s="4"/>
    </row>
    <row r="77" spans="1:66" ht="15" customHeight="1">
      <c r="A77" s="69" t="str">
        <f t="shared" ref="A77:A86" si="5">$R$2&amp;".CEOF"</f>
        <v>FB_IMv_S.CEOF</v>
      </c>
      <c r="B77" s="70">
        <v>11154</v>
      </c>
      <c r="C77" s="70" t="s">
        <v>4</v>
      </c>
      <c r="D77" s="144">
        <f>$Q$6</f>
        <v>8</v>
      </c>
      <c r="BK77" s="4"/>
      <c r="BL77" s="4"/>
      <c r="BM77" s="4"/>
      <c r="BN77" s="4"/>
    </row>
    <row r="78" spans="1:66" ht="15" customHeight="1">
      <c r="A78" s="63" t="str">
        <f t="shared" si="5"/>
        <v>FB_IMv_S.CEOF</v>
      </c>
      <c r="B78" s="64">
        <v>11150</v>
      </c>
      <c r="C78" s="64" t="s">
        <v>0</v>
      </c>
      <c r="D78" s="65" t="s">
        <v>1846</v>
      </c>
      <c r="BK78" s="4"/>
      <c r="BL78" s="4"/>
      <c r="BM78" s="4"/>
      <c r="BN78" s="4"/>
    </row>
    <row r="79" spans="1:66" ht="15" customHeight="1">
      <c r="A79" s="63" t="str">
        <f t="shared" si="5"/>
        <v>FB_IMv_S.CEOF</v>
      </c>
      <c r="B79" s="64">
        <v>11152</v>
      </c>
      <c r="C79" s="64" t="s">
        <v>0</v>
      </c>
      <c r="D79" s="99" t="str">
        <f>$R$6</f>
        <v>Предупреждение</v>
      </c>
      <c r="BK79" s="4"/>
      <c r="BL79" s="4"/>
      <c r="BM79" s="4"/>
      <c r="BN79" s="4"/>
    </row>
    <row r="80" spans="1:66" ht="15" customHeight="1">
      <c r="A80" s="63" t="str">
        <f t="shared" si="5"/>
        <v>FB_IMv_S.CEOF</v>
      </c>
      <c r="B80" s="64">
        <v>11000</v>
      </c>
      <c r="C80" s="64" t="s">
        <v>5</v>
      </c>
      <c r="D80" s="65">
        <v>2147483680</v>
      </c>
      <c r="BK80" s="4"/>
      <c r="BL80" s="4"/>
      <c r="BM80" s="4"/>
      <c r="BN80" s="4"/>
    </row>
    <row r="81" spans="1:66" ht="15" customHeight="1">
      <c r="A81" s="19" t="str">
        <f t="shared" si="5"/>
        <v>FB_IMv_S.CEOF</v>
      </c>
      <c r="B81" s="11">
        <v>7999</v>
      </c>
      <c r="C81" s="11" t="s">
        <v>0</v>
      </c>
      <c r="D81" s="20" t="str">
        <f>"#"&amp;$S$2&amp;"#"&amp;$T$2&amp;"\"&amp;$P$2&amp;"\CEOF"</f>
        <v>#1#treiOPCDA.CoOPCserv.1\pcmaster\KMZ1\CEOF</v>
      </c>
      <c r="BK81" s="4"/>
      <c r="BL81" s="4"/>
      <c r="BM81" s="4"/>
      <c r="BN81" s="4"/>
    </row>
    <row r="82" spans="1:66" ht="15" customHeight="1">
      <c r="A82" s="19" t="str">
        <f t="shared" si="5"/>
        <v>FB_IMv_S.CEOF</v>
      </c>
      <c r="B82" s="11">
        <v>7998</v>
      </c>
      <c r="C82" s="11" t="s">
        <v>6</v>
      </c>
      <c r="D82" s="20">
        <v>1</v>
      </c>
      <c r="BK82" s="4"/>
      <c r="BL82" s="4"/>
      <c r="BM82" s="4"/>
      <c r="BN82" s="4"/>
    </row>
    <row r="83" spans="1:66" ht="15" customHeight="1">
      <c r="A83" s="19" t="str">
        <f t="shared" si="5"/>
        <v>FB_IMv_S.CEOF</v>
      </c>
      <c r="B83" s="11">
        <v>101</v>
      </c>
      <c r="C83" s="11" t="s">
        <v>0</v>
      </c>
      <c r="D83" s="20" t="s">
        <v>1846</v>
      </c>
      <c r="BK83" s="4"/>
      <c r="BL83" s="4"/>
      <c r="BM83" s="4"/>
      <c r="BN83" s="4"/>
    </row>
    <row r="84" spans="1:66" ht="15" customHeight="1">
      <c r="A84" s="19" t="str">
        <f t="shared" si="5"/>
        <v>FB_IMv_S.CEOF</v>
      </c>
      <c r="B84" s="11">
        <v>3</v>
      </c>
      <c r="C84" s="11" t="s">
        <v>1</v>
      </c>
      <c r="D84" s="20">
        <v>192</v>
      </c>
      <c r="BK84" s="4"/>
      <c r="BL84" s="4"/>
      <c r="BM84" s="4"/>
      <c r="BN84" s="4"/>
    </row>
    <row r="85" spans="1:66" ht="15" customHeight="1">
      <c r="A85" s="19" t="str">
        <f t="shared" si="5"/>
        <v>FB_IMv_S.CEOF</v>
      </c>
      <c r="B85" s="11">
        <v>2</v>
      </c>
      <c r="C85" s="11" t="s">
        <v>2</v>
      </c>
      <c r="D85" s="20" t="s">
        <v>3</v>
      </c>
      <c r="BK85" s="4"/>
      <c r="BL85" s="4"/>
      <c r="BM85" s="4"/>
      <c r="BN85" s="4"/>
    </row>
    <row r="86" spans="1:66" ht="15" customHeight="1">
      <c r="A86" s="21" t="str">
        <f t="shared" si="5"/>
        <v>FB_IMv_S.CEOF</v>
      </c>
      <c r="B86" s="8">
        <v>1</v>
      </c>
      <c r="C86" s="8" t="s">
        <v>1</v>
      </c>
      <c r="D86" s="22">
        <v>11</v>
      </c>
      <c r="BK86" s="4"/>
      <c r="BL86" s="4"/>
      <c r="BM86" s="4"/>
      <c r="BN86" s="4"/>
    </row>
    <row r="87" spans="1:66" ht="15" customHeight="1">
      <c r="A87" s="69" t="str">
        <f t="shared" ref="A87:A96" si="6">$R$2&amp;".FRQX"</f>
        <v>FB_IMv_S.FRQX</v>
      </c>
      <c r="B87" s="70">
        <v>11154</v>
      </c>
      <c r="C87" s="70" t="s">
        <v>4</v>
      </c>
      <c r="D87" s="144">
        <f>$Q$6</f>
        <v>8</v>
      </c>
      <c r="BK87" s="4"/>
      <c r="BL87" s="4"/>
      <c r="BM87" s="4"/>
      <c r="BN87" s="4"/>
    </row>
    <row r="88" spans="1:66" ht="15" customHeight="1">
      <c r="A88" s="63" t="str">
        <f t="shared" si="6"/>
        <v>FB_IMv_S.FRQX</v>
      </c>
      <c r="B88" s="64">
        <v>11150</v>
      </c>
      <c r="C88" s="64" t="s">
        <v>0</v>
      </c>
      <c r="D88" s="65" t="s">
        <v>157</v>
      </c>
      <c r="BK88" s="4"/>
      <c r="BL88" s="4"/>
      <c r="BM88" s="4"/>
      <c r="BN88" s="4"/>
    </row>
    <row r="89" spans="1:66" ht="15" customHeight="1">
      <c r="A89" s="63" t="str">
        <f t="shared" si="6"/>
        <v>FB_IMv_S.FRQX</v>
      </c>
      <c r="B89" s="64">
        <v>11152</v>
      </c>
      <c r="C89" s="64" t="s">
        <v>0</v>
      </c>
      <c r="D89" s="99" t="str">
        <f>$R$6</f>
        <v>Предупреждение</v>
      </c>
      <c r="BK89" s="4"/>
      <c r="BL89" s="4"/>
      <c r="BM89" s="4"/>
      <c r="BN89" s="4"/>
    </row>
    <row r="90" spans="1:66" ht="15" customHeight="1">
      <c r="A90" s="63" t="str">
        <f t="shared" si="6"/>
        <v>FB_IMv_S.FRQX</v>
      </c>
      <c r="B90" s="64">
        <v>11000</v>
      </c>
      <c r="C90" s="64" t="s">
        <v>5</v>
      </c>
      <c r="D90" s="65">
        <v>2147483680</v>
      </c>
      <c r="BK90" s="4"/>
      <c r="BL90" s="4"/>
      <c r="BM90" s="4"/>
      <c r="BN90" s="4"/>
    </row>
    <row r="91" spans="1:66" ht="15" customHeight="1">
      <c r="A91" s="19" t="str">
        <f t="shared" si="6"/>
        <v>FB_IMv_S.FRQX</v>
      </c>
      <c r="B91" s="11">
        <v>7999</v>
      </c>
      <c r="C91" s="11" t="s">
        <v>0</v>
      </c>
      <c r="D91" s="20" t="str">
        <f>"#"&amp;$S$2&amp;"#"&amp;$T$2&amp;"\"&amp;$P$2&amp;"\FRQX"</f>
        <v>#1#treiOPCDA.CoOPCserv.1\pcmaster\KMZ1\FRQX</v>
      </c>
      <c r="BK91" s="4"/>
      <c r="BL91" s="4"/>
      <c r="BM91" s="4"/>
      <c r="BN91" s="4"/>
    </row>
    <row r="92" spans="1:66" ht="15" customHeight="1">
      <c r="A92" s="19" t="str">
        <f t="shared" si="6"/>
        <v>FB_IMv_S.FRQX</v>
      </c>
      <c r="B92" s="11">
        <v>7998</v>
      </c>
      <c r="C92" s="11" t="s">
        <v>6</v>
      </c>
      <c r="D92" s="20">
        <v>1</v>
      </c>
      <c r="BK92" s="4"/>
      <c r="BL92" s="4"/>
      <c r="BM92" s="4"/>
      <c r="BN92" s="4"/>
    </row>
    <row r="93" spans="1:66" ht="15" customHeight="1">
      <c r="A93" s="19" t="str">
        <f t="shared" si="6"/>
        <v>FB_IMv_S.FRQX</v>
      </c>
      <c r="B93" s="11">
        <v>101</v>
      </c>
      <c r="C93" s="11" t="s">
        <v>0</v>
      </c>
      <c r="D93" s="20" t="s">
        <v>157</v>
      </c>
      <c r="BK93" s="4"/>
      <c r="BL93" s="4"/>
      <c r="BM93" s="4"/>
      <c r="BN93" s="4"/>
    </row>
    <row r="94" spans="1:66" ht="15" customHeight="1">
      <c r="A94" s="19" t="str">
        <f t="shared" si="6"/>
        <v>FB_IMv_S.FRQX</v>
      </c>
      <c r="B94" s="11">
        <v>3</v>
      </c>
      <c r="C94" s="11" t="s">
        <v>1</v>
      </c>
      <c r="D94" s="20">
        <v>192</v>
      </c>
      <c r="BK94" s="4"/>
      <c r="BL94" s="4"/>
      <c r="BM94" s="4"/>
      <c r="BN94" s="4"/>
    </row>
    <row r="95" spans="1:66" ht="15" customHeight="1">
      <c r="A95" s="19" t="str">
        <f t="shared" si="6"/>
        <v>FB_IMv_S.FRQX</v>
      </c>
      <c r="B95" s="11">
        <v>2</v>
      </c>
      <c r="C95" s="11" t="s">
        <v>2</v>
      </c>
      <c r="D95" s="20" t="s">
        <v>3</v>
      </c>
      <c r="BK95" s="4"/>
      <c r="BL95" s="4"/>
      <c r="BM95" s="4"/>
      <c r="BN95" s="4"/>
    </row>
    <row r="96" spans="1:66" ht="15" customHeight="1">
      <c r="A96" s="21" t="str">
        <f t="shared" si="6"/>
        <v>FB_IMv_S.FRQX</v>
      </c>
      <c r="B96" s="8">
        <v>1</v>
      </c>
      <c r="C96" s="8" t="s">
        <v>1</v>
      </c>
      <c r="D96" s="22">
        <v>11</v>
      </c>
      <c r="BK96" s="4"/>
      <c r="BL96" s="4"/>
      <c r="BM96" s="4"/>
      <c r="BN96" s="4"/>
    </row>
    <row r="97" spans="1:66" ht="15" customHeight="1">
      <c r="A97" s="69" t="str">
        <f t="shared" ref="A97:A100" si="7">$R$2&amp;".CBON"</f>
        <v>FB_IMv_S.CBON</v>
      </c>
      <c r="B97" s="70">
        <v>11154</v>
      </c>
      <c r="C97" s="70" t="s">
        <v>4</v>
      </c>
      <c r="D97" s="144">
        <f>$Q$6</f>
        <v>8</v>
      </c>
      <c r="BK97" s="4"/>
      <c r="BL97" s="4"/>
      <c r="BM97" s="4"/>
      <c r="BN97" s="4"/>
    </row>
    <row r="98" spans="1:66" ht="15" customHeight="1">
      <c r="A98" s="63" t="str">
        <f t="shared" si="7"/>
        <v>FB_IMv_S.CBON</v>
      </c>
      <c r="B98" s="64">
        <v>11150</v>
      </c>
      <c r="C98" s="64" t="s">
        <v>0</v>
      </c>
      <c r="D98" s="65" t="s">
        <v>1847</v>
      </c>
      <c r="BK98" s="4"/>
      <c r="BL98" s="4"/>
      <c r="BM98" s="4"/>
      <c r="BN98" s="4"/>
    </row>
    <row r="99" spans="1:66" ht="15" customHeight="1">
      <c r="A99" s="63" t="str">
        <f t="shared" si="7"/>
        <v>FB_IMv_S.CBON</v>
      </c>
      <c r="B99" s="64">
        <v>11152</v>
      </c>
      <c r="C99" s="64" t="s">
        <v>0</v>
      </c>
      <c r="D99" s="99" t="str">
        <f>$R$6</f>
        <v>Предупреждение</v>
      </c>
      <c r="BK99" s="4"/>
      <c r="BL99" s="4"/>
      <c r="BM99" s="4"/>
      <c r="BN99" s="4"/>
    </row>
    <row r="100" spans="1:66" ht="15" customHeight="1">
      <c r="A100" s="63" t="str">
        <f t="shared" si="7"/>
        <v>FB_IMv_S.CBON</v>
      </c>
      <c r="B100" s="64">
        <v>11000</v>
      </c>
      <c r="C100" s="64" t="s">
        <v>5</v>
      </c>
      <c r="D100" s="65">
        <v>2147483680</v>
      </c>
      <c r="BK100" s="4"/>
      <c r="BL100" s="4"/>
      <c r="BM100" s="4"/>
      <c r="BN100" s="4"/>
    </row>
    <row r="101" spans="1:66" ht="15" customHeight="1">
      <c r="A101" s="19" t="str">
        <f t="shared" ref="A101:A106" si="8">$R$2&amp;".CBON"</f>
        <v>FB_IMv_S.CBON</v>
      </c>
      <c r="B101" s="11">
        <v>7999</v>
      </c>
      <c r="C101" s="11" t="s">
        <v>0</v>
      </c>
      <c r="D101" s="20" t="str">
        <f>"#"&amp;$S$2&amp;"#"&amp;$T$2&amp;"\"&amp;$P$2&amp;"\CBON"</f>
        <v>#1#treiOPCDA.CoOPCserv.1\pcmaster\KMZ1\CBON</v>
      </c>
      <c r="BK101" s="4"/>
      <c r="BL101" s="4"/>
      <c r="BM101" s="4"/>
      <c r="BN101" s="4"/>
    </row>
    <row r="102" spans="1:66" ht="15" customHeight="1">
      <c r="A102" s="19" t="str">
        <f t="shared" si="8"/>
        <v>FB_IMv_S.CBON</v>
      </c>
      <c r="B102" s="11">
        <v>7998</v>
      </c>
      <c r="C102" s="11" t="s">
        <v>6</v>
      </c>
      <c r="D102" s="20">
        <v>1</v>
      </c>
      <c r="BK102" s="4"/>
      <c r="BL102" s="4"/>
      <c r="BM102" s="4"/>
      <c r="BN102" s="4"/>
    </row>
    <row r="103" spans="1:66" ht="15" customHeight="1">
      <c r="A103" s="19" t="str">
        <f t="shared" si="8"/>
        <v>FB_IMv_S.CBON</v>
      </c>
      <c r="B103" s="11">
        <v>101</v>
      </c>
      <c r="C103" s="11" t="s">
        <v>0</v>
      </c>
      <c r="D103" s="20" t="s">
        <v>1847</v>
      </c>
      <c r="BK103" s="4"/>
      <c r="BL103" s="4"/>
      <c r="BM103" s="4"/>
      <c r="BN103" s="4"/>
    </row>
    <row r="104" spans="1:66" ht="15" customHeight="1">
      <c r="A104" s="19" t="str">
        <f t="shared" si="8"/>
        <v>FB_IMv_S.CBON</v>
      </c>
      <c r="B104" s="11">
        <v>3</v>
      </c>
      <c r="C104" s="11" t="s">
        <v>1</v>
      </c>
      <c r="D104" s="20">
        <v>192</v>
      </c>
      <c r="BK104" s="4"/>
      <c r="BL104" s="4"/>
      <c r="BM104" s="4"/>
      <c r="BN104" s="4"/>
    </row>
    <row r="105" spans="1:66" ht="15" customHeight="1">
      <c r="A105" s="19" t="str">
        <f t="shared" si="8"/>
        <v>FB_IMv_S.CBON</v>
      </c>
      <c r="B105" s="11">
        <v>2</v>
      </c>
      <c r="C105" s="11" t="s">
        <v>2</v>
      </c>
      <c r="D105" s="20" t="s">
        <v>3</v>
      </c>
      <c r="BK105" s="4"/>
      <c r="BL105" s="4"/>
      <c r="BM105" s="4"/>
      <c r="BN105" s="4"/>
    </row>
    <row r="106" spans="1:66" ht="15" customHeight="1">
      <c r="A106" s="21" t="str">
        <f t="shared" si="8"/>
        <v>FB_IMv_S.CBON</v>
      </c>
      <c r="B106" s="8">
        <v>1</v>
      </c>
      <c r="C106" s="8" t="s">
        <v>1</v>
      </c>
      <c r="D106" s="22">
        <v>11</v>
      </c>
      <c r="BK106" s="4"/>
      <c r="BL106" s="4"/>
      <c r="BM106" s="4"/>
      <c r="BN106" s="4"/>
    </row>
    <row r="107" spans="1:66" ht="15" customHeight="1">
      <c r="A107" s="69" t="str">
        <f t="shared" ref="A107:A110" si="9">$R$2&amp;".CBOF"</f>
        <v>FB_IMv_S.CBOF</v>
      </c>
      <c r="B107" s="70">
        <v>11154</v>
      </c>
      <c r="C107" s="70" t="s">
        <v>4</v>
      </c>
      <c r="D107" s="144">
        <f>$Q$6</f>
        <v>8</v>
      </c>
      <c r="BK107" s="4"/>
      <c r="BL107" s="4"/>
      <c r="BM107" s="4"/>
      <c r="BN107" s="4"/>
    </row>
    <row r="108" spans="1:66" ht="15" customHeight="1">
      <c r="A108" s="63" t="str">
        <f t="shared" si="9"/>
        <v>FB_IMv_S.CBOF</v>
      </c>
      <c r="B108" s="64">
        <v>11150</v>
      </c>
      <c r="C108" s="64" t="s">
        <v>0</v>
      </c>
      <c r="D108" s="65" t="s">
        <v>1848</v>
      </c>
      <c r="BK108" s="4"/>
      <c r="BL108" s="4"/>
      <c r="BM108" s="4"/>
      <c r="BN108" s="4"/>
    </row>
    <row r="109" spans="1:66" ht="15" customHeight="1">
      <c r="A109" s="63" t="str">
        <f t="shared" si="9"/>
        <v>FB_IMv_S.CBOF</v>
      </c>
      <c r="B109" s="64">
        <v>11152</v>
      </c>
      <c r="C109" s="64" t="s">
        <v>0</v>
      </c>
      <c r="D109" s="99" t="str">
        <f>$R$6</f>
        <v>Предупреждение</v>
      </c>
      <c r="BK109" s="4"/>
      <c r="BL109" s="4"/>
      <c r="BM109" s="4"/>
      <c r="BN109" s="4"/>
    </row>
    <row r="110" spans="1:66" ht="15" customHeight="1">
      <c r="A110" s="63" t="str">
        <f t="shared" si="9"/>
        <v>FB_IMv_S.CBOF</v>
      </c>
      <c r="B110" s="64">
        <v>11000</v>
      </c>
      <c r="C110" s="64" t="s">
        <v>5</v>
      </c>
      <c r="D110" s="65">
        <v>2147483680</v>
      </c>
      <c r="BK110" s="4"/>
      <c r="BL110" s="4"/>
      <c r="BM110" s="4"/>
      <c r="BN110" s="4"/>
    </row>
    <row r="111" spans="1:66" ht="15" customHeight="1">
      <c r="A111" s="19" t="str">
        <f t="shared" ref="A111:A116" si="10">$R$2&amp;".CBOF"</f>
        <v>FB_IMv_S.CBOF</v>
      </c>
      <c r="B111" s="11">
        <v>7999</v>
      </c>
      <c r="C111" s="11" t="s">
        <v>0</v>
      </c>
      <c r="D111" s="20" t="str">
        <f>"#"&amp;$S$2&amp;"#"&amp;$T$2&amp;"\"&amp;$P$2&amp;"\CBOF"</f>
        <v>#1#treiOPCDA.CoOPCserv.1\pcmaster\KMZ1\CBOF</v>
      </c>
      <c r="BK111" s="4"/>
      <c r="BL111" s="4"/>
      <c r="BM111" s="4"/>
      <c r="BN111" s="4"/>
    </row>
    <row r="112" spans="1:66" ht="15" customHeight="1">
      <c r="A112" s="19" t="str">
        <f t="shared" si="10"/>
        <v>FB_IMv_S.CBOF</v>
      </c>
      <c r="B112" s="11">
        <v>7998</v>
      </c>
      <c r="C112" s="11" t="s">
        <v>6</v>
      </c>
      <c r="D112" s="20">
        <v>1</v>
      </c>
      <c r="BK112" s="4"/>
      <c r="BL112" s="4"/>
      <c r="BM112" s="4"/>
      <c r="BN112" s="4"/>
    </row>
    <row r="113" spans="1:66" ht="15" customHeight="1">
      <c r="A113" s="19" t="str">
        <f t="shared" si="10"/>
        <v>FB_IMv_S.CBOF</v>
      </c>
      <c r="B113" s="11">
        <v>101</v>
      </c>
      <c r="C113" s="11" t="s">
        <v>0</v>
      </c>
      <c r="D113" s="20" t="s">
        <v>1848</v>
      </c>
      <c r="BK113" s="4"/>
      <c r="BL113" s="4"/>
      <c r="BM113" s="4"/>
      <c r="BN113" s="4"/>
    </row>
    <row r="114" spans="1:66" ht="15" customHeight="1">
      <c r="A114" s="19" t="str">
        <f t="shared" si="10"/>
        <v>FB_IMv_S.CBOF</v>
      </c>
      <c r="B114" s="11">
        <v>3</v>
      </c>
      <c r="C114" s="11" t="s">
        <v>1</v>
      </c>
      <c r="D114" s="20">
        <v>192</v>
      </c>
      <c r="BK114" s="4"/>
      <c r="BL114" s="4"/>
      <c r="BM114" s="4"/>
      <c r="BN114" s="4"/>
    </row>
    <row r="115" spans="1:66" s="4" customFormat="1">
      <c r="A115" s="19" t="str">
        <f t="shared" si="10"/>
        <v>FB_IMv_S.CBOF</v>
      </c>
      <c r="B115" s="11">
        <v>2</v>
      </c>
      <c r="C115" s="11" t="s">
        <v>2</v>
      </c>
      <c r="D115" s="20" t="s">
        <v>3</v>
      </c>
      <c r="Q115"/>
    </row>
    <row r="116" spans="1:66">
      <c r="A116" s="21" t="str">
        <f t="shared" si="10"/>
        <v>FB_IMv_S.CBOF</v>
      </c>
      <c r="B116" s="8">
        <v>1</v>
      </c>
      <c r="C116" s="8" t="s">
        <v>1</v>
      </c>
      <c r="D116" s="22">
        <v>11</v>
      </c>
    </row>
    <row r="117" spans="1:66" ht="15" customHeight="1">
      <c r="A117" s="217" t="str">
        <f t="shared" ref="A117:A126" si="11">$R$2&amp;".IFXX"</f>
        <v>FB_IMv_S.IFXX</v>
      </c>
      <c r="B117" s="218">
        <v>11154</v>
      </c>
      <c r="C117" s="218" t="s">
        <v>4</v>
      </c>
      <c r="D117" s="219">
        <f>$Q$7</f>
        <v>12</v>
      </c>
      <c r="BK117" s="4"/>
      <c r="BL117" s="4"/>
      <c r="BM117" s="4"/>
      <c r="BN117" s="4"/>
    </row>
    <row r="118" spans="1:66" ht="15" customHeight="1">
      <c r="A118" s="211" t="str">
        <f t="shared" si="11"/>
        <v>FB_IMv_S.IFXX</v>
      </c>
      <c r="B118" s="212">
        <v>11150</v>
      </c>
      <c r="C118" s="212" t="s">
        <v>0</v>
      </c>
      <c r="D118" s="213" t="s">
        <v>110</v>
      </c>
      <c r="BK118" s="4"/>
      <c r="BL118" s="4"/>
      <c r="BM118" s="4"/>
      <c r="BN118" s="4"/>
    </row>
    <row r="119" spans="1:66" ht="15" customHeight="1">
      <c r="A119" s="211" t="str">
        <f t="shared" si="11"/>
        <v>FB_IMv_S.IFXX</v>
      </c>
      <c r="B119" s="212">
        <v>11152</v>
      </c>
      <c r="C119" s="212" t="s">
        <v>0</v>
      </c>
      <c r="D119" s="220" t="str">
        <f>$R$7</f>
        <v>Неисправность</v>
      </c>
      <c r="BK119" s="4"/>
      <c r="BL119" s="4"/>
      <c r="BM119" s="4"/>
      <c r="BN119" s="4"/>
    </row>
    <row r="120" spans="1:66" ht="15" customHeight="1">
      <c r="A120" s="211" t="str">
        <f t="shared" si="11"/>
        <v>FB_IMv_S.IFXX</v>
      </c>
      <c r="B120" s="212">
        <v>11000</v>
      </c>
      <c r="C120" s="212" t="s">
        <v>5</v>
      </c>
      <c r="D120" s="213">
        <v>2147483680</v>
      </c>
      <c r="BK120" s="4"/>
      <c r="BL120" s="4"/>
      <c r="BM120" s="4"/>
      <c r="BN120" s="4"/>
    </row>
    <row r="121" spans="1:66" ht="15" customHeight="1">
      <c r="A121" s="19" t="str">
        <f t="shared" si="11"/>
        <v>FB_IMv_S.IFXX</v>
      </c>
      <c r="B121" s="11">
        <v>7999</v>
      </c>
      <c r="C121" s="11" t="s">
        <v>0</v>
      </c>
      <c r="D121" s="20" t="str">
        <f>"#"&amp;$S$2&amp;"#"&amp;$T$2&amp;"\"&amp;$P$2&amp;"\IFXX"</f>
        <v>#1#treiOPCDA.CoOPCserv.1\pcmaster\KMZ1\IFXX</v>
      </c>
      <c r="BK121" s="4"/>
      <c r="BL121" s="4"/>
      <c r="BM121" s="4"/>
      <c r="BN121" s="4"/>
    </row>
    <row r="122" spans="1:66" ht="15" customHeight="1">
      <c r="A122" s="19" t="str">
        <f t="shared" si="11"/>
        <v>FB_IMv_S.IFXX</v>
      </c>
      <c r="B122" s="11">
        <v>7998</v>
      </c>
      <c r="C122" s="11" t="s">
        <v>6</v>
      </c>
      <c r="D122" s="20">
        <v>1</v>
      </c>
      <c r="BK122" s="4"/>
      <c r="BL122" s="4"/>
      <c r="BM122" s="4"/>
      <c r="BN122" s="4"/>
    </row>
    <row r="123" spans="1:66" ht="15" customHeight="1">
      <c r="A123" s="19" t="str">
        <f t="shared" si="11"/>
        <v>FB_IMv_S.IFXX</v>
      </c>
      <c r="B123" s="11">
        <v>101</v>
      </c>
      <c r="C123" s="11" t="s">
        <v>0</v>
      </c>
      <c r="D123" s="20" t="s">
        <v>176</v>
      </c>
      <c r="BK123" s="4"/>
      <c r="BL123" s="4"/>
      <c r="BM123" s="4"/>
      <c r="BN123" s="4"/>
    </row>
    <row r="124" spans="1:66" ht="15" customHeight="1">
      <c r="A124" s="19" t="str">
        <f t="shared" si="11"/>
        <v>FB_IMv_S.IFXX</v>
      </c>
      <c r="B124" s="11">
        <v>3</v>
      </c>
      <c r="C124" s="11" t="s">
        <v>1</v>
      </c>
      <c r="D124" s="20">
        <v>192</v>
      </c>
      <c r="BK124" s="4"/>
      <c r="BL124" s="4"/>
      <c r="BM124" s="4"/>
      <c r="BN124" s="4"/>
    </row>
    <row r="125" spans="1:66" ht="15" customHeight="1">
      <c r="A125" s="19" t="str">
        <f t="shared" si="11"/>
        <v>FB_IMv_S.IFXX</v>
      </c>
      <c r="B125" s="11">
        <v>2</v>
      </c>
      <c r="C125" s="11" t="s">
        <v>2</v>
      </c>
      <c r="D125" s="20" t="s">
        <v>3</v>
      </c>
      <c r="BK125" s="4"/>
      <c r="BL125" s="4"/>
      <c r="BM125" s="4"/>
      <c r="BN125" s="4"/>
    </row>
    <row r="126" spans="1:66" ht="15" customHeight="1">
      <c r="A126" s="21" t="str">
        <f t="shared" si="11"/>
        <v>FB_IMv_S.IFXX</v>
      </c>
      <c r="B126" s="8">
        <v>1</v>
      </c>
      <c r="C126" s="8" t="s">
        <v>1</v>
      </c>
      <c r="D126" s="22">
        <v>11</v>
      </c>
      <c r="BK126" s="4"/>
      <c r="BL126" s="4"/>
      <c r="BM126" s="4"/>
      <c r="BN126" s="4"/>
    </row>
    <row r="127" spans="1:66" ht="15" customHeight="1">
      <c r="A127" s="217" t="str">
        <f t="shared" ref="A127:A136" si="12">$R$2&amp;".FONX"</f>
        <v>FB_IMv_S.FONX</v>
      </c>
      <c r="B127" s="218">
        <v>11154</v>
      </c>
      <c r="C127" s="218" t="s">
        <v>4</v>
      </c>
      <c r="D127" s="219">
        <f>$Q$7</f>
        <v>12</v>
      </c>
      <c r="BK127" s="4"/>
      <c r="BL127" s="4"/>
      <c r="BM127" s="4"/>
      <c r="BN127" s="4"/>
    </row>
    <row r="128" spans="1:66" ht="15" customHeight="1">
      <c r="A128" s="211" t="str">
        <f t="shared" si="12"/>
        <v>FB_IMv_S.FONX</v>
      </c>
      <c r="B128" s="212">
        <v>11150</v>
      </c>
      <c r="C128" s="212" t="s">
        <v>0</v>
      </c>
      <c r="D128" s="213" t="str">
        <f>"Не  открылся"</f>
        <v>Не  открылся</v>
      </c>
      <c r="BK128" s="4"/>
      <c r="BL128" s="4"/>
      <c r="BM128" s="4"/>
      <c r="BN128" s="4"/>
    </row>
    <row r="129" spans="1:66" ht="15" customHeight="1">
      <c r="A129" s="211" t="str">
        <f t="shared" si="12"/>
        <v>FB_IMv_S.FONX</v>
      </c>
      <c r="B129" s="212">
        <v>11152</v>
      </c>
      <c r="C129" s="212" t="s">
        <v>0</v>
      </c>
      <c r="D129" s="220" t="str">
        <f>$R$7</f>
        <v>Неисправность</v>
      </c>
      <c r="BK129" s="4"/>
      <c r="BL129" s="4"/>
      <c r="BM129" s="4"/>
      <c r="BN129" s="4"/>
    </row>
    <row r="130" spans="1:66" ht="15" customHeight="1">
      <c r="A130" s="211" t="str">
        <f t="shared" si="12"/>
        <v>FB_IMv_S.FONX</v>
      </c>
      <c r="B130" s="212">
        <v>11000</v>
      </c>
      <c r="C130" s="212" t="s">
        <v>5</v>
      </c>
      <c r="D130" s="213">
        <v>2147483680</v>
      </c>
      <c r="BK130" s="4"/>
      <c r="BL130" s="4"/>
      <c r="BM130" s="4"/>
      <c r="BN130" s="4"/>
    </row>
    <row r="131" spans="1:66" ht="15" customHeight="1">
      <c r="A131" s="19" t="str">
        <f t="shared" si="12"/>
        <v>FB_IMv_S.FONX</v>
      </c>
      <c r="B131" s="11">
        <v>7999</v>
      </c>
      <c r="C131" s="11" t="s">
        <v>0</v>
      </c>
      <c r="D131" s="20" t="str">
        <f>"#"&amp;$S$2&amp;"#"&amp;$T$2&amp;"\"&amp;$P$2&amp;"\FONX"</f>
        <v>#1#treiOPCDA.CoOPCserv.1\pcmaster\KMZ1\FONX</v>
      </c>
      <c r="BK131" s="4"/>
      <c r="BL131" s="4"/>
      <c r="BM131" s="4"/>
      <c r="BN131" s="4"/>
    </row>
    <row r="132" spans="1:66" ht="15" customHeight="1">
      <c r="A132" s="19" t="str">
        <f t="shared" si="12"/>
        <v>FB_IMv_S.FONX</v>
      </c>
      <c r="B132" s="11">
        <v>7998</v>
      </c>
      <c r="C132" s="11" t="s">
        <v>6</v>
      </c>
      <c r="D132" s="20">
        <v>1</v>
      </c>
      <c r="BK132" s="4"/>
      <c r="BL132" s="4"/>
      <c r="BM132" s="4"/>
      <c r="BN132" s="4"/>
    </row>
    <row r="133" spans="1:66" ht="15" customHeight="1">
      <c r="A133" s="19" t="str">
        <f t="shared" si="12"/>
        <v>FB_IMv_S.FONX</v>
      </c>
      <c r="B133" s="11">
        <v>101</v>
      </c>
      <c r="C133" s="11" t="s">
        <v>0</v>
      </c>
      <c r="D133" s="20" t="str">
        <f>"Не открылся"</f>
        <v>Не открылся</v>
      </c>
      <c r="BK133" s="4"/>
      <c r="BL133" s="4"/>
      <c r="BM133" s="4"/>
      <c r="BN133" s="4"/>
    </row>
    <row r="134" spans="1:66" ht="15" customHeight="1">
      <c r="A134" s="19" t="str">
        <f t="shared" si="12"/>
        <v>FB_IMv_S.FONX</v>
      </c>
      <c r="B134" s="11">
        <v>3</v>
      </c>
      <c r="C134" s="11" t="s">
        <v>1</v>
      </c>
      <c r="D134" s="20">
        <v>192</v>
      </c>
      <c r="BK134" s="4"/>
      <c r="BL134" s="4"/>
      <c r="BM134" s="4"/>
      <c r="BN134" s="4"/>
    </row>
    <row r="135" spans="1:66" ht="15" customHeight="1">
      <c r="A135" s="19" t="str">
        <f t="shared" si="12"/>
        <v>FB_IMv_S.FONX</v>
      </c>
      <c r="B135" s="11">
        <v>2</v>
      </c>
      <c r="C135" s="11" t="s">
        <v>2</v>
      </c>
      <c r="D135" s="20" t="s">
        <v>3</v>
      </c>
      <c r="BK135" s="4"/>
      <c r="BL135" s="4"/>
      <c r="BM135" s="4"/>
      <c r="BN135" s="4"/>
    </row>
    <row r="136" spans="1:66" ht="15" customHeight="1">
      <c r="A136" s="21" t="str">
        <f t="shared" si="12"/>
        <v>FB_IMv_S.FONX</v>
      </c>
      <c r="B136" s="8">
        <v>1</v>
      </c>
      <c r="C136" s="8" t="s">
        <v>1</v>
      </c>
      <c r="D136" s="22">
        <v>11</v>
      </c>
      <c r="BK136" s="4"/>
      <c r="BL136" s="4"/>
      <c r="BM136" s="4"/>
      <c r="BN136" s="4"/>
    </row>
    <row r="137" spans="1:66" ht="15" customHeight="1">
      <c r="A137" s="217" t="str">
        <f t="shared" ref="A137:A146" si="13">$R$2&amp;".FOFX"</f>
        <v>FB_IMv_S.FOFX</v>
      </c>
      <c r="B137" s="218">
        <v>11154</v>
      </c>
      <c r="C137" s="218" t="s">
        <v>4</v>
      </c>
      <c r="D137" s="219">
        <f>$Q$7</f>
        <v>12</v>
      </c>
      <c r="BK137" s="4"/>
      <c r="BL137" s="4"/>
      <c r="BM137" s="4"/>
      <c r="BN137" s="4"/>
    </row>
    <row r="138" spans="1:66" ht="15" customHeight="1">
      <c r="A138" s="211" t="str">
        <f t="shared" si="13"/>
        <v>FB_IMv_S.FOFX</v>
      </c>
      <c r="B138" s="212">
        <v>11150</v>
      </c>
      <c r="C138" s="212" t="s">
        <v>0</v>
      </c>
      <c r="D138" s="213" t="str">
        <f>"Не  закрылся"</f>
        <v>Не  закрылся</v>
      </c>
      <c r="BK138" s="4"/>
      <c r="BL138" s="4"/>
      <c r="BM138" s="4"/>
      <c r="BN138" s="4"/>
    </row>
    <row r="139" spans="1:66" ht="15" customHeight="1">
      <c r="A139" s="211" t="str">
        <f t="shared" si="13"/>
        <v>FB_IMv_S.FOFX</v>
      </c>
      <c r="B139" s="212">
        <v>11152</v>
      </c>
      <c r="C139" s="212" t="s">
        <v>0</v>
      </c>
      <c r="D139" s="220" t="str">
        <f>$R$7</f>
        <v>Неисправность</v>
      </c>
      <c r="BK139" s="4"/>
      <c r="BL139" s="4"/>
      <c r="BM139" s="4"/>
      <c r="BN139" s="4"/>
    </row>
    <row r="140" spans="1:66" ht="15" customHeight="1">
      <c r="A140" s="211" t="str">
        <f t="shared" si="13"/>
        <v>FB_IMv_S.FOFX</v>
      </c>
      <c r="B140" s="212">
        <v>11000</v>
      </c>
      <c r="C140" s="212" t="s">
        <v>5</v>
      </c>
      <c r="D140" s="213">
        <v>2147483680</v>
      </c>
      <c r="BK140" s="4"/>
      <c r="BL140" s="4"/>
      <c r="BM140" s="4"/>
      <c r="BN140" s="4"/>
    </row>
    <row r="141" spans="1:66" ht="15" customHeight="1">
      <c r="A141" s="19" t="str">
        <f t="shared" si="13"/>
        <v>FB_IMv_S.FOFX</v>
      </c>
      <c r="B141" s="11">
        <v>7999</v>
      </c>
      <c r="C141" s="11" t="s">
        <v>0</v>
      </c>
      <c r="D141" s="20" t="str">
        <f>"#"&amp;$S$2&amp;"#"&amp;$T$2&amp;"\"&amp;$P$2&amp;"\FOFX"</f>
        <v>#1#treiOPCDA.CoOPCserv.1\pcmaster\KMZ1\FOFX</v>
      </c>
      <c r="BK141" s="4"/>
      <c r="BL141" s="4"/>
      <c r="BM141" s="4"/>
      <c r="BN141" s="4"/>
    </row>
    <row r="142" spans="1:66" ht="15" customHeight="1">
      <c r="A142" s="19" t="str">
        <f t="shared" si="13"/>
        <v>FB_IMv_S.FOFX</v>
      </c>
      <c r="B142" s="11">
        <v>7998</v>
      </c>
      <c r="C142" s="11" t="s">
        <v>6</v>
      </c>
      <c r="D142" s="20">
        <v>1</v>
      </c>
      <c r="BK142" s="4"/>
      <c r="BL142" s="4"/>
      <c r="BM142" s="4"/>
      <c r="BN142" s="4"/>
    </row>
    <row r="143" spans="1:66" ht="15" customHeight="1">
      <c r="A143" s="19" t="str">
        <f t="shared" si="13"/>
        <v>FB_IMv_S.FOFX</v>
      </c>
      <c r="B143" s="11">
        <v>101</v>
      </c>
      <c r="C143" s="11" t="s">
        <v>0</v>
      </c>
      <c r="D143" s="20" t="str">
        <f>"Не  закрылся"</f>
        <v>Не  закрылся</v>
      </c>
      <c r="BK143" s="4"/>
      <c r="BL143" s="4"/>
      <c r="BM143" s="4"/>
      <c r="BN143" s="4"/>
    </row>
    <row r="144" spans="1:66" ht="15" customHeight="1">
      <c r="A144" s="19" t="str">
        <f t="shared" si="13"/>
        <v>FB_IMv_S.FOFX</v>
      </c>
      <c r="B144" s="11">
        <v>3</v>
      </c>
      <c r="C144" s="11" t="s">
        <v>1</v>
      </c>
      <c r="D144" s="20">
        <v>192</v>
      </c>
      <c r="BK144" s="4"/>
      <c r="BL144" s="4"/>
      <c r="BM144" s="4"/>
      <c r="BN144" s="4"/>
    </row>
    <row r="145" spans="1:66" ht="15" customHeight="1">
      <c r="A145" s="19" t="str">
        <f t="shared" si="13"/>
        <v>FB_IMv_S.FOFX</v>
      </c>
      <c r="B145" s="11">
        <v>2</v>
      </c>
      <c r="C145" s="11" t="s">
        <v>2</v>
      </c>
      <c r="D145" s="20" t="s">
        <v>3</v>
      </c>
      <c r="BK145" s="4"/>
      <c r="BL145" s="4"/>
      <c r="BM145" s="4"/>
      <c r="BN145" s="4"/>
    </row>
    <row r="146" spans="1:66" ht="15" customHeight="1">
      <c r="A146" s="21" t="str">
        <f t="shared" si="13"/>
        <v>FB_IMv_S.FOFX</v>
      </c>
      <c r="B146" s="8">
        <v>1</v>
      </c>
      <c r="C146" s="8" t="s">
        <v>1</v>
      </c>
      <c r="D146" s="22">
        <v>11</v>
      </c>
      <c r="BK146" s="4"/>
      <c r="BL146" s="4"/>
      <c r="BM146" s="4"/>
      <c r="BN146" s="4"/>
    </row>
    <row r="147" spans="1:66" ht="15" customHeight="1">
      <c r="A147" s="217" t="str">
        <f t="shared" ref="A147:A156" si="14">$R$2&amp;".FFON"</f>
        <v>FB_IMv_S.FFON</v>
      </c>
      <c r="B147" s="218">
        <v>11154</v>
      </c>
      <c r="C147" s="218" t="s">
        <v>4</v>
      </c>
      <c r="D147" s="219">
        <f>$Q$7</f>
        <v>12</v>
      </c>
      <c r="BK147" s="4"/>
      <c r="BL147" s="4"/>
      <c r="BM147" s="4"/>
      <c r="BN147" s="4"/>
    </row>
    <row r="148" spans="1:66" ht="15" customHeight="1">
      <c r="A148" s="211" t="str">
        <f t="shared" si="14"/>
        <v>FB_IMv_S.FFON</v>
      </c>
      <c r="B148" s="212">
        <v>11150</v>
      </c>
      <c r="C148" s="212" t="s">
        <v>0</v>
      </c>
      <c r="D148" s="213" t="str">
        <f>"Несанкционированное  открытие"</f>
        <v>Несанкционированное  открытие</v>
      </c>
      <c r="BK148" s="4"/>
      <c r="BL148" s="4"/>
      <c r="BM148" s="4"/>
      <c r="BN148" s="4"/>
    </row>
    <row r="149" spans="1:66" ht="15" customHeight="1">
      <c r="A149" s="211" t="str">
        <f t="shared" si="14"/>
        <v>FB_IMv_S.FFON</v>
      </c>
      <c r="B149" s="212">
        <v>11152</v>
      </c>
      <c r="C149" s="212" t="s">
        <v>0</v>
      </c>
      <c r="D149" s="220" t="str">
        <f>$R$7</f>
        <v>Неисправность</v>
      </c>
      <c r="BK149" s="4"/>
      <c r="BL149" s="4"/>
      <c r="BM149" s="4"/>
      <c r="BN149" s="4"/>
    </row>
    <row r="150" spans="1:66" ht="15" customHeight="1">
      <c r="A150" s="211" t="str">
        <f t="shared" si="14"/>
        <v>FB_IMv_S.FFON</v>
      </c>
      <c r="B150" s="212">
        <v>11000</v>
      </c>
      <c r="C150" s="212" t="s">
        <v>5</v>
      </c>
      <c r="D150" s="213">
        <v>2147483680</v>
      </c>
      <c r="BK150" s="4"/>
      <c r="BL150" s="4"/>
      <c r="BM150" s="4"/>
      <c r="BN150" s="4"/>
    </row>
    <row r="151" spans="1:66" ht="15" customHeight="1">
      <c r="A151" s="19" t="str">
        <f t="shared" si="14"/>
        <v>FB_IMv_S.FFON</v>
      </c>
      <c r="B151" s="11">
        <v>7999</v>
      </c>
      <c r="C151" s="11" t="s">
        <v>0</v>
      </c>
      <c r="D151" s="20" t="str">
        <f>"#"&amp;$S$2&amp;"#"&amp;$T$2&amp;"\"&amp;$P$2&amp;"\FFON"</f>
        <v>#1#treiOPCDA.CoOPCserv.1\pcmaster\KMZ1\FFON</v>
      </c>
      <c r="BK151" s="4"/>
      <c r="BL151" s="4"/>
      <c r="BM151" s="4"/>
      <c r="BN151" s="4"/>
    </row>
    <row r="152" spans="1:66" ht="15" customHeight="1">
      <c r="A152" s="19" t="str">
        <f t="shared" si="14"/>
        <v>FB_IMv_S.FFON</v>
      </c>
      <c r="B152" s="11">
        <v>7998</v>
      </c>
      <c r="C152" s="11" t="s">
        <v>6</v>
      </c>
      <c r="D152" s="20">
        <v>1</v>
      </c>
      <c r="BK152" s="4"/>
      <c r="BL152" s="4"/>
      <c r="BM152" s="4"/>
      <c r="BN152" s="4"/>
    </row>
    <row r="153" spans="1:66" ht="15" customHeight="1">
      <c r="A153" s="19" t="str">
        <f t="shared" si="14"/>
        <v>FB_IMv_S.FFON</v>
      </c>
      <c r="B153" s="11">
        <v>101</v>
      </c>
      <c r="C153" s="11" t="s">
        <v>0</v>
      </c>
      <c r="D153" s="20" t="str">
        <f>"Несанкционированное открытие"</f>
        <v>Несанкционированное открытие</v>
      </c>
      <c r="BK153" s="4"/>
      <c r="BL153" s="4"/>
      <c r="BM153" s="4"/>
      <c r="BN153" s="4"/>
    </row>
    <row r="154" spans="1:66" ht="15" customHeight="1">
      <c r="A154" s="19" t="str">
        <f t="shared" si="14"/>
        <v>FB_IMv_S.FFON</v>
      </c>
      <c r="B154" s="11">
        <v>3</v>
      </c>
      <c r="C154" s="11" t="s">
        <v>1</v>
      </c>
      <c r="D154" s="20">
        <v>192</v>
      </c>
      <c r="BK154" s="4"/>
      <c r="BL154" s="4"/>
      <c r="BM154" s="4"/>
      <c r="BN154" s="4"/>
    </row>
    <row r="155" spans="1:66" ht="15" customHeight="1">
      <c r="A155" s="19" t="str">
        <f t="shared" si="14"/>
        <v>FB_IMv_S.FFON</v>
      </c>
      <c r="B155" s="11">
        <v>2</v>
      </c>
      <c r="C155" s="11" t="s">
        <v>2</v>
      </c>
      <c r="D155" s="20" t="s">
        <v>3</v>
      </c>
      <c r="BK155" s="4"/>
      <c r="BL155" s="4"/>
      <c r="BM155" s="4"/>
      <c r="BN155" s="4"/>
    </row>
    <row r="156" spans="1:66" ht="15" customHeight="1">
      <c r="A156" s="21" t="str">
        <f t="shared" si="14"/>
        <v>FB_IMv_S.FFON</v>
      </c>
      <c r="B156" s="8">
        <v>1</v>
      </c>
      <c r="C156" s="8" t="s">
        <v>1</v>
      </c>
      <c r="D156" s="22">
        <v>11</v>
      </c>
      <c r="BK156" s="4"/>
      <c r="BL156" s="4"/>
      <c r="BM156" s="4"/>
      <c r="BN156" s="4"/>
    </row>
    <row r="157" spans="1:66" ht="15" customHeight="1">
      <c r="A157" s="217" t="str">
        <f t="shared" ref="A157:A166" si="15">$R$2&amp;".FFOF"</f>
        <v>FB_IMv_S.FFOF</v>
      </c>
      <c r="B157" s="218">
        <v>11154</v>
      </c>
      <c r="C157" s="218" t="s">
        <v>4</v>
      </c>
      <c r="D157" s="219">
        <f>$Q$7</f>
        <v>12</v>
      </c>
      <c r="BK157" s="4"/>
      <c r="BL157" s="4"/>
      <c r="BM157" s="4"/>
      <c r="BN157" s="4"/>
    </row>
    <row r="158" spans="1:66" ht="15" customHeight="1">
      <c r="A158" s="211" t="str">
        <f t="shared" si="15"/>
        <v>FB_IMv_S.FFOF</v>
      </c>
      <c r="B158" s="212">
        <v>11150</v>
      </c>
      <c r="C158" s="212" t="s">
        <v>0</v>
      </c>
      <c r="D158" s="213" t="str">
        <f>"Несанкционированное закрытие"</f>
        <v>Несанкционированное закрытие</v>
      </c>
      <c r="BK158" s="4"/>
      <c r="BL158" s="4"/>
      <c r="BM158" s="4"/>
      <c r="BN158" s="4"/>
    </row>
    <row r="159" spans="1:66" ht="15" customHeight="1">
      <c r="A159" s="211" t="str">
        <f t="shared" si="15"/>
        <v>FB_IMv_S.FFOF</v>
      </c>
      <c r="B159" s="212">
        <v>11152</v>
      </c>
      <c r="C159" s="212" t="s">
        <v>0</v>
      </c>
      <c r="D159" s="220" t="str">
        <f>$R$7</f>
        <v>Неисправность</v>
      </c>
      <c r="BK159" s="4"/>
      <c r="BL159" s="4"/>
      <c r="BM159" s="4"/>
      <c r="BN159" s="4"/>
    </row>
    <row r="160" spans="1:66" ht="15" customHeight="1">
      <c r="A160" s="211" t="str">
        <f t="shared" si="15"/>
        <v>FB_IMv_S.FFOF</v>
      </c>
      <c r="B160" s="212">
        <v>11000</v>
      </c>
      <c r="C160" s="212" t="s">
        <v>5</v>
      </c>
      <c r="D160" s="213">
        <v>2147483680</v>
      </c>
      <c r="BK160" s="4"/>
      <c r="BL160" s="4"/>
      <c r="BM160" s="4"/>
      <c r="BN160" s="4"/>
    </row>
    <row r="161" spans="1:66" ht="15" customHeight="1">
      <c r="A161" s="19" t="str">
        <f t="shared" si="15"/>
        <v>FB_IMv_S.FFOF</v>
      </c>
      <c r="B161" s="11">
        <v>7999</v>
      </c>
      <c r="C161" s="11" t="s">
        <v>0</v>
      </c>
      <c r="D161" s="20" t="str">
        <f>"#"&amp;$S$2&amp;"#"&amp;$T$2&amp;"\"&amp;$P$2&amp;"\FFOF"</f>
        <v>#1#treiOPCDA.CoOPCserv.1\pcmaster\KMZ1\FFOF</v>
      </c>
      <c r="BK161" s="4"/>
      <c r="BL161" s="4"/>
      <c r="BM161" s="4"/>
      <c r="BN161" s="4"/>
    </row>
    <row r="162" spans="1:66" ht="15" customHeight="1">
      <c r="A162" s="19" t="str">
        <f t="shared" si="15"/>
        <v>FB_IMv_S.FFOF</v>
      </c>
      <c r="B162" s="11">
        <v>7998</v>
      </c>
      <c r="C162" s="11" t="s">
        <v>6</v>
      </c>
      <c r="D162" s="20">
        <v>1</v>
      </c>
      <c r="BK162" s="4"/>
      <c r="BL162" s="4"/>
      <c r="BM162" s="4"/>
      <c r="BN162" s="4"/>
    </row>
    <row r="163" spans="1:66" ht="15" customHeight="1">
      <c r="A163" s="19" t="str">
        <f t="shared" si="15"/>
        <v>FB_IMv_S.FFOF</v>
      </c>
      <c r="B163" s="11">
        <v>101</v>
      </c>
      <c r="C163" s="11" t="s">
        <v>0</v>
      </c>
      <c r="D163" s="20" t="str">
        <f>"Несанкционированное закрытие"</f>
        <v>Несанкционированное закрытие</v>
      </c>
      <c r="BK163" s="4"/>
      <c r="BL163" s="4"/>
      <c r="BM163" s="4"/>
      <c r="BN163" s="4"/>
    </row>
    <row r="164" spans="1:66" ht="15" customHeight="1">
      <c r="A164" s="19" t="str">
        <f t="shared" si="15"/>
        <v>FB_IMv_S.FFOF</v>
      </c>
      <c r="B164" s="11">
        <v>3</v>
      </c>
      <c r="C164" s="11" t="s">
        <v>1</v>
      </c>
      <c r="D164" s="20">
        <v>192</v>
      </c>
      <c r="BK164" s="4"/>
      <c r="BL164" s="4"/>
      <c r="BM164" s="4"/>
      <c r="BN164" s="4"/>
    </row>
    <row r="165" spans="1:66" ht="15" customHeight="1">
      <c r="A165" s="19" t="str">
        <f t="shared" si="15"/>
        <v>FB_IMv_S.FFOF</v>
      </c>
      <c r="B165" s="11">
        <v>2</v>
      </c>
      <c r="C165" s="11" t="s">
        <v>2</v>
      </c>
      <c r="D165" s="20" t="s">
        <v>3</v>
      </c>
      <c r="BK165" s="4"/>
      <c r="BL165" s="4"/>
      <c r="BM165" s="4"/>
      <c r="BN165" s="4"/>
    </row>
    <row r="166" spans="1:66" ht="15" customHeight="1">
      <c r="A166" s="21" t="str">
        <f t="shared" si="15"/>
        <v>FB_IMv_S.FFOF</v>
      </c>
      <c r="B166" s="8">
        <v>1</v>
      </c>
      <c r="C166" s="8" t="s">
        <v>1</v>
      </c>
      <c r="D166" s="22">
        <v>11</v>
      </c>
      <c r="BK166" s="4"/>
      <c r="BL166" s="4"/>
      <c r="BM166" s="4"/>
      <c r="BN166" s="4"/>
    </row>
    <row r="167" spans="1:66" ht="15" customHeight="1">
      <c r="A167" s="217" t="str">
        <f t="shared" ref="A167:A176" si="16">$R$2&amp;".FUSX"</f>
        <v>FB_IMv_S.FUSX</v>
      </c>
      <c r="B167" s="218">
        <v>11154</v>
      </c>
      <c r="C167" s="218" t="s">
        <v>4</v>
      </c>
      <c r="D167" s="219">
        <f>$Q$7</f>
        <v>12</v>
      </c>
      <c r="BK167" s="4"/>
      <c r="BL167" s="4"/>
      <c r="BM167" s="4"/>
      <c r="BN167" s="4"/>
    </row>
    <row r="168" spans="1:66" ht="15" customHeight="1">
      <c r="A168" s="211" t="str">
        <f t="shared" si="16"/>
        <v>FB_IMv_S.FUSX</v>
      </c>
      <c r="B168" s="212">
        <v>11150</v>
      </c>
      <c r="C168" s="212" t="s">
        <v>0</v>
      </c>
      <c r="D168" s="213" t="s">
        <v>154</v>
      </c>
      <c r="BK168" s="4"/>
      <c r="BL168" s="4"/>
      <c r="BM168" s="4"/>
      <c r="BN168" s="4"/>
    </row>
    <row r="169" spans="1:66" ht="15" customHeight="1">
      <c r="A169" s="211" t="str">
        <f t="shared" si="16"/>
        <v>FB_IMv_S.FUSX</v>
      </c>
      <c r="B169" s="212">
        <v>11152</v>
      </c>
      <c r="C169" s="212" t="s">
        <v>0</v>
      </c>
      <c r="D169" s="220" t="str">
        <f>$R$7</f>
        <v>Неисправность</v>
      </c>
      <c r="BK169" s="4"/>
      <c r="BL169" s="4"/>
      <c r="BM169" s="4"/>
      <c r="BN169" s="4"/>
    </row>
    <row r="170" spans="1:66" ht="15" customHeight="1">
      <c r="A170" s="211" t="str">
        <f t="shared" si="16"/>
        <v>FB_IMv_S.FUSX</v>
      </c>
      <c r="B170" s="212">
        <v>11000</v>
      </c>
      <c r="C170" s="212" t="s">
        <v>5</v>
      </c>
      <c r="D170" s="213">
        <v>2147483680</v>
      </c>
      <c r="BK170" s="4"/>
      <c r="BL170" s="4"/>
      <c r="BM170" s="4"/>
      <c r="BN170" s="4"/>
    </row>
    <row r="171" spans="1:66" ht="15" customHeight="1">
      <c r="A171" s="19" t="str">
        <f t="shared" si="16"/>
        <v>FB_IMv_S.FUSX</v>
      </c>
      <c r="B171" s="11">
        <v>7999</v>
      </c>
      <c r="C171" s="11" t="s">
        <v>0</v>
      </c>
      <c r="D171" s="20" t="str">
        <f>"#"&amp;$S$2&amp;"#"&amp;$T$2&amp;"\"&amp;$P$2&amp;"\FUSX"</f>
        <v>#1#treiOPCDA.CoOPCserv.1\pcmaster\KMZ1\FUSX</v>
      </c>
      <c r="BK171" s="4"/>
      <c r="BL171" s="4"/>
      <c r="BM171" s="4"/>
      <c r="BN171" s="4"/>
    </row>
    <row r="172" spans="1:66" ht="15" customHeight="1">
      <c r="A172" s="19" t="str">
        <f t="shared" si="16"/>
        <v>FB_IMv_S.FUSX</v>
      </c>
      <c r="B172" s="11">
        <v>7998</v>
      </c>
      <c r="C172" s="11" t="s">
        <v>6</v>
      </c>
      <c r="D172" s="20">
        <v>1</v>
      </c>
      <c r="BK172" s="4"/>
      <c r="BL172" s="4"/>
      <c r="BM172" s="4"/>
      <c r="BN172" s="4"/>
    </row>
    <row r="173" spans="1:66" ht="15" customHeight="1">
      <c r="A173" s="19" t="str">
        <f t="shared" si="16"/>
        <v>FB_IMv_S.FUSX</v>
      </c>
      <c r="B173" s="11">
        <v>101</v>
      </c>
      <c r="C173" s="11" t="s">
        <v>0</v>
      </c>
      <c r="D173" s="20" t="s">
        <v>153</v>
      </c>
      <c r="BK173" s="4"/>
      <c r="BL173" s="4"/>
      <c r="BM173" s="4"/>
      <c r="BN173" s="4"/>
    </row>
    <row r="174" spans="1:66" ht="15" customHeight="1">
      <c r="A174" s="19" t="str">
        <f t="shared" si="16"/>
        <v>FB_IMv_S.FUSX</v>
      </c>
      <c r="B174" s="11">
        <v>3</v>
      </c>
      <c r="C174" s="11" t="s">
        <v>1</v>
      </c>
      <c r="D174" s="20">
        <v>192</v>
      </c>
      <c r="BK174" s="4"/>
      <c r="BL174" s="4"/>
      <c r="BM174" s="4"/>
      <c r="BN174" s="4"/>
    </row>
    <row r="175" spans="1:66" ht="15" customHeight="1">
      <c r="A175" s="19" t="str">
        <f t="shared" si="16"/>
        <v>FB_IMv_S.FUSX</v>
      </c>
      <c r="B175" s="11">
        <v>2</v>
      </c>
      <c r="C175" s="11" t="s">
        <v>2</v>
      </c>
      <c r="D175" s="20" t="s">
        <v>3</v>
      </c>
      <c r="BK175" s="4"/>
      <c r="BL175" s="4"/>
      <c r="BM175" s="4"/>
      <c r="BN175" s="4"/>
    </row>
    <row r="176" spans="1:66" ht="15" customHeight="1">
      <c r="A176" s="21" t="str">
        <f t="shared" si="16"/>
        <v>FB_IMv_S.FUSX</v>
      </c>
      <c r="B176" s="8">
        <v>1</v>
      </c>
      <c r="C176" s="8" t="s">
        <v>1</v>
      </c>
      <c r="D176" s="22">
        <v>11</v>
      </c>
      <c r="BK176" s="4"/>
      <c r="BL176" s="4"/>
      <c r="BM176" s="4"/>
      <c r="BN176" s="4"/>
    </row>
    <row r="177" spans="1:66" ht="15" customHeight="1">
      <c r="A177" s="217" t="str">
        <f t="shared" ref="A177:A186" si="17">$R$2&amp;".FDSX"</f>
        <v>FB_IMv_S.FDSX</v>
      </c>
      <c r="B177" s="218">
        <v>11154</v>
      </c>
      <c r="C177" s="218" t="s">
        <v>4</v>
      </c>
      <c r="D177" s="219">
        <f>$Q$7</f>
        <v>12</v>
      </c>
      <c r="BK177" s="4"/>
      <c r="BL177" s="4"/>
      <c r="BM177" s="4"/>
      <c r="BN177" s="4"/>
    </row>
    <row r="178" spans="1:66" ht="15" customHeight="1">
      <c r="A178" s="211" t="str">
        <f t="shared" si="17"/>
        <v>FB_IMv_S.FDSX</v>
      </c>
      <c r="B178" s="212">
        <v>11150</v>
      </c>
      <c r="C178" s="212" t="s">
        <v>0</v>
      </c>
      <c r="D178" s="213" t="s">
        <v>161</v>
      </c>
      <c r="BK178" s="4"/>
      <c r="BL178" s="4"/>
      <c r="BM178" s="4"/>
      <c r="BN178" s="4"/>
    </row>
    <row r="179" spans="1:66" ht="15" customHeight="1">
      <c r="A179" s="211" t="str">
        <f t="shared" si="17"/>
        <v>FB_IMv_S.FDSX</v>
      </c>
      <c r="B179" s="212">
        <v>11152</v>
      </c>
      <c r="C179" s="212" t="s">
        <v>0</v>
      </c>
      <c r="D179" s="220" t="str">
        <f>$R$7</f>
        <v>Неисправность</v>
      </c>
      <c r="BK179" s="4"/>
      <c r="BL179" s="4"/>
      <c r="BM179" s="4"/>
      <c r="BN179" s="4"/>
    </row>
    <row r="180" spans="1:66" ht="15" customHeight="1">
      <c r="A180" s="211" t="str">
        <f t="shared" si="17"/>
        <v>FB_IMv_S.FDSX</v>
      </c>
      <c r="B180" s="212">
        <v>11000</v>
      </c>
      <c r="C180" s="212" t="s">
        <v>5</v>
      </c>
      <c r="D180" s="213">
        <v>2147483680</v>
      </c>
      <c r="BK180" s="4"/>
      <c r="BL180" s="4"/>
      <c r="BM180" s="4"/>
      <c r="BN180" s="4"/>
    </row>
    <row r="181" spans="1:66" ht="15" customHeight="1">
      <c r="A181" s="19" t="str">
        <f t="shared" si="17"/>
        <v>FB_IMv_S.FDSX</v>
      </c>
      <c r="B181" s="11">
        <v>7999</v>
      </c>
      <c r="C181" s="11" t="s">
        <v>0</v>
      </c>
      <c r="D181" s="20" t="str">
        <f>"#"&amp;$S$2&amp;"#"&amp;$T$2&amp;"\"&amp;$P$2&amp;"\FDSX"</f>
        <v>#1#treiOPCDA.CoOPCserv.1\pcmaster\KMZ1\FDSX</v>
      </c>
      <c r="BK181" s="4"/>
      <c r="BL181" s="4"/>
      <c r="BM181" s="4"/>
      <c r="BN181" s="4"/>
    </row>
    <row r="182" spans="1:66" ht="15" customHeight="1">
      <c r="A182" s="19" t="str">
        <f t="shared" si="17"/>
        <v>FB_IMv_S.FDSX</v>
      </c>
      <c r="B182" s="11">
        <v>7998</v>
      </c>
      <c r="C182" s="11" t="s">
        <v>6</v>
      </c>
      <c r="D182" s="20">
        <v>1</v>
      </c>
      <c r="BK182" s="4"/>
      <c r="BL182" s="4"/>
      <c r="BM182" s="4"/>
      <c r="BN182" s="4"/>
    </row>
    <row r="183" spans="1:66" ht="15" customHeight="1">
      <c r="A183" s="19" t="str">
        <f t="shared" si="17"/>
        <v>FB_IMv_S.FDSX</v>
      </c>
      <c r="B183" s="11">
        <v>101</v>
      </c>
      <c r="C183" s="11" t="s">
        <v>0</v>
      </c>
      <c r="D183" s="20" t="s">
        <v>161</v>
      </c>
      <c r="BK183" s="4"/>
      <c r="BL183" s="4"/>
      <c r="BM183" s="4"/>
      <c r="BN183" s="4"/>
    </row>
    <row r="184" spans="1:66" ht="15" customHeight="1">
      <c r="A184" s="19" t="str">
        <f t="shared" si="17"/>
        <v>FB_IMv_S.FDSX</v>
      </c>
      <c r="B184" s="11">
        <v>3</v>
      </c>
      <c r="C184" s="11" t="s">
        <v>1</v>
      </c>
      <c r="D184" s="20">
        <v>192</v>
      </c>
      <c r="BK184" s="4"/>
      <c r="BL184" s="4"/>
      <c r="BM184" s="4"/>
      <c r="BN184" s="4"/>
    </row>
    <row r="185" spans="1:66" ht="15" customHeight="1">
      <c r="A185" s="19" t="str">
        <f t="shared" si="17"/>
        <v>FB_IMv_S.FDSX</v>
      </c>
      <c r="B185" s="11">
        <v>2</v>
      </c>
      <c r="C185" s="11" t="s">
        <v>2</v>
      </c>
      <c r="D185" s="20" t="s">
        <v>3</v>
      </c>
      <c r="BK185" s="4"/>
      <c r="BL185" s="4"/>
      <c r="BM185" s="4"/>
      <c r="BN185" s="4"/>
    </row>
    <row r="186" spans="1:66" ht="15" customHeight="1">
      <c r="A186" s="21" t="str">
        <f t="shared" si="17"/>
        <v>FB_IMv_S.FDSX</v>
      </c>
      <c r="B186" s="8">
        <v>1</v>
      </c>
      <c r="C186" s="8" t="s">
        <v>1</v>
      </c>
      <c r="D186" s="22">
        <v>11</v>
      </c>
      <c r="BK186" s="4"/>
      <c r="BL186" s="4"/>
      <c r="BM186" s="4"/>
      <c r="BN186" s="4"/>
    </row>
    <row r="187" spans="1:66" ht="15" customHeight="1">
      <c r="A187" s="217" t="str">
        <f t="shared" ref="A187:A196" si="18">$R$2&amp;".FUCX"</f>
        <v>FB_IMv_S.FUCX</v>
      </c>
      <c r="B187" s="218">
        <v>11154</v>
      </c>
      <c r="C187" s="218" t="s">
        <v>4</v>
      </c>
      <c r="D187" s="219">
        <f>$Q$7</f>
        <v>12</v>
      </c>
      <c r="BK187" s="4"/>
      <c r="BL187" s="4"/>
      <c r="BM187" s="4"/>
      <c r="BN187" s="4"/>
    </row>
    <row r="188" spans="1:66" ht="15" customHeight="1">
      <c r="A188" s="211" t="str">
        <f t="shared" si="18"/>
        <v>FB_IMv_S.FUCX</v>
      </c>
      <c r="B188" s="212">
        <v>11150</v>
      </c>
      <c r="C188" s="212" t="s">
        <v>0</v>
      </c>
      <c r="D188" s="213" t="s">
        <v>167</v>
      </c>
      <c r="BK188" s="4"/>
      <c r="BL188" s="4"/>
      <c r="BM188" s="4"/>
      <c r="BN188" s="4"/>
    </row>
    <row r="189" spans="1:66" ht="15" customHeight="1">
      <c r="A189" s="211" t="str">
        <f t="shared" si="18"/>
        <v>FB_IMv_S.FUCX</v>
      </c>
      <c r="B189" s="212">
        <v>11152</v>
      </c>
      <c r="C189" s="212" t="s">
        <v>0</v>
      </c>
      <c r="D189" s="220" t="str">
        <f>$R$7</f>
        <v>Неисправность</v>
      </c>
      <c r="BK189" s="4"/>
      <c r="BL189" s="4"/>
      <c r="BM189" s="4"/>
      <c r="BN189" s="4"/>
    </row>
    <row r="190" spans="1:66" ht="15" customHeight="1">
      <c r="A190" s="211" t="str">
        <f t="shared" si="18"/>
        <v>FB_IMv_S.FUCX</v>
      </c>
      <c r="B190" s="212">
        <v>11000</v>
      </c>
      <c r="C190" s="212" t="s">
        <v>5</v>
      </c>
      <c r="D190" s="213">
        <v>2147483680</v>
      </c>
      <c r="BK190" s="4"/>
      <c r="BL190" s="4"/>
      <c r="BM190" s="4"/>
      <c r="BN190" s="4"/>
    </row>
    <row r="191" spans="1:66" ht="15" customHeight="1">
      <c r="A191" s="19" t="str">
        <f t="shared" si="18"/>
        <v>FB_IMv_S.FUCX</v>
      </c>
      <c r="B191" s="11">
        <v>7999</v>
      </c>
      <c r="C191" s="11" t="s">
        <v>0</v>
      </c>
      <c r="D191" s="20" t="str">
        <f>"#"&amp;$S$2&amp;"#"&amp;$T$2&amp;"\"&amp;$P$2&amp;"\FUCX"</f>
        <v>#1#treiOPCDA.CoOPCserv.1\pcmaster\KMZ1\FUCX</v>
      </c>
      <c r="BK191" s="4"/>
      <c r="BL191" s="4"/>
      <c r="BM191" s="4"/>
      <c r="BN191" s="4"/>
    </row>
    <row r="192" spans="1:66" ht="15" customHeight="1">
      <c r="A192" s="19" t="str">
        <f t="shared" si="18"/>
        <v>FB_IMv_S.FUCX</v>
      </c>
      <c r="B192" s="11">
        <v>7998</v>
      </c>
      <c r="C192" s="11" t="s">
        <v>6</v>
      </c>
      <c r="D192" s="20">
        <v>1</v>
      </c>
      <c r="BK192" s="4"/>
      <c r="BL192" s="4"/>
      <c r="BM192" s="4"/>
      <c r="BN192" s="4"/>
    </row>
    <row r="193" spans="1:66" ht="15" customHeight="1">
      <c r="A193" s="19" t="str">
        <f t="shared" si="18"/>
        <v>FB_IMv_S.FUCX</v>
      </c>
      <c r="B193" s="11">
        <v>101</v>
      </c>
      <c r="C193" s="11" t="s">
        <v>0</v>
      </c>
      <c r="D193" s="20" t="s">
        <v>167</v>
      </c>
      <c r="BK193" s="4"/>
      <c r="BL193" s="4"/>
      <c r="BM193" s="4"/>
      <c r="BN193" s="4"/>
    </row>
    <row r="194" spans="1:66" ht="15" customHeight="1">
      <c r="A194" s="19" t="str">
        <f t="shared" si="18"/>
        <v>FB_IMv_S.FUCX</v>
      </c>
      <c r="B194" s="11">
        <v>3</v>
      </c>
      <c r="C194" s="11" t="s">
        <v>1</v>
      </c>
      <c r="D194" s="20">
        <v>192</v>
      </c>
      <c r="BK194" s="4"/>
      <c r="BL194" s="4"/>
      <c r="BM194" s="4"/>
      <c r="BN194" s="4"/>
    </row>
    <row r="195" spans="1:66" ht="15" customHeight="1">
      <c r="A195" s="19" t="str">
        <f t="shared" si="18"/>
        <v>FB_IMv_S.FUCX</v>
      </c>
      <c r="B195" s="11">
        <v>2</v>
      </c>
      <c r="C195" s="11" t="s">
        <v>2</v>
      </c>
      <c r="D195" s="20" t="s">
        <v>3</v>
      </c>
      <c r="BK195" s="4"/>
      <c r="BL195" s="4"/>
      <c r="BM195" s="4"/>
      <c r="BN195" s="4"/>
    </row>
    <row r="196" spans="1:66" ht="15" customHeight="1">
      <c r="A196" s="21" t="str">
        <f t="shared" si="18"/>
        <v>FB_IMv_S.FUCX</v>
      </c>
      <c r="B196" s="8">
        <v>1</v>
      </c>
      <c r="C196" s="8" t="s">
        <v>1</v>
      </c>
      <c r="D196" s="22">
        <v>11</v>
      </c>
      <c r="BK196" s="4"/>
      <c r="BL196" s="4"/>
      <c r="BM196" s="4"/>
      <c r="BN196" s="4"/>
    </row>
    <row r="197" spans="1:66" ht="15" customHeight="1">
      <c r="A197" s="217" t="str">
        <f t="shared" ref="A197:A206" si="19">$R$2&amp;".FDCX"</f>
        <v>FB_IMv_S.FDCX</v>
      </c>
      <c r="B197" s="218">
        <v>11154</v>
      </c>
      <c r="C197" s="218" t="s">
        <v>4</v>
      </c>
      <c r="D197" s="219">
        <f>$Q$7</f>
        <v>12</v>
      </c>
      <c r="BK197" s="4"/>
      <c r="BL197" s="4"/>
      <c r="BM197" s="4"/>
      <c r="BN197" s="4"/>
    </row>
    <row r="198" spans="1:66" ht="15" customHeight="1">
      <c r="A198" s="211" t="str">
        <f t="shared" si="19"/>
        <v>FB_IMv_S.FDCX</v>
      </c>
      <c r="B198" s="212">
        <v>11150</v>
      </c>
      <c r="C198" s="212" t="s">
        <v>0</v>
      </c>
      <c r="D198" s="213" t="s">
        <v>168</v>
      </c>
      <c r="BK198" s="4"/>
      <c r="BL198" s="4"/>
      <c r="BM198" s="4"/>
      <c r="BN198" s="4"/>
    </row>
    <row r="199" spans="1:66" ht="15" customHeight="1">
      <c r="A199" s="211" t="str">
        <f t="shared" si="19"/>
        <v>FB_IMv_S.FDCX</v>
      </c>
      <c r="B199" s="212">
        <v>11152</v>
      </c>
      <c r="C199" s="212" t="s">
        <v>0</v>
      </c>
      <c r="D199" s="220" t="str">
        <f>$R$7</f>
        <v>Неисправность</v>
      </c>
      <c r="BK199" s="4"/>
      <c r="BL199" s="4"/>
      <c r="BM199" s="4"/>
      <c r="BN199" s="4"/>
    </row>
    <row r="200" spans="1:66" ht="15" customHeight="1">
      <c r="A200" s="211" t="str">
        <f t="shared" si="19"/>
        <v>FB_IMv_S.FDCX</v>
      </c>
      <c r="B200" s="212">
        <v>11000</v>
      </c>
      <c r="C200" s="212" t="s">
        <v>5</v>
      </c>
      <c r="D200" s="213">
        <v>2147483680</v>
      </c>
      <c r="BK200" s="4"/>
      <c r="BL200" s="4"/>
      <c r="BM200" s="4"/>
      <c r="BN200" s="4"/>
    </row>
    <row r="201" spans="1:66" ht="15" customHeight="1">
      <c r="A201" s="19" t="str">
        <f t="shared" si="19"/>
        <v>FB_IMv_S.FDCX</v>
      </c>
      <c r="B201" s="11">
        <v>7999</v>
      </c>
      <c r="C201" s="11" t="s">
        <v>0</v>
      </c>
      <c r="D201" s="20" t="str">
        <f>"#"&amp;$S$2&amp;"#"&amp;$T$2&amp;"\"&amp;$P$2&amp;"\FDCX"</f>
        <v>#1#treiOPCDA.CoOPCserv.1\pcmaster\KMZ1\FDCX</v>
      </c>
      <c r="BK201" s="4"/>
      <c r="BL201" s="4"/>
      <c r="BM201" s="4"/>
      <c r="BN201" s="4"/>
    </row>
    <row r="202" spans="1:66" ht="15" customHeight="1">
      <c r="A202" s="19" t="str">
        <f t="shared" si="19"/>
        <v>FB_IMv_S.FDCX</v>
      </c>
      <c r="B202" s="11">
        <v>7998</v>
      </c>
      <c r="C202" s="11" t="s">
        <v>6</v>
      </c>
      <c r="D202" s="20">
        <v>1</v>
      </c>
      <c r="BK202" s="4"/>
      <c r="BL202" s="4"/>
      <c r="BM202" s="4"/>
      <c r="BN202" s="4"/>
    </row>
    <row r="203" spans="1:66" ht="15" customHeight="1">
      <c r="A203" s="19" t="str">
        <f t="shared" si="19"/>
        <v>FB_IMv_S.FDCX</v>
      </c>
      <c r="B203" s="11">
        <v>101</v>
      </c>
      <c r="C203" s="11" t="s">
        <v>0</v>
      </c>
      <c r="D203" s="20" t="s">
        <v>168</v>
      </c>
      <c r="BK203" s="4"/>
      <c r="BL203" s="4"/>
      <c r="BM203" s="4"/>
      <c r="BN203" s="4"/>
    </row>
    <row r="204" spans="1:66" ht="15" customHeight="1">
      <c r="A204" s="19" t="str">
        <f t="shared" si="19"/>
        <v>FB_IMv_S.FDCX</v>
      </c>
      <c r="B204" s="11">
        <v>3</v>
      </c>
      <c r="C204" s="11" t="s">
        <v>1</v>
      </c>
      <c r="D204" s="20">
        <v>192</v>
      </c>
      <c r="BK204" s="4"/>
      <c r="BL204" s="4"/>
      <c r="BM204" s="4"/>
      <c r="BN204" s="4"/>
    </row>
    <row r="205" spans="1:66" ht="15" customHeight="1">
      <c r="A205" s="19" t="str">
        <f t="shared" si="19"/>
        <v>FB_IMv_S.FDCX</v>
      </c>
      <c r="B205" s="11">
        <v>2</v>
      </c>
      <c r="C205" s="11" t="s">
        <v>2</v>
      </c>
      <c r="D205" s="20" t="s">
        <v>3</v>
      </c>
      <c r="BK205" s="4"/>
      <c r="BL205" s="4"/>
      <c r="BM205" s="4"/>
      <c r="BN205" s="4"/>
    </row>
    <row r="206" spans="1:66" ht="15" customHeight="1">
      <c r="A206" s="21" t="str">
        <f t="shared" si="19"/>
        <v>FB_IMv_S.FDCX</v>
      </c>
      <c r="B206" s="8">
        <v>1</v>
      </c>
      <c r="C206" s="8" t="s">
        <v>1</v>
      </c>
      <c r="D206" s="22">
        <v>11</v>
      </c>
      <c r="BK206" s="4"/>
      <c r="BL206" s="4"/>
      <c r="BM206" s="4"/>
      <c r="BN206" s="4"/>
    </row>
    <row r="207" spans="1:66" ht="15" customHeight="1">
      <c r="A207" s="217" t="str">
        <f t="shared" ref="A207:A216" si="20">$R$2&amp;".FCOM"</f>
        <v>FB_IMv_S.FCOM</v>
      </c>
      <c r="B207" s="218">
        <v>11154</v>
      </c>
      <c r="C207" s="218" t="s">
        <v>4</v>
      </c>
      <c r="D207" s="219">
        <f>$Q$7</f>
        <v>12</v>
      </c>
      <c r="BK207" s="4"/>
      <c r="BL207" s="4"/>
      <c r="BM207" s="4"/>
      <c r="BN207" s="4"/>
    </row>
    <row r="208" spans="1:66" ht="15" customHeight="1">
      <c r="A208" s="211" t="str">
        <f t="shared" si="20"/>
        <v>FB_IMv_S.FCOM</v>
      </c>
      <c r="B208" s="212">
        <v>11150</v>
      </c>
      <c r="C208" s="212" t="s">
        <v>0</v>
      </c>
      <c r="D208" s="213" t="s">
        <v>149</v>
      </c>
      <c r="BK208" s="4"/>
      <c r="BL208" s="4"/>
      <c r="BM208" s="4"/>
      <c r="BN208" s="4"/>
    </row>
    <row r="209" spans="1:66" ht="15" customHeight="1">
      <c r="A209" s="211" t="str">
        <f t="shared" si="20"/>
        <v>FB_IMv_S.FCOM</v>
      </c>
      <c r="B209" s="212">
        <v>11152</v>
      </c>
      <c r="C209" s="212" t="s">
        <v>0</v>
      </c>
      <c r="D209" s="220" t="str">
        <f>$R$7</f>
        <v>Неисправность</v>
      </c>
      <c r="BK209" s="4"/>
      <c r="BL209" s="4"/>
      <c r="BM209" s="4"/>
      <c r="BN209" s="4"/>
    </row>
    <row r="210" spans="1:66" ht="15" customHeight="1">
      <c r="A210" s="211" t="str">
        <f t="shared" si="20"/>
        <v>FB_IMv_S.FCOM</v>
      </c>
      <c r="B210" s="212">
        <v>11000</v>
      </c>
      <c r="C210" s="212" t="s">
        <v>5</v>
      </c>
      <c r="D210" s="213">
        <v>2147483680</v>
      </c>
      <c r="BK210" s="4"/>
      <c r="BL210" s="4"/>
      <c r="BM210" s="4"/>
      <c r="BN210" s="4"/>
    </row>
    <row r="211" spans="1:66" ht="15" customHeight="1">
      <c r="A211" s="19" t="str">
        <f t="shared" si="20"/>
        <v>FB_IMv_S.FCOM</v>
      </c>
      <c r="B211" s="11">
        <v>7999</v>
      </c>
      <c r="C211" s="11" t="s">
        <v>0</v>
      </c>
      <c r="D211" s="20" t="str">
        <f>"#"&amp;$S$2&amp;"#"&amp;$T$2&amp;"\"&amp;$P$2&amp;"\FCOM"</f>
        <v>#1#treiOPCDA.CoOPCserv.1\pcmaster\KMZ1\FCOM</v>
      </c>
      <c r="BK211" s="4"/>
      <c r="BL211" s="4"/>
      <c r="BM211" s="4"/>
      <c r="BN211" s="4"/>
    </row>
    <row r="212" spans="1:66" ht="15" customHeight="1">
      <c r="A212" s="19" t="str">
        <f t="shared" si="20"/>
        <v>FB_IMv_S.FCOM</v>
      </c>
      <c r="B212" s="11">
        <v>7998</v>
      </c>
      <c r="C212" s="11" t="s">
        <v>6</v>
      </c>
      <c r="D212" s="20">
        <v>1</v>
      </c>
      <c r="BK212" s="4"/>
      <c r="BL212" s="4"/>
      <c r="BM212" s="4"/>
      <c r="BN212" s="4"/>
    </row>
    <row r="213" spans="1:66" ht="15" customHeight="1">
      <c r="A213" s="19" t="str">
        <f t="shared" si="20"/>
        <v>FB_IMv_S.FCOM</v>
      </c>
      <c r="B213" s="11">
        <v>101</v>
      </c>
      <c r="C213" s="11" t="s">
        <v>0</v>
      </c>
      <c r="D213" s="20" t="s">
        <v>149</v>
      </c>
      <c r="BK213" s="4"/>
      <c r="BL213" s="4"/>
      <c r="BM213" s="4"/>
      <c r="BN213" s="4"/>
    </row>
    <row r="214" spans="1:66" ht="15" customHeight="1">
      <c r="A214" s="19" t="str">
        <f t="shared" si="20"/>
        <v>FB_IMv_S.FCOM</v>
      </c>
      <c r="B214" s="11">
        <v>3</v>
      </c>
      <c r="C214" s="11" t="s">
        <v>1</v>
      </c>
      <c r="D214" s="20">
        <v>192</v>
      </c>
      <c r="BK214" s="4"/>
      <c r="BL214" s="4"/>
      <c r="BM214" s="4"/>
      <c r="BN214" s="4"/>
    </row>
    <row r="215" spans="1:66" ht="15" customHeight="1">
      <c r="A215" s="19" t="str">
        <f t="shared" si="20"/>
        <v>FB_IMv_S.FCOM</v>
      </c>
      <c r="B215" s="11">
        <v>2</v>
      </c>
      <c r="C215" s="11" t="s">
        <v>2</v>
      </c>
      <c r="D215" s="20" t="s">
        <v>3</v>
      </c>
      <c r="BK215" s="4"/>
      <c r="BL215" s="4"/>
      <c r="BM215" s="4"/>
      <c r="BN215" s="4"/>
    </row>
    <row r="216" spans="1:66" ht="15" customHeight="1">
      <c r="A216" s="21" t="str">
        <f t="shared" si="20"/>
        <v>FB_IMv_S.FCOM</v>
      </c>
      <c r="B216" s="8">
        <v>1</v>
      </c>
      <c r="C216" s="8" t="s">
        <v>1</v>
      </c>
      <c r="D216" s="22">
        <v>11</v>
      </c>
      <c r="BK216" s="4"/>
      <c r="BL216" s="4"/>
      <c r="BM216" s="4"/>
      <c r="BN216" s="4"/>
    </row>
    <row r="217" spans="1:66" ht="15" customHeight="1">
      <c r="A217" s="163" t="str">
        <f t="shared" ref="A217:A226" si="21">$R$2&amp;".DONX"</f>
        <v>FB_IMv_S.DONX</v>
      </c>
      <c r="B217" s="123">
        <v>11154</v>
      </c>
      <c r="C217" s="123" t="s">
        <v>4</v>
      </c>
      <c r="D217" s="124">
        <f>$Q$9</f>
        <v>10</v>
      </c>
      <c r="BK217" s="4"/>
      <c r="BL217" s="4"/>
      <c r="BM217" s="4"/>
      <c r="BN217" s="4"/>
    </row>
    <row r="218" spans="1:66" ht="15" customHeight="1">
      <c r="A218" s="110" t="str">
        <f t="shared" si="21"/>
        <v>FB_IMv_S.DONX</v>
      </c>
      <c r="B218" s="111">
        <v>11150</v>
      </c>
      <c r="C218" s="111" t="s">
        <v>0</v>
      </c>
      <c r="D218" s="112" t="str">
        <f>"Недостоверность: входное значение Открыт"</f>
        <v>Недостоверность: входное значение Открыт</v>
      </c>
      <c r="BK218" s="4"/>
      <c r="BL218" s="4"/>
      <c r="BM218" s="4"/>
      <c r="BN218" s="4"/>
    </row>
    <row r="219" spans="1:66" ht="15" customHeight="1">
      <c r="A219" s="110" t="str">
        <f t="shared" si="21"/>
        <v>FB_IMv_S.DONX</v>
      </c>
      <c r="B219" s="111">
        <v>11152</v>
      </c>
      <c r="C219" s="111" t="s">
        <v>0</v>
      </c>
      <c r="D219" s="113" t="str">
        <f>$R$9</f>
        <v>Недостоверность</v>
      </c>
      <c r="BK219" s="4"/>
      <c r="BL219" s="4"/>
      <c r="BM219" s="4"/>
      <c r="BN219" s="4"/>
    </row>
    <row r="220" spans="1:66" ht="15" customHeight="1">
      <c r="A220" s="110" t="str">
        <f t="shared" si="21"/>
        <v>FB_IMv_S.DONX</v>
      </c>
      <c r="B220" s="111">
        <v>11000</v>
      </c>
      <c r="C220" s="111" t="s">
        <v>5</v>
      </c>
      <c r="D220" s="112">
        <v>2147483680</v>
      </c>
      <c r="BK220" s="4"/>
      <c r="BL220" s="4"/>
      <c r="BM220" s="4"/>
      <c r="BN220" s="4"/>
    </row>
    <row r="221" spans="1:66" ht="15" customHeight="1">
      <c r="A221" s="19" t="str">
        <f t="shared" si="21"/>
        <v>FB_IMv_S.DONX</v>
      </c>
      <c r="B221" s="11">
        <v>7999</v>
      </c>
      <c r="C221" s="11" t="s">
        <v>0</v>
      </c>
      <c r="D221" s="20" t="str">
        <f>"#"&amp;$S$2&amp;"#"&amp;$T$2&amp;"\"&amp;$P$2&amp;"\DONX"</f>
        <v>#1#treiOPCDA.CoOPCserv.1\pcmaster\KMZ1\DONX</v>
      </c>
      <c r="BK221" s="4"/>
      <c r="BL221" s="4"/>
      <c r="BM221" s="4"/>
      <c r="BN221" s="4"/>
    </row>
    <row r="222" spans="1:66" ht="15" customHeight="1">
      <c r="A222" s="19" t="str">
        <f t="shared" si="21"/>
        <v>FB_IMv_S.DONX</v>
      </c>
      <c r="B222" s="11">
        <v>7998</v>
      </c>
      <c r="C222" s="11" t="s">
        <v>6</v>
      </c>
      <c r="D222" s="20">
        <v>1</v>
      </c>
      <c r="BK222" s="4"/>
      <c r="BL222" s="4"/>
      <c r="BM222" s="4"/>
      <c r="BN222" s="4"/>
    </row>
    <row r="223" spans="1:66" ht="15" customHeight="1">
      <c r="A223" s="19" t="str">
        <f t="shared" si="21"/>
        <v>FB_IMv_S.DONX</v>
      </c>
      <c r="B223" s="11">
        <v>101</v>
      </c>
      <c r="C223" s="11" t="s">
        <v>0</v>
      </c>
      <c r="D223" s="20" t="str">
        <f>"Недостоверное Входное значение Открыт"</f>
        <v>Недостоверное Входное значение Открыт</v>
      </c>
      <c r="BK223" s="4"/>
      <c r="BL223" s="4"/>
      <c r="BM223" s="4"/>
      <c r="BN223" s="4"/>
    </row>
    <row r="224" spans="1:66" ht="15" customHeight="1">
      <c r="A224" s="19" t="str">
        <f t="shared" si="21"/>
        <v>FB_IMv_S.DONX</v>
      </c>
      <c r="B224" s="11">
        <v>3</v>
      </c>
      <c r="C224" s="11" t="s">
        <v>1</v>
      </c>
      <c r="D224" s="20">
        <v>192</v>
      </c>
      <c r="BK224" s="4"/>
      <c r="BL224" s="4"/>
      <c r="BM224" s="4"/>
      <c r="BN224" s="4"/>
    </row>
    <row r="225" spans="1:66" ht="15" customHeight="1">
      <c r="A225" s="19" t="str">
        <f t="shared" si="21"/>
        <v>FB_IMv_S.DONX</v>
      </c>
      <c r="B225" s="11">
        <v>2</v>
      </c>
      <c r="C225" s="11" t="s">
        <v>2</v>
      </c>
      <c r="D225" s="20" t="s">
        <v>3</v>
      </c>
      <c r="BK225" s="4"/>
      <c r="BL225" s="4"/>
      <c r="BM225" s="4"/>
      <c r="BN225" s="4"/>
    </row>
    <row r="226" spans="1:66" ht="15" customHeight="1">
      <c r="A226" s="21" t="str">
        <f t="shared" si="21"/>
        <v>FB_IMv_S.DONX</v>
      </c>
      <c r="B226" s="8">
        <v>1</v>
      </c>
      <c r="C226" s="8" t="s">
        <v>1</v>
      </c>
      <c r="D226" s="22">
        <v>11</v>
      </c>
      <c r="BK226" s="4"/>
      <c r="BL226" s="4"/>
      <c r="BM226" s="4"/>
      <c r="BN226" s="4"/>
    </row>
    <row r="227" spans="1:66" ht="15" customHeight="1">
      <c r="A227" s="163" t="str">
        <f t="shared" ref="A227:A236" si="22">$R$2&amp;".DOFX"</f>
        <v>FB_IMv_S.DOFX</v>
      </c>
      <c r="B227" s="123">
        <v>11154</v>
      </c>
      <c r="C227" s="123" t="s">
        <v>4</v>
      </c>
      <c r="D227" s="124">
        <f>$Q$9</f>
        <v>10</v>
      </c>
      <c r="BK227" s="4"/>
      <c r="BL227" s="4"/>
      <c r="BM227" s="4"/>
      <c r="BN227" s="4"/>
    </row>
    <row r="228" spans="1:66" ht="15" customHeight="1">
      <c r="A228" s="110" t="str">
        <f t="shared" si="22"/>
        <v>FB_IMv_S.DOFX</v>
      </c>
      <c r="B228" s="111">
        <v>11150</v>
      </c>
      <c r="C228" s="111" t="s">
        <v>0</v>
      </c>
      <c r="D228" s="112" t="str">
        <f>"Недостоверность: входное значение Закрыт"</f>
        <v>Недостоверность: входное значение Закрыт</v>
      </c>
      <c r="BK228" s="4"/>
      <c r="BL228" s="4"/>
      <c r="BM228" s="4"/>
      <c r="BN228" s="4"/>
    </row>
    <row r="229" spans="1:66" ht="15" customHeight="1">
      <c r="A229" s="110" t="str">
        <f t="shared" si="22"/>
        <v>FB_IMv_S.DOFX</v>
      </c>
      <c r="B229" s="111">
        <v>11152</v>
      </c>
      <c r="C229" s="111" t="s">
        <v>0</v>
      </c>
      <c r="D229" s="113" t="str">
        <f>$R$9</f>
        <v>Недостоверность</v>
      </c>
      <c r="BK229" s="4"/>
      <c r="BL229" s="4"/>
      <c r="BM229" s="4"/>
      <c r="BN229" s="4"/>
    </row>
    <row r="230" spans="1:66" ht="15" customHeight="1">
      <c r="A230" s="110" t="str">
        <f t="shared" si="22"/>
        <v>FB_IMv_S.DOFX</v>
      </c>
      <c r="B230" s="111">
        <v>11000</v>
      </c>
      <c r="C230" s="111" t="s">
        <v>5</v>
      </c>
      <c r="D230" s="112">
        <v>2147483680</v>
      </c>
      <c r="BK230" s="4"/>
      <c r="BL230" s="4"/>
      <c r="BM230" s="4"/>
      <c r="BN230" s="4"/>
    </row>
    <row r="231" spans="1:66" ht="15" customHeight="1">
      <c r="A231" s="19" t="str">
        <f t="shared" si="22"/>
        <v>FB_IMv_S.DOFX</v>
      </c>
      <c r="B231" s="11">
        <v>7999</v>
      </c>
      <c r="C231" s="11" t="s">
        <v>0</v>
      </c>
      <c r="D231" s="20" t="str">
        <f>"#"&amp;$S$2&amp;"#"&amp;$T$2&amp;"\"&amp;$P$2&amp;"\DOFX"</f>
        <v>#1#treiOPCDA.CoOPCserv.1\pcmaster\KMZ1\DOFX</v>
      </c>
      <c r="BK231" s="4"/>
      <c r="BL231" s="4"/>
      <c r="BM231" s="4"/>
      <c r="BN231" s="4"/>
    </row>
    <row r="232" spans="1:66" ht="15" customHeight="1">
      <c r="A232" s="19" t="str">
        <f t="shared" si="22"/>
        <v>FB_IMv_S.DOFX</v>
      </c>
      <c r="B232" s="11">
        <v>7998</v>
      </c>
      <c r="C232" s="11" t="s">
        <v>6</v>
      </c>
      <c r="D232" s="20">
        <v>1</v>
      </c>
      <c r="BK232" s="4"/>
      <c r="BL232" s="4"/>
      <c r="BM232" s="4"/>
      <c r="BN232" s="4"/>
    </row>
    <row r="233" spans="1:66" ht="15" customHeight="1">
      <c r="A233" s="19" t="str">
        <f t="shared" si="22"/>
        <v>FB_IMv_S.DOFX</v>
      </c>
      <c r="B233" s="11">
        <v>101</v>
      </c>
      <c r="C233" s="11" t="s">
        <v>0</v>
      </c>
      <c r="D233" s="20" t="str">
        <f>"Недостоверное Входное значение Закрыт"</f>
        <v>Недостоверное Входное значение Закрыт</v>
      </c>
      <c r="BK233" s="4"/>
      <c r="BL233" s="4"/>
      <c r="BM233" s="4"/>
      <c r="BN233" s="4"/>
    </row>
    <row r="234" spans="1:66" ht="15" customHeight="1">
      <c r="A234" s="19" t="str">
        <f t="shared" si="22"/>
        <v>FB_IMv_S.DOFX</v>
      </c>
      <c r="B234" s="11">
        <v>3</v>
      </c>
      <c r="C234" s="11" t="s">
        <v>1</v>
      </c>
      <c r="D234" s="20">
        <v>192</v>
      </c>
      <c r="BK234" s="4"/>
      <c r="BL234" s="4"/>
      <c r="BM234" s="4"/>
      <c r="BN234" s="4"/>
    </row>
    <row r="235" spans="1:66" ht="15" customHeight="1">
      <c r="A235" s="19" t="str">
        <f t="shared" si="22"/>
        <v>FB_IMv_S.DOFX</v>
      </c>
      <c r="B235" s="11">
        <v>2</v>
      </c>
      <c r="C235" s="11" t="s">
        <v>2</v>
      </c>
      <c r="D235" s="20" t="s">
        <v>3</v>
      </c>
      <c r="BK235" s="4"/>
      <c r="BL235" s="4"/>
      <c r="BM235" s="4"/>
      <c r="BN235" s="4"/>
    </row>
    <row r="236" spans="1:66" ht="15" customHeight="1">
      <c r="A236" s="21" t="str">
        <f t="shared" si="22"/>
        <v>FB_IMv_S.DOFX</v>
      </c>
      <c r="B236" s="8">
        <v>1</v>
      </c>
      <c r="C236" s="8" t="s">
        <v>1</v>
      </c>
      <c r="D236" s="22">
        <v>11</v>
      </c>
      <c r="BK236" s="4"/>
      <c r="BL236" s="4"/>
      <c r="BM236" s="4"/>
      <c r="BN236" s="4"/>
    </row>
    <row r="237" spans="1:66" ht="15" customHeight="1">
      <c r="A237" s="163" t="str">
        <f t="shared" ref="A237:A246" si="23">$R$2&amp;".DLCX"</f>
        <v>FB_IMv_S.DLCX</v>
      </c>
      <c r="B237" s="123">
        <v>11154</v>
      </c>
      <c r="C237" s="123" t="s">
        <v>4</v>
      </c>
      <c r="D237" s="124">
        <f>$Q$9</f>
        <v>10</v>
      </c>
      <c r="BK237" s="4"/>
      <c r="BL237" s="4"/>
      <c r="BM237" s="4"/>
      <c r="BN237" s="4"/>
    </row>
    <row r="238" spans="1:66" ht="15" customHeight="1">
      <c r="A238" s="110" t="str">
        <f t="shared" si="23"/>
        <v>FB_IMv_S.DLCX</v>
      </c>
      <c r="B238" s="111">
        <v>11150</v>
      </c>
      <c r="C238" s="111" t="s">
        <v>0</v>
      </c>
      <c r="D238" s="112" t="s">
        <v>166</v>
      </c>
      <c r="BK238" s="4"/>
      <c r="BL238" s="4"/>
      <c r="BM238" s="4"/>
      <c r="BN238" s="4"/>
    </row>
    <row r="239" spans="1:66" ht="15" customHeight="1">
      <c r="A239" s="110" t="str">
        <f t="shared" si="23"/>
        <v>FB_IMv_S.DLCX</v>
      </c>
      <c r="B239" s="111">
        <v>11152</v>
      </c>
      <c r="C239" s="111" t="s">
        <v>0</v>
      </c>
      <c r="D239" s="113" t="str">
        <f>$R$9</f>
        <v>Недостоверность</v>
      </c>
      <c r="BK239" s="4"/>
      <c r="BL239" s="4"/>
      <c r="BM239" s="4"/>
      <c r="BN239" s="4"/>
    </row>
    <row r="240" spans="1:66" ht="15" customHeight="1">
      <c r="A240" s="110" t="str">
        <f t="shared" si="23"/>
        <v>FB_IMv_S.DLCX</v>
      </c>
      <c r="B240" s="111">
        <v>11000</v>
      </c>
      <c r="C240" s="111" t="s">
        <v>5</v>
      </c>
      <c r="D240" s="112">
        <v>2147483680</v>
      </c>
      <c r="BK240" s="4"/>
      <c r="BL240" s="4"/>
      <c r="BM240" s="4"/>
      <c r="BN240" s="4"/>
    </row>
    <row r="241" spans="1:66" ht="15" customHeight="1">
      <c r="A241" s="19" t="str">
        <f t="shared" si="23"/>
        <v>FB_IMv_S.DLCX</v>
      </c>
      <c r="B241" s="11">
        <v>7999</v>
      </c>
      <c r="C241" s="11" t="s">
        <v>0</v>
      </c>
      <c r="D241" s="20" t="str">
        <f>"#"&amp;$S$2&amp;"#"&amp;$T$2&amp;"\"&amp;$P$2&amp;"\DLCX"</f>
        <v>#1#treiOPCDA.CoOPCserv.1\pcmaster\KMZ1\DLCX</v>
      </c>
      <c r="BK241" s="4"/>
      <c r="BL241" s="4"/>
      <c r="BM241" s="4"/>
      <c r="BN241" s="4"/>
    </row>
    <row r="242" spans="1:66" ht="15" customHeight="1">
      <c r="A242" s="19" t="str">
        <f t="shared" si="23"/>
        <v>FB_IMv_S.DLCX</v>
      </c>
      <c r="B242" s="11">
        <v>7998</v>
      </c>
      <c r="C242" s="11" t="s">
        <v>6</v>
      </c>
      <c r="D242" s="20">
        <v>1</v>
      </c>
      <c r="BK242" s="4"/>
      <c r="BL242" s="4"/>
      <c r="BM242" s="4"/>
      <c r="BN242" s="4"/>
    </row>
    <row r="243" spans="1:66" ht="15" customHeight="1">
      <c r="A243" s="19" t="str">
        <f t="shared" si="23"/>
        <v>FB_IMv_S.DLCX</v>
      </c>
      <c r="B243" s="11">
        <v>101</v>
      </c>
      <c r="C243" s="11" t="s">
        <v>0</v>
      </c>
      <c r="D243" s="20" t="s">
        <v>578</v>
      </c>
      <c r="BK243" s="4"/>
      <c r="BL243" s="4"/>
      <c r="BM243" s="4"/>
      <c r="BN243" s="4"/>
    </row>
    <row r="244" spans="1:66" ht="15" customHeight="1">
      <c r="A244" s="19" t="str">
        <f t="shared" si="23"/>
        <v>FB_IMv_S.DLCX</v>
      </c>
      <c r="B244" s="11">
        <v>3</v>
      </c>
      <c r="C244" s="11" t="s">
        <v>1</v>
      </c>
      <c r="D244" s="20">
        <v>192</v>
      </c>
      <c r="BK244" s="4"/>
      <c r="BL244" s="4"/>
      <c r="BM244" s="4"/>
      <c r="BN244" s="4"/>
    </row>
    <row r="245" spans="1:66" ht="15" customHeight="1">
      <c r="A245" s="19" t="str">
        <f t="shared" si="23"/>
        <v>FB_IMv_S.DLCX</v>
      </c>
      <c r="B245" s="11">
        <v>2</v>
      </c>
      <c r="C245" s="11" t="s">
        <v>2</v>
      </c>
      <c r="D245" s="20" t="s">
        <v>3</v>
      </c>
      <c r="BK245" s="4"/>
      <c r="BL245" s="4"/>
      <c r="BM245" s="4"/>
      <c r="BN245" s="4"/>
    </row>
    <row r="246" spans="1:66" ht="15" customHeight="1">
      <c r="A246" s="21" t="str">
        <f t="shared" si="23"/>
        <v>FB_IMv_S.DLCX</v>
      </c>
      <c r="B246" s="8">
        <v>1</v>
      </c>
      <c r="C246" s="8" t="s">
        <v>1</v>
      </c>
      <c r="D246" s="22">
        <v>11</v>
      </c>
      <c r="BK246" s="4"/>
      <c r="BL246" s="4"/>
      <c r="BM246" s="4"/>
      <c r="BN246" s="4"/>
    </row>
    <row r="247" spans="1:66" ht="15" customHeight="1">
      <c r="A247" s="163" t="str">
        <f t="shared" ref="A247:A256" si="24">$R$2&amp;".DRCX"</f>
        <v>FB_IMv_S.DRCX</v>
      </c>
      <c r="B247" s="123">
        <v>11154</v>
      </c>
      <c r="C247" s="123" t="s">
        <v>4</v>
      </c>
      <c r="D247" s="124">
        <f>$Q$9</f>
        <v>10</v>
      </c>
      <c r="BK247" s="4"/>
      <c r="BL247" s="4"/>
      <c r="BM247" s="4"/>
      <c r="BN247" s="4"/>
    </row>
    <row r="248" spans="1:66" ht="15" customHeight="1">
      <c r="A248" s="110" t="str">
        <f t="shared" si="24"/>
        <v>FB_IMv_S.DRCX</v>
      </c>
      <c r="B248" s="111">
        <v>11150</v>
      </c>
      <c r="C248" s="111" t="s">
        <v>0</v>
      </c>
      <c r="D248" s="112" t="s">
        <v>105</v>
      </c>
      <c r="BK248" s="4"/>
      <c r="BL248" s="4"/>
      <c r="BM248" s="4"/>
      <c r="BN248" s="4"/>
    </row>
    <row r="249" spans="1:66" ht="15" customHeight="1">
      <c r="A249" s="110" t="str">
        <f t="shared" si="24"/>
        <v>FB_IMv_S.DRCX</v>
      </c>
      <c r="B249" s="111">
        <v>11152</v>
      </c>
      <c r="C249" s="111" t="s">
        <v>0</v>
      </c>
      <c r="D249" s="113" t="str">
        <f>$R$9</f>
        <v>Недостоверность</v>
      </c>
      <c r="BK249" s="4"/>
      <c r="BL249" s="4"/>
      <c r="BM249" s="4"/>
      <c r="BN249" s="4"/>
    </row>
    <row r="250" spans="1:66" ht="15" customHeight="1">
      <c r="A250" s="110" t="str">
        <f t="shared" si="24"/>
        <v>FB_IMv_S.DRCX</v>
      </c>
      <c r="B250" s="111">
        <v>11000</v>
      </c>
      <c r="C250" s="111" t="s">
        <v>5</v>
      </c>
      <c r="D250" s="112">
        <v>2147483680</v>
      </c>
      <c r="BK250" s="4"/>
      <c r="BL250" s="4"/>
      <c r="BM250" s="4"/>
      <c r="BN250" s="4"/>
    </row>
    <row r="251" spans="1:66" ht="15" customHeight="1">
      <c r="A251" s="19" t="str">
        <f t="shared" si="24"/>
        <v>FB_IMv_S.DRCX</v>
      </c>
      <c r="B251" s="11">
        <v>7999</v>
      </c>
      <c r="C251" s="11" t="s">
        <v>0</v>
      </c>
      <c r="D251" s="20" t="str">
        <f>"#"&amp;$S$2&amp;"#"&amp;$T$2&amp;"\"&amp;$P$2&amp;"\DRCX"</f>
        <v>#1#treiOPCDA.CoOPCserv.1\pcmaster\KMZ1\DRCX</v>
      </c>
      <c r="BK251" s="4"/>
      <c r="BL251" s="4"/>
      <c r="BM251" s="4"/>
      <c r="BN251" s="4"/>
    </row>
    <row r="252" spans="1:66" ht="15" customHeight="1">
      <c r="A252" s="19" t="str">
        <f t="shared" si="24"/>
        <v>FB_IMv_S.DRCX</v>
      </c>
      <c r="B252" s="11">
        <v>7998</v>
      </c>
      <c r="C252" s="11" t="s">
        <v>6</v>
      </c>
      <c r="D252" s="20">
        <v>1</v>
      </c>
      <c r="BK252" s="4"/>
      <c r="BL252" s="4"/>
      <c r="BM252" s="4"/>
      <c r="BN252" s="4"/>
    </row>
    <row r="253" spans="1:66" ht="15" customHeight="1">
      <c r="A253" s="19" t="str">
        <f t="shared" si="24"/>
        <v>FB_IMv_S.DRCX</v>
      </c>
      <c r="B253" s="11">
        <v>101</v>
      </c>
      <c r="C253" s="11" t="s">
        <v>0</v>
      </c>
      <c r="D253" s="20" t="s">
        <v>573</v>
      </c>
      <c r="BK253" s="4"/>
      <c r="BL253" s="4"/>
      <c r="BM253" s="4"/>
      <c r="BN253" s="4"/>
    </row>
    <row r="254" spans="1:66" ht="15" customHeight="1">
      <c r="A254" s="19" t="str">
        <f t="shared" si="24"/>
        <v>FB_IMv_S.DRCX</v>
      </c>
      <c r="B254" s="11">
        <v>3</v>
      </c>
      <c r="C254" s="11" t="s">
        <v>1</v>
      </c>
      <c r="D254" s="20">
        <v>192</v>
      </c>
      <c r="BK254" s="4"/>
      <c r="BL254" s="4"/>
      <c r="BM254" s="4"/>
      <c r="BN254" s="4"/>
    </row>
    <row r="255" spans="1:66" ht="15" customHeight="1">
      <c r="A255" s="19" t="str">
        <f t="shared" si="24"/>
        <v>FB_IMv_S.DRCX</v>
      </c>
      <c r="B255" s="11">
        <v>2</v>
      </c>
      <c r="C255" s="11" t="s">
        <v>2</v>
      </c>
      <c r="D255" s="20" t="s">
        <v>3</v>
      </c>
      <c r="BK255" s="4"/>
      <c r="BL255" s="4"/>
      <c r="BM255" s="4"/>
      <c r="BN255" s="4"/>
    </row>
    <row r="256" spans="1:66" ht="15" customHeight="1">
      <c r="A256" s="21" t="str">
        <f t="shared" si="24"/>
        <v>FB_IMv_S.DRCX</v>
      </c>
      <c r="B256" s="8">
        <v>1</v>
      </c>
      <c r="C256" s="8" t="s">
        <v>1</v>
      </c>
      <c r="D256" s="22">
        <v>11</v>
      </c>
      <c r="BK256" s="4"/>
      <c r="BL256" s="4"/>
      <c r="BM256" s="4"/>
      <c r="BN256" s="4"/>
    </row>
    <row r="257" spans="1:66" ht="15" customHeight="1">
      <c r="A257" s="163" t="str">
        <f t="shared" ref="A257:A266" si="25">$R$2&amp;".DFXX"</f>
        <v>FB_IMv_S.DFXX</v>
      </c>
      <c r="B257" s="123">
        <v>11154</v>
      </c>
      <c r="C257" s="123" t="s">
        <v>4</v>
      </c>
      <c r="D257" s="124">
        <f>$Q$9</f>
        <v>10</v>
      </c>
      <c r="BK257" s="4"/>
      <c r="BL257" s="4"/>
      <c r="BM257" s="4"/>
      <c r="BN257" s="4"/>
    </row>
    <row r="258" spans="1:66" ht="15" customHeight="1">
      <c r="A258" s="110" t="str">
        <f t="shared" si="25"/>
        <v>FB_IMv_S.DFXX</v>
      </c>
      <c r="B258" s="111">
        <v>11150</v>
      </c>
      <c r="C258" s="111" t="s">
        <v>0</v>
      </c>
      <c r="D258" s="112" t="s">
        <v>104</v>
      </c>
      <c r="BK258" s="4"/>
      <c r="BL258" s="4"/>
      <c r="BM258" s="4"/>
      <c r="BN258" s="4"/>
    </row>
    <row r="259" spans="1:66" ht="15" customHeight="1">
      <c r="A259" s="110" t="str">
        <f t="shared" si="25"/>
        <v>FB_IMv_S.DFXX</v>
      </c>
      <c r="B259" s="111">
        <v>11152</v>
      </c>
      <c r="C259" s="111" t="s">
        <v>0</v>
      </c>
      <c r="D259" s="113" t="str">
        <f>$R$9</f>
        <v>Недостоверность</v>
      </c>
      <c r="BK259" s="4"/>
      <c r="BL259" s="4"/>
      <c r="BM259" s="4"/>
      <c r="BN259" s="4"/>
    </row>
    <row r="260" spans="1:66" ht="15" customHeight="1">
      <c r="A260" s="110" t="str">
        <f t="shared" si="25"/>
        <v>FB_IMv_S.DFXX</v>
      </c>
      <c r="B260" s="111">
        <v>11000</v>
      </c>
      <c r="C260" s="111" t="s">
        <v>5</v>
      </c>
      <c r="D260" s="112">
        <v>2147483680</v>
      </c>
      <c r="BK260" s="4"/>
      <c r="BL260" s="4"/>
      <c r="BM260" s="4"/>
      <c r="BN260" s="4"/>
    </row>
    <row r="261" spans="1:66" ht="15" customHeight="1">
      <c r="A261" s="19" t="str">
        <f t="shared" si="25"/>
        <v>FB_IMv_S.DFXX</v>
      </c>
      <c r="B261" s="11">
        <v>7999</v>
      </c>
      <c r="C261" s="11" t="s">
        <v>0</v>
      </c>
      <c r="D261" s="20" t="str">
        <f>"#"&amp;$S$2&amp;"#"&amp;$T$2&amp;"\"&amp;$P$2&amp;"\DFXX"</f>
        <v>#1#treiOPCDA.CoOPCserv.1\pcmaster\KMZ1\DFXX</v>
      </c>
      <c r="BK261" s="4"/>
      <c r="BL261" s="4"/>
      <c r="BM261" s="4"/>
      <c r="BN261" s="4"/>
    </row>
    <row r="262" spans="1:66" ht="15" customHeight="1">
      <c r="A262" s="19" t="str">
        <f t="shared" si="25"/>
        <v>FB_IMv_S.DFXX</v>
      </c>
      <c r="B262" s="11">
        <v>7998</v>
      </c>
      <c r="C262" s="11" t="s">
        <v>6</v>
      </c>
      <c r="D262" s="20">
        <v>1</v>
      </c>
      <c r="BK262" s="4"/>
      <c r="BL262" s="4"/>
      <c r="BM262" s="4"/>
      <c r="BN262" s="4"/>
    </row>
    <row r="263" spans="1:66" ht="15" customHeight="1">
      <c r="A263" s="19" t="str">
        <f t="shared" si="25"/>
        <v>FB_IMv_S.DFXX</v>
      </c>
      <c r="B263" s="11">
        <v>101</v>
      </c>
      <c r="C263" s="11" t="s">
        <v>0</v>
      </c>
      <c r="D263" s="20" t="s">
        <v>520</v>
      </c>
      <c r="BK263" s="4"/>
      <c r="BL263" s="4"/>
      <c r="BM263" s="4"/>
      <c r="BN263" s="4"/>
    </row>
    <row r="264" spans="1:66" ht="15" customHeight="1">
      <c r="A264" s="19" t="str">
        <f t="shared" si="25"/>
        <v>FB_IMv_S.DFXX</v>
      </c>
      <c r="B264" s="11">
        <v>3</v>
      </c>
      <c r="C264" s="11" t="s">
        <v>1</v>
      </c>
      <c r="D264" s="20">
        <v>192</v>
      </c>
      <c r="BK264" s="4"/>
      <c r="BL264" s="4"/>
      <c r="BM264" s="4"/>
      <c r="BN264" s="4"/>
    </row>
    <row r="265" spans="1:66" ht="15" customHeight="1">
      <c r="A265" s="19" t="str">
        <f t="shared" si="25"/>
        <v>FB_IMv_S.DFXX</v>
      </c>
      <c r="B265" s="11">
        <v>2</v>
      </c>
      <c r="C265" s="11" t="s">
        <v>2</v>
      </c>
      <c r="D265" s="20" t="s">
        <v>3</v>
      </c>
      <c r="BK265" s="4"/>
      <c r="BL265" s="4"/>
      <c r="BM265" s="4"/>
      <c r="BN265" s="4"/>
    </row>
    <row r="266" spans="1:66" ht="15" customHeight="1">
      <c r="A266" s="21" t="str">
        <f t="shared" si="25"/>
        <v>FB_IMv_S.DFXX</v>
      </c>
      <c r="B266" s="8">
        <v>1</v>
      </c>
      <c r="C266" s="8" t="s">
        <v>1</v>
      </c>
      <c r="D266" s="22">
        <v>11</v>
      </c>
      <c r="BK266" s="4"/>
      <c r="BL266" s="4"/>
      <c r="BM266" s="4"/>
      <c r="BN266" s="4"/>
    </row>
    <row r="267" spans="1:66" ht="15" customHeight="1">
      <c r="A267" s="163" t="str">
        <f t="shared" ref="A267:A276" si="26">$R$2&amp;".DOON"</f>
        <v>FB_IMv_S.DOON</v>
      </c>
      <c r="B267" s="123">
        <v>11154</v>
      </c>
      <c r="C267" s="123" t="s">
        <v>4</v>
      </c>
      <c r="D267" s="124">
        <f>$Q$9</f>
        <v>10</v>
      </c>
      <c r="BK267" s="4"/>
      <c r="BL267" s="4"/>
      <c r="BM267" s="4"/>
      <c r="BN267" s="4"/>
    </row>
    <row r="268" spans="1:66" ht="15" customHeight="1">
      <c r="A268" s="110" t="str">
        <f t="shared" si="26"/>
        <v>FB_IMv_S.DOON</v>
      </c>
      <c r="B268" s="111">
        <v>11150</v>
      </c>
      <c r="C268" s="111" t="s">
        <v>0</v>
      </c>
      <c r="D268" s="112" t="str">
        <f>"Недостоверность: выходное  значение  Открыть"</f>
        <v>Недостоверность: выходное  значение  Открыть</v>
      </c>
      <c r="BK268" s="4"/>
      <c r="BL268" s="4"/>
      <c r="BM268" s="4"/>
      <c r="BN268" s="4"/>
    </row>
    <row r="269" spans="1:66" ht="15" customHeight="1">
      <c r="A269" s="110" t="str">
        <f t="shared" si="26"/>
        <v>FB_IMv_S.DOON</v>
      </c>
      <c r="B269" s="111">
        <v>11152</v>
      </c>
      <c r="C269" s="111" t="s">
        <v>0</v>
      </c>
      <c r="D269" s="113" t="str">
        <f>$R$9</f>
        <v>Недостоверность</v>
      </c>
      <c r="BK269" s="4"/>
      <c r="BL269" s="4"/>
      <c r="BM269" s="4"/>
      <c r="BN269" s="4"/>
    </row>
    <row r="270" spans="1:66" ht="15" customHeight="1">
      <c r="A270" s="110" t="str">
        <f t="shared" si="26"/>
        <v>FB_IMv_S.DOON</v>
      </c>
      <c r="B270" s="111">
        <v>11000</v>
      </c>
      <c r="C270" s="111" t="s">
        <v>5</v>
      </c>
      <c r="D270" s="112">
        <v>2147483680</v>
      </c>
      <c r="BK270" s="4"/>
      <c r="BL270" s="4"/>
      <c r="BM270" s="4"/>
      <c r="BN270" s="4"/>
    </row>
    <row r="271" spans="1:66" ht="15" customHeight="1">
      <c r="A271" s="19" t="str">
        <f t="shared" si="26"/>
        <v>FB_IMv_S.DOON</v>
      </c>
      <c r="B271" s="11">
        <v>7999</v>
      </c>
      <c r="C271" s="11" t="s">
        <v>0</v>
      </c>
      <c r="D271" s="20" t="str">
        <f>"#"&amp;$S$2&amp;"#"&amp;$T$2&amp;"\"&amp;$P$2&amp;"\DOON"</f>
        <v>#1#treiOPCDA.CoOPCserv.1\pcmaster\KMZ1\DOON</v>
      </c>
      <c r="BK271" s="4"/>
      <c r="BL271" s="4"/>
      <c r="BM271" s="4"/>
      <c r="BN271" s="4"/>
    </row>
    <row r="272" spans="1:66" ht="15" customHeight="1">
      <c r="A272" s="19" t="str">
        <f t="shared" si="26"/>
        <v>FB_IMv_S.DOON</v>
      </c>
      <c r="B272" s="11">
        <v>7998</v>
      </c>
      <c r="C272" s="11" t="s">
        <v>6</v>
      </c>
      <c r="D272" s="20">
        <v>1</v>
      </c>
      <c r="BK272" s="4"/>
      <c r="BL272" s="4"/>
      <c r="BM272" s="4"/>
      <c r="BN272" s="4"/>
    </row>
    <row r="273" spans="1:66" ht="15" customHeight="1">
      <c r="A273" s="19" t="str">
        <f t="shared" si="26"/>
        <v>FB_IMv_S.DOON</v>
      </c>
      <c r="B273" s="11">
        <v>101</v>
      </c>
      <c r="C273" s="11" t="s">
        <v>0</v>
      </c>
      <c r="D273" s="20" t="str">
        <f>"Недостоверное Выходное  значение Открыть"</f>
        <v>Недостоверное Выходное  значение Открыть</v>
      </c>
      <c r="BK273" s="4"/>
      <c r="BL273" s="4"/>
      <c r="BM273" s="4"/>
      <c r="BN273" s="4"/>
    </row>
    <row r="274" spans="1:66" ht="15" customHeight="1">
      <c r="A274" s="19" t="str">
        <f t="shared" si="26"/>
        <v>FB_IMv_S.DOON</v>
      </c>
      <c r="B274" s="11">
        <v>3</v>
      </c>
      <c r="C274" s="11" t="s">
        <v>1</v>
      </c>
      <c r="D274" s="20">
        <v>192</v>
      </c>
      <c r="BK274" s="4"/>
      <c r="BL274" s="4"/>
      <c r="BM274" s="4"/>
      <c r="BN274" s="4"/>
    </row>
    <row r="275" spans="1:66" ht="15" customHeight="1">
      <c r="A275" s="19" t="str">
        <f t="shared" si="26"/>
        <v>FB_IMv_S.DOON</v>
      </c>
      <c r="B275" s="11">
        <v>2</v>
      </c>
      <c r="C275" s="11" t="s">
        <v>2</v>
      </c>
      <c r="D275" s="20" t="s">
        <v>3</v>
      </c>
      <c r="BK275" s="4"/>
      <c r="BL275" s="4"/>
      <c r="BM275" s="4"/>
      <c r="BN275" s="4"/>
    </row>
    <row r="276" spans="1:66" ht="15" customHeight="1">
      <c r="A276" s="21" t="str">
        <f t="shared" si="26"/>
        <v>FB_IMv_S.DOON</v>
      </c>
      <c r="B276" s="8">
        <v>1</v>
      </c>
      <c r="C276" s="8" t="s">
        <v>1</v>
      </c>
      <c r="D276" s="22">
        <v>11</v>
      </c>
      <c r="BK276" s="4"/>
      <c r="BL276" s="4"/>
      <c r="BM276" s="4"/>
      <c r="BN276" s="4"/>
    </row>
    <row r="277" spans="1:66" ht="15" customHeight="1">
      <c r="A277" s="163" t="str">
        <f t="shared" ref="A277:A286" si="27">$R$2&amp;".DOOF"</f>
        <v>FB_IMv_S.DOOF</v>
      </c>
      <c r="B277" s="123">
        <v>11154</v>
      </c>
      <c r="C277" s="123" t="s">
        <v>4</v>
      </c>
      <c r="D277" s="124">
        <f>$Q$9</f>
        <v>10</v>
      </c>
      <c r="BK277" s="4"/>
      <c r="BL277" s="4"/>
      <c r="BM277" s="4"/>
      <c r="BN277" s="4"/>
    </row>
    <row r="278" spans="1:66" ht="15" customHeight="1">
      <c r="A278" s="110" t="str">
        <f t="shared" si="27"/>
        <v>FB_IMv_S.DOOF</v>
      </c>
      <c r="B278" s="111">
        <v>11150</v>
      </c>
      <c r="C278" s="111" t="s">
        <v>0</v>
      </c>
      <c r="D278" s="112" t="str">
        <f>"Недостоверность: выходное  значение Закрыть"</f>
        <v>Недостоверность: выходное  значение Закрыть</v>
      </c>
      <c r="BK278" s="4"/>
      <c r="BL278" s="4"/>
      <c r="BM278" s="4"/>
      <c r="BN278" s="4"/>
    </row>
    <row r="279" spans="1:66" ht="15" customHeight="1">
      <c r="A279" s="110" t="str">
        <f t="shared" si="27"/>
        <v>FB_IMv_S.DOOF</v>
      </c>
      <c r="B279" s="111">
        <v>11152</v>
      </c>
      <c r="C279" s="111" t="s">
        <v>0</v>
      </c>
      <c r="D279" s="113" t="str">
        <f>$R$9</f>
        <v>Недостоверность</v>
      </c>
      <c r="BK279" s="4"/>
      <c r="BL279" s="4"/>
      <c r="BM279" s="4"/>
      <c r="BN279" s="4"/>
    </row>
    <row r="280" spans="1:66" ht="15" customHeight="1">
      <c r="A280" s="110" t="str">
        <f t="shared" si="27"/>
        <v>FB_IMv_S.DOOF</v>
      </c>
      <c r="B280" s="111">
        <v>11000</v>
      </c>
      <c r="C280" s="111" t="s">
        <v>5</v>
      </c>
      <c r="D280" s="112">
        <v>2147483680</v>
      </c>
      <c r="BK280" s="4"/>
      <c r="BL280" s="4"/>
      <c r="BM280" s="4"/>
      <c r="BN280" s="4"/>
    </row>
    <row r="281" spans="1:66" ht="15" customHeight="1">
      <c r="A281" s="19" t="str">
        <f t="shared" si="27"/>
        <v>FB_IMv_S.DOOF</v>
      </c>
      <c r="B281" s="11">
        <v>7999</v>
      </c>
      <c r="C281" s="11" t="s">
        <v>0</v>
      </c>
      <c r="D281" s="20" t="str">
        <f>"#"&amp;$S$2&amp;"#"&amp;$T$2&amp;"\"&amp;$P$2&amp;"\DOOF"</f>
        <v>#1#treiOPCDA.CoOPCserv.1\pcmaster\KMZ1\DOOF</v>
      </c>
      <c r="BK281" s="4"/>
      <c r="BL281" s="4"/>
      <c r="BM281" s="4"/>
      <c r="BN281" s="4"/>
    </row>
    <row r="282" spans="1:66" ht="15" customHeight="1">
      <c r="A282" s="19" t="str">
        <f t="shared" si="27"/>
        <v>FB_IMv_S.DOOF</v>
      </c>
      <c r="B282" s="11">
        <v>7998</v>
      </c>
      <c r="C282" s="11" t="s">
        <v>6</v>
      </c>
      <c r="D282" s="20">
        <v>1</v>
      </c>
      <c r="BK282" s="4"/>
      <c r="BL282" s="4"/>
      <c r="BM282" s="4"/>
      <c r="BN282" s="4"/>
    </row>
    <row r="283" spans="1:66" ht="15" customHeight="1">
      <c r="A283" s="19" t="str">
        <f t="shared" si="27"/>
        <v>FB_IMv_S.DOOF</v>
      </c>
      <c r="B283" s="11">
        <v>101</v>
      </c>
      <c r="C283" s="11" t="s">
        <v>0</v>
      </c>
      <c r="D283" s="20" t="str">
        <f>"Недостоверное Выходное значение Закрыть"</f>
        <v>Недостоверное Выходное значение Закрыть</v>
      </c>
      <c r="BK283" s="4"/>
      <c r="BL283" s="4"/>
      <c r="BM283" s="4"/>
      <c r="BN283" s="4"/>
    </row>
    <row r="284" spans="1:66" ht="15" customHeight="1">
      <c r="A284" s="19" t="str">
        <f t="shared" si="27"/>
        <v>FB_IMv_S.DOOF</v>
      </c>
      <c r="B284" s="11">
        <v>3</v>
      </c>
      <c r="C284" s="11" t="s">
        <v>1</v>
      </c>
      <c r="D284" s="20">
        <v>192</v>
      </c>
      <c r="BK284" s="4"/>
      <c r="BL284" s="4"/>
      <c r="BM284" s="4"/>
      <c r="BN284" s="4"/>
    </row>
    <row r="285" spans="1:66" ht="15" customHeight="1">
      <c r="A285" s="19" t="str">
        <f t="shared" si="27"/>
        <v>FB_IMv_S.DOOF</v>
      </c>
      <c r="B285" s="11">
        <v>2</v>
      </c>
      <c r="C285" s="11" t="s">
        <v>2</v>
      </c>
      <c r="D285" s="20" t="s">
        <v>3</v>
      </c>
      <c r="BK285" s="4"/>
      <c r="BL285" s="4"/>
      <c r="BM285" s="4"/>
      <c r="BN285" s="4"/>
    </row>
    <row r="286" spans="1:66" ht="15" customHeight="1">
      <c r="A286" s="21" t="str">
        <f t="shared" si="27"/>
        <v>FB_IMv_S.DOOF</v>
      </c>
      <c r="B286" s="8">
        <v>1</v>
      </c>
      <c r="C286" s="8" t="s">
        <v>1</v>
      </c>
      <c r="D286" s="22">
        <v>11</v>
      </c>
      <c r="BK286" s="4"/>
      <c r="BL286" s="4"/>
      <c r="BM286" s="4"/>
      <c r="BN286" s="4"/>
    </row>
    <row r="287" spans="1:66" ht="15" customHeight="1">
      <c r="A287" s="163" t="str">
        <f t="shared" ref="A287:A296" si="28">$R$2&amp;".DOSP"</f>
        <v>FB_IMv_S.DOSP</v>
      </c>
      <c r="B287" s="123">
        <v>11154</v>
      </c>
      <c r="C287" s="123" t="s">
        <v>4</v>
      </c>
      <c r="D287" s="124">
        <f>$Q$9</f>
        <v>10</v>
      </c>
      <c r="BK287" s="4"/>
      <c r="BL287" s="4"/>
      <c r="BM287" s="4"/>
      <c r="BN287" s="4"/>
    </row>
    <row r="288" spans="1:66" ht="15" customHeight="1">
      <c r="A288" s="110" t="str">
        <f t="shared" si="28"/>
        <v>FB_IMv_S.DOSP</v>
      </c>
      <c r="B288" s="111">
        <v>11150</v>
      </c>
      <c r="C288" s="111" t="s">
        <v>0</v>
      </c>
      <c r="D288" s="112" t="s">
        <v>189</v>
      </c>
      <c r="BK288" s="4"/>
      <c r="BL288" s="4"/>
      <c r="BM288" s="4"/>
      <c r="BN288" s="4"/>
    </row>
    <row r="289" spans="1:66" ht="15" customHeight="1">
      <c r="A289" s="110" t="str">
        <f t="shared" si="28"/>
        <v>FB_IMv_S.DOSP</v>
      </c>
      <c r="B289" s="111">
        <v>11152</v>
      </c>
      <c r="C289" s="111" t="s">
        <v>0</v>
      </c>
      <c r="D289" s="113" t="str">
        <f>$R$9</f>
        <v>Недостоверность</v>
      </c>
      <c r="BK289" s="4"/>
      <c r="BL289" s="4"/>
      <c r="BM289" s="4"/>
      <c r="BN289" s="4"/>
    </row>
    <row r="290" spans="1:66" ht="15" customHeight="1">
      <c r="A290" s="110" t="str">
        <f t="shared" si="28"/>
        <v>FB_IMv_S.DOSP</v>
      </c>
      <c r="B290" s="111">
        <v>11000</v>
      </c>
      <c r="C290" s="111" t="s">
        <v>5</v>
      </c>
      <c r="D290" s="112">
        <v>2147483680</v>
      </c>
      <c r="BK290" s="4"/>
      <c r="BL290" s="4"/>
      <c r="BM290" s="4"/>
      <c r="BN290" s="4"/>
    </row>
    <row r="291" spans="1:66" ht="15" customHeight="1">
      <c r="A291" s="19" t="str">
        <f t="shared" si="28"/>
        <v>FB_IMv_S.DOSP</v>
      </c>
      <c r="B291" s="11">
        <v>7999</v>
      </c>
      <c r="C291" s="11" t="s">
        <v>0</v>
      </c>
      <c r="D291" s="20" t="str">
        <f>"#"&amp;$S$2&amp;"#"&amp;$T$2&amp;"\"&amp;$P$2&amp;"\DOSP"</f>
        <v>#1#treiOPCDA.CoOPCserv.1\pcmaster\KMZ1\DOSP</v>
      </c>
      <c r="BK291" s="4"/>
      <c r="BL291" s="4"/>
      <c r="BM291" s="4"/>
      <c r="BN291" s="4"/>
    </row>
    <row r="292" spans="1:66" ht="15" customHeight="1">
      <c r="A292" s="19" t="str">
        <f t="shared" si="28"/>
        <v>FB_IMv_S.DOSP</v>
      </c>
      <c r="B292" s="11">
        <v>7998</v>
      </c>
      <c r="C292" s="11" t="s">
        <v>6</v>
      </c>
      <c r="D292" s="20">
        <v>1</v>
      </c>
      <c r="BK292" s="4"/>
      <c r="BL292" s="4"/>
      <c r="BM292" s="4"/>
      <c r="BN292" s="4"/>
    </row>
    <row r="293" spans="1:66" ht="15" customHeight="1">
      <c r="A293" s="19" t="str">
        <f t="shared" si="28"/>
        <v>FB_IMv_S.DOSP</v>
      </c>
      <c r="B293" s="11">
        <v>101</v>
      </c>
      <c r="C293" s="11" t="s">
        <v>0</v>
      </c>
      <c r="D293" s="20" t="s">
        <v>103</v>
      </c>
      <c r="BK293" s="4"/>
      <c r="BL293" s="4"/>
      <c r="BM293" s="4"/>
      <c r="BN293" s="4"/>
    </row>
    <row r="294" spans="1:66" ht="15" customHeight="1">
      <c r="A294" s="19" t="str">
        <f t="shared" si="28"/>
        <v>FB_IMv_S.DOSP</v>
      </c>
      <c r="B294" s="11">
        <v>3</v>
      </c>
      <c r="C294" s="11" t="s">
        <v>1</v>
      </c>
      <c r="D294" s="20">
        <v>192</v>
      </c>
      <c r="BK294" s="4"/>
      <c r="BL294" s="4"/>
      <c r="BM294" s="4"/>
      <c r="BN294" s="4"/>
    </row>
    <row r="295" spans="1:66" ht="15" customHeight="1">
      <c r="A295" s="19" t="str">
        <f t="shared" si="28"/>
        <v>FB_IMv_S.DOSP</v>
      </c>
      <c r="B295" s="11">
        <v>2</v>
      </c>
      <c r="C295" s="11" t="s">
        <v>2</v>
      </c>
      <c r="D295" s="20" t="s">
        <v>3</v>
      </c>
      <c r="BK295" s="4"/>
      <c r="BL295" s="4"/>
      <c r="BM295" s="4"/>
      <c r="BN295" s="4"/>
    </row>
    <row r="296" spans="1:66" ht="15" customHeight="1">
      <c r="A296" s="19" t="str">
        <f t="shared" si="28"/>
        <v>FB_IMv_S.DOSP</v>
      </c>
      <c r="B296" s="11">
        <v>1</v>
      </c>
      <c r="C296" s="11" t="s">
        <v>1</v>
      </c>
      <c r="D296" s="20">
        <v>11</v>
      </c>
      <c r="BK296" s="4"/>
      <c r="BL296" s="4"/>
      <c r="BM296" s="4"/>
      <c r="BN296" s="4"/>
    </row>
    <row r="297" spans="1:66" ht="15" customHeight="1">
      <c r="A297" s="137" t="str">
        <f t="shared" ref="A297:A308" si="29">$R$2&amp;".XRPX"</f>
        <v>FB_IMv_S.XRPX</v>
      </c>
      <c r="B297" s="138">
        <v>11154</v>
      </c>
      <c r="C297" s="138" t="s">
        <v>4</v>
      </c>
      <c r="D297" s="139">
        <f>$Q$11</f>
        <v>14</v>
      </c>
      <c r="BK297" s="4"/>
      <c r="BL297" s="4"/>
      <c r="BM297" s="4"/>
      <c r="BN297" s="4"/>
    </row>
    <row r="298" spans="1:66" ht="15" customHeight="1">
      <c r="A298" s="140" t="str">
        <f t="shared" si="29"/>
        <v>FB_IMv_S.XRPX</v>
      </c>
      <c r="B298" s="141">
        <v>11150</v>
      </c>
      <c r="C298" s="141" t="s">
        <v>0</v>
      </c>
      <c r="D298" s="142" t="s">
        <v>89</v>
      </c>
      <c r="BK298" s="4"/>
      <c r="BL298" s="4"/>
      <c r="BM298" s="4"/>
      <c r="BN298" s="4"/>
    </row>
    <row r="299" spans="1:66" ht="15" customHeight="1">
      <c r="A299" s="140" t="str">
        <f t="shared" si="29"/>
        <v>FB_IMv_S.XRPX</v>
      </c>
      <c r="B299" s="141">
        <v>11152</v>
      </c>
      <c r="C299" s="141" t="s">
        <v>0</v>
      </c>
      <c r="D299" s="143" t="str">
        <f>$R$11</f>
        <v>Ремонт</v>
      </c>
      <c r="BK299" s="4"/>
      <c r="BL299" s="4"/>
      <c r="BM299" s="4"/>
      <c r="BN299" s="4"/>
    </row>
    <row r="300" spans="1:66" ht="15" customHeight="1">
      <c r="A300" s="140" t="str">
        <f t="shared" si="29"/>
        <v>FB_IMv_S.XRPX</v>
      </c>
      <c r="B300" s="141">
        <v>11000</v>
      </c>
      <c r="C300" s="141" t="s">
        <v>5</v>
      </c>
      <c r="D300" s="142">
        <v>2147483680</v>
      </c>
      <c r="BK300" s="4"/>
      <c r="BL300" s="4"/>
      <c r="BM300" s="4"/>
      <c r="BN300" s="4"/>
    </row>
    <row r="301" spans="1:66" ht="15" customHeight="1">
      <c r="A301" s="19" t="str">
        <f t="shared" si="29"/>
        <v>FB_IMv_S.XRPX</v>
      </c>
      <c r="B301" s="11">
        <v>7999</v>
      </c>
      <c r="C301" s="11" t="s">
        <v>0</v>
      </c>
      <c r="D301" s="20" t="str">
        <f>"#"&amp;$S$2&amp;"#"&amp;$T$2&amp;"\"&amp;$P$2&amp;"\XRPX"</f>
        <v>#1#treiOPCDA.CoOPCserv.1\pcmaster\KMZ1\XRPX</v>
      </c>
      <c r="BK301" s="4"/>
      <c r="BL301" s="4"/>
      <c r="BM301" s="4"/>
      <c r="BN301" s="4"/>
    </row>
    <row r="302" spans="1:66" ht="15" customHeight="1">
      <c r="A302" s="19" t="str">
        <f t="shared" si="29"/>
        <v>FB_IMv_S.XRPX</v>
      </c>
      <c r="B302" s="11">
        <v>7998</v>
      </c>
      <c r="C302" s="11" t="s">
        <v>6</v>
      </c>
      <c r="D302" s="20">
        <v>1</v>
      </c>
      <c r="BK302" s="4"/>
      <c r="BL302" s="4"/>
      <c r="BM302" s="4"/>
      <c r="BN302" s="4"/>
    </row>
    <row r="303" spans="1:66" ht="15" customHeight="1">
      <c r="A303" s="19" t="str">
        <f t="shared" si="29"/>
        <v>FB_IMv_S.XRPX</v>
      </c>
      <c r="B303" s="11">
        <v>101</v>
      </c>
      <c r="C303" s="11" t="s">
        <v>0</v>
      </c>
      <c r="D303" s="20" t="s">
        <v>137</v>
      </c>
      <c r="BK303" s="4"/>
      <c r="BL303" s="4"/>
      <c r="BM303" s="4"/>
      <c r="BN303" s="4"/>
    </row>
    <row r="304" spans="1:66" ht="15" customHeight="1">
      <c r="A304" s="19" t="str">
        <f t="shared" si="29"/>
        <v>FB_IMv_S.XRPX</v>
      </c>
      <c r="B304" s="11">
        <v>3</v>
      </c>
      <c r="C304" s="11" t="s">
        <v>1</v>
      </c>
      <c r="D304" s="20">
        <v>192</v>
      </c>
      <c r="BK304" s="4"/>
      <c r="BL304" s="4"/>
      <c r="BM304" s="4"/>
      <c r="BN304" s="4"/>
    </row>
    <row r="305" spans="1:66" ht="15" customHeight="1">
      <c r="A305" s="19" t="str">
        <f t="shared" si="29"/>
        <v>FB_IMv_S.XRPX</v>
      </c>
      <c r="B305" s="11">
        <v>2</v>
      </c>
      <c r="C305" s="11" t="s">
        <v>2</v>
      </c>
      <c r="D305" s="20" t="s">
        <v>3</v>
      </c>
      <c r="BK305" s="4"/>
      <c r="BL305" s="4"/>
      <c r="BM305" s="4"/>
      <c r="BN305" s="4"/>
    </row>
    <row r="306" spans="1:66" ht="15" customHeight="1">
      <c r="A306" s="19" t="str">
        <f t="shared" si="29"/>
        <v>FB_IMv_S.XRPX</v>
      </c>
      <c r="B306" s="11">
        <v>1</v>
      </c>
      <c r="C306" s="11" t="s">
        <v>1</v>
      </c>
      <c r="D306" s="20">
        <v>11</v>
      </c>
      <c r="BK306" s="4"/>
      <c r="BL306" s="4"/>
      <c r="BM306" s="4"/>
      <c r="BN306" s="4"/>
    </row>
    <row r="307" spans="1:66" ht="15" customHeight="1">
      <c r="A307" s="29" t="str">
        <f t="shared" si="29"/>
        <v>FB_IMv_S.XRPX</v>
      </c>
      <c r="B307" s="1">
        <v>4000000</v>
      </c>
      <c r="C307" s="1" t="s">
        <v>0</v>
      </c>
      <c r="D307" s="415" t="s">
        <v>1481</v>
      </c>
      <c r="BK307" s="4"/>
      <c r="BL307" s="4"/>
      <c r="BM307" s="4"/>
      <c r="BN307" s="4"/>
    </row>
    <row r="308" spans="1:66" ht="15" customHeight="1">
      <c r="A308" s="26" t="str">
        <f t="shared" si="29"/>
        <v>FB_IMv_S.XRPX</v>
      </c>
      <c r="B308" s="27">
        <v>7000000</v>
      </c>
      <c r="C308" s="27" t="s">
        <v>6</v>
      </c>
      <c r="D308" s="28">
        <v>2</v>
      </c>
      <c r="BK308" s="4"/>
      <c r="BL308" s="4"/>
      <c r="BM308" s="4"/>
      <c r="BN308" s="4"/>
    </row>
    <row r="309" spans="1:66" ht="15" customHeight="1">
      <c r="A309" s="100" t="str">
        <f t="shared" ref="A309:A318" si="30">$R$2&amp;".XMMX"</f>
        <v>FB_IMv_S.XMMX</v>
      </c>
      <c r="B309" s="101">
        <v>11154</v>
      </c>
      <c r="C309" s="101" t="s">
        <v>4</v>
      </c>
      <c r="D309" s="102">
        <f>$Q$8</f>
        <v>18</v>
      </c>
      <c r="BK309" s="4"/>
      <c r="BL309" s="4"/>
      <c r="BM309" s="4"/>
      <c r="BN309" s="4"/>
    </row>
    <row r="310" spans="1:66" ht="15" customHeight="1">
      <c r="A310" s="100" t="str">
        <f t="shared" si="30"/>
        <v>FB_IMv_S.XMMX</v>
      </c>
      <c r="B310" s="101">
        <v>11150</v>
      </c>
      <c r="C310" s="101" t="s">
        <v>0</v>
      </c>
      <c r="D310" s="103" t="s">
        <v>134</v>
      </c>
      <c r="BK310" s="4"/>
      <c r="BL310" s="4"/>
      <c r="BM310" s="4"/>
      <c r="BN310" s="4"/>
    </row>
    <row r="311" spans="1:66" ht="15" customHeight="1">
      <c r="A311" s="100" t="str">
        <f t="shared" si="30"/>
        <v>FB_IMv_S.XMMX</v>
      </c>
      <c r="B311" s="101">
        <v>11152</v>
      </c>
      <c r="C311" s="101" t="s">
        <v>0</v>
      </c>
      <c r="D311" s="104" t="str">
        <f>$R$8</f>
        <v>Телесигнализация</v>
      </c>
      <c r="BK311" s="4"/>
      <c r="BL311" s="4"/>
      <c r="BM311" s="4"/>
      <c r="BN311" s="4"/>
    </row>
    <row r="312" spans="1:66" ht="15" customHeight="1">
      <c r="A312" s="100" t="str">
        <f t="shared" si="30"/>
        <v>FB_IMv_S.XMMX</v>
      </c>
      <c r="B312" s="101">
        <v>11000</v>
      </c>
      <c r="C312" s="101" t="s">
        <v>5</v>
      </c>
      <c r="D312" s="103">
        <v>2147483680</v>
      </c>
      <c r="BK312" s="4"/>
      <c r="BL312" s="4"/>
      <c r="BM312" s="4"/>
      <c r="BN312" s="4"/>
    </row>
    <row r="313" spans="1:66" ht="15" customHeight="1">
      <c r="A313" s="19" t="str">
        <f t="shared" si="30"/>
        <v>FB_IMv_S.XMMX</v>
      </c>
      <c r="B313" s="11">
        <v>7999</v>
      </c>
      <c r="C313" s="11" t="s">
        <v>0</v>
      </c>
      <c r="D313" s="20" t="str">
        <f>"#"&amp;$S$2&amp;"#"&amp;$T$2&amp;"\"&amp;$P$2&amp;"\XMMX"</f>
        <v>#1#treiOPCDA.CoOPCserv.1\pcmaster\KMZ1\XMMX</v>
      </c>
      <c r="BK313" s="4"/>
      <c r="BL313" s="4"/>
      <c r="BM313" s="4"/>
      <c r="BN313" s="4"/>
    </row>
    <row r="314" spans="1:66" ht="15" customHeight="1">
      <c r="A314" s="19" t="str">
        <f t="shared" si="30"/>
        <v>FB_IMv_S.XMMX</v>
      </c>
      <c r="B314" s="11">
        <v>7998</v>
      </c>
      <c r="C314" s="11" t="s">
        <v>6</v>
      </c>
      <c r="D314" s="20">
        <v>1</v>
      </c>
      <c r="BK314" s="4"/>
      <c r="BL314" s="4"/>
      <c r="BM314" s="4"/>
      <c r="BN314" s="4"/>
    </row>
    <row r="315" spans="1:66" ht="15" customHeight="1">
      <c r="A315" s="19" t="str">
        <f t="shared" si="30"/>
        <v>FB_IMv_S.XMMX</v>
      </c>
      <c r="B315" s="11">
        <v>101</v>
      </c>
      <c r="C315" s="11" t="s">
        <v>0</v>
      </c>
      <c r="D315" s="20" t="s">
        <v>574</v>
      </c>
      <c r="BK315" s="4"/>
      <c r="BL315" s="4"/>
      <c r="BM315" s="4"/>
      <c r="BN315" s="4"/>
    </row>
    <row r="316" spans="1:66" ht="15" customHeight="1">
      <c r="A316" s="19" t="str">
        <f t="shared" si="30"/>
        <v>FB_IMv_S.XMMX</v>
      </c>
      <c r="B316" s="11">
        <v>3</v>
      </c>
      <c r="C316" s="11" t="s">
        <v>1</v>
      </c>
      <c r="D316" s="20">
        <v>192</v>
      </c>
      <c r="BK316" s="4"/>
      <c r="BL316" s="4"/>
      <c r="BM316" s="4"/>
      <c r="BN316" s="4"/>
    </row>
    <row r="317" spans="1:66" ht="15" customHeight="1">
      <c r="A317" s="19" t="str">
        <f t="shared" si="30"/>
        <v>FB_IMv_S.XMMX</v>
      </c>
      <c r="B317" s="11">
        <v>2</v>
      </c>
      <c r="C317" s="11" t="s">
        <v>2</v>
      </c>
      <c r="D317" s="20" t="s">
        <v>3</v>
      </c>
      <c r="BK317" s="4"/>
      <c r="BL317" s="4"/>
      <c r="BM317" s="4"/>
      <c r="BN317" s="4"/>
    </row>
    <row r="318" spans="1:66" ht="15" customHeight="1">
      <c r="A318" s="21" t="str">
        <f t="shared" si="30"/>
        <v>FB_IMv_S.XMMX</v>
      </c>
      <c r="B318" s="8">
        <v>1</v>
      </c>
      <c r="C318" s="8" t="s">
        <v>1</v>
      </c>
      <c r="D318" s="22">
        <v>11</v>
      </c>
      <c r="BK318" s="4"/>
      <c r="BL318" s="4"/>
      <c r="BM318" s="4"/>
      <c r="BN318" s="4"/>
    </row>
    <row r="319" spans="1:66" ht="15" customHeight="1">
      <c r="A319" s="159" t="str">
        <f t="shared" ref="A319:A328" si="31">$R$2&amp;".XONX"</f>
        <v>FB_IMv_S.XONX</v>
      </c>
      <c r="B319" s="160">
        <v>11154</v>
      </c>
      <c r="C319" s="160" t="s">
        <v>4</v>
      </c>
      <c r="D319" s="161">
        <f>$Q$8</f>
        <v>18</v>
      </c>
      <c r="BK319" s="4"/>
      <c r="BL319" s="4"/>
      <c r="BM319" s="4"/>
      <c r="BN319" s="4"/>
    </row>
    <row r="320" spans="1:66" ht="15" customHeight="1">
      <c r="A320" s="100" t="str">
        <f t="shared" si="31"/>
        <v>FB_IMv_S.XONX</v>
      </c>
      <c r="B320" s="101">
        <v>11150</v>
      </c>
      <c r="C320" s="101" t="s">
        <v>0</v>
      </c>
      <c r="D320" s="103" t="s">
        <v>685</v>
      </c>
      <c r="BK320" s="4"/>
      <c r="BL320" s="4"/>
      <c r="BM320" s="4"/>
      <c r="BN320" s="4"/>
    </row>
    <row r="321" spans="1:66" ht="15" customHeight="1">
      <c r="A321" s="100" t="str">
        <f t="shared" si="31"/>
        <v>FB_IMv_S.XONX</v>
      </c>
      <c r="B321" s="101">
        <v>11152</v>
      </c>
      <c r="C321" s="101" t="s">
        <v>0</v>
      </c>
      <c r="D321" s="104" t="str">
        <f>$R$8</f>
        <v>Телесигнализация</v>
      </c>
      <c r="BK321" s="4"/>
      <c r="BL321" s="4"/>
      <c r="BM321" s="4"/>
      <c r="BN321" s="4"/>
    </row>
    <row r="322" spans="1:66" ht="15" customHeight="1">
      <c r="A322" s="100" t="str">
        <f t="shared" si="31"/>
        <v>FB_IMv_S.XONX</v>
      </c>
      <c r="B322" s="101">
        <v>11000</v>
      </c>
      <c r="C322" s="101" t="s">
        <v>5</v>
      </c>
      <c r="D322" s="103">
        <v>2147483680</v>
      </c>
      <c r="BK322" s="4"/>
      <c r="BL322" s="4"/>
      <c r="BM322" s="4"/>
      <c r="BN322" s="4"/>
    </row>
    <row r="323" spans="1:66" ht="15" customHeight="1">
      <c r="A323" s="19" t="str">
        <f t="shared" si="31"/>
        <v>FB_IMv_S.XONX</v>
      </c>
      <c r="B323" s="11">
        <v>7999</v>
      </c>
      <c r="C323" s="11" t="s">
        <v>0</v>
      </c>
      <c r="D323" s="20" t="str">
        <f>"#"&amp;$S$2&amp;"#"&amp;$T$2&amp;"\"&amp;$P$2&amp;"\XONX"</f>
        <v>#1#treiOPCDA.CoOPCserv.1\pcmaster\KMZ1\XONX</v>
      </c>
      <c r="BK323" s="4"/>
      <c r="BL323" s="4"/>
      <c r="BM323" s="4"/>
      <c r="BN323" s="4"/>
    </row>
    <row r="324" spans="1:66" ht="15" customHeight="1">
      <c r="A324" s="19" t="str">
        <f t="shared" si="31"/>
        <v>FB_IMv_S.XONX</v>
      </c>
      <c r="B324" s="11">
        <v>7998</v>
      </c>
      <c r="C324" s="11" t="s">
        <v>6</v>
      </c>
      <c r="D324" s="20">
        <v>1</v>
      </c>
      <c r="BK324" s="4"/>
      <c r="BL324" s="4"/>
      <c r="BM324" s="4"/>
      <c r="BN324" s="4"/>
    </row>
    <row r="325" spans="1:66" ht="15" customHeight="1">
      <c r="A325" s="19" t="str">
        <f t="shared" si="31"/>
        <v>FB_IMv_S.XONX</v>
      </c>
      <c r="B325" s="11">
        <v>101</v>
      </c>
      <c r="C325" s="11" t="s">
        <v>0</v>
      </c>
      <c r="D325" s="20" t="str">
        <f>"Выходное значение Открыт"</f>
        <v>Выходное значение Открыт</v>
      </c>
      <c r="BK325" s="4"/>
      <c r="BL325" s="4"/>
      <c r="BM325" s="4"/>
      <c r="BN325" s="4"/>
    </row>
    <row r="326" spans="1:66" ht="15" customHeight="1">
      <c r="A326" s="19" t="str">
        <f t="shared" si="31"/>
        <v>FB_IMv_S.XONX</v>
      </c>
      <c r="B326" s="11">
        <v>3</v>
      </c>
      <c r="C326" s="11" t="s">
        <v>1</v>
      </c>
      <c r="D326" s="20">
        <v>192</v>
      </c>
      <c r="BK326" s="4"/>
      <c r="BL326" s="4"/>
      <c r="BM326" s="4"/>
      <c r="BN326" s="4"/>
    </row>
    <row r="327" spans="1:66" ht="15" customHeight="1">
      <c r="A327" s="19" t="str">
        <f t="shared" si="31"/>
        <v>FB_IMv_S.XONX</v>
      </c>
      <c r="B327" s="11">
        <v>2</v>
      </c>
      <c r="C327" s="11" t="s">
        <v>2</v>
      </c>
      <c r="D327" s="20" t="s">
        <v>3</v>
      </c>
      <c r="BK327" s="4"/>
      <c r="BL327" s="4"/>
      <c r="BM327" s="4"/>
      <c r="BN327" s="4"/>
    </row>
    <row r="328" spans="1:66" ht="15" customHeight="1">
      <c r="A328" s="21" t="str">
        <f t="shared" si="31"/>
        <v>FB_IMv_S.XONX</v>
      </c>
      <c r="B328" s="8">
        <v>1</v>
      </c>
      <c r="C328" s="8" t="s">
        <v>1</v>
      </c>
      <c r="D328" s="22">
        <v>11</v>
      </c>
      <c r="BK328" s="4"/>
      <c r="BL328" s="4"/>
      <c r="BM328" s="4"/>
      <c r="BN328" s="4"/>
    </row>
    <row r="329" spans="1:66" ht="15" customHeight="1">
      <c r="A329" s="159" t="str">
        <f t="shared" ref="A329:A338" si="32">$R$2&amp;".XOFX"</f>
        <v>FB_IMv_S.XOFX</v>
      </c>
      <c r="B329" s="160">
        <v>11154</v>
      </c>
      <c r="C329" s="160" t="s">
        <v>4</v>
      </c>
      <c r="D329" s="161">
        <f>$Q$8</f>
        <v>18</v>
      </c>
      <c r="BK329" s="4"/>
      <c r="BL329" s="4"/>
      <c r="BM329" s="4"/>
      <c r="BN329" s="4"/>
    </row>
    <row r="330" spans="1:66" ht="15" customHeight="1">
      <c r="A330" s="100" t="str">
        <f t="shared" si="32"/>
        <v>FB_IMv_S.XOFX</v>
      </c>
      <c r="B330" s="101">
        <v>11150</v>
      </c>
      <c r="C330" s="101" t="s">
        <v>0</v>
      </c>
      <c r="D330" s="103" t="s">
        <v>816</v>
      </c>
      <c r="BK330" s="4"/>
      <c r="BL330" s="4"/>
      <c r="BM330" s="4"/>
      <c r="BN330" s="4"/>
    </row>
    <row r="331" spans="1:66" ht="15" customHeight="1">
      <c r="A331" s="100" t="str">
        <f t="shared" si="32"/>
        <v>FB_IMv_S.XOFX</v>
      </c>
      <c r="B331" s="101">
        <v>11152</v>
      </c>
      <c r="C331" s="101" t="s">
        <v>0</v>
      </c>
      <c r="D331" s="104" t="str">
        <f>$R$8</f>
        <v>Телесигнализация</v>
      </c>
      <c r="BK331" s="4"/>
      <c r="BL331" s="4"/>
      <c r="BM331" s="4"/>
      <c r="BN331" s="4"/>
    </row>
    <row r="332" spans="1:66" ht="15" customHeight="1">
      <c r="A332" s="100" t="str">
        <f t="shared" si="32"/>
        <v>FB_IMv_S.XOFX</v>
      </c>
      <c r="B332" s="101">
        <v>11000</v>
      </c>
      <c r="C332" s="101" t="s">
        <v>5</v>
      </c>
      <c r="D332" s="103">
        <v>2147483680</v>
      </c>
      <c r="BK332" s="4"/>
      <c r="BL332" s="4"/>
      <c r="BM332" s="4"/>
      <c r="BN332" s="4"/>
    </row>
    <row r="333" spans="1:66" ht="15" customHeight="1">
      <c r="A333" s="19" t="str">
        <f t="shared" si="32"/>
        <v>FB_IMv_S.XOFX</v>
      </c>
      <c r="B333" s="11">
        <v>7999</v>
      </c>
      <c r="C333" s="11" t="s">
        <v>0</v>
      </c>
      <c r="D333" s="20" t="str">
        <f>"#"&amp;$S$2&amp;"#"&amp;$T$2&amp;"\"&amp;$P$2&amp;"\XOFX"</f>
        <v>#1#treiOPCDA.CoOPCserv.1\pcmaster\KMZ1\XOFX</v>
      </c>
      <c r="BK333" s="4"/>
      <c r="BL333" s="4"/>
      <c r="BM333" s="4"/>
      <c r="BN333" s="4"/>
    </row>
    <row r="334" spans="1:66" ht="15" customHeight="1">
      <c r="A334" s="19" t="str">
        <f t="shared" si="32"/>
        <v>FB_IMv_S.XOFX</v>
      </c>
      <c r="B334" s="11">
        <v>7998</v>
      </c>
      <c r="C334" s="11" t="s">
        <v>6</v>
      </c>
      <c r="D334" s="20">
        <v>1</v>
      </c>
      <c r="BK334" s="4"/>
      <c r="BL334" s="4"/>
      <c r="BM334" s="4"/>
      <c r="BN334" s="4"/>
    </row>
    <row r="335" spans="1:66" ht="15" customHeight="1">
      <c r="A335" s="19" t="str">
        <f t="shared" si="32"/>
        <v>FB_IMv_S.XOFX</v>
      </c>
      <c r="B335" s="11">
        <v>101</v>
      </c>
      <c r="C335" s="11" t="s">
        <v>0</v>
      </c>
      <c r="D335" s="20" t="str">
        <f>"Выходное значение Закрыт"</f>
        <v>Выходное значение Закрыт</v>
      </c>
      <c r="BK335" s="4"/>
      <c r="BL335" s="4"/>
      <c r="BM335" s="4"/>
      <c r="BN335" s="4"/>
    </row>
    <row r="336" spans="1:66" ht="15" customHeight="1">
      <c r="A336" s="19" t="str">
        <f t="shared" si="32"/>
        <v>FB_IMv_S.XOFX</v>
      </c>
      <c r="B336" s="11">
        <v>3</v>
      </c>
      <c r="C336" s="11" t="s">
        <v>1</v>
      </c>
      <c r="D336" s="20">
        <v>192</v>
      </c>
      <c r="BK336" s="4"/>
      <c r="BL336" s="4"/>
      <c r="BM336" s="4"/>
      <c r="BN336" s="4"/>
    </row>
    <row r="337" spans="1:66" ht="15" customHeight="1">
      <c r="A337" s="19" t="str">
        <f t="shared" si="32"/>
        <v>FB_IMv_S.XOFX</v>
      </c>
      <c r="B337" s="11">
        <v>2</v>
      </c>
      <c r="C337" s="11" t="s">
        <v>2</v>
      </c>
      <c r="D337" s="20" t="s">
        <v>3</v>
      </c>
      <c r="BK337" s="4"/>
      <c r="BL337" s="4"/>
      <c r="BM337" s="4"/>
      <c r="BN337" s="4"/>
    </row>
    <row r="338" spans="1:66" ht="15" customHeight="1">
      <c r="A338" s="21" t="str">
        <f t="shared" si="32"/>
        <v>FB_IMv_S.XOFX</v>
      </c>
      <c r="B338" s="8">
        <v>1</v>
      </c>
      <c r="C338" s="8" t="s">
        <v>1</v>
      </c>
      <c r="D338" s="22">
        <v>11</v>
      </c>
      <c r="BK338" s="4"/>
      <c r="BL338" s="4"/>
      <c r="BM338" s="4"/>
      <c r="BN338" s="4"/>
    </row>
    <row r="339" spans="1:66" ht="15" customHeight="1">
      <c r="A339" s="159" t="str">
        <f t="shared" ref="A339:A348" si="33">$R$2&amp;".XRCX"</f>
        <v>FB_IMv_S.XRCX</v>
      </c>
      <c r="B339" s="160">
        <v>11154</v>
      </c>
      <c r="C339" s="160" t="s">
        <v>4</v>
      </c>
      <c r="D339" s="161">
        <f>$Q$8</f>
        <v>18</v>
      </c>
      <c r="BK339" s="4"/>
      <c r="BL339" s="4"/>
      <c r="BM339" s="4"/>
      <c r="BN339" s="4"/>
    </row>
    <row r="340" spans="1:66" ht="15" customHeight="1">
      <c r="A340" s="100" t="str">
        <f t="shared" si="33"/>
        <v>FB_IMv_S.XRCX</v>
      </c>
      <c r="B340" s="101">
        <v>11150</v>
      </c>
      <c r="C340" s="101" t="s">
        <v>0</v>
      </c>
      <c r="D340" s="103" t="s">
        <v>136</v>
      </c>
      <c r="BK340" s="4"/>
      <c r="BL340" s="4"/>
      <c r="BM340" s="4"/>
      <c r="BN340" s="4"/>
    </row>
    <row r="341" spans="1:66" ht="15" customHeight="1">
      <c r="A341" s="100" t="str">
        <f t="shared" si="33"/>
        <v>FB_IMv_S.XRCX</v>
      </c>
      <c r="B341" s="101">
        <v>11152</v>
      </c>
      <c r="C341" s="101" t="s">
        <v>0</v>
      </c>
      <c r="D341" s="104" t="str">
        <f>$R$8</f>
        <v>Телесигнализация</v>
      </c>
      <c r="BK341" s="4"/>
      <c r="BL341" s="4"/>
      <c r="BM341" s="4"/>
      <c r="BN341" s="4"/>
    </row>
    <row r="342" spans="1:66" ht="15" customHeight="1">
      <c r="A342" s="100" t="str">
        <f t="shared" si="33"/>
        <v>FB_IMv_S.XRCX</v>
      </c>
      <c r="B342" s="101">
        <v>11000</v>
      </c>
      <c r="C342" s="101" t="s">
        <v>5</v>
      </c>
      <c r="D342" s="103">
        <v>2147483680</v>
      </c>
      <c r="BK342" s="4"/>
      <c r="BL342" s="4"/>
      <c r="BM342" s="4"/>
      <c r="BN342" s="4"/>
    </row>
    <row r="343" spans="1:66" ht="15" customHeight="1">
      <c r="A343" s="19" t="str">
        <f t="shared" si="33"/>
        <v>FB_IMv_S.XRCX</v>
      </c>
      <c r="B343" s="11">
        <v>7999</v>
      </c>
      <c r="C343" s="11" t="s">
        <v>0</v>
      </c>
      <c r="D343" s="20" t="str">
        <f>"#"&amp;$S$2&amp;"#"&amp;$T$2&amp;"\"&amp;$P$2&amp;"\XRCX"</f>
        <v>#1#treiOPCDA.CoOPCserv.1\pcmaster\KMZ1\XRCX</v>
      </c>
      <c r="BK343" s="4"/>
      <c r="BL343" s="4"/>
      <c r="BM343" s="4"/>
      <c r="BN343" s="4"/>
    </row>
    <row r="344" spans="1:66" ht="15" customHeight="1">
      <c r="A344" s="19" t="str">
        <f t="shared" si="33"/>
        <v>FB_IMv_S.XRCX</v>
      </c>
      <c r="B344" s="11">
        <v>7998</v>
      </c>
      <c r="C344" s="11" t="s">
        <v>6</v>
      </c>
      <c r="D344" s="20">
        <v>1</v>
      </c>
      <c r="BK344" s="4"/>
      <c r="BL344" s="4"/>
      <c r="BM344" s="4"/>
      <c r="BN344" s="4"/>
    </row>
    <row r="345" spans="1:66" ht="15" customHeight="1">
      <c r="A345" s="19" t="str">
        <f t="shared" si="33"/>
        <v>FB_IMv_S.XRCX</v>
      </c>
      <c r="B345" s="11">
        <v>101</v>
      </c>
      <c r="C345" s="11" t="s">
        <v>0</v>
      </c>
      <c r="D345" s="20" t="s">
        <v>575</v>
      </c>
      <c r="BK345" s="4"/>
      <c r="BL345" s="4"/>
      <c r="BM345" s="4"/>
      <c r="BN345" s="4"/>
    </row>
    <row r="346" spans="1:66" ht="15" customHeight="1">
      <c r="A346" s="19" t="str">
        <f t="shared" si="33"/>
        <v>FB_IMv_S.XRCX</v>
      </c>
      <c r="B346" s="11">
        <v>3</v>
      </c>
      <c r="C346" s="11" t="s">
        <v>1</v>
      </c>
      <c r="D346" s="20">
        <v>192</v>
      </c>
      <c r="BK346" s="4"/>
      <c r="BL346" s="4"/>
      <c r="BM346" s="4"/>
      <c r="BN346" s="4"/>
    </row>
    <row r="347" spans="1:66" ht="15" customHeight="1">
      <c r="A347" s="19" t="str">
        <f t="shared" si="33"/>
        <v>FB_IMv_S.XRCX</v>
      </c>
      <c r="B347" s="11">
        <v>2</v>
      </c>
      <c r="C347" s="11" t="s">
        <v>2</v>
      </c>
      <c r="D347" s="20" t="s">
        <v>3</v>
      </c>
      <c r="BK347" s="4"/>
      <c r="BL347" s="4"/>
      <c r="BM347" s="4"/>
      <c r="BN347" s="4"/>
    </row>
    <row r="348" spans="1:66" ht="15" customHeight="1">
      <c r="A348" s="21" t="str">
        <f t="shared" si="33"/>
        <v>FB_IMv_S.XRCX</v>
      </c>
      <c r="B348" s="8">
        <v>1</v>
      </c>
      <c r="C348" s="8" t="s">
        <v>1</v>
      </c>
      <c r="D348" s="22">
        <v>11</v>
      </c>
      <c r="BK348" s="4"/>
      <c r="BL348" s="4"/>
      <c r="BM348" s="4"/>
      <c r="BN348" s="4"/>
    </row>
    <row r="349" spans="1:66" ht="15" customHeight="1">
      <c r="A349" s="159" t="str">
        <f t="shared" ref="A349:A358" si="34">$R$2&amp;".OXSP"</f>
        <v>FB_IMv_S.OXSP</v>
      </c>
      <c r="B349" s="160">
        <v>11154</v>
      </c>
      <c r="C349" s="160" t="s">
        <v>4</v>
      </c>
      <c r="D349" s="161">
        <f>$Q$8</f>
        <v>18</v>
      </c>
      <c r="BK349" s="4"/>
      <c r="BL349" s="4"/>
      <c r="BM349" s="4"/>
      <c r="BN349" s="4"/>
    </row>
    <row r="350" spans="1:66" ht="15" customHeight="1">
      <c r="A350" s="100" t="str">
        <f t="shared" si="34"/>
        <v>FB_IMv_S.OXSP</v>
      </c>
      <c r="B350" s="101">
        <v>11150</v>
      </c>
      <c r="C350" s="101" t="s">
        <v>0</v>
      </c>
      <c r="D350" s="103" t="s">
        <v>190</v>
      </c>
      <c r="BK350" s="4"/>
      <c r="BL350" s="4"/>
      <c r="BM350" s="4"/>
      <c r="BN350" s="4"/>
    </row>
    <row r="351" spans="1:66" ht="15" customHeight="1">
      <c r="A351" s="100" t="str">
        <f t="shared" si="34"/>
        <v>FB_IMv_S.OXSP</v>
      </c>
      <c r="B351" s="101">
        <v>11152</v>
      </c>
      <c r="C351" s="101" t="s">
        <v>0</v>
      </c>
      <c r="D351" s="104" t="str">
        <f>$R$8</f>
        <v>Телесигнализация</v>
      </c>
      <c r="BK351" s="4"/>
      <c r="BL351" s="4"/>
      <c r="BM351" s="4"/>
      <c r="BN351" s="4"/>
    </row>
    <row r="352" spans="1:66" ht="15" customHeight="1">
      <c r="A352" s="100" t="str">
        <f t="shared" si="34"/>
        <v>FB_IMv_S.OXSP</v>
      </c>
      <c r="B352" s="101">
        <v>11000</v>
      </c>
      <c r="C352" s="101" t="s">
        <v>5</v>
      </c>
      <c r="D352" s="103">
        <v>2147483680</v>
      </c>
      <c r="BK352" s="4"/>
      <c r="BL352" s="4"/>
      <c r="BM352" s="4"/>
      <c r="BN352" s="4"/>
    </row>
    <row r="353" spans="1:66" ht="15" customHeight="1">
      <c r="A353" s="19" t="str">
        <f t="shared" si="34"/>
        <v>FB_IMv_S.OXSP</v>
      </c>
      <c r="B353" s="11">
        <v>7999</v>
      </c>
      <c r="C353" s="11" t="s">
        <v>0</v>
      </c>
      <c r="D353" s="20" t="str">
        <f>"#"&amp;$S$2&amp;"#"&amp;$T$2&amp;"\"&amp;$P$2&amp;"\OXSP"</f>
        <v>#1#treiOPCDA.CoOPCserv.1\pcmaster\KMZ1\OXSP</v>
      </c>
      <c r="BK353" s="4"/>
      <c r="BL353" s="4"/>
      <c r="BM353" s="4"/>
      <c r="BN353" s="4"/>
    </row>
    <row r="354" spans="1:66" ht="15" customHeight="1">
      <c r="A354" s="19" t="str">
        <f t="shared" si="34"/>
        <v>FB_IMv_S.OXSP</v>
      </c>
      <c r="B354" s="11">
        <v>7998</v>
      </c>
      <c r="C354" s="11" t="s">
        <v>6</v>
      </c>
      <c r="D354" s="20">
        <v>1</v>
      </c>
      <c r="BK354" s="4"/>
      <c r="BL354" s="4"/>
      <c r="BM354" s="4"/>
      <c r="BN354" s="4"/>
    </row>
    <row r="355" spans="1:66" ht="15" customHeight="1">
      <c r="A355" s="19" t="str">
        <f t="shared" si="34"/>
        <v>FB_IMv_S.OXSP</v>
      </c>
      <c r="B355" s="11">
        <v>101</v>
      </c>
      <c r="C355" s="11" t="s">
        <v>0</v>
      </c>
      <c r="D355" s="20" t="s">
        <v>133</v>
      </c>
      <c r="BK355" s="4"/>
      <c r="BL355" s="4"/>
      <c r="BM355" s="4"/>
      <c r="BN355" s="4"/>
    </row>
    <row r="356" spans="1:66" ht="15" customHeight="1">
      <c r="A356" s="19" t="str">
        <f t="shared" si="34"/>
        <v>FB_IMv_S.OXSP</v>
      </c>
      <c r="B356" s="11">
        <v>3</v>
      </c>
      <c r="C356" s="11" t="s">
        <v>1</v>
      </c>
      <c r="D356" s="20">
        <v>192</v>
      </c>
      <c r="BK356" s="4"/>
      <c r="BL356" s="4"/>
      <c r="BM356" s="4"/>
      <c r="BN356" s="4"/>
    </row>
    <row r="357" spans="1:66" ht="15" customHeight="1">
      <c r="A357" s="19" t="str">
        <f t="shared" si="34"/>
        <v>FB_IMv_S.OXSP</v>
      </c>
      <c r="B357" s="11">
        <v>2</v>
      </c>
      <c r="C357" s="11" t="s">
        <v>2</v>
      </c>
      <c r="D357" s="20" t="s">
        <v>3</v>
      </c>
      <c r="BK357" s="4"/>
      <c r="BL357" s="4"/>
      <c r="BM357" s="4"/>
      <c r="BN357" s="4"/>
    </row>
    <row r="358" spans="1:66" ht="15" customHeight="1">
      <c r="A358" s="21" t="str">
        <f t="shared" si="34"/>
        <v>FB_IMv_S.OXSP</v>
      </c>
      <c r="B358" s="8">
        <v>1</v>
      </c>
      <c r="C358" s="8" t="s">
        <v>1</v>
      </c>
      <c r="D358" s="22">
        <v>11</v>
      </c>
      <c r="BK358" s="4"/>
      <c r="BL358" s="4"/>
      <c r="BM358" s="4"/>
      <c r="BN358" s="4"/>
    </row>
    <row r="359" spans="1:66">
      <c r="A359" s="100" t="str">
        <f>$R$2&amp;".CAON"</f>
        <v>FB_IMv_S.CAON</v>
      </c>
      <c r="B359" s="101">
        <v>11154</v>
      </c>
      <c r="C359" s="101" t="s">
        <v>4</v>
      </c>
      <c r="D359" s="102">
        <v>18</v>
      </c>
    </row>
    <row r="360" spans="1:66">
      <c r="A360" s="100" t="str">
        <f t="shared" ref="A360:A368" si="35">$R$2&amp;".CAON"</f>
        <v>FB_IMv_S.CAON</v>
      </c>
      <c r="B360" s="101">
        <v>11150</v>
      </c>
      <c r="C360" s="101" t="s">
        <v>0</v>
      </c>
      <c r="D360" s="103" t="s">
        <v>1843</v>
      </c>
    </row>
    <row r="361" spans="1:66">
      <c r="A361" s="100" t="str">
        <f t="shared" si="35"/>
        <v>FB_IMv_S.CAON</v>
      </c>
      <c r="B361" s="101">
        <v>11152</v>
      </c>
      <c r="C361" s="101" t="s">
        <v>0</v>
      </c>
      <c r="D361" s="104" t="s">
        <v>231</v>
      </c>
    </row>
    <row r="362" spans="1:66">
      <c r="A362" s="100" t="str">
        <f t="shared" si="35"/>
        <v>FB_IMv_S.CAON</v>
      </c>
      <c r="B362" s="101">
        <v>11000</v>
      </c>
      <c r="C362" s="101" t="s">
        <v>5</v>
      </c>
      <c r="D362" s="103">
        <v>2147483680</v>
      </c>
    </row>
    <row r="363" spans="1:66">
      <c r="A363" s="19" t="str">
        <f t="shared" si="35"/>
        <v>FB_IMv_S.CAON</v>
      </c>
      <c r="B363" s="11">
        <v>7999</v>
      </c>
      <c r="C363" s="11" t="s">
        <v>0</v>
      </c>
      <c r="D363" s="20" t="str">
        <f>"#"&amp;$S$2&amp;"#"&amp;$T$2&amp;"\"&amp;$P$2&amp;"\CAON"</f>
        <v>#1#treiOPCDA.CoOPCserv.1\pcmaster\KMZ1\CAON</v>
      </c>
    </row>
    <row r="364" spans="1:66">
      <c r="A364" s="19" t="str">
        <f t="shared" si="35"/>
        <v>FB_IMv_S.CAON</v>
      </c>
      <c r="B364" s="11">
        <v>7998</v>
      </c>
      <c r="C364" s="11" t="s">
        <v>6</v>
      </c>
      <c r="D364" s="20">
        <v>1</v>
      </c>
    </row>
    <row r="365" spans="1:66">
      <c r="A365" s="19" t="str">
        <f t="shared" si="35"/>
        <v>FB_IMv_S.CAON</v>
      </c>
      <c r="B365" s="11">
        <v>101</v>
      </c>
      <c r="C365" s="11" t="s">
        <v>0</v>
      </c>
      <c r="D365" s="20" t="s">
        <v>1843</v>
      </c>
    </row>
    <row r="366" spans="1:66">
      <c r="A366" s="19" t="str">
        <f t="shared" si="35"/>
        <v>FB_IMv_S.CAON</v>
      </c>
      <c r="B366" s="11">
        <v>3</v>
      </c>
      <c r="C366" s="11" t="s">
        <v>1</v>
      </c>
      <c r="D366" s="20">
        <v>192</v>
      </c>
    </row>
    <row r="367" spans="1:66">
      <c r="A367" s="19" t="str">
        <f t="shared" si="35"/>
        <v>FB_IMv_S.CAON</v>
      </c>
      <c r="B367" s="11">
        <v>2</v>
      </c>
      <c r="C367" s="11" t="s">
        <v>2</v>
      </c>
      <c r="D367" s="20" t="s">
        <v>3</v>
      </c>
    </row>
    <row r="368" spans="1:66">
      <c r="A368" s="21" t="str">
        <f t="shared" si="35"/>
        <v>FB_IMv_S.CAON</v>
      </c>
      <c r="B368" s="8">
        <v>1</v>
      </c>
      <c r="C368" s="8" t="s">
        <v>1</v>
      </c>
      <c r="D368" s="22">
        <v>11</v>
      </c>
    </row>
    <row r="369" spans="1:66">
      <c r="A369" s="100" t="str">
        <f>$R$2&amp;".CAOF"</f>
        <v>FB_IMv_S.CAOF</v>
      </c>
      <c r="B369" s="101">
        <v>11154</v>
      </c>
      <c r="C369" s="101" t="s">
        <v>4</v>
      </c>
      <c r="D369" s="102">
        <v>18</v>
      </c>
    </row>
    <row r="370" spans="1:66">
      <c r="A370" s="100" t="str">
        <f t="shared" ref="A370:A378" si="36">$R$2&amp;".CAOF"</f>
        <v>FB_IMv_S.CAOF</v>
      </c>
      <c r="B370" s="101">
        <v>11150</v>
      </c>
      <c r="C370" s="101" t="s">
        <v>0</v>
      </c>
      <c r="D370" s="103" t="s">
        <v>1844</v>
      </c>
    </row>
    <row r="371" spans="1:66">
      <c r="A371" s="100" t="str">
        <f t="shared" si="36"/>
        <v>FB_IMv_S.CAOF</v>
      </c>
      <c r="B371" s="101">
        <v>11152</v>
      </c>
      <c r="C371" s="101" t="s">
        <v>0</v>
      </c>
      <c r="D371" s="104" t="s">
        <v>231</v>
      </c>
    </row>
    <row r="372" spans="1:66">
      <c r="A372" s="100" t="str">
        <f t="shared" si="36"/>
        <v>FB_IMv_S.CAOF</v>
      </c>
      <c r="B372" s="101">
        <v>11000</v>
      </c>
      <c r="C372" s="101" t="s">
        <v>5</v>
      </c>
      <c r="D372" s="103">
        <v>2147483680</v>
      </c>
    </row>
    <row r="373" spans="1:66">
      <c r="A373" s="19" t="str">
        <f t="shared" si="36"/>
        <v>FB_IMv_S.CAOF</v>
      </c>
      <c r="B373" s="11">
        <v>7999</v>
      </c>
      <c r="C373" s="11" t="s">
        <v>0</v>
      </c>
      <c r="D373" s="20" t="str">
        <f>"#"&amp;$S$2&amp;"#"&amp;$T$2&amp;"\"&amp;$P$2&amp;"\CAOF"</f>
        <v>#1#treiOPCDA.CoOPCserv.1\pcmaster\KMZ1\CAOF</v>
      </c>
    </row>
    <row r="374" spans="1:66">
      <c r="A374" s="19" t="str">
        <f t="shared" si="36"/>
        <v>FB_IMv_S.CAOF</v>
      </c>
      <c r="B374" s="11">
        <v>7998</v>
      </c>
      <c r="C374" s="11" t="s">
        <v>6</v>
      </c>
      <c r="D374" s="20">
        <v>1</v>
      </c>
    </row>
    <row r="375" spans="1:66">
      <c r="A375" s="19" t="str">
        <f t="shared" si="36"/>
        <v>FB_IMv_S.CAOF</v>
      </c>
      <c r="B375" s="11">
        <v>101</v>
      </c>
      <c r="C375" s="11" t="s">
        <v>0</v>
      </c>
      <c r="D375" s="20" t="s">
        <v>1844</v>
      </c>
    </row>
    <row r="376" spans="1:66">
      <c r="A376" s="19" t="str">
        <f t="shared" si="36"/>
        <v>FB_IMv_S.CAOF</v>
      </c>
      <c r="B376" s="11">
        <v>3</v>
      </c>
      <c r="C376" s="11" t="s">
        <v>1</v>
      </c>
      <c r="D376" s="20">
        <v>192</v>
      </c>
    </row>
    <row r="377" spans="1:66">
      <c r="A377" s="19" t="str">
        <f t="shared" si="36"/>
        <v>FB_IMv_S.CAOF</v>
      </c>
      <c r="B377" s="11">
        <v>2</v>
      </c>
      <c r="C377" s="11" t="s">
        <v>2</v>
      </c>
      <c r="D377" s="20" t="s">
        <v>3</v>
      </c>
    </row>
    <row r="378" spans="1:66">
      <c r="A378" s="21" t="str">
        <f t="shared" si="36"/>
        <v>FB_IMv_S.CAOF</v>
      </c>
      <c r="B378" s="8">
        <v>1</v>
      </c>
      <c r="C378" s="8" t="s">
        <v>1</v>
      </c>
      <c r="D378" s="22">
        <v>11</v>
      </c>
    </row>
    <row r="379" spans="1:66" ht="15" customHeight="1">
      <c r="A379" s="16" t="str">
        <f>$R$2&amp;".Commands.COON"</f>
        <v>FB_IMv_S.Commands.COON</v>
      </c>
      <c r="B379" s="17">
        <v>101</v>
      </c>
      <c r="C379" s="17" t="s">
        <v>0</v>
      </c>
      <c r="D379" s="18" t="str">
        <f>"Команда оператора Открыть"</f>
        <v>Команда оператора Открыть</v>
      </c>
      <c r="BK379" s="4"/>
      <c r="BL379" s="4"/>
      <c r="BM379" s="4"/>
      <c r="BN379" s="4"/>
    </row>
    <row r="380" spans="1:66" ht="15" customHeight="1">
      <c r="A380" s="19" t="str">
        <f>$R$2&amp;".Commands.COON"</f>
        <v>FB_IMv_S.Commands.COON</v>
      </c>
      <c r="B380" s="11">
        <v>7999</v>
      </c>
      <c r="C380" s="11" t="s">
        <v>0</v>
      </c>
      <c r="D380" s="20" t="str">
        <f>"#"&amp;$T$5&amp;"#"&amp;$T$2&amp;"\"&amp;$P$2&amp;"\COON"</f>
        <v>#1#treiOPCDA.CoOPCserv.1\pcmaster\KMZ1\COON</v>
      </c>
      <c r="BK380" s="4"/>
      <c r="BL380" s="4"/>
      <c r="BM380" s="4"/>
      <c r="BN380" s="4"/>
    </row>
    <row r="381" spans="1:66" ht="15" customHeight="1">
      <c r="A381" s="19" t="str">
        <f>$R$2&amp;".Commands.COON"</f>
        <v>FB_IMv_S.Commands.COON</v>
      </c>
      <c r="B381" s="11">
        <v>7998</v>
      </c>
      <c r="C381" s="11" t="s">
        <v>6</v>
      </c>
      <c r="D381" s="20">
        <v>2</v>
      </c>
      <c r="BK381" s="4"/>
      <c r="BL381" s="4"/>
      <c r="BM381" s="4"/>
      <c r="BN381" s="4"/>
    </row>
    <row r="382" spans="1:66" ht="15" customHeight="1">
      <c r="A382" s="21" t="str">
        <f>$R$2&amp;".Commands.COON"</f>
        <v>FB_IMv_S.Commands.COON</v>
      </c>
      <c r="B382" s="8">
        <v>1</v>
      </c>
      <c r="C382" s="8" t="s">
        <v>1</v>
      </c>
      <c r="D382" s="22">
        <v>11</v>
      </c>
      <c r="BK382" s="4"/>
      <c r="BL382" s="4"/>
      <c r="BM382" s="4"/>
      <c r="BN382" s="4"/>
    </row>
    <row r="383" spans="1:66" ht="15" customHeight="1">
      <c r="A383" s="16" t="str">
        <f>$R$2&amp;".Commands.COOF"</f>
        <v>FB_IMv_S.Commands.COOF</v>
      </c>
      <c r="B383" s="17">
        <v>101</v>
      </c>
      <c r="C383" s="17" t="s">
        <v>0</v>
      </c>
      <c r="D383" s="18" t="str">
        <f>"Команда оператора Закрыть"</f>
        <v>Команда оператора Закрыть</v>
      </c>
      <c r="BK383" s="4"/>
      <c r="BL383" s="4"/>
      <c r="BM383" s="4"/>
      <c r="BN383" s="4"/>
    </row>
    <row r="384" spans="1:66" ht="15" customHeight="1">
      <c r="A384" s="19" t="str">
        <f>$R$2&amp;".Commands.COOF"</f>
        <v>FB_IMv_S.Commands.COOF</v>
      </c>
      <c r="B384" s="11">
        <v>7999</v>
      </c>
      <c r="C384" s="11" t="s">
        <v>0</v>
      </c>
      <c r="D384" s="20" t="str">
        <f>"#"&amp;$T$5&amp;"#"&amp;$T$2&amp;"\"&amp;$P$2&amp;"\COOF"</f>
        <v>#1#treiOPCDA.CoOPCserv.1\pcmaster\KMZ1\COOF</v>
      </c>
      <c r="BK384" s="4"/>
      <c r="BL384" s="4"/>
      <c r="BM384" s="4"/>
      <c r="BN384" s="4"/>
    </row>
    <row r="385" spans="1:66" ht="15" customHeight="1">
      <c r="A385" s="19" t="str">
        <f>$R$2&amp;".Commands.COOF"</f>
        <v>FB_IMv_S.Commands.COOF</v>
      </c>
      <c r="B385" s="11">
        <v>7998</v>
      </c>
      <c r="C385" s="11" t="s">
        <v>6</v>
      </c>
      <c r="D385" s="20">
        <v>2</v>
      </c>
      <c r="BK385" s="4"/>
      <c r="BL385" s="4"/>
      <c r="BM385" s="4"/>
      <c r="BN385" s="4"/>
    </row>
    <row r="386" spans="1:66" ht="15" customHeight="1">
      <c r="A386" s="21" t="str">
        <f>$R$2&amp;".Commands.COOF"</f>
        <v>FB_IMv_S.Commands.COOF</v>
      </c>
      <c r="B386" s="8">
        <v>1</v>
      </c>
      <c r="C386" s="8" t="s">
        <v>1</v>
      </c>
      <c r="D386" s="22">
        <v>11</v>
      </c>
      <c r="BK386" s="4"/>
      <c r="BL386" s="4"/>
      <c r="BM386" s="4"/>
      <c r="BN386" s="4"/>
    </row>
    <row r="387" spans="1:66" ht="15" customHeight="1">
      <c r="A387" s="16" t="str">
        <f>$R$2&amp;".Commands.COSP"</f>
        <v>FB_IMv_S.Commands.COSP</v>
      </c>
      <c r="B387" s="17">
        <v>101</v>
      </c>
      <c r="C387" s="17" t="s">
        <v>0</v>
      </c>
      <c r="D387" s="18" t="s">
        <v>111</v>
      </c>
      <c r="BK387" s="4"/>
      <c r="BL387" s="4"/>
      <c r="BM387" s="4"/>
      <c r="BN387" s="4"/>
    </row>
    <row r="388" spans="1:66" ht="15" customHeight="1">
      <c r="A388" s="19" t="str">
        <f>$R$2&amp;".Commands.COSP"</f>
        <v>FB_IMv_S.Commands.COSP</v>
      </c>
      <c r="B388" s="11">
        <v>7999</v>
      </c>
      <c r="C388" s="11" t="s">
        <v>0</v>
      </c>
      <c r="D388" s="20" t="str">
        <f>"#"&amp;$T$5&amp;"#"&amp;$T$2&amp;"\"&amp;$P$2&amp;"\COSP"</f>
        <v>#1#treiOPCDA.CoOPCserv.1\pcmaster\KMZ1\COSP</v>
      </c>
      <c r="BK388" s="4"/>
      <c r="BL388" s="4"/>
      <c r="BM388" s="4"/>
      <c r="BN388" s="4"/>
    </row>
    <row r="389" spans="1:66" ht="15" customHeight="1">
      <c r="A389" s="19" t="str">
        <f>$R$2&amp;".Commands.COSP"</f>
        <v>FB_IMv_S.Commands.COSP</v>
      </c>
      <c r="B389" s="11">
        <v>7998</v>
      </c>
      <c r="C389" s="11" t="s">
        <v>6</v>
      </c>
      <c r="D389" s="20">
        <v>2</v>
      </c>
      <c r="BK389" s="4"/>
      <c r="BL389" s="4"/>
      <c r="BM389" s="4"/>
      <c r="BN389" s="4"/>
    </row>
    <row r="390" spans="1:66" ht="15" customHeight="1">
      <c r="A390" s="21" t="str">
        <f>$R$2&amp;".Commands.COSP"</f>
        <v>FB_IMv_S.Commands.COSP</v>
      </c>
      <c r="B390" s="8">
        <v>1</v>
      </c>
      <c r="C390" s="8" t="s">
        <v>1</v>
      </c>
      <c r="D390" s="22">
        <v>11</v>
      </c>
      <c r="BK390" s="4"/>
      <c r="BL390" s="4"/>
      <c r="BM390" s="4"/>
      <c r="BN390" s="4"/>
    </row>
    <row r="391" spans="1:66" ht="15" customHeight="1">
      <c r="A391" s="16" t="str">
        <f>$R$2&amp;".Commands.CRPX"</f>
        <v>FB_IMv_S.Commands.CRPX</v>
      </c>
      <c r="B391" s="17">
        <v>101</v>
      </c>
      <c r="C391" s="17" t="s">
        <v>0</v>
      </c>
      <c r="D391" s="18" t="s">
        <v>113</v>
      </c>
      <c r="BK391" s="4"/>
      <c r="BL391" s="4"/>
      <c r="BM391" s="4"/>
      <c r="BN391" s="4"/>
    </row>
    <row r="392" spans="1:66" ht="15" customHeight="1">
      <c r="A392" s="19" t="str">
        <f>$R$2&amp;".Commands.CRPX"</f>
        <v>FB_IMv_S.Commands.CRPX</v>
      </c>
      <c r="B392" s="11">
        <v>7999</v>
      </c>
      <c r="C392" s="11" t="s">
        <v>0</v>
      </c>
      <c r="D392" s="20" t="str">
        <f>"#"&amp;$T$5&amp;"#"&amp;$T$2&amp;"\"&amp;$P$2&amp;"\CRPX"</f>
        <v>#1#treiOPCDA.CoOPCserv.1\pcmaster\KMZ1\CRPX</v>
      </c>
      <c r="BK392" s="4"/>
      <c r="BL392" s="4"/>
      <c r="BM392" s="4"/>
      <c r="BN392" s="4"/>
    </row>
    <row r="393" spans="1:66" ht="15" customHeight="1">
      <c r="A393" s="19" t="str">
        <f>$R$2&amp;".Commands.CRPX"</f>
        <v>FB_IMv_S.Commands.CRPX</v>
      </c>
      <c r="B393" s="11">
        <v>7998</v>
      </c>
      <c r="C393" s="11" t="s">
        <v>6</v>
      </c>
      <c r="D393" s="20">
        <v>2</v>
      </c>
      <c r="BK393" s="4"/>
      <c r="BL393" s="4"/>
      <c r="BM393" s="4"/>
      <c r="BN393" s="4"/>
    </row>
    <row r="394" spans="1:66" ht="15" customHeight="1">
      <c r="A394" s="21" t="str">
        <f>$R$2&amp;".Commands.CRPX"</f>
        <v>FB_IMv_S.Commands.CRPX</v>
      </c>
      <c r="B394" s="8">
        <v>1</v>
      </c>
      <c r="C394" s="8" t="s">
        <v>1</v>
      </c>
      <c r="D394" s="22">
        <v>11</v>
      </c>
      <c r="BK394" s="4"/>
      <c r="BL394" s="4"/>
      <c r="BM394" s="4"/>
      <c r="BN394" s="4"/>
    </row>
    <row r="395" spans="1:66" ht="15" customHeight="1">
      <c r="A395" s="16" t="str">
        <f>$R$2&amp;".Commands.CRST"</f>
        <v>FB_IMv_S.Commands.CRST</v>
      </c>
      <c r="B395" s="17">
        <v>101</v>
      </c>
      <c r="C395" s="17" t="s">
        <v>0</v>
      </c>
      <c r="D395" s="18" t="s">
        <v>114</v>
      </c>
      <c r="BK395" s="4"/>
      <c r="BL395" s="4"/>
      <c r="BM395" s="4"/>
      <c r="BN395" s="4"/>
    </row>
    <row r="396" spans="1:66" ht="15" customHeight="1">
      <c r="A396" s="19" t="str">
        <f>$R$2&amp;".Commands.CRST"</f>
        <v>FB_IMv_S.Commands.CRST</v>
      </c>
      <c r="B396" s="11">
        <v>7999</v>
      </c>
      <c r="C396" s="11" t="s">
        <v>0</v>
      </c>
      <c r="D396" s="20" t="str">
        <f>"#"&amp;$T$5&amp;"#"&amp;$T$2&amp;"\"&amp;$P$2&amp;"\CRST"</f>
        <v>#1#treiOPCDA.CoOPCserv.1\pcmaster\KMZ1\CRST</v>
      </c>
      <c r="BK396" s="4"/>
      <c r="BL396" s="4"/>
      <c r="BM396" s="4"/>
      <c r="BN396" s="4"/>
    </row>
    <row r="397" spans="1:66" ht="15" customHeight="1">
      <c r="A397" s="19" t="str">
        <f>$R$2&amp;".Commands.CRST"</f>
        <v>FB_IMv_S.Commands.CRST</v>
      </c>
      <c r="B397" s="11">
        <v>7998</v>
      </c>
      <c r="C397" s="11" t="s">
        <v>6</v>
      </c>
      <c r="D397" s="20">
        <v>2</v>
      </c>
      <c r="BK397" s="4"/>
      <c r="BL397" s="4"/>
      <c r="BM397" s="4"/>
      <c r="BN397" s="4"/>
    </row>
    <row r="398" spans="1:66" ht="15" customHeight="1">
      <c r="A398" s="21" t="str">
        <f>$R$2&amp;".Commands.CRST"</f>
        <v>FB_IMv_S.Commands.CRST</v>
      </c>
      <c r="B398" s="8">
        <v>1</v>
      </c>
      <c r="C398" s="8" t="s">
        <v>1</v>
      </c>
      <c r="D398" s="22">
        <v>11</v>
      </c>
      <c r="BK398" s="4"/>
      <c r="BL398" s="4"/>
      <c r="BM398" s="4"/>
      <c r="BN398" s="4"/>
    </row>
    <row r="399" spans="1:66" ht="15" customHeight="1">
      <c r="A399" s="16" t="str">
        <f>$R$2&amp;".Commands.CMMX"</f>
        <v>FB_IMv_S.Commands.CMMX</v>
      </c>
      <c r="B399" s="17">
        <v>101</v>
      </c>
      <c r="C399" s="17" t="s">
        <v>0</v>
      </c>
      <c r="D399" s="18" t="s">
        <v>94</v>
      </c>
      <c r="BK399" s="4"/>
      <c r="BL399" s="4"/>
      <c r="BM399" s="4"/>
      <c r="BN399" s="4"/>
    </row>
    <row r="400" spans="1:66" ht="15" customHeight="1">
      <c r="A400" s="19" t="str">
        <f>$R$2&amp;".Commands.CMMX"</f>
        <v>FB_IMv_S.Commands.CMMX</v>
      </c>
      <c r="B400" s="11">
        <v>7999</v>
      </c>
      <c r="C400" s="11" t="s">
        <v>0</v>
      </c>
      <c r="D400" s="20" t="str">
        <f>"#"&amp;$T$5&amp;"#"&amp;$T$2&amp;"\"&amp;$P$2&amp;"\CMMX"</f>
        <v>#1#treiOPCDA.CoOPCserv.1\pcmaster\KMZ1\CMMX</v>
      </c>
      <c r="BK400" s="4"/>
      <c r="BL400" s="4"/>
      <c r="BM400" s="4"/>
      <c r="BN400" s="4"/>
    </row>
    <row r="401" spans="1:66" ht="15" customHeight="1">
      <c r="A401" s="19" t="str">
        <f>$R$2&amp;".Commands.CMMX"</f>
        <v>FB_IMv_S.Commands.CMMX</v>
      </c>
      <c r="B401" s="11">
        <v>7998</v>
      </c>
      <c r="C401" s="11" t="s">
        <v>6</v>
      </c>
      <c r="D401" s="20">
        <v>2</v>
      </c>
      <c r="BK401" s="4"/>
      <c r="BL401" s="4"/>
      <c r="BM401" s="4"/>
      <c r="BN401" s="4"/>
    </row>
    <row r="402" spans="1:66" ht="15" customHeight="1">
      <c r="A402" s="21" t="str">
        <f>$R$2&amp;".Commands.CMMX"</f>
        <v>FB_IMv_S.Commands.CMMX</v>
      </c>
      <c r="B402" s="8">
        <v>1</v>
      </c>
      <c r="C402" s="8" t="s">
        <v>1</v>
      </c>
      <c r="D402" s="22">
        <v>11</v>
      </c>
      <c r="BK402" s="4"/>
      <c r="BL402" s="4"/>
      <c r="BM402" s="4"/>
      <c r="BN402" s="4"/>
    </row>
    <row r="403" spans="1:66" ht="15" customHeight="1">
      <c r="A403" s="16" t="str">
        <f>$R$2&amp;".Commands.CRRX"</f>
        <v>FB_IMv_S.Commands.CRRX</v>
      </c>
      <c r="B403" s="17">
        <v>101</v>
      </c>
      <c r="C403" s="17" t="s">
        <v>0</v>
      </c>
      <c r="D403" s="18" t="s">
        <v>116</v>
      </c>
      <c r="BK403" s="4"/>
      <c r="BL403" s="4"/>
      <c r="BM403" s="4"/>
      <c r="BN403" s="4"/>
    </row>
    <row r="404" spans="1:66" ht="15" customHeight="1">
      <c r="A404" s="19" t="str">
        <f>$R$2&amp;".Commands.CRRX"</f>
        <v>FB_IMv_S.Commands.CRRX</v>
      </c>
      <c r="B404" s="11">
        <v>7999</v>
      </c>
      <c r="C404" s="11" t="s">
        <v>0</v>
      </c>
      <c r="D404" s="20" t="str">
        <f>"#"&amp;$T$5&amp;"#"&amp;$T$2&amp;"\"&amp;$P$2&amp;"\CRRX"</f>
        <v>#1#treiOPCDA.CoOPCserv.1\pcmaster\KMZ1\CRRX</v>
      </c>
      <c r="BK404" s="4"/>
      <c r="BL404" s="4"/>
      <c r="BM404" s="4"/>
      <c r="BN404" s="4"/>
    </row>
    <row r="405" spans="1:66" ht="15" customHeight="1">
      <c r="A405" s="19" t="str">
        <f>$R$2&amp;".Commands.CRRX"</f>
        <v>FB_IMv_S.Commands.CRRX</v>
      </c>
      <c r="B405" s="11">
        <v>7998</v>
      </c>
      <c r="C405" s="11" t="s">
        <v>6</v>
      </c>
      <c r="D405" s="20">
        <v>2</v>
      </c>
      <c r="BK405" s="4"/>
      <c r="BL405" s="4"/>
      <c r="BM405" s="4"/>
      <c r="BN405" s="4"/>
    </row>
    <row r="406" spans="1:66" ht="15" customHeight="1">
      <c r="A406" s="21" t="str">
        <f>$R$2&amp;".Commands.CRRX"</f>
        <v>FB_IMv_S.Commands.CRRX</v>
      </c>
      <c r="B406" s="8">
        <v>1</v>
      </c>
      <c r="C406" s="8" t="s">
        <v>1</v>
      </c>
      <c r="D406" s="22">
        <v>11</v>
      </c>
      <c r="BK406" s="4"/>
      <c r="BL406" s="4"/>
      <c r="BM406" s="4"/>
      <c r="BN406" s="4"/>
    </row>
    <row r="407" spans="1:66" ht="15" customHeight="1">
      <c r="A407" s="266" t="str">
        <f>$R$2&amp;".Commands.STCX"</f>
        <v>FB_IMv_S.Commands.STCX</v>
      </c>
      <c r="B407" s="267">
        <v>1</v>
      </c>
      <c r="C407" s="267" t="s">
        <v>1</v>
      </c>
      <c r="D407" s="268">
        <v>3</v>
      </c>
      <c r="BK407" s="4"/>
      <c r="BL407" s="4"/>
      <c r="BM407" s="4"/>
      <c r="BN407" s="4"/>
    </row>
    <row r="408" spans="1:66" ht="15" customHeight="1">
      <c r="A408" s="269" t="str">
        <f>$R$2&amp;".Commands.STCX"</f>
        <v>FB_IMv_S.Commands.STCX</v>
      </c>
      <c r="B408" s="270">
        <v>101</v>
      </c>
      <c r="C408" s="270" t="s">
        <v>0</v>
      </c>
      <c r="D408" s="271" t="s">
        <v>127</v>
      </c>
      <c r="BK408" s="4"/>
      <c r="BL408" s="4"/>
      <c r="BM408" s="4"/>
      <c r="BN408" s="4"/>
    </row>
    <row r="409" spans="1:66" ht="15" customHeight="1">
      <c r="A409" s="269" t="str">
        <f>$R$2&amp;".Commands.STCX"</f>
        <v>FB_IMv_S.Commands.STCX</v>
      </c>
      <c r="B409" s="270">
        <v>7998</v>
      </c>
      <c r="C409" s="270" t="s">
        <v>6</v>
      </c>
      <c r="D409" s="271">
        <v>2</v>
      </c>
      <c r="BK409" s="4"/>
      <c r="BL409" s="4"/>
      <c r="BM409" s="4"/>
      <c r="BN409" s="4"/>
    </row>
    <row r="410" spans="1:66" ht="15" customHeight="1">
      <c r="A410" s="272" t="str">
        <f>$R$2&amp;".Commands.STCX"</f>
        <v>FB_IMv_S.Commands.STCX</v>
      </c>
      <c r="B410" s="273">
        <v>7999</v>
      </c>
      <c r="C410" s="273" t="s">
        <v>0</v>
      </c>
      <c r="D410" s="274" t="str">
        <f>"#"&amp;$T$5&amp;"#"&amp;$T$2&amp;"\"&amp;$P$2&amp;"\STCX"</f>
        <v>#1#treiOPCDA.CoOPCserv.1\pcmaster\KMZ1\STCX</v>
      </c>
      <c r="BK410" s="4"/>
      <c r="BL410" s="4"/>
      <c r="BM410" s="4"/>
      <c r="BN410" s="4"/>
    </row>
    <row r="411" spans="1:66" ht="15" customHeight="1">
      <c r="A411" s="266" t="str">
        <f>$R$2&amp;".Commands.STSX"</f>
        <v>FB_IMv_S.Commands.STSX</v>
      </c>
      <c r="B411" s="267">
        <v>1</v>
      </c>
      <c r="C411" s="267" t="s">
        <v>1</v>
      </c>
      <c r="D411" s="268">
        <v>3</v>
      </c>
      <c r="BK411" s="4"/>
      <c r="BL411" s="4"/>
      <c r="BM411" s="4"/>
      <c r="BN411" s="4"/>
    </row>
    <row r="412" spans="1:66" ht="15" customHeight="1">
      <c r="A412" s="269" t="str">
        <f>$R$2&amp;".Commands.STSX"</f>
        <v>FB_IMv_S.Commands.STSX</v>
      </c>
      <c r="B412" s="270">
        <v>101</v>
      </c>
      <c r="C412" s="270" t="s">
        <v>0</v>
      </c>
      <c r="D412" s="271" t="s">
        <v>128</v>
      </c>
      <c r="BK412" s="4"/>
      <c r="BL412" s="4"/>
      <c r="BM412" s="4"/>
      <c r="BN412" s="4"/>
    </row>
    <row r="413" spans="1:66" ht="15" customHeight="1">
      <c r="A413" s="269" t="str">
        <f>$R$2&amp;".Commands.STSX"</f>
        <v>FB_IMv_S.Commands.STSX</v>
      </c>
      <c r="B413" s="270">
        <v>7998</v>
      </c>
      <c r="C413" s="270" t="s">
        <v>6</v>
      </c>
      <c r="D413" s="271">
        <v>2</v>
      </c>
      <c r="BK413" s="4"/>
      <c r="BL413" s="4"/>
      <c r="BM413" s="4"/>
      <c r="BN413" s="4"/>
    </row>
    <row r="414" spans="1:66" ht="15" customHeight="1">
      <c r="A414" s="272" t="str">
        <f>$R$2&amp;".Commands.STSX"</f>
        <v>FB_IMv_S.Commands.STSX</v>
      </c>
      <c r="B414" s="273">
        <v>7999</v>
      </c>
      <c r="C414" s="273" t="s">
        <v>0</v>
      </c>
      <c r="D414" s="274" t="str">
        <f>"#"&amp;$T$5&amp;"#"&amp;$T$2&amp;"\"&amp;$P$2&amp;"\STSX"</f>
        <v>#1#treiOPCDA.CoOPCserv.1\pcmaster\KMZ1\STSX</v>
      </c>
      <c r="BK414" s="4"/>
      <c r="BL414" s="4"/>
      <c r="BM414" s="4"/>
      <c r="BN414" s="4"/>
    </row>
    <row r="415" spans="1:66" ht="15" customHeight="1">
      <c r="A415" s="266" t="str">
        <f>$R$2&amp;".Commands.STPR"</f>
        <v>FB_IMv_S.Commands.STPR</v>
      </c>
      <c r="B415" s="267">
        <v>1</v>
      </c>
      <c r="C415" s="267" t="s">
        <v>1</v>
      </c>
      <c r="D415" s="268">
        <v>3</v>
      </c>
      <c r="BK415" s="4"/>
      <c r="BL415" s="4"/>
      <c r="BM415" s="4"/>
      <c r="BN415" s="4"/>
    </row>
    <row r="416" spans="1:66" ht="15" customHeight="1">
      <c r="A416" s="269" t="str">
        <f>$R$2&amp;".Commands.STPR"</f>
        <v>FB_IMv_S.Commands.STPR</v>
      </c>
      <c r="B416" s="270">
        <v>101</v>
      </c>
      <c r="C416" s="270" t="s">
        <v>0</v>
      </c>
      <c r="D416" s="271" t="s">
        <v>129</v>
      </c>
      <c r="BK416" s="4"/>
      <c r="BL416" s="4"/>
      <c r="BM416" s="4"/>
      <c r="BN416" s="4"/>
    </row>
    <row r="417" spans="1:66" ht="15" customHeight="1">
      <c r="A417" s="269" t="str">
        <f>$R$2&amp;".Commands.STPR"</f>
        <v>FB_IMv_S.Commands.STPR</v>
      </c>
      <c r="B417" s="270">
        <v>7998</v>
      </c>
      <c r="C417" s="270" t="s">
        <v>6</v>
      </c>
      <c r="D417" s="271">
        <v>2</v>
      </c>
      <c r="BK417" s="4"/>
      <c r="BL417" s="4"/>
      <c r="BM417" s="4"/>
      <c r="BN417" s="4"/>
    </row>
    <row r="418" spans="1:66" ht="15" customHeight="1">
      <c r="A418" s="272" t="str">
        <f>$R$2&amp;".Commands.STPR"</f>
        <v>FB_IMv_S.Commands.STPR</v>
      </c>
      <c r="B418" s="273">
        <v>7999</v>
      </c>
      <c r="C418" s="273" t="s">
        <v>0</v>
      </c>
      <c r="D418" s="274" t="str">
        <f>"#"&amp;$T$5&amp;"#"&amp;$T$2&amp;"\"&amp;$P$2&amp;"\STPR"</f>
        <v>#1#treiOPCDA.CoOPCserv.1\pcmaster\KMZ1\STPR</v>
      </c>
      <c r="BK418" s="4"/>
      <c r="BL418" s="4"/>
      <c r="BM418" s="4"/>
      <c r="BN418" s="4"/>
    </row>
    <row r="419" spans="1:66" ht="15" customHeight="1">
      <c r="A419" s="266" t="str">
        <f>$R$2&amp;".Commands.SRQX"</f>
        <v>FB_IMv_S.Commands.SRQX</v>
      </c>
      <c r="B419" s="267">
        <v>1</v>
      </c>
      <c r="C419" s="267" t="s">
        <v>1</v>
      </c>
      <c r="D419" s="268">
        <v>3</v>
      </c>
      <c r="BK419" s="4"/>
      <c r="BL419" s="4"/>
      <c r="BM419" s="4"/>
      <c r="BN419" s="4"/>
    </row>
    <row r="420" spans="1:66" ht="15" customHeight="1">
      <c r="A420" s="269" t="str">
        <f>$R$2&amp;".Commands.SRQX"</f>
        <v>FB_IMv_S.Commands.SRQX</v>
      </c>
      <c r="B420" s="270">
        <v>101</v>
      </c>
      <c r="C420" s="270" t="s">
        <v>0</v>
      </c>
      <c r="D420" s="271" t="s">
        <v>125</v>
      </c>
      <c r="BK420" s="4"/>
      <c r="BL420" s="4"/>
      <c r="BM420" s="4"/>
      <c r="BN420" s="4"/>
    </row>
    <row r="421" spans="1:66" ht="15" customHeight="1">
      <c r="A421" s="269" t="str">
        <f>$R$2&amp;".Commands.SRQX"</f>
        <v>FB_IMv_S.Commands.SRQX</v>
      </c>
      <c r="B421" s="270">
        <v>7998</v>
      </c>
      <c r="C421" s="270" t="s">
        <v>6</v>
      </c>
      <c r="D421" s="271">
        <v>2</v>
      </c>
      <c r="BK421" s="4"/>
      <c r="BL421" s="4"/>
      <c r="BM421" s="4"/>
      <c r="BN421" s="4"/>
    </row>
    <row r="422" spans="1:66" ht="15" customHeight="1">
      <c r="A422" s="272" t="str">
        <f>$R$2&amp;".Commands.SRQX"</f>
        <v>FB_IMv_S.Commands.SRQX</v>
      </c>
      <c r="B422" s="273">
        <v>7999</v>
      </c>
      <c r="C422" s="273" t="s">
        <v>0</v>
      </c>
      <c r="D422" s="274" t="str">
        <f>"#"&amp;$T$5&amp;"#"&amp;$T$2&amp;"\"&amp;$P$2&amp;"\SRQX"</f>
        <v>#1#treiOPCDA.CoOPCserv.1\pcmaster\KMZ1\SRQX</v>
      </c>
      <c r="BK422" s="4"/>
      <c r="BL422" s="4"/>
      <c r="BM422" s="4"/>
      <c r="BN422" s="4"/>
    </row>
    <row r="423" spans="1:66" ht="15" customHeight="1">
      <c r="A423" s="19" t="str">
        <f t="shared" ref="A423:A428" si="37">$R$2&amp;".IONX"</f>
        <v>FB_IMv_S.IONX</v>
      </c>
      <c r="B423" s="11">
        <v>7999</v>
      </c>
      <c r="C423" s="11" t="s">
        <v>0</v>
      </c>
      <c r="D423" s="20" t="str">
        <f>"#"&amp;$S$2&amp;"#"&amp;$T$2&amp;"\"&amp;$P$2&amp;"\IONX"</f>
        <v>#1#treiOPCDA.CoOPCserv.1\pcmaster\KMZ1\IONX</v>
      </c>
      <c r="BK423" s="4"/>
      <c r="BL423" s="4"/>
      <c r="BM423" s="4"/>
      <c r="BN423" s="4"/>
    </row>
    <row r="424" spans="1:66" ht="15" customHeight="1">
      <c r="A424" s="19" t="str">
        <f t="shared" si="37"/>
        <v>FB_IMv_S.IONX</v>
      </c>
      <c r="B424" s="11">
        <v>7998</v>
      </c>
      <c r="C424" s="11" t="s">
        <v>6</v>
      </c>
      <c r="D424" s="20">
        <v>1</v>
      </c>
      <c r="BK424" s="4"/>
      <c r="BL424" s="4"/>
      <c r="BM424" s="4"/>
      <c r="BN424" s="4"/>
    </row>
    <row r="425" spans="1:66" ht="15" customHeight="1">
      <c r="A425" s="19" t="str">
        <f t="shared" si="37"/>
        <v>FB_IMv_S.IONX</v>
      </c>
      <c r="B425" s="11">
        <v>101</v>
      </c>
      <c r="C425" s="11" t="s">
        <v>0</v>
      </c>
      <c r="D425" s="20" t="str">
        <f>"Входное значение  Открыт" &amp;" (физ сигнал)"</f>
        <v>Входное значение  Открыт (физ сигнал)</v>
      </c>
      <c r="BK425" s="4"/>
      <c r="BL425" s="4"/>
      <c r="BM425" s="4"/>
      <c r="BN425" s="4"/>
    </row>
    <row r="426" spans="1:66" ht="15" customHeight="1">
      <c r="A426" s="19" t="str">
        <f t="shared" si="37"/>
        <v>FB_IMv_S.IONX</v>
      </c>
      <c r="B426" s="11">
        <v>3</v>
      </c>
      <c r="C426" s="11" t="s">
        <v>1</v>
      </c>
      <c r="D426" s="20">
        <v>192</v>
      </c>
      <c r="BK426" s="4"/>
      <c r="BL426" s="4"/>
      <c r="BM426" s="4"/>
      <c r="BN426" s="4"/>
    </row>
    <row r="427" spans="1:66" ht="15" customHeight="1">
      <c r="A427" s="19" t="str">
        <f t="shared" si="37"/>
        <v>FB_IMv_S.IONX</v>
      </c>
      <c r="B427" s="11">
        <v>2</v>
      </c>
      <c r="C427" s="11" t="s">
        <v>2</v>
      </c>
      <c r="D427" s="20" t="s">
        <v>3</v>
      </c>
      <c r="BK427" s="4"/>
      <c r="BL427" s="4"/>
      <c r="BM427" s="4"/>
      <c r="BN427" s="4"/>
    </row>
    <row r="428" spans="1:66" ht="15" customHeight="1">
      <c r="A428" s="21" t="str">
        <f t="shared" si="37"/>
        <v>FB_IMv_S.IONX</v>
      </c>
      <c r="B428" s="8">
        <v>1</v>
      </c>
      <c r="C428" s="8" t="s">
        <v>1</v>
      </c>
      <c r="D428" s="22">
        <v>11</v>
      </c>
      <c r="BK428" s="4"/>
      <c r="BL428" s="4"/>
      <c r="BM428" s="4"/>
      <c r="BN428" s="4"/>
    </row>
    <row r="429" spans="1:66" ht="15" customHeight="1">
      <c r="A429" s="19" t="str">
        <f t="shared" ref="A429:A434" si="38">$R$2&amp;".IOFX"</f>
        <v>FB_IMv_S.IOFX</v>
      </c>
      <c r="B429" s="11">
        <v>7999</v>
      </c>
      <c r="C429" s="11" t="s">
        <v>0</v>
      </c>
      <c r="D429" s="20" t="str">
        <f>"#"&amp;$S$2&amp;"#"&amp;$T$2&amp;"\"&amp;$P$2&amp;"\IOFX"</f>
        <v>#1#treiOPCDA.CoOPCserv.1\pcmaster\KMZ1\IOFX</v>
      </c>
      <c r="BK429" s="4"/>
      <c r="BL429" s="4"/>
      <c r="BM429" s="4"/>
      <c r="BN429" s="4"/>
    </row>
    <row r="430" spans="1:66" ht="15" customHeight="1">
      <c r="A430" s="19" t="str">
        <f t="shared" si="38"/>
        <v>FB_IMv_S.IOFX</v>
      </c>
      <c r="B430" s="11">
        <v>7998</v>
      </c>
      <c r="C430" s="11" t="s">
        <v>6</v>
      </c>
      <c r="D430" s="20">
        <v>1</v>
      </c>
      <c r="BK430" s="4"/>
      <c r="BL430" s="4"/>
      <c r="BM430" s="4"/>
      <c r="BN430" s="4"/>
    </row>
    <row r="431" spans="1:66" ht="15" customHeight="1">
      <c r="A431" s="19" t="str">
        <f t="shared" si="38"/>
        <v>FB_IMv_S.IOFX</v>
      </c>
      <c r="B431" s="11">
        <v>101</v>
      </c>
      <c r="C431" s="11" t="s">
        <v>0</v>
      </c>
      <c r="D431" s="20" t="str">
        <f>"Входное значение  Закрыт" &amp;" (физ сигнал)"</f>
        <v>Входное значение  Закрыт (физ сигнал)</v>
      </c>
      <c r="BK431" s="4"/>
      <c r="BL431" s="4"/>
      <c r="BM431" s="4"/>
      <c r="BN431" s="4"/>
    </row>
    <row r="432" spans="1:66" ht="15" customHeight="1">
      <c r="A432" s="19" t="str">
        <f t="shared" si="38"/>
        <v>FB_IMv_S.IOFX</v>
      </c>
      <c r="B432" s="11">
        <v>3</v>
      </c>
      <c r="C432" s="11" t="s">
        <v>1</v>
      </c>
      <c r="D432" s="20">
        <v>192</v>
      </c>
      <c r="BK432" s="4"/>
      <c r="BL432" s="4"/>
      <c r="BM432" s="4"/>
      <c r="BN432" s="4"/>
    </row>
    <row r="433" spans="1:66" ht="15" customHeight="1">
      <c r="A433" s="19" t="str">
        <f t="shared" si="38"/>
        <v>FB_IMv_S.IOFX</v>
      </c>
      <c r="B433" s="11">
        <v>2</v>
      </c>
      <c r="C433" s="11" t="s">
        <v>2</v>
      </c>
      <c r="D433" s="20" t="s">
        <v>3</v>
      </c>
      <c r="BK433" s="4"/>
      <c r="BL433" s="4"/>
      <c r="BM433" s="4"/>
      <c r="BN433" s="4"/>
    </row>
    <row r="434" spans="1:66" ht="15" customHeight="1">
      <c r="A434" s="21" t="str">
        <f t="shared" si="38"/>
        <v>FB_IMv_S.IOFX</v>
      </c>
      <c r="B434" s="8">
        <v>1</v>
      </c>
      <c r="C434" s="8" t="s">
        <v>1</v>
      </c>
      <c r="D434" s="22">
        <v>11</v>
      </c>
      <c r="BK434" s="4"/>
      <c r="BL434" s="4"/>
      <c r="BM434" s="4"/>
      <c r="BN434" s="4"/>
    </row>
    <row r="435" spans="1:66" ht="15" customHeight="1">
      <c r="A435" s="19" t="str">
        <f t="shared" ref="A435:A440" si="39">$R$2&amp;".IRCX"</f>
        <v>FB_IMv_S.IRCX</v>
      </c>
      <c r="B435" s="11">
        <v>7999</v>
      </c>
      <c r="C435" s="11" t="s">
        <v>0</v>
      </c>
      <c r="D435" s="20" t="str">
        <f>"#"&amp;$S$2&amp;"#"&amp;$T$2&amp;"\"&amp;$P$2&amp;"\IRCX"</f>
        <v>#1#treiOPCDA.CoOPCserv.1\pcmaster\KMZ1\IRCX</v>
      </c>
      <c r="BK435" s="4"/>
      <c r="BL435" s="4"/>
      <c r="BM435" s="4"/>
      <c r="BN435" s="4"/>
    </row>
    <row r="436" spans="1:66" ht="15" customHeight="1">
      <c r="A436" s="19" t="str">
        <f t="shared" si="39"/>
        <v>FB_IMv_S.IRCX</v>
      </c>
      <c r="B436" s="11">
        <v>7998</v>
      </c>
      <c r="C436" s="11" t="s">
        <v>6</v>
      </c>
      <c r="D436" s="20">
        <v>1</v>
      </c>
      <c r="BK436" s="4"/>
      <c r="BL436" s="4"/>
      <c r="BM436" s="4"/>
      <c r="BN436" s="4"/>
    </row>
    <row r="437" spans="1:66" ht="15" customHeight="1">
      <c r="A437" s="19" t="str">
        <f t="shared" si="39"/>
        <v>FB_IMv_S.IRCX</v>
      </c>
      <c r="B437" s="11">
        <v>101</v>
      </c>
      <c r="C437" s="11" t="s">
        <v>0</v>
      </c>
      <c r="D437" s="20" t="s">
        <v>576</v>
      </c>
      <c r="BK437" s="4"/>
      <c r="BL437" s="4"/>
      <c r="BM437" s="4"/>
      <c r="BN437" s="4"/>
    </row>
    <row r="438" spans="1:66" ht="15" customHeight="1">
      <c r="A438" s="19" t="str">
        <f t="shared" si="39"/>
        <v>FB_IMv_S.IRCX</v>
      </c>
      <c r="B438" s="11">
        <v>3</v>
      </c>
      <c r="C438" s="11" t="s">
        <v>1</v>
      </c>
      <c r="D438" s="20">
        <v>192</v>
      </c>
      <c r="BK438" s="4"/>
      <c r="BL438" s="4"/>
      <c r="BM438" s="4"/>
      <c r="BN438" s="4"/>
    </row>
    <row r="439" spans="1:66" ht="15" customHeight="1">
      <c r="A439" s="19" t="str">
        <f t="shared" si="39"/>
        <v>FB_IMv_S.IRCX</v>
      </c>
      <c r="B439" s="11">
        <v>2</v>
      </c>
      <c r="C439" s="11" t="s">
        <v>2</v>
      </c>
      <c r="D439" s="20" t="s">
        <v>3</v>
      </c>
      <c r="BK439" s="4"/>
      <c r="BL439" s="4"/>
      <c r="BM439" s="4"/>
      <c r="BN439" s="4"/>
    </row>
    <row r="440" spans="1:66" ht="15" customHeight="1">
      <c r="A440" s="21" t="str">
        <f t="shared" si="39"/>
        <v>FB_IMv_S.IRCX</v>
      </c>
      <c r="B440" s="8">
        <v>1</v>
      </c>
      <c r="C440" s="8" t="s">
        <v>1</v>
      </c>
      <c r="D440" s="22">
        <v>11</v>
      </c>
      <c r="BK440" s="4"/>
      <c r="BL440" s="4"/>
      <c r="BM440" s="4"/>
      <c r="BN440" s="4"/>
    </row>
    <row r="441" spans="1:66" ht="15" customHeight="1">
      <c r="A441" s="19" t="str">
        <f t="shared" ref="A441:A446" si="40">$R$2&amp;".OXON"</f>
        <v>FB_IMv_S.OXON</v>
      </c>
      <c r="B441" s="11">
        <v>7999</v>
      </c>
      <c r="C441" s="11" t="s">
        <v>0</v>
      </c>
      <c r="D441" s="20" t="str">
        <f>"#"&amp;$S$2&amp;"#"&amp;$T$2&amp;"\"&amp;$P$2&amp;"\OXON"</f>
        <v>#1#treiOPCDA.CoOPCserv.1\pcmaster\KMZ1\OXON</v>
      </c>
      <c r="BK441" s="4"/>
      <c r="BL441" s="4"/>
      <c r="BM441" s="4"/>
      <c r="BN441" s="4"/>
    </row>
    <row r="442" spans="1:66" ht="15" customHeight="1">
      <c r="A442" s="19" t="str">
        <f t="shared" si="40"/>
        <v>FB_IMv_S.OXON</v>
      </c>
      <c r="B442" s="11">
        <v>7998</v>
      </c>
      <c r="C442" s="11" t="s">
        <v>6</v>
      </c>
      <c r="D442" s="20">
        <v>1</v>
      </c>
      <c r="BK442" s="4"/>
      <c r="BL442" s="4"/>
      <c r="BM442" s="4"/>
      <c r="BN442" s="4"/>
    </row>
    <row r="443" spans="1:66" ht="15" customHeight="1">
      <c r="A443" s="19" t="str">
        <f t="shared" si="40"/>
        <v>FB_IMv_S.OXON</v>
      </c>
      <c r="B443" s="11">
        <v>101</v>
      </c>
      <c r="C443" s="11" t="s">
        <v>0</v>
      </c>
      <c r="D443" s="20" t="str">
        <f>"Выходное значение Открыть"</f>
        <v>Выходное значение Открыть</v>
      </c>
      <c r="BK443" s="4"/>
      <c r="BL443" s="4"/>
      <c r="BM443" s="4"/>
      <c r="BN443" s="4"/>
    </row>
    <row r="444" spans="1:66" ht="15" customHeight="1">
      <c r="A444" s="19" t="str">
        <f t="shared" si="40"/>
        <v>FB_IMv_S.OXON</v>
      </c>
      <c r="B444" s="11">
        <v>3</v>
      </c>
      <c r="C444" s="11" t="s">
        <v>1</v>
      </c>
      <c r="D444" s="20">
        <v>192</v>
      </c>
      <c r="BK444" s="4"/>
      <c r="BL444" s="4"/>
      <c r="BM444" s="4"/>
      <c r="BN444" s="4"/>
    </row>
    <row r="445" spans="1:66" ht="15" customHeight="1">
      <c r="A445" s="19" t="str">
        <f t="shared" si="40"/>
        <v>FB_IMv_S.OXON</v>
      </c>
      <c r="B445" s="11">
        <v>2</v>
      </c>
      <c r="C445" s="11" t="s">
        <v>2</v>
      </c>
      <c r="D445" s="20" t="s">
        <v>3</v>
      </c>
      <c r="BK445" s="4"/>
      <c r="BL445" s="4"/>
      <c r="BM445" s="4"/>
      <c r="BN445" s="4"/>
    </row>
    <row r="446" spans="1:66" ht="15" customHeight="1">
      <c r="A446" s="21" t="str">
        <f t="shared" si="40"/>
        <v>FB_IMv_S.OXON</v>
      </c>
      <c r="B446" s="8">
        <v>1</v>
      </c>
      <c r="C446" s="8" t="s">
        <v>1</v>
      </c>
      <c r="D446" s="22">
        <v>11</v>
      </c>
      <c r="BK446" s="4"/>
      <c r="BL446" s="4"/>
      <c r="BM446" s="4"/>
      <c r="BN446" s="4"/>
    </row>
    <row r="447" spans="1:66" ht="15" customHeight="1">
      <c r="A447" s="19" t="str">
        <f t="shared" ref="A447:A452" si="41">$R$2&amp;".OXOF"</f>
        <v>FB_IMv_S.OXOF</v>
      </c>
      <c r="B447" s="11">
        <v>7999</v>
      </c>
      <c r="C447" s="11" t="s">
        <v>0</v>
      </c>
      <c r="D447" s="20" t="str">
        <f>"#"&amp;$S$2&amp;"#"&amp;$T$2&amp;"\"&amp;$P$2&amp;"\OXOF"</f>
        <v>#1#treiOPCDA.CoOPCserv.1\pcmaster\KMZ1\OXOF</v>
      </c>
      <c r="BK447" s="4"/>
      <c r="BL447" s="4"/>
      <c r="BM447" s="4"/>
      <c r="BN447" s="4"/>
    </row>
    <row r="448" spans="1:66" ht="15" customHeight="1">
      <c r="A448" s="19" t="str">
        <f t="shared" si="41"/>
        <v>FB_IMv_S.OXOF</v>
      </c>
      <c r="B448" s="11">
        <v>7998</v>
      </c>
      <c r="C448" s="11" t="s">
        <v>6</v>
      </c>
      <c r="D448" s="20">
        <v>1</v>
      </c>
      <c r="BK448" s="4"/>
      <c r="BL448" s="4"/>
      <c r="BM448" s="4"/>
      <c r="BN448" s="4"/>
    </row>
    <row r="449" spans="1:66" ht="15" customHeight="1">
      <c r="A449" s="19" t="str">
        <f t="shared" si="41"/>
        <v>FB_IMv_S.OXOF</v>
      </c>
      <c r="B449" s="11">
        <v>101</v>
      </c>
      <c r="C449" s="11" t="s">
        <v>0</v>
      </c>
      <c r="D449" s="20" t="str">
        <f>"Выходное значение Закрыть"</f>
        <v>Выходное значение Закрыть</v>
      </c>
      <c r="BK449" s="4"/>
      <c r="BL449" s="4"/>
      <c r="BM449" s="4"/>
      <c r="BN449" s="4"/>
    </row>
    <row r="450" spans="1:66" ht="15" customHeight="1">
      <c r="A450" s="19" t="str">
        <f t="shared" si="41"/>
        <v>FB_IMv_S.OXOF</v>
      </c>
      <c r="B450" s="11">
        <v>3</v>
      </c>
      <c r="C450" s="11" t="s">
        <v>1</v>
      </c>
      <c r="D450" s="20">
        <v>192</v>
      </c>
      <c r="BK450" s="4"/>
      <c r="BL450" s="4"/>
      <c r="BM450" s="4"/>
      <c r="BN450" s="4"/>
    </row>
    <row r="451" spans="1:66" ht="15" customHeight="1">
      <c r="A451" s="19" t="str">
        <f t="shared" si="41"/>
        <v>FB_IMv_S.OXOF</v>
      </c>
      <c r="B451" s="11">
        <v>2</v>
      </c>
      <c r="C451" s="11" t="s">
        <v>2</v>
      </c>
      <c r="D451" s="20" t="s">
        <v>3</v>
      </c>
      <c r="BK451" s="4"/>
      <c r="BL451" s="4"/>
      <c r="BM451" s="4"/>
      <c r="BN451" s="4"/>
    </row>
    <row r="452" spans="1:66" ht="15" customHeight="1">
      <c r="A452" s="21" t="str">
        <f t="shared" si="41"/>
        <v>FB_IMv_S.OXOF</v>
      </c>
      <c r="B452" s="8">
        <v>1</v>
      </c>
      <c r="C452" s="8" t="s">
        <v>1</v>
      </c>
      <c r="D452" s="22">
        <v>11</v>
      </c>
      <c r="BK452" s="4"/>
      <c r="BL452" s="4"/>
      <c r="BM452" s="4"/>
      <c r="BN452" s="4"/>
    </row>
    <row r="453" spans="1:66" ht="15" customHeight="1">
      <c r="A453" s="19" t="str">
        <f t="shared" ref="A453:A458" si="42">$R$2&amp;".XONP"</f>
        <v>FB_IMv_S.XONP</v>
      </c>
      <c r="B453" s="11">
        <v>7999</v>
      </c>
      <c r="C453" s="11" t="s">
        <v>0</v>
      </c>
      <c r="D453" s="20" t="str">
        <f>"#"&amp;$S$2&amp;"#"&amp;$T$2&amp;"\"&amp;$P$2&amp;"\XONP"</f>
        <v>#1#treiOPCDA.CoOPCserv.1\pcmaster\KMZ1\XONP</v>
      </c>
      <c r="BK453" s="4"/>
      <c r="BL453" s="4"/>
      <c r="BM453" s="4"/>
      <c r="BN453" s="4"/>
    </row>
    <row r="454" spans="1:66" ht="15" customHeight="1">
      <c r="A454" s="19" t="str">
        <f t="shared" si="42"/>
        <v>FB_IMv_S.XONP</v>
      </c>
      <c r="B454" s="11">
        <v>7998</v>
      </c>
      <c r="C454" s="11" t="s">
        <v>6</v>
      </c>
      <c r="D454" s="20">
        <v>1</v>
      </c>
      <c r="BK454" s="4"/>
      <c r="BL454" s="4"/>
      <c r="BM454" s="4"/>
      <c r="BN454" s="4"/>
    </row>
    <row r="455" spans="1:66" ht="15" customHeight="1">
      <c r="A455" s="19" t="str">
        <f t="shared" si="42"/>
        <v>FB_IMv_S.XONP</v>
      </c>
      <c r="B455" s="11">
        <v>101</v>
      </c>
      <c r="C455" s="11" t="s">
        <v>0</v>
      </c>
      <c r="D455" s="20" t="str">
        <f>"Выходное значение Открывается"</f>
        <v>Выходное значение Открывается</v>
      </c>
      <c r="BK455" s="4"/>
      <c r="BL455" s="4"/>
      <c r="BM455" s="4"/>
      <c r="BN455" s="4"/>
    </row>
    <row r="456" spans="1:66" ht="15" customHeight="1">
      <c r="A456" s="19" t="str">
        <f t="shared" si="42"/>
        <v>FB_IMv_S.XONP</v>
      </c>
      <c r="B456" s="11">
        <v>3</v>
      </c>
      <c r="C456" s="11" t="s">
        <v>1</v>
      </c>
      <c r="D456" s="20">
        <v>192</v>
      </c>
      <c r="BK456" s="4"/>
      <c r="BL456" s="4"/>
      <c r="BM456" s="4"/>
      <c r="BN456" s="4"/>
    </row>
    <row r="457" spans="1:66" ht="15" customHeight="1">
      <c r="A457" s="19" t="str">
        <f t="shared" si="42"/>
        <v>FB_IMv_S.XONP</v>
      </c>
      <c r="B457" s="11">
        <v>2</v>
      </c>
      <c r="C457" s="11" t="s">
        <v>2</v>
      </c>
      <c r="D457" s="20" t="s">
        <v>3</v>
      </c>
      <c r="BK457" s="4"/>
      <c r="BL457" s="4"/>
      <c r="BM457" s="4"/>
      <c r="BN457" s="4"/>
    </row>
    <row r="458" spans="1:66" ht="15" customHeight="1">
      <c r="A458" s="21" t="str">
        <f t="shared" si="42"/>
        <v>FB_IMv_S.XONP</v>
      </c>
      <c r="B458" s="8">
        <v>1</v>
      </c>
      <c r="C458" s="8" t="s">
        <v>1</v>
      </c>
      <c r="D458" s="22">
        <v>11</v>
      </c>
      <c r="BK458" s="4"/>
      <c r="BL458" s="4"/>
      <c r="BM458" s="4"/>
      <c r="BN458" s="4"/>
    </row>
    <row r="459" spans="1:66" ht="15" customHeight="1">
      <c r="A459" s="19" t="str">
        <f t="shared" ref="A459:A464" si="43">$R$2&amp;".XOFP"</f>
        <v>FB_IMv_S.XOFP</v>
      </c>
      <c r="B459" s="11">
        <v>7999</v>
      </c>
      <c r="C459" s="11" t="s">
        <v>0</v>
      </c>
      <c r="D459" s="20" t="str">
        <f>"#"&amp;$S$2&amp;"#"&amp;$T$2&amp;"\"&amp;$P$2&amp;"\XOFP"</f>
        <v>#1#treiOPCDA.CoOPCserv.1\pcmaster\KMZ1\XOFP</v>
      </c>
      <c r="BK459" s="4"/>
      <c r="BL459" s="4"/>
      <c r="BM459" s="4"/>
      <c r="BN459" s="4"/>
    </row>
    <row r="460" spans="1:66" ht="15" customHeight="1">
      <c r="A460" s="19" t="str">
        <f t="shared" si="43"/>
        <v>FB_IMv_S.XOFP</v>
      </c>
      <c r="B460" s="11">
        <v>7998</v>
      </c>
      <c r="C460" s="11" t="s">
        <v>6</v>
      </c>
      <c r="D460" s="20">
        <v>1</v>
      </c>
      <c r="BK460" s="4"/>
      <c r="BL460" s="4"/>
      <c r="BM460" s="4"/>
      <c r="BN460" s="4"/>
    </row>
    <row r="461" spans="1:66" ht="15" customHeight="1">
      <c r="A461" s="19" t="str">
        <f t="shared" si="43"/>
        <v>FB_IMv_S.XOFP</v>
      </c>
      <c r="B461" s="11">
        <v>101</v>
      </c>
      <c r="C461" s="11" t="s">
        <v>0</v>
      </c>
      <c r="D461" s="20" t="str">
        <f>"Выходное значение Закрывается"</f>
        <v>Выходное значение Закрывается</v>
      </c>
      <c r="BK461" s="4"/>
      <c r="BL461" s="4"/>
      <c r="BM461" s="4"/>
      <c r="BN461" s="4"/>
    </row>
    <row r="462" spans="1:66" ht="15" customHeight="1">
      <c r="A462" s="19" t="str">
        <f t="shared" si="43"/>
        <v>FB_IMv_S.XOFP</v>
      </c>
      <c r="B462" s="11">
        <v>3</v>
      </c>
      <c r="C462" s="11" t="s">
        <v>1</v>
      </c>
      <c r="D462" s="20">
        <v>192</v>
      </c>
      <c r="BK462" s="4"/>
      <c r="BL462" s="4"/>
      <c r="BM462" s="4"/>
      <c r="BN462" s="4"/>
    </row>
    <row r="463" spans="1:66" ht="15" customHeight="1">
      <c r="A463" s="19" t="str">
        <f t="shared" si="43"/>
        <v>FB_IMv_S.XOFP</v>
      </c>
      <c r="B463" s="11">
        <v>2</v>
      </c>
      <c r="C463" s="11" t="s">
        <v>2</v>
      </c>
      <c r="D463" s="20" t="s">
        <v>3</v>
      </c>
      <c r="BK463" s="4"/>
      <c r="BL463" s="4"/>
      <c r="BM463" s="4"/>
      <c r="BN463" s="4"/>
    </row>
    <row r="464" spans="1:66" ht="15" customHeight="1">
      <c r="A464" s="21" t="str">
        <f t="shared" si="43"/>
        <v>FB_IMv_S.XOFP</v>
      </c>
      <c r="B464" s="8">
        <v>1</v>
      </c>
      <c r="C464" s="8" t="s">
        <v>1</v>
      </c>
      <c r="D464" s="22">
        <v>11</v>
      </c>
      <c r="BK464" s="4"/>
      <c r="BL464" s="4"/>
      <c r="BM464" s="4"/>
      <c r="BN464" s="4"/>
    </row>
    <row r="465" spans="1:66" ht="15" customHeight="1">
      <c r="A465" s="19" t="str">
        <f t="shared" ref="A465:A470" si="44">$R$2&amp;".XSPP"</f>
        <v>FB_IMv_S.XSPP</v>
      </c>
      <c r="B465" s="11">
        <v>7999</v>
      </c>
      <c r="C465" s="11" t="s">
        <v>0</v>
      </c>
      <c r="D465" s="20" t="str">
        <f>"#"&amp;$S$2&amp;"#"&amp;$T$2&amp;"\"&amp;$P$2&amp;"\XSPP"</f>
        <v>#1#treiOPCDA.CoOPCserv.1\pcmaster\KMZ1\XSPP</v>
      </c>
      <c r="BK465" s="4"/>
      <c r="BL465" s="4"/>
      <c r="BM465" s="4"/>
      <c r="BN465" s="4"/>
    </row>
    <row r="466" spans="1:66" ht="15" customHeight="1">
      <c r="A466" s="19" t="str">
        <f t="shared" si="44"/>
        <v>FB_IMv_S.XSPP</v>
      </c>
      <c r="B466" s="11">
        <v>7998</v>
      </c>
      <c r="C466" s="11" t="s">
        <v>6</v>
      </c>
      <c r="D466" s="20">
        <v>1</v>
      </c>
      <c r="BK466" s="4"/>
      <c r="BL466" s="4"/>
      <c r="BM466" s="4"/>
      <c r="BN466" s="4"/>
    </row>
    <row r="467" spans="1:66" ht="15" customHeight="1">
      <c r="A467" s="19" t="str">
        <f t="shared" si="44"/>
        <v>FB_IMv_S.XSPP</v>
      </c>
      <c r="B467" s="11">
        <v>101</v>
      </c>
      <c r="C467" s="11" t="s">
        <v>0</v>
      </c>
      <c r="D467" s="20" t="s">
        <v>171</v>
      </c>
      <c r="BK467" s="4"/>
      <c r="BL467" s="4"/>
      <c r="BM467" s="4"/>
      <c r="BN467" s="4"/>
    </row>
    <row r="468" spans="1:66" ht="15" customHeight="1">
      <c r="A468" s="19" t="str">
        <f t="shared" si="44"/>
        <v>FB_IMv_S.XSPP</v>
      </c>
      <c r="B468" s="11">
        <v>3</v>
      </c>
      <c r="C468" s="11" t="s">
        <v>1</v>
      </c>
      <c r="D468" s="20">
        <v>192</v>
      </c>
      <c r="BK468" s="4"/>
      <c r="BL468" s="4"/>
      <c r="BM468" s="4"/>
      <c r="BN468" s="4"/>
    </row>
    <row r="469" spans="1:66" ht="15" customHeight="1">
      <c r="A469" s="19" t="str">
        <f t="shared" si="44"/>
        <v>FB_IMv_S.XSPP</v>
      </c>
      <c r="B469" s="11">
        <v>2</v>
      </c>
      <c r="C469" s="11" t="s">
        <v>2</v>
      </c>
      <c r="D469" s="20" t="s">
        <v>3</v>
      </c>
      <c r="BK469" s="4"/>
      <c r="BL469" s="4"/>
      <c r="BM469" s="4"/>
      <c r="BN469" s="4"/>
    </row>
    <row r="470" spans="1:66" ht="15" customHeight="1">
      <c r="A470" s="21" t="str">
        <f t="shared" si="44"/>
        <v>FB_IMv_S.XSPP</v>
      </c>
      <c r="B470" s="8">
        <v>1</v>
      </c>
      <c r="C470" s="8" t="s">
        <v>1</v>
      </c>
      <c r="D470" s="22">
        <v>11</v>
      </c>
      <c r="BK470" s="4"/>
      <c r="BL470" s="4"/>
      <c r="BM470" s="4"/>
      <c r="BN470" s="4"/>
    </row>
    <row r="471" spans="1:66" ht="15" customHeight="1">
      <c r="A471" s="19" t="str">
        <f t="shared" ref="A471:A476" si="45">$R$2&amp;".XPRP"</f>
        <v>FB_IMv_S.XPRP</v>
      </c>
      <c r="B471" s="11">
        <v>7999</v>
      </c>
      <c r="C471" s="11" t="s">
        <v>0</v>
      </c>
      <c r="D471" s="20" t="str">
        <f>"#"&amp;$S$2&amp;"#"&amp;$T$2&amp;"\"&amp;$P$2&amp;"\XPRP"</f>
        <v>#1#treiOPCDA.CoOPCserv.1\pcmaster\KMZ1\XPRP</v>
      </c>
      <c r="BK471" s="4"/>
      <c r="BL471" s="4"/>
      <c r="BM471" s="4"/>
      <c r="BN471" s="4"/>
    </row>
    <row r="472" spans="1:66" ht="15" customHeight="1">
      <c r="A472" s="19" t="str">
        <f t="shared" si="45"/>
        <v>FB_IMv_S.XPRP</v>
      </c>
      <c r="B472" s="11">
        <v>7998</v>
      </c>
      <c r="C472" s="11" t="s">
        <v>6</v>
      </c>
      <c r="D472" s="20">
        <v>1</v>
      </c>
      <c r="BK472" s="4"/>
      <c r="BL472" s="4"/>
      <c r="BM472" s="4"/>
      <c r="BN472" s="4"/>
    </row>
    <row r="473" spans="1:66" ht="15" customHeight="1">
      <c r="A473" s="19" t="str">
        <f t="shared" si="45"/>
        <v>FB_IMv_S.XPRP</v>
      </c>
      <c r="B473" s="11">
        <v>101</v>
      </c>
      <c r="C473" s="11" t="s">
        <v>0</v>
      </c>
      <c r="D473" s="20" t="s">
        <v>135</v>
      </c>
      <c r="BK473" s="4"/>
      <c r="BL473" s="4"/>
      <c r="BM473" s="4"/>
      <c r="BN473" s="4"/>
    </row>
    <row r="474" spans="1:66" ht="15" customHeight="1">
      <c r="A474" s="19" t="str">
        <f t="shared" si="45"/>
        <v>FB_IMv_S.XPRP</v>
      </c>
      <c r="B474" s="11">
        <v>3</v>
      </c>
      <c r="C474" s="11" t="s">
        <v>1</v>
      </c>
      <c r="D474" s="20">
        <v>192</v>
      </c>
      <c r="BK474" s="4"/>
      <c r="BL474" s="4"/>
      <c r="BM474" s="4"/>
      <c r="BN474" s="4"/>
    </row>
    <row r="475" spans="1:66" ht="15" customHeight="1">
      <c r="A475" s="19" t="str">
        <f t="shared" si="45"/>
        <v>FB_IMv_S.XPRP</v>
      </c>
      <c r="B475" s="11">
        <v>2</v>
      </c>
      <c r="C475" s="11" t="s">
        <v>2</v>
      </c>
      <c r="D475" s="20" t="s">
        <v>3</v>
      </c>
      <c r="BK475" s="4"/>
      <c r="BL475" s="4"/>
      <c r="BM475" s="4"/>
      <c r="BN475" s="4"/>
    </row>
    <row r="476" spans="1:66" ht="15" customHeight="1">
      <c r="A476" s="21" t="str">
        <f t="shared" si="45"/>
        <v>FB_IMv_S.XPRP</v>
      </c>
      <c r="B476" s="8">
        <v>1</v>
      </c>
      <c r="C476" s="8" t="s">
        <v>1</v>
      </c>
      <c r="D476" s="22">
        <v>11</v>
      </c>
      <c r="BK476" s="4"/>
      <c r="BL476" s="4"/>
      <c r="BM476" s="4"/>
      <c r="BN476" s="4"/>
    </row>
    <row r="477" spans="1:66" ht="15" customHeight="1">
      <c r="A477" s="19" t="str">
        <f t="shared" ref="A477:A482" si="46">$R$2&amp;".OCON"</f>
        <v>FB_IMv_S.OCON</v>
      </c>
      <c r="B477" s="11">
        <v>7999</v>
      </c>
      <c r="C477" s="11" t="s">
        <v>0</v>
      </c>
      <c r="D477" s="20" t="str">
        <f>"#"&amp;$S$2&amp;"#"&amp;$T$2&amp;"\"&amp;$P$2&amp;"\OCON"</f>
        <v>#1#treiOPCDA.CoOPCserv.1\pcmaster\KMZ1\OCON</v>
      </c>
      <c r="BK477" s="4"/>
      <c r="BL477" s="4"/>
      <c r="BM477" s="4"/>
      <c r="BN477" s="4"/>
    </row>
    <row r="478" spans="1:66" ht="15" customHeight="1">
      <c r="A478" s="19" t="str">
        <f t="shared" si="46"/>
        <v>FB_IMv_S.OCON</v>
      </c>
      <c r="B478" s="11">
        <v>7998</v>
      </c>
      <c r="C478" s="11" t="s">
        <v>6</v>
      </c>
      <c r="D478" s="20">
        <v>1</v>
      </c>
      <c r="BK478" s="4"/>
      <c r="BL478" s="4"/>
      <c r="BM478" s="4"/>
      <c r="BN478" s="4"/>
    </row>
    <row r="479" spans="1:66" ht="15" customHeight="1">
      <c r="A479" s="19" t="str">
        <f t="shared" si="46"/>
        <v>FB_IMv_S.OCON</v>
      </c>
      <c r="B479" s="11">
        <v>101</v>
      </c>
      <c r="C479" s="11" t="s">
        <v>0</v>
      </c>
      <c r="D479" s="20" t="str">
        <f>"Постоянная команда Открыть"</f>
        <v>Постоянная команда Открыть</v>
      </c>
      <c r="BK479" s="4"/>
      <c r="BL479" s="4"/>
      <c r="BM479" s="4"/>
      <c r="BN479" s="4"/>
    </row>
    <row r="480" spans="1:66" ht="15" customHeight="1">
      <c r="A480" s="19" t="str">
        <f t="shared" si="46"/>
        <v>FB_IMv_S.OCON</v>
      </c>
      <c r="B480" s="11">
        <v>3</v>
      </c>
      <c r="C480" s="11" t="s">
        <v>1</v>
      </c>
      <c r="D480" s="20">
        <v>192</v>
      </c>
      <c r="BK480" s="4"/>
      <c r="BL480" s="4"/>
      <c r="BM480" s="4"/>
      <c r="BN480" s="4"/>
    </row>
    <row r="481" spans="1:66" ht="15" customHeight="1">
      <c r="A481" s="19" t="str">
        <f t="shared" si="46"/>
        <v>FB_IMv_S.OCON</v>
      </c>
      <c r="B481" s="11">
        <v>2</v>
      </c>
      <c r="C481" s="11" t="s">
        <v>2</v>
      </c>
      <c r="D481" s="20" t="s">
        <v>3</v>
      </c>
      <c r="BK481" s="4"/>
      <c r="BL481" s="4"/>
      <c r="BM481" s="4"/>
      <c r="BN481" s="4"/>
    </row>
    <row r="482" spans="1:66" ht="15" customHeight="1">
      <c r="A482" s="21" t="str">
        <f t="shared" si="46"/>
        <v>FB_IMv_S.OCON</v>
      </c>
      <c r="B482" s="8">
        <v>1</v>
      </c>
      <c r="C482" s="8" t="s">
        <v>1</v>
      </c>
      <c r="D482" s="22">
        <v>11</v>
      </c>
      <c r="BK482" s="4"/>
      <c r="BL482" s="4"/>
      <c r="BM482" s="4"/>
      <c r="BN482" s="4"/>
    </row>
    <row r="483" spans="1:66" ht="15" customHeight="1">
      <c r="A483" s="19" t="str">
        <f t="shared" ref="A483:A488" si="47">$R$2&amp;".OCOF"</f>
        <v>FB_IMv_S.OCOF</v>
      </c>
      <c r="B483" s="11">
        <v>7999</v>
      </c>
      <c r="C483" s="11" t="s">
        <v>0</v>
      </c>
      <c r="D483" s="20" t="str">
        <f>"#"&amp;$S$2&amp;"#"&amp;$T$2&amp;"\"&amp;$P$2&amp;"\OCOF"</f>
        <v>#1#treiOPCDA.CoOPCserv.1\pcmaster\KMZ1\OCOF</v>
      </c>
      <c r="BK483" s="4"/>
      <c r="BL483" s="4"/>
      <c r="BM483" s="4"/>
      <c r="BN483" s="4"/>
    </row>
    <row r="484" spans="1:66" ht="15" customHeight="1">
      <c r="A484" s="19" t="str">
        <f t="shared" si="47"/>
        <v>FB_IMv_S.OCOF</v>
      </c>
      <c r="B484" s="11">
        <v>7998</v>
      </c>
      <c r="C484" s="11" t="s">
        <v>6</v>
      </c>
      <c r="D484" s="20">
        <v>1</v>
      </c>
      <c r="BK484" s="4"/>
      <c r="BL484" s="4"/>
      <c r="BM484" s="4"/>
      <c r="BN484" s="4"/>
    </row>
    <row r="485" spans="1:66" ht="15" customHeight="1">
      <c r="A485" s="19" t="str">
        <f t="shared" si="47"/>
        <v>FB_IMv_S.OCOF</v>
      </c>
      <c r="B485" s="11">
        <v>101</v>
      </c>
      <c r="C485" s="11" t="s">
        <v>0</v>
      </c>
      <c r="D485" s="20" t="str">
        <f>"Постоянная команда  Закрыть"</f>
        <v>Постоянная команда  Закрыть</v>
      </c>
      <c r="BK485" s="4"/>
      <c r="BL485" s="4"/>
      <c r="BM485" s="4"/>
      <c r="BN485" s="4"/>
    </row>
    <row r="486" spans="1:66" ht="15" customHeight="1">
      <c r="A486" s="19" t="str">
        <f t="shared" si="47"/>
        <v>FB_IMv_S.OCOF</v>
      </c>
      <c r="B486" s="11">
        <v>3</v>
      </c>
      <c r="C486" s="11" t="s">
        <v>1</v>
      </c>
      <c r="D486" s="20">
        <v>192</v>
      </c>
      <c r="BK486" s="4"/>
      <c r="BL486" s="4"/>
      <c r="BM486" s="4"/>
      <c r="BN486" s="4"/>
    </row>
    <row r="487" spans="1:66" ht="15" customHeight="1">
      <c r="A487" s="19" t="str">
        <f t="shared" si="47"/>
        <v>FB_IMv_S.OCOF</v>
      </c>
      <c r="B487" s="11">
        <v>2</v>
      </c>
      <c r="C487" s="11" t="s">
        <v>2</v>
      </c>
      <c r="D487" s="20" t="s">
        <v>3</v>
      </c>
      <c r="BK487" s="4"/>
      <c r="BL487" s="4"/>
      <c r="BM487" s="4"/>
      <c r="BN487" s="4"/>
    </row>
    <row r="488" spans="1:66" ht="15" customHeight="1">
      <c r="A488" s="21" t="str">
        <f t="shared" si="47"/>
        <v>FB_IMv_S.OCOF</v>
      </c>
      <c r="B488" s="8">
        <v>1</v>
      </c>
      <c r="C488" s="8" t="s">
        <v>1</v>
      </c>
      <c r="D488" s="22">
        <v>11</v>
      </c>
      <c r="BK488" s="4"/>
      <c r="BL488" s="4"/>
      <c r="BM488" s="4"/>
      <c r="BN488" s="4"/>
    </row>
    <row r="489" spans="1:66">
      <c r="A489" s="19" t="str">
        <f t="shared" ref="A489:A494" si="48">$R$2&amp;".CPMM"</f>
        <v>FB_IMv_S.CPMM</v>
      </c>
      <c r="B489" s="11">
        <v>7999</v>
      </c>
      <c r="C489" s="11" t="s">
        <v>0</v>
      </c>
      <c r="D489" s="20" t="str">
        <f>"#"&amp;$S$2&amp;"#"&amp;$T$2&amp;"\"&amp;$P$2&amp;"\CPMM"</f>
        <v>#1#treiOPCDA.CoOPCserv.1\pcmaster\KMZ1\CPMM</v>
      </c>
    </row>
    <row r="490" spans="1:66">
      <c r="A490" s="19" t="str">
        <f t="shared" si="48"/>
        <v>FB_IMv_S.CPMM</v>
      </c>
      <c r="B490" s="11">
        <v>7998</v>
      </c>
      <c r="C490" s="11" t="s">
        <v>6</v>
      </c>
      <c r="D490" s="20">
        <v>1</v>
      </c>
    </row>
    <row r="491" spans="1:66">
      <c r="A491" s="19" t="str">
        <f t="shared" si="48"/>
        <v>FB_IMv_S.CPMM</v>
      </c>
      <c r="B491" s="11">
        <v>101</v>
      </c>
      <c r="C491" s="11" t="s">
        <v>0</v>
      </c>
      <c r="D491" s="20" t="s">
        <v>115</v>
      </c>
    </row>
    <row r="492" spans="1:66">
      <c r="A492" s="19" t="str">
        <f t="shared" si="48"/>
        <v>FB_IMv_S.CPMM</v>
      </c>
      <c r="B492" s="11">
        <v>3</v>
      </c>
      <c r="C492" s="11" t="s">
        <v>1</v>
      </c>
      <c r="D492" s="20">
        <v>192</v>
      </c>
    </row>
    <row r="493" spans="1:66">
      <c r="A493" s="19" t="str">
        <f t="shared" si="48"/>
        <v>FB_IMv_S.CPMM</v>
      </c>
      <c r="B493" s="11">
        <v>2</v>
      </c>
      <c r="C493" s="11" t="s">
        <v>2</v>
      </c>
      <c r="D493" s="20" t="s">
        <v>266</v>
      </c>
    </row>
    <row r="494" spans="1:66">
      <c r="A494" s="21" t="str">
        <f t="shared" si="48"/>
        <v>FB_IMv_S.CPMM</v>
      </c>
      <c r="B494" s="8">
        <v>1</v>
      </c>
      <c r="C494" s="8" t="s">
        <v>1</v>
      </c>
      <c r="D494" s="22">
        <v>11</v>
      </c>
    </row>
    <row r="495" spans="1:66">
      <c r="A495" s="19" t="str">
        <f t="shared" ref="A495:A500" si="49">$R$2&amp;".CDON"</f>
        <v>FB_IMv_S.CDON</v>
      </c>
      <c r="B495" s="11">
        <v>7999</v>
      </c>
      <c r="C495" s="11" t="s">
        <v>0</v>
      </c>
      <c r="D495" s="20" t="str">
        <f>"#"&amp;$S$2&amp;"#"&amp;$T$2&amp;"\"&amp;$P$2&amp;"\CDON"</f>
        <v>#1#treiOPCDA.CoOPCserv.1\pcmaster\KMZ1\CDON</v>
      </c>
    </row>
    <row r="496" spans="1:66">
      <c r="A496" s="19" t="str">
        <f t="shared" si="49"/>
        <v>FB_IMv_S.CDON</v>
      </c>
      <c r="B496" s="11">
        <v>7998</v>
      </c>
      <c r="C496" s="11" t="s">
        <v>6</v>
      </c>
      <c r="D496" s="20">
        <v>1</v>
      </c>
    </row>
    <row r="497" spans="1:4">
      <c r="A497" s="19" t="str">
        <f t="shared" si="49"/>
        <v>FB_IMv_S.CDON</v>
      </c>
      <c r="B497" s="11">
        <v>101</v>
      </c>
      <c r="C497" s="11" t="s">
        <v>0</v>
      </c>
      <c r="D497" s="20" t="str">
        <f>"Запрет открытие"</f>
        <v>Запрет открытие</v>
      </c>
    </row>
    <row r="498" spans="1:4">
      <c r="A498" s="19" t="str">
        <f t="shared" si="49"/>
        <v>FB_IMv_S.CDON</v>
      </c>
      <c r="B498" s="11">
        <v>3</v>
      </c>
      <c r="C498" s="11" t="s">
        <v>1</v>
      </c>
      <c r="D498" s="20">
        <v>192</v>
      </c>
    </row>
    <row r="499" spans="1:4">
      <c r="A499" s="19" t="str">
        <f t="shared" si="49"/>
        <v>FB_IMv_S.CDON</v>
      </c>
      <c r="B499" s="11">
        <v>2</v>
      </c>
      <c r="C499" s="11" t="s">
        <v>2</v>
      </c>
      <c r="D499" s="20" t="s">
        <v>3</v>
      </c>
    </row>
    <row r="500" spans="1:4">
      <c r="A500" s="21" t="str">
        <f t="shared" si="49"/>
        <v>FB_IMv_S.CDON</v>
      </c>
      <c r="B500" s="8">
        <v>1</v>
      </c>
      <c r="C500" s="8" t="s">
        <v>1</v>
      </c>
      <c r="D500" s="22">
        <v>11</v>
      </c>
    </row>
    <row r="501" spans="1:4">
      <c r="A501" s="19" t="str">
        <f t="shared" ref="A501:A506" si="50">$R$2&amp;".CDOF"</f>
        <v>FB_IMv_S.CDOF</v>
      </c>
      <c r="B501" s="11">
        <v>7999</v>
      </c>
      <c r="C501" s="11" t="s">
        <v>0</v>
      </c>
      <c r="D501" s="20" t="str">
        <f>"#"&amp;$S$2&amp;"#"&amp;$T$2&amp;"\"&amp;$P$2&amp;"\CDOF"</f>
        <v>#1#treiOPCDA.CoOPCserv.1\pcmaster\KMZ1\CDOF</v>
      </c>
    </row>
    <row r="502" spans="1:4">
      <c r="A502" s="19" t="str">
        <f t="shared" si="50"/>
        <v>FB_IMv_S.CDOF</v>
      </c>
      <c r="B502" s="11">
        <v>7998</v>
      </c>
      <c r="C502" s="11" t="s">
        <v>6</v>
      </c>
      <c r="D502" s="20">
        <v>1</v>
      </c>
    </row>
    <row r="503" spans="1:4">
      <c r="A503" s="19" t="str">
        <f t="shared" si="50"/>
        <v>FB_IMv_S.CDOF</v>
      </c>
      <c r="B503" s="11">
        <v>101</v>
      </c>
      <c r="C503" s="11" t="s">
        <v>0</v>
      </c>
      <c r="D503" s="20" t="str">
        <f>"Запрет закрытие"</f>
        <v>Запрет закрытие</v>
      </c>
    </row>
    <row r="504" spans="1:4">
      <c r="A504" s="19" t="str">
        <f t="shared" si="50"/>
        <v>FB_IMv_S.CDOF</v>
      </c>
      <c r="B504" s="11">
        <v>3</v>
      </c>
      <c r="C504" s="11" t="s">
        <v>1</v>
      </c>
      <c r="D504" s="20">
        <v>192</v>
      </c>
    </row>
    <row r="505" spans="1:4">
      <c r="A505" s="19" t="str">
        <f t="shared" si="50"/>
        <v>FB_IMv_S.CDOF</v>
      </c>
      <c r="B505" s="11">
        <v>2</v>
      </c>
      <c r="C505" s="11" t="s">
        <v>2</v>
      </c>
      <c r="D505" s="20" t="s">
        <v>3</v>
      </c>
    </row>
    <row r="506" spans="1:4">
      <c r="A506" s="21" t="str">
        <f t="shared" si="50"/>
        <v>FB_IMv_S.CDOF</v>
      </c>
      <c r="B506" s="8">
        <v>1</v>
      </c>
      <c r="C506" s="8" t="s">
        <v>1</v>
      </c>
      <c r="D506" s="22">
        <v>11</v>
      </c>
    </row>
    <row r="507" spans="1:4">
      <c r="A507" s="19" t="str">
        <f t="shared" ref="A507:A512" si="51">$R$2&amp;".FXXX"</f>
        <v>FB_IMv_S.FXXX</v>
      </c>
      <c r="B507" s="11">
        <v>7999</v>
      </c>
      <c r="C507" s="11" t="s">
        <v>0</v>
      </c>
      <c r="D507" s="20" t="str">
        <f>"#"&amp;$S$2&amp;"#"&amp;$T$2&amp;"\"&amp;$P$2&amp;"\FXXX"</f>
        <v>#1#treiOPCDA.CoOPCserv.1\pcmaster\KMZ1\FXXX</v>
      </c>
    </row>
    <row r="508" spans="1:4">
      <c r="A508" s="19" t="str">
        <f t="shared" si="51"/>
        <v>FB_IMv_S.FXXX</v>
      </c>
      <c r="B508" s="11">
        <v>7998</v>
      </c>
      <c r="C508" s="11" t="s">
        <v>6</v>
      </c>
      <c r="D508" s="20">
        <v>1</v>
      </c>
    </row>
    <row r="509" spans="1:4">
      <c r="A509" s="19" t="str">
        <f t="shared" si="51"/>
        <v>FB_IMv_S.FXXX</v>
      </c>
      <c r="B509" s="11">
        <v>101</v>
      </c>
      <c r="C509" s="11" t="s">
        <v>0</v>
      </c>
      <c r="D509" s="20" t="s">
        <v>139</v>
      </c>
    </row>
    <row r="510" spans="1:4">
      <c r="A510" s="19" t="str">
        <f t="shared" si="51"/>
        <v>FB_IMv_S.FXXX</v>
      </c>
      <c r="B510" s="11">
        <v>3</v>
      </c>
      <c r="C510" s="11" t="s">
        <v>1</v>
      </c>
      <c r="D510" s="20">
        <v>192</v>
      </c>
    </row>
    <row r="511" spans="1:4">
      <c r="A511" s="19" t="str">
        <f t="shared" si="51"/>
        <v>FB_IMv_S.FXXX</v>
      </c>
      <c r="B511" s="11">
        <v>2</v>
      </c>
      <c r="C511" s="11" t="s">
        <v>2</v>
      </c>
      <c r="D511" s="20" t="s">
        <v>3</v>
      </c>
    </row>
    <row r="512" spans="1:4">
      <c r="A512" s="21" t="str">
        <f t="shared" si="51"/>
        <v>FB_IMv_S.FXXX</v>
      </c>
      <c r="B512" s="8">
        <v>1</v>
      </c>
      <c r="C512" s="8" t="s">
        <v>1</v>
      </c>
      <c r="D512" s="22">
        <v>11</v>
      </c>
    </row>
    <row r="513" spans="1:4">
      <c r="A513" s="19" t="str">
        <f t="shared" ref="A513:A518" si="52">$R$2&amp;".SMMX"</f>
        <v>FB_IMv_S.SMMX</v>
      </c>
      <c r="B513" s="11">
        <v>7999</v>
      </c>
      <c r="C513" s="11" t="s">
        <v>0</v>
      </c>
      <c r="D513" s="20" t="str">
        <f>"#"&amp;$S$2&amp;"#"&amp;$T$2&amp;"\"&amp;$P$2&amp;"\SMMX"</f>
        <v>#1#treiOPCDA.CoOPCserv.1\pcmaster\KMZ1\SMMX</v>
      </c>
    </row>
    <row r="514" spans="1:4">
      <c r="A514" s="19" t="str">
        <f t="shared" si="52"/>
        <v>FB_IMv_S.SMMX</v>
      </c>
      <c r="B514" s="11">
        <v>7998</v>
      </c>
      <c r="C514" s="11" t="s">
        <v>6</v>
      </c>
      <c r="D514" s="20">
        <v>1</v>
      </c>
    </row>
    <row r="515" spans="1:4">
      <c r="A515" s="19" t="str">
        <f t="shared" si="52"/>
        <v>FB_IMv_S.SMMX</v>
      </c>
      <c r="B515" s="11">
        <v>101</v>
      </c>
      <c r="C515" s="11" t="s">
        <v>0</v>
      </c>
      <c r="D515" s="20" t="s">
        <v>251</v>
      </c>
    </row>
    <row r="516" spans="1:4">
      <c r="A516" s="19" t="str">
        <f t="shared" si="52"/>
        <v>FB_IMv_S.SMMX</v>
      </c>
      <c r="B516" s="11">
        <v>3</v>
      </c>
      <c r="C516" s="11" t="s">
        <v>1</v>
      </c>
      <c r="D516" s="20">
        <v>192</v>
      </c>
    </row>
    <row r="517" spans="1:4">
      <c r="A517" s="19" t="str">
        <f t="shared" si="52"/>
        <v>FB_IMv_S.SMMX</v>
      </c>
      <c r="B517" s="11">
        <v>2</v>
      </c>
      <c r="C517" s="11" t="s">
        <v>2</v>
      </c>
      <c r="D517" s="20" t="s">
        <v>3</v>
      </c>
    </row>
    <row r="518" spans="1:4">
      <c r="A518" s="21" t="str">
        <f t="shared" si="52"/>
        <v>FB_IMv_S.SMMX</v>
      </c>
      <c r="B518" s="8">
        <v>1</v>
      </c>
      <c r="C518" s="8" t="s">
        <v>1</v>
      </c>
      <c r="D518" s="22">
        <v>11</v>
      </c>
    </row>
    <row r="519" spans="1:4">
      <c r="A519" s="266" t="str">
        <f t="shared" ref="A519:A524" si="53">$R$2&amp;".XRON"</f>
        <v>FB_IMv_S.XRON</v>
      </c>
      <c r="B519" s="267">
        <v>3</v>
      </c>
      <c r="C519" s="267" t="s">
        <v>1</v>
      </c>
      <c r="D519" s="268">
        <v>192</v>
      </c>
    </row>
    <row r="520" spans="1:4">
      <c r="A520" s="269" t="str">
        <f t="shared" si="53"/>
        <v>FB_IMv_S.XRON</v>
      </c>
      <c r="B520" s="270">
        <v>2</v>
      </c>
      <c r="C520" s="270" t="s">
        <v>6</v>
      </c>
      <c r="D520" s="271">
        <v>0</v>
      </c>
    </row>
    <row r="521" spans="1:4">
      <c r="A521" s="269" t="str">
        <f t="shared" si="53"/>
        <v>FB_IMv_S.XRON</v>
      </c>
      <c r="B521" s="270">
        <v>1</v>
      </c>
      <c r="C521" s="270" t="s">
        <v>1</v>
      </c>
      <c r="D521" s="271">
        <v>3</v>
      </c>
    </row>
    <row r="522" spans="1:4">
      <c r="A522" s="269" t="str">
        <f t="shared" si="53"/>
        <v>FB_IMv_S.XRON</v>
      </c>
      <c r="B522" s="270">
        <v>101</v>
      </c>
      <c r="C522" s="270" t="s">
        <v>0</v>
      </c>
      <c r="D522" s="271" t="str">
        <f>"Счетчик отработки концевика Открыт"</f>
        <v>Счетчик отработки концевика Открыт</v>
      </c>
    </row>
    <row r="523" spans="1:4">
      <c r="A523" s="269" t="str">
        <f t="shared" si="53"/>
        <v>FB_IMv_S.XRON</v>
      </c>
      <c r="B523" s="270">
        <v>7998</v>
      </c>
      <c r="C523" s="270" t="s">
        <v>6</v>
      </c>
      <c r="D523" s="271">
        <v>1</v>
      </c>
    </row>
    <row r="524" spans="1:4">
      <c r="A524" s="269" t="str">
        <f t="shared" si="53"/>
        <v>FB_IMv_S.XRON</v>
      </c>
      <c r="B524" s="270">
        <v>7999</v>
      </c>
      <c r="C524" s="270" t="s">
        <v>0</v>
      </c>
      <c r="D524" s="271" t="str">
        <f>"#"&amp;$S$2&amp;"#"&amp;$T$2&amp;"\"&amp;$P$2&amp;"\XRON"</f>
        <v>#1#treiOPCDA.CoOPCserv.1\pcmaster\KMZ1\XRON</v>
      </c>
    </row>
    <row r="525" spans="1:4">
      <c r="A525" s="266" t="str">
        <f t="shared" ref="A525:A530" si="54">$R$2&amp;".XROF"</f>
        <v>FB_IMv_S.XROF</v>
      </c>
      <c r="B525" s="267">
        <v>3</v>
      </c>
      <c r="C525" s="267" t="s">
        <v>1</v>
      </c>
      <c r="D525" s="268">
        <v>192</v>
      </c>
    </row>
    <row r="526" spans="1:4">
      <c r="A526" s="269" t="str">
        <f t="shared" si="54"/>
        <v>FB_IMv_S.XROF</v>
      </c>
      <c r="B526" s="270">
        <v>2</v>
      </c>
      <c r="C526" s="270" t="s">
        <v>6</v>
      </c>
      <c r="D526" s="271">
        <v>0</v>
      </c>
    </row>
    <row r="527" spans="1:4">
      <c r="A527" s="269" t="str">
        <f t="shared" si="54"/>
        <v>FB_IMv_S.XROF</v>
      </c>
      <c r="B527" s="270">
        <v>1</v>
      </c>
      <c r="C527" s="270" t="s">
        <v>1</v>
      </c>
      <c r="D527" s="271">
        <v>3</v>
      </c>
    </row>
    <row r="528" spans="1:4">
      <c r="A528" s="269" t="str">
        <f t="shared" si="54"/>
        <v>FB_IMv_S.XROF</v>
      </c>
      <c r="B528" s="270">
        <v>101</v>
      </c>
      <c r="C528" s="270" t="s">
        <v>0</v>
      </c>
      <c r="D528" s="271" t="str">
        <f>"Счетчик отработки концевика Закрыт"</f>
        <v>Счетчик отработки концевика Закрыт</v>
      </c>
    </row>
    <row r="529" spans="1:4">
      <c r="A529" s="269" t="str">
        <f t="shared" si="54"/>
        <v>FB_IMv_S.XROF</v>
      </c>
      <c r="B529" s="270">
        <v>7998</v>
      </c>
      <c r="C529" s="270" t="s">
        <v>6</v>
      </c>
      <c r="D529" s="271">
        <v>1</v>
      </c>
    </row>
    <row r="530" spans="1:4">
      <c r="A530" s="272" t="str">
        <f t="shared" si="54"/>
        <v>FB_IMv_S.XROF</v>
      </c>
      <c r="B530" s="273">
        <v>7999</v>
      </c>
      <c r="C530" s="273" t="s">
        <v>0</v>
      </c>
      <c r="D530" s="274" t="str">
        <f>"#"&amp;$S$2&amp;"#"&amp;$T$2&amp;"\"&amp;$P$2&amp;"\XROF"</f>
        <v>#1#treiOPCDA.CoOPCserv.1\pcmaster\KMZ1\XROF</v>
      </c>
    </row>
    <row r="531" spans="1:4">
      <c r="A531" s="266" t="str">
        <f t="shared" ref="A531:A536" si="55">$R$2&amp;".STCX"</f>
        <v>FB_IMv_S.STCX</v>
      </c>
      <c r="B531" s="267">
        <v>3</v>
      </c>
      <c r="C531" s="267" t="s">
        <v>1</v>
      </c>
      <c r="D531" s="268">
        <v>192</v>
      </c>
    </row>
    <row r="532" spans="1:4">
      <c r="A532" s="269" t="str">
        <f t="shared" si="55"/>
        <v>FB_IMv_S.STCX</v>
      </c>
      <c r="B532" s="270">
        <v>2</v>
      </c>
      <c r="C532" s="270" t="s">
        <v>6</v>
      </c>
      <c r="D532" s="271">
        <v>0</v>
      </c>
    </row>
    <row r="533" spans="1:4">
      <c r="A533" s="269" t="str">
        <f t="shared" si="55"/>
        <v>FB_IMv_S.STCX</v>
      </c>
      <c r="B533" s="270">
        <v>1</v>
      </c>
      <c r="C533" s="270" t="s">
        <v>1</v>
      </c>
      <c r="D533" s="271">
        <v>3</v>
      </c>
    </row>
    <row r="534" spans="1:4">
      <c r="A534" s="269" t="str">
        <f t="shared" si="55"/>
        <v>FB_IMv_S.STCX</v>
      </c>
      <c r="B534" s="270">
        <v>101</v>
      </c>
      <c r="C534" s="270" t="s">
        <v>0</v>
      </c>
      <c r="D534" s="271" t="s">
        <v>127</v>
      </c>
    </row>
    <row r="535" spans="1:4">
      <c r="A535" s="269" t="str">
        <f t="shared" si="55"/>
        <v>FB_IMv_S.STCX</v>
      </c>
      <c r="B535" s="270">
        <v>7998</v>
      </c>
      <c r="C535" s="270" t="s">
        <v>6</v>
      </c>
      <c r="D535" s="271">
        <v>1</v>
      </c>
    </row>
    <row r="536" spans="1:4">
      <c r="A536" s="272" t="str">
        <f t="shared" si="55"/>
        <v>FB_IMv_S.STCX</v>
      </c>
      <c r="B536" s="273">
        <v>7999</v>
      </c>
      <c r="C536" s="273" t="s">
        <v>0</v>
      </c>
      <c r="D536" s="274" t="str">
        <f>"#"&amp;$S$2&amp;"#"&amp;$T$2&amp;"\"&amp;$P$2&amp;"\STCX"</f>
        <v>#1#treiOPCDA.CoOPCserv.1\pcmaster\KMZ1\STCX</v>
      </c>
    </row>
    <row r="537" spans="1:4">
      <c r="A537" s="266" t="str">
        <f t="shared" ref="A537:A542" si="56">$R$2&amp;".STSX"</f>
        <v>FB_IMv_S.STSX</v>
      </c>
      <c r="B537" s="267">
        <v>3</v>
      </c>
      <c r="C537" s="267" t="s">
        <v>1</v>
      </c>
      <c r="D537" s="268">
        <v>192</v>
      </c>
    </row>
    <row r="538" spans="1:4">
      <c r="A538" s="269" t="str">
        <f t="shared" si="56"/>
        <v>FB_IMv_S.STSX</v>
      </c>
      <c r="B538" s="270">
        <v>2</v>
      </c>
      <c r="C538" s="270" t="s">
        <v>6</v>
      </c>
      <c r="D538" s="271">
        <v>0</v>
      </c>
    </row>
    <row r="539" spans="1:4">
      <c r="A539" s="269" t="str">
        <f t="shared" si="56"/>
        <v>FB_IMv_S.STSX</v>
      </c>
      <c r="B539" s="270">
        <v>1</v>
      </c>
      <c r="C539" s="270" t="s">
        <v>1</v>
      </c>
      <c r="D539" s="271">
        <v>3</v>
      </c>
    </row>
    <row r="540" spans="1:4">
      <c r="A540" s="269" t="str">
        <f t="shared" si="56"/>
        <v>FB_IMv_S.STSX</v>
      </c>
      <c r="B540" s="270">
        <v>101</v>
      </c>
      <c r="C540" s="270" t="s">
        <v>0</v>
      </c>
      <c r="D540" s="271" t="s">
        <v>128</v>
      </c>
    </row>
    <row r="541" spans="1:4">
      <c r="A541" s="269" t="str">
        <f t="shared" si="56"/>
        <v>FB_IMv_S.STSX</v>
      </c>
      <c r="B541" s="270">
        <v>7998</v>
      </c>
      <c r="C541" s="270" t="s">
        <v>6</v>
      </c>
      <c r="D541" s="271">
        <v>1</v>
      </c>
    </row>
    <row r="542" spans="1:4">
      <c r="A542" s="272" t="str">
        <f t="shared" si="56"/>
        <v>FB_IMv_S.STSX</v>
      </c>
      <c r="B542" s="273">
        <v>7999</v>
      </c>
      <c r="C542" s="273" t="s">
        <v>0</v>
      </c>
      <c r="D542" s="274" t="str">
        <f>"#"&amp;$S$2&amp;"#"&amp;$T$2&amp;"\"&amp;$P$2&amp;"\STSX"</f>
        <v>#1#treiOPCDA.CoOPCserv.1\pcmaster\KMZ1\STSX</v>
      </c>
    </row>
    <row r="543" spans="1:4">
      <c r="A543" s="266" t="str">
        <f t="shared" ref="A543:A548" si="57">$R$2&amp;".STPR"</f>
        <v>FB_IMv_S.STPR</v>
      </c>
      <c r="B543" s="267">
        <v>3</v>
      </c>
      <c r="C543" s="267" t="s">
        <v>1</v>
      </c>
      <c r="D543" s="268">
        <v>192</v>
      </c>
    </row>
    <row r="544" spans="1:4">
      <c r="A544" s="269" t="str">
        <f t="shared" si="57"/>
        <v>FB_IMv_S.STPR</v>
      </c>
      <c r="B544" s="270">
        <v>2</v>
      </c>
      <c r="C544" s="270" t="s">
        <v>6</v>
      </c>
      <c r="D544" s="271">
        <v>0</v>
      </c>
    </row>
    <row r="545" spans="1:4">
      <c r="A545" s="269" t="str">
        <f t="shared" si="57"/>
        <v>FB_IMv_S.STPR</v>
      </c>
      <c r="B545" s="270">
        <v>1</v>
      </c>
      <c r="C545" s="270" t="s">
        <v>1</v>
      </c>
      <c r="D545" s="271">
        <v>3</v>
      </c>
    </row>
    <row r="546" spans="1:4">
      <c r="A546" s="269" t="str">
        <f t="shared" si="57"/>
        <v>FB_IMv_S.STPR</v>
      </c>
      <c r="B546" s="270">
        <v>101</v>
      </c>
      <c r="C546" s="270" t="s">
        <v>0</v>
      </c>
      <c r="D546" s="271" t="s">
        <v>129</v>
      </c>
    </row>
    <row r="547" spans="1:4">
      <c r="A547" s="269" t="str">
        <f t="shared" si="57"/>
        <v>FB_IMv_S.STPR</v>
      </c>
      <c r="B547" s="270">
        <v>7998</v>
      </c>
      <c r="C547" s="270" t="s">
        <v>6</v>
      </c>
      <c r="D547" s="271">
        <v>1</v>
      </c>
    </row>
    <row r="548" spans="1:4">
      <c r="A548" s="272" t="str">
        <f t="shared" si="57"/>
        <v>FB_IMv_S.STPR</v>
      </c>
      <c r="B548" s="273">
        <v>7999</v>
      </c>
      <c r="C548" s="273" t="s">
        <v>0</v>
      </c>
      <c r="D548" s="274" t="str">
        <f>"#"&amp;$S$2&amp;"#"&amp;$T$2&amp;"\"&amp;$P$2&amp;"\STPR"</f>
        <v>#1#treiOPCDA.CoOPCserv.1\pcmaster\KMZ1\STPR</v>
      </c>
    </row>
    <row r="549" spans="1:4">
      <c r="A549" s="266" t="str">
        <f t="shared" ref="A549:A554" si="58">$R$2&amp;".SRQX"</f>
        <v>FB_IMv_S.SRQX</v>
      </c>
      <c r="B549" s="267">
        <v>3</v>
      </c>
      <c r="C549" s="267" t="s">
        <v>1</v>
      </c>
      <c r="D549" s="268">
        <v>192</v>
      </c>
    </row>
    <row r="550" spans="1:4">
      <c r="A550" s="269" t="str">
        <f t="shared" si="58"/>
        <v>FB_IMv_S.SRQX</v>
      </c>
      <c r="B550" s="270">
        <v>2</v>
      </c>
      <c r="C550" s="270" t="s">
        <v>6</v>
      </c>
      <c r="D550" s="271">
        <v>0</v>
      </c>
    </row>
    <row r="551" spans="1:4">
      <c r="A551" s="269" t="str">
        <f t="shared" si="58"/>
        <v>FB_IMv_S.SRQX</v>
      </c>
      <c r="B551" s="270">
        <v>1</v>
      </c>
      <c r="C551" s="270" t="s">
        <v>1</v>
      </c>
      <c r="D551" s="271">
        <v>3</v>
      </c>
    </row>
    <row r="552" spans="1:4">
      <c r="A552" s="269" t="str">
        <f t="shared" si="58"/>
        <v>FB_IMv_S.SRQX</v>
      </c>
      <c r="B552" s="270">
        <v>101</v>
      </c>
      <c r="C552" s="270" t="s">
        <v>0</v>
      </c>
      <c r="D552" s="271" t="s">
        <v>125</v>
      </c>
    </row>
    <row r="553" spans="1:4">
      <c r="A553" s="269" t="str">
        <f t="shared" si="58"/>
        <v>FB_IMv_S.SRQX</v>
      </c>
      <c r="B553" s="270">
        <v>7998</v>
      </c>
      <c r="C553" s="270" t="s">
        <v>6</v>
      </c>
      <c r="D553" s="271">
        <v>1</v>
      </c>
    </row>
    <row r="554" spans="1:4">
      <c r="A554" s="272" t="str">
        <f t="shared" si="58"/>
        <v>FB_IMv_S.SRQX</v>
      </c>
      <c r="B554" s="273">
        <v>7999</v>
      </c>
      <c r="C554" s="273" t="s">
        <v>0</v>
      </c>
      <c r="D554" s="274" t="str">
        <f>"#"&amp;$S$2&amp;"#"&amp;$T$2&amp;"\"&amp;$P$2&amp;"\SRQX"</f>
        <v>#1#treiOPCDA.CoOPCserv.1\pcmaster\KMZ1\SRQX</v>
      </c>
    </row>
  </sheetData>
  <autoFilter ref="B1:B555" xr:uid="{00000000-0009-0000-0000-00000D000000}"/>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Лист51">
    <tabColor rgb="FFFFC000"/>
  </sheetPr>
  <dimension ref="A1:BN538"/>
  <sheetViews>
    <sheetView topLeftCell="A307" zoomScale="70" zoomScaleNormal="70" workbookViewId="0">
      <selection activeCell="D2" sqref="D2:D4"/>
    </sheetView>
  </sheetViews>
  <sheetFormatPr defaultRowHeight="14.4"/>
  <cols>
    <col min="1" max="1" width="37.109375" customWidth="1"/>
    <col min="2" max="2" width="9.5546875" customWidth="1"/>
    <col min="4" max="4" width="63.88671875" customWidth="1"/>
    <col min="5" max="15" width="9.109375"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7.33203125" customWidth="1"/>
    <col min="56" max="56" width="10.33203125" customWidth="1"/>
    <col min="57" max="57" width="10" customWidth="1"/>
    <col min="59" max="59" width="7.109375" customWidth="1"/>
    <col min="60" max="60" width="10.88671875" customWidth="1"/>
    <col min="62" max="62" width="65.109375" customWidth="1"/>
  </cols>
  <sheetData>
    <row r="1" spans="1:66" s="258" customFormat="1" ht="204.6" thickBot="1">
      <c r="A1" s="257"/>
      <c r="B1" s="257" t="s">
        <v>84</v>
      </c>
      <c r="C1" s="257"/>
      <c r="D1" s="257"/>
      <c r="E1" s="257"/>
      <c r="F1" s="257"/>
      <c r="P1" s="263"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1"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61"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61" t="str">
        <f>Таблица!AL1</f>
        <v>Для TREI
FB_IMstp_S, FB_IMs_S, FB_IMp_S, FB_IMv_S, FB_IM_ADES_S: Настройка перехода ручной-/автоматический-(TRUE/FALSE) 
FB_DI_S: Генерировать метки времени (TRUE/FALSE)</v>
      </c>
      <c r="AY1" s="261"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61" t="str">
        <f>Таблица!AN1</f>
        <v>Для TREI
FB_AI_S, FB_QSA_S: Верхний предел датчика
FB_IMp_S, FB_IMv_S, FB_IM_ADES_S, FB_OZK_KD_S: Время перестановки</v>
      </c>
      <c r="BA1" s="261"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K1" s="259"/>
      <c r="BL1" s="259"/>
      <c r="BM1" s="259"/>
      <c r="BN1" s="259"/>
    </row>
    <row r="2" spans="1:66" ht="15" customHeight="1">
      <c r="A2" s="9"/>
      <c r="B2" s="9"/>
      <c r="C2" s="9"/>
      <c r="D2" s="9"/>
      <c r="E2" s="9"/>
      <c r="F2" s="9"/>
      <c r="P2" s="2" t="s">
        <v>264</v>
      </c>
      <c r="Q2" s="2" t="s">
        <v>764</v>
      </c>
      <c r="R2" s="2" t="s">
        <v>594</v>
      </c>
      <c r="S2" s="3">
        <v>1</v>
      </c>
      <c r="T2" s="3" t="s">
        <v>1698</v>
      </c>
      <c r="U2" s="3"/>
      <c r="V2" s="3" t="s">
        <v>569</v>
      </c>
      <c r="W2" s="12"/>
      <c r="X2" s="12"/>
      <c r="Y2" s="12"/>
      <c r="Z2" s="12"/>
      <c r="AA2" s="12"/>
      <c r="AB2" s="2"/>
      <c r="AC2" s="2"/>
      <c r="AD2" s="2"/>
      <c r="AE2" s="2" t="s">
        <v>1414</v>
      </c>
      <c r="AF2" s="2"/>
      <c r="AG2" s="2"/>
      <c r="AH2" s="2"/>
      <c r="AI2" s="2"/>
      <c r="AJ2" s="2"/>
      <c r="AK2" s="2"/>
      <c r="AL2" s="2" t="s">
        <v>1381</v>
      </c>
      <c r="AM2" s="2" t="s">
        <v>1216</v>
      </c>
      <c r="AN2" s="2" t="s">
        <v>1217</v>
      </c>
      <c r="AO2" s="2" t="s">
        <v>1218</v>
      </c>
      <c r="AP2" s="2" t="s">
        <v>1219</v>
      </c>
      <c r="AQ2" s="2" t="s">
        <v>1220</v>
      </c>
      <c r="AR2" s="2" t="s">
        <v>1221</v>
      </c>
      <c r="AS2" s="2" t="s">
        <v>1222</v>
      </c>
      <c r="AT2" s="2"/>
      <c r="AU2" s="2"/>
      <c r="AV2" s="2"/>
      <c r="AW2" s="2">
        <v>5</v>
      </c>
      <c r="AX2" s="2" t="s">
        <v>72</v>
      </c>
      <c r="AY2" s="2"/>
      <c r="AZ2" s="2">
        <v>6</v>
      </c>
      <c r="BA2" s="2">
        <v>1</v>
      </c>
      <c r="BK2" s="4"/>
      <c r="BL2" s="4"/>
      <c r="BM2" s="4"/>
      <c r="BN2" s="4"/>
    </row>
    <row r="3" spans="1:66" ht="15" customHeight="1">
      <c r="A3" s="9"/>
      <c r="B3" s="9"/>
      <c r="C3" s="9"/>
      <c r="D3" s="9"/>
      <c r="E3" s="9"/>
      <c r="F3" s="9"/>
      <c r="P3" s="10"/>
      <c r="Q3" s="10"/>
      <c r="R3" s="10"/>
      <c r="S3" s="10"/>
      <c r="T3" s="10"/>
      <c r="U3" s="10"/>
      <c r="V3" s="10"/>
      <c r="W3" s="10"/>
      <c r="X3" s="10"/>
      <c r="Y3" s="10"/>
      <c r="Z3" s="10"/>
      <c r="AA3" s="10"/>
      <c r="BK3" s="4"/>
      <c r="BL3" s="4"/>
      <c r="BM3" s="4"/>
      <c r="BN3" s="4"/>
    </row>
    <row r="4" spans="1:66"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K4" s="4"/>
      <c r="BL4" s="4"/>
      <c r="BM4" s="4"/>
      <c r="BN4" s="4"/>
    </row>
    <row r="5" spans="1:66"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K5" s="4"/>
      <c r="BL5" s="4"/>
      <c r="BM5" s="4"/>
      <c r="BN5" s="4"/>
    </row>
    <row r="6" spans="1:66"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K6" s="4"/>
      <c r="BL6" s="4"/>
      <c r="BM6" s="4"/>
      <c r="BN6" s="4"/>
    </row>
    <row r="7" spans="1:66"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K7" s="4"/>
      <c r="BL7" s="4"/>
      <c r="BM7" s="4"/>
      <c r="BN7" s="4"/>
    </row>
    <row r="8" spans="1:66" ht="15" customHeight="1">
      <c r="A8" s="9"/>
      <c r="B8" s="9"/>
      <c r="C8" s="9"/>
      <c r="D8" s="9"/>
      <c r="E8" s="9"/>
      <c r="F8" s="9"/>
      <c r="P8" s="6" t="str">
        <f>Настройки!A5</f>
        <v>Телесигнализация</v>
      </c>
      <c r="Q8" s="5">
        <f>Настройки!B5</f>
        <v>18</v>
      </c>
      <c r="R8" s="5" t="str">
        <f>Настройки!C5</f>
        <v>Телесигнализация</v>
      </c>
      <c r="S8" s="10"/>
      <c r="T8" s="14"/>
      <c r="U8" s="10"/>
      <c r="V8" s="10"/>
      <c r="W8" s="10"/>
      <c r="X8" s="10"/>
      <c r="Y8" s="10"/>
      <c r="Z8" s="10"/>
      <c r="AA8" s="10"/>
      <c r="BK8" s="4"/>
      <c r="BL8" s="4"/>
      <c r="BM8" s="4"/>
      <c r="BN8" s="4"/>
    </row>
    <row r="9" spans="1:66" ht="15" customHeight="1">
      <c r="A9" s="9"/>
      <c r="B9" s="9"/>
      <c r="C9" s="9"/>
      <c r="D9" s="9"/>
      <c r="E9" s="9"/>
      <c r="F9" s="9"/>
      <c r="P9" s="6" t="str">
        <f>Настройки!A6</f>
        <v>Недостоверность</v>
      </c>
      <c r="Q9" s="5">
        <f>Настройки!B6</f>
        <v>10</v>
      </c>
      <c r="R9" s="5" t="str">
        <f>Настройки!C6</f>
        <v>Недостоверность</v>
      </c>
      <c r="S9" s="10"/>
      <c r="T9" s="14"/>
      <c r="U9" s="10"/>
      <c r="V9" s="10"/>
      <c r="W9" s="10"/>
      <c r="X9" s="10"/>
      <c r="Y9" s="10"/>
      <c r="Z9" s="10"/>
      <c r="AA9" s="10"/>
      <c r="BK9" s="4"/>
      <c r="BL9" s="4"/>
      <c r="BM9" s="4"/>
      <c r="BN9" s="4"/>
    </row>
    <row r="10" spans="1:66" ht="15" customHeight="1">
      <c r="A10" s="9"/>
      <c r="B10" s="9"/>
      <c r="C10" s="9"/>
      <c r="D10" s="9"/>
      <c r="E10" s="9"/>
      <c r="F10" s="9"/>
      <c r="P10" s="6" t="str">
        <f>Настройки!A7</f>
        <v>Имитация</v>
      </c>
      <c r="Q10" s="5">
        <f>Настройки!B7</f>
        <v>16</v>
      </c>
      <c r="R10" s="5" t="str">
        <f>Настройки!C7</f>
        <v>Имитация</v>
      </c>
      <c r="S10" s="10"/>
      <c r="T10" s="14"/>
      <c r="U10" s="10"/>
      <c r="V10" s="10"/>
      <c r="W10" s="10"/>
      <c r="X10" s="10"/>
      <c r="Y10" s="10"/>
      <c r="Z10" s="10"/>
      <c r="AA10" s="10"/>
      <c r="BK10" s="4"/>
      <c r="BL10" s="4"/>
      <c r="BM10" s="4"/>
      <c r="BN10" s="4"/>
    </row>
    <row r="11" spans="1:66" ht="15" customHeight="1">
      <c r="A11" s="9"/>
      <c r="B11" s="9"/>
      <c r="C11" s="9"/>
      <c r="D11" s="9"/>
      <c r="E11" s="9"/>
      <c r="F11" s="9"/>
      <c r="P11" s="6" t="str">
        <f>Настройки!A8</f>
        <v>Ремонт</v>
      </c>
      <c r="Q11" s="5">
        <f>Настройки!B8</f>
        <v>14</v>
      </c>
      <c r="R11" s="5" t="str">
        <f>Настройки!C8</f>
        <v>Ремонт</v>
      </c>
      <c r="S11" s="10"/>
      <c r="T11" s="14"/>
      <c r="U11" s="10"/>
      <c r="V11" s="10"/>
      <c r="W11" s="10"/>
      <c r="X11" s="10"/>
      <c r="Y11" s="10"/>
      <c r="Z11" s="10"/>
      <c r="AA11" s="10"/>
      <c r="BK11" s="4"/>
      <c r="BL11" s="4"/>
      <c r="BM11" s="4"/>
      <c r="BN11" s="4"/>
    </row>
    <row r="12" spans="1:66"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4"/>
      <c r="U12" s="10"/>
      <c r="V12" s="10"/>
      <c r="W12" s="10"/>
      <c r="X12" s="10"/>
      <c r="Y12" s="10"/>
      <c r="Z12" s="10"/>
      <c r="AA12" s="10"/>
      <c r="BK12" s="4"/>
      <c r="BL12" s="4"/>
      <c r="BM12" s="4"/>
      <c r="BN12" s="4"/>
    </row>
    <row r="13" spans="1:66" ht="15" customHeight="1">
      <c r="A13" s="9"/>
      <c r="B13" s="9"/>
      <c r="C13" s="9"/>
      <c r="D13" s="9"/>
      <c r="E13" s="9"/>
      <c r="F13" s="9"/>
      <c r="P13" s="6" t="str">
        <f>Настройки!A10</f>
        <v>Тревога</v>
      </c>
      <c r="Q13" s="5">
        <f>Настройки!B10</f>
        <v>5</v>
      </c>
      <c r="R13" s="5" t="str">
        <f>Настройки!C10</f>
        <v>Тревога</v>
      </c>
      <c r="S13" s="10"/>
      <c r="T13" s="14"/>
      <c r="U13" s="10"/>
      <c r="V13" s="10"/>
      <c r="W13" s="10"/>
      <c r="X13" s="10"/>
      <c r="Y13" s="10"/>
      <c r="Z13" s="10"/>
      <c r="AA13" s="10"/>
      <c r="BK13" s="4"/>
      <c r="BL13" s="4"/>
      <c r="BM13" s="4"/>
      <c r="BN13" s="4"/>
    </row>
    <row r="14" spans="1:66" ht="15" customHeight="1">
      <c r="A14" s="9"/>
      <c r="B14" s="9"/>
      <c r="C14" s="9"/>
      <c r="D14" s="9"/>
      <c r="E14" s="9"/>
      <c r="F14" s="9"/>
      <c r="P14" s="6" t="str">
        <f>Настройки!A11</f>
        <v>Тушение</v>
      </c>
      <c r="Q14" s="5">
        <f>Настройки!B11</f>
        <v>1</v>
      </c>
      <c r="R14" s="5" t="str">
        <f>Настройки!C11</f>
        <v>Тушение</v>
      </c>
      <c r="S14" s="10"/>
      <c r="T14" s="14"/>
      <c r="U14" s="10"/>
      <c r="V14" s="10"/>
      <c r="W14" s="10"/>
      <c r="X14" s="10"/>
      <c r="Y14" s="10"/>
      <c r="Z14" s="10"/>
      <c r="AA14" s="10"/>
      <c r="BK14" s="4"/>
      <c r="BL14" s="4"/>
      <c r="BM14" s="4"/>
      <c r="BN14" s="4"/>
    </row>
    <row r="15" spans="1:66"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K15" s="4"/>
      <c r="BL15" s="4"/>
      <c r="BM15" s="4"/>
      <c r="BN15" s="4"/>
    </row>
    <row r="16" spans="1:66"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K16" s="4"/>
      <c r="BL16" s="4"/>
      <c r="BM16" s="4"/>
      <c r="BN16" s="4"/>
    </row>
    <row r="17" spans="1:66"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K17" s="4"/>
      <c r="BL17" s="4"/>
      <c r="BM17" s="4"/>
      <c r="BN17" s="4"/>
    </row>
    <row r="18" spans="1:66"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K18" s="4"/>
      <c r="BL18" s="4"/>
      <c r="BM18" s="4"/>
      <c r="BN18" s="4"/>
    </row>
    <row r="19" spans="1:66"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K19" s="4"/>
      <c r="BL19" s="4"/>
      <c r="BM19" s="4"/>
      <c r="BN19" s="4"/>
    </row>
    <row r="20" spans="1:66" ht="15" customHeight="1">
      <c r="A20" s="16" t="str">
        <f t="shared" ref="A20:A36" si="0">$R$2</f>
        <v>FB_IMp_S</v>
      </c>
      <c r="B20" s="17">
        <v>11001</v>
      </c>
      <c r="C20" s="17" t="s">
        <v>0</v>
      </c>
      <c r="D20" s="18" t="str">
        <f>$Q$2&amp;". "</f>
        <v xml:space="preserve">Насос FB. </v>
      </c>
      <c r="F20" s="4"/>
      <c r="BK20" s="4"/>
      <c r="BL20" s="4"/>
      <c r="BM20" s="4"/>
      <c r="BN20" s="4"/>
    </row>
    <row r="21" spans="1:66" ht="15" customHeight="1">
      <c r="A21" s="19" t="str">
        <f t="shared" si="0"/>
        <v>FB_IMp_S</v>
      </c>
      <c r="B21" s="11">
        <v>11156</v>
      </c>
      <c r="C21" s="11" t="s">
        <v>0</v>
      </c>
      <c r="D21" s="20" t="str">
        <f>$V$2</f>
        <v>Тестовый экран</v>
      </c>
      <c r="F21" s="4"/>
      <c r="BK21" s="4"/>
      <c r="BL21" s="4"/>
      <c r="BM21" s="4"/>
      <c r="BN21" s="4"/>
    </row>
    <row r="22" spans="1:66" ht="15" customHeight="1">
      <c r="A22" s="19" t="str">
        <f t="shared" si="0"/>
        <v>FB_IMp_S</v>
      </c>
      <c r="B22" s="11">
        <v>1</v>
      </c>
      <c r="C22" s="11" t="s">
        <v>1</v>
      </c>
      <c r="D22" s="20">
        <v>17</v>
      </c>
      <c r="BK22" s="4"/>
      <c r="BL22" s="4"/>
      <c r="BM22" s="4"/>
      <c r="BN22" s="4"/>
    </row>
    <row r="23" spans="1:66" ht="15" customHeight="1">
      <c r="A23" s="16" t="str">
        <f t="shared" si="0"/>
        <v>FB_IMp_S</v>
      </c>
      <c r="B23" s="17">
        <v>100</v>
      </c>
      <c r="C23" s="17" t="s">
        <v>0</v>
      </c>
      <c r="D23" s="18" t="b">
        <f>$T$7</f>
        <v>0</v>
      </c>
      <c r="BF23" s="4"/>
      <c r="BG23" s="4"/>
      <c r="BH23" s="4"/>
      <c r="BI23" s="4"/>
    </row>
    <row r="24" spans="1:66" ht="15" customHeight="1">
      <c r="A24" s="19" t="str">
        <f t="shared" si="0"/>
        <v>FB_IMp_S</v>
      </c>
      <c r="B24" s="11">
        <v>11120</v>
      </c>
      <c r="C24" s="11" t="s">
        <v>0</v>
      </c>
      <c r="D24" s="20" t="str">
        <f>$AL$2</f>
        <v>!1+2</v>
      </c>
      <c r="BK24" s="4"/>
      <c r="BL24" s="4"/>
      <c r="BM24" s="4"/>
      <c r="BN24" s="4"/>
    </row>
    <row r="25" spans="1:66" ht="15" customHeight="1">
      <c r="A25" s="19" t="str">
        <f>$R$2</f>
        <v>FB_IMp_S</v>
      </c>
      <c r="B25" s="11">
        <v>11121</v>
      </c>
      <c r="C25" s="11" t="s">
        <v>0</v>
      </c>
      <c r="D25" s="20" t="str">
        <f>$AM$2</f>
        <v>1+3</v>
      </c>
      <c r="BK25" s="4"/>
      <c r="BL25" s="4"/>
      <c r="BM25" s="4"/>
      <c r="BN25" s="4"/>
    </row>
    <row r="26" spans="1:66" ht="15" customHeight="1">
      <c r="A26" s="19" t="str">
        <f t="shared" si="0"/>
        <v>FB_IMp_S</v>
      </c>
      <c r="B26" s="11">
        <v>11122</v>
      </c>
      <c r="C26" s="11" t="s">
        <v>0</v>
      </c>
      <c r="D26" s="20" t="str">
        <f>$AN$2</f>
        <v>1+4</v>
      </c>
      <c r="BK26" s="4"/>
      <c r="BL26" s="4"/>
      <c r="BM26" s="4"/>
      <c r="BN26" s="4"/>
    </row>
    <row r="27" spans="1:66" ht="15" customHeight="1">
      <c r="A27" s="19" t="str">
        <f t="shared" si="0"/>
        <v>FB_IMp_S</v>
      </c>
      <c r="B27" s="11">
        <v>11123</v>
      </c>
      <c r="C27" s="11" t="s">
        <v>0</v>
      </c>
      <c r="D27" s="20" t="str">
        <f>$AO$2</f>
        <v>1+5</v>
      </c>
      <c r="BK27" s="4"/>
      <c r="BL27" s="4"/>
      <c r="BM27" s="4"/>
      <c r="BN27" s="4"/>
    </row>
    <row r="28" spans="1:66" ht="15" customHeight="1">
      <c r="A28" s="19" t="str">
        <f t="shared" si="0"/>
        <v>FB_IMp_S</v>
      </c>
      <c r="B28" s="11">
        <v>11124</v>
      </c>
      <c r="C28" s="11" t="s">
        <v>0</v>
      </c>
      <c r="D28" s="20" t="str">
        <f>$AP$2</f>
        <v>7+10</v>
      </c>
      <c r="BK28" s="4"/>
      <c r="BL28" s="4"/>
      <c r="BM28" s="4"/>
      <c r="BN28" s="4"/>
    </row>
    <row r="29" spans="1:66" ht="15" customHeight="1">
      <c r="A29" s="19" t="str">
        <f t="shared" si="0"/>
        <v>FB_IMp_S</v>
      </c>
      <c r="B29" s="11">
        <v>11125</v>
      </c>
      <c r="C29" s="11" t="s">
        <v>0</v>
      </c>
      <c r="D29" s="20" t="str">
        <f>$AQ$2</f>
        <v>2+1</v>
      </c>
      <c r="BK29" s="4"/>
      <c r="BL29" s="4"/>
      <c r="BM29" s="4"/>
      <c r="BN29" s="4"/>
    </row>
    <row r="30" spans="1:66" ht="15" customHeight="1">
      <c r="A30" s="19" t="str">
        <f t="shared" si="0"/>
        <v>FB_IMp_S</v>
      </c>
      <c r="B30" s="11">
        <v>11126</v>
      </c>
      <c r="C30" s="11" t="s">
        <v>0</v>
      </c>
      <c r="D30" s="20" t="str">
        <f>$AR$2</f>
        <v>2+2</v>
      </c>
      <c r="BK30" s="4"/>
      <c r="BL30" s="4"/>
      <c r="BM30" s="4"/>
      <c r="BN30" s="4"/>
    </row>
    <row r="31" spans="1:66" ht="15" customHeight="1">
      <c r="A31" s="19" t="str">
        <f t="shared" si="0"/>
        <v>FB_IMp_S</v>
      </c>
      <c r="B31" s="11">
        <v>11127</v>
      </c>
      <c r="C31" s="11" t="s">
        <v>0</v>
      </c>
      <c r="D31" s="20" t="str">
        <f>$AS$2</f>
        <v>2+3</v>
      </c>
      <c r="BK31" s="4"/>
      <c r="BL31" s="4"/>
      <c r="BM31" s="4"/>
      <c r="BN31" s="4"/>
    </row>
    <row r="32" spans="1:66" ht="15" customHeight="1">
      <c r="A32" s="19" t="str">
        <f t="shared" si="0"/>
        <v>FB_IMp_S</v>
      </c>
      <c r="B32" s="11">
        <v>201</v>
      </c>
      <c r="C32" s="11" t="s">
        <v>6</v>
      </c>
      <c r="D32" s="20">
        <f>$BA$2</f>
        <v>1</v>
      </c>
      <c r="BK32" s="4"/>
      <c r="BL32" s="4"/>
      <c r="BM32" s="4"/>
      <c r="BN32" s="4"/>
    </row>
    <row r="33" spans="1:66" ht="15" customHeight="1">
      <c r="A33" s="16" t="str">
        <f t="shared" si="0"/>
        <v>FB_IMp_S</v>
      </c>
      <c r="B33" s="17">
        <v>13</v>
      </c>
      <c r="C33" s="17" t="s">
        <v>2</v>
      </c>
      <c r="D33" s="18" t="s">
        <v>3</v>
      </c>
      <c r="BF33" s="4"/>
      <c r="BG33" s="4"/>
      <c r="BH33" s="4"/>
      <c r="BI33" s="4"/>
    </row>
    <row r="34" spans="1:66" ht="15" customHeight="1">
      <c r="A34" s="19" t="str">
        <f t="shared" si="0"/>
        <v>FB_IMp_S</v>
      </c>
      <c r="B34" s="11">
        <v>3000013</v>
      </c>
      <c r="C34" s="11" t="s">
        <v>0</v>
      </c>
      <c r="D34" s="20" t="str">
        <f>$AE$2</f>
        <v>Диагностика.CPU.NOT_LINK.noLink</v>
      </c>
      <c r="BF34" s="4"/>
      <c r="BG34" s="4"/>
      <c r="BH34" s="4"/>
      <c r="BI34" s="4"/>
    </row>
    <row r="35" spans="1:66" ht="15" customHeight="1">
      <c r="A35" s="19" t="str">
        <f t="shared" si="0"/>
        <v>FB_IMp_S</v>
      </c>
      <c r="B35" s="11">
        <v>4000013</v>
      </c>
      <c r="C35" s="11" t="s">
        <v>0</v>
      </c>
      <c r="D35" s="20" t="s">
        <v>1770</v>
      </c>
      <c r="BF35" s="4"/>
      <c r="BG35" s="4"/>
      <c r="BH35" s="4"/>
      <c r="BI35" s="4"/>
    </row>
    <row r="36" spans="1:66" ht="15" customHeight="1">
      <c r="A36" s="21" t="str">
        <f t="shared" si="0"/>
        <v>FB_IMp_S</v>
      </c>
      <c r="B36" s="8">
        <v>7000013</v>
      </c>
      <c r="C36" s="8" t="s">
        <v>6</v>
      </c>
      <c r="D36" s="22">
        <v>2</v>
      </c>
      <c r="BF36" s="4"/>
      <c r="BG36" s="4"/>
      <c r="BH36" s="4"/>
      <c r="BI36" s="4"/>
    </row>
    <row r="37" spans="1:66" ht="15" customHeight="1">
      <c r="A37" s="63" t="str">
        <f t="shared" ref="A37:A46" si="1">$R$2&amp;".ILCX"</f>
        <v>FB_IMp_S.ILCX</v>
      </c>
      <c r="B37" s="64">
        <v>11154</v>
      </c>
      <c r="C37" s="64" t="s">
        <v>4</v>
      </c>
      <c r="D37" s="98">
        <f>$Q$6</f>
        <v>8</v>
      </c>
      <c r="BK37" s="4"/>
      <c r="BL37" s="4"/>
      <c r="BM37" s="4"/>
      <c r="BN37" s="4"/>
    </row>
    <row r="38" spans="1:66" ht="15" customHeight="1">
      <c r="A38" s="63" t="str">
        <f t="shared" si="1"/>
        <v>FB_IMp_S.ILCX</v>
      </c>
      <c r="B38" s="64">
        <v>11150</v>
      </c>
      <c r="C38" s="64" t="s">
        <v>0</v>
      </c>
      <c r="D38" s="65" t="s">
        <v>188</v>
      </c>
      <c r="BK38" s="4"/>
      <c r="BL38" s="4"/>
      <c r="BM38" s="4"/>
      <c r="BN38" s="4"/>
    </row>
    <row r="39" spans="1:66" ht="15" customHeight="1">
      <c r="A39" s="63" t="str">
        <f t="shared" si="1"/>
        <v>FB_IMp_S.ILCX</v>
      </c>
      <c r="B39" s="64">
        <v>11152</v>
      </c>
      <c r="C39" s="64" t="s">
        <v>0</v>
      </c>
      <c r="D39" s="99" t="str">
        <f>$R$6</f>
        <v>Предупреждение</v>
      </c>
      <c r="BK39" s="4"/>
      <c r="BL39" s="4"/>
      <c r="BM39" s="4"/>
      <c r="BN39" s="4"/>
    </row>
    <row r="40" spans="1:66" ht="15" customHeight="1">
      <c r="A40" s="63" t="str">
        <f t="shared" si="1"/>
        <v>FB_IMp_S.ILCX</v>
      </c>
      <c r="B40" s="64">
        <v>11000</v>
      </c>
      <c r="C40" s="64" t="s">
        <v>5</v>
      </c>
      <c r="D40" s="65">
        <v>2147483680</v>
      </c>
      <c r="BK40" s="4"/>
      <c r="BL40" s="4"/>
      <c r="BM40" s="4"/>
      <c r="BN40" s="4"/>
    </row>
    <row r="41" spans="1:66" ht="15" customHeight="1">
      <c r="A41" s="19" t="str">
        <f t="shared" si="1"/>
        <v>FB_IMp_S.ILCX</v>
      </c>
      <c r="B41" s="11">
        <v>7999</v>
      </c>
      <c r="C41" s="11" t="s">
        <v>0</v>
      </c>
      <c r="D41" s="20" t="str">
        <f>"#"&amp;$S$2&amp;"#"&amp;$T$2&amp;"\"&amp;$P$2&amp;"\ILCX"</f>
        <v>#1#treiOPCDA.CoOPCserv.1\pcmaster\KNS_P1\ILCX</v>
      </c>
      <c r="BK41" s="4"/>
      <c r="BL41" s="4"/>
      <c r="BM41" s="4"/>
      <c r="BN41" s="4"/>
    </row>
    <row r="42" spans="1:66" ht="15" customHeight="1">
      <c r="A42" s="19" t="str">
        <f t="shared" si="1"/>
        <v>FB_IMp_S.ILCX</v>
      </c>
      <c r="B42" s="11">
        <v>7998</v>
      </c>
      <c r="C42" s="11" t="s">
        <v>6</v>
      </c>
      <c r="D42" s="20">
        <v>1</v>
      </c>
      <c r="BK42" s="4"/>
      <c r="BL42" s="4"/>
      <c r="BM42" s="4"/>
      <c r="BN42" s="4"/>
    </row>
    <row r="43" spans="1:66" ht="15" customHeight="1">
      <c r="A43" s="19" t="str">
        <f t="shared" si="1"/>
        <v>FB_IMp_S.ILCX</v>
      </c>
      <c r="B43" s="11">
        <v>101</v>
      </c>
      <c r="C43" s="11" t="s">
        <v>0</v>
      </c>
      <c r="D43" s="20" t="s">
        <v>577</v>
      </c>
      <c r="BK43" s="4"/>
      <c r="BL43" s="4"/>
      <c r="BM43" s="4"/>
      <c r="BN43" s="4"/>
    </row>
    <row r="44" spans="1:66" ht="15" customHeight="1">
      <c r="A44" s="19" t="str">
        <f t="shared" si="1"/>
        <v>FB_IMp_S.ILCX</v>
      </c>
      <c r="B44" s="11">
        <v>3</v>
      </c>
      <c r="C44" s="11" t="s">
        <v>1</v>
      </c>
      <c r="D44" s="20">
        <v>192</v>
      </c>
      <c r="BK44" s="4"/>
      <c r="BL44" s="4"/>
      <c r="BM44" s="4"/>
      <c r="BN44" s="4"/>
    </row>
    <row r="45" spans="1:66" ht="15" customHeight="1">
      <c r="A45" s="19" t="str">
        <f t="shared" si="1"/>
        <v>FB_IMp_S.ILCX</v>
      </c>
      <c r="B45" s="11">
        <v>2</v>
      </c>
      <c r="C45" s="11" t="s">
        <v>2</v>
      </c>
      <c r="D45" s="20" t="s">
        <v>3</v>
      </c>
      <c r="BK45" s="4"/>
      <c r="BL45" s="4"/>
      <c r="BM45" s="4"/>
      <c r="BN45" s="4"/>
    </row>
    <row r="46" spans="1:66" ht="15" customHeight="1">
      <c r="A46" s="21" t="str">
        <f t="shared" si="1"/>
        <v>FB_IMp_S.ILCX</v>
      </c>
      <c r="B46" s="8">
        <v>1</v>
      </c>
      <c r="C46" s="8" t="s">
        <v>1</v>
      </c>
      <c r="D46" s="22">
        <v>11</v>
      </c>
      <c r="BK46" s="4"/>
      <c r="BL46" s="4"/>
      <c r="BM46" s="4"/>
      <c r="BN46" s="4"/>
    </row>
    <row r="47" spans="1:66" ht="15" customHeight="1">
      <c r="A47" s="69" t="str">
        <f t="shared" ref="A47:A56" si="2">$R$2&amp;".FRTX"</f>
        <v>FB_IMp_S.FRTX</v>
      </c>
      <c r="B47" s="70">
        <v>11154</v>
      </c>
      <c r="C47" s="70" t="s">
        <v>4</v>
      </c>
      <c r="D47" s="144">
        <f>$Q$6</f>
        <v>8</v>
      </c>
      <c r="BK47" s="4"/>
      <c r="BL47" s="4"/>
      <c r="BM47" s="4"/>
      <c r="BN47" s="4"/>
    </row>
    <row r="48" spans="1:66" ht="15" customHeight="1">
      <c r="A48" s="63" t="str">
        <f t="shared" si="2"/>
        <v>FB_IMp_S.FRTX</v>
      </c>
      <c r="B48" s="64">
        <v>11150</v>
      </c>
      <c r="C48" s="64" t="s">
        <v>0</v>
      </c>
      <c r="D48" s="65" t="s">
        <v>158</v>
      </c>
      <c r="BK48" s="4"/>
      <c r="BL48" s="4"/>
      <c r="BM48" s="4"/>
      <c r="BN48" s="4"/>
    </row>
    <row r="49" spans="1:66" ht="15" customHeight="1">
      <c r="A49" s="63" t="str">
        <f t="shared" si="2"/>
        <v>FB_IMp_S.FRTX</v>
      </c>
      <c r="B49" s="64">
        <v>11152</v>
      </c>
      <c r="C49" s="64" t="s">
        <v>0</v>
      </c>
      <c r="D49" s="99" t="str">
        <f>$R$6</f>
        <v>Предупреждение</v>
      </c>
      <c r="BK49" s="4"/>
      <c r="BL49" s="4"/>
      <c r="BM49" s="4"/>
      <c r="BN49" s="4"/>
    </row>
    <row r="50" spans="1:66" ht="15" customHeight="1">
      <c r="A50" s="63" t="str">
        <f t="shared" si="2"/>
        <v>FB_IMp_S.FRTX</v>
      </c>
      <c r="B50" s="64">
        <v>11000</v>
      </c>
      <c r="C50" s="64" t="s">
        <v>5</v>
      </c>
      <c r="D50" s="65">
        <v>2147483680</v>
      </c>
      <c r="BK50" s="4"/>
      <c r="BL50" s="4"/>
      <c r="BM50" s="4"/>
      <c r="BN50" s="4"/>
    </row>
    <row r="51" spans="1:66" ht="15" customHeight="1">
      <c r="A51" s="19" t="str">
        <f t="shared" si="2"/>
        <v>FB_IMp_S.FRTX</v>
      </c>
      <c r="B51" s="11">
        <v>7999</v>
      </c>
      <c r="C51" s="11" t="s">
        <v>0</v>
      </c>
      <c r="D51" s="20" t="str">
        <f>"#"&amp;$S$2&amp;"#"&amp;$T$2&amp;"\"&amp;$P$2&amp;"\FRTX"</f>
        <v>#1#treiOPCDA.CoOPCserv.1\pcmaster\KNS_P1\FRTX</v>
      </c>
      <c r="BK51" s="4"/>
      <c r="BL51" s="4"/>
      <c r="BM51" s="4"/>
      <c r="BN51" s="4"/>
    </row>
    <row r="52" spans="1:66" ht="15" customHeight="1">
      <c r="A52" s="19" t="str">
        <f t="shared" si="2"/>
        <v>FB_IMp_S.FRTX</v>
      </c>
      <c r="B52" s="11">
        <v>7998</v>
      </c>
      <c r="C52" s="11" t="s">
        <v>6</v>
      </c>
      <c r="D52" s="20">
        <v>1</v>
      </c>
      <c r="BK52" s="4"/>
      <c r="BL52" s="4"/>
      <c r="BM52" s="4"/>
      <c r="BN52" s="4"/>
    </row>
    <row r="53" spans="1:66" ht="15" customHeight="1">
      <c r="A53" s="19" t="str">
        <f t="shared" si="2"/>
        <v>FB_IMp_S.FRTX</v>
      </c>
      <c r="B53" s="11">
        <v>101</v>
      </c>
      <c r="C53" s="11" t="s">
        <v>0</v>
      </c>
      <c r="D53" s="20" t="s">
        <v>158</v>
      </c>
      <c r="BK53" s="4"/>
      <c r="BL53" s="4"/>
      <c r="BM53" s="4"/>
      <c r="BN53" s="4"/>
    </row>
    <row r="54" spans="1:66" ht="15" customHeight="1">
      <c r="A54" s="19" t="str">
        <f t="shared" si="2"/>
        <v>FB_IMp_S.FRTX</v>
      </c>
      <c r="B54" s="11">
        <v>3</v>
      </c>
      <c r="C54" s="11" t="s">
        <v>1</v>
      </c>
      <c r="D54" s="20">
        <v>192</v>
      </c>
      <c r="BK54" s="4"/>
      <c r="BL54" s="4"/>
      <c r="BM54" s="4"/>
      <c r="BN54" s="4"/>
    </row>
    <row r="55" spans="1:66" ht="15" customHeight="1">
      <c r="A55" s="19" t="str">
        <f t="shared" si="2"/>
        <v>FB_IMp_S.FRTX</v>
      </c>
      <c r="B55" s="11">
        <v>2</v>
      </c>
      <c r="C55" s="11" t="s">
        <v>2</v>
      </c>
      <c r="D55" s="20" t="s">
        <v>3</v>
      </c>
      <c r="BK55" s="4"/>
      <c r="BL55" s="4"/>
      <c r="BM55" s="4"/>
      <c r="BN55" s="4"/>
    </row>
    <row r="56" spans="1:66" ht="15" customHeight="1">
      <c r="A56" s="21" t="str">
        <f t="shared" si="2"/>
        <v>FB_IMp_S.FRTX</v>
      </c>
      <c r="B56" s="8">
        <v>1</v>
      </c>
      <c r="C56" s="8" t="s">
        <v>1</v>
      </c>
      <c r="D56" s="22">
        <v>11</v>
      </c>
      <c r="BK56" s="4"/>
      <c r="BL56" s="4"/>
      <c r="BM56" s="4"/>
      <c r="BN56" s="4"/>
    </row>
    <row r="57" spans="1:66" ht="15" customHeight="1">
      <c r="A57" s="69" t="str">
        <f t="shared" ref="A57:A66" si="3">$R$2&amp;".LAON"</f>
        <v>FB_IMp_S.LAON</v>
      </c>
      <c r="B57" s="70">
        <v>11154</v>
      </c>
      <c r="C57" s="70" t="s">
        <v>4</v>
      </c>
      <c r="D57" s="144">
        <f>$Q$6</f>
        <v>8</v>
      </c>
      <c r="BK57" s="4"/>
      <c r="BL57" s="4"/>
      <c r="BM57" s="4"/>
      <c r="BN57" s="4"/>
    </row>
    <row r="58" spans="1:66" ht="15" customHeight="1">
      <c r="A58" s="63" t="str">
        <f t="shared" si="3"/>
        <v>FB_IMp_S.LAON</v>
      </c>
      <c r="B58" s="64">
        <v>11150</v>
      </c>
      <c r="C58" s="64" t="s">
        <v>0</v>
      </c>
      <c r="D58" s="65" t="s">
        <v>1833</v>
      </c>
      <c r="BK58" s="4"/>
      <c r="BL58" s="4"/>
      <c r="BM58" s="4"/>
      <c r="BN58" s="4"/>
    </row>
    <row r="59" spans="1:66" ht="15" customHeight="1">
      <c r="A59" s="63" t="str">
        <f t="shared" si="3"/>
        <v>FB_IMp_S.LAON</v>
      </c>
      <c r="B59" s="64">
        <v>11152</v>
      </c>
      <c r="C59" s="64" t="s">
        <v>0</v>
      </c>
      <c r="D59" s="99" t="str">
        <f>$R$6</f>
        <v>Предупреждение</v>
      </c>
      <c r="BK59" s="4"/>
      <c r="BL59" s="4"/>
      <c r="BM59" s="4"/>
      <c r="BN59" s="4"/>
    </row>
    <row r="60" spans="1:66" ht="15" customHeight="1">
      <c r="A60" s="63" t="str">
        <f t="shared" si="3"/>
        <v>FB_IMp_S.LAON</v>
      </c>
      <c r="B60" s="64">
        <v>11000</v>
      </c>
      <c r="C60" s="64" t="s">
        <v>5</v>
      </c>
      <c r="D60" s="65">
        <v>2147483680</v>
      </c>
      <c r="BK60" s="4"/>
      <c r="BL60" s="4"/>
      <c r="BM60" s="4"/>
      <c r="BN60" s="4"/>
    </row>
    <row r="61" spans="1:66" ht="15" customHeight="1">
      <c r="A61" s="19" t="str">
        <f t="shared" si="3"/>
        <v>FB_IMp_S.LAON</v>
      </c>
      <c r="B61" s="11">
        <v>7999</v>
      </c>
      <c r="C61" s="11" t="s">
        <v>0</v>
      </c>
      <c r="D61" s="20" t="str">
        <f>"#"&amp;$S$2&amp;"#"&amp;$T$2&amp;"\"&amp;$P$2&amp;"\LAON"</f>
        <v>#1#treiOPCDA.CoOPCserv.1\pcmaster\KNS_P1\LAON</v>
      </c>
      <c r="BK61" s="4"/>
      <c r="BL61" s="4"/>
      <c r="BM61" s="4"/>
      <c r="BN61" s="4"/>
    </row>
    <row r="62" spans="1:66" ht="15" customHeight="1">
      <c r="A62" s="19" t="str">
        <f t="shared" si="3"/>
        <v>FB_IMp_S.LAON</v>
      </c>
      <c r="B62" s="11">
        <v>7998</v>
      </c>
      <c r="C62" s="11" t="s">
        <v>6</v>
      </c>
      <c r="D62" s="20">
        <v>1</v>
      </c>
      <c r="BK62" s="4"/>
      <c r="BL62" s="4"/>
      <c r="BM62" s="4"/>
      <c r="BN62" s="4"/>
    </row>
    <row r="63" spans="1:66" ht="15" customHeight="1">
      <c r="A63" s="19" t="str">
        <f t="shared" si="3"/>
        <v>FB_IMp_S.LAON</v>
      </c>
      <c r="B63" s="11">
        <v>101</v>
      </c>
      <c r="C63" s="11" t="s">
        <v>0</v>
      </c>
      <c r="D63" s="20" t="s">
        <v>1833</v>
      </c>
      <c r="BK63" s="4"/>
      <c r="BL63" s="4"/>
      <c r="BM63" s="4"/>
      <c r="BN63" s="4"/>
    </row>
    <row r="64" spans="1:66" ht="15" customHeight="1">
      <c r="A64" s="19" t="str">
        <f t="shared" si="3"/>
        <v>FB_IMp_S.LAON</v>
      </c>
      <c r="B64" s="11">
        <v>3</v>
      </c>
      <c r="C64" s="11" t="s">
        <v>1</v>
      </c>
      <c r="D64" s="20">
        <v>192</v>
      </c>
      <c r="BK64" s="4"/>
      <c r="BL64" s="4"/>
      <c r="BM64" s="4"/>
      <c r="BN64" s="4"/>
    </row>
    <row r="65" spans="1:66" ht="15" customHeight="1">
      <c r="A65" s="19" t="str">
        <f t="shared" si="3"/>
        <v>FB_IMp_S.LAON</v>
      </c>
      <c r="B65" s="11">
        <v>2</v>
      </c>
      <c r="C65" s="11" t="s">
        <v>2</v>
      </c>
      <c r="D65" s="20" t="s">
        <v>3</v>
      </c>
      <c r="BK65" s="4"/>
      <c r="BL65" s="4"/>
      <c r="BM65" s="4"/>
      <c r="BN65" s="4"/>
    </row>
    <row r="66" spans="1:66" ht="15" customHeight="1">
      <c r="A66" s="21" t="str">
        <f t="shared" si="3"/>
        <v>FB_IMp_S.LAON</v>
      </c>
      <c r="B66" s="8">
        <v>1</v>
      </c>
      <c r="C66" s="8" t="s">
        <v>1</v>
      </c>
      <c r="D66" s="22">
        <v>11</v>
      </c>
      <c r="BK66" s="4"/>
      <c r="BL66" s="4"/>
      <c r="BM66" s="4"/>
      <c r="BN66" s="4"/>
    </row>
    <row r="67" spans="1:66" ht="15" customHeight="1">
      <c r="A67" s="69" t="str">
        <f t="shared" ref="A67:A76" si="4">$R$2&amp;".LAOF"</f>
        <v>FB_IMp_S.LAOF</v>
      </c>
      <c r="B67" s="70">
        <v>11154</v>
      </c>
      <c r="C67" s="70" t="s">
        <v>4</v>
      </c>
      <c r="D67" s="144">
        <f>$Q$6</f>
        <v>8</v>
      </c>
      <c r="BK67" s="4"/>
      <c r="BL67" s="4"/>
      <c r="BM67" s="4"/>
      <c r="BN67" s="4"/>
    </row>
    <row r="68" spans="1:66" ht="15" customHeight="1">
      <c r="A68" s="63" t="str">
        <f t="shared" si="4"/>
        <v>FB_IMp_S.LAOF</v>
      </c>
      <c r="B68" s="64">
        <v>11150</v>
      </c>
      <c r="C68" s="64" t="s">
        <v>0</v>
      </c>
      <c r="D68" s="65" t="s">
        <v>1834</v>
      </c>
      <c r="BK68" s="4"/>
      <c r="BL68" s="4"/>
      <c r="BM68" s="4"/>
      <c r="BN68" s="4"/>
    </row>
    <row r="69" spans="1:66" ht="15" customHeight="1">
      <c r="A69" s="63" t="str">
        <f t="shared" si="4"/>
        <v>FB_IMp_S.LAOF</v>
      </c>
      <c r="B69" s="64">
        <v>11152</v>
      </c>
      <c r="C69" s="64" t="s">
        <v>0</v>
      </c>
      <c r="D69" s="99" t="str">
        <f>$R$6</f>
        <v>Предупреждение</v>
      </c>
      <c r="BK69" s="4"/>
      <c r="BL69" s="4"/>
      <c r="BM69" s="4"/>
      <c r="BN69" s="4"/>
    </row>
    <row r="70" spans="1:66" ht="15" customHeight="1">
      <c r="A70" s="63" t="str">
        <f t="shared" si="4"/>
        <v>FB_IMp_S.LAOF</v>
      </c>
      <c r="B70" s="64">
        <v>11000</v>
      </c>
      <c r="C70" s="64" t="s">
        <v>5</v>
      </c>
      <c r="D70" s="65">
        <v>2147483680</v>
      </c>
      <c r="BK70" s="4"/>
      <c r="BL70" s="4"/>
      <c r="BM70" s="4"/>
      <c r="BN70" s="4"/>
    </row>
    <row r="71" spans="1:66" ht="15" customHeight="1">
      <c r="A71" s="19" t="str">
        <f t="shared" si="4"/>
        <v>FB_IMp_S.LAOF</v>
      </c>
      <c r="B71" s="11">
        <v>7999</v>
      </c>
      <c r="C71" s="11" t="s">
        <v>0</v>
      </c>
      <c r="D71" s="20" t="str">
        <f>"#"&amp;$S$2&amp;"#"&amp;$T$2&amp;"\"&amp;$P$2&amp;"\LAOF"</f>
        <v>#1#treiOPCDA.CoOPCserv.1\pcmaster\KNS_P1\LAOF</v>
      </c>
      <c r="BK71" s="4"/>
      <c r="BL71" s="4"/>
      <c r="BM71" s="4"/>
      <c r="BN71" s="4"/>
    </row>
    <row r="72" spans="1:66" ht="15" customHeight="1">
      <c r="A72" s="19" t="str">
        <f t="shared" si="4"/>
        <v>FB_IMp_S.LAOF</v>
      </c>
      <c r="B72" s="11">
        <v>7998</v>
      </c>
      <c r="C72" s="11" t="s">
        <v>6</v>
      </c>
      <c r="D72" s="20">
        <v>1</v>
      </c>
      <c r="BK72" s="4"/>
      <c r="BL72" s="4"/>
      <c r="BM72" s="4"/>
      <c r="BN72" s="4"/>
    </row>
    <row r="73" spans="1:66" ht="15" customHeight="1">
      <c r="A73" s="19" t="str">
        <f t="shared" si="4"/>
        <v>FB_IMp_S.LAOF</v>
      </c>
      <c r="B73" s="11">
        <v>101</v>
      </c>
      <c r="C73" s="11" t="s">
        <v>0</v>
      </c>
      <c r="D73" s="20" t="s">
        <v>1834</v>
      </c>
      <c r="BK73" s="4"/>
      <c r="BL73" s="4"/>
      <c r="BM73" s="4"/>
      <c r="BN73" s="4"/>
    </row>
    <row r="74" spans="1:66" ht="15" customHeight="1">
      <c r="A74" s="19" t="str">
        <f t="shared" si="4"/>
        <v>FB_IMp_S.LAOF</v>
      </c>
      <c r="B74" s="11">
        <v>3</v>
      </c>
      <c r="C74" s="11" t="s">
        <v>1</v>
      </c>
      <c r="D74" s="20">
        <v>192</v>
      </c>
      <c r="BK74" s="4"/>
      <c r="BL74" s="4"/>
      <c r="BM74" s="4"/>
      <c r="BN74" s="4"/>
    </row>
    <row r="75" spans="1:66" ht="15" customHeight="1">
      <c r="A75" s="19" t="str">
        <f t="shared" si="4"/>
        <v>FB_IMp_S.LAOF</v>
      </c>
      <c r="B75" s="11">
        <v>2</v>
      </c>
      <c r="C75" s="11" t="s">
        <v>2</v>
      </c>
      <c r="D75" s="20" t="s">
        <v>3</v>
      </c>
      <c r="BK75" s="4"/>
      <c r="BL75" s="4"/>
      <c r="BM75" s="4"/>
      <c r="BN75" s="4"/>
    </row>
    <row r="76" spans="1:66" ht="15" customHeight="1">
      <c r="A76" s="21" t="str">
        <f t="shared" si="4"/>
        <v>FB_IMp_S.LAOF</v>
      </c>
      <c r="B76" s="8">
        <v>1</v>
      </c>
      <c r="C76" s="8" t="s">
        <v>1</v>
      </c>
      <c r="D76" s="22">
        <v>11</v>
      </c>
      <c r="BK76" s="4"/>
      <c r="BL76" s="4"/>
      <c r="BM76" s="4"/>
      <c r="BN76" s="4"/>
    </row>
    <row r="77" spans="1:66" ht="15" customHeight="1">
      <c r="A77" s="69" t="str">
        <f t="shared" ref="A77:A86" si="5">$R$2&amp;".CEON"</f>
        <v>FB_IMp_S.CEON</v>
      </c>
      <c r="B77" s="70">
        <v>11154</v>
      </c>
      <c r="C77" s="70" t="s">
        <v>4</v>
      </c>
      <c r="D77" s="144">
        <f>$Q$6</f>
        <v>8</v>
      </c>
      <c r="BK77" s="4"/>
      <c r="BL77" s="4"/>
      <c r="BM77" s="4"/>
      <c r="BN77" s="4"/>
    </row>
    <row r="78" spans="1:66" ht="15" customHeight="1">
      <c r="A78" s="63" t="str">
        <f t="shared" si="5"/>
        <v>FB_IMp_S.CEON</v>
      </c>
      <c r="B78" s="64">
        <v>11150</v>
      </c>
      <c r="C78" s="64" t="s">
        <v>0</v>
      </c>
      <c r="D78" s="65" t="s">
        <v>1835</v>
      </c>
      <c r="BK78" s="4"/>
      <c r="BL78" s="4"/>
      <c r="BM78" s="4"/>
      <c r="BN78" s="4"/>
    </row>
    <row r="79" spans="1:66" ht="15" customHeight="1">
      <c r="A79" s="63" t="str">
        <f t="shared" si="5"/>
        <v>FB_IMp_S.CEON</v>
      </c>
      <c r="B79" s="64">
        <v>11152</v>
      </c>
      <c r="C79" s="64" t="s">
        <v>0</v>
      </c>
      <c r="D79" s="99" t="str">
        <f>$R$6</f>
        <v>Предупреждение</v>
      </c>
      <c r="BK79" s="4"/>
      <c r="BL79" s="4"/>
      <c r="BM79" s="4"/>
      <c r="BN79" s="4"/>
    </row>
    <row r="80" spans="1:66" ht="15" customHeight="1">
      <c r="A80" s="63" t="str">
        <f t="shared" si="5"/>
        <v>FB_IMp_S.CEON</v>
      </c>
      <c r="B80" s="64">
        <v>11000</v>
      </c>
      <c r="C80" s="64" t="s">
        <v>5</v>
      </c>
      <c r="D80" s="65">
        <v>2147483680</v>
      </c>
      <c r="BK80" s="4"/>
      <c r="BL80" s="4"/>
      <c r="BM80" s="4"/>
      <c r="BN80" s="4"/>
    </row>
    <row r="81" spans="1:66" ht="15" customHeight="1">
      <c r="A81" s="19" t="str">
        <f t="shared" si="5"/>
        <v>FB_IMp_S.CEON</v>
      </c>
      <c r="B81" s="11">
        <v>7999</v>
      </c>
      <c r="C81" s="11" t="s">
        <v>0</v>
      </c>
      <c r="D81" s="20" t="str">
        <f>"#"&amp;$S$2&amp;"#"&amp;$T$2&amp;"\"&amp;$P$2&amp;"\CEON"</f>
        <v>#1#treiOPCDA.CoOPCserv.1\pcmaster\KNS_P1\CEON</v>
      </c>
      <c r="BK81" s="4"/>
      <c r="BL81" s="4"/>
      <c r="BM81" s="4"/>
      <c r="BN81" s="4"/>
    </row>
    <row r="82" spans="1:66" ht="15" customHeight="1">
      <c r="A82" s="19" t="str">
        <f t="shared" si="5"/>
        <v>FB_IMp_S.CEON</v>
      </c>
      <c r="B82" s="11">
        <v>7998</v>
      </c>
      <c r="C82" s="11" t="s">
        <v>6</v>
      </c>
      <c r="D82" s="20">
        <v>1</v>
      </c>
      <c r="BK82" s="4"/>
      <c r="BL82" s="4"/>
      <c r="BM82" s="4"/>
      <c r="BN82" s="4"/>
    </row>
    <row r="83" spans="1:66" ht="15" customHeight="1">
      <c r="A83" s="19" t="str">
        <f t="shared" si="5"/>
        <v>FB_IMp_S.CEON</v>
      </c>
      <c r="B83" s="11">
        <v>101</v>
      </c>
      <c r="C83" s="11" t="s">
        <v>0</v>
      </c>
      <c r="D83" s="20" t="s">
        <v>1835</v>
      </c>
      <c r="BK83" s="4"/>
      <c r="BL83" s="4"/>
      <c r="BM83" s="4"/>
      <c r="BN83" s="4"/>
    </row>
    <row r="84" spans="1:66" ht="15" customHeight="1">
      <c r="A84" s="19" t="str">
        <f t="shared" si="5"/>
        <v>FB_IMp_S.CEON</v>
      </c>
      <c r="B84" s="11">
        <v>3</v>
      </c>
      <c r="C84" s="11" t="s">
        <v>1</v>
      </c>
      <c r="D84" s="20">
        <v>192</v>
      </c>
      <c r="BK84" s="4"/>
      <c r="BL84" s="4"/>
      <c r="BM84" s="4"/>
      <c r="BN84" s="4"/>
    </row>
    <row r="85" spans="1:66" ht="15" customHeight="1">
      <c r="A85" s="19" t="str">
        <f t="shared" si="5"/>
        <v>FB_IMp_S.CEON</v>
      </c>
      <c r="B85" s="11">
        <v>2</v>
      </c>
      <c r="C85" s="11" t="s">
        <v>2</v>
      </c>
      <c r="D85" s="20" t="s">
        <v>3</v>
      </c>
      <c r="BK85" s="4"/>
      <c r="BL85" s="4"/>
      <c r="BM85" s="4"/>
      <c r="BN85" s="4"/>
    </row>
    <row r="86" spans="1:66" ht="15" customHeight="1">
      <c r="A86" s="21" t="str">
        <f t="shared" si="5"/>
        <v>FB_IMp_S.CEON</v>
      </c>
      <c r="B86" s="8">
        <v>1</v>
      </c>
      <c r="C86" s="8" t="s">
        <v>1</v>
      </c>
      <c r="D86" s="22">
        <v>11</v>
      </c>
      <c r="BK86" s="4"/>
      <c r="BL86" s="4"/>
      <c r="BM86" s="4"/>
      <c r="BN86" s="4"/>
    </row>
    <row r="87" spans="1:66" ht="15" customHeight="1">
      <c r="A87" s="69" t="str">
        <f t="shared" ref="A87:A96" si="6">$R$2&amp;".CEOF"</f>
        <v>FB_IMp_S.CEOF</v>
      </c>
      <c r="B87" s="70">
        <v>11154</v>
      </c>
      <c r="C87" s="70" t="s">
        <v>4</v>
      </c>
      <c r="D87" s="144">
        <f>$Q$6</f>
        <v>8</v>
      </c>
      <c r="BK87" s="4"/>
      <c r="BL87" s="4"/>
      <c r="BM87" s="4"/>
      <c r="BN87" s="4"/>
    </row>
    <row r="88" spans="1:66" ht="15" customHeight="1">
      <c r="A88" s="63" t="str">
        <f t="shared" si="6"/>
        <v>FB_IMp_S.CEOF</v>
      </c>
      <c r="B88" s="64">
        <v>11150</v>
      </c>
      <c r="C88" s="64" t="s">
        <v>0</v>
      </c>
      <c r="D88" s="65" t="s">
        <v>1836</v>
      </c>
      <c r="BK88" s="4"/>
      <c r="BL88" s="4"/>
      <c r="BM88" s="4"/>
      <c r="BN88" s="4"/>
    </row>
    <row r="89" spans="1:66" ht="15" customHeight="1">
      <c r="A89" s="63" t="str">
        <f t="shared" si="6"/>
        <v>FB_IMp_S.CEOF</v>
      </c>
      <c r="B89" s="64">
        <v>11152</v>
      </c>
      <c r="C89" s="64" t="s">
        <v>0</v>
      </c>
      <c r="D89" s="99" t="str">
        <f>$R$6</f>
        <v>Предупреждение</v>
      </c>
      <c r="BK89" s="4"/>
      <c r="BL89" s="4"/>
      <c r="BM89" s="4"/>
      <c r="BN89" s="4"/>
    </row>
    <row r="90" spans="1:66" ht="15" customHeight="1">
      <c r="A90" s="63" t="str">
        <f t="shared" si="6"/>
        <v>FB_IMp_S.CEOF</v>
      </c>
      <c r="B90" s="64">
        <v>11000</v>
      </c>
      <c r="C90" s="64" t="s">
        <v>5</v>
      </c>
      <c r="D90" s="65">
        <v>2147483680</v>
      </c>
      <c r="BK90" s="4"/>
      <c r="BL90" s="4"/>
      <c r="BM90" s="4"/>
      <c r="BN90" s="4"/>
    </row>
    <row r="91" spans="1:66" ht="15" customHeight="1">
      <c r="A91" s="19" t="str">
        <f t="shared" si="6"/>
        <v>FB_IMp_S.CEOF</v>
      </c>
      <c r="B91" s="11">
        <v>7999</v>
      </c>
      <c r="C91" s="11" t="s">
        <v>0</v>
      </c>
      <c r="D91" s="20" t="str">
        <f>"#"&amp;$S$2&amp;"#"&amp;$T$2&amp;"\"&amp;$P$2&amp;"\CEOF"</f>
        <v>#1#treiOPCDA.CoOPCserv.1\pcmaster\KNS_P1\CEOF</v>
      </c>
      <c r="BK91" s="4"/>
      <c r="BL91" s="4"/>
      <c r="BM91" s="4"/>
      <c r="BN91" s="4"/>
    </row>
    <row r="92" spans="1:66" ht="15" customHeight="1">
      <c r="A92" s="19" t="str">
        <f t="shared" si="6"/>
        <v>FB_IMp_S.CEOF</v>
      </c>
      <c r="B92" s="11">
        <v>7998</v>
      </c>
      <c r="C92" s="11" t="s">
        <v>6</v>
      </c>
      <c r="D92" s="20">
        <v>1</v>
      </c>
      <c r="BK92" s="4"/>
      <c r="BL92" s="4"/>
      <c r="BM92" s="4"/>
      <c r="BN92" s="4"/>
    </row>
    <row r="93" spans="1:66" ht="15" customHeight="1">
      <c r="A93" s="19" t="str">
        <f t="shared" si="6"/>
        <v>FB_IMp_S.CEOF</v>
      </c>
      <c r="B93" s="11">
        <v>101</v>
      </c>
      <c r="C93" s="11" t="s">
        <v>0</v>
      </c>
      <c r="D93" s="20" t="s">
        <v>1836</v>
      </c>
      <c r="BK93" s="4"/>
      <c r="BL93" s="4"/>
      <c r="BM93" s="4"/>
      <c r="BN93" s="4"/>
    </row>
    <row r="94" spans="1:66" ht="15" customHeight="1">
      <c r="A94" s="19" t="str">
        <f t="shared" si="6"/>
        <v>FB_IMp_S.CEOF</v>
      </c>
      <c r="B94" s="11">
        <v>3</v>
      </c>
      <c r="C94" s="11" t="s">
        <v>1</v>
      </c>
      <c r="D94" s="20">
        <v>192</v>
      </c>
      <c r="BK94" s="4"/>
      <c r="BL94" s="4"/>
      <c r="BM94" s="4"/>
      <c r="BN94" s="4"/>
    </row>
    <row r="95" spans="1:66" ht="15" customHeight="1">
      <c r="A95" s="19" t="str">
        <f t="shared" si="6"/>
        <v>FB_IMp_S.CEOF</v>
      </c>
      <c r="B95" s="11">
        <v>2</v>
      </c>
      <c r="C95" s="11" t="s">
        <v>2</v>
      </c>
      <c r="D95" s="20" t="s">
        <v>3</v>
      </c>
      <c r="BK95" s="4"/>
      <c r="BL95" s="4"/>
      <c r="BM95" s="4"/>
      <c r="BN95" s="4"/>
    </row>
    <row r="96" spans="1:66" ht="15" customHeight="1">
      <c r="A96" s="21" t="str">
        <f t="shared" si="6"/>
        <v>FB_IMp_S.CEOF</v>
      </c>
      <c r="B96" s="8">
        <v>1</v>
      </c>
      <c r="C96" s="8" t="s">
        <v>1</v>
      </c>
      <c r="D96" s="22">
        <v>11</v>
      </c>
      <c r="BK96" s="4"/>
      <c r="BL96" s="4"/>
      <c r="BM96" s="4"/>
      <c r="BN96" s="4"/>
    </row>
    <row r="97" spans="1:66" ht="15" customHeight="1">
      <c r="A97" s="69" t="str">
        <f t="shared" ref="A97:A100" si="7">$R$2&amp;".CBON"</f>
        <v>FB_IMp_S.CBON</v>
      </c>
      <c r="B97" s="70">
        <v>11154</v>
      </c>
      <c r="C97" s="70" t="s">
        <v>4</v>
      </c>
      <c r="D97" s="144">
        <f>$Q$6</f>
        <v>8</v>
      </c>
      <c r="BK97" s="4"/>
      <c r="BL97" s="4"/>
      <c r="BM97" s="4"/>
      <c r="BN97" s="4"/>
    </row>
    <row r="98" spans="1:66" ht="15" customHeight="1">
      <c r="A98" s="63" t="str">
        <f t="shared" si="7"/>
        <v>FB_IMp_S.CBON</v>
      </c>
      <c r="B98" s="64">
        <v>11150</v>
      </c>
      <c r="C98" s="64" t="s">
        <v>0</v>
      </c>
      <c r="D98" s="65" t="s">
        <v>1837</v>
      </c>
      <c r="BK98" s="4"/>
      <c r="BL98" s="4"/>
      <c r="BM98" s="4"/>
      <c r="BN98" s="4"/>
    </row>
    <row r="99" spans="1:66" ht="15" customHeight="1">
      <c r="A99" s="63" t="str">
        <f t="shared" si="7"/>
        <v>FB_IMp_S.CBON</v>
      </c>
      <c r="B99" s="64">
        <v>11152</v>
      </c>
      <c r="C99" s="64" t="s">
        <v>0</v>
      </c>
      <c r="D99" s="99" t="str">
        <f>$R$6</f>
        <v>Предупреждение</v>
      </c>
      <c r="BK99" s="4"/>
      <c r="BL99" s="4"/>
      <c r="BM99" s="4"/>
      <c r="BN99" s="4"/>
    </row>
    <row r="100" spans="1:66" ht="15" customHeight="1">
      <c r="A100" s="63" t="str">
        <f t="shared" si="7"/>
        <v>FB_IMp_S.CBON</v>
      </c>
      <c r="B100" s="64">
        <v>11000</v>
      </c>
      <c r="C100" s="64" t="s">
        <v>5</v>
      </c>
      <c r="D100" s="65">
        <v>2147483680</v>
      </c>
      <c r="BK100" s="4"/>
      <c r="BL100" s="4"/>
      <c r="BM100" s="4"/>
      <c r="BN100" s="4"/>
    </row>
    <row r="101" spans="1:66" ht="15" customHeight="1">
      <c r="A101" s="19" t="str">
        <f t="shared" ref="A101:A106" si="8">$R$2&amp;".CBON"</f>
        <v>FB_IMp_S.CBON</v>
      </c>
      <c r="B101" s="11">
        <v>7999</v>
      </c>
      <c r="C101" s="11" t="s">
        <v>0</v>
      </c>
      <c r="D101" s="20" t="str">
        <f>"#"&amp;$S$2&amp;"#"&amp;$T$2&amp;"\"&amp;$P$2&amp;"\CBON"</f>
        <v>#1#treiOPCDA.CoOPCserv.1\pcmaster\KNS_P1\CBON</v>
      </c>
      <c r="BK101" s="4"/>
      <c r="BL101" s="4"/>
      <c r="BM101" s="4"/>
      <c r="BN101" s="4"/>
    </row>
    <row r="102" spans="1:66" ht="15" customHeight="1">
      <c r="A102" s="19" t="str">
        <f t="shared" si="8"/>
        <v>FB_IMp_S.CBON</v>
      </c>
      <c r="B102" s="11">
        <v>7998</v>
      </c>
      <c r="C102" s="11" t="s">
        <v>6</v>
      </c>
      <c r="D102" s="20">
        <v>1</v>
      </c>
      <c r="BK102" s="4"/>
      <c r="BL102" s="4"/>
      <c r="BM102" s="4"/>
      <c r="BN102" s="4"/>
    </row>
    <row r="103" spans="1:66" ht="15" customHeight="1">
      <c r="A103" s="19" t="str">
        <f t="shared" si="8"/>
        <v>FB_IMp_S.CBON</v>
      </c>
      <c r="B103" s="11">
        <v>101</v>
      </c>
      <c r="C103" s="11" t="s">
        <v>0</v>
      </c>
      <c r="D103" s="20" t="s">
        <v>1837</v>
      </c>
      <c r="BK103" s="4"/>
      <c r="BL103" s="4"/>
      <c r="BM103" s="4"/>
      <c r="BN103" s="4"/>
    </row>
    <row r="104" spans="1:66" ht="15" customHeight="1">
      <c r="A104" s="19" t="str">
        <f t="shared" si="8"/>
        <v>FB_IMp_S.CBON</v>
      </c>
      <c r="B104" s="11">
        <v>3</v>
      </c>
      <c r="C104" s="11" t="s">
        <v>1</v>
      </c>
      <c r="D104" s="20">
        <v>192</v>
      </c>
      <c r="BK104" s="4"/>
      <c r="BL104" s="4"/>
      <c r="BM104" s="4"/>
      <c r="BN104" s="4"/>
    </row>
    <row r="105" spans="1:66" ht="15" customHeight="1">
      <c r="A105" s="19" t="str">
        <f t="shared" si="8"/>
        <v>FB_IMp_S.CBON</v>
      </c>
      <c r="B105" s="11">
        <v>2</v>
      </c>
      <c r="C105" s="11" t="s">
        <v>2</v>
      </c>
      <c r="D105" s="20" t="s">
        <v>3</v>
      </c>
      <c r="BK105" s="4"/>
      <c r="BL105" s="4"/>
      <c r="BM105" s="4"/>
      <c r="BN105" s="4"/>
    </row>
    <row r="106" spans="1:66" ht="15" customHeight="1">
      <c r="A106" s="21" t="str">
        <f t="shared" si="8"/>
        <v>FB_IMp_S.CBON</v>
      </c>
      <c r="B106" s="8">
        <v>1</v>
      </c>
      <c r="C106" s="8" t="s">
        <v>1</v>
      </c>
      <c r="D106" s="22">
        <v>11</v>
      </c>
      <c r="BK106" s="4"/>
      <c r="BL106" s="4"/>
      <c r="BM106" s="4"/>
      <c r="BN106" s="4"/>
    </row>
    <row r="107" spans="1:66" ht="15" customHeight="1">
      <c r="A107" s="69" t="str">
        <f t="shared" ref="A107:A110" si="9">$R$2&amp;".CBOF"</f>
        <v>FB_IMp_S.CBOF</v>
      </c>
      <c r="B107" s="70">
        <v>11154</v>
      </c>
      <c r="C107" s="70" t="s">
        <v>4</v>
      </c>
      <c r="D107" s="144">
        <f>$Q$6</f>
        <v>8</v>
      </c>
      <c r="BK107" s="4"/>
      <c r="BL107" s="4"/>
      <c r="BM107" s="4"/>
      <c r="BN107" s="4"/>
    </row>
    <row r="108" spans="1:66" ht="15" customHeight="1">
      <c r="A108" s="63" t="str">
        <f t="shared" si="9"/>
        <v>FB_IMp_S.CBOF</v>
      </c>
      <c r="B108" s="64">
        <v>11150</v>
      </c>
      <c r="C108" s="64" t="s">
        <v>0</v>
      </c>
      <c r="D108" s="65" t="s">
        <v>1838</v>
      </c>
      <c r="BK108" s="4"/>
      <c r="BL108" s="4"/>
      <c r="BM108" s="4"/>
      <c r="BN108" s="4"/>
    </row>
    <row r="109" spans="1:66" ht="15" customHeight="1">
      <c r="A109" s="63" t="str">
        <f t="shared" si="9"/>
        <v>FB_IMp_S.CBOF</v>
      </c>
      <c r="B109" s="64">
        <v>11152</v>
      </c>
      <c r="C109" s="64" t="s">
        <v>0</v>
      </c>
      <c r="D109" s="99" t="str">
        <f>$R$6</f>
        <v>Предупреждение</v>
      </c>
      <c r="BK109" s="4"/>
      <c r="BL109" s="4"/>
      <c r="BM109" s="4"/>
      <c r="BN109" s="4"/>
    </row>
    <row r="110" spans="1:66" ht="15" customHeight="1">
      <c r="A110" s="63" t="str">
        <f t="shared" si="9"/>
        <v>FB_IMp_S.CBOF</v>
      </c>
      <c r="B110" s="64">
        <v>11000</v>
      </c>
      <c r="C110" s="64" t="s">
        <v>5</v>
      </c>
      <c r="D110" s="65">
        <v>2147483680</v>
      </c>
      <c r="BK110" s="4"/>
      <c r="BL110" s="4"/>
      <c r="BM110" s="4"/>
      <c r="BN110" s="4"/>
    </row>
    <row r="111" spans="1:66" ht="15" customHeight="1">
      <c r="A111" s="19" t="str">
        <f t="shared" ref="A111:A116" si="10">$R$2&amp;".CBOF"</f>
        <v>FB_IMp_S.CBOF</v>
      </c>
      <c r="B111" s="11">
        <v>7999</v>
      </c>
      <c r="C111" s="11" t="s">
        <v>0</v>
      </c>
      <c r="D111" s="20" t="str">
        <f>"#"&amp;$S$2&amp;"#"&amp;$T$2&amp;"\"&amp;$P$2&amp;"\CBOF"</f>
        <v>#1#treiOPCDA.CoOPCserv.1\pcmaster\KNS_P1\CBOF</v>
      </c>
      <c r="BK111" s="4"/>
      <c r="BL111" s="4"/>
      <c r="BM111" s="4"/>
      <c r="BN111" s="4"/>
    </row>
    <row r="112" spans="1:66" ht="15" customHeight="1">
      <c r="A112" s="19" t="str">
        <f t="shared" si="10"/>
        <v>FB_IMp_S.CBOF</v>
      </c>
      <c r="B112" s="11">
        <v>7998</v>
      </c>
      <c r="C112" s="11" t="s">
        <v>6</v>
      </c>
      <c r="D112" s="20">
        <v>1</v>
      </c>
      <c r="BK112" s="4"/>
      <c r="BL112" s="4"/>
      <c r="BM112" s="4"/>
      <c r="BN112" s="4"/>
    </row>
    <row r="113" spans="1:66" ht="15" customHeight="1">
      <c r="A113" s="19" t="str">
        <f t="shared" si="10"/>
        <v>FB_IMp_S.CBOF</v>
      </c>
      <c r="B113" s="11">
        <v>101</v>
      </c>
      <c r="C113" s="11" t="s">
        <v>0</v>
      </c>
      <c r="D113" s="20" t="s">
        <v>1838</v>
      </c>
      <c r="BK113" s="4"/>
      <c r="BL113" s="4"/>
      <c r="BM113" s="4"/>
      <c r="BN113" s="4"/>
    </row>
    <row r="114" spans="1:66" ht="15" customHeight="1">
      <c r="A114" s="19" t="str">
        <f t="shared" si="10"/>
        <v>FB_IMp_S.CBOF</v>
      </c>
      <c r="B114" s="11">
        <v>3</v>
      </c>
      <c r="C114" s="11" t="s">
        <v>1</v>
      </c>
      <c r="D114" s="20">
        <v>192</v>
      </c>
      <c r="BK114" s="4"/>
      <c r="BL114" s="4"/>
      <c r="BM114" s="4"/>
      <c r="BN114" s="4"/>
    </row>
    <row r="115" spans="1:66" ht="15" customHeight="1">
      <c r="A115" s="19" t="str">
        <f t="shared" si="10"/>
        <v>FB_IMp_S.CBOF</v>
      </c>
      <c r="B115" s="11">
        <v>2</v>
      </c>
      <c r="C115" s="11" t="s">
        <v>2</v>
      </c>
      <c r="D115" s="20" t="s">
        <v>3</v>
      </c>
      <c r="BK115" s="4"/>
      <c r="BL115" s="4"/>
      <c r="BM115" s="4"/>
      <c r="BN115" s="4"/>
    </row>
    <row r="116" spans="1:66" ht="15" customHeight="1">
      <c r="A116" s="21" t="str">
        <f t="shared" si="10"/>
        <v>FB_IMp_S.CBOF</v>
      </c>
      <c r="B116" s="8">
        <v>1</v>
      </c>
      <c r="C116" s="8" t="s">
        <v>1</v>
      </c>
      <c r="D116" s="22">
        <v>11</v>
      </c>
      <c r="BK116" s="4"/>
      <c r="BL116" s="4"/>
      <c r="BM116" s="4"/>
      <c r="BN116" s="4"/>
    </row>
    <row r="117" spans="1:66" ht="15" customHeight="1">
      <c r="A117" s="217" t="str">
        <f t="shared" ref="A117:A126" si="11">$R$2&amp;".IFXX"</f>
        <v>FB_IMp_S.IFXX</v>
      </c>
      <c r="B117" s="218">
        <v>11154</v>
      </c>
      <c r="C117" s="218" t="s">
        <v>4</v>
      </c>
      <c r="D117" s="219">
        <f>$Q$7</f>
        <v>12</v>
      </c>
      <c r="BK117" s="4"/>
      <c r="BL117" s="4"/>
      <c r="BM117" s="4"/>
      <c r="BN117" s="4"/>
    </row>
    <row r="118" spans="1:66" ht="15" customHeight="1">
      <c r="A118" s="211" t="str">
        <f t="shared" si="11"/>
        <v>FB_IMp_S.IFXX</v>
      </c>
      <c r="B118" s="212">
        <v>11150</v>
      </c>
      <c r="C118" s="212" t="s">
        <v>0</v>
      </c>
      <c r="D118" s="213" t="s">
        <v>110</v>
      </c>
      <c r="BK118" s="4"/>
      <c r="BL118" s="4"/>
      <c r="BM118" s="4"/>
      <c r="BN118" s="4"/>
    </row>
    <row r="119" spans="1:66" ht="15" customHeight="1">
      <c r="A119" s="211" t="str">
        <f t="shared" si="11"/>
        <v>FB_IMp_S.IFXX</v>
      </c>
      <c r="B119" s="212">
        <v>11152</v>
      </c>
      <c r="C119" s="212" t="s">
        <v>0</v>
      </c>
      <c r="D119" s="220" t="str">
        <f>$R$7</f>
        <v>Неисправность</v>
      </c>
      <c r="BK119" s="4"/>
      <c r="BL119" s="4"/>
      <c r="BM119" s="4"/>
      <c r="BN119" s="4"/>
    </row>
    <row r="120" spans="1:66" ht="15" customHeight="1">
      <c r="A120" s="211" t="str">
        <f t="shared" si="11"/>
        <v>FB_IMp_S.IFXX</v>
      </c>
      <c r="B120" s="212">
        <v>11000</v>
      </c>
      <c r="C120" s="212" t="s">
        <v>5</v>
      </c>
      <c r="D120" s="213">
        <v>2147483680</v>
      </c>
      <c r="BK120" s="4"/>
      <c r="BL120" s="4"/>
      <c r="BM120" s="4"/>
      <c r="BN120" s="4"/>
    </row>
    <row r="121" spans="1:66" ht="15" customHeight="1">
      <c r="A121" s="19" t="str">
        <f t="shared" si="11"/>
        <v>FB_IMp_S.IFXX</v>
      </c>
      <c r="B121" s="11">
        <v>7999</v>
      </c>
      <c r="C121" s="11" t="s">
        <v>0</v>
      </c>
      <c r="D121" s="20" t="str">
        <f>"#"&amp;$S$2&amp;"#"&amp;$T$2&amp;"\"&amp;$P$2&amp;"\IFXX"</f>
        <v>#1#treiOPCDA.CoOPCserv.1\pcmaster\KNS_P1\IFXX</v>
      </c>
      <c r="BK121" s="4"/>
      <c r="BL121" s="4"/>
      <c r="BM121" s="4"/>
      <c r="BN121" s="4"/>
    </row>
    <row r="122" spans="1:66" ht="15" customHeight="1">
      <c r="A122" s="19" t="str">
        <f t="shared" si="11"/>
        <v>FB_IMp_S.IFXX</v>
      </c>
      <c r="B122" s="11">
        <v>7998</v>
      </c>
      <c r="C122" s="11" t="s">
        <v>6</v>
      </c>
      <c r="D122" s="20">
        <v>1</v>
      </c>
      <c r="BK122" s="4"/>
      <c r="BL122" s="4"/>
      <c r="BM122" s="4"/>
      <c r="BN122" s="4"/>
    </row>
    <row r="123" spans="1:66" ht="15" customHeight="1">
      <c r="A123" s="19" t="str">
        <f t="shared" si="11"/>
        <v>FB_IMp_S.IFXX</v>
      </c>
      <c r="B123" s="11">
        <v>101</v>
      </c>
      <c r="C123" s="11" t="s">
        <v>0</v>
      </c>
      <c r="D123" s="20" t="s">
        <v>176</v>
      </c>
      <c r="BK123" s="4"/>
      <c r="BL123" s="4"/>
      <c r="BM123" s="4"/>
      <c r="BN123" s="4"/>
    </row>
    <row r="124" spans="1:66" ht="15" customHeight="1">
      <c r="A124" s="19" t="str">
        <f t="shared" si="11"/>
        <v>FB_IMp_S.IFXX</v>
      </c>
      <c r="B124" s="11">
        <v>3</v>
      </c>
      <c r="C124" s="11" t="s">
        <v>1</v>
      </c>
      <c r="D124" s="20">
        <v>192</v>
      </c>
      <c r="BK124" s="4"/>
      <c r="BL124" s="4"/>
      <c r="BM124" s="4"/>
      <c r="BN124" s="4"/>
    </row>
    <row r="125" spans="1:66" ht="15" customHeight="1">
      <c r="A125" s="19" t="str">
        <f t="shared" si="11"/>
        <v>FB_IMp_S.IFXX</v>
      </c>
      <c r="B125" s="11">
        <v>2</v>
      </c>
      <c r="C125" s="11" t="s">
        <v>2</v>
      </c>
      <c r="D125" s="20" t="s">
        <v>3</v>
      </c>
      <c r="BK125" s="4"/>
      <c r="BL125" s="4"/>
      <c r="BM125" s="4"/>
      <c r="BN125" s="4"/>
    </row>
    <row r="126" spans="1:66" ht="15" customHeight="1">
      <c r="A126" s="21" t="str">
        <f t="shared" si="11"/>
        <v>FB_IMp_S.IFXX</v>
      </c>
      <c r="B126" s="8">
        <v>1</v>
      </c>
      <c r="C126" s="8" t="s">
        <v>1</v>
      </c>
      <c r="D126" s="22">
        <v>11</v>
      </c>
      <c r="BK126" s="4"/>
      <c r="BL126" s="4"/>
      <c r="BM126" s="4"/>
      <c r="BN126" s="4"/>
    </row>
    <row r="127" spans="1:66" ht="15" customHeight="1">
      <c r="A127" s="217" t="str">
        <f t="shared" ref="A127:A136" si="12">$R$2&amp;".FONX"</f>
        <v>FB_IMp_S.FONX</v>
      </c>
      <c r="B127" s="218">
        <v>11154</v>
      </c>
      <c r="C127" s="218" t="s">
        <v>4</v>
      </c>
      <c r="D127" s="219">
        <f>$Q$7</f>
        <v>12</v>
      </c>
      <c r="BK127" s="4"/>
      <c r="BL127" s="4"/>
      <c r="BM127" s="4"/>
      <c r="BN127" s="4"/>
    </row>
    <row r="128" spans="1:66" ht="15" customHeight="1">
      <c r="A128" s="211" t="str">
        <f t="shared" si="12"/>
        <v>FB_IMp_S.FONX</v>
      </c>
      <c r="B128" s="212">
        <v>11150</v>
      </c>
      <c r="C128" s="212" t="s">
        <v>0</v>
      </c>
      <c r="D128" s="213" t="str">
        <f>"Не  включился"</f>
        <v>Не  включился</v>
      </c>
      <c r="BK128" s="4"/>
      <c r="BL128" s="4"/>
      <c r="BM128" s="4"/>
      <c r="BN128" s="4"/>
    </row>
    <row r="129" spans="1:66" ht="15" customHeight="1">
      <c r="A129" s="211" t="str">
        <f t="shared" si="12"/>
        <v>FB_IMp_S.FONX</v>
      </c>
      <c r="B129" s="212">
        <v>11152</v>
      </c>
      <c r="C129" s="212" t="s">
        <v>0</v>
      </c>
      <c r="D129" s="220" t="str">
        <f>$R$7</f>
        <v>Неисправность</v>
      </c>
      <c r="BK129" s="4"/>
      <c r="BL129" s="4"/>
      <c r="BM129" s="4"/>
      <c r="BN129" s="4"/>
    </row>
    <row r="130" spans="1:66" ht="15" customHeight="1">
      <c r="A130" s="211" t="str">
        <f t="shared" si="12"/>
        <v>FB_IMp_S.FONX</v>
      </c>
      <c r="B130" s="212">
        <v>11000</v>
      </c>
      <c r="C130" s="212" t="s">
        <v>5</v>
      </c>
      <c r="D130" s="213">
        <v>2147483680</v>
      </c>
      <c r="BK130" s="4"/>
      <c r="BL130" s="4"/>
      <c r="BM130" s="4"/>
      <c r="BN130" s="4"/>
    </row>
    <row r="131" spans="1:66" ht="15" customHeight="1">
      <c r="A131" s="19" t="str">
        <f t="shared" si="12"/>
        <v>FB_IMp_S.FONX</v>
      </c>
      <c r="B131" s="11">
        <v>7999</v>
      </c>
      <c r="C131" s="11" t="s">
        <v>0</v>
      </c>
      <c r="D131" s="20" t="str">
        <f>"#"&amp;$S$2&amp;"#"&amp;$T$2&amp;"\"&amp;$P$2&amp;"\FONX"</f>
        <v>#1#treiOPCDA.CoOPCserv.1\pcmaster\KNS_P1\FONX</v>
      </c>
      <c r="BK131" s="4"/>
      <c r="BL131" s="4"/>
      <c r="BM131" s="4"/>
      <c r="BN131" s="4"/>
    </row>
    <row r="132" spans="1:66" ht="15" customHeight="1">
      <c r="A132" s="19" t="str">
        <f t="shared" si="12"/>
        <v>FB_IMp_S.FONX</v>
      </c>
      <c r="B132" s="11">
        <v>7998</v>
      </c>
      <c r="C132" s="11" t="s">
        <v>6</v>
      </c>
      <c r="D132" s="20">
        <v>1</v>
      </c>
      <c r="BK132" s="4"/>
      <c r="BL132" s="4"/>
      <c r="BM132" s="4"/>
      <c r="BN132" s="4"/>
    </row>
    <row r="133" spans="1:66" ht="15" customHeight="1">
      <c r="A133" s="19" t="str">
        <f t="shared" si="12"/>
        <v>FB_IMp_S.FONX</v>
      </c>
      <c r="B133" s="11">
        <v>101</v>
      </c>
      <c r="C133" s="11" t="s">
        <v>0</v>
      </c>
      <c r="D133" s="20" t="str">
        <f>"Не включился"</f>
        <v>Не включился</v>
      </c>
      <c r="BK133" s="4"/>
      <c r="BL133" s="4"/>
      <c r="BM133" s="4"/>
      <c r="BN133" s="4"/>
    </row>
    <row r="134" spans="1:66" ht="15" customHeight="1">
      <c r="A134" s="19" t="str">
        <f t="shared" si="12"/>
        <v>FB_IMp_S.FONX</v>
      </c>
      <c r="B134" s="11">
        <v>3</v>
      </c>
      <c r="C134" s="11" t="s">
        <v>1</v>
      </c>
      <c r="D134" s="20">
        <v>192</v>
      </c>
      <c r="BK134" s="4"/>
      <c r="BL134" s="4"/>
      <c r="BM134" s="4"/>
      <c r="BN134" s="4"/>
    </row>
    <row r="135" spans="1:66" ht="15" customHeight="1">
      <c r="A135" s="19" t="str">
        <f t="shared" si="12"/>
        <v>FB_IMp_S.FONX</v>
      </c>
      <c r="B135" s="11">
        <v>2</v>
      </c>
      <c r="C135" s="11" t="s">
        <v>2</v>
      </c>
      <c r="D135" s="20" t="s">
        <v>3</v>
      </c>
      <c r="BK135" s="4"/>
      <c r="BL135" s="4"/>
      <c r="BM135" s="4"/>
      <c r="BN135" s="4"/>
    </row>
    <row r="136" spans="1:66" ht="15" customHeight="1">
      <c r="A136" s="21" t="str">
        <f t="shared" si="12"/>
        <v>FB_IMp_S.FONX</v>
      </c>
      <c r="B136" s="8">
        <v>1</v>
      </c>
      <c r="C136" s="8" t="s">
        <v>1</v>
      </c>
      <c r="D136" s="22">
        <v>11</v>
      </c>
      <c r="BK136" s="4"/>
      <c r="BL136" s="4"/>
      <c r="BM136" s="4"/>
      <c r="BN136" s="4"/>
    </row>
    <row r="137" spans="1:66" ht="15" customHeight="1">
      <c r="A137" s="217" t="str">
        <f t="shared" ref="A137:A146" si="13">$R$2&amp;".FOFX"</f>
        <v>FB_IMp_S.FOFX</v>
      </c>
      <c r="B137" s="218">
        <v>11154</v>
      </c>
      <c r="C137" s="218" t="s">
        <v>4</v>
      </c>
      <c r="D137" s="219">
        <f>$Q$7</f>
        <v>12</v>
      </c>
      <c r="BK137" s="4"/>
      <c r="BL137" s="4"/>
      <c r="BM137" s="4"/>
      <c r="BN137" s="4"/>
    </row>
    <row r="138" spans="1:66" ht="15" customHeight="1">
      <c r="A138" s="211" t="str">
        <f t="shared" si="13"/>
        <v>FB_IMp_S.FOFX</v>
      </c>
      <c r="B138" s="212">
        <v>11150</v>
      </c>
      <c r="C138" s="212" t="s">
        <v>0</v>
      </c>
      <c r="D138" s="213" t="str">
        <f>"Не  отключился"</f>
        <v>Не  отключился</v>
      </c>
      <c r="BK138" s="4"/>
      <c r="BL138" s="4"/>
      <c r="BM138" s="4"/>
      <c r="BN138" s="4"/>
    </row>
    <row r="139" spans="1:66" ht="15" customHeight="1">
      <c r="A139" s="211" t="str">
        <f t="shared" si="13"/>
        <v>FB_IMp_S.FOFX</v>
      </c>
      <c r="B139" s="212">
        <v>11152</v>
      </c>
      <c r="C139" s="212" t="s">
        <v>0</v>
      </c>
      <c r="D139" s="220" t="str">
        <f>$R$7</f>
        <v>Неисправность</v>
      </c>
      <c r="BK139" s="4"/>
      <c r="BL139" s="4"/>
      <c r="BM139" s="4"/>
      <c r="BN139" s="4"/>
    </row>
    <row r="140" spans="1:66" ht="15" customHeight="1">
      <c r="A140" s="211" t="str">
        <f t="shared" si="13"/>
        <v>FB_IMp_S.FOFX</v>
      </c>
      <c r="B140" s="212">
        <v>11000</v>
      </c>
      <c r="C140" s="212" t="s">
        <v>5</v>
      </c>
      <c r="D140" s="213">
        <v>2147483680</v>
      </c>
      <c r="BK140" s="4"/>
      <c r="BL140" s="4"/>
      <c r="BM140" s="4"/>
      <c r="BN140" s="4"/>
    </row>
    <row r="141" spans="1:66" ht="15" customHeight="1">
      <c r="A141" s="19" t="str">
        <f t="shared" si="13"/>
        <v>FB_IMp_S.FOFX</v>
      </c>
      <c r="B141" s="11">
        <v>7999</v>
      </c>
      <c r="C141" s="11" t="s">
        <v>0</v>
      </c>
      <c r="D141" s="20" t="str">
        <f>"#"&amp;$S$2&amp;"#"&amp;$T$2&amp;"\"&amp;$P$2&amp;"\FOFX"</f>
        <v>#1#treiOPCDA.CoOPCserv.1\pcmaster\KNS_P1\FOFX</v>
      </c>
      <c r="BK141" s="4"/>
      <c r="BL141" s="4"/>
      <c r="BM141" s="4"/>
      <c r="BN141" s="4"/>
    </row>
    <row r="142" spans="1:66" ht="15" customHeight="1">
      <c r="A142" s="19" t="str">
        <f t="shared" si="13"/>
        <v>FB_IMp_S.FOFX</v>
      </c>
      <c r="B142" s="11">
        <v>7998</v>
      </c>
      <c r="C142" s="11" t="s">
        <v>6</v>
      </c>
      <c r="D142" s="20">
        <v>1</v>
      </c>
      <c r="BK142" s="4"/>
      <c r="BL142" s="4"/>
      <c r="BM142" s="4"/>
      <c r="BN142" s="4"/>
    </row>
    <row r="143" spans="1:66" ht="15" customHeight="1">
      <c r="A143" s="19" t="str">
        <f t="shared" si="13"/>
        <v>FB_IMp_S.FOFX</v>
      </c>
      <c r="B143" s="11">
        <v>101</v>
      </c>
      <c r="C143" s="11" t="s">
        <v>0</v>
      </c>
      <c r="D143" s="20" t="str">
        <f>"Не  отключился"</f>
        <v>Не  отключился</v>
      </c>
      <c r="BK143" s="4"/>
      <c r="BL143" s="4"/>
      <c r="BM143" s="4"/>
      <c r="BN143" s="4"/>
    </row>
    <row r="144" spans="1:66" ht="15" customHeight="1">
      <c r="A144" s="19" t="str">
        <f t="shared" si="13"/>
        <v>FB_IMp_S.FOFX</v>
      </c>
      <c r="B144" s="11">
        <v>3</v>
      </c>
      <c r="C144" s="11" t="s">
        <v>1</v>
      </c>
      <c r="D144" s="20">
        <v>192</v>
      </c>
      <c r="BK144" s="4"/>
      <c r="BL144" s="4"/>
      <c r="BM144" s="4"/>
      <c r="BN144" s="4"/>
    </row>
    <row r="145" spans="1:66" ht="15" customHeight="1">
      <c r="A145" s="19" t="str">
        <f t="shared" si="13"/>
        <v>FB_IMp_S.FOFX</v>
      </c>
      <c r="B145" s="11">
        <v>2</v>
      </c>
      <c r="C145" s="11" t="s">
        <v>2</v>
      </c>
      <c r="D145" s="20" t="s">
        <v>3</v>
      </c>
      <c r="BK145" s="4"/>
      <c r="BL145" s="4"/>
      <c r="BM145" s="4"/>
      <c r="BN145" s="4"/>
    </row>
    <row r="146" spans="1:66" ht="15" customHeight="1">
      <c r="A146" s="21" t="str">
        <f t="shared" si="13"/>
        <v>FB_IMp_S.FOFX</v>
      </c>
      <c r="B146" s="8">
        <v>1</v>
      </c>
      <c r="C146" s="8" t="s">
        <v>1</v>
      </c>
      <c r="D146" s="22">
        <v>11</v>
      </c>
      <c r="BK146" s="4"/>
      <c r="BL146" s="4"/>
      <c r="BM146" s="4"/>
      <c r="BN146" s="4"/>
    </row>
    <row r="147" spans="1:66" ht="15" customHeight="1">
      <c r="A147" s="217" t="str">
        <f t="shared" ref="A147:A156" si="14">$R$2&amp;".FFON"</f>
        <v>FB_IMp_S.FFON</v>
      </c>
      <c r="B147" s="218">
        <v>11154</v>
      </c>
      <c r="C147" s="218" t="s">
        <v>4</v>
      </c>
      <c r="D147" s="219">
        <f>$Q$7</f>
        <v>12</v>
      </c>
      <c r="BK147" s="4"/>
      <c r="BL147" s="4"/>
      <c r="BM147" s="4"/>
      <c r="BN147" s="4"/>
    </row>
    <row r="148" spans="1:66" ht="15" customHeight="1">
      <c r="A148" s="211" t="str">
        <f t="shared" si="14"/>
        <v>FB_IMp_S.FFON</v>
      </c>
      <c r="B148" s="212">
        <v>11150</v>
      </c>
      <c r="C148" s="212" t="s">
        <v>0</v>
      </c>
      <c r="D148" s="213" t="str">
        <f>"Несанкционированное  включение"</f>
        <v>Несанкционированное  включение</v>
      </c>
      <c r="BK148" s="4"/>
      <c r="BL148" s="4"/>
      <c r="BM148" s="4"/>
      <c r="BN148" s="4"/>
    </row>
    <row r="149" spans="1:66" ht="15" customHeight="1">
      <c r="A149" s="211" t="str">
        <f t="shared" si="14"/>
        <v>FB_IMp_S.FFON</v>
      </c>
      <c r="B149" s="212">
        <v>11152</v>
      </c>
      <c r="C149" s="212" t="s">
        <v>0</v>
      </c>
      <c r="D149" s="220" t="str">
        <f>$R$7</f>
        <v>Неисправность</v>
      </c>
      <c r="BK149" s="4"/>
      <c r="BL149" s="4"/>
      <c r="BM149" s="4"/>
      <c r="BN149" s="4"/>
    </row>
    <row r="150" spans="1:66" ht="15" customHeight="1">
      <c r="A150" s="211" t="str">
        <f t="shared" si="14"/>
        <v>FB_IMp_S.FFON</v>
      </c>
      <c r="B150" s="212">
        <v>11000</v>
      </c>
      <c r="C150" s="212" t="s">
        <v>5</v>
      </c>
      <c r="D150" s="213">
        <v>2147483680</v>
      </c>
      <c r="BK150" s="4"/>
      <c r="BL150" s="4"/>
      <c r="BM150" s="4"/>
      <c r="BN150" s="4"/>
    </row>
    <row r="151" spans="1:66" ht="15" customHeight="1">
      <c r="A151" s="19" t="str">
        <f t="shared" si="14"/>
        <v>FB_IMp_S.FFON</v>
      </c>
      <c r="B151" s="11">
        <v>7999</v>
      </c>
      <c r="C151" s="11" t="s">
        <v>0</v>
      </c>
      <c r="D151" s="20" t="str">
        <f>"#"&amp;$S$2&amp;"#"&amp;$T$2&amp;"\"&amp;$P$2&amp;"\FFON"</f>
        <v>#1#treiOPCDA.CoOPCserv.1\pcmaster\KNS_P1\FFON</v>
      </c>
      <c r="BK151" s="4"/>
      <c r="BL151" s="4"/>
      <c r="BM151" s="4"/>
      <c r="BN151" s="4"/>
    </row>
    <row r="152" spans="1:66" ht="15" customHeight="1">
      <c r="A152" s="19" t="str">
        <f t="shared" si="14"/>
        <v>FB_IMp_S.FFON</v>
      </c>
      <c r="B152" s="11">
        <v>7998</v>
      </c>
      <c r="C152" s="11" t="s">
        <v>6</v>
      </c>
      <c r="D152" s="20">
        <v>1</v>
      </c>
      <c r="BK152" s="4"/>
      <c r="BL152" s="4"/>
      <c r="BM152" s="4"/>
      <c r="BN152" s="4"/>
    </row>
    <row r="153" spans="1:66" ht="15" customHeight="1">
      <c r="A153" s="19" t="str">
        <f t="shared" si="14"/>
        <v>FB_IMp_S.FFON</v>
      </c>
      <c r="B153" s="11">
        <v>101</v>
      </c>
      <c r="C153" s="11" t="s">
        <v>0</v>
      </c>
      <c r="D153" s="20" t="str">
        <f>"Несанкционированное включение"</f>
        <v>Несанкционированное включение</v>
      </c>
      <c r="BK153" s="4"/>
      <c r="BL153" s="4"/>
      <c r="BM153" s="4"/>
      <c r="BN153" s="4"/>
    </row>
    <row r="154" spans="1:66" ht="15" customHeight="1">
      <c r="A154" s="19" t="str">
        <f t="shared" si="14"/>
        <v>FB_IMp_S.FFON</v>
      </c>
      <c r="B154" s="11">
        <v>3</v>
      </c>
      <c r="C154" s="11" t="s">
        <v>1</v>
      </c>
      <c r="D154" s="20">
        <v>192</v>
      </c>
      <c r="BK154" s="4"/>
      <c r="BL154" s="4"/>
      <c r="BM154" s="4"/>
      <c r="BN154" s="4"/>
    </row>
    <row r="155" spans="1:66" ht="15" customHeight="1">
      <c r="A155" s="19" t="str">
        <f t="shared" si="14"/>
        <v>FB_IMp_S.FFON</v>
      </c>
      <c r="B155" s="11">
        <v>2</v>
      </c>
      <c r="C155" s="11" t="s">
        <v>2</v>
      </c>
      <c r="D155" s="20" t="s">
        <v>3</v>
      </c>
      <c r="BK155" s="4"/>
      <c r="BL155" s="4"/>
      <c r="BM155" s="4"/>
      <c r="BN155" s="4"/>
    </row>
    <row r="156" spans="1:66" ht="15" customHeight="1">
      <c r="A156" s="21" t="str">
        <f t="shared" si="14"/>
        <v>FB_IMp_S.FFON</v>
      </c>
      <c r="B156" s="8">
        <v>1</v>
      </c>
      <c r="C156" s="8" t="s">
        <v>1</v>
      </c>
      <c r="D156" s="22">
        <v>11</v>
      </c>
      <c r="BK156" s="4"/>
      <c r="BL156" s="4"/>
      <c r="BM156" s="4"/>
      <c r="BN156" s="4"/>
    </row>
    <row r="157" spans="1:66" ht="15" customHeight="1">
      <c r="A157" s="217" t="str">
        <f t="shared" ref="A157:A166" si="15">$R$2&amp;".FFOF"</f>
        <v>FB_IMp_S.FFOF</v>
      </c>
      <c r="B157" s="218">
        <v>11154</v>
      </c>
      <c r="C157" s="218" t="s">
        <v>4</v>
      </c>
      <c r="D157" s="219">
        <f>$Q$7</f>
        <v>12</v>
      </c>
      <c r="BK157" s="4"/>
      <c r="BL157" s="4"/>
      <c r="BM157" s="4"/>
      <c r="BN157" s="4"/>
    </row>
    <row r="158" spans="1:66" ht="15" customHeight="1">
      <c r="A158" s="211" t="str">
        <f t="shared" si="15"/>
        <v>FB_IMp_S.FFOF</v>
      </c>
      <c r="B158" s="212">
        <v>11150</v>
      </c>
      <c r="C158" s="212" t="s">
        <v>0</v>
      </c>
      <c r="D158" s="213" t="str">
        <f>"Несанкционированное отключение"</f>
        <v>Несанкционированное отключение</v>
      </c>
      <c r="BK158" s="4"/>
      <c r="BL158" s="4"/>
      <c r="BM158" s="4"/>
      <c r="BN158" s="4"/>
    </row>
    <row r="159" spans="1:66" ht="15" customHeight="1">
      <c r="A159" s="211" t="str">
        <f t="shared" si="15"/>
        <v>FB_IMp_S.FFOF</v>
      </c>
      <c r="B159" s="212">
        <v>11152</v>
      </c>
      <c r="C159" s="212" t="s">
        <v>0</v>
      </c>
      <c r="D159" s="220" t="str">
        <f>$R$7</f>
        <v>Неисправность</v>
      </c>
      <c r="BK159" s="4"/>
      <c r="BL159" s="4"/>
      <c r="BM159" s="4"/>
      <c r="BN159" s="4"/>
    </row>
    <row r="160" spans="1:66" ht="15" customHeight="1">
      <c r="A160" s="211" t="str">
        <f t="shared" si="15"/>
        <v>FB_IMp_S.FFOF</v>
      </c>
      <c r="B160" s="212">
        <v>11000</v>
      </c>
      <c r="C160" s="212" t="s">
        <v>5</v>
      </c>
      <c r="D160" s="213">
        <v>2147483680</v>
      </c>
      <c r="BK160" s="4"/>
      <c r="BL160" s="4"/>
      <c r="BM160" s="4"/>
      <c r="BN160" s="4"/>
    </row>
    <row r="161" spans="1:66" ht="15" customHeight="1">
      <c r="A161" s="19" t="str">
        <f t="shared" si="15"/>
        <v>FB_IMp_S.FFOF</v>
      </c>
      <c r="B161" s="11">
        <v>7999</v>
      </c>
      <c r="C161" s="11" t="s">
        <v>0</v>
      </c>
      <c r="D161" s="20" t="str">
        <f>"#"&amp;$S$2&amp;"#"&amp;$T$2&amp;"\"&amp;$P$2&amp;"\FFOF"</f>
        <v>#1#treiOPCDA.CoOPCserv.1\pcmaster\KNS_P1\FFOF</v>
      </c>
      <c r="BK161" s="4"/>
      <c r="BL161" s="4"/>
      <c r="BM161" s="4"/>
      <c r="BN161" s="4"/>
    </row>
    <row r="162" spans="1:66" ht="15" customHeight="1">
      <c r="A162" s="19" t="str">
        <f t="shared" si="15"/>
        <v>FB_IMp_S.FFOF</v>
      </c>
      <c r="B162" s="11">
        <v>7998</v>
      </c>
      <c r="C162" s="11" t="s">
        <v>6</v>
      </c>
      <c r="D162" s="20">
        <v>1</v>
      </c>
      <c r="BK162" s="4"/>
      <c r="BL162" s="4"/>
      <c r="BM162" s="4"/>
      <c r="BN162" s="4"/>
    </row>
    <row r="163" spans="1:66" ht="15" customHeight="1">
      <c r="A163" s="19" t="str">
        <f t="shared" si="15"/>
        <v>FB_IMp_S.FFOF</v>
      </c>
      <c r="B163" s="11">
        <v>101</v>
      </c>
      <c r="C163" s="11" t="s">
        <v>0</v>
      </c>
      <c r="D163" s="20" t="str">
        <f>"Несанкционированное отключение"</f>
        <v>Несанкционированное отключение</v>
      </c>
      <c r="BK163" s="4"/>
      <c r="BL163" s="4"/>
      <c r="BM163" s="4"/>
      <c r="BN163" s="4"/>
    </row>
    <row r="164" spans="1:66" ht="15" customHeight="1">
      <c r="A164" s="19" t="str">
        <f t="shared" si="15"/>
        <v>FB_IMp_S.FFOF</v>
      </c>
      <c r="B164" s="11">
        <v>3</v>
      </c>
      <c r="C164" s="11" t="s">
        <v>1</v>
      </c>
      <c r="D164" s="20">
        <v>192</v>
      </c>
      <c r="BK164" s="4"/>
      <c r="BL164" s="4"/>
      <c r="BM164" s="4"/>
      <c r="BN164" s="4"/>
    </row>
    <row r="165" spans="1:66" ht="15" customHeight="1">
      <c r="A165" s="19" t="str">
        <f t="shared" si="15"/>
        <v>FB_IMp_S.FFOF</v>
      </c>
      <c r="B165" s="11">
        <v>2</v>
      </c>
      <c r="C165" s="11" t="s">
        <v>2</v>
      </c>
      <c r="D165" s="20" t="s">
        <v>3</v>
      </c>
      <c r="BK165" s="4"/>
      <c r="BL165" s="4"/>
      <c r="BM165" s="4"/>
      <c r="BN165" s="4"/>
    </row>
    <row r="166" spans="1:66" ht="15" customHeight="1">
      <c r="A166" s="21" t="str">
        <f t="shared" si="15"/>
        <v>FB_IMp_S.FFOF</v>
      </c>
      <c r="B166" s="8">
        <v>1</v>
      </c>
      <c r="C166" s="8" t="s">
        <v>1</v>
      </c>
      <c r="D166" s="22">
        <v>11</v>
      </c>
      <c r="BK166" s="4"/>
      <c r="BL166" s="4"/>
      <c r="BM166" s="4"/>
      <c r="BN166" s="4"/>
    </row>
    <row r="167" spans="1:66" ht="15" customHeight="1">
      <c r="A167" s="217" t="str">
        <f t="shared" ref="A167:A176" si="16">$R$2&amp;".FUSX"</f>
        <v>FB_IMp_S.FUSX</v>
      </c>
      <c r="B167" s="218">
        <v>11154</v>
      </c>
      <c r="C167" s="218" t="s">
        <v>4</v>
      </c>
      <c r="D167" s="219">
        <f>$Q$7</f>
        <v>12</v>
      </c>
      <c r="BK167" s="4"/>
      <c r="BL167" s="4"/>
      <c r="BM167" s="4"/>
      <c r="BN167" s="4"/>
    </row>
    <row r="168" spans="1:66" ht="15" customHeight="1">
      <c r="A168" s="211" t="str">
        <f t="shared" si="16"/>
        <v>FB_IMp_S.FUSX</v>
      </c>
      <c r="B168" s="212">
        <v>11150</v>
      </c>
      <c r="C168" s="212" t="s">
        <v>0</v>
      </c>
      <c r="D168" s="213" t="s">
        <v>154</v>
      </c>
      <c r="BK168" s="4"/>
      <c r="BL168" s="4"/>
      <c r="BM168" s="4"/>
      <c r="BN168" s="4"/>
    </row>
    <row r="169" spans="1:66" ht="15" customHeight="1">
      <c r="A169" s="211" t="str">
        <f t="shared" si="16"/>
        <v>FB_IMp_S.FUSX</v>
      </c>
      <c r="B169" s="212">
        <v>11152</v>
      </c>
      <c r="C169" s="212" t="s">
        <v>0</v>
      </c>
      <c r="D169" s="220" t="str">
        <f>$R$7</f>
        <v>Неисправность</v>
      </c>
      <c r="BK169" s="4"/>
      <c r="BL169" s="4"/>
      <c r="BM169" s="4"/>
      <c r="BN169" s="4"/>
    </row>
    <row r="170" spans="1:66" ht="15" customHeight="1">
      <c r="A170" s="211" t="str">
        <f t="shared" si="16"/>
        <v>FB_IMp_S.FUSX</v>
      </c>
      <c r="B170" s="212">
        <v>11000</v>
      </c>
      <c r="C170" s="212" t="s">
        <v>5</v>
      </c>
      <c r="D170" s="213">
        <v>2147483680</v>
      </c>
      <c r="BK170" s="4"/>
      <c r="BL170" s="4"/>
      <c r="BM170" s="4"/>
      <c r="BN170" s="4"/>
    </row>
    <row r="171" spans="1:66" ht="15" customHeight="1">
      <c r="A171" s="19" t="str">
        <f t="shared" si="16"/>
        <v>FB_IMp_S.FUSX</v>
      </c>
      <c r="B171" s="11">
        <v>7999</v>
      </c>
      <c r="C171" s="11" t="s">
        <v>0</v>
      </c>
      <c r="D171" s="20" t="str">
        <f>"#"&amp;$S$2&amp;"#"&amp;$T$2&amp;"\"&amp;$P$2&amp;"\FUSX"</f>
        <v>#1#treiOPCDA.CoOPCserv.1\pcmaster\KNS_P1\FUSX</v>
      </c>
      <c r="BK171" s="4"/>
      <c r="BL171" s="4"/>
      <c r="BM171" s="4"/>
      <c r="BN171" s="4"/>
    </row>
    <row r="172" spans="1:66" ht="15" customHeight="1">
      <c r="A172" s="19" t="str">
        <f t="shared" si="16"/>
        <v>FB_IMp_S.FUSX</v>
      </c>
      <c r="B172" s="11">
        <v>7998</v>
      </c>
      <c r="C172" s="11" t="s">
        <v>6</v>
      </c>
      <c r="D172" s="20">
        <v>1</v>
      </c>
      <c r="BK172" s="4"/>
      <c r="BL172" s="4"/>
      <c r="BM172" s="4"/>
      <c r="BN172" s="4"/>
    </row>
    <row r="173" spans="1:66" ht="15" customHeight="1">
      <c r="A173" s="19" t="str">
        <f t="shared" si="16"/>
        <v>FB_IMp_S.FUSX</v>
      </c>
      <c r="B173" s="11">
        <v>101</v>
      </c>
      <c r="C173" s="11" t="s">
        <v>0</v>
      </c>
      <c r="D173" s="20" t="s">
        <v>153</v>
      </c>
      <c r="BK173" s="4"/>
      <c r="BL173" s="4"/>
      <c r="BM173" s="4"/>
      <c r="BN173" s="4"/>
    </row>
    <row r="174" spans="1:66" ht="15" customHeight="1">
      <c r="A174" s="19" t="str">
        <f t="shared" si="16"/>
        <v>FB_IMp_S.FUSX</v>
      </c>
      <c r="B174" s="11">
        <v>3</v>
      </c>
      <c r="C174" s="11" t="s">
        <v>1</v>
      </c>
      <c r="D174" s="20">
        <v>192</v>
      </c>
      <c r="BK174" s="4"/>
      <c r="BL174" s="4"/>
      <c r="BM174" s="4"/>
      <c r="BN174" s="4"/>
    </row>
    <row r="175" spans="1:66" ht="15" customHeight="1">
      <c r="A175" s="19" t="str">
        <f t="shared" si="16"/>
        <v>FB_IMp_S.FUSX</v>
      </c>
      <c r="B175" s="11">
        <v>2</v>
      </c>
      <c r="C175" s="11" t="s">
        <v>2</v>
      </c>
      <c r="D175" s="20" t="s">
        <v>3</v>
      </c>
      <c r="BK175" s="4"/>
      <c r="BL175" s="4"/>
      <c r="BM175" s="4"/>
      <c r="BN175" s="4"/>
    </row>
    <row r="176" spans="1:66" ht="15" customHeight="1">
      <c r="A176" s="21" t="str">
        <f t="shared" si="16"/>
        <v>FB_IMp_S.FUSX</v>
      </c>
      <c r="B176" s="8">
        <v>1</v>
      </c>
      <c r="C176" s="8" t="s">
        <v>1</v>
      </c>
      <c r="D176" s="22">
        <v>11</v>
      </c>
      <c r="BK176" s="4"/>
      <c r="BL176" s="4"/>
      <c r="BM176" s="4"/>
      <c r="BN176" s="4"/>
    </row>
    <row r="177" spans="1:66" ht="15" customHeight="1">
      <c r="A177" s="217" t="str">
        <f t="shared" ref="A177:A186" si="17">$R$2&amp;".FDSX"</f>
        <v>FB_IMp_S.FDSX</v>
      </c>
      <c r="B177" s="218">
        <v>11154</v>
      </c>
      <c r="C177" s="218" t="s">
        <v>4</v>
      </c>
      <c r="D177" s="219">
        <f>$Q$7</f>
        <v>12</v>
      </c>
      <c r="BK177" s="4"/>
      <c r="BL177" s="4"/>
      <c r="BM177" s="4"/>
      <c r="BN177" s="4"/>
    </row>
    <row r="178" spans="1:66" ht="15" customHeight="1">
      <c r="A178" s="211" t="str">
        <f t="shared" si="17"/>
        <v>FB_IMp_S.FDSX</v>
      </c>
      <c r="B178" s="212">
        <v>11150</v>
      </c>
      <c r="C178" s="212" t="s">
        <v>0</v>
      </c>
      <c r="D178" s="213" t="s">
        <v>161</v>
      </c>
      <c r="BK178" s="4"/>
      <c r="BL178" s="4"/>
      <c r="BM178" s="4"/>
      <c r="BN178" s="4"/>
    </row>
    <row r="179" spans="1:66" ht="15" customHeight="1">
      <c r="A179" s="211" t="str">
        <f t="shared" si="17"/>
        <v>FB_IMp_S.FDSX</v>
      </c>
      <c r="B179" s="212">
        <v>11152</v>
      </c>
      <c r="C179" s="212" t="s">
        <v>0</v>
      </c>
      <c r="D179" s="220" t="str">
        <f>$R$7</f>
        <v>Неисправность</v>
      </c>
      <c r="BK179" s="4"/>
      <c r="BL179" s="4"/>
      <c r="BM179" s="4"/>
      <c r="BN179" s="4"/>
    </row>
    <row r="180" spans="1:66" ht="15" customHeight="1">
      <c r="A180" s="211" t="str">
        <f t="shared" si="17"/>
        <v>FB_IMp_S.FDSX</v>
      </c>
      <c r="B180" s="212">
        <v>11000</v>
      </c>
      <c r="C180" s="212" t="s">
        <v>5</v>
      </c>
      <c r="D180" s="213">
        <v>2147483680</v>
      </c>
      <c r="BK180" s="4"/>
      <c r="BL180" s="4"/>
      <c r="BM180" s="4"/>
      <c r="BN180" s="4"/>
    </row>
    <row r="181" spans="1:66" ht="15" customHeight="1">
      <c r="A181" s="19" t="str">
        <f t="shared" si="17"/>
        <v>FB_IMp_S.FDSX</v>
      </c>
      <c r="B181" s="11">
        <v>7999</v>
      </c>
      <c r="C181" s="11" t="s">
        <v>0</v>
      </c>
      <c r="D181" s="20" t="str">
        <f>"#"&amp;$S$2&amp;"#"&amp;$T$2&amp;"\"&amp;$P$2&amp;"\FDSX"</f>
        <v>#1#treiOPCDA.CoOPCserv.1\pcmaster\KNS_P1\FDSX</v>
      </c>
      <c r="BK181" s="4"/>
      <c r="BL181" s="4"/>
      <c r="BM181" s="4"/>
      <c r="BN181" s="4"/>
    </row>
    <row r="182" spans="1:66" ht="15" customHeight="1">
      <c r="A182" s="19" t="str">
        <f t="shared" si="17"/>
        <v>FB_IMp_S.FDSX</v>
      </c>
      <c r="B182" s="11">
        <v>7998</v>
      </c>
      <c r="C182" s="11" t="s">
        <v>6</v>
      </c>
      <c r="D182" s="20">
        <v>1</v>
      </c>
      <c r="BK182" s="4"/>
      <c r="BL182" s="4"/>
      <c r="BM182" s="4"/>
      <c r="BN182" s="4"/>
    </row>
    <row r="183" spans="1:66" ht="15" customHeight="1">
      <c r="A183" s="19" t="str">
        <f t="shared" si="17"/>
        <v>FB_IMp_S.FDSX</v>
      </c>
      <c r="B183" s="11">
        <v>101</v>
      </c>
      <c r="C183" s="11" t="s">
        <v>0</v>
      </c>
      <c r="D183" s="20" t="s">
        <v>161</v>
      </c>
      <c r="BK183" s="4"/>
      <c r="BL183" s="4"/>
      <c r="BM183" s="4"/>
      <c r="BN183" s="4"/>
    </row>
    <row r="184" spans="1:66" ht="15" customHeight="1">
      <c r="A184" s="19" t="str">
        <f t="shared" si="17"/>
        <v>FB_IMp_S.FDSX</v>
      </c>
      <c r="B184" s="11">
        <v>3</v>
      </c>
      <c r="C184" s="11" t="s">
        <v>1</v>
      </c>
      <c r="D184" s="20">
        <v>192</v>
      </c>
      <c r="BK184" s="4"/>
      <c r="BL184" s="4"/>
      <c r="BM184" s="4"/>
      <c r="BN184" s="4"/>
    </row>
    <row r="185" spans="1:66" ht="15" customHeight="1">
      <c r="A185" s="19" t="str">
        <f t="shared" si="17"/>
        <v>FB_IMp_S.FDSX</v>
      </c>
      <c r="B185" s="11">
        <v>2</v>
      </c>
      <c r="C185" s="11" t="s">
        <v>2</v>
      </c>
      <c r="D185" s="20" t="s">
        <v>3</v>
      </c>
      <c r="BK185" s="4"/>
      <c r="BL185" s="4"/>
      <c r="BM185" s="4"/>
      <c r="BN185" s="4"/>
    </row>
    <row r="186" spans="1:66" ht="15" customHeight="1">
      <c r="A186" s="21" t="str">
        <f t="shared" si="17"/>
        <v>FB_IMp_S.FDSX</v>
      </c>
      <c r="B186" s="8">
        <v>1</v>
      </c>
      <c r="C186" s="8" t="s">
        <v>1</v>
      </c>
      <c r="D186" s="22">
        <v>11</v>
      </c>
      <c r="BK186" s="4"/>
      <c r="BL186" s="4"/>
      <c r="BM186" s="4"/>
      <c r="BN186" s="4"/>
    </row>
    <row r="187" spans="1:66" ht="15" customHeight="1">
      <c r="A187" s="217" t="str">
        <f t="shared" ref="A187:A196" si="18">$R$2&amp;".FUCX"</f>
        <v>FB_IMp_S.FUCX</v>
      </c>
      <c r="B187" s="218">
        <v>11154</v>
      </c>
      <c r="C187" s="218" t="s">
        <v>4</v>
      </c>
      <c r="D187" s="219">
        <f>$Q$7</f>
        <v>12</v>
      </c>
      <c r="BK187" s="4"/>
      <c r="BL187" s="4"/>
      <c r="BM187" s="4"/>
      <c r="BN187" s="4"/>
    </row>
    <row r="188" spans="1:66" ht="15" customHeight="1">
      <c r="A188" s="211" t="str">
        <f t="shared" si="18"/>
        <v>FB_IMp_S.FUCX</v>
      </c>
      <c r="B188" s="212">
        <v>11150</v>
      </c>
      <c r="C188" s="212" t="s">
        <v>0</v>
      </c>
      <c r="D188" s="213" t="s">
        <v>167</v>
      </c>
      <c r="BK188" s="4"/>
      <c r="BL188" s="4"/>
      <c r="BM188" s="4"/>
      <c r="BN188" s="4"/>
    </row>
    <row r="189" spans="1:66" ht="15" customHeight="1">
      <c r="A189" s="211" t="str">
        <f t="shared" si="18"/>
        <v>FB_IMp_S.FUCX</v>
      </c>
      <c r="B189" s="212">
        <v>11152</v>
      </c>
      <c r="C189" s="212" t="s">
        <v>0</v>
      </c>
      <c r="D189" s="220" t="str">
        <f>$R$7</f>
        <v>Неисправность</v>
      </c>
      <c r="BK189" s="4"/>
      <c r="BL189" s="4"/>
      <c r="BM189" s="4"/>
      <c r="BN189" s="4"/>
    </row>
    <row r="190" spans="1:66" ht="15" customHeight="1">
      <c r="A190" s="211" t="str">
        <f t="shared" si="18"/>
        <v>FB_IMp_S.FUCX</v>
      </c>
      <c r="B190" s="212">
        <v>11000</v>
      </c>
      <c r="C190" s="212" t="s">
        <v>5</v>
      </c>
      <c r="D190" s="213">
        <v>2147483680</v>
      </c>
      <c r="BK190" s="4"/>
      <c r="BL190" s="4"/>
      <c r="BM190" s="4"/>
      <c r="BN190" s="4"/>
    </row>
    <row r="191" spans="1:66" ht="15" customHeight="1">
      <c r="A191" s="19" t="str">
        <f t="shared" si="18"/>
        <v>FB_IMp_S.FUCX</v>
      </c>
      <c r="B191" s="11">
        <v>7999</v>
      </c>
      <c r="C191" s="11" t="s">
        <v>0</v>
      </c>
      <c r="D191" s="20" t="str">
        <f>"#"&amp;$S$2&amp;"#"&amp;$T$2&amp;"\"&amp;$P$2&amp;"\FUCX"</f>
        <v>#1#treiOPCDA.CoOPCserv.1\pcmaster\KNS_P1\FUCX</v>
      </c>
      <c r="BK191" s="4"/>
      <c r="BL191" s="4"/>
      <c r="BM191" s="4"/>
      <c r="BN191" s="4"/>
    </row>
    <row r="192" spans="1:66" ht="15" customHeight="1">
      <c r="A192" s="19" t="str">
        <f t="shared" si="18"/>
        <v>FB_IMp_S.FUCX</v>
      </c>
      <c r="B192" s="11">
        <v>7998</v>
      </c>
      <c r="C192" s="11" t="s">
        <v>6</v>
      </c>
      <c r="D192" s="20">
        <v>1</v>
      </c>
      <c r="BK192" s="4"/>
      <c r="BL192" s="4"/>
      <c r="BM192" s="4"/>
      <c r="BN192" s="4"/>
    </row>
    <row r="193" spans="1:66" ht="15" customHeight="1">
      <c r="A193" s="19" t="str">
        <f t="shared" si="18"/>
        <v>FB_IMp_S.FUCX</v>
      </c>
      <c r="B193" s="11">
        <v>101</v>
      </c>
      <c r="C193" s="11" t="s">
        <v>0</v>
      </c>
      <c r="D193" s="20" t="s">
        <v>167</v>
      </c>
      <c r="BK193" s="4"/>
      <c r="BL193" s="4"/>
      <c r="BM193" s="4"/>
      <c r="BN193" s="4"/>
    </row>
    <row r="194" spans="1:66" ht="15" customHeight="1">
      <c r="A194" s="19" t="str">
        <f t="shared" si="18"/>
        <v>FB_IMp_S.FUCX</v>
      </c>
      <c r="B194" s="11">
        <v>3</v>
      </c>
      <c r="C194" s="11" t="s">
        <v>1</v>
      </c>
      <c r="D194" s="20">
        <v>192</v>
      </c>
      <c r="BK194" s="4"/>
      <c r="BL194" s="4"/>
      <c r="BM194" s="4"/>
      <c r="BN194" s="4"/>
    </row>
    <row r="195" spans="1:66" ht="15" customHeight="1">
      <c r="A195" s="19" t="str">
        <f t="shared" si="18"/>
        <v>FB_IMp_S.FUCX</v>
      </c>
      <c r="B195" s="11">
        <v>2</v>
      </c>
      <c r="C195" s="11" t="s">
        <v>2</v>
      </c>
      <c r="D195" s="20" t="s">
        <v>3</v>
      </c>
      <c r="BK195" s="4"/>
      <c r="BL195" s="4"/>
      <c r="BM195" s="4"/>
      <c r="BN195" s="4"/>
    </row>
    <row r="196" spans="1:66" ht="15" customHeight="1">
      <c r="A196" s="21" t="str">
        <f t="shared" si="18"/>
        <v>FB_IMp_S.FUCX</v>
      </c>
      <c r="B196" s="8">
        <v>1</v>
      </c>
      <c r="C196" s="8" t="s">
        <v>1</v>
      </c>
      <c r="D196" s="22">
        <v>11</v>
      </c>
      <c r="BK196" s="4"/>
      <c r="BL196" s="4"/>
      <c r="BM196" s="4"/>
      <c r="BN196" s="4"/>
    </row>
    <row r="197" spans="1:66" ht="15" customHeight="1">
      <c r="A197" s="217" t="str">
        <f t="shared" ref="A197:A206" si="19">$R$2&amp;".FDCX"</f>
        <v>FB_IMp_S.FDCX</v>
      </c>
      <c r="B197" s="218">
        <v>11154</v>
      </c>
      <c r="C197" s="218" t="s">
        <v>4</v>
      </c>
      <c r="D197" s="219">
        <f>$Q$7</f>
        <v>12</v>
      </c>
      <c r="BK197" s="4"/>
      <c r="BL197" s="4"/>
      <c r="BM197" s="4"/>
      <c r="BN197" s="4"/>
    </row>
    <row r="198" spans="1:66" ht="15" customHeight="1">
      <c r="A198" s="211" t="str">
        <f t="shared" si="19"/>
        <v>FB_IMp_S.FDCX</v>
      </c>
      <c r="B198" s="212">
        <v>11150</v>
      </c>
      <c r="C198" s="212" t="s">
        <v>0</v>
      </c>
      <c r="D198" s="213" t="s">
        <v>168</v>
      </c>
      <c r="BK198" s="4"/>
      <c r="BL198" s="4"/>
      <c r="BM198" s="4"/>
      <c r="BN198" s="4"/>
    </row>
    <row r="199" spans="1:66" ht="15" customHeight="1">
      <c r="A199" s="211" t="str">
        <f t="shared" si="19"/>
        <v>FB_IMp_S.FDCX</v>
      </c>
      <c r="B199" s="212">
        <v>11152</v>
      </c>
      <c r="C199" s="212" t="s">
        <v>0</v>
      </c>
      <c r="D199" s="220" t="str">
        <f>$R$7</f>
        <v>Неисправность</v>
      </c>
      <c r="BK199" s="4"/>
      <c r="BL199" s="4"/>
      <c r="BM199" s="4"/>
      <c r="BN199" s="4"/>
    </row>
    <row r="200" spans="1:66" ht="15" customHeight="1">
      <c r="A200" s="211" t="str">
        <f t="shared" si="19"/>
        <v>FB_IMp_S.FDCX</v>
      </c>
      <c r="B200" s="212">
        <v>11000</v>
      </c>
      <c r="C200" s="212" t="s">
        <v>5</v>
      </c>
      <c r="D200" s="213">
        <v>2147483680</v>
      </c>
      <c r="BK200" s="4"/>
      <c r="BL200" s="4"/>
      <c r="BM200" s="4"/>
      <c r="BN200" s="4"/>
    </row>
    <row r="201" spans="1:66" ht="15" customHeight="1">
      <c r="A201" s="19" t="str">
        <f t="shared" si="19"/>
        <v>FB_IMp_S.FDCX</v>
      </c>
      <c r="B201" s="11">
        <v>7999</v>
      </c>
      <c r="C201" s="11" t="s">
        <v>0</v>
      </c>
      <c r="D201" s="20" t="str">
        <f>"#"&amp;$S$2&amp;"#"&amp;$T$2&amp;"\"&amp;$P$2&amp;"\FDCX"</f>
        <v>#1#treiOPCDA.CoOPCserv.1\pcmaster\KNS_P1\FDCX</v>
      </c>
      <c r="BK201" s="4"/>
      <c r="BL201" s="4"/>
      <c r="BM201" s="4"/>
      <c r="BN201" s="4"/>
    </row>
    <row r="202" spans="1:66" ht="15" customHeight="1">
      <c r="A202" s="19" t="str">
        <f t="shared" si="19"/>
        <v>FB_IMp_S.FDCX</v>
      </c>
      <c r="B202" s="11">
        <v>7998</v>
      </c>
      <c r="C202" s="11" t="s">
        <v>6</v>
      </c>
      <c r="D202" s="20">
        <v>1</v>
      </c>
      <c r="BK202" s="4"/>
      <c r="BL202" s="4"/>
      <c r="BM202" s="4"/>
      <c r="BN202" s="4"/>
    </row>
    <row r="203" spans="1:66" ht="15" customHeight="1">
      <c r="A203" s="19" t="str">
        <f t="shared" si="19"/>
        <v>FB_IMp_S.FDCX</v>
      </c>
      <c r="B203" s="11">
        <v>101</v>
      </c>
      <c r="C203" s="11" t="s">
        <v>0</v>
      </c>
      <c r="D203" s="20" t="s">
        <v>168</v>
      </c>
      <c r="BK203" s="4"/>
      <c r="BL203" s="4"/>
      <c r="BM203" s="4"/>
      <c r="BN203" s="4"/>
    </row>
    <row r="204" spans="1:66" ht="15" customHeight="1">
      <c r="A204" s="19" t="str">
        <f t="shared" si="19"/>
        <v>FB_IMp_S.FDCX</v>
      </c>
      <c r="B204" s="11">
        <v>3</v>
      </c>
      <c r="C204" s="11" t="s">
        <v>1</v>
      </c>
      <c r="D204" s="20">
        <v>192</v>
      </c>
      <c r="BK204" s="4"/>
      <c r="BL204" s="4"/>
      <c r="BM204" s="4"/>
      <c r="BN204" s="4"/>
    </row>
    <row r="205" spans="1:66" ht="15" customHeight="1">
      <c r="A205" s="19" t="str">
        <f t="shared" si="19"/>
        <v>FB_IMp_S.FDCX</v>
      </c>
      <c r="B205" s="11">
        <v>2</v>
      </c>
      <c r="C205" s="11" t="s">
        <v>2</v>
      </c>
      <c r="D205" s="20" t="s">
        <v>3</v>
      </c>
      <c r="BK205" s="4"/>
      <c r="BL205" s="4"/>
      <c r="BM205" s="4"/>
      <c r="BN205" s="4"/>
    </row>
    <row r="206" spans="1:66" ht="15" customHeight="1">
      <c r="A206" s="21" t="str">
        <f t="shared" si="19"/>
        <v>FB_IMp_S.FDCX</v>
      </c>
      <c r="B206" s="8">
        <v>1</v>
      </c>
      <c r="C206" s="8" t="s">
        <v>1</v>
      </c>
      <c r="D206" s="22">
        <v>11</v>
      </c>
      <c r="BK206" s="4"/>
      <c r="BL206" s="4"/>
      <c r="BM206" s="4"/>
      <c r="BN206" s="4"/>
    </row>
    <row r="207" spans="1:66" ht="15" customHeight="1">
      <c r="A207" s="217" t="str">
        <f t="shared" ref="A207:A216" si="20">$R$2&amp;".FCOM"</f>
        <v>FB_IMp_S.FCOM</v>
      </c>
      <c r="B207" s="218">
        <v>11154</v>
      </c>
      <c r="C207" s="218" t="s">
        <v>4</v>
      </c>
      <c r="D207" s="219">
        <f>$Q$7</f>
        <v>12</v>
      </c>
      <c r="BK207" s="4"/>
      <c r="BL207" s="4"/>
      <c r="BM207" s="4"/>
      <c r="BN207" s="4"/>
    </row>
    <row r="208" spans="1:66" ht="15" customHeight="1">
      <c r="A208" s="211" t="str">
        <f t="shared" si="20"/>
        <v>FB_IMp_S.FCOM</v>
      </c>
      <c r="B208" s="212">
        <v>11150</v>
      </c>
      <c r="C208" s="212" t="s">
        <v>0</v>
      </c>
      <c r="D208" s="213" t="s">
        <v>149</v>
      </c>
      <c r="BK208" s="4"/>
      <c r="BL208" s="4"/>
      <c r="BM208" s="4"/>
      <c r="BN208" s="4"/>
    </row>
    <row r="209" spans="1:66" ht="15" customHeight="1">
      <c r="A209" s="211" t="str">
        <f t="shared" si="20"/>
        <v>FB_IMp_S.FCOM</v>
      </c>
      <c r="B209" s="212">
        <v>11152</v>
      </c>
      <c r="C209" s="212" t="s">
        <v>0</v>
      </c>
      <c r="D209" s="220" t="str">
        <f>$R$7</f>
        <v>Неисправность</v>
      </c>
      <c r="BK209" s="4"/>
      <c r="BL209" s="4"/>
      <c r="BM209" s="4"/>
      <c r="BN209" s="4"/>
    </row>
    <row r="210" spans="1:66" ht="15" customHeight="1">
      <c r="A210" s="211" t="str">
        <f t="shared" si="20"/>
        <v>FB_IMp_S.FCOM</v>
      </c>
      <c r="B210" s="212">
        <v>11000</v>
      </c>
      <c r="C210" s="212" t="s">
        <v>5</v>
      </c>
      <c r="D210" s="213">
        <v>2147483680</v>
      </c>
      <c r="BK210" s="4"/>
      <c r="BL210" s="4"/>
      <c r="BM210" s="4"/>
      <c r="BN210" s="4"/>
    </row>
    <row r="211" spans="1:66" ht="15" customHeight="1">
      <c r="A211" s="19" t="str">
        <f t="shared" si="20"/>
        <v>FB_IMp_S.FCOM</v>
      </c>
      <c r="B211" s="11">
        <v>7999</v>
      </c>
      <c r="C211" s="11" t="s">
        <v>0</v>
      </c>
      <c r="D211" s="20" t="str">
        <f>"#"&amp;$S$2&amp;"#"&amp;$T$2&amp;"\"&amp;$P$2&amp;"\FCOM"</f>
        <v>#1#treiOPCDA.CoOPCserv.1\pcmaster\KNS_P1\FCOM</v>
      </c>
      <c r="BK211" s="4"/>
      <c r="BL211" s="4"/>
      <c r="BM211" s="4"/>
      <c r="BN211" s="4"/>
    </row>
    <row r="212" spans="1:66" ht="15" customHeight="1">
      <c r="A212" s="19" t="str">
        <f t="shared" si="20"/>
        <v>FB_IMp_S.FCOM</v>
      </c>
      <c r="B212" s="11">
        <v>7998</v>
      </c>
      <c r="C212" s="11" t="s">
        <v>6</v>
      </c>
      <c r="D212" s="20">
        <v>1</v>
      </c>
      <c r="BK212" s="4"/>
      <c r="BL212" s="4"/>
      <c r="BM212" s="4"/>
      <c r="BN212" s="4"/>
    </row>
    <row r="213" spans="1:66" ht="15" customHeight="1">
      <c r="A213" s="19" t="str">
        <f t="shared" si="20"/>
        <v>FB_IMp_S.FCOM</v>
      </c>
      <c r="B213" s="11">
        <v>101</v>
      </c>
      <c r="C213" s="11" t="s">
        <v>0</v>
      </c>
      <c r="D213" s="20" t="s">
        <v>149</v>
      </c>
      <c r="BK213" s="4"/>
      <c r="BL213" s="4"/>
      <c r="BM213" s="4"/>
      <c r="BN213" s="4"/>
    </row>
    <row r="214" spans="1:66" ht="15" customHeight="1">
      <c r="A214" s="19" t="str">
        <f t="shared" si="20"/>
        <v>FB_IMp_S.FCOM</v>
      </c>
      <c r="B214" s="11">
        <v>3</v>
      </c>
      <c r="C214" s="11" t="s">
        <v>1</v>
      </c>
      <c r="D214" s="20">
        <v>192</v>
      </c>
      <c r="BK214" s="4"/>
      <c r="BL214" s="4"/>
      <c r="BM214" s="4"/>
      <c r="BN214" s="4"/>
    </row>
    <row r="215" spans="1:66" ht="15" customHeight="1">
      <c r="A215" s="19" t="str">
        <f t="shared" si="20"/>
        <v>FB_IMp_S.FCOM</v>
      </c>
      <c r="B215" s="11">
        <v>2</v>
      </c>
      <c r="C215" s="11" t="s">
        <v>2</v>
      </c>
      <c r="D215" s="20" t="s">
        <v>3</v>
      </c>
      <c r="BK215" s="4"/>
      <c r="BL215" s="4"/>
      <c r="BM215" s="4"/>
      <c r="BN215" s="4"/>
    </row>
    <row r="216" spans="1:66" ht="15" customHeight="1">
      <c r="A216" s="21" t="str">
        <f t="shared" si="20"/>
        <v>FB_IMp_S.FCOM</v>
      </c>
      <c r="B216" s="8">
        <v>1</v>
      </c>
      <c r="C216" s="8" t="s">
        <v>1</v>
      </c>
      <c r="D216" s="22">
        <v>11</v>
      </c>
      <c r="BK216" s="4"/>
      <c r="BL216" s="4"/>
      <c r="BM216" s="4"/>
      <c r="BN216" s="4"/>
    </row>
    <row r="217" spans="1:66" ht="15" customHeight="1">
      <c r="A217" s="163" t="str">
        <f t="shared" ref="A217:A226" si="21">$R$2&amp;".DONX"</f>
        <v>FB_IMp_S.DONX</v>
      </c>
      <c r="B217" s="123">
        <v>11154</v>
      </c>
      <c r="C217" s="123" t="s">
        <v>4</v>
      </c>
      <c r="D217" s="124">
        <f>$Q$9</f>
        <v>10</v>
      </c>
      <c r="BK217" s="4"/>
      <c r="BL217" s="4"/>
      <c r="BM217" s="4"/>
      <c r="BN217" s="4"/>
    </row>
    <row r="218" spans="1:66" ht="15" customHeight="1">
      <c r="A218" s="110" t="str">
        <f t="shared" si="21"/>
        <v>FB_IMp_S.DONX</v>
      </c>
      <c r="B218" s="111">
        <v>11150</v>
      </c>
      <c r="C218" s="111" t="s">
        <v>0</v>
      </c>
      <c r="D218" s="112" t="str">
        <f>"Недостоверность: входное значение Включен"</f>
        <v>Недостоверность: входное значение Включен</v>
      </c>
      <c r="BK218" s="4"/>
      <c r="BL218" s="4"/>
      <c r="BM218" s="4"/>
      <c r="BN218" s="4"/>
    </row>
    <row r="219" spans="1:66" ht="15" customHeight="1">
      <c r="A219" s="110" t="str">
        <f t="shared" si="21"/>
        <v>FB_IMp_S.DONX</v>
      </c>
      <c r="B219" s="111">
        <v>11152</v>
      </c>
      <c r="C219" s="111" t="s">
        <v>0</v>
      </c>
      <c r="D219" s="113" t="str">
        <f>$R$9</f>
        <v>Недостоверность</v>
      </c>
      <c r="BK219" s="4"/>
      <c r="BL219" s="4"/>
      <c r="BM219" s="4"/>
      <c r="BN219" s="4"/>
    </row>
    <row r="220" spans="1:66" ht="15" customHeight="1">
      <c r="A220" s="110" t="str">
        <f t="shared" si="21"/>
        <v>FB_IMp_S.DONX</v>
      </c>
      <c r="B220" s="111">
        <v>11000</v>
      </c>
      <c r="C220" s="111" t="s">
        <v>5</v>
      </c>
      <c r="D220" s="112">
        <v>2147483680</v>
      </c>
      <c r="BK220" s="4"/>
      <c r="BL220" s="4"/>
      <c r="BM220" s="4"/>
      <c r="BN220" s="4"/>
    </row>
    <row r="221" spans="1:66" ht="15" customHeight="1">
      <c r="A221" s="19" t="str">
        <f t="shared" si="21"/>
        <v>FB_IMp_S.DONX</v>
      </c>
      <c r="B221" s="11">
        <v>7999</v>
      </c>
      <c r="C221" s="11" t="s">
        <v>0</v>
      </c>
      <c r="D221" s="20" t="str">
        <f>"#"&amp;$S$2&amp;"#"&amp;$T$2&amp;"\"&amp;$P$2&amp;"\DONX"</f>
        <v>#1#treiOPCDA.CoOPCserv.1\pcmaster\KNS_P1\DONX</v>
      </c>
      <c r="BK221" s="4"/>
      <c r="BL221" s="4"/>
      <c r="BM221" s="4"/>
      <c r="BN221" s="4"/>
    </row>
    <row r="222" spans="1:66" ht="15" customHeight="1">
      <c r="A222" s="19" t="str">
        <f t="shared" si="21"/>
        <v>FB_IMp_S.DONX</v>
      </c>
      <c r="B222" s="11">
        <v>7998</v>
      </c>
      <c r="C222" s="11" t="s">
        <v>6</v>
      </c>
      <c r="D222" s="20">
        <v>1</v>
      </c>
      <c r="BK222" s="4"/>
      <c r="BL222" s="4"/>
      <c r="BM222" s="4"/>
      <c r="BN222" s="4"/>
    </row>
    <row r="223" spans="1:66" ht="15" customHeight="1">
      <c r="A223" s="19" t="str">
        <f t="shared" si="21"/>
        <v>FB_IMp_S.DONX</v>
      </c>
      <c r="B223" s="11">
        <v>101</v>
      </c>
      <c r="C223" s="11" t="s">
        <v>0</v>
      </c>
      <c r="D223" s="20" t="str">
        <f>"Недостоверное Входное значение Включен"</f>
        <v>Недостоверное Входное значение Включен</v>
      </c>
      <c r="BK223" s="4"/>
      <c r="BL223" s="4"/>
      <c r="BM223" s="4"/>
      <c r="BN223" s="4"/>
    </row>
    <row r="224" spans="1:66" ht="15" customHeight="1">
      <c r="A224" s="19" t="str">
        <f t="shared" si="21"/>
        <v>FB_IMp_S.DONX</v>
      </c>
      <c r="B224" s="11">
        <v>3</v>
      </c>
      <c r="C224" s="11" t="s">
        <v>1</v>
      </c>
      <c r="D224" s="20">
        <v>192</v>
      </c>
      <c r="BK224" s="4"/>
      <c r="BL224" s="4"/>
      <c r="BM224" s="4"/>
      <c r="BN224" s="4"/>
    </row>
    <row r="225" spans="1:66" ht="15" customHeight="1">
      <c r="A225" s="19" t="str">
        <f t="shared" si="21"/>
        <v>FB_IMp_S.DONX</v>
      </c>
      <c r="B225" s="11">
        <v>2</v>
      </c>
      <c r="C225" s="11" t="s">
        <v>2</v>
      </c>
      <c r="D225" s="20" t="s">
        <v>3</v>
      </c>
      <c r="BK225" s="4"/>
      <c r="BL225" s="4"/>
      <c r="BM225" s="4"/>
      <c r="BN225" s="4"/>
    </row>
    <row r="226" spans="1:66" ht="15" customHeight="1">
      <c r="A226" s="21" t="str">
        <f t="shared" si="21"/>
        <v>FB_IMp_S.DONX</v>
      </c>
      <c r="B226" s="8">
        <v>1</v>
      </c>
      <c r="C226" s="8" t="s">
        <v>1</v>
      </c>
      <c r="D226" s="22">
        <v>11</v>
      </c>
      <c r="BK226" s="4"/>
      <c r="BL226" s="4"/>
      <c r="BM226" s="4"/>
      <c r="BN226" s="4"/>
    </row>
    <row r="227" spans="1:66" ht="15" customHeight="1">
      <c r="A227" s="163" t="str">
        <f t="shared" ref="A227:A236" si="22">$R$2&amp;".DOFX"</f>
        <v>FB_IMp_S.DOFX</v>
      </c>
      <c r="B227" s="123">
        <v>11154</v>
      </c>
      <c r="C227" s="123" t="s">
        <v>4</v>
      </c>
      <c r="D227" s="124">
        <f>$Q$9</f>
        <v>10</v>
      </c>
      <c r="BK227" s="4"/>
      <c r="BL227" s="4"/>
      <c r="BM227" s="4"/>
      <c r="BN227" s="4"/>
    </row>
    <row r="228" spans="1:66" ht="15" customHeight="1">
      <c r="A228" s="110" t="str">
        <f t="shared" si="22"/>
        <v>FB_IMp_S.DOFX</v>
      </c>
      <c r="B228" s="111">
        <v>11150</v>
      </c>
      <c r="C228" s="111" t="s">
        <v>0</v>
      </c>
      <c r="D228" s="112" t="str">
        <f>"Недостоверность: входное значение Отключен"</f>
        <v>Недостоверность: входное значение Отключен</v>
      </c>
      <c r="BK228" s="4"/>
      <c r="BL228" s="4"/>
      <c r="BM228" s="4"/>
      <c r="BN228" s="4"/>
    </row>
    <row r="229" spans="1:66" ht="15" customHeight="1">
      <c r="A229" s="110" t="str">
        <f t="shared" si="22"/>
        <v>FB_IMp_S.DOFX</v>
      </c>
      <c r="B229" s="111">
        <v>11152</v>
      </c>
      <c r="C229" s="111" t="s">
        <v>0</v>
      </c>
      <c r="D229" s="113" t="str">
        <f>$R$9</f>
        <v>Недостоверность</v>
      </c>
      <c r="BK229" s="4"/>
      <c r="BL229" s="4"/>
      <c r="BM229" s="4"/>
      <c r="BN229" s="4"/>
    </row>
    <row r="230" spans="1:66" ht="15" customHeight="1">
      <c r="A230" s="110" t="str">
        <f t="shared" si="22"/>
        <v>FB_IMp_S.DOFX</v>
      </c>
      <c r="B230" s="111">
        <v>11000</v>
      </c>
      <c r="C230" s="111" t="s">
        <v>5</v>
      </c>
      <c r="D230" s="112">
        <v>2147483680</v>
      </c>
      <c r="BK230" s="4"/>
      <c r="BL230" s="4"/>
      <c r="BM230" s="4"/>
      <c r="BN230" s="4"/>
    </row>
    <row r="231" spans="1:66" ht="15" customHeight="1">
      <c r="A231" s="19" t="str">
        <f t="shared" si="22"/>
        <v>FB_IMp_S.DOFX</v>
      </c>
      <c r="B231" s="11">
        <v>7999</v>
      </c>
      <c r="C231" s="11" t="s">
        <v>0</v>
      </c>
      <c r="D231" s="20" t="str">
        <f>"#"&amp;$S$2&amp;"#"&amp;$T$2&amp;"\"&amp;$P$2&amp;"\DOFX"</f>
        <v>#1#treiOPCDA.CoOPCserv.1\pcmaster\KNS_P1\DOFX</v>
      </c>
      <c r="BK231" s="4"/>
      <c r="BL231" s="4"/>
      <c r="BM231" s="4"/>
      <c r="BN231" s="4"/>
    </row>
    <row r="232" spans="1:66" ht="15" customHeight="1">
      <c r="A232" s="19" t="str">
        <f t="shared" si="22"/>
        <v>FB_IMp_S.DOFX</v>
      </c>
      <c r="B232" s="11">
        <v>7998</v>
      </c>
      <c r="C232" s="11" t="s">
        <v>6</v>
      </c>
      <c r="D232" s="20">
        <v>1</v>
      </c>
      <c r="BK232" s="4"/>
      <c r="BL232" s="4"/>
      <c r="BM232" s="4"/>
      <c r="BN232" s="4"/>
    </row>
    <row r="233" spans="1:66" ht="15" customHeight="1">
      <c r="A233" s="19" t="str">
        <f t="shared" si="22"/>
        <v>FB_IMp_S.DOFX</v>
      </c>
      <c r="B233" s="11">
        <v>101</v>
      </c>
      <c r="C233" s="11" t="s">
        <v>0</v>
      </c>
      <c r="D233" s="20" t="str">
        <f>"Недостоверное Входное значение Отключен"</f>
        <v>Недостоверное Входное значение Отключен</v>
      </c>
      <c r="BK233" s="4"/>
      <c r="BL233" s="4"/>
      <c r="BM233" s="4"/>
      <c r="BN233" s="4"/>
    </row>
    <row r="234" spans="1:66" ht="15" customHeight="1">
      <c r="A234" s="19" t="str">
        <f t="shared" si="22"/>
        <v>FB_IMp_S.DOFX</v>
      </c>
      <c r="B234" s="11">
        <v>3</v>
      </c>
      <c r="C234" s="11" t="s">
        <v>1</v>
      </c>
      <c r="D234" s="20">
        <v>192</v>
      </c>
      <c r="BK234" s="4"/>
      <c r="BL234" s="4"/>
      <c r="BM234" s="4"/>
      <c r="BN234" s="4"/>
    </row>
    <row r="235" spans="1:66" ht="15" customHeight="1">
      <c r="A235" s="19" t="str">
        <f t="shared" si="22"/>
        <v>FB_IMp_S.DOFX</v>
      </c>
      <c r="B235" s="11">
        <v>2</v>
      </c>
      <c r="C235" s="11" t="s">
        <v>2</v>
      </c>
      <c r="D235" s="20" t="s">
        <v>3</v>
      </c>
      <c r="BK235" s="4"/>
      <c r="BL235" s="4"/>
      <c r="BM235" s="4"/>
      <c r="BN235" s="4"/>
    </row>
    <row r="236" spans="1:66" ht="15" customHeight="1">
      <c r="A236" s="21" t="str">
        <f t="shared" si="22"/>
        <v>FB_IMp_S.DOFX</v>
      </c>
      <c r="B236" s="8">
        <v>1</v>
      </c>
      <c r="C236" s="8" t="s">
        <v>1</v>
      </c>
      <c r="D236" s="22">
        <v>11</v>
      </c>
      <c r="BK236" s="4"/>
      <c r="BL236" s="4"/>
      <c r="BM236" s="4"/>
      <c r="BN236" s="4"/>
    </row>
    <row r="237" spans="1:66" ht="15" customHeight="1">
      <c r="A237" s="163" t="str">
        <f t="shared" ref="A237:A246" si="23">$R$2&amp;".DLCX"</f>
        <v>FB_IMp_S.DLCX</v>
      </c>
      <c r="B237" s="123">
        <v>11154</v>
      </c>
      <c r="C237" s="123" t="s">
        <v>4</v>
      </c>
      <c r="D237" s="124">
        <f>$Q$9</f>
        <v>10</v>
      </c>
      <c r="BK237" s="4"/>
      <c r="BL237" s="4"/>
      <c r="BM237" s="4"/>
      <c r="BN237" s="4"/>
    </row>
    <row r="238" spans="1:66" ht="15" customHeight="1">
      <c r="A238" s="110" t="str">
        <f t="shared" si="23"/>
        <v>FB_IMp_S.DLCX</v>
      </c>
      <c r="B238" s="111">
        <v>11150</v>
      </c>
      <c r="C238" s="111" t="s">
        <v>0</v>
      </c>
      <c r="D238" s="112" t="s">
        <v>166</v>
      </c>
      <c r="BK238" s="4"/>
      <c r="BL238" s="4"/>
      <c r="BM238" s="4"/>
      <c r="BN238" s="4"/>
    </row>
    <row r="239" spans="1:66" ht="15" customHeight="1">
      <c r="A239" s="110" t="str">
        <f t="shared" si="23"/>
        <v>FB_IMp_S.DLCX</v>
      </c>
      <c r="B239" s="111">
        <v>11152</v>
      </c>
      <c r="C239" s="111" t="s">
        <v>0</v>
      </c>
      <c r="D239" s="113" t="str">
        <f>$R$9</f>
        <v>Недостоверность</v>
      </c>
      <c r="BK239" s="4"/>
      <c r="BL239" s="4"/>
      <c r="BM239" s="4"/>
      <c r="BN239" s="4"/>
    </row>
    <row r="240" spans="1:66" ht="15" customHeight="1">
      <c r="A240" s="110" t="str">
        <f t="shared" si="23"/>
        <v>FB_IMp_S.DLCX</v>
      </c>
      <c r="B240" s="111">
        <v>11000</v>
      </c>
      <c r="C240" s="111" t="s">
        <v>5</v>
      </c>
      <c r="D240" s="112">
        <v>2147483680</v>
      </c>
      <c r="BK240" s="4"/>
      <c r="BL240" s="4"/>
      <c r="BM240" s="4"/>
      <c r="BN240" s="4"/>
    </row>
    <row r="241" spans="1:66" ht="15" customHeight="1">
      <c r="A241" s="19" t="str">
        <f t="shared" si="23"/>
        <v>FB_IMp_S.DLCX</v>
      </c>
      <c r="B241" s="11">
        <v>7999</v>
      </c>
      <c r="C241" s="11" t="s">
        <v>0</v>
      </c>
      <c r="D241" s="20" t="str">
        <f>"#"&amp;$S$2&amp;"#"&amp;$T$2&amp;"\"&amp;$P$2&amp;"\DLCX"</f>
        <v>#1#treiOPCDA.CoOPCserv.1\pcmaster\KNS_P1\DLCX</v>
      </c>
      <c r="BK241" s="4"/>
      <c r="BL241" s="4"/>
      <c r="BM241" s="4"/>
      <c r="BN241" s="4"/>
    </row>
    <row r="242" spans="1:66" ht="15" customHeight="1">
      <c r="A242" s="19" t="str">
        <f t="shared" si="23"/>
        <v>FB_IMp_S.DLCX</v>
      </c>
      <c r="B242" s="11">
        <v>7998</v>
      </c>
      <c r="C242" s="11" t="s">
        <v>6</v>
      </c>
      <c r="D242" s="20">
        <v>1</v>
      </c>
      <c r="BK242" s="4"/>
      <c r="BL242" s="4"/>
      <c r="BM242" s="4"/>
      <c r="BN242" s="4"/>
    </row>
    <row r="243" spans="1:66" ht="15" customHeight="1">
      <c r="A243" s="19" t="str">
        <f t="shared" si="23"/>
        <v>FB_IMp_S.DLCX</v>
      </c>
      <c r="B243" s="11">
        <v>101</v>
      </c>
      <c r="C243" s="11" t="s">
        <v>0</v>
      </c>
      <c r="D243" s="20" t="s">
        <v>578</v>
      </c>
      <c r="BK243" s="4"/>
      <c r="BL243" s="4"/>
      <c r="BM243" s="4"/>
      <c r="BN243" s="4"/>
    </row>
    <row r="244" spans="1:66" ht="15" customHeight="1">
      <c r="A244" s="19" t="str">
        <f t="shared" si="23"/>
        <v>FB_IMp_S.DLCX</v>
      </c>
      <c r="B244" s="11">
        <v>3</v>
      </c>
      <c r="C244" s="11" t="s">
        <v>1</v>
      </c>
      <c r="D244" s="20">
        <v>192</v>
      </c>
      <c r="BK244" s="4"/>
      <c r="BL244" s="4"/>
      <c r="BM244" s="4"/>
      <c r="BN244" s="4"/>
    </row>
    <row r="245" spans="1:66" ht="15" customHeight="1">
      <c r="A245" s="19" t="str">
        <f t="shared" si="23"/>
        <v>FB_IMp_S.DLCX</v>
      </c>
      <c r="B245" s="11">
        <v>2</v>
      </c>
      <c r="C245" s="11" t="s">
        <v>2</v>
      </c>
      <c r="D245" s="20" t="s">
        <v>3</v>
      </c>
      <c r="BK245" s="4"/>
      <c r="BL245" s="4"/>
      <c r="BM245" s="4"/>
      <c r="BN245" s="4"/>
    </row>
    <row r="246" spans="1:66" ht="15" customHeight="1">
      <c r="A246" s="21" t="str">
        <f t="shared" si="23"/>
        <v>FB_IMp_S.DLCX</v>
      </c>
      <c r="B246" s="8">
        <v>1</v>
      </c>
      <c r="C246" s="8" t="s">
        <v>1</v>
      </c>
      <c r="D246" s="22">
        <v>11</v>
      </c>
      <c r="BK246" s="4"/>
      <c r="BL246" s="4"/>
      <c r="BM246" s="4"/>
      <c r="BN246" s="4"/>
    </row>
    <row r="247" spans="1:66" ht="15" customHeight="1">
      <c r="A247" s="163" t="str">
        <f t="shared" ref="A247:A256" si="24">$R$2&amp;".DRCX"</f>
        <v>FB_IMp_S.DRCX</v>
      </c>
      <c r="B247" s="123">
        <v>11154</v>
      </c>
      <c r="C247" s="123" t="s">
        <v>4</v>
      </c>
      <c r="D247" s="124">
        <f>$Q$9</f>
        <v>10</v>
      </c>
      <c r="BK247" s="4"/>
      <c r="BL247" s="4"/>
      <c r="BM247" s="4"/>
      <c r="BN247" s="4"/>
    </row>
    <row r="248" spans="1:66" ht="15" customHeight="1">
      <c r="A248" s="110" t="str">
        <f t="shared" si="24"/>
        <v>FB_IMp_S.DRCX</v>
      </c>
      <c r="B248" s="111">
        <v>11150</v>
      </c>
      <c r="C248" s="111" t="s">
        <v>0</v>
      </c>
      <c r="D248" s="112" t="s">
        <v>105</v>
      </c>
      <c r="BK248" s="4"/>
      <c r="BL248" s="4"/>
      <c r="BM248" s="4"/>
      <c r="BN248" s="4"/>
    </row>
    <row r="249" spans="1:66" ht="15" customHeight="1">
      <c r="A249" s="110" t="str">
        <f t="shared" si="24"/>
        <v>FB_IMp_S.DRCX</v>
      </c>
      <c r="B249" s="111">
        <v>11152</v>
      </c>
      <c r="C249" s="111" t="s">
        <v>0</v>
      </c>
      <c r="D249" s="113" t="str">
        <f>$R$9</f>
        <v>Недостоверность</v>
      </c>
      <c r="BK249" s="4"/>
      <c r="BL249" s="4"/>
      <c r="BM249" s="4"/>
      <c r="BN249" s="4"/>
    </row>
    <row r="250" spans="1:66" ht="15" customHeight="1">
      <c r="A250" s="110" t="str">
        <f t="shared" si="24"/>
        <v>FB_IMp_S.DRCX</v>
      </c>
      <c r="B250" s="111">
        <v>11000</v>
      </c>
      <c r="C250" s="111" t="s">
        <v>5</v>
      </c>
      <c r="D250" s="112">
        <v>2147483680</v>
      </c>
      <c r="BK250" s="4"/>
      <c r="BL250" s="4"/>
      <c r="BM250" s="4"/>
      <c r="BN250" s="4"/>
    </row>
    <row r="251" spans="1:66" ht="15" customHeight="1">
      <c r="A251" s="19" t="str">
        <f t="shared" si="24"/>
        <v>FB_IMp_S.DRCX</v>
      </c>
      <c r="B251" s="11">
        <v>7999</v>
      </c>
      <c r="C251" s="11" t="s">
        <v>0</v>
      </c>
      <c r="D251" s="20" t="str">
        <f>"#"&amp;$S$2&amp;"#"&amp;$T$2&amp;"\"&amp;$P$2&amp;"\DRCX"</f>
        <v>#1#treiOPCDA.CoOPCserv.1\pcmaster\KNS_P1\DRCX</v>
      </c>
      <c r="BK251" s="4"/>
      <c r="BL251" s="4"/>
      <c r="BM251" s="4"/>
      <c r="BN251" s="4"/>
    </row>
    <row r="252" spans="1:66" ht="15" customHeight="1">
      <c r="A252" s="19" t="str">
        <f t="shared" si="24"/>
        <v>FB_IMp_S.DRCX</v>
      </c>
      <c r="B252" s="11">
        <v>7998</v>
      </c>
      <c r="C252" s="11" t="s">
        <v>6</v>
      </c>
      <c r="D252" s="20">
        <v>1</v>
      </c>
      <c r="BK252" s="4"/>
      <c r="BL252" s="4"/>
      <c r="BM252" s="4"/>
      <c r="BN252" s="4"/>
    </row>
    <row r="253" spans="1:66" ht="15" customHeight="1">
      <c r="A253" s="19" t="str">
        <f t="shared" si="24"/>
        <v>FB_IMp_S.DRCX</v>
      </c>
      <c r="B253" s="11">
        <v>101</v>
      </c>
      <c r="C253" s="11" t="s">
        <v>0</v>
      </c>
      <c r="D253" s="20" t="s">
        <v>573</v>
      </c>
      <c r="BK253" s="4"/>
      <c r="BL253" s="4"/>
      <c r="BM253" s="4"/>
      <c r="BN253" s="4"/>
    </row>
    <row r="254" spans="1:66" ht="15" customHeight="1">
      <c r="A254" s="19" t="str">
        <f t="shared" si="24"/>
        <v>FB_IMp_S.DRCX</v>
      </c>
      <c r="B254" s="11">
        <v>3</v>
      </c>
      <c r="C254" s="11" t="s">
        <v>1</v>
      </c>
      <c r="D254" s="20">
        <v>192</v>
      </c>
      <c r="BK254" s="4"/>
      <c r="BL254" s="4"/>
      <c r="BM254" s="4"/>
      <c r="BN254" s="4"/>
    </row>
    <row r="255" spans="1:66" ht="15" customHeight="1">
      <c r="A255" s="19" t="str">
        <f t="shared" si="24"/>
        <v>FB_IMp_S.DRCX</v>
      </c>
      <c r="B255" s="11">
        <v>2</v>
      </c>
      <c r="C255" s="11" t="s">
        <v>2</v>
      </c>
      <c r="D255" s="20" t="s">
        <v>3</v>
      </c>
      <c r="BK255" s="4"/>
      <c r="BL255" s="4"/>
      <c r="BM255" s="4"/>
      <c r="BN255" s="4"/>
    </row>
    <row r="256" spans="1:66" ht="15" customHeight="1">
      <c r="A256" s="21" t="str">
        <f t="shared" si="24"/>
        <v>FB_IMp_S.DRCX</v>
      </c>
      <c r="B256" s="8">
        <v>1</v>
      </c>
      <c r="C256" s="8" t="s">
        <v>1</v>
      </c>
      <c r="D256" s="22">
        <v>11</v>
      </c>
      <c r="BK256" s="4"/>
      <c r="BL256" s="4"/>
      <c r="BM256" s="4"/>
      <c r="BN256" s="4"/>
    </row>
    <row r="257" spans="1:66" ht="15" customHeight="1">
      <c r="A257" s="163" t="str">
        <f t="shared" ref="A257:A266" si="25">$R$2&amp;".DFXX"</f>
        <v>FB_IMp_S.DFXX</v>
      </c>
      <c r="B257" s="123">
        <v>11154</v>
      </c>
      <c r="C257" s="123" t="s">
        <v>4</v>
      </c>
      <c r="D257" s="124">
        <f>$Q$9</f>
        <v>10</v>
      </c>
      <c r="BK257" s="4"/>
      <c r="BL257" s="4"/>
      <c r="BM257" s="4"/>
      <c r="BN257" s="4"/>
    </row>
    <row r="258" spans="1:66" ht="15" customHeight="1">
      <c r="A258" s="110" t="str">
        <f t="shared" si="25"/>
        <v>FB_IMp_S.DFXX</v>
      </c>
      <c r="B258" s="111">
        <v>11150</v>
      </c>
      <c r="C258" s="111" t="s">
        <v>0</v>
      </c>
      <c r="D258" s="112" t="s">
        <v>104</v>
      </c>
      <c r="BK258" s="4"/>
      <c r="BL258" s="4"/>
      <c r="BM258" s="4"/>
      <c r="BN258" s="4"/>
    </row>
    <row r="259" spans="1:66" ht="15" customHeight="1">
      <c r="A259" s="110" t="str">
        <f t="shared" si="25"/>
        <v>FB_IMp_S.DFXX</v>
      </c>
      <c r="B259" s="111">
        <v>11152</v>
      </c>
      <c r="C259" s="111" t="s">
        <v>0</v>
      </c>
      <c r="D259" s="113" t="str">
        <f>$R$9</f>
        <v>Недостоверность</v>
      </c>
      <c r="BK259" s="4"/>
      <c r="BL259" s="4"/>
      <c r="BM259" s="4"/>
      <c r="BN259" s="4"/>
    </row>
    <row r="260" spans="1:66" ht="15" customHeight="1">
      <c r="A260" s="110" t="str">
        <f t="shared" si="25"/>
        <v>FB_IMp_S.DFXX</v>
      </c>
      <c r="B260" s="111">
        <v>11000</v>
      </c>
      <c r="C260" s="111" t="s">
        <v>5</v>
      </c>
      <c r="D260" s="112">
        <v>2147483680</v>
      </c>
      <c r="BK260" s="4"/>
      <c r="BL260" s="4"/>
      <c r="BM260" s="4"/>
      <c r="BN260" s="4"/>
    </row>
    <row r="261" spans="1:66" ht="15" customHeight="1">
      <c r="A261" s="19" t="str">
        <f t="shared" si="25"/>
        <v>FB_IMp_S.DFXX</v>
      </c>
      <c r="B261" s="11">
        <v>7999</v>
      </c>
      <c r="C261" s="11" t="s">
        <v>0</v>
      </c>
      <c r="D261" s="20" t="str">
        <f>"#"&amp;$S$2&amp;"#"&amp;$T$2&amp;"\"&amp;$P$2&amp;"\DFXX"</f>
        <v>#1#treiOPCDA.CoOPCserv.1\pcmaster\KNS_P1\DFXX</v>
      </c>
      <c r="BK261" s="4"/>
      <c r="BL261" s="4"/>
      <c r="BM261" s="4"/>
      <c r="BN261" s="4"/>
    </row>
    <row r="262" spans="1:66" ht="15" customHeight="1">
      <c r="A262" s="19" t="str">
        <f t="shared" si="25"/>
        <v>FB_IMp_S.DFXX</v>
      </c>
      <c r="B262" s="11">
        <v>7998</v>
      </c>
      <c r="C262" s="11" t="s">
        <v>6</v>
      </c>
      <c r="D262" s="20">
        <v>1</v>
      </c>
      <c r="BK262" s="4"/>
      <c r="BL262" s="4"/>
      <c r="BM262" s="4"/>
      <c r="BN262" s="4"/>
    </row>
    <row r="263" spans="1:66" ht="15" customHeight="1">
      <c r="A263" s="19" t="str">
        <f t="shared" si="25"/>
        <v>FB_IMp_S.DFXX</v>
      </c>
      <c r="B263" s="11">
        <v>101</v>
      </c>
      <c r="C263" s="11" t="s">
        <v>0</v>
      </c>
      <c r="D263" s="20" t="s">
        <v>520</v>
      </c>
      <c r="BK263" s="4"/>
      <c r="BL263" s="4"/>
      <c r="BM263" s="4"/>
      <c r="BN263" s="4"/>
    </row>
    <row r="264" spans="1:66" ht="15" customHeight="1">
      <c r="A264" s="19" t="str">
        <f t="shared" si="25"/>
        <v>FB_IMp_S.DFXX</v>
      </c>
      <c r="B264" s="11">
        <v>3</v>
      </c>
      <c r="C264" s="11" t="s">
        <v>1</v>
      </c>
      <c r="D264" s="20">
        <v>192</v>
      </c>
      <c r="BK264" s="4"/>
      <c r="BL264" s="4"/>
      <c r="BM264" s="4"/>
      <c r="BN264" s="4"/>
    </row>
    <row r="265" spans="1:66" ht="15" customHeight="1">
      <c r="A265" s="19" t="str">
        <f t="shared" si="25"/>
        <v>FB_IMp_S.DFXX</v>
      </c>
      <c r="B265" s="11">
        <v>2</v>
      </c>
      <c r="C265" s="11" t="s">
        <v>2</v>
      </c>
      <c r="D265" s="20" t="s">
        <v>3</v>
      </c>
      <c r="BK265" s="4"/>
      <c r="BL265" s="4"/>
      <c r="BM265" s="4"/>
      <c r="BN265" s="4"/>
    </row>
    <row r="266" spans="1:66" ht="15" customHeight="1">
      <c r="A266" s="21" t="str">
        <f t="shared" si="25"/>
        <v>FB_IMp_S.DFXX</v>
      </c>
      <c r="B266" s="8">
        <v>1</v>
      </c>
      <c r="C266" s="8" t="s">
        <v>1</v>
      </c>
      <c r="D266" s="22">
        <v>11</v>
      </c>
      <c r="BK266" s="4"/>
      <c r="BL266" s="4"/>
      <c r="BM266" s="4"/>
      <c r="BN266" s="4"/>
    </row>
    <row r="267" spans="1:66" ht="15" customHeight="1">
      <c r="A267" s="163" t="str">
        <f t="shared" ref="A267:A276" si="26">$R$2&amp;".DOON"</f>
        <v>FB_IMp_S.DOON</v>
      </c>
      <c r="B267" s="123">
        <v>11154</v>
      </c>
      <c r="C267" s="123" t="s">
        <v>4</v>
      </c>
      <c r="D267" s="124">
        <f>$Q$9</f>
        <v>10</v>
      </c>
      <c r="BK267" s="4"/>
      <c r="BL267" s="4"/>
      <c r="BM267" s="4"/>
      <c r="BN267" s="4"/>
    </row>
    <row r="268" spans="1:66" ht="15" customHeight="1">
      <c r="A268" s="110" t="str">
        <f t="shared" si="26"/>
        <v>FB_IMp_S.DOON</v>
      </c>
      <c r="B268" s="111">
        <v>11150</v>
      </c>
      <c r="C268" s="111" t="s">
        <v>0</v>
      </c>
      <c r="D268" s="112" t="str">
        <f>"Недостоверность: выходное  значение  Включить"</f>
        <v>Недостоверность: выходное  значение  Включить</v>
      </c>
      <c r="BK268" s="4"/>
      <c r="BL268" s="4"/>
      <c r="BM268" s="4"/>
      <c r="BN268" s="4"/>
    </row>
    <row r="269" spans="1:66" ht="15" customHeight="1">
      <c r="A269" s="110" t="str">
        <f t="shared" si="26"/>
        <v>FB_IMp_S.DOON</v>
      </c>
      <c r="B269" s="111">
        <v>11152</v>
      </c>
      <c r="C269" s="111" t="s">
        <v>0</v>
      </c>
      <c r="D269" s="113" t="str">
        <f>$R$9</f>
        <v>Недостоверность</v>
      </c>
      <c r="BK269" s="4"/>
      <c r="BL269" s="4"/>
      <c r="BM269" s="4"/>
      <c r="BN269" s="4"/>
    </row>
    <row r="270" spans="1:66" ht="15" customHeight="1">
      <c r="A270" s="110" t="str">
        <f t="shared" si="26"/>
        <v>FB_IMp_S.DOON</v>
      </c>
      <c r="B270" s="111">
        <v>11000</v>
      </c>
      <c r="C270" s="111" t="s">
        <v>5</v>
      </c>
      <c r="D270" s="112">
        <v>2147483680</v>
      </c>
      <c r="BK270" s="4"/>
      <c r="BL270" s="4"/>
      <c r="BM270" s="4"/>
      <c r="BN270" s="4"/>
    </row>
    <row r="271" spans="1:66" ht="15" customHeight="1">
      <c r="A271" s="19" t="str">
        <f t="shared" si="26"/>
        <v>FB_IMp_S.DOON</v>
      </c>
      <c r="B271" s="11">
        <v>7999</v>
      </c>
      <c r="C271" s="11" t="s">
        <v>0</v>
      </c>
      <c r="D271" s="20" t="str">
        <f>"#"&amp;$S$2&amp;"#"&amp;$T$2&amp;"\"&amp;$P$2&amp;"\DOON"</f>
        <v>#1#treiOPCDA.CoOPCserv.1\pcmaster\KNS_P1\DOON</v>
      </c>
      <c r="BK271" s="4"/>
      <c r="BL271" s="4"/>
      <c r="BM271" s="4"/>
      <c r="BN271" s="4"/>
    </row>
    <row r="272" spans="1:66" ht="15" customHeight="1">
      <c r="A272" s="19" t="str">
        <f t="shared" si="26"/>
        <v>FB_IMp_S.DOON</v>
      </c>
      <c r="B272" s="11">
        <v>7998</v>
      </c>
      <c r="C272" s="11" t="s">
        <v>6</v>
      </c>
      <c r="D272" s="20">
        <v>1</v>
      </c>
      <c r="BK272" s="4"/>
      <c r="BL272" s="4"/>
      <c r="BM272" s="4"/>
      <c r="BN272" s="4"/>
    </row>
    <row r="273" spans="1:66" ht="15" customHeight="1">
      <c r="A273" s="19" t="str">
        <f t="shared" si="26"/>
        <v>FB_IMp_S.DOON</v>
      </c>
      <c r="B273" s="11">
        <v>101</v>
      </c>
      <c r="C273" s="11" t="s">
        <v>0</v>
      </c>
      <c r="D273" s="20" t="str">
        <f>"Недостоверное Выходное  значение Включить"</f>
        <v>Недостоверное Выходное  значение Включить</v>
      </c>
      <c r="BK273" s="4"/>
      <c r="BL273" s="4"/>
      <c r="BM273" s="4"/>
      <c r="BN273" s="4"/>
    </row>
    <row r="274" spans="1:66" ht="15" customHeight="1">
      <c r="A274" s="19" t="str">
        <f t="shared" si="26"/>
        <v>FB_IMp_S.DOON</v>
      </c>
      <c r="B274" s="11">
        <v>3</v>
      </c>
      <c r="C274" s="11" t="s">
        <v>1</v>
      </c>
      <c r="D274" s="20">
        <v>192</v>
      </c>
      <c r="BK274" s="4"/>
      <c r="BL274" s="4"/>
      <c r="BM274" s="4"/>
      <c r="BN274" s="4"/>
    </row>
    <row r="275" spans="1:66" ht="15" customHeight="1">
      <c r="A275" s="19" t="str">
        <f t="shared" si="26"/>
        <v>FB_IMp_S.DOON</v>
      </c>
      <c r="B275" s="11">
        <v>2</v>
      </c>
      <c r="C275" s="11" t="s">
        <v>2</v>
      </c>
      <c r="D275" s="20" t="s">
        <v>3</v>
      </c>
      <c r="BK275" s="4"/>
      <c r="BL275" s="4"/>
      <c r="BM275" s="4"/>
      <c r="BN275" s="4"/>
    </row>
    <row r="276" spans="1:66" ht="15" customHeight="1">
      <c r="A276" s="21" t="str">
        <f t="shared" si="26"/>
        <v>FB_IMp_S.DOON</v>
      </c>
      <c r="B276" s="8">
        <v>1</v>
      </c>
      <c r="C276" s="8" t="s">
        <v>1</v>
      </c>
      <c r="D276" s="22">
        <v>11</v>
      </c>
      <c r="BK276" s="4"/>
      <c r="BL276" s="4"/>
      <c r="BM276" s="4"/>
      <c r="BN276" s="4"/>
    </row>
    <row r="277" spans="1:66" ht="15" customHeight="1">
      <c r="A277" s="163" t="str">
        <f t="shared" ref="A277:A286" si="27">$R$2&amp;".DOOF"</f>
        <v>FB_IMp_S.DOOF</v>
      </c>
      <c r="B277" s="123">
        <v>11154</v>
      </c>
      <c r="C277" s="123" t="s">
        <v>4</v>
      </c>
      <c r="D277" s="124">
        <f>$Q$9</f>
        <v>10</v>
      </c>
      <c r="BK277" s="4"/>
      <c r="BL277" s="4"/>
      <c r="BM277" s="4"/>
      <c r="BN277" s="4"/>
    </row>
    <row r="278" spans="1:66" ht="15" customHeight="1">
      <c r="A278" s="110" t="str">
        <f t="shared" si="27"/>
        <v>FB_IMp_S.DOOF</v>
      </c>
      <c r="B278" s="111">
        <v>11150</v>
      </c>
      <c r="C278" s="111" t="s">
        <v>0</v>
      </c>
      <c r="D278" s="112" t="str">
        <f>"Недостоверность: выходное  значение Отключить"</f>
        <v>Недостоверность: выходное  значение Отключить</v>
      </c>
      <c r="BK278" s="4"/>
      <c r="BL278" s="4"/>
      <c r="BM278" s="4"/>
      <c r="BN278" s="4"/>
    </row>
    <row r="279" spans="1:66" ht="15" customHeight="1">
      <c r="A279" s="110" t="str">
        <f t="shared" si="27"/>
        <v>FB_IMp_S.DOOF</v>
      </c>
      <c r="B279" s="111">
        <v>11152</v>
      </c>
      <c r="C279" s="111" t="s">
        <v>0</v>
      </c>
      <c r="D279" s="113" t="str">
        <f>$R$9</f>
        <v>Недостоверность</v>
      </c>
      <c r="BK279" s="4"/>
      <c r="BL279" s="4"/>
      <c r="BM279" s="4"/>
      <c r="BN279" s="4"/>
    </row>
    <row r="280" spans="1:66" ht="15" customHeight="1">
      <c r="A280" s="110" t="str">
        <f t="shared" si="27"/>
        <v>FB_IMp_S.DOOF</v>
      </c>
      <c r="B280" s="111">
        <v>11000</v>
      </c>
      <c r="C280" s="111" t="s">
        <v>5</v>
      </c>
      <c r="D280" s="112">
        <v>2147483680</v>
      </c>
      <c r="BK280" s="4"/>
      <c r="BL280" s="4"/>
      <c r="BM280" s="4"/>
      <c r="BN280" s="4"/>
    </row>
    <row r="281" spans="1:66" ht="15" customHeight="1">
      <c r="A281" s="19" t="str">
        <f t="shared" si="27"/>
        <v>FB_IMp_S.DOOF</v>
      </c>
      <c r="B281" s="11">
        <v>7999</v>
      </c>
      <c r="C281" s="11" t="s">
        <v>0</v>
      </c>
      <c r="D281" s="20" t="str">
        <f>"#"&amp;$S$2&amp;"#"&amp;$T$2&amp;"\"&amp;$P$2&amp;"\DOOF"</f>
        <v>#1#treiOPCDA.CoOPCserv.1\pcmaster\KNS_P1\DOOF</v>
      </c>
      <c r="BK281" s="4"/>
      <c r="BL281" s="4"/>
      <c r="BM281" s="4"/>
      <c r="BN281" s="4"/>
    </row>
    <row r="282" spans="1:66" ht="15" customHeight="1">
      <c r="A282" s="19" t="str">
        <f t="shared" si="27"/>
        <v>FB_IMp_S.DOOF</v>
      </c>
      <c r="B282" s="11">
        <v>7998</v>
      </c>
      <c r="C282" s="11" t="s">
        <v>6</v>
      </c>
      <c r="D282" s="20">
        <v>1</v>
      </c>
      <c r="BK282" s="4"/>
      <c r="BL282" s="4"/>
      <c r="BM282" s="4"/>
      <c r="BN282" s="4"/>
    </row>
    <row r="283" spans="1:66" ht="15" customHeight="1">
      <c r="A283" s="19" t="str">
        <f t="shared" si="27"/>
        <v>FB_IMp_S.DOOF</v>
      </c>
      <c r="B283" s="11">
        <v>101</v>
      </c>
      <c r="C283" s="11" t="s">
        <v>0</v>
      </c>
      <c r="D283" s="20" t="str">
        <f>"Недостоверное Выходное значение Отключить"</f>
        <v>Недостоверное Выходное значение Отключить</v>
      </c>
      <c r="BK283" s="4"/>
      <c r="BL283" s="4"/>
      <c r="BM283" s="4"/>
      <c r="BN283" s="4"/>
    </row>
    <row r="284" spans="1:66" ht="15" customHeight="1">
      <c r="A284" s="19" t="str">
        <f t="shared" si="27"/>
        <v>FB_IMp_S.DOOF</v>
      </c>
      <c r="B284" s="11">
        <v>3</v>
      </c>
      <c r="C284" s="11" t="s">
        <v>1</v>
      </c>
      <c r="D284" s="20">
        <v>192</v>
      </c>
      <c r="BK284" s="4"/>
      <c r="BL284" s="4"/>
      <c r="BM284" s="4"/>
      <c r="BN284" s="4"/>
    </row>
    <row r="285" spans="1:66" ht="15" customHeight="1">
      <c r="A285" s="19" t="str">
        <f t="shared" si="27"/>
        <v>FB_IMp_S.DOOF</v>
      </c>
      <c r="B285" s="11">
        <v>2</v>
      </c>
      <c r="C285" s="11" t="s">
        <v>2</v>
      </c>
      <c r="D285" s="20" t="s">
        <v>3</v>
      </c>
      <c r="BK285" s="4"/>
      <c r="BL285" s="4"/>
      <c r="BM285" s="4"/>
      <c r="BN285" s="4"/>
    </row>
    <row r="286" spans="1:66" ht="15" customHeight="1">
      <c r="A286" s="21" t="str">
        <f t="shared" si="27"/>
        <v>FB_IMp_S.DOOF</v>
      </c>
      <c r="B286" s="8">
        <v>1</v>
      </c>
      <c r="C286" s="8" t="s">
        <v>1</v>
      </c>
      <c r="D286" s="22">
        <v>11</v>
      </c>
      <c r="BK286" s="4"/>
      <c r="BL286" s="4"/>
      <c r="BM286" s="4"/>
      <c r="BN286" s="4"/>
    </row>
    <row r="287" spans="1:66" ht="15" customHeight="1">
      <c r="A287" s="163" t="str">
        <f t="shared" ref="A287:A296" si="28">$R$2&amp;".DOSP"</f>
        <v>FB_IMp_S.DOSP</v>
      </c>
      <c r="B287" s="123">
        <v>11154</v>
      </c>
      <c r="C287" s="123" t="s">
        <v>4</v>
      </c>
      <c r="D287" s="124">
        <f>$Q$9</f>
        <v>10</v>
      </c>
      <c r="BK287" s="4"/>
      <c r="BL287" s="4"/>
      <c r="BM287" s="4"/>
      <c r="BN287" s="4"/>
    </row>
    <row r="288" spans="1:66" ht="15" customHeight="1">
      <c r="A288" s="110" t="str">
        <f t="shared" si="28"/>
        <v>FB_IMp_S.DOSP</v>
      </c>
      <c r="B288" s="111">
        <v>11150</v>
      </c>
      <c r="C288" s="111" t="s">
        <v>0</v>
      </c>
      <c r="D288" s="112" t="s">
        <v>189</v>
      </c>
      <c r="BK288" s="4"/>
      <c r="BL288" s="4"/>
      <c r="BM288" s="4"/>
      <c r="BN288" s="4"/>
    </row>
    <row r="289" spans="1:66" ht="15" customHeight="1">
      <c r="A289" s="110" t="str">
        <f t="shared" si="28"/>
        <v>FB_IMp_S.DOSP</v>
      </c>
      <c r="B289" s="111">
        <v>11152</v>
      </c>
      <c r="C289" s="111" t="s">
        <v>0</v>
      </c>
      <c r="D289" s="113" t="str">
        <f>$R$9</f>
        <v>Недостоверность</v>
      </c>
      <c r="BK289" s="4"/>
      <c r="BL289" s="4"/>
      <c r="BM289" s="4"/>
      <c r="BN289" s="4"/>
    </row>
    <row r="290" spans="1:66" ht="15" customHeight="1">
      <c r="A290" s="110" t="str">
        <f t="shared" si="28"/>
        <v>FB_IMp_S.DOSP</v>
      </c>
      <c r="B290" s="111">
        <v>11000</v>
      </c>
      <c r="C290" s="111" t="s">
        <v>5</v>
      </c>
      <c r="D290" s="112">
        <v>2147483680</v>
      </c>
      <c r="BK290" s="4"/>
      <c r="BL290" s="4"/>
      <c r="BM290" s="4"/>
      <c r="BN290" s="4"/>
    </row>
    <row r="291" spans="1:66" ht="15" customHeight="1">
      <c r="A291" s="19" t="str">
        <f t="shared" si="28"/>
        <v>FB_IMp_S.DOSP</v>
      </c>
      <c r="B291" s="11">
        <v>7999</v>
      </c>
      <c r="C291" s="11" t="s">
        <v>0</v>
      </c>
      <c r="D291" s="20" t="str">
        <f>"#"&amp;$S$2&amp;"#"&amp;$T$2&amp;"\"&amp;$P$2&amp;"\DOSP"</f>
        <v>#1#treiOPCDA.CoOPCserv.1\pcmaster\KNS_P1\DOSP</v>
      </c>
      <c r="BK291" s="4"/>
      <c r="BL291" s="4"/>
      <c r="BM291" s="4"/>
      <c r="BN291" s="4"/>
    </row>
    <row r="292" spans="1:66" ht="15" customHeight="1">
      <c r="A292" s="19" t="str">
        <f t="shared" si="28"/>
        <v>FB_IMp_S.DOSP</v>
      </c>
      <c r="B292" s="11">
        <v>7998</v>
      </c>
      <c r="C292" s="11" t="s">
        <v>6</v>
      </c>
      <c r="D292" s="20">
        <v>1</v>
      </c>
      <c r="BK292" s="4"/>
      <c r="BL292" s="4"/>
      <c r="BM292" s="4"/>
      <c r="BN292" s="4"/>
    </row>
    <row r="293" spans="1:66" ht="15" customHeight="1">
      <c r="A293" s="19" t="str">
        <f t="shared" si="28"/>
        <v>FB_IMp_S.DOSP</v>
      </c>
      <c r="B293" s="11">
        <v>101</v>
      </c>
      <c r="C293" s="11" t="s">
        <v>0</v>
      </c>
      <c r="D293" s="20" t="s">
        <v>103</v>
      </c>
      <c r="BK293" s="4"/>
      <c r="BL293" s="4"/>
      <c r="BM293" s="4"/>
      <c r="BN293" s="4"/>
    </row>
    <row r="294" spans="1:66" ht="15" customHeight="1">
      <c r="A294" s="19" t="str">
        <f t="shared" si="28"/>
        <v>FB_IMp_S.DOSP</v>
      </c>
      <c r="B294" s="11">
        <v>3</v>
      </c>
      <c r="C294" s="11" t="s">
        <v>1</v>
      </c>
      <c r="D294" s="20">
        <v>192</v>
      </c>
      <c r="BK294" s="4"/>
      <c r="BL294" s="4"/>
      <c r="BM294" s="4"/>
      <c r="BN294" s="4"/>
    </row>
    <row r="295" spans="1:66" ht="15" customHeight="1">
      <c r="A295" s="19" t="str">
        <f t="shared" si="28"/>
        <v>FB_IMp_S.DOSP</v>
      </c>
      <c r="B295" s="11">
        <v>2</v>
      </c>
      <c r="C295" s="11" t="s">
        <v>2</v>
      </c>
      <c r="D295" s="20" t="s">
        <v>3</v>
      </c>
      <c r="BK295" s="4"/>
      <c r="BL295" s="4"/>
      <c r="BM295" s="4"/>
      <c r="BN295" s="4"/>
    </row>
    <row r="296" spans="1:66" ht="15" customHeight="1">
      <c r="A296" s="19" t="str">
        <f t="shared" si="28"/>
        <v>FB_IMp_S.DOSP</v>
      </c>
      <c r="B296" s="11">
        <v>1</v>
      </c>
      <c r="C296" s="11" t="s">
        <v>1</v>
      </c>
      <c r="D296" s="20">
        <v>11</v>
      </c>
      <c r="BK296" s="4"/>
      <c r="BL296" s="4"/>
      <c r="BM296" s="4"/>
      <c r="BN296" s="4"/>
    </row>
    <row r="297" spans="1:66" ht="15" customHeight="1">
      <c r="A297" s="130" t="str">
        <f t="shared" ref="A297:A308" si="29">$R$2&amp;".XRPX"</f>
        <v>FB_IMp_S.XRPX</v>
      </c>
      <c r="B297" s="131">
        <v>11154</v>
      </c>
      <c r="C297" s="131" t="s">
        <v>4</v>
      </c>
      <c r="D297" s="132">
        <f>$Q$11</f>
        <v>14</v>
      </c>
      <c r="BK297" s="4"/>
      <c r="BL297" s="4"/>
      <c r="BM297" s="4"/>
      <c r="BN297" s="4"/>
    </row>
    <row r="298" spans="1:66" ht="15" customHeight="1">
      <c r="A298" s="133" t="str">
        <f t="shared" si="29"/>
        <v>FB_IMp_S.XRPX</v>
      </c>
      <c r="B298" s="134">
        <v>11150</v>
      </c>
      <c r="C298" s="134" t="s">
        <v>0</v>
      </c>
      <c r="D298" s="135" t="s">
        <v>89</v>
      </c>
      <c r="BK298" s="4"/>
      <c r="BL298" s="4"/>
      <c r="BM298" s="4"/>
      <c r="BN298" s="4"/>
    </row>
    <row r="299" spans="1:66" ht="15" customHeight="1">
      <c r="A299" s="133" t="str">
        <f t="shared" si="29"/>
        <v>FB_IMp_S.XRPX</v>
      </c>
      <c r="B299" s="134">
        <v>11152</v>
      </c>
      <c r="C299" s="134" t="s">
        <v>0</v>
      </c>
      <c r="D299" s="136" t="str">
        <f>$R$11</f>
        <v>Ремонт</v>
      </c>
      <c r="BK299" s="4"/>
      <c r="BL299" s="4"/>
      <c r="BM299" s="4"/>
      <c r="BN299" s="4"/>
    </row>
    <row r="300" spans="1:66" ht="15" customHeight="1">
      <c r="A300" s="133" t="str">
        <f t="shared" si="29"/>
        <v>FB_IMp_S.XRPX</v>
      </c>
      <c r="B300" s="134">
        <v>11000</v>
      </c>
      <c r="C300" s="134" t="s">
        <v>5</v>
      </c>
      <c r="D300" s="135">
        <v>2147483680</v>
      </c>
      <c r="BK300" s="4"/>
      <c r="BL300" s="4"/>
      <c r="BM300" s="4"/>
      <c r="BN300" s="4"/>
    </row>
    <row r="301" spans="1:66" ht="15" customHeight="1">
      <c r="A301" s="19" t="str">
        <f t="shared" si="29"/>
        <v>FB_IMp_S.XRPX</v>
      </c>
      <c r="B301" s="11">
        <v>7999</v>
      </c>
      <c r="C301" s="11" t="s">
        <v>0</v>
      </c>
      <c r="D301" s="20" t="str">
        <f>"#"&amp;$S$2&amp;"#"&amp;$T$2&amp;"\"&amp;$P$2&amp;"\XRPX"</f>
        <v>#1#treiOPCDA.CoOPCserv.1\pcmaster\KNS_P1\XRPX</v>
      </c>
      <c r="BK301" s="4"/>
      <c r="BL301" s="4"/>
      <c r="BM301" s="4"/>
      <c r="BN301" s="4"/>
    </row>
    <row r="302" spans="1:66" ht="15" customHeight="1">
      <c r="A302" s="19" t="str">
        <f t="shared" si="29"/>
        <v>FB_IMp_S.XRPX</v>
      </c>
      <c r="B302" s="11">
        <v>7998</v>
      </c>
      <c r="C302" s="11" t="s">
        <v>6</v>
      </c>
      <c r="D302" s="20">
        <v>1</v>
      </c>
      <c r="BK302" s="4"/>
      <c r="BL302" s="4"/>
      <c r="BM302" s="4"/>
      <c r="BN302" s="4"/>
    </row>
    <row r="303" spans="1:66" ht="15" customHeight="1">
      <c r="A303" s="19" t="str">
        <f t="shared" si="29"/>
        <v>FB_IMp_S.XRPX</v>
      </c>
      <c r="B303" s="11">
        <v>101</v>
      </c>
      <c r="C303" s="11" t="s">
        <v>0</v>
      </c>
      <c r="D303" s="20" t="s">
        <v>137</v>
      </c>
      <c r="BK303" s="4"/>
      <c r="BL303" s="4"/>
      <c r="BM303" s="4"/>
      <c r="BN303" s="4"/>
    </row>
    <row r="304" spans="1:66" ht="15" customHeight="1">
      <c r="A304" s="19" t="str">
        <f t="shared" si="29"/>
        <v>FB_IMp_S.XRPX</v>
      </c>
      <c r="B304" s="11">
        <v>3</v>
      </c>
      <c r="C304" s="11" t="s">
        <v>1</v>
      </c>
      <c r="D304" s="20">
        <v>192</v>
      </c>
      <c r="BK304" s="4"/>
      <c r="BL304" s="4"/>
      <c r="BM304" s="4"/>
      <c r="BN304" s="4"/>
    </row>
    <row r="305" spans="1:66" ht="15" customHeight="1">
      <c r="A305" s="19" t="str">
        <f t="shared" si="29"/>
        <v>FB_IMp_S.XRPX</v>
      </c>
      <c r="B305" s="11">
        <v>2</v>
      </c>
      <c r="C305" s="11" t="s">
        <v>2</v>
      </c>
      <c r="D305" s="20" t="s">
        <v>3</v>
      </c>
      <c r="BK305" s="4"/>
      <c r="BL305" s="4"/>
      <c r="BM305" s="4"/>
      <c r="BN305" s="4"/>
    </row>
    <row r="306" spans="1:66" ht="15" customHeight="1">
      <c r="A306" s="19" t="str">
        <f t="shared" si="29"/>
        <v>FB_IMp_S.XRPX</v>
      </c>
      <c r="B306" s="11">
        <v>1</v>
      </c>
      <c r="C306" s="11" t="s">
        <v>1</v>
      </c>
      <c r="D306" s="20">
        <v>11</v>
      </c>
      <c r="BK306" s="4"/>
      <c r="BL306" s="4"/>
      <c r="BM306" s="4"/>
      <c r="BN306" s="4"/>
    </row>
    <row r="307" spans="1:66" ht="15" customHeight="1">
      <c r="A307" s="29" t="str">
        <f t="shared" si="29"/>
        <v>FB_IMp_S.XRPX</v>
      </c>
      <c r="B307" s="1">
        <v>4000000</v>
      </c>
      <c r="C307" s="1" t="s">
        <v>0</v>
      </c>
      <c r="D307" s="415" t="s">
        <v>1482</v>
      </c>
      <c r="BK307" s="4"/>
      <c r="BL307" s="4"/>
      <c r="BM307" s="4"/>
      <c r="BN307" s="4"/>
    </row>
    <row r="308" spans="1:66" ht="15" customHeight="1">
      <c r="A308" s="26" t="str">
        <f t="shared" si="29"/>
        <v>FB_IMp_S.XRPX</v>
      </c>
      <c r="B308" s="27">
        <v>7000000</v>
      </c>
      <c r="C308" s="27" t="s">
        <v>6</v>
      </c>
      <c r="D308" s="28">
        <v>2</v>
      </c>
      <c r="BK308" s="4"/>
      <c r="BL308" s="4"/>
      <c r="BM308" s="4"/>
      <c r="BN308" s="4"/>
    </row>
    <row r="309" spans="1:66" ht="15" customHeight="1">
      <c r="A309" s="100" t="str">
        <f t="shared" ref="A309:A318" si="30">$R$2&amp;".XMMX"</f>
        <v>FB_IMp_S.XMMX</v>
      </c>
      <c r="B309" s="101">
        <v>11154</v>
      </c>
      <c r="C309" s="101" t="s">
        <v>4</v>
      </c>
      <c r="D309" s="102">
        <f>$Q$8</f>
        <v>18</v>
      </c>
      <c r="BK309" s="4"/>
      <c r="BL309" s="4"/>
      <c r="BM309" s="4"/>
      <c r="BN309" s="4"/>
    </row>
    <row r="310" spans="1:66" ht="15" customHeight="1">
      <c r="A310" s="100" t="str">
        <f t="shared" si="30"/>
        <v>FB_IMp_S.XMMX</v>
      </c>
      <c r="B310" s="101">
        <v>11150</v>
      </c>
      <c r="C310" s="101" t="s">
        <v>0</v>
      </c>
      <c r="D310" s="103" t="s">
        <v>134</v>
      </c>
      <c r="BK310" s="4"/>
      <c r="BL310" s="4"/>
      <c r="BM310" s="4"/>
      <c r="BN310" s="4"/>
    </row>
    <row r="311" spans="1:66" ht="15" customHeight="1">
      <c r="A311" s="100" t="str">
        <f t="shared" si="30"/>
        <v>FB_IMp_S.XMMX</v>
      </c>
      <c r="B311" s="101">
        <v>11152</v>
      </c>
      <c r="C311" s="101" t="s">
        <v>0</v>
      </c>
      <c r="D311" s="104" t="str">
        <f>$R$8</f>
        <v>Телесигнализация</v>
      </c>
      <c r="BK311" s="4"/>
      <c r="BL311" s="4"/>
      <c r="BM311" s="4"/>
      <c r="BN311" s="4"/>
    </row>
    <row r="312" spans="1:66" ht="15" customHeight="1">
      <c r="A312" s="100" t="str">
        <f t="shared" si="30"/>
        <v>FB_IMp_S.XMMX</v>
      </c>
      <c r="B312" s="101">
        <v>11000</v>
      </c>
      <c r="C312" s="101" t="s">
        <v>5</v>
      </c>
      <c r="D312" s="103">
        <v>2147483680</v>
      </c>
      <c r="BK312" s="4"/>
      <c r="BL312" s="4"/>
      <c r="BM312" s="4"/>
      <c r="BN312" s="4"/>
    </row>
    <row r="313" spans="1:66" ht="15" customHeight="1">
      <c r="A313" s="19" t="str">
        <f t="shared" si="30"/>
        <v>FB_IMp_S.XMMX</v>
      </c>
      <c r="B313" s="11">
        <v>7999</v>
      </c>
      <c r="C313" s="11" t="s">
        <v>0</v>
      </c>
      <c r="D313" s="20" t="str">
        <f>"#"&amp;$S$2&amp;"#"&amp;$T$2&amp;"\"&amp;$P$2&amp;"\XMMX"</f>
        <v>#1#treiOPCDA.CoOPCserv.1\pcmaster\KNS_P1\XMMX</v>
      </c>
      <c r="BK313" s="4"/>
      <c r="BL313" s="4"/>
      <c r="BM313" s="4"/>
      <c r="BN313" s="4"/>
    </row>
    <row r="314" spans="1:66" ht="15" customHeight="1">
      <c r="A314" s="19" t="str">
        <f t="shared" si="30"/>
        <v>FB_IMp_S.XMMX</v>
      </c>
      <c r="B314" s="11">
        <v>7998</v>
      </c>
      <c r="C314" s="11" t="s">
        <v>6</v>
      </c>
      <c r="D314" s="20">
        <v>1</v>
      </c>
      <c r="BK314" s="4"/>
      <c r="BL314" s="4"/>
      <c r="BM314" s="4"/>
      <c r="BN314" s="4"/>
    </row>
    <row r="315" spans="1:66" ht="15" customHeight="1">
      <c r="A315" s="19" t="str">
        <f t="shared" si="30"/>
        <v>FB_IMp_S.XMMX</v>
      </c>
      <c r="B315" s="11">
        <v>101</v>
      </c>
      <c r="C315" s="11" t="s">
        <v>0</v>
      </c>
      <c r="D315" s="20" t="s">
        <v>574</v>
      </c>
      <c r="BK315" s="4"/>
      <c r="BL315" s="4"/>
      <c r="BM315" s="4"/>
      <c r="BN315" s="4"/>
    </row>
    <row r="316" spans="1:66" ht="15" customHeight="1">
      <c r="A316" s="19" t="str">
        <f t="shared" si="30"/>
        <v>FB_IMp_S.XMMX</v>
      </c>
      <c r="B316" s="11">
        <v>3</v>
      </c>
      <c r="C316" s="11" t="s">
        <v>1</v>
      </c>
      <c r="D316" s="20">
        <v>192</v>
      </c>
      <c r="BK316" s="4"/>
      <c r="BL316" s="4"/>
      <c r="BM316" s="4"/>
      <c r="BN316" s="4"/>
    </row>
    <row r="317" spans="1:66" ht="15" customHeight="1">
      <c r="A317" s="19" t="str">
        <f t="shared" si="30"/>
        <v>FB_IMp_S.XMMX</v>
      </c>
      <c r="B317" s="11">
        <v>2</v>
      </c>
      <c r="C317" s="11" t="s">
        <v>2</v>
      </c>
      <c r="D317" s="20" t="s">
        <v>3</v>
      </c>
      <c r="BK317" s="4"/>
      <c r="BL317" s="4"/>
      <c r="BM317" s="4"/>
      <c r="BN317" s="4"/>
    </row>
    <row r="318" spans="1:66" ht="15" customHeight="1">
      <c r="A318" s="21" t="str">
        <f t="shared" si="30"/>
        <v>FB_IMp_S.XMMX</v>
      </c>
      <c r="B318" s="8">
        <v>1</v>
      </c>
      <c r="C318" s="8" t="s">
        <v>1</v>
      </c>
      <c r="D318" s="22">
        <v>11</v>
      </c>
      <c r="BK318" s="4"/>
      <c r="BL318" s="4"/>
      <c r="BM318" s="4"/>
      <c r="BN318" s="4"/>
    </row>
    <row r="319" spans="1:66" ht="15" customHeight="1">
      <c r="A319" s="159" t="str">
        <f t="shared" ref="A319:A328" si="31">$R$2&amp;".XONX"</f>
        <v>FB_IMp_S.XONX</v>
      </c>
      <c r="B319" s="160">
        <v>11154</v>
      </c>
      <c r="C319" s="160" t="s">
        <v>4</v>
      </c>
      <c r="D319" s="161">
        <f>$Q$8</f>
        <v>18</v>
      </c>
      <c r="BK319" s="4"/>
      <c r="BL319" s="4"/>
      <c r="BM319" s="4"/>
      <c r="BN319" s="4"/>
    </row>
    <row r="320" spans="1:66" ht="15" customHeight="1">
      <c r="A320" s="100" t="str">
        <f t="shared" si="31"/>
        <v>FB_IMp_S.XONX</v>
      </c>
      <c r="B320" s="101">
        <v>11150</v>
      </c>
      <c r="C320" s="101" t="s">
        <v>0</v>
      </c>
      <c r="D320" s="103" t="s">
        <v>337</v>
      </c>
      <c r="BK320" s="4"/>
      <c r="BL320" s="4"/>
      <c r="BM320" s="4"/>
      <c r="BN320" s="4"/>
    </row>
    <row r="321" spans="1:66" ht="15" customHeight="1">
      <c r="A321" s="100" t="str">
        <f t="shared" si="31"/>
        <v>FB_IMp_S.XONX</v>
      </c>
      <c r="B321" s="101">
        <v>11152</v>
      </c>
      <c r="C321" s="101" t="s">
        <v>0</v>
      </c>
      <c r="D321" s="104" t="str">
        <f>$R$8</f>
        <v>Телесигнализация</v>
      </c>
      <c r="BK321" s="4"/>
      <c r="BL321" s="4"/>
      <c r="BM321" s="4"/>
      <c r="BN321" s="4"/>
    </row>
    <row r="322" spans="1:66" ht="15" customHeight="1">
      <c r="A322" s="100" t="str">
        <f t="shared" si="31"/>
        <v>FB_IMp_S.XONX</v>
      </c>
      <c r="B322" s="101">
        <v>11000</v>
      </c>
      <c r="C322" s="101" t="s">
        <v>5</v>
      </c>
      <c r="D322" s="103">
        <v>2147483680</v>
      </c>
      <c r="BK322" s="4"/>
      <c r="BL322" s="4"/>
      <c r="BM322" s="4"/>
      <c r="BN322" s="4"/>
    </row>
    <row r="323" spans="1:66" ht="15" customHeight="1">
      <c r="A323" s="19" t="str">
        <f t="shared" si="31"/>
        <v>FB_IMp_S.XONX</v>
      </c>
      <c r="B323" s="11">
        <v>7999</v>
      </c>
      <c r="C323" s="11" t="s">
        <v>0</v>
      </c>
      <c r="D323" s="20" t="str">
        <f>"#"&amp;$S$2&amp;"#"&amp;$T$2&amp;"\"&amp;$P$2&amp;"\XONX"</f>
        <v>#1#treiOPCDA.CoOPCserv.1\pcmaster\KNS_P1\XONX</v>
      </c>
      <c r="BK323" s="4"/>
      <c r="BL323" s="4"/>
      <c r="BM323" s="4"/>
      <c r="BN323" s="4"/>
    </row>
    <row r="324" spans="1:66" ht="15" customHeight="1">
      <c r="A324" s="19" t="str">
        <f t="shared" si="31"/>
        <v>FB_IMp_S.XONX</v>
      </c>
      <c r="B324" s="11">
        <v>7998</v>
      </c>
      <c r="C324" s="11" t="s">
        <v>6</v>
      </c>
      <c r="D324" s="20">
        <v>1</v>
      </c>
      <c r="BK324" s="4"/>
      <c r="BL324" s="4"/>
      <c r="BM324" s="4"/>
      <c r="BN324" s="4"/>
    </row>
    <row r="325" spans="1:66" ht="15" customHeight="1">
      <c r="A325" s="19" t="str">
        <f t="shared" si="31"/>
        <v>FB_IMp_S.XONX</v>
      </c>
      <c r="B325" s="11">
        <v>101</v>
      </c>
      <c r="C325" s="11" t="s">
        <v>0</v>
      </c>
      <c r="D325" s="20" t="str">
        <f>"Выходное значение Включен"</f>
        <v>Выходное значение Включен</v>
      </c>
      <c r="BK325" s="4"/>
      <c r="BL325" s="4"/>
      <c r="BM325" s="4"/>
      <c r="BN325" s="4"/>
    </row>
    <row r="326" spans="1:66" ht="15" customHeight="1">
      <c r="A326" s="19" t="str">
        <f t="shared" si="31"/>
        <v>FB_IMp_S.XONX</v>
      </c>
      <c r="B326" s="11">
        <v>3</v>
      </c>
      <c r="C326" s="11" t="s">
        <v>1</v>
      </c>
      <c r="D326" s="20">
        <v>192</v>
      </c>
      <c r="BK326" s="4"/>
      <c r="BL326" s="4"/>
      <c r="BM326" s="4"/>
      <c r="BN326" s="4"/>
    </row>
    <row r="327" spans="1:66" ht="15" customHeight="1">
      <c r="A327" s="19" t="str">
        <f t="shared" si="31"/>
        <v>FB_IMp_S.XONX</v>
      </c>
      <c r="B327" s="11">
        <v>2</v>
      </c>
      <c r="C327" s="11" t="s">
        <v>2</v>
      </c>
      <c r="D327" s="20" t="s">
        <v>3</v>
      </c>
      <c r="BK327" s="4"/>
      <c r="BL327" s="4"/>
      <c r="BM327" s="4"/>
      <c r="BN327" s="4"/>
    </row>
    <row r="328" spans="1:66" ht="15" customHeight="1">
      <c r="A328" s="21" t="str">
        <f t="shared" si="31"/>
        <v>FB_IMp_S.XONX</v>
      </c>
      <c r="B328" s="8">
        <v>1</v>
      </c>
      <c r="C328" s="8" t="s">
        <v>1</v>
      </c>
      <c r="D328" s="22">
        <v>11</v>
      </c>
      <c r="BK328" s="4"/>
      <c r="BL328" s="4"/>
      <c r="BM328" s="4"/>
      <c r="BN328" s="4"/>
    </row>
    <row r="329" spans="1:66" ht="15" customHeight="1">
      <c r="A329" s="159" t="str">
        <f t="shared" ref="A329:A338" si="32">$R$2&amp;".XOFX"</f>
        <v>FB_IMp_S.XOFX</v>
      </c>
      <c r="B329" s="160">
        <v>11154</v>
      </c>
      <c r="C329" s="160" t="s">
        <v>4</v>
      </c>
      <c r="D329" s="161">
        <f>$Q$8</f>
        <v>18</v>
      </c>
      <c r="BK329" s="4"/>
      <c r="BL329" s="4"/>
      <c r="BM329" s="4"/>
      <c r="BN329" s="4"/>
    </row>
    <row r="330" spans="1:66" ht="15" customHeight="1">
      <c r="A330" s="100" t="str">
        <f t="shared" si="32"/>
        <v>FB_IMp_S.XOFX</v>
      </c>
      <c r="B330" s="101">
        <v>11150</v>
      </c>
      <c r="C330" s="101" t="s">
        <v>0</v>
      </c>
      <c r="D330" s="103" t="s">
        <v>336</v>
      </c>
      <c r="BK330" s="4"/>
      <c r="BL330" s="4"/>
      <c r="BM330" s="4"/>
      <c r="BN330" s="4"/>
    </row>
    <row r="331" spans="1:66" ht="15" customHeight="1">
      <c r="A331" s="100" t="str">
        <f t="shared" si="32"/>
        <v>FB_IMp_S.XOFX</v>
      </c>
      <c r="B331" s="101">
        <v>11152</v>
      </c>
      <c r="C331" s="101" t="s">
        <v>0</v>
      </c>
      <c r="D331" s="104" t="str">
        <f>$R$8</f>
        <v>Телесигнализация</v>
      </c>
      <c r="BK331" s="4"/>
      <c r="BL331" s="4"/>
      <c r="BM331" s="4"/>
      <c r="BN331" s="4"/>
    </row>
    <row r="332" spans="1:66" ht="15" customHeight="1">
      <c r="A332" s="100" t="str">
        <f t="shared" si="32"/>
        <v>FB_IMp_S.XOFX</v>
      </c>
      <c r="B332" s="101">
        <v>11000</v>
      </c>
      <c r="C332" s="101" t="s">
        <v>5</v>
      </c>
      <c r="D332" s="103">
        <v>2147483680</v>
      </c>
      <c r="BK332" s="4"/>
      <c r="BL332" s="4"/>
      <c r="BM332" s="4"/>
      <c r="BN332" s="4"/>
    </row>
    <row r="333" spans="1:66" ht="15" customHeight="1">
      <c r="A333" s="19" t="str">
        <f t="shared" si="32"/>
        <v>FB_IMp_S.XOFX</v>
      </c>
      <c r="B333" s="11">
        <v>7999</v>
      </c>
      <c r="C333" s="11" t="s">
        <v>0</v>
      </c>
      <c r="D333" s="20" t="str">
        <f>"#"&amp;$S$2&amp;"#"&amp;$T$2&amp;"\"&amp;$P$2&amp;"\XOFX"</f>
        <v>#1#treiOPCDA.CoOPCserv.1\pcmaster\KNS_P1\XOFX</v>
      </c>
      <c r="BK333" s="4"/>
      <c r="BL333" s="4"/>
      <c r="BM333" s="4"/>
      <c r="BN333" s="4"/>
    </row>
    <row r="334" spans="1:66" ht="15" customHeight="1">
      <c r="A334" s="19" t="str">
        <f t="shared" si="32"/>
        <v>FB_IMp_S.XOFX</v>
      </c>
      <c r="B334" s="11">
        <v>7998</v>
      </c>
      <c r="C334" s="11" t="s">
        <v>6</v>
      </c>
      <c r="D334" s="20">
        <v>1</v>
      </c>
      <c r="BK334" s="4"/>
      <c r="BL334" s="4"/>
      <c r="BM334" s="4"/>
      <c r="BN334" s="4"/>
    </row>
    <row r="335" spans="1:66" ht="15" customHeight="1">
      <c r="A335" s="19" t="str">
        <f t="shared" si="32"/>
        <v>FB_IMp_S.XOFX</v>
      </c>
      <c r="B335" s="11">
        <v>101</v>
      </c>
      <c r="C335" s="11" t="s">
        <v>0</v>
      </c>
      <c r="D335" s="20" t="str">
        <f>"Выходное значение Отключен"</f>
        <v>Выходное значение Отключен</v>
      </c>
      <c r="BK335" s="4"/>
      <c r="BL335" s="4"/>
      <c r="BM335" s="4"/>
      <c r="BN335" s="4"/>
    </row>
    <row r="336" spans="1:66" ht="15" customHeight="1">
      <c r="A336" s="19" t="str">
        <f t="shared" si="32"/>
        <v>FB_IMp_S.XOFX</v>
      </c>
      <c r="B336" s="11">
        <v>3</v>
      </c>
      <c r="C336" s="11" t="s">
        <v>1</v>
      </c>
      <c r="D336" s="20">
        <v>192</v>
      </c>
      <c r="BK336" s="4"/>
      <c r="BL336" s="4"/>
      <c r="BM336" s="4"/>
      <c r="BN336" s="4"/>
    </row>
    <row r="337" spans="1:66" ht="15" customHeight="1">
      <c r="A337" s="19" t="str">
        <f t="shared" si="32"/>
        <v>FB_IMp_S.XOFX</v>
      </c>
      <c r="B337" s="11">
        <v>2</v>
      </c>
      <c r="C337" s="11" t="s">
        <v>2</v>
      </c>
      <c r="D337" s="20" t="s">
        <v>3</v>
      </c>
      <c r="BK337" s="4"/>
      <c r="BL337" s="4"/>
      <c r="BM337" s="4"/>
      <c r="BN337" s="4"/>
    </row>
    <row r="338" spans="1:66" ht="15" customHeight="1">
      <c r="A338" s="21" t="str">
        <f t="shared" si="32"/>
        <v>FB_IMp_S.XOFX</v>
      </c>
      <c r="B338" s="8">
        <v>1</v>
      </c>
      <c r="C338" s="8" t="s">
        <v>1</v>
      </c>
      <c r="D338" s="22">
        <v>11</v>
      </c>
      <c r="BK338" s="4"/>
      <c r="BL338" s="4"/>
      <c r="BM338" s="4"/>
      <c r="BN338" s="4"/>
    </row>
    <row r="339" spans="1:66" ht="15" customHeight="1">
      <c r="A339" s="159" t="str">
        <f t="shared" ref="A339:A348" si="33">$R$2&amp;".XRCX"</f>
        <v>FB_IMp_S.XRCX</v>
      </c>
      <c r="B339" s="160">
        <v>11154</v>
      </c>
      <c r="C339" s="160" t="s">
        <v>4</v>
      </c>
      <c r="D339" s="161">
        <f>$Q$8</f>
        <v>18</v>
      </c>
      <c r="BK339" s="4"/>
      <c r="BL339" s="4"/>
      <c r="BM339" s="4"/>
      <c r="BN339" s="4"/>
    </row>
    <row r="340" spans="1:66" ht="15" customHeight="1">
      <c r="A340" s="100" t="str">
        <f t="shared" si="33"/>
        <v>FB_IMp_S.XRCX</v>
      </c>
      <c r="B340" s="101">
        <v>11150</v>
      </c>
      <c r="C340" s="101" t="s">
        <v>0</v>
      </c>
      <c r="D340" s="103" t="s">
        <v>136</v>
      </c>
      <c r="BK340" s="4"/>
      <c r="BL340" s="4"/>
      <c r="BM340" s="4"/>
      <c r="BN340" s="4"/>
    </row>
    <row r="341" spans="1:66" ht="15" customHeight="1">
      <c r="A341" s="100" t="str">
        <f t="shared" si="33"/>
        <v>FB_IMp_S.XRCX</v>
      </c>
      <c r="B341" s="101">
        <v>11152</v>
      </c>
      <c r="C341" s="101" t="s">
        <v>0</v>
      </c>
      <c r="D341" s="104" t="str">
        <f>$R$8</f>
        <v>Телесигнализация</v>
      </c>
      <c r="BK341" s="4"/>
      <c r="BL341" s="4"/>
      <c r="BM341" s="4"/>
      <c r="BN341" s="4"/>
    </row>
    <row r="342" spans="1:66" ht="15" customHeight="1">
      <c r="A342" s="100" t="str">
        <f t="shared" si="33"/>
        <v>FB_IMp_S.XRCX</v>
      </c>
      <c r="B342" s="101">
        <v>11000</v>
      </c>
      <c r="C342" s="101" t="s">
        <v>5</v>
      </c>
      <c r="D342" s="103">
        <v>2147483680</v>
      </c>
      <c r="BK342" s="4"/>
      <c r="BL342" s="4"/>
      <c r="BM342" s="4"/>
      <c r="BN342" s="4"/>
    </row>
    <row r="343" spans="1:66" ht="15" customHeight="1">
      <c r="A343" s="19" t="str">
        <f t="shared" si="33"/>
        <v>FB_IMp_S.XRCX</v>
      </c>
      <c r="B343" s="11">
        <v>7999</v>
      </c>
      <c r="C343" s="11" t="s">
        <v>0</v>
      </c>
      <c r="D343" s="20" t="str">
        <f>"#"&amp;$S$2&amp;"#"&amp;$T$2&amp;"\"&amp;$P$2&amp;"\XRCX"</f>
        <v>#1#treiOPCDA.CoOPCserv.1\pcmaster\KNS_P1\XRCX</v>
      </c>
      <c r="BK343" s="4"/>
      <c r="BL343" s="4"/>
      <c r="BM343" s="4"/>
      <c r="BN343" s="4"/>
    </row>
    <row r="344" spans="1:66" ht="15" customHeight="1">
      <c r="A344" s="19" t="str">
        <f t="shared" si="33"/>
        <v>FB_IMp_S.XRCX</v>
      </c>
      <c r="B344" s="11">
        <v>7998</v>
      </c>
      <c r="C344" s="11" t="s">
        <v>6</v>
      </c>
      <c r="D344" s="20">
        <v>1</v>
      </c>
      <c r="BK344" s="4"/>
      <c r="BL344" s="4"/>
      <c r="BM344" s="4"/>
      <c r="BN344" s="4"/>
    </row>
    <row r="345" spans="1:66" ht="15" customHeight="1">
      <c r="A345" s="19" t="str">
        <f t="shared" si="33"/>
        <v>FB_IMp_S.XRCX</v>
      </c>
      <c r="B345" s="11">
        <v>101</v>
      </c>
      <c r="C345" s="11" t="s">
        <v>0</v>
      </c>
      <c r="D345" s="20" t="s">
        <v>575</v>
      </c>
      <c r="BK345" s="4"/>
      <c r="BL345" s="4"/>
      <c r="BM345" s="4"/>
      <c r="BN345" s="4"/>
    </row>
    <row r="346" spans="1:66" ht="15" customHeight="1">
      <c r="A346" s="19" t="str">
        <f t="shared" si="33"/>
        <v>FB_IMp_S.XRCX</v>
      </c>
      <c r="B346" s="11">
        <v>3</v>
      </c>
      <c r="C346" s="11" t="s">
        <v>1</v>
      </c>
      <c r="D346" s="20">
        <v>192</v>
      </c>
      <c r="BK346" s="4"/>
      <c r="BL346" s="4"/>
      <c r="BM346" s="4"/>
      <c r="BN346" s="4"/>
    </row>
    <row r="347" spans="1:66" ht="15" customHeight="1">
      <c r="A347" s="19" t="str">
        <f t="shared" si="33"/>
        <v>FB_IMp_S.XRCX</v>
      </c>
      <c r="B347" s="11">
        <v>2</v>
      </c>
      <c r="C347" s="11" t="s">
        <v>2</v>
      </c>
      <c r="D347" s="20" t="s">
        <v>3</v>
      </c>
      <c r="BK347" s="4"/>
      <c r="BL347" s="4"/>
      <c r="BM347" s="4"/>
      <c r="BN347" s="4"/>
    </row>
    <row r="348" spans="1:66" ht="15" customHeight="1">
      <c r="A348" s="21" t="str">
        <f t="shared" si="33"/>
        <v>FB_IMp_S.XRCX</v>
      </c>
      <c r="B348" s="8">
        <v>1</v>
      </c>
      <c r="C348" s="8" t="s">
        <v>1</v>
      </c>
      <c r="D348" s="22">
        <v>11</v>
      </c>
      <c r="BK348" s="4"/>
      <c r="BL348" s="4"/>
      <c r="BM348" s="4"/>
      <c r="BN348" s="4"/>
    </row>
    <row r="349" spans="1:66" ht="15" customHeight="1">
      <c r="A349" s="159" t="str">
        <f t="shared" ref="A349:A358" si="34">$R$2&amp;".OXSP"</f>
        <v>FB_IMp_S.OXSP</v>
      </c>
      <c r="B349" s="160">
        <v>11154</v>
      </c>
      <c r="C349" s="160" t="s">
        <v>4</v>
      </c>
      <c r="D349" s="161">
        <f>$Q$8</f>
        <v>18</v>
      </c>
      <c r="BK349" s="4"/>
      <c r="BL349" s="4"/>
      <c r="BM349" s="4"/>
      <c r="BN349" s="4"/>
    </row>
    <row r="350" spans="1:66" ht="15" customHeight="1">
      <c r="A350" s="100" t="str">
        <f t="shared" si="34"/>
        <v>FB_IMp_S.OXSP</v>
      </c>
      <c r="B350" s="101">
        <v>11150</v>
      </c>
      <c r="C350" s="101" t="s">
        <v>0</v>
      </c>
      <c r="D350" s="103" t="s">
        <v>190</v>
      </c>
      <c r="BK350" s="4"/>
      <c r="BL350" s="4"/>
      <c r="BM350" s="4"/>
      <c r="BN350" s="4"/>
    </row>
    <row r="351" spans="1:66" ht="15" customHeight="1">
      <c r="A351" s="100" t="str">
        <f t="shared" si="34"/>
        <v>FB_IMp_S.OXSP</v>
      </c>
      <c r="B351" s="101">
        <v>11152</v>
      </c>
      <c r="C351" s="101" t="s">
        <v>0</v>
      </c>
      <c r="D351" s="104" t="str">
        <f>$R$8</f>
        <v>Телесигнализация</v>
      </c>
      <c r="BK351" s="4"/>
      <c r="BL351" s="4"/>
      <c r="BM351" s="4"/>
      <c r="BN351" s="4"/>
    </row>
    <row r="352" spans="1:66" ht="15" customHeight="1">
      <c r="A352" s="100" t="str">
        <f t="shared" si="34"/>
        <v>FB_IMp_S.OXSP</v>
      </c>
      <c r="B352" s="101">
        <v>11000</v>
      </c>
      <c r="C352" s="101" t="s">
        <v>5</v>
      </c>
      <c r="D352" s="103">
        <v>2147483680</v>
      </c>
      <c r="BK352" s="4"/>
      <c r="BL352" s="4"/>
      <c r="BM352" s="4"/>
      <c r="BN352" s="4"/>
    </row>
    <row r="353" spans="1:66" ht="15" customHeight="1">
      <c r="A353" s="19" t="str">
        <f t="shared" si="34"/>
        <v>FB_IMp_S.OXSP</v>
      </c>
      <c r="B353" s="11">
        <v>7999</v>
      </c>
      <c r="C353" s="11" t="s">
        <v>0</v>
      </c>
      <c r="D353" s="20" t="str">
        <f>"#"&amp;$S$2&amp;"#"&amp;$T$2&amp;"\"&amp;$P$2&amp;"\OXSP"</f>
        <v>#1#treiOPCDA.CoOPCserv.1\pcmaster\KNS_P1\OXSP</v>
      </c>
      <c r="BK353" s="4"/>
      <c r="BL353" s="4"/>
      <c r="BM353" s="4"/>
      <c r="BN353" s="4"/>
    </row>
    <row r="354" spans="1:66" ht="15" customHeight="1">
      <c r="A354" s="19" t="str">
        <f t="shared" si="34"/>
        <v>FB_IMp_S.OXSP</v>
      </c>
      <c r="B354" s="11">
        <v>7998</v>
      </c>
      <c r="C354" s="11" t="s">
        <v>6</v>
      </c>
      <c r="D354" s="20">
        <v>1</v>
      </c>
      <c r="BK354" s="4"/>
      <c r="BL354" s="4"/>
      <c r="BM354" s="4"/>
      <c r="BN354" s="4"/>
    </row>
    <row r="355" spans="1:66" ht="15" customHeight="1">
      <c r="A355" s="19" t="str">
        <f t="shared" si="34"/>
        <v>FB_IMp_S.OXSP</v>
      </c>
      <c r="B355" s="11">
        <v>101</v>
      </c>
      <c r="C355" s="11" t="s">
        <v>0</v>
      </c>
      <c r="D355" s="20" t="s">
        <v>133</v>
      </c>
      <c r="BK355" s="4"/>
      <c r="BL355" s="4"/>
      <c r="BM355" s="4"/>
      <c r="BN355" s="4"/>
    </row>
    <row r="356" spans="1:66" ht="15" customHeight="1">
      <c r="A356" s="19" t="str">
        <f t="shared" si="34"/>
        <v>FB_IMp_S.OXSP</v>
      </c>
      <c r="B356" s="11">
        <v>3</v>
      </c>
      <c r="C356" s="11" t="s">
        <v>1</v>
      </c>
      <c r="D356" s="20">
        <v>192</v>
      </c>
      <c r="BK356" s="4"/>
      <c r="BL356" s="4"/>
      <c r="BM356" s="4"/>
      <c r="BN356" s="4"/>
    </row>
    <row r="357" spans="1:66" ht="15" customHeight="1">
      <c r="A357" s="19" t="str">
        <f t="shared" si="34"/>
        <v>FB_IMp_S.OXSP</v>
      </c>
      <c r="B357" s="11">
        <v>2</v>
      </c>
      <c r="C357" s="11" t="s">
        <v>2</v>
      </c>
      <c r="D357" s="20" t="s">
        <v>3</v>
      </c>
      <c r="BK357" s="4"/>
      <c r="BL357" s="4"/>
      <c r="BM357" s="4"/>
      <c r="BN357" s="4"/>
    </row>
    <row r="358" spans="1:66" ht="15" customHeight="1">
      <c r="A358" s="21" t="str">
        <f t="shared" si="34"/>
        <v>FB_IMp_S.OXSP</v>
      </c>
      <c r="B358" s="8">
        <v>1</v>
      </c>
      <c r="C358" s="8" t="s">
        <v>1</v>
      </c>
      <c r="D358" s="22">
        <v>11</v>
      </c>
      <c r="BK358" s="4"/>
      <c r="BL358" s="4"/>
      <c r="BM358" s="4"/>
      <c r="BN358" s="4"/>
    </row>
    <row r="359" spans="1:66">
      <c r="A359" s="100" t="str">
        <f>$R$2&amp;".CAON"</f>
        <v>FB_IMp_S.CAON</v>
      </c>
      <c r="B359" s="101">
        <v>11154</v>
      </c>
      <c r="C359" s="101" t="s">
        <v>4</v>
      </c>
      <c r="D359" s="102">
        <v>18</v>
      </c>
    </row>
    <row r="360" spans="1:66">
      <c r="A360" s="100" t="str">
        <f t="shared" ref="A360:A368" si="35">$R$2&amp;".CAON"</f>
        <v>FB_IMp_S.CAON</v>
      </c>
      <c r="B360" s="101">
        <v>11150</v>
      </c>
      <c r="C360" s="101" t="s">
        <v>0</v>
      </c>
      <c r="D360" s="103" t="s">
        <v>1839</v>
      </c>
    </row>
    <row r="361" spans="1:66">
      <c r="A361" s="100" t="str">
        <f t="shared" si="35"/>
        <v>FB_IMp_S.CAON</v>
      </c>
      <c r="B361" s="101">
        <v>11152</v>
      </c>
      <c r="C361" s="101" t="s">
        <v>0</v>
      </c>
      <c r="D361" s="104" t="s">
        <v>231</v>
      </c>
    </row>
    <row r="362" spans="1:66">
      <c r="A362" s="100" t="str">
        <f t="shared" si="35"/>
        <v>FB_IMp_S.CAON</v>
      </c>
      <c r="B362" s="101">
        <v>11000</v>
      </c>
      <c r="C362" s="101" t="s">
        <v>5</v>
      </c>
      <c r="D362" s="103">
        <v>2147483680</v>
      </c>
    </row>
    <row r="363" spans="1:66">
      <c r="A363" s="19" t="str">
        <f t="shared" si="35"/>
        <v>FB_IMp_S.CAON</v>
      </c>
      <c r="B363" s="11">
        <v>7999</v>
      </c>
      <c r="C363" s="11" t="s">
        <v>0</v>
      </c>
      <c r="D363" s="20" t="str">
        <f>"#"&amp;$S$2&amp;"#"&amp;$T$2&amp;"\"&amp;$P$2&amp;"\CAON"</f>
        <v>#1#treiOPCDA.CoOPCserv.1\pcmaster\KNS_P1\CAON</v>
      </c>
    </row>
    <row r="364" spans="1:66">
      <c r="A364" s="19" t="str">
        <f t="shared" si="35"/>
        <v>FB_IMp_S.CAON</v>
      </c>
      <c r="B364" s="11">
        <v>7998</v>
      </c>
      <c r="C364" s="11" t="s">
        <v>6</v>
      </c>
      <c r="D364" s="20">
        <v>1</v>
      </c>
    </row>
    <row r="365" spans="1:66">
      <c r="A365" s="19" t="str">
        <f t="shared" si="35"/>
        <v>FB_IMp_S.CAON</v>
      </c>
      <c r="B365" s="11">
        <v>101</v>
      </c>
      <c r="C365" s="11" t="s">
        <v>0</v>
      </c>
      <c r="D365" s="20" t="s">
        <v>1839</v>
      </c>
    </row>
    <row r="366" spans="1:66">
      <c r="A366" s="19" t="str">
        <f t="shared" si="35"/>
        <v>FB_IMp_S.CAON</v>
      </c>
      <c r="B366" s="11">
        <v>3</v>
      </c>
      <c r="C366" s="11" t="s">
        <v>1</v>
      </c>
      <c r="D366" s="20">
        <v>192</v>
      </c>
    </row>
    <row r="367" spans="1:66">
      <c r="A367" s="19" t="str">
        <f t="shared" si="35"/>
        <v>FB_IMp_S.CAON</v>
      </c>
      <c r="B367" s="11">
        <v>2</v>
      </c>
      <c r="C367" s="11" t="s">
        <v>2</v>
      </c>
      <c r="D367" s="20" t="s">
        <v>3</v>
      </c>
    </row>
    <row r="368" spans="1:66">
      <c r="A368" s="21" t="str">
        <f t="shared" si="35"/>
        <v>FB_IMp_S.CAON</v>
      </c>
      <c r="B368" s="8">
        <v>1</v>
      </c>
      <c r="C368" s="8" t="s">
        <v>1</v>
      </c>
      <c r="D368" s="22">
        <v>11</v>
      </c>
    </row>
    <row r="369" spans="1:66">
      <c r="A369" s="100" t="str">
        <f>$R$2&amp;".CAOF"</f>
        <v>FB_IMp_S.CAOF</v>
      </c>
      <c r="B369" s="101">
        <v>11154</v>
      </c>
      <c r="C369" s="101" t="s">
        <v>4</v>
      </c>
      <c r="D369" s="102">
        <v>18</v>
      </c>
    </row>
    <row r="370" spans="1:66">
      <c r="A370" s="100" t="str">
        <f t="shared" ref="A370:A378" si="36">$R$2&amp;".CAOF"</f>
        <v>FB_IMp_S.CAOF</v>
      </c>
      <c r="B370" s="101">
        <v>11150</v>
      </c>
      <c r="C370" s="101" t="s">
        <v>0</v>
      </c>
      <c r="D370" s="103" t="s">
        <v>1840</v>
      </c>
    </row>
    <row r="371" spans="1:66">
      <c r="A371" s="100" t="str">
        <f t="shared" si="36"/>
        <v>FB_IMp_S.CAOF</v>
      </c>
      <c r="B371" s="101">
        <v>11152</v>
      </c>
      <c r="C371" s="101" t="s">
        <v>0</v>
      </c>
      <c r="D371" s="104" t="s">
        <v>231</v>
      </c>
    </row>
    <row r="372" spans="1:66">
      <c r="A372" s="100" t="str">
        <f t="shared" si="36"/>
        <v>FB_IMp_S.CAOF</v>
      </c>
      <c r="B372" s="101">
        <v>11000</v>
      </c>
      <c r="C372" s="101" t="s">
        <v>5</v>
      </c>
      <c r="D372" s="103">
        <v>2147483680</v>
      </c>
    </row>
    <row r="373" spans="1:66">
      <c r="A373" s="19" t="str">
        <f t="shared" si="36"/>
        <v>FB_IMp_S.CAOF</v>
      </c>
      <c r="B373" s="11">
        <v>7999</v>
      </c>
      <c r="C373" s="11" t="s">
        <v>0</v>
      </c>
      <c r="D373" s="20" t="str">
        <f>"#"&amp;$S$2&amp;"#"&amp;$T$2&amp;"\"&amp;$P$2&amp;"\CAOF"</f>
        <v>#1#treiOPCDA.CoOPCserv.1\pcmaster\KNS_P1\CAOF</v>
      </c>
    </row>
    <row r="374" spans="1:66">
      <c r="A374" s="19" t="str">
        <f t="shared" si="36"/>
        <v>FB_IMp_S.CAOF</v>
      </c>
      <c r="B374" s="11">
        <v>7998</v>
      </c>
      <c r="C374" s="11" t="s">
        <v>6</v>
      </c>
      <c r="D374" s="20">
        <v>1</v>
      </c>
    </row>
    <row r="375" spans="1:66">
      <c r="A375" s="19" t="str">
        <f t="shared" si="36"/>
        <v>FB_IMp_S.CAOF</v>
      </c>
      <c r="B375" s="11">
        <v>101</v>
      </c>
      <c r="C375" s="11" t="s">
        <v>0</v>
      </c>
      <c r="D375" s="20" t="s">
        <v>1840</v>
      </c>
    </row>
    <row r="376" spans="1:66">
      <c r="A376" s="19" t="str">
        <f t="shared" si="36"/>
        <v>FB_IMp_S.CAOF</v>
      </c>
      <c r="B376" s="11">
        <v>3</v>
      </c>
      <c r="C376" s="11" t="s">
        <v>1</v>
      </c>
      <c r="D376" s="20">
        <v>192</v>
      </c>
    </row>
    <row r="377" spans="1:66">
      <c r="A377" s="19" t="str">
        <f t="shared" si="36"/>
        <v>FB_IMp_S.CAOF</v>
      </c>
      <c r="B377" s="11">
        <v>2</v>
      </c>
      <c r="C377" s="11" t="s">
        <v>2</v>
      </c>
      <c r="D377" s="20" t="s">
        <v>3</v>
      </c>
    </row>
    <row r="378" spans="1:66">
      <c r="A378" s="21" t="str">
        <f t="shared" si="36"/>
        <v>FB_IMp_S.CAOF</v>
      </c>
      <c r="B378" s="8">
        <v>1</v>
      </c>
      <c r="C378" s="8" t="s">
        <v>1</v>
      </c>
      <c r="D378" s="22">
        <v>11</v>
      </c>
    </row>
    <row r="379" spans="1:66" ht="15" customHeight="1">
      <c r="A379" s="19" t="str">
        <f t="shared" ref="A379:A384" si="37">$R$2&amp;".IONX"</f>
        <v>FB_IMp_S.IONX</v>
      </c>
      <c r="B379" s="11">
        <v>7999</v>
      </c>
      <c r="C379" s="11" t="s">
        <v>0</v>
      </c>
      <c r="D379" s="20" t="str">
        <f>"#"&amp;$S$2&amp;"#"&amp;$T$2&amp;"\"&amp;$P$2&amp;"\IONX"</f>
        <v>#1#treiOPCDA.CoOPCserv.1\pcmaster\KNS_P1\IONX</v>
      </c>
      <c r="BK379" s="4"/>
      <c r="BL379" s="4"/>
      <c r="BM379" s="4"/>
      <c r="BN379" s="4"/>
    </row>
    <row r="380" spans="1:66" ht="15" customHeight="1">
      <c r="A380" s="19" t="str">
        <f t="shared" si="37"/>
        <v>FB_IMp_S.IONX</v>
      </c>
      <c r="B380" s="11">
        <v>7998</v>
      </c>
      <c r="C380" s="11" t="s">
        <v>6</v>
      </c>
      <c r="D380" s="20">
        <v>1</v>
      </c>
      <c r="BK380" s="4"/>
      <c r="BL380" s="4"/>
      <c r="BM380" s="4"/>
      <c r="BN380" s="4"/>
    </row>
    <row r="381" spans="1:66" ht="15" customHeight="1">
      <c r="A381" s="19" t="str">
        <f t="shared" si="37"/>
        <v>FB_IMp_S.IONX</v>
      </c>
      <c r="B381" s="11">
        <v>101</v>
      </c>
      <c r="C381" s="11" t="s">
        <v>0</v>
      </c>
      <c r="D381" s="20" t="str">
        <f>"Входное значение  Включен" &amp;" (физ сигнал)"</f>
        <v>Входное значение  Включен (физ сигнал)</v>
      </c>
      <c r="BK381" s="4"/>
      <c r="BL381" s="4"/>
      <c r="BM381" s="4"/>
      <c r="BN381" s="4"/>
    </row>
    <row r="382" spans="1:66" ht="15" customHeight="1">
      <c r="A382" s="19" t="str">
        <f t="shared" si="37"/>
        <v>FB_IMp_S.IONX</v>
      </c>
      <c r="B382" s="11">
        <v>3</v>
      </c>
      <c r="C382" s="11" t="s">
        <v>1</v>
      </c>
      <c r="D382" s="20">
        <v>192</v>
      </c>
      <c r="BK382" s="4"/>
      <c r="BL382" s="4"/>
      <c r="BM382" s="4"/>
      <c r="BN382" s="4"/>
    </row>
    <row r="383" spans="1:66" ht="15" customHeight="1">
      <c r="A383" s="19" t="str">
        <f t="shared" si="37"/>
        <v>FB_IMp_S.IONX</v>
      </c>
      <c r="B383" s="11">
        <v>2</v>
      </c>
      <c r="C383" s="11" t="s">
        <v>2</v>
      </c>
      <c r="D383" s="20" t="s">
        <v>3</v>
      </c>
      <c r="BK383" s="4"/>
      <c r="BL383" s="4"/>
      <c r="BM383" s="4"/>
      <c r="BN383" s="4"/>
    </row>
    <row r="384" spans="1:66" ht="15" customHeight="1">
      <c r="A384" s="21" t="str">
        <f t="shared" si="37"/>
        <v>FB_IMp_S.IONX</v>
      </c>
      <c r="B384" s="8">
        <v>1</v>
      </c>
      <c r="C384" s="8" t="s">
        <v>1</v>
      </c>
      <c r="D384" s="22">
        <v>11</v>
      </c>
      <c r="BK384" s="4"/>
      <c r="BL384" s="4"/>
      <c r="BM384" s="4"/>
      <c r="BN384" s="4"/>
    </row>
    <row r="385" spans="1:66" ht="15" customHeight="1">
      <c r="A385" s="19" t="str">
        <f t="shared" ref="A385:A390" si="38">$R$2&amp;".IOFX"</f>
        <v>FB_IMp_S.IOFX</v>
      </c>
      <c r="B385" s="11">
        <v>7999</v>
      </c>
      <c r="C385" s="11" t="s">
        <v>0</v>
      </c>
      <c r="D385" s="20" t="str">
        <f>"#"&amp;$S$2&amp;"#"&amp;$T$2&amp;"\"&amp;$P$2&amp;"\IOFX"</f>
        <v>#1#treiOPCDA.CoOPCserv.1\pcmaster\KNS_P1\IOFX</v>
      </c>
      <c r="BK385" s="4"/>
      <c r="BL385" s="4"/>
      <c r="BM385" s="4"/>
      <c r="BN385" s="4"/>
    </row>
    <row r="386" spans="1:66" ht="15" customHeight="1">
      <c r="A386" s="19" t="str">
        <f t="shared" si="38"/>
        <v>FB_IMp_S.IOFX</v>
      </c>
      <c r="B386" s="11">
        <v>7998</v>
      </c>
      <c r="C386" s="11" t="s">
        <v>6</v>
      </c>
      <c r="D386" s="20">
        <v>1</v>
      </c>
      <c r="BK386" s="4"/>
      <c r="BL386" s="4"/>
      <c r="BM386" s="4"/>
      <c r="BN386" s="4"/>
    </row>
    <row r="387" spans="1:66" ht="15" customHeight="1">
      <c r="A387" s="19" t="str">
        <f t="shared" si="38"/>
        <v>FB_IMp_S.IOFX</v>
      </c>
      <c r="B387" s="11">
        <v>101</v>
      </c>
      <c r="C387" s="11" t="s">
        <v>0</v>
      </c>
      <c r="D387" s="20" t="str">
        <f>"Входное значение  Отключен" &amp;" (физ сигнал)"</f>
        <v>Входное значение  Отключен (физ сигнал)</v>
      </c>
      <c r="BK387" s="4"/>
      <c r="BL387" s="4"/>
      <c r="BM387" s="4"/>
      <c r="BN387" s="4"/>
    </row>
    <row r="388" spans="1:66" ht="15" customHeight="1">
      <c r="A388" s="19" t="str">
        <f t="shared" si="38"/>
        <v>FB_IMp_S.IOFX</v>
      </c>
      <c r="B388" s="11">
        <v>3</v>
      </c>
      <c r="C388" s="11" t="s">
        <v>1</v>
      </c>
      <c r="D388" s="20">
        <v>192</v>
      </c>
      <c r="BK388" s="4"/>
      <c r="BL388" s="4"/>
      <c r="BM388" s="4"/>
      <c r="BN388" s="4"/>
    </row>
    <row r="389" spans="1:66" ht="15" customHeight="1">
      <c r="A389" s="19" t="str">
        <f t="shared" si="38"/>
        <v>FB_IMp_S.IOFX</v>
      </c>
      <c r="B389" s="11">
        <v>2</v>
      </c>
      <c r="C389" s="11" t="s">
        <v>2</v>
      </c>
      <c r="D389" s="20" t="s">
        <v>3</v>
      </c>
      <c r="BK389" s="4"/>
      <c r="BL389" s="4"/>
      <c r="BM389" s="4"/>
      <c r="BN389" s="4"/>
    </row>
    <row r="390" spans="1:66" ht="15" customHeight="1">
      <c r="A390" s="21" t="str">
        <f t="shared" si="38"/>
        <v>FB_IMp_S.IOFX</v>
      </c>
      <c r="B390" s="8">
        <v>1</v>
      </c>
      <c r="C390" s="8" t="s">
        <v>1</v>
      </c>
      <c r="D390" s="22">
        <v>11</v>
      </c>
      <c r="BK390" s="4"/>
      <c r="BL390" s="4"/>
      <c r="BM390" s="4"/>
      <c r="BN390" s="4"/>
    </row>
    <row r="391" spans="1:66" ht="15" customHeight="1">
      <c r="A391" s="19" t="str">
        <f t="shared" ref="A391:A396" si="39">$R$2&amp;".IRCX"</f>
        <v>FB_IMp_S.IRCX</v>
      </c>
      <c r="B391" s="11">
        <v>7999</v>
      </c>
      <c r="C391" s="11" t="s">
        <v>0</v>
      </c>
      <c r="D391" s="20" t="str">
        <f>"#"&amp;$S$2&amp;"#"&amp;$T$2&amp;"\"&amp;$P$2&amp;"\IRCX"</f>
        <v>#1#treiOPCDA.CoOPCserv.1\pcmaster\KNS_P1\IRCX</v>
      </c>
      <c r="BK391" s="4"/>
      <c r="BL391" s="4"/>
      <c r="BM391" s="4"/>
      <c r="BN391" s="4"/>
    </row>
    <row r="392" spans="1:66" ht="15" customHeight="1">
      <c r="A392" s="19" t="str">
        <f t="shared" si="39"/>
        <v>FB_IMp_S.IRCX</v>
      </c>
      <c r="B392" s="11">
        <v>7998</v>
      </c>
      <c r="C392" s="11" t="s">
        <v>6</v>
      </c>
      <c r="D392" s="20">
        <v>1</v>
      </c>
      <c r="BK392" s="4"/>
      <c r="BL392" s="4"/>
      <c r="BM392" s="4"/>
      <c r="BN392" s="4"/>
    </row>
    <row r="393" spans="1:66" ht="15" customHeight="1">
      <c r="A393" s="19" t="str">
        <f t="shared" si="39"/>
        <v>FB_IMp_S.IRCX</v>
      </c>
      <c r="B393" s="11">
        <v>101</v>
      </c>
      <c r="C393" s="11" t="s">
        <v>0</v>
      </c>
      <c r="D393" s="20" t="s">
        <v>576</v>
      </c>
      <c r="BK393" s="4"/>
      <c r="BL393" s="4"/>
      <c r="BM393" s="4"/>
      <c r="BN393" s="4"/>
    </row>
    <row r="394" spans="1:66" ht="15" customHeight="1">
      <c r="A394" s="19" t="str">
        <f t="shared" si="39"/>
        <v>FB_IMp_S.IRCX</v>
      </c>
      <c r="B394" s="11">
        <v>3</v>
      </c>
      <c r="C394" s="11" t="s">
        <v>1</v>
      </c>
      <c r="D394" s="20">
        <v>192</v>
      </c>
      <c r="BK394" s="4"/>
      <c r="BL394" s="4"/>
      <c r="BM394" s="4"/>
      <c r="BN394" s="4"/>
    </row>
    <row r="395" spans="1:66" ht="15" customHeight="1">
      <c r="A395" s="19" t="str">
        <f t="shared" si="39"/>
        <v>FB_IMp_S.IRCX</v>
      </c>
      <c r="B395" s="11">
        <v>2</v>
      </c>
      <c r="C395" s="11" t="s">
        <v>2</v>
      </c>
      <c r="D395" s="20" t="s">
        <v>3</v>
      </c>
      <c r="BK395" s="4"/>
      <c r="BL395" s="4"/>
      <c r="BM395" s="4"/>
      <c r="BN395" s="4"/>
    </row>
    <row r="396" spans="1:66" ht="15" customHeight="1">
      <c r="A396" s="21" t="str">
        <f t="shared" si="39"/>
        <v>FB_IMp_S.IRCX</v>
      </c>
      <c r="B396" s="8">
        <v>1</v>
      </c>
      <c r="C396" s="8" t="s">
        <v>1</v>
      </c>
      <c r="D396" s="22">
        <v>11</v>
      </c>
      <c r="BK396" s="4"/>
      <c r="BL396" s="4"/>
      <c r="BM396" s="4"/>
      <c r="BN396" s="4"/>
    </row>
    <row r="397" spans="1:66" ht="15" customHeight="1">
      <c r="A397" s="19" t="str">
        <f t="shared" ref="A397:A402" si="40">$R$2&amp;".OXON"</f>
        <v>FB_IMp_S.OXON</v>
      </c>
      <c r="B397" s="11">
        <v>7999</v>
      </c>
      <c r="C397" s="11" t="s">
        <v>0</v>
      </c>
      <c r="D397" s="20" t="str">
        <f>"#"&amp;$S$2&amp;"#"&amp;$T$2&amp;"\"&amp;$P$2&amp;"\OXON"</f>
        <v>#1#treiOPCDA.CoOPCserv.1\pcmaster\KNS_P1\OXON</v>
      </c>
      <c r="BK397" s="4"/>
      <c r="BL397" s="4"/>
      <c r="BM397" s="4"/>
      <c r="BN397" s="4"/>
    </row>
    <row r="398" spans="1:66" ht="15" customHeight="1">
      <c r="A398" s="19" t="str">
        <f t="shared" si="40"/>
        <v>FB_IMp_S.OXON</v>
      </c>
      <c r="B398" s="11">
        <v>7998</v>
      </c>
      <c r="C398" s="11" t="s">
        <v>6</v>
      </c>
      <c r="D398" s="20">
        <v>1</v>
      </c>
      <c r="BK398" s="4"/>
      <c r="BL398" s="4"/>
      <c r="BM398" s="4"/>
      <c r="BN398" s="4"/>
    </row>
    <row r="399" spans="1:66" ht="15" customHeight="1">
      <c r="A399" s="19" t="str">
        <f t="shared" si="40"/>
        <v>FB_IMp_S.OXON</v>
      </c>
      <c r="B399" s="11">
        <v>101</v>
      </c>
      <c r="C399" s="11" t="s">
        <v>0</v>
      </c>
      <c r="D399" s="20" t="str">
        <f>"Выходное значение Включить"</f>
        <v>Выходное значение Включить</v>
      </c>
      <c r="BK399" s="4"/>
      <c r="BL399" s="4"/>
      <c r="BM399" s="4"/>
      <c r="BN399" s="4"/>
    </row>
    <row r="400" spans="1:66" ht="15" customHeight="1">
      <c r="A400" s="19" t="str">
        <f t="shared" si="40"/>
        <v>FB_IMp_S.OXON</v>
      </c>
      <c r="B400" s="11">
        <v>3</v>
      </c>
      <c r="C400" s="11" t="s">
        <v>1</v>
      </c>
      <c r="D400" s="20">
        <v>192</v>
      </c>
      <c r="BK400" s="4"/>
      <c r="BL400" s="4"/>
      <c r="BM400" s="4"/>
      <c r="BN400" s="4"/>
    </row>
    <row r="401" spans="1:66" ht="15" customHeight="1">
      <c r="A401" s="19" t="str">
        <f t="shared" si="40"/>
        <v>FB_IMp_S.OXON</v>
      </c>
      <c r="B401" s="11">
        <v>2</v>
      </c>
      <c r="C401" s="11" t="s">
        <v>2</v>
      </c>
      <c r="D401" s="20" t="s">
        <v>3</v>
      </c>
      <c r="BK401" s="4"/>
      <c r="BL401" s="4"/>
      <c r="BM401" s="4"/>
      <c r="BN401" s="4"/>
    </row>
    <row r="402" spans="1:66" ht="15" customHeight="1">
      <c r="A402" s="21" t="str">
        <f t="shared" si="40"/>
        <v>FB_IMp_S.OXON</v>
      </c>
      <c r="B402" s="8">
        <v>1</v>
      </c>
      <c r="C402" s="8" t="s">
        <v>1</v>
      </c>
      <c r="D402" s="22">
        <v>11</v>
      </c>
      <c r="BK402" s="4"/>
      <c r="BL402" s="4"/>
      <c r="BM402" s="4"/>
      <c r="BN402" s="4"/>
    </row>
    <row r="403" spans="1:66" ht="15" customHeight="1">
      <c r="A403" s="19" t="str">
        <f t="shared" ref="A403:A408" si="41">$R$2&amp;".OXOF"</f>
        <v>FB_IMp_S.OXOF</v>
      </c>
      <c r="B403" s="11">
        <v>7999</v>
      </c>
      <c r="C403" s="11" t="s">
        <v>0</v>
      </c>
      <c r="D403" s="20" t="str">
        <f>"#"&amp;$S$2&amp;"#"&amp;$T$2&amp;"\"&amp;$P$2&amp;"\OXOF"</f>
        <v>#1#treiOPCDA.CoOPCserv.1\pcmaster\KNS_P1\OXOF</v>
      </c>
      <c r="BK403" s="4"/>
      <c r="BL403" s="4"/>
      <c r="BM403" s="4"/>
      <c r="BN403" s="4"/>
    </row>
    <row r="404" spans="1:66" ht="15" customHeight="1">
      <c r="A404" s="19" t="str">
        <f t="shared" si="41"/>
        <v>FB_IMp_S.OXOF</v>
      </c>
      <c r="B404" s="11">
        <v>7998</v>
      </c>
      <c r="C404" s="11" t="s">
        <v>6</v>
      </c>
      <c r="D404" s="20">
        <v>1</v>
      </c>
      <c r="BK404" s="4"/>
      <c r="BL404" s="4"/>
      <c r="BM404" s="4"/>
      <c r="BN404" s="4"/>
    </row>
    <row r="405" spans="1:66" ht="15" customHeight="1">
      <c r="A405" s="19" t="str">
        <f t="shared" si="41"/>
        <v>FB_IMp_S.OXOF</v>
      </c>
      <c r="B405" s="11">
        <v>101</v>
      </c>
      <c r="C405" s="11" t="s">
        <v>0</v>
      </c>
      <c r="D405" s="20" t="str">
        <f>"Выходное значение Отключить"</f>
        <v>Выходное значение Отключить</v>
      </c>
      <c r="BK405" s="4"/>
      <c r="BL405" s="4"/>
      <c r="BM405" s="4"/>
      <c r="BN405" s="4"/>
    </row>
    <row r="406" spans="1:66" ht="15" customHeight="1">
      <c r="A406" s="19" t="str">
        <f t="shared" si="41"/>
        <v>FB_IMp_S.OXOF</v>
      </c>
      <c r="B406" s="11">
        <v>3</v>
      </c>
      <c r="C406" s="11" t="s">
        <v>1</v>
      </c>
      <c r="D406" s="20">
        <v>192</v>
      </c>
      <c r="BK406" s="4"/>
      <c r="BL406" s="4"/>
      <c r="BM406" s="4"/>
      <c r="BN406" s="4"/>
    </row>
    <row r="407" spans="1:66" ht="15" customHeight="1">
      <c r="A407" s="19" t="str">
        <f t="shared" si="41"/>
        <v>FB_IMp_S.OXOF</v>
      </c>
      <c r="B407" s="11">
        <v>2</v>
      </c>
      <c r="C407" s="11" t="s">
        <v>2</v>
      </c>
      <c r="D407" s="20" t="s">
        <v>3</v>
      </c>
      <c r="BK407" s="4"/>
      <c r="BL407" s="4"/>
      <c r="BM407" s="4"/>
      <c r="BN407" s="4"/>
    </row>
    <row r="408" spans="1:66" ht="15" customHeight="1">
      <c r="A408" s="21" t="str">
        <f t="shared" si="41"/>
        <v>FB_IMp_S.OXOF</v>
      </c>
      <c r="B408" s="8">
        <v>1</v>
      </c>
      <c r="C408" s="8" t="s">
        <v>1</v>
      </c>
      <c r="D408" s="22">
        <v>11</v>
      </c>
      <c r="BK408" s="4"/>
      <c r="BL408" s="4"/>
      <c r="BM408" s="4"/>
      <c r="BN408" s="4"/>
    </row>
    <row r="409" spans="1:66" ht="15" customHeight="1">
      <c r="A409" s="19" t="str">
        <f t="shared" ref="A409:A414" si="42">$R$2&amp;".XONP"</f>
        <v>FB_IMp_S.XONP</v>
      </c>
      <c r="B409" s="11">
        <v>7999</v>
      </c>
      <c r="C409" s="11" t="s">
        <v>0</v>
      </c>
      <c r="D409" s="20" t="str">
        <f>"#"&amp;$S$2&amp;"#"&amp;$T$2&amp;"\"&amp;$P$2&amp;"\XONP"</f>
        <v>#1#treiOPCDA.CoOPCserv.1\pcmaster\KNS_P1\XONP</v>
      </c>
      <c r="BK409" s="4"/>
      <c r="BL409" s="4"/>
      <c r="BM409" s="4"/>
      <c r="BN409" s="4"/>
    </row>
    <row r="410" spans="1:66" ht="15" customHeight="1">
      <c r="A410" s="19" t="str">
        <f t="shared" si="42"/>
        <v>FB_IMp_S.XONP</v>
      </c>
      <c r="B410" s="11">
        <v>7998</v>
      </c>
      <c r="C410" s="11" t="s">
        <v>6</v>
      </c>
      <c r="D410" s="20">
        <v>1</v>
      </c>
      <c r="BK410" s="4"/>
      <c r="BL410" s="4"/>
      <c r="BM410" s="4"/>
      <c r="BN410" s="4"/>
    </row>
    <row r="411" spans="1:66" ht="15" customHeight="1">
      <c r="A411" s="19" t="str">
        <f t="shared" si="42"/>
        <v>FB_IMp_S.XONP</v>
      </c>
      <c r="B411" s="11">
        <v>101</v>
      </c>
      <c r="C411" s="11" t="s">
        <v>0</v>
      </c>
      <c r="D411" s="20" t="str">
        <f>"Выходное значение Включается"</f>
        <v>Выходное значение Включается</v>
      </c>
      <c r="BK411" s="4"/>
      <c r="BL411" s="4"/>
      <c r="BM411" s="4"/>
      <c r="BN411" s="4"/>
    </row>
    <row r="412" spans="1:66" ht="15" customHeight="1">
      <c r="A412" s="19" t="str">
        <f t="shared" si="42"/>
        <v>FB_IMp_S.XONP</v>
      </c>
      <c r="B412" s="11">
        <v>3</v>
      </c>
      <c r="C412" s="11" t="s">
        <v>1</v>
      </c>
      <c r="D412" s="20">
        <v>192</v>
      </c>
      <c r="BK412" s="4"/>
      <c r="BL412" s="4"/>
      <c r="BM412" s="4"/>
      <c r="BN412" s="4"/>
    </row>
    <row r="413" spans="1:66" ht="15" customHeight="1">
      <c r="A413" s="19" t="str">
        <f t="shared" si="42"/>
        <v>FB_IMp_S.XONP</v>
      </c>
      <c r="B413" s="11">
        <v>2</v>
      </c>
      <c r="C413" s="11" t="s">
        <v>2</v>
      </c>
      <c r="D413" s="20" t="s">
        <v>3</v>
      </c>
      <c r="BK413" s="4"/>
      <c r="BL413" s="4"/>
      <c r="BM413" s="4"/>
      <c r="BN413" s="4"/>
    </row>
    <row r="414" spans="1:66" ht="15" customHeight="1">
      <c r="A414" s="21" t="str">
        <f t="shared" si="42"/>
        <v>FB_IMp_S.XONP</v>
      </c>
      <c r="B414" s="8">
        <v>1</v>
      </c>
      <c r="C414" s="8" t="s">
        <v>1</v>
      </c>
      <c r="D414" s="22">
        <v>11</v>
      </c>
      <c r="BK414" s="4"/>
      <c r="BL414" s="4"/>
      <c r="BM414" s="4"/>
      <c r="BN414" s="4"/>
    </row>
    <row r="415" spans="1:66" ht="15" customHeight="1">
      <c r="A415" s="19" t="str">
        <f t="shared" ref="A415:A420" si="43">$R$2&amp;".XOFP"</f>
        <v>FB_IMp_S.XOFP</v>
      </c>
      <c r="B415" s="11">
        <v>7999</v>
      </c>
      <c r="C415" s="11" t="s">
        <v>0</v>
      </c>
      <c r="D415" s="20" t="str">
        <f>"#"&amp;$S$2&amp;"#"&amp;$T$2&amp;"\"&amp;$P$2&amp;"\XOFP"</f>
        <v>#1#treiOPCDA.CoOPCserv.1\pcmaster\KNS_P1\XOFP</v>
      </c>
      <c r="BK415" s="4"/>
      <c r="BL415" s="4"/>
      <c r="BM415" s="4"/>
      <c r="BN415" s="4"/>
    </row>
    <row r="416" spans="1:66" ht="15" customHeight="1">
      <c r="A416" s="19" t="str">
        <f t="shared" si="43"/>
        <v>FB_IMp_S.XOFP</v>
      </c>
      <c r="B416" s="11">
        <v>7998</v>
      </c>
      <c r="C416" s="11" t="s">
        <v>6</v>
      </c>
      <c r="D416" s="20">
        <v>1</v>
      </c>
      <c r="BK416" s="4"/>
      <c r="BL416" s="4"/>
      <c r="BM416" s="4"/>
      <c r="BN416" s="4"/>
    </row>
    <row r="417" spans="1:66" ht="15" customHeight="1">
      <c r="A417" s="19" t="str">
        <f t="shared" si="43"/>
        <v>FB_IMp_S.XOFP</v>
      </c>
      <c r="B417" s="11">
        <v>101</v>
      </c>
      <c r="C417" s="11" t="s">
        <v>0</v>
      </c>
      <c r="D417" s="20" t="str">
        <f>"Выходное значение Отключается"</f>
        <v>Выходное значение Отключается</v>
      </c>
      <c r="BK417" s="4"/>
      <c r="BL417" s="4"/>
      <c r="BM417" s="4"/>
      <c r="BN417" s="4"/>
    </row>
    <row r="418" spans="1:66" ht="15" customHeight="1">
      <c r="A418" s="19" t="str">
        <f t="shared" si="43"/>
        <v>FB_IMp_S.XOFP</v>
      </c>
      <c r="B418" s="11">
        <v>3</v>
      </c>
      <c r="C418" s="11" t="s">
        <v>1</v>
      </c>
      <c r="D418" s="20">
        <v>192</v>
      </c>
      <c r="BK418" s="4"/>
      <c r="BL418" s="4"/>
      <c r="BM418" s="4"/>
      <c r="BN418" s="4"/>
    </row>
    <row r="419" spans="1:66" ht="15" customHeight="1">
      <c r="A419" s="19" t="str">
        <f t="shared" si="43"/>
        <v>FB_IMp_S.XOFP</v>
      </c>
      <c r="B419" s="11">
        <v>2</v>
      </c>
      <c r="C419" s="11" t="s">
        <v>2</v>
      </c>
      <c r="D419" s="20" t="s">
        <v>3</v>
      </c>
      <c r="BK419" s="4"/>
      <c r="BL419" s="4"/>
      <c r="BM419" s="4"/>
      <c r="BN419" s="4"/>
    </row>
    <row r="420" spans="1:66" ht="15" customHeight="1">
      <c r="A420" s="21" t="str">
        <f t="shared" si="43"/>
        <v>FB_IMp_S.XOFP</v>
      </c>
      <c r="B420" s="8">
        <v>1</v>
      </c>
      <c r="C420" s="8" t="s">
        <v>1</v>
      </c>
      <c r="D420" s="22">
        <v>11</v>
      </c>
      <c r="BK420" s="4"/>
      <c r="BL420" s="4"/>
      <c r="BM420" s="4"/>
      <c r="BN420" s="4"/>
    </row>
    <row r="421" spans="1:66" ht="15" customHeight="1">
      <c r="A421" s="19" t="str">
        <f t="shared" ref="A421:A426" si="44">$R$2&amp;".XSPP"</f>
        <v>FB_IMp_S.XSPP</v>
      </c>
      <c r="B421" s="11">
        <v>7999</v>
      </c>
      <c r="C421" s="11" t="s">
        <v>0</v>
      </c>
      <c r="D421" s="20" t="str">
        <f>"#"&amp;$S$2&amp;"#"&amp;$T$2&amp;"\"&amp;$P$2&amp;"\XSPP"</f>
        <v>#1#treiOPCDA.CoOPCserv.1\pcmaster\KNS_P1\XSPP</v>
      </c>
      <c r="BK421" s="4"/>
      <c r="BL421" s="4"/>
      <c r="BM421" s="4"/>
      <c r="BN421" s="4"/>
    </row>
    <row r="422" spans="1:66" ht="15" customHeight="1">
      <c r="A422" s="19" t="str">
        <f t="shared" si="44"/>
        <v>FB_IMp_S.XSPP</v>
      </c>
      <c r="B422" s="11">
        <v>7998</v>
      </c>
      <c r="C422" s="11" t="s">
        <v>6</v>
      </c>
      <c r="D422" s="20">
        <v>1</v>
      </c>
      <c r="BK422" s="4"/>
      <c r="BL422" s="4"/>
      <c r="BM422" s="4"/>
      <c r="BN422" s="4"/>
    </row>
    <row r="423" spans="1:66" ht="15" customHeight="1">
      <c r="A423" s="19" t="str">
        <f t="shared" si="44"/>
        <v>FB_IMp_S.XSPP</v>
      </c>
      <c r="B423" s="11">
        <v>101</v>
      </c>
      <c r="C423" s="11" t="s">
        <v>0</v>
      </c>
      <c r="D423" s="20" t="s">
        <v>171</v>
      </c>
      <c r="BK423" s="4"/>
      <c r="BL423" s="4"/>
      <c r="BM423" s="4"/>
      <c r="BN423" s="4"/>
    </row>
    <row r="424" spans="1:66" ht="15" customHeight="1">
      <c r="A424" s="19" t="str">
        <f t="shared" si="44"/>
        <v>FB_IMp_S.XSPP</v>
      </c>
      <c r="B424" s="11">
        <v>3</v>
      </c>
      <c r="C424" s="11" t="s">
        <v>1</v>
      </c>
      <c r="D424" s="20">
        <v>192</v>
      </c>
      <c r="BK424" s="4"/>
      <c r="BL424" s="4"/>
      <c r="BM424" s="4"/>
      <c r="BN424" s="4"/>
    </row>
    <row r="425" spans="1:66" ht="15" customHeight="1">
      <c r="A425" s="19" t="str">
        <f t="shared" si="44"/>
        <v>FB_IMp_S.XSPP</v>
      </c>
      <c r="B425" s="11">
        <v>2</v>
      </c>
      <c r="C425" s="11" t="s">
        <v>2</v>
      </c>
      <c r="D425" s="20" t="s">
        <v>3</v>
      </c>
      <c r="BK425" s="4"/>
      <c r="BL425" s="4"/>
      <c r="BM425" s="4"/>
      <c r="BN425" s="4"/>
    </row>
    <row r="426" spans="1:66" ht="15" customHeight="1">
      <c r="A426" s="21" t="str">
        <f t="shared" si="44"/>
        <v>FB_IMp_S.XSPP</v>
      </c>
      <c r="B426" s="8">
        <v>1</v>
      </c>
      <c r="C426" s="8" t="s">
        <v>1</v>
      </c>
      <c r="D426" s="22">
        <v>11</v>
      </c>
      <c r="BK426" s="4"/>
      <c r="BL426" s="4"/>
      <c r="BM426" s="4"/>
      <c r="BN426" s="4"/>
    </row>
    <row r="427" spans="1:66" ht="15" customHeight="1">
      <c r="A427" s="19" t="str">
        <f t="shared" ref="A427:A432" si="45">$R$2&amp;".OCON"</f>
        <v>FB_IMp_S.OCON</v>
      </c>
      <c r="B427" s="11">
        <v>7999</v>
      </c>
      <c r="C427" s="11" t="s">
        <v>0</v>
      </c>
      <c r="D427" s="20" t="str">
        <f>"#"&amp;$S$2&amp;"#"&amp;$T$2&amp;"\"&amp;$P$2&amp;"\OCON"</f>
        <v>#1#treiOPCDA.CoOPCserv.1\pcmaster\KNS_P1\OCON</v>
      </c>
      <c r="BK427" s="4"/>
      <c r="BL427" s="4"/>
      <c r="BM427" s="4"/>
      <c r="BN427" s="4"/>
    </row>
    <row r="428" spans="1:66" ht="15" customHeight="1">
      <c r="A428" s="19" t="str">
        <f t="shared" si="45"/>
        <v>FB_IMp_S.OCON</v>
      </c>
      <c r="B428" s="11">
        <v>7998</v>
      </c>
      <c r="C428" s="11" t="s">
        <v>6</v>
      </c>
      <c r="D428" s="20">
        <v>1</v>
      </c>
      <c r="BK428" s="4"/>
      <c r="BL428" s="4"/>
      <c r="BM428" s="4"/>
      <c r="BN428" s="4"/>
    </row>
    <row r="429" spans="1:66" ht="15" customHeight="1">
      <c r="A429" s="19" t="str">
        <f t="shared" si="45"/>
        <v>FB_IMp_S.OCON</v>
      </c>
      <c r="B429" s="11">
        <v>101</v>
      </c>
      <c r="C429" s="11" t="s">
        <v>0</v>
      </c>
      <c r="D429" s="20" t="str">
        <f>"Постоянная команда Включить"</f>
        <v>Постоянная команда Включить</v>
      </c>
      <c r="BK429" s="4"/>
      <c r="BL429" s="4"/>
      <c r="BM429" s="4"/>
      <c r="BN429" s="4"/>
    </row>
    <row r="430" spans="1:66" ht="15" customHeight="1">
      <c r="A430" s="19" t="str">
        <f t="shared" si="45"/>
        <v>FB_IMp_S.OCON</v>
      </c>
      <c r="B430" s="11">
        <v>3</v>
      </c>
      <c r="C430" s="11" t="s">
        <v>1</v>
      </c>
      <c r="D430" s="20">
        <v>192</v>
      </c>
      <c r="BK430" s="4"/>
      <c r="BL430" s="4"/>
      <c r="BM430" s="4"/>
      <c r="BN430" s="4"/>
    </row>
    <row r="431" spans="1:66" ht="15" customHeight="1">
      <c r="A431" s="19" t="str">
        <f t="shared" si="45"/>
        <v>FB_IMp_S.OCON</v>
      </c>
      <c r="B431" s="11">
        <v>2</v>
      </c>
      <c r="C431" s="11" t="s">
        <v>2</v>
      </c>
      <c r="D431" s="20" t="s">
        <v>3</v>
      </c>
      <c r="BK431" s="4"/>
      <c r="BL431" s="4"/>
      <c r="BM431" s="4"/>
      <c r="BN431" s="4"/>
    </row>
    <row r="432" spans="1:66" ht="15" customHeight="1">
      <c r="A432" s="21" t="str">
        <f t="shared" si="45"/>
        <v>FB_IMp_S.OCON</v>
      </c>
      <c r="B432" s="8">
        <v>1</v>
      </c>
      <c r="C432" s="8" t="s">
        <v>1</v>
      </c>
      <c r="D432" s="22">
        <v>11</v>
      </c>
      <c r="BK432" s="4"/>
      <c r="BL432" s="4"/>
      <c r="BM432" s="4"/>
      <c r="BN432" s="4"/>
    </row>
    <row r="433" spans="1:66" ht="15" customHeight="1">
      <c r="A433" s="19" t="str">
        <f t="shared" ref="A433:A438" si="46">$R$2&amp;".OCOF"</f>
        <v>FB_IMp_S.OCOF</v>
      </c>
      <c r="B433" s="11">
        <v>7999</v>
      </c>
      <c r="C433" s="11" t="s">
        <v>0</v>
      </c>
      <c r="D433" s="20" t="str">
        <f>"#"&amp;$S$2&amp;"#"&amp;$T$2&amp;"\"&amp;$P$2&amp;"\OCOF"</f>
        <v>#1#treiOPCDA.CoOPCserv.1\pcmaster\KNS_P1\OCOF</v>
      </c>
      <c r="BK433" s="4"/>
      <c r="BL433" s="4"/>
      <c r="BM433" s="4"/>
      <c r="BN433" s="4"/>
    </row>
    <row r="434" spans="1:66" ht="15" customHeight="1">
      <c r="A434" s="19" t="str">
        <f t="shared" si="46"/>
        <v>FB_IMp_S.OCOF</v>
      </c>
      <c r="B434" s="11">
        <v>7998</v>
      </c>
      <c r="C434" s="11" t="s">
        <v>6</v>
      </c>
      <c r="D434" s="20">
        <v>1</v>
      </c>
      <c r="BK434" s="4"/>
      <c r="BL434" s="4"/>
      <c r="BM434" s="4"/>
      <c r="BN434" s="4"/>
    </row>
    <row r="435" spans="1:66" ht="15" customHeight="1">
      <c r="A435" s="19" t="str">
        <f t="shared" si="46"/>
        <v>FB_IMp_S.OCOF</v>
      </c>
      <c r="B435" s="11">
        <v>101</v>
      </c>
      <c r="C435" s="11" t="s">
        <v>0</v>
      </c>
      <c r="D435" s="20" t="str">
        <f>"Постоянная команда  Отключить"</f>
        <v>Постоянная команда  Отключить</v>
      </c>
      <c r="BK435" s="4"/>
      <c r="BL435" s="4"/>
      <c r="BM435" s="4"/>
      <c r="BN435" s="4"/>
    </row>
    <row r="436" spans="1:66" ht="15" customHeight="1">
      <c r="A436" s="19" t="str">
        <f t="shared" si="46"/>
        <v>FB_IMp_S.OCOF</v>
      </c>
      <c r="B436" s="11">
        <v>3</v>
      </c>
      <c r="C436" s="11" t="s">
        <v>1</v>
      </c>
      <c r="D436" s="20">
        <v>192</v>
      </c>
      <c r="BK436" s="4"/>
      <c r="BL436" s="4"/>
      <c r="BM436" s="4"/>
      <c r="BN436" s="4"/>
    </row>
    <row r="437" spans="1:66" ht="15" customHeight="1">
      <c r="A437" s="19" t="str">
        <f t="shared" si="46"/>
        <v>FB_IMp_S.OCOF</v>
      </c>
      <c r="B437" s="11">
        <v>2</v>
      </c>
      <c r="C437" s="11" t="s">
        <v>2</v>
      </c>
      <c r="D437" s="20" t="s">
        <v>3</v>
      </c>
      <c r="BK437" s="4"/>
      <c r="BL437" s="4"/>
      <c r="BM437" s="4"/>
      <c r="BN437" s="4"/>
    </row>
    <row r="438" spans="1:66" ht="15" customHeight="1">
      <c r="A438" s="21" t="str">
        <f t="shared" si="46"/>
        <v>FB_IMp_S.OCOF</v>
      </c>
      <c r="B438" s="8">
        <v>1</v>
      </c>
      <c r="C438" s="8" t="s">
        <v>1</v>
      </c>
      <c r="D438" s="22">
        <v>11</v>
      </c>
      <c r="BK438" s="4"/>
      <c r="BL438" s="4"/>
      <c r="BM438" s="4"/>
      <c r="BN438" s="4"/>
    </row>
    <row r="439" spans="1:66" ht="15" customHeight="1">
      <c r="A439" s="19" t="str">
        <f t="shared" ref="A439:A444" si="47">$R$2&amp;".CPMM"</f>
        <v>FB_IMp_S.CPMM</v>
      </c>
      <c r="B439" s="11">
        <v>7999</v>
      </c>
      <c r="C439" s="11" t="s">
        <v>0</v>
      </c>
      <c r="D439" s="20" t="str">
        <f>"#"&amp;$S$2&amp;"#"&amp;$T$2&amp;"\"&amp;$P$2&amp;"\CPMM"</f>
        <v>#1#treiOPCDA.CoOPCserv.1\pcmaster\KNS_P1\CPMM</v>
      </c>
      <c r="BK439" s="4"/>
      <c r="BL439" s="4"/>
      <c r="BM439" s="4"/>
      <c r="BN439" s="4"/>
    </row>
    <row r="440" spans="1:66" ht="15" customHeight="1">
      <c r="A440" s="19" t="str">
        <f t="shared" si="47"/>
        <v>FB_IMp_S.CPMM</v>
      </c>
      <c r="B440" s="11">
        <v>7998</v>
      </c>
      <c r="C440" s="11" t="s">
        <v>6</v>
      </c>
      <c r="D440" s="20">
        <v>1</v>
      </c>
      <c r="BK440" s="4"/>
      <c r="BL440" s="4"/>
      <c r="BM440" s="4"/>
      <c r="BN440" s="4"/>
    </row>
    <row r="441" spans="1:66" ht="15" customHeight="1">
      <c r="A441" s="19" t="str">
        <f t="shared" si="47"/>
        <v>FB_IMp_S.CPMM</v>
      </c>
      <c r="B441" s="11">
        <v>101</v>
      </c>
      <c r="C441" s="11" t="s">
        <v>0</v>
      </c>
      <c r="D441" s="20" t="s">
        <v>115</v>
      </c>
      <c r="BK441" s="4"/>
      <c r="BL441" s="4"/>
      <c r="BM441" s="4"/>
      <c r="BN441" s="4"/>
    </row>
    <row r="442" spans="1:66" ht="15" customHeight="1">
      <c r="A442" s="19" t="str">
        <f t="shared" si="47"/>
        <v>FB_IMp_S.CPMM</v>
      </c>
      <c r="B442" s="11">
        <v>3</v>
      </c>
      <c r="C442" s="11" t="s">
        <v>1</v>
      </c>
      <c r="D442" s="20">
        <v>192</v>
      </c>
      <c r="BK442" s="4"/>
      <c r="BL442" s="4"/>
      <c r="BM442" s="4"/>
      <c r="BN442" s="4"/>
    </row>
    <row r="443" spans="1:66" ht="15" customHeight="1">
      <c r="A443" s="19" t="str">
        <f t="shared" si="47"/>
        <v>FB_IMp_S.CPMM</v>
      </c>
      <c r="B443" s="11">
        <v>2</v>
      </c>
      <c r="C443" s="11" t="s">
        <v>2</v>
      </c>
      <c r="D443" s="20" t="s">
        <v>266</v>
      </c>
      <c r="BK443" s="4"/>
      <c r="BL443" s="4"/>
      <c r="BM443" s="4"/>
      <c r="BN443" s="4"/>
    </row>
    <row r="444" spans="1:66" ht="15" customHeight="1">
      <c r="A444" s="21" t="str">
        <f t="shared" si="47"/>
        <v>FB_IMp_S.CPMM</v>
      </c>
      <c r="B444" s="8">
        <v>1</v>
      </c>
      <c r="C444" s="8" t="s">
        <v>1</v>
      </c>
      <c r="D444" s="22">
        <v>11</v>
      </c>
      <c r="BK444" s="4"/>
      <c r="BL444" s="4"/>
      <c r="BM444" s="4"/>
      <c r="BN444" s="4"/>
    </row>
    <row r="445" spans="1:66" ht="15" customHeight="1">
      <c r="A445" s="19" t="str">
        <f t="shared" ref="A445:A450" si="48">$R$2&amp;".CDON"</f>
        <v>FB_IMp_S.CDON</v>
      </c>
      <c r="B445" s="11">
        <v>7999</v>
      </c>
      <c r="C445" s="11" t="s">
        <v>0</v>
      </c>
      <c r="D445" s="20" t="str">
        <f>"#"&amp;$S$2&amp;"#"&amp;$T$2&amp;"\"&amp;$P$2&amp;"\CDON"</f>
        <v>#1#treiOPCDA.CoOPCserv.1\pcmaster\KNS_P1\CDON</v>
      </c>
      <c r="BK445" s="4"/>
      <c r="BL445" s="4"/>
      <c r="BM445" s="4"/>
      <c r="BN445" s="4"/>
    </row>
    <row r="446" spans="1:66" ht="15" customHeight="1">
      <c r="A446" s="19" t="str">
        <f t="shared" si="48"/>
        <v>FB_IMp_S.CDON</v>
      </c>
      <c r="B446" s="11">
        <v>7998</v>
      </c>
      <c r="C446" s="11" t="s">
        <v>6</v>
      </c>
      <c r="D446" s="20">
        <v>1</v>
      </c>
      <c r="BK446" s="4"/>
      <c r="BL446" s="4"/>
      <c r="BM446" s="4"/>
      <c r="BN446" s="4"/>
    </row>
    <row r="447" spans="1:66" ht="15" customHeight="1">
      <c r="A447" s="19" t="str">
        <f t="shared" si="48"/>
        <v>FB_IMp_S.CDON</v>
      </c>
      <c r="B447" s="11">
        <v>101</v>
      </c>
      <c r="C447" s="11" t="s">
        <v>0</v>
      </c>
      <c r="D447" s="20" t="str">
        <f>"Запрет включение"</f>
        <v>Запрет включение</v>
      </c>
      <c r="BK447" s="4"/>
      <c r="BL447" s="4"/>
      <c r="BM447" s="4"/>
      <c r="BN447" s="4"/>
    </row>
    <row r="448" spans="1:66" ht="15" customHeight="1">
      <c r="A448" s="19" t="str">
        <f t="shared" si="48"/>
        <v>FB_IMp_S.CDON</v>
      </c>
      <c r="B448" s="11">
        <v>3</v>
      </c>
      <c r="C448" s="11" t="s">
        <v>1</v>
      </c>
      <c r="D448" s="20">
        <v>192</v>
      </c>
      <c r="BK448" s="4"/>
      <c r="BL448" s="4"/>
      <c r="BM448" s="4"/>
      <c r="BN448" s="4"/>
    </row>
    <row r="449" spans="1:66" ht="15" customHeight="1">
      <c r="A449" s="19" t="str">
        <f t="shared" si="48"/>
        <v>FB_IMp_S.CDON</v>
      </c>
      <c r="B449" s="11">
        <v>2</v>
      </c>
      <c r="C449" s="11" t="s">
        <v>2</v>
      </c>
      <c r="D449" s="20" t="s">
        <v>3</v>
      </c>
      <c r="BK449" s="4"/>
      <c r="BL449" s="4"/>
      <c r="BM449" s="4"/>
      <c r="BN449" s="4"/>
    </row>
    <row r="450" spans="1:66" ht="15" customHeight="1">
      <c r="A450" s="21" t="str">
        <f t="shared" si="48"/>
        <v>FB_IMp_S.CDON</v>
      </c>
      <c r="B450" s="8">
        <v>1</v>
      </c>
      <c r="C450" s="8" t="s">
        <v>1</v>
      </c>
      <c r="D450" s="22">
        <v>11</v>
      </c>
      <c r="BK450" s="4"/>
      <c r="BL450" s="4"/>
      <c r="BM450" s="4"/>
      <c r="BN450" s="4"/>
    </row>
    <row r="451" spans="1:66" ht="15" customHeight="1">
      <c r="A451" s="19" t="str">
        <f t="shared" ref="A451:A456" si="49">$R$2&amp;".CDOF"</f>
        <v>FB_IMp_S.CDOF</v>
      </c>
      <c r="B451" s="11">
        <v>7999</v>
      </c>
      <c r="C451" s="11" t="s">
        <v>0</v>
      </c>
      <c r="D451" s="20" t="str">
        <f>"#"&amp;$S$2&amp;"#"&amp;$T$2&amp;"\"&amp;$P$2&amp;"\CDOF"</f>
        <v>#1#treiOPCDA.CoOPCserv.1\pcmaster\KNS_P1\CDOF</v>
      </c>
      <c r="BK451" s="4"/>
      <c r="BL451" s="4"/>
      <c r="BM451" s="4"/>
      <c r="BN451" s="4"/>
    </row>
    <row r="452" spans="1:66" ht="15" customHeight="1">
      <c r="A452" s="19" t="str">
        <f t="shared" si="49"/>
        <v>FB_IMp_S.CDOF</v>
      </c>
      <c r="B452" s="11">
        <v>7998</v>
      </c>
      <c r="C452" s="11" t="s">
        <v>6</v>
      </c>
      <c r="D452" s="20">
        <v>1</v>
      </c>
      <c r="BK452" s="4"/>
      <c r="BL452" s="4"/>
      <c r="BM452" s="4"/>
      <c r="BN452" s="4"/>
    </row>
    <row r="453" spans="1:66" ht="15" customHeight="1">
      <c r="A453" s="19" t="str">
        <f t="shared" si="49"/>
        <v>FB_IMp_S.CDOF</v>
      </c>
      <c r="B453" s="11">
        <v>101</v>
      </c>
      <c r="C453" s="11" t="s">
        <v>0</v>
      </c>
      <c r="D453" s="20" t="str">
        <f>"Запрет отключение"</f>
        <v>Запрет отключение</v>
      </c>
      <c r="BK453" s="4"/>
      <c r="BL453" s="4"/>
      <c r="BM453" s="4"/>
      <c r="BN453" s="4"/>
    </row>
    <row r="454" spans="1:66" ht="15" customHeight="1">
      <c r="A454" s="19" t="str">
        <f t="shared" si="49"/>
        <v>FB_IMp_S.CDOF</v>
      </c>
      <c r="B454" s="11">
        <v>3</v>
      </c>
      <c r="C454" s="11" t="s">
        <v>1</v>
      </c>
      <c r="D454" s="20">
        <v>192</v>
      </c>
      <c r="BK454" s="4"/>
      <c r="BL454" s="4"/>
      <c r="BM454" s="4"/>
      <c r="BN454" s="4"/>
    </row>
    <row r="455" spans="1:66" ht="15" customHeight="1">
      <c r="A455" s="19" t="str">
        <f t="shared" si="49"/>
        <v>FB_IMp_S.CDOF</v>
      </c>
      <c r="B455" s="11">
        <v>2</v>
      </c>
      <c r="C455" s="11" t="s">
        <v>2</v>
      </c>
      <c r="D455" s="20" t="s">
        <v>3</v>
      </c>
      <c r="BK455" s="4"/>
      <c r="BL455" s="4"/>
      <c r="BM455" s="4"/>
      <c r="BN455" s="4"/>
    </row>
    <row r="456" spans="1:66" ht="15" customHeight="1">
      <c r="A456" s="21" t="str">
        <f t="shared" si="49"/>
        <v>FB_IMp_S.CDOF</v>
      </c>
      <c r="B456" s="8">
        <v>1</v>
      </c>
      <c r="C456" s="8" t="s">
        <v>1</v>
      </c>
      <c r="D456" s="22">
        <v>11</v>
      </c>
      <c r="BK456" s="4"/>
      <c r="BL456" s="4"/>
      <c r="BM456" s="4"/>
      <c r="BN456" s="4"/>
    </row>
    <row r="457" spans="1:66" ht="15" customHeight="1">
      <c r="A457" s="19" t="str">
        <f t="shared" ref="A457:A462" si="50">$R$2&amp;".FXXX"</f>
        <v>FB_IMp_S.FXXX</v>
      </c>
      <c r="B457" s="11">
        <v>7999</v>
      </c>
      <c r="C457" s="11" t="s">
        <v>0</v>
      </c>
      <c r="D457" s="20" t="str">
        <f>"#"&amp;$S$2&amp;"#"&amp;$T$2&amp;"\"&amp;$P$2&amp;"\FXXX"</f>
        <v>#1#treiOPCDA.CoOPCserv.1\pcmaster\KNS_P1\FXXX</v>
      </c>
      <c r="BK457" s="4"/>
      <c r="BL457" s="4"/>
      <c r="BM457" s="4"/>
      <c r="BN457" s="4"/>
    </row>
    <row r="458" spans="1:66" ht="15" customHeight="1">
      <c r="A458" s="19" t="str">
        <f t="shared" si="50"/>
        <v>FB_IMp_S.FXXX</v>
      </c>
      <c r="B458" s="11">
        <v>7998</v>
      </c>
      <c r="C458" s="11" t="s">
        <v>6</v>
      </c>
      <c r="D458" s="20">
        <v>1</v>
      </c>
      <c r="BK458" s="4"/>
      <c r="BL458" s="4"/>
      <c r="BM458" s="4"/>
      <c r="BN458" s="4"/>
    </row>
    <row r="459" spans="1:66" ht="15" customHeight="1">
      <c r="A459" s="19" t="str">
        <f t="shared" si="50"/>
        <v>FB_IMp_S.FXXX</v>
      </c>
      <c r="B459" s="11">
        <v>101</v>
      </c>
      <c r="C459" s="11" t="s">
        <v>0</v>
      </c>
      <c r="D459" s="20" t="s">
        <v>139</v>
      </c>
      <c r="BK459" s="4"/>
      <c r="BL459" s="4"/>
      <c r="BM459" s="4"/>
      <c r="BN459" s="4"/>
    </row>
    <row r="460" spans="1:66" ht="15" customHeight="1">
      <c r="A460" s="19" t="str">
        <f t="shared" si="50"/>
        <v>FB_IMp_S.FXXX</v>
      </c>
      <c r="B460" s="11">
        <v>3</v>
      </c>
      <c r="C460" s="11" t="s">
        <v>1</v>
      </c>
      <c r="D460" s="20">
        <v>192</v>
      </c>
      <c r="BK460" s="4"/>
      <c r="BL460" s="4"/>
      <c r="BM460" s="4"/>
      <c r="BN460" s="4"/>
    </row>
    <row r="461" spans="1:66" ht="15" customHeight="1">
      <c r="A461" s="19" t="str">
        <f t="shared" si="50"/>
        <v>FB_IMp_S.FXXX</v>
      </c>
      <c r="B461" s="11">
        <v>2</v>
      </c>
      <c r="C461" s="11" t="s">
        <v>2</v>
      </c>
      <c r="D461" s="20" t="s">
        <v>3</v>
      </c>
      <c r="BK461" s="4"/>
      <c r="BL461" s="4"/>
      <c r="BM461" s="4"/>
      <c r="BN461" s="4"/>
    </row>
    <row r="462" spans="1:66" ht="15" customHeight="1">
      <c r="A462" s="21" t="str">
        <f t="shared" si="50"/>
        <v>FB_IMp_S.FXXX</v>
      </c>
      <c r="B462" s="8">
        <v>1</v>
      </c>
      <c r="C462" s="8" t="s">
        <v>1</v>
      </c>
      <c r="D462" s="22">
        <v>11</v>
      </c>
      <c r="BK462" s="4"/>
      <c r="BL462" s="4"/>
      <c r="BM462" s="4"/>
      <c r="BN462" s="4"/>
    </row>
    <row r="463" spans="1:66" ht="15" customHeight="1">
      <c r="A463" s="19" t="str">
        <f t="shared" ref="A463:A468" si="51">$R$2&amp;".SMMX"</f>
        <v>FB_IMp_S.SMMX</v>
      </c>
      <c r="B463" s="11">
        <v>7999</v>
      </c>
      <c r="C463" s="11" t="s">
        <v>0</v>
      </c>
      <c r="D463" s="20" t="str">
        <f>"#"&amp;$S$2&amp;"#"&amp;$T$2&amp;"\"&amp;$P$2&amp;"\SMMX"</f>
        <v>#1#treiOPCDA.CoOPCserv.1\pcmaster\KNS_P1\SMMX</v>
      </c>
      <c r="BK463" s="4"/>
      <c r="BL463" s="4"/>
      <c r="BM463" s="4"/>
      <c r="BN463" s="4"/>
    </row>
    <row r="464" spans="1:66" ht="15" customHeight="1">
      <c r="A464" s="19" t="str">
        <f t="shared" si="51"/>
        <v>FB_IMp_S.SMMX</v>
      </c>
      <c r="B464" s="11">
        <v>7998</v>
      </c>
      <c r="C464" s="11" t="s">
        <v>6</v>
      </c>
      <c r="D464" s="20">
        <v>1</v>
      </c>
      <c r="BK464" s="4"/>
      <c r="BL464" s="4"/>
      <c r="BM464" s="4"/>
      <c r="BN464" s="4"/>
    </row>
    <row r="465" spans="1:66" ht="15" customHeight="1">
      <c r="A465" s="19" t="str">
        <f t="shared" si="51"/>
        <v>FB_IMp_S.SMMX</v>
      </c>
      <c r="B465" s="11">
        <v>101</v>
      </c>
      <c r="C465" s="11" t="s">
        <v>0</v>
      </c>
      <c r="D465" s="20" t="s">
        <v>251</v>
      </c>
      <c r="BK465" s="4"/>
      <c r="BL465" s="4"/>
      <c r="BM465" s="4"/>
      <c r="BN465" s="4"/>
    </row>
    <row r="466" spans="1:66" ht="15" customHeight="1">
      <c r="A466" s="19" t="str">
        <f t="shared" si="51"/>
        <v>FB_IMp_S.SMMX</v>
      </c>
      <c r="B466" s="11">
        <v>3</v>
      </c>
      <c r="C466" s="11" t="s">
        <v>1</v>
      </c>
      <c r="D466" s="20">
        <v>192</v>
      </c>
      <c r="BK466" s="4"/>
      <c r="BL466" s="4"/>
      <c r="BM466" s="4"/>
      <c r="BN466" s="4"/>
    </row>
    <row r="467" spans="1:66" ht="15" customHeight="1">
      <c r="A467" s="19" t="str">
        <f t="shared" si="51"/>
        <v>FB_IMp_S.SMMX</v>
      </c>
      <c r="B467" s="11">
        <v>2</v>
      </c>
      <c r="C467" s="11" t="s">
        <v>2</v>
      </c>
      <c r="D467" s="20" t="s">
        <v>3</v>
      </c>
      <c r="BK467" s="4"/>
      <c r="BL467" s="4"/>
      <c r="BM467" s="4"/>
      <c r="BN467" s="4"/>
    </row>
    <row r="468" spans="1:66" ht="15" customHeight="1">
      <c r="A468" s="21" t="str">
        <f t="shared" si="51"/>
        <v>FB_IMp_S.SMMX</v>
      </c>
      <c r="B468" s="8">
        <v>1</v>
      </c>
      <c r="C468" s="8" t="s">
        <v>1</v>
      </c>
      <c r="D468" s="22">
        <v>11</v>
      </c>
      <c r="BK468" s="4"/>
      <c r="BL468" s="4"/>
      <c r="BM468" s="4"/>
      <c r="BN468" s="4"/>
    </row>
    <row r="469" spans="1:66" ht="15" customHeight="1">
      <c r="A469" s="266" t="str">
        <f t="shared" ref="A469:A474" si="52">$R$2&amp;".XRMX"</f>
        <v>FB_IMp_S.XRMX</v>
      </c>
      <c r="B469" s="267">
        <v>3</v>
      </c>
      <c r="C469" s="267" t="s">
        <v>1</v>
      </c>
      <c r="D469" s="268">
        <v>192</v>
      </c>
      <c r="BK469" s="4"/>
      <c r="BL469" s="4"/>
      <c r="BM469" s="4"/>
      <c r="BN469" s="4"/>
    </row>
    <row r="470" spans="1:66" ht="15" customHeight="1">
      <c r="A470" s="269" t="str">
        <f t="shared" si="52"/>
        <v>FB_IMp_S.XRMX</v>
      </c>
      <c r="B470" s="270">
        <v>2</v>
      </c>
      <c r="C470" s="270" t="s">
        <v>6</v>
      </c>
      <c r="D470" s="271">
        <v>0</v>
      </c>
      <c r="BK470" s="4"/>
      <c r="BL470" s="4"/>
      <c r="BM470" s="4"/>
      <c r="BN470" s="4"/>
    </row>
    <row r="471" spans="1:66" ht="15" customHeight="1">
      <c r="A471" s="269" t="str">
        <f t="shared" si="52"/>
        <v>FB_IMp_S.XRMX</v>
      </c>
      <c r="B471" s="270">
        <v>1</v>
      </c>
      <c r="C471" s="270" t="s">
        <v>1</v>
      </c>
      <c r="D471" s="271">
        <v>3</v>
      </c>
      <c r="BK471" s="4"/>
      <c r="BL471" s="4"/>
      <c r="BM471" s="4"/>
      <c r="BN471" s="4"/>
    </row>
    <row r="472" spans="1:66" ht="15" customHeight="1">
      <c r="A472" s="269" t="str">
        <f t="shared" si="52"/>
        <v>FB_IMp_S.XRMX</v>
      </c>
      <c r="B472" s="270">
        <v>101</v>
      </c>
      <c r="C472" s="270" t="s">
        <v>0</v>
      </c>
      <c r="D472" s="271" t="str">
        <f>"Счетчик минут в текущем часе в состоянии Включен"</f>
        <v>Счетчик минут в текущем часе в состоянии Включен</v>
      </c>
      <c r="BK472" s="4"/>
      <c r="BL472" s="4"/>
      <c r="BM472" s="4"/>
      <c r="BN472" s="4"/>
    </row>
    <row r="473" spans="1:66" ht="15" customHeight="1">
      <c r="A473" s="269" t="str">
        <f t="shared" si="52"/>
        <v>FB_IMp_S.XRMX</v>
      </c>
      <c r="B473" s="270">
        <v>7998</v>
      </c>
      <c r="C473" s="270" t="s">
        <v>6</v>
      </c>
      <c r="D473" s="271">
        <v>1</v>
      </c>
      <c r="BK473" s="4"/>
      <c r="BL473" s="4"/>
      <c r="BM473" s="4"/>
      <c r="BN473" s="4"/>
    </row>
    <row r="474" spans="1:66" ht="15" customHeight="1">
      <c r="A474" s="272" t="str">
        <f t="shared" si="52"/>
        <v>FB_IMp_S.XRMX</v>
      </c>
      <c r="B474" s="273">
        <v>7999</v>
      </c>
      <c r="C474" s="273" t="s">
        <v>0</v>
      </c>
      <c r="D474" s="274" t="str">
        <f>"#"&amp;$S$2&amp;"#"&amp;$T$2&amp;"\"&amp;$P$2&amp;"\XRMX"</f>
        <v>#1#treiOPCDA.CoOPCserv.1\pcmaster\KNS_P1\XRMX</v>
      </c>
      <c r="BK474" s="4"/>
      <c r="BL474" s="4"/>
      <c r="BM474" s="4"/>
      <c r="BN474" s="4"/>
    </row>
    <row r="475" spans="1:66" ht="15" customHeight="1">
      <c r="A475" s="266" t="str">
        <f t="shared" ref="A475:A480" si="53">$R$2&amp;".XRHX"</f>
        <v>FB_IMp_S.XRHX</v>
      </c>
      <c r="B475" s="267">
        <v>3</v>
      </c>
      <c r="C475" s="267" t="s">
        <v>1</v>
      </c>
      <c r="D475" s="268">
        <v>192</v>
      </c>
      <c r="BK475" s="4"/>
      <c r="BL475" s="4"/>
      <c r="BM475" s="4"/>
      <c r="BN475" s="4"/>
    </row>
    <row r="476" spans="1:66" ht="15" customHeight="1">
      <c r="A476" s="269" t="str">
        <f t="shared" si="53"/>
        <v>FB_IMp_S.XRHX</v>
      </c>
      <c r="B476" s="270">
        <v>2</v>
      </c>
      <c r="C476" s="270" t="s">
        <v>6</v>
      </c>
      <c r="D476" s="271">
        <v>0</v>
      </c>
      <c r="BK476" s="4"/>
      <c r="BL476" s="4"/>
      <c r="BM476" s="4"/>
      <c r="BN476" s="4"/>
    </row>
    <row r="477" spans="1:66" ht="15" customHeight="1">
      <c r="A477" s="269" t="str">
        <f t="shared" si="53"/>
        <v>FB_IMp_S.XRHX</v>
      </c>
      <c r="B477" s="270">
        <v>1</v>
      </c>
      <c r="C477" s="270" t="s">
        <v>1</v>
      </c>
      <c r="D477" s="271">
        <v>3</v>
      </c>
      <c r="BK477" s="4"/>
      <c r="BL477" s="4"/>
      <c r="BM477" s="4"/>
      <c r="BN477" s="4"/>
    </row>
    <row r="478" spans="1:66" ht="15" customHeight="1">
      <c r="A478" s="269" t="str">
        <f t="shared" si="53"/>
        <v>FB_IMp_S.XRHX</v>
      </c>
      <c r="B478" s="270">
        <v>101</v>
      </c>
      <c r="C478" s="270" t="s">
        <v>0</v>
      </c>
      <c r="D478" s="271" t="str">
        <f>"Счетчик часов в состоянии Включен"</f>
        <v>Счетчик часов в состоянии Включен</v>
      </c>
      <c r="BK478" s="4"/>
      <c r="BL478" s="4"/>
      <c r="BM478" s="4"/>
      <c r="BN478" s="4"/>
    </row>
    <row r="479" spans="1:66" ht="15" customHeight="1">
      <c r="A479" s="269" t="str">
        <f t="shared" si="53"/>
        <v>FB_IMp_S.XRHX</v>
      </c>
      <c r="B479" s="270">
        <v>7998</v>
      </c>
      <c r="C479" s="270" t="s">
        <v>6</v>
      </c>
      <c r="D479" s="271">
        <v>1</v>
      </c>
      <c r="BK479" s="4"/>
      <c r="BL479" s="4"/>
      <c r="BM479" s="4"/>
      <c r="BN479" s="4"/>
    </row>
    <row r="480" spans="1:66" ht="15" customHeight="1">
      <c r="A480" s="272" t="str">
        <f t="shared" si="53"/>
        <v>FB_IMp_S.XRHX</v>
      </c>
      <c r="B480" s="273">
        <v>7999</v>
      </c>
      <c r="C480" s="273" t="s">
        <v>0</v>
      </c>
      <c r="D480" s="274" t="str">
        <f>"#"&amp;$S$2&amp;"#"&amp;$T$2&amp;"\"&amp;$P$2&amp;"\XRHX"</f>
        <v>#1#treiOPCDA.CoOPCserv.1\pcmaster\KNS_P1\XRHX</v>
      </c>
      <c r="BK480" s="4"/>
      <c r="BL480" s="4"/>
      <c r="BM480" s="4"/>
      <c r="BN480" s="4"/>
    </row>
    <row r="481" spans="1:66" ht="15" customHeight="1">
      <c r="A481" s="266" t="str">
        <f t="shared" ref="A481:A486" si="54">$R$2&amp;".STCX"</f>
        <v>FB_IMp_S.STCX</v>
      </c>
      <c r="B481" s="267">
        <v>3</v>
      </c>
      <c r="C481" s="267" t="s">
        <v>1</v>
      </c>
      <c r="D481" s="268">
        <v>192</v>
      </c>
      <c r="BK481" s="4"/>
      <c r="BL481" s="4"/>
      <c r="BM481" s="4"/>
      <c r="BN481" s="4"/>
    </row>
    <row r="482" spans="1:66" ht="15" customHeight="1">
      <c r="A482" s="269" t="str">
        <f t="shared" si="54"/>
        <v>FB_IMp_S.STCX</v>
      </c>
      <c r="B482" s="270">
        <v>2</v>
      </c>
      <c r="C482" s="270" t="s">
        <v>6</v>
      </c>
      <c r="D482" s="271">
        <v>0</v>
      </c>
      <c r="BK482" s="4"/>
      <c r="BL482" s="4"/>
      <c r="BM482" s="4"/>
      <c r="BN482" s="4"/>
    </row>
    <row r="483" spans="1:66" ht="15" customHeight="1">
      <c r="A483" s="269" t="str">
        <f t="shared" si="54"/>
        <v>FB_IMp_S.STCX</v>
      </c>
      <c r="B483" s="270">
        <v>1</v>
      </c>
      <c r="C483" s="270" t="s">
        <v>1</v>
      </c>
      <c r="D483" s="271">
        <v>3</v>
      </c>
      <c r="BK483" s="4"/>
      <c r="BL483" s="4"/>
      <c r="BM483" s="4"/>
      <c r="BN483" s="4"/>
    </row>
    <row r="484" spans="1:66" ht="15" customHeight="1">
      <c r="A484" s="269" t="str">
        <f t="shared" si="54"/>
        <v>FB_IMp_S.STCX</v>
      </c>
      <c r="B484" s="270">
        <v>101</v>
      </c>
      <c r="C484" s="270" t="s">
        <v>0</v>
      </c>
      <c r="D484" s="271" t="s">
        <v>127</v>
      </c>
      <c r="BK484" s="4"/>
      <c r="BL484" s="4"/>
      <c r="BM484" s="4"/>
      <c r="BN484" s="4"/>
    </row>
    <row r="485" spans="1:66" ht="15" customHeight="1">
      <c r="A485" s="269" t="str">
        <f t="shared" si="54"/>
        <v>FB_IMp_S.STCX</v>
      </c>
      <c r="B485" s="270">
        <v>7998</v>
      </c>
      <c r="C485" s="270" t="s">
        <v>6</v>
      </c>
      <c r="D485" s="271">
        <v>1</v>
      </c>
      <c r="BK485" s="4"/>
      <c r="BL485" s="4"/>
      <c r="BM485" s="4"/>
      <c r="BN485" s="4"/>
    </row>
    <row r="486" spans="1:66" ht="15" customHeight="1">
      <c r="A486" s="272" t="str">
        <f t="shared" si="54"/>
        <v>FB_IMp_S.STCX</v>
      </c>
      <c r="B486" s="273">
        <v>7999</v>
      </c>
      <c r="C486" s="273" t="s">
        <v>0</v>
      </c>
      <c r="D486" s="274" t="str">
        <f>"#"&amp;$S$2&amp;"#"&amp;$T$2&amp;"\"&amp;$P$2&amp;"\STCX"</f>
        <v>#1#treiOPCDA.CoOPCserv.1\pcmaster\KNS_P1\STCX</v>
      </c>
      <c r="BK486" s="4"/>
      <c r="BL486" s="4"/>
      <c r="BM486" s="4"/>
      <c r="BN486" s="4"/>
    </row>
    <row r="487" spans="1:66" ht="15" customHeight="1">
      <c r="A487" s="266" t="str">
        <f t="shared" ref="A487:A492" si="55">$R$2&amp;".STSX"</f>
        <v>FB_IMp_S.STSX</v>
      </c>
      <c r="B487" s="267">
        <v>3</v>
      </c>
      <c r="C487" s="267" t="s">
        <v>1</v>
      </c>
      <c r="D487" s="268">
        <v>192</v>
      </c>
      <c r="BK487" s="4"/>
      <c r="BL487" s="4"/>
      <c r="BM487" s="4"/>
      <c r="BN487" s="4"/>
    </row>
    <row r="488" spans="1:66" ht="15" customHeight="1">
      <c r="A488" s="269" t="str">
        <f t="shared" si="55"/>
        <v>FB_IMp_S.STSX</v>
      </c>
      <c r="B488" s="270">
        <v>2</v>
      </c>
      <c r="C488" s="270" t="s">
        <v>6</v>
      </c>
      <c r="D488" s="271">
        <v>0</v>
      </c>
      <c r="BK488" s="4"/>
      <c r="BL488" s="4"/>
      <c r="BM488" s="4"/>
      <c r="BN488" s="4"/>
    </row>
    <row r="489" spans="1:66" ht="15" customHeight="1">
      <c r="A489" s="269" t="str">
        <f t="shared" si="55"/>
        <v>FB_IMp_S.STSX</v>
      </c>
      <c r="B489" s="270">
        <v>1</v>
      </c>
      <c r="C489" s="270" t="s">
        <v>1</v>
      </c>
      <c r="D489" s="271">
        <v>3</v>
      </c>
      <c r="BK489" s="4"/>
      <c r="BL489" s="4"/>
      <c r="BM489" s="4"/>
      <c r="BN489" s="4"/>
    </row>
    <row r="490" spans="1:66" ht="15" customHeight="1">
      <c r="A490" s="269" t="str">
        <f t="shared" si="55"/>
        <v>FB_IMp_S.STSX</v>
      </c>
      <c r="B490" s="270">
        <v>101</v>
      </c>
      <c r="C490" s="270" t="s">
        <v>0</v>
      </c>
      <c r="D490" s="271" t="s">
        <v>128</v>
      </c>
      <c r="BK490" s="4"/>
      <c r="BL490" s="4"/>
      <c r="BM490" s="4"/>
      <c r="BN490" s="4"/>
    </row>
    <row r="491" spans="1:66" ht="15" customHeight="1">
      <c r="A491" s="269" t="str">
        <f t="shared" si="55"/>
        <v>FB_IMp_S.STSX</v>
      </c>
      <c r="B491" s="270">
        <v>7998</v>
      </c>
      <c r="C491" s="270" t="s">
        <v>6</v>
      </c>
      <c r="D491" s="271">
        <v>1</v>
      </c>
      <c r="BK491" s="4"/>
      <c r="BL491" s="4"/>
      <c r="BM491" s="4"/>
      <c r="BN491" s="4"/>
    </row>
    <row r="492" spans="1:66" ht="15" customHeight="1">
      <c r="A492" s="272" t="str">
        <f t="shared" si="55"/>
        <v>FB_IMp_S.STSX</v>
      </c>
      <c r="B492" s="273">
        <v>7999</v>
      </c>
      <c r="C492" s="273" t="s">
        <v>0</v>
      </c>
      <c r="D492" s="274" t="str">
        <f>"#"&amp;$S$2&amp;"#"&amp;$T$2&amp;"\"&amp;$P$2&amp;"\STSX"</f>
        <v>#1#treiOPCDA.CoOPCserv.1\pcmaster\KNS_P1\STSX</v>
      </c>
      <c r="BK492" s="4"/>
      <c r="BL492" s="4"/>
      <c r="BM492" s="4"/>
      <c r="BN492" s="4"/>
    </row>
    <row r="493" spans="1:66" ht="15" customHeight="1">
      <c r="A493" s="266" t="str">
        <f t="shared" ref="A493:A498" si="56">$R$2&amp;".SRTX"</f>
        <v>FB_IMp_S.SRTX</v>
      </c>
      <c r="B493" s="267">
        <v>3</v>
      </c>
      <c r="C493" s="267" t="s">
        <v>1</v>
      </c>
      <c r="D493" s="268">
        <v>192</v>
      </c>
      <c r="BK493" s="4"/>
      <c r="BL493" s="4"/>
      <c r="BM493" s="4"/>
      <c r="BN493" s="4"/>
    </row>
    <row r="494" spans="1:66" ht="15" customHeight="1">
      <c r="A494" s="269" t="str">
        <f t="shared" si="56"/>
        <v>FB_IMp_S.SRTX</v>
      </c>
      <c r="B494" s="270">
        <v>2</v>
      </c>
      <c r="C494" s="270" t="s">
        <v>6</v>
      </c>
      <c r="D494" s="271">
        <v>0</v>
      </c>
      <c r="BK494" s="4"/>
      <c r="BL494" s="4"/>
      <c r="BM494" s="4"/>
      <c r="BN494" s="4"/>
    </row>
    <row r="495" spans="1:66" ht="15" customHeight="1">
      <c r="A495" s="269" t="str">
        <f t="shared" si="56"/>
        <v>FB_IMp_S.SRTX</v>
      </c>
      <c r="B495" s="270">
        <v>1</v>
      </c>
      <c r="C495" s="270" t="s">
        <v>1</v>
      </c>
      <c r="D495" s="271">
        <v>3</v>
      </c>
      <c r="BK495" s="4"/>
      <c r="BL495" s="4"/>
      <c r="BM495" s="4"/>
      <c r="BN495" s="4"/>
    </row>
    <row r="496" spans="1:66" ht="15" customHeight="1">
      <c r="A496" s="269" t="str">
        <f t="shared" si="56"/>
        <v>FB_IMp_S.SRTX</v>
      </c>
      <c r="B496" s="270">
        <v>101</v>
      </c>
      <c r="C496" s="270" t="s">
        <v>0</v>
      </c>
      <c r="D496" s="271" t="s">
        <v>192</v>
      </c>
      <c r="BK496" s="4"/>
      <c r="BL496" s="4"/>
      <c r="BM496" s="4"/>
      <c r="BN496" s="4"/>
    </row>
    <row r="497" spans="1:17" s="4" customFormat="1">
      <c r="A497" s="269" t="str">
        <f t="shared" si="56"/>
        <v>FB_IMp_S.SRTX</v>
      </c>
      <c r="B497" s="270">
        <v>7998</v>
      </c>
      <c r="C497" s="270" t="s">
        <v>6</v>
      </c>
      <c r="D497" s="271">
        <v>1</v>
      </c>
      <c r="Q497"/>
    </row>
    <row r="498" spans="1:17">
      <c r="A498" s="272" t="str">
        <f t="shared" si="56"/>
        <v>FB_IMp_S.SRTX</v>
      </c>
      <c r="B498" s="273">
        <v>7999</v>
      </c>
      <c r="C498" s="273" t="s">
        <v>0</v>
      </c>
      <c r="D498" s="274" t="str">
        <f>"#"&amp;$S$2&amp;"#"&amp;$T$2&amp;"\"&amp;$P$2&amp;"\SRTX"</f>
        <v>#1#treiOPCDA.CoOPCserv.1\pcmaster\KNS_P1\SRTX</v>
      </c>
    </row>
    <row r="499" spans="1:17">
      <c r="A499" s="16" t="str">
        <f>$R$2&amp;".Commands.COON"</f>
        <v>FB_IMp_S.Commands.COON</v>
      </c>
      <c r="B499" s="17">
        <v>101</v>
      </c>
      <c r="C499" s="17" t="s">
        <v>0</v>
      </c>
      <c r="D499" s="18" t="str">
        <f>"Команда оператора Включить"</f>
        <v>Команда оператора Включить</v>
      </c>
    </row>
    <row r="500" spans="1:17">
      <c r="A500" s="19" t="str">
        <f>$R$2&amp;".Commands.COON"</f>
        <v>FB_IMp_S.Commands.COON</v>
      </c>
      <c r="B500" s="11">
        <v>7999</v>
      </c>
      <c r="C500" s="11" t="s">
        <v>0</v>
      </c>
      <c r="D500" s="20" t="str">
        <f>"#"&amp;$T$5&amp;"#"&amp;$T$2&amp;"\"&amp;$P$2&amp;"\COON"</f>
        <v>#1#treiOPCDA.CoOPCserv.1\pcmaster\KNS_P1\COON</v>
      </c>
    </row>
    <row r="501" spans="1:17">
      <c r="A501" s="19" t="str">
        <f>$R$2&amp;".Commands.COON"</f>
        <v>FB_IMp_S.Commands.COON</v>
      </c>
      <c r="B501" s="11">
        <v>7998</v>
      </c>
      <c r="C501" s="11" t="s">
        <v>6</v>
      </c>
      <c r="D501" s="20">
        <v>2</v>
      </c>
    </row>
    <row r="502" spans="1:17">
      <c r="A502" s="21" t="str">
        <f>$R$2&amp;".Commands.COON"</f>
        <v>FB_IMp_S.Commands.COON</v>
      </c>
      <c r="B502" s="8">
        <v>1</v>
      </c>
      <c r="C502" s="8" t="s">
        <v>1</v>
      </c>
      <c r="D502" s="22">
        <v>11</v>
      </c>
    </row>
    <row r="503" spans="1:17">
      <c r="A503" s="16" t="str">
        <f>$R$2&amp;".Commands.COOF"</f>
        <v>FB_IMp_S.Commands.COOF</v>
      </c>
      <c r="B503" s="17">
        <v>101</v>
      </c>
      <c r="C503" s="17" t="s">
        <v>0</v>
      </c>
      <c r="D503" s="18" t="str">
        <f>"Команда оператора Отключить"</f>
        <v>Команда оператора Отключить</v>
      </c>
    </row>
    <row r="504" spans="1:17">
      <c r="A504" s="19" t="str">
        <f>$R$2&amp;".Commands.COOF"</f>
        <v>FB_IMp_S.Commands.COOF</v>
      </c>
      <c r="B504" s="11">
        <v>7999</v>
      </c>
      <c r="C504" s="11" t="s">
        <v>0</v>
      </c>
      <c r="D504" s="20" t="str">
        <f>"#"&amp;$T$5&amp;"#"&amp;$T$2&amp;"\"&amp;$P$2&amp;"\COOF"</f>
        <v>#1#treiOPCDA.CoOPCserv.1\pcmaster\KNS_P1\COOF</v>
      </c>
    </row>
    <row r="505" spans="1:17">
      <c r="A505" s="19" t="str">
        <f>$R$2&amp;".Commands.COOF"</f>
        <v>FB_IMp_S.Commands.COOF</v>
      </c>
      <c r="B505" s="11">
        <v>7998</v>
      </c>
      <c r="C505" s="11" t="s">
        <v>6</v>
      </c>
      <c r="D505" s="20">
        <v>2</v>
      </c>
    </row>
    <row r="506" spans="1:17">
      <c r="A506" s="21" t="str">
        <f>$R$2&amp;".Commands.COOF"</f>
        <v>FB_IMp_S.Commands.COOF</v>
      </c>
      <c r="B506" s="8">
        <v>1</v>
      </c>
      <c r="C506" s="8" t="s">
        <v>1</v>
      </c>
      <c r="D506" s="22">
        <v>11</v>
      </c>
    </row>
    <row r="507" spans="1:17">
      <c r="A507" s="16" t="str">
        <f>$R$2&amp;".Commands.COSP"</f>
        <v>FB_IMp_S.Commands.COSP</v>
      </c>
      <c r="B507" s="17">
        <v>101</v>
      </c>
      <c r="C507" s="17" t="s">
        <v>0</v>
      </c>
      <c r="D507" s="18" t="s">
        <v>111</v>
      </c>
    </row>
    <row r="508" spans="1:17">
      <c r="A508" s="19" t="str">
        <f>$R$2&amp;".Commands.COSP"</f>
        <v>FB_IMp_S.Commands.COSP</v>
      </c>
      <c r="B508" s="11">
        <v>7999</v>
      </c>
      <c r="C508" s="11" t="s">
        <v>0</v>
      </c>
      <c r="D508" s="20" t="str">
        <f>"#"&amp;$T$5&amp;"#"&amp;$T$2&amp;"\"&amp;$P$2&amp;"\COSP"</f>
        <v>#1#treiOPCDA.CoOPCserv.1\pcmaster\KNS_P1\COSP</v>
      </c>
    </row>
    <row r="509" spans="1:17">
      <c r="A509" s="19" t="str">
        <f>$R$2&amp;".Commands.COSP"</f>
        <v>FB_IMp_S.Commands.COSP</v>
      </c>
      <c r="B509" s="11">
        <v>7998</v>
      </c>
      <c r="C509" s="11" t="s">
        <v>6</v>
      </c>
      <c r="D509" s="20">
        <v>2</v>
      </c>
    </row>
    <row r="510" spans="1:17">
      <c r="A510" s="21" t="str">
        <f>$R$2&amp;".Commands.COSP"</f>
        <v>FB_IMp_S.Commands.COSP</v>
      </c>
      <c r="B510" s="8">
        <v>1</v>
      </c>
      <c r="C510" s="8" t="s">
        <v>1</v>
      </c>
      <c r="D510" s="22">
        <v>11</v>
      </c>
    </row>
    <row r="511" spans="1:17">
      <c r="A511" s="16" t="str">
        <f>$R$2&amp;".Commands.CRPX"</f>
        <v>FB_IMp_S.Commands.CRPX</v>
      </c>
      <c r="B511" s="17">
        <v>101</v>
      </c>
      <c r="C511" s="17" t="s">
        <v>0</v>
      </c>
      <c r="D511" s="18" t="s">
        <v>113</v>
      </c>
    </row>
    <row r="512" spans="1:17">
      <c r="A512" s="19" t="str">
        <f>$R$2&amp;".Commands.CRPX"</f>
        <v>FB_IMp_S.Commands.CRPX</v>
      </c>
      <c r="B512" s="11">
        <v>7999</v>
      </c>
      <c r="C512" s="11" t="s">
        <v>0</v>
      </c>
      <c r="D512" s="20" t="str">
        <f>"#"&amp;$T$5&amp;"#"&amp;$T$2&amp;"\"&amp;$P$2&amp;"\CRPX"</f>
        <v>#1#treiOPCDA.CoOPCserv.1\pcmaster\KNS_P1\CRPX</v>
      </c>
    </row>
    <row r="513" spans="1:4">
      <c r="A513" s="19" t="str">
        <f>$R$2&amp;".Commands.CRPX"</f>
        <v>FB_IMp_S.Commands.CRPX</v>
      </c>
      <c r="B513" s="11">
        <v>7998</v>
      </c>
      <c r="C513" s="11" t="s">
        <v>6</v>
      </c>
      <c r="D513" s="20">
        <v>2</v>
      </c>
    </row>
    <row r="514" spans="1:4">
      <c r="A514" s="21" t="str">
        <f>$R$2&amp;".Commands.CRPX"</f>
        <v>FB_IMp_S.Commands.CRPX</v>
      </c>
      <c r="B514" s="8">
        <v>1</v>
      </c>
      <c r="C514" s="8" t="s">
        <v>1</v>
      </c>
      <c r="D514" s="22">
        <v>11</v>
      </c>
    </row>
    <row r="515" spans="1:4">
      <c r="A515" s="16" t="str">
        <f>$R$2&amp;".Commands.CRST"</f>
        <v>FB_IMp_S.Commands.CRST</v>
      </c>
      <c r="B515" s="17">
        <v>101</v>
      </c>
      <c r="C515" s="17" t="s">
        <v>0</v>
      </c>
      <c r="D515" s="18" t="s">
        <v>114</v>
      </c>
    </row>
    <row r="516" spans="1:4">
      <c r="A516" s="19" t="str">
        <f>$R$2&amp;".Commands.CRST"</f>
        <v>FB_IMp_S.Commands.CRST</v>
      </c>
      <c r="B516" s="11">
        <v>7999</v>
      </c>
      <c r="C516" s="11" t="s">
        <v>0</v>
      </c>
      <c r="D516" s="20" t="str">
        <f>"#"&amp;$T$5&amp;"#"&amp;$T$2&amp;"\"&amp;$P$2&amp;"\CRST"</f>
        <v>#1#treiOPCDA.CoOPCserv.1\pcmaster\KNS_P1\CRST</v>
      </c>
    </row>
    <row r="517" spans="1:4">
      <c r="A517" s="19" t="str">
        <f>$R$2&amp;".Commands.CRST"</f>
        <v>FB_IMp_S.Commands.CRST</v>
      </c>
      <c r="B517" s="11">
        <v>7998</v>
      </c>
      <c r="C517" s="11" t="s">
        <v>6</v>
      </c>
      <c r="D517" s="20">
        <v>2</v>
      </c>
    </row>
    <row r="518" spans="1:4">
      <c r="A518" s="21" t="str">
        <f>$R$2&amp;".Commands.CRST"</f>
        <v>FB_IMp_S.Commands.CRST</v>
      </c>
      <c r="B518" s="8">
        <v>1</v>
      </c>
      <c r="C518" s="8" t="s">
        <v>1</v>
      </c>
      <c r="D518" s="22">
        <v>11</v>
      </c>
    </row>
    <row r="519" spans="1:4">
      <c r="A519" s="16" t="str">
        <f>$R$2&amp;".Commands.CMMX"</f>
        <v>FB_IMp_S.Commands.CMMX</v>
      </c>
      <c r="B519" s="17">
        <v>101</v>
      </c>
      <c r="C519" s="17" t="s">
        <v>0</v>
      </c>
      <c r="D519" s="18" t="s">
        <v>94</v>
      </c>
    </row>
    <row r="520" spans="1:4">
      <c r="A520" s="19" t="str">
        <f>$R$2&amp;".Commands.CMMX"</f>
        <v>FB_IMp_S.Commands.CMMX</v>
      </c>
      <c r="B520" s="11">
        <v>7999</v>
      </c>
      <c r="C520" s="11" t="s">
        <v>0</v>
      </c>
      <c r="D520" s="20" t="str">
        <f>"#"&amp;$T$5&amp;"#"&amp;$T$2&amp;"\"&amp;$P$2&amp;"\CMMX"</f>
        <v>#1#treiOPCDA.CoOPCserv.1\pcmaster\KNS_P1\CMMX</v>
      </c>
    </row>
    <row r="521" spans="1:4">
      <c r="A521" s="19" t="str">
        <f>$R$2&amp;".Commands.CMMX"</f>
        <v>FB_IMp_S.Commands.CMMX</v>
      </c>
      <c r="B521" s="11">
        <v>7998</v>
      </c>
      <c r="C521" s="11" t="s">
        <v>6</v>
      </c>
      <c r="D521" s="20">
        <v>2</v>
      </c>
    </row>
    <row r="522" spans="1:4">
      <c r="A522" s="21" t="str">
        <f>$R$2&amp;".Commands.CMMX"</f>
        <v>FB_IMp_S.Commands.CMMX</v>
      </c>
      <c r="B522" s="8">
        <v>1</v>
      </c>
      <c r="C522" s="8" t="s">
        <v>1</v>
      </c>
      <c r="D522" s="22">
        <v>11</v>
      </c>
    </row>
    <row r="523" spans="1:4">
      <c r="A523" s="16" t="str">
        <f>$R$2&amp;".Commands.CRRX"</f>
        <v>FB_IMp_S.Commands.CRRX</v>
      </c>
      <c r="B523" s="17">
        <v>101</v>
      </c>
      <c r="C523" s="17" t="s">
        <v>0</v>
      </c>
      <c r="D523" s="18" t="s">
        <v>116</v>
      </c>
    </row>
    <row r="524" spans="1:4">
      <c r="A524" s="19" t="str">
        <f>$R$2&amp;".Commands.CRRX"</f>
        <v>FB_IMp_S.Commands.CRRX</v>
      </c>
      <c r="B524" s="11">
        <v>7999</v>
      </c>
      <c r="C524" s="11" t="s">
        <v>0</v>
      </c>
      <c r="D524" s="20" t="str">
        <f>"#"&amp;$T$5&amp;"#"&amp;$T$2&amp;"\"&amp;$P$2&amp;"\CRRX"</f>
        <v>#1#treiOPCDA.CoOPCserv.1\pcmaster\KNS_P1\CRRX</v>
      </c>
    </row>
    <row r="525" spans="1:4">
      <c r="A525" s="19" t="str">
        <f>$R$2&amp;".Commands.CRRX"</f>
        <v>FB_IMp_S.Commands.CRRX</v>
      </c>
      <c r="B525" s="11">
        <v>7998</v>
      </c>
      <c r="C525" s="11" t="s">
        <v>6</v>
      </c>
      <c r="D525" s="20">
        <v>2</v>
      </c>
    </row>
    <row r="526" spans="1:4">
      <c r="A526" s="21" t="str">
        <f>$R$2&amp;".Commands.CRRX"</f>
        <v>FB_IMp_S.Commands.CRRX</v>
      </c>
      <c r="B526" s="8">
        <v>1</v>
      </c>
      <c r="C526" s="8" t="s">
        <v>1</v>
      </c>
      <c r="D526" s="22">
        <v>11</v>
      </c>
    </row>
    <row r="527" spans="1:4">
      <c r="A527" s="266" t="str">
        <f>$R$2&amp;".Commands.STCX"</f>
        <v>FB_IMp_S.Commands.STCX</v>
      </c>
      <c r="B527" s="267">
        <v>1</v>
      </c>
      <c r="C527" s="267" t="s">
        <v>1</v>
      </c>
      <c r="D527" s="268">
        <v>3</v>
      </c>
    </row>
    <row r="528" spans="1:4">
      <c r="A528" s="269" t="str">
        <f>$R$2&amp;".Commands.STCX"</f>
        <v>FB_IMp_S.Commands.STCX</v>
      </c>
      <c r="B528" s="270">
        <v>101</v>
      </c>
      <c r="C528" s="270" t="s">
        <v>0</v>
      </c>
      <c r="D528" s="271" t="s">
        <v>127</v>
      </c>
    </row>
    <row r="529" spans="1:4">
      <c r="A529" s="269" t="str">
        <f>$R$2&amp;".Commands.STCX"</f>
        <v>FB_IMp_S.Commands.STCX</v>
      </c>
      <c r="B529" s="270">
        <v>7998</v>
      </c>
      <c r="C529" s="270" t="s">
        <v>6</v>
      </c>
      <c r="D529" s="271">
        <v>2</v>
      </c>
    </row>
    <row r="530" spans="1:4">
      <c r="A530" s="272" t="str">
        <f>$R$2&amp;".Commands.STCX"</f>
        <v>FB_IMp_S.Commands.STCX</v>
      </c>
      <c r="B530" s="273">
        <v>7999</v>
      </c>
      <c r="C530" s="273" t="s">
        <v>0</v>
      </c>
      <c r="D530" s="274" t="str">
        <f>"#"&amp;$T$5&amp;"#"&amp;$T$2&amp;"\"&amp;$P$2&amp;"\STCX"</f>
        <v>#1#treiOPCDA.CoOPCserv.1\pcmaster\KNS_P1\STCX</v>
      </c>
    </row>
    <row r="531" spans="1:4">
      <c r="A531" s="266" t="str">
        <f>$R$2&amp;".Commands.STSX"</f>
        <v>FB_IMp_S.Commands.STSX</v>
      </c>
      <c r="B531" s="267">
        <v>1</v>
      </c>
      <c r="C531" s="267" t="s">
        <v>1</v>
      </c>
      <c r="D531" s="268">
        <v>3</v>
      </c>
    </row>
    <row r="532" spans="1:4">
      <c r="A532" s="269" t="str">
        <f>$R$2&amp;".Commands.STSX"</f>
        <v>FB_IMp_S.Commands.STSX</v>
      </c>
      <c r="B532" s="270">
        <v>101</v>
      </c>
      <c r="C532" s="270" t="s">
        <v>0</v>
      </c>
      <c r="D532" s="271" t="s">
        <v>128</v>
      </c>
    </row>
    <row r="533" spans="1:4">
      <c r="A533" s="269" t="str">
        <f>$R$2&amp;".Commands.STSX"</f>
        <v>FB_IMp_S.Commands.STSX</v>
      </c>
      <c r="B533" s="270">
        <v>7998</v>
      </c>
      <c r="C533" s="270" t="s">
        <v>6</v>
      </c>
      <c r="D533" s="271">
        <v>2</v>
      </c>
    </row>
    <row r="534" spans="1:4">
      <c r="A534" s="272" t="str">
        <f>$R$2&amp;".Commands.STSX"</f>
        <v>FB_IMp_S.Commands.STSX</v>
      </c>
      <c r="B534" s="273">
        <v>7999</v>
      </c>
      <c r="C534" s="273" t="s">
        <v>0</v>
      </c>
      <c r="D534" s="274" t="str">
        <f>"#"&amp;$T$5&amp;"#"&amp;$T$2&amp;"\"&amp;$P$2&amp;"\STSX"</f>
        <v>#1#treiOPCDA.CoOPCserv.1\pcmaster\KNS_P1\STSX</v>
      </c>
    </row>
    <row r="535" spans="1:4">
      <c r="A535" s="266" t="str">
        <f>$R$2&amp;".Commands.SRTX"</f>
        <v>FB_IMp_S.Commands.SRTX</v>
      </c>
      <c r="B535" s="267">
        <v>1</v>
      </c>
      <c r="C535" s="267" t="s">
        <v>1</v>
      </c>
      <c r="D535" s="268">
        <v>3</v>
      </c>
    </row>
    <row r="536" spans="1:4">
      <c r="A536" s="269" t="str">
        <f>$R$2&amp;".Commands.SRTX"</f>
        <v>FB_IMp_S.Commands.SRTX</v>
      </c>
      <c r="B536" s="270">
        <v>101</v>
      </c>
      <c r="C536" s="270" t="s">
        <v>0</v>
      </c>
      <c r="D536" s="271" t="s">
        <v>192</v>
      </c>
    </row>
    <row r="537" spans="1:4">
      <c r="A537" s="269" t="str">
        <f>$R$2&amp;".Commands.SRTX"</f>
        <v>FB_IMp_S.Commands.SRTX</v>
      </c>
      <c r="B537" s="270">
        <v>7998</v>
      </c>
      <c r="C537" s="270" t="s">
        <v>6</v>
      </c>
      <c r="D537" s="271">
        <v>2</v>
      </c>
    </row>
    <row r="538" spans="1:4">
      <c r="A538" s="272" t="str">
        <f>$R$2&amp;".Commands.SRTX"</f>
        <v>FB_IMp_S.Commands.SRTX</v>
      </c>
      <c r="B538" s="273">
        <v>7999</v>
      </c>
      <c r="C538" s="273" t="s">
        <v>0</v>
      </c>
      <c r="D538" s="274" t="str">
        <f>"#"&amp;$T$5&amp;"#"&amp;$T$2&amp;"\"&amp;$P$2&amp;"\SRTX"</f>
        <v>#1#treiOPCDA.CoOPCserv.1\pcmaster\KNS_P1\SRTX</v>
      </c>
    </row>
  </sheetData>
  <autoFilter ref="B1:B539" xr:uid="{00000000-0009-0000-0000-00000E000000}"/>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Лист18">
    <tabColor rgb="FFFFC000"/>
  </sheetPr>
  <dimension ref="A1:BN504"/>
  <sheetViews>
    <sheetView topLeftCell="A76" zoomScale="115" zoomScaleNormal="115"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7.33203125" customWidth="1"/>
    <col min="56" max="56" width="10.33203125" customWidth="1"/>
    <col min="57" max="57" width="10" customWidth="1"/>
    <col min="59" max="59" width="7.109375" customWidth="1"/>
    <col min="60" max="60" width="10.88671875" customWidth="1"/>
    <col min="62" max="62" width="65.109375" customWidth="1"/>
  </cols>
  <sheetData>
    <row r="1" spans="1:66" s="258" customFormat="1" ht="204.6" thickBot="1">
      <c r="A1" s="257"/>
      <c r="B1" s="257" t="s">
        <v>84</v>
      </c>
      <c r="C1" s="257"/>
      <c r="D1" s="257"/>
      <c r="E1" s="257"/>
      <c r="F1" s="257"/>
      <c r="P1" s="263"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1"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61"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61" t="str">
        <f>Таблица!AL1</f>
        <v>Для TREI
FB_IMstp_S, FB_IMs_S, FB_IMp_S, FB_IMv_S, FB_IM_ADES_S: Настройка перехода ручной-/автоматический-(TRUE/FALSE) 
FB_DI_S: Генерировать метки времени (TRUE/FALSE)</v>
      </c>
      <c r="AY1" s="261"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61" t="str">
        <f>Таблица!AN1</f>
        <v>Для TREI
FB_AI_S, FB_QSA_S: Верхний предел датчика
FB_IMp_S, FB_IMv_S, FB_IM_ADES_S, FB_OZK_KD_S: Время перестановки</v>
      </c>
      <c r="BA1" s="261"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K1" s="259"/>
      <c r="BL1" s="259"/>
      <c r="BM1" s="259"/>
      <c r="BN1" s="259"/>
    </row>
    <row r="2" spans="1:66">
      <c r="A2" s="9"/>
      <c r="B2" s="9"/>
      <c r="C2" s="9"/>
      <c r="D2" s="9"/>
      <c r="E2" s="9"/>
      <c r="F2" s="9"/>
      <c r="P2" s="2" t="s">
        <v>715</v>
      </c>
      <c r="Q2" s="2" t="s">
        <v>767</v>
      </c>
      <c r="R2" s="2" t="s">
        <v>596</v>
      </c>
      <c r="S2" s="3">
        <v>1</v>
      </c>
      <c r="T2" s="3" t="s">
        <v>1698</v>
      </c>
      <c r="U2" s="3"/>
      <c r="V2" s="3" t="s">
        <v>569</v>
      </c>
      <c r="W2" s="12"/>
      <c r="X2" s="12" t="s">
        <v>295</v>
      </c>
      <c r="Y2" s="12"/>
      <c r="Z2" s="12"/>
      <c r="AA2" s="12"/>
      <c r="AB2" s="2"/>
      <c r="AC2" s="2"/>
      <c r="AD2" s="2"/>
      <c r="AE2" s="2" t="s">
        <v>1414</v>
      </c>
      <c r="AF2" s="2"/>
      <c r="AG2" s="2"/>
      <c r="AH2" s="2"/>
      <c r="AI2" s="2"/>
      <c r="AJ2" s="2"/>
      <c r="AK2" s="2"/>
      <c r="AL2" s="2" t="s">
        <v>1241</v>
      </c>
      <c r="AM2" s="2" t="s">
        <v>1242</v>
      </c>
      <c r="AN2" s="2" t="s">
        <v>1243</v>
      </c>
      <c r="AO2" s="2" t="s">
        <v>1244</v>
      </c>
      <c r="AP2" s="2" t="s">
        <v>1245</v>
      </c>
      <c r="AQ2" s="2" t="s">
        <v>1246</v>
      </c>
      <c r="AR2" s="2"/>
      <c r="AS2" s="2"/>
      <c r="AT2" s="2"/>
      <c r="AU2" s="2"/>
      <c r="AV2" s="2"/>
      <c r="AW2" s="2"/>
      <c r="AX2" s="2"/>
      <c r="AY2" s="2"/>
      <c r="AZ2" s="2"/>
      <c r="BA2" s="2"/>
      <c r="BK2" s="4"/>
      <c r="BL2" s="4"/>
      <c r="BM2" s="4"/>
      <c r="BN2" s="4"/>
    </row>
    <row r="3" spans="1:66">
      <c r="A3" s="9"/>
      <c r="B3" s="9"/>
      <c r="C3" s="9"/>
      <c r="D3" s="9"/>
      <c r="E3" s="9"/>
      <c r="F3" s="9"/>
      <c r="P3" s="10"/>
      <c r="Q3" s="10"/>
      <c r="R3" s="10"/>
      <c r="S3" s="10"/>
      <c r="T3" s="10"/>
      <c r="U3" s="10"/>
      <c r="V3" s="10"/>
      <c r="W3" s="10"/>
      <c r="X3" s="10"/>
      <c r="Y3" s="10"/>
      <c r="Z3" s="10"/>
      <c r="AA3" s="10"/>
      <c r="BK3" s="4"/>
      <c r="BL3" s="4"/>
      <c r="BM3" s="4"/>
      <c r="BN3" s="4"/>
    </row>
    <row r="4" spans="1:66">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K4" s="4"/>
      <c r="BL4" s="4"/>
      <c r="BM4" s="4"/>
      <c r="BN4" s="4"/>
    </row>
    <row r="5" spans="1:66">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K5" s="4"/>
      <c r="BL5" s="4"/>
      <c r="BM5" s="4"/>
      <c r="BN5" s="4"/>
    </row>
    <row r="6" spans="1:66">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K6" s="4"/>
      <c r="BL6" s="4"/>
      <c r="BM6" s="4"/>
      <c r="BN6" s="4"/>
    </row>
    <row r="7" spans="1:66">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K7" s="4"/>
      <c r="BL7" s="4"/>
      <c r="BM7" s="4"/>
      <c r="BN7" s="4"/>
    </row>
    <row r="8" spans="1:66">
      <c r="A8" s="9"/>
      <c r="B8" s="9"/>
      <c r="C8" s="9"/>
      <c r="D8" s="9"/>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BK8" s="4"/>
      <c r="BL8" s="4"/>
      <c r="BM8" s="4"/>
      <c r="BN8" s="4"/>
    </row>
    <row r="9" spans="1:66">
      <c r="A9" s="9"/>
      <c r="B9" s="9"/>
      <c r="C9" s="9"/>
      <c r="D9" s="9"/>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BK9" s="4"/>
      <c r="BL9" s="4"/>
      <c r="BM9" s="4"/>
      <c r="BN9" s="4"/>
    </row>
    <row r="10" spans="1:66">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BK10" s="4"/>
      <c r="BL10" s="4"/>
      <c r="BM10" s="4"/>
      <c r="BN10" s="4"/>
    </row>
    <row r="11" spans="1:66">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BK11" s="4"/>
      <c r="BL11" s="4"/>
      <c r="BM11" s="4"/>
      <c r="BN11" s="4"/>
    </row>
    <row r="12" spans="1:66">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BK12" s="4"/>
      <c r="BL12" s="4"/>
      <c r="BM12" s="4"/>
      <c r="BN12" s="4"/>
    </row>
    <row r="13" spans="1:66">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K13" s="4"/>
      <c r="BL13" s="4"/>
      <c r="BM13" s="4"/>
      <c r="BN13" s="4"/>
    </row>
    <row r="14" spans="1:66">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K14" s="4"/>
      <c r="BL14" s="4"/>
      <c r="BM14" s="4"/>
      <c r="BN14" s="4"/>
    </row>
    <row r="15" spans="1:66">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K15" s="4"/>
      <c r="BL15" s="4"/>
      <c r="BM15" s="4"/>
      <c r="BN15" s="4"/>
    </row>
    <row r="16" spans="1:66">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K16" s="4"/>
      <c r="BL16" s="4"/>
      <c r="BM16" s="4"/>
      <c r="BN16" s="4"/>
    </row>
    <row r="17" spans="1:66">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K17" s="4"/>
      <c r="BL17" s="4"/>
      <c r="BM17" s="4"/>
      <c r="BN17" s="4"/>
    </row>
    <row r="18" spans="1:66">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K18" s="4"/>
      <c r="BL18" s="4"/>
      <c r="BM18" s="4"/>
      <c r="BN18" s="4"/>
    </row>
    <row r="19" spans="1:66">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K19" s="4"/>
      <c r="BL19" s="4"/>
      <c r="BM19" s="4"/>
      <c r="BN19" s="4"/>
    </row>
    <row r="20" spans="1:66">
      <c r="A20" s="16" t="str">
        <f t="shared" ref="A20:A34" si="0">$R$2</f>
        <v>FB_REG_S</v>
      </c>
      <c r="B20" s="17">
        <v>11001</v>
      </c>
      <c r="C20" s="17" t="s">
        <v>0</v>
      </c>
      <c r="D20" s="18" t="str">
        <f>$Q$2&amp;". "</f>
        <v xml:space="preserve">Регулятор FB. </v>
      </c>
      <c r="E20" s="4"/>
      <c r="F20" s="4"/>
      <c r="BK20" s="4"/>
      <c r="BL20" s="4"/>
      <c r="BM20" s="4"/>
      <c r="BN20" s="4"/>
    </row>
    <row r="21" spans="1:66">
      <c r="A21" s="19" t="str">
        <f t="shared" si="0"/>
        <v>FB_REG_S</v>
      </c>
      <c r="B21" s="11">
        <v>11156</v>
      </c>
      <c r="C21" s="11" t="s">
        <v>0</v>
      </c>
      <c r="D21" s="20" t="str">
        <f>$V$2</f>
        <v>Тестовый экран</v>
      </c>
      <c r="E21" s="4"/>
      <c r="F21" s="4"/>
      <c r="BK21" s="4"/>
      <c r="BL21" s="4"/>
      <c r="BM21" s="4"/>
      <c r="BN21" s="4"/>
    </row>
    <row r="22" spans="1:66">
      <c r="A22" s="19" t="str">
        <f t="shared" si="0"/>
        <v>FB_REG_S</v>
      </c>
      <c r="B22" s="11">
        <v>1</v>
      </c>
      <c r="C22" s="11" t="s">
        <v>1</v>
      </c>
      <c r="D22" s="20">
        <v>17</v>
      </c>
      <c r="BK22" s="4"/>
      <c r="BL22" s="4"/>
      <c r="BM22" s="4"/>
      <c r="BN22" s="4"/>
    </row>
    <row r="23" spans="1:66" ht="15" customHeight="1">
      <c r="A23" s="16" t="str">
        <f t="shared" si="0"/>
        <v>FB_REG_S</v>
      </c>
      <c r="B23" s="17">
        <v>100</v>
      </c>
      <c r="C23" s="17" t="s">
        <v>0</v>
      </c>
      <c r="D23" s="18" t="b">
        <f>$T$7</f>
        <v>0</v>
      </c>
      <c r="BF23" s="4"/>
      <c r="BG23" s="4"/>
      <c r="BH23" s="4"/>
      <c r="BI23" s="4"/>
    </row>
    <row r="24" spans="1:66">
      <c r="A24" s="19" t="str">
        <f t="shared" si="0"/>
        <v>FB_REG_S</v>
      </c>
      <c r="B24" s="11">
        <v>11120</v>
      </c>
      <c r="C24" s="11" t="s">
        <v>0</v>
      </c>
      <c r="D24" s="20" t="str">
        <f>$X$2</f>
        <v>С</v>
      </c>
      <c r="BK24" s="4"/>
      <c r="BL24" s="4"/>
      <c r="BM24" s="4"/>
      <c r="BN24" s="4"/>
    </row>
    <row r="25" spans="1:66">
      <c r="A25" s="19" t="str">
        <f t="shared" si="0"/>
        <v>FB_REG_S</v>
      </c>
      <c r="B25" s="11">
        <v>11121</v>
      </c>
      <c r="C25" s="11" t="s">
        <v>0</v>
      </c>
      <c r="D25" s="20" t="str">
        <f>$AL$2</f>
        <v>3+2</v>
      </c>
      <c r="BK25" s="4"/>
      <c r="BL25" s="4"/>
      <c r="BM25" s="4"/>
      <c r="BN25" s="4"/>
    </row>
    <row r="26" spans="1:66">
      <c r="A26" s="19" t="str">
        <f t="shared" si="0"/>
        <v>FB_REG_S</v>
      </c>
      <c r="B26" s="11">
        <v>11122</v>
      </c>
      <c r="C26" s="11" t="s">
        <v>0</v>
      </c>
      <c r="D26" s="20" t="str">
        <f>$AM$2</f>
        <v>3+3</v>
      </c>
      <c r="BK26" s="4"/>
      <c r="BL26" s="4"/>
      <c r="BM26" s="4"/>
      <c r="BN26" s="4"/>
    </row>
    <row r="27" spans="1:66">
      <c r="A27" s="19" t="str">
        <f t="shared" si="0"/>
        <v>FB_REG_S</v>
      </c>
      <c r="B27" s="11">
        <v>11123</v>
      </c>
      <c r="C27" s="11" t="s">
        <v>0</v>
      </c>
      <c r="D27" s="20" t="str">
        <f>$AN$2</f>
        <v>1+15</v>
      </c>
      <c r="BK27" s="4"/>
      <c r="BL27" s="4"/>
      <c r="BM27" s="4"/>
      <c r="BN27" s="4"/>
    </row>
    <row r="28" spans="1:66">
      <c r="A28" s="19" t="str">
        <f t="shared" si="0"/>
        <v>FB_REG_S</v>
      </c>
      <c r="B28" s="11">
        <v>11124</v>
      </c>
      <c r="C28" s="11" t="s">
        <v>0</v>
      </c>
      <c r="D28" s="20" t="str">
        <f>$AO$2</f>
        <v>1+16</v>
      </c>
      <c r="BK28" s="4"/>
      <c r="BL28" s="4"/>
      <c r="BM28" s="4"/>
      <c r="BN28" s="4"/>
    </row>
    <row r="29" spans="1:66">
      <c r="A29" s="19" t="str">
        <f t="shared" si="0"/>
        <v>FB_REG_S</v>
      </c>
      <c r="B29" s="11">
        <v>11125</v>
      </c>
      <c r="C29" s="11" t="s">
        <v>0</v>
      </c>
      <c r="D29" s="20" t="str">
        <f>$AP$2</f>
        <v>1+17</v>
      </c>
      <c r="BK29" s="4"/>
      <c r="BL29" s="4"/>
      <c r="BM29" s="4"/>
      <c r="BN29" s="4"/>
    </row>
    <row r="30" spans="1:66">
      <c r="A30" s="19" t="str">
        <f t="shared" si="0"/>
        <v>FB_REG_S</v>
      </c>
      <c r="B30" s="11">
        <v>11126</v>
      </c>
      <c r="C30" s="11" t="s">
        <v>0</v>
      </c>
      <c r="D30" s="20" t="str">
        <f>$AQ$2</f>
        <v>4+1</v>
      </c>
      <c r="BK30" s="4"/>
      <c r="BL30" s="4"/>
      <c r="BM30" s="4"/>
      <c r="BN30" s="4"/>
    </row>
    <row r="31" spans="1:66" ht="15" customHeight="1">
      <c r="A31" s="16" t="str">
        <f t="shared" si="0"/>
        <v>FB_REG_S</v>
      </c>
      <c r="B31" s="17">
        <v>13</v>
      </c>
      <c r="C31" s="17" t="s">
        <v>2</v>
      </c>
      <c r="D31" s="18" t="s">
        <v>3</v>
      </c>
      <c r="BF31" s="4"/>
      <c r="BG31" s="4"/>
      <c r="BH31" s="4"/>
      <c r="BI31" s="4"/>
    </row>
    <row r="32" spans="1:66" ht="15" customHeight="1">
      <c r="A32" s="19" t="str">
        <f t="shared" si="0"/>
        <v>FB_REG_S</v>
      </c>
      <c r="B32" s="11">
        <v>3000013</v>
      </c>
      <c r="C32" s="11" t="s">
        <v>0</v>
      </c>
      <c r="D32" s="20" t="str">
        <f>$AE$2</f>
        <v>Диагностика.CPU.NOT_LINK.noLink</v>
      </c>
      <c r="BF32" s="4"/>
      <c r="BG32" s="4"/>
      <c r="BH32" s="4"/>
      <c r="BI32" s="4"/>
    </row>
    <row r="33" spans="1:66" ht="15" customHeight="1">
      <c r="A33" s="19" t="str">
        <f t="shared" si="0"/>
        <v>FB_REG_S</v>
      </c>
      <c r="B33" s="11">
        <v>4000013</v>
      </c>
      <c r="C33" s="11" t="s">
        <v>0</v>
      </c>
      <c r="D33" s="20" t="s">
        <v>1770</v>
      </c>
      <c r="BF33" s="4"/>
      <c r="BG33" s="4"/>
      <c r="BH33" s="4"/>
      <c r="BI33" s="4"/>
    </row>
    <row r="34" spans="1:66" ht="15" customHeight="1">
      <c r="A34" s="21" t="str">
        <f t="shared" si="0"/>
        <v>FB_REG_S</v>
      </c>
      <c r="B34" s="8">
        <v>7000013</v>
      </c>
      <c r="C34" s="8" t="s">
        <v>6</v>
      </c>
      <c r="D34" s="22">
        <v>2</v>
      </c>
      <c r="BF34" s="4"/>
      <c r="BG34" s="4"/>
      <c r="BH34" s="4"/>
      <c r="BI34" s="4"/>
    </row>
    <row r="35" spans="1:66">
      <c r="A35" s="63" t="str">
        <f t="shared" ref="A35:A44" si="1">$R$2&amp;".ILCX"</f>
        <v>FB_REG_S.ILCX</v>
      </c>
      <c r="B35" s="64">
        <v>11154</v>
      </c>
      <c r="C35" s="64" t="s">
        <v>4</v>
      </c>
      <c r="D35" s="98">
        <f>$Q$6</f>
        <v>8</v>
      </c>
      <c r="BK35" s="4"/>
      <c r="BL35" s="4"/>
      <c r="BM35" s="4"/>
      <c r="BN35" s="4"/>
    </row>
    <row r="36" spans="1:66">
      <c r="A36" s="63" t="str">
        <f t="shared" si="1"/>
        <v>FB_REG_S.ILCX</v>
      </c>
      <c r="B36" s="64">
        <v>11150</v>
      </c>
      <c r="C36" s="64" t="s">
        <v>0</v>
      </c>
      <c r="D36" s="65" t="s">
        <v>188</v>
      </c>
      <c r="BK36" s="4"/>
      <c r="BL36" s="4"/>
      <c r="BM36" s="4"/>
      <c r="BN36" s="4"/>
    </row>
    <row r="37" spans="1:66">
      <c r="A37" s="63" t="str">
        <f t="shared" si="1"/>
        <v>FB_REG_S.ILCX</v>
      </c>
      <c r="B37" s="64">
        <v>11152</v>
      </c>
      <c r="C37" s="64" t="s">
        <v>0</v>
      </c>
      <c r="D37" s="99" t="str">
        <f>$R$6</f>
        <v>Предупреждение</v>
      </c>
      <c r="BK37" s="4"/>
      <c r="BL37" s="4"/>
      <c r="BM37" s="4"/>
      <c r="BN37" s="4"/>
    </row>
    <row r="38" spans="1:66">
      <c r="A38" s="63" t="str">
        <f t="shared" si="1"/>
        <v>FB_REG_S.ILCX</v>
      </c>
      <c r="B38" s="64">
        <v>11000</v>
      </c>
      <c r="C38" s="64" t="s">
        <v>5</v>
      </c>
      <c r="D38" s="65">
        <v>2147483680</v>
      </c>
      <c r="BK38" s="4"/>
      <c r="BL38" s="4"/>
      <c r="BM38" s="4"/>
      <c r="BN38" s="4"/>
    </row>
    <row r="39" spans="1:66">
      <c r="A39" s="19" t="str">
        <f t="shared" si="1"/>
        <v>FB_REG_S.ILCX</v>
      </c>
      <c r="B39" s="11">
        <v>7999</v>
      </c>
      <c r="C39" s="11" t="s">
        <v>0</v>
      </c>
      <c r="D39" s="20" t="str">
        <f>"#"&amp;$S$2&amp;"#"&amp;$T$2&amp;"\"&amp;$P$2&amp;"\ILCX"</f>
        <v>#1#treiOPCDA.CoOPCserv.1\pcmaster\REG_test\ILCX</v>
      </c>
      <c r="BK39" s="4"/>
      <c r="BL39" s="4"/>
      <c r="BM39" s="4"/>
      <c r="BN39" s="4"/>
    </row>
    <row r="40" spans="1:66">
      <c r="A40" s="19" t="str">
        <f t="shared" si="1"/>
        <v>FB_REG_S.ILCX</v>
      </c>
      <c r="B40" s="11">
        <v>7998</v>
      </c>
      <c r="C40" s="11" t="s">
        <v>6</v>
      </c>
      <c r="D40" s="20">
        <v>1</v>
      </c>
      <c r="BK40" s="4"/>
      <c r="BL40" s="4"/>
      <c r="BM40" s="4"/>
      <c r="BN40" s="4"/>
    </row>
    <row r="41" spans="1:66">
      <c r="A41" s="19" t="str">
        <f t="shared" si="1"/>
        <v>FB_REG_S.ILCX</v>
      </c>
      <c r="B41" s="11">
        <v>101</v>
      </c>
      <c r="C41" s="11" t="s">
        <v>0</v>
      </c>
      <c r="D41" s="20" t="s">
        <v>194</v>
      </c>
      <c r="BK41" s="4"/>
      <c r="BL41" s="4"/>
      <c r="BM41" s="4"/>
      <c r="BN41" s="4"/>
    </row>
    <row r="42" spans="1:66">
      <c r="A42" s="19" t="str">
        <f t="shared" si="1"/>
        <v>FB_REG_S.ILCX</v>
      </c>
      <c r="B42" s="11">
        <v>3</v>
      </c>
      <c r="C42" s="11" t="s">
        <v>1</v>
      </c>
      <c r="D42" s="20">
        <v>192</v>
      </c>
      <c r="BK42" s="4"/>
      <c r="BL42" s="4"/>
      <c r="BM42" s="4"/>
      <c r="BN42" s="4"/>
    </row>
    <row r="43" spans="1:66">
      <c r="A43" s="19" t="str">
        <f t="shared" si="1"/>
        <v>FB_REG_S.ILCX</v>
      </c>
      <c r="B43" s="11">
        <v>2</v>
      </c>
      <c r="C43" s="11" t="s">
        <v>2</v>
      </c>
      <c r="D43" s="20" t="s">
        <v>3</v>
      </c>
      <c r="BK43" s="4"/>
      <c r="BL43" s="4"/>
      <c r="BM43" s="4"/>
      <c r="BN43" s="4"/>
    </row>
    <row r="44" spans="1:66">
      <c r="A44" s="21" t="str">
        <f t="shared" si="1"/>
        <v>FB_REG_S.ILCX</v>
      </c>
      <c r="B44" s="8">
        <v>1</v>
      </c>
      <c r="C44" s="8" t="s">
        <v>1</v>
      </c>
      <c r="D44" s="22">
        <v>11</v>
      </c>
      <c r="BK44" s="4"/>
      <c r="BL44" s="4"/>
      <c r="BM44" s="4"/>
      <c r="BN44" s="4"/>
    </row>
    <row r="45" spans="1:66">
      <c r="A45" s="69" t="str">
        <f>$R$2&amp;".CBXX"</f>
        <v>FB_REG_S.CBXX</v>
      </c>
      <c r="B45" s="70">
        <v>11154</v>
      </c>
      <c r="C45" s="70" t="s">
        <v>4</v>
      </c>
      <c r="D45" s="144">
        <f>$Q$6</f>
        <v>8</v>
      </c>
      <c r="BK45" s="4"/>
      <c r="BL45" s="4"/>
      <c r="BM45" s="4"/>
      <c r="BN45" s="4"/>
    </row>
    <row r="46" spans="1:66">
      <c r="A46" s="63" t="str">
        <f t="shared" ref="A46:A54" si="2">$R$2&amp;".CBXX"</f>
        <v>FB_REG_S.CBXX</v>
      </c>
      <c r="B46" s="64">
        <v>11150</v>
      </c>
      <c r="C46" s="64" t="s">
        <v>0</v>
      </c>
      <c r="D46" s="65" t="s">
        <v>2754</v>
      </c>
      <c r="BK46" s="4"/>
      <c r="BL46" s="4"/>
      <c r="BM46" s="4"/>
      <c r="BN46" s="4"/>
    </row>
    <row r="47" spans="1:66">
      <c r="A47" s="63" t="str">
        <f t="shared" si="2"/>
        <v>FB_REG_S.CBXX</v>
      </c>
      <c r="B47" s="64">
        <v>11152</v>
      </c>
      <c r="C47" s="64" t="s">
        <v>0</v>
      </c>
      <c r="D47" s="99" t="str">
        <f>$R$6</f>
        <v>Предупреждение</v>
      </c>
      <c r="BK47" s="4"/>
      <c r="BL47" s="4"/>
      <c r="BM47" s="4"/>
      <c r="BN47" s="4"/>
    </row>
    <row r="48" spans="1:66">
      <c r="A48" s="63" t="str">
        <f t="shared" si="2"/>
        <v>FB_REG_S.CBXX</v>
      </c>
      <c r="B48" s="64">
        <v>11000</v>
      </c>
      <c r="C48" s="64" t="s">
        <v>5</v>
      </c>
      <c r="D48" s="65">
        <v>2147483680</v>
      </c>
      <c r="BK48" s="4"/>
      <c r="BL48" s="4"/>
      <c r="BM48" s="4"/>
      <c r="BN48" s="4"/>
    </row>
    <row r="49" spans="1:66">
      <c r="A49" s="19" t="str">
        <f t="shared" si="2"/>
        <v>FB_REG_S.CBXX</v>
      </c>
      <c r="B49" s="11">
        <v>7999</v>
      </c>
      <c r="C49" s="11" t="s">
        <v>0</v>
      </c>
      <c r="D49" s="20" t="str">
        <f>"#"&amp;$S$2&amp;"#"&amp;$T$2&amp;"\"&amp;$P$2&amp;"\CBXX"</f>
        <v>#1#treiOPCDA.CoOPCserv.1\pcmaster\REG_test\CBXX</v>
      </c>
      <c r="BK49" s="4"/>
      <c r="BL49" s="4"/>
      <c r="BM49" s="4"/>
      <c r="BN49" s="4"/>
    </row>
    <row r="50" spans="1:66">
      <c r="A50" s="19" t="str">
        <f t="shared" si="2"/>
        <v>FB_REG_S.CBXX</v>
      </c>
      <c r="B50" s="11">
        <v>7998</v>
      </c>
      <c r="C50" s="11" t="s">
        <v>6</v>
      </c>
      <c r="D50" s="20">
        <v>1</v>
      </c>
      <c r="BK50" s="4"/>
      <c r="BL50" s="4"/>
      <c r="BM50" s="4"/>
      <c r="BN50" s="4"/>
    </row>
    <row r="51" spans="1:66">
      <c r="A51" s="19" t="str">
        <f t="shared" si="2"/>
        <v>FB_REG_S.CBXX</v>
      </c>
      <c r="B51" s="11">
        <v>101</v>
      </c>
      <c r="C51" s="11" t="s">
        <v>0</v>
      </c>
      <c r="D51" s="20" t="s">
        <v>2754</v>
      </c>
      <c r="BK51" s="4"/>
      <c r="BL51" s="4"/>
      <c r="BM51" s="4"/>
      <c r="BN51" s="4"/>
    </row>
    <row r="52" spans="1:66">
      <c r="A52" s="19" t="str">
        <f t="shared" si="2"/>
        <v>FB_REG_S.CBXX</v>
      </c>
      <c r="B52" s="11">
        <v>3</v>
      </c>
      <c r="C52" s="11" t="s">
        <v>1</v>
      </c>
      <c r="D52" s="20">
        <v>192</v>
      </c>
      <c r="BK52" s="4"/>
      <c r="BL52" s="4"/>
      <c r="BM52" s="4"/>
      <c r="BN52" s="4"/>
    </row>
    <row r="53" spans="1:66">
      <c r="A53" s="19" t="str">
        <f t="shared" si="2"/>
        <v>FB_REG_S.CBXX</v>
      </c>
      <c r="B53" s="11">
        <v>2</v>
      </c>
      <c r="C53" s="11" t="s">
        <v>2</v>
      </c>
      <c r="D53" s="20" t="s">
        <v>3</v>
      </c>
      <c r="BK53" s="4"/>
      <c r="BL53" s="4"/>
      <c r="BM53" s="4"/>
      <c r="BN53" s="4"/>
    </row>
    <row r="54" spans="1:66">
      <c r="A54" s="21" t="str">
        <f t="shared" si="2"/>
        <v>FB_REG_S.CBXX</v>
      </c>
      <c r="B54" s="8">
        <v>1</v>
      </c>
      <c r="C54" s="8" t="s">
        <v>1</v>
      </c>
      <c r="D54" s="22">
        <v>11</v>
      </c>
      <c r="BK54" s="4"/>
      <c r="BL54" s="4"/>
      <c r="BM54" s="4"/>
      <c r="BN54" s="4"/>
    </row>
    <row r="55" spans="1:66">
      <c r="A55" s="69" t="str">
        <f>$R$2&amp;".CEXX"</f>
        <v>FB_REG_S.CEXX</v>
      </c>
      <c r="B55" s="70">
        <v>11154</v>
      </c>
      <c r="C55" s="70" t="s">
        <v>4</v>
      </c>
      <c r="D55" s="144">
        <f>$Q$6</f>
        <v>8</v>
      </c>
      <c r="BK55" s="4"/>
      <c r="BL55" s="4"/>
      <c r="BM55" s="4"/>
      <c r="BN55" s="4"/>
    </row>
    <row r="56" spans="1:66">
      <c r="A56" s="63" t="str">
        <f t="shared" ref="A56:A64" si="3">$R$2&amp;".CEXX"</f>
        <v>FB_REG_S.CEXX</v>
      </c>
      <c r="B56" s="64">
        <v>11150</v>
      </c>
      <c r="C56" s="64" t="s">
        <v>0</v>
      </c>
      <c r="D56" s="65" t="s">
        <v>2753</v>
      </c>
      <c r="BK56" s="4"/>
      <c r="BL56" s="4"/>
      <c r="BM56" s="4"/>
      <c r="BN56" s="4"/>
    </row>
    <row r="57" spans="1:66">
      <c r="A57" s="63" t="str">
        <f t="shared" si="3"/>
        <v>FB_REG_S.CEXX</v>
      </c>
      <c r="B57" s="64">
        <v>11152</v>
      </c>
      <c r="C57" s="64" t="s">
        <v>0</v>
      </c>
      <c r="D57" s="99" t="str">
        <f>$R$6</f>
        <v>Предупреждение</v>
      </c>
      <c r="BK57" s="4"/>
      <c r="BL57" s="4"/>
      <c r="BM57" s="4"/>
      <c r="BN57" s="4"/>
    </row>
    <row r="58" spans="1:66">
      <c r="A58" s="63" t="str">
        <f t="shared" si="3"/>
        <v>FB_REG_S.CEXX</v>
      </c>
      <c r="B58" s="64">
        <v>11000</v>
      </c>
      <c r="C58" s="64" t="s">
        <v>5</v>
      </c>
      <c r="D58" s="65">
        <v>2147483680</v>
      </c>
      <c r="BK58" s="4"/>
      <c r="BL58" s="4"/>
      <c r="BM58" s="4"/>
      <c r="BN58" s="4"/>
    </row>
    <row r="59" spans="1:66">
      <c r="A59" s="19" t="str">
        <f t="shared" si="3"/>
        <v>FB_REG_S.CEXX</v>
      </c>
      <c r="B59" s="11">
        <v>7999</v>
      </c>
      <c r="C59" s="11" t="s">
        <v>0</v>
      </c>
      <c r="D59" s="20" t="str">
        <f>"#"&amp;$S$2&amp;"#"&amp;$T$2&amp;"\"&amp;$P$2&amp;"\CEXX"</f>
        <v>#1#treiOPCDA.CoOPCserv.1\pcmaster\REG_test\CEXX</v>
      </c>
      <c r="BK59" s="4"/>
      <c r="BL59" s="4"/>
      <c r="BM59" s="4"/>
      <c r="BN59" s="4"/>
    </row>
    <row r="60" spans="1:66">
      <c r="A60" s="19" t="str">
        <f t="shared" si="3"/>
        <v>FB_REG_S.CEXX</v>
      </c>
      <c r="B60" s="11">
        <v>7998</v>
      </c>
      <c r="C60" s="11" t="s">
        <v>6</v>
      </c>
      <c r="D60" s="20">
        <v>1</v>
      </c>
      <c r="BK60" s="4"/>
      <c r="BL60" s="4"/>
      <c r="BM60" s="4"/>
      <c r="BN60" s="4"/>
    </row>
    <row r="61" spans="1:66">
      <c r="A61" s="19" t="str">
        <f t="shared" si="3"/>
        <v>FB_REG_S.CEXX</v>
      </c>
      <c r="B61" s="11">
        <v>101</v>
      </c>
      <c r="C61" s="11" t="s">
        <v>0</v>
      </c>
      <c r="D61" s="20" t="s">
        <v>2753</v>
      </c>
      <c r="BK61" s="4"/>
      <c r="BL61" s="4"/>
      <c r="BM61" s="4"/>
      <c r="BN61" s="4"/>
    </row>
    <row r="62" spans="1:66">
      <c r="A62" s="19" t="str">
        <f t="shared" si="3"/>
        <v>FB_REG_S.CEXX</v>
      </c>
      <c r="B62" s="11">
        <v>3</v>
      </c>
      <c r="C62" s="11" t="s">
        <v>1</v>
      </c>
      <c r="D62" s="20">
        <v>192</v>
      </c>
      <c r="BK62" s="4"/>
      <c r="BL62" s="4"/>
      <c r="BM62" s="4"/>
      <c r="BN62" s="4"/>
    </row>
    <row r="63" spans="1:66">
      <c r="A63" s="19" t="str">
        <f t="shared" si="3"/>
        <v>FB_REG_S.CEXX</v>
      </c>
      <c r="B63" s="11">
        <v>2</v>
      </c>
      <c r="C63" s="11" t="s">
        <v>2</v>
      </c>
      <c r="D63" s="20" t="s">
        <v>3</v>
      </c>
      <c r="BK63" s="4"/>
      <c r="BL63" s="4"/>
      <c r="BM63" s="4"/>
      <c r="BN63" s="4"/>
    </row>
    <row r="64" spans="1:66">
      <c r="A64" s="21" t="str">
        <f t="shared" si="3"/>
        <v>FB_REG_S.CEXX</v>
      </c>
      <c r="B64" s="8">
        <v>1</v>
      </c>
      <c r="C64" s="8" t="s">
        <v>1</v>
      </c>
      <c r="D64" s="22">
        <v>11</v>
      </c>
      <c r="BK64" s="4"/>
      <c r="BL64" s="4"/>
      <c r="BM64" s="4"/>
      <c r="BN64" s="4"/>
    </row>
    <row r="65" spans="1:66">
      <c r="A65" s="69" t="str">
        <f t="shared" ref="A65:A74" si="4">$R$2&amp;".XMMX"</f>
        <v>FB_REG_S.XMMX</v>
      </c>
      <c r="B65" s="70">
        <v>11154</v>
      </c>
      <c r="C65" s="70" t="s">
        <v>4</v>
      </c>
      <c r="D65" s="144">
        <f>$Q$6</f>
        <v>8</v>
      </c>
      <c r="BK65" s="4"/>
      <c r="BL65" s="4"/>
      <c r="BM65" s="4"/>
      <c r="BN65" s="4"/>
    </row>
    <row r="66" spans="1:66">
      <c r="A66" s="63" t="str">
        <f t="shared" si="4"/>
        <v>FB_REG_S.XMMX</v>
      </c>
      <c r="B66" s="64">
        <v>11150</v>
      </c>
      <c r="C66" s="64" t="s">
        <v>0</v>
      </c>
      <c r="D66" s="65" t="s">
        <v>134</v>
      </c>
      <c r="BK66" s="4"/>
      <c r="BL66" s="4"/>
      <c r="BM66" s="4"/>
      <c r="BN66" s="4"/>
    </row>
    <row r="67" spans="1:66">
      <c r="A67" s="63" t="str">
        <f t="shared" si="4"/>
        <v>FB_REG_S.XMMX</v>
      </c>
      <c r="B67" s="64">
        <v>11152</v>
      </c>
      <c r="C67" s="64" t="s">
        <v>0</v>
      </c>
      <c r="D67" s="99" t="str">
        <f>$R$6</f>
        <v>Предупреждение</v>
      </c>
      <c r="BK67" s="4"/>
      <c r="BL67" s="4"/>
      <c r="BM67" s="4"/>
      <c r="BN67" s="4"/>
    </row>
    <row r="68" spans="1:66">
      <c r="A68" s="63" t="str">
        <f t="shared" si="4"/>
        <v>FB_REG_S.XMMX</v>
      </c>
      <c r="B68" s="64">
        <v>11000</v>
      </c>
      <c r="C68" s="64" t="s">
        <v>5</v>
      </c>
      <c r="D68" s="65">
        <v>2147483680</v>
      </c>
      <c r="BK68" s="4"/>
      <c r="BL68" s="4"/>
      <c r="BM68" s="4"/>
      <c r="BN68" s="4"/>
    </row>
    <row r="69" spans="1:66">
      <c r="A69" s="19" t="str">
        <f t="shared" si="4"/>
        <v>FB_REG_S.XMMX</v>
      </c>
      <c r="B69" s="11">
        <v>7999</v>
      </c>
      <c r="C69" s="11" t="s">
        <v>0</v>
      </c>
      <c r="D69" s="20" t="str">
        <f>"#"&amp;$S$2&amp;"#"&amp;$T$2&amp;"\"&amp;$P$2&amp;"\XMMX"</f>
        <v>#1#treiOPCDA.CoOPCserv.1\pcmaster\REG_test\XMMX</v>
      </c>
      <c r="BK69" s="4"/>
      <c r="BL69" s="4"/>
      <c r="BM69" s="4"/>
      <c r="BN69" s="4"/>
    </row>
    <row r="70" spans="1:66">
      <c r="A70" s="19" t="str">
        <f t="shared" si="4"/>
        <v>FB_REG_S.XMMX</v>
      </c>
      <c r="B70" s="11">
        <v>7998</v>
      </c>
      <c r="C70" s="11" t="s">
        <v>6</v>
      </c>
      <c r="D70" s="20">
        <v>1</v>
      </c>
      <c r="BK70" s="4"/>
      <c r="BL70" s="4"/>
      <c r="BM70" s="4"/>
      <c r="BN70" s="4"/>
    </row>
    <row r="71" spans="1:66">
      <c r="A71" s="19" t="str">
        <f t="shared" si="4"/>
        <v>FB_REG_S.XMMX</v>
      </c>
      <c r="B71" s="11">
        <v>101</v>
      </c>
      <c r="C71" s="11" t="s">
        <v>0</v>
      </c>
      <c r="D71" s="20" t="s">
        <v>199</v>
      </c>
      <c r="BK71" s="4"/>
      <c r="BL71" s="4"/>
      <c r="BM71" s="4"/>
      <c r="BN71" s="4"/>
    </row>
    <row r="72" spans="1:66">
      <c r="A72" s="19" t="str">
        <f t="shared" si="4"/>
        <v>FB_REG_S.XMMX</v>
      </c>
      <c r="B72" s="11">
        <v>3</v>
      </c>
      <c r="C72" s="11" t="s">
        <v>1</v>
      </c>
      <c r="D72" s="20">
        <v>192</v>
      </c>
      <c r="BK72" s="4"/>
      <c r="BL72" s="4"/>
      <c r="BM72" s="4"/>
      <c r="BN72" s="4"/>
    </row>
    <row r="73" spans="1:66">
      <c r="A73" s="19" t="str">
        <f t="shared" si="4"/>
        <v>FB_REG_S.XMMX</v>
      </c>
      <c r="B73" s="11">
        <v>2</v>
      </c>
      <c r="C73" s="11" t="s">
        <v>2</v>
      </c>
      <c r="D73" s="20" t="s">
        <v>3</v>
      </c>
      <c r="BK73" s="4"/>
      <c r="BL73" s="4"/>
      <c r="BM73" s="4"/>
      <c r="BN73" s="4"/>
    </row>
    <row r="74" spans="1:66">
      <c r="A74" s="21" t="str">
        <f t="shared" si="4"/>
        <v>FB_REG_S.XMMX</v>
      </c>
      <c r="B74" s="8">
        <v>1</v>
      </c>
      <c r="C74" s="8" t="s">
        <v>1</v>
      </c>
      <c r="D74" s="22">
        <v>11</v>
      </c>
      <c r="BK74" s="4"/>
      <c r="BL74" s="4"/>
      <c r="BM74" s="4"/>
      <c r="BN74" s="4"/>
    </row>
    <row r="75" spans="1:66">
      <c r="A75" s="217" t="str">
        <f t="shared" ref="A75:A84" si="5">$R$2&amp;".IFXX"</f>
        <v>FB_REG_S.IFXX</v>
      </c>
      <c r="B75" s="218">
        <v>11154</v>
      </c>
      <c r="C75" s="218" t="s">
        <v>4</v>
      </c>
      <c r="D75" s="219">
        <f>$Q$7</f>
        <v>12</v>
      </c>
      <c r="BK75" s="4"/>
      <c r="BL75" s="4"/>
      <c r="BM75" s="4"/>
      <c r="BN75" s="4"/>
    </row>
    <row r="76" spans="1:66">
      <c r="A76" s="211" t="str">
        <f t="shared" si="5"/>
        <v>FB_REG_S.IFXX</v>
      </c>
      <c r="B76" s="212">
        <v>11150</v>
      </c>
      <c r="C76" s="212" t="s">
        <v>0</v>
      </c>
      <c r="D76" s="213" t="s">
        <v>110</v>
      </c>
      <c r="BK76" s="4"/>
      <c r="BL76" s="4"/>
      <c r="BM76" s="4"/>
      <c r="BN76" s="4"/>
    </row>
    <row r="77" spans="1:66">
      <c r="A77" s="211" t="str">
        <f t="shared" si="5"/>
        <v>FB_REG_S.IFXX</v>
      </c>
      <c r="B77" s="212">
        <v>11152</v>
      </c>
      <c r="C77" s="212" t="s">
        <v>0</v>
      </c>
      <c r="D77" s="220" t="str">
        <f>$R$7</f>
        <v>Неисправность</v>
      </c>
      <c r="BK77" s="4"/>
      <c r="BL77" s="4"/>
      <c r="BM77" s="4"/>
      <c r="BN77" s="4"/>
    </row>
    <row r="78" spans="1:66">
      <c r="A78" s="211" t="str">
        <f t="shared" si="5"/>
        <v>FB_REG_S.IFXX</v>
      </c>
      <c r="B78" s="212">
        <v>11000</v>
      </c>
      <c r="C78" s="212" t="s">
        <v>5</v>
      </c>
      <c r="D78" s="213">
        <v>2147483680</v>
      </c>
      <c r="BK78" s="4"/>
      <c r="BL78" s="4"/>
      <c r="BM78" s="4"/>
      <c r="BN78" s="4"/>
    </row>
    <row r="79" spans="1:66">
      <c r="A79" s="19" t="str">
        <f t="shared" si="5"/>
        <v>FB_REG_S.IFXX</v>
      </c>
      <c r="B79" s="11">
        <v>7999</v>
      </c>
      <c r="C79" s="11" t="s">
        <v>0</v>
      </c>
      <c r="D79" s="20" t="str">
        <f>"#"&amp;$S$2&amp;"#"&amp;$T$2&amp;"\"&amp;$P$2&amp;"\IFXX"</f>
        <v>#1#treiOPCDA.CoOPCserv.1\pcmaster\REG_test\IFXX</v>
      </c>
      <c r="BK79" s="4"/>
      <c r="BL79" s="4"/>
      <c r="BM79" s="4"/>
      <c r="BN79" s="4"/>
    </row>
    <row r="80" spans="1:66">
      <c r="A80" s="19" t="str">
        <f t="shared" si="5"/>
        <v>FB_REG_S.IFXX</v>
      </c>
      <c r="B80" s="11">
        <v>7998</v>
      </c>
      <c r="C80" s="11" t="s">
        <v>6</v>
      </c>
      <c r="D80" s="20">
        <v>1</v>
      </c>
      <c r="BK80" s="4"/>
      <c r="BL80" s="4"/>
      <c r="BM80" s="4"/>
      <c r="BN80" s="4"/>
    </row>
    <row r="81" spans="1:66">
      <c r="A81" s="19" t="str">
        <f t="shared" si="5"/>
        <v>FB_REG_S.IFXX</v>
      </c>
      <c r="B81" s="11">
        <v>101</v>
      </c>
      <c r="C81" s="11" t="s">
        <v>0</v>
      </c>
      <c r="D81" s="20" t="s">
        <v>195</v>
      </c>
      <c r="BK81" s="4"/>
      <c r="BL81" s="4"/>
      <c r="BM81" s="4"/>
      <c r="BN81" s="4"/>
    </row>
    <row r="82" spans="1:66">
      <c r="A82" s="19" t="str">
        <f t="shared" si="5"/>
        <v>FB_REG_S.IFXX</v>
      </c>
      <c r="B82" s="11">
        <v>3</v>
      </c>
      <c r="C82" s="11" t="s">
        <v>1</v>
      </c>
      <c r="D82" s="20">
        <v>192</v>
      </c>
      <c r="BK82" s="4"/>
      <c r="BL82" s="4"/>
      <c r="BM82" s="4"/>
      <c r="BN82" s="4"/>
    </row>
    <row r="83" spans="1:66">
      <c r="A83" s="19" t="str">
        <f t="shared" si="5"/>
        <v>FB_REG_S.IFXX</v>
      </c>
      <c r="B83" s="11">
        <v>2</v>
      </c>
      <c r="C83" s="11" t="s">
        <v>2</v>
      </c>
      <c r="D83" s="20" t="s">
        <v>3</v>
      </c>
      <c r="BK83" s="4"/>
      <c r="BL83" s="4"/>
      <c r="BM83" s="4"/>
      <c r="BN83" s="4"/>
    </row>
    <row r="84" spans="1:66">
      <c r="A84" s="21" t="str">
        <f t="shared" si="5"/>
        <v>FB_REG_S.IFXX</v>
      </c>
      <c r="B84" s="8">
        <v>1</v>
      </c>
      <c r="C84" s="8" t="s">
        <v>1</v>
      </c>
      <c r="D84" s="22">
        <v>11</v>
      </c>
      <c r="BK84" s="4"/>
      <c r="BL84" s="4"/>
      <c r="BM84" s="4"/>
      <c r="BN84" s="4"/>
    </row>
    <row r="85" spans="1:66">
      <c r="A85" s="217" t="str">
        <f t="shared" ref="A85:A94" si="6">$R$2&amp;".FSCX"</f>
        <v>FB_REG_S.FSCX</v>
      </c>
      <c r="B85" s="218">
        <v>11154</v>
      </c>
      <c r="C85" s="218" t="s">
        <v>4</v>
      </c>
      <c r="D85" s="219">
        <f>$Q$7</f>
        <v>12</v>
      </c>
      <c r="BK85" s="4"/>
      <c r="BL85" s="4"/>
      <c r="BM85" s="4"/>
      <c r="BN85" s="4"/>
    </row>
    <row r="86" spans="1:66">
      <c r="A86" s="211" t="str">
        <f t="shared" si="6"/>
        <v>FB_REG_S.FSCX</v>
      </c>
      <c r="B86" s="212">
        <v>11150</v>
      </c>
      <c r="C86" s="212" t="s">
        <v>0</v>
      </c>
      <c r="D86" s="213" t="s">
        <v>2750</v>
      </c>
      <c r="BK86" s="4"/>
      <c r="BL86" s="4"/>
      <c r="BM86" s="4"/>
      <c r="BN86" s="4"/>
    </row>
    <row r="87" spans="1:66">
      <c r="A87" s="211" t="str">
        <f t="shared" si="6"/>
        <v>FB_REG_S.FSCX</v>
      </c>
      <c r="B87" s="212">
        <v>11152</v>
      </c>
      <c r="C87" s="212" t="s">
        <v>0</v>
      </c>
      <c r="D87" s="220" t="str">
        <f>$R$7</f>
        <v>Неисправность</v>
      </c>
      <c r="BK87" s="4"/>
      <c r="BL87" s="4"/>
      <c r="BM87" s="4"/>
      <c r="BN87" s="4"/>
    </row>
    <row r="88" spans="1:66">
      <c r="A88" s="211" t="str">
        <f t="shared" si="6"/>
        <v>FB_REG_S.FSCX</v>
      </c>
      <c r="B88" s="212">
        <v>11000</v>
      </c>
      <c r="C88" s="212" t="s">
        <v>5</v>
      </c>
      <c r="D88" s="213">
        <v>2147483680</v>
      </c>
      <c r="BK88" s="4"/>
      <c r="BL88" s="4"/>
      <c r="BM88" s="4"/>
      <c r="BN88" s="4"/>
    </row>
    <row r="89" spans="1:66">
      <c r="A89" s="19" t="str">
        <f t="shared" si="6"/>
        <v>FB_REG_S.FSCX</v>
      </c>
      <c r="B89" s="11">
        <v>7999</v>
      </c>
      <c r="C89" s="11" t="s">
        <v>0</v>
      </c>
      <c r="D89" s="20" t="str">
        <f>"#"&amp;$S$2&amp;"#"&amp;$T$2&amp;"\"&amp;$P$2&amp;"\FSCX"</f>
        <v>#1#treiOPCDA.CoOPCserv.1\pcmaster\REG_test\FSCX</v>
      </c>
      <c r="BK89" s="4"/>
      <c r="BL89" s="4"/>
      <c r="BM89" s="4"/>
      <c r="BN89" s="4"/>
    </row>
    <row r="90" spans="1:66">
      <c r="A90" s="19" t="str">
        <f t="shared" si="6"/>
        <v>FB_REG_S.FSCX</v>
      </c>
      <c r="B90" s="11">
        <v>7998</v>
      </c>
      <c r="C90" s="11" t="s">
        <v>6</v>
      </c>
      <c r="D90" s="20">
        <v>1</v>
      </c>
      <c r="BK90" s="4"/>
      <c r="BL90" s="4"/>
      <c r="BM90" s="4"/>
      <c r="BN90" s="4"/>
    </row>
    <row r="91" spans="1:66">
      <c r="A91" s="19" t="str">
        <f t="shared" si="6"/>
        <v>FB_REG_S.FSCX</v>
      </c>
      <c r="B91" s="11">
        <v>101</v>
      </c>
      <c r="C91" s="11" t="s">
        <v>0</v>
      </c>
      <c r="D91" s="20" t="s">
        <v>2750</v>
      </c>
      <c r="BK91" s="4"/>
      <c r="BL91" s="4"/>
      <c r="BM91" s="4"/>
      <c r="BN91" s="4"/>
    </row>
    <row r="92" spans="1:66">
      <c r="A92" s="19" t="str">
        <f t="shared" si="6"/>
        <v>FB_REG_S.FSCX</v>
      </c>
      <c r="B92" s="11">
        <v>3</v>
      </c>
      <c r="C92" s="11" t="s">
        <v>1</v>
      </c>
      <c r="D92" s="20">
        <v>192</v>
      </c>
      <c r="BK92" s="4"/>
      <c r="BL92" s="4"/>
      <c r="BM92" s="4"/>
      <c r="BN92" s="4"/>
    </row>
    <row r="93" spans="1:66">
      <c r="A93" s="19" t="str">
        <f t="shared" si="6"/>
        <v>FB_REG_S.FSCX</v>
      </c>
      <c r="B93" s="11">
        <v>2</v>
      </c>
      <c r="C93" s="11" t="s">
        <v>2</v>
      </c>
      <c r="D93" s="20" t="s">
        <v>3</v>
      </c>
      <c r="BK93" s="4"/>
      <c r="BL93" s="4"/>
      <c r="BM93" s="4"/>
      <c r="BN93" s="4"/>
    </row>
    <row r="94" spans="1:66">
      <c r="A94" s="21" t="str">
        <f t="shared" si="6"/>
        <v>FB_REG_S.FSCX</v>
      </c>
      <c r="B94" s="8">
        <v>1</v>
      </c>
      <c r="C94" s="8" t="s">
        <v>1</v>
      </c>
      <c r="D94" s="22">
        <v>11</v>
      </c>
      <c r="BK94" s="4"/>
      <c r="BL94" s="4"/>
      <c r="BM94" s="4"/>
      <c r="BN94" s="4"/>
    </row>
    <row r="95" spans="1:66">
      <c r="A95" s="217" t="str">
        <f t="shared" ref="A95:A104" si="7">$R$2&amp;".FBXX"</f>
        <v>FB_REG_S.FBXX</v>
      </c>
      <c r="B95" s="218">
        <v>11154</v>
      </c>
      <c r="C95" s="218" t="s">
        <v>4</v>
      </c>
      <c r="D95" s="219">
        <f>$Q$7</f>
        <v>12</v>
      </c>
      <c r="BK95" s="4"/>
      <c r="BL95" s="4"/>
      <c r="BM95" s="4"/>
      <c r="BN95" s="4"/>
    </row>
    <row r="96" spans="1:66">
      <c r="A96" s="211" t="str">
        <f t="shared" si="7"/>
        <v>FB_REG_S.FBXX</v>
      </c>
      <c r="B96" s="212">
        <v>11150</v>
      </c>
      <c r="C96" s="212" t="s">
        <v>0</v>
      </c>
      <c r="D96" s="213" t="s">
        <v>2751</v>
      </c>
      <c r="BK96" s="4"/>
      <c r="BL96" s="4"/>
      <c r="BM96" s="4"/>
      <c r="BN96" s="4"/>
    </row>
    <row r="97" spans="1:66">
      <c r="A97" s="211" t="str">
        <f t="shared" si="7"/>
        <v>FB_REG_S.FBXX</v>
      </c>
      <c r="B97" s="212">
        <v>11152</v>
      </c>
      <c r="C97" s="212" t="s">
        <v>0</v>
      </c>
      <c r="D97" s="220" t="str">
        <f>$R$7</f>
        <v>Неисправность</v>
      </c>
      <c r="BK97" s="4"/>
      <c r="BL97" s="4"/>
      <c r="BM97" s="4"/>
      <c r="BN97" s="4"/>
    </row>
    <row r="98" spans="1:66">
      <c r="A98" s="211" t="str">
        <f t="shared" si="7"/>
        <v>FB_REG_S.FBXX</v>
      </c>
      <c r="B98" s="212">
        <v>11000</v>
      </c>
      <c r="C98" s="212" t="s">
        <v>5</v>
      </c>
      <c r="D98" s="213">
        <v>2147483680</v>
      </c>
      <c r="BK98" s="4"/>
      <c r="BL98" s="4"/>
      <c r="BM98" s="4"/>
      <c r="BN98" s="4"/>
    </row>
    <row r="99" spans="1:66">
      <c r="A99" s="19" t="str">
        <f t="shared" si="7"/>
        <v>FB_REG_S.FBXX</v>
      </c>
      <c r="B99" s="11">
        <v>7999</v>
      </c>
      <c r="C99" s="11" t="s">
        <v>0</v>
      </c>
      <c r="D99" s="20" t="str">
        <f>"#"&amp;$S$2&amp;"#"&amp;$T$2&amp;"\"&amp;$P$2&amp;"\FBXX"</f>
        <v>#1#treiOPCDA.CoOPCserv.1\pcmaster\REG_test\FBXX</v>
      </c>
      <c r="BK99" s="4"/>
      <c r="BL99" s="4"/>
      <c r="BM99" s="4"/>
      <c r="BN99" s="4"/>
    </row>
    <row r="100" spans="1:66">
      <c r="A100" s="19" t="str">
        <f t="shared" si="7"/>
        <v>FB_REG_S.FBXX</v>
      </c>
      <c r="B100" s="11">
        <v>7998</v>
      </c>
      <c r="C100" s="11" t="s">
        <v>6</v>
      </c>
      <c r="D100" s="20">
        <v>1</v>
      </c>
      <c r="BK100" s="4"/>
      <c r="BL100" s="4"/>
      <c r="BM100" s="4"/>
      <c r="BN100" s="4"/>
    </row>
    <row r="101" spans="1:66">
      <c r="A101" s="19" t="str">
        <f t="shared" si="7"/>
        <v>FB_REG_S.FBXX</v>
      </c>
      <c r="B101" s="11">
        <v>101</v>
      </c>
      <c r="C101" s="11" t="s">
        <v>0</v>
      </c>
      <c r="D101" s="20" t="s">
        <v>2751</v>
      </c>
      <c r="BK101" s="4"/>
      <c r="BL101" s="4"/>
      <c r="BM101" s="4"/>
      <c r="BN101" s="4"/>
    </row>
    <row r="102" spans="1:66">
      <c r="A102" s="19" t="str">
        <f t="shared" si="7"/>
        <v>FB_REG_S.FBXX</v>
      </c>
      <c r="B102" s="11">
        <v>3</v>
      </c>
      <c r="C102" s="11" t="s">
        <v>1</v>
      </c>
      <c r="D102" s="20">
        <v>192</v>
      </c>
      <c r="BK102" s="4"/>
      <c r="BL102" s="4"/>
      <c r="BM102" s="4"/>
      <c r="BN102" s="4"/>
    </row>
    <row r="103" spans="1:66">
      <c r="A103" s="19" t="str">
        <f t="shared" si="7"/>
        <v>FB_REG_S.FBXX</v>
      </c>
      <c r="B103" s="11">
        <v>2</v>
      </c>
      <c r="C103" s="11" t="s">
        <v>2</v>
      </c>
      <c r="D103" s="20" t="s">
        <v>3</v>
      </c>
      <c r="BK103" s="4"/>
      <c r="BL103" s="4"/>
      <c r="BM103" s="4"/>
      <c r="BN103" s="4"/>
    </row>
    <row r="104" spans="1:66">
      <c r="A104" s="21" t="str">
        <f t="shared" si="7"/>
        <v>FB_REG_S.FBXX</v>
      </c>
      <c r="B104" s="8">
        <v>1</v>
      </c>
      <c r="C104" s="8" t="s">
        <v>1</v>
      </c>
      <c r="D104" s="22">
        <v>11</v>
      </c>
      <c r="BK104" s="4"/>
      <c r="BL104" s="4"/>
      <c r="BM104" s="4"/>
      <c r="BN104" s="4"/>
    </row>
    <row r="105" spans="1:66">
      <c r="A105" s="217" t="str">
        <f t="shared" ref="A105:A114" si="8">$R$2&amp;".FMVX"</f>
        <v>FB_REG_S.FMVX</v>
      </c>
      <c r="B105" s="218">
        <v>11154</v>
      </c>
      <c r="C105" s="218" t="s">
        <v>4</v>
      </c>
      <c r="D105" s="219">
        <f>$Q$7</f>
        <v>12</v>
      </c>
      <c r="BK105" s="4"/>
      <c r="BL105" s="4"/>
      <c r="BM105" s="4"/>
      <c r="BN105" s="4"/>
    </row>
    <row r="106" spans="1:66">
      <c r="A106" s="211" t="str">
        <f t="shared" si="8"/>
        <v>FB_REG_S.FMVX</v>
      </c>
      <c r="B106" s="212">
        <v>11150</v>
      </c>
      <c r="C106" s="212" t="s">
        <v>0</v>
      </c>
      <c r="D106" s="213" t="s">
        <v>198</v>
      </c>
      <c r="BK106" s="4"/>
      <c r="BL106" s="4"/>
      <c r="BM106" s="4"/>
      <c r="BN106" s="4"/>
    </row>
    <row r="107" spans="1:66">
      <c r="A107" s="211" t="str">
        <f t="shared" si="8"/>
        <v>FB_REG_S.FMVX</v>
      </c>
      <c r="B107" s="212">
        <v>11152</v>
      </c>
      <c r="C107" s="212" t="s">
        <v>0</v>
      </c>
      <c r="D107" s="220" t="str">
        <f>$R$7</f>
        <v>Неисправность</v>
      </c>
      <c r="BK107" s="4"/>
      <c r="BL107" s="4"/>
      <c r="BM107" s="4"/>
      <c r="BN107" s="4"/>
    </row>
    <row r="108" spans="1:66">
      <c r="A108" s="211" t="str">
        <f t="shared" si="8"/>
        <v>FB_REG_S.FMVX</v>
      </c>
      <c r="B108" s="212">
        <v>11000</v>
      </c>
      <c r="C108" s="212" t="s">
        <v>5</v>
      </c>
      <c r="D108" s="213">
        <v>2147483680</v>
      </c>
      <c r="BK108" s="4"/>
      <c r="BL108" s="4"/>
      <c r="BM108" s="4"/>
      <c r="BN108" s="4"/>
    </row>
    <row r="109" spans="1:66">
      <c r="A109" s="19" t="str">
        <f t="shared" si="8"/>
        <v>FB_REG_S.FMVX</v>
      </c>
      <c r="B109" s="11">
        <v>7999</v>
      </c>
      <c r="C109" s="11" t="s">
        <v>0</v>
      </c>
      <c r="D109" s="20" t="str">
        <f>"#"&amp;$S$2&amp;"#"&amp;$T$2&amp;"\"&amp;$P$2&amp;"\FMVX"</f>
        <v>#1#treiOPCDA.CoOPCserv.1\pcmaster\REG_test\FMVX</v>
      </c>
      <c r="BK109" s="4"/>
      <c r="BL109" s="4"/>
      <c r="BM109" s="4"/>
      <c r="BN109" s="4"/>
    </row>
    <row r="110" spans="1:66">
      <c r="A110" s="19" t="str">
        <f t="shared" si="8"/>
        <v>FB_REG_S.FMVX</v>
      </c>
      <c r="B110" s="11">
        <v>7998</v>
      </c>
      <c r="C110" s="11" t="s">
        <v>6</v>
      </c>
      <c r="D110" s="20">
        <v>1</v>
      </c>
      <c r="BK110" s="4"/>
      <c r="BL110" s="4"/>
      <c r="BM110" s="4"/>
      <c r="BN110" s="4"/>
    </row>
    <row r="111" spans="1:66">
      <c r="A111" s="19" t="str">
        <f t="shared" si="8"/>
        <v>FB_REG_S.FMVX</v>
      </c>
      <c r="B111" s="11">
        <v>101</v>
      </c>
      <c r="C111" s="11" t="s">
        <v>0</v>
      </c>
      <c r="D111" s="20" t="s">
        <v>198</v>
      </c>
      <c r="BK111" s="4"/>
      <c r="BL111" s="4"/>
      <c r="BM111" s="4"/>
      <c r="BN111" s="4"/>
    </row>
    <row r="112" spans="1:66">
      <c r="A112" s="19" t="str">
        <f t="shared" si="8"/>
        <v>FB_REG_S.FMVX</v>
      </c>
      <c r="B112" s="11">
        <v>3</v>
      </c>
      <c r="C112" s="11" t="s">
        <v>1</v>
      </c>
      <c r="D112" s="20">
        <v>192</v>
      </c>
      <c r="BK112" s="4"/>
      <c r="BL112" s="4"/>
      <c r="BM112" s="4"/>
      <c r="BN112" s="4"/>
    </row>
    <row r="113" spans="1:66">
      <c r="A113" s="19" t="str">
        <f t="shared" si="8"/>
        <v>FB_REG_S.FMVX</v>
      </c>
      <c r="B113" s="11">
        <v>2</v>
      </c>
      <c r="C113" s="11" t="s">
        <v>2</v>
      </c>
      <c r="D113" s="20" t="s">
        <v>3</v>
      </c>
      <c r="BK113" s="4"/>
      <c r="BL113" s="4"/>
      <c r="BM113" s="4"/>
      <c r="BN113" s="4"/>
    </row>
    <row r="114" spans="1:66">
      <c r="A114" s="21" t="str">
        <f t="shared" si="8"/>
        <v>FB_REG_S.FMVX</v>
      </c>
      <c r="B114" s="8">
        <v>1</v>
      </c>
      <c r="C114" s="8" t="s">
        <v>1</v>
      </c>
      <c r="D114" s="22">
        <v>11</v>
      </c>
      <c r="BK114" s="4"/>
      <c r="BL114" s="4"/>
      <c r="BM114" s="4"/>
      <c r="BN114" s="4"/>
    </row>
    <row r="115" spans="1:66">
      <c r="A115" s="217" t="str">
        <f t="shared" ref="A115:A124" si="9">$R$2&amp;".FUCM"</f>
        <v>FB_REG_S.FUCM</v>
      </c>
      <c r="B115" s="218">
        <v>11154</v>
      </c>
      <c r="C115" s="218" t="s">
        <v>4</v>
      </c>
      <c r="D115" s="219">
        <f>$Q$7</f>
        <v>12</v>
      </c>
      <c r="BK115" s="4"/>
      <c r="BL115" s="4"/>
      <c r="BM115" s="4"/>
      <c r="BN115" s="4"/>
    </row>
    <row r="116" spans="1:66">
      <c r="A116" s="211" t="str">
        <f t="shared" si="9"/>
        <v>FB_REG_S.FUCM</v>
      </c>
      <c r="B116" s="212">
        <v>11150</v>
      </c>
      <c r="C116" s="212" t="s">
        <v>0</v>
      </c>
      <c r="D116" s="213" t="s">
        <v>167</v>
      </c>
      <c r="BK116" s="4"/>
      <c r="BL116" s="4"/>
      <c r="BM116" s="4"/>
      <c r="BN116" s="4"/>
    </row>
    <row r="117" spans="1:66">
      <c r="A117" s="211" t="str">
        <f t="shared" si="9"/>
        <v>FB_REG_S.FUCM</v>
      </c>
      <c r="B117" s="212">
        <v>11152</v>
      </c>
      <c r="C117" s="212" t="s">
        <v>0</v>
      </c>
      <c r="D117" s="220" t="str">
        <f>$R$7</f>
        <v>Неисправность</v>
      </c>
      <c r="BK117" s="4"/>
      <c r="BL117" s="4"/>
      <c r="BM117" s="4"/>
      <c r="BN117" s="4"/>
    </row>
    <row r="118" spans="1:66">
      <c r="A118" s="211" t="str">
        <f t="shared" si="9"/>
        <v>FB_REG_S.FUCM</v>
      </c>
      <c r="B118" s="212">
        <v>11000</v>
      </c>
      <c r="C118" s="212" t="s">
        <v>5</v>
      </c>
      <c r="D118" s="213">
        <v>2147483680</v>
      </c>
      <c r="BK118" s="4"/>
      <c r="BL118" s="4"/>
      <c r="BM118" s="4"/>
      <c r="BN118" s="4"/>
    </row>
    <row r="119" spans="1:66">
      <c r="A119" s="19" t="str">
        <f t="shared" si="9"/>
        <v>FB_REG_S.FUCM</v>
      </c>
      <c r="B119" s="11">
        <v>7999</v>
      </c>
      <c r="C119" s="11" t="s">
        <v>0</v>
      </c>
      <c r="D119" s="20" t="str">
        <f>"#"&amp;$S$2&amp;"#"&amp;$T$2&amp;"\"&amp;$P$2&amp;"\FUCM"</f>
        <v>#1#treiOPCDA.CoOPCserv.1\pcmaster\REG_test\FUCM</v>
      </c>
      <c r="BK119" s="4"/>
      <c r="BL119" s="4"/>
      <c r="BM119" s="4"/>
      <c r="BN119" s="4"/>
    </row>
    <row r="120" spans="1:66">
      <c r="A120" s="19" t="str">
        <f t="shared" si="9"/>
        <v>FB_REG_S.FUCM</v>
      </c>
      <c r="B120" s="11">
        <v>7998</v>
      </c>
      <c r="C120" s="11" t="s">
        <v>6</v>
      </c>
      <c r="D120" s="20">
        <v>1</v>
      </c>
      <c r="BK120" s="4"/>
      <c r="BL120" s="4"/>
      <c r="BM120" s="4"/>
      <c r="BN120" s="4"/>
    </row>
    <row r="121" spans="1:66">
      <c r="A121" s="19" t="str">
        <f t="shared" si="9"/>
        <v>FB_REG_S.FUCM</v>
      </c>
      <c r="B121" s="11">
        <v>101</v>
      </c>
      <c r="C121" s="11" t="s">
        <v>0</v>
      </c>
      <c r="D121" s="20" t="s">
        <v>167</v>
      </c>
      <c r="BK121" s="4"/>
      <c r="BL121" s="4"/>
      <c r="BM121" s="4"/>
      <c r="BN121" s="4"/>
    </row>
    <row r="122" spans="1:66">
      <c r="A122" s="19" t="str">
        <f t="shared" si="9"/>
        <v>FB_REG_S.FUCM</v>
      </c>
      <c r="B122" s="11">
        <v>3</v>
      </c>
      <c r="C122" s="11" t="s">
        <v>1</v>
      </c>
      <c r="D122" s="20">
        <v>192</v>
      </c>
      <c r="BK122" s="4"/>
      <c r="BL122" s="4"/>
      <c r="BM122" s="4"/>
      <c r="BN122" s="4"/>
    </row>
    <row r="123" spans="1:66">
      <c r="A123" s="19" t="str">
        <f t="shared" si="9"/>
        <v>FB_REG_S.FUCM</v>
      </c>
      <c r="B123" s="11">
        <v>2</v>
      </c>
      <c r="C123" s="11" t="s">
        <v>2</v>
      </c>
      <c r="D123" s="20" t="s">
        <v>3</v>
      </c>
      <c r="BK123" s="4"/>
      <c r="BL123" s="4"/>
      <c r="BM123" s="4"/>
      <c r="BN123" s="4"/>
    </row>
    <row r="124" spans="1:66">
      <c r="A124" s="21" t="str">
        <f t="shared" si="9"/>
        <v>FB_REG_S.FUCM</v>
      </c>
      <c r="B124" s="8">
        <v>1</v>
      </c>
      <c r="C124" s="8" t="s">
        <v>1</v>
      </c>
      <c r="D124" s="22">
        <v>11</v>
      </c>
      <c r="BK124" s="4"/>
      <c r="BL124" s="4"/>
      <c r="BM124" s="4"/>
      <c r="BN124" s="4"/>
    </row>
    <row r="125" spans="1:66">
      <c r="A125" s="217" t="str">
        <f t="shared" ref="A125:A134" si="10">$R$2&amp;".FDCM"</f>
        <v>FB_REG_S.FDCM</v>
      </c>
      <c r="B125" s="218">
        <v>11154</v>
      </c>
      <c r="C125" s="218" t="s">
        <v>4</v>
      </c>
      <c r="D125" s="219">
        <f>$Q$7</f>
        <v>12</v>
      </c>
      <c r="BK125" s="4"/>
      <c r="BL125" s="4"/>
      <c r="BM125" s="4"/>
      <c r="BN125" s="4"/>
    </row>
    <row r="126" spans="1:66">
      <c r="A126" s="211" t="str">
        <f t="shared" si="10"/>
        <v>FB_REG_S.FDCM</v>
      </c>
      <c r="B126" s="212">
        <v>11150</v>
      </c>
      <c r="C126" s="212" t="s">
        <v>0</v>
      </c>
      <c r="D126" s="213" t="s">
        <v>168</v>
      </c>
      <c r="BK126" s="4"/>
      <c r="BL126" s="4"/>
      <c r="BM126" s="4"/>
      <c r="BN126" s="4"/>
    </row>
    <row r="127" spans="1:66">
      <c r="A127" s="211" t="str">
        <f t="shared" si="10"/>
        <v>FB_REG_S.FDCM</v>
      </c>
      <c r="B127" s="212">
        <v>11152</v>
      </c>
      <c r="C127" s="212" t="s">
        <v>0</v>
      </c>
      <c r="D127" s="220" t="str">
        <f>$R$7</f>
        <v>Неисправность</v>
      </c>
      <c r="BK127" s="4"/>
      <c r="BL127" s="4"/>
      <c r="BM127" s="4"/>
      <c r="BN127" s="4"/>
    </row>
    <row r="128" spans="1:66">
      <c r="A128" s="211" t="str">
        <f t="shared" si="10"/>
        <v>FB_REG_S.FDCM</v>
      </c>
      <c r="B128" s="212">
        <v>11000</v>
      </c>
      <c r="C128" s="212" t="s">
        <v>5</v>
      </c>
      <c r="D128" s="213">
        <v>2147483680</v>
      </c>
      <c r="BK128" s="4"/>
      <c r="BL128" s="4"/>
      <c r="BM128" s="4"/>
      <c r="BN128" s="4"/>
    </row>
    <row r="129" spans="1:66">
      <c r="A129" s="19" t="str">
        <f t="shared" si="10"/>
        <v>FB_REG_S.FDCM</v>
      </c>
      <c r="B129" s="11">
        <v>7999</v>
      </c>
      <c r="C129" s="11" t="s">
        <v>0</v>
      </c>
      <c r="D129" s="20" t="str">
        <f>"#"&amp;$S$2&amp;"#"&amp;$T$2&amp;"\"&amp;$P$2&amp;"\FDCM"</f>
        <v>#1#treiOPCDA.CoOPCserv.1\pcmaster\REG_test\FDCM</v>
      </c>
      <c r="BK129" s="4"/>
      <c r="BL129" s="4"/>
      <c r="BM129" s="4"/>
      <c r="BN129" s="4"/>
    </row>
    <row r="130" spans="1:66">
      <c r="A130" s="19" t="str">
        <f t="shared" si="10"/>
        <v>FB_REG_S.FDCM</v>
      </c>
      <c r="B130" s="11">
        <v>7998</v>
      </c>
      <c r="C130" s="11" t="s">
        <v>6</v>
      </c>
      <c r="D130" s="20">
        <v>1</v>
      </c>
      <c r="BK130" s="4"/>
      <c r="BL130" s="4"/>
      <c r="BM130" s="4"/>
      <c r="BN130" s="4"/>
    </row>
    <row r="131" spans="1:66">
      <c r="A131" s="19" t="str">
        <f t="shared" si="10"/>
        <v>FB_REG_S.FDCM</v>
      </c>
      <c r="B131" s="11">
        <v>101</v>
      </c>
      <c r="C131" s="11" t="s">
        <v>0</v>
      </c>
      <c r="D131" s="20" t="s">
        <v>168</v>
      </c>
      <c r="BK131" s="4"/>
      <c r="BL131" s="4"/>
      <c r="BM131" s="4"/>
      <c r="BN131" s="4"/>
    </row>
    <row r="132" spans="1:66">
      <c r="A132" s="19" t="str">
        <f t="shared" si="10"/>
        <v>FB_REG_S.FDCM</v>
      </c>
      <c r="B132" s="11">
        <v>3</v>
      </c>
      <c r="C132" s="11" t="s">
        <v>1</v>
      </c>
      <c r="D132" s="20">
        <v>192</v>
      </c>
      <c r="BK132" s="4"/>
      <c r="BL132" s="4"/>
      <c r="BM132" s="4"/>
      <c r="BN132" s="4"/>
    </row>
    <row r="133" spans="1:66">
      <c r="A133" s="19" t="str">
        <f t="shared" si="10"/>
        <v>FB_REG_S.FDCM</v>
      </c>
      <c r="B133" s="11">
        <v>2</v>
      </c>
      <c r="C133" s="11" t="s">
        <v>2</v>
      </c>
      <c r="D133" s="20" t="s">
        <v>3</v>
      </c>
      <c r="BK133" s="4"/>
      <c r="BL133" s="4"/>
      <c r="BM133" s="4"/>
      <c r="BN133" s="4"/>
    </row>
    <row r="134" spans="1:66">
      <c r="A134" s="21" t="str">
        <f t="shared" si="10"/>
        <v>FB_REG_S.FDCM</v>
      </c>
      <c r="B134" s="8">
        <v>1</v>
      </c>
      <c r="C134" s="8" t="s">
        <v>1</v>
      </c>
      <c r="D134" s="22">
        <v>11</v>
      </c>
      <c r="BK134" s="4"/>
      <c r="BL134" s="4"/>
      <c r="BM134" s="4"/>
      <c r="BN134" s="4"/>
    </row>
    <row r="135" spans="1:66">
      <c r="A135" s="163" t="str">
        <f t="shared" ref="A135:A144" si="11">$R$2&amp;".DLCX"</f>
        <v>FB_REG_S.DLCX</v>
      </c>
      <c r="B135" s="123">
        <v>11154</v>
      </c>
      <c r="C135" s="123" t="s">
        <v>4</v>
      </c>
      <c r="D135" s="124">
        <f>$Q$9</f>
        <v>10</v>
      </c>
      <c r="BK135" s="4"/>
      <c r="BL135" s="4"/>
      <c r="BM135" s="4"/>
      <c r="BN135" s="4"/>
    </row>
    <row r="136" spans="1:66">
      <c r="A136" s="110" t="str">
        <f t="shared" si="11"/>
        <v>FB_REG_S.DLCX</v>
      </c>
      <c r="B136" s="111">
        <v>11150</v>
      </c>
      <c r="C136" s="111" t="s">
        <v>0</v>
      </c>
      <c r="D136" s="112" t="s">
        <v>166</v>
      </c>
      <c r="BK136" s="4"/>
      <c r="BL136" s="4"/>
      <c r="BM136" s="4"/>
      <c r="BN136" s="4"/>
    </row>
    <row r="137" spans="1:66">
      <c r="A137" s="110" t="str">
        <f t="shared" si="11"/>
        <v>FB_REG_S.DLCX</v>
      </c>
      <c r="B137" s="111">
        <v>11152</v>
      </c>
      <c r="C137" s="111" t="s">
        <v>0</v>
      </c>
      <c r="D137" s="113" t="str">
        <f>$R$9</f>
        <v>Недостоверность</v>
      </c>
      <c r="BK137" s="4"/>
      <c r="BL137" s="4"/>
      <c r="BM137" s="4"/>
      <c r="BN137" s="4"/>
    </row>
    <row r="138" spans="1:66">
      <c r="A138" s="110" t="str">
        <f t="shared" si="11"/>
        <v>FB_REG_S.DLCX</v>
      </c>
      <c r="B138" s="111">
        <v>11000</v>
      </c>
      <c r="C138" s="111" t="s">
        <v>5</v>
      </c>
      <c r="D138" s="112">
        <v>2147483680</v>
      </c>
      <c r="BK138" s="4"/>
      <c r="BL138" s="4"/>
      <c r="BM138" s="4"/>
      <c r="BN138" s="4"/>
    </row>
    <row r="139" spans="1:66">
      <c r="A139" s="19" t="str">
        <f t="shared" si="11"/>
        <v>FB_REG_S.DLCX</v>
      </c>
      <c r="B139" s="11">
        <v>7999</v>
      </c>
      <c r="C139" s="11" t="s">
        <v>0</v>
      </c>
      <c r="D139" s="20" t="str">
        <f>"#"&amp;$S$2&amp;"#"&amp;$T$2&amp;"\"&amp;$P$2&amp;"\DLCX"</f>
        <v>#1#treiOPCDA.CoOPCserv.1\pcmaster\REG_test\DLCX</v>
      </c>
      <c r="BK139" s="4"/>
      <c r="BL139" s="4"/>
      <c r="BM139" s="4"/>
      <c r="BN139" s="4"/>
    </row>
    <row r="140" spans="1:66">
      <c r="A140" s="19" t="str">
        <f t="shared" si="11"/>
        <v>FB_REG_S.DLCX</v>
      </c>
      <c r="B140" s="11">
        <v>7998</v>
      </c>
      <c r="C140" s="11" t="s">
        <v>6</v>
      </c>
      <c r="D140" s="20">
        <v>1</v>
      </c>
      <c r="BK140" s="4"/>
      <c r="BL140" s="4"/>
      <c r="BM140" s="4"/>
      <c r="BN140" s="4"/>
    </row>
    <row r="141" spans="1:66">
      <c r="A141" s="19" t="str">
        <f t="shared" si="11"/>
        <v>FB_REG_S.DLCX</v>
      </c>
      <c r="B141" s="11">
        <v>101</v>
      </c>
      <c r="C141" s="11" t="s">
        <v>0</v>
      </c>
      <c r="D141" s="20" t="s">
        <v>578</v>
      </c>
      <c r="BK141" s="4"/>
      <c r="BL141" s="4"/>
      <c r="BM141" s="4"/>
      <c r="BN141" s="4"/>
    </row>
    <row r="142" spans="1:66">
      <c r="A142" s="19" t="str">
        <f t="shared" si="11"/>
        <v>FB_REG_S.DLCX</v>
      </c>
      <c r="B142" s="11">
        <v>3</v>
      </c>
      <c r="C142" s="11" t="s">
        <v>1</v>
      </c>
      <c r="D142" s="20">
        <v>192</v>
      </c>
      <c r="BK142" s="4"/>
      <c r="BL142" s="4"/>
      <c r="BM142" s="4"/>
      <c r="BN142" s="4"/>
    </row>
    <row r="143" spans="1:66">
      <c r="A143" s="19" t="str">
        <f t="shared" si="11"/>
        <v>FB_REG_S.DLCX</v>
      </c>
      <c r="B143" s="11">
        <v>2</v>
      </c>
      <c r="C143" s="11" t="s">
        <v>2</v>
      </c>
      <c r="D143" s="20" t="s">
        <v>3</v>
      </c>
      <c r="BK143" s="4"/>
      <c r="BL143" s="4"/>
      <c r="BM143" s="4"/>
      <c r="BN143" s="4"/>
    </row>
    <row r="144" spans="1:66">
      <c r="A144" s="21" t="str">
        <f t="shared" si="11"/>
        <v>FB_REG_S.DLCX</v>
      </c>
      <c r="B144" s="8">
        <v>1</v>
      </c>
      <c r="C144" s="8" t="s">
        <v>1</v>
      </c>
      <c r="D144" s="22">
        <v>11</v>
      </c>
      <c r="BK144" s="4"/>
      <c r="BL144" s="4"/>
      <c r="BM144" s="4"/>
      <c r="BN144" s="4"/>
    </row>
    <row r="145" spans="1:66">
      <c r="A145" s="163" t="str">
        <f t="shared" ref="A145:A154" si="12">$R$2&amp;".DRCX"</f>
        <v>FB_REG_S.DRCX</v>
      </c>
      <c r="B145" s="123">
        <v>11154</v>
      </c>
      <c r="C145" s="123" t="s">
        <v>4</v>
      </c>
      <c r="D145" s="124">
        <f>$Q$9</f>
        <v>10</v>
      </c>
      <c r="BK145" s="4"/>
      <c r="BL145" s="4"/>
      <c r="BM145" s="4"/>
      <c r="BN145" s="4"/>
    </row>
    <row r="146" spans="1:66">
      <c r="A146" s="110" t="str">
        <f t="shared" si="12"/>
        <v>FB_REG_S.DRCX</v>
      </c>
      <c r="B146" s="111">
        <v>11150</v>
      </c>
      <c r="C146" s="111" t="s">
        <v>0</v>
      </c>
      <c r="D146" s="112" t="s">
        <v>105</v>
      </c>
      <c r="BK146" s="4"/>
      <c r="BL146" s="4"/>
      <c r="BM146" s="4"/>
      <c r="BN146" s="4"/>
    </row>
    <row r="147" spans="1:66">
      <c r="A147" s="110" t="str">
        <f t="shared" si="12"/>
        <v>FB_REG_S.DRCX</v>
      </c>
      <c r="B147" s="111">
        <v>11152</v>
      </c>
      <c r="C147" s="111" t="s">
        <v>0</v>
      </c>
      <c r="D147" s="113" t="str">
        <f>$R$9</f>
        <v>Недостоверность</v>
      </c>
      <c r="BK147" s="4"/>
      <c r="BL147" s="4"/>
      <c r="BM147" s="4"/>
      <c r="BN147" s="4"/>
    </row>
    <row r="148" spans="1:66">
      <c r="A148" s="110" t="str">
        <f t="shared" si="12"/>
        <v>FB_REG_S.DRCX</v>
      </c>
      <c r="B148" s="111">
        <v>11000</v>
      </c>
      <c r="C148" s="111" t="s">
        <v>5</v>
      </c>
      <c r="D148" s="112">
        <v>2147483680</v>
      </c>
      <c r="BK148" s="4"/>
      <c r="BL148" s="4"/>
      <c r="BM148" s="4"/>
      <c r="BN148" s="4"/>
    </row>
    <row r="149" spans="1:66">
      <c r="A149" s="19" t="str">
        <f t="shared" si="12"/>
        <v>FB_REG_S.DRCX</v>
      </c>
      <c r="B149" s="11">
        <v>7999</v>
      </c>
      <c r="C149" s="11" t="s">
        <v>0</v>
      </c>
      <c r="D149" s="20" t="str">
        <f>"#"&amp;$S$2&amp;"#"&amp;$T$2&amp;"\"&amp;$P$2&amp;"\DRCX"</f>
        <v>#1#treiOPCDA.CoOPCserv.1\pcmaster\REG_test\DRCX</v>
      </c>
      <c r="BK149" s="4"/>
      <c r="BL149" s="4"/>
      <c r="BM149" s="4"/>
      <c r="BN149" s="4"/>
    </row>
    <row r="150" spans="1:66">
      <c r="A150" s="19" t="str">
        <f t="shared" si="12"/>
        <v>FB_REG_S.DRCX</v>
      </c>
      <c r="B150" s="11">
        <v>7998</v>
      </c>
      <c r="C150" s="11" t="s">
        <v>6</v>
      </c>
      <c r="D150" s="20">
        <v>1</v>
      </c>
      <c r="BK150" s="4"/>
      <c r="BL150" s="4"/>
      <c r="BM150" s="4"/>
      <c r="BN150" s="4"/>
    </row>
    <row r="151" spans="1:66">
      <c r="A151" s="19" t="str">
        <f t="shared" si="12"/>
        <v>FB_REG_S.DRCX</v>
      </c>
      <c r="B151" s="11">
        <v>101</v>
      </c>
      <c r="C151" s="11" t="s">
        <v>0</v>
      </c>
      <c r="D151" s="20" t="s">
        <v>573</v>
      </c>
      <c r="BK151" s="4"/>
      <c r="BL151" s="4"/>
      <c r="BM151" s="4"/>
      <c r="BN151" s="4"/>
    </row>
    <row r="152" spans="1:66">
      <c r="A152" s="19" t="str">
        <f t="shared" si="12"/>
        <v>FB_REG_S.DRCX</v>
      </c>
      <c r="B152" s="11">
        <v>3</v>
      </c>
      <c r="C152" s="11" t="s">
        <v>1</v>
      </c>
      <c r="D152" s="20">
        <v>192</v>
      </c>
      <c r="BK152" s="4"/>
      <c r="BL152" s="4"/>
      <c r="BM152" s="4"/>
      <c r="BN152" s="4"/>
    </row>
    <row r="153" spans="1:66">
      <c r="A153" s="19" t="str">
        <f t="shared" si="12"/>
        <v>FB_REG_S.DRCX</v>
      </c>
      <c r="B153" s="11">
        <v>2</v>
      </c>
      <c r="C153" s="11" t="s">
        <v>2</v>
      </c>
      <c r="D153" s="20" t="s">
        <v>3</v>
      </c>
      <c r="BK153" s="4"/>
      <c r="BL153" s="4"/>
      <c r="BM153" s="4"/>
      <c r="BN153" s="4"/>
    </row>
    <row r="154" spans="1:66">
      <c r="A154" s="21" t="str">
        <f t="shared" si="12"/>
        <v>FB_REG_S.DRCX</v>
      </c>
      <c r="B154" s="8">
        <v>1</v>
      </c>
      <c r="C154" s="8" t="s">
        <v>1</v>
      </c>
      <c r="D154" s="22">
        <v>11</v>
      </c>
      <c r="BK154" s="4"/>
      <c r="BL154" s="4"/>
      <c r="BM154" s="4"/>
      <c r="BN154" s="4"/>
    </row>
    <row r="155" spans="1:66">
      <c r="A155" s="163" t="str">
        <f t="shared" ref="A155:A164" si="13">$R$2&amp;".DFXX"</f>
        <v>FB_REG_S.DFXX</v>
      </c>
      <c r="B155" s="123">
        <v>11154</v>
      </c>
      <c r="C155" s="123" t="s">
        <v>4</v>
      </c>
      <c r="D155" s="124">
        <f>$Q$9</f>
        <v>10</v>
      </c>
      <c r="BK155" s="4"/>
      <c r="BL155" s="4"/>
      <c r="BM155" s="4"/>
      <c r="BN155" s="4"/>
    </row>
    <row r="156" spans="1:66">
      <c r="A156" s="110" t="str">
        <f t="shared" si="13"/>
        <v>FB_REG_S.DFXX</v>
      </c>
      <c r="B156" s="111">
        <v>11150</v>
      </c>
      <c r="C156" s="111" t="s">
        <v>0</v>
      </c>
      <c r="D156" s="112" t="s">
        <v>104</v>
      </c>
      <c r="BK156" s="4"/>
      <c r="BL156" s="4"/>
      <c r="BM156" s="4"/>
      <c r="BN156" s="4"/>
    </row>
    <row r="157" spans="1:66">
      <c r="A157" s="110" t="str">
        <f t="shared" si="13"/>
        <v>FB_REG_S.DFXX</v>
      </c>
      <c r="B157" s="111">
        <v>11152</v>
      </c>
      <c r="C157" s="111" t="s">
        <v>0</v>
      </c>
      <c r="D157" s="113" t="str">
        <f>$R$9</f>
        <v>Недостоверность</v>
      </c>
      <c r="BK157" s="4"/>
      <c r="BL157" s="4"/>
      <c r="BM157" s="4"/>
      <c r="BN157" s="4"/>
    </row>
    <row r="158" spans="1:66">
      <c r="A158" s="110" t="str">
        <f t="shared" si="13"/>
        <v>FB_REG_S.DFXX</v>
      </c>
      <c r="B158" s="111">
        <v>11000</v>
      </c>
      <c r="C158" s="111" t="s">
        <v>5</v>
      </c>
      <c r="D158" s="112">
        <v>2147483680</v>
      </c>
      <c r="BK158" s="4"/>
      <c r="BL158" s="4"/>
      <c r="BM158" s="4"/>
      <c r="BN158" s="4"/>
    </row>
    <row r="159" spans="1:66">
      <c r="A159" s="19" t="str">
        <f t="shared" si="13"/>
        <v>FB_REG_S.DFXX</v>
      </c>
      <c r="B159" s="11">
        <v>7999</v>
      </c>
      <c r="C159" s="11" t="s">
        <v>0</v>
      </c>
      <c r="D159" s="20" t="str">
        <f>"#"&amp;$S$2&amp;"#"&amp;$T$2&amp;"\"&amp;$P$2&amp;"\DFXX"</f>
        <v>#1#treiOPCDA.CoOPCserv.1\pcmaster\REG_test\DFXX</v>
      </c>
      <c r="BK159" s="4"/>
      <c r="BL159" s="4"/>
      <c r="BM159" s="4"/>
      <c r="BN159" s="4"/>
    </row>
    <row r="160" spans="1:66">
      <c r="A160" s="19" t="str">
        <f t="shared" si="13"/>
        <v>FB_REG_S.DFXX</v>
      </c>
      <c r="B160" s="11">
        <v>7998</v>
      </c>
      <c r="C160" s="11" t="s">
        <v>6</v>
      </c>
      <c r="D160" s="20">
        <v>1</v>
      </c>
      <c r="BK160" s="4"/>
      <c r="BL160" s="4"/>
      <c r="BM160" s="4"/>
      <c r="BN160" s="4"/>
    </row>
    <row r="161" spans="1:66">
      <c r="A161" s="19" t="str">
        <f t="shared" si="13"/>
        <v>FB_REG_S.DFXX</v>
      </c>
      <c r="B161" s="11">
        <v>101</v>
      </c>
      <c r="C161" s="11" t="s">
        <v>0</v>
      </c>
      <c r="D161" s="20" t="s">
        <v>520</v>
      </c>
      <c r="BK161" s="4"/>
      <c r="BL161" s="4"/>
      <c r="BM161" s="4"/>
      <c r="BN161" s="4"/>
    </row>
    <row r="162" spans="1:66">
      <c r="A162" s="19" t="str">
        <f t="shared" si="13"/>
        <v>FB_REG_S.DFXX</v>
      </c>
      <c r="B162" s="11">
        <v>3</v>
      </c>
      <c r="C162" s="11" t="s">
        <v>1</v>
      </c>
      <c r="D162" s="20">
        <v>192</v>
      </c>
      <c r="BK162" s="4"/>
      <c r="BL162" s="4"/>
      <c r="BM162" s="4"/>
      <c r="BN162" s="4"/>
    </row>
    <row r="163" spans="1:66">
      <c r="A163" s="19" t="str">
        <f t="shared" si="13"/>
        <v>FB_REG_S.DFXX</v>
      </c>
      <c r="B163" s="11">
        <v>2</v>
      </c>
      <c r="C163" s="11" t="s">
        <v>2</v>
      </c>
      <c r="D163" s="20" t="s">
        <v>3</v>
      </c>
      <c r="BK163" s="4"/>
      <c r="BL163" s="4"/>
      <c r="BM163" s="4"/>
      <c r="BN163" s="4"/>
    </row>
    <row r="164" spans="1:66">
      <c r="A164" s="21" t="str">
        <f t="shared" si="13"/>
        <v>FB_REG_S.DFXX</v>
      </c>
      <c r="B164" s="8">
        <v>1</v>
      </c>
      <c r="C164" s="8" t="s">
        <v>1</v>
      </c>
      <c r="D164" s="22">
        <v>11</v>
      </c>
      <c r="BK164" s="4"/>
      <c r="BL164" s="4"/>
      <c r="BM164" s="4"/>
      <c r="BN164" s="4"/>
    </row>
    <row r="165" spans="1:66">
      <c r="A165" s="163" t="str">
        <f t="shared" ref="A165:A174" si="14">$R$2&amp;".DCPX"</f>
        <v>FB_REG_S.DCPX</v>
      </c>
      <c r="B165" s="123">
        <v>11154</v>
      </c>
      <c r="C165" s="123" t="s">
        <v>4</v>
      </c>
      <c r="D165" s="124">
        <f>$Q$9</f>
        <v>10</v>
      </c>
      <c r="BK165" s="4"/>
      <c r="BL165" s="4"/>
      <c r="BM165" s="4"/>
      <c r="BN165" s="4"/>
    </row>
    <row r="166" spans="1:66">
      <c r="A166" s="110" t="str">
        <f t="shared" si="14"/>
        <v>FB_REG_S.DCPX</v>
      </c>
      <c r="B166" s="111">
        <v>11150</v>
      </c>
      <c r="C166" s="111" t="s">
        <v>0</v>
      </c>
      <c r="D166" s="112" t="s">
        <v>2747</v>
      </c>
      <c r="BK166" s="4"/>
      <c r="BL166" s="4"/>
      <c r="BM166" s="4"/>
      <c r="BN166" s="4"/>
    </row>
    <row r="167" spans="1:66">
      <c r="A167" s="110" t="str">
        <f t="shared" si="14"/>
        <v>FB_REG_S.DCPX</v>
      </c>
      <c r="B167" s="111">
        <v>11152</v>
      </c>
      <c r="C167" s="111" t="s">
        <v>0</v>
      </c>
      <c r="D167" s="113" t="str">
        <f>$R$9</f>
        <v>Недостоверность</v>
      </c>
      <c r="BK167" s="4"/>
      <c r="BL167" s="4"/>
      <c r="BM167" s="4"/>
      <c r="BN167" s="4"/>
    </row>
    <row r="168" spans="1:66">
      <c r="A168" s="110" t="str">
        <f t="shared" si="14"/>
        <v>FB_REG_S.DCPX</v>
      </c>
      <c r="B168" s="111">
        <v>11000</v>
      </c>
      <c r="C168" s="111" t="s">
        <v>5</v>
      </c>
      <c r="D168" s="112">
        <v>2147483680</v>
      </c>
      <c r="BK168" s="4"/>
      <c r="BL168" s="4"/>
      <c r="BM168" s="4"/>
      <c r="BN168" s="4"/>
    </row>
    <row r="169" spans="1:66">
      <c r="A169" s="19" t="str">
        <f t="shared" si="14"/>
        <v>FB_REG_S.DCPX</v>
      </c>
      <c r="B169" s="11">
        <v>7999</v>
      </c>
      <c r="C169" s="11" t="s">
        <v>0</v>
      </c>
      <c r="D169" s="20" t="str">
        <f>"#"&amp;$S$2&amp;"#"&amp;$T$2&amp;"\"&amp;$P$2&amp;"\DCPX"</f>
        <v>#1#treiOPCDA.CoOPCserv.1\pcmaster\REG_test\DCPX</v>
      </c>
      <c r="BK169" s="4"/>
      <c r="BL169" s="4"/>
      <c r="BM169" s="4"/>
      <c r="BN169" s="4"/>
    </row>
    <row r="170" spans="1:66">
      <c r="A170" s="19" t="str">
        <f t="shared" si="14"/>
        <v>FB_REG_S.DCPX</v>
      </c>
      <c r="B170" s="11">
        <v>7998</v>
      </c>
      <c r="C170" s="11" t="s">
        <v>6</v>
      </c>
      <c r="D170" s="20">
        <v>1</v>
      </c>
      <c r="BK170" s="4"/>
      <c r="BL170" s="4"/>
      <c r="BM170" s="4"/>
      <c r="BN170" s="4"/>
    </row>
    <row r="171" spans="1:66">
      <c r="A171" s="19" t="str">
        <f t="shared" si="14"/>
        <v>FB_REG_S.DCPX</v>
      </c>
      <c r="B171" s="11">
        <v>101</v>
      </c>
      <c r="C171" s="11" t="s">
        <v>0</v>
      </c>
      <c r="D171" s="20" t="s">
        <v>2747</v>
      </c>
      <c r="BK171" s="4"/>
      <c r="BL171" s="4"/>
      <c r="BM171" s="4"/>
      <c r="BN171" s="4"/>
    </row>
    <row r="172" spans="1:66">
      <c r="A172" s="19" t="str">
        <f t="shared" si="14"/>
        <v>FB_REG_S.DCPX</v>
      </c>
      <c r="B172" s="11">
        <v>3</v>
      </c>
      <c r="C172" s="11" t="s">
        <v>1</v>
      </c>
      <c r="D172" s="20">
        <v>192</v>
      </c>
      <c r="BK172" s="4"/>
      <c r="BL172" s="4"/>
      <c r="BM172" s="4"/>
      <c r="BN172" s="4"/>
    </row>
    <row r="173" spans="1:66">
      <c r="A173" s="19" t="str">
        <f t="shared" si="14"/>
        <v>FB_REG_S.DCPX</v>
      </c>
      <c r="B173" s="11">
        <v>2</v>
      </c>
      <c r="C173" s="11" t="s">
        <v>2</v>
      </c>
      <c r="D173" s="20" t="s">
        <v>3</v>
      </c>
      <c r="BK173" s="4"/>
      <c r="BL173" s="4"/>
      <c r="BM173" s="4"/>
      <c r="BN173" s="4"/>
    </row>
    <row r="174" spans="1:66">
      <c r="A174" s="21" t="str">
        <f t="shared" si="14"/>
        <v>FB_REG_S.DCPX</v>
      </c>
      <c r="B174" s="8">
        <v>1</v>
      </c>
      <c r="C174" s="8" t="s">
        <v>1</v>
      </c>
      <c r="D174" s="22">
        <v>11</v>
      </c>
      <c r="BK174" s="4"/>
      <c r="BL174" s="4"/>
      <c r="BM174" s="4"/>
      <c r="BN174" s="4"/>
    </row>
    <row r="175" spans="1:66">
      <c r="A175" s="163" t="str">
        <f>$R$2&amp;".DCAX"</f>
        <v>FB_REG_S.DCAX</v>
      </c>
      <c r="B175" s="123">
        <v>11154</v>
      </c>
      <c r="C175" s="123" t="s">
        <v>4</v>
      </c>
      <c r="D175" s="124">
        <f>$Q$9</f>
        <v>10</v>
      </c>
      <c r="BK175" s="4"/>
      <c r="BL175" s="4"/>
      <c r="BM175" s="4"/>
      <c r="BN175" s="4"/>
    </row>
    <row r="176" spans="1:66">
      <c r="A176" s="110" t="str">
        <f t="shared" ref="A176:A184" si="15">$R$2&amp;".DCAX"</f>
        <v>FB_REG_S.DCAX</v>
      </c>
      <c r="B176" s="111">
        <v>11150</v>
      </c>
      <c r="C176" s="111" t="s">
        <v>0</v>
      </c>
      <c r="D176" s="112" t="s">
        <v>2749</v>
      </c>
      <c r="BK176" s="4"/>
      <c r="BL176" s="4"/>
      <c r="BM176" s="4"/>
      <c r="BN176" s="4"/>
    </row>
    <row r="177" spans="1:66">
      <c r="A177" s="110" t="str">
        <f t="shared" si="15"/>
        <v>FB_REG_S.DCAX</v>
      </c>
      <c r="B177" s="111">
        <v>11152</v>
      </c>
      <c r="C177" s="111" t="s">
        <v>0</v>
      </c>
      <c r="D177" s="113" t="str">
        <f>$R$9</f>
        <v>Недостоверность</v>
      </c>
      <c r="BK177" s="4"/>
      <c r="BL177" s="4"/>
      <c r="BM177" s="4"/>
      <c r="BN177" s="4"/>
    </row>
    <row r="178" spans="1:66">
      <c r="A178" s="110" t="str">
        <f t="shared" si="15"/>
        <v>FB_REG_S.DCAX</v>
      </c>
      <c r="B178" s="111">
        <v>11000</v>
      </c>
      <c r="C178" s="111" t="s">
        <v>5</v>
      </c>
      <c r="D178" s="112">
        <v>2147483680</v>
      </c>
      <c r="BK178" s="4"/>
      <c r="BL178" s="4"/>
      <c r="BM178" s="4"/>
      <c r="BN178" s="4"/>
    </row>
    <row r="179" spans="1:66">
      <c r="A179" s="19" t="str">
        <f t="shared" si="15"/>
        <v>FB_REG_S.DCAX</v>
      </c>
      <c r="B179" s="11">
        <v>7999</v>
      </c>
      <c r="C179" s="11" t="s">
        <v>0</v>
      </c>
      <c r="D179" s="20" t="str">
        <f>"#"&amp;$S$2&amp;"#"&amp;$T$2&amp;"\"&amp;$P$2&amp;"\DCAX"</f>
        <v>#1#treiOPCDA.CoOPCserv.1\pcmaster\REG_test\DCAX</v>
      </c>
      <c r="BK179" s="4"/>
      <c r="BL179" s="4"/>
      <c r="BM179" s="4"/>
      <c r="BN179" s="4"/>
    </row>
    <row r="180" spans="1:66">
      <c r="A180" s="19" t="str">
        <f t="shared" si="15"/>
        <v>FB_REG_S.DCAX</v>
      </c>
      <c r="B180" s="11">
        <v>7998</v>
      </c>
      <c r="C180" s="11" t="s">
        <v>6</v>
      </c>
      <c r="D180" s="20">
        <v>1</v>
      </c>
      <c r="BK180" s="4"/>
      <c r="BL180" s="4"/>
      <c r="BM180" s="4"/>
      <c r="BN180" s="4"/>
    </row>
    <row r="181" spans="1:66">
      <c r="A181" s="19" t="str">
        <f t="shared" si="15"/>
        <v>FB_REG_S.DCAX</v>
      </c>
      <c r="B181" s="11">
        <v>101</v>
      </c>
      <c r="C181" s="11" t="s">
        <v>0</v>
      </c>
      <c r="D181" s="20" t="s">
        <v>2749</v>
      </c>
      <c r="BK181" s="4"/>
      <c r="BL181" s="4"/>
      <c r="BM181" s="4"/>
      <c r="BN181" s="4"/>
    </row>
    <row r="182" spans="1:66">
      <c r="A182" s="19" t="str">
        <f t="shared" si="15"/>
        <v>FB_REG_S.DCAX</v>
      </c>
      <c r="B182" s="11">
        <v>3</v>
      </c>
      <c r="C182" s="11" t="s">
        <v>1</v>
      </c>
      <c r="D182" s="20">
        <v>192</v>
      </c>
      <c r="BK182" s="4"/>
      <c r="BL182" s="4"/>
      <c r="BM182" s="4"/>
      <c r="BN182" s="4"/>
    </row>
    <row r="183" spans="1:66">
      <c r="A183" s="19" t="str">
        <f t="shared" si="15"/>
        <v>FB_REG_S.DCAX</v>
      </c>
      <c r="B183" s="11">
        <v>2</v>
      </c>
      <c r="C183" s="11" t="s">
        <v>2</v>
      </c>
      <c r="D183" s="20" t="s">
        <v>3</v>
      </c>
      <c r="BK183" s="4"/>
      <c r="BL183" s="4"/>
      <c r="BM183" s="4"/>
      <c r="BN183" s="4"/>
    </row>
    <row r="184" spans="1:66">
      <c r="A184" s="21" t="str">
        <f t="shared" si="15"/>
        <v>FB_REG_S.DCAX</v>
      </c>
      <c r="B184" s="8">
        <v>1</v>
      </c>
      <c r="C184" s="8" t="s">
        <v>1</v>
      </c>
      <c r="D184" s="22">
        <v>11</v>
      </c>
      <c r="BK184" s="4"/>
      <c r="BL184" s="4"/>
      <c r="BM184" s="4"/>
      <c r="BN184" s="4"/>
    </row>
    <row r="185" spans="1:66">
      <c r="A185" s="137" t="str">
        <f t="shared" ref="A185:A196" si="16">$R$2&amp;".XRPX"</f>
        <v>FB_REG_S.XRPX</v>
      </c>
      <c r="B185" s="138">
        <v>11154</v>
      </c>
      <c r="C185" s="138" t="s">
        <v>4</v>
      </c>
      <c r="D185" s="139">
        <f>$Q$11</f>
        <v>14</v>
      </c>
      <c r="BK185" s="4"/>
      <c r="BL185" s="4"/>
      <c r="BM185" s="4"/>
      <c r="BN185" s="4"/>
    </row>
    <row r="186" spans="1:66">
      <c r="A186" s="140" t="str">
        <f t="shared" si="16"/>
        <v>FB_REG_S.XRPX</v>
      </c>
      <c r="B186" s="141">
        <v>11150</v>
      </c>
      <c r="C186" s="141" t="s">
        <v>0</v>
      </c>
      <c r="D186" s="142" t="s">
        <v>89</v>
      </c>
      <c r="BK186" s="4"/>
      <c r="BL186" s="4"/>
      <c r="BM186" s="4"/>
      <c r="BN186" s="4"/>
    </row>
    <row r="187" spans="1:66">
      <c r="A187" s="140" t="str">
        <f t="shared" si="16"/>
        <v>FB_REG_S.XRPX</v>
      </c>
      <c r="B187" s="141">
        <v>11152</v>
      </c>
      <c r="C187" s="141" t="s">
        <v>0</v>
      </c>
      <c r="D187" s="143" t="str">
        <f>$R$11</f>
        <v>Ремонт</v>
      </c>
      <c r="BK187" s="4"/>
      <c r="BL187" s="4"/>
      <c r="BM187" s="4"/>
      <c r="BN187" s="4"/>
    </row>
    <row r="188" spans="1:66">
      <c r="A188" s="140" t="str">
        <f t="shared" si="16"/>
        <v>FB_REG_S.XRPX</v>
      </c>
      <c r="B188" s="141">
        <v>11000</v>
      </c>
      <c r="C188" s="141" t="s">
        <v>5</v>
      </c>
      <c r="D188" s="142">
        <v>2147483680</v>
      </c>
      <c r="BK188" s="4"/>
      <c r="BL188" s="4"/>
      <c r="BM188" s="4"/>
      <c r="BN188" s="4"/>
    </row>
    <row r="189" spans="1:66">
      <c r="A189" s="19" t="str">
        <f t="shared" si="16"/>
        <v>FB_REG_S.XRPX</v>
      </c>
      <c r="B189" s="11">
        <v>7999</v>
      </c>
      <c r="C189" s="11" t="s">
        <v>0</v>
      </c>
      <c r="D189" s="20" t="str">
        <f>"#"&amp;$S$2&amp;"#"&amp;$T$2&amp;"\"&amp;$P$2&amp;"\XRPX"</f>
        <v>#1#treiOPCDA.CoOPCserv.1\pcmaster\REG_test\XRPX</v>
      </c>
      <c r="BK189" s="4"/>
      <c r="BL189" s="4"/>
      <c r="BM189" s="4"/>
      <c r="BN189" s="4"/>
    </row>
    <row r="190" spans="1:66">
      <c r="A190" s="19" t="str">
        <f t="shared" si="16"/>
        <v>FB_REG_S.XRPX</v>
      </c>
      <c r="B190" s="11">
        <v>7998</v>
      </c>
      <c r="C190" s="11" t="s">
        <v>6</v>
      </c>
      <c r="D190" s="20">
        <v>1</v>
      </c>
      <c r="BK190" s="4"/>
      <c r="BL190" s="4"/>
      <c r="BM190" s="4"/>
      <c r="BN190" s="4"/>
    </row>
    <row r="191" spans="1:66">
      <c r="A191" s="19" t="str">
        <f t="shared" si="16"/>
        <v>FB_REG_S.XRPX</v>
      </c>
      <c r="B191" s="11">
        <v>101</v>
      </c>
      <c r="C191" s="11" t="s">
        <v>0</v>
      </c>
      <c r="D191" s="20" t="s">
        <v>137</v>
      </c>
      <c r="BK191" s="4"/>
      <c r="BL191" s="4"/>
      <c r="BM191" s="4"/>
      <c r="BN191" s="4"/>
    </row>
    <row r="192" spans="1:66">
      <c r="A192" s="19" t="str">
        <f t="shared" si="16"/>
        <v>FB_REG_S.XRPX</v>
      </c>
      <c r="B192" s="11">
        <v>3</v>
      </c>
      <c r="C192" s="11" t="s">
        <v>1</v>
      </c>
      <c r="D192" s="20">
        <v>192</v>
      </c>
      <c r="BK192" s="4"/>
      <c r="BL192" s="4"/>
      <c r="BM192" s="4"/>
      <c r="BN192" s="4"/>
    </row>
    <row r="193" spans="1:66">
      <c r="A193" s="19" t="str">
        <f t="shared" si="16"/>
        <v>FB_REG_S.XRPX</v>
      </c>
      <c r="B193" s="11">
        <v>2</v>
      </c>
      <c r="C193" s="11" t="s">
        <v>2</v>
      </c>
      <c r="D193" s="20" t="s">
        <v>3</v>
      </c>
      <c r="BK193" s="4"/>
      <c r="BL193" s="4"/>
      <c r="BM193" s="4"/>
      <c r="BN193" s="4"/>
    </row>
    <row r="194" spans="1:66">
      <c r="A194" s="19" t="str">
        <f t="shared" si="16"/>
        <v>FB_REG_S.XRPX</v>
      </c>
      <c r="B194" s="11">
        <v>1</v>
      </c>
      <c r="C194" s="11" t="s">
        <v>1</v>
      </c>
      <c r="D194" s="20">
        <v>11</v>
      </c>
      <c r="BK194" s="4"/>
      <c r="BL194" s="4"/>
      <c r="BM194" s="4"/>
      <c r="BN194" s="4"/>
    </row>
    <row r="195" spans="1:66" ht="13.5" customHeight="1">
      <c r="A195" s="29" t="str">
        <f t="shared" si="16"/>
        <v>FB_REG_S.XRPX</v>
      </c>
      <c r="B195" s="1">
        <v>4000000</v>
      </c>
      <c r="C195" s="1" t="s">
        <v>0</v>
      </c>
      <c r="D195" s="415" t="s">
        <v>1484</v>
      </c>
      <c r="BK195" s="4"/>
      <c r="BL195" s="4"/>
      <c r="BM195" s="4"/>
      <c r="BN195" s="4"/>
    </row>
    <row r="196" spans="1:66">
      <c r="A196" s="26" t="str">
        <f t="shared" si="16"/>
        <v>FB_REG_S.XRPX</v>
      </c>
      <c r="B196" s="27">
        <v>7000000</v>
      </c>
      <c r="C196" s="27" t="s">
        <v>6</v>
      </c>
      <c r="D196" s="28">
        <v>2</v>
      </c>
      <c r="BK196" s="4"/>
      <c r="BL196" s="4"/>
      <c r="BM196" s="4"/>
      <c r="BN196" s="4"/>
    </row>
    <row r="197" spans="1:66">
      <c r="A197" s="159" t="str">
        <f t="shared" ref="A197:A206" si="17">$R$2&amp;".IRCX"</f>
        <v>FB_REG_S.IRCX</v>
      </c>
      <c r="B197" s="160">
        <v>11154</v>
      </c>
      <c r="C197" s="160" t="s">
        <v>4</v>
      </c>
      <c r="D197" s="161">
        <f>$Q$8</f>
        <v>18</v>
      </c>
      <c r="BK197" s="4"/>
      <c r="BL197" s="4"/>
      <c r="BM197" s="4"/>
      <c r="BN197" s="4"/>
    </row>
    <row r="198" spans="1:66">
      <c r="A198" s="100" t="str">
        <f t="shared" si="17"/>
        <v>FB_REG_S.IRCX</v>
      </c>
      <c r="B198" s="101">
        <v>11150</v>
      </c>
      <c r="C198" s="101" t="s">
        <v>0</v>
      </c>
      <c r="D198" s="103" t="s">
        <v>136</v>
      </c>
      <c r="BK198" s="4"/>
      <c r="BL198" s="4"/>
      <c r="BM198" s="4"/>
      <c r="BN198" s="4"/>
    </row>
    <row r="199" spans="1:66">
      <c r="A199" s="100" t="str">
        <f t="shared" si="17"/>
        <v>FB_REG_S.IRCX</v>
      </c>
      <c r="B199" s="101">
        <v>11152</v>
      </c>
      <c r="C199" s="101" t="s">
        <v>0</v>
      </c>
      <c r="D199" s="104" t="str">
        <f>$R$8</f>
        <v>Телесигнализация</v>
      </c>
      <c r="BK199" s="4"/>
      <c r="BL199" s="4"/>
      <c r="BM199" s="4"/>
      <c r="BN199" s="4"/>
    </row>
    <row r="200" spans="1:66">
      <c r="A200" s="100" t="str">
        <f t="shared" si="17"/>
        <v>FB_REG_S.IRCX</v>
      </c>
      <c r="B200" s="101">
        <v>11000</v>
      </c>
      <c r="C200" s="101" t="s">
        <v>5</v>
      </c>
      <c r="D200" s="103">
        <v>2147483680</v>
      </c>
      <c r="BK200" s="4"/>
      <c r="BL200" s="4"/>
      <c r="BM200" s="4"/>
      <c r="BN200" s="4"/>
    </row>
    <row r="201" spans="1:66">
      <c r="A201" s="19" t="str">
        <f t="shared" si="17"/>
        <v>FB_REG_S.IRCX</v>
      </c>
      <c r="B201" s="11">
        <v>7999</v>
      </c>
      <c r="C201" s="11" t="s">
        <v>0</v>
      </c>
      <c r="D201" s="20" t="str">
        <f>"#"&amp;$S$2&amp;"#"&amp;$T$2&amp;"\"&amp;$P$2&amp;"\IRCX"</f>
        <v>#1#treiOPCDA.CoOPCserv.1\pcmaster\REG_test\IRCX</v>
      </c>
      <c r="BK201" s="4"/>
      <c r="BL201" s="4"/>
      <c r="BM201" s="4"/>
      <c r="BN201" s="4"/>
    </row>
    <row r="202" spans="1:66">
      <c r="A202" s="19" t="str">
        <f t="shared" si="17"/>
        <v>FB_REG_S.IRCX</v>
      </c>
      <c r="B202" s="11">
        <v>7998</v>
      </c>
      <c r="C202" s="11" t="s">
        <v>6</v>
      </c>
      <c r="D202" s="20">
        <v>1</v>
      </c>
      <c r="BK202" s="4"/>
      <c r="BL202" s="4"/>
      <c r="BM202" s="4"/>
      <c r="BN202" s="4"/>
    </row>
    <row r="203" spans="1:66">
      <c r="A203" s="19" t="str">
        <f t="shared" si="17"/>
        <v>FB_REG_S.IRCX</v>
      </c>
      <c r="B203" s="11">
        <v>101</v>
      </c>
      <c r="C203" s="11" t="s">
        <v>0</v>
      </c>
      <c r="D203" s="20" t="s">
        <v>193</v>
      </c>
      <c r="BK203" s="4"/>
      <c r="BL203" s="4"/>
      <c r="BM203" s="4"/>
      <c r="BN203" s="4"/>
    </row>
    <row r="204" spans="1:66">
      <c r="A204" s="19" t="str">
        <f t="shared" si="17"/>
        <v>FB_REG_S.IRCX</v>
      </c>
      <c r="B204" s="11">
        <v>3</v>
      </c>
      <c r="C204" s="11" t="s">
        <v>1</v>
      </c>
      <c r="D204" s="20">
        <v>192</v>
      </c>
      <c r="BK204" s="4"/>
      <c r="BL204" s="4"/>
      <c r="BM204" s="4"/>
      <c r="BN204" s="4"/>
    </row>
    <row r="205" spans="1:66">
      <c r="A205" s="19" t="str">
        <f t="shared" si="17"/>
        <v>FB_REG_S.IRCX</v>
      </c>
      <c r="B205" s="11">
        <v>2</v>
      </c>
      <c r="C205" s="11" t="s">
        <v>2</v>
      </c>
      <c r="D205" s="20" t="s">
        <v>3</v>
      </c>
      <c r="BK205" s="4"/>
      <c r="BL205" s="4"/>
      <c r="BM205" s="4"/>
      <c r="BN205" s="4"/>
    </row>
    <row r="206" spans="1:66">
      <c r="A206" s="21" t="str">
        <f t="shared" si="17"/>
        <v>FB_REG_S.IRCX</v>
      </c>
      <c r="B206" s="8">
        <v>1</v>
      </c>
      <c r="C206" s="8" t="s">
        <v>1</v>
      </c>
      <c r="D206" s="22">
        <v>11</v>
      </c>
      <c r="BK206" s="4"/>
      <c r="BL206" s="4"/>
      <c r="BM206" s="4"/>
      <c r="BN206" s="4"/>
    </row>
    <row r="207" spans="1:66">
      <c r="A207" s="159" t="str">
        <f t="shared" ref="A207:A216" si="18">$R$2&amp;".XONX"</f>
        <v>FB_REG_S.XONX</v>
      </c>
      <c r="B207" s="160">
        <v>11154</v>
      </c>
      <c r="C207" s="160" t="s">
        <v>4</v>
      </c>
      <c r="D207" s="161">
        <f>$Q$8</f>
        <v>18</v>
      </c>
      <c r="BK207" s="4"/>
      <c r="BL207" s="4"/>
      <c r="BM207" s="4"/>
      <c r="BN207" s="4"/>
    </row>
    <row r="208" spans="1:66">
      <c r="A208" s="100" t="str">
        <f t="shared" si="18"/>
        <v>FB_REG_S.XONX</v>
      </c>
      <c r="B208" s="101">
        <v>11150</v>
      </c>
      <c r="C208" s="101" t="s">
        <v>0</v>
      </c>
      <c r="D208" s="103" t="s">
        <v>200</v>
      </c>
      <c r="BK208" s="4"/>
      <c r="BL208" s="4"/>
      <c r="BM208" s="4"/>
      <c r="BN208" s="4"/>
    </row>
    <row r="209" spans="1:66">
      <c r="A209" s="100" t="str">
        <f t="shared" si="18"/>
        <v>FB_REG_S.XONX</v>
      </c>
      <c r="B209" s="101">
        <v>11152</v>
      </c>
      <c r="C209" s="101" t="s">
        <v>0</v>
      </c>
      <c r="D209" s="104" t="str">
        <f>$R$8</f>
        <v>Телесигнализация</v>
      </c>
      <c r="BK209" s="4"/>
      <c r="BL209" s="4"/>
      <c r="BM209" s="4"/>
      <c r="BN209" s="4"/>
    </row>
    <row r="210" spans="1:66">
      <c r="A210" s="100" t="str">
        <f t="shared" si="18"/>
        <v>FB_REG_S.XONX</v>
      </c>
      <c r="B210" s="101">
        <v>11000</v>
      </c>
      <c r="C210" s="101" t="s">
        <v>5</v>
      </c>
      <c r="D210" s="103">
        <v>2147483680</v>
      </c>
      <c r="BK210" s="4"/>
      <c r="BL210" s="4"/>
      <c r="BM210" s="4"/>
      <c r="BN210" s="4"/>
    </row>
    <row r="211" spans="1:66">
      <c r="A211" s="19" t="str">
        <f t="shared" si="18"/>
        <v>FB_REG_S.XONX</v>
      </c>
      <c r="B211" s="11">
        <v>7999</v>
      </c>
      <c r="C211" s="11" t="s">
        <v>0</v>
      </c>
      <c r="D211" s="20" t="str">
        <f>"#"&amp;$S$2&amp;"#"&amp;$T$2&amp;"\"&amp;$P$2&amp;"\XONX"</f>
        <v>#1#treiOPCDA.CoOPCserv.1\pcmaster\REG_test\XONX</v>
      </c>
      <c r="BK211" s="4"/>
      <c r="BL211" s="4"/>
      <c r="BM211" s="4"/>
      <c r="BN211" s="4"/>
    </row>
    <row r="212" spans="1:66">
      <c r="A212" s="19" t="str">
        <f t="shared" si="18"/>
        <v>FB_REG_S.XONX</v>
      </c>
      <c r="B212" s="11">
        <v>7998</v>
      </c>
      <c r="C212" s="11" t="s">
        <v>6</v>
      </c>
      <c r="D212" s="20">
        <v>1</v>
      </c>
      <c r="BK212" s="4"/>
      <c r="BL212" s="4"/>
      <c r="BM212" s="4"/>
      <c r="BN212" s="4"/>
    </row>
    <row r="213" spans="1:66">
      <c r="A213" s="19" t="str">
        <f t="shared" si="18"/>
        <v>FB_REG_S.XONX</v>
      </c>
      <c r="B213" s="11">
        <v>101</v>
      </c>
      <c r="C213" s="11" t="s">
        <v>0</v>
      </c>
      <c r="D213" s="20" t="s">
        <v>196</v>
      </c>
      <c r="Q213" s="1"/>
      <c r="R213" s="1"/>
      <c r="S213" s="1"/>
      <c r="T213" s="1"/>
      <c r="U213" s="1"/>
      <c r="V213" s="1"/>
      <c r="BK213" s="4"/>
      <c r="BL213" s="4"/>
      <c r="BM213" s="4"/>
      <c r="BN213" s="4"/>
    </row>
    <row r="214" spans="1:66">
      <c r="A214" s="19" t="str">
        <f t="shared" si="18"/>
        <v>FB_REG_S.XONX</v>
      </c>
      <c r="B214" s="11">
        <v>3</v>
      </c>
      <c r="C214" s="11" t="s">
        <v>1</v>
      </c>
      <c r="D214" s="20">
        <v>192</v>
      </c>
      <c r="Q214" s="1"/>
      <c r="R214" s="1"/>
      <c r="S214" s="1"/>
      <c r="T214" s="1"/>
      <c r="U214" s="1"/>
      <c r="V214" s="1"/>
      <c r="BK214" s="4"/>
      <c r="BL214" s="4"/>
      <c r="BM214" s="4"/>
      <c r="BN214" s="4"/>
    </row>
    <row r="215" spans="1:66">
      <c r="A215" s="19" t="str">
        <f t="shared" si="18"/>
        <v>FB_REG_S.XONX</v>
      </c>
      <c r="B215" s="11">
        <v>2</v>
      </c>
      <c r="C215" s="11" t="s">
        <v>2</v>
      </c>
      <c r="D215" s="20" t="s">
        <v>3</v>
      </c>
      <c r="Q215" s="1"/>
      <c r="R215" s="1"/>
      <c r="S215" s="1"/>
      <c r="T215" s="1"/>
      <c r="U215" s="1"/>
      <c r="V215" s="1"/>
      <c r="BK215" s="4"/>
      <c r="BL215" s="4"/>
      <c r="BM215" s="4"/>
      <c r="BN215" s="4"/>
    </row>
    <row r="216" spans="1:66">
      <c r="A216" s="21" t="str">
        <f t="shared" si="18"/>
        <v>FB_REG_S.XONX</v>
      </c>
      <c r="B216" s="8">
        <v>1</v>
      </c>
      <c r="C216" s="8" t="s">
        <v>1</v>
      </c>
      <c r="D216" s="22">
        <v>11</v>
      </c>
      <c r="Q216" s="1"/>
      <c r="R216" s="1"/>
      <c r="S216" s="1"/>
      <c r="T216" s="1"/>
      <c r="U216" s="1"/>
      <c r="V216" s="1"/>
      <c r="BK216" s="4"/>
      <c r="BL216" s="4"/>
      <c r="BM216" s="4"/>
      <c r="BN216" s="4"/>
    </row>
    <row r="217" spans="1:66">
      <c r="A217" s="159" t="str">
        <f t="shared" ref="A217:A226" si="19">$R$2&amp;".XOFX"</f>
        <v>FB_REG_S.XOFX</v>
      </c>
      <c r="B217" s="160">
        <v>11154</v>
      </c>
      <c r="C217" s="160" t="s">
        <v>4</v>
      </c>
      <c r="D217" s="161">
        <f>$Q$8</f>
        <v>18</v>
      </c>
      <c r="Q217" s="1"/>
      <c r="R217" s="1"/>
      <c r="S217" s="1"/>
      <c r="T217" s="1"/>
      <c r="U217" s="1"/>
      <c r="V217" s="1"/>
      <c r="BK217" s="4"/>
      <c r="BL217" s="4"/>
      <c r="BM217" s="4"/>
      <c r="BN217" s="4"/>
    </row>
    <row r="218" spans="1:66">
      <c r="A218" s="100" t="str">
        <f t="shared" si="19"/>
        <v>FB_REG_S.XOFX</v>
      </c>
      <c r="B218" s="101">
        <v>11150</v>
      </c>
      <c r="C218" s="101" t="s">
        <v>0</v>
      </c>
      <c r="D218" s="103" t="s">
        <v>201</v>
      </c>
      <c r="Q218" s="1"/>
      <c r="R218" s="1"/>
      <c r="S218" s="1"/>
      <c r="T218" s="1"/>
      <c r="U218" s="1"/>
      <c r="V218" s="1"/>
      <c r="BK218" s="4"/>
      <c r="BL218" s="4"/>
      <c r="BM218" s="4"/>
      <c r="BN218" s="4"/>
    </row>
    <row r="219" spans="1:66">
      <c r="A219" s="100" t="str">
        <f t="shared" si="19"/>
        <v>FB_REG_S.XOFX</v>
      </c>
      <c r="B219" s="101">
        <v>11152</v>
      </c>
      <c r="C219" s="101" t="s">
        <v>0</v>
      </c>
      <c r="D219" s="104" t="str">
        <f>$R$8</f>
        <v>Телесигнализация</v>
      </c>
      <c r="Q219" s="11"/>
      <c r="R219" s="11"/>
      <c r="S219" s="11"/>
      <c r="T219" s="11"/>
      <c r="U219" s="1"/>
      <c r="V219" s="1"/>
      <c r="BK219" s="4"/>
      <c r="BL219" s="4"/>
      <c r="BM219" s="4"/>
      <c r="BN219" s="4"/>
    </row>
    <row r="220" spans="1:66">
      <c r="A220" s="100" t="str">
        <f t="shared" si="19"/>
        <v>FB_REG_S.XOFX</v>
      </c>
      <c r="B220" s="101">
        <v>11000</v>
      </c>
      <c r="C220" s="101" t="s">
        <v>5</v>
      </c>
      <c r="D220" s="103">
        <v>2147483680</v>
      </c>
      <c r="Q220" s="11"/>
      <c r="R220" s="11"/>
      <c r="S220" s="11"/>
      <c r="T220" s="11"/>
      <c r="U220" s="1"/>
      <c r="V220" s="1"/>
      <c r="BK220" s="4"/>
      <c r="BL220" s="4"/>
      <c r="BM220" s="4"/>
      <c r="BN220" s="4"/>
    </row>
    <row r="221" spans="1:66">
      <c r="A221" s="19" t="str">
        <f t="shared" si="19"/>
        <v>FB_REG_S.XOFX</v>
      </c>
      <c r="B221" s="11">
        <v>7999</v>
      </c>
      <c r="C221" s="11" t="s">
        <v>0</v>
      </c>
      <c r="D221" s="20" t="str">
        <f>"#"&amp;$S$2&amp;"#"&amp;$T$2&amp;"\"&amp;$P$2&amp;"\XOFX"</f>
        <v>#1#treiOPCDA.CoOPCserv.1\pcmaster\REG_test\XOFX</v>
      </c>
      <c r="Q221" s="11"/>
      <c r="R221" s="11"/>
      <c r="S221" s="11"/>
      <c r="T221" s="11"/>
      <c r="U221" s="1"/>
      <c r="V221" s="1"/>
      <c r="BK221" s="4"/>
      <c r="BL221" s="4"/>
      <c r="BM221" s="4"/>
      <c r="BN221" s="4"/>
    </row>
    <row r="222" spans="1:66">
      <c r="A222" s="19" t="str">
        <f t="shared" si="19"/>
        <v>FB_REG_S.XOFX</v>
      </c>
      <c r="B222" s="11">
        <v>7998</v>
      </c>
      <c r="C222" s="11" t="s">
        <v>6</v>
      </c>
      <c r="D222" s="20">
        <v>1</v>
      </c>
      <c r="Q222" s="11"/>
      <c r="R222" s="11"/>
      <c r="S222" s="11"/>
      <c r="T222" s="11"/>
      <c r="U222" s="1"/>
      <c r="V222" s="1"/>
      <c r="BK222" s="4"/>
      <c r="BL222" s="4"/>
      <c r="BM222" s="4"/>
      <c r="BN222" s="4"/>
    </row>
    <row r="223" spans="1:66">
      <c r="A223" s="19" t="str">
        <f t="shared" si="19"/>
        <v>FB_REG_S.XOFX</v>
      </c>
      <c r="B223" s="11">
        <v>101</v>
      </c>
      <c r="C223" s="11" t="s">
        <v>0</v>
      </c>
      <c r="D223" s="20" t="s">
        <v>197</v>
      </c>
      <c r="Q223" s="11"/>
      <c r="R223" s="11"/>
      <c r="S223" s="11"/>
      <c r="T223" s="11"/>
      <c r="U223" s="1"/>
      <c r="V223" s="1"/>
      <c r="BK223" s="4"/>
      <c r="BL223" s="4"/>
      <c r="BM223" s="4"/>
      <c r="BN223" s="4"/>
    </row>
    <row r="224" spans="1:66">
      <c r="A224" s="19" t="str">
        <f t="shared" si="19"/>
        <v>FB_REG_S.XOFX</v>
      </c>
      <c r="B224" s="11">
        <v>3</v>
      </c>
      <c r="C224" s="11" t="s">
        <v>1</v>
      </c>
      <c r="D224" s="20">
        <v>192</v>
      </c>
      <c r="Q224" s="11"/>
      <c r="R224" s="11"/>
      <c r="S224" s="11"/>
      <c r="T224" s="11"/>
      <c r="U224" s="1"/>
      <c r="V224" s="1"/>
      <c r="BK224" s="4"/>
      <c r="BL224" s="4"/>
      <c r="BM224" s="4"/>
      <c r="BN224" s="4"/>
    </row>
    <row r="225" spans="1:66">
      <c r="A225" s="19" t="str">
        <f t="shared" si="19"/>
        <v>FB_REG_S.XOFX</v>
      </c>
      <c r="B225" s="11">
        <v>2</v>
      </c>
      <c r="C225" s="11" t="s">
        <v>2</v>
      </c>
      <c r="D225" s="20" t="s">
        <v>3</v>
      </c>
      <c r="Q225" s="1"/>
      <c r="R225" s="1"/>
      <c r="S225" s="1"/>
      <c r="T225" s="1"/>
      <c r="U225" s="1"/>
      <c r="V225" s="1"/>
      <c r="BK225" s="4"/>
      <c r="BL225" s="4"/>
      <c r="BM225" s="4"/>
      <c r="BN225" s="4"/>
    </row>
    <row r="226" spans="1:66">
      <c r="A226" s="21" t="str">
        <f t="shared" si="19"/>
        <v>FB_REG_S.XOFX</v>
      </c>
      <c r="B226" s="8">
        <v>1</v>
      </c>
      <c r="C226" s="8" t="s">
        <v>1</v>
      </c>
      <c r="D226" s="22">
        <v>11</v>
      </c>
      <c r="Q226" s="1"/>
      <c r="R226" s="1"/>
      <c r="S226" s="1"/>
      <c r="T226" s="1"/>
      <c r="U226" s="1"/>
      <c r="V226" s="1"/>
      <c r="BK226" s="4"/>
      <c r="BL226" s="4"/>
      <c r="BM226" s="4"/>
      <c r="BN226" s="4"/>
    </row>
    <row r="227" spans="1:66">
      <c r="A227" s="159" t="str">
        <f>$R$2&amp;".XNWX"</f>
        <v>FB_REG_S.XNWX</v>
      </c>
      <c r="B227" s="160">
        <v>11154</v>
      </c>
      <c r="C227" s="160" t="s">
        <v>4</v>
      </c>
      <c r="D227" s="161">
        <f>$Q$8</f>
        <v>18</v>
      </c>
      <c r="Q227" s="1"/>
      <c r="R227" s="1"/>
      <c r="S227" s="1"/>
      <c r="T227" s="1"/>
      <c r="U227" s="1"/>
      <c r="V227" s="1"/>
      <c r="BK227" s="4"/>
      <c r="BL227" s="4"/>
      <c r="BM227" s="4"/>
      <c r="BN227" s="4"/>
    </row>
    <row r="228" spans="1:66">
      <c r="A228" s="100" t="str">
        <f t="shared" ref="A228:A236" si="20">$R$2&amp;".XNWX"</f>
        <v>FB_REG_S.XNWX</v>
      </c>
      <c r="B228" s="101">
        <v>11150</v>
      </c>
      <c r="C228" s="101" t="s">
        <v>0</v>
      </c>
      <c r="D228" s="103" t="s">
        <v>2755</v>
      </c>
      <c r="Q228" s="1"/>
      <c r="R228" s="1"/>
      <c r="S228" s="1"/>
      <c r="T228" s="1"/>
      <c r="U228" s="1"/>
      <c r="V228" s="1"/>
      <c r="BK228" s="4"/>
      <c r="BL228" s="4"/>
      <c r="BM228" s="4"/>
      <c r="BN228" s="4"/>
    </row>
    <row r="229" spans="1:66">
      <c r="A229" s="100" t="str">
        <f t="shared" si="20"/>
        <v>FB_REG_S.XNWX</v>
      </c>
      <c r="B229" s="101">
        <v>11152</v>
      </c>
      <c r="C229" s="101" t="s">
        <v>0</v>
      </c>
      <c r="D229" s="104" t="str">
        <f>$R$8</f>
        <v>Телесигнализация</v>
      </c>
      <c r="Q229" s="11"/>
      <c r="R229" s="11"/>
      <c r="S229" s="11"/>
      <c r="T229" s="11"/>
      <c r="U229" s="1"/>
      <c r="V229" s="1"/>
      <c r="BK229" s="4"/>
      <c r="BL229" s="4"/>
      <c r="BM229" s="4"/>
      <c r="BN229" s="4"/>
    </row>
    <row r="230" spans="1:66">
      <c r="A230" s="100" t="str">
        <f t="shared" si="20"/>
        <v>FB_REG_S.XNWX</v>
      </c>
      <c r="B230" s="101">
        <v>11000</v>
      </c>
      <c r="C230" s="101" t="s">
        <v>5</v>
      </c>
      <c r="D230" s="103">
        <v>2147483680</v>
      </c>
      <c r="Q230" s="11"/>
      <c r="R230" s="11"/>
      <c r="S230" s="11"/>
      <c r="T230" s="11"/>
      <c r="U230" s="1"/>
      <c r="V230" s="1"/>
      <c r="BK230" s="4"/>
      <c r="BL230" s="4"/>
      <c r="BM230" s="4"/>
      <c r="BN230" s="4"/>
    </row>
    <row r="231" spans="1:66">
      <c r="A231" s="19" t="str">
        <f t="shared" si="20"/>
        <v>FB_REG_S.XNWX</v>
      </c>
      <c r="B231" s="11">
        <v>7999</v>
      </c>
      <c r="C231" s="11" t="s">
        <v>0</v>
      </c>
      <c r="D231" s="20" t="str">
        <f>"#"&amp;$S$2&amp;"#"&amp;$T$2&amp;"\"&amp;$P$2&amp;"\XNWX"</f>
        <v>#1#treiOPCDA.CoOPCserv.1\pcmaster\REG_test\XNWX</v>
      </c>
      <c r="Q231" s="11"/>
      <c r="R231" s="11"/>
      <c r="S231" s="11"/>
      <c r="T231" s="11"/>
      <c r="U231" s="1"/>
      <c r="V231" s="1"/>
      <c r="BK231" s="4"/>
      <c r="BL231" s="4"/>
      <c r="BM231" s="4"/>
      <c r="BN231" s="4"/>
    </row>
    <row r="232" spans="1:66">
      <c r="A232" s="19" t="str">
        <f t="shared" si="20"/>
        <v>FB_REG_S.XNWX</v>
      </c>
      <c r="B232" s="11">
        <v>7998</v>
      </c>
      <c r="C232" s="11" t="s">
        <v>6</v>
      </c>
      <c r="D232" s="20">
        <v>1</v>
      </c>
      <c r="Q232" s="11"/>
      <c r="R232" s="11"/>
      <c r="S232" s="11"/>
      <c r="T232" s="11"/>
      <c r="U232" s="1"/>
      <c r="V232" s="1"/>
      <c r="BK232" s="4"/>
      <c r="BL232" s="4"/>
      <c r="BM232" s="4"/>
      <c r="BN232" s="4"/>
    </row>
    <row r="233" spans="1:66">
      <c r="A233" s="19" t="str">
        <f t="shared" si="20"/>
        <v>FB_REG_S.XNWX</v>
      </c>
      <c r="B233" s="11">
        <v>101</v>
      </c>
      <c r="C233" s="11" t="s">
        <v>0</v>
      </c>
      <c r="D233" s="20" t="s">
        <v>2755</v>
      </c>
      <c r="Q233" s="11"/>
      <c r="R233" s="11"/>
      <c r="S233" s="11"/>
      <c r="T233" s="11"/>
      <c r="U233" s="1"/>
      <c r="V233" s="1"/>
      <c r="BK233" s="4"/>
      <c r="BL233" s="4"/>
      <c r="BM233" s="4"/>
      <c r="BN233" s="4"/>
    </row>
    <row r="234" spans="1:66">
      <c r="A234" s="19" t="str">
        <f t="shared" si="20"/>
        <v>FB_REG_S.XNWX</v>
      </c>
      <c r="B234" s="11">
        <v>3</v>
      </c>
      <c r="C234" s="11" t="s">
        <v>1</v>
      </c>
      <c r="D234" s="20">
        <v>192</v>
      </c>
      <c r="Q234" s="11"/>
      <c r="R234" s="11"/>
      <c r="S234" s="11"/>
      <c r="T234" s="11"/>
      <c r="U234" s="1"/>
      <c r="V234" s="1"/>
      <c r="BK234" s="4"/>
      <c r="BL234" s="4"/>
      <c r="BM234" s="4"/>
      <c r="BN234" s="4"/>
    </row>
    <row r="235" spans="1:66">
      <c r="A235" s="19" t="str">
        <f t="shared" si="20"/>
        <v>FB_REG_S.XNWX</v>
      </c>
      <c r="B235" s="11">
        <v>2</v>
      </c>
      <c r="C235" s="11" t="s">
        <v>2</v>
      </c>
      <c r="D235" s="20" t="s">
        <v>3</v>
      </c>
      <c r="Q235" s="1"/>
      <c r="R235" s="1"/>
      <c r="S235" s="1"/>
      <c r="T235" s="1"/>
      <c r="U235" s="1"/>
      <c r="V235" s="1"/>
      <c r="BK235" s="4"/>
      <c r="BL235" s="4"/>
      <c r="BM235" s="4"/>
      <c r="BN235" s="4"/>
    </row>
    <row r="236" spans="1:66">
      <c r="A236" s="21" t="str">
        <f t="shared" si="20"/>
        <v>FB_REG_S.XNWX</v>
      </c>
      <c r="B236" s="8">
        <v>1</v>
      </c>
      <c r="C236" s="8" t="s">
        <v>1</v>
      </c>
      <c r="D236" s="22">
        <v>11</v>
      </c>
      <c r="Q236" s="1"/>
      <c r="R236" s="1"/>
      <c r="S236" s="1"/>
      <c r="T236" s="1"/>
      <c r="U236" s="1"/>
      <c r="V236" s="1"/>
      <c r="BK236" s="4"/>
      <c r="BL236" s="4"/>
      <c r="BM236" s="4"/>
      <c r="BN236" s="4"/>
    </row>
    <row r="237" spans="1:66">
      <c r="A237" s="275" t="str">
        <f>$R$2&amp;".Commands.SFTX"</f>
        <v>FB_REG_S.Commands.SFTX</v>
      </c>
      <c r="B237" s="276">
        <v>1</v>
      </c>
      <c r="C237" s="276" t="s">
        <v>1</v>
      </c>
      <c r="D237" s="277">
        <v>4</v>
      </c>
      <c r="BK237" s="4"/>
      <c r="BL237" s="4"/>
      <c r="BM237" s="4"/>
      <c r="BN237" s="4"/>
    </row>
    <row r="238" spans="1:66">
      <c r="A238" s="278" t="str">
        <f>$R$2&amp;".Commands.SFTX"</f>
        <v>FB_REG_S.Commands.SFTX</v>
      </c>
      <c r="B238" s="279">
        <v>101</v>
      </c>
      <c r="C238" s="279" t="s">
        <v>0</v>
      </c>
      <c r="D238" s="280" t="s">
        <v>622</v>
      </c>
      <c r="BK238" s="4"/>
      <c r="BL238" s="4"/>
      <c r="BM238" s="4"/>
      <c r="BN238" s="4"/>
    </row>
    <row r="239" spans="1:66">
      <c r="A239" s="278" t="str">
        <f>$R$2&amp;".Commands.SFTX"</f>
        <v>FB_REG_S.Commands.SFTX</v>
      </c>
      <c r="B239" s="279">
        <v>7998</v>
      </c>
      <c r="C239" s="279" t="s">
        <v>6</v>
      </c>
      <c r="D239" s="280">
        <v>2</v>
      </c>
      <c r="BK239" s="4"/>
      <c r="BL239" s="4"/>
      <c r="BM239" s="4"/>
      <c r="BN239" s="4"/>
    </row>
    <row r="240" spans="1:66">
      <c r="A240" s="281" t="str">
        <f>$R$2&amp;".Commands.SFTX"</f>
        <v>FB_REG_S.Commands.SFTX</v>
      </c>
      <c r="B240" s="282">
        <v>7999</v>
      </c>
      <c r="C240" s="282" t="s">
        <v>0</v>
      </c>
      <c r="D240" s="283" t="str">
        <f>"#"&amp;$T$5&amp;"#"&amp;$T$2&amp;"\"&amp;$P$2&amp;"\SFTX"</f>
        <v>#1#treiOPCDA.CoOPCserv.1\pcmaster\REG_test\SFTX</v>
      </c>
      <c r="BK240" s="4"/>
      <c r="BL240" s="4"/>
      <c r="BM240" s="4"/>
      <c r="BN240" s="4"/>
    </row>
    <row r="241" spans="1:66">
      <c r="A241" s="275" t="str">
        <f>$R$2&amp;".Commands.SDTX"</f>
        <v>FB_REG_S.Commands.SDTX</v>
      </c>
      <c r="B241" s="276">
        <v>1</v>
      </c>
      <c r="C241" s="276" t="s">
        <v>1</v>
      </c>
      <c r="D241" s="277">
        <v>4</v>
      </c>
      <c r="BK241" s="4"/>
      <c r="BL241" s="4"/>
      <c r="BM241" s="4"/>
      <c r="BN241" s="4"/>
    </row>
    <row r="242" spans="1:66">
      <c r="A242" s="278" t="str">
        <f>$R$2&amp;".Commands.SDTX"</f>
        <v>FB_REG_S.Commands.SDTX</v>
      </c>
      <c r="B242" s="279">
        <v>101</v>
      </c>
      <c r="C242" s="279" t="s">
        <v>0</v>
      </c>
      <c r="D242" s="280" t="s">
        <v>623</v>
      </c>
      <c r="BK242" s="4"/>
      <c r="BL242" s="4"/>
      <c r="BM242" s="4"/>
      <c r="BN242" s="4"/>
    </row>
    <row r="243" spans="1:66">
      <c r="A243" s="278" t="str">
        <f>$R$2&amp;".Commands.SDTX"</f>
        <v>FB_REG_S.Commands.SDTX</v>
      </c>
      <c r="B243" s="279">
        <v>7998</v>
      </c>
      <c r="C243" s="279" t="s">
        <v>6</v>
      </c>
      <c r="D243" s="280">
        <v>2</v>
      </c>
      <c r="BK243" s="4"/>
      <c r="BL243" s="4"/>
      <c r="BM243" s="4"/>
      <c r="BN243" s="4"/>
    </row>
    <row r="244" spans="1:66">
      <c r="A244" s="281" t="str">
        <f>$R$2&amp;".Commands.SDTX"</f>
        <v>FB_REG_S.Commands.SDTX</v>
      </c>
      <c r="B244" s="282">
        <v>7999</v>
      </c>
      <c r="C244" s="282" t="s">
        <v>0</v>
      </c>
      <c r="D244" s="283" t="str">
        <f>"#"&amp;$T$5&amp;"#"&amp;$T$2&amp;"\"&amp;$P$2&amp;"\SDTX"</f>
        <v>#1#treiOPCDA.CoOPCserv.1\pcmaster\REG_test\SDTX</v>
      </c>
      <c r="BK244" s="4"/>
      <c r="BL244" s="4"/>
      <c r="BM244" s="4"/>
      <c r="BN244" s="4"/>
    </row>
    <row r="245" spans="1:66">
      <c r="A245" s="275" t="str">
        <f>$R$2&amp;".Commands.SPCX"</f>
        <v>FB_REG_S.Commands.SPCX</v>
      </c>
      <c r="B245" s="276">
        <v>1</v>
      </c>
      <c r="C245" s="276" t="s">
        <v>1</v>
      </c>
      <c r="D245" s="277">
        <v>4</v>
      </c>
      <c r="BK245" s="4"/>
      <c r="BL245" s="4"/>
      <c r="BM245" s="4"/>
      <c r="BN245" s="4"/>
    </row>
    <row r="246" spans="1:66">
      <c r="A246" s="278" t="str">
        <f>$R$2&amp;".Commands.SPCX"</f>
        <v>FB_REG_S.Commands.SPCX</v>
      </c>
      <c r="B246" s="279">
        <v>101</v>
      </c>
      <c r="C246" s="279" t="s">
        <v>0</v>
      </c>
      <c r="D246" s="280" t="s">
        <v>208</v>
      </c>
      <c r="BK246" s="4"/>
      <c r="BL246" s="4"/>
      <c r="BM246" s="4"/>
      <c r="BN246" s="4"/>
    </row>
    <row r="247" spans="1:66">
      <c r="A247" s="278" t="str">
        <f>$R$2&amp;".Commands.SPCX"</f>
        <v>FB_REG_S.Commands.SPCX</v>
      </c>
      <c r="B247" s="279">
        <v>7998</v>
      </c>
      <c r="C247" s="279" t="s">
        <v>6</v>
      </c>
      <c r="D247" s="280">
        <v>2</v>
      </c>
      <c r="BK247" s="4"/>
      <c r="BL247" s="4"/>
      <c r="BM247" s="4"/>
      <c r="BN247" s="4"/>
    </row>
    <row r="248" spans="1:66">
      <c r="A248" s="281" t="str">
        <f>$R$2&amp;".Commands.SPCX"</f>
        <v>FB_REG_S.Commands.SPCX</v>
      </c>
      <c r="B248" s="282">
        <v>7999</v>
      </c>
      <c r="C248" s="282" t="s">
        <v>0</v>
      </c>
      <c r="D248" s="283" t="str">
        <f>"#"&amp;$T$5&amp;"#"&amp;$T$2&amp;"\"&amp;$P$2&amp;"\SPCX"</f>
        <v>#1#treiOPCDA.CoOPCserv.1\pcmaster\REG_test\SPCX</v>
      </c>
      <c r="BK248" s="4"/>
      <c r="BL248" s="4"/>
      <c r="BM248" s="4"/>
      <c r="BN248" s="4"/>
    </row>
    <row r="249" spans="1:66">
      <c r="A249" s="275" t="str">
        <f>$R$2&amp;".Commands.SDCX"</f>
        <v>FB_REG_S.Commands.SDCX</v>
      </c>
      <c r="B249" s="276">
        <v>1</v>
      </c>
      <c r="C249" s="276" t="s">
        <v>1</v>
      </c>
      <c r="D249" s="277">
        <v>4</v>
      </c>
      <c r="BK249" s="4"/>
      <c r="BL249" s="4"/>
      <c r="BM249" s="4"/>
      <c r="BN249" s="4"/>
    </row>
    <row r="250" spans="1:66">
      <c r="A250" s="278" t="str">
        <f>$R$2&amp;".Commands.SDCX"</f>
        <v>FB_REG_S.Commands.SDCX</v>
      </c>
      <c r="B250" s="279">
        <v>101</v>
      </c>
      <c r="C250" s="279" t="s">
        <v>0</v>
      </c>
      <c r="D250" s="280" t="s">
        <v>209</v>
      </c>
      <c r="BK250" s="4"/>
      <c r="BL250" s="4"/>
      <c r="BM250" s="4"/>
      <c r="BN250" s="4"/>
    </row>
    <row r="251" spans="1:66">
      <c r="A251" s="278" t="str">
        <f>$R$2&amp;".Commands.SDCX"</f>
        <v>FB_REG_S.Commands.SDCX</v>
      </c>
      <c r="B251" s="279">
        <v>7998</v>
      </c>
      <c r="C251" s="279" t="s">
        <v>6</v>
      </c>
      <c r="D251" s="280">
        <v>2</v>
      </c>
      <c r="BK251" s="4"/>
      <c r="BL251" s="4"/>
      <c r="BM251" s="4"/>
      <c r="BN251" s="4"/>
    </row>
    <row r="252" spans="1:66">
      <c r="A252" s="281" t="str">
        <f>$R$2&amp;".Commands.SDCX"</f>
        <v>FB_REG_S.Commands.SDCX</v>
      </c>
      <c r="B252" s="282">
        <v>7999</v>
      </c>
      <c r="C252" s="282" t="s">
        <v>0</v>
      </c>
      <c r="D252" s="283" t="str">
        <f>"#"&amp;$T$5&amp;"#"&amp;$T$2&amp;"\"&amp;$P$2&amp;"\SDCX"</f>
        <v>#1#treiOPCDA.CoOPCserv.1\pcmaster\REG_test\SDCX</v>
      </c>
      <c r="BK252" s="4"/>
      <c r="BL252" s="4"/>
      <c r="BM252" s="4"/>
      <c r="BN252" s="4"/>
    </row>
    <row r="253" spans="1:66">
      <c r="A253" s="275" t="str">
        <f>$R$2&amp;".Commands.SICX"</f>
        <v>FB_REG_S.Commands.SICX</v>
      </c>
      <c r="B253" s="276">
        <v>1</v>
      </c>
      <c r="C253" s="276" t="s">
        <v>1</v>
      </c>
      <c r="D253" s="277">
        <v>4</v>
      </c>
      <c r="BK253" s="4"/>
      <c r="BL253" s="4"/>
      <c r="BM253" s="4"/>
      <c r="BN253" s="4"/>
    </row>
    <row r="254" spans="1:66">
      <c r="A254" s="278" t="str">
        <f>$R$2&amp;".Commands.SICX"</f>
        <v>FB_REG_S.Commands.SICX</v>
      </c>
      <c r="B254" s="279">
        <v>101</v>
      </c>
      <c r="C254" s="279" t="s">
        <v>0</v>
      </c>
      <c r="D254" s="280" t="s">
        <v>210</v>
      </c>
      <c r="BK254" s="4"/>
      <c r="BL254" s="4"/>
      <c r="BM254" s="4"/>
      <c r="BN254" s="4"/>
    </row>
    <row r="255" spans="1:66">
      <c r="A255" s="278" t="str">
        <f>$R$2&amp;".Commands.SICX"</f>
        <v>FB_REG_S.Commands.SICX</v>
      </c>
      <c r="B255" s="279">
        <v>7998</v>
      </c>
      <c r="C255" s="279" t="s">
        <v>6</v>
      </c>
      <c r="D255" s="280">
        <v>2</v>
      </c>
      <c r="BK255" s="4"/>
      <c r="BL255" s="4"/>
      <c r="BM255" s="4"/>
      <c r="BN255" s="4"/>
    </row>
    <row r="256" spans="1:66">
      <c r="A256" s="281" t="str">
        <f>$R$2&amp;".Commands.SICX"</f>
        <v>FB_REG_S.Commands.SICX</v>
      </c>
      <c r="B256" s="282">
        <v>7999</v>
      </c>
      <c r="C256" s="282" t="s">
        <v>0</v>
      </c>
      <c r="D256" s="283" t="str">
        <f>"#"&amp;$T$5&amp;"#"&amp;$T$2&amp;"\"&amp;$P$2&amp;"\SICX"</f>
        <v>#1#treiOPCDA.CoOPCserv.1\pcmaster\REG_test\SICX</v>
      </c>
      <c r="BK256" s="4"/>
      <c r="BL256" s="4"/>
      <c r="BM256" s="4"/>
      <c r="BN256" s="4"/>
    </row>
    <row r="257" spans="1:66">
      <c r="A257" s="275" t="str">
        <f>$R$2&amp;".Commands.SBSX"</f>
        <v>FB_REG_S.Commands.SBSX</v>
      </c>
      <c r="B257" s="276">
        <v>1</v>
      </c>
      <c r="C257" s="276" t="s">
        <v>1</v>
      </c>
      <c r="D257" s="277">
        <v>4</v>
      </c>
      <c r="BK257" s="4"/>
      <c r="BL257" s="4"/>
      <c r="BM257" s="4"/>
      <c r="BN257" s="4"/>
    </row>
    <row r="258" spans="1:66">
      <c r="A258" s="278" t="str">
        <f>$R$2&amp;".Commands.SBSX"</f>
        <v>FB_REG_S.Commands.SBSX</v>
      </c>
      <c r="B258" s="279">
        <v>101</v>
      </c>
      <c r="C258" s="279" t="s">
        <v>0</v>
      </c>
      <c r="D258" s="280" t="s">
        <v>211</v>
      </c>
      <c r="BK258" s="4"/>
      <c r="BL258" s="4"/>
      <c r="BM258" s="4"/>
      <c r="BN258" s="4"/>
    </row>
    <row r="259" spans="1:66">
      <c r="A259" s="278" t="str">
        <f>$R$2&amp;".Commands.SBSX"</f>
        <v>FB_REG_S.Commands.SBSX</v>
      </c>
      <c r="B259" s="279">
        <v>7998</v>
      </c>
      <c r="C259" s="279" t="s">
        <v>6</v>
      </c>
      <c r="D259" s="280">
        <v>2</v>
      </c>
      <c r="BK259" s="4"/>
      <c r="BL259" s="4"/>
      <c r="BM259" s="4"/>
      <c r="BN259" s="4"/>
    </row>
    <row r="260" spans="1:66">
      <c r="A260" s="281" t="str">
        <f>$R$2&amp;".Commands.SBSX"</f>
        <v>FB_REG_S.Commands.SBSX</v>
      </c>
      <c r="B260" s="282">
        <v>7999</v>
      </c>
      <c r="C260" s="282" t="s">
        <v>0</v>
      </c>
      <c r="D260" s="283" t="str">
        <f>"#"&amp;$T$5&amp;"#"&amp;$T$2&amp;"\"&amp;$P$2&amp;"\SBSX"</f>
        <v>#1#treiOPCDA.CoOPCserv.1\pcmaster\REG_test\SBSX</v>
      </c>
      <c r="BK260" s="4"/>
      <c r="BL260" s="4"/>
      <c r="BM260" s="4"/>
      <c r="BN260" s="4"/>
    </row>
    <row r="261" spans="1:66">
      <c r="A261" s="275" t="str">
        <f>$R$2&amp;".Commands.SSPH"</f>
        <v>FB_REG_S.Commands.SSPH</v>
      </c>
      <c r="B261" s="276">
        <v>1</v>
      </c>
      <c r="C261" s="276" t="s">
        <v>1</v>
      </c>
      <c r="D261" s="277">
        <v>4</v>
      </c>
      <c r="BK261" s="4"/>
      <c r="BL261" s="4"/>
      <c r="BM261" s="4"/>
      <c r="BN261" s="4"/>
    </row>
    <row r="262" spans="1:66">
      <c r="A262" s="278" t="str">
        <f t="shared" ref="A262:A264" si="21">$R$2&amp;".Commands.SSPH"</f>
        <v>FB_REG_S.Commands.SSPH</v>
      </c>
      <c r="B262" s="279">
        <v>101</v>
      </c>
      <c r="C262" s="279" t="s">
        <v>0</v>
      </c>
      <c r="D262" s="280" t="s">
        <v>214</v>
      </c>
      <c r="BK262" s="4"/>
      <c r="BL262" s="4"/>
      <c r="BM262" s="4"/>
      <c r="BN262" s="4"/>
    </row>
    <row r="263" spans="1:66">
      <c r="A263" s="278" t="str">
        <f t="shared" si="21"/>
        <v>FB_REG_S.Commands.SSPH</v>
      </c>
      <c r="B263" s="279">
        <v>7998</v>
      </c>
      <c r="C263" s="279" t="s">
        <v>6</v>
      </c>
      <c r="D263" s="280">
        <v>2</v>
      </c>
      <c r="BK263" s="4"/>
      <c r="BL263" s="4"/>
      <c r="BM263" s="4"/>
      <c r="BN263" s="4"/>
    </row>
    <row r="264" spans="1:66">
      <c r="A264" s="281" t="str">
        <f t="shared" si="21"/>
        <v>FB_REG_S.Commands.SSPH</v>
      </c>
      <c r="B264" s="282">
        <v>7999</v>
      </c>
      <c r="C264" s="282" t="s">
        <v>0</v>
      </c>
      <c r="D264" s="283" t="str">
        <f>"#"&amp;$T$5&amp;"#"&amp;$T$2&amp;"\"&amp;$P$2&amp;"\SSPH"</f>
        <v>#1#treiOPCDA.CoOPCserv.1\pcmaster\REG_test\SSPH</v>
      </c>
      <c r="BK264" s="4"/>
      <c r="BL264" s="4"/>
      <c r="BM264" s="4"/>
      <c r="BN264" s="4"/>
    </row>
    <row r="265" spans="1:66">
      <c r="A265" s="275" t="str">
        <f>$R$2&amp;".Commands.SSPL"</f>
        <v>FB_REG_S.Commands.SSPL</v>
      </c>
      <c r="B265" s="276">
        <v>1</v>
      </c>
      <c r="C265" s="276" t="s">
        <v>1</v>
      </c>
      <c r="D265" s="277">
        <v>4</v>
      </c>
      <c r="BK265" s="4"/>
      <c r="BL265" s="4"/>
      <c r="BM265" s="4"/>
      <c r="BN265" s="4"/>
    </row>
    <row r="266" spans="1:66">
      <c r="A266" s="278" t="str">
        <f t="shared" ref="A266:A268" si="22">$R$2&amp;".Commands.SSPL"</f>
        <v>FB_REG_S.Commands.SSPL</v>
      </c>
      <c r="B266" s="279">
        <v>101</v>
      </c>
      <c r="C266" s="279" t="s">
        <v>0</v>
      </c>
      <c r="D266" s="280" t="s">
        <v>215</v>
      </c>
      <c r="BK266" s="4"/>
      <c r="BL266" s="4"/>
      <c r="BM266" s="4"/>
      <c r="BN266" s="4"/>
    </row>
    <row r="267" spans="1:66">
      <c r="A267" s="278" t="str">
        <f t="shared" si="22"/>
        <v>FB_REG_S.Commands.SSPL</v>
      </c>
      <c r="B267" s="279">
        <v>7998</v>
      </c>
      <c r="C267" s="279" t="s">
        <v>6</v>
      </c>
      <c r="D267" s="280">
        <v>2</v>
      </c>
      <c r="BK267" s="4"/>
      <c r="BL267" s="4"/>
      <c r="BM267" s="4"/>
      <c r="BN267" s="4"/>
    </row>
    <row r="268" spans="1:66">
      <c r="A268" s="281" t="str">
        <f t="shared" si="22"/>
        <v>FB_REG_S.Commands.SSPL</v>
      </c>
      <c r="B268" s="282">
        <v>7999</v>
      </c>
      <c r="C268" s="282" t="s">
        <v>0</v>
      </c>
      <c r="D268" s="283" t="str">
        <f>"#"&amp;$T$5&amp;"#"&amp;$T$2&amp;"\"&amp;$P$2&amp;"\SSPL"</f>
        <v>#1#treiOPCDA.CoOPCserv.1\pcmaster\REG_test\SSPL</v>
      </c>
      <c r="BK268" s="4"/>
      <c r="BL268" s="4"/>
      <c r="BM268" s="4"/>
      <c r="BN268" s="4"/>
    </row>
    <row r="269" spans="1:66">
      <c r="A269" s="275" t="str">
        <f>$R$2&amp;".Commands.SCAH"</f>
        <v>FB_REG_S.Commands.SCAH</v>
      </c>
      <c r="B269" s="276">
        <v>1</v>
      </c>
      <c r="C269" s="276" t="s">
        <v>1</v>
      </c>
      <c r="D269" s="277">
        <v>4</v>
      </c>
      <c r="BK269" s="4"/>
      <c r="BL269" s="4"/>
      <c r="BM269" s="4"/>
      <c r="BN269" s="4"/>
    </row>
    <row r="270" spans="1:66">
      <c r="A270" s="278" t="str">
        <f t="shared" ref="A270:A272" si="23">$R$2&amp;".Commands.SCAH"</f>
        <v>FB_REG_S.Commands.SCAH</v>
      </c>
      <c r="B270" s="279">
        <v>101</v>
      </c>
      <c r="C270" s="279" t="s">
        <v>0</v>
      </c>
      <c r="D270" s="280" t="s">
        <v>2922</v>
      </c>
      <c r="BK270" s="4"/>
      <c r="BL270" s="4"/>
      <c r="BM270" s="4"/>
      <c r="BN270" s="4"/>
    </row>
    <row r="271" spans="1:66">
      <c r="A271" s="278" t="str">
        <f t="shared" si="23"/>
        <v>FB_REG_S.Commands.SCAH</v>
      </c>
      <c r="B271" s="279">
        <v>7998</v>
      </c>
      <c r="C271" s="279" t="s">
        <v>6</v>
      </c>
      <c r="D271" s="280">
        <v>2</v>
      </c>
      <c r="BK271" s="4"/>
      <c r="BL271" s="4"/>
      <c r="BM271" s="4"/>
      <c r="BN271" s="4"/>
    </row>
    <row r="272" spans="1:66">
      <c r="A272" s="281" t="str">
        <f t="shared" si="23"/>
        <v>FB_REG_S.Commands.SCAH</v>
      </c>
      <c r="B272" s="282">
        <v>7999</v>
      </c>
      <c r="C272" s="282" t="s">
        <v>0</v>
      </c>
      <c r="D272" s="283" t="str">
        <f>"#"&amp;$T$5&amp;"#"&amp;$T$2&amp;"\"&amp;$P$2&amp;"\SCAH"</f>
        <v>#1#treiOPCDA.CoOPCserv.1\pcmaster\REG_test\SCAH</v>
      </c>
      <c r="BK272" s="4"/>
      <c r="BL272" s="4"/>
      <c r="BM272" s="4"/>
      <c r="BN272" s="4"/>
    </row>
    <row r="273" spans="1:66">
      <c r="A273" s="275" t="str">
        <f>$R$2&amp;".Commands.SCAL"</f>
        <v>FB_REG_S.Commands.SCAL</v>
      </c>
      <c r="B273" s="276">
        <v>1</v>
      </c>
      <c r="C273" s="276" t="s">
        <v>1</v>
      </c>
      <c r="D273" s="277">
        <v>4</v>
      </c>
      <c r="BK273" s="4"/>
      <c r="BL273" s="4"/>
      <c r="BM273" s="4"/>
      <c r="BN273" s="4"/>
    </row>
    <row r="274" spans="1:66">
      <c r="A274" s="278" t="str">
        <f t="shared" ref="A274:A276" si="24">$R$2&amp;".Commands.SCAL"</f>
        <v>FB_REG_S.Commands.SCAL</v>
      </c>
      <c r="B274" s="279">
        <v>101</v>
      </c>
      <c r="C274" s="279" t="s">
        <v>0</v>
      </c>
      <c r="D274" s="280" t="s">
        <v>2923</v>
      </c>
      <c r="BK274" s="4"/>
      <c r="BL274" s="4"/>
      <c r="BM274" s="4"/>
      <c r="BN274" s="4"/>
    </row>
    <row r="275" spans="1:66">
      <c r="A275" s="278" t="str">
        <f t="shared" si="24"/>
        <v>FB_REG_S.Commands.SCAL</v>
      </c>
      <c r="B275" s="279">
        <v>7998</v>
      </c>
      <c r="C275" s="279" t="s">
        <v>6</v>
      </c>
      <c r="D275" s="280">
        <v>2</v>
      </c>
      <c r="BK275" s="4"/>
      <c r="BL275" s="4"/>
      <c r="BM275" s="4"/>
      <c r="BN275" s="4"/>
    </row>
    <row r="276" spans="1:66">
      <c r="A276" s="281" t="str">
        <f t="shared" si="24"/>
        <v>FB_REG_S.Commands.SCAL</v>
      </c>
      <c r="B276" s="282">
        <v>7999</v>
      </c>
      <c r="C276" s="282" t="s">
        <v>0</v>
      </c>
      <c r="D276" s="283" t="str">
        <f>"#"&amp;$T$5&amp;"#"&amp;$T$2&amp;"\"&amp;$P$2&amp;"\SCAL"</f>
        <v>#1#treiOPCDA.CoOPCserv.1\pcmaster\REG_test\SCAL</v>
      </c>
      <c r="BK276" s="4"/>
      <c r="BL276" s="4"/>
      <c r="BM276" s="4"/>
      <c r="BN276" s="4"/>
    </row>
    <row r="277" spans="1:66">
      <c r="A277" s="275" t="str">
        <f>$R$2&amp;".Commands.SOPX"</f>
        <v>FB_REG_S.Commands.SOPX</v>
      </c>
      <c r="B277" s="276">
        <v>1</v>
      </c>
      <c r="C277" s="276" t="s">
        <v>1</v>
      </c>
      <c r="D277" s="277">
        <v>4</v>
      </c>
      <c r="BK277" s="4"/>
      <c r="BL277" s="4"/>
      <c r="BM277" s="4"/>
      <c r="BN277" s="4"/>
    </row>
    <row r="278" spans="1:66">
      <c r="A278" s="278" t="str">
        <f t="shared" ref="A278:A280" si="25">$R$2&amp;".Commands.SOPX"</f>
        <v>FB_REG_S.Commands.SOPX</v>
      </c>
      <c r="B278" s="279">
        <v>101</v>
      </c>
      <c r="C278" s="279" t="s">
        <v>0</v>
      </c>
      <c r="D278" s="280" t="s">
        <v>218</v>
      </c>
      <c r="BK278" s="4"/>
      <c r="BL278" s="4"/>
      <c r="BM278" s="4"/>
      <c r="BN278" s="4"/>
    </row>
    <row r="279" spans="1:66">
      <c r="A279" s="278" t="str">
        <f t="shared" si="25"/>
        <v>FB_REG_S.Commands.SOPX</v>
      </c>
      <c r="B279" s="279">
        <v>7998</v>
      </c>
      <c r="C279" s="279" t="s">
        <v>6</v>
      </c>
      <c r="D279" s="280">
        <v>2</v>
      </c>
      <c r="BK279" s="4"/>
      <c r="BL279" s="4"/>
      <c r="BM279" s="4"/>
      <c r="BN279" s="4"/>
    </row>
    <row r="280" spans="1:66">
      <c r="A280" s="281" t="str">
        <f t="shared" si="25"/>
        <v>FB_REG_S.Commands.SOPX</v>
      </c>
      <c r="B280" s="282">
        <v>7999</v>
      </c>
      <c r="C280" s="282" t="s">
        <v>0</v>
      </c>
      <c r="D280" s="283" t="str">
        <f>"#"&amp;$T$5&amp;"#"&amp;$T$2&amp;"\"&amp;$P$2&amp;"\SOPX"</f>
        <v>#1#treiOPCDA.CoOPCserv.1\pcmaster\REG_test\SOPX</v>
      </c>
      <c r="BK280" s="4"/>
      <c r="BL280" s="4"/>
      <c r="BM280" s="4"/>
      <c r="BN280" s="4"/>
    </row>
    <row r="281" spans="1:66">
      <c r="A281" s="275" t="str">
        <f>$R$2&amp;".Commands.SDBX"</f>
        <v>FB_REG_S.Commands.SDBX</v>
      </c>
      <c r="B281" s="276">
        <v>1</v>
      </c>
      <c r="C281" s="276" t="s">
        <v>1</v>
      </c>
      <c r="D281" s="277">
        <v>4</v>
      </c>
      <c r="BK281" s="4"/>
      <c r="BL281" s="4"/>
      <c r="BM281" s="4"/>
      <c r="BN281" s="4"/>
    </row>
    <row r="282" spans="1:66">
      <c r="A282" s="278" t="str">
        <f>$R$2&amp;".Commands.SDBX"</f>
        <v>FB_REG_S.Commands.SDBX</v>
      </c>
      <c r="B282" s="279">
        <v>101</v>
      </c>
      <c r="C282" s="279" t="s">
        <v>0</v>
      </c>
      <c r="D282" s="280" t="s">
        <v>219</v>
      </c>
      <c r="BK282" s="4"/>
      <c r="BL282" s="4"/>
      <c r="BM282" s="4"/>
      <c r="BN282" s="4"/>
    </row>
    <row r="283" spans="1:66">
      <c r="A283" s="278" t="str">
        <f>$R$2&amp;".Commands.SDBX"</f>
        <v>FB_REG_S.Commands.SDBX</v>
      </c>
      <c r="B283" s="279">
        <v>7998</v>
      </c>
      <c r="C283" s="279" t="s">
        <v>6</v>
      </c>
      <c r="D283" s="280">
        <v>2</v>
      </c>
      <c r="BK283" s="4"/>
      <c r="BL283" s="4"/>
      <c r="BM283" s="4"/>
      <c r="BN283" s="4"/>
    </row>
    <row r="284" spans="1:66">
      <c r="A284" s="281" t="str">
        <f>$R$2&amp;".Commands.SDBX"</f>
        <v>FB_REG_S.Commands.SDBX</v>
      </c>
      <c r="B284" s="282">
        <v>7999</v>
      </c>
      <c r="C284" s="282" t="s">
        <v>0</v>
      </c>
      <c r="D284" s="283" t="str">
        <f>"#"&amp;$T$5&amp;"#"&amp;$T$2&amp;"\"&amp;$P$2&amp;"\SDBX"</f>
        <v>#1#treiOPCDA.CoOPCserv.1\pcmaster\REG_test\SDBX</v>
      </c>
      <c r="BK284" s="4"/>
      <c r="BL284" s="4"/>
      <c r="BM284" s="4"/>
      <c r="BN284" s="4"/>
    </row>
    <row r="285" spans="1:66">
      <c r="A285" s="275" t="str">
        <f>$R$2&amp;".Commands.SEPX"</f>
        <v>FB_REG_S.Commands.SEPX</v>
      </c>
      <c r="B285" s="276">
        <v>1</v>
      </c>
      <c r="C285" s="276" t="s">
        <v>1</v>
      </c>
      <c r="D285" s="277">
        <v>4</v>
      </c>
      <c r="BK285" s="4"/>
      <c r="BL285" s="4"/>
      <c r="BM285" s="4"/>
      <c r="BN285" s="4"/>
    </row>
    <row r="286" spans="1:66">
      <c r="A286" s="278" t="str">
        <f>$R$2&amp;".Commands.SEPX"</f>
        <v>FB_REG_S.Commands.SEPX</v>
      </c>
      <c r="B286" s="279">
        <v>101</v>
      </c>
      <c r="C286" s="279" t="s">
        <v>0</v>
      </c>
      <c r="D286" s="280" t="s">
        <v>220</v>
      </c>
      <c r="BK286" s="4"/>
      <c r="BL286" s="4"/>
      <c r="BM286" s="4"/>
      <c r="BN286" s="4"/>
    </row>
    <row r="287" spans="1:66">
      <c r="A287" s="278" t="str">
        <f>$R$2&amp;".Commands.SEPX"</f>
        <v>FB_REG_S.Commands.SEPX</v>
      </c>
      <c r="B287" s="279">
        <v>7998</v>
      </c>
      <c r="C287" s="279" t="s">
        <v>6</v>
      </c>
      <c r="D287" s="280">
        <v>2</v>
      </c>
      <c r="BK287" s="4"/>
      <c r="BL287" s="4"/>
      <c r="BM287" s="4"/>
      <c r="BN287" s="4"/>
    </row>
    <row r="288" spans="1:66">
      <c r="A288" s="281" t="str">
        <f>$R$2&amp;".Commands.SEPX"</f>
        <v>FB_REG_S.Commands.SEPX</v>
      </c>
      <c r="B288" s="282">
        <v>7999</v>
      </c>
      <c r="C288" s="282" t="s">
        <v>0</v>
      </c>
      <c r="D288" s="283" t="str">
        <f>"#"&amp;$T$5&amp;"#"&amp;$T$2&amp;"\"&amp;$P$2&amp;"\SEPX"</f>
        <v>#1#treiOPCDA.CoOPCserv.1\pcmaster\REG_test\SEPX</v>
      </c>
      <c r="BK288" s="4"/>
      <c r="BL288" s="4"/>
      <c r="BM288" s="4"/>
      <c r="BN288" s="4"/>
    </row>
    <row r="289" spans="1:66">
      <c r="A289" s="275" t="str">
        <f>$R$2&amp;".Commands.SMVX"</f>
        <v>FB_REG_S.Commands.SMVX</v>
      </c>
      <c r="B289" s="276">
        <v>1</v>
      </c>
      <c r="C289" s="276" t="s">
        <v>1</v>
      </c>
      <c r="D289" s="277">
        <v>4</v>
      </c>
      <c r="BK289" s="4"/>
      <c r="BL289" s="4"/>
      <c r="BM289" s="4"/>
      <c r="BN289" s="4"/>
    </row>
    <row r="290" spans="1:66">
      <c r="A290" s="278" t="str">
        <f>$R$2&amp;".Commands.SMVX"</f>
        <v>FB_REG_S.Commands.SMVX</v>
      </c>
      <c r="B290" s="279">
        <v>101</v>
      </c>
      <c r="C290" s="279" t="s">
        <v>0</v>
      </c>
      <c r="D290" s="280" t="s">
        <v>221</v>
      </c>
      <c r="BK290" s="4"/>
      <c r="BL290" s="4"/>
      <c r="BM290" s="4"/>
      <c r="BN290" s="4"/>
    </row>
    <row r="291" spans="1:66">
      <c r="A291" s="278" t="str">
        <f>$R$2&amp;".Commands.SMVX"</f>
        <v>FB_REG_S.Commands.SMVX</v>
      </c>
      <c r="B291" s="279">
        <v>7998</v>
      </c>
      <c r="C291" s="279" t="s">
        <v>6</v>
      </c>
      <c r="D291" s="280">
        <v>2</v>
      </c>
      <c r="BK291" s="4"/>
      <c r="BL291" s="4"/>
      <c r="BM291" s="4"/>
      <c r="BN291" s="4"/>
    </row>
    <row r="292" spans="1:66">
      <c r="A292" s="281" t="str">
        <f>$R$2&amp;".Commands.SMVX"</f>
        <v>FB_REG_S.Commands.SMVX</v>
      </c>
      <c r="B292" s="282">
        <v>7999</v>
      </c>
      <c r="C292" s="282" t="s">
        <v>0</v>
      </c>
      <c r="D292" s="283" t="str">
        <f>"#"&amp;$T$5&amp;"#"&amp;$T$2&amp;"\"&amp;$P$2&amp;"\SMVX"</f>
        <v>#1#treiOPCDA.CoOPCserv.1\pcmaster\REG_test\SMVX</v>
      </c>
      <c r="BK292" s="4"/>
      <c r="BL292" s="4"/>
      <c r="BM292" s="4"/>
      <c r="BN292" s="4"/>
    </row>
    <row r="293" spans="1:66">
      <c r="A293" s="275" t="str">
        <f>$R$2&amp;".Commands.SBPX"</f>
        <v>FB_REG_S.Commands.SBPX</v>
      </c>
      <c r="B293" s="276">
        <v>1</v>
      </c>
      <c r="C293" s="276" t="s">
        <v>1</v>
      </c>
      <c r="D293" s="277">
        <v>4</v>
      </c>
      <c r="BK293" s="4"/>
      <c r="BL293" s="4"/>
      <c r="BM293" s="4"/>
      <c r="BN293" s="4"/>
    </row>
    <row r="294" spans="1:66">
      <c r="A294" s="278" t="str">
        <f>$R$2&amp;".Commands.SBPX"</f>
        <v>FB_REG_S.Commands.SBPX</v>
      </c>
      <c r="B294" s="279">
        <v>101</v>
      </c>
      <c r="C294" s="279" t="s">
        <v>0</v>
      </c>
      <c r="D294" s="280" t="s">
        <v>624</v>
      </c>
      <c r="BK294" s="4"/>
      <c r="BL294" s="4"/>
      <c r="BM294" s="4"/>
      <c r="BN294" s="4"/>
    </row>
    <row r="295" spans="1:66">
      <c r="A295" s="278" t="str">
        <f>$R$2&amp;".Commands.SBPX"</f>
        <v>FB_REG_S.Commands.SBPX</v>
      </c>
      <c r="B295" s="279">
        <v>7998</v>
      </c>
      <c r="C295" s="279" t="s">
        <v>6</v>
      </c>
      <c r="D295" s="280">
        <v>2</v>
      </c>
      <c r="BK295" s="4"/>
      <c r="BL295" s="4"/>
      <c r="BM295" s="4"/>
      <c r="BN295" s="4"/>
    </row>
    <row r="296" spans="1:66">
      <c r="A296" s="281" t="str">
        <f>$R$2&amp;".Commands.SBPX"</f>
        <v>FB_REG_S.Commands.SBPX</v>
      </c>
      <c r="B296" s="282">
        <v>7999</v>
      </c>
      <c r="C296" s="282" t="s">
        <v>0</v>
      </c>
      <c r="D296" s="283" t="str">
        <f>"#"&amp;$T$5&amp;"#"&amp;$T$2&amp;"\"&amp;$P$2&amp;"\SBPX"</f>
        <v>#1#treiOPCDA.CoOPCserv.1\pcmaster\REG_test\SBPX</v>
      </c>
      <c r="BK296" s="4"/>
      <c r="BL296" s="4"/>
      <c r="BM296" s="4"/>
      <c r="BN296" s="4"/>
    </row>
    <row r="297" spans="1:66">
      <c r="A297" s="275" t="str">
        <f>$R$2&amp;".Commands.SSPX"</f>
        <v>FB_REG_S.Commands.SSPX</v>
      </c>
      <c r="B297" s="276">
        <v>1</v>
      </c>
      <c r="C297" s="276" t="s">
        <v>1</v>
      </c>
      <c r="D297" s="277">
        <v>4</v>
      </c>
      <c r="BK297" s="4"/>
      <c r="BL297" s="4"/>
      <c r="BM297" s="4"/>
      <c r="BN297" s="4"/>
    </row>
    <row r="298" spans="1:66">
      <c r="A298" s="278" t="str">
        <f t="shared" ref="A298:A300" si="26">$R$2&amp;".Commands.SSPX"</f>
        <v>FB_REG_S.Commands.SSPX</v>
      </c>
      <c r="B298" s="279">
        <v>101</v>
      </c>
      <c r="C298" s="279" t="s">
        <v>0</v>
      </c>
      <c r="D298" s="280" t="s">
        <v>213</v>
      </c>
      <c r="BK298" s="4"/>
      <c r="BL298" s="4"/>
      <c r="BM298" s="4"/>
      <c r="BN298" s="4"/>
    </row>
    <row r="299" spans="1:66">
      <c r="A299" s="278" t="str">
        <f t="shared" si="26"/>
        <v>FB_REG_S.Commands.SSPX</v>
      </c>
      <c r="B299" s="279">
        <v>7998</v>
      </c>
      <c r="C299" s="279" t="s">
        <v>6</v>
      </c>
      <c r="D299" s="280">
        <v>2</v>
      </c>
      <c r="BK299" s="4"/>
      <c r="BL299" s="4"/>
      <c r="BM299" s="4"/>
      <c r="BN299" s="4"/>
    </row>
    <row r="300" spans="1:66">
      <c r="A300" s="281" t="str">
        <f t="shared" si="26"/>
        <v>FB_REG_S.Commands.SSPX</v>
      </c>
      <c r="B300" s="282">
        <v>7999</v>
      </c>
      <c r="C300" s="282" t="s">
        <v>0</v>
      </c>
      <c r="D300" s="283" t="str">
        <f>"#"&amp;$T$5&amp;"#"&amp;$T$2&amp;"\"&amp;$P$2&amp;"\SSPX"</f>
        <v>#1#treiOPCDA.CoOPCserv.1\pcmaster\REG_test\SSPX</v>
      </c>
      <c r="BK300" s="4"/>
      <c r="BL300" s="4"/>
      <c r="BM300" s="4"/>
      <c r="BN300" s="4"/>
    </row>
    <row r="301" spans="1:66">
      <c r="A301" s="266" t="str">
        <f>$R$2&amp;".Commands.SWSX"</f>
        <v>FB_REG_S.Commands.SWSX</v>
      </c>
      <c r="B301" s="267">
        <v>1</v>
      </c>
      <c r="C301" s="267" t="s">
        <v>1</v>
      </c>
      <c r="D301" s="268">
        <v>3</v>
      </c>
      <c r="BK301" s="4"/>
      <c r="BL301" s="4"/>
      <c r="BM301" s="4"/>
      <c r="BN301" s="4"/>
    </row>
    <row r="302" spans="1:66">
      <c r="A302" s="269" t="str">
        <f>$R$2&amp;".Commands.SWSX"</f>
        <v>FB_REG_S.Commands.SWSX</v>
      </c>
      <c r="B302" s="270">
        <v>101</v>
      </c>
      <c r="C302" s="270" t="s">
        <v>0</v>
      </c>
      <c r="D302" s="271" t="s">
        <v>212</v>
      </c>
      <c r="BK302" s="4"/>
      <c r="BL302" s="4"/>
      <c r="BM302" s="4"/>
      <c r="BN302" s="4"/>
    </row>
    <row r="303" spans="1:66">
      <c r="A303" s="269" t="str">
        <f>$R$2&amp;".Commands.SWSX"</f>
        <v>FB_REG_S.Commands.SWSX</v>
      </c>
      <c r="B303" s="270">
        <v>7998</v>
      </c>
      <c r="C303" s="270" t="s">
        <v>6</v>
      </c>
      <c r="D303" s="271">
        <v>2</v>
      </c>
      <c r="BK303" s="4"/>
      <c r="BL303" s="4"/>
      <c r="BM303" s="4"/>
      <c r="BN303" s="4"/>
    </row>
    <row r="304" spans="1:66">
      <c r="A304" s="272" t="str">
        <f>$R$2&amp;".Commands.SWSX"</f>
        <v>FB_REG_S.Commands.SWSX</v>
      </c>
      <c r="B304" s="273">
        <v>7999</v>
      </c>
      <c r="C304" s="273" t="s">
        <v>0</v>
      </c>
      <c r="D304" s="274" t="str">
        <f>"#"&amp;$T$5&amp;"#"&amp;$T$2&amp;"\"&amp;$P$2&amp;"\SWSX"</f>
        <v>#1#treiOPCDA.CoOPCserv.1\pcmaster\REG_test\SWSX</v>
      </c>
    </row>
    <row r="305" spans="1:4">
      <c r="A305" s="266" t="str">
        <f>$R$2&amp;".Commands.SMVT"</f>
        <v>FB_REG_S.Commands.SMVT</v>
      </c>
      <c r="B305" s="267">
        <v>1</v>
      </c>
      <c r="C305" s="267" t="s">
        <v>1</v>
      </c>
      <c r="D305" s="268">
        <v>3</v>
      </c>
    </row>
    <row r="306" spans="1:4">
      <c r="A306" s="269" t="str">
        <f>$R$2&amp;".Commands.SMVT"</f>
        <v>FB_REG_S.Commands.SMVT</v>
      </c>
      <c r="B306" s="270">
        <v>101</v>
      </c>
      <c r="C306" s="270" t="s">
        <v>0</v>
      </c>
      <c r="D306" s="271" t="s">
        <v>222</v>
      </c>
    </row>
    <row r="307" spans="1:4">
      <c r="A307" s="269" t="str">
        <f>$R$2&amp;".Commands.SMVT"</f>
        <v>FB_REG_S.Commands.SMVT</v>
      </c>
      <c r="B307" s="270">
        <v>7998</v>
      </c>
      <c r="C307" s="270" t="s">
        <v>6</v>
      </c>
      <c r="D307" s="271">
        <v>2</v>
      </c>
    </row>
    <row r="308" spans="1:4">
      <c r="A308" s="272" t="str">
        <f>$R$2&amp;".Commands.SMVT"</f>
        <v>FB_REG_S.Commands.SMVT</v>
      </c>
      <c r="B308" s="273">
        <v>7999</v>
      </c>
      <c r="C308" s="273" t="s">
        <v>0</v>
      </c>
      <c r="D308" s="274" t="str">
        <f>"#"&amp;$T$5&amp;"#"&amp;$T$2&amp;"\"&amp;$P$2&amp;"\SMVT"</f>
        <v>#1#treiOPCDA.CoOPCserv.1\pcmaster\REG_test\SMVT</v>
      </c>
    </row>
    <row r="309" spans="1:4">
      <c r="A309" s="16" t="str">
        <f>$R$2&amp;".Commands.CMMX"</f>
        <v>FB_REG_S.Commands.CMMX</v>
      </c>
      <c r="B309" s="17">
        <v>101</v>
      </c>
      <c r="C309" s="17" t="s">
        <v>0</v>
      </c>
      <c r="D309" s="18" t="s">
        <v>202</v>
      </c>
    </row>
    <row r="310" spans="1:4">
      <c r="A310" s="19" t="str">
        <f>$R$2&amp;".Commands.CMMX"</f>
        <v>FB_REG_S.Commands.CMMX</v>
      </c>
      <c r="B310" s="11">
        <v>7999</v>
      </c>
      <c r="C310" s="11" t="s">
        <v>0</v>
      </c>
      <c r="D310" s="20" t="str">
        <f>"#"&amp;$T$5&amp;"#"&amp;$T$2&amp;"\"&amp;$P$2&amp;"\CMMX"</f>
        <v>#1#treiOPCDA.CoOPCserv.1\pcmaster\REG_test\CMMX</v>
      </c>
    </row>
    <row r="311" spans="1:4">
      <c r="A311" s="19" t="str">
        <f>$R$2&amp;".Commands.CMMX"</f>
        <v>FB_REG_S.Commands.CMMX</v>
      </c>
      <c r="B311" s="11">
        <v>7998</v>
      </c>
      <c r="C311" s="11" t="s">
        <v>6</v>
      </c>
      <c r="D311" s="20">
        <v>2</v>
      </c>
    </row>
    <row r="312" spans="1:4">
      <c r="A312" s="21" t="str">
        <f>$R$2&amp;".Commands.CMMX"</f>
        <v>FB_REG_S.Commands.CMMX</v>
      </c>
      <c r="B312" s="8">
        <v>1</v>
      </c>
      <c r="C312" s="8" t="s">
        <v>1</v>
      </c>
      <c r="D312" s="22">
        <v>11</v>
      </c>
    </row>
    <row r="313" spans="1:4">
      <c r="A313" s="16" t="str">
        <f>$R$2&amp;".Commands.CRPX"</f>
        <v>FB_REG_S.Commands.CRPX</v>
      </c>
      <c r="B313" s="17">
        <v>101</v>
      </c>
      <c r="C313" s="17" t="s">
        <v>0</v>
      </c>
      <c r="D313" s="18" t="s">
        <v>113</v>
      </c>
    </row>
    <row r="314" spans="1:4">
      <c r="A314" s="19" t="str">
        <f>$R$2&amp;".Commands.CRPX"</f>
        <v>FB_REG_S.Commands.CRPX</v>
      </c>
      <c r="B314" s="11">
        <v>7999</v>
      </c>
      <c r="C314" s="11" t="s">
        <v>0</v>
      </c>
      <c r="D314" s="20" t="str">
        <f>"#"&amp;$T$5&amp;"#"&amp;$T$2&amp;"\"&amp;$P$2&amp;"\CRPX"</f>
        <v>#1#treiOPCDA.CoOPCserv.1\pcmaster\REG_test\CRPX</v>
      </c>
    </row>
    <row r="315" spans="1:4">
      <c r="A315" s="19" t="str">
        <f>$R$2&amp;".Commands.CRPX"</f>
        <v>FB_REG_S.Commands.CRPX</v>
      </c>
      <c r="B315" s="11">
        <v>7998</v>
      </c>
      <c r="C315" s="11" t="s">
        <v>6</v>
      </c>
      <c r="D315" s="20">
        <v>2</v>
      </c>
    </row>
    <row r="316" spans="1:4">
      <c r="A316" s="21" t="str">
        <f>$R$2&amp;".Commands.CRPX"</f>
        <v>FB_REG_S.Commands.CRPX</v>
      </c>
      <c r="B316" s="8">
        <v>1</v>
      </c>
      <c r="C316" s="8" t="s">
        <v>1</v>
      </c>
      <c r="D316" s="22">
        <v>11</v>
      </c>
    </row>
    <row r="317" spans="1:4">
      <c r="A317" s="16" t="str">
        <f>$R$2&amp;".Commands.CCRM"</f>
        <v>FB_REG_S.Commands.CCRM</v>
      </c>
      <c r="B317" s="17">
        <v>101</v>
      </c>
      <c r="C317" s="17" t="s">
        <v>0</v>
      </c>
      <c r="D317" s="18" t="s">
        <v>203</v>
      </c>
    </row>
    <row r="318" spans="1:4">
      <c r="A318" s="19" t="str">
        <f>$R$2&amp;".Commands.CCRM"</f>
        <v>FB_REG_S.Commands.CCRM</v>
      </c>
      <c r="B318" s="11">
        <v>7999</v>
      </c>
      <c r="C318" s="11" t="s">
        <v>0</v>
      </c>
      <c r="D318" s="20" t="str">
        <f>"#"&amp;$T$5&amp;"#"&amp;$T$2&amp;"\"&amp;$P$2&amp;"\CCRM"</f>
        <v>#1#treiOPCDA.CoOPCserv.1\pcmaster\REG_test\CCRM</v>
      </c>
    </row>
    <row r="319" spans="1:4">
      <c r="A319" s="19" t="str">
        <f>$R$2&amp;".Commands.CCRM"</f>
        <v>FB_REG_S.Commands.CCRM</v>
      </c>
      <c r="B319" s="11">
        <v>7998</v>
      </c>
      <c r="C319" s="11" t="s">
        <v>6</v>
      </c>
      <c r="D319" s="20">
        <v>2</v>
      </c>
    </row>
    <row r="320" spans="1:4">
      <c r="A320" s="21" t="str">
        <f>$R$2&amp;".Commands.CCRM"</f>
        <v>FB_REG_S.Commands.CCRM</v>
      </c>
      <c r="B320" s="8">
        <v>1</v>
      </c>
      <c r="C320" s="8" t="s">
        <v>1</v>
      </c>
      <c r="D320" s="22">
        <v>11</v>
      </c>
    </row>
    <row r="321" spans="1:66">
      <c r="A321" s="16" t="str">
        <f>$R$2&amp;".Commands.CNWX"</f>
        <v>FB_REG_S.Commands.CNWX</v>
      </c>
      <c r="B321" s="17">
        <v>101</v>
      </c>
      <c r="C321" s="17" t="s">
        <v>0</v>
      </c>
      <c r="D321" s="18" t="s">
        <v>2756</v>
      </c>
    </row>
    <row r="322" spans="1:66">
      <c r="A322" s="19" t="str">
        <f t="shared" ref="A322:A324" si="27">$R$2&amp;".Commands.CNWX"</f>
        <v>FB_REG_S.Commands.CNWX</v>
      </c>
      <c r="B322" s="11">
        <v>7999</v>
      </c>
      <c r="C322" s="11" t="s">
        <v>0</v>
      </c>
      <c r="D322" s="20" t="str">
        <f>"#"&amp;$T$5&amp;"#"&amp;$T$2&amp;"\"&amp;$P$2&amp;"\CNWX"</f>
        <v>#1#treiOPCDA.CoOPCserv.1\pcmaster\REG_test\CNWX</v>
      </c>
    </row>
    <row r="323" spans="1:66">
      <c r="A323" s="19" t="str">
        <f t="shared" si="27"/>
        <v>FB_REG_S.Commands.CNWX</v>
      </c>
      <c r="B323" s="11">
        <v>7998</v>
      </c>
      <c r="C323" s="11" t="s">
        <v>6</v>
      </c>
      <c r="D323" s="20">
        <v>2</v>
      </c>
    </row>
    <row r="324" spans="1:66">
      <c r="A324" s="21" t="str">
        <f t="shared" si="27"/>
        <v>FB_REG_S.Commands.CNWX</v>
      </c>
      <c r="B324" s="8">
        <v>1</v>
      </c>
      <c r="C324" s="8" t="s">
        <v>1</v>
      </c>
      <c r="D324" s="22">
        <v>11</v>
      </c>
    </row>
    <row r="325" spans="1:66">
      <c r="A325" s="19" t="str">
        <f>$R$2&amp;".FCPX"</f>
        <v>FB_REG_S.FCPX</v>
      </c>
      <c r="B325" s="11">
        <v>7999</v>
      </c>
      <c r="C325" s="11" t="s">
        <v>0</v>
      </c>
      <c r="D325" s="20" t="str">
        <f>"#"&amp;$S$2&amp;"#"&amp;$T$2&amp;"\"&amp;$P$2&amp;"\FCPX"</f>
        <v>#1#treiOPCDA.CoOPCserv.1\pcmaster\REG_test\FCPX</v>
      </c>
      <c r="BK325" s="4"/>
      <c r="BL325" s="4"/>
      <c r="BM325" s="4"/>
      <c r="BN325" s="4"/>
    </row>
    <row r="326" spans="1:66">
      <c r="A326" s="19" t="str">
        <f t="shared" ref="A326:A330" si="28">$R$2&amp;".FCPX"</f>
        <v>FB_REG_S.FCPX</v>
      </c>
      <c r="B326" s="11">
        <v>7998</v>
      </c>
      <c r="C326" s="11" t="s">
        <v>6</v>
      </c>
      <c r="D326" s="20">
        <v>1</v>
      </c>
      <c r="BK326" s="4"/>
      <c r="BL326" s="4"/>
      <c r="BM326" s="4"/>
      <c r="BN326" s="4"/>
    </row>
    <row r="327" spans="1:66">
      <c r="A327" s="19" t="str">
        <f t="shared" si="28"/>
        <v>FB_REG_S.FCPX</v>
      </c>
      <c r="B327" s="11">
        <v>101</v>
      </c>
      <c r="C327" s="11" t="s">
        <v>0</v>
      </c>
      <c r="D327" s="20" t="s">
        <v>2752</v>
      </c>
      <c r="BK327" s="4"/>
      <c r="BL327" s="4"/>
      <c r="BM327" s="4"/>
      <c r="BN327" s="4"/>
    </row>
    <row r="328" spans="1:66">
      <c r="A328" s="19" t="str">
        <f t="shared" si="28"/>
        <v>FB_REG_S.FCPX</v>
      </c>
      <c r="B328" s="11">
        <v>3</v>
      </c>
      <c r="C328" s="11" t="s">
        <v>1</v>
      </c>
      <c r="D328" s="20">
        <v>192</v>
      </c>
      <c r="BK328" s="4"/>
      <c r="BL328" s="4"/>
      <c r="BM328" s="4"/>
      <c r="BN328" s="4"/>
    </row>
    <row r="329" spans="1:66">
      <c r="A329" s="19" t="str">
        <f t="shared" si="28"/>
        <v>FB_REG_S.FCPX</v>
      </c>
      <c r="B329" s="11">
        <v>2</v>
      </c>
      <c r="C329" s="11" t="s">
        <v>2</v>
      </c>
      <c r="D329" s="20" t="s">
        <v>3</v>
      </c>
      <c r="BK329" s="4"/>
      <c r="BL329" s="4"/>
      <c r="BM329" s="4"/>
      <c r="BN329" s="4"/>
    </row>
    <row r="330" spans="1:66">
      <c r="A330" s="21" t="str">
        <f t="shared" si="28"/>
        <v>FB_REG_S.FCPX</v>
      </c>
      <c r="B330" s="8">
        <v>1</v>
      </c>
      <c r="C330" s="8" t="s">
        <v>1</v>
      </c>
      <c r="D330" s="22">
        <v>11</v>
      </c>
      <c r="BK330" s="4"/>
      <c r="BL330" s="4"/>
      <c r="BM330" s="4"/>
      <c r="BN330" s="4"/>
    </row>
    <row r="331" spans="1:66">
      <c r="A331" s="19" t="str">
        <f t="shared" ref="A331:A336" si="29">$R$2&amp;".XDAX"</f>
        <v>FB_REG_S.XDAX</v>
      </c>
      <c r="B331" s="11">
        <v>7999</v>
      </c>
      <c r="C331" s="11" t="s">
        <v>0</v>
      </c>
      <c r="D331" s="20" t="str">
        <f>"#"&amp;$S$2&amp;"#"&amp;$T$2&amp;"\"&amp;$P$2&amp;"\XDAX"</f>
        <v>#1#treiOPCDA.CoOPCserv.1\pcmaster\REG_test\XDAX</v>
      </c>
      <c r="BK331" s="4"/>
      <c r="BL331" s="4"/>
      <c r="BM331" s="4"/>
      <c r="BN331" s="4"/>
    </row>
    <row r="332" spans="1:66">
      <c r="A332" s="19" t="str">
        <f t="shared" si="29"/>
        <v>FB_REG_S.XDAX</v>
      </c>
      <c r="B332" s="11">
        <v>7998</v>
      </c>
      <c r="C332" s="11" t="s">
        <v>6</v>
      </c>
      <c r="D332" s="20">
        <v>1</v>
      </c>
      <c r="BK332" s="4"/>
      <c r="BL332" s="4"/>
      <c r="BM332" s="4"/>
      <c r="BN332" s="4"/>
    </row>
    <row r="333" spans="1:66">
      <c r="A333" s="19" t="str">
        <f t="shared" si="29"/>
        <v>FB_REG_S.XDAX</v>
      </c>
      <c r="B333" s="11">
        <v>101</v>
      </c>
      <c r="C333" s="11" t="s">
        <v>0</v>
      </c>
      <c r="D333" s="20" t="s">
        <v>2918</v>
      </c>
      <c r="BK333" s="4"/>
      <c r="BL333" s="4"/>
      <c r="BM333" s="4"/>
      <c r="BN333" s="4"/>
    </row>
    <row r="334" spans="1:66">
      <c r="A334" s="19" t="str">
        <f t="shared" si="29"/>
        <v>FB_REG_S.XDAX</v>
      </c>
      <c r="B334" s="11">
        <v>3</v>
      </c>
      <c r="C334" s="11" t="s">
        <v>1</v>
      </c>
      <c r="D334" s="20">
        <v>192</v>
      </c>
      <c r="BK334" s="4"/>
      <c r="BL334" s="4"/>
      <c r="BM334" s="4"/>
      <c r="BN334" s="4"/>
    </row>
    <row r="335" spans="1:66">
      <c r="A335" s="19" t="str">
        <f t="shared" si="29"/>
        <v>FB_REG_S.XDAX</v>
      </c>
      <c r="B335" s="11">
        <v>2</v>
      </c>
      <c r="C335" s="11" t="s">
        <v>2</v>
      </c>
      <c r="D335" s="20" t="s">
        <v>3</v>
      </c>
      <c r="BK335" s="4"/>
      <c r="BL335" s="4"/>
      <c r="BM335" s="4"/>
      <c r="BN335" s="4"/>
    </row>
    <row r="336" spans="1:66">
      <c r="A336" s="21" t="str">
        <f t="shared" si="29"/>
        <v>FB_REG_S.XDAX</v>
      </c>
      <c r="B336" s="8">
        <v>1</v>
      </c>
      <c r="C336" s="8" t="s">
        <v>1</v>
      </c>
      <c r="D336" s="22">
        <v>11</v>
      </c>
      <c r="BK336" s="4"/>
      <c r="BL336" s="4"/>
      <c r="BM336" s="4"/>
      <c r="BN336" s="4"/>
    </row>
    <row r="337" spans="1:66">
      <c r="A337" s="19" t="str">
        <f t="shared" ref="A337:A342" si="30">$R$2&amp;".XRCX"</f>
        <v>FB_REG_S.XRCX</v>
      </c>
      <c r="B337" s="11">
        <v>7999</v>
      </c>
      <c r="C337" s="11" t="s">
        <v>0</v>
      </c>
      <c r="D337" s="20" t="str">
        <f>"#"&amp;$S$2&amp;"#"&amp;$T$2&amp;"\"&amp;$P$2&amp;"\XRCX"</f>
        <v>#1#treiOPCDA.CoOPCserv.1\pcmaster\REG_test\XRCX</v>
      </c>
      <c r="Q337" s="1"/>
      <c r="R337" s="1"/>
      <c r="S337" s="1"/>
      <c r="T337" s="1"/>
      <c r="U337" s="1"/>
      <c r="V337" s="1"/>
      <c r="BK337" s="4"/>
      <c r="BL337" s="4"/>
      <c r="BM337" s="4"/>
      <c r="BN337" s="4"/>
    </row>
    <row r="338" spans="1:66">
      <c r="A338" s="19" t="str">
        <f t="shared" si="30"/>
        <v>FB_REG_S.XRCX</v>
      </c>
      <c r="B338" s="11">
        <v>7998</v>
      </c>
      <c r="C338" s="11" t="s">
        <v>6</v>
      </c>
      <c r="D338" s="20">
        <v>1</v>
      </c>
      <c r="Q338" s="1"/>
      <c r="R338" s="1"/>
      <c r="S338" s="1"/>
      <c r="T338" s="1"/>
      <c r="U338" s="1"/>
      <c r="V338" s="1"/>
      <c r="BK338" s="4"/>
      <c r="BL338" s="4"/>
      <c r="BM338" s="4"/>
      <c r="BN338" s="4"/>
    </row>
    <row r="339" spans="1:66">
      <c r="A339" s="19" t="str">
        <f t="shared" si="30"/>
        <v>FB_REG_S.XRCX</v>
      </c>
      <c r="B339" s="11">
        <v>101</v>
      </c>
      <c r="C339" s="11" t="s">
        <v>0</v>
      </c>
      <c r="D339" s="20" t="s">
        <v>575</v>
      </c>
      <c r="BK339" s="4"/>
      <c r="BL339" s="4"/>
      <c r="BM339" s="4"/>
      <c r="BN339" s="4"/>
    </row>
    <row r="340" spans="1:66">
      <c r="A340" s="19" t="str">
        <f t="shared" si="30"/>
        <v>FB_REG_S.XRCX</v>
      </c>
      <c r="B340" s="11">
        <v>3</v>
      </c>
      <c r="C340" s="11" t="s">
        <v>1</v>
      </c>
      <c r="D340" s="20">
        <v>192</v>
      </c>
      <c r="BK340" s="4"/>
      <c r="BL340" s="4"/>
      <c r="BM340" s="4"/>
      <c r="BN340" s="4"/>
    </row>
    <row r="341" spans="1:66">
      <c r="A341" s="19" t="str">
        <f t="shared" si="30"/>
        <v>FB_REG_S.XRCX</v>
      </c>
      <c r="B341" s="11">
        <v>2</v>
      </c>
      <c r="C341" s="11" t="s">
        <v>2</v>
      </c>
      <c r="D341" s="20" t="s">
        <v>3</v>
      </c>
      <c r="BK341" s="4"/>
      <c r="BL341" s="4"/>
      <c r="BM341" s="4"/>
      <c r="BN341" s="4"/>
    </row>
    <row r="342" spans="1:66">
      <c r="A342" s="21" t="str">
        <f t="shared" si="30"/>
        <v>FB_REG_S.XRCX</v>
      </c>
      <c r="B342" s="8">
        <v>1</v>
      </c>
      <c r="C342" s="8" t="s">
        <v>1</v>
      </c>
      <c r="D342" s="22">
        <v>11</v>
      </c>
      <c r="BK342" s="4"/>
      <c r="BL342" s="4"/>
      <c r="BM342" s="4"/>
      <c r="BN342" s="4"/>
    </row>
    <row r="343" spans="1:66">
      <c r="A343" s="19" t="str">
        <f t="shared" ref="A343:A348" si="31">$R$2&amp;".FXXX"</f>
        <v>FB_REG_S.FXXX</v>
      </c>
      <c r="B343" s="11">
        <v>7999</v>
      </c>
      <c r="C343" s="11" t="s">
        <v>0</v>
      </c>
      <c r="D343" s="20" t="str">
        <f>"#"&amp;$S$2&amp;"#"&amp;$T$2&amp;"\"&amp;$P$2&amp;"\FXXX"</f>
        <v>#1#treiOPCDA.CoOPCserv.1\pcmaster\REG_test\FXXX</v>
      </c>
    </row>
    <row r="344" spans="1:66">
      <c r="A344" s="19" t="str">
        <f t="shared" si="31"/>
        <v>FB_REG_S.FXXX</v>
      </c>
      <c r="B344" s="11">
        <v>7998</v>
      </c>
      <c r="C344" s="11" t="s">
        <v>6</v>
      </c>
      <c r="D344" s="20">
        <v>1</v>
      </c>
    </row>
    <row r="345" spans="1:66">
      <c r="A345" s="19" t="str">
        <f t="shared" si="31"/>
        <v>FB_REG_S.FXXX</v>
      </c>
      <c r="B345" s="11">
        <v>101</v>
      </c>
      <c r="C345" s="11" t="s">
        <v>0</v>
      </c>
      <c r="D345" s="20" t="s">
        <v>139</v>
      </c>
    </row>
    <row r="346" spans="1:66">
      <c r="A346" s="19" t="str">
        <f t="shared" si="31"/>
        <v>FB_REG_S.FXXX</v>
      </c>
      <c r="B346" s="11">
        <v>3</v>
      </c>
      <c r="C346" s="11" t="s">
        <v>1</v>
      </c>
      <c r="D346" s="20">
        <v>192</v>
      </c>
    </row>
    <row r="347" spans="1:66">
      <c r="A347" s="19" t="str">
        <f t="shared" si="31"/>
        <v>FB_REG_S.FXXX</v>
      </c>
      <c r="B347" s="11">
        <v>2</v>
      </c>
      <c r="C347" s="11" t="s">
        <v>2</v>
      </c>
      <c r="D347" s="20" t="s">
        <v>3</v>
      </c>
    </row>
    <row r="348" spans="1:66">
      <c r="A348" s="21" t="str">
        <f t="shared" si="31"/>
        <v>FB_REG_S.FXXX</v>
      </c>
      <c r="B348" s="8">
        <v>1</v>
      </c>
      <c r="C348" s="8" t="s">
        <v>1</v>
      </c>
      <c r="D348" s="22">
        <v>11</v>
      </c>
    </row>
    <row r="349" spans="1:66">
      <c r="A349" s="19" t="str">
        <f t="shared" ref="A349:A354" si="32">$R$2&amp;".CCRM"</f>
        <v>FB_REG_S.CCRM</v>
      </c>
      <c r="B349" s="11">
        <v>7999</v>
      </c>
      <c r="C349" s="11" t="s">
        <v>0</v>
      </c>
      <c r="D349" s="20" t="str">
        <f>"#"&amp;$S$2&amp;"#"&amp;$T$2&amp;"\"&amp;$P$2&amp;"\CCRM"</f>
        <v>#1#treiOPCDA.CoOPCserv.1\pcmaster\REG_test\CCRM</v>
      </c>
    </row>
    <row r="350" spans="1:66">
      <c r="A350" s="19" t="str">
        <f t="shared" si="32"/>
        <v>FB_REG_S.CCRM</v>
      </c>
      <c r="B350" s="11">
        <v>7998</v>
      </c>
      <c r="C350" s="11" t="s">
        <v>6</v>
      </c>
      <c r="D350" s="20">
        <v>1</v>
      </c>
    </row>
    <row r="351" spans="1:66">
      <c r="A351" s="19" t="str">
        <f t="shared" si="32"/>
        <v>FB_REG_S.CCRM</v>
      </c>
      <c r="B351" s="11">
        <v>101</v>
      </c>
      <c r="C351" s="11" t="s">
        <v>0</v>
      </c>
      <c r="D351" s="20" t="s">
        <v>203</v>
      </c>
    </row>
    <row r="352" spans="1:66">
      <c r="A352" s="19" t="str">
        <f t="shared" si="32"/>
        <v>FB_REG_S.CCRM</v>
      </c>
      <c r="B352" s="11">
        <v>3</v>
      </c>
      <c r="C352" s="11" t="s">
        <v>1</v>
      </c>
      <c r="D352" s="20">
        <v>192</v>
      </c>
    </row>
    <row r="353" spans="1:4">
      <c r="A353" s="19" t="str">
        <f t="shared" si="32"/>
        <v>FB_REG_S.CCRM</v>
      </c>
      <c r="B353" s="11">
        <v>2</v>
      </c>
      <c r="C353" s="11" t="s">
        <v>2</v>
      </c>
      <c r="D353" s="20" t="s">
        <v>3</v>
      </c>
    </row>
    <row r="354" spans="1:4">
      <c r="A354" s="21" t="str">
        <f t="shared" si="32"/>
        <v>FB_REG_S.CCRM</v>
      </c>
      <c r="B354" s="8">
        <v>1</v>
      </c>
      <c r="C354" s="8" t="s">
        <v>1</v>
      </c>
      <c r="D354" s="22">
        <v>11</v>
      </c>
    </row>
    <row r="355" spans="1:4">
      <c r="A355" s="19" t="str">
        <f t="shared" ref="A355:A360" si="33">$R$2&amp;".CIXX"</f>
        <v>FB_REG_S.CIXX</v>
      </c>
      <c r="B355" s="11">
        <v>7999</v>
      </c>
      <c r="C355" s="11" t="s">
        <v>0</v>
      </c>
      <c r="D355" s="20" t="str">
        <f>"#"&amp;$S$2&amp;"#"&amp;$T$2&amp;"\"&amp;$P$2&amp;"\CIXX"</f>
        <v>#1#treiOPCDA.CoOPCserv.1\pcmaster\REG_test\CIXX</v>
      </c>
    </row>
    <row r="356" spans="1:4">
      <c r="A356" s="19" t="str">
        <f t="shared" si="33"/>
        <v>FB_REG_S.CIXX</v>
      </c>
      <c r="B356" s="11">
        <v>7998</v>
      </c>
      <c r="C356" s="11" t="s">
        <v>6</v>
      </c>
      <c r="D356" s="20">
        <v>1</v>
      </c>
    </row>
    <row r="357" spans="1:4">
      <c r="A357" s="19" t="str">
        <f t="shared" si="33"/>
        <v>FB_REG_S.CIXX</v>
      </c>
      <c r="B357" s="11">
        <v>101</v>
      </c>
      <c r="C357" s="11" t="s">
        <v>0</v>
      </c>
      <c r="D357" s="20" t="s">
        <v>204</v>
      </c>
    </row>
    <row r="358" spans="1:4">
      <c r="A358" s="19" t="str">
        <f t="shared" si="33"/>
        <v>FB_REG_S.CIXX</v>
      </c>
      <c r="B358" s="11">
        <v>3</v>
      </c>
      <c r="C358" s="11" t="s">
        <v>1</v>
      </c>
      <c r="D358" s="20">
        <v>192</v>
      </c>
    </row>
    <row r="359" spans="1:4">
      <c r="A359" s="19" t="str">
        <f t="shared" si="33"/>
        <v>FB_REG_S.CIXX</v>
      </c>
      <c r="B359" s="11">
        <v>2</v>
      </c>
      <c r="C359" s="11" t="s">
        <v>2</v>
      </c>
      <c r="D359" s="20" t="s">
        <v>3</v>
      </c>
    </row>
    <row r="360" spans="1:4">
      <c r="A360" s="21" t="str">
        <f t="shared" si="33"/>
        <v>FB_REG_S.CIXX</v>
      </c>
      <c r="B360" s="8">
        <v>1</v>
      </c>
      <c r="C360" s="8" t="s">
        <v>1</v>
      </c>
      <c r="D360" s="22">
        <v>11</v>
      </c>
    </row>
    <row r="361" spans="1:4">
      <c r="A361" s="19" t="str">
        <f t="shared" ref="A361:A366" si="34">$R$2&amp;".CPMM"</f>
        <v>FB_REG_S.CPMM</v>
      </c>
      <c r="B361" s="11">
        <v>7999</v>
      </c>
      <c r="C361" s="11" t="s">
        <v>0</v>
      </c>
      <c r="D361" s="20" t="str">
        <f>"#"&amp;$S$2&amp;"#"&amp;$T$2&amp;"\"&amp;$P$2&amp;"\CPMM"</f>
        <v>#1#treiOPCDA.CoOPCserv.1\pcmaster\REG_test\CPMM</v>
      </c>
    </row>
    <row r="362" spans="1:4">
      <c r="A362" s="19" t="str">
        <f t="shared" si="34"/>
        <v>FB_REG_S.CPMM</v>
      </c>
      <c r="B362" s="11">
        <v>7998</v>
      </c>
      <c r="C362" s="11" t="s">
        <v>6</v>
      </c>
      <c r="D362" s="20">
        <v>1</v>
      </c>
    </row>
    <row r="363" spans="1:4">
      <c r="A363" s="19" t="str">
        <f t="shared" si="34"/>
        <v>FB_REG_S.CPMM</v>
      </c>
      <c r="B363" s="11">
        <v>101</v>
      </c>
      <c r="C363" s="11" t="s">
        <v>0</v>
      </c>
      <c r="D363" s="20" t="s">
        <v>115</v>
      </c>
    </row>
    <row r="364" spans="1:4">
      <c r="A364" s="19" t="str">
        <f t="shared" si="34"/>
        <v>FB_REG_S.CPMM</v>
      </c>
      <c r="B364" s="11">
        <v>3</v>
      </c>
      <c r="C364" s="11" t="s">
        <v>1</v>
      </c>
      <c r="D364" s="20">
        <v>192</v>
      </c>
    </row>
    <row r="365" spans="1:4">
      <c r="A365" s="19" t="str">
        <f t="shared" si="34"/>
        <v>FB_REG_S.CPMM</v>
      </c>
      <c r="B365" s="11">
        <v>2</v>
      </c>
      <c r="C365" s="11" t="s">
        <v>2</v>
      </c>
      <c r="D365" s="20" t="s">
        <v>266</v>
      </c>
    </row>
    <row r="366" spans="1:4">
      <c r="A366" s="21" t="str">
        <f t="shared" si="34"/>
        <v>FB_REG_S.CPMM</v>
      </c>
      <c r="B366" s="8">
        <v>1</v>
      </c>
      <c r="C366" s="8" t="s">
        <v>1</v>
      </c>
      <c r="D366" s="22">
        <v>11</v>
      </c>
    </row>
    <row r="367" spans="1:4">
      <c r="A367" s="275" t="str">
        <f t="shared" ref="A367:A372" si="35">$R$2&amp;".SFTX"</f>
        <v>FB_REG_S.SFTX</v>
      </c>
      <c r="B367" s="276">
        <v>3</v>
      </c>
      <c r="C367" s="276" t="s">
        <v>1</v>
      </c>
      <c r="D367" s="277">
        <v>192</v>
      </c>
    </row>
    <row r="368" spans="1:4">
      <c r="A368" s="278" t="str">
        <f t="shared" si="35"/>
        <v>FB_REG_S.SFTX</v>
      </c>
      <c r="B368" s="279">
        <v>2</v>
      </c>
      <c r="C368" s="279" t="s">
        <v>80</v>
      </c>
      <c r="D368" s="280">
        <v>0</v>
      </c>
    </row>
    <row r="369" spans="1:4">
      <c r="A369" s="278" t="str">
        <f t="shared" si="35"/>
        <v>FB_REG_S.SFTX</v>
      </c>
      <c r="B369" s="279">
        <v>1</v>
      </c>
      <c r="C369" s="279" t="s">
        <v>1</v>
      </c>
      <c r="D369" s="280">
        <v>4</v>
      </c>
    </row>
    <row r="370" spans="1:4">
      <c r="A370" s="278" t="str">
        <f t="shared" si="35"/>
        <v>FB_REG_S.SFTX</v>
      </c>
      <c r="B370" s="279">
        <v>101</v>
      </c>
      <c r="C370" s="279" t="s">
        <v>0</v>
      </c>
      <c r="D370" s="280" t="s">
        <v>622</v>
      </c>
    </row>
    <row r="371" spans="1:4">
      <c r="A371" s="278" t="str">
        <f t="shared" si="35"/>
        <v>FB_REG_S.SFTX</v>
      </c>
      <c r="B371" s="279">
        <v>7998</v>
      </c>
      <c r="C371" s="279" t="s">
        <v>6</v>
      </c>
      <c r="D371" s="280">
        <v>1</v>
      </c>
    </row>
    <row r="372" spans="1:4">
      <c r="A372" s="281" t="str">
        <f t="shared" si="35"/>
        <v>FB_REG_S.SFTX</v>
      </c>
      <c r="B372" s="282">
        <v>7999</v>
      </c>
      <c r="C372" s="282" t="s">
        <v>0</v>
      </c>
      <c r="D372" s="283" t="str">
        <f>"#"&amp;$S$2&amp;"#"&amp;$T$2&amp;"\"&amp;$P$2&amp;"\SFTX"</f>
        <v>#1#treiOPCDA.CoOPCserv.1\pcmaster\REG_test\SFTX</v>
      </c>
    </row>
    <row r="373" spans="1:4">
      <c r="A373" s="275" t="str">
        <f t="shared" ref="A373:A378" si="36">$R$2&amp;".SDTX"</f>
        <v>FB_REG_S.SDTX</v>
      </c>
      <c r="B373" s="276">
        <v>3</v>
      </c>
      <c r="C373" s="276" t="s">
        <v>1</v>
      </c>
      <c r="D373" s="277">
        <v>192</v>
      </c>
    </row>
    <row r="374" spans="1:4">
      <c r="A374" s="278" t="str">
        <f t="shared" si="36"/>
        <v>FB_REG_S.SDTX</v>
      </c>
      <c r="B374" s="279">
        <v>2</v>
      </c>
      <c r="C374" s="279" t="s">
        <v>80</v>
      </c>
      <c r="D374" s="280">
        <v>0</v>
      </c>
    </row>
    <row r="375" spans="1:4">
      <c r="A375" s="278" t="str">
        <f t="shared" si="36"/>
        <v>FB_REG_S.SDTX</v>
      </c>
      <c r="B375" s="279">
        <v>1</v>
      </c>
      <c r="C375" s="279" t="s">
        <v>1</v>
      </c>
      <c r="D375" s="280">
        <v>4</v>
      </c>
    </row>
    <row r="376" spans="1:4">
      <c r="A376" s="278" t="str">
        <f t="shared" si="36"/>
        <v>FB_REG_S.SDTX</v>
      </c>
      <c r="B376" s="279">
        <v>101</v>
      </c>
      <c r="C376" s="279" t="s">
        <v>0</v>
      </c>
      <c r="D376" s="280" t="s">
        <v>623</v>
      </c>
    </row>
    <row r="377" spans="1:4">
      <c r="A377" s="278" t="str">
        <f t="shared" si="36"/>
        <v>FB_REG_S.SDTX</v>
      </c>
      <c r="B377" s="279">
        <v>7998</v>
      </c>
      <c r="C377" s="279" t="s">
        <v>6</v>
      </c>
      <c r="D377" s="280">
        <v>1</v>
      </c>
    </row>
    <row r="378" spans="1:4">
      <c r="A378" s="281" t="str">
        <f t="shared" si="36"/>
        <v>FB_REG_S.SDTX</v>
      </c>
      <c r="B378" s="282">
        <v>7999</v>
      </c>
      <c r="C378" s="282" t="s">
        <v>0</v>
      </c>
      <c r="D378" s="283" t="str">
        <f>"#"&amp;$S$2&amp;"#"&amp;$T$2&amp;"\"&amp;$P$2&amp;"\SDTX"</f>
        <v>#1#treiOPCDA.CoOPCserv.1\pcmaster\REG_test\SDTX</v>
      </c>
    </row>
    <row r="379" spans="1:4">
      <c r="A379" s="275" t="str">
        <f t="shared" ref="A379:A384" si="37">$R$2&amp;".ICPX"</f>
        <v>FB_REG_S.ICPX</v>
      </c>
      <c r="B379" s="276">
        <v>3</v>
      </c>
      <c r="C379" s="276" t="s">
        <v>1</v>
      </c>
      <c r="D379" s="277">
        <v>192</v>
      </c>
    </row>
    <row r="380" spans="1:4">
      <c r="A380" s="278" t="str">
        <f t="shared" si="37"/>
        <v>FB_REG_S.ICPX</v>
      </c>
      <c r="B380" s="279">
        <v>2</v>
      </c>
      <c r="C380" s="279" t="s">
        <v>80</v>
      </c>
      <c r="D380" s="280">
        <v>0</v>
      </c>
    </row>
    <row r="381" spans="1:4">
      <c r="A381" s="278" t="str">
        <f t="shared" si="37"/>
        <v>FB_REG_S.ICPX</v>
      </c>
      <c r="B381" s="279">
        <v>1</v>
      </c>
      <c r="C381" s="279" t="s">
        <v>1</v>
      </c>
      <c r="D381" s="280">
        <v>4</v>
      </c>
    </row>
    <row r="382" spans="1:4">
      <c r="A382" s="278" t="str">
        <f t="shared" si="37"/>
        <v>FB_REG_S.ICPX</v>
      </c>
      <c r="B382" s="279">
        <v>101</v>
      </c>
      <c r="C382" s="279" t="s">
        <v>0</v>
      </c>
      <c r="D382" s="280" t="s">
        <v>205</v>
      </c>
    </row>
    <row r="383" spans="1:4">
      <c r="A383" s="278" t="str">
        <f t="shared" si="37"/>
        <v>FB_REG_S.ICPX</v>
      </c>
      <c r="B383" s="279">
        <v>7998</v>
      </c>
      <c r="C383" s="279" t="s">
        <v>6</v>
      </c>
      <c r="D383" s="280">
        <v>1</v>
      </c>
    </row>
    <row r="384" spans="1:4">
      <c r="A384" s="281" t="str">
        <f t="shared" si="37"/>
        <v>FB_REG_S.ICPX</v>
      </c>
      <c r="B384" s="282">
        <v>7999</v>
      </c>
      <c r="C384" s="282" t="s">
        <v>0</v>
      </c>
      <c r="D384" s="283" t="str">
        <f>"#"&amp;$S$2&amp;"#"&amp;$T$2&amp;"\"&amp;$P$2&amp;"\ICPX"</f>
        <v>#1#treiOPCDA.CoOPCserv.1\pcmaster\REG_test\ICPX</v>
      </c>
    </row>
    <row r="385" spans="1:4">
      <c r="A385" s="275" t="str">
        <f>$R$2&amp;".XPVX"</f>
        <v>FB_REG_S.XPVX</v>
      </c>
      <c r="B385" s="276">
        <v>3</v>
      </c>
      <c r="C385" s="276" t="s">
        <v>1</v>
      </c>
      <c r="D385" s="277">
        <v>192</v>
      </c>
    </row>
    <row r="386" spans="1:4">
      <c r="A386" s="278" t="str">
        <f t="shared" ref="A386:A390" si="38">$R$2&amp;".XPVX"</f>
        <v>FB_REG_S.XPVX</v>
      </c>
      <c r="B386" s="279">
        <v>2</v>
      </c>
      <c r="C386" s="279" t="s">
        <v>80</v>
      </c>
      <c r="D386" s="280">
        <v>0</v>
      </c>
    </row>
    <row r="387" spans="1:4">
      <c r="A387" s="278" t="str">
        <f t="shared" si="38"/>
        <v>FB_REG_S.XPVX</v>
      </c>
      <c r="B387" s="279">
        <v>1</v>
      </c>
      <c r="C387" s="279" t="s">
        <v>1</v>
      </c>
      <c r="D387" s="280">
        <v>4</v>
      </c>
    </row>
    <row r="388" spans="1:4">
      <c r="A388" s="278" t="str">
        <f t="shared" si="38"/>
        <v>FB_REG_S.XPVX</v>
      </c>
      <c r="B388" s="279">
        <v>101</v>
      </c>
      <c r="C388" s="279" t="s">
        <v>0</v>
      </c>
      <c r="D388" s="280" t="s">
        <v>2919</v>
      </c>
    </row>
    <row r="389" spans="1:4">
      <c r="A389" s="278" t="str">
        <f t="shared" si="38"/>
        <v>FB_REG_S.XPVX</v>
      </c>
      <c r="B389" s="279">
        <v>7998</v>
      </c>
      <c r="C389" s="279" t="s">
        <v>6</v>
      </c>
      <c r="D389" s="280">
        <v>1</v>
      </c>
    </row>
    <row r="390" spans="1:4">
      <c r="A390" s="281" t="str">
        <f t="shared" si="38"/>
        <v>FB_REG_S.XPVX</v>
      </c>
      <c r="B390" s="282">
        <v>7999</v>
      </c>
      <c r="C390" s="282" t="s">
        <v>0</v>
      </c>
      <c r="D390" s="283" t="str">
        <f>"#"&amp;$S$2&amp;"#"&amp;$T$2&amp;"\"&amp;$P$2&amp;"\XPVX"</f>
        <v>#1#treiOPCDA.CoOPCserv.1\pcmaster\REG_test\XPVX</v>
      </c>
    </row>
    <row r="391" spans="1:4">
      <c r="A391" s="275" t="str">
        <f>$R$2&amp;".OCAX"</f>
        <v>FB_REG_S.OCAX</v>
      </c>
      <c r="B391" s="276">
        <v>3</v>
      </c>
      <c r="C391" s="276" t="s">
        <v>1</v>
      </c>
      <c r="D391" s="277">
        <v>192</v>
      </c>
    </row>
    <row r="392" spans="1:4">
      <c r="A392" s="278" t="str">
        <f t="shared" ref="A392:A396" si="39">$R$2&amp;".OCAX"</f>
        <v>FB_REG_S.OCAX</v>
      </c>
      <c r="B392" s="279">
        <v>2</v>
      </c>
      <c r="C392" s="279" t="s">
        <v>80</v>
      </c>
      <c r="D392" s="280">
        <v>0</v>
      </c>
    </row>
    <row r="393" spans="1:4">
      <c r="A393" s="278" t="str">
        <f t="shared" si="39"/>
        <v>FB_REG_S.OCAX</v>
      </c>
      <c r="B393" s="279">
        <v>1</v>
      </c>
      <c r="C393" s="279" t="s">
        <v>1</v>
      </c>
      <c r="D393" s="280">
        <v>4</v>
      </c>
    </row>
    <row r="394" spans="1:4">
      <c r="A394" s="278" t="str">
        <f t="shared" si="39"/>
        <v>FB_REG_S.OCAX</v>
      </c>
      <c r="B394" s="279">
        <v>101</v>
      </c>
      <c r="C394" s="279" t="s">
        <v>0</v>
      </c>
      <c r="D394" s="280" t="s">
        <v>579</v>
      </c>
    </row>
    <row r="395" spans="1:4">
      <c r="A395" s="278" t="str">
        <f t="shared" si="39"/>
        <v>FB_REG_S.OCAX</v>
      </c>
      <c r="B395" s="279">
        <v>7998</v>
      </c>
      <c r="C395" s="279" t="s">
        <v>6</v>
      </c>
      <c r="D395" s="280">
        <v>1</v>
      </c>
    </row>
    <row r="396" spans="1:4">
      <c r="A396" s="281" t="str">
        <f t="shared" si="39"/>
        <v>FB_REG_S.OCAX</v>
      </c>
      <c r="B396" s="282">
        <v>7999</v>
      </c>
      <c r="C396" s="282" t="s">
        <v>0</v>
      </c>
      <c r="D396" s="283" t="str">
        <f>"#"&amp;$S$2&amp;"#"&amp;$T$2&amp;"\"&amp;$P$2&amp;"\OCAX"</f>
        <v>#1#treiOPCDA.CoOPCserv.1\pcmaster\REG_test\OCAX</v>
      </c>
    </row>
    <row r="397" spans="1:4">
      <c r="A397" s="275" t="str">
        <f>$R$2&amp;".XCAP"</f>
        <v>FB_REG_S.XCAP</v>
      </c>
      <c r="B397" s="276">
        <v>3</v>
      </c>
      <c r="C397" s="276" t="s">
        <v>1</v>
      </c>
      <c r="D397" s="277">
        <v>192</v>
      </c>
    </row>
    <row r="398" spans="1:4">
      <c r="A398" s="278" t="str">
        <f t="shared" ref="A398:A402" si="40">$R$2&amp;".XCAP"</f>
        <v>FB_REG_S.XCAP</v>
      </c>
      <c r="B398" s="279">
        <v>2</v>
      </c>
      <c r="C398" s="279" t="s">
        <v>80</v>
      </c>
      <c r="D398" s="280">
        <v>0</v>
      </c>
    </row>
    <row r="399" spans="1:4">
      <c r="A399" s="278" t="str">
        <f t="shared" si="40"/>
        <v>FB_REG_S.XCAP</v>
      </c>
      <c r="B399" s="279">
        <v>1</v>
      </c>
      <c r="C399" s="279" t="s">
        <v>1</v>
      </c>
      <c r="D399" s="280">
        <v>4</v>
      </c>
    </row>
    <row r="400" spans="1:4">
      <c r="A400" s="278" t="str">
        <f t="shared" si="40"/>
        <v>FB_REG_S.XCAP</v>
      </c>
      <c r="B400" s="279">
        <v>101</v>
      </c>
      <c r="C400" s="279" t="s">
        <v>0</v>
      </c>
      <c r="D400" s="280" t="s">
        <v>2920</v>
      </c>
    </row>
    <row r="401" spans="1:4">
      <c r="A401" s="278" t="str">
        <f t="shared" si="40"/>
        <v>FB_REG_S.XCAP</v>
      </c>
      <c r="B401" s="279">
        <v>7998</v>
      </c>
      <c r="C401" s="279" t="s">
        <v>6</v>
      </c>
      <c r="D401" s="280">
        <v>1</v>
      </c>
    </row>
    <row r="402" spans="1:4">
      <c r="A402" s="281" t="str">
        <f t="shared" si="40"/>
        <v>FB_REG_S.XCAP</v>
      </c>
      <c r="B402" s="282">
        <v>7999</v>
      </c>
      <c r="C402" s="282" t="s">
        <v>0</v>
      </c>
      <c r="D402" s="283" t="str">
        <f>"#"&amp;$S$2&amp;"#"&amp;$T$2&amp;"\"&amp;$P$2&amp;"\XCAP"</f>
        <v>#1#treiOPCDA.CoOPCserv.1\pcmaster\REG_test\XCAP</v>
      </c>
    </row>
    <row r="403" spans="1:4">
      <c r="A403" s="275" t="str">
        <f t="shared" ref="A403:A408" si="41">$R$2&amp;".XCPP"</f>
        <v>FB_REG_S.XCPP</v>
      </c>
      <c r="B403" s="276">
        <v>3</v>
      </c>
      <c r="C403" s="276" t="s">
        <v>1</v>
      </c>
      <c r="D403" s="277">
        <v>192</v>
      </c>
    </row>
    <row r="404" spans="1:4">
      <c r="A404" s="278" t="str">
        <f t="shared" si="41"/>
        <v>FB_REG_S.XCPP</v>
      </c>
      <c r="B404" s="279">
        <v>2</v>
      </c>
      <c r="C404" s="279" t="s">
        <v>80</v>
      </c>
      <c r="D404" s="280">
        <v>0</v>
      </c>
    </row>
    <row r="405" spans="1:4">
      <c r="A405" s="278" t="str">
        <f t="shared" si="41"/>
        <v>FB_REG_S.XCPP</v>
      </c>
      <c r="B405" s="279">
        <v>1</v>
      </c>
      <c r="C405" s="279" t="s">
        <v>1</v>
      </c>
      <c r="D405" s="280">
        <v>4</v>
      </c>
    </row>
    <row r="406" spans="1:4">
      <c r="A406" s="278" t="str">
        <f t="shared" si="41"/>
        <v>FB_REG_S.XCPP</v>
      </c>
      <c r="B406" s="279">
        <v>101</v>
      </c>
      <c r="C406" s="279" t="s">
        <v>0</v>
      </c>
      <c r="D406" s="280" t="s">
        <v>207</v>
      </c>
    </row>
    <row r="407" spans="1:4">
      <c r="A407" s="278" t="str">
        <f t="shared" si="41"/>
        <v>FB_REG_S.XCPP</v>
      </c>
      <c r="B407" s="279">
        <v>7998</v>
      </c>
      <c r="C407" s="279" t="s">
        <v>6</v>
      </c>
      <c r="D407" s="280">
        <v>1</v>
      </c>
    </row>
    <row r="408" spans="1:4">
      <c r="A408" s="281" t="str">
        <f t="shared" si="41"/>
        <v>FB_REG_S.XCPP</v>
      </c>
      <c r="B408" s="282">
        <v>7999</v>
      </c>
      <c r="C408" s="282" t="s">
        <v>0</v>
      </c>
      <c r="D408" s="283" t="str">
        <f>"#"&amp;$S$2&amp;"#"&amp;$T$2&amp;"\"&amp;$P$2&amp;"\XCPP"</f>
        <v>#1#treiOPCDA.CoOPCserv.1\pcmaster\REG_test\XCPP</v>
      </c>
    </row>
    <row r="409" spans="1:4">
      <c r="A409" s="275" t="str">
        <f t="shared" ref="A409:A414" si="42">$R$2&amp;".SPCX"</f>
        <v>FB_REG_S.SPCX</v>
      </c>
      <c r="B409" s="276">
        <v>3</v>
      </c>
      <c r="C409" s="276" t="s">
        <v>1</v>
      </c>
      <c r="D409" s="277">
        <v>192</v>
      </c>
    </row>
    <row r="410" spans="1:4">
      <c r="A410" s="278" t="str">
        <f t="shared" si="42"/>
        <v>FB_REG_S.SPCX</v>
      </c>
      <c r="B410" s="279">
        <v>2</v>
      </c>
      <c r="C410" s="279" t="s">
        <v>80</v>
      </c>
      <c r="D410" s="280">
        <v>0</v>
      </c>
    </row>
    <row r="411" spans="1:4">
      <c r="A411" s="278" t="str">
        <f t="shared" si="42"/>
        <v>FB_REG_S.SPCX</v>
      </c>
      <c r="B411" s="279">
        <v>1</v>
      </c>
      <c r="C411" s="279" t="s">
        <v>1</v>
      </c>
      <c r="D411" s="280">
        <v>4</v>
      </c>
    </row>
    <row r="412" spans="1:4">
      <c r="A412" s="278" t="str">
        <f t="shared" si="42"/>
        <v>FB_REG_S.SPCX</v>
      </c>
      <c r="B412" s="279">
        <v>101</v>
      </c>
      <c r="C412" s="279" t="s">
        <v>0</v>
      </c>
      <c r="D412" s="280" t="s">
        <v>208</v>
      </c>
    </row>
    <row r="413" spans="1:4">
      <c r="A413" s="278" t="str">
        <f t="shared" si="42"/>
        <v>FB_REG_S.SPCX</v>
      </c>
      <c r="B413" s="279">
        <v>7998</v>
      </c>
      <c r="C413" s="279" t="s">
        <v>6</v>
      </c>
      <c r="D413" s="280">
        <v>1</v>
      </c>
    </row>
    <row r="414" spans="1:4">
      <c r="A414" s="281" t="str">
        <f t="shared" si="42"/>
        <v>FB_REG_S.SPCX</v>
      </c>
      <c r="B414" s="282">
        <v>7999</v>
      </c>
      <c r="C414" s="282" t="s">
        <v>0</v>
      </c>
      <c r="D414" s="283" t="str">
        <f>"#"&amp;$S$2&amp;"#"&amp;$T$2&amp;"\"&amp;$P$2&amp;"\SPCX"</f>
        <v>#1#treiOPCDA.CoOPCserv.1\pcmaster\REG_test\SPCX</v>
      </c>
    </row>
    <row r="415" spans="1:4">
      <c r="A415" s="275" t="str">
        <f t="shared" ref="A415:A420" si="43">$R$2&amp;".SDCX"</f>
        <v>FB_REG_S.SDCX</v>
      </c>
      <c r="B415" s="276">
        <v>3</v>
      </c>
      <c r="C415" s="276" t="s">
        <v>1</v>
      </c>
      <c r="D415" s="277">
        <v>192</v>
      </c>
    </row>
    <row r="416" spans="1:4">
      <c r="A416" s="278" t="str">
        <f t="shared" si="43"/>
        <v>FB_REG_S.SDCX</v>
      </c>
      <c r="B416" s="279">
        <v>2</v>
      </c>
      <c r="C416" s="279" t="s">
        <v>80</v>
      </c>
      <c r="D416" s="280">
        <v>0</v>
      </c>
    </row>
    <row r="417" spans="1:4">
      <c r="A417" s="278" t="str">
        <f t="shared" si="43"/>
        <v>FB_REG_S.SDCX</v>
      </c>
      <c r="B417" s="279">
        <v>1</v>
      </c>
      <c r="C417" s="279" t="s">
        <v>1</v>
      </c>
      <c r="D417" s="280">
        <v>4</v>
      </c>
    </row>
    <row r="418" spans="1:4">
      <c r="A418" s="278" t="str">
        <f t="shared" si="43"/>
        <v>FB_REG_S.SDCX</v>
      </c>
      <c r="B418" s="279">
        <v>101</v>
      </c>
      <c r="C418" s="279" t="s">
        <v>0</v>
      </c>
      <c r="D418" s="280" t="s">
        <v>209</v>
      </c>
    </row>
    <row r="419" spans="1:4">
      <c r="A419" s="278" t="str">
        <f t="shared" si="43"/>
        <v>FB_REG_S.SDCX</v>
      </c>
      <c r="B419" s="279">
        <v>7998</v>
      </c>
      <c r="C419" s="279" t="s">
        <v>6</v>
      </c>
      <c r="D419" s="280">
        <v>1</v>
      </c>
    </row>
    <row r="420" spans="1:4">
      <c r="A420" s="281" t="str">
        <f t="shared" si="43"/>
        <v>FB_REG_S.SDCX</v>
      </c>
      <c r="B420" s="282">
        <v>7999</v>
      </c>
      <c r="C420" s="282" t="s">
        <v>0</v>
      </c>
      <c r="D420" s="283" t="str">
        <f>"#"&amp;$S$2&amp;"#"&amp;$T$2&amp;"\"&amp;$P$2&amp;"\SDCX"</f>
        <v>#1#treiOPCDA.CoOPCserv.1\pcmaster\REG_test\SDCX</v>
      </c>
    </row>
    <row r="421" spans="1:4">
      <c r="A421" s="275" t="str">
        <f t="shared" ref="A421:A426" si="44">$R$2&amp;".SICX"</f>
        <v>FB_REG_S.SICX</v>
      </c>
      <c r="B421" s="276">
        <v>3</v>
      </c>
      <c r="C421" s="276" t="s">
        <v>1</v>
      </c>
      <c r="D421" s="277">
        <v>192</v>
      </c>
    </row>
    <row r="422" spans="1:4">
      <c r="A422" s="278" t="str">
        <f t="shared" si="44"/>
        <v>FB_REG_S.SICX</v>
      </c>
      <c r="B422" s="279">
        <v>2</v>
      </c>
      <c r="C422" s="279" t="s">
        <v>80</v>
      </c>
      <c r="D422" s="280">
        <v>0</v>
      </c>
    </row>
    <row r="423" spans="1:4">
      <c r="A423" s="278" t="str">
        <f t="shared" si="44"/>
        <v>FB_REG_S.SICX</v>
      </c>
      <c r="B423" s="279">
        <v>1</v>
      </c>
      <c r="C423" s="279" t="s">
        <v>1</v>
      </c>
      <c r="D423" s="280">
        <v>4</v>
      </c>
    </row>
    <row r="424" spans="1:4">
      <c r="A424" s="278" t="str">
        <f t="shared" si="44"/>
        <v>FB_REG_S.SICX</v>
      </c>
      <c r="B424" s="279">
        <v>101</v>
      </c>
      <c r="C424" s="279" t="s">
        <v>0</v>
      </c>
      <c r="D424" s="280" t="s">
        <v>210</v>
      </c>
    </row>
    <row r="425" spans="1:4">
      <c r="A425" s="278" t="str">
        <f t="shared" si="44"/>
        <v>FB_REG_S.SICX</v>
      </c>
      <c r="B425" s="279">
        <v>7998</v>
      </c>
      <c r="C425" s="279" t="s">
        <v>6</v>
      </c>
      <c r="D425" s="280">
        <v>1</v>
      </c>
    </row>
    <row r="426" spans="1:4">
      <c r="A426" s="281" t="str">
        <f t="shared" si="44"/>
        <v>FB_REG_S.SICX</v>
      </c>
      <c r="B426" s="282">
        <v>7999</v>
      </c>
      <c r="C426" s="282" t="s">
        <v>0</v>
      </c>
      <c r="D426" s="283" t="str">
        <f>"#"&amp;$S$2&amp;"#"&amp;$T$2&amp;"\"&amp;$P$2&amp;"\SICX"</f>
        <v>#1#treiOPCDA.CoOPCserv.1\pcmaster\REG_test\SICX</v>
      </c>
    </row>
    <row r="427" spans="1:4">
      <c r="A427" s="275" t="str">
        <f t="shared" ref="A427:A432" si="45">$R$2&amp;".SBSX"</f>
        <v>FB_REG_S.SBSX</v>
      </c>
      <c r="B427" s="276">
        <v>3</v>
      </c>
      <c r="C427" s="276" t="s">
        <v>1</v>
      </c>
      <c r="D427" s="277">
        <v>192</v>
      </c>
    </row>
    <row r="428" spans="1:4">
      <c r="A428" s="278" t="str">
        <f t="shared" si="45"/>
        <v>FB_REG_S.SBSX</v>
      </c>
      <c r="B428" s="279">
        <v>2</v>
      </c>
      <c r="C428" s="279" t="s">
        <v>80</v>
      </c>
      <c r="D428" s="280">
        <v>0</v>
      </c>
    </row>
    <row r="429" spans="1:4">
      <c r="A429" s="278" t="str">
        <f t="shared" si="45"/>
        <v>FB_REG_S.SBSX</v>
      </c>
      <c r="B429" s="279">
        <v>1</v>
      </c>
      <c r="C429" s="279" t="s">
        <v>1</v>
      </c>
      <c r="D429" s="280">
        <v>4</v>
      </c>
    </row>
    <row r="430" spans="1:4">
      <c r="A430" s="278" t="str">
        <f t="shared" si="45"/>
        <v>FB_REG_S.SBSX</v>
      </c>
      <c r="B430" s="279">
        <v>101</v>
      </c>
      <c r="C430" s="279" t="s">
        <v>0</v>
      </c>
      <c r="D430" s="280" t="s">
        <v>211</v>
      </c>
    </row>
    <row r="431" spans="1:4">
      <c r="A431" s="278" t="str">
        <f t="shared" si="45"/>
        <v>FB_REG_S.SBSX</v>
      </c>
      <c r="B431" s="279">
        <v>7998</v>
      </c>
      <c r="C431" s="279" t="s">
        <v>6</v>
      </c>
      <c r="D431" s="280">
        <v>1</v>
      </c>
    </row>
    <row r="432" spans="1:4">
      <c r="A432" s="281" t="str">
        <f t="shared" si="45"/>
        <v>FB_REG_S.SBSX</v>
      </c>
      <c r="B432" s="282">
        <v>7999</v>
      </c>
      <c r="C432" s="282" t="s">
        <v>0</v>
      </c>
      <c r="D432" s="283" t="str">
        <f>"#"&amp;$S$2&amp;"#"&amp;$T$2&amp;"\"&amp;$P$2&amp;"\SBSX"</f>
        <v>#1#treiOPCDA.CoOPCserv.1\pcmaster\REG_test\SBSX</v>
      </c>
    </row>
    <row r="433" spans="1:4">
      <c r="A433" s="275" t="str">
        <f>$R$2&amp;".SSPH"</f>
        <v>FB_REG_S.SSPH</v>
      </c>
      <c r="B433" s="276">
        <v>3</v>
      </c>
      <c r="C433" s="276" t="s">
        <v>1</v>
      </c>
      <c r="D433" s="277">
        <v>192</v>
      </c>
    </row>
    <row r="434" spans="1:4">
      <c r="A434" s="278" t="str">
        <f t="shared" ref="A434:A438" si="46">$R$2&amp;".SSPH"</f>
        <v>FB_REG_S.SSPH</v>
      </c>
      <c r="B434" s="279">
        <v>2</v>
      </c>
      <c r="C434" s="279" t="s">
        <v>80</v>
      </c>
      <c r="D434" s="280">
        <v>0</v>
      </c>
    </row>
    <row r="435" spans="1:4">
      <c r="A435" s="278" t="str">
        <f t="shared" si="46"/>
        <v>FB_REG_S.SSPH</v>
      </c>
      <c r="B435" s="279">
        <v>1</v>
      </c>
      <c r="C435" s="279" t="s">
        <v>1</v>
      </c>
      <c r="D435" s="280">
        <v>4</v>
      </c>
    </row>
    <row r="436" spans="1:4">
      <c r="A436" s="278" t="str">
        <f t="shared" si="46"/>
        <v>FB_REG_S.SSPH</v>
      </c>
      <c r="B436" s="279">
        <v>101</v>
      </c>
      <c r="C436" s="279" t="s">
        <v>0</v>
      </c>
      <c r="D436" s="280" t="s">
        <v>214</v>
      </c>
    </row>
    <row r="437" spans="1:4">
      <c r="A437" s="278" t="str">
        <f t="shared" si="46"/>
        <v>FB_REG_S.SSPH</v>
      </c>
      <c r="B437" s="279">
        <v>7998</v>
      </c>
      <c r="C437" s="279" t="s">
        <v>6</v>
      </c>
      <c r="D437" s="280">
        <v>1</v>
      </c>
    </row>
    <row r="438" spans="1:4">
      <c r="A438" s="281" t="str">
        <f t="shared" si="46"/>
        <v>FB_REG_S.SSPH</v>
      </c>
      <c r="B438" s="282">
        <v>7999</v>
      </c>
      <c r="C438" s="282" t="s">
        <v>0</v>
      </c>
      <c r="D438" s="283" t="str">
        <f>"#"&amp;$S$2&amp;"#"&amp;$T$2&amp;"\"&amp;$P$2&amp;"\SSPH"</f>
        <v>#1#treiOPCDA.CoOPCserv.1\pcmaster\REG_test\SSPH</v>
      </c>
    </row>
    <row r="439" spans="1:4">
      <c r="A439" s="275" t="str">
        <f>$R$2&amp;".SSPL"</f>
        <v>FB_REG_S.SSPL</v>
      </c>
      <c r="B439" s="276">
        <v>3</v>
      </c>
      <c r="C439" s="276" t="s">
        <v>1</v>
      </c>
      <c r="D439" s="277">
        <v>192</v>
      </c>
    </row>
    <row r="440" spans="1:4">
      <c r="A440" s="278" t="str">
        <f t="shared" ref="A440:A444" si="47">$R$2&amp;".SSPL"</f>
        <v>FB_REG_S.SSPL</v>
      </c>
      <c r="B440" s="279">
        <v>2</v>
      </c>
      <c r="C440" s="279" t="s">
        <v>80</v>
      </c>
      <c r="D440" s="280">
        <v>0</v>
      </c>
    </row>
    <row r="441" spans="1:4">
      <c r="A441" s="278" t="str">
        <f t="shared" si="47"/>
        <v>FB_REG_S.SSPL</v>
      </c>
      <c r="B441" s="279">
        <v>1</v>
      </c>
      <c r="C441" s="279" t="s">
        <v>1</v>
      </c>
      <c r="D441" s="280">
        <v>4</v>
      </c>
    </row>
    <row r="442" spans="1:4">
      <c r="A442" s="278" t="str">
        <f t="shared" si="47"/>
        <v>FB_REG_S.SSPL</v>
      </c>
      <c r="B442" s="279">
        <v>101</v>
      </c>
      <c r="C442" s="279" t="s">
        <v>0</v>
      </c>
      <c r="D442" s="280" t="s">
        <v>215</v>
      </c>
    </row>
    <row r="443" spans="1:4">
      <c r="A443" s="278" t="str">
        <f t="shared" si="47"/>
        <v>FB_REG_S.SSPL</v>
      </c>
      <c r="B443" s="279">
        <v>7998</v>
      </c>
      <c r="C443" s="279" t="s">
        <v>6</v>
      </c>
      <c r="D443" s="280">
        <v>1</v>
      </c>
    </row>
    <row r="444" spans="1:4">
      <c r="A444" s="281" t="str">
        <f t="shared" si="47"/>
        <v>FB_REG_S.SSPL</v>
      </c>
      <c r="B444" s="282">
        <v>7999</v>
      </c>
      <c r="C444" s="282" t="s">
        <v>0</v>
      </c>
      <c r="D444" s="283" t="str">
        <f>"#"&amp;$S$2&amp;"#"&amp;$T$2&amp;"\"&amp;$P$2&amp;"\SSPL"</f>
        <v>#1#treiOPCDA.CoOPCserv.1\pcmaster\REG_test\SSPL</v>
      </c>
    </row>
    <row r="445" spans="1:4">
      <c r="A445" s="275" t="str">
        <f>$R$2&amp;".SCAH"</f>
        <v>FB_REG_S.SCAH</v>
      </c>
      <c r="B445" s="276">
        <v>3</v>
      </c>
      <c r="C445" s="276" t="s">
        <v>1</v>
      </c>
      <c r="D445" s="277">
        <v>192</v>
      </c>
    </row>
    <row r="446" spans="1:4">
      <c r="A446" s="278" t="str">
        <f t="shared" ref="A446:A450" si="48">$R$2&amp;".SCAH"</f>
        <v>FB_REG_S.SCAH</v>
      </c>
      <c r="B446" s="279">
        <v>2</v>
      </c>
      <c r="C446" s="279" t="s">
        <v>80</v>
      </c>
      <c r="D446" s="280">
        <v>0</v>
      </c>
    </row>
    <row r="447" spans="1:4">
      <c r="A447" s="278" t="str">
        <f t="shared" si="48"/>
        <v>FB_REG_S.SCAH</v>
      </c>
      <c r="B447" s="279">
        <v>1</v>
      </c>
      <c r="C447" s="279" t="s">
        <v>1</v>
      </c>
      <c r="D447" s="280">
        <v>4</v>
      </c>
    </row>
    <row r="448" spans="1:4">
      <c r="A448" s="278" t="str">
        <f t="shared" si="48"/>
        <v>FB_REG_S.SCAH</v>
      </c>
      <c r="B448" s="279">
        <v>101</v>
      </c>
      <c r="C448" s="279" t="s">
        <v>0</v>
      </c>
      <c r="D448" s="280" t="s">
        <v>2922</v>
      </c>
    </row>
    <row r="449" spans="1:21">
      <c r="A449" s="278" t="str">
        <f t="shared" si="48"/>
        <v>FB_REG_S.SCAH</v>
      </c>
      <c r="B449" s="279">
        <v>7998</v>
      </c>
      <c r="C449" s="279" t="s">
        <v>6</v>
      </c>
      <c r="D449" s="280">
        <v>1</v>
      </c>
    </row>
    <row r="450" spans="1:21">
      <c r="A450" s="281" t="str">
        <f t="shared" si="48"/>
        <v>FB_REG_S.SCAH</v>
      </c>
      <c r="B450" s="282">
        <v>7999</v>
      </c>
      <c r="C450" s="282" t="s">
        <v>0</v>
      </c>
      <c r="D450" s="283" t="str">
        <f>"#"&amp;$S$2&amp;"#"&amp;$T$2&amp;"\"&amp;$P$2&amp;"\SCAH"</f>
        <v>#1#treiOPCDA.CoOPCserv.1\pcmaster\REG_test\SCAH</v>
      </c>
    </row>
    <row r="451" spans="1:21">
      <c r="A451" s="275" t="str">
        <f>$R$2&amp;".SCAL"</f>
        <v>FB_REG_S.SCAL</v>
      </c>
      <c r="B451" s="276">
        <v>3</v>
      </c>
      <c r="C451" s="276" t="s">
        <v>1</v>
      </c>
      <c r="D451" s="277">
        <v>192</v>
      </c>
      <c r="U451" t="s">
        <v>827</v>
      </c>
    </row>
    <row r="452" spans="1:21">
      <c r="A452" s="278" t="str">
        <f t="shared" ref="A452:A456" si="49">$R$2&amp;".SCAL"</f>
        <v>FB_REG_S.SCAL</v>
      </c>
      <c r="B452" s="279">
        <v>2</v>
      </c>
      <c r="C452" s="279" t="s">
        <v>80</v>
      </c>
      <c r="D452" s="280">
        <v>0</v>
      </c>
    </row>
    <row r="453" spans="1:21">
      <c r="A453" s="278" t="str">
        <f t="shared" si="49"/>
        <v>FB_REG_S.SCAL</v>
      </c>
      <c r="B453" s="279">
        <v>1</v>
      </c>
      <c r="C453" s="279" t="s">
        <v>1</v>
      </c>
      <c r="D453" s="280">
        <v>4</v>
      </c>
    </row>
    <row r="454" spans="1:21">
      <c r="A454" s="278" t="str">
        <f t="shared" si="49"/>
        <v>FB_REG_S.SCAL</v>
      </c>
      <c r="B454" s="279">
        <v>101</v>
      </c>
      <c r="C454" s="279" t="s">
        <v>0</v>
      </c>
      <c r="D454" s="280" t="s">
        <v>2923</v>
      </c>
    </row>
    <row r="455" spans="1:21">
      <c r="A455" s="278" t="str">
        <f t="shared" si="49"/>
        <v>FB_REG_S.SCAL</v>
      </c>
      <c r="B455" s="279">
        <v>7998</v>
      </c>
      <c r="C455" s="279" t="s">
        <v>6</v>
      </c>
      <c r="D455" s="280">
        <v>1</v>
      </c>
    </row>
    <row r="456" spans="1:21">
      <c r="A456" s="281" t="str">
        <f t="shared" si="49"/>
        <v>FB_REG_S.SCAL</v>
      </c>
      <c r="B456" s="282">
        <v>7999</v>
      </c>
      <c r="C456" s="282" t="s">
        <v>0</v>
      </c>
      <c r="D456" s="283" t="str">
        <f>"#"&amp;$S$2&amp;"#"&amp;$T$2&amp;"\"&amp;$P$2&amp;"\SCAL"</f>
        <v>#1#treiOPCDA.CoOPCserv.1\pcmaster\REG_test\SCAL</v>
      </c>
    </row>
    <row r="457" spans="1:21">
      <c r="A457" s="275" t="str">
        <f>$R$2&amp;".SOPX"</f>
        <v>FB_REG_S.SOPX</v>
      </c>
      <c r="B457" s="276">
        <v>3</v>
      </c>
      <c r="C457" s="276" t="s">
        <v>1</v>
      </c>
      <c r="D457" s="277">
        <v>192</v>
      </c>
    </row>
    <row r="458" spans="1:21">
      <c r="A458" s="278" t="str">
        <f t="shared" ref="A458:A462" si="50">$R$2&amp;".SOPX"</f>
        <v>FB_REG_S.SOPX</v>
      </c>
      <c r="B458" s="279">
        <v>2</v>
      </c>
      <c r="C458" s="279" t="s">
        <v>80</v>
      </c>
      <c r="D458" s="280">
        <v>0</v>
      </c>
    </row>
    <row r="459" spans="1:21">
      <c r="A459" s="278" t="str">
        <f t="shared" si="50"/>
        <v>FB_REG_S.SOPX</v>
      </c>
      <c r="B459" s="279">
        <v>1</v>
      </c>
      <c r="C459" s="279" t="s">
        <v>1</v>
      </c>
      <c r="D459" s="280">
        <v>4</v>
      </c>
    </row>
    <row r="460" spans="1:21">
      <c r="A460" s="278" t="str">
        <f t="shared" si="50"/>
        <v>FB_REG_S.SOPX</v>
      </c>
      <c r="B460" s="279">
        <v>101</v>
      </c>
      <c r="C460" s="279" t="s">
        <v>0</v>
      </c>
      <c r="D460" s="280" t="s">
        <v>218</v>
      </c>
    </row>
    <row r="461" spans="1:21">
      <c r="A461" s="278" t="str">
        <f t="shared" si="50"/>
        <v>FB_REG_S.SOPX</v>
      </c>
      <c r="B461" s="279">
        <v>7998</v>
      </c>
      <c r="C461" s="279" t="s">
        <v>6</v>
      </c>
      <c r="D461" s="280">
        <v>1</v>
      </c>
    </row>
    <row r="462" spans="1:21">
      <c r="A462" s="281" t="str">
        <f t="shared" si="50"/>
        <v>FB_REG_S.SOPX</v>
      </c>
      <c r="B462" s="282">
        <v>7999</v>
      </c>
      <c r="C462" s="282" t="s">
        <v>0</v>
      </c>
      <c r="D462" s="283" t="str">
        <f>"#"&amp;$S$2&amp;"#"&amp;$T$2&amp;"\"&amp;$P$2&amp;"\SOPX"</f>
        <v>#1#treiOPCDA.CoOPCserv.1\pcmaster\REG_test\SOPX</v>
      </c>
    </row>
    <row r="463" spans="1:21">
      <c r="A463" s="275" t="str">
        <f t="shared" ref="A463:A468" si="51">$R$2&amp;".SDBX"</f>
        <v>FB_REG_S.SDBX</v>
      </c>
      <c r="B463" s="276">
        <v>3</v>
      </c>
      <c r="C463" s="276" t="s">
        <v>1</v>
      </c>
      <c r="D463" s="277">
        <v>192</v>
      </c>
    </row>
    <row r="464" spans="1:21">
      <c r="A464" s="278" t="str">
        <f t="shared" si="51"/>
        <v>FB_REG_S.SDBX</v>
      </c>
      <c r="B464" s="279">
        <v>2</v>
      </c>
      <c r="C464" s="279" t="s">
        <v>80</v>
      </c>
      <c r="D464" s="280">
        <v>0</v>
      </c>
    </row>
    <row r="465" spans="1:4">
      <c r="A465" s="278" t="str">
        <f t="shared" si="51"/>
        <v>FB_REG_S.SDBX</v>
      </c>
      <c r="B465" s="279">
        <v>1</v>
      </c>
      <c r="C465" s="279" t="s">
        <v>1</v>
      </c>
      <c r="D465" s="280">
        <v>4</v>
      </c>
    </row>
    <row r="466" spans="1:4">
      <c r="A466" s="278" t="str">
        <f t="shared" si="51"/>
        <v>FB_REG_S.SDBX</v>
      </c>
      <c r="B466" s="279">
        <v>101</v>
      </c>
      <c r="C466" s="279" t="s">
        <v>0</v>
      </c>
      <c r="D466" s="280" t="s">
        <v>219</v>
      </c>
    </row>
    <row r="467" spans="1:4">
      <c r="A467" s="278" t="str">
        <f t="shared" si="51"/>
        <v>FB_REG_S.SDBX</v>
      </c>
      <c r="B467" s="279">
        <v>7998</v>
      </c>
      <c r="C467" s="279" t="s">
        <v>6</v>
      </c>
      <c r="D467" s="280">
        <v>1</v>
      </c>
    </row>
    <row r="468" spans="1:4">
      <c r="A468" s="281" t="str">
        <f t="shared" si="51"/>
        <v>FB_REG_S.SDBX</v>
      </c>
      <c r="B468" s="282">
        <v>7999</v>
      </c>
      <c r="C468" s="282" t="s">
        <v>0</v>
      </c>
      <c r="D468" s="283" t="str">
        <f>"#"&amp;$S$2&amp;"#"&amp;$T$2&amp;"\"&amp;$P$2&amp;"\SDBX"</f>
        <v>#1#treiOPCDA.CoOPCserv.1\pcmaster\REG_test\SDBX</v>
      </c>
    </row>
    <row r="469" spans="1:4">
      <c r="A469" s="275" t="str">
        <f t="shared" ref="A469:A474" si="52">$R$2&amp;".SEPX"</f>
        <v>FB_REG_S.SEPX</v>
      </c>
      <c r="B469" s="276">
        <v>3</v>
      </c>
      <c r="C469" s="276" t="s">
        <v>1</v>
      </c>
      <c r="D469" s="277">
        <v>192</v>
      </c>
    </row>
    <row r="470" spans="1:4">
      <c r="A470" s="278" t="str">
        <f t="shared" si="52"/>
        <v>FB_REG_S.SEPX</v>
      </c>
      <c r="B470" s="279">
        <v>2</v>
      </c>
      <c r="C470" s="279" t="s">
        <v>80</v>
      </c>
      <c r="D470" s="280">
        <v>0</v>
      </c>
    </row>
    <row r="471" spans="1:4">
      <c r="A471" s="278" t="str">
        <f t="shared" si="52"/>
        <v>FB_REG_S.SEPX</v>
      </c>
      <c r="B471" s="279">
        <v>1</v>
      </c>
      <c r="C471" s="279" t="s">
        <v>1</v>
      </c>
      <c r="D471" s="280">
        <v>4</v>
      </c>
    </row>
    <row r="472" spans="1:4">
      <c r="A472" s="278" t="str">
        <f t="shared" si="52"/>
        <v>FB_REG_S.SEPX</v>
      </c>
      <c r="B472" s="279">
        <v>101</v>
      </c>
      <c r="C472" s="279" t="s">
        <v>0</v>
      </c>
      <c r="D472" s="280" t="s">
        <v>220</v>
      </c>
    </row>
    <row r="473" spans="1:4">
      <c r="A473" s="278" t="str">
        <f t="shared" si="52"/>
        <v>FB_REG_S.SEPX</v>
      </c>
      <c r="B473" s="279">
        <v>7998</v>
      </c>
      <c r="C473" s="279" t="s">
        <v>6</v>
      </c>
      <c r="D473" s="280">
        <v>1</v>
      </c>
    </row>
    <row r="474" spans="1:4">
      <c r="A474" s="281" t="str">
        <f t="shared" si="52"/>
        <v>FB_REG_S.SEPX</v>
      </c>
      <c r="B474" s="282">
        <v>7999</v>
      </c>
      <c r="C474" s="282" t="s">
        <v>0</v>
      </c>
      <c r="D474" s="283" t="str">
        <f>"#"&amp;$S$2&amp;"#"&amp;$T$2&amp;"\"&amp;$P$2&amp;"\SEPX"</f>
        <v>#1#treiOPCDA.CoOPCserv.1\pcmaster\REG_test\SEPX</v>
      </c>
    </row>
    <row r="475" spans="1:4">
      <c r="A475" s="275" t="str">
        <f t="shared" ref="A475:A480" si="53">$R$2&amp;".SMVX"</f>
        <v>FB_REG_S.SMVX</v>
      </c>
      <c r="B475" s="276">
        <v>3</v>
      </c>
      <c r="C475" s="276" t="s">
        <v>1</v>
      </c>
      <c r="D475" s="277">
        <v>192</v>
      </c>
    </row>
    <row r="476" spans="1:4">
      <c r="A476" s="278" t="str">
        <f t="shared" si="53"/>
        <v>FB_REG_S.SMVX</v>
      </c>
      <c r="B476" s="279">
        <v>2</v>
      </c>
      <c r="C476" s="279" t="s">
        <v>80</v>
      </c>
      <c r="D476" s="280">
        <v>0</v>
      </c>
    </row>
    <row r="477" spans="1:4">
      <c r="A477" s="278" t="str">
        <f t="shared" si="53"/>
        <v>FB_REG_S.SMVX</v>
      </c>
      <c r="B477" s="279">
        <v>1</v>
      </c>
      <c r="C477" s="279" t="s">
        <v>1</v>
      </c>
      <c r="D477" s="280">
        <v>4</v>
      </c>
    </row>
    <row r="478" spans="1:4">
      <c r="A478" s="278" t="str">
        <f t="shared" si="53"/>
        <v>FB_REG_S.SMVX</v>
      </c>
      <c r="B478" s="279">
        <v>101</v>
      </c>
      <c r="C478" s="279" t="s">
        <v>0</v>
      </c>
      <c r="D478" s="280" t="s">
        <v>221</v>
      </c>
    </row>
    <row r="479" spans="1:4">
      <c r="A479" s="278" t="str">
        <f t="shared" si="53"/>
        <v>FB_REG_S.SMVX</v>
      </c>
      <c r="B479" s="279">
        <v>7998</v>
      </c>
      <c r="C479" s="279" t="s">
        <v>6</v>
      </c>
      <c r="D479" s="280">
        <v>1</v>
      </c>
    </row>
    <row r="480" spans="1:4">
      <c r="A480" s="281" t="str">
        <f t="shared" si="53"/>
        <v>FB_REG_S.SMVX</v>
      </c>
      <c r="B480" s="282">
        <v>7999</v>
      </c>
      <c r="C480" s="282" t="s">
        <v>0</v>
      </c>
      <c r="D480" s="283" t="str">
        <f>"#"&amp;$S$2&amp;"#"&amp;$T$2&amp;"\"&amp;$P$2&amp;"\SMVX"</f>
        <v>#1#treiOPCDA.CoOPCserv.1\pcmaster\REG_test\SMVX</v>
      </c>
    </row>
    <row r="481" spans="1:4">
      <c r="A481" s="275" t="str">
        <f t="shared" ref="A481:A486" si="54">$R$2&amp;".SBPX"</f>
        <v>FB_REG_S.SBPX</v>
      </c>
      <c r="B481" s="276">
        <v>3</v>
      </c>
      <c r="C481" s="276" t="s">
        <v>1</v>
      </c>
      <c r="D481" s="277">
        <v>192</v>
      </c>
    </row>
    <row r="482" spans="1:4">
      <c r="A482" s="278" t="str">
        <f t="shared" si="54"/>
        <v>FB_REG_S.SBPX</v>
      </c>
      <c r="B482" s="279">
        <v>2</v>
      </c>
      <c r="C482" s="279" t="s">
        <v>80</v>
      </c>
      <c r="D482" s="280">
        <v>0</v>
      </c>
    </row>
    <row r="483" spans="1:4">
      <c r="A483" s="278" t="str">
        <f t="shared" si="54"/>
        <v>FB_REG_S.SBPX</v>
      </c>
      <c r="B483" s="279">
        <v>1</v>
      </c>
      <c r="C483" s="279" t="s">
        <v>1</v>
      </c>
      <c r="D483" s="280">
        <v>4</v>
      </c>
    </row>
    <row r="484" spans="1:4">
      <c r="A484" s="278" t="str">
        <f t="shared" si="54"/>
        <v>FB_REG_S.SBPX</v>
      </c>
      <c r="B484" s="279">
        <v>101</v>
      </c>
      <c r="C484" s="279" t="s">
        <v>0</v>
      </c>
      <c r="D484" s="280" t="s">
        <v>624</v>
      </c>
    </row>
    <row r="485" spans="1:4">
      <c r="A485" s="278" t="str">
        <f t="shared" si="54"/>
        <v>FB_REG_S.SBPX</v>
      </c>
      <c r="B485" s="279">
        <v>7998</v>
      </c>
      <c r="C485" s="279" t="s">
        <v>6</v>
      </c>
      <c r="D485" s="280">
        <v>1</v>
      </c>
    </row>
    <row r="486" spans="1:4">
      <c r="A486" s="281" t="str">
        <f t="shared" si="54"/>
        <v>FB_REG_S.SBPX</v>
      </c>
      <c r="B486" s="282">
        <v>7999</v>
      </c>
      <c r="C486" s="282" t="s">
        <v>0</v>
      </c>
      <c r="D486" s="283" t="str">
        <f>"#"&amp;$S$2&amp;"#"&amp;$T$2&amp;"\"&amp;$P$2&amp;"\SBPX"</f>
        <v>#1#treiOPCDA.CoOPCserv.1\pcmaster\REG_test\SBPX</v>
      </c>
    </row>
    <row r="487" spans="1:4">
      <c r="A487" s="275" t="str">
        <f>$R$2&amp;".SSPX"</f>
        <v>FB_REG_S.SSPX</v>
      </c>
      <c r="B487" s="276">
        <v>3</v>
      </c>
      <c r="C487" s="276" t="s">
        <v>1</v>
      </c>
      <c r="D487" s="277">
        <v>192</v>
      </c>
    </row>
    <row r="488" spans="1:4">
      <c r="A488" s="278" t="str">
        <f t="shared" ref="A488:A492" si="55">$R$2&amp;".SSPX"</f>
        <v>FB_REG_S.SSPX</v>
      </c>
      <c r="B488" s="279">
        <v>2</v>
      </c>
      <c r="C488" s="279" t="s">
        <v>80</v>
      </c>
      <c r="D488" s="280">
        <v>0</v>
      </c>
    </row>
    <row r="489" spans="1:4">
      <c r="A489" s="278" t="str">
        <f t="shared" si="55"/>
        <v>FB_REG_S.SSPX</v>
      </c>
      <c r="B489" s="279">
        <v>1</v>
      </c>
      <c r="C489" s="279" t="s">
        <v>1</v>
      </c>
      <c r="D489" s="280">
        <v>4</v>
      </c>
    </row>
    <row r="490" spans="1:4">
      <c r="A490" s="278" t="str">
        <f t="shared" si="55"/>
        <v>FB_REG_S.SSPX</v>
      </c>
      <c r="B490" s="279">
        <v>101</v>
      </c>
      <c r="C490" s="279" t="s">
        <v>0</v>
      </c>
      <c r="D490" s="280" t="s">
        <v>213</v>
      </c>
    </row>
    <row r="491" spans="1:4">
      <c r="A491" s="278" t="str">
        <f t="shared" si="55"/>
        <v>FB_REG_S.SSPX</v>
      </c>
      <c r="B491" s="279">
        <v>7998</v>
      </c>
      <c r="C491" s="279" t="s">
        <v>6</v>
      </c>
      <c r="D491" s="280">
        <v>1</v>
      </c>
    </row>
    <row r="492" spans="1:4">
      <c r="A492" s="281" t="str">
        <f t="shared" si="55"/>
        <v>FB_REG_S.SSPX</v>
      </c>
      <c r="B492" s="282">
        <v>7999</v>
      </c>
      <c r="C492" s="282" t="s">
        <v>0</v>
      </c>
      <c r="D492" s="283" t="str">
        <f>"#"&amp;$S$2&amp;"#"&amp;$T$2&amp;"\"&amp;$P$2&amp;"\SSPX"</f>
        <v>#1#treiOPCDA.CoOPCserv.1\pcmaster\REG_test\SSPX</v>
      </c>
    </row>
    <row r="493" spans="1:4">
      <c r="A493" s="266" t="str">
        <f t="shared" ref="A493:A498" si="56">$R$2&amp;".SWSX"</f>
        <v>FB_REG_S.SWSX</v>
      </c>
      <c r="B493" s="267">
        <v>3</v>
      </c>
      <c r="C493" s="267" t="s">
        <v>1</v>
      </c>
      <c r="D493" s="268">
        <v>192</v>
      </c>
    </row>
    <row r="494" spans="1:4">
      <c r="A494" s="269" t="str">
        <f t="shared" si="56"/>
        <v>FB_REG_S.SWSX</v>
      </c>
      <c r="B494" s="270">
        <v>2</v>
      </c>
      <c r="C494" s="270" t="s">
        <v>6</v>
      </c>
      <c r="D494" s="271">
        <v>0</v>
      </c>
    </row>
    <row r="495" spans="1:4">
      <c r="A495" s="269" t="str">
        <f t="shared" si="56"/>
        <v>FB_REG_S.SWSX</v>
      </c>
      <c r="B495" s="270">
        <v>1</v>
      </c>
      <c r="C495" s="270" t="s">
        <v>1</v>
      </c>
      <c r="D495" s="271">
        <v>3</v>
      </c>
    </row>
    <row r="496" spans="1:4">
      <c r="A496" s="269" t="str">
        <f t="shared" si="56"/>
        <v>FB_REG_S.SWSX</v>
      </c>
      <c r="B496" s="270">
        <v>101</v>
      </c>
      <c r="C496" s="270" t="s">
        <v>0</v>
      </c>
      <c r="D496" s="271" t="s">
        <v>212</v>
      </c>
    </row>
    <row r="497" spans="1:4">
      <c r="A497" s="269" t="str">
        <f t="shared" si="56"/>
        <v>FB_REG_S.SWSX</v>
      </c>
      <c r="B497" s="270">
        <v>7998</v>
      </c>
      <c r="C497" s="270" t="s">
        <v>6</v>
      </c>
      <c r="D497" s="271">
        <v>1</v>
      </c>
    </row>
    <row r="498" spans="1:4">
      <c r="A498" s="272" t="str">
        <f t="shared" si="56"/>
        <v>FB_REG_S.SWSX</v>
      </c>
      <c r="B498" s="273">
        <v>7999</v>
      </c>
      <c r="C498" s="273" t="s">
        <v>0</v>
      </c>
      <c r="D498" s="274" t="str">
        <f>"#"&amp;$S$2&amp;"#"&amp;$T$2&amp;"\"&amp;$P$2&amp;"\SWSX"</f>
        <v>#1#treiOPCDA.CoOPCserv.1\pcmaster\REG_test\SWSX</v>
      </c>
    </row>
    <row r="499" spans="1:4">
      <c r="A499" s="266" t="str">
        <f t="shared" ref="A499:A504" si="57">$R$2&amp;".SMVT"</f>
        <v>FB_REG_S.SMVT</v>
      </c>
      <c r="B499" s="267">
        <v>3</v>
      </c>
      <c r="C499" s="267" t="s">
        <v>1</v>
      </c>
      <c r="D499" s="268">
        <v>192</v>
      </c>
    </row>
    <row r="500" spans="1:4">
      <c r="A500" s="269" t="str">
        <f t="shared" si="57"/>
        <v>FB_REG_S.SMVT</v>
      </c>
      <c r="B500" s="270">
        <v>2</v>
      </c>
      <c r="C500" s="270" t="s">
        <v>6</v>
      </c>
      <c r="D500" s="271">
        <v>0</v>
      </c>
    </row>
    <row r="501" spans="1:4">
      <c r="A501" s="269" t="str">
        <f t="shared" si="57"/>
        <v>FB_REG_S.SMVT</v>
      </c>
      <c r="B501" s="270">
        <v>1</v>
      </c>
      <c r="C501" s="270" t="s">
        <v>1</v>
      </c>
      <c r="D501" s="271">
        <v>3</v>
      </c>
    </row>
    <row r="502" spans="1:4">
      <c r="A502" s="269" t="str">
        <f t="shared" si="57"/>
        <v>FB_REG_S.SMVT</v>
      </c>
      <c r="B502" s="270">
        <v>101</v>
      </c>
      <c r="C502" s="270" t="s">
        <v>0</v>
      </c>
      <c r="D502" s="271" t="s">
        <v>222</v>
      </c>
    </row>
    <row r="503" spans="1:4">
      <c r="A503" s="269" t="str">
        <f t="shared" si="57"/>
        <v>FB_REG_S.SMVT</v>
      </c>
      <c r="B503" s="270">
        <v>7998</v>
      </c>
      <c r="C503" s="270" t="s">
        <v>6</v>
      </c>
      <c r="D503" s="271">
        <v>1</v>
      </c>
    </row>
    <row r="504" spans="1:4">
      <c r="A504" s="272" t="str">
        <f t="shared" si="57"/>
        <v>FB_REG_S.SMVT</v>
      </c>
      <c r="B504" s="273">
        <v>7999</v>
      </c>
      <c r="C504" s="273" t="s">
        <v>0</v>
      </c>
      <c r="D504" s="274" t="str">
        <f>"#"&amp;$S$2&amp;"#"&amp;$T$2&amp;"\"&amp;$P$2&amp;"\SMVT"</f>
        <v>#1#treiOPCDA.CoOPCserv.1\pcmaster\REG_test\SMVT</v>
      </c>
    </row>
  </sheetData>
  <autoFilter ref="B1:B504" xr:uid="{00000000-0009-0000-0000-00000F00000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Лист74">
    <tabColor rgb="FFFFC000"/>
  </sheetPr>
  <dimension ref="A1:BN602"/>
  <sheetViews>
    <sheetView topLeftCell="A4" zoomScale="60" zoomScaleNormal="60" workbookViewId="0">
      <selection activeCell="D2" sqref="D2:D4"/>
    </sheetView>
  </sheetViews>
  <sheetFormatPr defaultRowHeight="14.4"/>
  <cols>
    <col min="1" max="1" width="37.109375" customWidth="1"/>
    <col min="2" max="2" width="9.5546875" customWidth="1"/>
    <col min="4" max="4" width="63.88671875" customWidth="1"/>
    <col min="5" max="15" width="9.109375"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7.33203125" customWidth="1"/>
    <col min="56" max="56" width="10.33203125" customWidth="1"/>
    <col min="57" max="57" width="10" customWidth="1"/>
    <col min="59" max="59" width="7.109375" customWidth="1"/>
    <col min="60" max="60" width="10.88671875" customWidth="1"/>
    <col min="62" max="62" width="65.109375" customWidth="1"/>
  </cols>
  <sheetData>
    <row r="1" spans="1:66" s="258" customFormat="1" ht="204.6" thickBot="1">
      <c r="A1" s="257"/>
      <c r="B1" s="257" t="s">
        <v>84</v>
      </c>
      <c r="C1" s="257"/>
      <c r="D1" s="257"/>
      <c r="E1" s="257"/>
      <c r="F1" s="257"/>
      <c r="P1" s="263"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1"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61"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61" t="str">
        <f>Таблица!AL1</f>
        <v>Для TREI
FB_IMstp_S, FB_IMs_S, FB_IMp_S, FB_IMv_S, FB_IM_ADES_S: Настройка перехода ручной-/автоматический-(TRUE/FALSE) 
FB_DI_S: Генерировать метки времени (TRUE/FALSE)</v>
      </c>
      <c r="AY1" s="261"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61" t="str">
        <f>Таблица!AN1</f>
        <v>Для TREI
FB_AI_S, FB_QSA_S: Верхний предел датчика
FB_IMp_S, FB_IMv_S, FB_IM_ADES_S, FB_OZK_KD_S: Время перестановки</v>
      </c>
      <c r="BA1" s="261"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K1" s="259"/>
      <c r="BL1" s="259"/>
      <c r="BM1" s="259"/>
      <c r="BN1" s="259"/>
    </row>
    <row r="2" spans="1:66" ht="15" customHeight="1">
      <c r="A2" s="9"/>
      <c r="B2" s="9"/>
      <c r="C2" s="9"/>
      <c r="D2" s="9"/>
      <c r="E2" s="9"/>
      <c r="F2" s="9"/>
      <c r="P2" s="2" t="s">
        <v>505</v>
      </c>
      <c r="Q2" s="2" t="s">
        <v>766</v>
      </c>
      <c r="R2" s="2" t="s">
        <v>781</v>
      </c>
      <c r="S2" s="3">
        <v>1</v>
      </c>
      <c r="T2" s="3" t="s">
        <v>1698</v>
      </c>
      <c r="U2" s="3"/>
      <c r="V2" s="3" t="s">
        <v>569</v>
      </c>
      <c r="W2" s="12"/>
      <c r="X2" s="12"/>
      <c r="Y2" s="12"/>
      <c r="Z2" s="12"/>
      <c r="AA2" s="12"/>
      <c r="AB2" s="2"/>
      <c r="AC2" s="2" t="s">
        <v>307</v>
      </c>
      <c r="AD2" s="2"/>
      <c r="AE2" s="2" t="s">
        <v>1414</v>
      </c>
      <c r="AF2" s="2"/>
      <c r="AG2" s="2"/>
      <c r="AH2" s="2"/>
      <c r="AI2" s="2"/>
      <c r="AJ2" s="2"/>
      <c r="AK2" s="2"/>
      <c r="AL2" s="2" t="s">
        <v>1230</v>
      </c>
      <c r="AM2" s="2" t="s">
        <v>1231</v>
      </c>
      <c r="AN2" s="2" t="s">
        <v>1232</v>
      </c>
      <c r="AO2" s="2" t="s">
        <v>1233</v>
      </c>
      <c r="AP2" s="2" t="s">
        <v>1234</v>
      </c>
      <c r="AQ2" s="2" t="s">
        <v>1235</v>
      </c>
      <c r="AR2" s="2" t="s">
        <v>1236</v>
      </c>
      <c r="AS2" s="2" t="s">
        <v>1237</v>
      </c>
      <c r="AT2" s="2" t="s">
        <v>1238</v>
      </c>
      <c r="AU2" s="2" t="s">
        <v>1239</v>
      </c>
      <c r="AV2" s="2" t="s">
        <v>1240</v>
      </c>
      <c r="AW2" s="2">
        <v>5</v>
      </c>
      <c r="AX2" s="2" t="s">
        <v>72</v>
      </c>
      <c r="AY2" s="2"/>
      <c r="AZ2" s="2">
        <v>6</v>
      </c>
      <c r="BA2" s="2">
        <v>0</v>
      </c>
      <c r="BK2" s="4"/>
      <c r="BL2" s="4"/>
      <c r="BM2" s="4"/>
      <c r="BN2" s="4"/>
    </row>
    <row r="3" spans="1:66" ht="15" customHeight="1">
      <c r="A3" s="9"/>
      <c r="B3" s="9"/>
      <c r="C3" s="9"/>
      <c r="D3" s="9"/>
      <c r="E3" s="9"/>
      <c r="F3" s="9"/>
      <c r="P3" s="10"/>
      <c r="Q3" s="10"/>
      <c r="R3" s="10"/>
      <c r="S3" s="10"/>
      <c r="T3" s="10"/>
      <c r="U3" s="10"/>
      <c r="V3" s="10"/>
      <c r="W3" s="10"/>
      <c r="X3" s="10"/>
      <c r="Y3" s="10"/>
      <c r="Z3" s="10"/>
      <c r="AA3" s="10"/>
      <c r="BK3" s="4"/>
      <c r="BL3" s="4"/>
      <c r="BM3" s="4"/>
      <c r="BN3" s="4"/>
    </row>
    <row r="4" spans="1:66"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K4" s="4"/>
      <c r="BL4" s="4"/>
      <c r="BM4" s="4"/>
      <c r="BN4" s="4"/>
    </row>
    <row r="5" spans="1:66"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K5" s="4"/>
      <c r="BL5" s="4"/>
      <c r="BM5" s="4"/>
      <c r="BN5" s="4"/>
    </row>
    <row r="6" spans="1:66"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K6" s="4"/>
      <c r="BL6" s="4"/>
      <c r="BM6" s="4"/>
      <c r="BN6" s="4"/>
    </row>
    <row r="7" spans="1:66"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K7" s="4"/>
      <c r="BL7" s="4"/>
      <c r="BM7" s="4"/>
      <c r="BN7" s="4"/>
    </row>
    <row r="8" spans="1:66" ht="15" customHeight="1">
      <c r="A8" s="9"/>
      <c r="B8" s="9"/>
      <c r="C8" s="9"/>
      <c r="D8" s="9"/>
      <c r="E8" s="9"/>
      <c r="F8" s="9"/>
      <c r="P8" s="6" t="str">
        <f>Настройки!A5</f>
        <v>Телесигнализация</v>
      </c>
      <c r="Q8" s="5">
        <f>Настройки!B5</f>
        <v>18</v>
      </c>
      <c r="R8" s="5" t="str">
        <f>Настройки!C5</f>
        <v>Телесигнализация</v>
      </c>
      <c r="S8" s="10"/>
      <c r="T8" s="14"/>
      <c r="U8" s="10"/>
      <c r="V8" s="10"/>
      <c r="W8" s="10"/>
      <c r="X8" s="10"/>
      <c r="Y8" s="10"/>
      <c r="Z8" s="10"/>
      <c r="AA8" s="10"/>
      <c r="BK8" s="4"/>
      <c r="BL8" s="4"/>
      <c r="BM8" s="4"/>
      <c r="BN8" s="4"/>
    </row>
    <row r="9" spans="1:66" ht="15" customHeight="1">
      <c r="A9" s="9"/>
      <c r="B9" s="9"/>
      <c r="C9" s="9"/>
      <c r="D9" s="9"/>
      <c r="E9" s="9"/>
      <c r="F9" s="9"/>
      <c r="P9" s="6" t="str">
        <f>Настройки!A6</f>
        <v>Недостоверность</v>
      </c>
      <c r="Q9" s="5">
        <f>Настройки!B6</f>
        <v>10</v>
      </c>
      <c r="R9" s="5" t="str">
        <f>Настройки!C6</f>
        <v>Недостоверность</v>
      </c>
      <c r="S9" s="10"/>
      <c r="T9" s="14"/>
      <c r="U9" s="10"/>
      <c r="V9" s="10"/>
      <c r="W9" s="10"/>
      <c r="X9" s="10"/>
      <c r="Y9" s="10"/>
      <c r="Z9" s="10"/>
      <c r="AA9" s="10"/>
      <c r="BK9" s="4"/>
      <c r="BL9" s="4"/>
      <c r="BM9" s="4"/>
      <c r="BN9" s="4"/>
    </row>
    <row r="10" spans="1:66" ht="15" customHeight="1">
      <c r="A10" s="9"/>
      <c r="B10" s="9"/>
      <c r="C10" s="9"/>
      <c r="D10" s="9"/>
      <c r="E10" s="9"/>
      <c r="F10" s="9"/>
      <c r="P10" s="6" t="str">
        <f>Настройки!A7</f>
        <v>Имитация</v>
      </c>
      <c r="Q10" s="5">
        <f>Настройки!B7</f>
        <v>16</v>
      </c>
      <c r="R10" s="5" t="str">
        <f>Настройки!C7</f>
        <v>Имитация</v>
      </c>
      <c r="S10" s="10"/>
      <c r="T10" s="14"/>
      <c r="U10" s="10"/>
      <c r="V10" s="10"/>
      <c r="W10" s="10"/>
      <c r="X10" s="10"/>
      <c r="Y10" s="10"/>
      <c r="Z10" s="10"/>
      <c r="AA10" s="10"/>
      <c r="BK10" s="4"/>
      <c r="BL10" s="4"/>
      <c r="BM10" s="4"/>
      <c r="BN10" s="4"/>
    </row>
    <row r="11" spans="1:66" ht="15" customHeight="1">
      <c r="A11" s="9"/>
      <c r="B11" s="9"/>
      <c r="C11" s="9"/>
      <c r="D11" s="9"/>
      <c r="E11" s="9"/>
      <c r="F11" s="9"/>
      <c r="P11" s="6" t="str">
        <f>Настройки!A8</f>
        <v>Ремонт</v>
      </c>
      <c r="Q11" s="5">
        <f>Настройки!B8</f>
        <v>14</v>
      </c>
      <c r="R11" s="5" t="str">
        <f>Настройки!C8</f>
        <v>Ремонт</v>
      </c>
      <c r="S11" s="10"/>
      <c r="T11" s="14"/>
      <c r="U11" s="10"/>
      <c r="V11" s="10"/>
      <c r="W11" s="10"/>
      <c r="X11" s="10"/>
      <c r="Y11" s="10"/>
      <c r="Z11" s="10"/>
      <c r="AA11" s="10"/>
      <c r="BK11" s="4"/>
      <c r="BL11" s="4"/>
      <c r="BM11" s="4"/>
      <c r="BN11" s="4"/>
    </row>
    <row r="12" spans="1:66"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4"/>
      <c r="U12" s="10"/>
      <c r="V12" s="10"/>
      <c r="W12" s="10"/>
      <c r="X12" s="10"/>
      <c r="Y12" s="10"/>
      <c r="Z12" s="10"/>
      <c r="AA12" s="10"/>
      <c r="BK12" s="4"/>
      <c r="BL12" s="4"/>
      <c r="BM12" s="4"/>
      <c r="BN12" s="4"/>
    </row>
    <row r="13" spans="1:66" ht="15" customHeight="1">
      <c r="A13" s="9"/>
      <c r="B13" s="9"/>
      <c r="C13" s="9"/>
      <c r="D13" s="9"/>
      <c r="E13" s="9"/>
      <c r="F13" s="9"/>
      <c r="P13" s="6" t="str">
        <f>Настройки!A10</f>
        <v>Тревога</v>
      </c>
      <c r="Q13" s="5">
        <f>Настройки!B10</f>
        <v>5</v>
      </c>
      <c r="R13" s="5" t="str">
        <f>Настройки!C10</f>
        <v>Тревога</v>
      </c>
      <c r="S13" s="10"/>
      <c r="T13" s="14"/>
      <c r="U13" s="10"/>
      <c r="V13" s="10"/>
      <c r="W13" s="10"/>
      <c r="X13" s="10"/>
      <c r="Y13" s="10"/>
      <c r="Z13" s="10"/>
      <c r="AA13" s="10"/>
      <c r="BK13" s="4"/>
      <c r="BL13" s="4"/>
      <c r="BM13" s="4"/>
      <c r="BN13" s="4"/>
    </row>
    <row r="14" spans="1:66" ht="15" customHeight="1">
      <c r="A14" s="9"/>
      <c r="B14" s="9"/>
      <c r="C14" s="9"/>
      <c r="D14" s="9"/>
      <c r="E14" s="9"/>
      <c r="F14" s="9"/>
      <c r="P14" s="6" t="str">
        <f>Настройки!A11</f>
        <v>Тушение</v>
      </c>
      <c r="Q14" s="5">
        <f>Настройки!B11</f>
        <v>1</v>
      </c>
      <c r="R14" s="5" t="str">
        <f>Настройки!C11</f>
        <v>Тушение</v>
      </c>
      <c r="S14" s="10"/>
      <c r="T14" s="14"/>
      <c r="U14" s="10"/>
      <c r="V14" s="10"/>
      <c r="W14" s="10"/>
      <c r="X14" s="10"/>
      <c r="Y14" s="10"/>
      <c r="Z14" s="10"/>
      <c r="AA14" s="10"/>
      <c r="BK14" s="4"/>
      <c r="BL14" s="4"/>
      <c r="BM14" s="4"/>
      <c r="BN14" s="4"/>
    </row>
    <row r="15" spans="1:66"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K15" s="4"/>
      <c r="BL15" s="4"/>
      <c r="BM15" s="4"/>
      <c r="BN15" s="4"/>
    </row>
    <row r="16" spans="1:66"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K16" s="4"/>
      <c r="BL16" s="4"/>
      <c r="BM16" s="4"/>
      <c r="BN16" s="4"/>
    </row>
    <row r="17" spans="1:66"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K17" s="4"/>
      <c r="BL17" s="4"/>
      <c r="BM17" s="4"/>
      <c r="BN17" s="4"/>
    </row>
    <row r="18" spans="1:66"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K18" s="4"/>
      <c r="BL18" s="4"/>
      <c r="BM18" s="4"/>
      <c r="BN18" s="4"/>
    </row>
    <row r="19" spans="1:66"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K19" s="4"/>
      <c r="BL19" s="4"/>
      <c r="BM19" s="4"/>
      <c r="BN19" s="4"/>
    </row>
    <row r="20" spans="1:66" ht="15" customHeight="1">
      <c r="A20" s="16" t="str">
        <f t="shared" ref="A20:A40" si="0">$R$2</f>
        <v>АСУЭ.FB_IM_ADES_S</v>
      </c>
      <c r="B20" s="17">
        <v>11001</v>
      </c>
      <c r="C20" s="17" t="s">
        <v>0</v>
      </c>
      <c r="D20" s="18" t="str">
        <f>$Q$2&amp;". "</f>
        <v xml:space="preserve">АДЭС FB. </v>
      </c>
      <c r="F20" s="4"/>
      <c r="BK20" s="4"/>
      <c r="BL20" s="4"/>
      <c r="BM20" s="4"/>
      <c r="BN20" s="4"/>
    </row>
    <row r="21" spans="1:66" ht="15" customHeight="1">
      <c r="A21" s="19" t="str">
        <f t="shared" si="0"/>
        <v>АСУЭ.FB_IM_ADES_S</v>
      </c>
      <c r="B21" s="11">
        <v>11156</v>
      </c>
      <c r="C21" s="11" t="s">
        <v>0</v>
      </c>
      <c r="D21" s="20" t="str">
        <f>$V$2</f>
        <v>Тестовый экран</v>
      </c>
      <c r="F21" s="4"/>
      <c r="BK21" s="4"/>
      <c r="BL21" s="4"/>
      <c r="BM21" s="4"/>
      <c r="BN21" s="4"/>
    </row>
    <row r="22" spans="1:66" ht="15" customHeight="1">
      <c r="A22" s="19" t="str">
        <f t="shared" si="0"/>
        <v>АСУЭ.FB_IM_ADES_S</v>
      </c>
      <c r="B22" s="11">
        <v>1</v>
      </c>
      <c r="C22" s="11" t="s">
        <v>1</v>
      </c>
      <c r="D22" s="20">
        <v>17</v>
      </c>
      <c r="BK22" s="4"/>
      <c r="BL22" s="4"/>
      <c r="BM22" s="4"/>
      <c r="BN22" s="4"/>
    </row>
    <row r="23" spans="1:66" ht="15" customHeight="1">
      <c r="A23" s="16" t="str">
        <f t="shared" si="0"/>
        <v>АСУЭ.FB_IM_ADES_S</v>
      </c>
      <c r="B23" s="17">
        <v>100</v>
      </c>
      <c r="C23" s="17" t="s">
        <v>0</v>
      </c>
      <c r="D23" s="18" t="b">
        <f>$T$7</f>
        <v>0</v>
      </c>
      <c r="BF23" s="4"/>
      <c r="BG23" s="4"/>
      <c r="BH23" s="4"/>
      <c r="BI23" s="4"/>
    </row>
    <row r="24" spans="1:66" ht="15" customHeight="1">
      <c r="A24" s="19" t="str">
        <f t="shared" si="0"/>
        <v>АСУЭ.FB_IM_ADES_S</v>
      </c>
      <c r="B24" s="11">
        <v>11120</v>
      </c>
      <c r="C24" s="11" t="s">
        <v>0</v>
      </c>
      <c r="D24" s="20" t="str">
        <f>$AL$2</f>
        <v>1+7</v>
      </c>
      <c r="BK24" s="4"/>
      <c r="BL24" s="4"/>
      <c r="BM24" s="4"/>
      <c r="BN24" s="4"/>
    </row>
    <row r="25" spans="1:66" ht="15" customHeight="1">
      <c r="A25" s="19" t="str">
        <f t="shared" si="0"/>
        <v>АСУЭ.FB_IM_ADES_S</v>
      </c>
      <c r="B25" s="11">
        <v>11121</v>
      </c>
      <c r="C25" s="11" t="s">
        <v>0</v>
      </c>
      <c r="D25" s="20" t="str">
        <f>$AM$2</f>
        <v>1+8</v>
      </c>
      <c r="BK25" s="4"/>
      <c r="BL25" s="4"/>
      <c r="BM25" s="4"/>
      <c r="BN25" s="4"/>
    </row>
    <row r="26" spans="1:66" ht="15" customHeight="1">
      <c r="A26" s="19" t="str">
        <f t="shared" si="0"/>
        <v>АСУЭ.FB_IM_ADES_S</v>
      </c>
      <c r="B26" s="11">
        <v>11122</v>
      </c>
      <c r="C26" s="11" t="s">
        <v>0</v>
      </c>
      <c r="D26" s="20" t="str">
        <f>$AN$2</f>
        <v>1+9</v>
      </c>
      <c r="BK26" s="4"/>
      <c r="BL26" s="4"/>
      <c r="BM26" s="4"/>
      <c r="BN26" s="4"/>
    </row>
    <row r="27" spans="1:66" ht="15" customHeight="1">
      <c r="A27" s="19" t="str">
        <f t="shared" si="0"/>
        <v>АСУЭ.FB_IM_ADES_S</v>
      </c>
      <c r="B27" s="11">
        <v>11123</v>
      </c>
      <c r="C27" s="11" t="s">
        <v>0</v>
      </c>
      <c r="D27" s="20" t="str">
        <f>$AO$2</f>
        <v>1+10</v>
      </c>
      <c r="BK27" s="4"/>
      <c r="BL27" s="4"/>
      <c r="BM27" s="4"/>
      <c r="BN27" s="4"/>
    </row>
    <row r="28" spans="1:66" ht="15" customHeight="1">
      <c r="A28" s="19" t="str">
        <f t="shared" si="0"/>
        <v>АСУЭ.FB_IM_ADES_S</v>
      </c>
      <c r="B28" s="11">
        <v>11124</v>
      </c>
      <c r="C28" s="11" t="s">
        <v>0</v>
      </c>
      <c r="D28" s="20" t="str">
        <f>$AP$2</f>
        <v>1+11</v>
      </c>
      <c r="BK28" s="4"/>
      <c r="BL28" s="4"/>
      <c r="BM28" s="4"/>
      <c r="BN28" s="4"/>
    </row>
    <row r="29" spans="1:66" ht="15" customHeight="1">
      <c r="A29" s="19" t="str">
        <f t="shared" si="0"/>
        <v>АСУЭ.FB_IM_ADES_S</v>
      </c>
      <c r="B29" s="11">
        <v>11125</v>
      </c>
      <c r="C29" s="11" t="s">
        <v>0</v>
      </c>
      <c r="D29" s="20" t="str">
        <f>$AQ$2</f>
        <v>!2+7</v>
      </c>
      <c r="BK29" s="4"/>
      <c r="BL29" s="4"/>
      <c r="BM29" s="4"/>
      <c r="BN29" s="4"/>
    </row>
    <row r="30" spans="1:66" ht="15" customHeight="1">
      <c r="A30" s="19" t="str">
        <f t="shared" si="0"/>
        <v>АСУЭ.FB_IM_ADES_S</v>
      </c>
      <c r="B30" s="11">
        <v>11126</v>
      </c>
      <c r="C30" s="11" t="s">
        <v>0</v>
      </c>
      <c r="D30" s="20" t="str">
        <f>$AR$2</f>
        <v>2+8</v>
      </c>
      <c r="BK30" s="4"/>
      <c r="BL30" s="4"/>
      <c r="BM30" s="4"/>
      <c r="BN30" s="4"/>
    </row>
    <row r="31" spans="1:66" ht="15" customHeight="1">
      <c r="A31" s="19" t="str">
        <f t="shared" si="0"/>
        <v>АСУЭ.FB_IM_ADES_S</v>
      </c>
      <c r="B31" s="11">
        <v>11127</v>
      </c>
      <c r="C31" s="11" t="s">
        <v>0</v>
      </c>
      <c r="D31" s="20" t="str">
        <f>$AS$2</f>
        <v>2+9</v>
      </c>
      <c r="BK31" s="4"/>
      <c r="BL31" s="4"/>
      <c r="BM31" s="4"/>
      <c r="BN31" s="4"/>
    </row>
    <row r="32" spans="1:66" ht="15" customHeight="1">
      <c r="A32" s="19" t="str">
        <f t="shared" si="0"/>
        <v>АСУЭ.FB_IM_ADES_S</v>
      </c>
      <c r="B32" s="11">
        <v>11128</v>
      </c>
      <c r="C32" s="11" t="s">
        <v>0</v>
      </c>
      <c r="D32" s="20" t="str">
        <f>$AC$2</f>
        <v>Синий</v>
      </c>
      <c r="BK32" s="4"/>
      <c r="BL32" s="4"/>
      <c r="BM32" s="4"/>
      <c r="BN32" s="4"/>
    </row>
    <row r="33" spans="1:66" ht="15" customHeight="1">
      <c r="A33" s="19" t="str">
        <f t="shared" si="0"/>
        <v>АСУЭ.FB_IM_ADES_S</v>
      </c>
      <c r="B33" s="11">
        <v>11129</v>
      </c>
      <c r="C33" s="11" t="s">
        <v>0</v>
      </c>
      <c r="D33" s="20" t="str">
        <f>$AT$2</f>
        <v>1+12</v>
      </c>
      <c r="BK33" s="4"/>
      <c r="BL33" s="4"/>
      <c r="BM33" s="4"/>
      <c r="BN33" s="4"/>
    </row>
    <row r="34" spans="1:66" ht="15" customHeight="1">
      <c r="A34" s="19" t="str">
        <f t="shared" si="0"/>
        <v>АСУЭ.FB_IM_ADES_S</v>
      </c>
      <c r="B34" s="11">
        <v>11135</v>
      </c>
      <c r="C34" s="11" t="s">
        <v>0</v>
      </c>
      <c r="D34" s="20" t="str">
        <f>$AU$2</f>
        <v>1+13</v>
      </c>
      <c r="BK34" s="4"/>
      <c r="BL34" s="4"/>
      <c r="BM34" s="4"/>
      <c r="BN34" s="4"/>
    </row>
    <row r="35" spans="1:66" ht="15" customHeight="1">
      <c r="A35" s="19" t="str">
        <f t="shared" si="0"/>
        <v>АСУЭ.FB_IM_ADES_S</v>
      </c>
      <c r="B35" s="11">
        <v>11136</v>
      </c>
      <c r="C35" s="11" t="s">
        <v>0</v>
      </c>
      <c r="D35" s="20" t="str">
        <f>$AV$2</f>
        <v>1+14</v>
      </c>
      <c r="BK35" s="4"/>
      <c r="BL35" s="4"/>
      <c r="BM35" s="4"/>
      <c r="BN35" s="4"/>
    </row>
    <row r="36" spans="1:66" ht="15" customHeight="1">
      <c r="A36" s="19" t="str">
        <f t="shared" si="0"/>
        <v>АСУЭ.FB_IM_ADES_S</v>
      </c>
      <c r="B36" s="11">
        <v>201</v>
      </c>
      <c r="C36" s="11" t="s">
        <v>6</v>
      </c>
      <c r="D36" s="20">
        <f>$BA$2</f>
        <v>0</v>
      </c>
      <c r="BK36" s="4"/>
      <c r="BL36" s="4"/>
      <c r="BM36" s="4"/>
      <c r="BN36" s="4"/>
    </row>
    <row r="37" spans="1:66" ht="15" customHeight="1">
      <c r="A37" s="16" t="str">
        <f t="shared" si="0"/>
        <v>АСУЭ.FB_IM_ADES_S</v>
      </c>
      <c r="B37" s="17">
        <v>13</v>
      </c>
      <c r="C37" s="17" t="s">
        <v>2</v>
      </c>
      <c r="D37" s="18" t="s">
        <v>3</v>
      </c>
      <c r="BF37" s="4"/>
      <c r="BG37" s="4"/>
      <c r="BH37" s="4"/>
      <c r="BI37" s="4"/>
    </row>
    <row r="38" spans="1:66" ht="15" customHeight="1">
      <c r="A38" s="19" t="str">
        <f t="shared" si="0"/>
        <v>АСУЭ.FB_IM_ADES_S</v>
      </c>
      <c r="B38" s="11">
        <v>3000013</v>
      </c>
      <c r="C38" s="11" t="s">
        <v>0</v>
      </c>
      <c r="D38" s="20" t="str">
        <f>$AE$2</f>
        <v>Диагностика.CPU.NOT_LINK.noLink</v>
      </c>
      <c r="BF38" s="4"/>
      <c r="BG38" s="4"/>
      <c r="BH38" s="4"/>
      <c r="BI38" s="4"/>
    </row>
    <row r="39" spans="1:66" ht="15" customHeight="1">
      <c r="A39" s="19" t="str">
        <f t="shared" si="0"/>
        <v>АСУЭ.FB_IM_ADES_S</v>
      </c>
      <c r="B39" s="11">
        <v>4000013</v>
      </c>
      <c r="C39" s="11" t="s">
        <v>0</v>
      </c>
      <c r="D39" s="20" t="s">
        <v>1770</v>
      </c>
      <c r="BF39" s="4"/>
      <c r="BG39" s="4"/>
      <c r="BH39" s="4"/>
      <c r="BI39" s="4"/>
    </row>
    <row r="40" spans="1:66" ht="15" customHeight="1">
      <c r="A40" s="21" t="str">
        <f t="shared" si="0"/>
        <v>АСУЭ.FB_IM_ADES_S</v>
      </c>
      <c r="B40" s="8">
        <v>7000013</v>
      </c>
      <c r="C40" s="8" t="s">
        <v>6</v>
      </c>
      <c r="D40" s="22">
        <v>2</v>
      </c>
      <c r="BF40" s="4"/>
      <c r="BG40" s="4"/>
      <c r="BH40" s="4"/>
      <c r="BI40" s="4"/>
    </row>
    <row r="41" spans="1:66" ht="15" customHeight="1">
      <c r="A41" s="63" t="str">
        <f>$R$2&amp;".IOLD"</f>
        <v>АСУЭ.FB_IM_ADES_S.IOLD</v>
      </c>
      <c r="B41" s="64">
        <v>11154</v>
      </c>
      <c r="C41" s="64" t="s">
        <v>4</v>
      </c>
      <c r="D41" s="98">
        <f>$Q$6</f>
        <v>8</v>
      </c>
      <c r="BK41" s="4"/>
      <c r="BL41" s="4"/>
      <c r="BM41" s="4"/>
      <c r="BN41" s="4"/>
    </row>
    <row r="42" spans="1:66" ht="15" customHeight="1">
      <c r="A42" s="63" t="str">
        <f t="shared" ref="A42:A50" si="1">$R$2&amp;".IOLD"</f>
        <v>АСУЭ.FB_IM_ADES_S.IOLD</v>
      </c>
      <c r="B42" s="64">
        <v>11150</v>
      </c>
      <c r="C42" s="64" t="s">
        <v>0</v>
      </c>
      <c r="D42" s="65" t="s">
        <v>509</v>
      </c>
      <c r="BK42" s="4"/>
      <c r="BL42" s="4"/>
      <c r="BM42" s="4"/>
      <c r="BN42" s="4"/>
    </row>
    <row r="43" spans="1:66" ht="15" customHeight="1">
      <c r="A43" s="63" t="str">
        <f t="shared" si="1"/>
        <v>АСУЭ.FB_IM_ADES_S.IOLD</v>
      </c>
      <c r="B43" s="64">
        <v>11152</v>
      </c>
      <c r="C43" s="64" t="s">
        <v>0</v>
      </c>
      <c r="D43" s="99" t="str">
        <f>$R$6</f>
        <v>Предупреждение</v>
      </c>
      <c r="BK43" s="4"/>
      <c r="BL43" s="4"/>
      <c r="BM43" s="4"/>
      <c r="BN43" s="4"/>
    </row>
    <row r="44" spans="1:66" ht="15" customHeight="1">
      <c r="A44" s="63" t="str">
        <f t="shared" si="1"/>
        <v>АСУЭ.FB_IM_ADES_S.IOLD</v>
      </c>
      <c r="B44" s="64">
        <v>11000</v>
      </c>
      <c r="C44" s="64" t="s">
        <v>5</v>
      </c>
      <c r="D44" s="65">
        <v>2147483680</v>
      </c>
      <c r="BK44" s="4"/>
      <c r="BL44" s="4"/>
      <c r="BM44" s="4"/>
      <c r="BN44" s="4"/>
    </row>
    <row r="45" spans="1:66" ht="15" customHeight="1">
      <c r="A45" s="19" t="str">
        <f t="shared" si="1"/>
        <v>АСУЭ.FB_IM_ADES_S.IOLD</v>
      </c>
      <c r="B45" s="11">
        <v>7999</v>
      </c>
      <c r="C45" s="11" t="s">
        <v>0</v>
      </c>
      <c r="D45" s="20" t="str">
        <f>"#"&amp;$S$2&amp;"#"&amp;$T$2&amp;"\"&amp;$P$2&amp;"\IOLD"</f>
        <v>#1#treiOPCDA.CoOPCserv.1\pcmaster\S_IM_ADES\IOLD</v>
      </c>
      <c r="BK45" s="4"/>
      <c r="BL45" s="4"/>
      <c r="BM45" s="4"/>
      <c r="BN45" s="4"/>
    </row>
    <row r="46" spans="1:66" ht="15" customHeight="1">
      <c r="A46" s="19" t="str">
        <f t="shared" si="1"/>
        <v>АСУЭ.FB_IM_ADES_S.IOLD</v>
      </c>
      <c r="B46" s="11">
        <v>7998</v>
      </c>
      <c r="C46" s="11" t="s">
        <v>6</v>
      </c>
      <c r="D46" s="20">
        <v>1</v>
      </c>
      <c r="BK46" s="4"/>
      <c r="BL46" s="4"/>
      <c r="BM46" s="4"/>
      <c r="BN46" s="4"/>
    </row>
    <row r="47" spans="1:66" ht="15" customHeight="1">
      <c r="A47" s="19" t="str">
        <f t="shared" si="1"/>
        <v>АСУЭ.FB_IM_ADES_S.IOLD</v>
      </c>
      <c r="B47" s="11">
        <v>101</v>
      </c>
      <c r="C47" s="11" t="s">
        <v>0</v>
      </c>
      <c r="D47" s="20" t="s">
        <v>509</v>
      </c>
      <c r="BK47" s="4"/>
      <c r="BL47" s="4"/>
      <c r="BM47" s="4"/>
      <c r="BN47" s="4"/>
    </row>
    <row r="48" spans="1:66" ht="15" customHeight="1">
      <c r="A48" s="19" t="str">
        <f t="shared" si="1"/>
        <v>АСУЭ.FB_IM_ADES_S.IOLD</v>
      </c>
      <c r="B48" s="11">
        <v>3</v>
      </c>
      <c r="C48" s="11" t="s">
        <v>1</v>
      </c>
      <c r="D48" s="20">
        <v>192</v>
      </c>
      <c r="BK48" s="4"/>
      <c r="BL48" s="4"/>
      <c r="BM48" s="4"/>
      <c r="BN48" s="4"/>
    </row>
    <row r="49" spans="1:66" ht="15" customHeight="1">
      <c r="A49" s="19" t="str">
        <f t="shared" si="1"/>
        <v>АСУЭ.FB_IM_ADES_S.IOLD</v>
      </c>
      <c r="B49" s="11">
        <v>2</v>
      </c>
      <c r="C49" s="11" t="s">
        <v>2</v>
      </c>
      <c r="D49" s="20" t="s">
        <v>3</v>
      </c>
      <c r="BK49" s="4"/>
      <c r="BL49" s="4"/>
      <c r="BM49" s="4"/>
      <c r="BN49" s="4"/>
    </row>
    <row r="50" spans="1:66" ht="15" customHeight="1">
      <c r="A50" s="21" t="str">
        <f t="shared" si="1"/>
        <v>АСУЭ.FB_IM_ADES_S.IOLD</v>
      </c>
      <c r="B50" s="8">
        <v>1</v>
      </c>
      <c r="C50" s="8" t="s">
        <v>1</v>
      </c>
      <c r="D50" s="22">
        <v>11</v>
      </c>
      <c r="BK50" s="4"/>
      <c r="BL50" s="4"/>
      <c r="BM50" s="4"/>
      <c r="BN50" s="4"/>
    </row>
    <row r="51" spans="1:66" ht="15" customHeight="1">
      <c r="A51" s="69" t="str">
        <f>$R$2&amp;".IRAD"</f>
        <v>АСУЭ.FB_IM_ADES_S.IRAD</v>
      </c>
      <c r="B51" s="70">
        <v>11154</v>
      </c>
      <c r="C51" s="70" t="s">
        <v>4</v>
      </c>
      <c r="D51" s="144">
        <f>$Q$6</f>
        <v>8</v>
      </c>
      <c r="BK51" s="4"/>
      <c r="BL51" s="4"/>
      <c r="BM51" s="4"/>
      <c r="BN51" s="4"/>
    </row>
    <row r="52" spans="1:66" ht="15" customHeight="1">
      <c r="A52" s="63" t="str">
        <f t="shared" ref="A52:A60" si="2">$R$2&amp;".IRAD"</f>
        <v>АСУЭ.FB_IM_ADES_S.IRAD</v>
      </c>
      <c r="B52" s="64">
        <v>11150</v>
      </c>
      <c r="C52" s="64" t="s">
        <v>0</v>
      </c>
      <c r="D52" s="65" t="s">
        <v>510</v>
      </c>
      <c r="BK52" s="4"/>
      <c r="BL52" s="4"/>
      <c r="BM52" s="4"/>
      <c r="BN52" s="4"/>
    </row>
    <row r="53" spans="1:66" ht="15" customHeight="1">
      <c r="A53" s="63" t="str">
        <f t="shared" si="2"/>
        <v>АСУЭ.FB_IM_ADES_S.IRAD</v>
      </c>
      <c r="B53" s="64">
        <v>11152</v>
      </c>
      <c r="C53" s="64" t="s">
        <v>0</v>
      </c>
      <c r="D53" s="99" t="str">
        <f>$R$6</f>
        <v>Предупреждение</v>
      </c>
      <c r="BK53" s="4"/>
      <c r="BL53" s="4"/>
      <c r="BM53" s="4"/>
      <c r="BN53" s="4"/>
    </row>
    <row r="54" spans="1:66" ht="15" customHeight="1">
      <c r="A54" s="63" t="str">
        <f t="shared" si="2"/>
        <v>АСУЭ.FB_IM_ADES_S.IRAD</v>
      </c>
      <c r="B54" s="64">
        <v>11000</v>
      </c>
      <c r="C54" s="64" t="s">
        <v>5</v>
      </c>
      <c r="D54" s="65">
        <v>2147483680</v>
      </c>
      <c r="BK54" s="4"/>
      <c r="BL54" s="4"/>
      <c r="BM54" s="4"/>
      <c r="BN54" s="4"/>
    </row>
    <row r="55" spans="1:66" ht="15" customHeight="1">
      <c r="A55" s="19" t="str">
        <f t="shared" si="2"/>
        <v>АСУЭ.FB_IM_ADES_S.IRAD</v>
      </c>
      <c r="B55" s="11">
        <v>7999</v>
      </c>
      <c r="C55" s="11" t="s">
        <v>0</v>
      </c>
      <c r="D55" s="20" t="str">
        <f>"#"&amp;$S$2&amp;"#"&amp;$T$2&amp;"\"&amp;$P$2&amp;"\IRAD"</f>
        <v>#1#treiOPCDA.CoOPCserv.1\pcmaster\S_IM_ADES\IRAD</v>
      </c>
      <c r="BK55" s="4"/>
      <c r="BL55" s="4"/>
      <c r="BM55" s="4"/>
      <c r="BN55" s="4"/>
    </row>
    <row r="56" spans="1:66" ht="15" customHeight="1">
      <c r="A56" s="19" t="str">
        <f t="shared" si="2"/>
        <v>АСУЭ.FB_IM_ADES_S.IRAD</v>
      </c>
      <c r="B56" s="11">
        <v>7998</v>
      </c>
      <c r="C56" s="11" t="s">
        <v>6</v>
      </c>
      <c r="D56" s="20">
        <v>1</v>
      </c>
      <c r="BK56" s="4"/>
      <c r="BL56" s="4"/>
      <c r="BM56" s="4"/>
      <c r="BN56" s="4"/>
    </row>
    <row r="57" spans="1:66" ht="15" customHeight="1">
      <c r="A57" s="19" t="str">
        <f t="shared" si="2"/>
        <v>АСУЭ.FB_IM_ADES_S.IRAD</v>
      </c>
      <c r="B57" s="11">
        <v>101</v>
      </c>
      <c r="C57" s="11" t="s">
        <v>0</v>
      </c>
      <c r="D57" s="20" t="s">
        <v>510</v>
      </c>
      <c r="BK57" s="4"/>
      <c r="BL57" s="4"/>
      <c r="BM57" s="4"/>
      <c r="BN57" s="4"/>
    </row>
    <row r="58" spans="1:66" ht="15" customHeight="1">
      <c r="A58" s="19" t="str">
        <f t="shared" si="2"/>
        <v>АСУЭ.FB_IM_ADES_S.IRAD</v>
      </c>
      <c r="B58" s="11">
        <v>3</v>
      </c>
      <c r="C58" s="11" t="s">
        <v>1</v>
      </c>
      <c r="D58" s="20">
        <v>192</v>
      </c>
      <c r="BK58" s="4"/>
      <c r="BL58" s="4"/>
      <c r="BM58" s="4"/>
      <c r="BN58" s="4"/>
    </row>
    <row r="59" spans="1:66" ht="15" customHeight="1">
      <c r="A59" s="19" t="str">
        <f t="shared" si="2"/>
        <v>АСУЭ.FB_IM_ADES_S.IRAD</v>
      </c>
      <c r="B59" s="11">
        <v>2</v>
      </c>
      <c r="C59" s="11" t="s">
        <v>2</v>
      </c>
      <c r="D59" s="20" t="s">
        <v>3</v>
      </c>
      <c r="BK59" s="4"/>
      <c r="BL59" s="4"/>
      <c r="BM59" s="4"/>
      <c r="BN59" s="4"/>
    </row>
    <row r="60" spans="1:66" ht="15" customHeight="1">
      <c r="A60" s="21" t="str">
        <f t="shared" si="2"/>
        <v>АСУЭ.FB_IM_ADES_S.IRAD</v>
      </c>
      <c r="B60" s="8">
        <v>1</v>
      </c>
      <c r="C60" s="8" t="s">
        <v>1</v>
      </c>
      <c r="D60" s="22">
        <v>11</v>
      </c>
      <c r="BK60" s="4"/>
      <c r="BL60" s="4"/>
      <c r="BM60" s="4"/>
      <c r="BN60" s="4"/>
    </row>
    <row r="61" spans="1:66" ht="15" customHeight="1">
      <c r="A61" s="69" t="str">
        <f>$R$2&amp;".IPTO"</f>
        <v>АСУЭ.FB_IM_ADES_S.IPTO</v>
      </c>
      <c r="B61" s="70">
        <v>11154</v>
      </c>
      <c r="C61" s="70" t="s">
        <v>4</v>
      </c>
      <c r="D61" s="144">
        <f>$Q$6</f>
        <v>8</v>
      </c>
      <c r="BK61" s="4"/>
      <c r="BL61" s="4"/>
      <c r="BM61" s="4"/>
      <c r="BN61" s="4"/>
    </row>
    <row r="62" spans="1:66" ht="15" customHeight="1">
      <c r="A62" s="63" t="str">
        <f t="shared" ref="A62:A70" si="3">$R$2&amp;".IPTO"</f>
        <v>АСУЭ.FB_IM_ADES_S.IPTO</v>
      </c>
      <c r="B62" s="64">
        <v>11150</v>
      </c>
      <c r="C62" s="64" t="s">
        <v>0</v>
      </c>
      <c r="D62" s="65" t="s">
        <v>511</v>
      </c>
      <c r="BK62" s="4"/>
      <c r="BL62" s="4"/>
      <c r="BM62" s="4"/>
      <c r="BN62" s="4"/>
    </row>
    <row r="63" spans="1:66" ht="15" customHeight="1">
      <c r="A63" s="63" t="str">
        <f t="shared" si="3"/>
        <v>АСУЭ.FB_IM_ADES_S.IPTO</v>
      </c>
      <c r="B63" s="64">
        <v>11152</v>
      </c>
      <c r="C63" s="64" t="s">
        <v>0</v>
      </c>
      <c r="D63" s="99" t="str">
        <f>$R$6</f>
        <v>Предупреждение</v>
      </c>
      <c r="BK63" s="4"/>
      <c r="BL63" s="4"/>
      <c r="BM63" s="4"/>
      <c r="BN63" s="4"/>
    </row>
    <row r="64" spans="1:66" ht="15" customHeight="1">
      <c r="A64" s="63" t="str">
        <f t="shared" si="3"/>
        <v>АСУЭ.FB_IM_ADES_S.IPTO</v>
      </c>
      <c r="B64" s="64">
        <v>11000</v>
      </c>
      <c r="C64" s="64" t="s">
        <v>5</v>
      </c>
      <c r="D64" s="65">
        <v>2147483680</v>
      </c>
      <c r="BK64" s="4"/>
      <c r="BL64" s="4"/>
      <c r="BM64" s="4"/>
      <c r="BN64" s="4"/>
    </row>
    <row r="65" spans="1:66" ht="15" customHeight="1">
      <c r="A65" s="19" t="str">
        <f t="shared" si="3"/>
        <v>АСУЭ.FB_IM_ADES_S.IPTO</v>
      </c>
      <c r="B65" s="11">
        <v>7999</v>
      </c>
      <c r="C65" s="11" t="s">
        <v>0</v>
      </c>
      <c r="D65" s="20" t="str">
        <f>"#"&amp;$S$2&amp;"#"&amp;$T$2&amp;"\"&amp;$P$2&amp;"\IPTO"</f>
        <v>#1#treiOPCDA.CoOPCserv.1\pcmaster\S_IM_ADES\IPTO</v>
      </c>
      <c r="BK65" s="4"/>
      <c r="BL65" s="4"/>
      <c r="BM65" s="4"/>
      <c r="BN65" s="4"/>
    </row>
    <row r="66" spans="1:66" ht="15" customHeight="1">
      <c r="A66" s="19" t="str">
        <f t="shared" si="3"/>
        <v>АСУЭ.FB_IM_ADES_S.IPTO</v>
      </c>
      <c r="B66" s="11">
        <v>7998</v>
      </c>
      <c r="C66" s="11" t="s">
        <v>6</v>
      </c>
      <c r="D66" s="20">
        <v>1</v>
      </c>
      <c r="BK66" s="4"/>
      <c r="BL66" s="4"/>
      <c r="BM66" s="4"/>
      <c r="BN66" s="4"/>
    </row>
    <row r="67" spans="1:66" ht="15" customHeight="1">
      <c r="A67" s="19" t="str">
        <f t="shared" si="3"/>
        <v>АСУЭ.FB_IM_ADES_S.IPTO</v>
      </c>
      <c r="B67" s="11">
        <v>101</v>
      </c>
      <c r="C67" s="11" t="s">
        <v>0</v>
      </c>
      <c r="D67" s="20" t="s">
        <v>511</v>
      </c>
      <c r="BK67" s="4"/>
      <c r="BL67" s="4"/>
      <c r="BM67" s="4"/>
      <c r="BN67" s="4"/>
    </row>
    <row r="68" spans="1:66" ht="15" customHeight="1">
      <c r="A68" s="19" t="str">
        <f t="shared" si="3"/>
        <v>АСУЭ.FB_IM_ADES_S.IPTO</v>
      </c>
      <c r="B68" s="11">
        <v>3</v>
      </c>
      <c r="C68" s="11" t="s">
        <v>1</v>
      </c>
      <c r="D68" s="20">
        <v>192</v>
      </c>
      <c r="BK68" s="4"/>
      <c r="BL68" s="4"/>
      <c r="BM68" s="4"/>
      <c r="BN68" s="4"/>
    </row>
    <row r="69" spans="1:66" ht="15" customHeight="1">
      <c r="A69" s="19" t="str">
        <f t="shared" si="3"/>
        <v>АСУЭ.FB_IM_ADES_S.IPTO</v>
      </c>
      <c r="B69" s="11">
        <v>2</v>
      </c>
      <c r="C69" s="11" t="s">
        <v>2</v>
      </c>
      <c r="D69" s="20" t="s">
        <v>3</v>
      </c>
      <c r="BK69" s="4"/>
      <c r="BL69" s="4"/>
      <c r="BM69" s="4"/>
      <c r="BN69" s="4"/>
    </row>
    <row r="70" spans="1:66" ht="15" customHeight="1">
      <c r="A70" s="21" t="str">
        <f t="shared" si="3"/>
        <v>АСУЭ.FB_IM_ADES_S.IPTO</v>
      </c>
      <c r="B70" s="8">
        <v>1</v>
      </c>
      <c r="C70" s="8" t="s">
        <v>1</v>
      </c>
      <c r="D70" s="22">
        <v>11</v>
      </c>
      <c r="BK70" s="4"/>
      <c r="BL70" s="4"/>
      <c r="BM70" s="4"/>
      <c r="BN70" s="4"/>
    </row>
    <row r="71" spans="1:66" ht="15" customHeight="1">
      <c r="A71" s="69" t="str">
        <f t="shared" ref="A71:A80" si="4">$R$2&amp;".ILCX"</f>
        <v>АСУЭ.FB_IM_ADES_S.ILCX</v>
      </c>
      <c r="B71" s="70">
        <v>11154</v>
      </c>
      <c r="C71" s="70" t="s">
        <v>4</v>
      </c>
      <c r="D71" s="144">
        <f>$Q$6</f>
        <v>8</v>
      </c>
      <c r="BK71" s="4"/>
      <c r="BL71" s="4"/>
      <c r="BM71" s="4"/>
      <c r="BN71" s="4"/>
    </row>
    <row r="72" spans="1:66" ht="15" customHeight="1">
      <c r="A72" s="63" t="str">
        <f t="shared" si="4"/>
        <v>АСУЭ.FB_IM_ADES_S.ILCX</v>
      </c>
      <c r="B72" s="64">
        <v>11150</v>
      </c>
      <c r="C72" s="64" t="s">
        <v>0</v>
      </c>
      <c r="D72" s="65" t="s">
        <v>188</v>
      </c>
      <c r="BK72" s="4"/>
      <c r="BL72" s="4"/>
      <c r="BM72" s="4"/>
      <c r="BN72" s="4"/>
    </row>
    <row r="73" spans="1:66" ht="15" customHeight="1">
      <c r="A73" s="63" t="str">
        <f t="shared" si="4"/>
        <v>АСУЭ.FB_IM_ADES_S.ILCX</v>
      </c>
      <c r="B73" s="64">
        <v>11152</v>
      </c>
      <c r="C73" s="64" t="s">
        <v>0</v>
      </c>
      <c r="D73" s="99" t="str">
        <f>$R$6</f>
        <v>Предупреждение</v>
      </c>
      <c r="BK73" s="4"/>
      <c r="BL73" s="4"/>
      <c r="BM73" s="4"/>
      <c r="BN73" s="4"/>
    </row>
    <row r="74" spans="1:66" ht="15" customHeight="1">
      <c r="A74" s="63" t="str">
        <f t="shared" si="4"/>
        <v>АСУЭ.FB_IM_ADES_S.ILCX</v>
      </c>
      <c r="B74" s="64">
        <v>11000</v>
      </c>
      <c r="C74" s="64" t="s">
        <v>5</v>
      </c>
      <c r="D74" s="65">
        <v>2147483680</v>
      </c>
      <c r="BK74" s="4"/>
      <c r="BL74" s="4"/>
      <c r="BM74" s="4"/>
      <c r="BN74" s="4"/>
    </row>
    <row r="75" spans="1:66" ht="15" customHeight="1">
      <c r="A75" s="19" t="str">
        <f t="shared" si="4"/>
        <v>АСУЭ.FB_IM_ADES_S.ILCX</v>
      </c>
      <c r="B75" s="11">
        <v>7999</v>
      </c>
      <c r="C75" s="11" t="s">
        <v>0</v>
      </c>
      <c r="D75" s="20" t="str">
        <f>"#"&amp;$S$2&amp;"#"&amp;$T$2&amp;"\"&amp;$P$2&amp;"\ILCX"</f>
        <v>#1#treiOPCDA.CoOPCserv.1\pcmaster\S_IM_ADES\ILCX</v>
      </c>
      <c r="BK75" s="4"/>
      <c r="BL75" s="4"/>
      <c r="BM75" s="4"/>
      <c r="BN75" s="4"/>
    </row>
    <row r="76" spans="1:66" ht="15" customHeight="1">
      <c r="A76" s="19" t="str">
        <f t="shared" si="4"/>
        <v>АСУЭ.FB_IM_ADES_S.ILCX</v>
      </c>
      <c r="B76" s="11">
        <v>7998</v>
      </c>
      <c r="C76" s="11" t="s">
        <v>6</v>
      </c>
      <c r="D76" s="20">
        <v>1</v>
      </c>
      <c r="BK76" s="4"/>
      <c r="BL76" s="4"/>
      <c r="BM76" s="4"/>
      <c r="BN76" s="4"/>
    </row>
    <row r="77" spans="1:66" ht="15" customHeight="1">
      <c r="A77" s="19" t="str">
        <f t="shared" si="4"/>
        <v>АСУЭ.FB_IM_ADES_S.ILCX</v>
      </c>
      <c r="B77" s="11">
        <v>101</v>
      </c>
      <c r="C77" s="11" t="s">
        <v>0</v>
      </c>
      <c r="D77" s="20" t="s">
        <v>577</v>
      </c>
      <c r="BK77" s="4"/>
      <c r="BL77" s="4"/>
      <c r="BM77" s="4"/>
      <c r="BN77" s="4"/>
    </row>
    <row r="78" spans="1:66" ht="15" customHeight="1">
      <c r="A78" s="19" t="str">
        <f t="shared" si="4"/>
        <v>АСУЭ.FB_IM_ADES_S.ILCX</v>
      </c>
      <c r="B78" s="11">
        <v>3</v>
      </c>
      <c r="C78" s="11" t="s">
        <v>1</v>
      </c>
      <c r="D78" s="20">
        <v>192</v>
      </c>
      <c r="BK78" s="4"/>
      <c r="BL78" s="4"/>
      <c r="BM78" s="4"/>
      <c r="BN78" s="4"/>
    </row>
    <row r="79" spans="1:66" ht="15" customHeight="1">
      <c r="A79" s="19" t="str">
        <f t="shared" si="4"/>
        <v>АСУЭ.FB_IM_ADES_S.ILCX</v>
      </c>
      <c r="B79" s="11">
        <v>2</v>
      </c>
      <c r="C79" s="11" t="s">
        <v>2</v>
      </c>
      <c r="D79" s="20" t="s">
        <v>3</v>
      </c>
      <c r="BK79" s="4"/>
      <c r="BL79" s="4"/>
      <c r="BM79" s="4"/>
      <c r="BN79" s="4"/>
    </row>
    <row r="80" spans="1:66" ht="15" customHeight="1">
      <c r="A80" s="21" t="str">
        <f t="shared" si="4"/>
        <v>АСУЭ.FB_IM_ADES_S.ILCX</v>
      </c>
      <c r="B80" s="8">
        <v>1</v>
      </c>
      <c r="C80" s="8" t="s">
        <v>1</v>
      </c>
      <c r="D80" s="22">
        <v>11</v>
      </c>
      <c r="BK80" s="4"/>
      <c r="BL80" s="4"/>
      <c r="BM80" s="4"/>
      <c r="BN80" s="4"/>
    </row>
    <row r="81" spans="1:66" ht="15" customHeight="1">
      <c r="A81" s="69" t="str">
        <f t="shared" ref="A81:A90" si="5">$R$2&amp;".FRTX"</f>
        <v>АСУЭ.FB_IM_ADES_S.FRTX</v>
      </c>
      <c r="B81" s="70">
        <v>11154</v>
      </c>
      <c r="C81" s="70" t="s">
        <v>4</v>
      </c>
      <c r="D81" s="144">
        <f>$Q$6</f>
        <v>8</v>
      </c>
      <c r="BK81" s="4"/>
      <c r="BL81" s="4"/>
      <c r="BM81" s="4"/>
      <c r="BN81" s="4"/>
    </row>
    <row r="82" spans="1:66" ht="15" customHeight="1">
      <c r="A82" s="63" t="str">
        <f t="shared" si="5"/>
        <v>АСУЭ.FB_IM_ADES_S.FRTX</v>
      </c>
      <c r="B82" s="64">
        <v>11150</v>
      </c>
      <c r="C82" s="64" t="s">
        <v>0</v>
      </c>
      <c r="D82" s="65" t="s">
        <v>158</v>
      </c>
      <c r="BK82" s="4"/>
      <c r="BL82" s="4"/>
      <c r="BM82" s="4"/>
      <c r="BN82" s="4"/>
    </row>
    <row r="83" spans="1:66" ht="15" customHeight="1">
      <c r="A83" s="63" t="str">
        <f t="shared" si="5"/>
        <v>АСУЭ.FB_IM_ADES_S.FRTX</v>
      </c>
      <c r="B83" s="64">
        <v>11152</v>
      </c>
      <c r="C83" s="64" t="s">
        <v>0</v>
      </c>
      <c r="D83" s="99" t="str">
        <f>$R$6</f>
        <v>Предупреждение</v>
      </c>
      <c r="BK83" s="4"/>
      <c r="BL83" s="4"/>
      <c r="BM83" s="4"/>
      <c r="BN83" s="4"/>
    </row>
    <row r="84" spans="1:66" ht="15" customHeight="1">
      <c r="A84" s="63" t="str">
        <f t="shared" si="5"/>
        <v>АСУЭ.FB_IM_ADES_S.FRTX</v>
      </c>
      <c r="B84" s="64">
        <v>11000</v>
      </c>
      <c r="C84" s="64" t="s">
        <v>5</v>
      </c>
      <c r="D84" s="65">
        <v>2147483680</v>
      </c>
      <c r="BK84" s="4"/>
      <c r="BL84" s="4"/>
      <c r="BM84" s="4"/>
      <c r="BN84" s="4"/>
    </row>
    <row r="85" spans="1:66" ht="15" customHeight="1">
      <c r="A85" s="19" t="str">
        <f t="shared" si="5"/>
        <v>АСУЭ.FB_IM_ADES_S.FRTX</v>
      </c>
      <c r="B85" s="11">
        <v>7999</v>
      </c>
      <c r="C85" s="11" t="s">
        <v>0</v>
      </c>
      <c r="D85" s="20" t="str">
        <f>"#"&amp;$S$2&amp;"#"&amp;$T$2&amp;"\"&amp;$P$2&amp;"\FRTX"</f>
        <v>#1#treiOPCDA.CoOPCserv.1\pcmaster\S_IM_ADES\FRTX</v>
      </c>
      <c r="BK85" s="4"/>
      <c r="BL85" s="4"/>
      <c r="BM85" s="4"/>
      <c r="BN85" s="4"/>
    </row>
    <row r="86" spans="1:66" ht="15" customHeight="1">
      <c r="A86" s="19" t="str">
        <f t="shared" si="5"/>
        <v>АСУЭ.FB_IM_ADES_S.FRTX</v>
      </c>
      <c r="B86" s="11">
        <v>7998</v>
      </c>
      <c r="C86" s="11" t="s">
        <v>6</v>
      </c>
      <c r="D86" s="20">
        <v>1</v>
      </c>
      <c r="BK86" s="4"/>
      <c r="BL86" s="4"/>
      <c r="BM86" s="4"/>
      <c r="BN86" s="4"/>
    </row>
    <row r="87" spans="1:66" ht="15" customHeight="1">
      <c r="A87" s="19" t="str">
        <f t="shared" si="5"/>
        <v>АСУЭ.FB_IM_ADES_S.FRTX</v>
      </c>
      <c r="B87" s="11">
        <v>101</v>
      </c>
      <c r="C87" s="11" t="s">
        <v>0</v>
      </c>
      <c r="D87" s="20" t="s">
        <v>158</v>
      </c>
      <c r="BK87" s="4"/>
      <c r="BL87" s="4"/>
      <c r="BM87" s="4"/>
      <c r="BN87" s="4"/>
    </row>
    <row r="88" spans="1:66" ht="15" customHeight="1">
      <c r="A88" s="19" t="str">
        <f t="shared" si="5"/>
        <v>АСУЭ.FB_IM_ADES_S.FRTX</v>
      </c>
      <c r="B88" s="11">
        <v>3</v>
      </c>
      <c r="C88" s="11" t="s">
        <v>1</v>
      </c>
      <c r="D88" s="20">
        <v>192</v>
      </c>
      <c r="BK88" s="4"/>
      <c r="BL88" s="4"/>
      <c r="BM88" s="4"/>
      <c r="BN88" s="4"/>
    </row>
    <row r="89" spans="1:66" ht="15" customHeight="1">
      <c r="A89" s="19" t="str">
        <f t="shared" si="5"/>
        <v>АСУЭ.FB_IM_ADES_S.FRTX</v>
      </c>
      <c r="B89" s="11">
        <v>2</v>
      </c>
      <c r="C89" s="11" t="s">
        <v>2</v>
      </c>
      <c r="D89" s="20" t="s">
        <v>3</v>
      </c>
      <c r="BK89" s="4"/>
      <c r="BL89" s="4"/>
      <c r="BM89" s="4"/>
      <c r="BN89" s="4"/>
    </row>
    <row r="90" spans="1:66" ht="15" customHeight="1">
      <c r="A90" s="21" t="str">
        <f t="shared" si="5"/>
        <v>АСУЭ.FB_IM_ADES_S.FRTX</v>
      </c>
      <c r="B90" s="8">
        <v>1</v>
      </c>
      <c r="C90" s="8" t="s">
        <v>1</v>
      </c>
      <c r="D90" s="22">
        <v>11</v>
      </c>
      <c r="BK90" s="4"/>
      <c r="BL90" s="4"/>
      <c r="BM90" s="4"/>
      <c r="BN90" s="4"/>
    </row>
    <row r="91" spans="1:66" ht="15" customHeight="1">
      <c r="A91" s="69" t="str">
        <f t="shared" ref="A91:A100" si="6">$R$2&amp;".LAON"</f>
        <v>АСУЭ.FB_IM_ADES_S.LAON</v>
      </c>
      <c r="B91" s="70">
        <v>11154</v>
      </c>
      <c r="C91" s="70" t="s">
        <v>4</v>
      </c>
      <c r="D91" s="144">
        <f>$Q$6</f>
        <v>8</v>
      </c>
      <c r="BK91" s="4"/>
      <c r="BL91" s="4"/>
      <c r="BM91" s="4"/>
      <c r="BN91" s="4"/>
    </row>
    <row r="92" spans="1:66" ht="15" customHeight="1">
      <c r="A92" s="63" t="str">
        <f t="shared" si="6"/>
        <v>АСУЭ.FB_IM_ADES_S.LAON</v>
      </c>
      <c r="B92" s="64">
        <v>11150</v>
      </c>
      <c r="C92" s="64" t="s">
        <v>0</v>
      </c>
      <c r="D92" s="65" t="s">
        <v>1833</v>
      </c>
      <c r="BK92" s="4"/>
      <c r="BL92" s="4"/>
      <c r="BM92" s="4"/>
      <c r="BN92" s="4"/>
    </row>
    <row r="93" spans="1:66" ht="15" customHeight="1">
      <c r="A93" s="63" t="str">
        <f t="shared" si="6"/>
        <v>АСУЭ.FB_IM_ADES_S.LAON</v>
      </c>
      <c r="B93" s="64">
        <v>11152</v>
      </c>
      <c r="C93" s="64" t="s">
        <v>0</v>
      </c>
      <c r="D93" s="99" t="str">
        <f>$R$6</f>
        <v>Предупреждение</v>
      </c>
      <c r="BK93" s="4"/>
      <c r="BL93" s="4"/>
      <c r="BM93" s="4"/>
      <c r="BN93" s="4"/>
    </row>
    <row r="94" spans="1:66" ht="15" customHeight="1">
      <c r="A94" s="63" t="str">
        <f t="shared" si="6"/>
        <v>АСУЭ.FB_IM_ADES_S.LAON</v>
      </c>
      <c r="B94" s="64">
        <v>11000</v>
      </c>
      <c r="C94" s="64" t="s">
        <v>5</v>
      </c>
      <c r="D94" s="65">
        <v>2147483680</v>
      </c>
      <c r="BK94" s="4"/>
      <c r="BL94" s="4"/>
      <c r="BM94" s="4"/>
      <c r="BN94" s="4"/>
    </row>
    <row r="95" spans="1:66" ht="15" customHeight="1">
      <c r="A95" s="19" t="str">
        <f t="shared" si="6"/>
        <v>АСУЭ.FB_IM_ADES_S.LAON</v>
      </c>
      <c r="B95" s="11">
        <v>7999</v>
      </c>
      <c r="C95" s="11" t="s">
        <v>0</v>
      </c>
      <c r="D95" s="20" t="str">
        <f>"#"&amp;$S$2&amp;"#"&amp;$T$2&amp;"\"&amp;$P$2&amp;"\LAON"</f>
        <v>#1#treiOPCDA.CoOPCserv.1\pcmaster\S_IM_ADES\LAON</v>
      </c>
      <c r="BK95" s="4"/>
      <c r="BL95" s="4"/>
      <c r="BM95" s="4"/>
      <c r="BN95" s="4"/>
    </row>
    <row r="96" spans="1:66" ht="15" customHeight="1">
      <c r="A96" s="19" t="str">
        <f t="shared" si="6"/>
        <v>АСУЭ.FB_IM_ADES_S.LAON</v>
      </c>
      <c r="B96" s="11">
        <v>7998</v>
      </c>
      <c r="C96" s="11" t="s">
        <v>6</v>
      </c>
      <c r="D96" s="20">
        <v>1</v>
      </c>
      <c r="BK96" s="4"/>
      <c r="BL96" s="4"/>
      <c r="BM96" s="4"/>
      <c r="BN96" s="4"/>
    </row>
    <row r="97" spans="1:66" ht="15" customHeight="1">
      <c r="A97" s="19" t="str">
        <f t="shared" si="6"/>
        <v>АСУЭ.FB_IM_ADES_S.LAON</v>
      </c>
      <c r="B97" s="11">
        <v>101</v>
      </c>
      <c r="C97" s="11" t="s">
        <v>0</v>
      </c>
      <c r="D97" s="20" t="s">
        <v>1833</v>
      </c>
      <c r="BK97" s="4"/>
      <c r="BL97" s="4"/>
      <c r="BM97" s="4"/>
      <c r="BN97" s="4"/>
    </row>
    <row r="98" spans="1:66" ht="15" customHeight="1">
      <c r="A98" s="19" t="str">
        <f t="shared" si="6"/>
        <v>АСУЭ.FB_IM_ADES_S.LAON</v>
      </c>
      <c r="B98" s="11">
        <v>3</v>
      </c>
      <c r="C98" s="11" t="s">
        <v>1</v>
      </c>
      <c r="D98" s="20">
        <v>192</v>
      </c>
      <c r="BK98" s="4"/>
      <c r="BL98" s="4"/>
      <c r="BM98" s="4"/>
      <c r="BN98" s="4"/>
    </row>
    <row r="99" spans="1:66" ht="15" customHeight="1">
      <c r="A99" s="19" t="str">
        <f t="shared" si="6"/>
        <v>АСУЭ.FB_IM_ADES_S.LAON</v>
      </c>
      <c r="B99" s="11">
        <v>2</v>
      </c>
      <c r="C99" s="11" t="s">
        <v>2</v>
      </c>
      <c r="D99" s="20" t="s">
        <v>3</v>
      </c>
      <c r="BK99" s="4"/>
      <c r="BL99" s="4"/>
      <c r="BM99" s="4"/>
      <c r="BN99" s="4"/>
    </row>
    <row r="100" spans="1:66" ht="15" customHeight="1">
      <c r="A100" s="21" t="str">
        <f t="shared" si="6"/>
        <v>АСУЭ.FB_IM_ADES_S.LAON</v>
      </c>
      <c r="B100" s="8">
        <v>1</v>
      </c>
      <c r="C100" s="8" t="s">
        <v>1</v>
      </c>
      <c r="D100" s="22">
        <v>11</v>
      </c>
      <c r="BK100" s="4"/>
      <c r="BL100" s="4"/>
      <c r="BM100" s="4"/>
      <c r="BN100" s="4"/>
    </row>
    <row r="101" spans="1:66" ht="15" customHeight="1">
      <c r="A101" s="69" t="str">
        <f t="shared" ref="A101:A110" si="7">$R$2&amp;".LAOF"</f>
        <v>АСУЭ.FB_IM_ADES_S.LAOF</v>
      </c>
      <c r="B101" s="70">
        <v>11154</v>
      </c>
      <c r="C101" s="70" t="s">
        <v>4</v>
      </c>
      <c r="D101" s="144">
        <f>$Q$6</f>
        <v>8</v>
      </c>
      <c r="BK101" s="4"/>
      <c r="BL101" s="4"/>
      <c r="BM101" s="4"/>
      <c r="BN101" s="4"/>
    </row>
    <row r="102" spans="1:66" ht="15" customHeight="1">
      <c r="A102" s="63" t="str">
        <f t="shared" si="7"/>
        <v>АСУЭ.FB_IM_ADES_S.LAOF</v>
      </c>
      <c r="B102" s="64">
        <v>11150</v>
      </c>
      <c r="C102" s="64" t="s">
        <v>0</v>
      </c>
      <c r="D102" s="65" t="s">
        <v>1834</v>
      </c>
      <c r="BK102" s="4"/>
      <c r="BL102" s="4"/>
      <c r="BM102" s="4"/>
      <c r="BN102" s="4"/>
    </row>
    <row r="103" spans="1:66" ht="15" customHeight="1">
      <c r="A103" s="63" t="str">
        <f t="shared" si="7"/>
        <v>АСУЭ.FB_IM_ADES_S.LAOF</v>
      </c>
      <c r="B103" s="64">
        <v>11152</v>
      </c>
      <c r="C103" s="64" t="s">
        <v>0</v>
      </c>
      <c r="D103" s="99" t="str">
        <f>$R$6</f>
        <v>Предупреждение</v>
      </c>
      <c r="BK103" s="4"/>
      <c r="BL103" s="4"/>
      <c r="BM103" s="4"/>
      <c r="BN103" s="4"/>
    </row>
    <row r="104" spans="1:66" ht="15" customHeight="1">
      <c r="A104" s="63" t="str">
        <f t="shared" si="7"/>
        <v>АСУЭ.FB_IM_ADES_S.LAOF</v>
      </c>
      <c r="B104" s="64">
        <v>11000</v>
      </c>
      <c r="C104" s="64" t="s">
        <v>5</v>
      </c>
      <c r="D104" s="65">
        <v>2147483680</v>
      </c>
      <c r="BK104" s="4"/>
      <c r="BL104" s="4"/>
      <c r="BM104" s="4"/>
      <c r="BN104" s="4"/>
    </row>
    <row r="105" spans="1:66" ht="15" customHeight="1">
      <c r="A105" s="19" t="str">
        <f t="shared" si="7"/>
        <v>АСУЭ.FB_IM_ADES_S.LAOF</v>
      </c>
      <c r="B105" s="11">
        <v>7999</v>
      </c>
      <c r="C105" s="11" t="s">
        <v>0</v>
      </c>
      <c r="D105" s="20" t="str">
        <f>"#"&amp;$S$2&amp;"#"&amp;$T$2&amp;"\"&amp;$P$2&amp;"\LAOF"</f>
        <v>#1#treiOPCDA.CoOPCserv.1\pcmaster\S_IM_ADES\LAOF</v>
      </c>
      <c r="BK105" s="4"/>
      <c r="BL105" s="4"/>
      <c r="BM105" s="4"/>
      <c r="BN105" s="4"/>
    </row>
    <row r="106" spans="1:66" ht="15" customHeight="1">
      <c r="A106" s="19" t="str">
        <f t="shared" si="7"/>
        <v>АСУЭ.FB_IM_ADES_S.LAOF</v>
      </c>
      <c r="B106" s="11">
        <v>7998</v>
      </c>
      <c r="C106" s="11" t="s">
        <v>6</v>
      </c>
      <c r="D106" s="20">
        <v>1</v>
      </c>
      <c r="BK106" s="4"/>
      <c r="BL106" s="4"/>
      <c r="BM106" s="4"/>
      <c r="BN106" s="4"/>
    </row>
    <row r="107" spans="1:66" ht="15" customHeight="1">
      <c r="A107" s="19" t="str">
        <f t="shared" si="7"/>
        <v>АСУЭ.FB_IM_ADES_S.LAOF</v>
      </c>
      <c r="B107" s="11">
        <v>101</v>
      </c>
      <c r="C107" s="11" t="s">
        <v>0</v>
      </c>
      <c r="D107" s="20" t="s">
        <v>1834</v>
      </c>
      <c r="BK107" s="4"/>
      <c r="BL107" s="4"/>
      <c r="BM107" s="4"/>
      <c r="BN107" s="4"/>
    </row>
    <row r="108" spans="1:66" ht="15" customHeight="1">
      <c r="A108" s="19" t="str">
        <f t="shared" si="7"/>
        <v>АСУЭ.FB_IM_ADES_S.LAOF</v>
      </c>
      <c r="B108" s="11">
        <v>3</v>
      </c>
      <c r="C108" s="11" t="s">
        <v>1</v>
      </c>
      <c r="D108" s="20">
        <v>192</v>
      </c>
      <c r="BK108" s="4"/>
      <c r="BL108" s="4"/>
      <c r="BM108" s="4"/>
      <c r="BN108" s="4"/>
    </row>
    <row r="109" spans="1:66" ht="15" customHeight="1">
      <c r="A109" s="19" t="str">
        <f t="shared" si="7"/>
        <v>АСУЭ.FB_IM_ADES_S.LAOF</v>
      </c>
      <c r="B109" s="11">
        <v>2</v>
      </c>
      <c r="C109" s="11" t="s">
        <v>2</v>
      </c>
      <c r="D109" s="20" t="s">
        <v>3</v>
      </c>
      <c r="BK109" s="4"/>
      <c r="BL109" s="4"/>
      <c r="BM109" s="4"/>
      <c r="BN109" s="4"/>
    </row>
    <row r="110" spans="1:66" ht="15" customHeight="1">
      <c r="A110" s="21" t="str">
        <f t="shared" si="7"/>
        <v>АСУЭ.FB_IM_ADES_S.LAOF</v>
      </c>
      <c r="B110" s="8">
        <v>1</v>
      </c>
      <c r="C110" s="8" t="s">
        <v>1</v>
      </c>
      <c r="D110" s="22">
        <v>11</v>
      </c>
      <c r="BK110" s="4"/>
      <c r="BL110" s="4"/>
      <c r="BM110" s="4"/>
      <c r="BN110" s="4"/>
    </row>
    <row r="111" spans="1:66" ht="15" customHeight="1">
      <c r="A111" s="69" t="str">
        <f t="shared" ref="A111:A120" si="8">$R$2&amp;".CEON"</f>
        <v>АСУЭ.FB_IM_ADES_S.CEON</v>
      </c>
      <c r="B111" s="70">
        <v>11154</v>
      </c>
      <c r="C111" s="70" t="s">
        <v>4</v>
      </c>
      <c r="D111" s="144">
        <f>$Q$6</f>
        <v>8</v>
      </c>
      <c r="BK111" s="4"/>
      <c r="BL111" s="4"/>
      <c r="BM111" s="4"/>
      <c r="BN111" s="4"/>
    </row>
    <row r="112" spans="1:66" ht="15" customHeight="1">
      <c r="A112" s="63" t="str">
        <f t="shared" si="8"/>
        <v>АСУЭ.FB_IM_ADES_S.CEON</v>
      </c>
      <c r="B112" s="64">
        <v>11150</v>
      </c>
      <c r="C112" s="64" t="s">
        <v>0</v>
      </c>
      <c r="D112" s="65" t="s">
        <v>1835</v>
      </c>
      <c r="BK112" s="4"/>
      <c r="BL112" s="4"/>
      <c r="BM112" s="4"/>
      <c r="BN112" s="4"/>
    </row>
    <row r="113" spans="1:66" ht="15" customHeight="1">
      <c r="A113" s="63" t="str">
        <f t="shared" si="8"/>
        <v>АСУЭ.FB_IM_ADES_S.CEON</v>
      </c>
      <c r="B113" s="64">
        <v>11152</v>
      </c>
      <c r="C113" s="64" t="s">
        <v>0</v>
      </c>
      <c r="D113" s="99" t="str">
        <f>$R$6</f>
        <v>Предупреждение</v>
      </c>
      <c r="BK113" s="4"/>
      <c r="BL113" s="4"/>
      <c r="BM113" s="4"/>
      <c r="BN113" s="4"/>
    </row>
    <row r="114" spans="1:66" ht="15" customHeight="1">
      <c r="A114" s="63" t="str">
        <f t="shared" si="8"/>
        <v>АСУЭ.FB_IM_ADES_S.CEON</v>
      </c>
      <c r="B114" s="64">
        <v>11000</v>
      </c>
      <c r="C114" s="64" t="s">
        <v>5</v>
      </c>
      <c r="D114" s="65">
        <v>2147483680</v>
      </c>
      <c r="BK114" s="4"/>
      <c r="BL114" s="4"/>
      <c r="BM114" s="4"/>
      <c r="BN114" s="4"/>
    </row>
    <row r="115" spans="1:66" ht="15" customHeight="1">
      <c r="A115" s="19" t="str">
        <f t="shared" si="8"/>
        <v>АСУЭ.FB_IM_ADES_S.CEON</v>
      </c>
      <c r="B115" s="11">
        <v>7999</v>
      </c>
      <c r="C115" s="11" t="s">
        <v>0</v>
      </c>
      <c r="D115" s="20" t="str">
        <f>"#"&amp;$S$2&amp;"#"&amp;$T$2&amp;"\"&amp;$P$2&amp;"\CEON"</f>
        <v>#1#treiOPCDA.CoOPCserv.1\pcmaster\S_IM_ADES\CEON</v>
      </c>
      <c r="BK115" s="4"/>
      <c r="BL115" s="4"/>
      <c r="BM115" s="4"/>
      <c r="BN115" s="4"/>
    </row>
    <row r="116" spans="1:66" ht="15" customHeight="1">
      <c r="A116" s="19" t="str">
        <f t="shared" si="8"/>
        <v>АСУЭ.FB_IM_ADES_S.CEON</v>
      </c>
      <c r="B116" s="11">
        <v>7998</v>
      </c>
      <c r="C116" s="11" t="s">
        <v>6</v>
      </c>
      <c r="D116" s="20">
        <v>1</v>
      </c>
      <c r="BK116" s="4"/>
      <c r="BL116" s="4"/>
      <c r="BM116" s="4"/>
      <c r="BN116" s="4"/>
    </row>
    <row r="117" spans="1:66" ht="15" customHeight="1">
      <c r="A117" s="19" t="str">
        <f t="shared" si="8"/>
        <v>АСУЭ.FB_IM_ADES_S.CEON</v>
      </c>
      <c r="B117" s="11">
        <v>101</v>
      </c>
      <c r="C117" s="11" t="s">
        <v>0</v>
      </c>
      <c r="D117" s="20" t="s">
        <v>1835</v>
      </c>
      <c r="BK117" s="4"/>
      <c r="BL117" s="4"/>
      <c r="BM117" s="4"/>
      <c r="BN117" s="4"/>
    </row>
    <row r="118" spans="1:66" ht="15" customHeight="1">
      <c r="A118" s="19" t="str">
        <f t="shared" si="8"/>
        <v>АСУЭ.FB_IM_ADES_S.CEON</v>
      </c>
      <c r="B118" s="11">
        <v>3</v>
      </c>
      <c r="C118" s="11" t="s">
        <v>1</v>
      </c>
      <c r="D118" s="20">
        <v>192</v>
      </c>
      <c r="BK118" s="4"/>
      <c r="BL118" s="4"/>
      <c r="BM118" s="4"/>
      <c r="BN118" s="4"/>
    </row>
    <row r="119" spans="1:66" ht="15" customHeight="1">
      <c r="A119" s="19" t="str">
        <f t="shared" si="8"/>
        <v>АСУЭ.FB_IM_ADES_S.CEON</v>
      </c>
      <c r="B119" s="11">
        <v>2</v>
      </c>
      <c r="C119" s="11" t="s">
        <v>2</v>
      </c>
      <c r="D119" s="20" t="s">
        <v>3</v>
      </c>
      <c r="BK119" s="4"/>
      <c r="BL119" s="4"/>
      <c r="BM119" s="4"/>
      <c r="BN119" s="4"/>
    </row>
    <row r="120" spans="1:66" ht="15" customHeight="1">
      <c r="A120" s="21" t="str">
        <f t="shared" si="8"/>
        <v>АСУЭ.FB_IM_ADES_S.CEON</v>
      </c>
      <c r="B120" s="8">
        <v>1</v>
      </c>
      <c r="C120" s="8" t="s">
        <v>1</v>
      </c>
      <c r="D120" s="22">
        <v>11</v>
      </c>
      <c r="BK120" s="4"/>
      <c r="BL120" s="4"/>
      <c r="BM120" s="4"/>
      <c r="BN120" s="4"/>
    </row>
    <row r="121" spans="1:66" ht="15" customHeight="1">
      <c r="A121" s="69" t="str">
        <f t="shared" ref="A121:A130" si="9">$R$2&amp;".CEOF"</f>
        <v>АСУЭ.FB_IM_ADES_S.CEOF</v>
      </c>
      <c r="B121" s="70">
        <v>11154</v>
      </c>
      <c r="C121" s="70" t="s">
        <v>4</v>
      </c>
      <c r="D121" s="144">
        <f>$Q$6</f>
        <v>8</v>
      </c>
      <c r="BK121" s="4"/>
      <c r="BL121" s="4"/>
      <c r="BM121" s="4"/>
      <c r="BN121" s="4"/>
    </row>
    <row r="122" spans="1:66" ht="15" customHeight="1">
      <c r="A122" s="63" t="str">
        <f t="shared" si="9"/>
        <v>АСУЭ.FB_IM_ADES_S.CEOF</v>
      </c>
      <c r="B122" s="64">
        <v>11150</v>
      </c>
      <c r="C122" s="64" t="s">
        <v>0</v>
      </c>
      <c r="D122" s="65" t="s">
        <v>1836</v>
      </c>
      <c r="BK122" s="4"/>
      <c r="BL122" s="4"/>
      <c r="BM122" s="4"/>
      <c r="BN122" s="4"/>
    </row>
    <row r="123" spans="1:66" ht="15" customHeight="1">
      <c r="A123" s="63" t="str">
        <f t="shared" si="9"/>
        <v>АСУЭ.FB_IM_ADES_S.CEOF</v>
      </c>
      <c r="B123" s="64">
        <v>11152</v>
      </c>
      <c r="C123" s="64" t="s">
        <v>0</v>
      </c>
      <c r="D123" s="99" t="str">
        <f>$R$6</f>
        <v>Предупреждение</v>
      </c>
      <c r="BK123" s="4"/>
      <c r="BL123" s="4"/>
      <c r="BM123" s="4"/>
      <c r="BN123" s="4"/>
    </row>
    <row r="124" spans="1:66" ht="15" customHeight="1">
      <c r="A124" s="63" t="str">
        <f t="shared" si="9"/>
        <v>АСУЭ.FB_IM_ADES_S.CEOF</v>
      </c>
      <c r="B124" s="64">
        <v>11000</v>
      </c>
      <c r="C124" s="64" t="s">
        <v>5</v>
      </c>
      <c r="D124" s="65">
        <v>2147483680</v>
      </c>
      <c r="BK124" s="4"/>
      <c r="BL124" s="4"/>
      <c r="BM124" s="4"/>
      <c r="BN124" s="4"/>
    </row>
    <row r="125" spans="1:66" ht="15" customHeight="1">
      <c r="A125" s="19" t="str">
        <f t="shared" si="9"/>
        <v>АСУЭ.FB_IM_ADES_S.CEOF</v>
      </c>
      <c r="B125" s="11">
        <v>7999</v>
      </c>
      <c r="C125" s="11" t="s">
        <v>0</v>
      </c>
      <c r="D125" s="20" t="str">
        <f>"#"&amp;$S$2&amp;"#"&amp;$T$2&amp;"\"&amp;$P$2&amp;"\CEOF"</f>
        <v>#1#treiOPCDA.CoOPCserv.1\pcmaster\S_IM_ADES\CEOF</v>
      </c>
      <c r="BK125" s="4"/>
      <c r="BL125" s="4"/>
      <c r="BM125" s="4"/>
      <c r="BN125" s="4"/>
    </row>
    <row r="126" spans="1:66" ht="15" customHeight="1">
      <c r="A126" s="19" t="str">
        <f t="shared" si="9"/>
        <v>АСУЭ.FB_IM_ADES_S.CEOF</v>
      </c>
      <c r="B126" s="11">
        <v>7998</v>
      </c>
      <c r="C126" s="11" t="s">
        <v>6</v>
      </c>
      <c r="D126" s="20">
        <v>1</v>
      </c>
      <c r="BK126" s="4"/>
      <c r="BL126" s="4"/>
      <c r="BM126" s="4"/>
      <c r="BN126" s="4"/>
    </row>
    <row r="127" spans="1:66" ht="15" customHeight="1">
      <c r="A127" s="19" t="str">
        <f t="shared" si="9"/>
        <v>АСУЭ.FB_IM_ADES_S.CEOF</v>
      </c>
      <c r="B127" s="11">
        <v>101</v>
      </c>
      <c r="C127" s="11" t="s">
        <v>0</v>
      </c>
      <c r="D127" s="20" t="s">
        <v>1836</v>
      </c>
      <c r="BK127" s="4"/>
      <c r="BL127" s="4"/>
      <c r="BM127" s="4"/>
      <c r="BN127" s="4"/>
    </row>
    <row r="128" spans="1:66" ht="15" customHeight="1">
      <c r="A128" s="19" t="str">
        <f t="shared" si="9"/>
        <v>АСУЭ.FB_IM_ADES_S.CEOF</v>
      </c>
      <c r="B128" s="11">
        <v>3</v>
      </c>
      <c r="C128" s="11" t="s">
        <v>1</v>
      </c>
      <c r="D128" s="20">
        <v>192</v>
      </c>
      <c r="BK128" s="4"/>
      <c r="BL128" s="4"/>
      <c r="BM128" s="4"/>
      <c r="BN128" s="4"/>
    </row>
    <row r="129" spans="1:66" ht="15" customHeight="1">
      <c r="A129" s="19" t="str">
        <f t="shared" si="9"/>
        <v>АСУЭ.FB_IM_ADES_S.CEOF</v>
      </c>
      <c r="B129" s="11">
        <v>2</v>
      </c>
      <c r="C129" s="11" t="s">
        <v>2</v>
      </c>
      <c r="D129" s="20" t="s">
        <v>3</v>
      </c>
      <c r="BK129" s="4"/>
      <c r="BL129" s="4"/>
      <c r="BM129" s="4"/>
      <c r="BN129" s="4"/>
    </row>
    <row r="130" spans="1:66" ht="15" customHeight="1">
      <c r="A130" s="21" t="str">
        <f t="shared" si="9"/>
        <v>АСУЭ.FB_IM_ADES_S.CEOF</v>
      </c>
      <c r="B130" s="8">
        <v>1</v>
      </c>
      <c r="C130" s="8" t="s">
        <v>1</v>
      </c>
      <c r="D130" s="22">
        <v>11</v>
      </c>
      <c r="BK130" s="4"/>
      <c r="BL130" s="4"/>
      <c r="BM130" s="4"/>
      <c r="BN130" s="4"/>
    </row>
    <row r="131" spans="1:66" ht="15" customHeight="1">
      <c r="A131" s="69" t="str">
        <f t="shared" ref="A131:A134" si="10">$R$2&amp;".CBON"</f>
        <v>АСУЭ.FB_IM_ADES_S.CBON</v>
      </c>
      <c r="B131" s="70">
        <v>11154</v>
      </c>
      <c r="C131" s="70" t="s">
        <v>4</v>
      </c>
      <c r="D131" s="144">
        <f>$Q$6</f>
        <v>8</v>
      </c>
      <c r="BK131" s="4"/>
      <c r="BL131" s="4"/>
      <c r="BM131" s="4"/>
      <c r="BN131" s="4"/>
    </row>
    <row r="132" spans="1:66" ht="15" customHeight="1">
      <c r="A132" s="63" t="str">
        <f t="shared" si="10"/>
        <v>АСУЭ.FB_IM_ADES_S.CBON</v>
      </c>
      <c r="B132" s="64">
        <v>11150</v>
      </c>
      <c r="C132" s="64" t="s">
        <v>0</v>
      </c>
      <c r="D132" s="65" t="s">
        <v>1837</v>
      </c>
      <c r="BK132" s="4"/>
      <c r="BL132" s="4"/>
      <c r="BM132" s="4"/>
      <c r="BN132" s="4"/>
    </row>
    <row r="133" spans="1:66" ht="15" customHeight="1">
      <c r="A133" s="63" t="str">
        <f t="shared" si="10"/>
        <v>АСУЭ.FB_IM_ADES_S.CBON</v>
      </c>
      <c r="B133" s="64">
        <v>11152</v>
      </c>
      <c r="C133" s="64" t="s">
        <v>0</v>
      </c>
      <c r="D133" s="99" t="str">
        <f>$R$6</f>
        <v>Предупреждение</v>
      </c>
      <c r="BK133" s="4"/>
      <c r="BL133" s="4"/>
      <c r="BM133" s="4"/>
      <c r="BN133" s="4"/>
    </row>
    <row r="134" spans="1:66" ht="15" customHeight="1">
      <c r="A134" s="63" t="str">
        <f t="shared" si="10"/>
        <v>АСУЭ.FB_IM_ADES_S.CBON</v>
      </c>
      <c r="B134" s="64">
        <v>11000</v>
      </c>
      <c r="C134" s="64" t="s">
        <v>5</v>
      </c>
      <c r="D134" s="65">
        <v>2147483680</v>
      </c>
      <c r="BK134" s="4"/>
      <c r="BL134" s="4"/>
      <c r="BM134" s="4"/>
      <c r="BN134" s="4"/>
    </row>
    <row r="135" spans="1:66" ht="15" customHeight="1">
      <c r="A135" s="19" t="str">
        <f t="shared" ref="A135:A140" si="11">$R$2&amp;".CBON"</f>
        <v>АСУЭ.FB_IM_ADES_S.CBON</v>
      </c>
      <c r="B135" s="11">
        <v>7999</v>
      </c>
      <c r="C135" s="11" t="s">
        <v>0</v>
      </c>
      <c r="D135" s="20" t="str">
        <f>"#"&amp;$S$2&amp;"#"&amp;$T$2&amp;"\"&amp;$P$2&amp;"\CBON"</f>
        <v>#1#treiOPCDA.CoOPCserv.1\pcmaster\S_IM_ADES\CBON</v>
      </c>
      <c r="BK135" s="4"/>
      <c r="BL135" s="4"/>
      <c r="BM135" s="4"/>
      <c r="BN135" s="4"/>
    </row>
    <row r="136" spans="1:66" ht="15" customHeight="1">
      <c r="A136" s="19" t="str">
        <f t="shared" si="11"/>
        <v>АСУЭ.FB_IM_ADES_S.CBON</v>
      </c>
      <c r="B136" s="11">
        <v>7998</v>
      </c>
      <c r="C136" s="11" t="s">
        <v>6</v>
      </c>
      <c r="D136" s="20">
        <v>1</v>
      </c>
      <c r="BK136" s="4"/>
      <c r="BL136" s="4"/>
      <c r="BM136" s="4"/>
      <c r="BN136" s="4"/>
    </row>
    <row r="137" spans="1:66" ht="15" customHeight="1">
      <c r="A137" s="19" t="str">
        <f t="shared" si="11"/>
        <v>АСУЭ.FB_IM_ADES_S.CBON</v>
      </c>
      <c r="B137" s="11">
        <v>101</v>
      </c>
      <c r="C137" s="11" t="s">
        <v>0</v>
      </c>
      <c r="D137" s="20" t="s">
        <v>1837</v>
      </c>
      <c r="BK137" s="4"/>
      <c r="BL137" s="4"/>
      <c r="BM137" s="4"/>
      <c r="BN137" s="4"/>
    </row>
    <row r="138" spans="1:66" ht="15" customHeight="1">
      <c r="A138" s="19" t="str">
        <f t="shared" si="11"/>
        <v>АСУЭ.FB_IM_ADES_S.CBON</v>
      </c>
      <c r="B138" s="11">
        <v>3</v>
      </c>
      <c r="C138" s="11" t="s">
        <v>1</v>
      </c>
      <c r="D138" s="20">
        <v>192</v>
      </c>
      <c r="BK138" s="4"/>
      <c r="BL138" s="4"/>
      <c r="BM138" s="4"/>
      <c r="BN138" s="4"/>
    </row>
    <row r="139" spans="1:66" ht="15" customHeight="1">
      <c r="A139" s="19" t="str">
        <f t="shared" si="11"/>
        <v>АСУЭ.FB_IM_ADES_S.CBON</v>
      </c>
      <c r="B139" s="11">
        <v>2</v>
      </c>
      <c r="C139" s="11" t="s">
        <v>2</v>
      </c>
      <c r="D139" s="20" t="s">
        <v>3</v>
      </c>
      <c r="BK139" s="4"/>
      <c r="BL139" s="4"/>
      <c r="BM139" s="4"/>
      <c r="BN139" s="4"/>
    </row>
    <row r="140" spans="1:66" ht="15" customHeight="1">
      <c r="A140" s="21" t="str">
        <f t="shared" si="11"/>
        <v>АСУЭ.FB_IM_ADES_S.CBON</v>
      </c>
      <c r="B140" s="8">
        <v>1</v>
      </c>
      <c r="C140" s="8" t="s">
        <v>1</v>
      </c>
      <c r="D140" s="22">
        <v>11</v>
      </c>
      <c r="BK140" s="4"/>
      <c r="BL140" s="4"/>
      <c r="BM140" s="4"/>
      <c r="BN140" s="4"/>
    </row>
    <row r="141" spans="1:66" ht="15" customHeight="1">
      <c r="A141" s="69" t="str">
        <f t="shared" ref="A141:A145" si="12">$R$2&amp;".CBOF"</f>
        <v>АСУЭ.FB_IM_ADES_S.CBOF</v>
      </c>
      <c r="B141" s="70">
        <v>11154</v>
      </c>
      <c r="C141" s="70" t="s">
        <v>4</v>
      </c>
      <c r="D141" s="144">
        <f>$Q$6</f>
        <v>8</v>
      </c>
      <c r="BK141" s="4"/>
      <c r="BL141" s="4"/>
      <c r="BM141" s="4"/>
      <c r="BN141" s="4"/>
    </row>
    <row r="142" spans="1:66" ht="15" customHeight="1">
      <c r="A142" s="63" t="str">
        <f t="shared" si="12"/>
        <v>АСУЭ.FB_IM_ADES_S.CBOF</v>
      </c>
      <c r="B142" s="64">
        <v>11150</v>
      </c>
      <c r="C142" s="64" t="s">
        <v>0</v>
      </c>
      <c r="D142" s="65" t="s">
        <v>1838</v>
      </c>
      <c r="BK142" s="4"/>
      <c r="BL142" s="4"/>
      <c r="BM142" s="4"/>
      <c r="BN142" s="4"/>
    </row>
    <row r="143" spans="1:66" ht="15" customHeight="1">
      <c r="A143" s="63" t="str">
        <f t="shared" si="12"/>
        <v>АСУЭ.FB_IM_ADES_S.CBOF</v>
      </c>
      <c r="B143" s="64">
        <v>11152</v>
      </c>
      <c r="C143" s="64" t="s">
        <v>0</v>
      </c>
      <c r="D143" s="99" t="str">
        <f>$R$6</f>
        <v>Предупреждение</v>
      </c>
      <c r="BK143" s="4"/>
      <c r="BL143" s="4"/>
      <c r="BM143" s="4"/>
      <c r="BN143" s="4"/>
    </row>
    <row r="144" spans="1:66" ht="15" customHeight="1">
      <c r="A144" s="63" t="str">
        <f t="shared" si="12"/>
        <v>АСУЭ.FB_IM_ADES_S.CBOF</v>
      </c>
      <c r="B144" s="64">
        <v>11000</v>
      </c>
      <c r="C144" s="64" t="s">
        <v>5</v>
      </c>
      <c r="D144" s="65">
        <v>2147483680</v>
      </c>
      <c r="BK144" s="4"/>
      <c r="BL144" s="4"/>
      <c r="BM144" s="4"/>
      <c r="BN144" s="4"/>
    </row>
    <row r="145" spans="1:66" ht="15" customHeight="1">
      <c r="A145" s="19" t="str">
        <f t="shared" si="12"/>
        <v>АСУЭ.FB_IM_ADES_S.CBOF</v>
      </c>
      <c r="B145" s="11">
        <v>7999</v>
      </c>
      <c r="C145" s="11" t="s">
        <v>0</v>
      </c>
      <c r="D145" s="20" t="str">
        <f>"#"&amp;$S$2&amp;"#"&amp;$T$2&amp;"\"&amp;$P$2&amp;"\CBOF"</f>
        <v>#1#treiOPCDA.CoOPCserv.1\pcmaster\S_IM_ADES\CBOF</v>
      </c>
      <c r="BK145" s="4"/>
      <c r="BL145" s="4"/>
      <c r="BM145" s="4"/>
      <c r="BN145" s="4"/>
    </row>
    <row r="146" spans="1:66" ht="15" customHeight="1">
      <c r="A146" s="19" t="str">
        <f t="shared" ref="A146:A150" si="13">$R$2&amp;".CBOF"</f>
        <v>АСУЭ.FB_IM_ADES_S.CBOF</v>
      </c>
      <c r="B146" s="11">
        <v>7998</v>
      </c>
      <c r="C146" s="11" t="s">
        <v>6</v>
      </c>
      <c r="D146" s="20">
        <v>1</v>
      </c>
      <c r="BK146" s="4"/>
      <c r="BL146" s="4"/>
      <c r="BM146" s="4"/>
      <c r="BN146" s="4"/>
    </row>
    <row r="147" spans="1:66" ht="15" customHeight="1">
      <c r="A147" s="19" t="str">
        <f t="shared" si="13"/>
        <v>АСУЭ.FB_IM_ADES_S.CBOF</v>
      </c>
      <c r="B147" s="11">
        <v>101</v>
      </c>
      <c r="C147" s="11" t="s">
        <v>0</v>
      </c>
      <c r="D147" s="20" t="s">
        <v>1838</v>
      </c>
      <c r="BK147" s="4"/>
      <c r="BL147" s="4"/>
      <c r="BM147" s="4"/>
      <c r="BN147" s="4"/>
    </row>
    <row r="148" spans="1:66" ht="15" customHeight="1">
      <c r="A148" s="19" t="str">
        <f t="shared" si="13"/>
        <v>АСУЭ.FB_IM_ADES_S.CBOF</v>
      </c>
      <c r="B148" s="11">
        <v>3</v>
      </c>
      <c r="C148" s="11" t="s">
        <v>1</v>
      </c>
      <c r="D148" s="20">
        <v>192</v>
      </c>
      <c r="BK148" s="4"/>
      <c r="BL148" s="4"/>
      <c r="BM148" s="4"/>
      <c r="BN148" s="4"/>
    </row>
    <row r="149" spans="1:66" ht="15" customHeight="1">
      <c r="A149" s="19" t="str">
        <f t="shared" si="13"/>
        <v>АСУЭ.FB_IM_ADES_S.CBOF</v>
      </c>
      <c r="B149" s="11">
        <v>2</v>
      </c>
      <c r="C149" s="11" t="s">
        <v>2</v>
      </c>
      <c r="D149" s="20" t="s">
        <v>3</v>
      </c>
      <c r="BK149" s="4"/>
      <c r="BL149" s="4"/>
      <c r="BM149" s="4"/>
      <c r="BN149" s="4"/>
    </row>
    <row r="150" spans="1:66" ht="15" customHeight="1">
      <c r="A150" s="21" t="str">
        <f t="shared" si="13"/>
        <v>АСУЭ.FB_IM_ADES_S.CBOF</v>
      </c>
      <c r="B150" s="8">
        <v>1</v>
      </c>
      <c r="C150" s="8" t="s">
        <v>1</v>
      </c>
      <c r="D150" s="22">
        <v>11</v>
      </c>
      <c r="BK150" s="4"/>
      <c r="BL150" s="4"/>
      <c r="BM150" s="4"/>
      <c r="BN150" s="4"/>
    </row>
    <row r="151" spans="1:66" ht="16.5" customHeight="1">
      <c r="A151" s="217" t="str">
        <f t="shared" ref="A151:A160" si="14">$R$2&amp;".IFXX"</f>
        <v>АСУЭ.FB_IM_ADES_S.IFXX</v>
      </c>
      <c r="B151" s="218">
        <v>11154</v>
      </c>
      <c r="C151" s="218" t="s">
        <v>4</v>
      </c>
      <c r="D151" s="219">
        <f>$Q$7</f>
        <v>12</v>
      </c>
      <c r="BK151" s="4"/>
      <c r="BL151" s="4"/>
      <c r="BM151" s="4"/>
      <c r="BN151" s="4"/>
    </row>
    <row r="152" spans="1:66" ht="15" customHeight="1">
      <c r="A152" s="211" t="str">
        <f t="shared" si="14"/>
        <v>АСУЭ.FB_IM_ADES_S.IFXX</v>
      </c>
      <c r="B152" s="212">
        <v>11150</v>
      </c>
      <c r="C152" s="212" t="s">
        <v>0</v>
      </c>
      <c r="D152" s="213" t="s">
        <v>110</v>
      </c>
      <c r="BK152" s="4"/>
      <c r="BL152" s="4"/>
      <c r="BM152" s="4"/>
      <c r="BN152" s="4"/>
    </row>
    <row r="153" spans="1:66" ht="15" customHeight="1">
      <c r="A153" s="211" t="str">
        <f t="shared" si="14"/>
        <v>АСУЭ.FB_IM_ADES_S.IFXX</v>
      </c>
      <c r="B153" s="212">
        <v>11152</v>
      </c>
      <c r="C153" s="212" t="s">
        <v>0</v>
      </c>
      <c r="D153" s="220" t="str">
        <f>$R$7</f>
        <v>Неисправность</v>
      </c>
      <c r="BK153" s="4"/>
      <c r="BL153" s="4"/>
      <c r="BM153" s="4"/>
      <c r="BN153" s="4"/>
    </row>
    <row r="154" spans="1:66" ht="15" customHeight="1">
      <c r="A154" s="211" t="str">
        <f t="shared" si="14"/>
        <v>АСУЭ.FB_IM_ADES_S.IFXX</v>
      </c>
      <c r="B154" s="212">
        <v>11000</v>
      </c>
      <c r="C154" s="212" t="s">
        <v>5</v>
      </c>
      <c r="D154" s="213">
        <v>2147483680</v>
      </c>
      <c r="BK154" s="4"/>
      <c r="BL154" s="4"/>
      <c r="BM154" s="4"/>
      <c r="BN154" s="4"/>
    </row>
    <row r="155" spans="1:66" ht="15" customHeight="1">
      <c r="A155" s="19" t="str">
        <f t="shared" si="14"/>
        <v>АСУЭ.FB_IM_ADES_S.IFXX</v>
      </c>
      <c r="B155" s="11">
        <v>7999</v>
      </c>
      <c r="C155" s="11" t="s">
        <v>0</v>
      </c>
      <c r="D155" s="20" t="str">
        <f>"#"&amp;$S$2&amp;"#"&amp;$T$2&amp;"\"&amp;$P$2&amp;"\IFXX"</f>
        <v>#1#treiOPCDA.CoOPCserv.1\pcmaster\S_IM_ADES\IFXX</v>
      </c>
      <c r="BK155" s="4"/>
      <c r="BL155" s="4"/>
      <c r="BM155" s="4"/>
      <c r="BN155" s="4"/>
    </row>
    <row r="156" spans="1:66" ht="15" customHeight="1">
      <c r="A156" s="19" t="str">
        <f t="shared" si="14"/>
        <v>АСУЭ.FB_IM_ADES_S.IFXX</v>
      </c>
      <c r="B156" s="11">
        <v>7998</v>
      </c>
      <c r="C156" s="11" t="s">
        <v>6</v>
      </c>
      <c r="D156" s="20">
        <v>1</v>
      </c>
      <c r="BK156" s="4"/>
      <c r="BL156" s="4"/>
      <c r="BM156" s="4"/>
      <c r="BN156" s="4"/>
    </row>
    <row r="157" spans="1:66" ht="15" customHeight="1">
      <c r="A157" s="19" t="str">
        <f t="shared" si="14"/>
        <v>АСУЭ.FB_IM_ADES_S.IFXX</v>
      </c>
      <c r="B157" s="11">
        <v>101</v>
      </c>
      <c r="C157" s="11" t="s">
        <v>0</v>
      </c>
      <c r="D157" s="20" t="s">
        <v>176</v>
      </c>
      <c r="BK157" s="4"/>
      <c r="BL157" s="4"/>
      <c r="BM157" s="4"/>
      <c r="BN157" s="4"/>
    </row>
    <row r="158" spans="1:66" ht="15" customHeight="1">
      <c r="A158" s="19" t="str">
        <f t="shared" si="14"/>
        <v>АСУЭ.FB_IM_ADES_S.IFXX</v>
      </c>
      <c r="B158" s="11">
        <v>3</v>
      </c>
      <c r="C158" s="11" t="s">
        <v>1</v>
      </c>
      <c r="D158" s="20">
        <v>192</v>
      </c>
      <c r="BK158" s="4"/>
      <c r="BL158" s="4"/>
      <c r="BM158" s="4"/>
      <c r="BN158" s="4"/>
    </row>
    <row r="159" spans="1:66" ht="15" customHeight="1">
      <c r="A159" s="19" t="str">
        <f t="shared" si="14"/>
        <v>АСУЭ.FB_IM_ADES_S.IFXX</v>
      </c>
      <c r="B159" s="11">
        <v>2</v>
      </c>
      <c r="C159" s="11" t="s">
        <v>2</v>
      </c>
      <c r="D159" s="20" t="s">
        <v>3</v>
      </c>
      <c r="BK159" s="4"/>
      <c r="BL159" s="4"/>
      <c r="BM159" s="4"/>
      <c r="BN159" s="4"/>
    </row>
    <row r="160" spans="1:66" ht="15" customHeight="1">
      <c r="A160" s="21" t="str">
        <f t="shared" si="14"/>
        <v>АСУЭ.FB_IM_ADES_S.IFXX</v>
      </c>
      <c r="B160" s="8">
        <v>1</v>
      </c>
      <c r="C160" s="8" t="s">
        <v>1</v>
      </c>
      <c r="D160" s="22">
        <v>11</v>
      </c>
      <c r="BK160" s="4"/>
      <c r="BL160" s="4"/>
      <c r="BM160" s="4"/>
      <c r="BN160" s="4"/>
    </row>
    <row r="161" spans="1:66" ht="15" customHeight="1">
      <c r="A161" s="217" t="str">
        <f t="shared" ref="A161:A170" si="15">$R$2&amp;".FONX"</f>
        <v>АСУЭ.FB_IM_ADES_S.FONX</v>
      </c>
      <c r="B161" s="218">
        <v>11154</v>
      </c>
      <c r="C161" s="218" t="s">
        <v>4</v>
      </c>
      <c r="D161" s="219">
        <f>$Q$7</f>
        <v>12</v>
      </c>
      <c r="BK161" s="4"/>
      <c r="BL161" s="4"/>
      <c r="BM161" s="4"/>
      <c r="BN161" s="4"/>
    </row>
    <row r="162" spans="1:66" ht="15" customHeight="1">
      <c r="A162" s="211" t="str">
        <f t="shared" si="15"/>
        <v>АСУЭ.FB_IM_ADES_S.FONX</v>
      </c>
      <c r="B162" s="212">
        <v>11150</v>
      </c>
      <c r="C162" s="212" t="s">
        <v>0</v>
      </c>
      <c r="D162" s="213" t="s">
        <v>506</v>
      </c>
      <c r="BK162" s="4"/>
      <c r="BL162" s="4"/>
      <c r="BM162" s="4"/>
      <c r="BN162" s="4"/>
    </row>
    <row r="163" spans="1:66" ht="15" customHeight="1">
      <c r="A163" s="211" t="str">
        <f t="shared" si="15"/>
        <v>АСУЭ.FB_IM_ADES_S.FONX</v>
      </c>
      <c r="B163" s="212">
        <v>11152</v>
      </c>
      <c r="C163" s="212" t="s">
        <v>0</v>
      </c>
      <c r="D163" s="220" t="str">
        <f>$R$7</f>
        <v>Неисправность</v>
      </c>
      <c r="BK163" s="4"/>
      <c r="BL163" s="4"/>
      <c r="BM163" s="4"/>
      <c r="BN163" s="4"/>
    </row>
    <row r="164" spans="1:66" ht="15" customHeight="1">
      <c r="A164" s="211" t="str">
        <f t="shared" si="15"/>
        <v>АСУЭ.FB_IM_ADES_S.FONX</v>
      </c>
      <c r="B164" s="212">
        <v>11000</v>
      </c>
      <c r="C164" s="212" t="s">
        <v>5</v>
      </c>
      <c r="D164" s="213">
        <v>2147483680</v>
      </c>
      <c r="BK164" s="4"/>
      <c r="BL164" s="4"/>
      <c r="BM164" s="4"/>
      <c r="BN164" s="4"/>
    </row>
    <row r="165" spans="1:66" ht="15" customHeight="1">
      <c r="A165" s="19" t="str">
        <f t="shared" si="15"/>
        <v>АСУЭ.FB_IM_ADES_S.FONX</v>
      </c>
      <c r="B165" s="11">
        <v>7999</v>
      </c>
      <c r="C165" s="11" t="s">
        <v>0</v>
      </c>
      <c r="D165" s="20" t="str">
        <f>"#"&amp;$S$2&amp;"#"&amp;$T$2&amp;"\"&amp;$P$2&amp;"\FONX"</f>
        <v>#1#treiOPCDA.CoOPCserv.1\pcmaster\S_IM_ADES\FONX</v>
      </c>
      <c r="BK165" s="4"/>
      <c r="BL165" s="4"/>
      <c r="BM165" s="4"/>
      <c r="BN165" s="4"/>
    </row>
    <row r="166" spans="1:66" ht="15" customHeight="1">
      <c r="A166" s="19" t="str">
        <f t="shared" si="15"/>
        <v>АСУЭ.FB_IM_ADES_S.FONX</v>
      </c>
      <c r="B166" s="11">
        <v>7998</v>
      </c>
      <c r="C166" s="11" t="s">
        <v>6</v>
      </c>
      <c r="D166" s="20">
        <v>1</v>
      </c>
      <c r="BK166" s="4"/>
      <c r="BL166" s="4"/>
      <c r="BM166" s="4"/>
      <c r="BN166" s="4"/>
    </row>
    <row r="167" spans="1:66" ht="15" customHeight="1">
      <c r="A167" s="19" t="str">
        <f t="shared" si="15"/>
        <v>АСУЭ.FB_IM_ADES_S.FONX</v>
      </c>
      <c r="B167" s="11">
        <v>101</v>
      </c>
      <c r="C167" s="11" t="s">
        <v>0</v>
      </c>
      <c r="D167" s="20" t="s">
        <v>506</v>
      </c>
      <c r="BK167" s="4"/>
      <c r="BL167" s="4"/>
      <c r="BM167" s="4"/>
      <c r="BN167" s="4"/>
    </row>
    <row r="168" spans="1:66" ht="15" customHeight="1">
      <c r="A168" s="19" t="str">
        <f t="shared" si="15"/>
        <v>АСУЭ.FB_IM_ADES_S.FONX</v>
      </c>
      <c r="B168" s="11">
        <v>3</v>
      </c>
      <c r="C168" s="11" t="s">
        <v>1</v>
      </c>
      <c r="D168" s="20">
        <v>192</v>
      </c>
      <c r="BK168" s="4"/>
      <c r="BL168" s="4"/>
      <c r="BM168" s="4"/>
      <c r="BN168" s="4"/>
    </row>
    <row r="169" spans="1:66" ht="15" customHeight="1">
      <c r="A169" s="19" t="str">
        <f t="shared" si="15"/>
        <v>АСУЭ.FB_IM_ADES_S.FONX</v>
      </c>
      <c r="B169" s="11">
        <v>2</v>
      </c>
      <c r="C169" s="11" t="s">
        <v>2</v>
      </c>
      <c r="D169" s="20" t="s">
        <v>3</v>
      </c>
      <c r="BK169" s="4"/>
      <c r="BL169" s="4"/>
      <c r="BM169" s="4"/>
      <c r="BN169" s="4"/>
    </row>
    <row r="170" spans="1:66" ht="15" customHeight="1">
      <c r="A170" s="21" t="str">
        <f t="shared" si="15"/>
        <v>АСУЭ.FB_IM_ADES_S.FONX</v>
      </c>
      <c r="B170" s="8">
        <v>1</v>
      </c>
      <c r="C170" s="8" t="s">
        <v>1</v>
      </c>
      <c r="D170" s="22">
        <v>11</v>
      </c>
      <c r="BK170" s="4"/>
      <c r="BL170" s="4"/>
      <c r="BM170" s="4"/>
      <c r="BN170" s="4"/>
    </row>
    <row r="171" spans="1:66" ht="15" customHeight="1">
      <c r="A171" s="217" t="str">
        <f t="shared" ref="A171:A180" si="16">$R$2&amp;".FOFX"</f>
        <v>АСУЭ.FB_IM_ADES_S.FOFX</v>
      </c>
      <c r="B171" s="218">
        <v>11154</v>
      </c>
      <c r="C171" s="218" t="s">
        <v>4</v>
      </c>
      <c r="D171" s="219">
        <f>$Q$7</f>
        <v>12</v>
      </c>
      <c r="BK171" s="4"/>
      <c r="BL171" s="4"/>
      <c r="BM171" s="4"/>
      <c r="BN171" s="4"/>
    </row>
    <row r="172" spans="1:66" ht="15" customHeight="1">
      <c r="A172" s="211" t="str">
        <f t="shared" si="16"/>
        <v>АСУЭ.FB_IM_ADES_S.FOFX</v>
      </c>
      <c r="B172" s="212">
        <v>11150</v>
      </c>
      <c r="C172" s="212" t="s">
        <v>0</v>
      </c>
      <c r="D172" s="213" t="s">
        <v>507</v>
      </c>
      <c r="BK172" s="4"/>
      <c r="BL172" s="4"/>
      <c r="BM172" s="4"/>
      <c r="BN172" s="4"/>
    </row>
    <row r="173" spans="1:66" ht="15" customHeight="1">
      <c r="A173" s="211" t="str">
        <f t="shared" si="16"/>
        <v>АСУЭ.FB_IM_ADES_S.FOFX</v>
      </c>
      <c r="B173" s="212">
        <v>11152</v>
      </c>
      <c r="C173" s="212" t="s">
        <v>0</v>
      </c>
      <c r="D173" s="220" t="str">
        <f>$R$7</f>
        <v>Неисправность</v>
      </c>
      <c r="BK173" s="4"/>
      <c r="BL173" s="4"/>
      <c r="BM173" s="4"/>
      <c r="BN173" s="4"/>
    </row>
    <row r="174" spans="1:66" ht="15" customHeight="1">
      <c r="A174" s="211" t="str">
        <f t="shared" si="16"/>
        <v>АСУЭ.FB_IM_ADES_S.FOFX</v>
      </c>
      <c r="B174" s="212">
        <v>11000</v>
      </c>
      <c r="C174" s="212" t="s">
        <v>5</v>
      </c>
      <c r="D174" s="213">
        <v>2147483680</v>
      </c>
      <c r="BK174" s="4"/>
      <c r="BL174" s="4"/>
      <c r="BM174" s="4"/>
      <c r="BN174" s="4"/>
    </row>
    <row r="175" spans="1:66" ht="15" customHeight="1">
      <c r="A175" s="19" t="str">
        <f t="shared" si="16"/>
        <v>АСУЭ.FB_IM_ADES_S.FOFX</v>
      </c>
      <c r="B175" s="11">
        <v>7999</v>
      </c>
      <c r="C175" s="11" t="s">
        <v>0</v>
      </c>
      <c r="D175" s="20" t="str">
        <f>"#"&amp;$S$2&amp;"#"&amp;$T$2&amp;"\"&amp;$P$2&amp;"\FOFX"</f>
        <v>#1#treiOPCDA.CoOPCserv.1\pcmaster\S_IM_ADES\FOFX</v>
      </c>
      <c r="BK175" s="4"/>
      <c r="BL175" s="4"/>
      <c r="BM175" s="4"/>
      <c r="BN175" s="4"/>
    </row>
    <row r="176" spans="1:66" ht="15" customHeight="1">
      <c r="A176" s="19" t="str">
        <f t="shared" si="16"/>
        <v>АСУЭ.FB_IM_ADES_S.FOFX</v>
      </c>
      <c r="B176" s="11">
        <v>7998</v>
      </c>
      <c r="C176" s="11" t="s">
        <v>6</v>
      </c>
      <c r="D176" s="20">
        <v>1</v>
      </c>
      <c r="BK176" s="4"/>
      <c r="BL176" s="4"/>
      <c r="BM176" s="4"/>
      <c r="BN176" s="4"/>
    </row>
    <row r="177" spans="1:66" ht="15" customHeight="1">
      <c r="A177" s="19" t="str">
        <f t="shared" si="16"/>
        <v>АСУЭ.FB_IM_ADES_S.FOFX</v>
      </c>
      <c r="B177" s="11">
        <v>101</v>
      </c>
      <c r="C177" s="11" t="s">
        <v>0</v>
      </c>
      <c r="D177" s="20" t="s">
        <v>507</v>
      </c>
      <c r="BK177" s="4"/>
      <c r="BL177" s="4"/>
      <c r="BM177" s="4"/>
      <c r="BN177" s="4"/>
    </row>
    <row r="178" spans="1:66" ht="15" customHeight="1">
      <c r="A178" s="19" t="str">
        <f t="shared" si="16"/>
        <v>АСУЭ.FB_IM_ADES_S.FOFX</v>
      </c>
      <c r="B178" s="11">
        <v>3</v>
      </c>
      <c r="C178" s="11" t="s">
        <v>1</v>
      </c>
      <c r="D178" s="20">
        <v>192</v>
      </c>
      <c r="BK178" s="4"/>
      <c r="BL178" s="4"/>
      <c r="BM178" s="4"/>
      <c r="BN178" s="4"/>
    </row>
    <row r="179" spans="1:66" ht="15" customHeight="1">
      <c r="A179" s="19" t="str">
        <f t="shared" si="16"/>
        <v>АСУЭ.FB_IM_ADES_S.FOFX</v>
      </c>
      <c r="B179" s="11">
        <v>2</v>
      </c>
      <c r="C179" s="11" t="s">
        <v>2</v>
      </c>
      <c r="D179" s="20" t="s">
        <v>3</v>
      </c>
      <c r="BK179" s="4"/>
      <c r="BL179" s="4"/>
      <c r="BM179" s="4"/>
      <c r="BN179" s="4"/>
    </row>
    <row r="180" spans="1:66" ht="15" customHeight="1">
      <c r="A180" s="21" t="str">
        <f t="shared" si="16"/>
        <v>АСУЭ.FB_IM_ADES_S.FOFX</v>
      </c>
      <c r="B180" s="8">
        <v>1</v>
      </c>
      <c r="C180" s="8" t="s">
        <v>1</v>
      </c>
      <c r="D180" s="22">
        <v>11</v>
      </c>
      <c r="BK180" s="4"/>
      <c r="BL180" s="4"/>
      <c r="BM180" s="4"/>
      <c r="BN180" s="4"/>
    </row>
    <row r="181" spans="1:66" ht="15" customHeight="1">
      <c r="A181" s="217" t="str">
        <f t="shared" ref="A181:A190" si="17">$R$2&amp;".FFON"</f>
        <v>АСУЭ.FB_IM_ADES_S.FFON</v>
      </c>
      <c r="B181" s="218">
        <v>11154</v>
      </c>
      <c r="C181" s="218" t="s">
        <v>4</v>
      </c>
      <c r="D181" s="219">
        <f>$Q$7</f>
        <v>12</v>
      </c>
      <c r="BK181" s="4"/>
      <c r="BL181" s="4"/>
      <c r="BM181" s="4"/>
      <c r="BN181" s="4"/>
    </row>
    <row r="182" spans="1:66" ht="15" customHeight="1">
      <c r="A182" s="211" t="str">
        <f t="shared" si="17"/>
        <v>АСУЭ.FB_IM_ADES_S.FFON</v>
      </c>
      <c r="B182" s="212">
        <v>11150</v>
      </c>
      <c r="C182" s="212" t="s">
        <v>0</v>
      </c>
      <c r="D182" s="213" t="str">
        <f>"Несанкционированное  включение"</f>
        <v>Несанкционированное  включение</v>
      </c>
      <c r="BK182" s="4"/>
      <c r="BL182" s="4"/>
      <c r="BM182" s="4"/>
      <c r="BN182" s="4"/>
    </row>
    <row r="183" spans="1:66" ht="15" customHeight="1">
      <c r="A183" s="211" t="str">
        <f t="shared" si="17"/>
        <v>АСУЭ.FB_IM_ADES_S.FFON</v>
      </c>
      <c r="B183" s="212">
        <v>11152</v>
      </c>
      <c r="C183" s="212" t="s">
        <v>0</v>
      </c>
      <c r="D183" s="220" t="str">
        <f>$R$7</f>
        <v>Неисправность</v>
      </c>
      <c r="BK183" s="4"/>
      <c r="BL183" s="4"/>
      <c r="BM183" s="4"/>
      <c r="BN183" s="4"/>
    </row>
    <row r="184" spans="1:66" ht="15" customHeight="1">
      <c r="A184" s="211" t="str">
        <f t="shared" si="17"/>
        <v>АСУЭ.FB_IM_ADES_S.FFON</v>
      </c>
      <c r="B184" s="212">
        <v>11000</v>
      </c>
      <c r="C184" s="212" t="s">
        <v>5</v>
      </c>
      <c r="D184" s="213">
        <v>2147483680</v>
      </c>
      <c r="BK184" s="4"/>
      <c r="BL184" s="4"/>
      <c r="BM184" s="4"/>
      <c r="BN184" s="4"/>
    </row>
    <row r="185" spans="1:66" ht="15" customHeight="1">
      <c r="A185" s="19" t="str">
        <f t="shared" si="17"/>
        <v>АСУЭ.FB_IM_ADES_S.FFON</v>
      </c>
      <c r="B185" s="11">
        <v>7999</v>
      </c>
      <c r="C185" s="11" t="s">
        <v>0</v>
      </c>
      <c r="D185" s="20" t="str">
        <f>"#"&amp;$S$2&amp;"#"&amp;$T$2&amp;"\"&amp;$P$2&amp;"\FFON"</f>
        <v>#1#treiOPCDA.CoOPCserv.1\pcmaster\S_IM_ADES\FFON</v>
      </c>
      <c r="BK185" s="4"/>
      <c r="BL185" s="4"/>
      <c r="BM185" s="4"/>
      <c r="BN185" s="4"/>
    </row>
    <row r="186" spans="1:66" ht="15" customHeight="1">
      <c r="A186" s="19" t="str">
        <f t="shared" si="17"/>
        <v>АСУЭ.FB_IM_ADES_S.FFON</v>
      </c>
      <c r="B186" s="11">
        <v>7998</v>
      </c>
      <c r="C186" s="11" t="s">
        <v>6</v>
      </c>
      <c r="D186" s="20">
        <v>1</v>
      </c>
      <c r="BK186" s="4"/>
      <c r="BL186" s="4"/>
      <c r="BM186" s="4"/>
      <c r="BN186" s="4"/>
    </row>
    <row r="187" spans="1:66" ht="15" customHeight="1">
      <c r="A187" s="19" t="str">
        <f t="shared" si="17"/>
        <v>АСУЭ.FB_IM_ADES_S.FFON</v>
      </c>
      <c r="B187" s="11">
        <v>101</v>
      </c>
      <c r="C187" s="11" t="s">
        <v>0</v>
      </c>
      <c r="D187" s="20" t="str">
        <f>"Несанкционированное включение"</f>
        <v>Несанкционированное включение</v>
      </c>
      <c r="BK187" s="4"/>
      <c r="BL187" s="4"/>
      <c r="BM187" s="4"/>
      <c r="BN187" s="4"/>
    </row>
    <row r="188" spans="1:66" ht="15" customHeight="1">
      <c r="A188" s="19" t="str">
        <f t="shared" si="17"/>
        <v>АСУЭ.FB_IM_ADES_S.FFON</v>
      </c>
      <c r="B188" s="11">
        <v>3</v>
      </c>
      <c r="C188" s="11" t="s">
        <v>1</v>
      </c>
      <c r="D188" s="20">
        <v>192</v>
      </c>
      <c r="BK188" s="4"/>
      <c r="BL188" s="4"/>
      <c r="BM188" s="4"/>
      <c r="BN188" s="4"/>
    </row>
    <row r="189" spans="1:66" ht="15" customHeight="1">
      <c r="A189" s="19" t="str">
        <f t="shared" si="17"/>
        <v>АСУЭ.FB_IM_ADES_S.FFON</v>
      </c>
      <c r="B189" s="11">
        <v>2</v>
      </c>
      <c r="C189" s="11" t="s">
        <v>2</v>
      </c>
      <c r="D189" s="20" t="s">
        <v>3</v>
      </c>
      <c r="BK189" s="4"/>
      <c r="BL189" s="4"/>
      <c r="BM189" s="4"/>
      <c r="BN189" s="4"/>
    </row>
    <row r="190" spans="1:66" ht="15" customHeight="1">
      <c r="A190" s="21" t="str">
        <f t="shared" si="17"/>
        <v>АСУЭ.FB_IM_ADES_S.FFON</v>
      </c>
      <c r="B190" s="8">
        <v>1</v>
      </c>
      <c r="C190" s="8" t="s">
        <v>1</v>
      </c>
      <c r="D190" s="22">
        <v>11</v>
      </c>
      <c r="BK190" s="4"/>
      <c r="BL190" s="4"/>
      <c r="BM190" s="4"/>
      <c r="BN190" s="4"/>
    </row>
    <row r="191" spans="1:66" ht="15" customHeight="1">
      <c r="A191" s="217" t="str">
        <f t="shared" ref="A191:A200" si="18">$R$2&amp;".FFOF"</f>
        <v>АСУЭ.FB_IM_ADES_S.FFOF</v>
      </c>
      <c r="B191" s="218">
        <v>11154</v>
      </c>
      <c r="C191" s="218" t="s">
        <v>4</v>
      </c>
      <c r="D191" s="219">
        <f>$Q$7</f>
        <v>12</v>
      </c>
      <c r="BK191" s="4"/>
      <c r="BL191" s="4"/>
      <c r="BM191" s="4"/>
      <c r="BN191" s="4"/>
    </row>
    <row r="192" spans="1:66" ht="15" customHeight="1">
      <c r="A192" s="211" t="str">
        <f t="shared" si="18"/>
        <v>АСУЭ.FB_IM_ADES_S.FFOF</v>
      </c>
      <c r="B192" s="212">
        <v>11150</v>
      </c>
      <c r="C192" s="212" t="s">
        <v>0</v>
      </c>
      <c r="D192" s="213" t="str">
        <f>"Несанкционированное отключение"</f>
        <v>Несанкционированное отключение</v>
      </c>
      <c r="BK192" s="4"/>
      <c r="BL192" s="4"/>
      <c r="BM192" s="4"/>
      <c r="BN192" s="4"/>
    </row>
    <row r="193" spans="1:66" ht="15" customHeight="1">
      <c r="A193" s="211" t="str">
        <f t="shared" si="18"/>
        <v>АСУЭ.FB_IM_ADES_S.FFOF</v>
      </c>
      <c r="B193" s="212">
        <v>11152</v>
      </c>
      <c r="C193" s="212" t="s">
        <v>0</v>
      </c>
      <c r="D193" s="220" t="str">
        <f>$R$7</f>
        <v>Неисправность</v>
      </c>
      <c r="BK193" s="4"/>
      <c r="BL193" s="4"/>
      <c r="BM193" s="4"/>
      <c r="BN193" s="4"/>
    </row>
    <row r="194" spans="1:66" ht="15" customHeight="1">
      <c r="A194" s="211" t="str">
        <f t="shared" si="18"/>
        <v>АСУЭ.FB_IM_ADES_S.FFOF</v>
      </c>
      <c r="B194" s="212">
        <v>11000</v>
      </c>
      <c r="C194" s="212" t="s">
        <v>5</v>
      </c>
      <c r="D194" s="213">
        <v>2147483680</v>
      </c>
      <c r="BK194" s="4"/>
      <c r="BL194" s="4"/>
      <c r="BM194" s="4"/>
      <c r="BN194" s="4"/>
    </row>
    <row r="195" spans="1:66" ht="15" customHeight="1">
      <c r="A195" s="19" t="str">
        <f t="shared" si="18"/>
        <v>АСУЭ.FB_IM_ADES_S.FFOF</v>
      </c>
      <c r="B195" s="11">
        <v>7999</v>
      </c>
      <c r="C195" s="11" t="s">
        <v>0</v>
      </c>
      <c r="D195" s="20" t="str">
        <f>"#"&amp;$S$2&amp;"#"&amp;$T$2&amp;"\"&amp;$P$2&amp;"\FFOF"</f>
        <v>#1#treiOPCDA.CoOPCserv.1\pcmaster\S_IM_ADES\FFOF</v>
      </c>
      <c r="BK195" s="4"/>
      <c r="BL195" s="4"/>
      <c r="BM195" s="4"/>
      <c r="BN195" s="4"/>
    </row>
    <row r="196" spans="1:66" ht="15" customHeight="1">
      <c r="A196" s="19" t="str">
        <f t="shared" si="18"/>
        <v>АСУЭ.FB_IM_ADES_S.FFOF</v>
      </c>
      <c r="B196" s="11">
        <v>7998</v>
      </c>
      <c r="C196" s="11" t="s">
        <v>6</v>
      </c>
      <c r="D196" s="20">
        <v>1</v>
      </c>
      <c r="BK196" s="4"/>
      <c r="BL196" s="4"/>
      <c r="BM196" s="4"/>
      <c r="BN196" s="4"/>
    </row>
    <row r="197" spans="1:66" ht="15" customHeight="1">
      <c r="A197" s="19" t="str">
        <f t="shared" si="18"/>
        <v>АСУЭ.FB_IM_ADES_S.FFOF</v>
      </c>
      <c r="B197" s="11">
        <v>101</v>
      </c>
      <c r="C197" s="11" t="s">
        <v>0</v>
      </c>
      <c r="D197" s="20" t="str">
        <f>"Несанкционированное отключение"</f>
        <v>Несанкционированное отключение</v>
      </c>
      <c r="BK197" s="4"/>
      <c r="BL197" s="4"/>
      <c r="BM197" s="4"/>
      <c r="BN197" s="4"/>
    </row>
    <row r="198" spans="1:66" ht="15" customHeight="1">
      <c r="A198" s="19" t="str">
        <f t="shared" si="18"/>
        <v>АСУЭ.FB_IM_ADES_S.FFOF</v>
      </c>
      <c r="B198" s="11">
        <v>3</v>
      </c>
      <c r="C198" s="11" t="s">
        <v>1</v>
      </c>
      <c r="D198" s="20">
        <v>192</v>
      </c>
      <c r="BK198" s="4"/>
      <c r="BL198" s="4"/>
      <c r="BM198" s="4"/>
      <c r="BN198" s="4"/>
    </row>
    <row r="199" spans="1:66" ht="15" customHeight="1">
      <c r="A199" s="19" t="str">
        <f t="shared" si="18"/>
        <v>АСУЭ.FB_IM_ADES_S.FFOF</v>
      </c>
      <c r="B199" s="11">
        <v>2</v>
      </c>
      <c r="C199" s="11" t="s">
        <v>2</v>
      </c>
      <c r="D199" s="20" t="s">
        <v>3</v>
      </c>
      <c r="BK199" s="4"/>
      <c r="BL199" s="4"/>
      <c r="BM199" s="4"/>
      <c r="BN199" s="4"/>
    </row>
    <row r="200" spans="1:66" ht="15" customHeight="1">
      <c r="A200" s="21" t="str">
        <f t="shared" si="18"/>
        <v>АСУЭ.FB_IM_ADES_S.FFOF</v>
      </c>
      <c r="B200" s="8">
        <v>1</v>
      </c>
      <c r="C200" s="8" t="s">
        <v>1</v>
      </c>
      <c r="D200" s="22">
        <v>11</v>
      </c>
      <c r="BK200" s="4"/>
      <c r="BL200" s="4"/>
      <c r="BM200" s="4"/>
      <c r="BN200" s="4"/>
    </row>
    <row r="201" spans="1:66" ht="15" customHeight="1">
      <c r="A201" s="217" t="str">
        <f t="shared" ref="A201:A210" si="19">$R$2&amp;".FUSX"</f>
        <v>АСУЭ.FB_IM_ADES_S.FUSX</v>
      </c>
      <c r="B201" s="218">
        <v>11154</v>
      </c>
      <c r="C201" s="218" t="s">
        <v>4</v>
      </c>
      <c r="D201" s="219">
        <f>$Q$7</f>
        <v>12</v>
      </c>
      <c r="BK201" s="4"/>
      <c r="BL201" s="4"/>
      <c r="BM201" s="4"/>
      <c r="BN201" s="4"/>
    </row>
    <row r="202" spans="1:66" ht="15" customHeight="1">
      <c r="A202" s="211" t="str">
        <f t="shared" si="19"/>
        <v>АСУЭ.FB_IM_ADES_S.FUSX</v>
      </c>
      <c r="B202" s="212">
        <v>11150</v>
      </c>
      <c r="C202" s="212" t="s">
        <v>0</v>
      </c>
      <c r="D202" s="213" t="s">
        <v>154</v>
      </c>
      <c r="BK202" s="4"/>
      <c r="BL202" s="4"/>
      <c r="BM202" s="4"/>
      <c r="BN202" s="4"/>
    </row>
    <row r="203" spans="1:66" ht="15" customHeight="1">
      <c r="A203" s="211" t="str">
        <f t="shared" si="19"/>
        <v>АСУЭ.FB_IM_ADES_S.FUSX</v>
      </c>
      <c r="B203" s="212">
        <v>11152</v>
      </c>
      <c r="C203" s="212" t="s">
        <v>0</v>
      </c>
      <c r="D203" s="220" t="str">
        <f>$R$7</f>
        <v>Неисправность</v>
      </c>
      <c r="BK203" s="4"/>
      <c r="BL203" s="4"/>
      <c r="BM203" s="4"/>
      <c r="BN203" s="4"/>
    </row>
    <row r="204" spans="1:66" ht="15" customHeight="1">
      <c r="A204" s="211" t="str">
        <f t="shared" si="19"/>
        <v>АСУЭ.FB_IM_ADES_S.FUSX</v>
      </c>
      <c r="B204" s="212">
        <v>11000</v>
      </c>
      <c r="C204" s="212" t="s">
        <v>5</v>
      </c>
      <c r="D204" s="213">
        <v>2147483680</v>
      </c>
      <c r="BK204" s="4"/>
      <c r="BL204" s="4"/>
      <c r="BM204" s="4"/>
      <c r="BN204" s="4"/>
    </row>
    <row r="205" spans="1:66" ht="15" customHeight="1">
      <c r="A205" s="19" t="str">
        <f t="shared" si="19"/>
        <v>АСУЭ.FB_IM_ADES_S.FUSX</v>
      </c>
      <c r="B205" s="11">
        <v>7999</v>
      </c>
      <c r="C205" s="11" t="s">
        <v>0</v>
      </c>
      <c r="D205" s="20" t="str">
        <f>"#"&amp;$S$2&amp;"#"&amp;$T$2&amp;"\"&amp;$P$2&amp;"\FUSX"</f>
        <v>#1#treiOPCDA.CoOPCserv.1\pcmaster\S_IM_ADES\FUSX</v>
      </c>
      <c r="BK205" s="4"/>
      <c r="BL205" s="4"/>
      <c r="BM205" s="4"/>
      <c r="BN205" s="4"/>
    </row>
    <row r="206" spans="1:66" ht="15" customHeight="1">
      <c r="A206" s="19" t="str">
        <f t="shared" si="19"/>
        <v>АСУЭ.FB_IM_ADES_S.FUSX</v>
      </c>
      <c r="B206" s="11">
        <v>7998</v>
      </c>
      <c r="C206" s="11" t="s">
        <v>6</v>
      </c>
      <c r="D206" s="20">
        <v>1</v>
      </c>
      <c r="BK206" s="4"/>
      <c r="BL206" s="4"/>
      <c r="BM206" s="4"/>
      <c r="BN206" s="4"/>
    </row>
    <row r="207" spans="1:66" ht="15" customHeight="1">
      <c r="A207" s="19" t="str">
        <f t="shared" si="19"/>
        <v>АСУЭ.FB_IM_ADES_S.FUSX</v>
      </c>
      <c r="B207" s="11">
        <v>101</v>
      </c>
      <c r="C207" s="11" t="s">
        <v>0</v>
      </c>
      <c r="D207" s="20" t="s">
        <v>153</v>
      </c>
      <c r="BK207" s="4"/>
      <c r="BL207" s="4"/>
      <c r="BM207" s="4"/>
      <c r="BN207" s="4"/>
    </row>
    <row r="208" spans="1:66" ht="15" customHeight="1">
      <c r="A208" s="19" t="str">
        <f t="shared" si="19"/>
        <v>АСУЭ.FB_IM_ADES_S.FUSX</v>
      </c>
      <c r="B208" s="11">
        <v>3</v>
      </c>
      <c r="C208" s="11" t="s">
        <v>1</v>
      </c>
      <c r="D208" s="20">
        <v>192</v>
      </c>
      <c r="BK208" s="4"/>
      <c r="BL208" s="4"/>
      <c r="BM208" s="4"/>
      <c r="BN208" s="4"/>
    </row>
    <row r="209" spans="1:66" ht="15" customHeight="1">
      <c r="A209" s="19" t="str">
        <f t="shared" si="19"/>
        <v>АСУЭ.FB_IM_ADES_S.FUSX</v>
      </c>
      <c r="B209" s="11">
        <v>2</v>
      </c>
      <c r="C209" s="11" t="s">
        <v>2</v>
      </c>
      <c r="D209" s="20" t="s">
        <v>3</v>
      </c>
      <c r="BK209" s="4"/>
      <c r="BL209" s="4"/>
      <c r="BM209" s="4"/>
      <c r="BN209" s="4"/>
    </row>
    <row r="210" spans="1:66" ht="15" customHeight="1">
      <c r="A210" s="21" t="str">
        <f t="shared" si="19"/>
        <v>АСУЭ.FB_IM_ADES_S.FUSX</v>
      </c>
      <c r="B210" s="8">
        <v>1</v>
      </c>
      <c r="C210" s="8" t="s">
        <v>1</v>
      </c>
      <c r="D210" s="22">
        <v>11</v>
      </c>
      <c r="BK210" s="4"/>
      <c r="BL210" s="4"/>
      <c r="BM210" s="4"/>
      <c r="BN210" s="4"/>
    </row>
    <row r="211" spans="1:66" ht="15" customHeight="1">
      <c r="A211" s="217" t="str">
        <f t="shared" ref="A211:A220" si="20">$R$2&amp;".FDSX"</f>
        <v>АСУЭ.FB_IM_ADES_S.FDSX</v>
      </c>
      <c r="B211" s="218">
        <v>11154</v>
      </c>
      <c r="C211" s="218" t="s">
        <v>4</v>
      </c>
      <c r="D211" s="219">
        <f>$Q$7</f>
        <v>12</v>
      </c>
      <c r="BK211" s="4"/>
      <c r="BL211" s="4"/>
      <c r="BM211" s="4"/>
      <c r="BN211" s="4"/>
    </row>
    <row r="212" spans="1:66" ht="15" customHeight="1">
      <c r="A212" s="211" t="str">
        <f t="shared" si="20"/>
        <v>АСУЭ.FB_IM_ADES_S.FDSX</v>
      </c>
      <c r="B212" s="212">
        <v>11150</v>
      </c>
      <c r="C212" s="212" t="s">
        <v>0</v>
      </c>
      <c r="D212" s="213" t="s">
        <v>161</v>
      </c>
      <c r="BK212" s="4"/>
      <c r="BL212" s="4"/>
      <c r="BM212" s="4"/>
      <c r="BN212" s="4"/>
    </row>
    <row r="213" spans="1:66" ht="15" customHeight="1">
      <c r="A213" s="211" t="str">
        <f t="shared" si="20"/>
        <v>АСУЭ.FB_IM_ADES_S.FDSX</v>
      </c>
      <c r="B213" s="212">
        <v>11152</v>
      </c>
      <c r="C213" s="212" t="s">
        <v>0</v>
      </c>
      <c r="D213" s="220" t="str">
        <f>$R$7</f>
        <v>Неисправность</v>
      </c>
      <c r="BK213" s="4"/>
      <c r="BL213" s="4"/>
      <c r="BM213" s="4"/>
      <c r="BN213" s="4"/>
    </row>
    <row r="214" spans="1:66" ht="15" customHeight="1">
      <c r="A214" s="211" t="str">
        <f t="shared" si="20"/>
        <v>АСУЭ.FB_IM_ADES_S.FDSX</v>
      </c>
      <c r="B214" s="212">
        <v>11000</v>
      </c>
      <c r="C214" s="212" t="s">
        <v>5</v>
      </c>
      <c r="D214" s="213">
        <v>2147483680</v>
      </c>
      <c r="BK214" s="4"/>
      <c r="BL214" s="4"/>
      <c r="BM214" s="4"/>
      <c r="BN214" s="4"/>
    </row>
    <row r="215" spans="1:66" ht="15" customHeight="1">
      <c r="A215" s="19" t="str">
        <f t="shared" si="20"/>
        <v>АСУЭ.FB_IM_ADES_S.FDSX</v>
      </c>
      <c r="B215" s="11">
        <v>7999</v>
      </c>
      <c r="C215" s="11" t="s">
        <v>0</v>
      </c>
      <c r="D215" s="20" t="str">
        <f>"#"&amp;$S$2&amp;"#"&amp;$T$2&amp;"\"&amp;$P$2&amp;"\FDSX"</f>
        <v>#1#treiOPCDA.CoOPCserv.1\pcmaster\S_IM_ADES\FDSX</v>
      </c>
      <c r="BK215" s="4"/>
      <c r="BL215" s="4"/>
      <c r="BM215" s="4"/>
      <c r="BN215" s="4"/>
    </row>
    <row r="216" spans="1:66" ht="15" customHeight="1">
      <c r="A216" s="19" t="str">
        <f t="shared" si="20"/>
        <v>АСУЭ.FB_IM_ADES_S.FDSX</v>
      </c>
      <c r="B216" s="11">
        <v>7998</v>
      </c>
      <c r="C216" s="11" t="s">
        <v>6</v>
      </c>
      <c r="D216" s="20">
        <v>1</v>
      </c>
      <c r="BK216" s="4"/>
      <c r="BL216" s="4"/>
      <c r="BM216" s="4"/>
      <c r="BN216" s="4"/>
    </row>
    <row r="217" spans="1:66" ht="15" customHeight="1">
      <c r="A217" s="19" t="str">
        <f t="shared" si="20"/>
        <v>АСУЭ.FB_IM_ADES_S.FDSX</v>
      </c>
      <c r="B217" s="11">
        <v>101</v>
      </c>
      <c r="C217" s="11" t="s">
        <v>0</v>
      </c>
      <c r="D217" s="20" t="s">
        <v>161</v>
      </c>
      <c r="BK217" s="4"/>
      <c r="BL217" s="4"/>
      <c r="BM217" s="4"/>
      <c r="BN217" s="4"/>
    </row>
    <row r="218" spans="1:66" ht="15" customHeight="1">
      <c r="A218" s="19" t="str">
        <f t="shared" si="20"/>
        <v>АСУЭ.FB_IM_ADES_S.FDSX</v>
      </c>
      <c r="B218" s="11">
        <v>3</v>
      </c>
      <c r="C218" s="11" t="s">
        <v>1</v>
      </c>
      <c r="D218" s="20">
        <v>192</v>
      </c>
      <c r="BK218" s="4"/>
      <c r="BL218" s="4"/>
      <c r="BM218" s="4"/>
      <c r="BN218" s="4"/>
    </row>
    <row r="219" spans="1:66" ht="15" customHeight="1">
      <c r="A219" s="19" t="str">
        <f t="shared" si="20"/>
        <v>АСУЭ.FB_IM_ADES_S.FDSX</v>
      </c>
      <c r="B219" s="11">
        <v>2</v>
      </c>
      <c r="C219" s="11" t="s">
        <v>2</v>
      </c>
      <c r="D219" s="20" t="s">
        <v>3</v>
      </c>
      <c r="BK219" s="4"/>
      <c r="BL219" s="4"/>
      <c r="BM219" s="4"/>
      <c r="BN219" s="4"/>
    </row>
    <row r="220" spans="1:66" ht="15" customHeight="1">
      <c r="A220" s="21" t="str">
        <f t="shared" si="20"/>
        <v>АСУЭ.FB_IM_ADES_S.FDSX</v>
      </c>
      <c r="B220" s="8">
        <v>1</v>
      </c>
      <c r="C220" s="8" t="s">
        <v>1</v>
      </c>
      <c r="D220" s="22">
        <v>11</v>
      </c>
      <c r="BK220" s="4"/>
      <c r="BL220" s="4"/>
      <c r="BM220" s="4"/>
      <c r="BN220" s="4"/>
    </row>
    <row r="221" spans="1:66" ht="15" customHeight="1">
      <c r="A221" s="217" t="str">
        <f t="shared" ref="A221:A230" si="21">$R$2&amp;".FUCX"</f>
        <v>АСУЭ.FB_IM_ADES_S.FUCX</v>
      </c>
      <c r="B221" s="218">
        <v>11154</v>
      </c>
      <c r="C221" s="218" t="s">
        <v>4</v>
      </c>
      <c r="D221" s="219">
        <f>$Q$7</f>
        <v>12</v>
      </c>
      <c r="BK221" s="4"/>
      <c r="BL221" s="4"/>
      <c r="BM221" s="4"/>
      <c r="BN221" s="4"/>
    </row>
    <row r="222" spans="1:66" ht="15" customHeight="1">
      <c r="A222" s="211" t="str">
        <f t="shared" si="21"/>
        <v>АСУЭ.FB_IM_ADES_S.FUCX</v>
      </c>
      <c r="B222" s="212">
        <v>11150</v>
      </c>
      <c r="C222" s="212" t="s">
        <v>0</v>
      </c>
      <c r="D222" s="213" t="s">
        <v>167</v>
      </c>
      <c r="BK222" s="4"/>
      <c r="BL222" s="4"/>
      <c r="BM222" s="4"/>
      <c r="BN222" s="4"/>
    </row>
    <row r="223" spans="1:66" ht="15" customHeight="1">
      <c r="A223" s="211" t="str">
        <f t="shared" si="21"/>
        <v>АСУЭ.FB_IM_ADES_S.FUCX</v>
      </c>
      <c r="B223" s="212">
        <v>11152</v>
      </c>
      <c r="C223" s="212" t="s">
        <v>0</v>
      </c>
      <c r="D223" s="220" t="str">
        <f>$R$7</f>
        <v>Неисправность</v>
      </c>
      <c r="BK223" s="4"/>
      <c r="BL223" s="4"/>
      <c r="BM223" s="4"/>
      <c r="BN223" s="4"/>
    </row>
    <row r="224" spans="1:66" ht="15" customHeight="1">
      <c r="A224" s="211" t="str">
        <f t="shared" si="21"/>
        <v>АСУЭ.FB_IM_ADES_S.FUCX</v>
      </c>
      <c r="B224" s="212">
        <v>11000</v>
      </c>
      <c r="C224" s="212" t="s">
        <v>5</v>
      </c>
      <c r="D224" s="213">
        <v>2147483680</v>
      </c>
      <c r="BK224" s="4"/>
      <c r="BL224" s="4"/>
      <c r="BM224" s="4"/>
      <c r="BN224" s="4"/>
    </row>
    <row r="225" spans="1:66" ht="15" customHeight="1">
      <c r="A225" s="19" t="str">
        <f t="shared" si="21"/>
        <v>АСУЭ.FB_IM_ADES_S.FUCX</v>
      </c>
      <c r="B225" s="11">
        <v>7999</v>
      </c>
      <c r="C225" s="11" t="s">
        <v>0</v>
      </c>
      <c r="D225" s="20" t="str">
        <f>"#"&amp;$S$2&amp;"#"&amp;$T$2&amp;"\"&amp;$P$2&amp;"\FUCX"</f>
        <v>#1#treiOPCDA.CoOPCserv.1\pcmaster\S_IM_ADES\FUCX</v>
      </c>
      <c r="BK225" s="4"/>
      <c r="BL225" s="4"/>
      <c r="BM225" s="4"/>
      <c r="BN225" s="4"/>
    </row>
    <row r="226" spans="1:66" ht="15" customHeight="1">
      <c r="A226" s="19" t="str">
        <f t="shared" si="21"/>
        <v>АСУЭ.FB_IM_ADES_S.FUCX</v>
      </c>
      <c r="B226" s="11">
        <v>7998</v>
      </c>
      <c r="C226" s="11" t="s">
        <v>6</v>
      </c>
      <c r="D226" s="20">
        <v>1</v>
      </c>
      <c r="BK226" s="4"/>
      <c r="BL226" s="4"/>
      <c r="BM226" s="4"/>
      <c r="BN226" s="4"/>
    </row>
    <row r="227" spans="1:66" ht="15" customHeight="1">
      <c r="A227" s="19" t="str">
        <f t="shared" si="21"/>
        <v>АСУЭ.FB_IM_ADES_S.FUCX</v>
      </c>
      <c r="B227" s="11">
        <v>101</v>
      </c>
      <c r="C227" s="11" t="s">
        <v>0</v>
      </c>
      <c r="D227" s="20" t="s">
        <v>167</v>
      </c>
      <c r="BK227" s="4"/>
      <c r="BL227" s="4"/>
      <c r="BM227" s="4"/>
      <c r="BN227" s="4"/>
    </row>
    <row r="228" spans="1:66" ht="15" customHeight="1">
      <c r="A228" s="19" t="str">
        <f t="shared" si="21"/>
        <v>АСУЭ.FB_IM_ADES_S.FUCX</v>
      </c>
      <c r="B228" s="11">
        <v>3</v>
      </c>
      <c r="C228" s="11" t="s">
        <v>1</v>
      </c>
      <c r="D228" s="20">
        <v>192</v>
      </c>
      <c r="BK228" s="4"/>
      <c r="BL228" s="4"/>
      <c r="BM228" s="4"/>
      <c r="BN228" s="4"/>
    </row>
    <row r="229" spans="1:66" ht="15" customHeight="1">
      <c r="A229" s="19" t="str">
        <f t="shared" si="21"/>
        <v>АСУЭ.FB_IM_ADES_S.FUCX</v>
      </c>
      <c r="B229" s="11">
        <v>2</v>
      </c>
      <c r="C229" s="11" t="s">
        <v>2</v>
      </c>
      <c r="D229" s="20" t="s">
        <v>3</v>
      </c>
      <c r="BK229" s="4"/>
      <c r="BL229" s="4"/>
      <c r="BM229" s="4"/>
      <c r="BN229" s="4"/>
    </row>
    <row r="230" spans="1:66" ht="15" customHeight="1">
      <c r="A230" s="21" t="str">
        <f t="shared" si="21"/>
        <v>АСУЭ.FB_IM_ADES_S.FUCX</v>
      </c>
      <c r="B230" s="8">
        <v>1</v>
      </c>
      <c r="C230" s="8" t="s">
        <v>1</v>
      </c>
      <c r="D230" s="22">
        <v>11</v>
      </c>
      <c r="BK230" s="4"/>
      <c r="BL230" s="4"/>
      <c r="BM230" s="4"/>
      <c r="BN230" s="4"/>
    </row>
    <row r="231" spans="1:66" ht="15" customHeight="1">
      <c r="A231" s="217" t="str">
        <f t="shared" ref="A231:A240" si="22">$R$2&amp;".FDCX"</f>
        <v>АСУЭ.FB_IM_ADES_S.FDCX</v>
      </c>
      <c r="B231" s="218">
        <v>11154</v>
      </c>
      <c r="C231" s="218" t="s">
        <v>4</v>
      </c>
      <c r="D231" s="219">
        <f>$Q$7</f>
        <v>12</v>
      </c>
      <c r="BK231" s="4"/>
      <c r="BL231" s="4"/>
      <c r="BM231" s="4"/>
      <c r="BN231" s="4"/>
    </row>
    <row r="232" spans="1:66" ht="15" customHeight="1">
      <c r="A232" s="211" t="str">
        <f t="shared" si="22"/>
        <v>АСУЭ.FB_IM_ADES_S.FDCX</v>
      </c>
      <c r="B232" s="212">
        <v>11150</v>
      </c>
      <c r="C232" s="212" t="s">
        <v>0</v>
      </c>
      <c r="D232" s="213" t="s">
        <v>168</v>
      </c>
      <c r="BK232" s="4"/>
      <c r="BL232" s="4"/>
      <c r="BM232" s="4"/>
      <c r="BN232" s="4"/>
    </row>
    <row r="233" spans="1:66" ht="15" customHeight="1">
      <c r="A233" s="211" t="str">
        <f t="shared" si="22"/>
        <v>АСУЭ.FB_IM_ADES_S.FDCX</v>
      </c>
      <c r="B233" s="212">
        <v>11152</v>
      </c>
      <c r="C233" s="212" t="s">
        <v>0</v>
      </c>
      <c r="D233" s="220" t="str">
        <f>$R$7</f>
        <v>Неисправность</v>
      </c>
      <c r="BK233" s="4"/>
      <c r="BL233" s="4"/>
      <c r="BM233" s="4"/>
      <c r="BN233" s="4"/>
    </row>
    <row r="234" spans="1:66" ht="15" customHeight="1">
      <c r="A234" s="211" t="str">
        <f t="shared" si="22"/>
        <v>АСУЭ.FB_IM_ADES_S.FDCX</v>
      </c>
      <c r="B234" s="212">
        <v>11000</v>
      </c>
      <c r="C234" s="212" t="s">
        <v>5</v>
      </c>
      <c r="D234" s="213">
        <v>2147483680</v>
      </c>
      <c r="BK234" s="4"/>
      <c r="BL234" s="4"/>
      <c r="BM234" s="4"/>
      <c r="BN234" s="4"/>
    </row>
    <row r="235" spans="1:66" ht="15" customHeight="1">
      <c r="A235" s="19" t="str">
        <f t="shared" si="22"/>
        <v>АСУЭ.FB_IM_ADES_S.FDCX</v>
      </c>
      <c r="B235" s="11">
        <v>7999</v>
      </c>
      <c r="C235" s="11" t="s">
        <v>0</v>
      </c>
      <c r="D235" s="20" t="str">
        <f>"#"&amp;$S$2&amp;"#"&amp;$T$2&amp;"\"&amp;$P$2&amp;"\FDCX"</f>
        <v>#1#treiOPCDA.CoOPCserv.1\pcmaster\S_IM_ADES\FDCX</v>
      </c>
      <c r="BK235" s="4"/>
      <c r="BL235" s="4"/>
      <c r="BM235" s="4"/>
      <c r="BN235" s="4"/>
    </row>
    <row r="236" spans="1:66" ht="15" customHeight="1">
      <c r="A236" s="19" t="str">
        <f t="shared" si="22"/>
        <v>АСУЭ.FB_IM_ADES_S.FDCX</v>
      </c>
      <c r="B236" s="11">
        <v>7998</v>
      </c>
      <c r="C236" s="11" t="s">
        <v>6</v>
      </c>
      <c r="D236" s="20">
        <v>1</v>
      </c>
      <c r="BK236" s="4"/>
      <c r="BL236" s="4"/>
      <c r="BM236" s="4"/>
      <c r="BN236" s="4"/>
    </row>
    <row r="237" spans="1:66" ht="15" customHeight="1">
      <c r="A237" s="19" t="str">
        <f t="shared" si="22"/>
        <v>АСУЭ.FB_IM_ADES_S.FDCX</v>
      </c>
      <c r="B237" s="11">
        <v>101</v>
      </c>
      <c r="C237" s="11" t="s">
        <v>0</v>
      </c>
      <c r="D237" s="20" t="s">
        <v>168</v>
      </c>
      <c r="BK237" s="4"/>
      <c r="BL237" s="4"/>
      <c r="BM237" s="4"/>
      <c r="BN237" s="4"/>
    </row>
    <row r="238" spans="1:66" ht="15" customHeight="1">
      <c r="A238" s="19" t="str">
        <f t="shared" si="22"/>
        <v>АСУЭ.FB_IM_ADES_S.FDCX</v>
      </c>
      <c r="B238" s="11">
        <v>3</v>
      </c>
      <c r="C238" s="11" t="s">
        <v>1</v>
      </c>
      <c r="D238" s="20">
        <v>192</v>
      </c>
      <c r="BK238" s="4"/>
      <c r="BL238" s="4"/>
      <c r="BM238" s="4"/>
      <c r="BN238" s="4"/>
    </row>
    <row r="239" spans="1:66" ht="15" customHeight="1">
      <c r="A239" s="19" t="str">
        <f t="shared" si="22"/>
        <v>АСУЭ.FB_IM_ADES_S.FDCX</v>
      </c>
      <c r="B239" s="11">
        <v>2</v>
      </c>
      <c r="C239" s="11" t="s">
        <v>2</v>
      </c>
      <c r="D239" s="20" t="s">
        <v>3</v>
      </c>
      <c r="BK239" s="4"/>
      <c r="BL239" s="4"/>
      <c r="BM239" s="4"/>
      <c r="BN239" s="4"/>
    </row>
    <row r="240" spans="1:66" ht="15" customHeight="1">
      <c r="A240" s="21" t="str">
        <f t="shared" si="22"/>
        <v>АСУЭ.FB_IM_ADES_S.FDCX</v>
      </c>
      <c r="B240" s="8">
        <v>1</v>
      </c>
      <c r="C240" s="8" t="s">
        <v>1</v>
      </c>
      <c r="D240" s="22">
        <v>11</v>
      </c>
      <c r="BK240" s="4"/>
      <c r="BL240" s="4"/>
      <c r="BM240" s="4"/>
      <c r="BN240" s="4"/>
    </row>
    <row r="241" spans="1:66" ht="15" customHeight="1">
      <c r="A241" s="217" t="str">
        <f t="shared" ref="A241:A250" si="23">$R$2&amp;".FCOM"</f>
        <v>АСУЭ.FB_IM_ADES_S.FCOM</v>
      </c>
      <c r="B241" s="218">
        <v>11154</v>
      </c>
      <c r="C241" s="218" t="s">
        <v>4</v>
      </c>
      <c r="D241" s="219">
        <f>$Q$7</f>
        <v>12</v>
      </c>
      <c r="BK241" s="4"/>
      <c r="BL241" s="4"/>
      <c r="BM241" s="4"/>
      <c r="BN241" s="4"/>
    </row>
    <row r="242" spans="1:66" ht="15" customHeight="1">
      <c r="A242" s="211" t="str">
        <f t="shared" si="23"/>
        <v>АСУЭ.FB_IM_ADES_S.FCOM</v>
      </c>
      <c r="B242" s="212">
        <v>11150</v>
      </c>
      <c r="C242" s="212" t="s">
        <v>0</v>
      </c>
      <c r="D242" s="213" t="s">
        <v>149</v>
      </c>
      <c r="BK242" s="4"/>
      <c r="BL242" s="4"/>
      <c r="BM242" s="4"/>
      <c r="BN242" s="4"/>
    </row>
    <row r="243" spans="1:66" ht="15" customHeight="1">
      <c r="A243" s="211" t="str">
        <f t="shared" si="23"/>
        <v>АСУЭ.FB_IM_ADES_S.FCOM</v>
      </c>
      <c r="B243" s="212">
        <v>11152</v>
      </c>
      <c r="C243" s="212" t="s">
        <v>0</v>
      </c>
      <c r="D243" s="220" t="str">
        <f>$R$7</f>
        <v>Неисправность</v>
      </c>
      <c r="BK243" s="4"/>
      <c r="BL243" s="4"/>
      <c r="BM243" s="4"/>
      <c r="BN243" s="4"/>
    </row>
    <row r="244" spans="1:66" ht="15" customHeight="1">
      <c r="A244" s="211" t="str">
        <f t="shared" si="23"/>
        <v>АСУЭ.FB_IM_ADES_S.FCOM</v>
      </c>
      <c r="B244" s="212">
        <v>11000</v>
      </c>
      <c r="C244" s="212" t="s">
        <v>5</v>
      </c>
      <c r="D244" s="213">
        <v>2147483680</v>
      </c>
      <c r="BK244" s="4"/>
      <c r="BL244" s="4"/>
      <c r="BM244" s="4"/>
      <c r="BN244" s="4"/>
    </row>
    <row r="245" spans="1:66" ht="15" customHeight="1">
      <c r="A245" s="19" t="str">
        <f t="shared" si="23"/>
        <v>АСУЭ.FB_IM_ADES_S.FCOM</v>
      </c>
      <c r="B245" s="11">
        <v>7999</v>
      </c>
      <c r="C245" s="11" t="s">
        <v>0</v>
      </c>
      <c r="D245" s="20" t="str">
        <f>"#"&amp;$S$2&amp;"#"&amp;$T$2&amp;"\"&amp;$P$2&amp;"\FCOM"</f>
        <v>#1#treiOPCDA.CoOPCserv.1\pcmaster\S_IM_ADES\FCOM</v>
      </c>
      <c r="BK245" s="4"/>
      <c r="BL245" s="4"/>
      <c r="BM245" s="4"/>
      <c r="BN245" s="4"/>
    </row>
    <row r="246" spans="1:66" ht="15" customHeight="1">
      <c r="A246" s="19" t="str">
        <f t="shared" si="23"/>
        <v>АСУЭ.FB_IM_ADES_S.FCOM</v>
      </c>
      <c r="B246" s="11">
        <v>7998</v>
      </c>
      <c r="C246" s="11" t="s">
        <v>6</v>
      </c>
      <c r="D246" s="20">
        <v>1</v>
      </c>
      <c r="BK246" s="4"/>
      <c r="BL246" s="4"/>
      <c r="BM246" s="4"/>
      <c r="BN246" s="4"/>
    </row>
    <row r="247" spans="1:66" ht="15" customHeight="1">
      <c r="A247" s="19" t="str">
        <f t="shared" si="23"/>
        <v>АСУЭ.FB_IM_ADES_S.FCOM</v>
      </c>
      <c r="B247" s="11">
        <v>101</v>
      </c>
      <c r="C247" s="11" t="s">
        <v>0</v>
      </c>
      <c r="D247" s="20" t="s">
        <v>149</v>
      </c>
      <c r="BK247" s="4"/>
      <c r="BL247" s="4"/>
      <c r="BM247" s="4"/>
      <c r="BN247" s="4"/>
    </row>
    <row r="248" spans="1:66" ht="15" customHeight="1">
      <c r="A248" s="19" t="str">
        <f t="shared" si="23"/>
        <v>АСУЭ.FB_IM_ADES_S.FCOM</v>
      </c>
      <c r="B248" s="11">
        <v>3</v>
      </c>
      <c r="C248" s="11" t="s">
        <v>1</v>
      </c>
      <c r="D248" s="20">
        <v>192</v>
      </c>
      <c r="BK248" s="4"/>
      <c r="BL248" s="4"/>
      <c r="BM248" s="4"/>
      <c r="BN248" s="4"/>
    </row>
    <row r="249" spans="1:66" ht="15" customHeight="1">
      <c r="A249" s="19" t="str">
        <f t="shared" si="23"/>
        <v>АСУЭ.FB_IM_ADES_S.FCOM</v>
      </c>
      <c r="B249" s="11">
        <v>2</v>
      </c>
      <c r="C249" s="11" t="s">
        <v>2</v>
      </c>
      <c r="D249" s="20" t="s">
        <v>3</v>
      </c>
      <c r="BK249" s="4"/>
      <c r="BL249" s="4"/>
      <c r="BM249" s="4"/>
      <c r="BN249" s="4"/>
    </row>
    <row r="250" spans="1:66" ht="15" customHeight="1">
      <c r="A250" s="21" t="str">
        <f t="shared" si="23"/>
        <v>АСУЭ.FB_IM_ADES_S.FCOM</v>
      </c>
      <c r="B250" s="8">
        <v>1</v>
      </c>
      <c r="C250" s="8" t="s">
        <v>1</v>
      </c>
      <c r="D250" s="22">
        <v>11</v>
      </c>
      <c r="BK250" s="4"/>
      <c r="BL250" s="4"/>
      <c r="BM250" s="4"/>
      <c r="BN250" s="4"/>
    </row>
    <row r="251" spans="1:66" ht="15" customHeight="1">
      <c r="A251" s="163" t="str">
        <f>$R$2&amp;".DOLD"</f>
        <v>АСУЭ.FB_IM_ADES_S.DOLD</v>
      </c>
      <c r="B251" s="123">
        <v>11154</v>
      </c>
      <c r="C251" s="123" t="s">
        <v>4</v>
      </c>
      <c r="D251" s="124">
        <f>$Q$9</f>
        <v>10</v>
      </c>
      <c r="BK251" s="4"/>
      <c r="BL251" s="4"/>
      <c r="BM251" s="4"/>
      <c r="BN251" s="4"/>
    </row>
    <row r="252" spans="1:66" ht="15" customHeight="1">
      <c r="A252" s="110" t="str">
        <f t="shared" ref="A252:A260" si="24">$R$2&amp;".DOLD"</f>
        <v>АСУЭ.FB_IM_ADES_S.DOLD</v>
      </c>
      <c r="B252" s="111">
        <v>11150</v>
      </c>
      <c r="C252" s="111" t="s">
        <v>0</v>
      </c>
      <c r="D252" s="112" t="str">
        <f>"Недостоверность: входное значение Включен"</f>
        <v>Недостоверность: входное значение Включен</v>
      </c>
      <c r="BK252" s="4"/>
      <c r="BL252" s="4"/>
      <c r="BM252" s="4"/>
      <c r="BN252" s="4"/>
    </row>
    <row r="253" spans="1:66" ht="15" customHeight="1">
      <c r="A253" s="110" t="str">
        <f t="shared" si="24"/>
        <v>АСУЭ.FB_IM_ADES_S.DOLD</v>
      </c>
      <c r="B253" s="111">
        <v>11152</v>
      </c>
      <c r="C253" s="111" t="s">
        <v>0</v>
      </c>
      <c r="D253" s="113" t="str">
        <f>$R$9</f>
        <v>Недостоверность</v>
      </c>
      <c r="BK253" s="4"/>
      <c r="BL253" s="4"/>
      <c r="BM253" s="4"/>
      <c r="BN253" s="4"/>
    </row>
    <row r="254" spans="1:66" ht="15" customHeight="1">
      <c r="A254" s="110" t="str">
        <f t="shared" si="24"/>
        <v>АСУЭ.FB_IM_ADES_S.DOLD</v>
      </c>
      <c r="B254" s="111">
        <v>11000</v>
      </c>
      <c r="C254" s="111" t="s">
        <v>5</v>
      </c>
      <c r="D254" s="112">
        <v>2147483680</v>
      </c>
      <c r="BK254" s="4"/>
      <c r="BL254" s="4"/>
      <c r="BM254" s="4"/>
      <c r="BN254" s="4"/>
    </row>
    <row r="255" spans="1:66" ht="15" customHeight="1">
      <c r="A255" s="19" t="str">
        <f t="shared" si="24"/>
        <v>АСУЭ.FB_IM_ADES_S.DOLD</v>
      </c>
      <c r="B255" s="11">
        <v>7999</v>
      </c>
      <c r="C255" s="11" t="s">
        <v>0</v>
      </c>
      <c r="D255" s="20" t="str">
        <f>"#"&amp;$S$2&amp;"#"&amp;$T$2&amp;"\"&amp;$P$2&amp;"\DOLD"</f>
        <v>#1#treiOPCDA.CoOPCserv.1\pcmaster\S_IM_ADES\DOLD</v>
      </c>
      <c r="BK255" s="4"/>
      <c r="BL255" s="4"/>
      <c r="BM255" s="4"/>
      <c r="BN255" s="4"/>
    </row>
    <row r="256" spans="1:66" ht="15" customHeight="1">
      <c r="A256" s="19" t="str">
        <f t="shared" si="24"/>
        <v>АСУЭ.FB_IM_ADES_S.DOLD</v>
      </c>
      <c r="B256" s="11">
        <v>7998</v>
      </c>
      <c r="C256" s="11" t="s">
        <v>6</v>
      </c>
      <c r="D256" s="20">
        <v>1</v>
      </c>
      <c r="BK256" s="4"/>
      <c r="BL256" s="4"/>
      <c r="BM256" s="4"/>
      <c r="BN256" s="4"/>
    </row>
    <row r="257" spans="1:66" ht="15" customHeight="1">
      <c r="A257" s="19" t="str">
        <f t="shared" si="24"/>
        <v>АСУЭ.FB_IM_ADES_S.DOLD</v>
      </c>
      <c r="B257" s="11">
        <v>101</v>
      </c>
      <c r="C257" s="11" t="s">
        <v>0</v>
      </c>
      <c r="D257" s="20" t="str">
        <f>"Недостоверное Входное значение Включен"</f>
        <v>Недостоверное Входное значение Включен</v>
      </c>
      <c r="BK257" s="4"/>
      <c r="BL257" s="4"/>
      <c r="BM257" s="4"/>
      <c r="BN257" s="4"/>
    </row>
    <row r="258" spans="1:66" ht="15" customHeight="1">
      <c r="A258" s="19" t="str">
        <f t="shared" si="24"/>
        <v>АСУЭ.FB_IM_ADES_S.DOLD</v>
      </c>
      <c r="B258" s="11">
        <v>3</v>
      </c>
      <c r="C258" s="11" t="s">
        <v>1</v>
      </c>
      <c r="D258" s="20">
        <v>192</v>
      </c>
      <c r="BK258" s="4"/>
      <c r="BL258" s="4"/>
      <c r="BM258" s="4"/>
      <c r="BN258" s="4"/>
    </row>
    <row r="259" spans="1:66" ht="15" customHeight="1">
      <c r="A259" s="19" t="str">
        <f t="shared" si="24"/>
        <v>АСУЭ.FB_IM_ADES_S.DOLD</v>
      </c>
      <c r="B259" s="11">
        <v>2</v>
      </c>
      <c r="C259" s="11" t="s">
        <v>2</v>
      </c>
      <c r="D259" s="20" t="s">
        <v>3</v>
      </c>
      <c r="BK259" s="4"/>
      <c r="BL259" s="4"/>
      <c r="BM259" s="4"/>
      <c r="BN259" s="4"/>
    </row>
    <row r="260" spans="1:66" ht="15" customHeight="1">
      <c r="A260" s="21" t="str">
        <f t="shared" si="24"/>
        <v>АСУЭ.FB_IM_ADES_S.DOLD</v>
      </c>
      <c r="B260" s="8">
        <v>1</v>
      </c>
      <c r="C260" s="8" t="s">
        <v>1</v>
      </c>
      <c r="D260" s="22">
        <v>11</v>
      </c>
      <c r="BK260" s="4"/>
      <c r="BL260" s="4"/>
      <c r="BM260" s="4"/>
      <c r="BN260" s="4"/>
    </row>
    <row r="261" spans="1:66" ht="15" customHeight="1">
      <c r="A261" s="163" t="str">
        <f>$R$2&amp;".DRAD"</f>
        <v>АСУЭ.FB_IM_ADES_S.DRAD</v>
      </c>
      <c r="B261" s="123">
        <v>11154</v>
      </c>
      <c r="C261" s="123" t="s">
        <v>4</v>
      </c>
      <c r="D261" s="124">
        <f>$Q$9</f>
        <v>10</v>
      </c>
      <c r="BK261" s="4"/>
      <c r="BL261" s="4"/>
      <c r="BM261" s="4"/>
      <c r="BN261" s="4"/>
    </row>
    <row r="262" spans="1:66" ht="15" customHeight="1">
      <c r="A262" s="110" t="str">
        <f t="shared" ref="A262:A270" si="25">$R$2&amp;".DRAD"</f>
        <v>АСУЭ.FB_IM_ADES_S.DRAD</v>
      </c>
      <c r="B262" s="111">
        <v>11150</v>
      </c>
      <c r="C262" s="111" t="s">
        <v>0</v>
      </c>
      <c r="D262" s="112" t="str">
        <f>"Недостоверность: входное значение Включен"</f>
        <v>Недостоверность: входное значение Включен</v>
      </c>
      <c r="BK262" s="4"/>
      <c r="BL262" s="4"/>
      <c r="BM262" s="4"/>
      <c r="BN262" s="4"/>
    </row>
    <row r="263" spans="1:66" ht="15" customHeight="1">
      <c r="A263" s="110" t="str">
        <f t="shared" si="25"/>
        <v>АСУЭ.FB_IM_ADES_S.DRAD</v>
      </c>
      <c r="B263" s="111">
        <v>11152</v>
      </c>
      <c r="C263" s="111" t="s">
        <v>0</v>
      </c>
      <c r="D263" s="113" t="str">
        <f>$R$9</f>
        <v>Недостоверность</v>
      </c>
      <c r="BK263" s="4"/>
      <c r="BL263" s="4"/>
      <c r="BM263" s="4"/>
      <c r="BN263" s="4"/>
    </row>
    <row r="264" spans="1:66" ht="15" customHeight="1">
      <c r="A264" s="110" t="str">
        <f t="shared" si="25"/>
        <v>АСУЭ.FB_IM_ADES_S.DRAD</v>
      </c>
      <c r="B264" s="111">
        <v>11000</v>
      </c>
      <c r="C264" s="111" t="s">
        <v>5</v>
      </c>
      <c r="D264" s="112">
        <v>2147483680</v>
      </c>
      <c r="BK264" s="4"/>
      <c r="BL264" s="4"/>
      <c r="BM264" s="4"/>
      <c r="BN264" s="4"/>
    </row>
    <row r="265" spans="1:66" ht="15" customHeight="1">
      <c r="A265" s="19" t="str">
        <f t="shared" si="25"/>
        <v>АСУЭ.FB_IM_ADES_S.DRAD</v>
      </c>
      <c r="B265" s="11">
        <v>7999</v>
      </c>
      <c r="C265" s="11" t="s">
        <v>0</v>
      </c>
      <c r="D265" s="20" t="str">
        <f>"#"&amp;$S$2&amp;"#"&amp;$T$2&amp;"\"&amp;$P$2&amp;"\DRAD"</f>
        <v>#1#treiOPCDA.CoOPCserv.1\pcmaster\S_IM_ADES\DRAD</v>
      </c>
      <c r="BK265" s="4"/>
      <c r="BL265" s="4"/>
      <c r="BM265" s="4"/>
      <c r="BN265" s="4"/>
    </row>
    <row r="266" spans="1:66" ht="15" customHeight="1">
      <c r="A266" s="19" t="str">
        <f t="shared" si="25"/>
        <v>АСУЭ.FB_IM_ADES_S.DRAD</v>
      </c>
      <c r="B266" s="11">
        <v>7998</v>
      </c>
      <c r="C266" s="11" t="s">
        <v>6</v>
      </c>
      <c r="D266" s="20">
        <v>1</v>
      </c>
      <c r="BK266" s="4"/>
      <c r="BL266" s="4"/>
      <c r="BM266" s="4"/>
      <c r="BN266" s="4"/>
    </row>
    <row r="267" spans="1:66" ht="15" customHeight="1">
      <c r="A267" s="19" t="str">
        <f t="shared" si="25"/>
        <v>АСУЭ.FB_IM_ADES_S.DRAD</v>
      </c>
      <c r="B267" s="11">
        <v>101</v>
      </c>
      <c r="C267" s="11" t="s">
        <v>0</v>
      </c>
      <c r="D267" s="20" t="str">
        <f>"Недостоверное Входное значение Включен"</f>
        <v>Недостоверное Входное значение Включен</v>
      </c>
      <c r="BK267" s="4"/>
      <c r="BL267" s="4"/>
      <c r="BM267" s="4"/>
      <c r="BN267" s="4"/>
    </row>
    <row r="268" spans="1:66" ht="15" customHeight="1">
      <c r="A268" s="19" t="str">
        <f t="shared" si="25"/>
        <v>АСУЭ.FB_IM_ADES_S.DRAD</v>
      </c>
      <c r="B268" s="11">
        <v>3</v>
      </c>
      <c r="C268" s="11" t="s">
        <v>1</v>
      </c>
      <c r="D268" s="20">
        <v>192</v>
      </c>
      <c r="BK268" s="4"/>
      <c r="BL268" s="4"/>
      <c r="BM268" s="4"/>
      <c r="BN268" s="4"/>
    </row>
    <row r="269" spans="1:66" ht="15" customHeight="1">
      <c r="A269" s="19" t="str">
        <f t="shared" si="25"/>
        <v>АСУЭ.FB_IM_ADES_S.DRAD</v>
      </c>
      <c r="B269" s="11">
        <v>2</v>
      </c>
      <c r="C269" s="11" t="s">
        <v>2</v>
      </c>
      <c r="D269" s="20" t="s">
        <v>3</v>
      </c>
      <c r="BK269" s="4"/>
      <c r="BL269" s="4"/>
      <c r="BM269" s="4"/>
      <c r="BN269" s="4"/>
    </row>
    <row r="270" spans="1:66" ht="15" customHeight="1">
      <c r="A270" s="21" t="str">
        <f t="shared" si="25"/>
        <v>АСУЭ.FB_IM_ADES_S.DRAD</v>
      </c>
      <c r="B270" s="8">
        <v>1</v>
      </c>
      <c r="C270" s="8" t="s">
        <v>1</v>
      </c>
      <c r="D270" s="22">
        <v>11</v>
      </c>
      <c r="BK270" s="4"/>
      <c r="BL270" s="4"/>
      <c r="BM270" s="4"/>
      <c r="BN270" s="4"/>
    </row>
    <row r="271" spans="1:66" ht="15" customHeight="1">
      <c r="A271" s="163" t="str">
        <f>$R$2&amp;".DPTO"</f>
        <v>АСУЭ.FB_IM_ADES_S.DPTO</v>
      </c>
      <c r="B271" s="123">
        <v>11154</v>
      </c>
      <c r="C271" s="123" t="s">
        <v>4</v>
      </c>
      <c r="D271" s="124">
        <f>$Q$9</f>
        <v>10</v>
      </c>
      <c r="BK271" s="4"/>
      <c r="BL271" s="4"/>
      <c r="BM271" s="4"/>
      <c r="BN271" s="4"/>
    </row>
    <row r="272" spans="1:66" ht="15" customHeight="1">
      <c r="A272" s="110" t="str">
        <f t="shared" ref="A272:A280" si="26">$R$2&amp;".DPTO"</f>
        <v>АСУЭ.FB_IM_ADES_S.DPTO</v>
      </c>
      <c r="B272" s="111">
        <v>11150</v>
      </c>
      <c r="C272" s="111" t="s">
        <v>0</v>
      </c>
      <c r="D272" s="112" t="str">
        <f>"Недостоверность: входное значение Включен"</f>
        <v>Недостоверность: входное значение Включен</v>
      </c>
      <c r="BK272" s="4"/>
      <c r="BL272" s="4"/>
      <c r="BM272" s="4"/>
      <c r="BN272" s="4"/>
    </row>
    <row r="273" spans="1:66" ht="15" customHeight="1">
      <c r="A273" s="110" t="str">
        <f t="shared" si="26"/>
        <v>АСУЭ.FB_IM_ADES_S.DPTO</v>
      </c>
      <c r="B273" s="111">
        <v>11152</v>
      </c>
      <c r="C273" s="111" t="s">
        <v>0</v>
      </c>
      <c r="D273" s="113" t="str">
        <f>$R$9</f>
        <v>Недостоверность</v>
      </c>
      <c r="BK273" s="4"/>
      <c r="BL273" s="4"/>
      <c r="BM273" s="4"/>
      <c r="BN273" s="4"/>
    </row>
    <row r="274" spans="1:66" ht="15" customHeight="1">
      <c r="A274" s="110" t="str">
        <f t="shared" si="26"/>
        <v>АСУЭ.FB_IM_ADES_S.DPTO</v>
      </c>
      <c r="B274" s="111">
        <v>11000</v>
      </c>
      <c r="C274" s="111" t="s">
        <v>5</v>
      </c>
      <c r="D274" s="112">
        <v>2147483680</v>
      </c>
      <c r="BK274" s="4"/>
      <c r="BL274" s="4"/>
      <c r="BM274" s="4"/>
      <c r="BN274" s="4"/>
    </row>
    <row r="275" spans="1:66" ht="15" customHeight="1">
      <c r="A275" s="19" t="str">
        <f t="shared" si="26"/>
        <v>АСУЭ.FB_IM_ADES_S.DPTO</v>
      </c>
      <c r="B275" s="11">
        <v>7999</v>
      </c>
      <c r="C275" s="11" t="s">
        <v>0</v>
      </c>
      <c r="D275" s="20" t="str">
        <f>"#"&amp;$S$2&amp;"#"&amp;$T$2&amp;"\"&amp;$P$2&amp;"\DPTO"</f>
        <v>#1#treiOPCDA.CoOPCserv.1\pcmaster\S_IM_ADES\DPTO</v>
      </c>
      <c r="BK275" s="4"/>
      <c r="BL275" s="4"/>
      <c r="BM275" s="4"/>
      <c r="BN275" s="4"/>
    </row>
    <row r="276" spans="1:66" ht="15" customHeight="1">
      <c r="A276" s="19" t="str">
        <f t="shared" si="26"/>
        <v>АСУЭ.FB_IM_ADES_S.DPTO</v>
      </c>
      <c r="B276" s="11">
        <v>7998</v>
      </c>
      <c r="C276" s="11" t="s">
        <v>6</v>
      </c>
      <c r="D276" s="20">
        <v>1</v>
      </c>
      <c r="BK276" s="4"/>
      <c r="BL276" s="4"/>
      <c r="BM276" s="4"/>
      <c r="BN276" s="4"/>
    </row>
    <row r="277" spans="1:66" ht="15" customHeight="1">
      <c r="A277" s="19" t="str">
        <f t="shared" si="26"/>
        <v>АСУЭ.FB_IM_ADES_S.DPTO</v>
      </c>
      <c r="B277" s="11">
        <v>101</v>
      </c>
      <c r="C277" s="11" t="s">
        <v>0</v>
      </c>
      <c r="D277" s="20" t="str">
        <f>"Недостоверное Входное значение Включен"</f>
        <v>Недостоверное Входное значение Включен</v>
      </c>
      <c r="BK277" s="4"/>
      <c r="BL277" s="4"/>
      <c r="BM277" s="4"/>
      <c r="BN277" s="4"/>
    </row>
    <row r="278" spans="1:66" ht="15" customHeight="1">
      <c r="A278" s="19" t="str">
        <f t="shared" si="26"/>
        <v>АСУЭ.FB_IM_ADES_S.DPTO</v>
      </c>
      <c r="B278" s="11">
        <v>3</v>
      </c>
      <c r="C278" s="11" t="s">
        <v>1</v>
      </c>
      <c r="D278" s="20">
        <v>192</v>
      </c>
      <c r="BK278" s="4"/>
      <c r="BL278" s="4"/>
      <c r="BM278" s="4"/>
      <c r="BN278" s="4"/>
    </row>
    <row r="279" spans="1:66" ht="15" customHeight="1">
      <c r="A279" s="19" t="str">
        <f t="shared" si="26"/>
        <v>АСУЭ.FB_IM_ADES_S.DPTO</v>
      </c>
      <c r="B279" s="11">
        <v>2</v>
      </c>
      <c r="C279" s="11" t="s">
        <v>2</v>
      </c>
      <c r="D279" s="20" t="s">
        <v>3</v>
      </c>
      <c r="BK279" s="4"/>
      <c r="BL279" s="4"/>
      <c r="BM279" s="4"/>
      <c r="BN279" s="4"/>
    </row>
    <row r="280" spans="1:66" ht="15" customHeight="1">
      <c r="A280" s="21" t="str">
        <f t="shared" si="26"/>
        <v>АСУЭ.FB_IM_ADES_S.DPTO</v>
      </c>
      <c r="B280" s="8">
        <v>1</v>
      </c>
      <c r="C280" s="8" t="s">
        <v>1</v>
      </c>
      <c r="D280" s="22">
        <v>11</v>
      </c>
      <c r="BK280" s="4"/>
      <c r="BL280" s="4"/>
      <c r="BM280" s="4"/>
      <c r="BN280" s="4"/>
    </row>
    <row r="281" spans="1:66" ht="15" customHeight="1">
      <c r="A281" s="163" t="str">
        <f t="shared" ref="A281:A290" si="27">$R$2&amp;".DONX"</f>
        <v>АСУЭ.FB_IM_ADES_S.DONX</v>
      </c>
      <c r="B281" s="123">
        <v>11154</v>
      </c>
      <c r="C281" s="123" t="s">
        <v>4</v>
      </c>
      <c r="D281" s="124">
        <f>$Q$9</f>
        <v>10</v>
      </c>
      <c r="BK281" s="4"/>
      <c r="BL281" s="4"/>
      <c r="BM281" s="4"/>
      <c r="BN281" s="4"/>
    </row>
    <row r="282" spans="1:66" ht="15" customHeight="1">
      <c r="A282" s="110" t="str">
        <f t="shared" si="27"/>
        <v>АСУЭ.FB_IM_ADES_S.DONX</v>
      </c>
      <c r="B282" s="111">
        <v>11150</v>
      </c>
      <c r="C282" s="111" t="s">
        <v>0</v>
      </c>
      <c r="D282" s="112" t="str">
        <f>"Недостоверность: входное значение Включен"</f>
        <v>Недостоверность: входное значение Включен</v>
      </c>
      <c r="BK282" s="4"/>
      <c r="BL282" s="4"/>
      <c r="BM282" s="4"/>
      <c r="BN282" s="4"/>
    </row>
    <row r="283" spans="1:66" ht="15" customHeight="1">
      <c r="A283" s="110" t="str">
        <f t="shared" si="27"/>
        <v>АСУЭ.FB_IM_ADES_S.DONX</v>
      </c>
      <c r="B283" s="111">
        <v>11152</v>
      </c>
      <c r="C283" s="111" t="s">
        <v>0</v>
      </c>
      <c r="D283" s="113" t="str">
        <f>$R$9</f>
        <v>Недостоверность</v>
      </c>
      <c r="BK283" s="4"/>
      <c r="BL283" s="4"/>
      <c r="BM283" s="4"/>
      <c r="BN283" s="4"/>
    </row>
    <row r="284" spans="1:66" ht="15" customHeight="1">
      <c r="A284" s="110" t="str">
        <f t="shared" si="27"/>
        <v>АСУЭ.FB_IM_ADES_S.DONX</v>
      </c>
      <c r="B284" s="111">
        <v>11000</v>
      </c>
      <c r="C284" s="111" t="s">
        <v>5</v>
      </c>
      <c r="D284" s="112">
        <v>2147483680</v>
      </c>
      <c r="BK284" s="4"/>
      <c r="BL284" s="4"/>
      <c r="BM284" s="4"/>
      <c r="BN284" s="4"/>
    </row>
    <row r="285" spans="1:66" ht="15" customHeight="1">
      <c r="A285" s="19" t="str">
        <f t="shared" si="27"/>
        <v>АСУЭ.FB_IM_ADES_S.DONX</v>
      </c>
      <c r="B285" s="11">
        <v>7999</v>
      </c>
      <c r="C285" s="11" t="s">
        <v>0</v>
      </c>
      <c r="D285" s="20" t="str">
        <f>"#"&amp;$S$2&amp;"#"&amp;$T$2&amp;"\"&amp;$P$2&amp;"\DONX"</f>
        <v>#1#treiOPCDA.CoOPCserv.1\pcmaster\S_IM_ADES\DONX</v>
      </c>
      <c r="BK285" s="4"/>
      <c r="BL285" s="4"/>
      <c r="BM285" s="4"/>
      <c r="BN285" s="4"/>
    </row>
    <row r="286" spans="1:66" ht="15" customHeight="1">
      <c r="A286" s="19" t="str">
        <f t="shared" si="27"/>
        <v>АСУЭ.FB_IM_ADES_S.DONX</v>
      </c>
      <c r="B286" s="11">
        <v>7998</v>
      </c>
      <c r="C286" s="11" t="s">
        <v>6</v>
      </c>
      <c r="D286" s="20">
        <v>1</v>
      </c>
      <c r="BK286" s="4"/>
      <c r="BL286" s="4"/>
      <c r="BM286" s="4"/>
      <c r="BN286" s="4"/>
    </row>
    <row r="287" spans="1:66" ht="15" customHeight="1">
      <c r="A287" s="19" t="str">
        <f t="shared" si="27"/>
        <v>АСУЭ.FB_IM_ADES_S.DONX</v>
      </c>
      <c r="B287" s="11">
        <v>101</v>
      </c>
      <c r="C287" s="11" t="s">
        <v>0</v>
      </c>
      <c r="D287" s="20" t="str">
        <f>"Недостоверное Входное значение Включен"</f>
        <v>Недостоверное Входное значение Включен</v>
      </c>
      <c r="BK287" s="4"/>
      <c r="BL287" s="4"/>
      <c r="BM287" s="4"/>
      <c r="BN287" s="4"/>
    </row>
    <row r="288" spans="1:66" ht="15" customHeight="1">
      <c r="A288" s="19" t="str">
        <f t="shared" si="27"/>
        <v>АСУЭ.FB_IM_ADES_S.DONX</v>
      </c>
      <c r="B288" s="11">
        <v>3</v>
      </c>
      <c r="C288" s="11" t="s">
        <v>1</v>
      </c>
      <c r="D288" s="20">
        <v>192</v>
      </c>
      <c r="BK288" s="4"/>
      <c r="BL288" s="4"/>
      <c r="BM288" s="4"/>
      <c r="BN288" s="4"/>
    </row>
    <row r="289" spans="1:66" ht="15" customHeight="1">
      <c r="A289" s="19" t="str">
        <f t="shared" si="27"/>
        <v>АСУЭ.FB_IM_ADES_S.DONX</v>
      </c>
      <c r="B289" s="11">
        <v>2</v>
      </c>
      <c r="C289" s="11" t="s">
        <v>2</v>
      </c>
      <c r="D289" s="20" t="s">
        <v>3</v>
      </c>
      <c r="BK289" s="4"/>
      <c r="BL289" s="4"/>
      <c r="BM289" s="4"/>
      <c r="BN289" s="4"/>
    </row>
    <row r="290" spans="1:66" ht="15" customHeight="1">
      <c r="A290" s="21" t="str">
        <f t="shared" si="27"/>
        <v>АСУЭ.FB_IM_ADES_S.DONX</v>
      </c>
      <c r="B290" s="8">
        <v>1</v>
      </c>
      <c r="C290" s="8" t="s">
        <v>1</v>
      </c>
      <c r="D290" s="22">
        <v>11</v>
      </c>
      <c r="BK290" s="4"/>
      <c r="BL290" s="4"/>
      <c r="BM290" s="4"/>
      <c r="BN290" s="4"/>
    </row>
    <row r="291" spans="1:66" ht="15" customHeight="1">
      <c r="A291" s="163" t="str">
        <f t="shared" ref="A291:A300" si="28">$R$2&amp;".DOFX"</f>
        <v>АСУЭ.FB_IM_ADES_S.DOFX</v>
      </c>
      <c r="B291" s="123">
        <v>11154</v>
      </c>
      <c r="C291" s="123" t="s">
        <v>4</v>
      </c>
      <c r="D291" s="124">
        <f>$Q$9</f>
        <v>10</v>
      </c>
      <c r="BK291" s="4"/>
      <c r="BL291" s="4"/>
      <c r="BM291" s="4"/>
      <c r="BN291" s="4"/>
    </row>
    <row r="292" spans="1:66" ht="15" customHeight="1">
      <c r="A292" s="110" t="str">
        <f t="shared" si="28"/>
        <v>АСУЭ.FB_IM_ADES_S.DOFX</v>
      </c>
      <c r="B292" s="111">
        <v>11150</v>
      </c>
      <c r="C292" s="111" t="s">
        <v>0</v>
      </c>
      <c r="D292" s="112" t="str">
        <f>"Недостоверность: входное значение Отключен"</f>
        <v>Недостоверность: входное значение Отключен</v>
      </c>
      <c r="BK292" s="4"/>
      <c r="BL292" s="4"/>
      <c r="BM292" s="4"/>
      <c r="BN292" s="4"/>
    </row>
    <row r="293" spans="1:66" ht="15" customHeight="1">
      <c r="A293" s="110" t="str">
        <f t="shared" si="28"/>
        <v>АСУЭ.FB_IM_ADES_S.DOFX</v>
      </c>
      <c r="B293" s="111">
        <v>11152</v>
      </c>
      <c r="C293" s="111" t="s">
        <v>0</v>
      </c>
      <c r="D293" s="113" t="str">
        <f>$R$9</f>
        <v>Недостоверность</v>
      </c>
      <c r="BK293" s="4"/>
      <c r="BL293" s="4"/>
      <c r="BM293" s="4"/>
      <c r="BN293" s="4"/>
    </row>
    <row r="294" spans="1:66" ht="15" customHeight="1">
      <c r="A294" s="110" t="str">
        <f t="shared" si="28"/>
        <v>АСУЭ.FB_IM_ADES_S.DOFX</v>
      </c>
      <c r="B294" s="111">
        <v>11000</v>
      </c>
      <c r="C294" s="111" t="s">
        <v>5</v>
      </c>
      <c r="D294" s="112">
        <v>2147483680</v>
      </c>
      <c r="BK294" s="4"/>
      <c r="BL294" s="4"/>
      <c r="BM294" s="4"/>
      <c r="BN294" s="4"/>
    </row>
    <row r="295" spans="1:66" ht="15" customHeight="1">
      <c r="A295" s="19" t="str">
        <f t="shared" si="28"/>
        <v>АСУЭ.FB_IM_ADES_S.DOFX</v>
      </c>
      <c r="B295" s="11">
        <v>7999</v>
      </c>
      <c r="C295" s="11" t="s">
        <v>0</v>
      </c>
      <c r="D295" s="20" t="str">
        <f>"#"&amp;$S$2&amp;"#"&amp;$T$2&amp;"\"&amp;$P$2&amp;"\DOFX"</f>
        <v>#1#treiOPCDA.CoOPCserv.1\pcmaster\S_IM_ADES\DOFX</v>
      </c>
      <c r="BK295" s="4"/>
      <c r="BL295" s="4"/>
      <c r="BM295" s="4"/>
      <c r="BN295" s="4"/>
    </row>
    <row r="296" spans="1:66" ht="15" customHeight="1">
      <c r="A296" s="19" t="str">
        <f t="shared" si="28"/>
        <v>АСУЭ.FB_IM_ADES_S.DOFX</v>
      </c>
      <c r="B296" s="11">
        <v>7998</v>
      </c>
      <c r="C296" s="11" t="s">
        <v>6</v>
      </c>
      <c r="D296" s="20">
        <v>1</v>
      </c>
      <c r="BK296" s="4"/>
      <c r="BL296" s="4"/>
      <c r="BM296" s="4"/>
      <c r="BN296" s="4"/>
    </row>
    <row r="297" spans="1:66" ht="15" customHeight="1">
      <c r="A297" s="19" t="str">
        <f t="shared" si="28"/>
        <v>АСУЭ.FB_IM_ADES_S.DOFX</v>
      </c>
      <c r="B297" s="11">
        <v>101</v>
      </c>
      <c r="C297" s="11" t="s">
        <v>0</v>
      </c>
      <c r="D297" s="20" t="str">
        <f>"Недостоверное Входное значение Отключен"</f>
        <v>Недостоверное Входное значение Отключен</v>
      </c>
      <c r="BK297" s="4"/>
      <c r="BL297" s="4"/>
      <c r="BM297" s="4"/>
      <c r="BN297" s="4"/>
    </row>
    <row r="298" spans="1:66" ht="15" customHeight="1">
      <c r="A298" s="19" t="str">
        <f t="shared" si="28"/>
        <v>АСУЭ.FB_IM_ADES_S.DOFX</v>
      </c>
      <c r="B298" s="11">
        <v>3</v>
      </c>
      <c r="C298" s="11" t="s">
        <v>1</v>
      </c>
      <c r="D298" s="20">
        <v>192</v>
      </c>
      <c r="BK298" s="4"/>
      <c r="BL298" s="4"/>
      <c r="BM298" s="4"/>
      <c r="BN298" s="4"/>
    </row>
    <row r="299" spans="1:66" ht="15" customHeight="1">
      <c r="A299" s="19" t="str">
        <f t="shared" si="28"/>
        <v>АСУЭ.FB_IM_ADES_S.DOFX</v>
      </c>
      <c r="B299" s="11">
        <v>2</v>
      </c>
      <c r="C299" s="11" t="s">
        <v>2</v>
      </c>
      <c r="D299" s="20" t="s">
        <v>3</v>
      </c>
      <c r="BK299" s="4"/>
      <c r="BL299" s="4"/>
      <c r="BM299" s="4"/>
      <c r="BN299" s="4"/>
    </row>
    <row r="300" spans="1:66" ht="15" customHeight="1">
      <c r="A300" s="21" t="str">
        <f t="shared" si="28"/>
        <v>АСУЭ.FB_IM_ADES_S.DOFX</v>
      </c>
      <c r="B300" s="8">
        <v>1</v>
      </c>
      <c r="C300" s="8" t="s">
        <v>1</v>
      </c>
      <c r="D300" s="22">
        <v>11</v>
      </c>
      <c r="BK300" s="4"/>
      <c r="BL300" s="4"/>
      <c r="BM300" s="4"/>
      <c r="BN300" s="4"/>
    </row>
    <row r="301" spans="1:66" ht="15" customHeight="1">
      <c r="A301" s="163" t="str">
        <f t="shared" ref="A301:A310" si="29">$R$2&amp;".DLCX"</f>
        <v>АСУЭ.FB_IM_ADES_S.DLCX</v>
      </c>
      <c r="B301" s="123">
        <v>11154</v>
      </c>
      <c r="C301" s="123" t="s">
        <v>4</v>
      </c>
      <c r="D301" s="124">
        <f>$Q$9</f>
        <v>10</v>
      </c>
      <c r="BK301" s="4"/>
      <c r="BL301" s="4"/>
      <c r="BM301" s="4"/>
      <c r="BN301" s="4"/>
    </row>
    <row r="302" spans="1:66" ht="15" customHeight="1">
      <c r="A302" s="110" t="str">
        <f t="shared" si="29"/>
        <v>АСУЭ.FB_IM_ADES_S.DLCX</v>
      </c>
      <c r="B302" s="111">
        <v>11150</v>
      </c>
      <c r="C302" s="111" t="s">
        <v>0</v>
      </c>
      <c r="D302" s="112" t="s">
        <v>166</v>
      </c>
      <c r="BK302" s="4"/>
      <c r="BL302" s="4"/>
      <c r="BM302" s="4"/>
      <c r="BN302" s="4"/>
    </row>
    <row r="303" spans="1:66" ht="15" customHeight="1">
      <c r="A303" s="110" t="str">
        <f t="shared" si="29"/>
        <v>АСУЭ.FB_IM_ADES_S.DLCX</v>
      </c>
      <c r="B303" s="111">
        <v>11152</v>
      </c>
      <c r="C303" s="111" t="s">
        <v>0</v>
      </c>
      <c r="D303" s="113" t="str">
        <f>$R$9</f>
        <v>Недостоверность</v>
      </c>
      <c r="BK303" s="4"/>
      <c r="BL303" s="4"/>
      <c r="BM303" s="4"/>
      <c r="BN303" s="4"/>
    </row>
    <row r="304" spans="1:66" ht="15" customHeight="1">
      <c r="A304" s="110" t="str">
        <f t="shared" si="29"/>
        <v>АСУЭ.FB_IM_ADES_S.DLCX</v>
      </c>
      <c r="B304" s="111">
        <v>11000</v>
      </c>
      <c r="C304" s="111" t="s">
        <v>5</v>
      </c>
      <c r="D304" s="112">
        <v>2147483680</v>
      </c>
      <c r="BK304" s="4"/>
      <c r="BL304" s="4"/>
      <c r="BM304" s="4"/>
      <c r="BN304" s="4"/>
    </row>
    <row r="305" spans="1:66" ht="15" customHeight="1">
      <c r="A305" s="19" t="str">
        <f t="shared" si="29"/>
        <v>АСУЭ.FB_IM_ADES_S.DLCX</v>
      </c>
      <c r="B305" s="11">
        <v>7999</v>
      </c>
      <c r="C305" s="11" t="s">
        <v>0</v>
      </c>
      <c r="D305" s="20" t="str">
        <f>"#"&amp;$S$2&amp;"#"&amp;$T$2&amp;"\"&amp;$P$2&amp;"\DLCX"</f>
        <v>#1#treiOPCDA.CoOPCserv.1\pcmaster\S_IM_ADES\DLCX</v>
      </c>
      <c r="BK305" s="4"/>
      <c r="BL305" s="4"/>
      <c r="BM305" s="4"/>
      <c r="BN305" s="4"/>
    </row>
    <row r="306" spans="1:66" ht="15" customHeight="1">
      <c r="A306" s="19" t="str">
        <f t="shared" si="29"/>
        <v>АСУЭ.FB_IM_ADES_S.DLCX</v>
      </c>
      <c r="B306" s="11">
        <v>7998</v>
      </c>
      <c r="C306" s="11" t="s">
        <v>6</v>
      </c>
      <c r="D306" s="20">
        <v>1</v>
      </c>
      <c r="BK306" s="4"/>
      <c r="BL306" s="4"/>
      <c r="BM306" s="4"/>
      <c r="BN306" s="4"/>
    </row>
    <row r="307" spans="1:66" ht="15" customHeight="1">
      <c r="A307" s="19" t="str">
        <f t="shared" si="29"/>
        <v>АСУЭ.FB_IM_ADES_S.DLCX</v>
      </c>
      <c r="B307" s="11">
        <v>101</v>
      </c>
      <c r="C307" s="11" t="s">
        <v>0</v>
      </c>
      <c r="D307" s="20" t="s">
        <v>578</v>
      </c>
      <c r="BK307" s="4"/>
      <c r="BL307" s="4"/>
      <c r="BM307" s="4"/>
      <c r="BN307" s="4"/>
    </row>
    <row r="308" spans="1:66" ht="15" customHeight="1">
      <c r="A308" s="19" t="str">
        <f t="shared" si="29"/>
        <v>АСУЭ.FB_IM_ADES_S.DLCX</v>
      </c>
      <c r="B308" s="11">
        <v>3</v>
      </c>
      <c r="C308" s="11" t="s">
        <v>1</v>
      </c>
      <c r="D308" s="20">
        <v>192</v>
      </c>
      <c r="BK308" s="4"/>
      <c r="BL308" s="4"/>
      <c r="BM308" s="4"/>
      <c r="BN308" s="4"/>
    </row>
    <row r="309" spans="1:66" ht="15" customHeight="1">
      <c r="A309" s="19" t="str">
        <f t="shared" si="29"/>
        <v>АСУЭ.FB_IM_ADES_S.DLCX</v>
      </c>
      <c r="B309" s="11">
        <v>2</v>
      </c>
      <c r="C309" s="11" t="s">
        <v>2</v>
      </c>
      <c r="D309" s="20" t="s">
        <v>3</v>
      </c>
      <c r="BK309" s="4"/>
      <c r="BL309" s="4"/>
      <c r="BM309" s="4"/>
      <c r="BN309" s="4"/>
    </row>
    <row r="310" spans="1:66" ht="15" customHeight="1">
      <c r="A310" s="21" t="str">
        <f t="shared" si="29"/>
        <v>АСУЭ.FB_IM_ADES_S.DLCX</v>
      </c>
      <c r="B310" s="8">
        <v>1</v>
      </c>
      <c r="C310" s="8" t="s">
        <v>1</v>
      </c>
      <c r="D310" s="22">
        <v>11</v>
      </c>
      <c r="BK310" s="4"/>
      <c r="BL310" s="4"/>
      <c r="BM310" s="4"/>
      <c r="BN310" s="4"/>
    </row>
    <row r="311" spans="1:66" ht="15" customHeight="1">
      <c r="A311" s="163" t="str">
        <f t="shared" ref="A311:A320" si="30">$R$2&amp;".DRCX"</f>
        <v>АСУЭ.FB_IM_ADES_S.DRCX</v>
      </c>
      <c r="B311" s="123">
        <v>11154</v>
      </c>
      <c r="C311" s="123" t="s">
        <v>4</v>
      </c>
      <c r="D311" s="124">
        <f>$Q$9</f>
        <v>10</v>
      </c>
      <c r="BK311" s="4"/>
      <c r="BL311" s="4"/>
      <c r="BM311" s="4"/>
      <c r="BN311" s="4"/>
    </row>
    <row r="312" spans="1:66" ht="15" customHeight="1">
      <c r="A312" s="110" t="str">
        <f t="shared" si="30"/>
        <v>АСУЭ.FB_IM_ADES_S.DRCX</v>
      </c>
      <c r="B312" s="111">
        <v>11150</v>
      </c>
      <c r="C312" s="111" t="s">
        <v>0</v>
      </c>
      <c r="D312" s="112" t="s">
        <v>105</v>
      </c>
      <c r="BK312" s="4"/>
      <c r="BL312" s="4"/>
      <c r="BM312" s="4"/>
      <c r="BN312" s="4"/>
    </row>
    <row r="313" spans="1:66" ht="15" customHeight="1">
      <c r="A313" s="110" t="str">
        <f t="shared" si="30"/>
        <v>АСУЭ.FB_IM_ADES_S.DRCX</v>
      </c>
      <c r="B313" s="111">
        <v>11152</v>
      </c>
      <c r="C313" s="111" t="s">
        <v>0</v>
      </c>
      <c r="D313" s="113" t="str">
        <f>$R$9</f>
        <v>Недостоверность</v>
      </c>
      <c r="BK313" s="4"/>
      <c r="BL313" s="4"/>
      <c r="BM313" s="4"/>
      <c r="BN313" s="4"/>
    </row>
    <row r="314" spans="1:66" ht="15" customHeight="1">
      <c r="A314" s="110" t="str">
        <f t="shared" si="30"/>
        <v>АСУЭ.FB_IM_ADES_S.DRCX</v>
      </c>
      <c r="B314" s="111">
        <v>11000</v>
      </c>
      <c r="C314" s="111" t="s">
        <v>5</v>
      </c>
      <c r="D314" s="112">
        <v>2147483680</v>
      </c>
      <c r="BK314" s="4"/>
      <c r="BL314" s="4"/>
      <c r="BM314" s="4"/>
      <c r="BN314" s="4"/>
    </row>
    <row r="315" spans="1:66" ht="15" customHeight="1">
      <c r="A315" s="19" t="str">
        <f t="shared" si="30"/>
        <v>АСУЭ.FB_IM_ADES_S.DRCX</v>
      </c>
      <c r="B315" s="11">
        <v>7999</v>
      </c>
      <c r="C315" s="11" t="s">
        <v>0</v>
      </c>
      <c r="D315" s="20" t="str">
        <f>"#"&amp;$S$2&amp;"#"&amp;$T$2&amp;"\"&amp;$P$2&amp;"\DRCX"</f>
        <v>#1#treiOPCDA.CoOPCserv.1\pcmaster\S_IM_ADES\DRCX</v>
      </c>
      <c r="BK315" s="4"/>
      <c r="BL315" s="4"/>
      <c r="BM315" s="4"/>
      <c r="BN315" s="4"/>
    </row>
    <row r="316" spans="1:66" ht="15" customHeight="1">
      <c r="A316" s="19" t="str">
        <f t="shared" si="30"/>
        <v>АСУЭ.FB_IM_ADES_S.DRCX</v>
      </c>
      <c r="B316" s="11">
        <v>7998</v>
      </c>
      <c r="C316" s="11" t="s">
        <v>6</v>
      </c>
      <c r="D316" s="20">
        <v>1</v>
      </c>
      <c r="BK316" s="4"/>
      <c r="BL316" s="4"/>
      <c r="BM316" s="4"/>
      <c r="BN316" s="4"/>
    </row>
    <row r="317" spans="1:66" ht="15" customHeight="1">
      <c r="A317" s="19" t="str">
        <f t="shared" si="30"/>
        <v>АСУЭ.FB_IM_ADES_S.DRCX</v>
      </c>
      <c r="B317" s="11">
        <v>101</v>
      </c>
      <c r="C317" s="11" t="s">
        <v>0</v>
      </c>
      <c r="D317" s="20" t="s">
        <v>573</v>
      </c>
      <c r="BK317" s="4"/>
      <c r="BL317" s="4"/>
      <c r="BM317" s="4"/>
      <c r="BN317" s="4"/>
    </row>
    <row r="318" spans="1:66" ht="15" customHeight="1">
      <c r="A318" s="19" t="str">
        <f t="shared" si="30"/>
        <v>АСУЭ.FB_IM_ADES_S.DRCX</v>
      </c>
      <c r="B318" s="11">
        <v>3</v>
      </c>
      <c r="C318" s="11" t="s">
        <v>1</v>
      </c>
      <c r="D318" s="20">
        <v>192</v>
      </c>
      <c r="BK318" s="4"/>
      <c r="BL318" s="4"/>
      <c r="BM318" s="4"/>
      <c r="BN318" s="4"/>
    </row>
    <row r="319" spans="1:66" ht="15" customHeight="1">
      <c r="A319" s="19" t="str">
        <f t="shared" si="30"/>
        <v>АСУЭ.FB_IM_ADES_S.DRCX</v>
      </c>
      <c r="B319" s="11">
        <v>2</v>
      </c>
      <c r="C319" s="11" t="s">
        <v>2</v>
      </c>
      <c r="D319" s="20" t="s">
        <v>3</v>
      </c>
      <c r="BK319" s="4"/>
      <c r="BL319" s="4"/>
      <c r="BM319" s="4"/>
      <c r="BN319" s="4"/>
    </row>
    <row r="320" spans="1:66" ht="15" customHeight="1">
      <c r="A320" s="21" t="str">
        <f t="shared" si="30"/>
        <v>АСУЭ.FB_IM_ADES_S.DRCX</v>
      </c>
      <c r="B320" s="8">
        <v>1</v>
      </c>
      <c r="C320" s="8" t="s">
        <v>1</v>
      </c>
      <c r="D320" s="22">
        <v>11</v>
      </c>
      <c r="BK320" s="4"/>
      <c r="BL320" s="4"/>
      <c r="BM320" s="4"/>
      <c r="BN320" s="4"/>
    </row>
    <row r="321" spans="1:66" ht="15" customHeight="1">
      <c r="A321" s="163" t="str">
        <f t="shared" ref="A321:A330" si="31">$R$2&amp;".DFXX"</f>
        <v>АСУЭ.FB_IM_ADES_S.DFXX</v>
      </c>
      <c r="B321" s="123">
        <v>11154</v>
      </c>
      <c r="C321" s="123" t="s">
        <v>4</v>
      </c>
      <c r="D321" s="124">
        <f>$Q$9</f>
        <v>10</v>
      </c>
      <c r="BK321" s="4"/>
      <c r="BL321" s="4"/>
      <c r="BM321" s="4"/>
      <c r="BN321" s="4"/>
    </row>
    <row r="322" spans="1:66" ht="15" customHeight="1">
      <c r="A322" s="110" t="str">
        <f t="shared" si="31"/>
        <v>АСУЭ.FB_IM_ADES_S.DFXX</v>
      </c>
      <c r="B322" s="111">
        <v>11150</v>
      </c>
      <c r="C322" s="111" t="s">
        <v>0</v>
      </c>
      <c r="D322" s="112" t="s">
        <v>104</v>
      </c>
      <c r="BK322" s="4"/>
      <c r="BL322" s="4"/>
      <c r="BM322" s="4"/>
      <c r="BN322" s="4"/>
    </row>
    <row r="323" spans="1:66" ht="15" customHeight="1">
      <c r="A323" s="110" t="str">
        <f t="shared" si="31"/>
        <v>АСУЭ.FB_IM_ADES_S.DFXX</v>
      </c>
      <c r="B323" s="111">
        <v>11152</v>
      </c>
      <c r="C323" s="111" t="s">
        <v>0</v>
      </c>
      <c r="D323" s="113" t="str">
        <f>$R$9</f>
        <v>Недостоверность</v>
      </c>
      <c r="BK323" s="4"/>
      <c r="BL323" s="4"/>
      <c r="BM323" s="4"/>
      <c r="BN323" s="4"/>
    </row>
    <row r="324" spans="1:66" ht="15" customHeight="1">
      <c r="A324" s="110" t="str">
        <f t="shared" si="31"/>
        <v>АСУЭ.FB_IM_ADES_S.DFXX</v>
      </c>
      <c r="B324" s="111">
        <v>11000</v>
      </c>
      <c r="C324" s="111" t="s">
        <v>5</v>
      </c>
      <c r="D324" s="112">
        <v>2147483680</v>
      </c>
      <c r="BK324" s="4"/>
      <c r="BL324" s="4"/>
      <c r="BM324" s="4"/>
      <c r="BN324" s="4"/>
    </row>
    <row r="325" spans="1:66" ht="15" customHeight="1">
      <c r="A325" s="19" t="str">
        <f t="shared" si="31"/>
        <v>АСУЭ.FB_IM_ADES_S.DFXX</v>
      </c>
      <c r="B325" s="11">
        <v>7999</v>
      </c>
      <c r="C325" s="11" t="s">
        <v>0</v>
      </c>
      <c r="D325" s="20" t="str">
        <f>"#"&amp;$S$2&amp;"#"&amp;$T$2&amp;"\"&amp;$P$2&amp;"\DFXX"</f>
        <v>#1#treiOPCDA.CoOPCserv.1\pcmaster\S_IM_ADES\DFXX</v>
      </c>
      <c r="BK325" s="4"/>
      <c r="BL325" s="4"/>
      <c r="BM325" s="4"/>
      <c r="BN325" s="4"/>
    </row>
    <row r="326" spans="1:66" ht="15" customHeight="1">
      <c r="A326" s="19" t="str">
        <f t="shared" si="31"/>
        <v>АСУЭ.FB_IM_ADES_S.DFXX</v>
      </c>
      <c r="B326" s="11">
        <v>7998</v>
      </c>
      <c r="C326" s="11" t="s">
        <v>6</v>
      </c>
      <c r="D326" s="20">
        <v>1</v>
      </c>
      <c r="BK326" s="4"/>
      <c r="BL326" s="4"/>
      <c r="BM326" s="4"/>
      <c r="BN326" s="4"/>
    </row>
    <row r="327" spans="1:66" ht="15" customHeight="1">
      <c r="A327" s="19" t="str">
        <f t="shared" si="31"/>
        <v>АСУЭ.FB_IM_ADES_S.DFXX</v>
      </c>
      <c r="B327" s="11">
        <v>101</v>
      </c>
      <c r="C327" s="11" t="s">
        <v>0</v>
      </c>
      <c r="D327" s="20" t="s">
        <v>520</v>
      </c>
      <c r="BK327" s="4"/>
      <c r="BL327" s="4"/>
      <c r="BM327" s="4"/>
      <c r="BN327" s="4"/>
    </row>
    <row r="328" spans="1:66" ht="15" customHeight="1">
      <c r="A328" s="19" t="str">
        <f t="shared" si="31"/>
        <v>АСУЭ.FB_IM_ADES_S.DFXX</v>
      </c>
      <c r="B328" s="11">
        <v>3</v>
      </c>
      <c r="C328" s="11" t="s">
        <v>1</v>
      </c>
      <c r="D328" s="20">
        <v>192</v>
      </c>
      <c r="BK328" s="4"/>
      <c r="BL328" s="4"/>
      <c r="BM328" s="4"/>
      <c r="BN328" s="4"/>
    </row>
    <row r="329" spans="1:66" ht="15" customHeight="1">
      <c r="A329" s="19" t="str">
        <f t="shared" si="31"/>
        <v>АСУЭ.FB_IM_ADES_S.DFXX</v>
      </c>
      <c r="B329" s="11">
        <v>2</v>
      </c>
      <c r="C329" s="11" t="s">
        <v>2</v>
      </c>
      <c r="D329" s="20" t="s">
        <v>3</v>
      </c>
      <c r="BK329" s="4"/>
      <c r="BL329" s="4"/>
      <c r="BM329" s="4"/>
      <c r="BN329" s="4"/>
    </row>
    <row r="330" spans="1:66" ht="15" customHeight="1">
      <c r="A330" s="21" t="str">
        <f t="shared" si="31"/>
        <v>АСУЭ.FB_IM_ADES_S.DFXX</v>
      </c>
      <c r="B330" s="8">
        <v>1</v>
      </c>
      <c r="C330" s="8" t="s">
        <v>1</v>
      </c>
      <c r="D330" s="22">
        <v>11</v>
      </c>
      <c r="BK330" s="4"/>
      <c r="BL330" s="4"/>
      <c r="BM330" s="4"/>
      <c r="BN330" s="4"/>
    </row>
    <row r="331" spans="1:66" ht="15" customHeight="1">
      <c r="A331" s="163" t="str">
        <f t="shared" ref="A331:A340" si="32">$R$2&amp;".DOON"</f>
        <v>АСУЭ.FB_IM_ADES_S.DOON</v>
      </c>
      <c r="B331" s="123">
        <v>11154</v>
      </c>
      <c r="C331" s="123" t="s">
        <v>4</v>
      </c>
      <c r="D331" s="124">
        <f>$Q$9</f>
        <v>10</v>
      </c>
      <c r="BK331" s="4"/>
      <c r="BL331" s="4"/>
      <c r="BM331" s="4"/>
      <c r="BN331" s="4"/>
    </row>
    <row r="332" spans="1:66" ht="15" customHeight="1">
      <c r="A332" s="110" t="str">
        <f t="shared" si="32"/>
        <v>АСУЭ.FB_IM_ADES_S.DOON</v>
      </c>
      <c r="B332" s="111">
        <v>11150</v>
      </c>
      <c r="C332" s="111" t="s">
        <v>0</v>
      </c>
      <c r="D332" s="112" t="str">
        <f>"Недостоверность: выходное  значение  Включить"</f>
        <v>Недостоверность: выходное  значение  Включить</v>
      </c>
      <c r="BK332" s="4"/>
      <c r="BL332" s="4"/>
      <c r="BM332" s="4"/>
      <c r="BN332" s="4"/>
    </row>
    <row r="333" spans="1:66" ht="15" customHeight="1">
      <c r="A333" s="110" t="str">
        <f t="shared" si="32"/>
        <v>АСУЭ.FB_IM_ADES_S.DOON</v>
      </c>
      <c r="B333" s="111">
        <v>11152</v>
      </c>
      <c r="C333" s="111" t="s">
        <v>0</v>
      </c>
      <c r="D333" s="113" t="str">
        <f>$R$9</f>
        <v>Недостоверность</v>
      </c>
      <c r="BK333" s="4"/>
      <c r="BL333" s="4"/>
      <c r="BM333" s="4"/>
      <c r="BN333" s="4"/>
    </row>
    <row r="334" spans="1:66" ht="15" customHeight="1">
      <c r="A334" s="110" t="str">
        <f t="shared" si="32"/>
        <v>АСУЭ.FB_IM_ADES_S.DOON</v>
      </c>
      <c r="B334" s="111">
        <v>11000</v>
      </c>
      <c r="C334" s="111" t="s">
        <v>5</v>
      </c>
      <c r="D334" s="112">
        <v>2147483680</v>
      </c>
      <c r="BK334" s="4"/>
      <c r="BL334" s="4"/>
      <c r="BM334" s="4"/>
      <c r="BN334" s="4"/>
    </row>
    <row r="335" spans="1:66" ht="15" customHeight="1">
      <c r="A335" s="19" t="str">
        <f t="shared" si="32"/>
        <v>АСУЭ.FB_IM_ADES_S.DOON</v>
      </c>
      <c r="B335" s="11">
        <v>7999</v>
      </c>
      <c r="C335" s="11" t="s">
        <v>0</v>
      </c>
      <c r="D335" s="20" t="str">
        <f>"#"&amp;$S$2&amp;"#"&amp;$T$2&amp;"\"&amp;$P$2&amp;"\DOON"</f>
        <v>#1#treiOPCDA.CoOPCserv.1\pcmaster\S_IM_ADES\DOON</v>
      </c>
      <c r="BK335" s="4"/>
      <c r="BL335" s="4"/>
      <c r="BM335" s="4"/>
      <c r="BN335" s="4"/>
    </row>
    <row r="336" spans="1:66" ht="15" customHeight="1">
      <c r="A336" s="19" t="str">
        <f t="shared" si="32"/>
        <v>АСУЭ.FB_IM_ADES_S.DOON</v>
      </c>
      <c r="B336" s="11">
        <v>7998</v>
      </c>
      <c r="C336" s="11" t="s">
        <v>6</v>
      </c>
      <c r="D336" s="20">
        <v>1</v>
      </c>
      <c r="BK336" s="4"/>
      <c r="BL336" s="4"/>
      <c r="BM336" s="4"/>
      <c r="BN336" s="4"/>
    </row>
    <row r="337" spans="1:66" ht="15" customHeight="1">
      <c r="A337" s="19" t="str">
        <f t="shared" si="32"/>
        <v>АСУЭ.FB_IM_ADES_S.DOON</v>
      </c>
      <c r="B337" s="11">
        <v>101</v>
      </c>
      <c r="C337" s="11" t="s">
        <v>0</v>
      </c>
      <c r="D337" s="20" t="str">
        <f>"Недостоверное Выходное  значение Включить"</f>
        <v>Недостоверное Выходное  значение Включить</v>
      </c>
      <c r="BK337" s="4"/>
      <c r="BL337" s="4"/>
      <c r="BM337" s="4"/>
      <c r="BN337" s="4"/>
    </row>
    <row r="338" spans="1:66" ht="15" customHeight="1">
      <c r="A338" s="19" t="str">
        <f t="shared" si="32"/>
        <v>АСУЭ.FB_IM_ADES_S.DOON</v>
      </c>
      <c r="B338" s="11">
        <v>3</v>
      </c>
      <c r="C338" s="11" t="s">
        <v>1</v>
      </c>
      <c r="D338" s="20">
        <v>192</v>
      </c>
      <c r="BK338" s="4"/>
      <c r="BL338" s="4"/>
      <c r="BM338" s="4"/>
      <c r="BN338" s="4"/>
    </row>
    <row r="339" spans="1:66" ht="15" customHeight="1">
      <c r="A339" s="19" t="str">
        <f t="shared" si="32"/>
        <v>АСУЭ.FB_IM_ADES_S.DOON</v>
      </c>
      <c r="B339" s="11">
        <v>2</v>
      </c>
      <c r="C339" s="11" t="s">
        <v>2</v>
      </c>
      <c r="D339" s="20" t="s">
        <v>3</v>
      </c>
      <c r="BK339" s="4"/>
      <c r="BL339" s="4"/>
      <c r="BM339" s="4"/>
      <c r="BN339" s="4"/>
    </row>
    <row r="340" spans="1:66" ht="15" customHeight="1">
      <c r="A340" s="21" t="str">
        <f t="shared" si="32"/>
        <v>АСУЭ.FB_IM_ADES_S.DOON</v>
      </c>
      <c r="B340" s="8">
        <v>1</v>
      </c>
      <c r="C340" s="8" t="s">
        <v>1</v>
      </c>
      <c r="D340" s="22">
        <v>11</v>
      </c>
      <c r="BK340" s="4"/>
      <c r="BL340" s="4"/>
      <c r="BM340" s="4"/>
      <c r="BN340" s="4"/>
    </row>
    <row r="341" spans="1:66" ht="15" customHeight="1">
      <c r="A341" s="163" t="str">
        <f t="shared" ref="A341:A350" si="33">$R$2&amp;".DOOF"</f>
        <v>АСУЭ.FB_IM_ADES_S.DOOF</v>
      </c>
      <c r="B341" s="123">
        <v>11154</v>
      </c>
      <c r="C341" s="123" t="s">
        <v>4</v>
      </c>
      <c r="D341" s="124">
        <f>$Q$9</f>
        <v>10</v>
      </c>
      <c r="BK341" s="4"/>
      <c r="BL341" s="4"/>
      <c r="BM341" s="4"/>
      <c r="BN341" s="4"/>
    </row>
    <row r="342" spans="1:66" ht="15" customHeight="1">
      <c r="A342" s="110" t="str">
        <f t="shared" si="33"/>
        <v>АСУЭ.FB_IM_ADES_S.DOOF</v>
      </c>
      <c r="B342" s="111">
        <v>11150</v>
      </c>
      <c r="C342" s="111" t="s">
        <v>0</v>
      </c>
      <c r="D342" s="112" t="str">
        <f>"Недостоверность: выходное  значение Отключить"</f>
        <v>Недостоверность: выходное  значение Отключить</v>
      </c>
      <c r="BK342" s="4"/>
      <c r="BL342" s="4"/>
      <c r="BM342" s="4"/>
      <c r="BN342" s="4"/>
    </row>
    <row r="343" spans="1:66" ht="15" customHeight="1">
      <c r="A343" s="110" t="str">
        <f t="shared" si="33"/>
        <v>АСУЭ.FB_IM_ADES_S.DOOF</v>
      </c>
      <c r="B343" s="111">
        <v>11152</v>
      </c>
      <c r="C343" s="111" t="s">
        <v>0</v>
      </c>
      <c r="D343" s="113" t="str">
        <f>$R$9</f>
        <v>Недостоверность</v>
      </c>
      <c r="BK343" s="4"/>
      <c r="BL343" s="4"/>
      <c r="BM343" s="4"/>
      <c r="BN343" s="4"/>
    </row>
    <row r="344" spans="1:66" ht="15" customHeight="1">
      <c r="A344" s="110" t="str">
        <f t="shared" si="33"/>
        <v>АСУЭ.FB_IM_ADES_S.DOOF</v>
      </c>
      <c r="B344" s="111">
        <v>11000</v>
      </c>
      <c r="C344" s="111" t="s">
        <v>5</v>
      </c>
      <c r="D344" s="112">
        <v>2147483680</v>
      </c>
      <c r="BK344" s="4"/>
      <c r="BL344" s="4"/>
      <c r="BM344" s="4"/>
      <c r="BN344" s="4"/>
    </row>
    <row r="345" spans="1:66" ht="15" customHeight="1">
      <c r="A345" s="19" t="str">
        <f t="shared" si="33"/>
        <v>АСУЭ.FB_IM_ADES_S.DOOF</v>
      </c>
      <c r="B345" s="11">
        <v>7999</v>
      </c>
      <c r="C345" s="11" t="s">
        <v>0</v>
      </c>
      <c r="D345" s="20" t="str">
        <f>"#"&amp;$S$2&amp;"#"&amp;$T$2&amp;"\"&amp;$P$2&amp;"\DOOF"</f>
        <v>#1#treiOPCDA.CoOPCserv.1\pcmaster\S_IM_ADES\DOOF</v>
      </c>
      <c r="BK345" s="4"/>
      <c r="BL345" s="4"/>
      <c r="BM345" s="4"/>
      <c r="BN345" s="4"/>
    </row>
    <row r="346" spans="1:66" ht="15" customHeight="1">
      <c r="A346" s="19" t="str">
        <f t="shared" si="33"/>
        <v>АСУЭ.FB_IM_ADES_S.DOOF</v>
      </c>
      <c r="B346" s="11">
        <v>7998</v>
      </c>
      <c r="C346" s="11" t="s">
        <v>6</v>
      </c>
      <c r="D346" s="20">
        <v>1</v>
      </c>
      <c r="BK346" s="4"/>
      <c r="BL346" s="4"/>
      <c r="BM346" s="4"/>
      <c r="BN346" s="4"/>
    </row>
    <row r="347" spans="1:66" ht="15" customHeight="1">
      <c r="A347" s="19" t="str">
        <f t="shared" si="33"/>
        <v>АСУЭ.FB_IM_ADES_S.DOOF</v>
      </c>
      <c r="B347" s="11">
        <v>101</v>
      </c>
      <c r="C347" s="11" t="s">
        <v>0</v>
      </c>
      <c r="D347" s="20" t="str">
        <f>"Недостоверное Выходное значение Отключить"</f>
        <v>Недостоверное Выходное значение Отключить</v>
      </c>
      <c r="BK347" s="4"/>
      <c r="BL347" s="4"/>
      <c r="BM347" s="4"/>
      <c r="BN347" s="4"/>
    </row>
    <row r="348" spans="1:66" ht="15" customHeight="1">
      <c r="A348" s="19" t="str">
        <f t="shared" si="33"/>
        <v>АСУЭ.FB_IM_ADES_S.DOOF</v>
      </c>
      <c r="B348" s="11">
        <v>3</v>
      </c>
      <c r="C348" s="11" t="s">
        <v>1</v>
      </c>
      <c r="D348" s="20">
        <v>192</v>
      </c>
      <c r="BK348" s="4"/>
      <c r="BL348" s="4"/>
      <c r="BM348" s="4"/>
      <c r="BN348" s="4"/>
    </row>
    <row r="349" spans="1:66" ht="15" customHeight="1">
      <c r="A349" s="19" t="str">
        <f t="shared" si="33"/>
        <v>АСУЭ.FB_IM_ADES_S.DOOF</v>
      </c>
      <c r="B349" s="11">
        <v>2</v>
      </c>
      <c r="C349" s="11" t="s">
        <v>2</v>
      </c>
      <c r="D349" s="20" t="s">
        <v>3</v>
      </c>
      <c r="BK349" s="4"/>
      <c r="BL349" s="4"/>
      <c r="BM349" s="4"/>
      <c r="BN349" s="4"/>
    </row>
    <row r="350" spans="1:66" ht="15" customHeight="1">
      <c r="A350" s="21" t="str">
        <f t="shared" si="33"/>
        <v>АСУЭ.FB_IM_ADES_S.DOOF</v>
      </c>
      <c r="B350" s="8">
        <v>1</v>
      </c>
      <c r="C350" s="8" t="s">
        <v>1</v>
      </c>
      <c r="D350" s="22">
        <v>11</v>
      </c>
      <c r="BK350" s="4"/>
      <c r="BL350" s="4"/>
      <c r="BM350" s="4"/>
      <c r="BN350" s="4"/>
    </row>
    <row r="351" spans="1:66" ht="15" customHeight="1">
      <c r="A351" s="163" t="str">
        <f t="shared" ref="A351:A360" si="34">$R$2&amp;".DOSP"</f>
        <v>АСУЭ.FB_IM_ADES_S.DOSP</v>
      </c>
      <c r="B351" s="123">
        <v>11154</v>
      </c>
      <c r="C351" s="123" t="s">
        <v>4</v>
      </c>
      <c r="D351" s="124">
        <f>$Q$9</f>
        <v>10</v>
      </c>
      <c r="BK351" s="4"/>
      <c r="BL351" s="4"/>
      <c r="BM351" s="4"/>
      <c r="BN351" s="4"/>
    </row>
    <row r="352" spans="1:66" ht="15" customHeight="1">
      <c r="A352" s="110" t="str">
        <f t="shared" si="34"/>
        <v>АСУЭ.FB_IM_ADES_S.DOSP</v>
      </c>
      <c r="B352" s="111">
        <v>11150</v>
      </c>
      <c r="C352" s="111" t="s">
        <v>0</v>
      </c>
      <c r="D352" s="112" t="s">
        <v>189</v>
      </c>
      <c r="BK352" s="4"/>
      <c r="BL352" s="4"/>
      <c r="BM352" s="4"/>
      <c r="BN352" s="4"/>
    </row>
    <row r="353" spans="1:66" ht="15" customHeight="1">
      <c r="A353" s="110" t="str">
        <f t="shared" si="34"/>
        <v>АСУЭ.FB_IM_ADES_S.DOSP</v>
      </c>
      <c r="B353" s="111">
        <v>11152</v>
      </c>
      <c r="C353" s="111" t="s">
        <v>0</v>
      </c>
      <c r="D353" s="113" t="str">
        <f>$R$9</f>
        <v>Недостоверность</v>
      </c>
      <c r="BK353" s="4"/>
      <c r="BL353" s="4"/>
      <c r="BM353" s="4"/>
      <c r="BN353" s="4"/>
    </row>
    <row r="354" spans="1:66" ht="15" customHeight="1">
      <c r="A354" s="110" t="str">
        <f t="shared" si="34"/>
        <v>АСУЭ.FB_IM_ADES_S.DOSP</v>
      </c>
      <c r="B354" s="111">
        <v>11000</v>
      </c>
      <c r="C354" s="111" t="s">
        <v>5</v>
      </c>
      <c r="D354" s="112">
        <v>2147483680</v>
      </c>
      <c r="BK354" s="4"/>
      <c r="BL354" s="4"/>
      <c r="BM354" s="4"/>
      <c r="BN354" s="4"/>
    </row>
    <row r="355" spans="1:66" ht="15" customHeight="1">
      <c r="A355" s="19" t="str">
        <f t="shared" si="34"/>
        <v>АСУЭ.FB_IM_ADES_S.DOSP</v>
      </c>
      <c r="B355" s="11">
        <v>7999</v>
      </c>
      <c r="C355" s="11" t="s">
        <v>0</v>
      </c>
      <c r="D355" s="20" t="str">
        <f>"#"&amp;$S$2&amp;"#"&amp;$T$2&amp;"\"&amp;$P$2&amp;"\DOSP"</f>
        <v>#1#treiOPCDA.CoOPCserv.1\pcmaster\S_IM_ADES\DOSP</v>
      </c>
      <c r="BK355" s="4"/>
      <c r="BL355" s="4"/>
      <c r="BM355" s="4"/>
      <c r="BN355" s="4"/>
    </row>
    <row r="356" spans="1:66" ht="15" customHeight="1">
      <c r="A356" s="19" t="str">
        <f t="shared" si="34"/>
        <v>АСУЭ.FB_IM_ADES_S.DOSP</v>
      </c>
      <c r="B356" s="11">
        <v>7998</v>
      </c>
      <c r="C356" s="11" t="s">
        <v>6</v>
      </c>
      <c r="D356" s="20">
        <v>1</v>
      </c>
      <c r="BK356" s="4"/>
      <c r="BL356" s="4"/>
      <c r="BM356" s="4"/>
      <c r="BN356" s="4"/>
    </row>
    <row r="357" spans="1:66" ht="15" customHeight="1">
      <c r="A357" s="19" t="str">
        <f t="shared" si="34"/>
        <v>АСУЭ.FB_IM_ADES_S.DOSP</v>
      </c>
      <c r="B357" s="11">
        <v>101</v>
      </c>
      <c r="C357" s="11" t="s">
        <v>0</v>
      </c>
      <c r="D357" s="20" t="s">
        <v>103</v>
      </c>
      <c r="BK357" s="4"/>
      <c r="BL357" s="4"/>
      <c r="BM357" s="4"/>
      <c r="BN357" s="4"/>
    </row>
    <row r="358" spans="1:66" ht="15" customHeight="1">
      <c r="A358" s="19" t="str">
        <f t="shared" si="34"/>
        <v>АСУЭ.FB_IM_ADES_S.DOSP</v>
      </c>
      <c r="B358" s="11">
        <v>3</v>
      </c>
      <c r="C358" s="11" t="s">
        <v>1</v>
      </c>
      <c r="D358" s="20">
        <v>192</v>
      </c>
      <c r="BK358" s="4"/>
      <c r="BL358" s="4"/>
      <c r="BM358" s="4"/>
      <c r="BN358" s="4"/>
    </row>
    <row r="359" spans="1:66" ht="15" customHeight="1">
      <c r="A359" s="19" t="str">
        <f t="shared" si="34"/>
        <v>АСУЭ.FB_IM_ADES_S.DOSP</v>
      </c>
      <c r="B359" s="11">
        <v>2</v>
      </c>
      <c r="C359" s="11" t="s">
        <v>2</v>
      </c>
      <c r="D359" s="20" t="s">
        <v>3</v>
      </c>
      <c r="BK359" s="4"/>
      <c r="BL359" s="4"/>
      <c r="BM359" s="4"/>
      <c r="BN359" s="4"/>
    </row>
    <row r="360" spans="1:66" ht="15" customHeight="1">
      <c r="A360" s="19" t="str">
        <f t="shared" si="34"/>
        <v>АСУЭ.FB_IM_ADES_S.DOSP</v>
      </c>
      <c r="B360" s="11">
        <v>1</v>
      </c>
      <c r="C360" s="11" t="s">
        <v>1</v>
      </c>
      <c r="D360" s="20">
        <v>11</v>
      </c>
      <c r="BK360" s="4"/>
      <c r="BL360" s="4"/>
      <c r="BM360" s="4"/>
      <c r="BN360" s="4"/>
    </row>
    <row r="361" spans="1:66" ht="15" customHeight="1">
      <c r="A361" s="130" t="str">
        <f t="shared" ref="A361:A372" si="35">$R$2&amp;".XRPX"</f>
        <v>АСУЭ.FB_IM_ADES_S.XRPX</v>
      </c>
      <c r="B361" s="131">
        <v>11154</v>
      </c>
      <c r="C361" s="131" t="s">
        <v>4</v>
      </c>
      <c r="D361" s="132">
        <f>$Q$11</f>
        <v>14</v>
      </c>
      <c r="BK361" s="4"/>
      <c r="BL361" s="4"/>
      <c r="BM361" s="4"/>
      <c r="BN361" s="4"/>
    </row>
    <row r="362" spans="1:66" ht="15" customHeight="1">
      <c r="A362" s="133" t="str">
        <f t="shared" si="35"/>
        <v>АСУЭ.FB_IM_ADES_S.XRPX</v>
      </c>
      <c r="B362" s="134">
        <v>11150</v>
      </c>
      <c r="C362" s="134" t="s">
        <v>0</v>
      </c>
      <c r="D362" s="135" t="s">
        <v>89</v>
      </c>
      <c r="BK362" s="4"/>
      <c r="BL362" s="4"/>
      <c r="BM362" s="4"/>
      <c r="BN362" s="4"/>
    </row>
    <row r="363" spans="1:66" ht="15" customHeight="1">
      <c r="A363" s="133" t="str">
        <f t="shared" si="35"/>
        <v>АСУЭ.FB_IM_ADES_S.XRPX</v>
      </c>
      <c r="B363" s="134">
        <v>11152</v>
      </c>
      <c r="C363" s="134" t="s">
        <v>0</v>
      </c>
      <c r="D363" s="136" t="str">
        <f>$R$11</f>
        <v>Ремонт</v>
      </c>
      <c r="BK363" s="4"/>
      <c r="BL363" s="4"/>
      <c r="BM363" s="4"/>
      <c r="BN363" s="4"/>
    </row>
    <row r="364" spans="1:66" ht="15" customHeight="1">
      <c r="A364" s="133" t="str">
        <f t="shared" si="35"/>
        <v>АСУЭ.FB_IM_ADES_S.XRPX</v>
      </c>
      <c r="B364" s="134">
        <v>11000</v>
      </c>
      <c r="C364" s="134" t="s">
        <v>5</v>
      </c>
      <c r="D364" s="135">
        <v>2147483680</v>
      </c>
      <c r="BK364" s="4"/>
      <c r="BL364" s="4"/>
      <c r="BM364" s="4"/>
      <c r="BN364" s="4"/>
    </row>
    <row r="365" spans="1:66" ht="15" customHeight="1">
      <c r="A365" s="19" t="str">
        <f t="shared" si="35"/>
        <v>АСУЭ.FB_IM_ADES_S.XRPX</v>
      </c>
      <c r="B365" s="11">
        <v>7999</v>
      </c>
      <c r="C365" s="11" t="s">
        <v>0</v>
      </c>
      <c r="D365" s="20" t="str">
        <f>"#"&amp;$S$2&amp;"#"&amp;$T$2&amp;"\"&amp;$P$2&amp;"\XRPX"</f>
        <v>#1#treiOPCDA.CoOPCserv.1\pcmaster\S_IM_ADES\XRPX</v>
      </c>
      <c r="BK365" s="4"/>
      <c r="BL365" s="4"/>
      <c r="BM365" s="4"/>
      <c r="BN365" s="4"/>
    </row>
    <row r="366" spans="1:66" ht="15" customHeight="1">
      <c r="A366" s="19" t="str">
        <f t="shared" si="35"/>
        <v>АСУЭ.FB_IM_ADES_S.XRPX</v>
      </c>
      <c r="B366" s="11">
        <v>7998</v>
      </c>
      <c r="C366" s="11" t="s">
        <v>6</v>
      </c>
      <c r="D366" s="20">
        <v>1</v>
      </c>
      <c r="BK366" s="4"/>
      <c r="BL366" s="4"/>
      <c r="BM366" s="4"/>
      <c r="BN366" s="4"/>
    </row>
    <row r="367" spans="1:66" ht="15" customHeight="1">
      <c r="A367" s="19" t="str">
        <f t="shared" si="35"/>
        <v>АСУЭ.FB_IM_ADES_S.XRPX</v>
      </c>
      <c r="B367" s="11">
        <v>101</v>
      </c>
      <c r="C367" s="11" t="s">
        <v>0</v>
      </c>
      <c r="D367" s="20" t="s">
        <v>137</v>
      </c>
      <c r="BK367" s="4"/>
      <c r="BL367" s="4"/>
      <c r="BM367" s="4"/>
      <c r="BN367" s="4"/>
    </row>
    <row r="368" spans="1:66" ht="15" customHeight="1">
      <c r="A368" s="19" t="str">
        <f t="shared" si="35"/>
        <v>АСУЭ.FB_IM_ADES_S.XRPX</v>
      </c>
      <c r="B368" s="11">
        <v>3</v>
      </c>
      <c r="C368" s="11" t="s">
        <v>1</v>
      </c>
      <c r="D368" s="20">
        <v>192</v>
      </c>
      <c r="BK368" s="4"/>
      <c r="BL368" s="4"/>
      <c r="BM368" s="4"/>
      <c r="BN368" s="4"/>
    </row>
    <row r="369" spans="1:66" ht="15" customHeight="1">
      <c r="A369" s="19" t="str">
        <f t="shared" si="35"/>
        <v>АСУЭ.FB_IM_ADES_S.XRPX</v>
      </c>
      <c r="B369" s="11">
        <v>2</v>
      </c>
      <c r="C369" s="11" t="s">
        <v>2</v>
      </c>
      <c r="D369" s="20" t="s">
        <v>3</v>
      </c>
      <c r="BK369" s="4"/>
      <c r="BL369" s="4"/>
      <c r="BM369" s="4"/>
      <c r="BN369" s="4"/>
    </row>
    <row r="370" spans="1:66" ht="15" customHeight="1">
      <c r="A370" s="19" t="str">
        <f t="shared" si="35"/>
        <v>АСУЭ.FB_IM_ADES_S.XRPX</v>
      </c>
      <c r="B370" s="11">
        <v>1</v>
      </c>
      <c r="C370" s="11" t="s">
        <v>1</v>
      </c>
      <c r="D370" s="20">
        <v>11</v>
      </c>
      <c r="BK370" s="4"/>
      <c r="BL370" s="4"/>
      <c r="BM370" s="4"/>
      <c r="BN370" s="4"/>
    </row>
    <row r="371" spans="1:66" ht="15" customHeight="1">
      <c r="A371" s="29" t="str">
        <f t="shared" si="35"/>
        <v>АСУЭ.FB_IM_ADES_S.XRPX</v>
      </c>
      <c r="B371" s="1">
        <v>4000000</v>
      </c>
      <c r="C371" s="1" t="s">
        <v>0</v>
      </c>
      <c r="D371" s="415" t="s">
        <v>1483</v>
      </c>
      <c r="BK371" s="4"/>
      <c r="BL371" s="4"/>
      <c r="BM371" s="4"/>
      <c r="BN371" s="4"/>
    </row>
    <row r="372" spans="1:66" ht="15" customHeight="1">
      <c r="A372" s="26" t="str">
        <f t="shared" si="35"/>
        <v>АСУЭ.FB_IM_ADES_S.XRPX</v>
      </c>
      <c r="B372" s="27">
        <v>7000000</v>
      </c>
      <c r="C372" s="27" t="s">
        <v>6</v>
      </c>
      <c r="D372" s="28">
        <v>2</v>
      </c>
      <c r="BK372" s="4"/>
      <c r="BL372" s="4"/>
      <c r="BM372" s="4"/>
      <c r="BN372" s="4"/>
    </row>
    <row r="373" spans="1:66" ht="15" customHeight="1">
      <c r="A373" s="100" t="str">
        <f t="shared" ref="A373:A382" si="36">$R$2&amp;".XMMX"</f>
        <v>АСУЭ.FB_IM_ADES_S.XMMX</v>
      </c>
      <c r="B373" s="101">
        <v>11154</v>
      </c>
      <c r="C373" s="101" t="s">
        <v>4</v>
      </c>
      <c r="D373" s="102">
        <f>$Q$8</f>
        <v>18</v>
      </c>
      <c r="BK373" s="4"/>
      <c r="BL373" s="4"/>
      <c r="BM373" s="4"/>
      <c r="BN373" s="4"/>
    </row>
    <row r="374" spans="1:66" ht="15" customHeight="1">
      <c r="A374" s="100" t="str">
        <f t="shared" si="36"/>
        <v>АСУЭ.FB_IM_ADES_S.XMMX</v>
      </c>
      <c r="B374" s="101">
        <v>11150</v>
      </c>
      <c r="C374" s="101" t="s">
        <v>0</v>
      </c>
      <c r="D374" s="103" t="s">
        <v>134</v>
      </c>
      <c r="BK374" s="4"/>
      <c r="BL374" s="4"/>
      <c r="BM374" s="4"/>
      <c r="BN374" s="4"/>
    </row>
    <row r="375" spans="1:66" ht="15" customHeight="1">
      <c r="A375" s="100" t="str">
        <f t="shared" si="36"/>
        <v>АСУЭ.FB_IM_ADES_S.XMMX</v>
      </c>
      <c r="B375" s="101">
        <v>11152</v>
      </c>
      <c r="C375" s="101" t="s">
        <v>0</v>
      </c>
      <c r="D375" s="104" t="str">
        <f>$R$8</f>
        <v>Телесигнализация</v>
      </c>
      <c r="BK375" s="4"/>
      <c r="BL375" s="4"/>
      <c r="BM375" s="4"/>
      <c r="BN375" s="4"/>
    </row>
    <row r="376" spans="1:66" ht="15" customHeight="1">
      <c r="A376" s="100" t="str">
        <f t="shared" si="36"/>
        <v>АСУЭ.FB_IM_ADES_S.XMMX</v>
      </c>
      <c r="B376" s="101">
        <v>11000</v>
      </c>
      <c r="C376" s="101" t="s">
        <v>5</v>
      </c>
      <c r="D376" s="103">
        <v>2147483680</v>
      </c>
      <c r="BK376" s="4"/>
      <c r="BL376" s="4"/>
      <c r="BM376" s="4"/>
      <c r="BN376" s="4"/>
    </row>
    <row r="377" spans="1:66" ht="15" customHeight="1">
      <c r="A377" s="19" t="str">
        <f t="shared" si="36"/>
        <v>АСУЭ.FB_IM_ADES_S.XMMX</v>
      </c>
      <c r="B377" s="11">
        <v>7999</v>
      </c>
      <c r="C377" s="11" t="s">
        <v>0</v>
      </c>
      <c r="D377" s="20" t="str">
        <f>"#"&amp;$S$2&amp;"#"&amp;$T$2&amp;"\"&amp;$P$2&amp;"\XMMX"</f>
        <v>#1#treiOPCDA.CoOPCserv.1\pcmaster\S_IM_ADES\XMMX</v>
      </c>
      <c r="BK377" s="4"/>
      <c r="BL377" s="4"/>
      <c r="BM377" s="4"/>
      <c r="BN377" s="4"/>
    </row>
    <row r="378" spans="1:66" ht="15" customHeight="1">
      <c r="A378" s="19" t="str">
        <f t="shared" si="36"/>
        <v>АСУЭ.FB_IM_ADES_S.XMMX</v>
      </c>
      <c r="B378" s="11">
        <v>7998</v>
      </c>
      <c r="C378" s="11" t="s">
        <v>6</v>
      </c>
      <c r="D378" s="20">
        <v>1</v>
      </c>
      <c r="BK378" s="4"/>
      <c r="BL378" s="4"/>
      <c r="BM378" s="4"/>
      <c r="BN378" s="4"/>
    </row>
    <row r="379" spans="1:66" ht="15" customHeight="1">
      <c r="A379" s="19" t="str">
        <f t="shared" si="36"/>
        <v>АСУЭ.FB_IM_ADES_S.XMMX</v>
      </c>
      <c r="B379" s="11">
        <v>101</v>
      </c>
      <c r="C379" s="11" t="s">
        <v>0</v>
      </c>
      <c r="D379" s="20" t="s">
        <v>574</v>
      </c>
      <c r="BK379" s="4"/>
      <c r="BL379" s="4"/>
      <c r="BM379" s="4"/>
      <c r="BN379" s="4"/>
    </row>
    <row r="380" spans="1:66" ht="15" customHeight="1">
      <c r="A380" s="19" t="str">
        <f t="shared" si="36"/>
        <v>АСУЭ.FB_IM_ADES_S.XMMX</v>
      </c>
      <c r="B380" s="11">
        <v>3</v>
      </c>
      <c r="C380" s="11" t="s">
        <v>1</v>
      </c>
      <c r="D380" s="20">
        <v>192</v>
      </c>
      <c r="BK380" s="4"/>
      <c r="BL380" s="4"/>
      <c r="BM380" s="4"/>
      <c r="BN380" s="4"/>
    </row>
    <row r="381" spans="1:66" ht="15" customHeight="1">
      <c r="A381" s="19" t="str">
        <f t="shared" si="36"/>
        <v>АСУЭ.FB_IM_ADES_S.XMMX</v>
      </c>
      <c r="B381" s="11">
        <v>2</v>
      </c>
      <c r="C381" s="11" t="s">
        <v>2</v>
      </c>
      <c r="D381" s="20" t="s">
        <v>3</v>
      </c>
      <c r="BK381" s="4"/>
      <c r="BL381" s="4"/>
      <c r="BM381" s="4"/>
      <c r="BN381" s="4"/>
    </row>
    <row r="382" spans="1:66" ht="15" customHeight="1">
      <c r="A382" s="21" t="str">
        <f t="shared" si="36"/>
        <v>АСУЭ.FB_IM_ADES_S.XMMX</v>
      </c>
      <c r="B382" s="8">
        <v>1</v>
      </c>
      <c r="C382" s="8" t="s">
        <v>1</v>
      </c>
      <c r="D382" s="22">
        <v>11</v>
      </c>
      <c r="BK382" s="4"/>
      <c r="BL382" s="4"/>
      <c r="BM382" s="4"/>
      <c r="BN382" s="4"/>
    </row>
    <row r="383" spans="1:66" ht="15" customHeight="1">
      <c r="A383" s="159" t="str">
        <f t="shared" ref="A383:A392" si="37">$R$2&amp;".XONX"</f>
        <v>АСУЭ.FB_IM_ADES_S.XONX</v>
      </c>
      <c r="B383" s="160">
        <v>11154</v>
      </c>
      <c r="C383" s="160" t="s">
        <v>4</v>
      </c>
      <c r="D383" s="161">
        <f>$Q$8</f>
        <v>18</v>
      </c>
      <c r="BK383" s="4"/>
      <c r="BL383" s="4"/>
      <c r="BM383" s="4"/>
      <c r="BN383" s="4"/>
    </row>
    <row r="384" spans="1:66" ht="15" customHeight="1">
      <c r="A384" s="100" t="str">
        <f t="shared" si="37"/>
        <v>АСУЭ.FB_IM_ADES_S.XONX</v>
      </c>
      <c r="B384" s="101">
        <v>11150</v>
      </c>
      <c r="C384" s="101" t="s">
        <v>0</v>
      </c>
      <c r="D384" s="103" t="s">
        <v>1852</v>
      </c>
      <c r="BK384" s="4"/>
      <c r="BL384" s="4"/>
      <c r="BM384" s="4"/>
      <c r="BN384" s="4"/>
    </row>
    <row r="385" spans="1:66" ht="15" customHeight="1">
      <c r="A385" s="100" t="str">
        <f t="shared" si="37"/>
        <v>АСУЭ.FB_IM_ADES_S.XONX</v>
      </c>
      <c r="B385" s="101">
        <v>11152</v>
      </c>
      <c r="C385" s="101" t="s">
        <v>0</v>
      </c>
      <c r="D385" s="104" t="str">
        <f>$R$8</f>
        <v>Телесигнализация</v>
      </c>
      <c r="BK385" s="4"/>
      <c r="BL385" s="4"/>
      <c r="BM385" s="4"/>
      <c r="BN385" s="4"/>
    </row>
    <row r="386" spans="1:66" ht="15" customHeight="1">
      <c r="A386" s="100" t="str">
        <f t="shared" si="37"/>
        <v>АСУЭ.FB_IM_ADES_S.XONX</v>
      </c>
      <c r="B386" s="101">
        <v>11000</v>
      </c>
      <c r="C386" s="101" t="s">
        <v>5</v>
      </c>
      <c r="D386" s="103">
        <v>2147483680</v>
      </c>
      <c r="BK386" s="4"/>
      <c r="BL386" s="4"/>
      <c r="BM386" s="4"/>
      <c r="BN386" s="4"/>
    </row>
    <row r="387" spans="1:66" ht="15" customHeight="1">
      <c r="A387" s="19" t="str">
        <f t="shared" si="37"/>
        <v>АСУЭ.FB_IM_ADES_S.XONX</v>
      </c>
      <c r="B387" s="11">
        <v>7999</v>
      </c>
      <c r="C387" s="11" t="s">
        <v>0</v>
      </c>
      <c r="D387" s="20" t="str">
        <f>"#"&amp;$S$2&amp;"#"&amp;$T$2&amp;"\"&amp;$P$2&amp;"\XONX"</f>
        <v>#1#treiOPCDA.CoOPCserv.1\pcmaster\S_IM_ADES\XONX</v>
      </c>
      <c r="BK387" s="4"/>
      <c r="BL387" s="4"/>
      <c r="BM387" s="4"/>
      <c r="BN387" s="4"/>
    </row>
    <row r="388" spans="1:66" ht="15" customHeight="1">
      <c r="A388" s="19" t="str">
        <f t="shared" si="37"/>
        <v>АСУЭ.FB_IM_ADES_S.XONX</v>
      </c>
      <c r="B388" s="11">
        <v>7998</v>
      </c>
      <c r="C388" s="11" t="s">
        <v>6</v>
      </c>
      <c r="D388" s="20">
        <v>1</v>
      </c>
      <c r="BK388" s="4"/>
      <c r="BL388" s="4"/>
      <c r="BM388" s="4"/>
      <c r="BN388" s="4"/>
    </row>
    <row r="389" spans="1:66" ht="15" customHeight="1">
      <c r="A389" s="19" t="str">
        <f t="shared" si="37"/>
        <v>АСУЭ.FB_IM_ADES_S.XONX</v>
      </c>
      <c r="B389" s="11">
        <v>101</v>
      </c>
      <c r="C389" s="11" t="s">
        <v>0</v>
      </c>
      <c r="D389" s="20" t="s">
        <v>1852</v>
      </c>
      <c r="BK389" s="4"/>
      <c r="BL389" s="4"/>
      <c r="BM389" s="4"/>
      <c r="BN389" s="4"/>
    </row>
    <row r="390" spans="1:66" ht="15" customHeight="1">
      <c r="A390" s="19" t="str">
        <f t="shared" si="37"/>
        <v>АСУЭ.FB_IM_ADES_S.XONX</v>
      </c>
      <c r="B390" s="11">
        <v>3</v>
      </c>
      <c r="C390" s="11" t="s">
        <v>1</v>
      </c>
      <c r="D390" s="20">
        <v>192</v>
      </c>
      <c r="BK390" s="4"/>
      <c r="BL390" s="4"/>
      <c r="BM390" s="4"/>
      <c r="BN390" s="4"/>
    </row>
    <row r="391" spans="1:66" ht="15" customHeight="1">
      <c r="A391" s="19" t="str">
        <f t="shared" si="37"/>
        <v>АСУЭ.FB_IM_ADES_S.XONX</v>
      </c>
      <c r="B391" s="11">
        <v>2</v>
      </c>
      <c r="C391" s="11" t="s">
        <v>2</v>
      </c>
      <c r="D391" s="20" t="s">
        <v>3</v>
      </c>
      <c r="BK391" s="4"/>
      <c r="BL391" s="4"/>
      <c r="BM391" s="4"/>
      <c r="BN391" s="4"/>
    </row>
    <row r="392" spans="1:66" ht="15" customHeight="1">
      <c r="A392" s="21" t="str">
        <f t="shared" si="37"/>
        <v>АСУЭ.FB_IM_ADES_S.XONX</v>
      </c>
      <c r="B392" s="8">
        <v>1</v>
      </c>
      <c r="C392" s="8" t="s">
        <v>1</v>
      </c>
      <c r="D392" s="22">
        <v>11</v>
      </c>
      <c r="BK392" s="4"/>
      <c r="BL392" s="4"/>
      <c r="BM392" s="4"/>
      <c r="BN392" s="4"/>
    </row>
    <row r="393" spans="1:66" ht="15" customHeight="1">
      <c r="A393" s="159" t="str">
        <f t="shared" ref="A393:A402" si="38">$R$2&amp;".XOFX"</f>
        <v>АСУЭ.FB_IM_ADES_S.XOFX</v>
      </c>
      <c r="B393" s="160">
        <v>11154</v>
      </c>
      <c r="C393" s="160" t="s">
        <v>4</v>
      </c>
      <c r="D393" s="161">
        <f>$Q$8</f>
        <v>18</v>
      </c>
      <c r="BK393" s="4"/>
      <c r="BL393" s="4"/>
      <c r="BM393" s="4"/>
      <c r="BN393" s="4"/>
    </row>
    <row r="394" spans="1:66" ht="15" customHeight="1">
      <c r="A394" s="100" t="str">
        <f t="shared" si="38"/>
        <v>АСУЭ.FB_IM_ADES_S.XOFX</v>
      </c>
      <c r="B394" s="101">
        <v>11150</v>
      </c>
      <c r="C394" s="101" t="s">
        <v>0</v>
      </c>
      <c r="D394" s="103" t="s">
        <v>1853</v>
      </c>
      <c r="BK394" s="4"/>
      <c r="BL394" s="4"/>
      <c r="BM394" s="4"/>
      <c r="BN394" s="4"/>
    </row>
    <row r="395" spans="1:66" ht="15" customHeight="1">
      <c r="A395" s="100" t="str">
        <f t="shared" si="38"/>
        <v>АСУЭ.FB_IM_ADES_S.XOFX</v>
      </c>
      <c r="B395" s="101">
        <v>11152</v>
      </c>
      <c r="C395" s="101" t="s">
        <v>0</v>
      </c>
      <c r="D395" s="104" t="str">
        <f>$R$8</f>
        <v>Телесигнализация</v>
      </c>
      <c r="BK395" s="4"/>
      <c r="BL395" s="4"/>
      <c r="BM395" s="4"/>
      <c r="BN395" s="4"/>
    </row>
    <row r="396" spans="1:66" ht="15" customHeight="1">
      <c r="A396" s="100" t="str">
        <f t="shared" si="38"/>
        <v>АСУЭ.FB_IM_ADES_S.XOFX</v>
      </c>
      <c r="B396" s="101">
        <v>11000</v>
      </c>
      <c r="C396" s="101" t="s">
        <v>5</v>
      </c>
      <c r="D396" s="103">
        <v>2147483680</v>
      </c>
      <c r="BK396" s="4"/>
      <c r="BL396" s="4"/>
      <c r="BM396" s="4"/>
      <c r="BN396" s="4"/>
    </row>
    <row r="397" spans="1:66" ht="15" customHeight="1">
      <c r="A397" s="19" t="str">
        <f t="shared" si="38"/>
        <v>АСУЭ.FB_IM_ADES_S.XOFX</v>
      </c>
      <c r="B397" s="11">
        <v>7999</v>
      </c>
      <c r="C397" s="11" t="s">
        <v>0</v>
      </c>
      <c r="D397" s="20" t="str">
        <f>"#"&amp;$S$2&amp;"#"&amp;$T$2&amp;"\"&amp;$P$2&amp;"\XOFX"</f>
        <v>#1#treiOPCDA.CoOPCserv.1\pcmaster\S_IM_ADES\XOFX</v>
      </c>
      <c r="BK397" s="4"/>
      <c r="BL397" s="4"/>
      <c r="BM397" s="4"/>
      <c r="BN397" s="4"/>
    </row>
    <row r="398" spans="1:66" ht="15" customHeight="1">
      <c r="A398" s="19" t="str">
        <f t="shared" si="38"/>
        <v>АСУЭ.FB_IM_ADES_S.XOFX</v>
      </c>
      <c r="B398" s="11">
        <v>7998</v>
      </c>
      <c r="C398" s="11" t="s">
        <v>6</v>
      </c>
      <c r="D398" s="20">
        <v>1</v>
      </c>
      <c r="BK398" s="4"/>
      <c r="BL398" s="4"/>
      <c r="BM398" s="4"/>
      <c r="BN398" s="4"/>
    </row>
    <row r="399" spans="1:66" ht="15" customHeight="1">
      <c r="A399" s="19" t="str">
        <f t="shared" si="38"/>
        <v>АСУЭ.FB_IM_ADES_S.XOFX</v>
      </c>
      <c r="B399" s="11">
        <v>101</v>
      </c>
      <c r="C399" s="11" t="s">
        <v>0</v>
      </c>
      <c r="D399" s="20" t="s">
        <v>1853</v>
      </c>
      <c r="BK399" s="4"/>
      <c r="BL399" s="4"/>
      <c r="BM399" s="4"/>
      <c r="BN399" s="4"/>
    </row>
    <row r="400" spans="1:66" ht="15" customHeight="1">
      <c r="A400" s="19" t="str">
        <f t="shared" si="38"/>
        <v>АСУЭ.FB_IM_ADES_S.XOFX</v>
      </c>
      <c r="B400" s="11">
        <v>3</v>
      </c>
      <c r="C400" s="11" t="s">
        <v>1</v>
      </c>
      <c r="D400" s="20">
        <v>192</v>
      </c>
      <c r="BK400" s="4"/>
      <c r="BL400" s="4"/>
      <c r="BM400" s="4"/>
      <c r="BN400" s="4"/>
    </row>
    <row r="401" spans="1:66" ht="15" customHeight="1">
      <c r="A401" s="19" t="str">
        <f t="shared" si="38"/>
        <v>АСУЭ.FB_IM_ADES_S.XOFX</v>
      </c>
      <c r="B401" s="11">
        <v>2</v>
      </c>
      <c r="C401" s="11" t="s">
        <v>2</v>
      </c>
      <c r="D401" s="20" t="s">
        <v>3</v>
      </c>
      <c r="BK401" s="4"/>
      <c r="BL401" s="4"/>
      <c r="BM401" s="4"/>
      <c r="BN401" s="4"/>
    </row>
    <row r="402" spans="1:66" ht="15" customHeight="1">
      <c r="A402" s="21" t="str">
        <f t="shared" si="38"/>
        <v>АСУЭ.FB_IM_ADES_S.XOFX</v>
      </c>
      <c r="B402" s="8">
        <v>1</v>
      </c>
      <c r="C402" s="8" t="s">
        <v>1</v>
      </c>
      <c r="D402" s="22">
        <v>11</v>
      </c>
      <c r="BK402" s="4"/>
      <c r="BL402" s="4"/>
      <c r="BM402" s="4"/>
      <c r="BN402" s="4"/>
    </row>
    <row r="403" spans="1:66" ht="15" customHeight="1">
      <c r="A403" s="159" t="str">
        <f t="shared" ref="A403:A412" si="39">$R$2&amp;".XRCX"</f>
        <v>АСУЭ.FB_IM_ADES_S.XRCX</v>
      </c>
      <c r="B403" s="160">
        <v>11154</v>
      </c>
      <c r="C403" s="160" t="s">
        <v>4</v>
      </c>
      <c r="D403" s="161">
        <f>$Q$8</f>
        <v>18</v>
      </c>
      <c r="BK403" s="4"/>
      <c r="BL403" s="4"/>
      <c r="BM403" s="4"/>
      <c r="BN403" s="4"/>
    </row>
    <row r="404" spans="1:66" ht="15" customHeight="1">
      <c r="A404" s="100" t="str">
        <f t="shared" si="39"/>
        <v>АСУЭ.FB_IM_ADES_S.XRCX</v>
      </c>
      <c r="B404" s="101">
        <v>11150</v>
      </c>
      <c r="C404" s="101" t="s">
        <v>0</v>
      </c>
      <c r="D404" s="103" t="s">
        <v>136</v>
      </c>
      <c r="BK404" s="4"/>
      <c r="BL404" s="4"/>
      <c r="BM404" s="4"/>
      <c r="BN404" s="4"/>
    </row>
    <row r="405" spans="1:66" ht="15" customHeight="1">
      <c r="A405" s="100" t="str">
        <f t="shared" si="39"/>
        <v>АСУЭ.FB_IM_ADES_S.XRCX</v>
      </c>
      <c r="B405" s="101">
        <v>11152</v>
      </c>
      <c r="C405" s="101" t="s">
        <v>0</v>
      </c>
      <c r="D405" s="104" t="str">
        <f>$R$8</f>
        <v>Телесигнализация</v>
      </c>
      <c r="BK405" s="4"/>
      <c r="BL405" s="4"/>
      <c r="BM405" s="4"/>
      <c r="BN405" s="4"/>
    </row>
    <row r="406" spans="1:66" ht="15" customHeight="1">
      <c r="A406" s="100" t="str">
        <f t="shared" si="39"/>
        <v>АСУЭ.FB_IM_ADES_S.XRCX</v>
      </c>
      <c r="B406" s="101">
        <v>11000</v>
      </c>
      <c r="C406" s="101" t="s">
        <v>5</v>
      </c>
      <c r="D406" s="103">
        <v>2147483680</v>
      </c>
      <c r="BK406" s="4"/>
      <c r="BL406" s="4"/>
      <c r="BM406" s="4"/>
      <c r="BN406" s="4"/>
    </row>
    <row r="407" spans="1:66" ht="15" customHeight="1">
      <c r="A407" s="19" t="str">
        <f t="shared" si="39"/>
        <v>АСУЭ.FB_IM_ADES_S.XRCX</v>
      </c>
      <c r="B407" s="11">
        <v>7999</v>
      </c>
      <c r="C407" s="11" t="s">
        <v>0</v>
      </c>
      <c r="D407" s="20" t="str">
        <f>"#"&amp;$S$2&amp;"#"&amp;$T$2&amp;"\"&amp;$P$2&amp;"\XRCX"</f>
        <v>#1#treiOPCDA.CoOPCserv.1\pcmaster\S_IM_ADES\XRCX</v>
      </c>
      <c r="BK407" s="4"/>
      <c r="BL407" s="4"/>
      <c r="BM407" s="4"/>
      <c r="BN407" s="4"/>
    </row>
    <row r="408" spans="1:66" ht="15" customHeight="1">
      <c r="A408" s="19" t="str">
        <f t="shared" si="39"/>
        <v>АСУЭ.FB_IM_ADES_S.XRCX</v>
      </c>
      <c r="B408" s="11">
        <v>7998</v>
      </c>
      <c r="C408" s="11" t="s">
        <v>6</v>
      </c>
      <c r="D408" s="20">
        <v>1</v>
      </c>
      <c r="BK408" s="4"/>
      <c r="BL408" s="4"/>
      <c r="BM408" s="4"/>
      <c r="BN408" s="4"/>
    </row>
    <row r="409" spans="1:66" ht="15" customHeight="1">
      <c r="A409" s="19" t="str">
        <f t="shared" si="39"/>
        <v>АСУЭ.FB_IM_ADES_S.XRCX</v>
      </c>
      <c r="B409" s="11">
        <v>101</v>
      </c>
      <c r="C409" s="11" t="s">
        <v>0</v>
      </c>
      <c r="D409" s="20" t="s">
        <v>575</v>
      </c>
      <c r="BK409" s="4"/>
      <c r="BL409" s="4"/>
      <c r="BM409" s="4"/>
      <c r="BN409" s="4"/>
    </row>
    <row r="410" spans="1:66" ht="15" customHeight="1">
      <c r="A410" s="19" t="str">
        <f t="shared" si="39"/>
        <v>АСУЭ.FB_IM_ADES_S.XRCX</v>
      </c>
      <c r="B410" s="11">
        <v>3</v>
      </c>
      <c r="C410" s="11" t="s">
        <v>1</v>
      </c>
      <c r="D410" s="20">
        <v>192</v>
      </c>
      <c r="BK410" s="4"/>
      <c r="BL410" s="4"/>
      <c r="BM410" s="4"/>
      <c r="BN410" s="4"/>
    </row>
    <row r="411" spans="1:66" ht="15" customHeight="1">
      <c r="A411" s="19" t="str">
        <f t="shared" si="39"/>
        <v>АСУЭ.FB_IM_ADES_S.XRCX</v>
      </c>
      <c r="B411" s="11">
        <v>2</v>
      </c>
      <c r="C411" s="11" t="s">
        <v>2</v>
      </c>
      <c r="D411" s="20" t="s">
        <v>3</v>
      </c>
      <c r="BK411" s="4"/>
      <c r="BL411" s="4"/>
      <c r="BM411" s="4"/>
      <c r="BN411" s="4"/>
    </row>
    <row r="412" spans="1:66" ht="15" customHeight="1">
      <c r="A412" s="21" t="str">
        <f t="shared" si="39"/>
        <v>АСУЭ.FB_IM_ADES_S.XRCX</v>
      </c>
      <c r="B412" s="8">
        <v>1</v>
      </c>
      <c r="C412" s="8" t="s">
        <v>1</v>
      </c>
      <c r="D412" s="22">
        <v>11</v>
      </c>
      <c r="BK412" s="4"/>
      <c r="BL412" s="4"/>
      <c r="BM412" s="4"/>
      <c r="BN412" s="4"/>
    </row>
    <row r="413" spans="1:66" ht="15" customHeight="1">
      <c r="A413" s="159" t="str">
        <f t="shared" ref="A413:A422" si="40">$R$2&amp;".OXSP"</f>
        <v>АСУЭ.FB_IM_ADES_S.OXSP</v>
      </c>
      <c r="B413" s="160">
        <v>11154</v>
      </c>
      <c r="C413" s="160" t="s">
        <v>4</v>
      </c>
      <c r="D413" s="161">
        <f>$Q$8</f>
        <v>18</v>
      </c>
      <c r="BK413" s="4"/>
      <c r="BL413" s="4"/>
      <c r="BM413" s="4"/>
      <c r="BN413" s="4"/>
    </row>
    <row r="414" spans="1:66" ht="15" customHeight="1">
      <c r="A414" s="100" t="str">
        <f t="shared" si="40"/>
        <v>АСУЭ.FB_IM_ADES_S.OXSP</v>
      </c>
      <c r="B414" s="101">
        <v>11150</v>
      </c>
      <c r="C414" s="101" t="s">
        <v>0</v>
      </c>
      <c r="D414" s="103" t="s">
        <v>190</v>
      </c>
      <c r="BK414" s="4"/>
      <c r="BL414" s="4"/>
      <c r="BM414" s="4"/>
      <c r="BN414" s="4"/>
    </row>
    <row r="415" spans="1:66" ht="15" customHeight="1">
      <c r="A415" s="100" t="str">
        <f t="shared" si="40"/>
        <v>АСУЭ.FB_IM_ADES_S.OXSP</v>
      </c>
      <c r="B415" s="101">
        <v>11152</v>
      </c>
      <c r="C415" s="101" t="s">
        <v>0</v>
      </c>
      <c r="D415" s="104" t="str">
        <f>$R$8</f>
        <v>Телесигнализация</v>
      </c>
      <c r="BK415" s="4"/>
      <c r="BL415" s="4"/>
      <c r="BM415" s="4"/>
      <c r="BN415" s="4"/>
    </row>
    <row r="416" spans="1:66" ht="15" customHeight="1">
      <c r="A416" s="100" t="str">
        <f t="shared" si="40"/>
        <v>АСУЭ.FB_IM_ADES_S.OXSP</v>
      </c>
      <c r="B416" s="101">
        <v>11000</v>
      </c>
      <c r="C416" s="101" t="s">
        <v>5</v>
      </c>
      <c r="D416" s="103">
        <v>2147483680</v>
      </c>
      <c r="BK416" s="4"/>
      <c r="BL416" s="4"/>
      <c r="BM416" s="4"/>
      <c r="BN416" s="4"/>
    </row>
    <row r="417" spans="1:66" ht="15" customHeight="1">
      <c r="A417" s="19" t="str">
        <f t="shared" si="40"/>
        <v>АСУЭ.FB_IM_ADES_S.OXSP</v>
      </c>
      <c r="B417" s="11">
        <v>7999</v>
      </c>
      <c r="C417" s="11" t="s">
        <v>0</v>
      </c>
      <c r="D417" s="20" t="str">
        <f>"#"&amp;$S$2&amp;"#"&amp;$T$2&amp;"\"&amp;$P$2&amp;"\OXSP"</f>
        <v>#1#treiOPCDA.CoOPCserv.1\pcmaster\S_IM_ADES\OXSP</v>
      </c>
      <c r="BK417" s="4"/>
      <c r="BL417" s="4"/>
      <c r="BM417" s="4"/>
      <c r="BN417" s="4"/>
    </row>
    <row r="418" spans="1:66" ht="15" customHeight="1">
      <c r="A418" s="19" t="str">
        <f t="shared" si="40"/>
        <v>АСУЭ.FB_IM_ADES_S.OXSP</v>
      </c>
      <c r="B418" s="11">
        <v>7998</v>
      </c>
      <c r="C418" s="11" t="s">
        <v>6</v>
      </c>
      <c r="D418" s="20">
        <v>1</v>
      </c>
      <c r="BK418" s="4"/>
      <c r="BL418" s="4"/>
      <c r="BM418" s="4"/>
      <c r="BN418" s="4"/>
    </row>
    <row r="419" spans="1:66" ht="15" customHeight="1">
      <c r="A419" s="19" t="str">
        <f t="shared" si="40"/>
        <v>АСУЭ.FB_IM_ADES_S.OXSP</v>
      </c>
      <c r="B419" s="11">
        <v>101</v>
      </c>
      <c r="C419" s="11" t="s">
        <v>0</v>
      </c>
      <c r="D419" s="20" t="s">
        <v>133</v>
      </c>
      <c r="BK419" s="4"/>
      <c r="BL419" s="4"/>
      <c r="BM419" s="4"/>
      <c r="BN419" s="4"/>
    </row>
    <row r="420" spans="1:66" ht="15" customHeight="1">
      <c r="A420" s="19" t="str">
        <f t="shared" si="40"/>
        <v>АСУЭ.FB_IM_ADES_S.OXSP</v>
      </c>
      <c r="B420" s="11">
        <v>3</v>
      </c>
      <c r="C420" s="11" t="s">
        <v>1</v>
      </c>
      <c r="D420" s="20">
        <v>192</v>
      </c>
      <c r="BK420" s="4"/>
      <c r="BL420" s="4"/>
      <c r="BM420" s="4"/>
      <c r="BN420" s="4"/>
    </row>
    <row r="421" spans="1:66" ht="15" customHeight="1">
      <c r="A421" s="19" t="str">
        <f t="shared" si="40"/>
        <v>АСУЭ.FB_IM_ADES_S.OXSP</v>
      </c>
      <c r="B421" s="11">
        <v>2</v>
      </c>
      <c r="C421" s="11" t="s">
        <v>2</v>
      </c>
      <c r="D421" s="20" t="s">
        <v>3</v>
      </c>
      <c r="BK421" s="4"/>
      <c r="BL421" s="4"/>
      <c r="BM421" s="4"/>
      <c r="BN421" s="4"/>
    </row>
    <row r="422" spans="1:66" ht="15" customHeight="1">
      <c r="A422" s="21" t="str">
        <f t="shared" si="40"/>
        <v>АСУЭ.FB_IM_ADES_S.OXSP</v>
      </c>
      <c r="B422" s="8">
        <v>1</v>
      </c>
      <c r="C422" s="8" t="s">
        <v>1</v>
      </c>
      <c r="D422" s="22">
        <v>11</v>
      </c>
      <c r="BK422" s="4"/>
      <c r="BL422" s="4"/>
      <c r="BM422" s="4"/>
      <c r="BN422" s="4"/>
    </row>
    <row r="423" spans="1:66" ht="15" customHeight="1">
      <c r="A423" s="159" t="str">
        <f t="shared" ref="A423:A426" si="41">$R$2&amp;".CAON"</f>
        <v>АСУЭ.FB_IM_ADES_S.CAON</v>
      </c>
      <c r="B423" s="160">
        <v>11154</v>
      </c>
      <c r="C423" s="160" t="s">
        <v>4</v>
      </c>
      <c r="D423" s="161">
        <f>$Q$8</f>
        <v>18</v>
      </c>
      <c r="BK423" s="4"/>
      <c r="BL423" s="4"/>
      <c r="BM423" s="4"/>
      <c r="BN423" s="4"/>
    </row>
    <row r="424" spans="1:66" ht="15" customHeight="1">
      <c r="A424" s="100" t="str">
        <f t="shared" si="41"/>
        <v>АСУЭ.FB_IM_ADES_S.CAON</v>
      </c>
      <c r="B424" s="101">
        <v>11150</v>
      </c>
      <c r="C424" s="101" t="s">
        <v>0</v>
      </c>
      <c r="D424" s="103" t="s">
        <v>1839</v>
      </c>
      <c r="BK424" s="4"/>
      <c r="BL424" s="4"/>
      <c r="BM424" s="4"/>
      <c r="BN424" s="4"/>
    </row>
    <row r="425" spans="1:66" ht="15" customHeight="1">
      <c r="A425" s="100" t="str">
        <f t="shared" si="41"/>
        <v>АСУЭ.FB_IM_ADES_S.CAON</v>
      </c>
      <c r="B425" s="101">
        <v>11152</v>
      </c>
      <c r="C425" s="101" t="s">
        <v>0</v>
      </c>
      <c r="D425" s="104" t="str">
        <f>$R$8</f>
        <v>Телесигнализация</v>
      </c>
      <c r="BK425" s="4"/>
      <c r="BL425" s="4"/>
      <c r="BM425" s="4"/>
      <c r="BN425" s="4"/>
    </row>
    <row r="426" spans="1:66" ht="15" customHeight="1">
      <c r="A426" s="100" t="str">
        <f t="shared" si="41"/>
        <v>АСУЭ.FB_IM_ADES_S.CAON</v>
      </c>
      <c r="B426" s="101">
        <v>11000</v>
      </c>
      <c r="C426" s="101" t="s">
        <v>5</v>
      </c>
      <c r="D426" s="103">
        <v>2147483680</v>
      </c>
      <c r="BK426" s="4"/>
      <c r="BL426" s="4"/>
      <c r="BM426" s="4"/>
      <c r="BN426" s="4"/>
    </row>
    <row r="427" spans="1:66" ht="15" customHeight="1">
      <c r="A427" s="19" t="str">
        <f t="shared" ref="A427:A432" si="42">$R$2&amp;".CAON"</f>
        <v>АСУЭ.FB_IM_ADES_S.CAON</v>
      </c>
      <c r="B427" s="11">
        <v>7999</v>
      </c>
      <c r="C427" s="11" t="s">
        <v>0</v>
      </c>
      <c r="D427" s="20" t="str">
        <f>"#"&amp;$S$2&amp;"#"&amp;$T$2&amp;"\"&amp;$P$2&amp;"\CAON"</f>
        <v>#1#treiOPCDA.CoOPCserv.1\pcmaster\S_IM_ADES\CAON</v>
      </c>
      <c r="BK427" s="4"/>
      <c r="BL427" s="4"/>
      <c r="BM427" s="4"/>
      <c r="BN427" s="4"/>
    </row>
    <row r="428" spans="1:66" ht="15" customHeight="1">
      <c r="A428" s="19" t="str">
        <f t="shared" si="42"/>
        <v>АСУЭ.FB_IM_ADES_S.CAON</v>
      </c>
      <c r="B428" s="11">
        <v>7998</v>
      </c>
      <c r="C428" s="11" t="s">
        <v>6</v>
      </c>
      <c r="D428" s="20">
        <v>1</v>
      </c>
      <c r="BK428" s="4"/>
      <c r="BL428" s="4"/>
      <c r="BM428" s="4"/>
      <c r="BN428" s="4"/>
    </row>
    <row r="429" spans="1:66" ht="15" customHeight="1">
      <c r="A429" s="19" t="str">
        <f t="shared" si="42"/>
        <v>АСУЭ.FB_IM_ADES_S.CAON</v>
      </c>
      <c r="B429" s="11">
        <v>101</v>
      </c>
      <c r="C429" s="11" t="s">
        <v>0</v>
      </c>
      <c r="D429" s="20" t="s">
        <v>1839</v>
      </c>
      <c r="BK429" s="4"/>
      <c r="BL429" s="4"/>
      <c r="BM429" s="4"/>
      <c r="BN429" s="4"/>
    </row>
    <row r="430" spans="1:66" ht="15" customHeight="1">
      <c r="A430" s="19" t="str">
        <f t="shared" si="42"/>
        <v>АСУЭ.FB_IM_ADES_S.CAON</v>
      </c>
      <c r="B430" s="11">
        <v>3</v>
      </c>
      <c r="C430" s="11" t="s">
        <v>1</v>
      </c>
      <c r="D430" s="20">
        <v>192</v>
      </c>
      <c r="BK430" s="4"/>
      <c r="BL430" s="4"/>
      <c r="BM430" s="4"/>
      <c r="BN430" s="4"/>
    </row>
    <row r="431" spans="1:66" ht="15" customHeight="1">
      <c r="A431" s="19" t="str">
        <f t="shared" si="42"/>
        <v>АСУЭ.FB_IM_ADES_S.CAON</v>
      </c>
      <c r="B431" s="11">
        <v>2</v>
      </c>
      <c r="C431" s="11" t="s">
        <v>2</v>
      </c>
      <c r="D431" s="20" t="s">
        <v>3</v>
      </c>
      <c r="BK431" s="4"/>
      <c r="BL431" s="4"/>
      <c r="BM431" s="4"/>
      <c r="BN431" s="4"/>
    </row>
    <row r="432" spans="1:66" ht="15" customHeight="1">
      <c r="A432" s="21" t="str">
        <f t="shared" si="42"/>
        <v>АСУЭ.FB_IM_ADES_S.CAON</v>
      </c>
      <c r="B432" s="8">
        <v>1</v>
      </c>
      <c r="C432" s="8" t="s">
        <v>1</v>
      </c>
      <c r="D432" s="22">
        <v>11</v>
      </c>
      <c r="BK432" s="4"/>
      <c r="BL432" s="4"/>
      <c r="BM432" s="4"/>
      <c r="BN432" s="4"/>
    </row>
    <row r="433" spans="1:66" ht="15" customHeight="1">
      <c r="A433" s="159" t="str">
        <f t="shared" ref="A433:A436" si="43">$R$2&amp;".CAOF"</f>
        <v>АСУЭ.FB_IM_ADES_S.CAOF</v>
      </c>
      <c r="B433" s="160">
        <v>11154</v>
      </c>
      <c r="C433" s="160" t="s">
        <v>4</v>
      </c>
      <c r="D433" s="161">
        <f>$Q$8</f>
        <v>18</v>
      </c>
      <c r="BK433" s="4"/>
      <c r="BL433" s="4"/>
      <c r="BM433" s="4"/>
      <c r="BN433" s="4"/>
    </row>
    <row r="434" spans="1:66" ht="15" customHeight="1">
      <c r="A434" s="100" t="str">
        <f t="shared" si="43"/>
        <v>АСУЭ.FB_IM_ADES_S.CAOF</v>
      </c>
      <c r="B434" s="101">
        <v>11150</v>
      </c>
      <c r="C434" s="101" t="s">
        <v>0</v>
      </c>
      <c r="D434" s="103" t="s">
        <v>1840</v>
      </c>
      <c r="BK434" s="4"/>
      <c r="BL434" s="4"/>
      <c r="BM434" s="4"/>
      <c r="BN434" s="4"/>
    </row>
    <row r="435" spans="1:66" ht="15" customHeight="1">
      <c r="A435" s="100" t="str">
        <f t="shared" si="43"/>
        <v>АСУЭ.FB_IM_ADES_S.CAOF</v>
      </c>
      <c r="B435" s="101">
        <v>11152</v>
      </c>
      <c r="C435" s="101" t="s">
        <v>0</v>
      </c>
      <c r="D435" s="104" t="str">
        <f>$R$8</f>
        <v>Телесигнализация</v>
      </c>
      <c r="BK435" s="4"/>
      <c r="BL435" s="4"/>
      <c r="BM435" s="4"/>
      <c r="BN435" s="4"/>
    </row>
    <row r="436" spans="1:66" ht="15" customHeight="1">
      <c r="A436" s="100" t="str">
        <f t="shared" si="43"/>
        <v>АСУЭ.FB_IM_ADES_S.CAOF</v>
      </c>
      <c r="B436" s="101">
        <v>11000</v>
      </c>
      <c r="C436" s="101" t="s">
        <v>5</v>
      </c>
      <c r="D436" s="103">
        <v>2147483680</v>
      </c>
      <c r="BK436" s="4"/>
      <c r="BL436" s="4"/>
      <c r="BM436" s="4"/>
      <c r="BN436" s="4"/>
    </row>
    <row r="437" spans="1:66" ht="15" customHeight="1">
      <c r="A437" s="19" t="str">
        <f t="shared" ref="A437:A442" si="44">$R$2&amp;".CAOF"</f>
        <v>АСУЭ.FB_IM_ADES_S.CAOF</v>
      </c>
      <c r="B437" s="11">
        <v>7999</v>
      </c>
      <c r="C437" s="11" t="s">
        <v>0</v>
      </c>
      <c r="D437" s="20" t="str">
        <f>"#"&amp;$S$2&amp;"#"&amp;$T$2&amp;"\"&amp;$P$2&amp;"\CAOF"</f>
        <v>#1#treiOPCDA.CoOPCserv.1\pcmaster\S_IM_ADES\CAOF</v>
      </c>
      <c r="BK437" s="4"/>
      <c r="BL437" s="4"/>
      <c r="BM437" s="4"/>
      <c r="BN437" s="4"/>
    </row>
    <row r="438" spans="1:66" ht="15" customHeight="1">
      <c r="A438" s="19" t="str">
        <f t="shared" si="44"/>
        <v>АСУЭ.FB_IM_ADES_S.CAOF</v>
      </c>
      <c r="B438" s="11">
        <v>7998</v>
      </c>
      <c r="C438" s="11" t="s">
        <v>6</v>
      </c>
      <c r="D438" s="20">
        <v>1</v>
      </c>
      <c r="BK438" s="4"/>
      <c r="BL438" s="4"/>
      <c r="BM438" s="4"/>
      <c r="BN438" s="4"/>
    </row>
    <row r="439" spans="1:66" ht="15" customHeight="1">
      <c r="A439" s="19" t="str">
        <f t="shared" si="44"/>
        <v>АСУЭ.FB_IM_ADES_S.CAOF</v>
      </c>
      <c r="B439" s="11">
        <v>101</v>
      </c>
      <c r="C439" s="11" t="s">
        <v>0</v>
      </c>
      <c r="D439" s="20" t="s">
        <v>1840</v>
      </c>
      <c r="BK439" s="4"/>
      <c r="BL439" s="4"/>
      <c r="BM439" s="4"/>
      <c r="BN439" s="4"/>
    </row>
    <row r="440" spans="1:66" ht="15" customHeight="1">
      <c r="A440" s="19" t="str">
        <f t="shared" si="44"/>
        <v>АСУЭ.FB_IM_ADES_S.CAOF</v>
      </c>
      <c r="B440" s="11">
        <v>3</v>
      </c>
      <c r="C440" s="11" t="s">
        <v>1</v>
      </c>
      <c r="D440" s="20">
        <v>192</v>
      </c>
      <c r="BK440" s="4"/>
      <c r="BL440" s="4"/>
      <c r="BM440" s="4"/>
      <c r="BN440" s="4"/>
    </row>
    <row r="441" spans="1:66" ht="15" customHeight="1">
      <c r="A441" s="19" t="str">
        <f t="shared" si="44"/>
        <v>АСУЭ.FB_IM_ADES_S.CAOF</v>
      </c>
      <c r="B441" s="11">
        <v>2</v>
      </c>
      <c r="C441" s="11" t="s">
        <v>2</v>
      </c>
      <c r="D441" s="20" t="s">
        <v>3</v>
      </c>
      <c r="BK441" s="4"/>
      <c r="BL441" s="4"/>
      <c r="BM441" s="4"/>
      <c r="BN441" s="4"/>
    </row>
    <row r="442" spans="1:66" ht="15" customHeight="1">
      <c r="A442" s="21" t="str">
        <f t="shared" si="44"/>
        <v>АСУЭ.FB_IM_ADES_S.CAOF</v>
      </c>
      <c r="B442" s="8">
        <v>1</v>
      </c>
      <c r="C442" s="8" t="s">
        <v>1</v>
      </c>
      <c r="D442" s="22">
        <v>11</v>
      </c>
      <c r="BK442" s="4"/>
      <c r="BL442" s="4"/>
      <c r="BM442" s="4"/>
      <c r="BN442" s="4"/>
    </row>
    <row r="443" spans="1:66" ht="15" customHeight="1">
      <c r="A443" s="19" t="str">
        <f t="shared" ref="A443:A448" si="45">$R$2&amp;".IONX"</f>
        <v>АСУЭ.FB_IM_ADES_S.IONX</v>
      </c>
      <c r="B443" s="11">
        <v>7999</v>
      </c>
      <c r="C443" s="11" t="s">
        <v>0</v>
      </c>
      <c r="D443" s="20" t="str">
        <f>"#"&amp;$S$2&amp;"#"&amp;$T$2&amp;"\"&amp;$P$2&amp;"\IONX"</f>
        <v>#1#treiOPCDA.CoOPCserv.1\pcmaster\S_IM_ADES\IONX</v>
      </c>
      <c r="BK443" s="4"/>
      <c r="BL443" s="4"/>
      <c r="BM443" s="4"/>
      <c r="BN443" s="4"/>
    </row>
    <row r="444" spans="1:66" ht="15" customHeight="1">
      <c r="A444" s="19" t="str">
        <f t="shared" si="45"/>
        <v>АСУЭ.FB_IM_ADES_S.IONX</v>
      </c>
      <c r="B444" s="11">
        <v>7998</v>
      </c>
      <c r="C444" s="11" t="s">
        <v>6</v>
      </c>
      <c r="D444" s="20">
        <v>1</v>
      </c>
      <c r="BK444" s="4"/>
      <c r="BL444" s="4"/>
      <c r="BM444" s="4"/>
      <c r="BN444" s="4"/>
    </row>
    <row r="445" spans="1:66" ht="15" customHeight="1">
      <c r="A445" s="19" t="str">
        <f t="shared" si="45"/>
        <v>АСУЭ.FB_IM_ADES_S.IONX</v>
      </c>
      <c r="B445" s="11">
        <v>101</v>
      </c>
      <c r="C445" s="11" t="s">
        <v>0</v>
      </c>
      <c r="D445" s="20" t="str">
        <f>"Входное значение  Включен" &amp;" (физ сигнал)"</f>
        <v>Входное значение  Включен (физ сигнал)</v>
      </c>
      <c r="BK445" s="4"/>
      <c r="BL445" s="4"/>
      <c r="BM445" s="4"/>
      <c r="BN445" s="4"/>
    </row>
    <row r="446" spans="1:66" ht="15" customHeight="1">
      <c r="A446" s="19" t="str">
        <f t="shared" si="45"/>
        <v>АСУЭ.FB_IM_ADES_S.IONX</v>
      </c>
      <c r="B446" s="11">
        <v>3</v>
      </c>
      <c r="C446" s="11" t="s">
        <v>1</v>
      </c>
      <c r="D446" s="20">
        <v>192</v>
      </c>
      <c r="BK446" s="4"/>
      <c r="BL446" s="4"/>
      <c r="BM446" s="4"/>
      <c r="BN446" s="4"/>
    </row>
    <row r="447" spans="1:66" ht="15" customHeight="1">
      <c r="A447" s="19" t="str">
        <f t="shared" si="45"/>
        <v>АСУЭ.FB_IM_ADES_S.IONX</v>
      </c>
      <c r="B447" s="11">
        <v>2</v>
      </c>
      <c r="C447" s="11" t="s">
        <v>2</v>
      </c>
      <c r="D447" s="20" t="s">
        <v>3</v>
      </c>
      <c r="BK447" s="4"/>
      <c r="BL447" s="4"/>
      <c r="BM447" s="4"/>
      <c r="BN447" s="4"/>
    </row>
    <row r="448" spans="1:66" ht="15" customHeight="1">
      <c r="A448" s="21" t="str">
        <f t="shared" si="45"/>
        <v>АСУЭ.FB_IM_ADES_S.IONX</v>
      </c>
      <c r="B448" s="8">
        <v>1</v>
      </c>
      <c r="C448" s="8" t="s">
        <v>1</v>
      </c>
      <c r="D448" s="22">
        <v>11</v>
      </c>
      <c r="BK448" s="4"/>
      <c r="BL448" s="4"/>
      <c r="BM448" s="4"/>
      <c r="BN448" s="4"/>
    </row>
    <row r="449" spans="1:66" ht="15" customHeight="1">
      <c r="A449" s="19" t="str">
        <f t="shared" ref="A449:A454" si="46">$R$2&amp;".IOFX"</f>
        <v>АСУЭ.FB_IM_ADES_S.IOFX</v>
      </c>
      <c r="B449" s="11">
        <v>7999</v>
      </c>
      <c r="C449" s="11" t="s">
        <v>0</v>
      </c>
      <c r="D449" s="20" t="str">
        <f>"#"&amp;$S$2&amp;"#"&amp;$T$2&amp;"\"&amp;$P$2&amp;"\IOFX"</f>
        <v>#1#treiOPCDA.CoOPCserv.1\pcmaster\S_IM_ADES\IOFX</v>
      </c>
      <c r="BK449" s="4"/>
      <c r="BL449" s="4"/>
      <c r="BM449" s="4"/>
      <c r="BN449" s="4"/>
    </row>
    <row r="450" spans="1:66" ht="15" customHeight="1">
      <c r="A450" s="19" t="str">
        <f t="shared" si="46"/>
        <v>АСУЭ.FB_IM_ADES_S.IOFX</v>
      </c>
      <c r="B450" s="11">
        <v>7998</v>
      </c>
      <c r="C450" s="11" t="s">
        <v>6</v>
      </c>
      <c r="D450" s="20">
        <v>1</v>
      </c>
      <c r="BK450" s="4"/>
      <c r="BL450" s="4"/>
      <c r="BM450" s="4"/>
      <c r="BN450" s="4"/>
    </row>
    <row r="451" spans="1:66" ht="15" customHeight="1">
      <c r="A451" s="19" t="str">
        <f t="shared" si="46"/>
        <v>АСУЭ.FB_IM_ADES_S.IOFX</v>
      </c>
      <c r="B451" s="11">
        <v>101</v>
      </c>
      <c r="C451" s="11" t="s">
        <v>0</v>
      </c>
      <c r="D451" s="20" t="str">
        <f>"Входное значение  Отключен" &amp;" (физ сигнал)"</f>
        <v>Входное значение  Отключен (физ сигнал)</v>
      </c>
      <c r="BK451" s="4"/>
      <c r="BL451" s="4"/>
      <c r="BM451" s="4"/>
      <c r="BN451" s="4"/>
    </row>
    <row r="452" spans="1:66" ht="15" customHeight="1">
      <c r="A452" s="19" t="str">
        <f t="shared" si="46"/>
        <v>АСУЭ.FB_IM_ADES_S.IOFX</v>
      </c>
      <c r="B452" s="11">
        <v>3</v>
      </c>
      <c r="C452" s="11" t="s">
        <v>1</v>
      </c>
      <c r="D452" s="20">
        <v>192</v>
      </c>
      <c r="BK452" s="4"/>
      <c r="BL452" s="4"/>
      <c r="BM452" s="4"/>
      <c r="BN452" s="4"/>
    </row>
    <row r="453" spans="1:66" ht="15" customHeight="1">
      <c r="A453" s="19" t="str">
        <f t="shared" si="46"/>
        <v>АСУЭ.FB_IM_ADES_S.IOFX</v>
      </c>
      <c r="B453" s="11">
        <v>2</v>
      </c>
      <c r="C453" s="11" t="s">
        <v>2</v>
      </c>
      <c r="D453" s="20" t="s">
        <v>3</v>
      </c>
      <c r="BK453" s="4"/>
      <c r="BL453" s="4"/>
      <c r="BM453" s="4"/>
      <c r="BN453" s="4"/>
    </row>
    <row r="454" spans="1:66" ht="15" customHeight="1">
      <c r="A454" s="21" t="str">
        <f t="shared" si="46"/>
        <v>АСУЭ.FB_IM_ADES_S.IOFX</v>
      </c>
      <c r="B454" s="8">
        <v>1</v>
      </c>
      <c r="C454" s="8" t="s">
        <v>1</v>
      </c>
      <c r="D454" s="22">
        <v>11</v>
      </c>
      <c r="BK454" s="4"/>
      <c r="BL454" s="4"/>
      <c r="BM454" s="4"/>
      <c r="BN454" s="4"/>
    </row>
    <row r="455" spans="1:66" ht="15" customHeight="1">
      <c r="A455" s="19" t="str">
        <f t="shared" ref="A455:A460" si="47">$R$2&amp;".IRCX"</f>
        <v>АСУЭ.FB_IM_ADES_S.IRCX</v>
      </c>
      <c r="B455" s="11">
        <v>7999</v>
      </c>
      <c r="C455" s="11" t="s">
        <v>0</v>
      </c>
      <c r="D455" s="20" t="str">
        <f>"#"&amp;$S$2&amp;"#"&amp;$T$2&amp;"\"&amp;$P$2&amp;"\IRCX"</f>
        <v>#1#treiOPCDA.CoOPCserv.1\pcmaster\S_IM_ADES\IRCX</v>
      </c>
      <c r="BK455" s="4"/>
      <c r="BL455" s="4"/>
      <c r="BM455" s="4"/>
      <c r="BN455" s="4"/>
    </row>
    <row r="456" spans="1:66" ht="15" customHeight="1">
      <c r="A456" s="19" t="str">
        <f t="shared" si="47"/>
        <v>АСУЭ.FB_IM_ADES_S.IRCX</v>
      </c>
      <c r="B456" s="11">
        <v>7998</v>
      </c>
      <c r="C456" s="11" t="s">
        <v>6</v>
      </c>
      <c r="D456" s="20">
        <v>1</v>
      </c>
      <c r="BK456" s="4"/>
      <c r="BL456" s="4"/>
      <c r="BM456" s="4"/>
      <c r="BN456" s="4"/>
    </row>
    <row r="457" spans="1:66" ht="15" customHeight="1">
      <c r="A457" s="19" t="str">
        <f t="shared" si="47"/>
        <v>АСУЭ.FB_IM_ADES_S.IRCX</v>
      </c>
      <c r="B457" s="11">
        <v>101</v>
      </c>
      <c r="C457" s="11" t="s">
        <v>0</v>
      </c>
      <c r="D457" s="20" t="s">
        <v>576</v>
      </c>
      <c r="BK457" s="4"/>
      <c r="BL457" s="4"/>
      <c r="BM457" s="4"/>
      <c r="BN457" s="4"/>
    </row>
    <row r="458" spans="1:66" ht="15" customHeight="1">
      <c r="A458" s="19" t="str">
        <f t="shared" si="47"/>
        <v>АСУЭ.FB_IM_ADES_S.IRCX</v>
      </c>
      <c r="B458" s="11">
        <v>3</v>
      </c>
      <c r="C458" s="11" t="s">
        <v>1</v>
      </c>
      <c r="D458" s="20">
        <v>192</v>
      </c>
      <c r="BK458" s="4"/>
      <c r="BL458" s="4"/>
      <c r="BM458" s="4"/>
      <c r="BN458" s="4"/>
    </row>
    <row r="459" spans="1:66" ht="15" customHeight="1">
      <c r="A459" s="19" t="str">
        <f t="shared" si="47"/>
        <v>АСУЭ.FB_IM_ADES_S.IRCX</v>
      </c>
      <c r="B459" s="11">
        <v>2</v>
      </c>
      <c r="C459" s="11" t="s">
        <v>2</v>
      </c>
      <c r="D459" s="20" t="s">
        <v>3</v>
      </c>
      <c r="BK459" s="4"/>
      <c r="BL459" s="4"/>
      <c r="BM459" s="4"/>
      <c r="BN459" s="4"/>
    </row>
    <row r="460" spans="1:66" ht="15" customHeight="1">
      <c r="A460" s="21" t="str">
        <f t="shared" si="47"/>
        <v>АСУЭ.FB_IM_ADES_S.IRCX</v>
      </c>
      <c r="B460" s="8">
        <v>1</v>
      </c>
      <c r="C460" s="8" t="s">
        <v>1</v>
      </c>
      <c r="D460" s="22">
        <v>11</v>
      </c>
      <c r="BK460" s="4"/>
      <c r="BL460" s="4"/>
      <c r="BM460" s="4"/>
      <c r="BN460" s="4"/>
    </row>
    <row r="461" spans="1:66" ht="15" customHeight="1">
      <c r="A461" s="19" t="str">
        <f t="shared" ref="A461:A466" si="48">$R$2&amp;".OXON"</f>
        <v>АСУЭ.FB_IM_ADES_S.OXON</v>
      </c>
      <c r="B461" s="11">
        <v>7999</v>
      </c>
      <c r="C461" s="11" t="s">
        <v>0</v>
      </c>
      <c r="D461" s="20" t="str">
        <f>"#"&amp;$S$2&amp;"#"&amp;$T$2&amp;"\"&amp;$P$2&amp;"\OXON"</f>
        <v>#1#treiOPCDA.CoOPCserv.1\pcmaster\S_IM_ADES\OXON</v>
      </c>
      <c r="BK461" s="4"/>
      <c r="BL461" s="4"/>
      <c r="BM461" s="4"/>
      <c r="BN461" s="4"/>
    </row>
    <row r="462" spans="1:66" ht="15" customHeight="1">
      <c r="A462" s="19" t="str">
        <f t="shared" si="48"/>
        <v>АСУЭ.FB_IM_ADES_S.OXON</v>
      </c>
      <c r="B462" s="11">
        <v>7998</v>
      </c>
      <c r="C462" s="11" t="s">
        <v>6</v>
      </c>
      <c r="D462" s="20">
        <v>1</v>
      </c>
      <c r="BK462" s="4"/>
      <c r="BL462" s="4"/>
      <c r="BM462" s="4"/>
      <c r="BN462" s="4"/>
    </row>
    <row r="463" spans="1:66" ht="15" customHeight="1">
      <c r="A463" s="19" t="str">
        <f t="shared" si="48"/>
        <v>АСУЭ.FB_IM_ADES_S.OXON</v>
      </c>
      <c r="B463" s="11">
        <v>101</v>
      </c>
      <c r="C463" s="11" t="s">
        <v>0</v>
      </c>
      <c r="D463" s="20" t="str">
        <f>"Выходное значение Включить"</f>
        <v>Выходное значение Включить</v>
      </c>
      <c r="BK463" s="4"/>
      <c r="BL463" s="4"/>
      <c r="BM463" s="4"/>
      <c r="BN463" s="4"/>
    </row>
    <row r="464" spans="1:66" ht="15" customHeight="1">
      <c r="A464" s="19" t="str">
        <f t="shared" si="48"/>
        <v>АСУЭ.FB_IM_ADES_S.OXON</v>
      </c>
      <c r="B464" s="11">
        <v>3</v>
      </c>
      <c r="C464" s="11" t="s">
        <v>1</v>
      </c>
      <c r="D464" s="20">
        <v>192</v>
      </c>
      <c r="BK464" s="4"/>
      <c r="BL464" s="4"/>
      <c r="BM464" s="4"/>
      <c r="BN464" s="4"/>
    </row>
    <row r="465" spans="1:66" ht="15" customHeight="1">
      <c r="A465" s="19" t="str">
        <f t="shared" si="48"/>
        <v>АСУЭ.FB_IM_ADES_S.OXON</v>
      </c>
      <c r="B465" s="11">
        <v>2</v>
      </c>
      <c r="C465" s="11" t="s">
        <v>2</v>
      </c>
      <c r="D465" s="20" t="s">
        <v>3</v>
      </c>
      <c r="BK465" s="4"/>
      <c r="BL465" s="4"/>
      <c r="BM465" s="4"/>
      <c r="BN465" s="4"/>
    </row>
    <row r="466" spans="1:66" ht="15" customHeight="1">
      <c r="A466" s="21" t="str">
        <f t="shared" si="48"/>
        <v>АСУЭ.FB_IM_ADES_S.OXON</v>
      </c>
      <c r="B466" s="8">
        <v>1</v>
      </c>
      <c r="C466" s="8" t="s">
        <v>1</v>
      </c>
      <c r="D466" s="22">
        <v>11</v>
      </c>
      <c r="BK466" s="4"/>
      <c r="BL466" s="4"/>
      <c r="BM466" s="4"/>
      <c r="BN466" s="4"/>
    </row>
    <row r="467" spans="1:66" ht="15" customHeight="1">
      <c r="A467" s="19" t="str">
        <f t="shared" ref="A467:A472" si="49">$R$2&amp;".OXOF"</f>
        <v>АСУЭ.FB_IM_ADES_S.OXOF</v>
      </c>
      <c r="B467" s="11">
        <v>7999</v>
      </c>
      <c r="C467" s="11" t="s">
        <v>0</v>
      </c>
      <c r="D467" s="20" t="str">
        <f>"#"&amp;$S$2&amp;"#"&amp;$T$2&amp;"\"&amp;$P$2&amp;"\OXOF"</f>
        <v>#1#treiOPCDA.CoOPCserv.1\pcmaster\S_IM_ADES\OXOF</v>
      </c>
      <c r="BK467" s="4"/>
      <c r="BL467" s="4"/>
      <c r="BM467" s="4"/>
      <c r="BN467" s="4"/>
    </row>
    <row r="468" spans="1:66" ht="15" customHeight="1">
      <c r="A468" s="19" t="str">
        <f t="shared" si="49"/>
        <v>АСУЭ.FB_IM_ADES_S.OXOF</v>
      </c>
      <c r="B468" s="11">
        <v>7998</v>
      </c>
      <c r="C468" s="11" t="s">
        <v>6</v>
      </c>
      <c r="D468" s="20">
        <v>1</v>
      </c>
      <c r="BK468" s="4"/>
      <c r="BL468" s="4"/>
      <c r="BM468" s="4"/>
      <c r="BN468" s="4"/>
    </row>
    <row r="469" spans="1:66" ht="15" customHeight="1">
      <c r="A469" s="19" t="str">
        <f t="shared" si="49"/>
        <v>АСУЭ.FB_IM_ADES_S.OXOF</v>
      </c>
      <c r="B469" s="11">
        <v>101</v>
      </c>
      <c r="C469" s="11" t="s">
        <v>0</v>
      </c>
      <c r="D469" s="20" t="str">
        <f>"Выходное значение Отключить"</f>
        <v>Выходное значение Отключить</v>
      </c>
      <c r="BK469" s="4"/>
      <c r="BL469" s="4"/>
      <c r="BM469" s="4"/>
      <c r="BN469" s="4"/>
    </row>
    <row r="470" spans="1:66" ht="15" customHeight="1">
      <c r="A470" s="19" t="str">
        <f t="shared" si="49"/>
        <v>АСУЭ.FB_IM_ADES_S.OXOF</v>
      </c>
      <c r="B470" s="11">
        <v>3</v>
      </c>
      <c r="C470" s="11" t="s">
        <v>1</v>
      </c>
      <c r="D470" s="20">
        <v>192</v>
      </c>
      <c r="BK470" s="4"/>
      <c r="BL470" s="4"/>
      <c r="BM470" s="4"/>
      <c r="BN470" s="4"/>
    </row>
    <row r="471" spans="1:66" ht="15" customHeight="1">
      <c r="A471" s="19" t="str">
        <f t="shared" si="49"/>
        <v>АСУЭ.FB_IM_ADES_S.OXOF</v>
      </c>
      <c r="B471" s="11">
        <v>2</v>
      </c>
      <c r="C471" s="11" t="s">
        <v>2</v>
      </c>
      <c r="D471" s="20" t="s">
        <v>3</v>
      </c>
      <c r="BK471" s="4"/>
      <c r="BL471" s="4"/>
      <c r="BM471" s="4"/>
      <c r="BN471" s="4"/>
    </row>
    <row r="472" spans="1:66" ht="15" customHeight="1">
      <c r="A472" s="21" t="str">
        <f t="shared" si="49"/>
        <v>АСУЭ.FB_IM_ADES_S.OXOF</v>
      </c>
      <c r="B472" s="8">
        <v>1</v>
      </c>
      <c r="C472" s="8" t="s">
        <v>1</v>
      </c>
      <c r="D472" s="22">
        <v>11</v>
      </c>
      <c r="BK472" s="4"/>
      <c r="BL472" s="4"/>
      <c r="BM472" s="4"/>
      <c r="BN472" s="4"/>
    </row>
    <row r="473" spans="1:66" ht="15" customHeight="1">
      <c r="A473" s="19" t="str">
        <f t="shared" ref="A473:A478" si="50">$R$2&amp;".XONP"</f>
        <v>АСУЭ.FB_IM_ADES_S.XONP</v>
      </c>
      <c r="B473" s="11">
        <v>7999</v>
      </c>
      <c r="C473" s="11" t="s">
        <v>0</v>
      </c>
      <c r="D473" s="20" t="str">
        <f>"#"&amp;$S$2&amp;"#"&amp;$T$2&amp;"\"&amp;$P$2&amp;"\XONP"</f>
        <v>#1#treiOPCDA.CoOPCserv.1\pcmaster\S_IM_ADES\XONP</v>
      </c>
      <c r="BK473" s="4"/>
      <c r="BL473" s="4"/>
      <c r="BM473" s="4"/>
      <c r="BN473" s="4"/>
    </row>
    <row r="474" spans="1:66" ht="15" customHeight="1">
      <c r="A474" s="19" t="str">
        <f t="shared" si="50"/>
        <v>АСУЭ.FB_IM_ADES_S.XONP</v>
      </c>
      <c r="B474" s="11">
        <v>7998</v>
      </c>
      <c r="C474" s="11" t="s">
        <v>6</v>
      </c>
      <c r="D474" s="20">
        <v>1</v>
      </c>
      <c r="BK474" s="4"/>
      <c r="BL474" s="4"/>
      <c r="BM474" s="4"/>
      <c r="BN474" s="4"/>
    </row>
    <row r="475" spans="1:66" ht="15" customHeight="1">
      <c r="A475" s="19" t="str">
        <f t="shared" si="50"/>
        <v>АСУЭ.FB_IM_ADES_S.XONP</v>
      </c>
      <c r="B475" s="11">
        <v>101</v>
      </c>
      <c r="C475" s="11" t="s">
        <v>0</v>
      </c>
      <c r="D475" s="20" t="str">
        <f>"Выходное значение Включается"</f>
        <v>Выходное значение Включается</v>
      </c>
      <c r="BK475" s="4"/>
      <c r="BL475" s="4"/>
      <c r="BM475" s="4"/>
      <c r="BN475" s="4"/>
    </row>
    <row r="476" spans="1:66" ht="15" customHeight="1">
      <c r="A476" s="19" t="str">
        <f t="shared" si="50"/>
        <v>АСУЭ.FB_IM_ADES_S.XONP</v>
      </c>
      <c r="B476" s="11">
        <v>3</v>
      </c>
      <c r="C476" s="11" t="s">
        <v>1</v>
      </c>
      <c r="D476" s="20">
        <v>192</v>
      </c>
      <c r="BK476" s="4"/>
      <c r="BL476" s="4"/>
      <c r="BM476" s="4"/>
      <c r="BN476" s="4"/>
    </row>
    <row r="477" spans="1:66" ht="15" customHeight="1">
      <c r="A477" s="19" t="str">
        <f t="shared" si="50"/>
        <v>АСУЭ.FB_IM_ADES_S.XONP</v>
      </c>
      <c r="B477" s="11">
        <v>2</v>
      </c>
      <c r="C477" s="11" t="s">
        <v>2</v>
      </c>
      <c r="D477" s="20" t="s">
        <v>3</v>
      </c>
      <c r="BK477" s="4"/>
      <c r="BL477" s="4"/>
      <c r="BM477" s="4"/>
      <c r="BN477" s="4"/>
    </row>
    <row r="478" spans="1:66" ht="15" customHeight="1">
      <c r="A478" s="21" t="str">
        <f t="shared" si="50"/>
        <v>АСУЭ.FB_IM_ADES_S.XONP</v>
      </c>
      <c r="B478" s="8">
        <v>1</v>
      </c>
      <c r="C478" s="8" t="s">
        <v>1</v>
      </c>
      <c r="D478" s="22">
        <v>11</v>
      </c>
      <c r="BK478" s="4"/>
      <c r="BL478" s="4"/>
      <c r="BM478" s="4"/>
      <c r="BN478" s="4"/>
    </row>
    <row r="479" spans="1:66" ht="15" customHeight="1">
      <c r="A479" s="19" t="str">
        <f t="shared" ref="A479:A484" si="51">$R$2&amp;".XOFP"</f>
        <v>АСУЭ.FB_IM_ADES_S.XOFP</v>
      </c>
      <c r="B479" s="11">
        <v>7999</v>
      </c>
      <c r="C479" s="11" t="s">
        <v>0</v>
      </c>
      <c r="D479" s="20" t="str">
        <f>"#"&amp;$S$2&amp;"#"&amp;$T$2&amp;"\"&amp;$P$2&amp;"\XOFP"</f>
        <v>#1#treiOPCDA.CoOPCserv.1\pcmaster\S_IM_ADES\XOFP</v>
      </c>
      <c r="BK479" s="4"/>
      <c r="BL479" s="4"/>
      <c r="BM479" s="4"/>
      <c r="BN479" s="4"/>
    </row>
    <row r="480" spans="1:66" ht="15" customHeight="1">
      <c r="A480" s="19" t="str">
        <f t="shared" si="51"/>
        <v>АСУЭ.FB_IM_ADES_S.XOFP</v>
      </c>
      <c r="B480" s="11">
        <v>7998</v>
      </c>
      <c r="C480" s="11" t="s">
        <v>6</v>
      </c>
      <c r="D480" s="20">
        <v>1</v>
      </c>
      <c r="BK480" s="4"/>
      <c r="BL480" s="4"/>
      <c r="BM480" s="4"/>
      <c r="BN480" s="4"/>
    </row>
    <row r="481" spans="1:66" ht="15" customHeight="1">
      <c r="A481" s="19" t="str">
        <f t="shared" si="51"/>
        <v>АСУЭ.FB_IM_ADES_S.XOFP</v>
      </c>
      <c r="B481" s="11">
        <v>101</v>
      </c>
      <c r="C481" s="11" t="s">
        <v>0</v>
      </c>
      <c r="D481" s="20" t="str">
        <f>"Выходное значение Отключается"</f>
        <v>Выходное значение Отключается</v>
      </c>
      <c r="BK481" s="4"/>
      <c r="BL481" s="4"/>
      <c r="BM481" s="4"/>
      <c r="BN481" s="4"/>
    </row>
    <row r="482" spans="1:66" ht="15" customHeight="1">
      <c r="A482" s="19" t="str">
        <f t="shared" si="51"/>
        <v>АСУЭ.FB_IM_ADES_S.XOFP</v>
      </c>
      <c r="B482" s="11">
        <v>3</v>
      </c>
      <c r="C482" s="11" t="s">
        <v>1</v>
      </c>
      <c r="D482" s="20">
        <v>192</v>
      </c>
      <c r="BK482" s="4"/>
      <c r="BL482" s="4"/>
      <c r="BM482" s="4"/>
      <c r="BN482" s="4"/>
    </row>
    <row r="483" spans="1:66" ht="15" customHeight="1">
      <c r="A483" s="19" t="str">
        <f t="shared" si="51"/>
        <v>АСУЭ.FB_IM_ADES_S.XOFP</v>
      </c>
      <c r="B483" s="11">
        <v>2</v>
      </c>
      <c r="C483" s="11" t="s">
        <v>2</v>
      </c>
      <c r="D483" s="20" t="s">
        <v>3</v>
      </c>
      <c r="BK483" s="4"/>
      <c r="BL483" s="4"/>
      <c r="BM483" s="4"/>
      <c r="BN483" s="4"/>
    </row>
    <row r="484" spans="1:66" ht="15" customHeight="1">
      <c r="A484" s="21" t="str">
        <f t="shared" si="51"/>
        <v>АСУЭ.FB_IM_ADES_S.XOFP</v>
      </c>
      <c r="B484" s="8">
        <v>1</v>
      </c>
      <c r="C484" s="8" t="s">
        <v>1</v>
      </c>
      <c r="D484" s="22">
        <v>11</v>
      </c>
      <c r="BK484" s="4"/>
      <c r="BL484" s="4"/>
      <c r="BM484" s="4"/>
      <c r="BN484" s="4"/>
    </row>
    <row r="485" spans="1:66" ht="15" customHeight="1">
      <c r="A485" s="19" t="str">
        <f t="shared" ref="A485:A490" si="52">$R$2&amp;".XSPP"</f>
        <v>АСУЭ.FB_IM_ADES_S.XSPP</v>
      </c>
      <c r="B485" s="11">
        <v>7999</v>
      </c>
      <c r="C485" s="11" t="s">
        <v>0</v>
      </c>
      <c r="D485" s="20" t="str">
        <f>"#"&amp;$S$2&amp;"#"&amp;$T$2&amp;"\"&amp;$P$2&amp;"\XSPP"</f>
        <v>#1#treiOPCDA.CoOPCserv.1\pcmaster\S_IM_ADES\XSPP</v>
      </c>
      <c r="BK485" s="4"/>
      <c r="BL485" s="4"/>
      <c r="BM485" s="4"/>
      <c r="BN485" s="4"/>
    </row>
    <row r="486" spans="1:66" ht="15" customHeight="1">
      <c r="A486" s="19" t="str">
        <f t="shared" si="52"/>
        <v>АСУЭ.FB_IM_ADES_S.XSPP</v>
      </c>
      <c r="B486" s="11">
        <v>7998</v>
      </c>
      <c r="C486" s="11" t="s">
        <v>6</v>
      </c>
      <c r="D486" s="20">
        <v>1</v>
      </c>
      <c r="BK486" s="4"/>
      <c r="BL486" s="4"/>
      <c r="BM486" s="4"/>
      <c r="BN486" s="4"/>
    </row>
    <row r="487" spans="1:66" ht="15" customHeight="1">
      <c r="A487" s="19" t="str">
        <f t="shared" si="52"/>
        <v>АСУЭ.FB_IM_ADES_S.XSPP</v>
      </c>
      <c r="B487" s="11">
        <v>101</v>
      </c>
      <c r="C487" s="11" t="s">
        <v>0</v>
      </c>
      <c r="D487" s="20" t="s">
        <v>171</v>
      </c>
      <c r="BK487" s="4"/>
      <c r="BL487" s="4"/>
      <c r="BM487" s="4"/>
      <c r="BN487" s="4"/>
    </row>
    <row r="488" spans="1:66" ht="15" customHeight="1">
      <c r="A488" s="19" t="str">
        <f t="shared" si="52"/>
        <v>АСУЭ.FB_IM_ADES_S.XSPP</v>
      </c>
      <c r="B488" s="11">
        <v>3</v>
      </c>
      <c r="C488" s="11" t="s">
        <v>1</v>
      </c>
      <c r="D488" s="20">
        <v>192</v>
      </c>
      <c r="BK488" s="4"/>
      <c r="BL488" s="4"/>
      <c r="BM488" s="4"/>
      <c r="BN488" s="4"/>
    </row>
    <row r="489" spans="1:66" ht="15" customHeight="1">
      <c r="A489" s="19" t="str">
        <f t="shared" si="52"/>
        <v>АСУЭ.FB_IM_ADES_S.XSPP</v>
      </c>
      <c r="B489" s="11">
        <v>2</v>
      </c>
      <c r="C489" s="11" t="s">
        <v>2</v>
      </c>
      <c r="D489" s="20" t="s">
        <v>3</v>
      </c>
      <c r="BK489" s="4"/>
      <c r="BL489" s="4"/>
      <c r="BM489" s="4"/>
      <c r="BN489" s="4"/>
    </row>
    <row r="490" spans="1:66" ht="15" customHeight="1">
      <c r="A490" s="21" t="str">
        <f t="shared" si="52"/>
        <v>АСУЭ.FB_IM_ADES_S.XSPP</v>
      </c>
      <c r="B490" s="8">
        <v>1</v>
      </c>
      <c r="C490" s="8" t="s">
        <v>1</v>
      </c>
      <c r="D490" s="22">
        <v>11</v>
      </c>
      <c r="BK490" s="4"/>
      <c r="BL490" s="4"/>
      <c r="BM490" s="4"/>
      <c r="BN490" s="4"/>
    </row>
    <row r="491" spans="1:66" ht="15" customHeight="1">
      <c r="A491" s="19" t="str">
        <f t="shared" ref="A491:A496" si="53">$R$2&amp;".OCON"</f>
        <v>АСУЭ.FB_IM_ADES_S.OCON</v>
      </c>
      <c r="B491" s="11">
        <v>7999</v>
      </c>
      <c r="C491" s="11" t="s">
        <v>0</v>
      </c>
      <c r="D491" s="20" t="str">
        <f>"#"&amp;$S$2&amp;"#"&amp;$T$2&amp;"\"&amp;$P$2&amp;"\OCON"</f>
        <v>#1#treiOPCDA.CoOPCserv.1\pcmaster\S_IM_ADES\OCON</v>
      </c>
      <c r="BK491" s="4"/>
      <c r="BL491" s="4"/>
      <c r="BM491" s="4"/>
      <c r="BN491" s="4"/>
    </row>
    <row r="492" spans="1:66" ht="15" customHeight="1">
      <c r="A492" s="19" t="str">
        <f t="shared" si="53"/>
        <v>АСУЭ.FB_IM_ADES_S.OCON</v>
      </c>
      <c r="B492" s="11">
        <v>7998</v>
      </c>
      <c r="C492" s="11" t="s">
        <v>6</v>
      </c>
      <c r="D492" s="20">
        <v>1</v>
      </c>
      <c r="BK492" s="4"/>
      <c r="BL492" s="4"/>
      <c r="BM492" s="4"/>
      <c r="BN492" s="4"/>
    </row>
    <row r="493" spans="1:66" ht="15" customHeight="1">
      <c r="A493" s="19" t="str">
        <f t="shared" si="53"/>
        <v>АСУЭ.FB_IM_ADES_S.OCON</v>
      </c>
      <c r="B493" s="11">
        <v>101</v>
      </c>
      <c r="C493" s="11" t="s">
        <v>0</v>
      </c>
      <c r="D493" s="20" t="str">
        <f>"Постоянная команда Включить"</f>
        <v>Постоянная команда Включить</v>
      </c>
      <c r="BK493" s="4"/>
      <c r="BL493" s="4"/>
      <c r="BM493" s="4"/>
      <c r="BN493" s="4"/>
    </row>
    <row r="494" spans="1:66" ht="15" customHeight="1">
      <c r="A494" s="19" t="str">
        <f t="shared" si="53"/>
        <v>АСУЭ.FB_IM_ADES_S.OCON</v>
      </c>
      <c r="B494" s="11">
        <v>3</v>
      </c>
      <c r="C494" s="11" t="s">
        <v>1</v>
      </c>
      <c r="D494" s="20">
        <v>192</v>
      </c>
      <c r="BK494" s="4"/>
      <c r="BL494" s="4"/>
      <c r="BM494" s="4"/>
      <c r="BN494" s="4"/>
    </row>
    <row r="495" spans="1:66" ht="15" customHeight="1">
      <c r="A495" s="19" t="str">
        <f t="shared" si="53"/>
        <v>АСУЭ.FB_IM_ADES_S.OCON</v>
      </c>
      <c r="B495" s="11">
        <v>2</v>
      </c>
      <c r="C495" s="11" t="s">
        <v>2</v>
      </c>
      <c r="D495" s="20" t="s">
        <v>3</v>
      </c>
      <c r="BK495" s="4"/>
      <c r="BL495" s="4"/>
      <c r="BM495" s="4"/>
      <c r="BN495" s="4"/>
    </row>
    <row r="496" spans="1:66" ht="15" customHeight="1">
      <c r="A496" s="21" t="str">
        <f t="shared" si="53"/>
        <v>АСУЭ.FB_IM_ADES_S.OCON</v>
      </c>
      <c r="B496" s="8">
        <v>1</v>
      </c>
      <c r="C496" s="8" t="s">
        <v>1</v>
      </c>
      <c r="D496" s="22">
        <v>11</v>
      </c>
      <c r="BK496" s="4"/>
      <c r="BL496" s="4"/>
      <c r="BM496" s="4"/>
      <c r="BN496" s="4"/>
    </row>
    <row r="497" spans="1:66" ht="15" customHeight="1">
      <c r="A497" s="19" t="str">
        <f t="shared" ref="A497:A502" si="54">$R$2&amp;".OCOF"</f>
        <v>АСУЭ.FB_IM_ADES_S.OCOF</v>
      </c>
      <c r="B497" s="11">
        <v>7999</v>
      </c>
      <c r="C497" s="11" t="s">
        <v>0</v>
      </c>
      <c r="D497" s="20" t="str">
        <f>"#"&amp;$S$2&amp;"#"&amp;$T$2&amp;"\"&amp;$P$2&amp;"\OCOF"</f>
        <v>#1#treiOPCDA.CoOPCserv.1\pcmaster\S_IM_ADES\OCOF</v>
      </c>
      <c r="BK497" s="4"/>
      <c r="BL497" s="4"/>
      <c r="BM497" s="4"/>
      <c r="BN497" s="4"/>
    </row>
    <row r="498" spans="1:66" ht="15" customHeight="1">
      <c r="A498" s="19" t="str">
        <f t="shared" si="54"/>
        <v>АСУЭ.FB_IM_ADES_S.OCOF</v>
      </c>
      <c r="B498" s="11">
        <v>7998</v>
      </c>
      <c r="C498" s="11" t="s">
        <v>6</v>
      </c>
      <c r="D498" s="20">
        <v>1</v>
      </c>
      <c r="BK498" s="4"/>
      <c r="BL498" s="4"/>
      <c r="BM498" s="4"/>
      <c r="BN498" s="4"/>
    </row>
    <row r="499" spans="1:66" ht="15" customHeight="1">
      <c r="A499" s="19" t="str">
        <f t="shared" si="54"/>
        <v>АСУЭ.FB_IM_ADES_S.OCOF</v>
      </c>
      <c r="B499" s="11">
        <v>101</v>
      </c>
      <c r="C499" s="11" t="s">
        <v>0</v>
      </c>
      <c r="D499" s="20" t="str">
        <f>"Постоянная команда  Отключить"</f>
        <v>Постоянная команда  Отключить</v>
      </c>
      <c r="BK499" s="4"/>
      <c r="BL499" s="4"/>
      <c r="BM499" s="4"/>
      <c r="BN499" s="4"/>
    </row>
    <row r="500" spans="1:66" ht="15" customHeight="1">
      <c r="A500" s="19" t="str">
        <f t="shared" si="54"/>
        <v>АСУЭ.FB_IM_ADES_S.OCOF</v>
      </c>
      <c r="B500" s="11">
        <v>3</v>
      </c>
      <c r="C500" s="11" t="s">
        <v>1</v>
      </c>
      <c r="D500" s="20">
        <v>192</v>
      </c>
      <c r="BK500" s="4"/>
      <c r="BL500" s="4"/>
      <c r="BM500" s="4"/>
      <c r="BN500" s="4"/>
    </row>
    <row r="501" spans="1:66" ht="15" customHeight="1">
      <c r="A501" s="19" t="str">
        <f t="shared" si="54"/>
        <v>АСУЭ.FB_IM_ADES_S.OCOF</v>
      </c>
      <c r="B501" s="11">
        <v>2</v>
      </c>
      <c r="C501" s="11" t="s">
        <v>2</v>
      </c>
      <c r="D501" s="20" t="s">
        <v>3</v>
      </c>
      <c r="BK501" s="4"/>
      <c r="BL501" s="4"/>
      <c r="BM501" s="4"/>
      <c r="BN501" s="4"/>
    </row>
    <row r="502" spans="1:66" ht="15" customHeight="1">
      <c r="A502" s="21" t="str">
        <f t="shared" si="54"/>
        <v>АСУЭ.FB_IM_ADES_S.OCOF</v>
      </c>
      <c r="B502" s="8">
        <v>1</v>
      </c>
      <c r="C502" s="8" t="s">
        <v>1</v>
      </c>
      <c r="D502" s="22">
        <v>11</v>
      </c>
      <c r="BK502" s="4"/>
      <c r="BL502" s="4"/>
      <c r="BM502" s="4"/>
      <c r="BN502" s="4"/>
    </row>
    <row r="503" spans="1:66" ht="15" customHeight="1">
      <c r="A503" s="19" t="str">
        <f t="shared" ref="A503:A508" si="55">$R$2&amp;".CPMM"</f>
        <v>АСУЭ.FB_IM_ADES_S.CPMM</v>
      </c>
      <c r="B503" s="11">
        <v>7999</v>
      </c>
      <c r="C503" s="11" t="s">
        <v>0</v>
      </c>
      <c r="D503" s="20" t="str">
        <f>"#"&amp;$S$2&amp;"#"&amp;$T$2&amp;"\"&amp;$P$2&amp;"\CPMM"</f>
        <v>#1#treiOPCDA.CoOPCserv.1\pcmaster\S_IM_ADES\CPMM</v>
      </c>
      <c r="BK503" s="4"/>
      <c r="BL503" s="4"/>
      <c r="BM503" s="4"/>
      <c r="BN503" s="4"/>
    </row>
    <row r="504" spans="1:66" ht="15" customHeight="1">
      <c r="A504" s="19" t="str">
        <f t="shared" si="55"/>
        <v>АСУЭ.FB_IM_ADES_S.CPMM</v>
      </c>
      <c r="B504" s="11">
        <v>7998</v>
      </c>
      <c r="C504" s="11" t="s">
        <v>6</v>
      </c>
      <c r="D504" s="20">
        <v>1</v>
      </c>
      <c r="BK504" s="4"/>
      <c r="BL504" s="4"/>
      <c r="BM504" s="4"/>
      <c r="BN504" s="4"/>
    </row>
    <row r="505" spans="1:66" ht="15" customHeight="1">
      <c r="A505" s="19" t="str">
        <f t="shared" si="55"/>
        <v>АСУЭ.FB_IM_ADES_S.CPMM</v>
      </c>
      <c r="B505" s="11">
        <v>101</v>
      </c>
      <c r="C505" s="11" t="s">
        <v>0</v>
      </c>
      <c r="D505" s="20" t="s">
        <v>115</v>
      </c>
      <c r="BK505" s="4"/>
      <c r="BL505" s="4"/>
      <c r="BM505" s="4"/>
      <c r="BN505" s="4"/>
    </row>
    <row r="506" spans="1:66" ht="15" customHeight="1">
      <c r="A506" s="19" t="str">
        <f t="shared" si="55"/>
        <v>АСУЭ.FB_IM_ADES_S.CPMM</v>
      </c>
      <c r="B506" s="11">
        <v>3</v>
      </c>
      <c r="C506" s="11" t="s">
        <v>1</v>
      </c>
      <c r="D506" s="20">
        <v>192</v>
      </c>
      <c r="BK506" s="4"/>
      <c r="BL506" s="4"/>
      <c r="BM506" s="4"/>
      <c r="BN506" s="4"/>
    </row>
    <row r="507" spans="1:66" ht="15" customHeight="1">
      <c r="A507" s="19" t="str">
        <f t="shared" si="55"/>
        <v>АСУЭ.FB_IM_ADES_S.CPMM</v>
      </c>
      <c r="B507" s="11">
        <v>2</v>
      </c>
      <c r="C507" s="11" t="s">
        <v>2</v>
      </c>
      <c r="D507" s="20" t="s">
        <v>266</v>
      </c>
      <c r="BK507" s="4"/>
      <c r="BL507" s="4"/>
      <c r="BM507" s="4"/>
      <c r="BN507" s="4"/>
    </row>
    <row r="508" spans="1:66" ht="15" customHeight="1">
      <c r="A508" s="21" t="str">
        <f t="shared" si="55"/>
        <v>АСУЭ.FB_IM_ADES_S.CPMM</v>
      </c>
      <c r="B508" s="8">
        <v>1</v>
      </c>
      <c r="C508" s="8" t="s">
        <v>1</v>
      </c>
      <c r="D508" s="22">
        <v>11</v>
      </c>
      <c r="BK508" s="4"/>
      <c r="BL508" s="4"/>
      <c r="BM508" s="4"/>
      <c r="BN508" s="4"/>
    </row>
    <row r="509" spans="1:66" ht="15" customHeight="1">
      <c r="A509" s="19" t="str">
        <f t="shared" ref="A509:A514" si="56">$R$2&amp;".CDON"</f>
        <v>АСУЭ.FB_IM_ADES_S.CDON</v>
      </c>
      <c r="B509" s="11">
        <v>7999</v>
      </c>
      <c r="C509" s="11" t="s">
        <v>0</v>
      </c>
      <c r="D509" s="20" t="str">
        <f>"#"&amp;$S$2&amp;"#"&amp;$T$2&amp;"\"&amp;$P$2&amp;"\CDON"</f>
        <v>#1#treiOPCDA.CoOPCserv.1\pcmaster\S_IM_ADES\CDON</v>
      </c>
      <c r="BK509" s="4"/>
      <c r="BL509" s="4"/>
      <c r="BM509" s="4"/>
      <c r="BN509" s="4"/>
    </row>
    <row r="510" spans="1:66" ht="15" customHeight="1">
      <c r="A510" s="19" t="str">
        <f t="shared" si="56"/>
        <v>АСУЭ.FB_IM_ADES_S.CDON</v>
      </c>
      <c r="B510" s="11">
        <v>7998</v>
      </c>
      <c r="C510" s="11" t="s">
        <v>6</v>
      </c>
      <c r="D510" s="20">
        <v>1</v>
      </c>
      <c r="BK510" s="4"/>
      <c r="BL510" s="4"/>
      <c r="BM510" s="4"/>
      <c r="BN510" s="4"/>
    </row>
    <row r="511" spans="1:66" ht="15" customHeight="1">
      <c r="A511" s="19" t="str">
        <f t="shared" si="56"/>
        <v>АСУЭ.FB_IM_ADES_S.CDON</v>
      </c>
      <c r="B511" s="11">
        <v>101</v>
      </c>
      <c r="C511" s="11" t="s">
        <v>0</v>
      </c>
      <c r="D511" s="20" t="str">
        <f>"Запрет включение"</f>
        <v>Запрет включение</v>
      </c>
      <c r="BK511" s="4"/>
      <c r="BL511" s="4"/>
      <c r="BM511" s="4"/>
      <c r="BN511" s="4"/>
    </row>
    <row r="512" spans="1:66" ht="15" customHeight="1">
      <c r="A512" s="19" t="str">
        <f t="shared" si="56"/>
        <v>АСУЭ.FB_IM_ADES_S.CDON</v>
      </c>
      <c r="B512" s="11">
        <v>3</v>
      </c>
      <c r="C512" s="11" t="s">
        <v>1</v>
      </c>
      <c r="D512" s="20">
        <v>192</v>
      </c>
      <c r="BK512" s="4"/>
      <c r="BL512" s="4"/>
      <c r="BM512" s="4"/>
      <c r="BN512" s="4"/>
    </row>
    <row r="513" spans="1:66" ht="15" customHeight="1">
      <c r="A513" s="19" t="str">
        <f t="shared" si="56"/>
        <v>АСУЭ.FB_IM_ADES_S.CDON</v>
      </c>
      <c r="B513" s="11">
        <v>2</v>
      </c>
      <c r="C513" s="11" t="s">
        <v>2</v>
      </c>
      <c r="D513" s="20" t="s">
        <v>3</v>
      </c>
      <c r="BK513" s="4"/>
      <c r="BL513" s="4"/>
      <c r="BM513" s="4"/>
      <c r="BN513" s="4"/>
    </row>
    <row r="514" spans="1:66" ht="15" customHeight="1">
      <c r="A514" s="21" t="str">
        <f t="shared" si="56"/>
        <v>АСУЭ.FB_IM_ADES_S.CDON</v>
      </c>
      <c r="B514" s="8">
        <v>1</v>
      </c>
      <c r="C514" s="8" t="s">
        <v>1</v>
      </c>
      <c r="D514" s="22">
        <v>11</v>
      </c>
      <c r="BK514" s="4"/>
      <c r="BL514" s="4"/>
      <c r="BM514" s="4"/>
      <c r="BN514" s="4"/>
    </row>
    <row r="515" spans="1:66" ht="15" customHeight="1">
      <c r="A515" s="19" t="str">
        <f t="shared" ref="A515:A520" si="57">$R$2&amp;".CDOF"</f>
        <v>АСУЭ.FB_IM_ADES_S.CDOF</v>
      </c>
      <c r="B515" s="11">
        <v>7999</v>
      </c>
      <c r="C515" s="11" t="s">
        <v>0</v>
      </c>
      <c r="D515" s="20" t="str">
        <f>"#"&amp;$S$2&amp;"#"&amp;$T$2&amp;"\"&amp;$P$2&amp;"\CDOF"</f>
        <v>#1#treiOPCDA.CoOPCserv.1\pcmaster\S_IM_ADES\CDOF</v>
      </c>
      <c r="BK515" s="4"/>
      <c r="BL515" s="4"/>
      <c r="BM515" s="4"/>
      <c r="BN515" s="4"/>
    </row>
    <row r="516" spans="1:66" ht="15" customHeight="1">
      <c r="A516" s="19" t="str">
        <f t="shared" si="57"/>
        <v>АСУЭ.FB_IM_ADES_S.CDOF</v>
      </c>
      <c r="B516" s="11">
        <v>7998</v>
      </c>
      <c r="C516" s="11" t="s">
        <v>6</v>
      </c>
      <c r="D516" s="20">
        <v>1</v>
      </c>
      <c r="BK516" s="4"/>
      <c r="BL516" s="4"/>
      <c r="BM516" s="4"/>
      <c r="BN516" s="4"/>
    </row>
    <row r="517" spans="1:66" ht="15" customHeight="1">
      <c r="A517" s="19" t="str">
        <f t="shared" si="57"/>
        <v>АСУЭ.FB_IM_ADES_S.CDOF</v>
      </c>
      <c r="B517" s="11">
        <v>101</v>
      </c>
      <c r="C517" s="11" t="s">
        <v>0</v>
      </c>
      <c r="D517" s="20" t="str">
        <f>"Запрет отключение"</f>
        <v>Запрет отключение</v>
      </c>
      <c r="BK517" s="4"/>
      <c r="BL517" s="4"/>
      <c r="BM517" s="4"/>
      <c r="BN517" s="4"/>
    </row>
    <row r="518" spans="1:66" ht="15" customHeight="1">
      <c r="A518" s="19" t="str">
        <f t="shared" si="57"/>
        <v>АСУЭ.FB_IM_ADES_S.CDOF</v>
      </c>
      <c r="B518" s="11">
        <v>3</v>
      </c>
      <c r="C518" s="11" t="s">
        <v>1</v>
      </c>
      <c r="D518" s="20">
        <v>192</v>
      </c>
      <c r="BK518" s="4"/>
      <c r="BL518" s="4"/>
      <c r="BM518" s="4"/>
      <c r="BN518" s="4"/>
    </row>
    <row r="519" spans="1:66" ht="15" customHeight="1">
      <c r="A519" s="19" t="str">
        <f t="shared" si="57"/>
        <v>АСУЭ.FB_IM_ADES_S.CDOF</v>
      </c>
      <c r="B519" s="11">
        <v>2</v>
      </c>
      <c r="C519" s="11" t="s">
        <v>2</v>
      </c>
      <c r="D519" s="20" t="s">
        <v>3</v>
      </c>
      <c r="BK519" s="4"/>
      <c r="BL519" s="4"/>
      <c r="BM519" s="4"/>
      <c r="BN519" s="4"/>
    </row>
    <row r="520" spans="1:66" ht="15" customHeight="1">
      <c r="A520" s="21" t="str">
        <f t="shared" si="57"/>
        <v>АСУЭ.FB_IM_ADES_S.CDOF</v>
      </c>
      <c r="B520" s="8">
        <v>1</v>
      </c>
      <c r="C520" s="8" t="s">
        <v>1</v>
      </c>
      <c r="D520" s="22">
        <v>11</v>
      </c>
      <c r="BK520" s="4"/>
      <c r="BL520" s="4"/>
      <c r="BM520" s="4"/>
      <c r="BN520" s="4"/>
    </row>
    <row r="521" spans="1:66" ht="15" customHeight="1">
      <c r="A521" s="19" t="str">
        <f t="shared" ref="A521:A526" si="58">$R$2&amp;".FXXX"</f>
        <v>АСУЭ.FB_IM_ADES_S.FXXX</v>
      </c>
      <c r="B521" s="11">
        <v>7999</v>
      </c>
      <c r="C521" s="11" t="s">
        <v>0</v>
      </c>
      <c r="D521" s="20" t="str">
        <f>"#"&amp;$S$2&amp;"#"&amp;$T$2&amp;"\"&amp;$P$2&amp;"\FXXX"</f>
        <v>#1#treiOPCDA.CoOPCserv.1\pcmaster\S_IM_ADES\FXXX</v>
      </c>
      <c r="BK521" s="4"/>
      <c r="BL521" s="4"/>
      <c r="BM521" s="4"/>
      <c r="BN521" s="4"/>
    </row>
    <row r="522" spans="1:66" ht="15" customHeight="1">
      <c r="A522" s="19" t="str">
        <f t="shared" si="58"/>
        <v>АСУЭ.FB_IM_ADES_S.FXXX</v>
      </c>
      <c r="B522" s="11">
        <v>7998</v>
      </c>
      <c r="C522" s="11" t="s">
        <v>6</v>
      </c>
      <c r="D522" s="20">
        <v>1</v>
      </c>
      <c r="BK522" s="4"/>
      <c r="BL522" s="4"/>
      <c r="BM522" s="4"/>
      <c r="BN522" s="4"/>
    </row>
    <row r="523" spans="1:66" ht="15" customHeight="1">
      <c r="A523" s="19" t="str">
        <f t="shared" si="58"/>
        <v>АСУЭ.FB_IM_ADES_S.FXXX</v>
      </c>
      <c r="B523" s="11">
        <v>101</v>
      </c>
      <c r="C523" s="11" t="s">
        <v>0</v>
      </c>
      <c r="D523" s="20" t="s">
        <v>139</v>
      </c>
      <c r="BK523" s="4"/>
      <c r="BL523" s="4"/>
      <c r="BM523" s="4"/>
      <c r="BN523" s="4"/>
    </row>
    <row r="524" spans="1:66" ht="15" customHeight="1">
      <c r="A524" s="19" t="str">
        <f t="shared" si="58"/>
        <v>АСУЭ.FB_IM_ADES_S.FXXX</v>
      </c>
      <c r="B524" s="11">
        <v>3</v>
      </c>
      <c r="C524" s="11" t="s">
        <v>1</v>
      </c>
      <c r="D524" s="20">
        <v>192</v>
      </c>
      <c r="BK524" s="4"/>
      <c r="BL524" s="4"/>
      <c r="BM524" s="4"/>
      <c r="BN524" s="4"/>
    </row>
    <row r="525" spans="1:66" ht="15" customHeight="1">
      <c r="A525" s="19" t="str">
        <f t="shared" si="58"/>
        <v>АСУЭ.FB_IM_ADES_S.FXXX</v>
      </c>
      <c r="B525" s="11">
        <v>2</v>
      </c>
      <c r="C525" s="11" t="s">
        <v>2</v>
      </c>
      <c r="D525" s="20" t="s">
        <v>3</v>
      </c>
      <c r="BK525" s="4"/>
      <c r="BL525" s="4"/>
      <c r="BM525" s="4"/>
      <c r="BN525" s="4"/>
    </row>
    <row r="526" spans="1:66" ht="15" customHeight="1">
      <c r="A526" s="21" t="str">
        <f t="shared" si="58"/>
        <v>АСУЭ.FB_IM_ADES_S.FXXX</v>
      </c>
      <c r="B526" s="8">
        <v>1</v>
      </c>
      <c r="C526" s="8" t="s">
        <v>1</v>
      </c>
      <c r="D526" s="22">
        <v>11</v>
      </c>
      <c r="BK526" s="4"/>
      <c r="BL526" s="4"/>
      <c r="BM526" s="4"/>
      <c r="BN526" s="4"/>
    </row>
    <row r="527" spans="1:66" ht="15" customHeight="1">
      <c r="A527" s="19" t="str">
        <f t="shared" ref="A527:A532" si="59">$R$2&amp;".SMMX"</f>
        <v>АСУЭ.FB_IM_ADES_S.SMMX</v>
      </c>
      <c r="B527" s="11">
        <v>7999</v>
      </c>
      <c r="C527" s="11" t="s">
        <v>0</v>
      </c>
      <c r="D527" s="20" t="str">
        <f>"#"&amp;$S$2&amp;"#"&amp;$T$2&amp;"\"&amp;$P$2&amp;"\SMMX"</f>
        <v>#1#treiOPCDA.CoOPCserv.1\pcmaster\S_IM_ADES\SMMX</v>
      </c>
      <c r="BK527" s="4"/>
      <c r="BL527" s="4"/>
      <c r="BM527" s="4"/>
      <c r="BN527" s="4"/>
    </row>
    <row r="528" spans="1:66" ht="15" customHeight="1">
      <c r="A528" s="19" t="str">
        <f t="shared" si="59"/>
        <v>АСУЭ.FB_IM_ADES_S.SMMX</v>
      </c>
      <c r="B528" s="11">
        <v>7998</v>
      </c>
      <c r="C528" s="11" t="s">
        <v>6</v>
      </c>
      <c r="D528" s="20">
        <v>1</v>
      </c>
      <c r="BK528" s="4"/>
      <c r="BL528" s="4"/>
      <c r="BM528" s="4"/>
      <c r="BN528" s="4"/>
    </row>
    <row r="529" spans="1:66" ht="15" customHeight="1">
      <c r="A529" s="19" t="str">
        <f t="shared" si="59"/>
        <v>АСУЭ.FB_IM_ADES_S.SMMX</v>
      </c>
      <c r="B529" s="11">
        <v>101</v>
      </c>
      <c r="C529" s="11" t="s">
        <v>0</v>
      </c>
      <c r="D529" s="20" t="s">
        <v>251</v>
      </c>
      <c r="BK529" s="4"/>
      <c r="BL529" s="4"/>
      <c r="BM529" s="4"/>
      <c r="BN529" s="4"/>
    </row>
    <row r="530" spans="1:66" ht="15" customHeight="1">
      <c r="A530" s="19" t="str">
        <f t="shared" si="59"/>
        <v>АСУЭ.FB_IM_ADES_S.SMMX</v>
      </c>
      <c r="B530" s="11">
        <v>3</v>
      </c>
      <c r="C530" s="11" t="s">
        <v>1</v>
      </c>
      <c r="D530" s="20">
        <v>192</v>
      </c>
      <c r="BK530" s="4"/>
      <c r="BL530" s="4"/>
      <c r="BM530" s="4"/>
      <c r="BN530" s="4"/>
    </row>
    <row r="531" spans="1:66" ht="15" customHeight="1">
      <c r="A531" s="19" t="str">
        <f t="shared" si="59"/>
        <v>АСУЭ.FB_IM_ADES_S.SMMX</v>
      </c>
      <c r="B531" s="11">
        <v>2</v>
      </c>
      <c r="C531" s="11" t="s">
        <v>2</v>
      </c>
      <c r="D531" s="20" t="s">
        <v>3</v>
      </c>
      <c r="BK531" s="4"/>
      <c r="BL531" s="4"/>
      <c r="BM531" s="4"/>
      <c r="BN531" s="4"/>
    </row>
    <row r="532" spans="1:66" ht="15" customHeight="1">
      <c r="A532" s="21" t="str">
        <f t="shared" si="59"/>
        <v>АСУЭ.FB_IM_ADES_S.SMMX</v>
      </c>
      <c r="B532" s="8">
        <v>1</v>
      </c>
      <c r="C532" s="8" t="s">
        <v>1</v>
      </c>
      <c r="D532" s="22">
        <v>11</v>
      </c>
      <c r="BK532" s="4"/>
      <c r="BL532" s="4"/>
      <c r="BM532" s="4"/>
      <c r="BN532" s="4"/>
    </row>
    <row r="533" spans="1:66" ht="15" customHeight="1">
      <c r="A533" s="266" t="str">
        <f t="shared" ref="A533:A538" si="60">$R$2&amp;".XRMX"</f>
        <v>АСУЭ.FB_IM_ADES_S.XRMX</v>
      </c>
      <c r="B533" s="267">
        <v>3</v>
      </c>
      <c r="C533" s="267" t="s">
        <v>1</v>
      </c>
      <c r="D533" s="268">
        <v>192</v>
      </c>
      <c r="BK533" s="4"/>
      <c r="BL533" s="4"/>
      <c r="BM533" s="4"/>
      <c r="BN533" s="4"/>
    </row>
    <row r="534" spans="1:66" ht="15" customHeight="1">
      <c r="A534" s="269" t="str">
        <f t="shared" si="60"/>
        <v>АСУЭ.FB_IM_ADES_S.XRMX</v>
      </c>
      <c r="B534" s="270">
        <v>2</v>
      </c>
      <c r="C534" s="270" t="s">
        <v>6</v>
      </c>
      <c r="D534" s="271">
        <v>0</v>
      </c>
      <c r="BK534" s="4"/>
      <c r="BL534" s="4"/>
      <c r="BM534" s="4"/>
      <c r="BN534" s="4"/>
    </row>
    <row r="535" spans="1:66" ht="15" customHeight="1">
      <c r="A535" s="269" t="str">
        <f t="shared" si="60"/>
        <v>АСУЭ.FB_IM_ADES_S.XRMX</v>
      </c>
      <c r="B535" s="270">
        <v>1</v>
      </c>
      <c r="C535" s="270" t="s">
        <v>1</v>
      </c>
      <c r="D535" s="271">
        <v>3</v>
      </c>
      <c r="BK535" s="4"/>
      <c r="BL535" s="4"/>
      <c r="BM535" s="4"/>
      <c r="BN535" s="4"/>
    </row>
    <row r="536" spans="1:66" ht="15" customHeight="1">
      <c r="A536" s="269" t="str">
        <f t="shared" si="60"/>
        <v>АСУЭ.FB_IM_ADES_S.XRMX</v>
      </c>
      <c r="B536" s="270">
        <v>101</v>
      </c>
      <c r="C536" s="270" t="s">
        <v>0</v>
      </c>
      <c r="D536" s="271" t="str">
        <f>"Счетчик минут в текущем часе в состоянии Включен"</f>
        <v>Счетчик минут в текущем часе в состоянии Включен</v>
      </c>
      <c r="BK536" s="4"/>
      <c r="BL536" s="4"/>
      <c r="BM536" s="4"/>
      <c r="BN536" s="4"/>
    </row>
    <row r="537" spans="1:66" ht="15" customHeight="1">
      <c r="A537" s="269" t="str">
        <f t="shared" si="60"/>
        <v>АСУЭ.FB_IM_ADES_S.XRMX</v>
      </c>
      <c r="B537" s="270">
        <v>7998</v>
      </c>
      <c r="C537" s="270" t="s">
        <v>6</v>
      </c>
      <c r="D537" s="271">
        <v>1</v>
      </c>
      <c r="BK537" s="4"/>
      <c r="BL537" s="4"/>
      <c r="BM537" s="4"/>
      <c r="BN537" s="4"/>
    </row>
    <row r="538" spans="1:66" ht="15" customHeight="1">
      <c r="A538" s="272" t="str">
        <f t="shared" si="60"/>
        <v>АСУЭ.FB_IM_ADES_S.XRMX</v>
      </c>
      <c r="B538" s="273">
        <v>7999</v>
      </c>
      <c r="C538" s="273" t="s">
        <v>0</v>
      </c>
      <c r="D538" s="274" t="str">
        <f>"#"&amp;$S$2&amp;"#"&amp;$T$2&amp;"\"&amp;$P$2&amp;"\XRMX"</f>
        <v>#1#treiOPCDA.CoOPCserv.1\pcmaster\S_IM_ADES\XRMX</v>
      </c>
      <c r="BK538" s="4"/>
      <c r="BL538" s="4"/>
      <c r="BM538" s="4"/>
      <c r="BN538" s="4"/>
    </row>
    <row r="539" spans="1:66" ht="15" customHeight="1">
      <c r="A539" s="266" t="str">
        <f t="shared" ref="A539:A544" si="61">$R$2&amp;".XRHX"</f>
        <v>АСУЭ.FB_IM_ADES_S.XRHX</v>
      </c>
      <c r="B539" s="267">
        <v>3</v>
      </c>
      <c r="C539" s="267" t="s">
        <v>1</v>
      </c>
      <c r="D539" s="268">
        <v>192</v>
      </c>
      <c r="BK539" s="4"/>
      <c r="BL539" s="4"/>
      <c r="BM539" s="4"/>
      <c r="BN539" s="4"/>
    </row>
    <row r="540" spans="1:66" ht="15" customHeight="1">
      <c r="A540" s="269" t="str">
        <f t="shared" si="61"/>
        <v>АСУЭ.FB_IM_ADES_S.XRHX</v>
      </c>
      <c r="B540" s="270">
        <v>2</v>
      </c>
      <c r="C540" s="270" t="s">
        <v>6</v>
      </c>
      <c r="D540" s="271">
        <v>0</v>
      </c>
      <c r="BK540" s="4"/>
      <c r="BL540" s="4"/>
      <c r="BM540" s="4"/>
      <c r="BN540" s="4"/>
    </row>
    <row r="541" spans="1:66" ht="15" customHeight="1">
      <c r="A541" s="269" t="str">
        <f t="shared" si="61"/>
        <v>АСУЭ.FB_IM_ADES_S.XRHX</v>
      </c>
      <c r="B541" s="270">
        <v>1</v>
      </c>
      <c r="C541" s="270" t="s">
        <v>1</v>
      </c>
      <c r="D541" s="271">
        <v>3</v>
      </c>
      <c r="BK541" s="4"/>
      <c r="BL541" s="4"/>
      <c r="BM541" s="4"/>
      <c r="BN541" s="4"/>
    </row>
    <row r="542" spans="1:66" ht="15" customHeight="1">
      <c r="A542" s="269" t="str">
        <f t="shared" si="61"/>
        <v>АСУЭ.FB_IM_ADES_S.XRHX</v>
      </c>
      <c r="B542" s="270">
        <v>101</v>
      </c>
      <c r="C542" s="270" t="s">
        <v>0</v>
      </c>
      <c r="D542" s="271" t="str">
        <f>"Счетчик часов в состоянии Включен"</f>
        <v>Счетчик часов в состоянии Включен</v>
      </c>
      <c r="BK542" s="4"/>
      <c r="BL542" s="4"/>
      <c r="BM542" s="4"/>
      <c r="BN542" s="4"/>
    </row>
    <row r="543" spans="1:66" ht="15" customHeight="1">
      <c r="A543" s="269" t="str">
        <f t="shared" si="61"/>
        <v>АСУЭ.FB_IM_ADES_S.XRHX</v>
      </c>
      <c r="B543" s="270">
        <v>7998</v>
      </c>
      <c r="C543" s="270" t="s">
        <v>6</v>
      </c>
      <c r="D543" s="271">
        <v>1</v>
      </c>
      <c r="BK543" s="4"/>
      <c r="BL543" s="4"/>
      <c r="BM543" s="4"/>
      <c r="BN543" s="4"/>
    </row>
    <row r="544" spans="1:66" ht="15" customHeight="1">
      <c r="A544" s="272" t="str">
        <f t="shared" si="61"/>
        <v>АСУЭ.FB_IM_ADES_S.XRHX</v>
      </c>
      <c r="B544" s="273">
        <v>7999</v>
      </c>
      <c r="C544" s="273" t="s">
        <v>0</v>
      </c>
      <c r="D544" s="274" t="str">
        <f>"#"&amp;$S$2&amp;"#"&amp;$T$2&amp;"\"&amp;$P$2&amp;"\XRHX"</f>
        <v>#1#treiOPCDA.CoOPCserv.1\pcmaster\S_IM_ADES\XRHX</v>
      </c>
      <c r="BK544" s="4"/>
      <c r="BL544" s="4"/>
      <c r="BM544" s="4"/>
      <c r="BN544" s="4"/>
    </row>
    <row r="545" spans="1:66" ht="15" customHeight="1">
      <c r="A545" s="266" t="str">
        <f t="shared" ref="A545:A550" si="62">$R$2&amp;".STCX"</f>
        <v>АСУЭ.FB_IM_ADES_S.STCX</v>
      </c>
      <c r="B545" s="267">
        <v>3</v>
      </c>
      <c r="C545" s="267" t="s">
        <v>1</v>
      </c>
      <c r="D545" s="268">
        <v>192</v>
      </c>
      <c r="BK545" s="4"/>
      <c r="BL545" s="4"/>
      <c r="BM545" s="4"/>
      <c r="BN545" s="4"/>
    </row>
    <row r="546" spans="1:66" ht="15" customHeight="1">
      <c r="A546" s="269" t="str">
        <f t="shared" si="62"/>
        <v>АСУЭ.FB_IM_ADES_S.STCX</v>
      </c>
      <c r="B546" s="270">
        <v>2</v>
      </c>
      <c r="C546" s="270" t="s">
        <v>6</v>
      </c>
      <c r="D546" s="271">
        <v>0</v>
      </c>
      <c r="BK546" s="4"/>
      <c r="BL546" s="4"/>
      <c r="BM546" s="4"/>
      <c r="BN546" s="4"/>
    </row>
    <row r="547" spans="1:66" ht="15" customHeight="1">
      <c r="A547" s="269" t="str">
        <f t="shared" si="62"/>
        <v>АСУЭ.FB_IM_ADES_S.STCX</v>
      </c>
      <c r="B547" s="270">
        <v>1</v>
      </c>
      <c r="C547" s="270" t="s">
        <v>1</v>
      </c>
      <c r="D547" s="271">
        <v>3</v>
      </c>
      <c r="BK547" s="4"/>
      <c r="BL547" s="4"/>
      <c r="BM547" s="4"/>
      <c r="BN547" s="4"/>
    </row>
    <row r="548" spans="1:66" ht="15" customHeight="1">
      <c r="A548" s="269" t="str">
        <f t="shared" si="62"/>
        <v>АСУЭ.FB_IM_ADES_S.STCX</v>
      </c>
      <c r="B548" s="270">
        <v>101</v>
      </c>
      <c r="C548" s="270" t="s">
        <v>0</v>
      </c>
      <c r="D548" s="271" t="s">
        <v>127</v>
      </c>
      <c r="BK548" s="4"/>
      <c r="BL548" s="4"/>
      <c r="BM548" s="4"/>
      <c r="BN548" s="4"/>
    </row>
    <row r="549" spans="1:66" ht="15" customHeight="1">
      <c r="A549" s="269" t="str">
        <f t="shared" si="62"/>
        <v>АСУЭ.FB_IM_ADES_S.STCX</v>
      </c>
      <c r="B549" s="270">
        <v>7998</v>
      </c>
      <c r="C549" s="270" t="s">
        <v>6</v>
      </c>
      <c r="D549" s="271">
        <v>1</v>
      </c>
      <c r="BK549" s="4"/>
      <c r="BL549" s="4"/>
      <c r="BM549" s="4"/>
      <c r="BN549" s="4"/>
    </row>
    <row r="550" spans="1:66" ht="15" customHeight="1">
      <c r="A550" s="272" t="str">
        <f t="shared" si="62"/>
        <v>АСУЭ.FB_IM_ADES_S.STCX</v>
      </c>
      <c r="B550" s="273">
        <v>7999</v>
      </c>
      <c r="C550" s="273" t="s">
        <v>0</v>
      </c>
      <c r="D550" s="274" t="str">
        <f>"#"&amp;$S$2&amp;"#"&amp;$T$2&amp;"\"&amp;$P$2&amp;"\STCX"</f>
        <v>#1#treiOPCDA.CoOPCserv.1\pcmaster\S_IM_ADES\STCX</v>
      </c>
      <c r="BK550" s="4"/>
      <c r="BL550" s="4"/>
      <c r="BM550" s="4"/>
      <c r="BN550" s="4"/>
    </row>
    <row r="551" spans="1:66" ht="15" customHeight="1">
      <c r="A551" s="266" t="str">
        <f t="shared" ref="A551:A556" si="63">$R$2&amp;".STSX"</f>
        <v>АСУЭ.FB_IM_ADES_S.STSX</v>
      </c>
      <c r="B551" s="267">
        <v>3</v>
      </c>
      <c r="C551" s="267" t="s">
        <v>1</v>
      </c>
      <c r="D551" s="268">
        <v>192</v>
      </c>
      <c r="BK551" s="4"/>
      <c r="BL551" s="4"/>
      <c r="BM551" s="4"/>
      <c r="BN551" s="4"/>
    </row>
    <row r="552" spans="1:66" ht="15" customHeight="1">
      <c r="A552" s="269" t="str">
        <f t="shared" si="63"/>
        <v>АСУЭ.FB_IM_ADES_S.STSX</v>
      </c>
      <c r="B552" s="270">
        <v>2</v>
      </c>
      <c r="C552" s="270" t="s">
        <v>6</v>
      </c>
      <c r="D552" s="271">
        <v>0</v>
      </c>
      <c r="BK552" s="4"/>
      <c r="BL552" s="4"/>
      <c r="BM552" s="4"/>
      <c r="BN552" s="4"/>
    </row>
    <row r="553" spans="1:66" ht="15" customHeight="1">
      <c r="A553" s="269" t="str">
        <f t="shared" si="63"/>
        <v>АСУЭ.FB_IM_ADES_S.STSX</v>
      </c>
      <c r="B553" s="270">
        <v>1</v>
      </c>
      <c r="C553" s="270" t="s">
        <v>1</v>
      </c>
      <c r="D553" s="271">
        <v>3</v>
      </c>
      <c r="BK553" s="4"/>
      <c r="BL553" s="4"/>
      <c r="BM553" s="4"/>
      <c r="BN553" s="4"/>
    </row>
    <row r="554" spans="1:66" ht="15" customHeight="1">
      <c r="A554" s="269" t="str">
        <f t="shared" si="63"/>
        <v>АСУЭ.FB_IM_ADES_S.STSX</v>
      </c>
      <c r="B554" s="270">
        <v>101</v>
      </c>
      <c r="C554" s="270" t="s">
        <v>0</v>
      </c>
      <c r="D554" s="271" t="s">
        <v>128</v>
      </c>
      <c r="BK554" s="4"/>
      <c r="BL554" s="4"/>
      <c r="BM554" s="4"/>
      <c r="BN554" s="4"/>
    </row>
    <row r="555" spans="1:66" ht="15" customHeight="1">
      <c r="A555" s="269" t="str">
        <f t="shared" si="63"/>
        <v>АСУЭ.FB_IM_ADES_S.STSX</v>
      </c>
      <c r="B555" s="270">
        <v>7998</v>
      </c>
      <c r="C555" s="270" t="s">
        <v>6</v>
      </c>
      <c r="D555" s="271">
        <v>1</v>
      </c>
      <c r="BK555" s="4"/>
      <c r="BL555" s="4"/>
      <c r="BM555" s="4"/>
      <c r="BN555" s="4"/>
    </row>
    <row r="556" spans="1:66" ht="15" customHeight="1">
      <c r="A556" s="272" t="str">
        <f t="shared" si="63"/>
        <v>АСУЭ.FB_IM_ADES_S.STSX</v>
      </c>
      <c r="B556" s="273">
        <v>7999</v>
      </c>
      <c r="C556" s="273" t="s">
        <v>0</v>
      </c>
      <c r="D556" s="274" t="str">
        <f>"#"&amp;$S$2&amp;"#"&amp;$T$2&amp;"\"&amp;$P$2&amp;"\STSX"</f>
        <v>#1#treiOPCDA.CoOPCserv.1\pcmaster\S_IM_ADES\STSX</v>
      </c>
      <c r="BK556" s="4"/>
      <c r="BL556" s="4"/>
      <c r="BM556" s="4"/>
      <c r="BN556" s="4"/>
    </row>
    <row r="557" spans="1:66" ht="15" customHeight="1">
      <c r="A557" s="266" t="str">
        <f t="shared" ref="A557:A562" si="64">$R$2&amp;".SRTX"</f>
        <v>АСУЭ.FB_IM_ADES_S.SRTX</v>
      </c>
      <c r="B557" s="267">
        <v>3</v>
      </c>
      <c r="C557" s="267" t="s">
        <v>1</v>
      </c>
      <c r="D557" s="268">
        <v>192</v>
      </c>
      <c r="BK557" s="4"/>
      <c r="BL557" s="4"/>
      <c r="BM557" s="4"/>
      <c r="BN557" s="4"/>
    </row>
    <row r="558" spans="1:66" ht="15" customHeight="1">
      <c r="A558" s="269" t="str">
        <f t="shared" si="64"/>
        <v>АСУЭ.FB_IM_ADES_S.SRTX</v>
      </c>
      <c r="B558" s="270">
        <v>2</v>
      </c>
      <c r="C558" s="270" t="s">
        <v>6</v>
      </c>
      <c r="D558" s="271">
        <v>0</v>
      </c>
      <c r="BK558" s="4"/>
      <c r="BL558" s="4"/>
      <c r="BM558" s="4"/>
      <c r="BN558" s="4"/>
    </row>
    <row r="559" spans="1:66" ht="15" customHeight="1">
      <c r="A559" s="269" t="str">
        <f t="shared" si="64"/>
        <v>АСУЭ.FB_IM_ADES_S.SRTX</v>
      </c>
      <c r="B559" s="270">
        <v>1</v>
      </c>
      <c r="C559" s="270" t="s">
        <v>1</v>
      </c>
      <c r="D559" s="271">
        <v>3</v>
      </c>
      <c r="BK559" s="4"/>
      <c r="BL559" s="4"/>
      <c r="BM559" s="4"/>
      <c r="BN559" s="4"/>
    </row>
    <row r="560" spans="1:66" ht="15" customHeight="1">
      <c r="A560" s="269" t="str">
        <f t="shared" si="64"/>
        <v>АСУЭ.FB_IM_ADES_S.SRTX</v>
      </c>
      <c r="B560" s="270">
        <v>101</v>
      </c>
      <c r="C560" s="270" t="s">
        <v>0</v>
      </c>
      <c r="D560" s="271" t="s">
        <v>192</v>
      </c>
      <c r="BK560" s="4"/>
      <c r="BL560" s="4"/>
      <c r="BM560" s="4"/>
      <c r="BN560" s="4"/>
    </row>
    <row r="561" spans="1:17" s="4" customFormat="1">
      <c r="A561" s="269" t="str">
        <f t="shared" si="64"/>
        <v>АСУЭ.FB_IM_ADES_S.SRTX</v>
      </c>
      <c r="B561" s="270">
        <v>7998</v>
      </c>
      <c r="C561" s="270" t="s">
        <v>6</v>
      </c>
      <c r="D561" s="271">
        <v>1</v>
      </c>
      <c r="Q561"/>
    </row>
    <row r="562" spans="1:17">
      <c r="A562" s="272" t="str">
        <f t="shared" si="64"/>
        <v>АСУЭ.FB_IM_ADES_S.SRTX</v>
      </c>
      <c r="B562" s="273">
        <v>7999</v>
      </c>
      <c r="C562" s="273" t="s">
        <v>0</v>
      </c>
      <c r="D562" s="274" t="str">
        <f>"#"&amp;$S$2&amp;"#"&amp;$T$2&amp;"\"&amp;$P$2&amp;"\SRTX"</f>
        <v>#1#treiOPCDA.CoOPCserv.1\pcmaster\S_IM_ADES\SRTX</v>
      </c>
    </row>
    <row r="563" spans="1:17">
      <c r="A563" s="16" t="str">
        <f>$R$2&amp;".Commands.COON"</f>
        <v>АСУЭ.FB_IM_ADES_S.Commands.COON</v>
      </c>
      <c r="B563" s="17">
        <v>101</v>
      </c>
      <c r="C563" s="17" t="s">
        <v>0</v>
      </c>
      <c r="D563" s="18" t="str">
        <f>"Команда оператора Включить"</f>
        <v>Команда оператора Включить</v>
      </c>
    </row>
    <row r="564" spans="1:17">
      <c r="A564" s="19" t="str">
        <f>$R$2&amp;".Commands.COON"</f>
        <v>АСУЭ.FB_IM_ADES_S.Commands.COON</v>
      </c>
      <c r="B564" s="11">
        <v>7999</v>
      </c>
      <c r="C564" s="11" t="s">
        <v>0</v>
      </c>
      <c r="D564" s="20" t="str">
        <f>"#"&amp;$T$5&amp;"#"&amp;$T$2&amp;"\"&amp;$P$2&amp;"\COON"</f>
        <v>#1#treiOPCDA.CoOPCserv.1\pcmaster\S_IM_ADES\COON</v>
      </c>
    </row>
    <row r="565" spans="1:17">
      <c r="A565" s="19" t="str">
        <f>$R$2&amp;".Commands.COON"</f>
        <v>АСУЭ.FB_IM_ADES_S.Commands.COON</v>
      </c>
      <c r="B565" s="11">
        <v>7998</v>
      </c>
      <c r="C565" s="11" t="s">
        <v>6</v>
      </c>
      <c r="D565" s="20">
        <v>2</v>
      </c>
    </row>
    <row r="566" spans="1:17">
      <c r="A566" s="21" t="str">
        <f>$R$2&amp;".Commands.COON"</f>
        <v>АСУЭ.FB_IM_ADES_S.Commands.COON</v>
      </c>
      <c r="B566" s="8">
        <v>1</v>
      </c>
      <c r="C566" s="8" t="s">
        <v>1</v>
      </c>
      <c r="D566" s="22">
        <v>11</v>
      </c>
    </row>
    <row r="567" spans="1:17">
      <c r="A567" s="16" t="str">
        <f>$R$2&amp;".Commands.COOF"</f>
        <v>АСУЭ.FB_IM_ADES_S.Commands.COOF</v>
      </c>
      <c r="B567" s="17">
        <v>101</v>
      </c>
      <c r="C567" s="17" t="s">
        <v>0</v>
      </c>
      <c r="D567" s="18" t="str">
        <f>"Команда оператора Отключить"</f>
        <v>Команда оператора Отключить</v>
      </c>
    </row>
    <row r="568" spans="1:17">
      <c r="A568" s="19" t="str">
        <f>$R$2&amp;".Commands.COOF"</f>
        <v>АСУЭ.FB_IM_ADES_S.Commands.COOF</v>
      </c>
      <c r="B568" s="11">
        <v>7999</v>
      </c>
      <c r="C568" s="11" t="s">
        <v>0</v>
      </c>
      <c r="D568" s="20" t="str">
        <f>"#"&amp;$T$5&amp;"#"&amp;$T$2&amp;"\"&amp;$P$2&amp;"\COOF"</f>
        <v>#1#treiOPCDA.CoOPCserv.1\pcmaster\S_IM_ADES\COOF</v>
      </c>
    </row>
    <row r="569" spans="1:17">
      <c r="A569" s="19" t="str">
        <f>$R$2&amp;".Commands.COOF"</f>
        <v>АСУЭ.FB_IM_ADES_S.Commands.COOF</v>
      </c>
      <c r="B569" s="11">
        <v>7998</v>
      </c>
      <c r="C569" s="11" t="s">
        <v>6</v>
      </c>
      <c r="D569" s="20">
        <v>2</v>
      </c>
    </row>
    <row r="570" spans="1:17">
      <c r="A570" s="21" t="str">
        <f>$R$2&amp;".Commands.COOF"</f>
        <v>АСУЭ.FB_IM_ADES_S.Commands.COOF</v>
      </c>
      <c r="B570" s="8">
        <v>1</v>
      </c>
      <c r="C570" s="8" t="s">
        <v>1</v>
      </c>
      <c r="D570" s="22">
        <v>11</v>
      </c>
    </row>
    <row r="571" spans="1:17">
      <c r="A571" s="16" t="str">
        <f>$R$2&amp;".Commands.COSP"</f>
        <v>АСУЭ.FB_IM_ADES_S.Commands.COSP</v>
      </c>
      <c r="B571" s="17">
        <v>101</v>
      </c>
      <c r="C571" s="17" t="s">
        <v>0</v>
      </c>
      <c r="D571" s="18" t="s">
        <v>111</v>
      </c>
    </row>
    <row r="572" spans="1:17">
      <c r="A572" s="19" t="str">
        <f>$R$2&amp;".Commands.COSP"</f>
        <v>АСУЭ.FB_IM_ADES_S.Commands.COSP</v>
      </c>
      <c r="B572" s="11">
        <v>7999</v>
      </c>
      <c r="C572" s="11" t="s">
        <v>0</v>
      </c>
      <c r="D572" s="20" t="str">
        <f>"#"&amp;$T$5&amp;"#"&amp;$T$2&amp;"\"&amp;$P$2&amp;"\COSP"</f>
        <v>#1#treiOPCDA.CoOPCserv.1\pcmaster\S_IM_ADES\COSP</v>
      </c>
    </row>
    <row r="573" spans="1:17">
      <c r="A573" s="19" t="str">
        <f>$R$2&amp;".Commands.COSP"</f>
        <v>АСУЭ.FB_IM_ADES_S.Commands.COSP</v>
      </c>
      <c r="B573" s="11">
        <v>7998</v>
      </c>
      <c r="C573" s="11" t="s">
        <v>6</v>
      </c>
      <c r="D573" s="20">
        <v>2</v>
      </c>
    </row>
    <row r="574" spans="1:17">
      <c r="A574" s="21" t="str">
        <f>$R$2&amp;".Commands.COSP"</f>
        <v>АСУЭ.FB_IM_ADES_S.Commands.COSP</v>
      </c>
      <c r="B574" s="8">
        <v>1</v>
      </c>
      <c r="C574" s="8" t="s">
        <v>1</v>
      </c>
      <c r="D574" s="22">
        <v>11</v>
      </c>
    </row>
    <row r="575" spans="1:17">
      <c r="A575" s="16" t="str">
        <f>$R$2&amp;".Commands.CRPX"</f>
        <v>АСУЭ.FB_IM_ADES_S.Commands.CRPX</v>
      </c>
      <c r="B575" s="17">
        <v>101</v>
      </c>
      <c r="C575" s="17" t="s">
        <v>0</v>
      </c>
      <c r="D575" s="18" t="s">
        <v>113</v>
      </c>
    </row>
    <row r="576" spans="1:17">
      <c r="A576" s="19" t="str">
        <f>$R$2&amp;".Commands.CRPX"</f>
        <v>АСУЭ.FB_IM_ADES_S.Commands.CRPX</v>
      </c>
      <c r="B576" s="11">
        <v>7999</v>
      </c>
      <c r="C576" s="11" t="s">
        <v>0</v>
      </c>
      <c r="D576" s="20" t="str">
        <f>"#"&amp;$T$5&amp;"#"&amp;$T$2&amp;"\"&amp;$P$2&amp;"\CRPX"</f>
        <v>#1#treiOPCDA.CoOPCserv.1\pcmaster\S_IM_ADES\CRPX</v>
      </c>
    </row>
    <row r="577" spans="1:4">
      <c r="A577" s="19" t="str">
        <f>$R$2&amp;".Commands.CRPX"</f>
        <v>АСУЭ.FB_IM_ADES_S.Commands.CRPX</v>
      </c>
      <c r="B577" s="11">
        <v>7998</v>
      </c>
      <c r="C577" s="11" t="s">
        <v>6</v>
      </c>
      <c r="D577" s="20">
        <v>2</v>
      </c>
    </row>
    <row r="578" spans="1:4">
      <c r="A578" s="21" t="str">
        <f>$R$2&amp;".Commands.CRPX"</f>
        <v>АСУЭ.FB_IM_ADES_S.Commands.CRPX</v>
      </c>
      <c r="B578" s="8">
        <v>1</v>
      </c>
      <c r="C578" s="8" t="s">
        <v>1</v>
      </c>
      <c r="D578" s="22">
        <v>11</v>
      </c>
    </row>
    <row r="579" spans="1:4">
      <c r="A579" s="16" t="str">
        <f>$R$2&amp;".Commands.CRST"</f>
        <v>АСУЭ.FB_IM_ADES_S.Commands.CRST</v>
      </c>
      <c r="B579" s="17">
        <v>101</v>
      </c>
      <c r="C579" s="17" t="s">
        <v>0</v>
      </c>
      <c r="D579" s="18" t="s">
        <v>114</v>
      </c>
    </row>
    <row r="580" spans="1:4">
      <c r="A580" s="19" t="str">
        <f>$R$2&amp;".Commands.CRST"</f>
        <v>АСУЭ.FB_IM_ADES_S.Commands.CRST</v>
      </c>
      <c r="B580" s="11">
        <v>7999</v>
      </c>
      <c r="C580" s="11" t="s">
        <v>0</v>
      </c>
      <c r="D580" s="20" t="str">
        <f>"#"&amp;$T$5&amp;"#"&amp;$T$2&amp;"\"&amp;$P$2&amp;"\CRST"</f>
        <v>#1#treiOPCDA.CoOPCserv.1\pcmaster\S_IM_ADES\CRST</v>
      </c>
    </row>
    <row r="581" spans="1:4">
      <c r="A581" s="19" t="str">
        <f>$R$2&amp;".Commands.CRST"</f>
        <v>АСУЭ.FB_IM_ADES_S.Commands.CRST</v>
      </c>
      <c r="B581" s="11">
        <v>7998</v>
      </c>
      <c r="C581" s="11" t="s">
        <v>6</v>
      </c>
      <c r="D581" s="20">
        <v>2</v>
      </c>
    </row>
    <row r="582" spans="1:4">
      <c r="A582" s="21" t="str">
        <f>$R$2&amp;".Commands.CRST"</f>
        <v>АСУЭ.FB_IM_ADES_S.Commands.CRST</v>
      </c>
      <c r="B582" s="8">
        <v>1</v>
      </c>
      <c r="C582" s="8" t="s">
        <v>1</v>
      </c>
      <c r="D582" s="22">
        <v>11</v>
      </c>
    </row>
    <row r="583" spans="1:4">
      <c r="A583" s="16" t="str">
        <f>$R$2&amp;".Commands.CMMX"</f>
        <v>АСУЭ.FB_IM_ADES_S.Commands.CMMX</v>
      </c>
      <c r="B583" s="17">
        <v>101</v>
      </c>
      <c r="C583" s="17" t="s">
        <v>0</v>
      </c>
      <c r="D583" s="18" t="s">
        <v>94</v>
      </c>
    </row>
    <row r="584" spans="1:4">
      <c r="A584" s="19" t="str">
        <f>$R$2&amp;".Commands.CMMX"</f>
        <v>АСУЭ.FB_IM_ADES_S.Commands.CMMX</v>
      </c>
      <c r="B584" s="11">
        <v>7999</v>
      </c>
      <c r="C584" s="11" t="s">
        <v>0</v>
      </c>
      <c r="D584" s="20" t="str">
        <f>"#"&amp;$T$5&amp;"#"&amp;$T$2&amp;"\"&amp;$P$2&amp;"\CMMX"</f>
        <v>#1#treiOPCDA.CoOPCserv.1\pcmaster\S_IM_ADES\CMMX</v>
      </c>
    </row>
    <row r="585" spans="1:4">
      <c r="A585" s="19" t="str">
        <f>$R$2&amp;".Commands.CMMX"</f>
        <v>АСУЭ.FB_IM_ADES_S.Commands.CMMX</v>
      </c>
      <c r="B585" s="11">
        <v>7998</v>
      </c>
      <c r="C585" s="11" t="s">
        <v>6</v>
      </c>
      <c r="D585" s="20">
        <v>2</v>
      </c>
    </row>
    <row r="586" spans="1:4">
      <c r="A586" s="21" t="str">
        <f>$R$2&amp;".Commands.CMMX"</f>
        <v>АСУЭ.FB_IM_ADES_S.Commands.CMMX</v>
      </c>
      <c r="B586" s="8">
        <v>1</v>
      </c>
      <c r="C586" s="8" t="s">
        <v>1</v>
      </c>
      <c r="D586" s="22">
        <v>11</v>
      </c>
    </row>
    <row r="587" spans="1:4">
      <c r="A587" s="16" t="str">
        <f>$R$2&amp;".Commands.CRRX"</f>
        <v>АСУЭ.FB_IM_ADES_S.Commands.CRRX</v>
      </c>
      <c r="B587" s="17">
        <v>101</v>
      </c>
      <c r="C587" s="17" t="s">
        <v>0</v>
      </c>
      <c r="D587" s="18" t="s">
        <v>116</v>
      </c>
    </row>
    <row r="588" spans="1:4">
      <c r="A588" s="19" t="str">
        <f>$R$2&amp;".Commands.CRRX"</f>
        <v>АСУЭ.FB_IM_ADES_S.Commands.CRRX</v>
      </c>
      <c r="B588" s="11">
        <v>7999</v>
      </c>
      <c r="C588" s="11" t="s">
        <v>0</v>
      </c>
      <c r="D588" s="20" t="str">
        <f>"#"&amp;$T$5&amp;"#"&amp;$T$2&amp;"\"&amp;$P$2&amp;"\CRRX"</f>
        <v>#1#treiOPCDA.CoOPCserv.1\pcmaster\S_IM_ADES\CRRX</v>
      </c>
    </row>
    <row r="589" spans="1:4">
      <c r="A589" s="19" t="str">
        <f>$R$2&amp;".Commands.CRRX"</f>
        <v>АСУЭ.FB_IM_ADES_S.Commands.CRRX</v>
      </c>
      <c r="B589" s="11">
        <v>7998</v>
      </c>
      <c r="C589" s="11" t="s">
        <v>6</v>
      </c>
      <c r="D589" s="20">
        <v>2</v>
      </c>
    </row>
    <row r="590" spans="1:4">
      <c r="A590" s="21" t="str">
        <f>$R$2&amp;".Commands.CRRX"</f>
        <v>АСУЭ.FB_IM_ADES_S.Commands.CRRX</v>
      </c>
      <c r="B590" s="8">
        <v>1</v>
      </c>
      <c r="C590" s="8" t="s">
        <v>1</v>
      </c>
      <c r="D590" s="22">
        <v>11</v>
      </c>
    </row>
    <row r="591" spans="1:4">
      <c r="A591" s="266" t="str">
        <f>$R$2&amp;".Commands.STCX"</f>
        <v>АСУЭ.FB_IM_ADES_S.Commands.STCX</v>
      </c>
      <c r="B591" s="267">
        <v>1</v>
      </c>
      <c r="C591" s="267" t="s">
        <v>1</v>
      </c>
      <c r="D591" s="268">
        <v>3</v>
      </c>
    </row>
    <row r="592" spans="1:4">
      <c r="A592" s="269" t="str">
        <f>$R$2&amp;".Commands.STCX"</f>
        <v>АСУЭ.FB_IM_ADES_S.Commands.STCX</v>
      </c>
      <c r="B592" s="270">
        <v>101</v>
      </c>
      <c r="C592" s="270" t="s">
        <v>0</v>
      </c>
      <c r="D592" s="271" t="s">
        <v>127</v>
      </c>
    </row>
    <row r="593" spans="1:4">
      <c r="A593" s="269" t="str">
        <f>$R$2&amp;".Commands.STCX"</f>
        <v>АСУЭ.FB_IM_ADES_S.Commands.STCX</v>
      </c>
      <c r="B593" s="270">
        <v>7998</v>
      </c>
      <c r="C593" s="270" t="s">
        <v>6</v>
      </c>
      <c r="D593" s="271">
        <v>2</v>
      </c>
    </row>
    <row r="594" spans="1:4">
      <c r="A594" s="272" t="str">
        <f>$R$2&amp;".Commands.STCX"</f>
        <v>АСУЭ.FB_IM_ADES_S.Commands.STCX</v>
      </c>
      <c r="B594" s="273">
        <v>7999</v>
      </c>
      <c r="C594" s="273" t="s">
        <v>0</v>
      </c>
      <c r="D594" s="274" t="str">
        <f>"#"&amp;$T$5&amp;"#"&amp;$T$2&amp;"\"&amp;$P$2&amp;"\STCX"</f>
        <v>#1#treiOPCDA.CoOPCserv.1\pcmaster\S_IM_ADES\STCX</v>
      </c>
    </row>
    <row r="595" spans="1:4">
      <c r="A595" s="266" t="str">
        <f>$R$2&amp;".Commands.STSX"</f>
        <v>АСУЭ.FB_IM_ADES_S.Commands.STSX</v>
      </c>
      <c r="B595" s="267">
        <v>1</v>
      </c>
      <c r="C595" s="267" t="s">
        <v>1</v>
      </c>
      <c r="D595" s="268">
        <v>3</v>
      </c>
    </row>
    <row r="596" spans="1:4">
      <c r="A596" s="269" t="str">
        <f>$R$2&amp;".Commands.STSX"</f>
        <v>АСУЭ.FB_IM_ADES_S.Commands.STSX</v>
      </c>
      <c r="B596" s="270">
        <v>101</v>
      </c>
      <c r="C596" s="270" t="s">
        <v>0</v>
      </c>
      <c r="D596" s="271" t="s">
        <v>128</v>
      </c>
    </row>
    <row r="597" spans="1:4">
      <c r="A597" s="269" t="str">
        <f>$R$2&amp;".Commands.STSX"</f>
        <v>АСУЭ.FB_IM_ADES_S.Commands.STSX</v>
      </c>
      <c r="B597" s="270">
        <v>7998</v>
      </c>
      <c r="C597" s="270" t="s">
        <v>6</v>
      </c>
      <c r="D597" s="271">
        <v>2</v>
      </c>
    </row>
    <row r="598" spans="1:4">
      <c r="A598" s="272" t="str">
        <f>$R$2&amp;".Commands.STSX"</f>
        <v>АСУЭ.FB_IM_ADES_S.Commands.STSX</v>
      </c>
      <c r="B598" s="273">
        <v>7999</v>
      </c>
      <c r="C598" s="273" t="s">
        <v>0</v>
      </c>
      <c r="D598" s="274" t="str">
        <f>"#"&amp;$T$5&amp;"#"&amp;$T$2&amp;"\"&amp;$P$2&amp;"\STSX"</f>
        <v>#1#treiOPCDA.CoOPCserv.1\pcmaster\S_IM_ADES\STSX</v>
      </c>
    </row>
    <row r="599" spans="1:4">
      <c r="A599" s="266" t="str">
        <f>$R$2&amp;".Commands.SRTX"</f>
        <v>АСУЭ.FB_IM_ADES_S.Commands.SRTX</v>
      </c>
      <c r="B599" s="267">
        <v>1</v>
      </c>
      <c r="C599" s="267" t="s">
        <v>1</v>
      </c>
      <c r="D599" s="268">
        <v>3</v>
      </c>
    </row>
    <row r="600" spans="1:4">
      <c r="A600" s="269" t="str">
        <f>$R$2&amp;".Commands.SRTX"</f>
        <v>АСУЭ.FB_IM_ADES_S.Commands.SRTX</v>
      </c>
      <c r="B600" s="270">
        <v>101</v>
      </c>
      <c r="C600" s="270" t="s">
        <v>0</v>
      </c>
      <c r="D600" s="271" t="s">
        <v>192</v>
      </c>
    </row>
    <row r="601" spans="1:4">
      <c r="A601" s="269" t="str">
        <f>$R$2&amp;".Commands.SRTX"</f>
        <v>АСУЭ.FB_IM_ADES_S.Commands.SRTX</v>
      </c>
      <c r="B601" s="270">
        <v>7998</v>
      </c>
      <c r="C601" s="270" t="s">
        <v>6</v>
      </c>
      <c r="D601" s="271">
        <v>2</v>
      </c>
    </row>
    <row r="602" spans="1:4">
      <c r="A602" s="272" t="str">
        <f>$R$2&amp;".Commands.SRTX"</f>
        <v>АСУЭ.FB_IM_ADES_S.Commands.SRTX</v>
      </c>
      <c r="B602" s="273">
        <v>7999</v>
      </c>
      <c r="C602" s="273" t="s">
        <v>0</v>
      </c>
      <c r="D602" s="274" t="str">
        <f>"#"&amp;$T$5&amp;"#"&amp;$T$2&amp;"\"&amp;$P$2&amp;"\SRTX"</f>
        <v>#1#treiOPCDA.CoOPCserv.1\pcmaster\S_IM_ADES\SRTX</v>
      </c>
    </row>
  </sheetData>
  <autoFilter ref="B1:B602" xr:uid="{00000000-0009-0000-0000-000010000000}"/>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Лист8">
    <tabColor rgb="FFFFC000"/>
  </sheetPr>
  <dimension ref="A1:BP749"/>
  <sheetViews>
    <sheetView topLeftCell="A7" zoomScale="70" zoomScaleNormal="70"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62"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1"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61"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61" t="str">
        <f>Таблица!AL1</f>
        <v>Для TREI
FB_IMstp_S, FB_IMs_S, FB_IMp_S, FB_IMv_S, FB_IM_ADES_S: Настройка перехода ручной-/автоматический-(TRUE/FALSE) 
FB_DI_S: Генерировать метки времени (TRUE/FALSE)</v>
      </c>
      <c r="AY1" s="261"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61" t="str">
        <f>Таблица!AN1</f>
        <v>Для TREI
FB_AI_S, FB_QSA_S: Верхний предел датчика
FB_IMp_S, FB_IMv_S, FB_IM_ADES_S, FB_OZK_KD_S: Время перестановки</v>
      </c>
      <c r="BA1" s="261"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t="s">
        <v>246</v>
      </c>
      <c r="Q2" s="2" t="s">
        <v>768</v>
      </c>
      <c r="R2" s="2" t="s">
        <v>782</v>
      </c>
      <c r="S2" s="3">
        <v>1</v>
      </c>
      <c r="T2" s="3" t="s">
        <v>1698</v>
      </c>
      <c r="U2" s="3"/>
      <c r="V2" s="3" t="s">
        <v>569</v>
      </c>
      <c r="W2" s="12" t="s">
        <v>326</v>
      </c>
      <c r="X2" s="12" t="s">
        <v>327</v>
      </c>
      <c r="Y2" s="12"/>
      <c r="Z2" s="12"/>
      <c r="AA2" s="12"/>
      <c r="AB2" s="2"/>
      <c r="AC2" s="2" t="s">
        <v>305</v>
      </c>
      <c r="AD2" s="2"/>
      <c r="AE2" s="2" t="s">
        <v>1414</v>
      </c>
      <c r="AF2" s="2"/>
      <c r="AG2" s="2"/>
      <c r="AH2" s="2"/>
      <c r="AI2" s="2"/>
      <c r="AJ2" s="2"/>
      <c r="AK2" s="2"/>
      <c r="AL2" s="2" t="s">
        <v>1247</v>
      </c>
      <c r="AM2" s="2" t="s">
        <v>1248</v>
      </c>
      <c r="AN2" s="2" t="s">
        <v>1249</v>
      </c>
      <c r="AO2" s="2" t="s">
        <v>1250</v>
      </c>
      <c r="AP2" s="2" t="s">
        <v>1251</v>
      </c>
      <c r="AQ2" s="2" t="s">
        <v>1252</v>
      </c>
      <c r="AR2" s="2" t="s">
        <v>1253</v>
      </c>
      <c r="AS2" s="2" t="s">
        <v>1254</v>
      </c>
      <c r="AT2" s="2" t="s">
        <v>1255</v>
      </c>
      <c r="AU2" s="2" t="s">
        <v>1256</v>
      </c>
      <c r="AV2" s="2" t="s">
        <v>1257</v>
      </c>
      <c r="AW2" s="2"/>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AB3" s="10"/>
      <c r="AC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AB4" s="10"/>
      <c r="AC4" s="10"/>
      <c r="BM4" s="4"/>
      <c r="BN4" s="4"/>
      <c r="BO4" s="4"/>
      <c r="BP4" s="4"/>
    </row>
    <row r="5" spans="1:68"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AB5" s="10"/>
      <c r="AC5" s="10"/>
      <c r="BM5" s="4"/>
      <c r="BN5" s="4"/>
      <c r="BO5" s="4"/>
      <c r="BP5" s="4"/>
    </row>
    <row r="6" spans="1:68"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AB6" s="10"/>
      <c r="AC6" s="10"/>
      <c r="BM6" s="4"/>
      <c r="BN6" s="4"/>
      <c r="BO6" s="4"/>
      <c r="BP6" s="4"/>
    </row>
    <row r="7" spans="1:68"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AB7" s="10"/>
      <c r="AC7" s="10"/>
      <c r="BM7" s="4"/>
      <c r="BN7" s="4"/>
      <c r="BO7" s="4"/>
      <c r="BP7" s="4"/>
    </row>
    <row r="8" spans="1:68" ht="15" customHeight="1">
      <c r="A8" s="9"/>
      <c r="B8" s="9"/>
      <c r="C8" s="9"/>
      <c r="D8" s="9"/>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AB8" s="10"/>
      <c r="AC8" s="10"/>
      <c r="BM8" s="4"/>
      <c r="BN8" s="4"/>
      <c r="BO8" s="4"/>
      <c r="BP8" s="4"/>
    </row>
    <row r="9" spans="1:68" ht="15" customHeight="1">
      <c r="A9" s="9"/>
      <c r="B9" s="9"/>
      <c r="C9" s="9"/>
      <c r="D9" s="9"/>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AB9" s="10"/>
      <c r="AC9" s="10"/>
      <c r="BM9" s="4"/>
      <c r="BN9" s="4"/>
      <c r="BO9" s="4"/>
      <c r="BP9" s="4"/>
    </row>
    <row r="10" spans="1:68" ht="15" customHeight="1">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AB10" s="10"/>
      <c r="AC10" s="10"/>
      <c r="BM10" s="4"/>
      <c r="BN10" s="4"/>
      <c r="BO10" s="4"/>
      <c r="BP10" s="4"/>
    </row>
    <row r="11" spans="1:68" ht="15" customHeight="1">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AB11" s="10"/>
      <c r="AC11" s="10"/>
      <c r="BM11" s="4"/>
      <c r="BN11" s="4"/>
      <c r="BO11" s="4"/>
      <c r="BP11" s="4"/>
    </row>
    <row r="12" spans="1:68"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AB12" s="10"/>
      <c r="AC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AB13" s="10"/>
      <c r="AC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AB14" s="10"/>
      <c r="AC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AB15" s="10"/>
      <c r="AC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AB16" s="10"/>
      <c r="AC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AB17" s="10"/>
      <c r="AC17" s="10"/>
      <c r="BM17" s="4"/>
      <c r="BN17" s="4"/>
      <c r="BO17" s="4"/>
      <c r="BP17" s="4"/>
    </row>
    <row r="18" spans="1:68"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AB18" s="10"/>
      <c r="AC18" s="10"/>
      <c r="BM18" s="4"/>
      <c r="BN18" s="4"/>
      <c r="BO18" s="4"/>
      <c r="BP18" s="4"/>
    </row>
    <row r="19" spans="1:68"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AB19" s="10"/>
      <c r="AC19" s="10"/>
      <c r="BM19" s="4"/>
      <c r="BN19" s="4"/>
      <c r="BO19" s="4"/>
      <c r="BP19" s="4"/>
    </row>
    <row r="20" spans="1:68">
      <c r="A20" s="16" t="str">
        <f t="shared" ref="A20:A45" si="0">$R$2</f>
        <v>АСУЭ.FB_IMstp_S</v>
      </c>
      <c r="B20" s="17">
        <v>11001</v>
      </c>
      <c r="C20" s="17" t="s">
        <v>0</v>
      </c>
      <c r="D20" s="18" t="str">
        <f>$Q$2&amp;". "</f>
        <v xml:space="preserve">Выключатель электрический. </v>
      </c>
    </row>
    <row r="21" spans="1:68">
      <c r="A21" s="19" t="str">
        <f t="shared" si="0"/>
        <v>АСУЭ.FB_IMstp_S</v>
      </c>
      <c r="B21" s="11">
        <v>1</v>
      </c>
      <c r="C21" s="11" t="s">
        <v>1</v>
      </c>
      <c r="D21" s="20">
        <v>17</v>
      </c>
    </row>
    <row r="22" spans="1:68">
      <c r="A22" s="19" t="str">
        <f t="shared" si="0"/>
        <v>АСУЭ.FB_IMstp_S</v>
      </c>
      <c r="B22" s="11">
        <v>11156</v>
      </c>
      <c r="C22" s="11" t="s">
        <v>0</v>
      </c>
      <c r="D22" s="20" t="str">
        <f>$V$2</f>
        <v>Тестовый экран</v>
      </c>
    </row>
    <row r="23" spans="1:68">
      <c r="A23" s="23" t="str">
        <f>$R$2</f>
        <v>АСУЭ.FB_IMstp_S</v>
      </c>
      <c r="B23" s="24">
        <v>9219</v>
      </c>
      <c r="C23" s="24" t="s">
        <v>2</v>
      </c>
      <c r="D23" s="25" t="s">
        <v>3</v>
      </c>
      <c r="Q23" s="778" t="s">
        <v>224</v>
      </c>
    </row>
    <row r="24" spans="1:68">
      <c r="A24" s="29" t="str">
        <f>$R$2</f>
        <v>АСУЭ.FB_IMstp_S</v>
      </c>
      <c r="B24" s="27">
        <v>3009219</v>
      </c>
      <c r="C24" s="27" t="s">
        <v>0</v>
      </c>
      <c r="D24" s="28" t="str">
        <f>$X$2</f>
        <v>!АСУЭ.ЗРУиКТП.DI_1.XVLX.value &amp;&amp; АСУЭ.ЗРУиКТП.IMstp_1.XONX.value &amp;&amp; АСУЭ.ЗРУиКТП.IMstp_1.XTON.value</v>
      </c>
      <c r="Q24" s="779"/>
    </row>
    <row r="25" spans="1:68">
      <c r="A25" s="23" t="str">
        <f>$R$2</f>
        <v>АСУЭ.FB_IMstp_S</v>
      </c>
      <c r="B25" s="1">
        <v>9220</v>
      </c>
      <c r="C25" s="1" t="s">
        <v>2</v>
      </c>
      <c r="D25" s="30" t="s">
        <v>3</v>
      </c>
      <c r="Q25" s="778" t="s">
        <v>223</v>
      </c>
    </row>
    <row r="26" spans="1:68">
      <c r="A26" s="26" t="str">
        <f>$R$2</f>
        <v>АСУЭ.FB_IMstp_S</v>
      </c>
      <c r="B26" s="27">
        <v>3009220</v>
      </c>
      <c r="C26" s="27" t="s">
        <v>0</v>
      </c>
      <c r="D26" s="28" t="str">
        <f>$W$2</f>
        <v>!АСУЭ.ЗРУиКТП.DI_1.XVLX.value &amp;&amp; АСУЭ.ЗРУиКТП.IMstp_1.XTON.value</v>
      </c>
      <c r="Q26" s="779"/>
    </row>
    <row r="27" spans="1:68" ht="15" customHeight="1">
      <c r="A27" s="16" t="str">
        <f t="shared" si="0"/>
        <v>АСУЭ.FB_IMstp_S</v>
      </c>
      <c r="B27" s="17">
        <v>100</v>
      </c>
      <c r="C27" s="17" t="s">
        <v>0</v>
      </c>
      <c r="D27" s="18" t="b">
        <f>$T$7</f>
        <v>0</v>
      </c>
      <c r="BF27" s="4"/>
      <c r="BG27" s="4"/>
      <c r="BH27" s="4"/>
      <c r="BI27" s="4"/>
    </row>
    <row r="28" spans="1:68">
      <c r="A28" s="29" t="str">
        <f>$R$2</f>
        <v>АСУЭ.FB_IMstp_S</v>
      </c>
      <c r="B28" s="1">
        <v>7011</v>
      </c>
      <c r="C28" s="1" t="s">
        <v>2</v>
      </c>
      <c r="D28" s="30" t="s">
        <v>266</v>
      </c>
    </row>
    <row r="29" spans="1:68" ht="15" customHeight="1">
      <c r="A29" s="19" t="str">
        <f t="shared" si="0"/>
        <v>АСУЭ.FB_IMstp_S</v>
      </c>
      <c r="B29" s="11">
        <v>9218</v>
      </c>
      <c r="C29" s="11" t="s">
        <v>2</v>
      </c>
      <c r="D29" s="20" t="s">
        <v>3</v>
      </c>
      <c r="BF29" s="4"/>
      <c r="BG29" s="4"/>
      <c r="BH29" s="4"/>
      <c r="BI29" s="4"/>
    </row>
    <row r="30" spans="1:68">
      <c r="A30" s="19" t="str">
        <f t="shared" si="0"/>
        <v>АСУЭ.FB_IMstp_S</v>
      </c>
      <c r="B30" s="11">
        <v>11120</v>
      </c>
      <c r="C30" s="11" t="s">
        <v>0</v>
      </c>
      <c r="D30" s="20" t="str">
        <f>$AC$2</f>
        <v>Фиолетовый</v>
      </c>
    </row>
    <row r="31" spans="1:68">
      <c r="A31" s="19" t="str">
        <f t="shared" si="0"/>
        <v>АСУЭ.FB_IMstp_S</v>
      </c>
      <c r="B31" s="11">
        <v>11121</v>
      </c>
      <c r="C31" s="11" t="s">
        <v>0</v>
      </c>
      <c r="D31" s="20" t="str">
        <f>$AL$2</f>
        <v>1+18</v>
      </c>
    </row>
    <row r="32" spans="1:68">
      <c r="A32" s="19" t="str">
        <f t="shared" si="0"/>
        <v>АСУЭ.FB_IMstp_S</v>
      </c>
      <c r="B32" s="11">
        <v>11122</v>
      </c>
      <c r="C32" s="11" t="s">
        <v>0</v>
      </c>
      <c r="D32" s="20" t="str">
        <f>$AM$2</f>
        <v>1+19</v>
      </c>
    </row>
    <row r="33" spans="1:61">
      <c r="A33" s="19" t="str">
        <f t="shared" si="0"/>
        <v>АСУЭ.FB_IMstp_S</v>
      </c>
      <c r="B33" s="11">
        <v>11123</v>
      </c>
      <c r="C33" s="11" t="s">
        <v>0</v>
      </c>
      <c r="D33" s="20" t="str">
        <f>$AN$2</f>
        <v>1+20</v>
      </c>
    </row>
    <row r="34" spans="1:61">
      <c r="A34" s="19" t="str">
        <f t="shared" si="0"/>
        <v>АСУЭ.FB_IMstp_S</v>
      </c>
      <c r="B34" s="11">
        <v>11124</v>
      </c>
      <c r="C34" s="11" t="s">
        <v>0</v>
      </c>
      <c r="D34" s="20" t="str">
        <f>$AO$2</f>
        <v>1+21</v>
      </c>
    </row>
    <row r="35" spans="1:61">
      <c r="A35" s="19" t="str">
        <f t="shared" si="0"/>
        <v>АСУЭ.FB_IMstp_S</v>
      </c>
      <c r="B35" s="11">
        <v>11125</v>
      </c>
      <c r="C35" s="11" t="s">
        <v>0</v>
      </c>
      <c r="D35" s="20" t="str">
        <f>$AP$2</f>
        <v>1+22</v>
      </c>
    </row>
    <row r="36" spans="1:61">
      <c r="A36" s="19" t="str">
        <f t="shared" si="0"/>
        <v>АСУЭ.FB_IMstp_S</v>
      </c>
      <c r="B36" s="11">
        <v>11126</v>
      </c>
      <c r="C36" s="11" t="s">
        <v>0</v>
      </c>
      <c r="D36" s="20" t="str">
        <f>$AQ$2</f>
        <v>2+10</v>
      </c>
    </row>
    <row r="37" spans="1:61">
      <c r="A37" s="19" t="str">
        <f t="shared" si="0"/>
        <v>АСУЭ.FB_IMstp_S</v>
      </c>
      <c r="B37" s="11">
        <v>11127</v>
      </c>
      <c r="C37" s="11" t="s">
        <v>0</v>
      </c>
      <c r="D37" s="20" t="str">
        <f>$AR$2</f>
        <v>2+11</v>
      </c>
    </row>
    <row r="38" spans="1:61">
      <c r="A38" s="19" t="str">
        <f t="shared" si="0"/>
        <v>АСУЭ.FB_IMstp_S</v>
      </c>
      <c r="B38" s="11">
        <v>11128</v>
      </c>
      <c r="C38" s="11" t="s">
        <v>0</v>
      </c>
      <c r="D38" s="20" t="str">
        <f>$AS$2</f>
        <v>1+23</v>
      </c>
    </row>
    <row r="39" spans="1:61">
      <c r="A39" s="19" t="str">
        <f t="shared" si="0"/>
        <v>АСУЭ.FB_IMstp_S</v>
      </c>
      <c r="B39" s="11">
        <v>11129</v>
      </c>
      <c r="C39" s="11" t="s">
        <v>0</v>
      </c>
      <c r="D39" s="20" t="str">
        <f>$AT$2</f>
        <v>1+24</v>
      </c>
    </row>
    <row r="40" spans="1:61">
      <c r="A40" s="19" t="str">
        <f t="shared" si="0"/>
        <v>АСУЭ.FB_IMstp_S</v>
      </c>
      <c r="B40" s="11">
        <v>11135</v>
      </c>
      <c r="C40" s="11" t="s">
        <v>0</v>
      </c>
      <c r="D40" s="20" t="str">
        <f>$AU$2</f>
        <v>1+25</v>
      </c>
    </row>
    <row r="41" spans="1:61">
      <c r="A41" s="19" t="str">
        <f t="shared" si="0"/>
        <v>АСУЭ.FB_IMstp_S</v>
      </c>
      <c r="B41" s="11">
        <v>11136</v>
      </c>
      <c r="C41" s="11" t="s">
        <v>0</v>
      </c>
      <c r="D41" s="20" t="str">
        <f>$AV$2</f>
        <v>1+26</v>
      </c>
    </row>
    <row r="42" spans="1:61" ht="15" customHeight="1">
      <c r="A42" s="16" t="str">
        <f t="shared" si="0"/>
        <v>АСУЭ.FB_IMstp_S</v>
      </c>
      <c r="B42" s="17">
        <v>13</v>
      </c>
      <c r="C42" s="17" t="s">
        <v>2</v>
      </c>
      <c r="D42" s="18" t="s">
        <v>3</v>
      </c>
      <c r="BF42" s="4"/>
      <c r="BG42" s="4"/>
      <c r="BH42" s="4"/>
      <c r="BI42" s="4"/>
    </row>
    <row r="43" spans="1:61" ht="15" customHeight="1">
      <c r="A43" s="19" t="str">
        <f t="shared" si="0"/>
        <v>АСУЭ.FB_IMstp_S</v>
      </c>
      <c r="B43" s="11">
        <v>3000013</v>
      </c>
      <c r="C43" s="11" t="s">
        <v>0</v>
      </c>
      <c r="D43" s="20" t="str">
        <f>$AE$2</f>
        <v>Диагностика.CPU.NOT_LINK.noLink</v>
      </c>
      <c r="BF43" s="4"/>
      <c r="BG43" s="4"/>
      <c r="BH43" s="4"/>
      <c r="BI43" s="4"/>
    </row>
    <row r="44" spans="1:61" ht="15" customHeight="1">
      <c r="A44" s="19" t="str">
        <f t="shared" si="0"/>
        <v>АСУЭ.FB_IMstp_S</v>
      </c>
      <c r="B44" s="11">
        <v>4000013</v>
      </c>
      <c r="C44" s="11" t="s">
        <v>0</v>
      </c>
      <c r="D44" s="20" t="s">
        <v>1770</v>
      </c>
      <c r="BF44" s="4"/>
      <c r="BG44" s="4"/>
      <c r="BH44" s="4"/>
      <c r="BI44" s="4"/>
    </row>
    <row r="45" spans="1:61" ht="15" customHeight="1">
      <c r="A45" s="21" t="str">
        <f t="shared" si="0"/>
        <v>АСУЭ.FB_IMstp_S</v>
      </c>
      <c r="B45" s="8">
        <v>7000013</v>
      </c>
      <c r="C45" s="8" t="s">
        <v>6</v>
      </c>
      <c r="D45" s="22">
        <v>2</v>
      </c>
      <c r="BF45" s="4"/>
      <c r="BG45" s="4"/>
      <c r="BH45" s="4"/>
      <c r="BI45" s="4"/>
    </row>
    <row r="46" spans="1:61">
      <c r="A46" s="16" t="str">
        <f t="shared" ref="A46:A55" si="1">$R$2&amp;".FPTX"</f>
        <v>АСУЭ.FB_IMstp_S.FPTX</v>
      </c>
      <c r="B46" s="17">
        <v>3</v>
      </c>
      <c r="C46" s="17" t="s">
        <v>1</v>
      </c>
      <c r="D46" s="18">
        <v>192</v>
      </c>
    </row>
    <row r="47" spans="1:61">
      <c r="A47" s="19" t="str">
        <f t="shared" si="1"/>
        <v>АСУЭ.FB_IMstp_S.FPTX</v>
      </c>
      <c r="B47" s="11">
        <v>2</v>
      </c>
      <c r="C47" s="11" t="s">
        <v>2</v>
      </c>
      <c r="D47" s="20" t="s">
        <v>3</v>
      </c>
    </row>
    <row r="48" spans="1:61">
      <c r="A48" s="19" t="str">
        <f t="shared" si="1"/>
        <v>АСУЭ.FB_IMstp_S.FPTX</v>
      </c>
      <c r="B48" s="11">
        <v>1</v>
      </c>
      <c r="C48" s="11" t="s">
        <v>1</v>
      </c>
      <c r="D48" s="20">
        <v>11</v>
      </c>
    </row>
    <row r="49" spans="1:4">
      <c r="A49" s="19" t="str">
        <f t="shared" si="1"/>
        <v>АСУЭ.FB_IMstp_S.FPTX</v>
      </c>
      <c r="B49" s="11">
        <v>101</v>
      </c>
      <c r="C49" s="11" t="s">
        <v>0</v>
      </c>
      <c r="D49" s="20" t="s">
        <v>140</v>
      </c>
    </row>
    <row r="50" spans="1:4">
      <c r="A50" s="19" t="str">
        <f t="shared" si="1"/>
        <v>АСУЭ.FB_IMstp_S.FPTX</v>
      </c>
      <c r="B50" s="11">
        <v>7998</v>
      </c>
      <c r="C50" s="11" t="s">
        <v>6</v>
      </c>
      <c r="D50" s="20">
        <v>1</v>
      </c>
    </row>
    <row r="51" spans="1:4">
      <c r="A51" s="19" t="str">
        <f t="shared" si="1"/>
        <v>АСУЭ.FB_IMstp_S.FPTX</v>
      </c>
      <c r="B51" s="11">
        <v>7999</v>
      </c>
      <c r="C51" s="11" t="s">
        <v>0</v>
      </c>
      <c r="D51" s="20" t="str">
        <f>"#"&amp;$S$2&amp;"#"&amp;$T$2&amp;"\"&amp;$P$2&amp;"\FPTX"</f>
        <v>#1#treiOPCDA.CoOPCserv.1\pcmaster\ZRU_OL1\FPTX</v>
      </c>
    </row>
    <row r="52" spans="1:4">
      <c r="A52" s="148" t="str">
        <f t="shared" si="1"/>
        <v>АСУЭ.FB_IMstp_S.FPTX</v>
      </c>
      <c r="B52" s="149">
        <v>11154</v>
      </c>
      <c r="C52" s="149" t="s">
        <v>4</v>
      </c>
      <c r="D52" s="125">
        <f>$Q$5</f>
        <v>4</v>
      </c>
    </row>
    <row r="53" spans="1:4">
      <c r="A53" s="148" t="str">
        <f t="shared" si="1"/>
        <v>АСУЭ.FB_IMstp_S.FPTX</v>
      </c>
      <c r="B53" s="149">
        <v>11152</v>
      </c>
      <c r="C53" s="149" t="s">
        <v>0</v>
      </c>
      <c r="D53" s="125" t="str">
        <f>$R$5</f>
        <v>Авария</v>
      </c>
    </row>
    <row r="54" spans="1:4">
      <c r="A54" s="148" t="str">
        <f t="shared" si="1"/>
        <v>АСУЭ.FB_IMstp_S.FPTX</v>
      </c>
      <c r="B54" s="149">
        <v>11150</v>
      </c>
      <c r="C54" s="149" t="s">
        <v>0</v>
      </c>
      <c r="D54" s="125" t="s">
        <v>141</v>
      </c>
    </row>
    <row r="55" spans="1:4">
      <c r="A55" s="167" t="str">
        <f t="shared" si="1"/>
        <v>АСУЭ.FB_IMstp_S.FPTX</v>
      </c>
      <c r="B55" s="168">
        <v>11000</v>
      </c>
      <c r="C55" s="168" t="s">
        <v>5</v>
      </c>
      <c r="D55" s="169">
        <v>2147483680</v>
      </c>
    </row>
    <row r="56" spans="1:4">
      <c r="A56" s="16" t="str">
        <f t="shared" ref="A56:A65" si="2">$R$2&amp;".ILCX"</f>
        <v>АСУЭ.FB_IMstp_S.ILCX</v>
      </c>
      <c r="B56" s="17">
        <v>101</v>
      </c>
      <c r="C56" s="17" t="s">
        <v>0</v>
      </c>
      <c r="D56" s="18" t="s">
        <v>577</v>
      </c>
    </row>
    <row r="57" spans="1:4">
      <c r="A57" s="19" t="str">
        <f t="shared" si="2"/>
        <v>АСУЭ.FB_IMstp_S.ILCX</v>
      </c>
      <c r="B57" s="11">
        <v>1</v>
      </c>
      <c r="C57" s="11" t="s">
        <v>1</v>
      </c>
      <c r="D57" s="20">
        <v>11</v>
      </c>
    </row>
    <row r="58" spans="1:4">
      <c r="A58" s="19" t="str">
        <f t="shared" si="2"/>
        <v>АСУЭ.FB_IMstp_S.ILCX</v>
      </c>
      <c r="B58" s="11">
        <v>2</v>
      </c>
      <c r="C58" s="11" t="s">
        <v>2</v>
      </c>
      <c r="D58" s="20" t="s">
        <v>3</v>
      </c>
    </row>
    <row r="59" spans="1:4">
      <c r="A59" s="19" t="str">
        <f t="shared" si="2"/>
        <v>АСУЭ.FB_IMstp_S.ILCX</v>
      </c>
      <c r="B59" s="11">
        <v>3</v>
      </c>
      <c r="C59" s="11" t="s">
        <v>1</v>
      </c>
      <c r="D59" s="20">
        <v>192</v>
      </c>
    </row>
    <row r="60" spans="1:4">
      <c r="A60" s="19" t="str">
        <f t="shared" si="2"/>
        <v>АСУЭ.FB_IMstp_S.ILCX</v>
      </c>
      <c r="B60" s="11">
        <v>7998</v>
      </c>
      <c r="C60" s="11" t="s">
        <v>6</v>
      </c>
      <c r="D60" s="20">
        <v>1</v>
      </c>
    </row>
    <row r="61" spans="1:4">
      <c r="A61" s="19" t="str">
        <f t="shared" si="2"/>
        <v>АСУЭ.FB_IMstp_S.ILCX</v>
      </c>
      <c r="B61" s="11">
        <v>7999</v>
      </c>
      <c r="C61" s="11" t="s">
        <v>0</v>
      </c>
      <c r="D61" s="20" t="str">
        <f>"#"&amp;$S$2&amp;"#"&amp;$T$2&amp;"\"&amp;$P$2&amp;"\ILCX"</f>
        <v>#1#treiOPCDA.CoOPCserv.1\pcmaster\ZRU_OL1\ILCX</v>
      </c>
    </row>
    <row r="62" spans="1:4">
      <c r="A62" s="63" t="str">
        <f t="shared" si="2"/>
        <v>АСУЭ.FB_IMstp_S.ILCX</v>
      </c>
      <c r="B62" s="64">
        <v>11154</v>
      </c>
      <c r="C62" s="64" t="s">
        <v>4</v>
      </c>
      <c r="D62" s="65">
        <f>$Q$6</f>
        <v>8</v>
      </c>
    </row>
    <row r="63" spans="1:4">
      <c r="A63" s="63" t="str">
        <f t="shared" si="2"/>
        <v>АСУЭ.FB_IMstp_S.ILCX</v>
      </c>
      <c r="B63" s="64">
        <v>11150</v>
      </c>
      <c r="C63" s="64" t="s">
        <v>0</v>
      </c>
      <c r="D63" s="65" t="s">
        <v>169</v>
      </c>
    </row>
    <row r="64" spans="1:4">
      <c r="A64" s="63" t="str">
        <f t="shared" si="2"/>
        <v>АСУЭ.FB_IMstp_S.ILCX</v>
      </c>
      <c r="B64" s="64">
        <v>11000</v>
      </c>
      <c r="C64" s="64" t="s">
        <v>5</v>
      </c>
      <c r="D64" s="65">
        <v>2147483680</v>
      </c>
    </row>
    <row r="65" spans="1:4">
      <c r="A65" s="66" t="str">
        <f t="shared" si="2"/>
        <v>АСУЭ.FB_IMstp_S.ILCX</v>
      </c>
      <c r="B65" s="67">
        <v>11152</v>
      </c>
      <c r="C65" s="67" t="s">
        <v>0</v>
      </c>
      <c r="D65" s="68" t="str">
        <f>$R$6</f>
        <v>Предупреждение</v>
      </c>
    </row>
    <row r="66" spans="1:4">
      <c r="A66" s="16" t="str">
        <f t="shared" ref="A66:A75" si="3">$R$2&amp;".FRQX"</f>
        <v>АСУЭ.FB_IMstp_S.FRQX</v>
      </c>
      <c r="B66" s="17">
        <v>101</v>
      </c>
      <c r="C66" s="17" t="s">
        <v>0</v>
      </c>
      <c r="D66" s="18" t="s">
        <v>157</v>
      </c>
    </row>
    <row r="67" spans="1:4">
      <c r="A67" s="19" t="str">
        <f t="shared" si="3"/>
        <v>АСУЭ.FB_IMstp_S.FRQX</v>
      </c>
      <c r="B67" s="11">
        <v>1</v>
      </c>
      <c r="C67" s="11" t="s">
        <v>1</v>
      </c>
      <c r="D67" s="20">
        <v>11</v>
      </c>
    </row>
    <row r="68" spans="1:4">
      <c r="A68" s="19" t="str">
        <f t="shared" si="3"/>
        <v>АСУЭ.FB_IMstp_S.FRQX</v>
      </c>
      <c r="B68" s="11">
        <v>2</v>
      </c>
      <c r="C68" s="11" t="s">
        <v>2</v>
      </c>
      <c r="D68" s="20" t="s">
        <v>3</v>
      </c>
    </row>
    <row r="69" spans="1:4">
      <c r="A69" s="19" t="str">
        <f t="shared" si="3"/>
        <v>АСУЭ.FB_IMstp_S.FRQX</v>
      </c>
      <c r="B69" s="11">
        <v>3</v>
      </c>
      <c r="C69" s="11" t="s">
        <v>1</v>
      </c>
      <c r="D69" s="20">
        <v>192</v>
      </c>
    </row>
    <row r="70" spans="1:4">
      <c r="A70" s="19" t="str">
        <f t="shared" si="3"/>
        <v>АСУЭ.FB_IMstp_S.FRQX</v>
      </c>
      <c r="B70" s="11">
        <v>7998</v>
      </c>
      <c r="C70" s="11" t="s">
        <v>6</v>
      </c>
      <c r="D70" s="20">
        <v>1</v>
      </c>
    </row>
    <row r="71" spans="1:4">
      <c r="A71" s="19" t="str">
        <f t="shared" si="3"/>
        <v>АСУЭ.FB_IMstp_S.FRQX</v>
      </c>
      <c r="B71" s="11">
        <v>7999</v>
      </c>
      <c r="C71" s="11" t="s">
        <v>0</v>
      </c>
      <c r="D71" s="20" t="str">
        <f>"#"&amp;$S$2&amp;"#"&amp;$T$2&amp;"\"&amp;$P$2&amp;"\FRQX"</f>
        <v>#1#treiOPCDA.CoOPCserv.1\pcmaster\ZRU_OL1\FRQX</v>
      </c>
    </row>
    <row r="72" spans="1:4">
      <c r="A72" s="63" t="str">
        <f t="shared" si="3"/>
        <v>АСУЭ.FB_IMstp_S.FRQX</v>
      </c>
      <c r="B72" s="64">
        <v>11154</v>
      </c>
      <c r="C72" s="64" t="s">
        <v>4</v>
      </c>
      <c r="D72" s="65">
        <f>$Q$6</f>
        <v>8</v>
      </c>
    </row>
    <row r="73" spans="1:4">
      <c r="A73" s="63" t="str">
        <f t="shared" si="3"/>
        <v>АСУЭ.FB_IMstp_S.FRQX</v>
      </c>
      <c r="B73" s="64">
        <v>11152</v>
      </c>
      <c r="C73" s="64" t="s">
        <v>0</v>
      </c>
      <c r="D73" s="65" t="str">
        <f>$R$6</f>
        <v>Предупреждение</v>
      </c>
    </row>
    <row r="74" spans="1:4">
      <c r="A74" s="63" t="str">
        <f t="shared" si="3"/>
        <v>АСУЭ.FB_IMstp_S.FRQX</v>
      </c>
      <c r="B74" s="64">
        <v>11150</v>
      </c>
      <c r="C74" s="64" t="s">
        <v>0</v>
      </c>
      <c r="D74" s="65" t="s">
        <v>157</v>
      </c>
    </row>
    <row r="75" spans="1:4">
      <c r="A75" s="66" t="str">
        <f t="shared" si="3"/>
        <v>АСУЭ.FB_IMstp_S.FRQX</v>
      </c>
      <c r="B75" s="67">
        <v>11000</v>
      </c>
      <c r="C75" s="67" t="s">
        <v>5</v>
      </c>
      <c r="D75" s="68">
        <v>2147483680</v>
      </c>
    </row>
    <row r="76" spans="1:4">
      <c r="A76" s="16" t="str">
        <f t="shared" ref="A76:A85" si="4">$R$2&amp;".FRPT"</f>
        <v>АСУЭ.FB_IMstp_S.FRPT</v>
      </c>
      <c r="B76" s="17">
        <v>101</v>
      </c>
      <c r="C76" s="17" t="s">
        <v>0</v>
      </c>
      <c r="D76" s="18" t="s">
        <v>177</v>
      </c>
    </row>
    <row r="77" spans="1:4">
      <c r="A77" s="19" t="str">
        <f t="shared" si="4"/>
        <v>АСУЭ.FB_IMstp_S.FRPT</v>
      </c>
      <c r="B77" s="11">
        <v>1</v>
      </c>
      <c r="C77" s="11" t="s">
        <v>1</v>
      </c>
      <c r="D77" s="20">
        <v>11</v>
      </c>
    </row>
    <row r="78" spans="1:4">
      <c r="A78" s="19" t="str">
        <f t="shared" si="4"/>
        <v>АСУЭ.FB_IMstp_S.FRPT</v>
      </c>
      <c r="B78" s="11">
        <v>2</v>
      </c>
      <c r="C78" s="11" t="s">
        <v>2</v>
      </c>
      <c r="D78" s="20" t="s">
        <v>3</v>
      </c>
    </row>
    <row r="79" spans="1:4">
      <c r="A79" s="19" t="str">
        <f t="shared" si="4"/>
        <v>АСУЭ.FB_IMstp_S.FRPT</v>
      </c>
      <c r="B79" s="11">
        <v>3</v>
      </c>
      <c r="C79" s="11" t="s">
        <v>1</v>
      </c>
      <c r="D79" s="20">
        <v>192</v>
      </c>
    </row>
    <row r="80" spans="1:4">
      <c r="A80" s="19" t="str">
        <f t="shared" si="4"/>
        <v>АСУЭ.FB_IMstp_S.FRPT</v>
      </c>
      <c r="B80" s="11">
        <v>7998</v>
      </c>
      <c r="C80" s="11" t="s">
        <v>6</v>
      </c>
      <c r="D80" s="20">
        <v>1</v>
      </c>
    </row>
    <row r="81" spans="1:4">
      <c r="A81" s="19" t="str">
        <f t="shared" si="4"/>
        <v>АСУЭ.FB_IMstp_S.FRPT</v>
      </c>
      <c r="B81" s="11">
        <v>7999</v>
      </c>
      <c r="C81" s="11" t="s">
        <v>0</v>
      </c>
      <c r="D81" s="20" t="str">
        <f>"#"&amp;$S$2&amp;"#"&amp;$T$2&amp;"\"&amp;$P$2&amp;"\FRPT"</f>
        <v>#1#treiOPCDA.CoOPCserv.1\pcmaster\ZRU_OL1\FRPT</v>
      </c>
    </row>
    <row r="82" spans="1:4">
      <c r="A82" s="63" t="str">
        <f t="shared" si="4"/>
        <v>АСУЭ.FB_IMstp_S.FRPT</v>
      </c>
      <c r="B82" s="64">
        <v>11154</v>
      </c>
      <c r="C82" s="64" t="s">
        <v>4</v>
      </c>
      <c r="D82" s="65">
        <f>$Q$6</f>
        <v>8</v>
      </c>
    </row>
    <row r="83" spans="1:4">
      <c r="A83" s="63" t="str">
        <f t="shared" si="4"/>
        <v>АСУЭ.FB_IMstp_S.FRPT</v>
      </c>
      <c r="B83" s="64">
        <v>11152</v>
      </c>
      <c r="C83" s="64" t="s">
        <v>0</v>
      </c>
      <c r="D83" s="65" t="str">
        <f>$R$6</f>
        <v>Предупреждение</v>
      </c>
    </row>
    <row r="84" spans="1:4">
      <c r="A84" s="63" t="str">
        <f t="shared" si="4"/>
        <v>АСУЭ.FB_IMstp_S.FRPT</v>
      </c>
      <c r="B84" s="64">
        <v>11150</v>
      </c>
      <c r="C84" s="64" t="s">
        <v>0</v>
      </c>
      <c r="D84" s="65" t="s">
        <v>177</v>
      </c>
    </row>
    <row r="85" spans="1:4">
      <c r="A85" s="66" t="str">
        <f t="shared" si="4"/>
        <v>АСУЭ.FB_IMstp_S.FRPT</v>
      </c>
      <c r="B85" s="67">
        <v>11000</v>
      </c>
      <c r="C85" s="67" t="s">
        <v>5</v>
      </c>
      <c r="D85" s="68">
        <v>2147483680</v>
      </c>
    </row>
    <row r="86" spans="1:4">
      <c r="A86" s="16" t="str">
        <f t="shared" ref="A86:A95" si="5">$R$2&amp;".LAON"</f>
        <v>АСУЭ.FB_IMstp_S.LAON</v>
      </c>
      <c r="B86" s="17">
        <v>3</v>
      </c>
      <c r="C86" s="17" t="s">
        <v>1</v>
      </c>
      <c r="D86" s="18">
        <v>192</v>
      </c>
    </row>
    <row r="87" spans="1:4">
      <c r="A87" s="19" t="str">
        <f t="shared" si="5"/>
        <v>АСУЭ.FB_IMstp_S.LAON</v>
      </c>
      <c r="B87" s="11">
        <v>2</v>
      </c>
      <c r="C87" s="11" t="s">
        <v>2</v>
      </c>
      <c r="D87" s="20" t="s">
        <v>3</v>
      </c>
    </row>
    <row r="88" spans="1:4">
      <c r="A88" s="19" t="str">
        <f t="shared" si="5"/>
        <v>АСУЭ.FB_IMstp_S.LAON</v>
      </c>
      <c r="B88" s="11">
        <v>1</v>
      </c>
      <c r="C88" s="11" t="s">
        <v>1</v>
      </c>
      <c r="D88" s="20">
        <v>11</v>
      </c>
    </row>
    <row r="89" spans="1:4">
      <c r="A89" s="19" t="str">
        <f t="shared" si="5"/>
        <v>АСУЭ.FB_IMstp_S.LAON</v>
      </c>
      <c r="B89" s="11">
        <v>101</v>
      </c>
      <c r="C89" s="11" t="s">
        <v>0</v>
      </c>
      <c r="D89" s="20" t="s">
        <v>1833</v>
      </c>
    </row>
    <row r="90" spans="1:4">
      <c r="A90" s="19" t="str">
        <f t="shared" si="5"/>
        <v>АСУЭ.FB_IMstp_S.LAON</v>
      </c>
      <c r="B90" s="11">
        <v>7998</v>
      </c>
      <c r="C90" s="11" t="s">
        <v>6</v>
      </c>
      <c r="D90" s="20">
        <v>1</v>
      </c>
    </row>
    <row r="91" spans="1:4">
      <c r="A91" s="19" t="str">
        <f t="shared" si="5"/>
        <v>АСУЭ.FB_IMstp_S.LAON</v>
      </c>
      <c r="B91" s="11">
        <v>7999</v>
      </c>
      <c r="C91" s="11" t="s">
        <v>0</v>
      </c>
      <c r="D91" s="20" t="str">
        <f>"#"&amp;$S$2&amp;"#"&amp;$T$2&amp;"\"&amp;$P$2&amp;"\LAON"</f>
        <v>#1#treiOPCDA.CoOPCserv.1\pcmaster\ZRU_OL1\LAON</v>
      </c>
    </row>
    <row r="92" spans="1:4">
      <c r="A92" s="63" t="str">
        <f t="shared" si="5"/>
        <v>АСУЭ.FB_IMstp_S.LAON</v>
      </c>
      <c r="B92" s="64">
        <v>11154</v>
      </c>
      <c r="C92" s="64" t="s">
        <v>4</v>
      </c>
      <c r="D92" s="65">
        <f>$Q$6</f>
        <v>8</v>
      </c>
    </row>
    <row r="93" spans="1:4">
      <c r="A93" s="63" t="str">
        <f t="shared" si="5"/>
        <v>АСУЭ.FB_IMstp_S.LAON</v>
      </c>
      <c r="B93" s="64">
        <v>11152</v>
      </c>
      <c r="C93" s="64" t="s">
        <v>0</v>
      </c>
      <c r="D93" s="65" t="str">
        <f>$R$6</f>
        <v>Предупреждение</v>
      </c>
    </row>
    <row r="94" spans="1:4">
      <c r="A94" s="63" t="str">
        <f t="shared" si="5"/>
        <v>АСУЭ.FB_IMstp_S.LAON</v>
      </c>
      <c r="B94" s="64">
        <v>11150</v>
      </c>
      <c r="C94" s="64" t="s">
        <v>0</v>
      </c>
      <c r="D94" s="65" t="s">
        <v>1833</v>
      </c>
    </row>
    <row r="95" spans="1:4">
      <c r="A95" s="66" t="str">
        <f t="shared" si="5"/>
        <v>АСУЭ.FB_IMstp_S.LAON</v>
      </c>
      <c r="B95" s="67">
        <v>11000</v>
      </c>
      <c r="C95" s="67" t="s">
        <v>5</v>
      </c>
      <c r="D95" s="68">
        <v>2147483680</v>
      </c>
    </row>
    <row r="96" spans="1:4">
      <c r="A96" s="16" t="str">
        <f t="shared" ref="A96:A105" si="6">$R$2&amp;".LAOF"</f>
        <v>АСУЭ.FB_IMstp_S.LAOF</v>
      </c>
      <c r="B96" s="17">
        <v>3</v>
      </c>
      <c r="C96" s="17" t="s">
        <v>1</v>
      </c>
      <c r="D96" s="18">
        <v>192</v>
      </c>
    </row>
    <row r="97" spans="1:4">
      <c r="A97" s="19" t="str">
        <f t="shared" si="6"/>
        <v>АСУЭ.FB_IMstp_S.LAOF</v>
      </c>
      <c r="B97" s="11">
        <v>2</v>
      </c>
      <c r="C97" s="11" t="s">
        <v>2</v>
      </c>
      <c r="D97" s="20" t="s">
        <v>3</v>
      </c>
    </row>
    <row r="98" spans="1:4">
      <c r="A98" s="19" t="str">
        <f t="shared" si="6"/>
        <v>АСУЭ.FB_IMstp_S.LAOF</v>
      </c>
      <c r="B98" s="11">
        <v>1</v>
      </c>
      <c r="C98" s="11" t="s">
        <v>1</v>
      </c>
      <c r="D98" s="20">
        <v>11</v>
      </c>
    </row>
    <row r="99" spans="1:4">
      <c r="A99" s="19" t="str">
        <f t="shared" si="6"/>
        <v>АСУЭ.FB_IMstp_S.LAOF</v>
      </c>
      <c r="B99" s="11">
        <v>101</v>
      </c>
      <c r="C99" s="11" t="s">
        <v>0</v>
      </c>
      <c r="D99" s="20" t="s">
        <v>1834</v>
      </c>
    </row>
    <row r="100" spans="1:4">
      <c r="A100" s="19" t="str">
        <f t="shared" si="6"/>
        <v>АСУЭ.FB_IMstp_S.LAOF</v>
      </c>
      <c r="B100" s="11">
        <v>7998</v>
      </c>
      <c r="C100" s="11" t="s">
        <v>6</v>
      </c>
      <c r="D100" s="20">
        <v>1</v>
      </c>
    </row>
    <row r="101" spans="1:4">
      <c r="A101" s="19" t="str">
        <f t="shared" si="6"/>
        <v>АСУЭ.FB_IMstp_S.LAOF</v>
      </c>
      <c r="B101" s="11">
        <v>7999</v>
      </c>
      <c r="C101" s="11" t="s">
        <v>0</v>
      </c>
      <c r="D101" s="20" t="str">
        <f>"#"&amp;$S$2&amp;"#"&amp;$T$2&amp;"\"&amp;$P$2&amp;"\LAOF"</f>
        <v>#1#treiOPCDA.CoOPCserv.1\pcmaster\ZRU_OL1\LAOF</v>
      </c>
    </row>
    <row r="102" spans="1:4">
      <c r="A102" s="63" t="str">
        <f t="shared" si="6"/>
        <v>АСУЭ.FB_IMstp_S.LAOF</v>
      </c>
      <c r="B102" s="64">
        <v>11154</v>
      </c>
      <c r="C102" s="64" t="s">
        <v>4</v>
      </c>
      <c r="D102" s="65">
        <f>$Q$6</f>
        <v>8</v>
      </c>
    </row>
    <row r="103" spans="1:4">
      <c r="A103" s="63" t="str">
        <f t="shared" si="6"/>
        <v>АСУЭ.FB_IMstp_S.LAOF</v>
      </c>
      <c r="B103" s="64">
        <v>11152</v>
      </c>
      <c r="C103" s="64" t="s">
        <v>0</v>
      </c>
      <c r="D103" s="65" t="str">
        <f>$R$6</f>
        <v>Предупреждение</v>
      </c>
    </row>
    <row r="104" spans="1:4">
      <c r="A104" s="63" t="str">
        <f t="shared" si="6"/>
        <v>АСУЭ.FB_IMstp_S.LAOF</v>
      </c>
      <c r="B104" s="64">
        <v>11150</v>
      </c>
      <c r="C104" s="64" t="s">
        <v>0</v>
      </c>
      <c r="D104" s="65" t="s">
        <v>1834</v>
      </c>
    </row>
    <row r="105" spans="1:4">
      <c r="A105" s="63" t="str">
        <f t="shared" si="6"/>
        <v>АСУЭ.FB_IMstp_S.LAOF</v>
      </c>
      <c r="B105" s="64">
        <v>11000</v>
      </c>
      <c r="C105" s="64" t="s">
        <v>5</v>
      </c>
      <c r="D105" s="65">
        <v>2147483680</v>
      </c>
    </row>
    <row r="106" spans="1:4">
      <c r="A106" s="16" t="str">
        <f t="shared" ref="A106:A115" si="7">$R$2&amp;".CEON"</f>
        <v>АСУЭ.FB_IMstp_S.CEON</v>
      </c>
      <c r="B106" s="17">
        <v>7999</v>
      </c>
      <c r="C106" s="17" t="s">
        <v>0</v>
      </c>
      <c r="D106" s="18" t="str">
        <f>"#"&amp;$S$2&amp;"#"&amp;$T$2&amp;"\"&amp;$P$2&amp;"\CEON"</f>
        <v>#1#treiOPCDA.CoOPCserv.1\pcmaster\ZRU_OL1\CEON</v>
      </c>
    </row>
    <row r="107" spans="1:4">
      <c r="A107" s="19" t="str">
        <f t="shared" si="7"/>
        <v>АСУЭ.FB_IMstp_S.CEON</v>
      </c>
      <c r="B107" s="11">
        <v>7998</v>
      </c>
      <c r="C107" s="11" t="s">
        <v>6</v>
      </c>
      <c r="D107" s="20">
        <v>1</v>
      </c>
    </row>
    <row r="108" spans="1:4">
      <c r="A108" s="19" t="str">
        <f t="shared" si="7"/>
        <v>АСУЭ.FB_IMstp_S.CEON</v>
      </c>
      <c r="B108" s="11">
        <v>3</v>
      </c>
      <c r="C108" s="11" t="s">
        <v>1</v>
      </c>
      <c r="D108" s="20">
        <v>192</v>
      </c>
    </row>
    <row r="109" spans="1:4">
      <c r="A109" s="19" t="str">
        <f t="shared" si="7"/>
        <v>АСУЭ.FB_IMstp_S.CEON</v>
      </c>
      <c r="B109" s="11">
        <v>2</v>
      </c>
      <c r="C109" s="11" t="s">
        <v>2</v>
      </c>
      <c r="D109" s="20" t="s">
        <v>3</v>
      </c>
    </row>
    <row r="110" spans="1:4">
      <c r="A110" s="19" t="str">
        <f t="shared" si="7"/>
        <v>АСУЭ.FB_IMstp_S.CEON</v>
      </c>
      <c r="B110" s="11">
        <v>1</v>
      </c>
      <c r="C110" s="11" t="s">
        <v>1</v>
      </c>
      <c r="D110" s="20">
        <v>11</v>
      </c>
    </row>
    <row r="111" spans="1:4">
      <c r="A111" s="19" t="str">
        <f t="shared" si="7"/>
        <v>АСУЭ.FB_IMstp_S.CEON</v>
      </c>
      <c r="B111" s="11">
        <v>101</v>
      </c>
      <c r="C111" s="11" t="s">
        <v>0</v>
      </c>
      <c r="D111" s="20" t="s">
        <v>1835</v>
      </c>
    </row>
    <row r="112" spans="1:4">
      <c r="A112" s="63" t="str">
        <f t="shared" si="7"/>
        <v>АСУЭ.FB_IMstp_S.CEON</v>
      </c>
      <c r="B112" s="64">
        <v>11154</v>
      </c>
      <c r="C112" s="64" t="s">
        <v>4</v>
      </c>
      <c r="D112" s="65">
        <f>$Q$6</f>
        <v>8</v>
      </c>
    </row>
    <row r="113" spans="1:17">
      <c r="A113" s="63" t="str">
        <f t="shared" si="7"/>
        <v>АСУЭ.FB_IMstp_S.CEON</v>
      </c>
      <c r="B113" s="64">
        <v>11152</v>
      </c>
      <c r="C113" s="64" t="s">
        <v>0</v>
      </c>
      <c r="D113" s="65" t="str">
        <f>$R$6</f>
        <v>Предупреждение</v>
      </c>
    </row>
    <row r="114" spans="1:17">
      <c r="A114" s="63" t="str">
        <f t="shared" si="7"/>
        <v>АСУЭ.FB_IMstp_S.CEON</v>
      </c>
      <c r="B114" s="64">
        <v>11150</v>
      </c>
      <c r="C114" s="64" t="s">
        <v>0</v>
      </c>
      <c r="D114" s="65" t="s">
        <v>1835</v>
      </c>
    </row>
    <row r="115" spans="1:17">
      <c r="A115" s="66" t="str">
        <f t="shared" si="7"/>
        <v>АСУЭ.FB_IMstp_S.CEON</v>
      </c>
      <c r="B115" s="67">
        <v>11000</v>
      </c>
      <c r="C115" s="67" t="s">
        <v>5</v>
      </c>
      <c r="D115" s="68">
        <v>2147483680</v>
      </c>
    </row>
    <row r="116" spans="1:17">
      <c r="A116" s="16" t="str">
        <f t="shared" ref="A116:A125" si="8">$R$2&amp;".CEOF"</f>
        <v>АСУЭ.FB_IMstp_S.CEOF</v>
      </c>
      <c r="B116" s="17">
        <v>3</v>
      </c>
      <c r="C116" s="17" t="s">
        <v>1</v>
      </c>
      <c r="D116" s="18">
        <v>192</v>
      </c>
    </row>
    <row r="117" spans="1:17">
      <c r="A117" s="19" t="str">
        <f t="shared" si="8"/>
        <v>АСУЭ.FB_IMstp_S.CEOF</v>
      </c>
      <c r="B117" s="11">
        <v>2</v>
      </c>
      <c r="C117" s="11" t="s">
        <v>2</v>
      </c>
      <c r="D117" s="20" t="s">
        <v>3</v>
      </c>
    </row>
    <row r="118" spans="1:17">
      <c r="A118" s="19" t="str">
        <f t="shared" si="8"/>
        <v>АСУЭ.FB_IMstp_S.CEOF</v>
      </c>
      <c r="B118" s="11">
        <v>1</v>
      </c>
      <c r="C118" s="11" t="s">
        <v>1</v>
      </c>
      <c r="D118" s="20">
        <v>11</v>
      </c>
    </row>
    <row r="119" spans="1:17">
      <c r="A119" s="19" t="str">
        <f t="shared" si="8"/>
        <v>АСУЭ.FB_IMstp_S.CEOF</v>
      </c>
      <c r="B119" s="11">
        <v>101</v>
      </c>
      <c r="C119" s="11" t="s">
        <v>0</v>
      </c>
      <c r="D119" s="20" t="s">
        <v>1836</v>
      </c>
      <c r="Q119" s="41"/>
    </row>
    <row r="120" spans="1:17">
      <c r="A120" s="19" t="str">
        <f t="shared" si="8"/>
        <v>АСУЭ.FB_IMstp_S.CEOF</v>
      </c>
      <c r="B120" s="11">
        <v>7998</v>
      </c>
      <c r="C120" s="11" t="s">
        <v>6</v>
      </c>
      <c r="D120" s="20">
        <v>1</v>
      </c>
    </row>
    <row r="121" spans="1:17">
      <c r="A121" s="19" t="str">
        <f t="shared" si="8"/>
        <v>АСУЭ.FB_IMstp_S.CEOF</v>
      </c>
      <c r="B121" s="11">
        <v>7999</v>
      </c>
      <c r="C121" s="11" t="s">
        <v>0</v>
      </c>
      <c r="D121" s="20" t="str">
        <f>"#"&amp;$S$2&amp;"#"&amp;$T$2&amp;"\"&amp;$P$2&amp;"\CEOF"</f>
        <v>#1#treiOPCDA.CoOPCserv.1\pcmaster\ZRU_OL1\CEOF</v>
      </c>
    </row>
    <row r="122" spans="1:17">
      <c r="A122" s="63" t="str">
        <f t="shared" si="8"/>
        <v>АСУЭ.FB_IMstp_S.CEOF</v>
      </c>
      <c r="B122" s="64">
        <v>11154</v>
      </c>
      <c r="C122" s="64" t="s">
        <v>4</v>
      </c>
      <c r="D122" s="65">
        <f>$Q$6</f>
        <v>8</v>
      </c>
    </row>
    <row r="123" spans="1:17">
      <c r="A123" s="63" t="str">
        <f t="shared" si="8"/>
        <v>АСУЭ.FB_IMstp_S.CEOF</v>
      </c>
      <c r="B123" s="64">
        <v>11152</v>
      </c>
      <c r="C123" s="64" t="s">
        <v>0</v>
      </c>
      <c r="D123" s="65" t="str">
        <f>$R$6</f>
        <v>Предупреждение</v>
      </c>
    </row>
    <row r="124" spans="1:17">
      <c r="A124" s="63" t="str">
        <f t="shared" si="8"/>
        <v>АСУЭ.FB_IMstp_S.CEOF</v>
      </c>
      <c r="B124" s="64">
        <v>11150</v>
      </c>
      <c r="C124" s="64" t="s">
        <v>0</v>
      </c>
      <c r="D124" s="65" t="s">
        <v>1836</v>
      </c>
    </row>
    <row r="125" spans="1:17">
      <c r="A125" s="63" t="str">
        <f t="shared" si="8"/>
        <v>АСУЭ.FB_IMstp_S.CEOF</v>
      </c>
      <c r="B125" s="64">
        <v>11000</v>
      </c>
      <c r="C125" s="64" t="s">
        <v>5</v>
      </c>
      <c r="D125" s="65">
        <v>2147483680</v>
      </c>
    </row>
    <row r="126" spans="1:17">
      <c r="A126" s="16" t="str">
        <f t="shared" ref="A126:A135" si="9">$R$2&amp;".CBON"</f>
        <v>АСУЭ.FB_IMstp_S.CBON</v>
      </c>
      <c r="B126" s="17">
        <v>3</v>
      </c>
      <c r="C126" s="17" t="s">
        <v>1</v>
      </c>
      <c r="D126" s="18">
        <v>192</v>
      </c>
    </row>
    <row r="127" spans="1:17">
      <c r="A127" s="19" t="str">
        <f t="shared" si="9"/>
        <v>АСУЭ.FB_IMstp_S.CBON</v>
      </c>
      <c r="B127" s="11">
        <v>2</v>
      </c>
      <c r="C127" s="11" t="s">
        <v>2</v>
      </c>
      <c r="D127" s="20" t="s">
        <v>3</v>
      </c>
    </row>
    <row r="128" spans="1:17">
      <c r="A128" s="19" t="str">
        <f t="shared" si="9"/>
        <v>АСУЭ.FB_IMstp_S.CBON</v>
      </c>
      <c r="B128" s="11">
        <v>1</v>
      </c>
      <c r="C128" s="11" t="s">
        <v>1</v>
      </c>
      <c r="D128" s="20">
        <v>11</v>
      </c>
    </row>
    <row r="129" spans="1:4">
      <c r="A129" s="19" t="str">
        <f t="shared" si="9"/>
        <v>АСУЭ.FB_IMstp_S.CBON</v>
      </c>
      <c r="B129" s="11">
        <v>101</v>
      </c>
      <c r="C129" s="11" t="s">
        <v>0</v>
      </c>
      <c r="D129" s="20" t="s">
        <v>1837</v>
      </c>
    </row>
    <row r="130" spans="1:4">
      <c r="A130" s="19" t="str">
        <f t="shared" si="9"/>
        <v>АСУЭ.FB_IMstp_S.CBON</v>
      </c>
      <c r="B130" s="11">
        <v>7998</v>
      </c>
      <c r="C130" s="11" t="s">
        <v>6</v>
      </c>
      <c r="D130" s="20">
        <v>1</v>
      </c>
    </row>
    <row r="131" spans="1:4">
      <c r="A131" s="19" t="str">
        <f t="shared" si="9"/>
        <v>АСУЭ.FB_IMstp_S.CBON</v>
      </c>
      <c r="B131" s="11">
        <v>7999</v>
      </c>
      <c r="C131" s="11" t="s">
        <v>0</v>
      </c>
      <c r="D131" s="20" t="str">
        <f>"#"&amp;$S$2&amp;"#"&amp;$T$2&amp;"\"&amp;$P$2&amp;"\CBON"</f>
        <v>#1#treiOPCDA.CoOPCserv.1\pcmaster\ZRU_OL1\CBON</v>
      </c>
    </row>
    <row r="132" spans="1:4">
      <c r="A132" s="63" t="str">
        <f t="shared" si="9"/>
        <v>АСУЭ.FB_IMstp_S.CBON</v>
      </c>
      <c r="B132" s="64">
        <v>11154</v>
      </c>
      <c r="C132" s="64" t="s">
        <v>4</v>
      </c>
      <c r="D132" s="65">
        <f>$Q$6</f>
        <v>8</v>
      </c>
    </row>
    <row r="133" spans="1:4">
      <c r="A133" s="63" t="str">
        <f t="shared" si="9"/>
        <v>АСУЭ.FB_IMstp_S.CBON</v>
      </c>
      <c r="B133" s="64">
        <v>11152</v>
      </c>
      <c r="C133" s="64" t="s">
        <v>0</v>
      </c>
      <c r="D133" s="65" t="str">
        <f>$R$6</f>
        <v>Предупреждение</v>
      </c>
    </row>
    <row r="134" spans="1:4">
      <c r="A134" s="63" t="str">
        <f t="shared" si="9"/>
        <v>АСУЭ.FB_IMstp_S.CBON</v>
      </c>
      <c r="B134" s="64">
        <v>11150</v>
      </c>
      <c r="C134" s="64" t="s">
        <v>0</v>
      </c>
      <c r="D134" s="65" t="s">
        <v>1837</v>
      </c>
    </row>
    <row r="135" spans="1:4">
      <c r="A135" s="66" t="str">
        <f t="shared" si="9"/>
        <v>АСУЭ.FB_IMstp_S.CBON</v>
      </c>
      <c r="B135" s="67">
        <v>11000</v>
      </c>
      <c r="C135" s="67" t="s">
        <v>5</v>
      </c>
      <c r="D135" s="68">
        <v>2147483680</v>
      </c>
    </row>
    <row r="136" spans="1:4">
      <c r="A136" s="19" t="str">
        <f t="shared" ref="A136:A145" si="10">$R$2&amp;".CBOF"</f>
        <v>АСУЭ.FB_IMstp_S.CBOF</v>
      </c>
      <c r="B136" s="11">
        <v>3</v>
      </c>
      <c r="C136" s="11" t="s">
        <v>1</v>
      </c>
      <c r="D136" s="20">
        <v>192</v>
      </c>
    </row>
    <row r="137" spans="1:4">
      <c r="A137" s="19" t="str">
        <f t="shared" si="10"/>
        <v>АСУЭ.FB_IMstp_S.CBOF</v>
      </c>
      <c r="B137" s="11">
        <v>2</v>
      </c>
      <c r="C137" s="11" t="s">
        <v>2</v>
      </c>
      <c r="D137" s="20" t="s">
        <v>3</v>
      </c>
    </row>
    <row r="138" spans="1:4">
      <c r="A138" s="19" t="str">
        <f t="shared" si="10"/>
        <v>АСУЭ.FB_IMstp_S.CBOF</v>
      </c>
      <c r="B138" s="11">
        <v>1</v>
      </c>
      <c r="C138" s="11" t="s">
        <v>1</v>
      </c>
      <c r="D138" s="20">
        <v>11</v>
      </c>
    </row>
    <row r="139" spans="1:4">
      <c r="A139" s="19" t="str">
        <f t="shared" si="10"/>
        <v>АСУЭ.FB_IMstp_S.CBOF</v>
      </c>
      <c r="B139" s="11">
        <v>7998</v>
      </c>
      <c r="C139" s="11" t="s">
        <v>6</v>
      </c>
      <c r="D139" s="20">
        <v>1</v>
      </c>
    </row>
    <row r="140" spans="1:4">
      <c r="A140" s="19" t="str">
        <f t="shared" si="10"/>
        <v>АСУЭ.FB_IMstp_S.CBOF</v>
      </c>
      <c r="B140" s="11">
        <v>101</v>
      </c>
      <c r="C140" s="11" t="s">
        <v>0</v>
      </c>
      <c r="D140" s="20" t="s">
        <v>1838</v>
      </c>
    </row>
    <row r="141" spans="1:4">
      <c r="A141" s="19" t="str">
        <f t="shared" si="10"/>
        <v>АСУЭ.FB_IMstp_S.CBOF</v>
      </c>
      <c r="B141" s="11">
        <v>7999</v>
      </c>
      <c r="C141" s="11" t="s">
        <v>0</v>
      </c>
      <c r="D141" s="20" t="str">
        <f>"#"&amp;$S$2&amp;"#"&amp;$T$2&amp;"\"&amp;$P$2&amp;"\CBOF"</f>
        <v>#1#treiOPCDA.CoOPCserv.1\pcmaster\ZRU_OL1\CBOF</v>
      </c>
    </row>
    <row r="142" spans="1:4">
      <c r="A142" s="63" t="str">
        <f t="shared" si="10"/>
        <v>АСУЭ.FB_IMstp_S.CBOF</v>
      </c>
      <c r="B142" s="64">
        <v>11154</v>
      </c>
      <c r="C142" s="64" t="s">
        <v>4</v>
      </c>
      <c r="D142" s="65">
        <f>$Q$6</f>
        <v>8</v>
      </c>
    </row>
    <row r="143" spans="1:4">
      <c r="A143" s="63" t="str">
        <f t="shared" si="10"/>
        <v>АСУЭ.FB_IMstp_S.CBOF</v>
      </c>
      <c r="B143" s="64">
        <v>11152</v>
      </c>
      <c r="C143" s="64" t="s">
        <v>0</v>
      </c>
      <c r="D143" s="65" t="str">
        <f>$R$6</f>
        <v>Предупреждение</v>
      </c>
    </row>
    <row r="144" spans="1:4">
      <c r="A144" s="63" t="str">
        <f t="shared" si="10"/>
        <v>АСУЭ.FB_IMstp_S.CBOF</v>
      </c>
      <c r="B144" s="64">
        <v>11150</v>
      </c>
      <c r="C144" s="64" t="s">
        <v>0</v>
      </c>
      <c r="D144" s="65" t="s">
        <v>1838</v>
      </c>
    </row>
    <row r="145" spans="1:4">
      <c r="A145" s="66" t="str">
        <f t="shared" si="10"/>
        <v>АСУЭ.FB_IMstp_S.CBOF</v>
      </c>
      <c r="B145" s="67">
        <v>11000</v>
      </c>
      <c r="C145" s="67" t="s">
        <v>5</v>
      </c>
      <c r="D145" s="68">
        <v>2147483680</v>
      </c>
    </row>
    <row r="146" spans="1:4">
      <c r="A146" s="19" t="str">
        <f t="shared" ref="A146:A155" si="11">$R$2&amp;".FFOF"</f>
        <v>АСУЭ.FB_IMstp_S.FFOF</v>
      </c>
      <c r="B146" s="11">
        <v>3</v>
      </c>
      <c r="C146" s="11" t="s">
        <v>1</v>
      </c>
      <c r="D146" s="20">
        <v>192</v>
      </c>
    </row>
    <row r="147" spans="1:4">
      <c r="A147" s="19" t="str">
        <f t="shared" si="11"/>
        <v>АСУЭ.FB_IMstp_S.FFOF</v>
      </c>
      <c r="B147" s="11">
        <v>2</v>
      </c>
      <c r="C147" s="11" t="s">
        <v>2</v>
      </c>
      <c r="D147" s="20" t="s">
        <v>3</v>
      </c>
    </row>
    <row r="148" spans="1:4">
      <c r="A148" s="19" t="str">
        <f t="shared" si="11"/>
        <v>АСУЭ.FB_IMstp_S.FFOF</v>
      </c>
      <c r="B148" s="11">
        <v>1</v>
      </c>
      <c r="C148" s="11" t="s">
        <v>1</v>
      </c>
      <c r="D148" s="20">
        <v>11</v>
      </c>
    </row>
    <row r="149" spans="1:4">
      <c r="A149" s="19" t="str">
        <f t="shared" si="11"/>
        <v>АСУЭ.FB_IMstp_S.FFOF</v>
      </c>
      <c r="B149" s="11">
        <v>101</v>
      </c>
      <c r="C149" s="11" t="s">
        <v>0</v>
      </c>
      <c r="D149" s="20" t="s">
        <v>142</v>
      </c>
    </row>
    <row r="150" spans="1:4">
      <c r="A150" s="19" t="str">
        <f t="shared" si="11"/>
        <v>АСУЭ.FB_IMstp_S.FFOF</v>
      </c>
      <c r="B150" s="11">
        <v>7998</v>
      </c>
      <c r="C150" s="11" t="s">
        <v>6</v>
      </c>
      <c r="D150" s="20">
        <v>1</v>
      </c>
    </row>
    <row r="151" spans="1:4">
      <c r="A151" s="19" t="str">
        <f t="shared" si="11"/>
        <v>АСУЭ.FB_IMstp_S.FFOF</v>
      </c>
      <c r="B151" s="11">
        <v>7999</v>
      </c>
      <c r="C151" s="11" t="s">
        <v>0</v>
      </c>
      <c r="D151" s="20" t="str">
        <f>"#"&amp;$S$2&amp;"#"&amp;$T$2&amp;"\"&amp;$P$2&amp;"\FFOF"</f>
        <v>#1#treiOPCDA.CoOPCserv.1\pcmaster\ZRU_OL1\FFOF</v>
      </c>
    </row>
    <row r="152" spans="1:4">
      <c r="A152" s="211" t="str">
        <f t="shared" si="11"/>
        <v>АСУЭ.FB_IMstp_S.FFOF</v>
      </c>
      <c r="B152" s="212">
        <v>11154</v>
      </c>
      <c r="C152" s="212" t="s">
        <v>4</v>
      </c>
      <c r="D152" s="213">
        <f>$Q$7</f>
        <v>12</v>
      </c>
    </row>
    <row r="153" spans="1:4">
      <c r="A153" s="211" t="str">
        <f t="shared" si="11"/>
        <v>АСУЭ.FB_IMstp_S.FFOF</v>
      </c>
      <c r="B153" s="212">
        <v>11152</v>
      </c>
      <c r="C153" s="212" t="s">
        <v>0</v>
      </c>
      <c r="D153" s="213" t="str">
        <f>$R$7</f>
        <v>Неисправность</v>
      </c>
    </row>
    <row r="154" spans="1:4">
      <c r="A154" s="211" t="str">
        <f t="shared" si="11"/>
        <v>АСУЭ.FB_IMstp_S.FFOF</v>
      </c>
      <c r="B154" s="212">
        <v>11150</v>
      </c>
      <c r="C154" s="212" t="s">
        <v>0</v>
      </c>
      <c r="D154" s="213" t="s">
        <v>143</v>
      </c>
    </row>
    <row r="155" spans="1:4">
      <c r="A155" s="214" t="str">
        <f t="shared" si="11"/>
        <v>АСУЭ.FB_IMstp_S.FFOF</v>
      </c>
      <c r="B155" s="215">
        <v>11000</v>
      </c>
      <c r="C155" s="215" t="s">
        <v>5</v>
      </c>
      <c r="D155" s="216">
        <v>2147483680</v>
      </c>
    </row>
    <row r="156" spans="1:4">
      <c r="A156" s="16" t="str">
        <f t="shared" ref="A156:A165" si="12">$R$2&amp;".IFXX"</f>
        <v>АСУЭ.FB_IMstp_S.IFXX</v>
      </c>
      <c r="B156" s="17">
        <v>3</v>
      </c>
      <c r="C156" s="17" t="s">
        <v>1</v>
      </c>
      <c r="D156" s="18">
        <v>192</v>
      </c>
    </row>
    <row r="157" spans="1:4">
      <c r="A157" s="19" t="str">
        <f t="shared" si="12"/>
        <v>АСУЭ.FB_IMstp_S.IFXX</v>
      </c>
      <c r="B157" s="11">
        <v>2</v>
      </c>
      <c r="C157" s="11" t="s">
        <v>2</v>
      </c>
      <c r="D157" s="20" t="s">
        <v>3</v>
      </c>
    </row>
    <row r="158" spans="1:4">
      <c r="A158" s="19" t="str">
        <f t="shared" si="12"/>
        <v>АСУЭ.FB_IMstp_S.IFXX</v>
      </c>
      <c r="B158" s="11">
        <v>1</v>
      </c>
      <c r="C158" s="11" t="s">
        <v>1</v>
      </c>
      <c r="D158" s="20">
        <v>11</v>
      </c>
    </row>
    <row r="159" spans="1:4">
      <c r="A159" s="19" t="str">
        <f t="shared" si="12"/>
        <v>АСУЭ.FB_IMstp_S.IFXX</v>
      </c>
      <c r="B159" s="11">
        <v>101</v>
      </c>
      <c r="C159" s="11" t="s">
        <v>0</v>
      </c>
      <c r="D159" s="20" t="s">
        <v>176</v>
      </c>
    </row>
    <row r="160" spans="1:4">
      <c r="A160" s="19" t="str">
        <f t="shared" si="12"/>
        <v>АСУЭ.FB_IMstp_S.IFXX</v>
      </c>
      <c r="B160" s="11">
        <v>7998</v>
      </c>
      <c r="C160" s="11" t="s">
        <v>6</v>
      </c>
      <c r="D160" s="20">
        <v>1</v>
      </c>
    </row>
    <row r="161" spans="1:4">
      <c r="A161" s="19" t="str">
        <f t="shared" si="12"/>
        <v>АСУЭ.FB_IMstp_S.IFXX</v>
      </c>
      <c r="B161" s="11">
        <v>7999</v>
      </c>
      <c r="C161" s="11" t="s">
        <v>0</v>
      </c>
      <c r="D161" s="20" t="str">
        <f>"#"&amp;$S$2&amp;"#"&amp;$T$2&amp;"\"&amp;$P$2&amp;"\IFXX"</f>
        <v>#1#treiOPCDA.CoOPCserv.1\pcmaster\ZRU_OL1\IFXX</v>
      </c>
    </row>
    <row r="162" spans="1:4">
      <c r="A162" s="211" t="str">
        <f t="shared" si="12"/>
        <v>АСУЭ.FB_IMstp_S.IFXX</v>
      </c>
      <c r="B162" s="212">
        <v>11154</v>
      </c>
      <c r="C162" s="212" t="s">
        <v>4</v>
      </c>
      <c r="D162" s="213">
        <f>$Q$7</f>
        <v>12</v>
      </c>
    </row>
    <row r="163" spans="1:4">
      <c r="A163" s="211" t="str">
        <f t="shared" si="12"/>
        <v>АСУЭ.FB_IMstp_S.IFXX</v>
      </c>
      <c r="B163" s="212">
        <v>11150</v>
      </c>
      <c r="C163" s="212" t="s">
        <v>0</v>
      </c>
      <c r="D163" s="213" t="s">
        <v>110</v>
      </c>
    </row>
    <row r="164" spans="1:4">
      <c r="A164" s="211" t="str">
        <f t="shared" si="12"/>
        <v>АСУЭ.FB_IMstp_S.IFXX</v>
      </c>
      <c r="B164" s="212">
        <v>11000</v>
      </c>
      <c r="C164" s="212" t="s">
        <v>5</v>
      </c>
      <c r="D164" s="213">
        <v>2147483680</v>
      </c>
    </row>
    <row r="165" spans="1:4">
      <c r="A165" s="214" t="str">
        <f t="shared" si="12"/>
        <v>АСУЭ.FB_IMstp_S.IFXX</v>
      </c>
      <c r="B165" s="215">
        <v>11152</v>
      </c>
      <c r="C165" s="215" t="s">
        <v>0</v>
      </c>
      <c r="D165" s="216" t="str">
        <f>$R$7</f>
        <v>Неисправность</v>
      </c>
    </row>
    <row r="166" spans="1:4">
      <c r="A166" s="16" t="str">
        <f t="shared" ref="A166:A175" si="13">$R$2&amp;".FFON"</f>
        <v>АСУЭ.FB_IMstp_S.FFON</v>
      </c>
      <c r="B166" s="17">
        <v>3</v>
      </c>
      <c r="C166" s="17" t="s">
        <v>1</v>
      </c>
      <c r="D166" s="18">
        <v>192</v>
      </c>
    </row>
    <row r="167" spans="1:4">
      <c r="A167" s="19" t="str">
        <f t="shared" si="13"/>
        <v>АСУЭ.FB_IMstp_S.FFON</v>
      </c>
      <c r="B167" s="11">
        <v>2</v>
      </c>
      <c r="C167" s="11" t="s">
        <v>2</v>
      </c>
      <c r="D167" s="20" t="s">
        <v>3</v>
      </c>
    </row>
    <row r="168" spans="1:4">
      <c r="A168" s="19" t="str">
        <f t="shared" si="13"/>
        <v>АСУЭ.FB_IMstp_S.FFON</v>
      </c>
      <c r="B168" s="11">
        <v>1</v>
      </c>
      <c r="C168" s="11" t="s">
        <v>1</v>
      </c>
      <c r="D168" s="20">
        <v>11</v>
      </c>
    </row>
    <row r="169" spans="1:4">
      <c r="A169" s="19" t="str">
        <f t="shared" si="13"/>
        <v>АСУЭ.FB_IMstp_S.FFON</v>
      </c>
      <c r="B169" s="11">
        <v>101</v>
      </c>
      <c r="C169" s="11" t="s">
        <v>0</v>
      </c>
      <c r="D169" s="20" t="s">
        <v>148</v>
      </c>
    </row>
    <row r="170" spans="1:4">
      <c r="A170" s="19" t="str">
        <f t="shared" si="13"/>
        <v>АСУЭ.FB_IMstp_S.FFON</v>
      </c>
      <c r="B170" s="11">
        <v>7998</v>
      </c>
      <c r="C170" s="11" t="s">
        <v>6</v>
      </c>
      <c r="D170" s="20">
        <v>1</v>
      </c>
    </row>
    <row r="171" spans="1:4">
      <c r="A171" s="19" t="str">
        <f t="shared" si="13"/>
        <v>АСУЭ.FB_IMstp_S.FFON</v>
      </c>
      <c r="B171" s="11">
        <v>7999</v>
      </c>
      <c r="C171" s="11" t="s">
        <v>0</v>
      </c>
      <c r="D171" s="20" t="str">
        <f>"#"&amp;$S$2&amp;"#"&amp;$T$2&amp;"\"&amp;$P$2&amp;"\FFON"</f>
        <v>#1#treiOPCDA.CoOPCserv.1\pcmaster\ZRU_OL1\FFON</v>
      </c>
    </row>
    <row r="172" spans="1:4">
      <c r="A172" s="211" t="str">
        <f t="shared" si="13"/>
        <v>АСУЭ.FB_IMstp_S.FFON</v>
      </c>
      <c r="B172" s="212">
        <v>11154</v>
      </c>
      <c r="C172" s="212" t="s">
        <v>4</v>
      </c>
      <c r="D172" s="213">
        <f>$Q$7</f>
        <v>12</v>
      </c>
    </row>
    <row r="173" spans="1:4">
      <c r="A173" s="211" t="str">
        <f t="shared" si="13"/>
        <v>АСУЭ.FB_IMstp_S.FFON</v>
      </c>
      <c r="B173" s="212">
        <v>11152</v>
      </c>
      <c r="C173" s="212" t="s">
        <v>0</v>
      </c>
      <c r="D173" s="213" t="str">
        <f>$R$7</f>
        <v>Неисправность</v>
      </c>
    </row>
    <row r="174" spans="1:4">
      <c r="A174" s="211" t="str">
        <f t="shared" si="13"/>
        <v>АСУЭ.FB_IMstp_S.FFON</v>
      </c>
      <c r="B174" s="212">
        <v>11150</v>
      </c>
      <c r="C174" s="212" t="s">
        <v>0</v>
      </c>
      <c r="D174" s="213" t="s">
        <v>148</v>
      </c>
    </row>
    <row r="175" spans="1:4">
      <c r="A175" s="214" t="str">
        <f t="shared" si="13"/>
        <v>АСУЭ.FB_IMstp_S.FFON</v>
      </c>
      <c r="B175" s="215">
        <v>11000</v>
      </c>
      <c r="C175" s="215" t="s">
        <v>5</v>
      </c>
      <c r="D175" s="216">
        <v>2147483680</v>
      </c>
    </row>
    <row r="176" spans="1:4">
      <c r="A176" s="16" t="str">
        <f t="shared" ref="A176:A185" si="14">$R$2&amp;".FCOM"</f>
        <v>АСУЭ.FB_IMstp_S.FCOM</v>
      </c>
      <c r="B176" s="17">
        <v>3</v>
      </c>
      <c r="C176" s="17" t="s">
        <v>1</v>
      </c>
      <c r="D176" s="18">
        <v>192</v>
      </c>
    </row>
    <row r="177" spans="1:4">
      <c r="A177" s="19" t="str">
        <f t="shared" si="14"/>
        <v>АСУЭ.FB_IMstp_S.FCOM</v>
      </c>
      <c r="B177" s="11">
        <v>2</v>
      </c>
      <c r="C177" s="11" t="s">
        <v>2</v>
      </c>
      <c r="D177" s="20" t="s">
        <v>3</v>
      </c>
    </row>
    <row r="178" spans="1:4">
      <c r="A178" s="19" t="str">
        <f t="shared" si="14"/>
        <v>АСУЭ.FB_IMstp_S.FCOM</v>
      </c>
      <c r="B178" s="11">
        <v>1</v>
      </c>
      <c r="C178" s="11" t="s">
        <v>1</v>
      </c>
      <c r="D178" s="20">
        <v>11</v>
      </c>
    </row>
    <row r="179" spans="1:4">
      <c r="A179" s="19" t="str">
        <f t="shared" si="14"/>
        <v>АСУЭ.FB_IMstp_S.FCOM</v>
      </c>
      <c r="B179" s="11">
        <v>101</v>
      </c>
      <c r="C179" s="11" t="s">
        <v>0</v>
      </c>
      <c r="D179" s="20" t="s">
        <v>149</v>
      </c>
    </row>
    <row r="180" spans="1:4">
      <c r="A180" s="19" t="str">
        <f t="shared" si="14"/>
        <v>АСУЭ.FB_IMstp_S.FCOM</v>
      </c>
      <c r="B180" s="11">
        <v>7998</v>
      </c>
      <c r="C180" s="11" t="s">
        <v>6</v>
      </c>
      <c r="D180" s="20">
        <v>1</v>
      </c>
    </row>
    <row r="181" spans="1:4">
      <c r="A181" s="19" t="str">
        <f t="shared" si="14"/>
        <v>АСУЭ.FB_IMstp_S.FCOM</v>
      </c>
      <c r="B181" s="11">
        <v>7999</v>
      </c>
      <c r="C181" s="11" t="s">
        <v>0</v>
      </c>
      <c r="D181" s="20" t="str">
        <f>"#"&amp;$S$2&amp;"#"&amp;$T$2&amp;"\"&amp;$P$2&amp;"\FCOM"</f>
        <v>#1#treiOPCDA.CoOPCserv.1\pcmaster\ZRU_OL1\FCOM</v>
      </c>
    </row>
    <row r="182" spans="1:4">
      <c r="A182" s="211" t="str">
        <f t="shared" si="14"/>
        <v>АСУЭ.FB_IMstp_S.FCOM</v>
      </c>
      <c r="B182" s="212">
        <v>11154</v>
      </c>
      <c r="C182" s="212" t="s">
        <v>4</v>
      </c>
      <c r="D182" s="213">
        <f>$Q$7</f>
        <v>12</v>
      </c>
    </row>
    <row r="183" spans="1:4">
      <c r="A183" s="211" t="str">
        <f t="shared" si="14"/>
        <v>АСУЭ.FB_IMstp_S.FCOM</v>
      </c>
      <c r="B183" s="212">
        <v>11152</v>
      </c>
      <c r="C183" s="212" t="s">
        <v>0</v>
      </c>
      <c r="D183" s="213" t="str">
        <f>$R$7</f>
        <v>Неисправность</v>
      </c>
    </row>
    <row r="184" spans="1:4">
      <c r="A184" s="211" t="str">
        <f t="shared" si="14"/>
        <v>АСУЭ.FB_IMstp_S.FCOM</v>
      </c>
      <c r="B184" s="212">
        <v>11150</v>
      </c>
      <c r="C184" s="212" t="s">
        <v>0</v>
      </c>
      <c r="D184" s="213" t="s">
        <v>149</v>
      </c>
    </row>
    <row r="185" spans="1:4">
      <c r="A185" s="214" t="str">
        <f t="shared" si="14"/>
        <v>АСУЭ.FB_IMstp_S.FCOM</v>
      </c>
      <c r="B185" s="215">
        <v>11000</v>
      </c>
      <c r="C185" s="215" t="s">
        <v>5</v>
      </c>
      <c r="D185" s="216">
        <v>2147483680</v>
      </c>
    </row>
    <row r="186" spans="1:4">
      <c r="A186" s="16" t="str">
        <f t="shared" ref="A186:A195" si="15">$R$2&amp;".FOFX"</f>
        <v>АСУЭ.FB_IMstp_S.FOFX</v>
      </c>
      <c r="B186" s="17">
        <v>3</v>
      </c>
      <c r="C186" s="17" t="s">
        <v>1</v>
      </c>
      <c r="D186" s="18">
        <v>192</v>
      </c>
    </row>
    <row r="187" spans="1:4">
      <c r="A187" s="19" t="str">
        <f t="shared" si="15"/>
        <v>АСУЭ.FB_IMstp_S.FOFX</v>
      </c>
      <c r="B187" s="11">
        <v>2</v>
      </c>
      <c r="C187" s="11" t="s">
        <v>2</v>
      </c>
      <c r="D187" s="20" t="s">
        <v>3</v>
      </c>
    </row>
    <row r="188" spans="1:4">
      <c r="A188" s="19" t="str">
        <f t="shared" si="15"/>
        <v>АСУЭ.FB_IMstp_S.FOFX</v>
      </c>
      <c r="B188" s="11">
        <v>1</v>
      </c>
      <c r="C188" s="11" t="s">
        <v>1</v>
      </c>
      <c r="D188" s="20">
        <v>11</v>
      </c>
    </row>
    <row r="189" spans="1:4">
      <c r="A189" s="19" t="str">
        <f t="shared" si="15"/>
        <v>АСУЭ.FB_IMstp_S.FOFX</v>
      </c>
      <c r="B189" s="11">
        <v>101</v>
      </c>
      <c r="C189" s="11" t="s">
        <v>0</v>
      </c>
      <c r="D189" s="20" t="s">
        <v>150</v>
      </c>
    </row>
    <row r="190" spans="1:4">
      <c r="A190" s="19" t="str">
        <f t="shared" si="15"/>
        <v>АСУЭ.FB_IMstp_S.FOFX</v>
      </c>
      <c r="B190" s="11">
        <v>7998</v>
      </c>
      <c r="C190" s="11" t="s">
        <v>6</v>
      </c>
      <c r="D190" s="20">
        <v>1</v>
      </c>
    </row>
    <row r="191" spans="1:4">
      <c r="A191" s="19" t="str">
        <f t="shared" si="15"/>
        <v>АСУЭ.FB_IMstp_S.FOFX</v>
      </c>
      <c r="B191" s="11">
        <v>7999</v>
      </c>
      <c r="C191" s="11" t="s">
        <v>0</v>
      </c>
      <c r="D191" s="20" t="str">
        <f>"#"&amp;$S$2&amp;"#"&amp;$T$2&amp;"\"&amp;$P$2&amp;"\FOFX"</f>
        <v>#1#treiOPCDA.CoOPCserv.1\pcmaster\ZRU_OL1\FOFX</v>
      </c>
    </row>
    <row r="192" spans="1:4">
      <c r="A192" s="211" t="str">
        <f t="shared" si="15"/>
        <v>АСУЭ.FB_IMstp_S.FOFX</v>
      </c>
      <c r="B192" s="212">
        <v>11154</v>
      </c>
      <c r="C192" s="212" t="s">
        <v>4</v>
      </c>
      <c r="D192" s="213">
        <f>$Q$7</f>
        <v>12</v>
      </c>
    </row>
    <row r="193" spans="1:4">
      <c r="A193" s="211" t="str">
        <f t="shared" si="15"/>
        <v>АСУЭ.FB_IMstp_S.FOFX</v>
      </c>
      <c r="B193" s="212">
        <v>11152</v>
      </c>
      <c r="C193" s="212" t="s">
        <v>0</v>
      </c>
      <c r="D193" s="213" t="str">
        <f>$R$7</f>
        <v>Неисправность</v>
      </c>
    </row>
    <row r="194" spans="1:4">
      <c r="A194" s="211" t="str">
        <f t="shared" si="15"/>
        <v>АСУЭ.FB_IMstp_S.FOFX</v>
      </c>
      <c r="B194" s="212">
        <v>11150</v>
      </c>
      <c r="C194" s="212" t="s">
        <v>0</v>
      </c>
      <c r="D194" s="213" t="s">
        <v>150</v>
      </c>
    </row>
    <row r="195" spans="1:4">
      <c r="A195" s="214" t="str">
        <f t="shared" si="15"/>
        <v>АСУЭ.FB_IMstp_S.FOFX</v>
      </c>
      <c r="B195" s="215">
        <v>11000</v>
      </c>
      <c r="C195" s="215" t="s">
        <v>5</v>
      </c>
      <c r="D195" s="216">
        <v>2147483680</v>
      </c>
    </row>
    <row r="196" spans="1:4">
      <c r="A196" s="16" t="str">
        <f t="shared" ref="A196:A205" si="16">$R$2&amp;".FUTX"</f>
        <v>АСУЭ.FB_IMstp_S.FUTX</v>
      </c>
      <c r="B196" s="17">
        <v>3</v>
      </c>
      <c r="C196" s="17" t="s">
        <v>1</v>
      </c>
      <c r="D196" s="18">
        <v>192</v>
      </c>
    </row>
    <row r="197" spans="1:4">
      <c r="A197" s="19" t="str">
        <f t="shared" si="16"/>
        <v>АСУЭ.FB_IMstp_S.FUTX</v>
      </c>
      <c r="B197" s="11">
        <v>2</v>
      </c>
      <c r="C197" s="11" t="s">
        <v>2</v>
      </c>
      <c r="D197" s="20" t="s">
        <v>3</v>
      </c>
    </row>
    <row r="198" spans="1:4">
      <c r="A198" s="19" t="str">
        <f t="shared" si="16"/>
        <v>АСУЭ.FB_IMstp_S.FUTX</v>
      </c>
      <c r="B198" s="11">
        <v>1</v>
      </c>
      <c r="C198" s="11" t="s">
        <v>1</v>
      </c>
      <c r="D198" s="20">
        <v>11</v>
      </c>
    </row>
    <row r="199" spans="1:4">
      <c r="A199" s="19" t="str">
        <f t="shared" si="16"/>
        <v>АСУЭ.FB_IMstp_S.FUTX</v>
      </c>
      <c r="B199" s="11">
        <v>101</v>
      </c>
      <c r="C199" s="11" t="s">
        <v>0</v>
      </c>
      <c r="D199" s="20" t="s">
        <v>151</v>
      </c>
    </row>
    <row r="200" spans="1:4">
      <c r="A200" s="19" t="str">
        <f t="shared" si="16"/>
        <v>АСУЭ.FB_IMstp_S.FUTX</v>
      </c>
      <c r="B200" s="11">
        <v>7998</v>
      </c>
      <c r="C200" s="11" t="s">
        <v>6</v>
      </c>
      <c r="D200" s="20">
        <v>1</v>
      </c>
    </row>
    <row r="201" spans="1:4">
      <c r="A201" s="19" t="str">
        <f t="shared" si="16"/>
        <v>АСУЭ.FB_IMstp_S.FUTX</v>
      </c>
      <c r="B201" s="11">
        <v>7999</v>
      </c>
      <c r="C201" s="11" t="s">
        <v>0</v>
      </c>
      <c r="D201" s="20" t="str">
        <f>"#"&amp;$S$2&amp;"#"&amp;$T$2&amp;"\"&amp;$P$2&amp;"\FUTX"</f>
        <v>#1#treiOPCDA.CoOPCserv.1\pcmaster\ZRU_OL1\FUTX</v>
      </c>
    </row>
    <row r="202" spans="1:4">
      <c r="A202" s="211" t="str">
        <f t="shared" si="16"/>
        <v>АСУЭ.FB_IMstp_S.FUTX</v>
      </c>
      <c r="B202" s="212">
        <v>11154</v>
      </c>
      <c r="C202" s="212" t="s">
        <v>4</v>
      </c>
      <c r="D202" s="213">
        <f>$Q$7</f>
        <v>12</v>
      </c>
    </row>
    <row r="203" spans="1:4">
      <c r="A203" s="211" t="str">
        <f t="shared" si="16"/>
        <v>АСУЭ.FB_IMstp_S.FUTX</v>
      </c>
      <c r="B203" s="212">
        <v>11152</v>
      </c>
      <c r="C203" s="212" t="s">
        <v>0</v>
      </c>
      <c r="D203" s="213" t="str">
        <f>$R$7</f>
        <v>Неисправность</v>
      </c>
    </row>
    <row r="204" spans="1:4">
      <c r="A204" s="211" t="str">
        <f t="shared" si="16"/>
        <v>АСУЭ.FB_IMstp_S.FUTX</v>
      </c>
      <c r="B204" s="212">
        <v>11150</v>
      </c>
      <c r="C204" s="212" t="s">
        <v>0</v>
      </c>
      <c r="D204" s="213" t="s">
        <v>152</v>
      </c>
    </row>
    <row r="205" spans="1:4">
      <c r="A205" s="214" t="str">
        <f t="shared" si="16"/>
        <v>АСУЭ.FB_IMstp_S.FUTX</v>
      </c>
      <c r="B205" s="215">
        <v>11000</v>
      </c>
      <c r="C205" s="215" t="s">
        <v>5</v>
      </c>
      <c r="D205" s="216">
        <v>2147483680</v>
      </c>
    </row>
    <row r="206" spans="1:4">
      <c r="A206" s="16" t="str">
        <f t="shared" ref="A206:A215" si="17">$R$2&amp;".FUSX"</f>
        <v>АСУЭ.FB_IMstp_S.FUSX</v>
      </c>
      <c r="B206" s="17">
        <v>3</v>
      </c>
      <c r="C206" s="17" t="s">
        <v>1</v>
      </c>
      <c r="D206" s="18">
        <v>192</v>
      </c>
    </row>
    <row r="207" spans="1:4">
      <c r="A207" s="19" t="str">
        <f t="shared" si="17"/>
        <v>АСУЭ.FB_IMstp_S.FUSX</v>
      </c>
      <c r="B207" s="11">
        <v>2</v>
      </c>
      <c r="C207" s="11" t="s">
        <v>2</v>
      </c>
      <c r="D207" s="20" t="s">
        <v>3</v>
      </c>
    </row>
    <row r="208" spans="1:4">
      <c r="A208" s="19" t="str">
        <f t="shared" si="17"/>
        <v>АСУЭ.FB_IMstp_S.FUSX</v>
      </c>
      <c r="B208" s="11">
        <v>1</v>
      </c>
      <c r="C208" s="11" t="s">
        <v>1</v>
      </c>
      <c r="D208" s="20">
        <v>11</v>
      </c>
    </row>
    <row r="209" spans="1:4">
      <c r="A209" s="19" t="str">
        <f t="shared" si="17"/>
        <v>АСУЭ.FB_IMstp_S.FUSX</v>
      </c>
      <c r="B209" s="11">
        <v>101</v>
      </c>
      <c r="C209" s="11" t="s">
        <v>0</v>
      </c>
      <c r="D209" s="20" t="s">
        <v>1854</v>
      </c>
    </row>
    <row r="210" spans="1:4">
      <c r="A210" s="19" t="str">
        <f t="shared" si="17"/>
        <v>АСУЭ.FB_IMstp_S.FUSX</v>
      </c>
      <c r="B210" s="11">
        <v>7998</v>
      </c>
      <c r="C210" s="11" t="s">
        <v>6</v>
      </c>
      <c r="D210" s="20">
        <v>1</v>
      </c>
    </row>
    <row r="211" spans="1:4">
      <c r="A211" s="19" t="str">
        <f t="shared" si="17"/>
        <v>АСУЭ.FB_IMstp_S.FUSX</v>
      </c>
      <c r="B211" s="11">
        <v>7999</v>
      </c>
      <c r="C211" s="11" t="s">
        <v>0</v>
      </c>
      <c r="D211" s="20" t="str">
        <f>"#"&amp;$S$2&amp;"#"&amp;$T$2&amp;"\"&amp;$P$2&amp;"\FUSX"</f>
        <v>#1#treiOPCDA.CoOPCserv.1\pcmaster\ZRU_OL1\FUSX</v>
      </c>
    </row>
    <row r="212" spans="1:4">
      <c r="A212" s="211" t="str">
        <f t="shared" si="17"/>
        <v>АСУЭ.FB_IMstp_S.FUSX</v>
      </c>
      <c r="B212" s="212">
        <v>11154</v>
      </c>
      <c r="C212" s="212" t="s">
        <v>4</v>
      </c>
      <c r="D212" s="213">
        <f>$Q$7</f>
        <v>12</v>
      </c>
    </row>
    <row r="213" spans="1:4">
      <c r="A213" s="211" t="str">
        <f t="shared" si="17"/>
        <v>АСУЭ.FB_IMstp_S.FUSX</v>
      </c>
      <c r="B213" s="212">
        <v>11152</v>
      </c>
      <c r="C213" s="212" t="s">
        <v>0</v>
      </c>
      <c r="D213" s="213" t="str">
        <f>$R$7</f>
        <v>Неисправность</v>
      </c>
    </row>
    <row r="214" spans="1:4">
      <c r="A214" s="211" t="str">
        <f t="shared" si="17"/>
        <v>АСУЭ.FB_IMstp_S.FUSX</v>
      </c>
      <c r="B214" s="212">
        <v>11150</v>
      </c>
      <c r="C214" s="212" t="s">
        <v>0</v>
      </c>
      <c r="D214" s="213" t="s">
        <v>1854</v>
      </c>
    </row>
    <row r="215" spans="1:4">
      <c r="A215" s="214" t="str">
        <f t="shared" si="17"/>
        <v>АСУЭ.FB_IMstp_S.FUSX</v>
      </c>
      <c r="B215" s="215">
        <v>11000</v>
      </c>
      <c r="C215" s="215" t="s">
        <v>5</v>
      </c>
      <c r="D215" s="216">
        <v>2147483680</v>
      </c>
    </row>
    <row r="216" spans="1:4">
      <c r="A216" s="16" t="str">
        <f t="shared" ref="A216:A225" si="18">$R$2&amp;".FUPT"</f>
        <v>АСУЭ.FB_IMstp_S.FUPT</v>
      </c>
      <c r="B216" s="17">
        <v>3</v>
      </c>
      <c r="C216" s="17" t="s">
        <v>1</v>
      </c>
      <c r="D216" s="18">
        <v>192</v>
      </c>
    </row>
    <row r="217" spans="1:4">
      <c r="A217" s="19" t="str">
        <f t="shared" si="18"/>
        <v>АСУЭ.FB_IMstp_S.FUPT</v>
      </c>
      <c r="B217" s="11">
        <v>2</v>
      </c>
      <c r="C217" s="11" t="s">
        <v>2</v>
      </c>
      <c r="D217" s="20" t="s">
        <v>3</v>
      </c>
    </row>
    <row r="218" spans="1:4">
      <c r="A218" s="19" t="str">
        <f t="shared" si="18"/>
        <v>АСУЭ.FB_IMstp_S.FUPT</v>
      </c>
      <c r="B218" s="11">
        <v>1</v>
      </c>
      <c r="C218" s="11" t="s">
        <v>1</v>
      </c>
      <c r="D218" s="20">
        <v>11</v>
      </c>
    </row>
    <row r="219" spans="1:4">
      <c r="A219" s="19" t="str">
        <f t="shared" si="18"/>
        <v>АСУЭ.FB_IMstp_S.FUPT</v>
      </c>
      <c r="B219" s="11">
        <v>101</v>
      </c>
      <c r="C219" s="11" t="s">
        <v>0</v>
      </c>
      <c r="D219" s="20" t="s">
        <v>155</v>
      </c>
    </row>
    <row r="220" spans="1:4">
      <c r="A220" s="19" t="str">
        <f t="shared" si="18"/>
        <v>АСУЭ.FB_IMstp_S.FUPT</v>
      </c>
      <c r="B220" s="11">
        <v>7998</v>
      </c>
      <c r="C220" s="11" t="s">
        <v>6</v>
      </c>
      <c r="D220" s="20">
        <v>1</v>
      </c>
    </row>
    <row r="221" spans="1:4">
      <c r="A221" s="19" t="str">
        <f t="shared" si="18"/>
        <v>АСУЭ.FB_IMstp_S.FUPT</v>
      </c>
      <c r="B221" s="11">
        <v>7999</v>
      </c>
      <c r="C221" s="11" t="s">
        <v>0</v>
      </c>
      <c r="D221" s="20" t="str">
        <f>"#"&amp;$S$2&amp;"#"&amp;$T$2&amp;"\"&amp;$P$2&amp;"\FUPT"</f>
        <v>#1#treiOPCDA.CoOPCserv.1\pcmaster\ZRU_OL1\FUPT</v>
      </c>
    </row>
    <row r="222" spans="1:4">
      <c r="A222" s="211" t="str">
        <f t="shared" si="18"/>
        <v>АСУЭ.FB_IMstp_S.FUPT</v>
      </c>
      <c r="B222" s="212">
        <v>11154</v>
      </c>
      <c r="C222" s="212" t="s">
        <v>4</v>
      </c>
      <c r="D222" s="213">
        <f>$Q$7</f>
        <v>12</v>
      </c>
    </row>
    <row r="223" spans="1:4">
      <c r="A223" s="211" t="str">
        <f t="shared" si="18"/>
        <v>АСУЭ.FB_IMstp_S.FUPT</v>
      </c>
      <c r="B223" s="212">
        <v>11152</v>
      </c>
      <c r="C223" s="212" t="s">
        <v>0</v>
      </c>
      <c r="D223" s="213" t="str">
        <f>$R$7</f>
        <v>Неисправность</v>
      </c>
    </row>
    <row r="224" spans="1:4">
      <c r="A224" s="211" t="str">
        <f t="shared" si="18"/>
        <v>АСУЭ.FB_IMstp_S.FUPT</v>
      </c>
      <c r="B224" s="212">
        <v>11150</v>
      </c>
      <c r="C224" s="212" t="s">
        <v>0</v>
      </c>
      <c r="D224" s="213" t="s">
        <v>156</v>
      </c>
    </row>
    <row r="225" spans="1:4">
      <c r="A225" s="214" t="str">
        <f t="shared" si="18"/>
        <v>АСУЭ.FB_IMstp_S.FUPT</v>
      </c>
      <c r="B225" s="215">
        <v>11000</v>
      </c>
      <c r="C225" s="215" t="s">
        <v>5</v>
      </c>
      <c r="D225" s="216">
        <v>2147483680</v>
      </c>
    </row>
    <row r="226" spans="1:4">
      <c r="A226" s="16" t="str">
        <f t="shared" ref="A226:A235" si="19">$R$2&amp;".FDTX"</f>
        <v>АСУЭ.FB_IMstp_S.FDTX</v>
      </c>
      <c r="B226" s="17">
        <v>3</v>
      </c>
      <c r="C226" s="17" t="s">
        <v>1</v>
      </c>
      <c r="D226" s="18">
        <v>192</v>
      </c>
    </row>
    <row r="227" spans="1:4">
      <c r="A227" s="19" t="str">
        <f t="shared" si="19"/>
        <v>АСУЭ.FB_IMstp_S.FDTX</v>
      </c>
      <c r="B227" s="11">
        <v>2</v>
      </c>
      <c r="C227" s="11" t="s">
        <v>2</v>
      </c>
      <c r="D227" s="20" t="s">
        <v>3</v>
      </c>
    </row>
    <row r="228" spans="1:4">
      <c r="A228" s="19" t="str">
        <f t="shared" si="19"/>
        <v>АСУЭ.FB_IMstp_S.FDTX</v>
      </c>
      <c r="B228" s="11">
        <v>1</v>
      </c>
      <c r="C228" s="11" t="s">
        <v>1</v>
      </c>
      <c r="D228" s="20">
        <v>11</v>
      </c>
    </row>
    <row r="229" spans="1:4">
      <c r="A229" s="19" t="str">
        <f t="shared" si="19"/>
        <v>АСУЭ.FB_IMstp_S.FDTX</v>
      </c>
      <c r="B229" s="11">
        <v>101</v>
      </c>
      <c r="C229" s="11" t="s">
        <v>0</v>
      </c>
      <c r="D229" s="20" t="s">
        <v>160</v>
      </c>
    </row>
    <row r="230" spans="1:4">
      <c r="A230" s="19" t="str">
        <f t="shared" si="19"/>
        <v>АСУЭ.FB_IMstp_S.FDTX</v>
      </c>
      <c r="B230" s="11">
        <v>7998</v>
      </c>
      <c r="C230" s="11" t="s">
        <v>6</v>
      </c>
      <c r="D230" s="20">
        <v>1</v>
      </c>
    </row>
    <row r="231" spans="1:4">
      <c r="A231" s="19" t="str">
        <f t="shared" si="19"/>
        <v>АСУЭ.FB_IMstp_S.FDTX</v>
      </c>
      <c r="B231" s="11">
        <v>7999</v>
      </c>
      <c r="C231" s="11" t="s">
        <v>0</v>
      </c>
      <c r="D231" s="20" t="str">
        <f>"#"&amp;$S$2&amp;"#"&amp;$T$2&amp;"\"&amp;$P$2&amp;"\FDTX"</f>
        <v>#1#treiOPCDA.CoOPCserv.1\pcmaster\ZRU_OL1\FDTX</v>
      </c>
    </row>
    <row r="232" spans="1:4">
      <c r="A232" s="211" t="str">
        <f t="shared" si="19"/>
        <v>АСУЭ.FB_IMstp_S.FDTX</v>
      </c>
      <c r="B232" s="212">
        <v>11154</v>
      </c>
      <c r="C232" s="212" t="s">
        <v>4</v>
      </c>
      <c r="D232" s="213">
        <f>$Q$7</f>
        <v>12</v>
      </c>
    </row>
    <row r="233" spans="1:4">
      <c r="A233" s="211" t="str">
        <f t="shared" si="19"/>
        <v>АСУЭ.FB_IMstp_S.FDTX</v>
      </c>
      <c r="B233" s="212">
        <v>11152</v>
      </c>
      <c r="C233" s="212" t="s">
        <v>0</v>
      </c>
      <c r="D233" s="213" t="str">
        <f>$R$7</f>
        <v>Неисправность</v>
      </c>
    </row>
    <row r="234" spans="1:4">
      <c r="A234" s="211" t="str">
        <f t="shared" si="19"/>
        <v>АСУЭ.FB_IMstp_S.FDTX</v>
      </c>
      <c r="B234" s="212">
        <v>11150</v>
      </c>
      <c r="C234" s="212" t="s">
        <v>0</v>
      </c>
      <c r="D234" s="213" t="s">
        <v>160</v>
      </c>
    </row>
    <row r="235" spans="1:4">
      <c r="A235" s="214" t="str">
        <f t="shared" si="19"/>
        <v>АСУЭ.FB_IMstp_S.FDTX</v>
      </c>
      <c r="B235" s="215">
        <v>11000</v>
      </c>
      <c r="C235" s="215" t="s">
        <v>5</v>
      </c>
      <c r="D235" s="216">
        <v>2147483680</v>
      </c>
    </row>
    <row r="236" spans="1:4">
      <c r="A236" s="16" t="str">
        <f t="shared" ref="A236:A245" si="20">$R$2&amp;".FDSX"</f>
        <v>АСУЭ.FB_IMstp_S.FDSX</v>
      </c>
      <c r="B236" s="17">
        <v>3</v>
      </c>
      <c r="C236" s="17" t="s">
        <v>1</v>
      </c>
      <c r="D236" s="18">
        <v>192</v>
      </c>
    </row>
    <row r="237" spans="1:4">
      <c r="A237" s="19" t="str">
        <f t="shared" si="20"/>
        <v>АСУЭ.FB_IMstp_S.FDSX</v>
      </c>
      <c r="B237" s="11">
        <v>2</v>
      </c>
      <c r="C237" s="11" t="s">
        <v>2</v>
      </c>
      <c r="D237" s="20" t="s">
        <v>3</v>
      </c>
    </row>
    <row r="238" spans="1:4">
      <c r="A238" s="19" t="str">
        <f t="shared" si="20"/>
        <v>АСУЭ.FB_IMstp_S.FDSX</v>
      </c>
      <c r="B238" s="11">
        <v>1</v>
      </c>
      <c r="C238" s="11" t="s">
        <v>1</v>
      </c>
      <c r="D238" s="20">
        <v>11</v>
      </c>
    </row>
    <row r="239" spans="1:4">
      <c r="A239" s="19" t="str">
        <f t="shared" si="20"/>
        <v>АСУЭ.FB_IMstp_S.FDSX</v>
      </c>
      <c r="B239" s="11">
        <v>101</v>
      </c>
      <c r="C239" s="11" t="s">
        <v>0</v>
      </c>
      <c r="D239" s="20" t="s">
        <v>1855</v>
      </c>
    </row>
    <row r="240" spans="1:4">
      <c r="A240" s="19" t="str">
        <f t="shared" si="20"/>
        <v>АСУЭ.FB_IMstp_S.FDSX</v>
      </c>
      <c r="B240" s="11">
        <v>7998</v>
      </c>
      <c r="C240" s="11" t="s">
        <v>6</v>
      </c>
      <c r="D240" s="20">
        <v>1</v>
      </c>
    </row>
    <row r="241" spans="1:4">
      <c r="A241" s="19" t="str">
        <f t="shared" si="20"/>
        <v>АСУЭ.FB_IMstp_S.FDSX</v>
      </c>
      <c r="B241" s="11">
        <v>7999</v>
      </c>
      <c r="C241" s="11" t="s">
        <v>0</v>
      </c>
      <c r="D241" s="20" t="str">
        <f>"#"&amp;$S$2&amp;"#"&amp;$T$2&amp;"\"&amp;$P$2&amp;"\FDSX"</f>
        <v>#1#treiOPCDA.CoOPCserv.1\pcmaster\ZRU_OL1\FDSX</v>
      </c>
    </row>
    <row r="242" spans="1:4">
      <c r="A242" s="211" t="str">
        <f t="shared" si="20"/>
        <v>АСУЭ.FB_IMstp_S.FDSX</v>
      </c>
      <c r="B242" s="212">
        <v>11154</v>
      </c>
      <c r="C242" s="212" t="s">
        <v>4</v>
      </c>
      <c r="D242" s="213">
        <f>$Q$7</f>
        <v>12</v>
      </c>
    </row>
    <row r="243" spans="1:4">
      <c r="A243" s="211" t="str">
        <f t="shared" si="20"/>
        <v>АСУЭ.FB_IMstp_S.FDSX</v>
      </c>
      <c r="B243" s="212">
        <v>11152</v>
      </c>
      <c r="C243" s="212" t="s">
        <v>0</v>
      </c>
      <c r="D243" s="213" t="str">
        <f>$R$7</f>
        <v>Неисправность</v>
      </c>
    </row>
    <row r="244" spans="1:4">
      <c r="A244" s="211" t="str">
        <f t="shared" si="20"/>
        <v>АСУЭ.FB_IMstp_S.FDSX</v>
      </c>
      <c r="B244" s="212">
        <v>11150</v>
      </c>
      <c r="C244" s="212" t="s">
        <v>0</v>
      </c>
      <c r="D244" s="213" t="s">
        <v>1855</v>
      </c>
    </row>
    <row r="245" spans="1:4">
      <c r="A245" s="214" t="str">
        <f t="shared" si="20"/>
        <v>АСУЭ.FB_IMstp_S.FDSX</v>
      </c>
      <c r="B245" s="215">
        <v>11000</v>
      </c>
      <c r="C245" s="215" t="s">
        <v>5</v>
      </c>
      <c r="D245" s="216">
        <v>2147483680</v>
      </c>
    </row>
    <row r="246" spans="1:4">
      <c r="A246" s="16" t="str">
        <f t="shared" ref="A246:A255" si="21">$R$2&amp;".FDPT"</f>
        <v>АСУЭ.FB_IMstp_S.FDPT</v>
      </c>
      <c r="B246" s="17">
        <v>3</v>
      </c>
      <c r="C246" s="17" t="s">
        <v>1</v>
      </c>
      <c r="D246" s="18">
        <v>192</v>
      </c>
    </row>
    <row r="247" spans="1:4">
      <c r="A247" s="19" t="str">
        <f t="shared" si="21"/>
        <v>АСУЭ.FB_IMstp_S.FDPT</v>
      </c>
      <c r="B247" s="11">
        <v>2</v>
      </c>
      <c r="C247" s="11" t="s">
        <v>2</v>
      </c>
      <c r="D247" s="20" t="s">
        <v>3</v>
      </c>
    </row>
    <row r="248" spans="1:4">
      <c r="A248" s="19" t="str">
        <f t="shared" si="21"/>
        <v>АСУЭ.FB_IMstp_S.FDPT</v>
      </c>
      <c r="B248" s="11">
        <v>1</v>
      </c>
      <c r="C248" s="11" t="s">
        <v>1</v>
      </c>
      <c r="D248" s="20">
        <v>11</v>
      </c>
    </row>
    <row r="249" spans="1:4">
      <c r="A249" s="19" t="str">
        <f t="shared" si="21"/>
        <v>АСУЭ.FB_IMstp_S.FDPT</v>
      </c>
      <c r="B249" s="11">
        <v>101</v>
      </c>
      <c r="C249" s="11" t="s">
        <v>0</v>
      </c>
      <c r="D249" s="20" t="s">
        <v>162</v>
      </c>
    </row>
    <row r="250" spans="1:4">
      <c r="A250" s="19" t="str">
        <f t="shared" si="21"/>
        <v>АСУЭ.FB_IMstp_S.FDPT</v>
      </c>
      <c r="B250" s="11">
        <v>7998</v>
      </c>
      <c r="C250" s="11" t="s">
        <v>6</v>
      </c>
      <c r="D250" s="20">
        <v>1</v>
      </c>
    </row>
    <row r="251" spans="1:4">
      <c r="A251" s="19" t="str">
        <f t="shared" si="21"/>
        <v>АСУЭ.FB_IMstp_S.FDPT</v>
      </c>
      <c r="B251" s="11">
        <v>7999</v>
      </c>
      <c r="C251" s="11" t="s">
        <v>0</v>
      </c>
      <c r="D251" s="20" t="str">
        <f>"#"&amp;$S$2&amp;"#"&amp;$T$2&amp;"\"&amp;$P$2&amp;"\FDPT"</f>
        <v>#1#treiOPCDA.CoOPCserv.1\pcmaster\ZRU_OL1\FDPT</v>
      </c>
    </row>
    <row r="252" spans="1:4">
      <c r="A252" s="211" t="str">
        <f t="shared" si="21"/>
        <v>АСУЭ.FB_IMstp_S.FDPT</v>
      </c>
      <c r="B252" s="212">
        <v>11154</v>
      </c>
      <c r="C252" s="212" t="s">
        <v>4</v>
      </c>
      <c r="D252" s="213">
        <f>$Q$7</f>
        <v>12</v>
      </c>
    </row>
    <row r="253" spans="1:4">
      <c r="A253" s="211" t="str">
        <f t="shared" si="21"/>
        <v>АСУЭ.FB_IMstp_S.FDPT</v>
      </c>
      <c r="B253" s="212">
        <v>11152</v>
      </c>
      <c r="C253" s="212" t="s">
        <v>0</v>
      </c>
      <c r="D253" s="213" t="str">
        <f>$R$7</f>
        <v>Неисправность</v>
      </c>
    </row>
    <row r="254" spans="1:4">
      <c r="A254" s="211" t="str">
        <f t="shared" si="21"/>
        <v>АСУЭ.FB_IMstp_S.FDPT</v>
      </c>
      <c r="B254" s="212">
        <v>11150</v>
      </c>
      <c r="C254" s="212" t="s">
        <v>0</v>
      </c>
      <c r="D254" s="213" t="s">
        <v>162</v>
      </c>
    </row>
    <row r="255" spans="1:4">
      <c r="A255" s="214" t="str">
        <f t="shared" si="21"/>
        <v>АСУЭ.FB_IMstp_S.FDPT</v>
      </c>
      <c r="B255" s="215">
        <v>11000</v>
      </c>
      <c r="C255" s="215" t="s">
        <v>5</v>
      </c>
      <c r="D255" s="216">
        <v>2147483680</v>
      </c>
    </row>
    <row r="256" spans="1:4">
      <c r="A256" s="16" t="str">
        <f t="shared" ref="A256:A265" si="22">$R$2&amp;".FONX"</f>
        <v>АСУЭ.FB_IMstp_S.FONX</v>
      </c>
      <c r="B256" s="17">
        <v>3</v>
      </c>
      <c r="C256" s="17" t="s">
        <v>1</v>
      </c>
      <c r="D256" s="18">
        <v>192</v>
      </c>
    </row>
    <row r="257" spans="1:4">
      <c r="A257" s="19" t="str">
        <f t="shared" si="22"/>
        <v>АСУЭ.FB_IMstp_S.FONX</v>
      </c>
      <c r="B257" s="11">
        <v>2</v>
      </c>
      <c r="C257" s="11" t="s">
        <v>2</v>
      </c>
      <c r="D257" s="20" t="s">
        <v>3</v>
      </c>
    </row>
    <row r="258" spans="1:4">
      <c r="A258" s="19" t="str">
        <f t="shared" si="22"/>
        <v>АСУЭ.FB_IMstp_S.FONX</v>
      </c>
      <c r="B258" s="11">
        <v>1</v>
      </c>
      <c r="C258" s="11" t="s">
        <v>1</v>
      </c>
      <c r="D258" s="20">
        <v>11</v>
      </c>
    </row>
    <row r="259" spans="1:4">
      <c r="A259" s="19" t="str">
        <f t="shared" si="22"/>
        <v>АСУЭ.FB_IMstp_S.FONX</v>
      </c>
      <c r="B259" s="11">
        <v>101</v>
      </c>
      <c r="C259" s="11" t="s">
        <v>0</v>
      </c>
      <c r="D259" s="20" t="s">
        <v>163</v>
      </c>
    </row>
    <row r="260" spans="1:4">
      <c r="A260" s="19" t="str">
        <f t="shared" si="22"/>
        <v>АСУЭ.FB_IMstp_S.FONX</v>
      </c>
      <c r="B260" s="11">
        <v>7998</v>
      </c>
      <c r="C260" s="11" t="s">
        <v>6</v>
      </c>
      <c r="D260" s="20">
        <v>1</v>
      </c>
    </row>
    <row r="261" spans="1:4">
      <c r="A261" s="19" t="str">
        <f t="shared" si="22"/>
        <v>АСУЭ.FB_IMstp_S.FONX</v>
      </c>
      <c r="B261" s="11">
        <v>7999</v>
      </c>
      <c r="C261" s="11" t="s">
        <v>0</v>
      </c>
      <c r="D261" s="20" t="str">
        <f>"#"&amp;$S$2&amp;"#"&amp;$T$2&amp;"\"&amp;$P$2&amp;"\FONX"</f>
        <v>#1#treiOPCDA.CoOPCserv.1\pcmaster\ZRU_OL1\FONX</v>
      </c>
    </row>
    <row r="262" spans="1:4">
      <c r="A262" s="211" t="str">
        <f t="shared" si="22"/>
        <v>АСУЭ.FB_IMstp_S.FONX</v>
      </c>
      <c r="B262" s="212">
        <v>11154</v>
      </c>
      <c r="C262" s="212" t="s">
        <v>4</v>
      </c>
      <c r="D262" s="213">
        <f>$Q$7</f>
        <v>12</v>
      </c>
    </row>
    <row r="263" spans="1:4">
      <c r="A263" s="211" t="str">
        <f t="shared" si="22"/>
        <v>АСУЭ.FB_IMstp_S.FONX</v>
      </c>
      <c r="B263" s="212">
        <v>11152</v>
      </c>
      <c r="C263" s="212" t="s">
        <v>0</v>
      </c>
      <c r="D263" s="213" t="str">
        <f>$R$7</f>
        <v>Неисправность</v>
      </c>
    </row>
    <row r="264" spans="1:4">
      <c r="A264" s="211" t="str">
        <f t="shared" si="22"/>
        <v>АСУЭ.FB_IMstp_S.FONX</v>
      </c>
      <c r="B264" s="212">
        <v>11150</v>
      </c>
      <c r="C264" s="212" t="s">
        <v>0</v>
      </c>
      <c r="D264" s="213" t="s">
        <v>163</v>
      </c>
    </row>
    <row r="265" spans="1:4">
      <c r="A265" s="214" t="str">
        <f t="shared" si="22"/>
        <v>АСУЭ.FB_IMstp_S.FONX</v>
      </c>
      <c r="B265" s="215">
        <v>11000</v>
      </c>
      <c r="C265" s="215" t="s">
        <v>5</v>
      </c>
      <c r="D265" s="216">
        <v>2147483680</v>
      </c>
    </row>
    <row r="266" spans="1:4">
      <c r="A266" s="16" t="str">
        <f t="shared" ref="A266:A275" si="23">$R$2&amp;".FUCX"</f>
        <v>АСУЭ.FB_IMstp_S.FUCX</v>
      </c>
      <c r="B266" s="17">
        <v>101</v>
      </c>
      <c r="C266" s="17" t="s">
        <v>0</v>
      </c>
      <c r="D266" s="18" t="s">
        <v>167</v>
      </c>
    </row>
    <row r="267" spans="1:4">
      <c r="A267" s="19" t="str">
        <f t="shared" si="23"/>
        <v>АСУЭ.FB_IMstp_S.FUCX</v>
      </c>
      <c r="B267" s="11">
        <v>1</v>
      </c>
      <c r="C267" s="11" t="s">
        <v>1</v>
      </c>
      <c r="D267" s="20">
        <v>11</v>
      </c>
    </row>
    <row r="268" spans="1:4">
      <c r="A268" s="19" t="str">
        <f t="shared" si="23"/>
        <v>АСУЭ.FB_IMstp_S.FUCX</v>
      </c>
      <c r="B268" s="11">
        <v>2</v>
      </c>
      <c r="C268" s="11" t="s">
        <v>2</v>
      </c>
      <c r="D268" s="20" t="s">
        <v>3</v>
      </c>
    </row>
    <row r="269" spans="1:4">
      <c r="A269" s="19" t="str">
        <f t="shared" si="23"/>
        <v>АСУЭ.FB_IMstp_S.FUCX</v>
      </c>
      <c r="B269" s="11">
        <v>3</v>
      </c>
      <c r="C269" s="11" t="s">
        <v>1</v>
      </c>
      <c r="D269" s="20">
        <v>192</v>
      </c>
    </row>
    <row r="270" spans="1:4">
      <c r="A270" s="19" t="str">
        <f t="shared" si="23"/>
        <v>АСУЭ.FB_IMstp_S.FUCX</v>
      </c>
      <c r="B270" s="11">
        <v>7998</v>
      </c>
      <c r="C270" s="11" t="s">
        <v>6</v>
      </c>
      <c r="D270" s="20">
        <v>1</v>
      </c>
    </row>
    <row r="271" spans="1:4">
      <c r="A271" s="19" t="str">
        <f t="shared" si="23"/>
        <v>АСУЭ.FB_IMstp_S.FUCX</v>
      </c>
      <c r="B271" s="11">
        <v>7999</v>
      </c>
      <c r="C271" s="11" t="s">
        <v>0</v>
      </c>
      <c r="D271" s="20" t="str">
        <f>"#"&amp;$S$2&amp;"#"&amp;$T$2&amp;"\"&amp;$P$2&amp;"\FUCX"</f>
        <v>#1#treiOPCDA.CoOPCserv.1\pcmaster\ZRU_OL1\FUCX</v>
      </c>
    </row>
    <row r="272" spans="1:4">
      <c r="A272" s="211" t="str">
        <f t="shared" si="23"/>
        <v>АСУЭ.FB_IMstp_S.FUCX</v>
      </c>
      <c r="B272" s="212">
        <v>11154</v>
      </c>
      <c r="C272" s="212" t="s">
        <v>4</v>
      </c>
      <c r="D272" s="213">
        <f>$Q$7</f>
        <v>12</v>
      </c>
    </row>
    <row r="273" spans="1:4">
      <c r="A273" s="211" t="str">
        <f t="shared" si="23"/>
        <v>АСУЭ.FB_IMstp_S.FUCX</v>
      </c>
      <c r="B273" s="212">
        <v>11152</v>
      </c>
      <c r="C273" s="212" t="s">
        <v>0</v>
      </c>
      <c r="D273" s="213" t="str">
        <f>$R$7</f>
        <v>Неисправность</v>
      </c>
    </row>
    <row r="274" spans="1:4">
      <c r="A274" s="211" t="str">
        <f t="shared" si="23"/>
        <v>АСУЭ.FB_IMstp_S.FUCX</v>
      </c>
      <c r="B274" s="212">
        <v>11150</v>
      </c>
      <c r="C274" s="212" t="s">
        <v>0</v>
      </c>
      <c r="D274" s="213" t="s">
        <v>167</v>
      </c>
    </row>
    <row r="275" spans="1:4">
      <c r="A275" s="214" t="str">
        <f t="shared" si="23"/>
        <v>АСУЭ.FB_IMstp_S.FUCX</v>
      </c>
      <c r="B275" s="215">
        <v>11000</v>
      </c>
      <c r="C275" s="215" t="s">
        <v>5</v>
      </c>
      <c r="D275" s="216">
        <v>2147483680</v>
      </c>
    </row>
    <row r="276" spans="1:4">
      <c r="A276" s="16" t="str">
        <f t="shared" ref="A276:A285" si="24">$R$2&amp;".FDCX"</f>
        <v>АСУЭ.FB_IMstp_S.FDCX</v>
      </c>
      <c r="B276" s="17">
        <v>101</v>
      </c>
      <c r="C276" s="17" t="s">
        <v>0</v>
      </c>
      <c r="D276" s="18" t="s">
        <v>168</v>
      </c>
    </row>
    <row r="277" spans="1:4">
      <c r="A277" s="19" t="str">
        <f t="shared" si="24"/>
        <v>АСУЭ.FB_IMstp_S.FDCX</v>
      </c>
      <c r="B277" s="11">
        <v>1</v>
      </c>
      <c r="C277" s="11" t="s">
        <v>1</v>
      </c>
      <c r="D277" s="20">
        <v>11</v>
      </c>
    </row>
    <row r="278" spans="1:4">
      <c r="A278" s="19" t="str">
        <f t="shared" si="24"/>
        <v>АСУЭ.FB_IMstp_S.FDCX</v>
      </c>
      <c r="B278" s="11">
        <v>2</v>
      </c>
      <c r="C278" s="11" t="s">
        <v>2</v>
      </c>
      <c r="D278" s="20" t="s">
        <v>3</v>
      </c>
    </row>
    <row r="279" spans="1:4">
      <c r="A279" s="19" t="str">
        <f t="shared" si="24"/>
        <v>АСУЭ.FB_IMstp_S.FDCX</v>
      </c>
      <c r="B279" s="11">
        <v>3</v>
      </c>
      <c r="C279" s="11" t="s">
        <v>1</v>
      </c>
      <c r="D279" s="20">
        <v>192</v>
      </c>
    </row>
    <row r="280" spans="1:4">
      <c r="A280" s="19" t="str">
        <f t="shared" si="24"/>
        <v>АСУЭ.FB_IMstp_S.FDCX</v>
      </c>
      <c r="B280" s="11">
        <v>7998</v>
      </c>
      <c r="C280" s="11" t="s">
        <v>6</v>
      </c>
      <c r="D280" s="20">
        <v>1</v>
      </c>
    </row>
    <row r="281" spans="1:4">
      <c r="A281" s="19" t="str">
        <f t="shared" si="24"/>
        <v>АСУЭ.FB_IMstp_S.FDCX</v>
      </c>
      <c r="B281" s="11">
        <v>7999</v>
      </c>
      <c r="C281" s="11" t="s">
        <v>0</v>
      </c>
      <c r="D281" s="20" t="str">
        <f>"#"&amp;$S$2&amp;"#"&amp;$T$2&amp;"\"&amp;$P$2&amp;"\FDCX"</f>
        <v>#1#treiOPCDA.CoOPCserv.1\pcmaster\ZRU_OL1\FDCX</v>
      </c>
    </row>
    <row r="282" spans="1:4">
      <c r="A282" s="211" t="str">
        <f t="shared" si="24"/>
        <v>АСУЭ.FB_IMstp_S.FDCX</v>
      </c>
      <c r="B282" s="212">
        <v>11154</v>
      </c>
      <c r="C282" s="212" t="s">
        <v>4</v>
      </c>
      <c r="D282" s="213">
        <f>$Q$7</f>
        <v>12</v>
      </c>
    </row>
    <row r="283" spans="1:4">
      <c r="A283" s="211" t="str">
        <f t="shared" si="24"/>
        <v>АСУЭ.FB_IMstp_S.FDCX</v>
      </c>
      <c r="B283" s="212">
        <v>11152</v>
      </c>
      <c r="C283" s="212" t="s">
        <v>0</v>
      </c>
      <c r="D283" s="213" t="str">
        <f>$R$7</f>
        <v>Неисправность</v>
      </c>
    </row>
    <row r="284" spans="1:4">
      <c r="A284" s="211" t="str">
        <f t="shared" si="24"/>
        <v>АСУЭ.FB_IMstp_S.FDCX</v>
      </c>
      <c r="B284" s="212">
        <v>11150</v>
      </c>
      <c r="C284" s="212" t="s">
        <v>0</v>
      </c>
      <c r="D284" s="213" t="s">
        <v>168</v>
      </c>
    </row>
    <row r="285" spans="1:4">
      <c r="A285" s="211" t="str">
        <f t="shared" si="24"/>
        <v>АСУЭ.FB_IMstp_S.FDCX</v>
      </c>
      <c r="B285" s="212">
        <v>11000</v>
      </c>
      <c r="C285" s="212" t="s">
        <v>5</v>
      </c>
      <c r="D285" s="213">
        <v>2147483680</v>
      </c>
    </row>
    <row r="286" spans="1:4">
      <c r="A286" s="16" t="str">
        <f t="shared" ref="A286:A297" si="25">$R$2&amp;".XRPX"</f>
        <v>АСУЭ.FB_IMstp_S.XRPX</v>
      </c>
      <c r="B286" s="17">
        <v>3</v>
      </c>
      <c r="C286" s="17" t="s">
        <v>1</v>
      </c>
      <c r="D286" s="18">
        <v>192</v>
      </c>
    </row>
    <row r="287" spans="1:4">
      <c r="A287" s="19" t="str">
        <f t="shared" si="25"/>
        <v>АСУЭ.FB_IMstp_S.XRPX</v>
      </c>
      <c r="B287" s="11">
        <v>2</v>
      </c>
      <c r="C287" s="11" t="s">
        <v>2</v>
      </c>
      <c r="D287" s="20" t="s">
        <v>3</v>
      </c>
    </row>
    <row r="288" spans="1:4">
      <c r="A288" s="19" t="str">
        <f t="shared" si="25"/>
        <v>АСУЭ.FB_IMstp_S.XRPX</v>
      </c>
      <c r="B288" s="11">
        <v>1</v>
      </c>
      <c r="C288" s="11" t="s">
        <v>1</v>
      </c>
      <c r="D288" s="20">
        <v>11</v>
      </c>
    </row>
    <row r="289" spans="1:4">
      <c r="A289" s="19" t="str">
        <f t="shared" si="25"/>
        <v>АСУЭ.FB_IMstp_S.XRPX</v>
      </c>
      <c r="B289" s="11">
        <v>101</v>
      </c>
      <c r="C289" s="11" t="s">
        <v>0</v>
      </c>
      <c r="D289" s="20" t="s">
        <v>137</v>
      </c>
    </row>
    <row r="290" spans="1:4">
      <c r="A290" s="19" t="str">
        <f t="shared" si="25"/>
        <v>АСУЭ.FB_IMstp_S.XRPX</v>
      </c>
      <c r="B290" s="11">
        <v>7998</v>
      </c>
      <c r="C290" s="11" t="s">
        <v>6</v>
      </c>
      <c r="D290" s="20">
        <v>1</v>
      </c>
    </row>
    <row r="291" spans="1:4">
      <c r="A291" s="19" t="str">
        <f t="shared" si="25"/>
        <v>АСУЭ.FB_IMstp_S.XRPX</v>
      </c>
      <c r="B291" s="11">
        <v>7999</v>
      </c>
      <c r="C291" s="11" t="s">
        <v>0</v>
      </c>
      <c r="D291" s="20" t="str">
        <f>"#"&amp;$S$2&amp;"#"&amp;$T$2&amp;"\"&amp;$P$2&amp;"\XRPX"</f>
        <v>#1#treiOPCDA.CoOPCserv.1\pcmaster\ZRU_OL1\XRPX</v>
      </c>
    </row>
    <row r="292" spans="1:4">
      <c r="A292" s="140" t="str">
        <f t="shared" si="25"/>
        <v>АСУЭ.FB_IMstp_S.XRPX</v>
      </c>
      <c r="B292" s="141">
        <v>11154</v>
      </c>
      <c r="C292" s="141" t="s">
        <v>4</v>
      </c>
      <c r="D292" s="142">
        <f>$Q$11</f>
        <v>14</v>
      </c>
    </row>
    <row r="293" spans="1:4">
      <c r="A293" s="140" t="str">
        <f t="shared" si="25"/>
        <v>АСУЭ.FB_IMstp_S.XRPX</v>
      </c>
      <c r="B293" s="141">
        <v>11152</v>
      </c>
      <c r="C293" s="141" t="s">
        <v>0</v>
      </c>
      <c r="D293" s="142" t="str">
        <f>$R$11</f>
        <v>Ремонт</v>
      </c>
    </row>
    <row r="294" spans="1:4">
      <c r="A294" s="140" t="str">
        <f t="shared" si="25"/>
        <v>АСУЭ.FB_IMstp_S.XRPX</v>
      </c>
      <c r="B294" s="141">
        <v>11150</v>
      </c>
      <c r="C294" s="141" t="s">
        <v>0</v>
      </c>
      <c r="D294" s="142" t="s">
        <v>89</v>
      </c>
    </row>
    <row r="295" spans="1:4">
      <c r="A295" s="140" t="str">
        <f t="shared" si="25"/>
        <v>АСУЭ.FB_IMstp_S.XRPX</v>
      </c>
      <c r="B295" s="141">
        <v>11000</v>
      </c>
      <c r="C295" s="141" t="s">
        <v>5</v>
      </c>
      <c r="D295" s="142">
        <v>2147483680</v>
      </c>
    </row>
    <row r="296" spans="1:4" ht="15" customHeight="1">
      <c r="A296" s="29" t="str">
        <f t="shared" si="25"/>
        <v>АСУЭ.FB_IMstp_S.XRPX</v>
      </c>
      <c r="B296" s="1">
        <v>4000000</v>
      </c>
      <c r="C296" s="1" t="s">
        <v>0</v>
      </c>
      <c r="D296" s="415" t="s">
        <v>1485</v>
      </c>
    </row>
    <row r="297" spans="1:4">
      <c r="A297" s="26" t="str">
        <f t="shared" si="25"/>
        <v>АСУЭ.FB_IMstp_S.XRPX</v>
      </c>
      <c r="B297" s="27">
        <v>7000000</v>
      </c>
      <c r="C297" s="27" t="s">
        <v>6</v>
      </c>
      <c r="D297" s="28">
        <v>2</v>
      </c>
    </row>
    <row r="298" spans="1:4">
      <c r="A298" s="19" t="str">
        <f t="shared" ref="A298:A307" si="26">$R$2&amp;".DLCX"</f>
        <v>АСУЭ.FB_IMstp_S.DLCX</v>
      </c>
      <c r="B298" s="11">
        <v>7998</v>
      </c>
      <c r="C298" s="11" t="s">
        <v>6</v>
      </c>
      <c r="D298" s="20">
        <v>1</v>
      </c>
    </row>
    <row r="299" spans="1:4">
      <c r="A299" s="19" t="str">
        <f t="shared" si="26"/>
        <v>АСУЭ.FB_IMstp_S.DLCX</v>
      </c>
      <c r="B299" s="11">
        <v>101</v>
      </c>
      <c r="C299" s="11" t="s">
        <v>0</v>
      </c>
      <c r="D299" s="20" t="s">
        <v>578</v>
      </c>
    </row>
    <row r="300" spans="1:4">
      <c r="A300" s="19" t="str">
        <f t="shared" si="26"/>
        <v>АСУЭ.FB_IMstp_S.DLCX</v>
      </c>
      <c r="B300" s="11">
        <v>1</v>
      </c>
      <c r="C300" s="11" t="s">
        <v>1</v>
      </c>
      <c r="D300" s="20">
        <v>11</v>
      </c>
    </row>
    <row r="301" spans="1:4">
      <c r="A301" s="19" t="str">
        <f t="shared" si="26"/>
        <v>АСУЭ.FB_IMstp_S.DLCX</v>
      </c>
      <c r="B301" s="11">
        <v>2</v>
      </c>
      <c r="C301" s="11" t="s">
        <v>2</v>
      </c>
      <c r="D301" s="20" t="s">
        <v>3</v>
      </c>
    </row>
    <row r="302" spans="1:4">
      <c r="A302" s="19" t="str">
        <f t="shared" si="26"/>
        <v>АСУЭ.FB_IMstp_S.DLCX</v>
      </c>
      <c r="B302" s="11">
        <v>3</v>
      </c>
      <c r="C302" s="11" t="s">
        <v>1</v>
      </c>
      <c r="D302" s="20">
        <v>192</v>
      </c>
    </row>
    <row r="303" spans="1:4">
      <c r="A303" s="19" t="str">
        <f t="shared" si="26"/>
        <v>АСУЭ.FB_IMstp_S.DLCX</v>
      </c>
      <c r="B303" s="11">
        <v>7999</v>
      </c>
      <c r="C303" s="11" t="s">
        <v>0</v>
      </c>
      <c r="D303" s="20" t="str">
        <f>"#"&amp;$S$2&amp;"#"&amp;$T$2&amp;"\"&amp;$P$2&amp;"\DLCX"</f>
        <v>#1#treiOPCDA.CoOPCserv.1\pcmaster\ZRU_OL1\DLCX</v>
      </c>
    </row>
    <row r="304" spans="1:4">
      <c r="A304" s="110" t="str">
        <f t="shared" si="26"/>
        <v>АСУЭ.FB_IMstp_S.DLCX</v>
      </c>
      <c r="B304" s="111">
        <v>11154</v>
      </c>
      <c r="C304" s="111" t="s">
        <v>4</v>
      </c>
      <c r="D304" s="112">
        <f>$Q$9</f>
        <v>10</v>
      </c>
    </row>
    <row r="305" spans="1:4">
      <c r="A305" s="110" t="str">
        <f t="shared" si="26"/>
        <v>АСУЭ.FB_IMstp_S.DLCX</v>
      </c>
      <c r="B305" s="111">
        <v>11152</v>
      </c>
      <c r="C305" s="111" t="s">
        <v>0</v>
      </c>
      <c r="D305" s="112" t="str">
        <f>$R$9</f>
        <v>Недостоверность</v>
      </c>
    </row>
    <row r="306" spans="1:4">
      <c r="A306" s="110" t="str">
        <f t="shared" si="26"/>
        <v>АСУЭ.FB_IMstp_S.DLCX</v>
      </c>
      <c r="B306" s="111">
        <v>11150</v>
      </c>
      <c r="C306" s="111" t="s">
        <v>0</v>
      </c>
      <c r="D306" s="112" t="s">
        <v>166</v>
      </c>
    </row>
    <row r="307" spans="1:4">
      <c r="A307" s="164" t="str">
        <f t="shared" si="26"/>
        <v>АСУЭ.FB_IMstp_S.DLCX</v>
      </c>
      <c r="B307" s="165">
        <v>11000</v>
      </c>
      <c r="C307" s="165" t="s">
        <v>5</v>
      </c>
      <c r="D307" s="166">
        <v>2147483680</v>
      </c>
    </row>
    <row r="308" spans="1:4">
      <c r="A308" s="16" t="str">
        <f t="shared" ref="A308:A317" si="27">$R$2&amp;".DTON"</f>
        <v>АСУЭ.FB_IMstp_S.DTON</v>
      </c>
      <c r="B308" s="17">
        <v>3</v>
      </c>
      <c r="C308" s="17" t="s">
        <v>1</v>
      </c>
      <c r="D308" s="18">
        <v>192</v>
      </c>
    </row>
    <row r="309" spans="1:4">
      <c r="A309" s="19" t="str">
        <f t="shared" si="27"/>
        <v>АСУЭ.FB_IMstp_S.DTON</v>
      </c>
      <c r="B309" s="11">
        <v>2</v>
      </c>
      <c r="C309" s="11" t="s">
        <v>2</v>
      </c>
      <c r="D309" s="20" t="s">
        <v>3</v>
      </c>
    </row>
    <row r="310" spans="1:4">
      <c r="A310" s="19" t="str">
        <f t="shared" si="27"/>
        <v>АСУЭ.FB_IMstp_S.DTON</v>
      </c>
      <c r="B310" s="11">
        <v>1</v>
      </c>
      <c r="C310" s="11" t="s">
        <v>1</v>
      </c>
      <c r="D310" s="20">
        <v>11</v>
      </c>
    </row>
    <row r="311" spans="1:4">
      <c r="A311" s="19" t="str">
        <f t="shared" si="27"/>
        <v>АСУЭ.FB_IMstp_S.DTON</v>
      </c>
      <c r="B311" s="11">
        <v>101</v>
      </c>
      <c r="C311" s="11" t="s">
        <v>0</v>
      </c>
      <c r="D311" s="20" t="s">
        <v>95</v>
      </c>
    </row>
    <row r="312" spans="1:4">
      <c r="A312" s="19" t="str">
        <f t="shared" si="27"/>
        <v>АСУЭ.FB_IMstp_S.DTON</v>
      </c>
      <c r="B312" s="11">
        <v>7998</v>
      </c>
      <c r="C312" s="11" t="s">
        <v>6</v>
      </c>
      <c r="D312" s="20">
        <v>1</v>
      </c>
    </row>
    <row r="313" spans="1:4">
      <c r="A313" s="19" t="str">
        <f t="shared" si="27"/>
        <v>АСУЭ.FB_IMstp_S.DTON</v>
      </c>
      <c r="B313" s="11">
        <v>7999</v>
      </c>
      <c r="C313" s="11" t="s">
        <v>0</v>
      </c>
      <c r="D313" s="20" t="str">
        <f>"#"&amp;$S$2&amp;"#"&amp;$T$2&amp;"\"&amp;$P$2&amp;"\DTON"</f>
        <v>#1#treiOPCDA.CoOPCserv.1\pcmaster\ZRU_OL1\DTON</v>
      </c>
    </row>
    <row r="314" spans="1:4">
      <c r="A314" s="110" t="str">
        <f t="shared" si="27"/>
        <v>АСУЭ.FB_IMstp_S.DTON</v>
      </c>
      <c r="B314" s="111">
        <v>11154</v>
      </c>
      <c r="C314" s="111" t="s">
        <v>4</v>
      </c>
      <c r="D314" s="112">
        <f>$Q$9</f>
        <v>10</v>
      </c>
    </row>
    <row r="315" spans="1:4">
      <c r="A315" s="110" t="str">
        <f t="shared" si="27"/>
        <v>АСУЭ.FB_IMstp_S.DTON</v>
      </c>
      <c r="B315" s="111">
        <v>11152</v>
      </c>
      <c r="C315" s="111" t="s">
        <v>0</v>
      </c>
      <c r="D315" s="112" t="str">
        <f>$R$9</f>
        <v>Недостоверность</v>
      </c>
    </row>
    <row r="316" spans="1:4">
      <c r="A316" s="110" t="str">
        <f t="shared" si="27"/>
        <v>АСУЭ.FB_IMstp_S.DTON</v>
      </c>
      <c r="B316" s="111">
        <v>11150</v>
      </c>
      <c r="C316" s="111" t="s">
        <v>0</v>
      </c>
      <c r="D316" s="112" t="s">
        <v>96</v>
      </c>
    </row>
    <row r="317" spans="1:4">
      <c r="A317" s="164" t="str">
        <f t="shared" si="27"/>
        <v>АСУЭ.FB_IMstp_S.DTON</v>
      </c>
      <c r="B317" s="165">
        <v>11000</v>
      </c>
      <c r="C317" s="165" t="s">
        <v>5</v>
      </c>
      <c r="D317" s="166">
        <v>2147483680</v>
      </c>
    </row>
    <row r="318" spans="1:4">
      <c r="A318" s="16" t="str">
        <f t="shared" ref="A318:A327" si="28">$R$2&amp;".DOFX"</f>
        <v>АСУЭ.FB_IMstp_S.DOFX</v>
      </c>
      <c r="B318" s="17">
        <v>3</v>
      </c>
      <c r="C318" s="17" t="s">
        <v>1</v>
      </c>
      <c r="D318" s="18">
        <v>192</v>
      </c>
    </row>
    <row r="319" spans="1:4">
      <c r="A319" s="19" t="str">
        <f t="shared" si="28"/>
        <v>АСУЭ.FB_IMstp_S.DOFX</v>
      </c>
      <c r="B319" s="11">
        <v>2</v>
      </c>
      <c r="C319" s="11" t="s">
        <v>2</v>
      </c>
      <c r="D319" s="20" t="s">
        <v>3</v>
      </c>
    </row>
    <row r="320" spans="1:4">
      <c r="A320" s="19" t="str">
        <f t="shared" si="28"/>
        <v>АСУЭ.FB_IMstp_S.DOFX</v>
      </c>
      <c r="B320" s="11">
        <v>1</v>
      </c>
      <c r="C320" s="11" t="s">
        <v>1</v>
      </c>
      <c r="D320" s="20">
        <v>11</v>
      </c>
    </row>
    <row r="321" spans="1:4">
      <c r="A321" s="19" t="str">
        <f t="shared" si="28"/>
        <v>АСУЭ.FB_IMstp_S.DOFX</v>
      </c>
      <c r="B321" s="11">
        <v>101</v>
      </c>
      <c r="C321" s="11" t="s">
        <v>0</v>
      </c>
      <c r="D321" s="20" t="s">
        <v>97</v>
      </c>
    </row>
    <row r="322" spans="1:4">
      <c r="A322" s="19" t="str">
        <f t="shared" si="28"/>
        <v>АСУЭ.FB_IMstp_S.DOFX</v>
      </c>
      <c r="B322" s="11">
        <v>7998</v>
      </c>
      <c r="C322" s="11" t="s">
        <v>6</v>
      </c>
      <c r="D322" s="20">
        <v>1</v>
      </c>
    </row>
    <row r="323" spans="1:4">
      <c r="A323" s="19" t="str">
        <f t="shared" si="28"/>
        <v>АСУЭ.FB_IMstp_S.DOFX</v>
      </c>
      <c r="B323" s="11">
        <v>7999</v>
      </c>
      <c r="C323" s="11" t="s">
        <v>0</v>
      </c>
      <c r="D323" s="20" t="str">
        <f>"#"&amp;$S$2&amp;"#"&amp;$T$2&amp;"\"&amp;$P$2&amp;"\DOFX"</f>
        <v>#1#treiOPCDA.CoOPCserv.1\pcmaster\ZRU_OL1\DOFX</v>
      </c>
    </row>
    <row r="324" spans="1:4">
      <c r="A324" s="110" t="str">
        <f t="shared" si="28"/>
        <v>АСУЭ.FB_IMstp_S.DOFX</v>
      </c>
      <c r="B324" s="111">
        <v>11154</v>
      </c>
      <c r="C324" s="111" t="s">
        <v>4</v>
      </c>
      <c r="D324" s="112">
        <f>$Q$9</f>
        <v>10</v>
      </c>
    </row>
    <row r="325" spans="1:4">
      <c r="A325" s="110" t="str">
        <f t="shared" si="28"/>
        <v>АСУЭ.FB_IMstp_S.DOFX</v>
      </c>
      <c r="B325" s="111">
        <v>11152</v>
      </c>
      <c r="C325" s="111" t="s">
        <v>0</v>
      </c>
      <c r="D325" s="112" t="str">
        <f>$R$9</f>
        <v>Недостоверность</v>
      </c>
    </row>
    <row r="326" spans="1:4">
      <c r="A326" s="110" t="str">
        <f t="shared" si="28"/>
        <v>АСУЭ.FB_IMstp_S.DOFX</v>
      </c>
      <c r="B326" s="111">
        <v>11150</v>
      </c>
      <c r="C326" s="111" t="s">
        <v>0</v>
      </c>
      <c r="D326" s="112" t="s">
        <v>98</v>
      </c>
    </row>
    <row r="327" spans="1:4">
      <c r="A327" s="164" t="str">
        <f t="shared" si="28"/>
        <v>АСУЭ.FB_IMstp_S.DOFX</v>
      </c>
      <c r="B327" s="165">
        <v>11000</v>
      </c>
      <c r="C327" s="165" t="s">
        <v>5</v>
      </c>
      <c r="D327" s="166">
        <v>2147483680</v>
      </c>
    </row>
    <row r="328" spans="1:4">
      <c r="A328" s="16" t="str">
        <f t="shared" ref="A328:A337" si="29">$R$2&amp;".DOON"</f>
        <v>АСУЭ.FB_IMstp_S.DOON</v>
      </c>
      <c r="B328" s="17">
        <v>3</v>
      </c>
      <c r="C328" s="17" t="s">
        <v>1</v>
      </c>
      <c r="D328" s="18">
        <v>192</v>
      </c>
    </row>
    <row r="329" spans="1:4">
      <c r="A329" s="19" t="str">
        <f t="shared" si="29"/>
        <v>АСУЭ.FB_IMstp_S.DOON</v>
      </c>
      <c r="B329" s="11">
        <v>2</v>
      </c>
      <c r="C329" s="11" t="s">
        <v>2</v>
      </c>
      <c r="D329" s="20" t="s">
        <v>3</v>
      </c>
    </row>
    <row r="330" spans="1:4">
      <c r="A330" s="19" t="str">
        <f t="shared" si="29"/>
        <v>АСУЭ.FB_IMstp_S.DOON</v>
      </c>
      <c r="B330" s="11">
        <v>1</v>
      </c>
      <c r="C330" s="11" t="s">
        <v>1</v>
      </c>
      <c r="D330" s="20">
        <v>11</v>
      </c>
    </row>
    <row r="331" spans="1:4">
      <c r="A331" s="19" t="str">
        <f t="shared" si="29"/>
        <v>АСУЭ.FB_IMstp_S.DOON</v>
      </c>
      <c r="B331" s="11">
        <v>101</v>
      </c>
      <c r="C331" s="11" t="s">
        <v>0</v>
      </c>
      <c r="D331" s="20" t="s">
        <v>99</v>
      </c>
    </row>
    <row r="332" spans="1:4">
      <c r="A332" s="19" t="str">
        <f t="shared" si="29"/>
        <v>АСУЭ.FB_IMstp_S.DOON</v>
      </c>
      <c r="B332" s="11">
        <v>7998</v>
      </c>
      <c r="C332" s="11" t="s">
        <v>6</v>
      </c>
      <c r="D332" s="20">
        <v>1</v>
      </c>
    </row>
    <row r="333" spans="1:4">
      <c r="A333" s="19" t="str">
        <f t="shared" si="29"/>
        <v>АСУЭ.FB_IMstp_S.DOON</v>
      </c>
      <c r="B333" s="11">
        <v>7999</v>
      </c>
      <c r="C333" s="11" t="s">
        <v>0</v>
      </c>
      <c r="D333" s="20" t="str">
        <f>"#"&amp;$S$2&amp;"#"&amp;$T$2&amp;"\"&amp;$P$2&amp;"\DOON"</f>
        <v>#1#treiOPCDA.CoOPCserv.1\pcmaster\ZRU_OL1\DOON</v>
      </c>
    </row>
    <row r="334" spans="1:4">
      <c r="A334" s="110" t="str">
        <f t="shared" si="29"/>
        <v>АСУЭ.FB_IMstp_S.DOON</v>
      </c>
      <c r="B334" s="111">
        <v>11154</v>
      </c>
      <c r="C334" s="111" t="s">
        <v>4</v>
      </c>
      <c r="D334" s="112">
        <f>$Q$9</f>
        <v>10</v>
      </c>
    </row>
    <row r="335" spans="1:4">
      <c r="A335" s="110" t="str">
        <f t="shared" si="29"/>
        <v>АСУЭ.FB_IMstp_S.DOON</v>
      </c>
      <c r="B335" s="111">
        <v>11152</v>
      </c>
      <c r="C335" s="111" t="s">
        <v>0</v>
      </c>
      <c r="D335" s="112" t="str">
        <f>$R$9</f>
        <v>Недостоверность</v>
      </c>
    </row>
    <row r="336" spans="1:4">
      <c r="A336" s="110" t="str">
        <f t="shared" si="29"/>
        <v>АСУЭ.FB_IMstp_S.DOON</v>
      </c>
      <c r="B336" s="111">
        <v>11150</v>
      </c>
      <c r="C336" s="111" t="s">
        <v>0</v>
      </c>
      <c r="D336" s="112" t="s">
        <v>100</v>
      </c>
    </row>
    <row r="337" spans="1:4">
      <c r="A337" s="164" t="str">
        <f t="shared" si="29"/>
        <v>АСУЭ.FB_IMstp_S.DOON</v>
      </c>
      <c r="B337" s="165">
        <v>11000</v>
      </c>
      <c r="C337" s="165" t="s">
        <v>5</v>
      </c>
      <c r="D337" s="166">
        <v>2147483680</v>
      </c>
    </row>
    <row r="338" spans="1:4">
      <c r="A338" s="16" t="str">
        <f t="shared" ref="A338:A347" si="30">$R$2&amp;".DOOF"</f>
        <v>АСУЭ.FB_IMstp_S.DOOF</v>
      </c>
      <c r="B338" s="17">
        <v>3</v>
      </c>
      <c r="C338" s="17" t="s">
        <v>1</v>
      </c>
      <c r="D338" s="18">
        <v>192</v>
      </c>
    </row>
    <row r="339" spans="1:4">
      <c r="A339" s="19" t="str">
        <f t="shared" si="30"/>
        <v>АСУЭ.FB_IMstp_S.DOOF</v>
      </c>
      <c r="B339" s="11">
        <v>2</v>
      </c>
      <c r="C339" s="11" t="s">
        <v>2</v>
      </c>
      <c r="D339" s="20" t="s">
        <v>3</v>
      </c>
    </row>
    <row r="340" spans="1:4">
      <c r="A340" s="19" t="str">
        <f t="shared" si="30"/>
        <v>АСУЭ.FB_IMstp_S.DOOF</v>
      </c>
      <c r="B340" s="11">
        <v>1</v>
      </c>
      <c r="C340" s="11" t="s">
        <v>1</v>
      </c>
      <c r="D340" s="20">
        <v>11</v>
      </c>
    </row>
    <row r="341" spans="1:4">
      <c r="A341" s="19" t="str">
        <f t="shared" si="30"/>
        <v>АСУЭ.FB_IMstp_S.DOOF</v>
      </c>
      <c r="B341" s="11">
        <v>101</v>
      </c>
      <c r="C341" s="11" t="s">
        <v>0</v>
      </c>
      <c r="D341" s="20" t="s">
        <v>101</v>
      </c>
    </row>
    <row r="342" spans="1:4">
      <c r="A342" s="19" t="str">
        <f t="shared" si="30"/>
        <v>АСУЭ.FB_IMstp_S.DOOF</v>
      </c>
      <c r="B342" s="11">
        <v>7998</v>
      </c>
      <c r="C342" s="11" t="s">
        <v>6</v>
      </c>
      <c r="D342" s="20">
        <v>1</v>
      </c>
    </row>
    <row r="343" spans="1:4">
      <c r="A343" s="19" t="str">
        <f t="shared" si="30"/>
        <v>АСУЭ.FB_IMstp_S.DOOF</v>
      </c>
      <c r="B343" s="11">
        <v>7999</v>
      </c>
      <c r="C343" s="11" t="s">
        <v>0</v>
      </c>
      <c r="D343" s="20" t="str">
        <f>"#"&amp;$S$2&amp;"#"&amp;$T$2&amp;"\"&amp;$P$2&amp;"\DOOF"</f>
        <v>#1#treiOPCDA.CoOPCserv.1\pcmaster\ZRU_OL1\DOOF</v>
      </c>
    </row>
    <row r="344" spans="1:4">
      <c r="A344" s="110" t="str">
        <f t="shared" si="30"/>
        <v>АСУЭ.FB_IMstp_S.DOOF</v>
      </c>
      <c r="B344" s="111">
        <v>11154</v>
      </c>
      <c r="C344" s="111" t="s">
        <v>4</v>
      </c>
      <c r="D344" s="112">
        <f>$Q$9</f>
        <v>10</v>
      </c>
    </row>
    <row r="345" spans="1:4">
      <c r="A345" s="110" t="str">
        <f t="shared" si="30"/>
        <v>АСУЭ.FB_IMstp_S.DOOF</v>
      </c>
      <c r="B345" s="111">
        <v>11152</v>
      </c>
      <c r="C345" s="111" t="s">
        <v>0</v>
      </c>
      <c r="D345" s="112" t="str">
        <f>$R$9</f>
        <v>Недостоверность</v>
      </c>
    </row>
    <row r="346" spans="1:4">
      <c r="A346" s="110" t="str">
        <f t="shared" si="30"/>
        <v>АСУЭ.FB_IMstp_S.DOOF</v>
      </c>
      <c r="B346" s="111">
        <v>11150</v>
      </c>
      <c r="C346" s="111" t="s">
        <v>0</v>
      </c>
      <c r="D346" s="112" t="s">
        <v>102</v>
      </c>
    </row>
    <row r="347" spans="1:4">
      <c r="A347" s="164" t="str">
        <f t="shared" si="30"/>
        <v>АСУЭ.FB_IMstp_S.DOOF</v>
      </c>
      <c r="B347" s="165">
        <v>11000</v>
      </c>
      <c r="C347" s="165" t="s">
        <v>5</v>
      </c>
      <c r="D347" s="166">
        <v>2147483680</v>
      </c>
    </row>
    <row r="348" spans="1:4">
      <c r="A348" s="16" t="str">
        <f t="shared" ref="A348:A357" si="31">$R$2&amp;".DOSP"</f>
        <v>АСУЭ.FB_IMstp_S.DOSP</v>
      </c>
      <c r="B348" s="17">
        <v>3</v>
      </c>
      <c r="C348" s="17" t="s">
        <v>1</v>
      </c>
      <c r="D348" s="18">
        <v>192</v>
      </c>
    </row>
    <row r="349" spans="1:4">
      <c r="A349" s="19" t="str">
        <f t="shared" si="31"/>
        <v>АСУЭ.FB_IMstp_S.DOSP</v>
      </c>
      <c r="B349" s="11">
        <v>2</v>
      </c>
      <c r="C349" s="11" t="s">
        <v>2</v>
      </c>
      <c r="D349" s="20" t="s">
        <v>3</v>
      </c>
    </row>
    <row r="350" spans="1:4">
      <c r="A350" s="19" t="str">
        <f t="shared" si="31"/>
        <v>АСУЭ.FB_IMstp_S.DOSP</v>
      </c>
      <c r="B350" s="11">
        <v>1</v>
      </c>
      <c r="C350" s="11" t="s">
        <v>1</v>
      </c>
      <c r="D350" s="20">
        <v>11</v>
      </c>
    </row>
    <row r="351" spans="1:4">
      <c r="A351" s="19" t="str">
        <f t="shared" si="31"/>
        <v>АСУЭ.FB_IMstp_S.DOSP</v>
      </c>
      <c r="B351" s="11">
        <v>101</v>
      </c>
      <c r="C351" s="11" t="s">
        <v>0</v>
      </c>
      <c r="D351" s="20" t="s">
        <v>1849</v>
      </c>
    </row>
    <row r="352" spans="1:4">
      <c r="A352" s="19" t="str">
        <f t="shared" si="31"/>
        <v>АСУЭ.FB_IMstp_S.DOSP</v>
      </c>
      <c r="B352" s="11">
        <v>7998</v>
      </c>
      <c r="C352" s="11" t="s">
        <v>6</v>
      </c>
      <c r="D352" s="20">
        <v>1</v>
      </c>
    </row>
    <row r="353" spans="1:4">
      <c r="A353" s="19" t="str">
        <f t="shared" si="31"/>
        <v>АСУЭ.FB_IMstp_S.DOSP</v>
      </c>
      <c r="B353" s="11">
        <v>7999</v>
      </c>
      <c r="C353" s="11" t="s">
        <v>0</v>
      </c>
      <c r="D353" s="20" t="str">
        <f>"#"&amp;$S$2&amp;"#"&amp;$T$2&amp;"\"&amp;$P$2&amp;"\DOSP"</f>
        <v>#1#treiOPCDA.CoOPCserv.1\pcmaster\ZRU_OL1\DOSP</v>
      </c>
    </row>
    <row r="354" spans="1:4">
      <c r="A354" s="110" t="str">
        <f t="shared" si="31"/>
        <v>АСУЭ.FB_IMstp_S.DOSP</v>
      </c>
      <c r="B354" s="111">
        <v>11154</v>
      </c>
      <c r="C354" s="111" t="s">
        <v>4</v>
      </c>
      <c r="D354" s="112">
        <f>$Q$9</f>
        <v>10</v>
      </c>
    </row>
    <row r="355" spans="1:4">
      <c r="A355" s="110" t="str">
        <f t="shared" si="31"/>
        <v>АСУЭ.FB_IMstp_S.DOSP</v>
      </c>
      <c r="B355" s="111">
        <v>11152</v>
      </c>
      <c r="C355" s="111" t="s">
        <v>0</v>
      </c>
      <c r="D355" s="112" t="str">
        <f>$R$9</f>
        <v>Недостоверность</v>
      </c>
    </row>
    <row r="356" spans="1:4">
      <c r="A356" s="110" t="str">
        <f t="shared" si="31"/>
        <v>АСУЭ.FB_IMstp_S.DOSP</v>
      </c>
      <c r="B356" s="111">
        <v>11150</v>
      </c>
      <c r="C356" s="111" t="s">
        <v>0</v>
      </c>
      <c r="D356" s="112" t="s">
        <v>1849</v>
      </c>
    </row>
    <row r="357" spans="1:4">
      <c r="A357" s="164" t="str">
        <f t="shared" si="31"/>
        <v>АСУЭ.FB_IMstp_S.DOSP</v>
      </c>
      <c r="B357" s="165">
        <v>11000</v>
      </c>
      <c r="C357" s="165" t="s">
        <v>5</v>
      </c>
      <c r="D357" s="166">
        <v>2147483680</v>
      </c>
    </row>
    <row r="358" spans="1:4">
      <c r="A358" s="16" t="str">
        <f t="shared" ref="A358:A367" si="32">$R$2&amp;".DFXX"</f>
        <v>АСУЭ.FB_IMstp_S.DFXX</v>
      </c>
      <c r="B358" s="17">
        <v>3</v>
      </c>
      <c r="C358" s="17" t="s">
        <v>1</v>
      </c>
      <c r="D358" s="18">
        <v>192</v>
      </c>
    </row>
    <row r="359" spans="1:4">
      <c r="A359" s="19" t="str">
        <f t="shared" si="32"/>
        <v>АСУЭ.FB_IMstp_S.DFXX</v>
      </c>
      <c r="B359" s="11">
        <v>2</v>
      </c>
      <c r="C359" s="11" t="s">
        <v>2</v>
      </c>
      <c r="D359" s="20" t="s">
        <v>3</v>
      </c>
    </row>
    <row r="360" spans="1:4">
      <c r="A360" s="19" t="str">
        <f t="shared" si="32"/>
        <v>АСУЭ.FB_IMstp_S.DFXX</v>
      </c>
      <c r="B360" s="11">
        <v>1</v>
      </c>
      <c r="C360" s="11" t="s">
        <v>1</v>
      </c>
      <c r="D360" s="20">
        <v>11</v>
      </c>
    </row>
    <row r="361" spans="1:4">
      <c r="A361" s="19" t="str">
        <f t="shared" si="32"/>
        <v>АСУЭ.FB_IMstp_S.DFXX</v>
      </c>
      <c r="B361" s="11">
        <v>7998</v>
      </c>
      <c r="C361" s="11" t="s">
        <v>6</v>
      </c>
      <c r="D361" s="20">
        <v>1</v>
      </c>
    </row>
    <row r="362" spans="1:4">
      <c r="A362" s="19" t="str">
        <f t="shared" si="32"/>
        <v>АСУЭ.FB_IMstp_S.DFXX</v>
      </c>
      <c r="B362" s="11">
        <v>7999</v>
      </c>
      <c r="C362" s="11" t="s">
        <v>0</v>
      </c>
      <c r="D362" s="20" t="str">
        <f>"#"&amp;$S$2&amp;"#"&amp;$T$2&amp;"\"&amp;$P$2&amp;"\DFXX"</f>
        <v>#1#treiOPCDA.CoOPCserv.1\pcmaster\ZRU_OL1\DFXX</v>
      </c>
    </row>
    <row r="363" spans="1:4">
      <c r="A363" s="19" t="str">
        <f t="shared" si="32"/>
        <v>АСУЭ.FB_IMstp_S.DFXX</v>
      </c>
      <c r="B363" s="11">
        <v>101</v>
      </c>
      <c r="C363" s="11" t="s">
        <v>0</v>
      </c>
      <c r="D363" s="20" t="s">
        <v>520</v>
      </c>
    </row>
    <row r="364" spans="1:4">
      <c r="A364" s="110" t="str">
        <f t="shared" si="32"/>
        <v>АСУЭ.FB_IMstp_S.DFXX</v>
      </c>
      <c r="B364" s="111">
        <v>11154</v>
      </c>
      <c r="C364" s="111" t="s">
        <v>4</v>
      </c>
      <c r="D364" s="112">
        <f>$Q$9</f>
        <v>10</v>
      </c>
    </row>
    <row r="365" spans="1:4">
      <c r="A365" s="110" t="str">
        <f t="shared" si="32"/>
        <v>АСУЭ.FB_IMstp_S.DFXX</v>
      </c>
      <c r="B365" s="111">
        <v>11152</v>
      </c>
      <c r="C365" s="111" t="s">
        <v>0</v>
      </c>
      <c r="D365" s="112" t="str">
        <f>$R$9</f>
        <v>Недостоверность</v>
      </c>
    </row>
    <row r="366" spans="1:4">
      <c r="A366" s="110" t="str">
        <f t="shared" si="32"/>
        <v>АСУЭ.FB_IMstp_S.DFXX</v>
      </c>
      <c r="B366" s="111">
        <v>11150</v>
      </c>
      <c r="C366" s="111" t="s">
        <v>0</v>
      </c>
      <c r="D366" s="112" t="s">
        <v>104</v>
      </c>
    </row>
    <row r="367" spans="1:4">
      <c r="A367" s="164" t="str">
        <f t="shared" si="32"/>
        <v>АСУЭ.FB_IMstp_S.DFXX</v>
      </c>
      <c r="B367" s="165">
        <v>11000</v>
      </c>
      <c r="C367" s="165" t="s">
        <v>5</v>
      </c>
      <c r="D367" s="166">
        <v>2147483680</v>
      </c>
    </row>
    <row r="368" spans="1:4">
      <c r="A368" s="16" t="str">
        <f t="shared" ref="A368:A377" si="33">$R$2&amp;".DRCX"</f>
        <v>АСУЭ.FB_IMstp_S.DRCX</v>
      </c>
      <c r="B368" s="17">
        <v>3</v>
      </c>
      <c r="C368" s="17" t="s">
        <v>1</v>
      </c>
      <c r="D368" s="18">
        <v>192</v>
      </c>
    </row>
    <row r="369" spans="1:4">
      <c r="A369" s="19" t="str">
        <f t="shared" si="33"/>
        <v>АСУЭ.FB_IMstp_S.DRCX</v>
      </c>
      <c r="B369" s="11">
        <v>2</v>
      </c>
      <c r="C369" s="11" t="s">
        <v>2</v>
      </c>
      <c r="D369" s="20" t="s">
        <v>3</v>
      </c>
    </row>
    <row r="370" spans="1:4">
      <c r="A370" s="19" t="str">
        <f t="shared" si="33"/>
        <v>АСУЭ.FB_IMstp_S.DRCX</v>
      </c>
      <c r="B370" s="11">
        <v>1</v>
      </c>
      <c r="C370" s="11" t="s">
        <v>1</v>
      </c>
      <c r="D370" s="20">
        <v>11</v>
      </c>
    </row>
    <row r="371" spans="1:4">
      <c r="A371" s="19" t="str">
        <f t="shared" si="33"/>
        <v>АСУЭ.FB_IMstp_S.DRCX</v>
      </c>
      <c r="B371" s="11">
        <v>101</v>
      </c>
      <c r="C371" s="11" t="s">
        <v>0</v>
      </c>
      <c r="D371" s="20" t="s">
        <v>573</v>
      </c>
    </row>
    <row r="372" spans="1:4">
      <c r="A372" s="19" t="str">
        <f t="shared" si="33"/>
        <v>АСУЭ.FB_IMstp_S.DRCX</v>
      </c>
      <c r="B372" s="11">
        <v>7998</v>
      </c>
      <c r="C372" s="11" t="s">
        <v>6</v>
      </c>
      <c r="D372" s="20">
        <v>1</v>
      </c>
    </row>
    <row r="373" spans="1:4">
      <c r="A373" s="19" t="str">
        <f t="shared" si="33"/>
        <v>АСУЭ.FB_IMstp_S.DRCX</v>
      </c>
      <c r="B373" s="11">
        <v>7999</v>
      </c>
      <c r="C373" s="11" t="s">
        <v>0</v>
      </c>
      <c r="D373" s="20" t="str">
        <f>"#"&amp;$S$2&amp;"#"&amp;$T$2&amp;"\"&amp;$P$2&amp;"\DRCX"</f>
        <v>#1#treiOPCDA.CoOPCserv.1\pcmaster\ZRU_OL1\DRCX</v>
      </c>
    </row>
    <row r="374" spans="1:4">
      <c r="A374" s="110" t="str">
        <f t="shared" si="33"/>
        <v>АСУЭ.FB_IMstp_S.DRCX</v>
      </c>
      <c r="B374" s="111">
        <v>11154</v>
      </c>
      <c r="C374" s="111" t="s">
        <v>4</v>
      </c>
      <c r="D374" s="112">
        <f>$Q$9</f>
        <v>10</v>
      </c>
    </row>
    <row r="375" spans="1:4">
      <c r="A375" s="110" t="str">
        <f t="shared" si="33"/>
        <v>АСУЭ.FB_IMstp_S.DRCX</v>
      </c>
      <c r="B375" s="111">
        <v>11152</v>
      </c>
      <c r="C375" s="111" t="s">
        <v>0</v>
      </c>
      <c r="D375" s="112" t="str">
        <f>$R$9</f>
        <v>Недостоверность</v>
      </c>
    </row>
    <row r="376" spans="1:4">
      <c r="A376" s="110" t="str">
        <f t="shared" si="33"/>
        <v>АСУЭ.FB_IMstp_S.DRCX</v>
      </c>
      <c r="B376" s="111">
        <v>11150</v>
      </c>
      <c r="C376" s="111" t="s">
        <v>0</v>
      </c>
      <c r="D376" s="112" t="s">
        <v>105</v>
      </c>
    </row>
    <row r="377" spans="1:4">
      <c r="A377" s="164" t="str">
        <f t="shared" si="33"/>
        <v>АСУЭ.FB_IMstp_S.DRCX</v>
      </c>
      <c r="B377" s="165">
        <v>11000</v>
      </c>
      <c r="C377" s="165" t="s">
        <v>5</v>
      </c>
      <c r="D377" s="166">
        <v>2147483680</v>
      </c>
    </row>
    <row r="378" spans="1:4">
      <c r="A378" s="16" t="str">
        <f t="shared" ref="A378:A387" si="34">$R$2&amp;".DPTO"</f>
        <v>АСУЭ.FB_IMstp_S.DPTO</v>
      </c>
      <c r="B378" s="17">
        <v>3</v>
      </c>
      <c r="C378" s="17" t="s">
        <v>1</v>
      </c>
      <c r="D378" s="18">
        <v>192</v>
      </c>
    </row>
    <row r="379" spans="1:4">
      <c r="A379" s="19" t="str">
        <f t="shared" si="34"/>
        <v>АСУЭ.FB_IMstp_S.DPTO</v>
      </c>
      <c r="B379" s="11">
        <v>2</v>
      </c>
      <c r="C379" s="11" t="s">
        <v>2</v>
      </c>
      <c r="D379" s="20" t="s">
        <v>3</v>
      </c>
    </row>
    <row r="380" spans="1:4">
      <c r="A380" s="19" t="str">
        <f t="shared" si="34"/>
        <v>АСУЭ.FB_IMstp_S.DPTO</v>
      </c>
      <c r="B380" s="11">
        <v>1</v>
      </c>
      <c r="C380" s="11" t="s">
        <v>1</v>
      </c>
      <c r="D380" s="20">
        <v>11</v>
      </c>
    </row>
    <row r="381" spans="1:4">
      <c r="A381" s="19" t="str">
        <f t="shared" si="34"/>
        <v>АСУЭ.FB_IMstp_S.DPTO</v>
      </c>
      <c r="B381" s="11">
        <v>101</v>
      </c>
      <c r="C381" s="11" t="s">
        <v>0</v>
      </c>
      <c r="D381" s="20" t="s">
        <v>117</v>
      </c>
    </row>
    <row r="382" spans="1:4">
      <c r="A382" s="19" t="str">
        <f t="shared" si="34"/>
        <v>АСУЭ.FB_IMstp_S.DPTO</v>
      </c>
      <c r="B382" s="11">
        <v>7998</v>
      </c>
      <c r="C382" s="11" t="s">
        <v>6</v>
      </c>
      <c r="D382" s="20">
        <v>1</v>
      </c>
    </row>
    <row r="383" spans="1:4">
      <c r="A383" s="19" t="str">
        <f t="shared" si="34"/>
        <v>АСУЭ.FB_IMstp_S.DPTO</v>
      </c>
      <c r="B383" s="11">
        <v>7999</v>
      </c>
      <c r="C383" s="11" t="s">
        <v>0</v>
      </c>
      <c r="D383" s="20" t="str">
        <f>"#"&amp;$S$2&amp;"#"&amp;$T$2&amp;"\"&amp;$P$2&amp;"\DPTO"</f>
        <v>#1#treiOPCDA.CoOPCserv.1\pcmaster\ZRU_OL1\DPTO</v>
      </c>
    </row>
    <row r="384" spans="1:4">
      <c r="A384" s="110" t="str">
        <f t="shared" si="34"/>
        <v>АСУЭ.FB_IMstp_S.DPTO</v>
      </c>
      <c r="B384" s="111">
        <v>11154</v>
      </c>
      <c r="C384" s="111" t="s">
        <v>4</v>
      </c>
      <c r="D384" s="112">
        <f>$Q$9</f>
        <v>10</v>
      </c>
    </row>
    <row r="385" spans="1:4">
      <c r="A385" s="110" t="str">
        <f t="shared" si="34"/>
        <v>АСУЭ.FB_IMstp_S.DPTO</v>
      </c>
      <c r="B385" s="111">
        <v>11152</v>
      </c>
      <c r="C385" s="111" t="s">
        <v>0</v>
      </c>
      <c r="D385" s="112" t="str">
        <f>$R$9</f>
        <v>Недостоверность</v>
      </c>
    </row>
    <row r="386" spans="1:4">
      <c r="A386" s="110" t="str">
        <f t="shared" si="34"/>
        <v>АСУЭ.FB_IMstp_S.DPTO</v>
      </c>
      <c r="B386" s="111">
        <v>11150</v>
      </c>
      <c r="C386" s="111" t="s">
        <v>0</v>
      </c>
      <c r="D386" s="112" t="s">
        <v>118</v>
      </c>
    </row>
    <row r="387" spans="1:4">
      <c r="A387" s="164" t="str">
        <f t="shared" si="34"/>
        <v>АСУЭ.FB_IMstp_S.DPTO</v>
      </c>
      <c r="B387" s="165">
        <v>11000</v>
      </c>
      <c r="C387" s="165" t="s">
        <v>5</v>
      </c>
      <c r="D387" s="166">
        <v>2147483680</v>
      </c>
    </row>
    <row r="388" spans="1:4">
      <c r="A388" s="16" t="str">
        <f t="shared" ref="A388:A397" si="35">$R$2&amp;".DPTC"</f>
        <v>АСУЭ.FB_IMstp_S.DPTC</v>
      </c>
      <c r="B388" s="17">
        <v>3</v>
      </c>
      <c r="C388" s="17" t="s">
        <v>1</v>
      </c>
      <c r="D388" s="18">
        <v>192</v>
      </c>
    </row>
    <row r="389" spans="1:4">
      <c r="A389" s="19" t="str">
        <f t="shared" si="35"/>
        <v>АСУЭ.FB_IMstp_S.DPTC</v>
      </c>
      <c r="B389" s="11">
        <v>2</v>
      </c>
      <c r="C389" s="11" t="s">
        <v>2</v>
      </c>
      <c r="D389" s="20" t="s">
        <v>3</v>
      </c>
    </row>
    <row r="390" spans="1:4">
      <c r="A390" s="19" t="str">
        <f t="shared" si="35"/>
        <v>АСУЭ.FB_IMstp_S.DPTC</v>
      </c>
      <c r="B390" s="11">
        <v>1</v>
      </c>
      <c r="C390" s="11" t="s">
        <v>1</v>
      </c>
      <c r="D390" s="20">
        <v>11</v>
      </c>
    </row>
    <row r="391" spans="1:4">
      <c r="A391" s="19" t="str">
        <f t="shared" si="35"/>
        <v>АСУЭ.FB_IMstp_S.DPTC</v>
      </c>
      <c r="B391" s="11">
        <v>101</v>
      </c>
      <c r="C391" s="11" t="s">
        <v>0</v>
      </c>
      <c r="D391" s="20" t="s">
        <v>119</v>
      </c>
    </row>
    <row r="392" spans="1:4">
      <c r="A392" s="19" t="str">
        <f t="shared" si="35"/>
        <v>АСУЭ.FB_IMstp_S.DPTC</v>
      </c>
      <c r="B392" s="11">
        <v>7998</v>
      </c>
      <c r="C392" s="11" t="s">
        <v>6</v>
      </c>
      <c r="D392" s="20">
        <v>1</v>
      </c>
    </row>
    <row r="393" spans="1:4">
      <c r="A393" s="19" t="str">
        <f t="shared" si="35"/>
        <v>АСУЭ.FB_IMstp_S.DPTC</v>
      </c>
      <c r="B393" s="11">
        <v>7999</v>
      </c>
      <c r="C393" s="11" t="s">
        <v>0</v>
      </c>
      <c r="D393" s="20" t="str">
        <f>"#"&amp;$S$2&amp;"#"&amp;$T$2&amp;"\"&amp;$P$2&amp;"\DPTC"</f>
        <v>#1#treiOPCDA.CoOPCserv.1\pcmaster\ZRU_OL1\DPTC</v>
      </c>
    </row>
    <row r="394" spans="1:4">
      <c r="A394" s="110" t="str">
        <f t="shared" si="35"/>
        <v>АСУЭ.FB_IMstp_S.DPTC</v>
      </c>
      <c r="B394" s="111">
        <v>11154</v>
      </c>
      <c r="C394" s="111" t="s">
        <v>4</v>
      </c>
      <c r="D394" s="112">
        <f>$Q$9</f>
        <v>10</v>
      </c>
    </row>
    <row r="395" spans="1:4">
      <c r="A395" s="110" t="str">
        <f t="shared" si="35"/>
        <v>АСУЭ.FB_IMstp_S.DPTC</v>
      </c>
      <c r="B395" s="111">
        <v>11152</v>
      </c>
      <c r="C395" s="111" t="s">
        <v>0</v>
      </c>
      <c r="D395" s="112" t="str">
        <f>$R$9</f>
        <v>Недостоверность</v>
      </c>
    </row>
    <row r="396" spans="1:4">
      <c r="A396" s="110" t="str">
        <f t="shared" si="35"/>
        <v>АСУЭ.FB_IMstp_S.DPTC</v>
      </c>
      <c r="B396" s="111">
        <v>11150</v>
      </c>
      <c r="C396" s="111" t="s">
        <v>0</v>
      </c>
      <c r="D396" s="112" t="s">
        <v>118</v>
      </c>
    </row>
    <row r="397" spans="1:4">
      <c r="A397" s="164" t="str">
        <f t="shared" si="35"/>
        <v>АСУЭ.FB_IMstp_S.DPTC</v>
      </c>
      <c r="B397" s="165">
        <v>11000</v>
      </c>
      <c r="C397" s="165" t="s">
        <v>5</v>
      </c>
      <c r="D397" s="166">
        <v>2147483680</v>
      </c>
    </row>
    <row r="398" spans="1:4">
      <c r="A398" s="16" t="str">
        <f t="shared" ref="A398:A407" si="36">$R$2&amp;".DTOF"</f>
        <v>АСУЭ.FB_IMstp_S.DTOF</v>
      </c>
      <c r="B398" s="17">
        <v>3</v>
      </c>
      <c r="C398" s="17" t="s">
        <v>1</v>
      </c>
      <c r="D398" s="18">
        <v>192</v>
      </c>
    </row>
    <row r="399" spans="1:4">
      <c r="A399" s="19" t="str">
        <f t="shared" si="36"/>
        <v>АСУЭ.FB_IMstp_S.DTOF</v>
      </c>
      <c r="B399" s="11">
        <v>2</v>
      </c>
      <c r="C399" s="11" t="s">
        <v>2</v>
      </c>
      <c r="D399" s="20" t="s">
        <v>3</v>
      </c>
    </row>
    <row r="400" spans="1:4">
      <c r="A400" s="19" t="str">
        <f t="shared" si="36"/>
        <v>АСУЭ.FB_IMstp_S.DTOF</v>
      </c>
      <c r="B400" s="11">
        <v>1</v>
      </c>
      <c r="C400" s="11" t="s">
        <v>1</v>
      </c>
      <c r="D400" s="20">
        <v>11</v>
      </c>
    </row>
    <row r="401" spans="1:4">
      <c r="A401" s="19" t="str">
        <f t="shared" si="36"/>
        <v>АСУЭ.FB_IMstp_S.DTOF</v>
      </c>
      <c r="B401" s="11">
        <v>101</v>
      </c>
      <c r="C401" s="11" t="s">
        <v>0</v>
      </c>
      <c r="D401" s="20" t="s">
        <v>120</v>
      </c>
    </row>
    <row r="402" spans="1:4">
      <c r="A402" s="19" t="str">
        <f t="shared" si="36"/>
        <v>АСУЭ.FB_IMstp_S.DTOF</v>
      </c>
      <c r="B402" s="11">
        <v>7998</v>
      </c>
      <c r="C402" s="11" t="s">
        <v>6</v>
      </c>
      <c r="D402" s="20">
        <v>1</v>
      </c>
    </row>
    <row r="403" spans="1:4">
      <c r="A403" s="19" t="str">
        <f t="shared" si="36"/>
        <v>АСУЭ.FB_IMstp_S.DTOF</v>
      </c>
      <c r="B403" s="11">
        <v>7999</v>
      </c>
      <c r="C403" s="11" t="s">
        <v>0</v>
      </c>
      <c r="D403" s="20" t="str">
        <f>"#"&amp;$S$2&amp;"#"&amp;$T$2&amp;"\"&amp;$P$2&amp;"\DTOF"</f>
        <v>#1#treiOPCDA.CoOPCserv.1\pcmaster\ZRU_OL1\DTOF</v>
      </c>
    </row>
    <row r="404" spans="1:4">
      <c r="A404" s="110" t="str">
        <f t="shared" si="36"/>
        <v>АСУЭ.FB_IMstp_S.DTOF</v>
      </c>
      <c r="B404" s="111">
        <v>11154</v>
      </c>
      <c r="C404" s="111" t="s">
        <v>4</v>
      </c>
      <c r="D404" s="112">
        <f>$Q$9</f>
        <v>10</v>
      </c>
    </row>
    <row r="405" spans="1:4">
      <c r="A405" s="110" t="str">
        <f t="shared" si="36"/>
        <v>АСУЭ.FB_IMstp_S.DTOF</v>
      </c>
      <c r="B405" s="111">
        <v>11152</v>
      </c>
      <c r="C405" s="111" t="s">
        <v>0</v>
      </c>
      <c r="D405" s="112" t="str">
        <f>$R$9</f>
        <v>Недостоверность</v>
      </c>
    </row>
    <row r="406" spans="1:4">
      <c r="A406" s="110" t="str">
        <f t="shared" si="36"/>
        <v>АСУЭ.FB_IMstp_S.DTOF</v>
      </c>
      <c r="B406" s="111">
        <v>11150</v>
      </c>
      <c r="C406" s="111" t="s">
        <v>0</v>
      </c>
      <c r="D406" s="112" t="s">
        <v>121</v>
      </c>
    </row>
    <row r="407" spans="1:4">
      <c r="A407" s="164" t="str">
        <f t="shared" si="36"/>
        <v>АСУЭ.FB_IMstp_S.DTOF</v>
      </c>
      <c r="B407" s="165">
        <v>11000</v>
      </c>
      <c r="C407" s="165" t="s">
        <v>5</v>
      </c>
      <c r="D407" s="166">
        <v>2147483680</v>
      </c>
    </row>
    <row r="408" spans="1:4">
      <c r="A408" s="16" t="str">
        <f t="shared" ref="A408:A417" si="37">$R$2&amp;".DONX"</f>
        <v>АСУЭ.FB_IMstp_S.DONX</v>
      </c>
      <c r="B408" s="17">
        <v>3</v>
      </c>
      <c r="C408" s="17" t="s">
        <v>1</v>
      </c>
      <c r="D408" s="18">
        <v>192</v>
      </c>
    </row>
    <row r="409" spans="1:4">
      <c r="A409" s="19" t="str">
        <f t="shared" si="37"/>
        <v>АСУЭ.FB_IMstp_S.DONX</v>
      </c>
      <c r="B409" s="11">
        <v>2</v>
      </c>
      <c r="C409" s="11" t="s">
        <v>2</v>
      </c>
      <c r="D409" s="20" t="s">
        <v>3</v>
      </c>
    </row>
    <row r="410" spans="1:4">
      <c r="A410" s="19" t="str">
        <f t="shared" si="37"/>
        <v>АСУЭ.FB_IMstp_S.DONX</v>
      </c>
      <c r="B410" s="11">
        <v>1</v>
      </c>
      <c r="C410" s="11" t="s">
        <v>1</v>
      </c>
      <c r="D410" s="20">
        <v>11</v>
      </c>
    </row>
    <row r="411" spans="1:4">
      <c r="A411" s="19" t="str">
        <f t="shared" si="37"/>
        <v>АСУЭ.FB_IMstp_S.DONX</v>
      </c>
      <c r="B411" s="11">
        <v>101</v>
      </c>
      <c r="C411" s="11" t="s">
        <v>0</v>
      </c>
      <c r="D411" s="20" t="s">
        <v>122</v>
      </c>
    </row>
    <row r="412" spans="1:4">
      <c r="A412" s="19" t="str">
        <f t="shared" si="37"/>
        <v>АСУЭ.FB_IMstp_S.DONX</v>
      </c>
      <c r="B412" s="11">
        <v>7998</v>
      </c>
      <c r="C412" s="11" t="s">
        <v>6</v>
      </c>
      <c r="D412" s="20">
        <v>1</v>
      </c>
    </row>
    <row r="413" spans="1:4">
      <c r="A413" s="19" t="str">
        <f t="shared" si="37"/>
        <v>АСУЭ.FB_IMstp_S.DONX</v>
      </c>
      <c r="B413" s="11">
        <v>7999</v>
      </c>
      <c r="C413" s="11" t="s">
        <v>0</v>
      </c>
      <c r="D413" s="20" t="str">
        <f>"#"&amp;$S$2&amp;"#"&amp;$T$2&amp;"\"&amp;$P$2&amp;"\DONX"</f>
        <v>#1#treiOPCDA.CoOPCserv.1\pcmaster\ZRU_OL1\DONX</v>
      </c>
    </row>
    <row r="414" spans="1:4">
      <c r="A414" s="110" t="str">
        <f t="shared" si="37"/>
        <v>АСУЭ.FB_IMstp_S.DONX</v>
      </c>
      <c r="B414" s="111">
        <v>11154</v>
      </c>
      <c r="C414" s="111" t="s">
        <v>4</v>
      </c>
      <c r="D414" s="112">
        <f>$Q$9</f>
        <v>10</v>
      </c>
    </row>
    <row r="415" spans="1:4">
      <c r="A415" s="110" t="str">
        <f t="shared" si="37"/>
        <v>АСУЭ.FB_IMstp_S.DONX</v>
      </c>
      <c r="B415" s="111">
        <v>11152</v>
      </c>
      <c r="C415" s="111" t="s">
        <v>0</v>
      </c>
      <c r="D415" s="112" t="str">
        <f>$R$9</f>
        <v>Недостоверность</v>
      </c>
    </row>
    <row r="416" spans="1:4">
      <c r="A416" s="110" t="str">
        <f t="shared" si="37"/>
        <v>АСУЭ.FB_IMstp_S.DONX</v>
      </c>
      <c r="B416" s="111">
        <v>11150</v>
      </c>
      <c r="C416" s="111" t="s">
        <v>0</v>
      </c>
      <c r="D416" s="112" t="s">
        <v>123</v>
      </c>
    </row>
    <row r="417" spans="1:4">
      <c r="A417" s="164" t="str">
        <f t="shared" si="37"/>
        <v>АСУЭ.FB_IMstp_S.DONX</v>
      </c>
      <c r="B417" s="165">
        <v>11000</v>
      </c>
      <c r="C417" s="165" t="s">
        <v>5</v>
      </c>
      <c r="D417" s="166">
        <v>2147483680</v>
      </c>
    </row>
    <row r="418" spans="1:4">
      <c r="A418" s="16" t="str">
        <f t="shared" ref="A418:A427" si="38">$R$2&amp;".XMMX"</f>
        <v>АСУЭ.FB_IMstp_S.XMMX</v>
      </c>
      <c r="B418" s="17">
        <v>3</v>
      </c>
      <c r="C418" s="17" t="s">
        <v>1</v>
      </c>
      <c r="D418" s="18">
        <v>192</v>
      </c>
    </row>
    <row r="419" spans="1:4">
      <c r="A419" s="19" t="str">
        <f t="shared" si="38"/>
        <v>АСУЭ.FB_IMstp_S.XMMX</v>
      </c>
      <c r="B419" s="11">
        <v>2</v>
      </c>
      <c r="C419" s="11" t="s">
        <v>2</v>
      </c>
      <c r="D419" s="20" t="s">
        <v>3</v>
      </c>
    </row>
    <row r="420" spans="1:4">
      <c r="A420" s="19" t="str">
        <f t="shared" si="38"/>
        <v>АСУЭ.FB_IMstp_S.XMMX</v>
      </c>
      <c r="B420" s="11">
        <v>1</v>
      </c>
      <c r="C420" s="11" t="s">
        <v>1</v>
      </c>
      <c r="D420" s="20">
        <v>11</v>
      </c>
    </row>
    <row r="421" spans="1:4">
      <c r="A421" s="19" t="str">
        <f t="shared" si="38"/>
        <v>АСУЭ.FB_IMstp_S.XMMX</v>
      </c>
      <c r="B421" s="11">
        <v>101</v>
      </c>
      <c r="C421" s="11" t="s">
        <v>0</v>
      </c>
      <c r="D421" s="20" t="s">
        <v>574</v>
      </c>
    </row>
    <row r="422" spans="1:4">
      <c r="A422" s="19" t="str">
        <f t="shared" si="38"/>
        <v>АСУЭ.FB_IMstp_S.XMMX</v>
      </c>
      <c r="B422" s="11">
        <v>7998</v>
      </c>
      <c r="C422" s="11" t="s">
        <v>6</v>
      </c>
      <c r="D422" s="20">
        <v>1</v>
      </c>
    </row>
    <row r="423" spans="1:4">
      <c r="A423" s="19" t="str">
        <f t="shared" si="38"/>
        <v>АСУЭ.FB_IMstp_S.XMMX</v>
      </c>
      <c r="B423" s="11">
        <v>7999</v>
      </c>
      <c r="C423" s="11" t="s">
        <v>0</v>
      </c>
      <c r="D423" s="20" t="str">
        <f>"#"&amp;$S$2&amp;"#"&amp;$T$2&amp;"\"&amp;$P$2&amp;"\XMMX"</f>
        <v>#1#treiOPCDA.CoOPCserv.1\pcmaster\ZRU_OL1\XMMX</v>
      </c>
    </row>
    <row r="424" spans="1:4">
      <c r="A424" s="100" t="str">
        <f t="shared" si="38"/>
        <v>АСУЭ.FB_IMstp_S.XMMX</v>
      </c>
      <c r="B424" s="101">
        <v>11154</v>
      </c>
      <c r="C424" s="101" t="s">
        <v>4</v>
      </c>
      <c r="D424" s="103">
        <f>$Q$8</f>
        <v>18</v>
      </c>
    </row>
    <row r="425" spans="1:4">
      <c r="A425" s="100" t="str">
        <f t="shared" si="38"/>
        <v>АСУЭ.FB_IMstp_S.XMMX</v>
      </c>
      <c r="B425" s="101">
        <v>11152</v>
      </c>
      <c r="C425" s="101" t="s">
        <v>0</v>
      </c>
      <c r="D425" s="103" t="str">
        <f>$R$8</f>
        <v>Телесигнализация</v>
      </c>
    </row>
    <row r="426" spans="1:4">
      <c r="A426" s="100" t="str">
        <f t="shared" si="38"/>
        <v>АСУЭ.FB_IMstp_S.XMMX</v>
      </c>
      <c r="B426" s="101">
        <v>11150</v>
      </c>
      <c r="C426" s="101" t="s">
        <v>0</v>
      </c>
      <c r="D426" s="103" t="s">
        <v>134</v>
      </c>
    </row>
    <row r="427" spans="1:4">
      <c r="A427" s="170" t="str">
        <f t="shared" si="38"/>
        <v>АСУЭ.FB_IMstp_S.XMMX</v>
      </c>
      <c r="B427" s="171">
        <v>11000</v>
      </c>
      <c r="C427" s="171" t="s">
        <v>5</v>
      </c>
      <c r="D427" s="172">
        <v>2147483680</v>
      </c>
    </row>
    <row r="428" spans="1:4">
      <c r="A428" s="16" t="str">
        <f t="shared" ref="A428:A437" si="39">$R$2&amp;".XTON"</f>
        <v>АСУЭ.FB_IMstp_S.XTON</v>
      </c>
      <c r="B428" s="17">
        <v>7998</v>
      </c>
      <c r="C428" s="17" t="s">
        <v>6</v>
      </c>
      <c r="D428" s="18">
        <v>1</v>
      </c>
    </row>
    <row r="429" spans="1:4">
      <c r="A429" s="19" t="str">
        <f t="shared" si="39"/>
        <v>АСУЭ.FB_IMstp_S.XTON</v>
      </c>
      <c r="B429" s="11">
        <v>3</v>
      </c>
      <c r="C429" s="11" t="s">
        <v>1</v>
      </c>
      <c r="D429" s="20">
        <v>192</v>
      </c>
    </row>
    <row r="430" spans="1:4">
      <c r="A430" s="19" t="str">
        <f t="shared" si="39"/>
        <v>АСУЭ.FB_IMstp_S.XTON</v>
      </c>
      <c r="B430" s="11">
        <v>2</v>
      </c>
      <c r="C430" s="11" t="s">
        <v>2</v>
      </c>
      <c r="D430" s="20" t="s">
        <v>3</v>
      </c>
    </row>
    <row r="431" spans="1:4">
      <c r="A431" s="19" t="str">
        <f t="shared" si="39"/>
        <v>АСУЭ.FB_IMstp_S.XTON</v>
      </c>
      <c r="B431" s="11">
        <v>1</v>
      </c>
      <c r="C431" s="11" t="s">
        <v>1</v>
      </c>
      <c r="D431" s="20">
        <v>11</v>
      </c>
    </row>
    <row r="432" spans="1:4">
      <c r="A432" s="19" t="str">
        <f t="shared" si="39"/>
        <v>АСУЭ.FB_IMstp_S.XTON</v>
      </c>
      <c r="B432" s="11">
        <v>101</v>
      </c>
      <c r="C432" s="11" t="s">
        <v>0</v>
      </c>
      <c r="D432" s="20" t="s">
        <v>1850</v>
      </c>
    </row>
    <row r="433" spans="1:4">
      <c r="A433" s="19" t="str">
        <f t="shared" si="39"/>
        <v>АСУЭ.FB_IMstp_S.XTON</v>
      </c>
      <c r="B433" s="11">
        <v>7999</v>
      </c>
      <c r="C433" s="11" t="s">
        <v>0</v>
      </c>
      <c r="D433" s="20" t="str">
        <f>"#"&amp;$S$2&amp;"#"&amp;$T$2&amp;"\"&amp;$P$2&amp;"\XTON"</f>
        <v>#1#treiOPCDA.CoOPCserv.1\pcmaster\ZRU_OL1\XTON</v>
      </c>
    </row>
    <row r="434" spans="1:4">
      <c r="A434" s="100" t="str">
        <f t="shared" si="39"/>
        <v>АСУЭ.FB_IMstp_S.XTON</v>
      </c>
      <c r="B434" s="101">
        <v>11154</v>
      </c>
      <c r="C434" s="101" t="s">
        <v>4</v>
      </c>
      <c r="D434" s="103">
        <f>$Q$8</f>
        <v>18</v>
      </c>
    </row>
    <row r="435" spans="1:4">
      <c r="A435" s="100" t="str">
        <f t="shared" si="39"/>
        <v>АСУЭ.FB_IMstp_S.XTON</v>
      </c>
      <c r="B435" s="101">
        <v>11152</v>
      </c>
      <c r="C435" s="101" t="s">
        <v>0</v>
      </c>
      <c r="D435" s="103" t="str">
        <f>$R$8</f>
        <v>Телесигнализация</v>
      </c>
    </row>
    <row r="436" spans="1:4">
      <c r="A436" s="100" t="str">
        <f t="shared" si="39"/>
        <v>АСУЭ.FB_IMstp_S.XTON</v>
      </c>
      <c r="B436" s="101">
        <v>11150</v>
      </c>
      <c r="C436" s="101" t="s">
        <v>0</v>
      </c>
      <c r="D436" s="103" t="s">
        <v>1850</v>
      </c>
    </row>
    <row r="437" spans="1:4">
      <c r="A437" s="170" t="str">
        <f t="shared" si="39"/>
        <v>АСУЭ.FB_IMstp_S.XTON</v>
      </c>
      <c r="B437" s="171">
        <v>11000</v>
      </c>
      <c r="C437" s="171" t="s">
        <v>5</v>
      </c>
      <c r="D437" s="172">
        <v>2147483680</v>
      </c>
    </row>
    <row r="438" spans="1:4">
      <c r="A438" s="16" t="str">
        <f t="shared" ref="A438:A447" si="40">$R$2&amp;".XRCX"</f>
        <v>АСУЭ.FB_IMstp_S.XRCX</v>
      </c>
      <c r="B438" s="17">
        <v>3</v>
      </c>
      <c r="C438" s="17" t="s">
        <v>1</v>
      </c>
      <c r="D438" s="18">
        <v>192</v>
      </c>
    </row>
    <row r="439" spans="1:4">
      <c r="A439" s="19" t="str">
        <f t="shared" si="40"/>
        <v>АСУЭ.FB_IMstp_S.XRCX</v>
      </c>
      <c r="B439" s="11">
        <v>2</v>
      </c>
      <c r="C439" s="11" t="s">
        <v>2</v>
      </c>
      <c r="D439" s="20" t="s">
        <v>3</v>
      </c>
    </row>
    <row r="440" spans="1:4">
      <c r="A440" s="19" t="str">
        <f t="shared" si="40"/>
        <v>АСУЭ.FB_IMstp_S.XRCX</v>
      </c>
      <c r="B440" s="11">
        <v>1</v>
      </c>
      <c r="C440" s="11" t="s">
        <v>1</v>
      </c>
      <c r="D440" s="20">
        <v>11</v>
      </c>
    </row>
    <row r="441" spans="1:4">
      <c r="A441" s="19" t="str">
        <f t="shared" si="40"/>
        <v>АСУЭ.FB_IMstp_S.XRCX</v>
      </c>
      <c r="B441" s="11">
        <v>101</v>
      </c>
      <c r="C441" s="11" t="s">
        <v>0</v>
      </c>
      <c r="D441" s="20" t="s">
        <v>575</v>
      </c>
    </row>
    <row r="442" spans="1:4">
      <c r="A442" s="19" t="str">
        <f t="shared" si="40"/>
        <v>АСУЭ.FB_IMstp_S.XRCX</v>
      </c>
      <c r="B442" s="11">
        <v>7998</v>
      </c>
      <c r="C442" s="11" t="s">
        <v>6</v>
      </c>
      <c r="D442" s="20">
        <v>1</v>
      </c>
    </row>
    <row r="443" spans="1:4">
      <c r="A443" s="19" t="str">
        <f t="shared" si="40"/>
        <v>АСУЭ.FB_IMstp_S.XRCX</v>
      </c>
      <c r="B443" s="11">
        <v>7999</v>
      </c>
      <c r="C443" s="11" t="s">
        <v>0</v>
      </c>
      <c r="D443" s="20" t="str">
        <f>"#"&amp;$S$2&amp;"#"&amp;$T$2&amp;"\"&amp;$P$2&amp;"\XRCX"</f>
        <v>#1#treiOPCDA.CoOPCserv.1\pcmaster\ZRU_OL1\XRCX</v>
      </c>
    </row>
    <row r="444" spans="1:4">
      <c r="A444" s="100" t="str">
        <f t="shared" si="40"/>
        <v>АСУЭ.FB_IMstp_S.XRCX</v>
      </c>
      <c r="B444" s="101">
        <v>11154</v>
      </c>
      <c r="C444" s="101" t="s">
        <v>4</v>
      </c>
      <c r="D444" s="103">
        <f>$Q$8</f>
        <v>18</v>
      </c>
    </row>
    <row r="445" spans="1:4">
      <c r="A445" s="100" t="str">
        <f t="shared" si="40"/>
        <v>АСУЭ.FB_IMstp_S.XRCX</v>
      </c>
      <c r="B445" s="101">
        <v>11152</v>
      </c>
      <c r="C445" s="101" t="s">
        <v>0</v>
      </c>
      <c r="D445" s="103" t="str">
        <f>$R$8</f>
        <v>Телесигнализация</v>
      </c>
    </row>
    <row r="446" spans="1:4">
      <c r="A446" s="100" t="str">
        <f t="shared" si="40"/>
        <v>АСУЭ.FB_IMstp_S.XRCX</v>
      </c>
      <c r="B446" s="101">
        <v>11150</v>
      </c>
      <c r="C446" s="101" t="s">
        <v>0</v>
      </c>
      <c r="D446" s="103" t="s">
        <v>136</v>
      </c>
    </row>
    <row r="447" spans="1:4">
      <c r="A447" s="170" t="str">
        <f t="shared" si="40"/>
        <v>АСУЭ.FB_IMstp_S.XRCX</v>
      </c>
      <c r="B447" s="171">
        <v>11000</v>
      </c>
      <c r="C447" s="171" t="s">
        <v>5</v>
      </c>
      <c r="D447" s="172">
        <v>2147483680</v>
      </c>
    </row>
    <row r="448" spans="1:4">
      <c r="A448" s="16" t="str">
        <f t="shared" ref="A448:A457" si="41">$R$2&amp;".XONX"</f>
        <v>АСУЭ.FB_IMstp_S.XONX</v>
      </c>
      <c r="B448" s="17">
        <v>3</v>
      </c>
      <c r="C448" s="17" t="s">
        <v>1</v>
      </c>
      <c r="D448" s="18">
        <v>192</v>
      </c>
    </row>
    <row r="449" spans="1:4">
      <c r="A449" s="19" t="str">
        <f t="shared" si="41"/>
        <v>АСУЭ.FB_IMstp_S.XONX</v>
      </c>
      <c r="B449" s="11">
        <v>2</v>
      </c>
      <c r="C449" s="11" t="s">
        <v>2</v>
      </c>
      <c r="D449" s="20" t="s">
        <v>3</v>
      </c>
    </row>
    <row r="450" spans="1:4">
      <c r="A450" s="19" t="str">
        <f t="shared" si="41"/>
        <v>АСУЭ.FB_IMstp_S.XONX</v>
      </c>
      <c r="B450" s="11">
        <v>1</v>
      </c>
      <c r="C450" s="11" t="s">
        <v>1</v>
      </c>
      <c r="D450" s="20">
        <v>11</v>
      </c>
    </row>
    <row r="451" spans="1:4">
      <c r="A451" s="19" t="str">
        <f t="shared" si="41"/>
        <v>АСУЭ.FB_IMstp_S.XONX</v>
      </c>
      <c r="B451" s="11">
        <v>101</v>
      </c>
      <c r="C451" s="11" t="s">
        <v>0</v>
      </c>
      <c r="D451" s="20" t="s">
        <v>337</v>
      </c>
    </row>
    <row r="452" spans="1:4">
      <c r="A452" s="19" t="str">
        <f t="shared" si="41"/>
        <v>АСУЭ.FB_IMstp_S.XONX</v>
      </c>
      <c r="B452" s="11">
        <v>7998</v>
      </c>
      <c r="C452" s="11" t="s">
        <v>6</v>
      </c>
      <c r="D452" s="20">
        <v>1</v>
      </c>
    </row>
    <row r="453" spans="1:4">
      <c r="A453" s="19" t="str">
        <f t="shared" si="41"/>
        <v>АСУЭ.FB_IMstp_S.XONX</v>
      </c>
      <c r="B453" s="11">
        <v>7999</v>
      </c>
      <c r="C453" s="11" t="s">
        <v>0</v>
      </c>
      <c r="D453" s="20" t="str">
        <f>"#"&amp;$S$2&amp;"#"&amp;$T$2&amp;"\"&amp;$P$2&amp;"\XONX"</f>
        <v>#1#treiOPCDA.CoOPCserv.1\pcmaster\ZRU_OL1\XONX</v>
      </c>
    </row>
    <row r="454" spans="1:4">
      <c r="A454" s="100" t="str">
        <f t="shared" si="41"/>
        <v>АСУЭ.FB_IMstp_S.XONX</v>
      </c>
      <c r="B454" s="101">
        <v>11154</v>
      </c>
      <c r="C454" s="101" t="s">
        <v>4</v>
      </c>
      <c r="D454" s="103">
        <f>$Q$8</f>
        <v>18</v>
      </c>
    </row>
    <row r="455" spans="1:4">
      <c r="A455" s="100" t="str">
        <f t="shared" si="41"/>
        <v>АСУЭ.FB_IMstp_S.XONX</v>
      </c>
      <c r="B455" s="101">
        <v>11152</v>
      </c>
      <c r="C455" s="101" t="s">
        <v>0</v>
      </c>
      <c r="D455" s="103" t="str">
        <f>$R$8</f>
        <v>Телесигнализация</v>
      </c>
    </row>
    <row r="456" spans="1:4">
      <c r="A456" s="100" t="str">
        <f t="shared" si="41"/>
        <v>АСУЭ.FB_IMstp_S.XONX</v>
      </c>
      <c r="B456" s="101">
        <v>11150</v>
      </c>
      <c r="C456" s="101" t="s">
        <v>0</v>
      </c>
      <c r="D456" s="103" t="s">
        <v>337</v>
      </c>
    </row>
    <row r="457" spans="1:4">
      <c r="A457" s="170" t="str">
        <f t="shared" si="41"/>
        <v>АСУЭ.FB_IMstp_S.XONX</v>
      </c>
      <c r="B457" s="171">
        <v>11000</v>
      </c>
      <c r="C457" s="171" t="s">
        <v>5</v>
      </c>
      <c r="D457" s="172">
        <v>2147483680</v>
      </c>
    </row>
    <row r="458" spans="1:4">
      <c r="A458" s="16" t="str">
        <f t="shared" ref="A458:A467" si="42">$R$2&amp;".XTOF"</f>
        <v>АСУЭ.FB_IMstp_S.XTOF</v>
      </c>
      <c r="B458" s="17">
        <v>7998</v>
      </c>
      <c r="C458" s="17" t="s">
        <v>6</v>
      </c>
      <c r="D458" s="18">
        <v>1</v>
      </c>
    </row>
    <row r="459" spans="1:4">
      <c r="A459" s="19" t="str">
        <f t="shared" si="42"/>
        <v>АСУЭ.FB_IMstp_S.XTOF</v>
      </c>
      <c r="B459" s="11">
        <v>7999</v>
      </c>
      <c r="C459" s="11" t="s">
        <v>0</v>
      </c>
      <c r="D459" s="20" t="str">
        <f>"#"&amp;$S$2&amp;"#"&amp;$T$2&amp;"\"&amp;$P$2&amp;"\XTOF"</f>
        <v>#1#treiOPCDA.CoOPCserv.1\pcmaster\ZRU_OL1\XTOF</v>
      </c>
    </row>
    <row r="460" spans="1:4">
      <c r="A460" s="19" t="str">
        <f t="shared" si="42"/>
        <v>АСУЭ.FB_IMstp_S.XTOF</v>
      </c>
      <c r="B460" s="11">
        <v>101</v>
      </c>
      <c r="C460" s="11" t="s">
        <v>0</v>
      </c>
      <c r="D460" s="20" t="s">
        <v>1851</v>
      </c>
    </row>
    <row r="461" spans="1:4">
      <c r="A461" s="19" t="str">
        <f t="shared" si="42"/>
        <v>АСУЭ.FB_IMstp_S.XTOF</v>
      </c>
      <c r="B461" s="11">
        <v>3</v>
      </c>
      <c r="C461" s="11" t="s">
        <v>1</v>
      </c>
      <c r="D461" s="20">
        <v>192</v>
      </c>
    </row>
    <row r="462" spans="1:4">
      <c r="A462" s="19" t="str">
        <f t="shared" si="42"/>
        <v>АСУЭ.FB_IMstp_S.XTOF</v>
      </c>
      <c r="B462" s="11">
        <v>2</v>
      </c>
      <c r="C462" s="11" t="s">
        <v>2</v>
      </c>
      <c r="D462" s="20" t="s">
        <v>3</v>
      </c>
    </row>
    <row r="463" spans="1:4">
      <c r="A463" s="19" t="str">
        <f t="shared" si="42"/>
        <v>АСУЭ.FB_IMstp_S.XTOF</v>
      </c>
      <c r="B463" s="11">
        <v>1</v>
      </c>
      <c r="C463" s="11" t="s">
        <v>1</v>
      </c>
      <c r="D463" s="20">
        <v>11</v>
      </c>
    </row>
    <row r="464" spans="1:4">
      <c r="A464" s="100" t="str">
        <f t="shared" si="42"/>
        <v>АСУЭ.FB_IMstp_S.XTOF</v>
      </c>
      <c r="B464" s="101">
        <v>11154</v>
      </c>
      <c r="C464" s="101" t="s">
        <v>4</v>
      </c>
      <c r="D464" s="103">
        <f>$Q$8</f>
        <v>18</v>
      </c>
    </row>
    <row r="465" spans="1:4">
      <c r="A465" s="100" t="str">
        <f t="shared" si="42"/>
        <v>АСУЭ.FB_IMstp_S.XTOF</v>
      </c>
      <c r="B465" s="101">
        <v>11152</v>
      </c>
      <c r="C465" s="101" t="s">
        <v>0</v>
      </c>
      <c r="D465" s="103" t="str">
        <f>$R$8</f>
        <v>Телесигнализация</v>
      </c>
    </row>
    <row r="466" spans="1:4">
      <c r="A466" s="100" t="str">
        <f t="shared" si="42"/>
        <v>АСУЭ.FB_IMstp_S.XTOF</v>
      </c>
      <c r="B466" s="101">
        <v>11150</v>
      </c>
      <c r="C466" s="101" t="s">
        <v>0</v>
      </c>
      <c r="D466" s="103" t="s">
        <v>1851</v>
      </c>
    </row>
    <row r="467" spans="1:4">
      <c r="A467" s="170" t="str">
        <f t="shared" si="42"/>
        <v>АСУЭ.FB_IMstp_S.XTOF</v>
      </c>
      <c r="B467" s="171">
        <v>11000</v>
      </c>
      <c r="C467" s="171" t="s">
        <v>5</v>
      </c>
      <c r="D467" s="172">
        <v>2147483680</v>
      </c>
    </row>
    <row r="468" spans="1:4">
      <c r="A468" s="16" t="str">
        <f t="shared" ref="A468:A477" si="43">$R$2&amp;".XOFX"</f>
        <v>АСУЭ.FB_IMstp_S.XOFX</v>
      </c>
      <c r="B468" s="17">
        <v>3</v>
      </c>
      <c r="C468" s="17" t="s">
        <v>1</v>
      </c>
      <c r="D468" s="18">
        <v>192</v>
      </c>
    </row>
    <row r="469" spans="1:4">
      <c r="A469" s="19" t="str">
        <f t="shared" si="43"/>
        <v>АСУЭ.FB_IMstp_S.XOFX</v>
      </c>
      <c r="B469" s="11">
        <v>2</v>
      </c>
      <c r="C469" s="11" t="s">
        <v>2</v>
      </c>
      <c r="D469" s="20" t="s">
        <v>3</v>
      </c>
    </row>
    <row r="470" spans="1:4">
      <c r="A470" s="19" t="str">
        <f t="shared" si="43"/>
        <v>АСУЭ.FB_IMstp_S.XOFX</v>
      </c>
      <c r="B470" s="11">
        <v>1</v>
      </c>
      <c r="C470" s="11" t="s">
        <v>1</v>
      </c>
      <c r="D470" s="20">
        <v>11</v>
      </c>
    </row>
    <row r="471" spans="1:4">
      <c r="A471" s="19" t="str">
        <f t="shared" si="43"/>
        <v>АСУЭ.FB_IMstp_S.XOFX</v>
      </c>
      <c r="B471" s="11">
        <v>101</v>
      </c>
      <c r="C471" s="11" t="s">
        <v>0</v>
      </c>
      <c r="D471" s="20" t="s">
        <v>336</v>
      </c>
    </row>
    <row r="472" spans="1:4">
      <c r="A472" s="19" t="str">
        <f t="shared" si="43"/>
        <v>АСУЭ.FB_IMstp_S.XOFX</v>
      </c>
      <c r="B472" s="11">
        <v>7998</v>
      </c>
      <c r="C472" s="11" t="s">
        <v>6</v>
      </c>
      <c r="D472" s="20">
        <v>1</v>
      </c>
    </row>
    <row r="473" spans="1:4">
      <c r="A473" s="19" t="str">
        <f t="shared" si="43"/>
        <v>АСУЭ.FB_IMstp_S.XOFX</v>
      </c>
      <c r="B473" s="11">
        <v>7999</v>
      </c>
      <c r="C473" s="11" t="s">
        <v>0</v>
      </c>
      <c r="D473" s="20" t="str">
        <f>"#"&amp;$S$2&amp;"#"&amp;$T$2&amp;"\"&amp;$P$2&amp;"\XOFX"</f>
        <v>#1#treiOPCDA.CoOPCserv.1\pcmaster\ZRU_OL1\XOFX</v>
      </c>
    </row>
    <row r="474" spans="1:4">
      <c r="A474" s="100" t="str">
        <f t="shared" si="43"/>
        <v>АСУЭ.FB_IMstp_S.XOFX</v>
      </c>
      <c r="B474" s="101">
        <v>11154</v>
      </c>
      <c r="C474" s="101" t="s">
        <v>4</v>
      </c>
      <c r="D474" s="103">
        <f>$Q$8</f>
        <v>18</v>
      </c>
    </row>
    <row r="475" spans="1:4">
      <c r="A475" s="100" t="str">
        <f t="shared" si="43"/>
        <v>АСУЭ.FB_IMstp_S.XOFX</v>
      </c>
      <c r="B475" s="101">
        <v>11152</v>
      </c>
      <c r="C475" s="101" t="s">
        <v>0</v>
      </c>
      <c r="D475" s="103" t="str">
        <f>$R$8</f>
        <v>Телесигнализация</v>
      </c>
    </row>
    <row r="476" spans="1:4">
      <c r="A476" s="100" t="str">
        <f t="shared" si="43"/>
        <v>АСУЭ.FB_IMstp_S.XOFX</v>
      </c>
      <c r="B476" s="101">
        <v>11150</v>
      </c>
      <c r="C476" s="101" t="s">
        <v>0</v>
      </c>
      <c r="D476" s="103" t="s">
        <v>336</v>
      </c>
    </row>
    <row r="477" spans="1:4">
      <c r="A477" s="170" t="str">
        <f t="shared" si="43"/>
        <v>АСУЭ.FB_IMstp_S.XOFX</v>
      </c>
      <c r="B477" s="171">
        <v>11000</v>
      </c>
      <c r="C477" s="171" t="s">
        <v>5</v>
      </c>
      <c r="D477" s="172">
        <v>2147483680</v>
      </c>
    </row>
    <row r="478" spans="1:4">
      <c r="A478" s="16" t="str">
        <f t="shared" ref="A478:A487" si="44">$R$2&amp;".CAON"</f>
        <v>АСУЭ.FB_IMstp_S.CAON</v>
      </c>
      <c r="B478" s="17">
        <v>3</v>
      </c>
      <c r="C478" s="17" t="s">
        <v>1</v>
      </c>
      <c r="D478" s="18">
        <v>192</v>
      </c>
    </row>
    <row r="479" spans="1:4">
      <c r="A479" s="19" t="str">
        <f t="shared" si="44"/>
        <v>АСУЭ.FB_IMstp_S.CAON</v>
      </c>
      <c r="B479" s="11">
        <v>2</v>
      </c>
      <c r="C479" s="11" t="s">
        <v>2</v>
      </c>
      <c r="D479" s="20" t="s">
        <v>3</v>
      </c>
    </row>
    <row r="480" spans="1:4">
      <c r="A480" s="19" t="str">
        <f t="shared" si="44"/>
        <v>АСУЭ.FB_IMstp_S.CAON</v>
      </c>
      <c r="B480" s="11">
        <v>1</v>
      </c>
      <c r="C480" s="11" t="s">
        <v>1</v>
      </c>
      <c r="D480" s="20">
        <v>11</v>
      </c>
    </row>
    <row r="481" spans="1:4">
      <c r="A481" s="19" t="str">
        <f t="shared" si="44"/>
        <v>АСУЭ.FB_IMstp_S.CAON</v>
      </c>
      <c r="B481" s="11">
        <v>7998</v>
      </c>
      <c r="C481" s="11" t="s">
        <v>6</v>
      </c>
      <c r="D481" s="20">
        <v>1</v>
      </c>
    </row>
    <row r="482" spans="1:4">
      <c r="A482" s="19" t="str">
        <f t="shared" si="44"/>
        <v>АСУЭ.FB_IMstp_S.CAON</v>
      </c>
      <c r="B482" s="11">
        <v>7999</v>
      </c>
      <c r="C482" s="11" t="s">
        <v>0</v>
      </c>
      <c r="D482" s="20" t="str">
        <f>"#"&amp;$S$2&amp;"#"&amp;$T$2&amp;"\"&amp;$P$2&amp;"\CAON"</f>
        <v>#1#treiOPCDA.CoOPCserv.1\pcmaster\ZRU_OL1\CAON</v>
      </c>
    </row>
    <row r="483" spans="1:4">
      <c r="A483" s="19" t="str">
        <f t="shared" si="44"/>
        <v>АСУЭ.FB_IMstp_S.CAON</v>
      </c>
      <c r="B483" s="11">
        <v>101</v>
      </c>
      <c r="C483" s="11" t="s">
        <v>0</v>
      </c>
      <c r="D483" s="20" t="s">
        <v>1843</v>
      </c>
    </row>
    <row r="484" spans="1:4">
      <c r="A484" s="100" t="str">
        <f t="shared" si="44"/>
        <v>АСУЭ.FB_IMstp_S.CAON</v>
      </c>
      <c r="B484" s="101">
        <v>11154</v>
      </c>
      <c r="C484" s="101" t="s">
        <v>4</v>
      </c>
      <c r="D484" s="103">
        <f>$Q$8</f>
        <v>18</v>
      </c>
    </row>
    <row r="485" spans="1:4">
      <c r="A485" s="100" t="str">
        <f t="shared" si="44"/>
        <v>АСУЭ.FB_IMstp_S.CAON</v>
      </c>
      <c r="B485" s="101">
        <v>11152</v>
      </c>
      <c r="C485" s="101" t="s">
        <v>0</v>
      </c>
      <c r="D485" s="103" t="str">
        <f>$R$8</f>
        <v>Телесигнализация</v>
      </c>
    </row>
    <row r="486" spans="1:4">
      <c r="A486" s="100" t="str">
        <f t="shared" si="44"/>
        <v>АСУЭ.FB_IMstp_S.CAON</v>
      </c>
      <c r="B486" s="101">
        <v>11150</v>
      </c>
      <c r="C486" s="101" t="s">
        <v>0</v>
      </c>
      <c r="D486" s="103" t="s">
        <v>1843</v>
      </c>
    </row>
    <row r="487" spans="1:4">
      <c r="A487" s="100" t="str">
        <f t="shared" si="44"/>
        <v>АСУЭ.FB_IMstp_S.CAON</v>
      </c>
      <c r="B487" s="101">
        <v>11000</v>
      </c>
      <c r="C487" s="101" t="s">
        <v>5</v>
      </c>
      <c r="D487" s="103">
        <v>2147483680</v>
      </c>
    </row>
    <row r="488" spans="1:4">
      <c r="A488" s="16" t="str">
        <f t="shared" ref="A488:A497" si="45">$R$2&amp;".CAOF"</f>
        <v>АСУЭ.FB_IMstp_S.CAOF</v>
      </c>
      <c r="B488" s="17">
        <v>3</v>
      </c>
      <c r="C488" s="17" t="s">
        <v>1</v>
      </c>
      <c r="D488" s="18">
        <v>192</v>
      </c>
    </row>
    <row r="489" spans="1:4">
      <c r="A489" s="19" t="str">
        <f t="shared" si="45"/>
        <v>АСУЭ.FB_IMstp_S.CAOF</v>
      </c>
      <c r="B489" s="11">
        <v>2</v>
      </c>
      <c r="C489" s="11" t="s">
        <v>2</v>
      </c>
      <c r="D489" s="20" t="s">
        <v>3</v>
      </c>
    </row>
    <row r="490" spans="1:4">
      <c r="A490" s="19" t="str">
        <f t="shared" si="45"/>
        <v>АСУЭ.FB_IMstp_S.CAOF</v>
      </c>
      <c r="B490" s="11">
        <v>1</v>
      </c>
      <c r="C490" s="11" t="s">
        <v>1</v>
      </c>
      <c r="D490" s="20">
        <v>11</v>
      </c>
    </row>
    <row r="491" spans="1:4">
      <c r="A491" s="19" t="str">
        <f t="shared" si="45"/>
        <v>АСУЭ.FB_IMstp_S.CAOF</v>
      </c>
      <c r="B491" s="11">
        <v>7998</v>
      </c>
      <c r="C491" s="11" t="s">
        <v>6</v>
      </c>
      <c r="D491" s="20">
        <v>1</v>
      </c>
    </row>
    <row r="492" spans="1:4">
      <c r="A492" s="19" t="str">
        <f t="shared" si="45"/>
        <v>АСУЭ.FB_IMstp_S.CAOF</v>
      </c>
      <c r="B492" s="11">
        <v>7999</v>
      </c>
      <c r="C492" s="11" t="s">
        <v>0</v>
      </c>
      <c r="D492" s="20" t="str">
        <f>"#"&amp;$S$2&amp;"#"&amp;$T$2&amp;"\"&amp;$P$2&amp;"\CAOF"</f>
        <v>#1#treiOPCDA.CoOPCserv.1\pcmaster\ZRU_OL1\CAOF</v>
      </c>
    </row>
    <row r="493" spans="1:4">
      <c r="A493" s="19" t="str">
        <f t="shared" si="45"/>
        <v>АСУЭ.FB_IMstp_S.CAOF</v>
      </c>
      <c r="B493" s="11">
        <v>101</v>
      </c>
      <c r="C493" s="11" t="s">
        <v>0</v>
      </c>
      <c r="D493" s="20" t="s">
        <v>1844</v>
      </c>
    </row>
    <row r="494" spans="1:4">
      <c r="A494" s="100" t="str">
        <f t="shared" si="45"/>
        <v>АСУЭ.FB_IMstp_S.CAOF</v>
      </c>
      <c r="B494" s="101">
        <v>11154</v>
      </c>
      <c r="C494" s="101" t="s">
        <v>4</v>
      </c>
      <c r="D494" s="103">
        <f>$Q$8</f>
        <v>18</v>
      </c>
    </row>
    <row r="495" spans="1:4">
      <c r="A495" s="100" t="str">
        <f t="shared" si="45"/>
        <v>АСУЭ.FB_IMstp_S.CAOF</v>
      </c>
      <c r="B495" s="101">
        <v>11152</v>
      </c>
      <c r="C495" s="101" t="s">
        <v>0</v>
      </c>
      <c r="D495" s="103" t="str">
        <f>$R$8</f>
        <v>Телесигнализация</v>
      </c>
    </row>
    <row r="496" spans="1:4">
      <c r="A496" s="100" t="str">
        <f t="shared" si="45"/>
        <v>АСУЭ.FB_IMstp_S.CAOF</v>
      </c>
      <c r="B496" s="101">
        <v>11150</v>
      </c>
      <c r="C496" s="101" t="s">
        <v>0</v>
      </c>
      <c r="D496" s="103" t="s">
        <v>1844</v>
      </c>
    </row>
    <row r="497" spans="1:4">
      <c r="A497" s="170" t="str">
        <f t="shared" si="45"/>
        <v>АСУЭ.FB_IMstp_S.CAOF</v>
      </c>
      <c r="B497" s="171">
        <v>11000</v>
      </c>
      <c r="C497" s="171" t="s">
        <v>5</v>
      </c>
      <c r="D497" s="172">
        <v>2147483680</v>
      </c>
    </row>
    <row r="498" spans="1:4">
      <c r="A498" s="19" t="str">
        <f>$R$2&amp;".Commands.COON"</f>
        <v>АСУЭ.FB_IMstp_S.Commands.COON</v>
      </c>
      <c r="B498" s="11">
        <v>7999</v>
      </c>
      <c r="C498" s="11" t="s">
        <v>0</v>
      </c>
      <c r="D498" s="20" t="str">
        <f>"#"&amp;$T$5&amp;"#"&amp;$T$2&amp;"\"&amp;$P$2&amp;"\COON"</f>
        <v>#1#treiOPCDA.CoOPCserv.1\pcmaster\ZRU_OL1\COON</v>
      </c>
    </row>
    <row r="499" spans="1:4">
      <c r="A499" s="19" t="str">
        <f>$R$2&amp;".Commands.COON"</f>
        <v>АСУЭ.FB_IMstp_S.Commands.COON</v>
      </c>
      <c r="B499" s="11">
        <v>7998</v>
      </c>
      <c r="C499" s="11" t="s">
        <v>6</v>
      </c>
      <c r="D499" s="20">
        <v>2</v>
      </c>
    </row>
    <row r="500" spans="1:4">
      <c r="A500" s="19" t="str">
        <f>$R$2&amp;".Commands.COON"</f>
        <v>АСУЭ.FB_IMstp_S.Commands.COON</v>
      </c>
      <c r="B500" s="11">
        <v>1</v>
      </c>
      <c r="C500" s="11" t="s">
        <v>1</v>
      </c>
      <c r="D500" s="20">
        <v>11</v>
      </c>
    </row>
    <row r="501" spans="1:4">
      <c r="A501" s="21" t="str">
        <f>$R$2&amp;".Commands.COON"</f>
        <v>АСУЭ.FB_IMstp_S.Commands.COON</v>
      </c>
      <c r="B501" s="8">
        <v>101</v>
      </c>
      <c r="C501" s="8" t="s">
        <v>0</v>
      </c>
      <c r="D501" s="22" t="s">
        <v>112</v>
      </c>
    </row>
    <row r="502" spans="1:4">
      <c r="A502" s="16" t="str">
        <f>$R$2&amp;".Commands.CMMX"</f>
        <v>АСУЭ.FB_IMstp_S.Commands.CMMX</v>
      </c>
      <c r="B502" s="17">
        <v>7999</v>
      </c>
      <c r="C502" s="17" t="s">
        <v>0</v>
      </c>
      <c r="D502" s="18" t="str">
        <f>"#"&amp;$T$5&amp;"#"&amp;$T$2&amp;"\"&amp;$P$2&amp;"\CMMX"</f>
        <v>#1#treiOPCDA.CoOPCserv.1\pcmaster\ZRU_OL1\CMMX</v>
      </c>
    </row>
    <row r="503" spans="1:4">
      <c r="A503" s="19" t="str">
        <f>$R$2&amp;".Commands.CMMX"</f>
        <v>АСУЭ.FB_IMstp_S.Commands.CMMX</v>
      </c>
      <c r="B503" s="11">
        <v>7998</v>
      </c>
      <c r="C503" s="11" t="s">
        <v>6</v>
      </c>
      <c r="D503" s="20">
        <v>2</v>
      </c>
    </row>
    <row r="504" spans="1:4">
      <c r="A504" s="19" t="str">
        <f>$R$2&amp;".Commands.CMMX"</f>
        <v>АСУЭ.FB_IMstp_S.Commands.CMMX</v>
      </c>
      <c r="B504" s="11">
        <v>1</v>
      </c>
      <c r="C504" s="11" t="s">
        <v>1</v>
      </c>
      <c r="D504" s="20">
        <v>11</v>
      </c>
    </row>
    <row r="505" spans="1:4">
      <c r="A505" s="21" t="str">
        <f>$R$2&amp;".Commands.CMMX"</f>
        <v>АСУЭ.FB_IMstp_S.Commands.CMMX</v>
      </c>
      <c r="B505" s="8">
        <v>101</v>
      </c>
      <c r="C505" s="8" t="s">
        <v>0</v>
      </c>
      <c r="D505" s="22" t="s">
        <v>94</v>
      </c>
    </row>
    <row r="506" spans="1:4">
      <c r="A506" s="16" t="str">
        <f>$R$2&amp;".Commands.CRST"</f>
        <v>АСУЭ.FB_IMstp_S.Commands.CRST</v>
      </c>
      <c r="B506" s="17">
        <v>7999</v>
      </c>
      <c r="C506" s="17" t="s">
        <v>0</v>
      </c>
      <c r="D506" s="18" t="str">
        <f>"#"&amp;$T$5&amp;"#"&amp;$T$2&amp;"\"&amp;$P$2&amp;"\CRST"</f>
        <v>#1#treiOPCDA.CoOPCserv.1\pcmaster\ZRU_OL1\CRST</v>
      </c>
    </row>
    <row r="507" spans="1:4">
      <c r="A507" s="19" t="str">
        <f>$R$2&amp;".Commands.CRST"</f>
        <v>АСУЭ.FB_IMstp_S.Commands.CRST</v>
      </c>
      <c r="B507" s="11">
        <v>7998</v>
      </c>
      <c r="C507" s="11" t="s">
        <v>6</v>
      </c>
      <c r="D507" s="20">
        <v>2</v>
      </c>
    </row>
    <row r="508" spans="1:4">
      <c r="A508" s="19" t="str">
        <f>$R$2&amp;".Commands.CRST"</f>
        <v>АСУЭ.FB_IMstp_S.Commands.CRST</v>
      </c>
      <c r="B508" s="11">
        <v>1</v>
      </c>
      <c r="C508" s="11" t="s">
        <v>1</v>
      </c>
      <c r="D508" s="20">
        <v>11</v>
      </c>
    </row>
    <row r="509" spans="1:4">
      <c r="A509" s="21" t="str">
        <f>$R$2&amp;".Commands.CRST"</f>
        <v>АСУЭ.FB_IMstp_S.Commands.CRST</v>
      </c>
      <c r="B509" s="8">
        <v>101</v>
      </c>
      <c r="C509" s="8" t="s">
        <v>0</v>
      </c>
      <c r="D509" s="22" t="s">
        <v>114</v>
      </c>
    </row>
    <row r="510" spans="1:4">
      <c r="A510" s="16" t="str">
        <f>$R$2&amp;".Commands.CRPX"</f>
        <v>АСУЭ.FB_IMstp_S.Commands.CRPX</v>
      </c>
      <c r="B510" s="17">
        <v>7999</v>
      </c>
      <c r="C510" s="17" t="s">
        <v>0</v>
      </c>
      <c r="D510" s="18" t="str">
        <f>"#"&amp;$T$5&amp;"#"&amp;$T$2&amp;"\"&amp;$P$2&amp;"\CRPX"</f>
        <v>#1#treiOPCDA.CoOPCserv.1\pcmaster\ZRU_OL1\CRPX</v>
      </c>
    </row>
    <row r="511" spans="1:4">
      <c r="A511" s="19" t="str">
        <f>$R$2&amp;".Commands.CRPX"</f>
        <v>АСУЭ.FB_IMstp_S.Commands.CRPX</v>
      </c>
      <c r="B511" s="11">
        <v>7998</v>
      </c>
      <c r="C511" s="11" t="s">
        <v>6</v>
      </c>
      <c r="D511" s="20">
        <v>2</v>
      </c>
    </row>
    <row r="512" spans="1:4">
      <c r="A512" s="19" t="str">
        <f>$R$2&amp;".Commands.CRPX"</f>
        <v>АСУЭ.FB_IMstp_S.Commands.CRPX</v>
      </c>
      <c r="B512" s="11">
        <v>1</v>
      </c>
      <c r="C512" s="11" t="s">
        <v>1</v>
      </c>
      <c r="D512" s="20">
        <v>11</v>
      </c>
    </row>
    <row r="513" spans="1:4">
      <c r="A513" s="21" t="str">
        <f>$R$2&amp;".Commands.CRPX"</f>
        <v>АСУЭ.FB_IMstp_S.Commands.CRPX</v>
      </c>
      <c r="B513" s="8">
        <v>101</v>
      </c>
      <c r="C513" s="8" t="s">
        <v>0</v>
      </c>
      <c r="D513" s="22" t="s">
        <v>113</v>
      </c>
    </row>
    <row r="514" spans="1:4">
      <c r="A514" s="16" t="str">
        <f>$R$2&amp;".Commands.COOF"</f>
        <v>АСУЭ.FB_IMstp_S.Commands.COOF</v>
      </c>
      <c r="B514" s="17">
        <v>7999</v>
      </c>
      <c r="C514" s="17" t="s">
        <v>0</v>
      </c>
      <c r="D514" s="18" t="str">
        <f>"#"&amp;$T$5&amp;"#"&amp;$T$2&amp;"\"&amp;$P$2&amp;"\COOF"</f>
        <v>#1#treiOPCDA.CoOPCserv.1\pcmaster\ZRU_OL1\COOF</v>
      </c>
    </row>
    <row r="515" spans="1:4">
      <c r="A515" s="19" t="str">
        <f>$R$2&amp;".Commands.COOF"</f>
        <v>АСУЭ.FB_IMstp_S.Commands.COOF</v>
      </c>
      <c r="B515" s="11">
        <v>7998</v>
      </c>
      <c r="C515" s="11" t="s">
        <v>6</v>
      </c>
      <c r="D515" s="20">
        <v>2</v>
      </c>
    </row>
    <row r="516" spans="1:4">
      <c r="A516" s="19" t="str">
        <f>$R$2&amp;".Commands.COOF"</f>
        <v>АСУЭ.FB_IMstp_S.Commands.COOF</v>
      </c>
      <c r="B516" s="11">
        <v>1</v>
      </c>
      <c r="C516" s="11" t="s">
        <v>1</v>
      </c>
      <c r="D516" s="20">
        <v>11</v>
      </c>
    </row>
    <row r="517" spans="1:4">
      <c r="A517" s="21" t="str">
        <f>$R$2&amp;".Commands.COOF"</f>
        <v>АСУЭ.FB_IMstp_S.Commands.COOF</v>
      </c>
      <c r="B517" s="8">
        <v>101</v>
      </c>
      <c r="C517" s="8" t="s">
        <v>0</v>
      </c>
      <c r="D517" s="22" t="s">
        <v>124</v>
      </c>
    </row>
    <row r="518" spans="1:4">
      <c r="A518" s="294" t="str">
        <f>$R$2&amp;".Commands.SRQX"</f>
        <v>АСУЭ.FB_IMstp_S.Commands.SRQX</v>
      </c>
      <c r="B518" s="295">
        <v>101</v>
      </c>
      <c r="C518" s="295" t="s">
        <v>0</v>
      </c>
      <c r="D518" s="296" t="s">
        <v>125</v>
      </c>
    </row>
    <row r="519" spans="1:4">
      <c r="A519" s="288" t="str">
        <f>$R$2&amp;".Commands.SRQX"</f>
        <v>АСУЭ.FB_IMstp_S.Commands.SRQX</v>
      </c>
      <c r="B519" s="289">
        <v>1</v>
      </c>
      <c r="C519" s="289" t="s">
        <v>1</v>
      </c>
      <c r="D519" s="290">
        <v>3</v>
      </c>
    </row>
    <row r="520" spans="1:4">
      <c r="A520" s="288" t="str">
        <f>$R$2&amp;".Commands.SRQX"</f>
        <v>АСУЭ.FB_IMstp_S.Commands.SRQX</v>
      </c>
      <c r="B520" s="289">
        <v>7998</v>
      </c>
      <c r="C520" s="289" t="s">
        <v>6</v>
      </c>
      <c r="D520" s="290">
        <v>2</v>
      </c>
    </row>
    <row r="521" spans="1:4">
      <c r="A521" s="291" t="str">
        <f>$R$2&amp;".Commands.SRQX"</f>
        <v>АСУЭ.FB_IMstp_S.Commands.SRQX</v>
      </c>
      <c r="B521" s="292">
        <v>7999</v>
      </c>
      <c r="C521" s="292" t="s">
        <v>0</v>
      </c>
      <c r="D521" s="293" t="str">
        <f>"#"&amp;$T$5&amp;"#"&amp;$T$2&amp;"\"&amp;$P$2&amp;"\SRQX"</f>
        <v>#1#treiOPCDA.CoOPCserv.1\pcmaster\ZRU_OL1\SRQX</v>
      </c>
    </row>
    <row r="522" spans="1:4">
      <c r="A522" s="294" t="str">
        <f>$R$2&amp;".Commands.SRPT"</f>
        <v>АСУЭ.FB_IMstp_S.Commands.SRPT</v>
      </c>
      <c r="B522" s="295">
        <v>101</v>
      </c>
      <c r="C522" s="295" t="s">
        <v>0</v>
      </c>
      <c r="D522" s="296" t="s">
        <v>126</v>
      </c>
    </row>
    <row r="523" spans="1:4">
      <c r="A523" s="288" t="str">
        <f>$R$2&amp;".Commands.SRPT"</f>
        <v>АСУЭ.FB_IMstp_S.Commands.SRPT</v>
      </c>
      <c r="B523" s="289">
        <v>1</v>
      </c>
      <c r="C523" s="289" t="s">
        <v>1</v>
      </c>
      <c r="D523" s="290">
        <v>3</v>
      </c>
    </row>
    <row r="524" spans="1:4">
      <c r="A524" s="288" t="str">
        <f>$R$2&amp;".Commands.SRPT"</f>
        <v>АСУЭ.FB_IMstp_S.Commands.SRPT</v>
      </c>
      <c r="B524" s="289">
        <v>7998</v>
      </c>
      <c r="C524" s="289" t="s">
        <v>6</v>
      </c>
      <c r="D524" s="290">
        <v>2</v>
      </c>
    </row>
    <row r="525" spans="1:4">
      <c r="A525" s="291" t="str">
        <f>$R$2&amp;".Commands.SRPT"</f>
        <v>АСУЭ.FB_IMstp_S.Commands.SRPT</v>
      </c>
      <c r="B525" s="292">
        <v>7999</v>
      </c>
      <c r="C525" s="292" t="s">
        <v>0</v>
      </c>
      <c r="D525" s="293" t="str">
        <f>"#"&amp;$T$5&amp;"#"&amp;$T$2&amp;"\"&amp;$P$2&amp;"\SRPT"</f>
        <v>#1#treiOPCDA.CoOPCserv.1\pcmaster\ZRU_OL1\SRPT</v>
      </c>
    </row>
    <row r="526" spans="1:4">
      <c r="A526" s="266" t="str">
        <f>$R$2&amp;".Commands.TCON"</f>
        <v>АСУЭ.FB_IMstp_S.Commands.TCON</v>
      </c>
      <c r="B526" s="267">
        <v>101</v>
      </c>
      <c r="C526" s="267" t="s">
        <v>0</v>
      </c>
      <c r="D526" s="268" t="s">
        <v>274</v>
      </c>
    </row>
    <row r="527" spans="1:4">
      <c r="A527" s="269" t="str">
        <f>$R$2&amp;".Commands.TCON"</f>
        <v>АСУЭ.FB_IMstp_S.Commands.TCON</v>
      </c>
      <c r="B527" s="270">
        <v>1</v>
      </c>
      <c r="C527" s="270" t="s">
        <v>1</v>
      </c>
      <c r="D527" s="271">
        <v>3</v>
      </c>
    </row>
    <row r="528" spans="1:4">
      <c r="A528" s="269" t="str">
        <f>$R$2&amp;".Commands.TCON"</f>
        <v>АСУЭ.FB_IMstp_S.Commands.TCON</v>
      </c>
      <c r="B528" s="270">
        <v>7998</v>
      </c>
      <c r="C528" s="270" t="s">
        <v>6</v>
      </c>
      <c r="D528" s="271">
        <v>2</v>
      </c>
    </row>
    <row r="529" spans="1:4">
      <c r="A529" s="272" t="str">
        <f>$R$2&amp;".Commands.TCON"</f>
        <v>АСУЭ.FB_IMstp_S.Commands.TCON</v>
      </c>
      <c r="B529" s="273">
        <v>7999</v>
      </c>
      <c r="C529" s="273" t="s">
        <v>0</v>
      </c>
      <c r="D529" s="274" t="str">
        <f>"#"&amp;$T$5&amp;"#"&amp;$T$2&amp;"\"&amp;$P$2&amp;"\TCON"</f>
        <v>#1#treiOPCDA.CoOPCserv.1\pcmaster\ZRU_OL1\TCON</v>
      </c>
    </row>
    <row r="530" spans="1:4">
      <c r="A530" s="266" t="str">
        <f>$R$2&amp;".Commands.TCOF"</f>
        <v>АСУЭ.FB_IMstp_S.Commands.TCOF</v>
      </c>
      <c r="B530" s="267">
        <v>101</v>
      </c>
      <c r="C530" s="267" t="s">
        <v>0</v>
      </c>
      <c r="D530" s="268" t="s">
        <v>275</v>
      </c>
    </row>
    <row r="531" spans="1:4">
      <c r="A531" s="269" t="str">
        <f>$R$2&amp;".Commands.TCOF"</f>
        <v>АСУЭ.FB_IMstp_S.Commands.TCOF</v>
      </c>
      <c r="B531" s="270">
        <v>1</v>
      </c>
      <c r="C531" s="270" t="s">
        <v>1</v>
      </c>
      <c r="D531" s="271">
        <v>3</v>
      </c>
    </row>
    <row r="532" spans="1:4">
      <c r="A532" s="269" t="str">
        <f>$R$2&amp;".Commands.TCOF"</f>
        <v>АСУЭ.FB_IMstp_S.Commands.TCOF</v>
      </c>
      <c r="B532" s="270">
        <v>7998</v>
      </c>
      <c r="C532" s="270" t="s">
        <v>6</v>
      </c>
      <c r="D532" s="271">
        <v>2</v>
      </c>
    </row>
    <row r="533" spans="1:4">
      <c r="A533" s="272" t="str">
        <f>$R$2&amp;".Commands.TCOF"</f>
        <v>АСУЭ.FB_IMstp_S.Commands.TCOF</v>
      </c>
      <c r="B533" s="273">
        <v>7999</v>
      </c>
      <c r="C533" s="273" t="s">
        <v>0</v>
      </c>
      <c r="D533" s="274" t="str">
        <f>"#"&amp;$T$5&amp;"#"&amp;$T$2&amp;"\"&amp;$P$2&amp;"\TCOF"</f>
        <v>#1#treiOPCDA.CoOPCserv.1\pcmaster\ZRU_OL1\TCOF</v>
      </c>
    </row>
    <row r="534" spans="1:4">
      <c r="A534" s="266" t="str">
        <f>$R$2&amp;".Commands.STSX"</f>
        <v>АСУЭ.FB_IMstp_S.Commands.STSX</v>
      </c>
      <c r="B534" s="267">
        <v>7999</v>
      </c>
      <c r="C534" s="267" t="s">
        <v>0</v>
      </c>
      <c r="D534" s="268" t="str">
        <f>"#"&amp;$T$5&amp;"#"&amp;$T$2&amp;"\"&amp;$P$2&amp;"\STSX"</f>
        <v>#1#treiOPCDA.CoOPCserv.1\pcmaster\ZRU_OL1\STSX</v>
      </c>
    </row>
    <row r="535" spans="1:4">
      <c r="A535" s="269" t="str">
        <f>$R$2&amp;".Commands.STSX"</f>
        <v>АСУЭ.FB_IMstp_S.Commands.STSX</v>
      </c>
      <c r="B535" s="270">
        <v>7998</v>
      </c>
      <c r="C535" s="270" t="s">
        <v>6</v>
      </c>
      <c r="D535" s="271">
        <v>2</v>
      </c>
    </row>
    <row r="536" spans="1:4">
      <c r="A536" s="269" t="str">
        <f>$R$2&amp;".Commands.STSX"</f>
        <v>АСУЭ.FB_IMstp_S.Commands.STSX</v>
      </c>
      <c r="B536" s="270">
        <v>1</v>
      </c>
      <c r="C536" s="270" t="s">
        <v>1</v>
      </c>
      <c r="D536" s="271">
        <v>3</v>
      </c>
    </row>
    <row r="537" spans="1:4">
      <c r="A537" s="272" t="str">
        <f>$R$2&amp;".Commands.STSX"</f>
        <v>АСУЭ.FB_IMstp_S.Commands.STSX</v>
      </c>
      <c r="B537" s="273">
        <v>101</v>
      </c>
      <c r="C537" s="273" t="s">
        <v>0</v>
      </c>
      <c r="D537" s="274" t="s">
        <v>128</v>
      </c>
    </row>
    <row r="538" spans="1:4">
      <c r="A538" s="16" t="str">
        <f>$R$2&amp;".Commands.CRRX"</f>
        <v>АСУЭ.FB_IMstp_S.Commands.CRRX</v>
      </c>
      <c r="B538" s="17">
        <v>101</v>
      </c>
      <c r="C538" s="17" t="s">
        <v>0</v>
      </c>
      <c r="D538" s="18" t="s">
        <v>116</v>
      </c>
    </row>
    <row r="539" spans="1:4">
      <c r="A539" s="19" t="str">
        <f>$R$2&amp;".Commands.CRRX"</f>
        <v>АСУЭ.FB_IMstp_S.Commands.CRRX</v>
      </c>
      <c r="B539" s="11">
        <v>1</v>
      </c>
      <c r="C539" s="11" t="s">
        <v>1</v>
      </c>
      <c r="D539" s="20">
        <v>11</v>
      </c>
    </row>
    <row r="540" spans="1:4">
      <c r="A540" s="19" t="str">
        <f>$R$2&amp;".Commands.CRRX"</f>
        <v>АСУЭ.FB_IMstp_S.Commands.CRRX</v>
      </c>
      <c r="B540" s="11">
        <v>7998</v>
      </c>
      <c r="C540" s="11" t="s">
        <v>6</v>
      </c>
      <c r="D540" s="20">
        <v>2</v>
      </c>
    </row>
    <row r="541" spans="1:4">
      <c r="A541" s="21" t="str">
        <f>$R$2&amp;".Commands.CRRX"</f>
        <v>АСУЭ.FB_IMstp_S.Commands.CRRX</v>
      </c>
      <c r="B541" s="8">
        <v>7999</v>
      </c>
      <c r="C541" s="8" t="s">
        <v>0</v>
      </c>
      <c r="D541" s="22" t="str">
        <f>"#"&amp;$T$5&amp;"#"&amp;$T$2&amp;"\"&amp;$P$2&amp;"\CRRX"</f>
        <v>#1#treiOPCDA.CoOPCserv.1\pcmaster\ZRU_OL1\CRRX</v>
      </c>
    </row>
    <row r="542" spans="1:4">
      <c r="A542" s="16" t="str">
        <f>$R$2&amp;".Commands.CPSL"</f>
        <v>АСУЭ.FB_IMstp_S.Commands.CPSL</v>
      </c>
      <c r="B542" s="17">
        <v>101</v>
      </c>
      <c r="C542" s="17" t="s">
        <v>0</v>
      </c>
      <c r="D542" s="18" t="s">
        <v>279</v>
      </c>
    </row>
    <row r="543" spans="1:4">
      <c r="A543" s="19" t="str">
        <f>$R$2&amp;".Commands.CPSL"</f>
        <v>АСУЭ.FB_IMstp_S.Commands.CPSL</v>
      </c>
      <c r="B543" s="11">
        <v>1</v>
      </c>
      <c r="C543" s="11" t="s">
        <v>1</v>
      </c>
      <c r="D543" s="20">
        <v>11</v>
      </c>
    </row>
    <row r="544" spans="1:4">
      <c r="A544" s="19" t="str">
        <f>$R$2&amp;".Commands.CPSL"</f>
        <v>АСУЭ.FB_IMstp_S.Commands.CPSL</v>
      </c>
      <c r="B544" s="11">
        <v>7998</v>
      </c>
      <c r="C544" s="11" t="s">
        <v>6</v>
      </c>
      <c r="D544" s="20">
        <v>2</v>
      </c>
    </row>
    <row r="545" spans="1:4">
      <c r="A545" s="21" t="str">
        <f>$R$2&amp;".Commands.CPSL"</f>
        <v>АСУЭ.FB_IMstp_S.Commands.CPSL</v>
      </c>
      <c r="B545" s="8">
        <v>7999</v>
      </c>
      <c r="C545" s="8" t="s">
        <v>0</v>
      </c>
      <c r="D545" s="22" t="str">
        <f>"#"&amp;$T$5&amp;"#"&amp;$T$2&amp;"\"&amp;$P$2&amp;"\CPSL"</f>
        <v>#1#treiOPCDA.CoOPCserv.1\pcmaster\ZRU_OL1\CPSL</v>
      </c>
    </row>
    <row r="546" spans="1:4">
      <c r="A546" s="16" t="str">
        <f>$R$2&amp;".Commands.CPSP"</f>
        <v>АСУЭ.FB_IMstp_S.Commands.CPSP</v>
      </c>
      <c r="B546" s="17">
        <v>101</v>
      </c>
      <c r="C546" s="17" t="s">
        <v>0</v>
      </c>
      <c r="D546" s="18" t="s">
        <v>280</v>
      </c>
    </row>
    <row r="547" spans="1:4">
      <c r="A547" s="19" t="str">
        <f>$R$2&amp;".Commands.CPSP"</f>
        <v>АСУЭ.FB_IMstp_S.Commands.CPSP</v>
      </c>
      <c r="B547" s="11">
        <v>1</v>
      </c>
      <c r="C547" s="11" t="s">
        <v>1</v>
      </c>
      <c r="D547" s="20">
        <v>11</v>
      </c>
    </row>
    <row r="548" spans="1:4">
      <c r="A548" s="19" t="str">
        <f>$R$2&amp;".Commands.CPSP"</f>
        <v>АСУЭ.FB_IMstp_S.Commands.CPSP</v>
      </c>
      <c r="B548" s="11">
        <v>7998</v>
      </c>
      <c r="C548" s="11" t="s">
        <v>6</v>
      </c>
      <c r="D548" s="20">
        <v>2</v>
      </c>
    </row>
    <row r="549" spans="1:4">
      <c r="A549" s="21" t="str">
        <f>$R$2&amp;".Commands.CPSP"</f>
        <v>АСУЭ.FB_IMstp_S.Commands.CPSP</v>
      </c>
      <c r="B549" s="8">
        <v>7999</v>
      </c>
      <c r="C549" s="8" t="s">
        <v>0</v>
      </c>
      <c r="D549" s="22" t="str">
        <f>"#"&amp;$T$5&amp;"#"&amp;$T$2&amp;"\"&amp;$P$2&amp;"\CPSP"</f>
        <v>#1#treiOPCDA.CoOPCserv.1\pcmaster\ZRU_OL1\CPSP</v>
      </c>
    </row>
    <row r="550" spans="1:4">
      <c r="A550" s="16" t="str">
        <f>$R$2&amp;".Commands.CPSG"</f>
        <v>АСУЭ.FB_IMstp_S.Commands.CPSG</v>
      </c>
      <c r="B550" s="17">
        <v>101</v>
      </c>
      <c r="C550" s="17" t="s">
        <v>0</v>
      </c>
      <c r="D550" s="18" t="s">
        <v>281</v>
      </c>
    </row>
    <row r="551" spans="1:4">
      <c r="A551" s="19" t="str">
        <f>$R$2&amp;".Commands.CPSG"</f>
        <v>АСУЭ.FB_IMstp_S.Commands.CPSG</v>
      </c>
      <c r="B551" s="11">
        <v>1</v>
      </c>
      <c r="C551" s="11" t="s">
        <v>1</v>
      </c>
      <c r="D551" s="20">
        <v>11</v>
      </c>
    </row>
    <row r="552" spans="1:4">
      <c r="A552" s="19" t="str">
        <f>$R$2&amp;".Commands.CPSG"</f>
        <v>АСУЭ.FB_IMstp_S.Commands.CPSG</v>
      </c>
      <c r="B552" s="11">
        <v>7998</v>
      </c>
      <c r="C552" s="11" t="s">
        <v>6</v>
      </c>
      <c r="D552" s="20">
        <v>2</v>
      </c>
    </row>
    <row r="553" spans="1:4">
      <c r="A553" s="21" t="str">
        <f>$R$2&amp;".Commands.CPSG"</f>
        <v>АСУЭ.FB_IMstp_S.Commands.CPSG</v>
      </c>
      <c r="B553" s="8">
        <v>7999</v>
      </c>
      <c r="C553" s="8" t="s">
        <v>0</v>
      </c>
      <c r="D553" s="22" t="str">
        <f>"#"&amp;$T$5&amp;"#"&amp;$T$2&amp;"\"&amp;$P$2&amp;"\CPSG"</f>
        <v>#1#treiOPCDA.CoOPCserv.1\pcmaster\ZRU_OL1\CPSG</v>
      </c>
    </row>
    <row r="554" spans="1:4">
      <c r="A554" s="16" t="str">
        <f>$R$2&amp;".Commands.CPSV"</f>
        <v>АСУЭ.FB_IMstp_S.Commands.CPSV</v>
      </c>
      <c r="B554" s="17">
        <v>101</v>
      </c>
      <c r="C554" s="17" t="s">
        <v>0</v>
      </c>
      <c r="D554" s="18" t="s">
        <v>282</v>
      </c>
    </row>
    <row r="555" spans="1:4">
      <c r="A555" s="19" t="str">
        <f>$R$2&amp;".Commands.CPSV"</f>
        <v>АСУЭ.FB_IMstp_S.Commands.CPSV</v>
      </c>
      <c r="B555" s="11">
        <v>1</v>
      </c>
      <c r="C555" s="11" t="s">
        <v>1</v>
      </c>
      <c r="D555" s="20">
        <v>11</v>
      </c>
    </row>
    <row r="556" spans="1:4">
      <c r="A556" s="19" t="str">
        <f>$R$2&amp;".Commands.CPSV"</f>
        <v>АСУЭ.FB_IMstp_S.Commands.CPSV</v>
      </c>
      <c r="B556" s="11">
        <v>7998</v>
      </c>
      <c r="C556" s="11" t="s">
        <v>6</v>
      </c>
      <c r="D556" s="20">
        <v>2</v>
      </c>
    </row>
    <row r="557" spans="1:4">
      <c r="A557" s="21" t="str">
        <f>$R$2&amp;".Commands.CPSV"</f>
        <v>АСУЭ.FB_IMstp_S.Commands.CPSV</v>
      </c>
      <c r="B557" s="8">
        <v>7999</v>
      </c>
      <c r="C557" s="8" t="s">
        <v>0</v>
      </c>
      <c r="D557" s="22" t="str">
        <f>"#"&amp;$T$5&amp;"#"&amp;$T$2&amp;"\"&amp;$P$2&amp;"\CPSV"</f>
        <v>#1#treiOPCDA.CoOPCserv.1\pcmaster\ZRU_OL1\CPSV</v>
      </c>
    </row>
    <row r="558" spans="1:4">
      <c r="A558" s="16" t="str">
        <f t="shared" ref="A558:A563" si="46">$R$2&amp;".CPSL"</f>
        <v>АСУЭ.FB_IMstp_S.CPSL</v>
      </c>
      <c r="B558" s="17">
        <v>3</v>
      </c>
      <c r="C558" s="17" t="s">
        <v>1</v>
      </c>
      <c r="D558" s="18">
        <v>192</v>
      </c>
    </row>
    <row r="559" spans="1:4">
      <c r="A559" s="19" t="str">
        <f t="shared" si="46"/>
        <v>АСУЭ.FB_IMstp_S.CPSL</v>
      </c>
      <c r="B559" s="11">
        <v>2</v>
      </c>
      <c r="C559" s="11" t="s">
        <v>2</v>
      </c>
      <c r="D559" s="20" t="s">
        <v>3</v>
      </c>
    </row>
    <row r="560" spans="1:4">
      <c r="A560" s="19" t="str">
        <f t="shared" si="46"/>
        <v>АСУЭ.FB_IMstp_S.CPSL</v>
      </c>
      <c r="B560" s="11">
        <v>1</v>
      </c>
      <c r="C560" s="11" t="s">
        <v>1</v>
      </c>
      <c r="D560" s="20">
        <v>11</v>
      </c>
    </row>
    <row r="561" spans="1:4">
      <c r="A561" s="19" t="str">
        <f t="shared" si="46"/>
        <v>АСУЭ.FB_IMstp_S.CPSL</v>
      </c>
      <c r="B561" s="11">
        <v>101</v>
      </c>
      <c r="C561" s="11" t="s">
        <v>0</v>
      </c>
      <c r="D561" s="20" t="s">
        <v>283</v>
      </c>
    </row>
    <row r="562" spans="1:4">
      <c r="A562" s="19" t="str">
        <f t="shared" si="46"/>
        <v>АСУЭ.FB_IMstp_S.CPSL</v>
      </c>
      <c r="B562" s="11">
        <v>7998</v>
      </c>
      <c r="C562" s="11" t="s">
        <v>6</v>
      </c>
      <c r="D562" s="20">
        <v>1</v>
      </c>
    </row>
    <row r="563" spans="1:4">
      <c r="A563" s="19" t="str">
        <f t="shared" si="46"/>
        <v>АСУЭ.FB_IMstp_S.CPSL</v>
      </c>
      <c r="B563" s="11">
        <v>7999</v>
      </c>
      <c r="C563" s="11" t="s">
        <v>0</v>
      </c>
      <c r="D563" s="20" t="str">
        <f>"#"&amp;$S$2&amp;"#"&amp;$T$2&amp;"\"&amp;$P$2&amp;"\CPSL"</f>
        <v>#1#treiOPCDA.CoOPCserv.1\pcmaster\ZRU_OL1\CPSL</v>
      </c>
    </row>
    <row r="564" spans="1:4">
      <c r="A564" s="16" t="str">
        <f t="shared" ref="A564:A569" si="47">$R$2&amp;".CPSP"</f>
        <v>АСУЭ.FB_IMstp_S.CPSP</v>
      </c>
      <c r="B564" s="17">
        <v>3</v>
      </c>
      <c r="C564" s="17" t="s">
        <v>1</v>
      </c>
      <c r="D564" s="18">
        <v>192</v>
      </c>
    </row>
    <row r="565" spans="1:4">
      <c r="A565" s="19" t="str">
        <f t="shared" si="47"/>
        <v>АСУЭ.FB_IMstp_S.CPSP</v>
      </c>
      <c r="B565" s="11">
        <v>2</v>
      </c>
      <c r="C565" s="11" t="s">
        <v>2</v>
      </c>
      <c r="D565" s="20" t="s">
        <v>3</v>
      </c>
    </row>
    <row r="566" spans="1:4">
      <c r="A566" s="19" t="str">
        <f t="shared" si="47"/>
        <v>АСУЭ.FB_IMstp_S.CPSP</v>
      </c>
      <c r="B566" s="11">
        <v>1</v>
      </c>
      <c r="C566" s="11" t="s">
        <v>1</v>
      </c>
      <c r="D566" s="20">
        <v>11</v>
      </c>
    </row>
    <row r="567" spans="1:4">
      <c r="A567" s="19" t="str">
        <f t="shared" si="47"/>
        <v>АСУЭ.FB_IMstp_S.CPSP</v>
      </c>
      <c r="B567" s="11">
        <v>101</v>
      </c>
      <c r="C567" s="11" t="s">
        <v>0</v>
      </c>
      <c r="D567" s="20" t="s">
        <v>284</v>
      </c>
    </row>
    <row r="568" spans="1:4">
      <c r="A568" s="19" t="str">
        <f t="shared" si="47"/>
        <v>АСУЭ.FB_IMstp_S.CPSP</v>
      </c>
      <c r="B568" s="11">
        <v>7998</v>
      </c>
      <c r="C568" s="11" t="s">
        <v>6</v>
      </c>
      <c r="D568" s="20">
        <v>1</v>
      </c>
    </row>
    <row r="569" spans="1:4">
      <c r="A569" s="19" t="str">
        <f t="shared" si="47"/>
        <v>АСУЭ.FB_IMstp_S.CPSP</v>
      </c>
      <c r="B569" s="11">
        <v>7999</v>
      </c>
      <c r="C569" s="11" t="s">
        <v>0</v>
      </c>
      <c r="D569" s="20" t="str">
        <f>"#"&amp;$S$2&amp;"#"&amp;$T$2&amp;"\"&amp;$P$2&amp;"\CPSP"</f>
        <v>#1#treiOPCDA.CoOPCserv.1\pcmaster\ZRU_OL1\CPSP</v>
      </c>
    </row>
    <row r="570" spans="1:4">
      <c r="A570" s="16" t="str">
        <f t="shared" ref="A570:A575" si="48">$R$2&amp;".CPSG"</f>
        <v>АСУЭ.FB_IMstp_S.CPSG</v>
      </c>
      <c r="B570" s="17">
        <v>3</v>
      </c>
      <c r="C570" s="17" t="s">
        <v>1</v>
      </c>
      <c r="D570" s="18">
        <v>192</v>
      </c>
    </row>
    <row r="571" spans="1:4">
      <c r="A571" s="19" t="str">
        <f t="shared" si="48"/>
        <v>АСУЭ.FB_IMstp_S.CPSG</v>
      </c>
      <c r="B571" s="11">
        <v>2</v>
      </c>
      <c r="C571" s="11" t="s">
        <v>2</v>
      </c>
      <c r="D571" s="20" t="s">
        <v>3</v>
      </c>
    </row>
    <row r="572" spans="1:4">
      <c r="A572" s="19" t="str">
        <f t="shared" si="48"/>
        <v>АСУЭ.FB_IMstp_S.CPSG</v>
      </c>
      <c r="B572" s="11">
        <v>1</v>
      </c>
      <c r="C572" s="11" t="s">
        <v>1</v>
      </c>
      <c r="D572" s="20">
        <v>11</v>
      </c>
    </row>
    <row r="573" spans="1:4">
      <c r="A573" s="19" t="str">
        <f t="shared" si="48"/>
        <v>АСУЭ.FB_IMstp_S.CPSG</v>
      </c>
      <c r="B573" s="11">
        <v>101</v>
      </c>
      <c r="C573" s="11" t="s">
        <v>0</v>
      </c>
      <c r="D573" s="20" t="s">
        <v>285</v>
      </c>
    </row>
    <row r="574" spans="1:4">
      <c r="A574" s="19" t="str">
        <f t="shared" si="48"/>
        <v>АСУЭ.FB_IMstp_S.CPSG</v>
      </c>
      <c r="B574" s="11">
        <v>7998</v>
      </c>
      <c r="C574" s="11" t="s">
        <v>6</v>
      </c>
      <c r="D574" s="20">
        <v>1</v>
      </c>
    </row>
    <row r="575" spans="1:4">
      <c r="A575" s="19" t="str">
        <f t="shared" si="48"/>
        <v>АСУЭ.FB_IMstp_S.CPSG</v>
      </c>
      <c r="B575" s="11">
        <v>7999</v>
      </c>
      <c r="C575" s="11" t="s">
        <v>0</v>
      </c>
      <c r="D575" s="20" t="str">
        <f>"#"&amp;$S$2&amp;"#"&amp;$T$2&amp;"\"&amp;$P$2&amp;"\CPSG"</f>
        <v>#1#treiOPCDA.CoOPCserv.1\pcmaster\ZRU_OL1\CPSG</v>
      </c>
    </row>
    <row r="576" spans="1:4">
      <c r="A576" s="16" t="str">
        <f t="shared" ref="A576:A581" si="49">$R$2&amp;".CPSV"</f>
        <v>АСУЭ.FB_IMstp_S.CPSV</v>
      </c>
      <c r="B576" s="17">
        <v>3</v>
      </c>
      <c r="C576" s="17" t="s">
        <v>1</v>
      </c>
      <c r="D576" s="18">
        <v>192</v>
      </c>
    </row>
    <row r="577" spans="1:4">
      <c r="A577" s="19" t="str">
        <f t="shared" si="49"/>
        <v>АСУЭ.FB_IMstp_S.CPSV</v>
      </c>
      <c r="B577" s="11">
        <v>2</v>
      </c>
      <c r="C577" s="11" t="s">
        <v>2</v>
      </c>
      <c r="D577" s="20" t="s">
        <v>3</v>
      </c>
    </row>
    <row r="578" spans="1:4">
      <c r="A578" s="19" t="str">
        <f t="shared" si="49"/>
        <v>АСУЭ.FB_IMstp_S.CPSV</v>
      </c>
      <c r="B578" s="11">
        <v>1</v>
      </c>
      <c r="C578" s="11" t="s">
        <v>1</v>
      </c>
      <c r="D578" s="20">
        <v>11</v>
      </c>
    </row>
    <row r="579" spans="1:4">
      <c r="A579" s="19" t="str">
        <f t="shared" si="49"/>
        <v>АСУЭ.FB_IMstp_S.CPSV</v>
      </c>
      <c r="B579" s="11">
        <v>101</v>
      </c>
      <c r="C579" s="11" t="s">
        <v>0</v>
      </c>
      <c r="D579" s="20" t="s">
        <v>286</v>
      </c>
    </row>
    <row r="580" spans="1:4">
      <c r="A580" s="19" t="str">
        <f t="shared" si="49"/>
        <v>АСУЭ.FB_IMstp_S.CPSV</v>
      </c>
      <c r="B580" s="11">
        <v>7998</v>
      </c>
      <c r="C580" s="11" t="s">
        <v>6</v>
      </c>
      <c r="D580" s="20">
        <v>1</v>
      </c>
    </row>
    <row r="581" spans="1:4">
      <c r="A581" s="19" t="str">
        <f t="shared" si="49"/>
        <v>АСУЭ.FB_IMstp_S.CPSV</v>
      </c>
      <c r="B581" s="11">
        <v>7999</v>
      </c>
      <c r="C581" s="11" t="s">
        <v>0</v>
      </c>
      <c r="D581" s="20" t="str">
        <f>"#"&amp;$S$2&amp;"#"&amp;$T$2&amp;"\"&amp;$P$2&amp;"\CPSV"</f>
        <v>#1#treiOPCDA.CoOPCserv.1\pcmaster\ZRU_OL1\CPSV</v>
      </c>
    </row>
    <row r="582" spans="1:4">
      <c r="A582" s="16" t="str">
        <f t="shared" ref="A582:A587" si="50">$R$2&amp;".ITOF"</f>
        <v>АСУЭ.FB_IMstp_S.ITOF</v>
      </c>
      <c r="B582" s="17">
        <v>3</v>
      </c>
      <c r="C582" s="17" t="s">
        <v>1</v>
      </c>
      <c r="D582" s="18">
        <v>192</v>
      </c>
    </row>
    <row r="583" spans="1:4">
      <c r="A583" s="19" t="str">
        <f t="shared" si="50"/>
        <v>АСУЭ.FB_IMstp_S.ITOF</v>
      </c>
      <c r="B583" s="11">
        <v>2</v>
      </c>
      <c r="C583" s="11" t="s">
        <v>2</v>
      </c>
      <c r="D583" s="20" t="s">
        <v>3</v>
      </c>
    </row>
    <row r="584" spans="1:4">
      <c r="A584" s="19" t="str">
        <f t="shared" si="50"/>
        <v>АСУЭ.FB_IMstp_S.ITOF</v>
      </c>
      <c r="B584" s="11">
        <v>1</v>
      </c>
      <c r="C584" s="11" t="s">
        <v>1</v>
      </c>
      <c r="D584" s="20">
        <v>11</v>
      </c>
    </row>
    <row r="585" spans="1:4">
      <c r="A585" s="19" t="str">
        <f t="shared" si="50"/>
        <v>АСУЭ.FB_IMstp_S.ITOF</v>
      </c>
      <c r="B585" s="11">
        <v>101</v>
      </c>
      <c r="C585" s="11" t="s">
        <v>0</v>
      </c>
      <c r="D585" s="20" t="s">
        <v>106</v>
      </c>
    </row>
    <row r="586" spans="1:4">
      <c r="A586" s="19" t="str">
        <f t="shared" si="50"/>
        <v>АСУЭ.FB_IMstp_S.ITOF</v>
      </c>
      <c r="B586" s="11">
        <v>7998</v>
      </c>
      <c r="C586" s="11" t="s">
        <v>6</v>
      </c>
      <c r="D586" s="20">
        <v>1</v>
      </c>
    </row>
    <row r="587" spans="1:4">
      <c r="A587" s="21" t="str">
        <f t="shared" si="50"/>
        <v>АСУЭ.FB_IMstp_S.ITOF</v>
      </c>
      <c r="B587" s="8">
        <v>7999</v>
      </c>
      <c r="C587" s="8" t="s">
        <v>0</v>
      </c>
      <c r="D587" s="22" t="str">
        <f>"#"&amp;$S$2&amp;"#"&amp;$T$2&amp;"\"&amp;$P$2&amp;"\ITOF"</f>
        <v>#1#treiOPCDA.CoOPCserv.1\pcmaster\ZRU_OL1\ITOF</v>
      </c>
    </row>
    <row r="588" spans="1:4">
      <c r="A588" s="16" t="str">
        <f t="shared" ref="A588:A593" si="51">$R$2&amp;".IOFX"</f>
        <v>АСУЭ.FB_IMstp_S.IOFX</v>
      </c>
      <c r="B588" s="17">
        <v>3</v>
      </c>
      <c r="C588" s="17" t="s">
        <v>1</v>
      </c>
      <c r="D588" s="18">
        <v>192</v>
      </c>
    </row>
    <row r="589" spans="1:4">
      <c r="A589" s="19" t="str">
        <f t="shared" si="51"/>
        <v>АСУЭ.FB_IMstp_S.IOFX</v>
      </c>
      <c r="B589" s="11">
        <v>2</v>
      </c>
      <c r="C589" s="11" t="s">
        <v>2</v>
      </c>
      <c r="D589" s="20" t="s">
        <v>3</v>
      </c>
    </row>
    <row r="590" spans="1:4">
      <c r="A590" s="19" t="str">
        <f t="shared" si="51"/>
        <v>АСУЭ.FB_IMstp_S.IOFX</v>
      </c>
      <c r="B590" s="11">
        <v>1</v>
      </c>
      <c r="C590" s="11" t="s">
        <v>1</v>
      </c>
      <c r="D590" s="20">
        <v>11</v>
      </c>
    </row>
    <row r="591" spans="1:4">
      <c r="A591" s="19" t="str">
        <f t="shared" si="51"/>
        <v>АСУЭ.FB_IMstp_S.IOFX</v>
      </c>
      <c r="B591" s="11">
        <v>101</v>
      </c>
      <c r="C591" s="11" t="s">
        <v>0</v>
      </c>
      <c r="D591" s="20" t="s">
        <v>107</v>
      </c>
    </row>
    <row r="592" spans="1:4">
      <c r="A592" s="19" t="str">
        <f t="shared" si="51"/>
        <v>АСУЭ.FB_IMstp_S.IOFX</v>
      </c>
      <c r="B592" s="11">
        <v>7998</v>
      </c>
      <c r="C592" s="11" t="s">
        <v>6</v>
      </c>
      <c r="D592" s="20">
        <v>1</v>
      </c>
    </row>
    <row r="593" spans="1:4">
      <c r="A593" s="21" t="str">
        <f t="shared" si="51"/>
        <v>АСУЭ.FB_IMstp_S.IOFX</v>
      </c>
      <c r="B593" s="8">
        <v>7999</v>
      </c>
      <c r="C593" s="8" t="s">
        <v>0</v>
      </c>
      <c r="D593" s="22" t="str">
        <f>"#"&amp;$S$2&amp;"#"&amp;$T$2&amp;"\"&amp;$P$2&amp;"\IOFX"</f>
        <v>#1#treiOPCDA.CoOPCserv.1\pcmaster\ZRU_OL1\IOFX</v>
      </c>
    </row>
    <row r="594" spans="1:4">
      <c r="A594" s="16" t="str">
        <f t="shared" ref="A594:A599" si="52">$R$2&amp;".IRCX"</f>
        <v>АСУЭ.FB_IMstp_S.IRCX</v>
      </c>
      <c r="B594" s="17">
        <v>3</v>
      </c>
      <c r="C594" s="17" t="s">
        <v>1</v>
      </c>
      <c r="D594" s="18">
        <v>192</v>
      </c>
    </row>
    <row r="595" spans="1:4">
      <c r="A595" s="19" t="str">
        <f t="shared" si="52"/>
        <v>АСУЭ.FB_IMstp_S.IRCX</v>
      </c>
      <c r="B595" s="11">
        <v>2</v>
      </c>
      <c r="C595" s="11" t="s">
        <v>2</v>
      </c>
      <c r="D595" s="20" t="s">
        <v>3</v>
      </c>
    </row>
    <row r="596" spans="1:4">
      <c r="A596" s="19" t="str">
        <f t="shared" si="52"/>
        <v>АСУЭ.FB_IMstp_S.IRCX</v>
      </c>
      <c r="B596" s="11">
        <v>1</v>
      </c>
      <c r="C596" s="11" t="s">
        <v>1</v>
      </c>
      <c r="D596" s="20">
        <v>11</v>
      </c>
    </row>
    <row r="597" spans="1:4">
      <c r="A597" s="19" t="str">
        <f t="shared" si="52"/>
        <v>АСУЭ.FB_IMstp_S.IRCX</v>
      </c>
      <c r="B597" s="11">
        <v>101</v>
      </c>
      <c r="C597" s="11" t="s">
        <v>0</v>
      </c>
      <c r="D597" s="20" t="s">
        <v>576</v>
      </c>
    </row>
    <row r="598" spans="1:4">
      <c r="A598" s="19" t="str">
        <f t="shared" si="52"/>
        <v>АСУЭ.FB_IMstp_S.IRCX</v>
      </c>
      <c r="B598" s="11">
        <v>7998</v>
      </c>
      <c r="C598" s="11" t="s">
        <v>6</v>
      </c>
      <c r="D598" s="20">
        <v>1</v>
      </c>
    </row>
    <row r="599" spans="1:4">
      <c r="A599" s="21" t="str">
        <f t="shared" si="52"/>
        <v>АСУЭ.FB_IMstp_S.IRCX</v>
      </c>
      <c r="B599" s="8">
        <v>7999</v>
      </c>
      <c r="C599" s="8" t="s">
        <v>0</v>
      </c>
      <c r="D599" s="22" t="str">
        <f>"#"&amp;$S$2&amp;"#"&amp;$T$2&amp;"\"&amp;$P$2&amp;"\IRCX"</f>
        <v>#1#treiOPCDA.CoOPCserv.1\pcmaster\ZRU_OL1\IRCX</v>
      </c>
    </row>
    <row r="600" spans="1:4">
      <c r="A600" s="16" t="str">
        <f t="shared" ref="A600:A605" si="53">$R$2&amp;".IPTO"</f>
        <v>АСУЭ.FB_IMstp_S.IPTO</v>
      </c>
      <c r="B600" s="17">
        <v>3</v>
      </c>
      <c r="C600" s="17" t="s">
        <v>1</v>
      </c>
      <c r="D600" s="18">
        <v>192</v>
      </c>
    </row>
    <row r="601" spans="1:4">
      <c r="A601" s="19" t="str">
        <f t="shared" si="53"/>
        <v>АСУЭ.FB_IMstp_S.IPTO</v>
      </c>
      <c r="B601" s="11">
        <v>2</v>
      </c>
      <c r="C601" s="11" t="s">
        <v>2</v>
      </c>
      <c r="D601" s="20" t="s">
        <v>3</v>
      </c>
    </row>
    <row r="602" spans="1:4">
      <c r="A602" s="19" t="str">
        <f t="shared" si="53"/>
        <v>АСУЭ.FB_IMstp_S.IPTO</v>
      </c>
      <c r="B602" s="11">
        <v>1</v>
      </c>
      <c r="C602" s="11" t="s">
        <v>1</v>
      </c>
      <c r="D602" s="20">
        <v>11</v>
      </c>
    </row>
    <row r="603" spans="1:4">
      <c r="A603" s="19" t="str">
        <f t="shared" si="53"/>
        <v>АСУЭ.FB_IMstp_S.IPTO</v>
      </c>
      <c r="B603" s="11">
        <v>101</v>
      </c>
      <c r="C603" s="11" t="s">
        <v>0</v>
      </c>
      <c r="D603" s="20" t="s">
        <v>108</v>
      </c>
    </row>
    <row r="604" spans="1:4">
      <c r="A604" s="19" t="str">
        <f t="shared" si="53"/>
        <v>АСУЭ.FB_IMstp_S.IPTO</v>
      </c>
      <c r="B604" s="11">
        <v>7998</v>
      </c>
      <c r="C604" s="11" t="s">
        <v>6</v>
      </c>
      <c r="D604" s="20">
        <v>1</v>
      </c>
    </row>
    <row r="605" spans="1:4">
      <c r="A605" s="21" t="str">
        <f t="shared" si="53"/>
        <v>АСУЭ.FB_IMstp_S.IPTO</v>
      </c>
      <c r="B605" s="8">
        <v>7999</v>
      </c>
      <c r="C605" s="8" t="s">
        <v>0</v>
      </c>
      <c r="D605" s="22" t="str">
        <f>"#"&amp;$S$2&amp;"#"&amp;$T$2&amp;"\"&amp;$P$2&amp;"\IPTO"</f>
        <v>#1#treiOPCDA.CoOPCserv.1\pcmaster\ZRU_OL1\IPTO</v>
      </c>
    </row>
    <row r="606" spans="1:4">
      <c r="A606" s="16" t="str">
        <f t="shared" ref="A606:A611" si="54">$R$2&amp;".IPTC"</f>
        <v>АСУЭ.FB_IMstp_S.IPTC</v>
      </c>
      <c r="B606" s="17">
        <v>3</v>
      </c>
      <c r="C606" s="17" t="s">
        <v>1</v>
      </c>
      <c r="D606" s="18">
        <v>192</v>
      </c>
    </row>
    <row r="607" spans="1:4">
      <c r="A607" s="19" t="str">
        <f t="shared" si="54"/>
        <v>АСУЭ.FB_IMstp_S.IPTC</v>
      </c>
      <c r="B607" s="11">
        <v>2</v>
      </c>
      <c r="C607" s="11" t="s">
        <v>2</v>
      </c>
      <c r="D607" s="20" t="s">
        <v>3</v>
      </c>
    </row>
    <row r="608" spans="1:4">
      <c r="A608" s="19" t="str">
        <f t="shared" si="54"/>
        <v>АСУЭ.FB_IMstp_S.IPTC</v>
      </c>
      <c r="B608" s="11">
        <v>1</v>
      </c>
      <c r="C608" s="11" t="s">
        <v>1</v>
      </c>
      <c r="D608" s="20">
        <v>11</v>
      </c>
    </row>
    <row r="609" spans="1:4">
      <c r="A609" s="19" t="str">
        <f t="shared" si="54"/>
        <v>АСУЭ.FB_IMstp_S.IPTC</v>
      </c>
      <c r="B609" s="11">
        <v>101</v>
      </c>
      <c r="C609" s="11" t="s">
        <v>0</v>
      </c>
      <c r="D609" s="20" t="s">
        <v>109</v>
      </c>
    </row>
    <row r="610" spans="1:4">
      <c r="A610" s="19" t="str">
        <f t="shared" si="54"/>
        <v>АСУЭ.FB_IMstp_S.IPTC</v>
      </c>
      <c r="B610" s="11">
        <v>7998</v>
      </c>
      <c r="C610" s="11" t="s">
        <v>6</v>
      </c>
      <c r="D610" s="20">
        <v>1</v>
      </c>
    </row>
    <row r="611" spans="1:4">
      <c r="A611" s="21" t="str">
        <f t="shared" si="54"/>
        <v>АСУЭ.FB_IMstp_S.IPTC</v>
      </c>
      <c r="B611" s="8">
        <v>7999</v>
      </c>
      <c r="C611" s="8" t="s">
        <v>0</v>
      </c>
      <c r="D611" s="22" t="str">
        <f>"#"&amp;$S$2&amp;"#"&amp;$T$2&amp;"\"&amp;$P$2&amp;"\IPTC"</f>
        <v>#1#treiOPCDA.CoOPCserv.1\pcmaster\ZRU_OL1\IPTC</v>
      </c>
    </row>
    <row r="612" spans="1:4">
      <c r="A612" s="19" t="str">
        <f t="shared" ref="A612:A617" si="55">$R$2&amp;".IONX"</f>
        <v>АСУЭ.FB_IMstp_S.IONX</v>
      </c>
      <c r="B612" s="11">
        <v>7999</v>
      </c>
      <c r="C612" s="11" t="s">
        <v>0</v>
      </c>
      <c r="D612" s="20" t="str">
        <f>"#"&amp;$S$2&amp;"#"&amp;$T$2&amp;"\"&amp;$P$2&amp;"\IONX"</f>
        <v>#1#treiOPCDA.CoOPCserv.1\pcmaster\ZRU_OL1\IONX</v>
      </c>
    </row>
    <row r="613" spans="1:4">
      <c r="A613" s="19" t="str">
        <f t="shared" si="55"/>
        <v>АСУЭ.FB_IMstp_S.IONX</v>
      </c>
      <c r="B613" s="11">
        <v>7998</v>
      </c>
      <c r="C613" s="11" t="s">
        <v>6</v>
      </c>
      <c r="D613" s="20">
        <v>1</v>
      </c>
    </row>
    <row r="614" spans="1:4">
      <c r="A614" s="19" t="str">
        <f t="shared" si="55"/>
        <v>АСУЭ.FB_IMstp_S.IONX</v>
      </c>
      <c r="B614" s="11">
        <v>3</v>
      </c>
      <c r="C614" s="11" t="s">
        <v>1</v>
      </c>
      <c r="D614" s="20">
        <v>192</v>
      </c>
    </row>
    <row r="615" spans="1:4">
      <c r="A615" s="19" t="str">
        <f t="shared" si="55"/>
        <v>АСУЭ.FB_IMstp_S.IONX</v>
      </c>
      <c r="B615" s="11">
        <v>2</v>
      </c>
      <c r="C615" s="11" t="s">
        <v>2</v>
      </c>
      <c r="D615" s="20" t="s">
        <v>3</v>
      </c>
    </row>
    <row r="616" spans="1:4">
      <c r="A616" s="19" t="str">
        <f t="shared" si="55"/>
        <v>АСУЭ.FB_IMstp_S.IONX</v>
      </c>
      <c r="B616" s="11">
        <v>1</v>
      </c>
      <c r="C616" s="11" t="s">
        <v>1</v>
      </c>
      <c r="D616" s="20">
        <v>11</v>
      </c>
    </row>
    <row r="617" spans="1:4">
      <c r="A617" s="21" t="str">
        <f t="shared" si="55"/>
        <v>АСУЭ.FB_IMstp_S.IONX</v>
      </c>
      <c r="B617" s="8">
        <v>101</v>
      </c>
      <c r="C617" s="8" t="s">
        <v>0</v>
      </c>
      <c r="D617" s="22" t="s">
        <v>92</v>
      </c>
    </row>
    <row r="618" spans="1:4">
      <c r="A618" s="16" t="str">
        <f t="shared" ref="A618:A623" si="56">$R$2&amp;".ITON"</f>
        <v>АСУЭ.FB_IMstp_S.ITON</v>
      </c>
      <c r="B618" s="17">
        <v>7999</v>
      </c>
      <c r="C618" s="17" t="s">
        <v>0</v>
      </c>
      <c r="D618" s="18" t="str">
        <f>"#"&amp;$S$2&amp;"#"&amp;$T$2&amp;"\"&amp;$P$2&amp;"\ITON"</f>
        <v>#1#treiOPCDA.CoOPCserv.1\pcmaster\ZRU_OL1\ITON</v>
      </c>
    </row>
    <row r="619" spans="1:4">
      <c r="A619" s="19" t="str">
        <f t="shared" si="56"/>
        <v>АСУЭ.FB_IMstp_S.ITON</v>
      </c>
      <c r="B619" s="11">
        <v>7998</v>
      </c>
      <c r="C619" s="11" t="s">
        <v>6</v>
      </c>
      <c r="D619" s="20">
        <v>1</v>
      </c>
    </row>
    <row r="620" spans="1:4">
      <c r="A620" s="19" t="str">
        <f t="shared" si="56"/>
        <v>АСУЭ.FB_IMstp_S.ITON</v>
      </c>
      <c r="B620" s="11">
        <v>3</v>
      </c>
      <c r="C620" s="11" t="s">
        <v>1</v>
      </c>
      <c r="D620" s="20">
        <v>192</v>
      </c>
    </row>
    <row r="621" spans="1:4">
      <c r="A621" s="19" t="str">
        <f t="shared" si="56"/>
        <v>АСУЭ.FB_IMstp_S.ITON</v>
      </c>
      <c r="B621" s="11">
        <v>2</v>
      </c>
      <c r="C621" s="11" t="s">
        <v>2</v>
      </c>
      <c r="D621" s="20" t="s">
        <v>3</v>
      </c>
    </row>
    <row r="622" spans="1:4">
      <c r="A622" s="19" t="str">
        <f t="shared" si="56"/>
        <v>АСУЭ.FB_IMstp_S.ITON</v>
      </c>
      <c r="B622" s="11">
        <v>1</v>
      </c>
      <c r="C622" s="11" t="s">
        <v>1</v>
      </c>
      <c r="D622" s="20">
        <v>11</v>
      </c>
    </row>
    <row r="623" spans="1:4">
      <c r="A623" s="21" t="str">
        <f t="shared" si="56"/>
        <v>АСУЭ.FB_IMstp_S.ITON</v>
      </c>
      <c r="B623" s="8">
        <v>101</v>
      </c>
      <c r="C623" s="8" t="s">
        <v>0</v>
      </c>
      <c r="D623" s="22" t="s">
        <v>93</v>
      </c>
    </row>
    <row r="624" spans="1:4">
      <c r="A624" s="16" t="str">
        <f t="shared" ref="A624:A629" si="57">$R$2&amp;".CPMM"</f>
        <v>АСУЭ.FB_IMstp_S.CPMM</v>
      </c>
      <c r="B624" s="17">
        <v>3</v>
      </c>
      <c r="C624" s="17" t="s">
        <v>1</v>
      </c>
      <c r="D624" s="18">
        <v>192</v>
      </c>
    </row>
    <row r="625" spans="1:4">
      <c r="A625" s="19" t="str">
        <f t="shared" si="57"/>
        <v>АСУЭ.FB_IMstp_S.CPMM</v>
      </c>
      <c r="B625" s="11">
        <v>2</v>
      </c>
      <c r="C625" s="11" t="s">
        <v>2</v>
      </c>
      <c r="D625" s="20" t="s">
        <v>266</v>
      </c>
    </row>
    <row r="626" spans="1:4">
      <c r="A626" s="19" t="str">
        <f t="shared" si="57"/>
        <v>АСУЭ.FB_IMstp_S.CPMM</v>
      </c>
      <c r="B626" s="11">
        <v>1</v>
      </c>
      <c r="C626" s="11" t="s">
        <v>1</v>
      </c>
      <c r="D626" s="20">
        <v>11</v>
      </c>
    </row>
    <row r="627" spans="1:4">
      <c r="A627" s="19" t="str">
        <f t="shared" si="57"/>
        <v>АСУЭ.FB_IMstp_S.CPMM</v>
      </c>
      <c r="B627" s="11">
        <v>7998</v>
      </c>
      <c r="C627" s="11" t="s">
        <v>6</v>
      </c>
      <c r="D627" s="20">
        <v>1</v>
      </c>
    </row>
    <row r="628" spans="1:4">
      <c r="A628" s="19" t="str">
        <f t="shared" si="57"/>
        <v>АСУЭ.FB_IMstp_S.CPMM</v>
      </c>
      <c r="B628" s="11">
        <v>7999</v>
      </c>
      <c r="C628" s="11" t="s">
        <v>0</v>
      </c>
      <c r="D628" s="20" t="str">
        <f>"#"&amp;$S$2&amp;"#"&amp;$T$2&amp;"\"&amp;$P$2&amp;"\CPMM"</f>
        <v>#1#treiOPCDA.CoOPCserv.1\pcmaster\ZRU_OL1\CPMM</v>
      </c>
    </row>
    <row r="629" spans="1:4">
      <c r="A629" s="21" t="str">
        <f t="shared" si="57"/>
        <v>АСУЭ.FB_IMstp_S.CPMM</v>
      </c>
      <c r="B629" s="8">
        <v>101</v>
      </c>
      <c r="C629" s="8" t="s">
        <v>0</v>
      </c>
      <c r="D629" s="22" t="s">
        <v>115</v>
      </c>
    </row>
    <row r="630" spans="1:4">
      <c r="A630" s="16" t="str">
        <f t="shared" ref="A630:A635" si="58">$R$2&amp;".OXSP"</f>
        <v>АСУЭ.FB_IMstp_S.OXSP</v>
      </c>
      <c r="B630" s="17">
        <v>3</v>
      </c>
      <c r="C630" s="17" t="s">
        <v>1</v>
      </c>
      <c r="D630" s="18">
        <v>192</v>
      </c>
    </row>
    <row r="631" spans="1:4">
      <c r="A631" s="19" t="str">
        <f t="shared" si="58"/>
        <v>АСУЭ.FB_IMstp_S.OXSP</v>
      </c>
      <c r="B631" s="11">
        <v>2</v>
      </c>
      <c r="C631" s="11" t="s">
        <v>2</v>
      </c>
      <c r="D631" s="20" t="s">
        <v>3</v>
      </c>
    </row>
    <row r="632" spans="1:4">
      <c r="A632" s="19" t="str">
        <f t="shared" si="58"/>
        <v>АСУЭ.FB_IMstp_S.OXSP</v>
      </c>
      <c r="B632" s="11">
        <v>1</v>
      </c>
      <c r="C632" s="11" t="s">
        <v>1</v>
      </c>
      <c r="D632" s="20">
        <v>11</v>
      </c>
    </row>
    <row r="633" spans="1:4">
      <c r="A633" s="19" t="str">
        <f t="shared" si="58"/>
        <v>АСУЭ.FB_IMstp_S.OXSP</v>
      </c>
      <c r="B633" s="11">
        <v>101</v>
      </c>
      <c r="C633" s="11" t="s">
        <v>0</v>
      </c>
      <c r="D633" s="20" t="s">
        <v>133</v>
      </c>
    </row>
    <row r="634" spans="1:4">
      <c r="A634" s="19" t="str">
        <f t="shared" si="58"/>
        <v>АСУЭ.FB_IMstp_S.OXSP</v>
      </c>
      <c r="B634" s="11">
        <v>7998</v>
      </c>
      <c r="C634" s="11" t="s">
        <v>6</v>
      </c>
      <c r="D634" s="20">
        <v>1</v>
      </c>
    </row>
    <row r="635" spans="1:4">
      <c r="A635" s="21" t="str">
        <f t="shared" si="58"/>
        <v>АСУЭ.FB_IMstp_S.OXSP</v>
      </c>
      <c r="B635" s="8">
        <v>7999</v>
      </c>
      <c r="C635" s="8" t="s">
        <v>0</v>
      </c>
      <c r="D635" s="22" t="str">
        <f>"#"&amp;$S$2&amp;"#"&amp;$T$2&amp;"\"&amp;$P$2&amp;"\OXSP"</f>
        <v>#1#treiOPCDA.CoOPCserv.1\pcmaster\ZRU_OL1\OXSP</v>
      </c>
    </row>
    <row r="636" spans="1:4">
      <c r="A636" s="16" t="str">
        <f t="shared" ref="A636:A641" si="59">$R$2&amp;".OCON"</f>
        <v>АСУЭ.FB_IMstp_S.OCON</v>
      </c>
      <c r="B636" s="17">
        <v>101</v>
      </c>
      <c r="C636" s="17" t="s">
        <v>0</v>
      </c>
      <c r="D636" s="18" t="s">
        <v>138</v>
      </c>
    </row>
    <row r="637" spans="1:4">
      <c r="A637" s="19" t="str">
        <f t="shared" si="59"/>
        <v>АСУЭ.FB_IMstp_S.OCON</v>
      </c>
      <c r="B637" s="11">
        <v>1</v>
      </c>
      <c r="C637" s="11" t="s">
        <v>1</v>
      </c>
      <c r="D637" s="20">
        <v>11</v>
      </c>
    </row>
    <row r="638" spans="1:4">
      <c r="A638" s="19" t="str">
        <f t="shared" si="59"/>
        <v>АСУЭ.FB_IMstp_S.OCON</v>
      </c>
      <c r="B638" s="11">
        <v>2</v>
      </c>
      <c r="C638" s="11" t="s">
        <v>2</v>
      </c>
      <c r="D638" s="20" t="s">
        <v>3</v>
      </c>
    </row>
    <row r="639" spans="1:4">
      <c r="A639" s="19" t="str">
        <f t="shared" si="59"/>
        <v>АСУЭ.FB_IMstp_S.OCON</v>
      </c>
      <c r="B639" s="11">
        <v>3</v>
      </c>
      <c r="C639" s="11" t="s">
        <v>1</v>
      </c>
      <c r="D639" s="20">
        <v>192</v>
      </c>
    </row>
    <row r="640" spans="1:4">
      <c r="A640" s="19" t="str">
        <f t="shared" si="59"/>
        <v>АСУЭ.FB_IMstp_S.OCON</v>
      </c>
      <c r="B640" s="11">
        <v>7998</v>
      </c>
      <c r="C640" s="11" t="s">
        <v>6</v>
      </c>
      <c r="D640" s="20">
        <v>1</v>
      </c>
    </row>
    <row r="641" spans="1:4">
      <c r="A641" s="21" t="str">
        <f t="shared" si="59"/>
        <v>АСУЭ.FB_IMstp_S.OCON</v>
      </c>
      <c r="B641" s="8">
        <v>7999</v>
      </c>
      <c r="C641" s="8" t="s">
        <v>0</v>
      </c>
      <c r="D641" s="22" t="str">
        <f>"#"&amp;$S$2&amp;"#"&amp;$T$2&amp;"\"&amp;$P$2&amp;"\OCON"</f>
        <v>#1#treiOPCDA.CoOPCserv.1\pcmaster\ZRU_OL1\OCON</v>
      </c>
    </row>
    <row r="642" spans="1:4">
      <c r="A642" s="16" t="str">
        <f t="shared" ref="A642:A647" si="60">$R$2&amp;".FXXX"</f>
        <v>АСУЭ.FB_IMstp_S.FXXX</v>
      </c>
      <c r="B642" s="17">
        <v>3</v>
      </c>
      <c r="C642" s="17" t="s">
        <v>1</v>
      </c>
      <c r="D642" s="18">
        <v>192</v>
      </c>
    </row>
    <row r="643" spans="1:4">
      <c r="A643" s="19" t="str">
        <f t="shared" si="60"/>
        <v>АСУЭ.FB_IMstp_S.FXXX</v>
      </c>
      <c r="B643" s="11">
        <v>2</v>
      </c>
      <c r="C643" s="11" t="s">
        <v>2</v>
      </c>
      <c r="D643" s="20" t="s">
        <v>3</v>
      </c>
    </row>
    <row r="644" spans="1:4">
      <c r="A644" s="19" t="str">
        <f t="shared" si="60"/>
        <v>АСУЭ.FB_IMstp_S.FXXX</v>
      </c>
      <c r="B644" s="11">
        <v>1</v>
      </c>
      <c r="C644" s="11" t="s">
        <v>1</v>
      </c>
      <c r="D644" s="20">
        <v>11</v>
      </c>
    </row>
    <row r="645" spans="1:4">
      <c r="A645" s="19" t="str">
        <f t="shared" si="60"/>
        <v>АСУЭ.FB_IMstp_S.FXXX</v>
      </c>
      <c r="B645" s="11">
        <v>101</v>
      </c>
      <c r="C645" s="11" t="s">
        <v>0</v>
      </c>
      <c r="D645" s="20" t="s">
        <v>139</v>
      </c>
    </row>
    <row r="646" spans="1:4">
      <c r="A646" s="19" t="str">
        <f t="shared" si="60"/>
        <v>АСУЭ.FB_IMstp_S.FXXX</v>
      </c>
      <c r="B646" s="11">
        <v>7998</v>
      </c>
      <c r="C646" s="11" t="s">
        <v>6</v>
      </c>
      <c r="D646" s="20">
        <v>1</v>
      </c>
    </row>
    <row r="647" spans="1:4">
      <c r="A647" s="21" t="str">
        <f t="shared" si="60"/>
        <v>АСУЭ.FB_IMstp_S.FXXX</v>
      </c>
      <c r="B647" s="8">
        <v>7999</v>
      </c>
      <c r="C647" s="8" t="s">
        <v>0</v>
      </c>
      <c r="D647" s="22" t="str">
        <f>"#"&amp;$S$2&amp;"#"&amp;$T$2&amp;"\"&amp;$P$2&amp;"\FXXX"</f>
        <v>#1#treiOPCDA.CoOPCserv.1\pcmaster\ZRU_OL1\FXXX</v>
      </c>
    </row>
    <row r="648" spans="1:4">
      <c r="A648" s="16" t="str">
        <f t="shared" ref="A648:A653" si="61">$R$2&amp;".OCOF"</f>
        <v>АСУЭ.FB_IMstp_S.OCOF</v>
      </c>
      <c r="B648" s="17">
        <v>101</v>
      </c>
      <c r="C648" s="17" t="s">
        <v>0</v>
      </c>
      <c r="D648" s="18" t="s">
        <v>145</v>
      </c>
    </row>
    <row r="649" spans="1:4">
      <c r="A649" s="19" t="str">
        <f t="shared" si="61"/>
        <v>АСУЭ.FB_IMstp_S.OCOF</v>
      </c>
      <c r="B649" s="11">
        <v>1</v>
      </c>
      <c r="C649" s="11" t="s">
        <v>1</v>
      </c>
      <c r="D649" s="20">
        <v>11</v>
      </c>
    </row>
    <row r="650" spans="1:4">
      <c r="A650" s="19" t="str">
        <f t="shared" si="61"/>
        <v>АСУЭ.FB_IMstp_S.OCOF</v>
      </c>
      <c r="B650" s="11">
        <v>2</v>
      </c>
      <c r="C650" s="11" t="s">
        <v>2</v>
      </c>
      <c r="D650" s="20" t="s">
        <v>3</v>
      </c>
    </row>
    <row r="651" spans="1:4">
      <c r="A651" s="19" t="str">
        <f t="shared" si="61"/>
        <v>АСУЭ.FB_IMstp_S.OCOF</v>
      </c>
      <c r="B651" s="11">
        <v>3</v>
      </c>
      <c r="C651" s="11" t="s">
        <v>1</v>
      </c>
      <c r="D651" s="20">
        <v>192</v>
      </c>
    </row>
    <row r="652" spans="1:4">
      <c r="A652" s="19" t="str">
        <f t="shared" si="61"/>
        <v>АСУЭ.FB_IMstp_S.OCOF</v>
      </c>
      <c r="B652" s="11">
        <v>7998</v>
      </c>
      <c r="C652" s="11" t="s">
        <v>6</v>
      </c>
      <c r="D652" s="20">
        <v>1</v>
      </c>
    </row>
    <row r="653" spans="1:4">
      <c r="A653" s="21" t="str">
        <f t="shared" si="61"/>
        <v>АСУЭ.FB_IMstp_S.OCOF</v>
      </c>
      <c r="B653" s="8">
        <v>7999</v>
      </c>
      <c r="C653" s="8" t="s">
        <v>0</v>
      </c>
      <c r="D653" s="22" t="str">
        <f>"#"&amp;$S$2&amp;"#"&amp;$T$2&amp;"\"&amp;$P$2&amp;"\OCOF"</f>
        <v>#1#treiOPCDA.CoOPCserv.1\pcmaster\ZRU_OL1\OCOF</v>
      </c>
    </row>
    <row r="654" spans="1:4">
      <c r="A654" s="16" t="str">
        <f t="shared" ref="A654:A659" si="62">$R$2&amp;".XONP"</f>
        <v>АСУЭ.FB_IMstp_S.XONP</v>
      </c>
      <c r="B654" s="17">
        <v>101</v>
      </c>
      <c r="C654" s="17" t="s">
        <v>0</v>
      </c>
      <c r="D654" s="18" t="s">
        <v>147</v>
      </c>
    </row>
    <row r="655" spans="1:4">
      <c r="A655" s="19" t="str">
        <f t="shared" si="62"/>
        <v>АСУЭ.FB_IMstp_S.XONP</v>
      </c>
      <c r="B655" s="11">
        <v>1</v>
      </c>
      <c r="C655" s="11" t="s">
        <v>1</v>
      </c>
      <c r="D655" s="20">
        <v>11</v>
      </c>
    </row>
    <row r="656" spans="1:4">
      <c r="A656" s="19" t="str">
        <f t="shared" si="62"/>
        <v>АСУЭ.FB_IMstp_S.XONP</v>
      </c>
      <c r="B656" s="11">
        <v>2</v>
      </c>
      <c r="C656" s="11" t="s">
        <v>2</v>
      </c>
      <c r="D656" s="20" t="s">
        <v>3</v>
      </c>
    </row>
    <row r="657" spans="1:4">
      <c r="A657" s="19" t="str">
        <f t="shared" si="62"/>
        <v>АСУЭ.FB_IMstp_S.XONP</v>
      </c>
      <c r="B657" s="11">
        <v>3</v>
      </c>
      <c r="C657" s="11" t="s">
        <v>1</v>
      </c>
      <c r="D657" s="20">
        <v>192</v>
      </c>
    </row>
    <row r="658" spans="1:4">
      <c r="A658" s="19" t="str">
        <f t="shared" si="62"/>
        <v>АСУЭ.FB_IMstp_S.XONP</v>
      </c>
      <c r="B658" s="11">
        <v>7998</v>
      </c>
      <c r="C658" s="11" t="s">
        <v>6</v>
      </c>
      <c r="D658" s="20">
        <v>1</v>
      </c>
    </row>
    <row r="659" spans="1:4">
      <c r="A659" s="21" t="str">
        <f t="shared" si="62"/>
        <v>АСУЭ.FB_IMstp_S.XONP</v>
      </c>
      <c r="B659" s="8">
        <v>7999</v>
      </c>
      <c r="C659" s="8" t="s">
        <v>0</v>
      </c>
      <c r="D659" s="22" t="str">
        <f>"#"&amp;$S$2&amp;"#"&amp;$T$2&amp;"\"&amp;$P$2&amp;"\XONP"</f>
        <v>#1#treiOPCDA.CoOPCserv.1\pcmaster\ZRU_OL1\XONP</v>
      </c>
    </row>
    <row r="660" spans="1:4">
      <c r="A660" s="19" t="str">
        <f t="shared" ref="A660:A665" si="63">$R$2&amp;".CDON"</f>
        <v>АСУЭ.FB_IMstp_S.CDON</v>
      </c>
      <c r="B660" s="11">
        <v>101</v>
      </c>
      <c r="C660" s="11" t="s">
        <v>0</v>
      </c>
      <c r="D660" s="20" t="s">
        <v>164</v>
      </c>
    </row>
    <row r="661" spans="1:4">
      <c r="A661" s="19" t="str">
        <f t="shared" si="63"/>
        <v>АСУЭ.FB_IMstp_S.CDON</v>
      </c>
      <c r="B661" s="11">
        <v>1</v>
      </c>
      <c r="C661" s="11" t="s">
        <v>1</v>
      </c>
      <c r="D661" s="20">
        <v>11</v>
      </c>
    </row>
    <row r="662" spans="1:4">
      <c r="A662" s="19" t="str">
        <f t="shared" si="63"/>
        <v>АСУЭ.FB_IMstp_S.CDON</v>
      </c>
      <c r="B662" s="11">
        <v>2</v>
      </c>
      <c r="C662" s="11" t="s">
        <v>2</v>
      </c>
      <c r="D662" s="20" t="s">
        <v>3</v>
      </c>
    </row>
    <row r="663" spans="1:4">
      <c r="A663" s="19" t="str">
        <f t="shared" si="63"/>
        <v>АСУЭ.FB_IMstp_S.CDON</v>
      </c>
      <c r="B663" s="11">
        <v>3</v>
      </c>
      <c r="C663" s="11" t="s">
        <v>1</v>
      </c>
      <c r="D663" s="20">
        <v>192</v>
      </c>
    </row>
    <row r="664" spans="1:4">
      <c r="A664" s="19" t="str">
        <f t="shared" si="63"/>
        <v>АСУЭ.FB_IMstp_S.CDON</v>
      </c>
      <c r="B664" s="11">
        <v>7998</v>
      </c>
      <c r="C664" s="11" t="s">
        <v>6</v>
      </c>
      <c r="D664" s="20">
        <v>1</v>
      </c>
    </row>
    <row r="665" spans="1:4">
      <c r="A665" s="21" t="str">
        <f t="shared" si="63"/>
        <v>АСУЭ.FB_IMstp_S.CDON</v>
      </c>
      <c r="B665" s="8">
        <v>7999</v>
      </c>
      <c r="C665" s="8" t="s">
        <v>0</v>
      </c>
      <c r="D665" s="22" t="str">
        <f>"#"&amp;$S$2&amp;"#"&amp;$T$2&amp;"\"&amp;$P$2&amp;"\CDON"</f>
        <v>#1#treiOPCDA.CoOPCserv.1\pcmaster\ZRU_OL1\CDON</v>
      </c>
    </row>
    <row r="666" spans="1:4">
      <c r="A666" s="16" t="str">
        <f t="shared" ref="A666:A671" si="64">$R$2&amp;".CDOF"</f>
        <v>АСУЭ.FB_IMstp_S.CDOF</v>
      </c>
      <c r="B666" s="17">
        <v>3</v>
      </c>
      <c r="C666" s="17" t="s">
        <v>1</v>
      </c>
      <c r="D666" s="18">
        <v>192</v>
      </c>
    </row>
    <row r="667" spans="1:4">
      <c r="A667" s="19" t="str">
        <f t="shared" si="64"/>
        <v>АСУЭ.FB_IMstp_S.CDOF</v>
      </c>
      <c r="B667" s="11">
        <v>2</v>
      </c>
      <c r="C667" s="11" t="s">
        <v>2</v>
      </c>
      <c r="D667" s="20" t="s">
        <v>3</v>
      </c>
    </row>
    <row r="668" spans="1:4">
      <c r="A668" s="19" t="str">
        <f t="shared" si="64"/>
        <v>АСУЭ.FB_IMstp_S.CDOF</v>
      </c>
      <c r="B668" s="11">
        <v>1</v>
      </c>
      <c r="C668" s="11" t="s">
        <v>1</v>
      </c>
      <c r="D668" s="20">
        <v>11</v>
      </c>
    </row>
    <row r="669" spans="1:4">
      <c r="A669" s="19" t="str">
        <f t="shared" si="64"/>
        <v>АСУЭ.FB_IMstp_S.CDOF</v>
      </c>
      <c r="B669" s="11">
        <v>101</v>
      </c>
      <c r="C669" s="11" t="s">
        <v>0</v>
      </c>
      <c r="D669" s="20" t="s">
        <v>165</v>
      </c>
    </row>
    <row r="670" spans="1:4">
      <c r="A670" s="19" t="str">
        <f t="shared" si="64"/>
        <v>АСУЭ.FB_IMstp_S.CDOF</v>
      </c>
      <c r="B670" s="11">
        <v>7998</v>
      </c>
      <c r="C670" s="11" t="s">
        <v>6</v>
      </c>
      <c r="D670" s="20">
        <v>1</v>
      </c>
    </row>
    <row r="671" spans="1:4">
      <c r="A671" s="21" t="str">
        <f t="shared" si="64"/>
        <v>АСУЭ.FB_IMstp_S.CDOF</v>
      </c>
      <c r="B671" s="8">
        <v>7999</v>
      </c>
      <c r="C671" s="8" t="s">
        <v>0</v>
      </c>
      <c r="D671" s="22" t="str">
        <f>"#"&amp;$S$2&amp;"#"&amp;$T$2&amp;"\"&amp;$P$2&amp;"\CDOF"</f>
        <v>#1#treiOPCDA.CoOPCserv.1\pcmaster\ZRU_OL1\CDOF</v>
      </c>
    </row>
    <row r="672" spans="1:4">
      <c r="A672" s="16" t="str">
        <f t="shared" ref="A672:A677" si="65">$R$2&amp;".XOFP"</f>
        <v>АСУЭ.FB_IMstp_S.XOFP</v>
      </c>
      <c r="B672" s="17">
        <v>101</v>
      </c>
      <c r="C672" s="17" t="s">
        <v>0</v>
      </c>
      <c r="D672" s="18" t="s">
        <v>170</v>
      </c>
    </row>
    <row r="673" spans="1:4">
      <c r="A673" s="19" t="str">
        <f t="shared" si="65"/>
        <v>АСУЭ.FB_IMstp_S.XOFP</v>
      </c>
      <c r="B673" s="11">
        <v>1</v>
      </c>
      <c r="C673" s="11" t="s">
        <v>1</v>
      </c>
      <c r="D673" s="20">
        <v>11</v>
      </c>
    </row>
    <row r="674" spans="1:4">
      <c r="A674" s="19" t="str">
        <f t="shared" si="65"/>
        <v>АСУЭ.FB_IMstp_S.XOFP</v>
      </c>
      <c r="B674" s="11">
        <v>2</v>
      </c>
      <c r="C674" s="11" t="s">
        <v>2</v>
      </c>
      <c r="D674" s="20" t="s">
        <v>3</v>
      </c>
    </row>
    <row r="675" spans="1:4">
      <c r="A675" s="19" t="str">
        <f t="shared" si="65"/>
        <v>АСУЭ.FB_IMstp_S.XOFP</v>
      </c>
      <c r="B675" s="11">
        <v>3</v>
      </c>
      <c r="C675" s="11" t="s">
        <v>1</v>
      </c>
      <c r="D675" s="20">
        <v>192</v>
      </c>
    </row>
    <row r="676" spans="1:4">
      <c r="A676" s="19" t="str">
        <f t="shared" si="65"/>
        <v>АСУЭ.FB_IMstp_S.XOFP</v>
      </c>
      <c r="B676" s="11">
        <v>7998</v>
      </c>
      <c r="C676" s="11" t="s">
        <v>6</v>
      </c>
      <c r="D676" s="20">
        <v>1</v>
      </c>
    </row>
    <row r="677" spans="1:4">
      <c r="A677" s="21" t="str">
        <f t="shared" si="65"/>
        <v>АСУЭ.FB_IMstp_S.XOFP</v>
      </c>
      <c r="B677" s="8">
        <v>7999</v>
      </c>
      <c r="C677" s="8" t="s">
        <v>0</v>
      </c>
      <c r="D677" s="22" t="str">
        <f>"#"&amp;$S$2&amp;"#"&amp;$T$2&amp;"\"&amp;$P$2&amp;"\XOFP"</f>
        <v>#1#treiOPCDA.CoOPCserv.1\pcmaster\ZRU_OL1\XOFP</v>
      </c>
    </row>
    <row r="678" spans="1:4">
      <c r="A678" s="19" t="str">
        <f t="shared" ref="A678:A683" si="66">$R$2&amp;".SMMX"</f>
        <v>АСУЭ.FB_IMstp_S.SMMX</v>
      </c>
      <c r="B678" s="11">
        <v>7999</v>
      </c>
      <c r="C678" s="11" t="s">
        <v>0</v>
      </c>
      <c r="D678" s="20" t="str">
        <f>"#"&amp;$S$2&amp;"#"&amp;$T$2&amp;"\"&amp;$P$2&amp;"\SMMX"</f>
        <v>#1#treiOPCDA.CoOPCserv.1\pcmaster\ZRU_OL1\SMMX</v>
      </c>
    </row>
    <row r="679" spans="1:4">
      <c r="A679" s="19" t="str">
        <f t="shared" si="66"/>
        <v>АСУЭ.FB_IMstp_S.SMMX</v>
      </c>
      <c r="B679" s="11">
        <v>7998</v>
      </c>
      <c r="C679" s="11" t="s">
        <v>6</v>
      </c>
      <c r="D679" s="20">
        <v>1</v>
      </c>
    </row>
    <row r="680" spans="1:4">
      <c r="A680" s="19" t="str">
        <f t="shared" si="66"/>
        <v>АСУЭ.FB_IMstp_S.SMMX</v>
      </c>
      <c r="B680" s="11">
        <v>101</v>
      </c>
      <c r="C680" s="11" t="s">
        <v>0</v>
      </c>
      <c r="D680" s="20" t="s">
        <v>251</v>
      </c>
    </row>
    <row r="681" spans="1:4">
      <c r="A681" s="19" t="str">
        <f t="shared" si="66"/>
        <v>АСУЭ.FB_IMstp_S.SMMX</v>
      </c>
      <c r="B681" s="11">
        <v>3</v>
      </c>
      <c r="C681" s="11" t="s">
        <v>1</v>
      </c>
      <c r="D681" s="20">
        <v>192</v>
      </c>
    </row>
    <row r="682" spans="1:4">
      <c r="A682" s="19" t="str">
        <f t="shared" si="66"/>
        <v>АСУЭ.FB_IMstp_S.SMMX</v>
      </c>
      <c r="B682" s="11">
        <v>2</v>
      </c>
      <c r="C682" s="11" t="s">
        <v>2</v>
      </c>
      <c r="D682" s="20" t="s">
        <v>3</v>
      </c>
    </row>
    <row r="683" spans="1:4">
      <c r="A683" s="21" t="str">
        <f t="shared" si="66"/>
        <v>АСУЭ.FB_IMstp_S.SMMX</v>
      </c>
      <c r="B683" s="8">
        <v>1</v>
      </c>
      <c r="C683" s="8" t="s">
        <v>1</v>
      </c>
      <c r="D683" s="22">
        <v>11</v>
      </c>
    </row>
    <row r="684" spans="1:4">
      <c r="A684" s="16" t="str">
        <f t="shared" ref="A684:A689" si="67">$R$2&amp;".XSPP"</f>
        <v>АСУЭ.FB_IMstp_S.XSPP</v>
      </c>
      <c r="B684" s="17">
        <v>7998</v>
      </c>
      <c r="C684" s="17" t="s">
        <v>6</v>
      </c>
      <c r="D684" s="18">
        <v>1</v>
      </c>
    </row>
    <row r="685" spans="1:4">
      <c r="A685" s="19" t="str">
        <f t="shared" si="67"/>
        <v>АСУЭ.FB_IMstp_S.XSPP</v>
      </c>
      <c r="B685" s="11">
        <v>7999</v>
      </c>
      <c r="C685" s="11" t="s">
        <v>0</v>
      </c>
      <c r="D685" s="20" t="str">
        <f>"#"&amp;$S$2&amp;"#"&amp;$T$2&amp;"\"&amp;$P$2&amp;"\XSPP"</f>
        <v>#1#treiOPCDA.CoOPCserv.1\pcmaster\ZRU_OL1\XSPP</v>
      </c>
    </row>
    <row r="686" spans="1:4">
      <c r="A686" s="19" t="str">
        <f t="shared" si="67"/>
        <v>АСУЭ.FB_IMstp_S.XSPP</v>
      </c>
      <c r="B686" s="11">
        <v>101</v>
      </c>
      <c r="C686" s="11" t="s">
        <v>0</v>
      </c>
      <c r="D686" s="20" t="s">
        <v>171</v>
      </c>
    </row>
    <row r="687" spans="1:4">
      <c r="A687" s="19" t="str">
        <f t="shared" si="67"/>
        <v>АСУЭ.FB_IMstp_S.XSPP</v>
      </c>
      <c r="B687" s="11">
        <v>1</v>
      </c>
      <c r="C687" s="11" t="s">
        <v>1</v>
      </c>
      <c r="D687" s="20">
        <v>11</v>
      </c>
    </row>
    <row r="688" spans="1:4">
      <c r="A688" s="19" t="str">
        <f t="shared" si="67"/>
        <v>АСУЭ.FB_IMstp_S.XSPP</v>
      </c>
      <c r="B688" s="11">
        <v>2</v>
      </c>
      <c r="C688" s="11" t="s">
        <v>2</v>
      </c>
      <c r="D688" s="20" t="s">
        <v>3</v>
      </c>
    </row>
    <row r="689" spans="1:4">
      <c r="A689" s="21" t="str">
        <f t="shared" si="67"/>
        <v>АСУЭ.FB_IMstp_S.XSPP</v>
      </c>
      <c r="B689" s="8">
        <v>3</v>
      </c>
      <c r="C689" s="8" t="s">
        <v>1</v>
      </c>
      <c r="D689" s="22">
        <v>192</v>
      </c>
    </row>
    <row r="690" spans="1:4">
      <c r="A690" s="16" t="str">
        <f t="shared" ref="A690:A695" si="68">$R$2&amp;".OXON"</f>
        <v>АСУЭ.FB_IMstp_S.OXON</v>
      </c>
      <c r="B690" s="17">
        <v>101</v>
      </c>
      <c r="C690" s="17" t="s">
        <v>0</v>
      </c>
      <c r="D690" s="18" t="s">
        <v>131</v>
      </c>
    </row>
    <row r="691" spans="1:4">
      <c r="A691" s="19" t="str">
        <f t="shared" si="68"/>
        <v>АСУЭ.FB_IMstp_S.OXON</v>
      </c>
      <c r="B691" s="11">
        <v>1</v>
      </c>
      <c r="C691" s="11" t="s">
        <v>1</v>
      </c>
      <c r="D691" s="20">
        <v>11</v>
      </c>
    </row>
    <row r="692" spans="1:4">
      <c r="A692" s="19" t="str">
        <f t="shared" si="68"/>
        <v>АСУЭ.FB_IMstp_S.OXON</v>
      </c>
      <c r="B692" s="11">
        <v>2</v>
      </c>
      <c r="C692" s="11" t="s">
        <v>2</v>
      </c>
      <c r="D692" s="20" t="s">
        <v>3</v>
      </c>
    </row>
    <row r="693" spans="1:4">
      <c r="A693" s="19" t="str">
        <f t="shared" si="68"/>
        <v>АСУЭ.FB_IMstp_S.OXON</v>
      </c>
      <c r="B693" s="11">
        <v>3</v>
      </c>
      <c r="C693" s="11" t="s">
        <v>1</v>
      </c>
      <c r="D693" s="20">
        <v>192</v>
      </c>
    </row>
    <row r="694" spans="1:4">
      <c r="A694" s="19" t="str">
        <f t="shared" si="68"/>
        <v>АСУЭ.FB_IMstp_S.OXON</v>
      </c>
      <c r="B694" s="11">
        <v>7998</v>
      </c>
      <c r="C694" s="11" t="s">
        <v>6</v>
      </c>
      <c r="D694" s="20">
        <v>1</v>
      </c>
    </row>
    <row r="695" spans="1:4">
      <c r="A695" s="21" t="str">
        <f t="shared" si="68"/>
        <v>АСУЭ.FB_IMstp_S.OXON</v>
      </c>
      <c r="B695" s="8">
        <v>7999</v>
      </c>
      <c r="C695" s="8" t="s">
        <v>0</v>
      </c>
      <c r="D695" s="22" t="str">
        <f>"#"&amp;$S$2&amp;"#"&amp;$T$2&amp;"\"&amp;$P$2&amp;"\OXON"</f>
        <v>#1#treiOPCDA.CoOPCserv.1\pcmaster\ZRU_OL1\OXON</v>
      </c>
    </row>
    <row r="696" spans="1:4">
      <c r="A696" s="16" t="str">
        <f t="shared" ref="A696:A701" si="69">$R$2&amp;".OXOF"</f>
        <v>АСУЭ.FB_IMstp_S.OXOF</v>
      </c>
      <c r="B696" s="17">
        <v>101</v>
      </c>
      <c r="C696" s="17" t="s">
        <v>0</v>
      </c>
      <c r="D696" s="18" t="s">
        <v>132</v>
      </c>
    </row>
    <row r="697" spans="1:4">
      <c r="A697" s="19" t="str">
        <f t="shared" si="69"/>
        <v>АСУЭ.FB_IMstp_S.OXOF</v>
      </c>
      <c r="B697" s="11">
        <v>1</v>
      </c>
      <c r="C697" s="11" t="s">
        <v>1</v>
      </c>
      <c r="D697" s="20">
        <v>11</v>
      </c>
    </row>
    <row r="698" spans="1:4">
      <c r="A698" s="19" t="str">
        <f t="shared" si="69"/>
        <v>АСУЭ.FB_IMstp_S.OXOF</v>
      </c>
      <c r="B698" s="11">
        <v>2</v>
      </c>
      <c r="C698" s="11" t="s">
        <v>2</v>
      </c>
      <c r="D698" s="20" t="s">
        <v>3</v>
      </c>
    </row>
    <row r="699" spans="1:4">
      <c r="A699" s="19" t="str">
        <f t="shared" si="69"/>
        <v>АСУЭ.FB_IMstp_S.OXOF</v>
      </c>
      <c r="B699" s="11">
        <v>3</v>
      </c>
      <c r="C699" s="11" t="s">
        <v>1</v>
      </c>
      <c r="D699" s="20">
        <v>192</v>
      </c>
    </row>
    <row r="700" spans="1:4">
      <c r="A700" s="19" t="str">
        <f t="shared" si="69"/>
        <v>АСУЭ.FB_IMstp_S.OXOF</v>
      </c>
      <c r="B700" s="11">
        <v>7998</v>
      </c>
      <c r="C700" s="11" t="s">
        <v>6</v>
      </c>
      <c r="D700" s="20">
        <v>1</v>
      </c>
    </row>
    <row r="701" spans="1:4">
      <c r="A701" s="21" t="str">
        <f t="shared" si="69"/>
        <v>АСУЭ.FB_IMstp_S.OXOF</v>
      </c>
      <c r="B701" s="8">
        <v>7999</v>
      </c>
      <c r="C701" s="8" t="s">
        <v>0</v>
      </c>
      <c r="D701" s="22" t="str">
        <f>"#"&amp;$S$2&amp;"#"&amp;$T$2&amp;"\"&amp;$P$2&amp;"\OXOF"</f>
        <v>#1#treiOPCDA.CoOPCserv.1\pcmaster\ZRU_OL1\OXOF</v>
      </c>
    </row>
    <row r="702" spans="1:4">
      <c r="A702" s="266" t="str">
        <f t="shared" ref="A702:A707" si="70">$R$2&amp;".TCON"</f>
        <v>АСУЭ.FB_IMstp_S.TCON</v>
      </c>
      <c r="B702" s="267">
        <v>3</v>
      </c>
      <c r="C702" s="267" t="s">
        <v>1</v>
      </c>
      <c r="D702" s="268">
        <v>192</v>
      </c>
    </row>
    <row r="703" spans="1:4">
      <c r="A703" s="269" t="str">
        <f t="shared" si="70"/>
        <v>АСУЭ.FB_IMstp_S.TCON</v>
      </c>
      <c r="B703" s="270">
        <v>2</v>
      </c>
      <c r="C703" s="270" t="s">
        <v>6</v>
      </c>
      <c r="D703" s="271">
        <v>0</v>
      </c>
    </row>
    <row r="704" spans="1:4">
      <c r="A704" s="269" t="str">
        <f t="shared" si="70"/>
        <v>АСУЭ.FB_IMstp_S.TCON</v>
      </c>
      <c r="B704" s="270">
        <v>1</v>
      </c>
      <c r="C704" s="270" t="s">
        <v>1</v>
      </c>
      <c r="D704" s="271">
        <v>3</v>
      </c>
    </row>
    <row r="705" spans="1:4">
      <c r="A705" s="269" t="str">
        <f t="shared" si="70"/>
        <v>АСУЭ.FB_IMstp_S.TCON</v>
      </c>
      <c r="B705" s="270">
        <v>101</v>
      </c>
      <c r="C705" s="270" t="s">
        <v>0</v>
      </c>
      <c r="D705" s="271" t="s">
        <v>274</v>
      </c>
    </row>
    <row r="706" spans="1:4">
      <c r="A706" s="269" t="str">
        <f t="shared" si="70"/>
        <v>АСУЭ.FB_IMstp_S.TCON</v>
      </c>
      <c r="B706" s="270">
        <v>7998</v>
      </c>
      <c r="C706" s="270" t="s">
        <v>6</v>
      </c>
      <c r="D706" s="271">
        <v>1</v>
      </c>
    </row>
    <row r="707" spans="1:4">
      <c r="A707" s="272" t="str">
        <f t="shared" si="70"/>
        <v>АСУЭ.FB_IMstp_S.TCON</v>
      </c>
      <c r="B707" s="273">
        <v>7999</v>
      </c>
      <c r="C707" s="273" t="s">
        <v>0</v>
      </c>
      <c r="D707" s="274" t="str">
        <f>"#"&amp;$S$2&amp;"#"&amp;$T$2&amp;"\"&amp;$P$2&amp;"\TCON"</f>
        <v>#1#treiOPCDA.CoOPCserv.1\pcmaster\ZRU_OL1\TCON</v>
      </c>
    </row>
    <row r="708" spans="1:4">
      <c r="A708" s="266" t="str">
        <f t="shared" ref="A708:A713" si="71">$R$2&amp;".TCOF"</f>
        <v>АСУЭ.FB_IMstp_S.TCOF</v>
      </c>
      <c r="B708" s="267">
        <v>3</v>
      </c>
      <c r="C708" s="267" t="s">
        <v>1</v>
      </c>
      <c r="D708" s="268">
        <v>192</v>
      </c>
    </row>
    <row r="709" spans="1:4">
      <c r="A709" s="269" t="str">
        <f t="shared" si="71"/>
        <v>АСУЭ.FB_IMstp_S.TCOF</v>
      </c>
      <c r="B709" s="270">
        <v>2</v>
      </c>
      <c r="C709" s="270" t="s">
        <v>6</v>
      </c>
      <c r="D709" s="271">
        <v>0</v>
      </c>
    </row>
    <row r="710" spans="1:4">
      <c r="A710" s="269" t="str">
        <f t="shared" si="71"/>
        <v>АСУЭ.FB_IMstp_S.TCOF</v>
      </c>
      <c r="B710" s="270">
        <v>1</v>
      </c>
      <c r="C710" s="270" t="s">
        <v>1</v>
      </c>
      <c r="D710" s="271">
        <v>3</v>
      </c>
    </row>
    <row r="711" spans="1:4">
      <c r="A711" s="269" t="str">
        <f t="shared" si="71"/>
        <v>АСУЭ.FB_IMstp_S.TCOF</v>
      </c>
      <c r="B711" s="270">
        <v>101</v>
      </c>
      <c r="C711" s="270" t="s">
        <v>0</v>
      </c>
      <c r="D711" s="271" t="s">
        <v>275</v>
      </c>
    </row>
    <row r="712" spans="1:4">
      <c r="A712" s="269" t="str">
        <f t="shared" si="71"/>
        <v>АСУЭ.FB_IMstp_S.TCOF</v>
      </c>
      <c r="B712" s="270">
        <v>7998</v>
      </c>
      <c r="C712" s="270" t="s">
        <v>6</v>
      </c>
      <c r="D712" s="271">
        <v>1</v>
      </c>
    </row>
    <row r="713" spans="1:4">
      <c r="A713" s="272" t="str">
        <f t="shared" si="71"/>
        <v>АСУЭ.FB_IMstp_S.TCOF</v>
      </c>
      <c r="B713" s="273">
        <v>7999</v>
      </c>
      <c r="C713" s="273" t="s">
        <v>0</v>
      </c>
      <c r="D713" s="274" t="str">
        <f>"#"&amp;$S$2&amp;"#"&amp;$T$2&amp;"\"&amp;$P$2&amp;"\TCOF"</f>
        <v>#1#treiOPCDA.CoOPCserv.1\pcmaster\ZRU_OL1\TCOF</v>
      </c>
    </row>
    <row r="714" spans="1:4">
      <c r="A714" s="266" t="str">
        <f t="shared" ref="A714:A719" si="72">$R$2&amp;".STSX"</f>
        <v>АСУЭ.FB_IMstp_S.STSX</v>
      </c>
      <c r="B714" s="267">
        <v>101</v>
      </c>
      <c r="C714" s="267" t="s">
        <v>0</v>
      </c>
      <c r="D714" s="268" t="s">
        <v>128</v>
      </c>
    </row>
    <row r="715" spans="1:4">
      <c r="A715" s="269" t="str">
        <f t="shared" si="72"/>
        <v>АСУЭ.FB_IMstp_S.STSX</v>
      </c>
      <c r="B715" s="270">
        <v>3</v>
      </c>
      <c r="C715" s="270" t="s">
        <v>1</v>
      </c>
      <c r="D715" s="271">
        <v>192</v>
      </c>
    </row>
    <row r="716" spans="1:4">
      <c r="A716" s="269" t="str">
        <f t="shared" si="72"/>
        <v>АСУЭ.FB_IMstp_S.STSX</v>
      </c>
      <c r="B716" s="270">
        <v>2</v>
      </c>
      <c r="C716" s="270" t="s">
        <v>6</v>
      </c>
      <c r="D716" s="271">
        <v>0</v>
      </c>
    </row>
    <row r="717" spans="1:4">
      <c r="A717" s="269" t="str">
        <f t="shared" si="72"/>
        <v>АСУЭ.FB_IMstp_S.STSX</v>
      </c>
      <c r="B717" s="270">
        <v>1</v>
      </c>
      <c r="C717" s="270" t="s">
        <v>1</v>
      </c>
      <c r="D717" s="271">
        <v>3</v>
      </c>
    </row>
    <row r="718" spans="1:4">
      <c r="A718" s="269" t="str">
        <f t="shared" si="72"/>
        <v>АСУЭ.FB_IMstp_S.STSX</v>
      </c>
      <c r="B718" s="270">
        <v>7998</v>
      </c>
      <c r="C718" s="270" t="s">
        <v>6</v>
      </c>
      <c r="D718" s="271">
        <v>1</v>
      </c>
    </row>
    <row r="719" spans="1:4">
      <c r="A719" s="272" t="str">
        <f t="shared" si="72"/>
        <v>АСУЭ.FB_IMstp_S.STSX</v>
      </c>
      <c r="B719" s="273">
        <v>7999</v>
      </c>
      <c r="C719" s="273" t="s">
        <v>0</v>
      </c>
      <c r="D719" s="274" t="str">
        <f>"#"&amp;$S$2&amp;"#"&amp;$T$2&amp;"\"&amp;$P$2&amp;"\STSX"</f>
        <v>#1#treiOPCDA.CoOPCserv.1\pcmaster\ZRU_OL1\STSX</v>
      </c>
    </row>
    <row r="720" spans="1:4">
      <c r="A720" s="266" t="str">
        <f t="shared" ref="A720:A725" si="73">$R$2&amp;".XRON"</f>
        <v>АСУЭ.FB_IMstp_S.XRON</v>
      </c>
      <c r="B720" s="267">
        <v>101</v>
      </c>
      <c r="C720" s="267" t="s">
        <v>0</v>
      </c>
      <c r="D720" s="268" t="s">
        <v>172</v>
      </c>
    </row>
    <row r="721" spans="1:4">
      <c r="A721" s="269" t="str">
        <f t="shared" si="73"/>
        <v>АСУЭ.FB_IMstp_S.XRON</v>
      </c>
      <c r="B721" s="270">
        <v>1</v>
      </c>
      <c r="C721" s="270" t="s">
        <v>1</v>
      </c>
      <c r="D721" s="271">
        <v>3</v>
      </c>
    </row>
    <row r="722" spans="1:4">
      <c r="A722" s="269" t="str">
        <f t="shared" si="73"/>
        <v>АСУЭ.FB_IMstp_S.XRON</v>
      </c>
      <c r="B722" s="270">
        <v>2</v>
      </c>
      <c r="C722" s="270" t="s">
        <v>6</v>
      </c>
      <c r="D722" s="271">
        <v>0</v>
      </c>
    </row>
    <row r="723" spans="1:4">
      <c r="A723" s="269" t="str">
        <f t="shared" si="73"/>
        <v>АСУЭ.FB_IMstp_S.XRON</v>
      </c>
      <c r="B723" s="270">
        <v>3</v>
      </c>
      <c r="C723" s="270" t="s">
        <v>1</v>
      </c>
      <c r="D723" s="271">
        <v>192</v>
      </c>
    </row>
    <row r="724" spans="1:4">
      <c r="A724" s="269" t="str">
        <f t="shared" si="73"/>
        <v>АСУЭ.FB_IMstp_S.XRON</v>
      </c>
      <c r="B724" s="270">
        <v>7998</v>
      </c>
      <c r="C724" s="270" t="s">
        <v>6</v>
      </c>
      <c r="D724" s="271">
        <v>1</v>
      </c>
    </row>
    <row r="725" spans="1:4">
      <c r="A725" s="272" t="str">
        <f t="shared" si="73"/>
        <v>АСУЭ.FB_IMstp_S.XRON</v>
      </c>
      <c r="B725" s="273">
        <v>7999</v>
      </c>
      <c r="C725" s="273" t="s">
        <v>0</v>
      </c>
      <c r="D725" s="274" t="str">
        <f>"#"&amp;$S$2&amp;"#"&amp;$T$2&amp;"\"&amp;$P$2&amp;"\XRON"</f>
        <v>#1#treiOPCDA.CoOPCserv.1\pcmaster\ZRU_OL1\XRON</v>
      </c>
    </row>
    <row r="726" spans="1:4">
      <c r="A726" s="266" t="str">
        <f t="shared" ref="A726:A731" si="74">$R$2&amp;".XROF"</f>
        <v>АСУЭ.FB_IMstp_S.XROF</v>
      </c>
      <c r="B726" s="267">
        <v>101</v>
      </c>
      <c r="C726" s="267" t="s">
        <v>0</v>
      </c>
      <c r="D726" s="268" t="s">
        <v>173</v>
      </c>
    </row>
    <row r="727" spans="1:4">
      <c r="A727" s="269" t="str">
        <f t="shared" si="74"/>
        <v>АСУЭ.FB_IMstp_S.XROF</v>
      </c>
      <c r="B727" s="270">
        <v>1</v>
      </c>
      <c r="C727" s="270" t="s">
        <v>1</v>
      </c>
      <c r="D727" s="271">
        <v>3</v>
      </c>
    </row>
    <row r="728" spans="1:4">
      <c r="A728" s="269" t="str">
        <f t="shared" si="74"/>
        <v>АСУЭ.FB_IMstp_S.XROF</v>
      </c>
      <c r="B728" s="270">
        <v>2</v>
      </c>
      <c r="C728" s="270" t="s">
        <v>6</v>
      </c>
      <c r="D728" s="271">
        <v>0</v>
      </c>
    </row>
    <row r="729" spans="1:4">
      <c r="A729" s="269" t="str">
        <f t="shared" si="74"/>
        <v>АСУЭ.FB_IMstp_S.XROF</v>
      </c>
      <c r="B729" s="270">
        <v>3</v>
      </c>
      <c r="C729" s="270" t="s">
        <v>1</v>
      </c>
      <c r="D729" s="271">
        <v>192</v>
      </c>
    </row>
    <row r="730" spans="1:4">
      <c r="A730" s="269" t="str">
        <f t="shared" si="74"/>
        <v>АСУЭ.FB_IMstp_S.XROF</v>
      </c>
      <c r="B730" s="270">
        <v>7998</v>
      </c>
      <c r="C730" s="270" t="s">
        <v>6</v>
      </c>
      <c r="D730" s="271">
        <v>1</v>
      </c>
    </row>
    <row r="731" spans="1:4">
      <c r="A731" s="272" t="str">
        <f t="shared" si="74"/>
        <v>АСУЭ.FB_IMstp_S.XROF</v>
      </c>
      <c r="B731" s="273">
        <v>7999</v>
      </c>
      <c r="C731" s="273" t="s">
        <v>0</v>
      </c>
      <c r="D731" s="274" t="str">
        <f>"#"&amp;$S$2&amp;"#"&amp;$T$2&amp;"\"&amp;$P$2&amp;"\XROF"</f>
        <v>#1#treiOPCDA.CoOPCserv.1\pcmaster\ZRU_OL1\XROF</v>
      </c>
    </row>
    <row r="732" spans="1:4">
      <c r="A732" s="266" t="str">
        <f t="shared" ref="A732:A737" si="75">$R$2&amp;".XRPT"</f>
        <v>АСУЭ.FB_IMstp_S.XRPT</v>
      </c>
      <c r="B732" s="267">
        <v>101</v>
      </c>
      <c r="C732" s="267" t="s">
        <v>0</v>
      </c>
      <c r="D732" s="268" t="s">
        <v>174</v>
      </c>
    </row>
    <row r="733" spans="1:4">
      <c r="A733" s="269" t="str">
        <f t="shared" si="75"/>
        <v>АСУЭ.FB_IMstp_S.XRPT</v>
      </c>
      <c r="B733" s="270">
        <v>1</v>
      </c>
      <c r="C733" s="270" t="s">
        <v>1</v>
      </c>
      <c r="D733" s="271">
        <v>3</v>
      </c>
    </row>
    <row r="734" spans="1:4">
      <c r="A734" s="269" t="str">
        <f t="shared" si="75"/>
        <v>АСУЭ.FB_IMstp_S.XRPT</v>
      </c>
      <c r="B734" s="270">
        <v>2</v>
      </c>
      <c r="C734" s="270" t="s">
        <v>6</v>
      </c>
      <c r="D734" s="271">
        <v>0</v>
      </c>
    </row>
    <row r="735" spans="1:4">
      <c r="A735" s="269" t="str">
        <f t="shared" si="75"/>
        <v>АСУЭ.FB_IMstp_S.XRPT</v>
      </c>
      <c r="B735" s="270">
        <v>3</v>
      </c>
      <c r="C735" s="270" t="s">
        <v>1</v>
      </c>
      <c r="D735" s="271">
        <v>192</v>
      </c>
    </row>
    <row r="736" spans="1:4">
      <c r="A736" s="269" t="str">
        <f t="shared" si="75"/>
        <v>АСУЭ.FB_IMstp_S.XRPT</v>
      </c>
      <c r="B736" s="270">
        <v>7998</v>
      </c>
      <c r="C736" s="270" t="s">
        <v>6</v>
      </c>
      <c r="D736" s="271">
        <v>1</v>
      </c>
    </row>
    <row r="737" spans="1:4">
      <c r="A737" s="272" t="str">
        <f t="shared" si="75"/>
        <v>АСУЭ.FB_IMstp_S.XRPT</v>
      </c>
      <c r="B737" s="273">
        <v>7999</v>
      </c>
      <c r="C737" s="273" t="s">
        <v>0</v>
      </c>
      <c r="D737" s="274" t="str">
        <f>"#"&amp;$S$2&amp;"#"&amp;$T$2&amp;"\"&amp;$P$2&amp;"\XRPT"</f>
        <v>#1#treiOPCDA.CoOPCserv.1\pcmaster\ZRU_OL1\XRPT</v>
      </c>
    </row>
    <row r="738" spans="1:4">
      <c r="A738" s="266" t="str">
        <f t="shared" ref="A738:A743" si="76">$R$2&amp;".SRPT"</f>
        <v>АСУЭ.FB_IMstp_S.SRPT</v>
      </c>
      <c r="B738" s="267">
        <v>3</v>
      </c>
      <c r="C738" s="267" t="s">
        <v>1</v>
      </c>
      <c r="D738" s="268">
        <v>192</v>
      </c>
    </row>
    <row r="739" spans="1:4">
      <c r="A739" s="269" t="str">
        <f t="shared" si="76"/>
        <v>АСУЭ.FB_IMstp_S.SRPT</v>
      </c>
      <c r="B739" s="270">
        <v>2</v>
      </c>
      <c r="C739" s="270" t="s">
        <v>6</v>
      </c>
      <c r="D739" s="271">
        <v>0</v>
      </c>
    </row>
    <row r="740" spans="1:4">
      <c r="A740" s="269" t="str">
        <f t="shared" si="76"/>
        <v>АСУЭ.FB_IMstp_S.SRPT</v>
      </c>
      <c r="B740" s="270">
        <v>1</v>
      </c>
      <c r="C740" s="270" t="s">
        <v>1</v>
      </c>
      <c r="D740" s="271">
        <v>3</v>
      </c>
    </row>
    <row r="741" spans="1:4">
      <c r="A741" s="269" t="str">
        <f t="shared" si="76"/>
        <v>АСУЭ.FB_IMstp_S.SRPT</v>
      </c>
      <c r="B741" s="270">
        <v>101</v>
      </c>
      <c r="C741" s="270" t="s">
        <v>0</v>
      </c>
      <c r="D741" s="271" t="s">
        <v>126</v>
      </c>
    </row>
    <row r="742" spans="1:4">
      <c r="A742" s="269" t="str">
        <f t="shared" si="76"/>
        <v>АСУЭ.FB_IMstp_S.SRPT</v>
      </c>
      <c r="B742" s="270">
        <v>7998</v>
      </c>
      <c r="C742" s="270" t="s">
        <v>6</v>
      </c>
      <c r="D742" s="271">
        <v>1</v>
      </c>
    </row>
    <row r="743" spans="1:4">
      <c r="A743" s="272" t="str">
        <f t="shared" si="76"/>
        <v>АСУЭ.FB_IMstp_S.SRPT</v>
      </c>
      <c r="B743" s="273">
        <v>7999</v>
      </c>
      <c r="C743" s="273" t="s">
        <v>0</v>
      </c>
      <c r="D743" s="274" t="str">
        <f>"#"&amp;$S$2&amp;"#"&amp;$T$2&amp;"\"&amp;$P$2&amp;"\SRPT"</f>
        <v>#1#treiOPCDA.CoOPCserv.1\pcmaster\ZRU_OL1\SRPT</v>
      </c>
    </row>
    <row r="744" spans="1:4">
      <c r="A744" s="266" t="str">
        <f t="shared" ref="A744:A749" si="77">$R$2&amp;".SRQX"</f>
        <v>АСУЭ.FB_IMstp_S.SRQX</v>
      </c>
      <c r="B744" s="267">
        <v>101</v>
      </c>
      <c r="C744" s="267" t="s">
        <v>0</v>
      </c>
      <c r="D744" s="268" t="s">
        <v>125</v>
      </c>
    </row>
    <row r="745" spans="1:4">
      <c r="A745" s="269" t="str">
        <f t="shared" si="77"/>
        <v>АСУЭ.FB_IMstp_S.SRQX</v>
      </c>
      <c r="B745" s="270">
        <v>3</v>
      </c>
      <c r="C745" s="270" t="s">
        <v>1</v>
      </c>
      <c r="D745" s="271">
        <v>192</v>
      </c>
    </row>
    <row r="746" spans="1:4">
      <c r="A746" s="269" t="str">
        <f t="shared" si="77"/>
        <v>АСУЭ.FB_IMstp_S.SRQX</v>
      </c>
      <c r="B746" s="270">
        <v>2</v>
      </c>
      <c r="C746" s="270" t="s">
        <v>6</v>
      </c>
      <c r="D746" s="271">
        <v>0</v>
      </c>
    </row>
    <row r="747" spans="1:4">
      <c r="A747" s="269" t="str">
        <f t="shared" si="77"/>
        <v>АСУЭ.FB_IMstp_S.SRQX</v>
      </c>
      <c r="B747" s="270">
        <v>1</v>
      </c>
      <c r="C747" s="270" t="s">
        <v>1</v>
      </c>
      <c r="D747" s="271">
        <v>3</v>
      </c>
    </row>
    <row r="748" spans="1:4">
      <c r="A748" s="269" t="str">
        <f t="shared" si="77"/>
        <v>АСУЭ.FB_IMstp_S.SRQX</v>
      </c>
      <c r="B748" s="270">
        <v>7998</v>
      </c>
      <c r="C748" s="270" t="s">
        <v>6</v>
      </c>
      <c r="D748" s="271">
        <v>1</v>
      </c>
    </row>
    <row r="749" spans="1:4">
      <c r="A749" s="272" t="str">
        <f t="shared" si="77"/>
        <v>АСУЭ.FB_IMstp_S.SRQX</v>
      </c>
      <c r="B749" s="273">
        <v>7999</v>
      </c>
      <c r="C749" s="273" t="s">
        <v>0</v>
      </c>
      <c r="D749" s="274" t="str">
        <f>"#"&amp;$S$2&amp;"#"&amp;$T$2&amp;"\"&amp;$P$2&amp;"\SRQX"</f>
        <v>#1#treiOPCDA.CoOPCserv.1\pcmaster\ZRU_OL1\SRQX</v>
      </c>
    </row>
  </sheetData>
  <autoFilter ref="B1:B749" xr:uid="{00000000-0009-0000-0000-000011000000}"/>
  <mergeCells count="2">
    <mergeCell ref="Q23:Q24"/>
    <mergeCell ref="Q25:Q26"/>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Лист29">
    <tabColor rgb="FFFFC000"/>
  </sheetPr>
  <dimension ref="A1:BP595"/>
  <sheetViews>
    <sheetView topLeftCell="A4" zoomScale="70" zoomScaleNormal="70"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62" t="s">
        <v>84</v>
      </c>
      <c r="C1" s="257"/>
      <c r="D1" s="257"/>
      <c r="E1" s="257"/>
      <c r="F1" s="257"/>
      <c r="P1" s="263"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1"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61"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61" t="str">
        <f>Таблица!AL1</f>
        <v>Для TREI
FB_IMstp_S, FB_IMs_S, FB_IMp_S, FB_IMv_S, FB_IM_ADES_S: Настройка перехода ручной-/автоматический-(TRUE/FALSE) 
FB_DI_S: Генерировать метки времени (TRUE/FALSE)</v>
      </c>
      <c r="AY1" s="261"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61" t="str">
        <f>Таблица!AN1</f>
        <v>Для TREI
FB_AI_S, FB_QSA_S: Верхний предел датчика
FB_IMp_S, FB_IMv_S, FB_IM_ADES_S, FB_OZK_KD_S: Время перестановки</v>
      </c>
      <c r="BA1" s="261"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t="s">
        <v>324</v>
      </c>
      <c r="Q2" s="2" t="s">
        <v>770</v>
      </c>
      <c r="R2" s="2" t="s">
        <v>784</v>
      </c>
      <c r="S2" s="3">
        <v>1</v>
      </c>
      <c r="T2" s="3" t="s">
        <v>1698</v>
      </c>
      <c r="U2" s="3"/>
      <c r="V2" s="3" t="s">
        <v>569</v>
      </c>
      <c r="W2" s="12"/>
      <c r="X2" s="12" t="s">
        <v>327</v>
      </c>
      <c r="Y2" s="12"/>
      <c r="Z2" s="12"/>
      <c r="AA2" s="12"/>
      <c r="AB2" s="2"/>
      <c r="AC2" s="2" t="s">
        <v>305</v>
      </c>
      <c r="AD2" s="2"/>
      <c r="AE2" s="2" t="s">
        <v>1414</v>
      </c>
      <c r="AF2" s="2"/>
      <c r="AG2" s="2"/>
      <c r="AH2" s="2"/>
      <c r="AI2" s="2"/>
      <c r="AJ2" s="2"/>
      <c r="AK2" s="2"/>
      <c r="AL2" s="2" t="s">
        <v>1267</v>
      </c>
      <c r="AM2" s="2" t="s">
        <v>1268</v>
      </c>
      <c r="AN2" s="2" t="s">
        <v>1269</v>
      </c>
      <c r="AO2" s="2" t="s">
        <v>1270</v>
      </c>
      <c r="AP2" s="2" t="s">
        <v>1271</v>
      </c>
      <c r="AQ2" s="2" t="s">
        <v>1272</v>
      </c>
      <c r="AR2" s="2" t="s">
        <v>1273</v>
      </c>
      <c r="AS2" s="2"/>
      <c r="AT2" s="2"/>
      <c r="AU2" s="2"/>
      <c r="AV2" s="2"/>
      <c r="AW2" s="2"/>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AB3" s="10"/>
      <c r="AC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AB4" s="10"/>
      <c r="AC4" s="10"/>
      <c r="BM4" s="4"/>
      <c r="BN4" s="4"/>
      <c r="BO4" s="4"/>
      <c r="BP4" s="4"/>
    </row>
    <row r="5" spans="1:68"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AB5" s="10"/>
      <c r="AC5" s="10"/>
      <c r="BM5" s="4"/>
      <c r="BN5" s="4"/>
      <c r="BO5" s="4"/>
      <c r="BP5" s="4"/>
    </row>
    <row r="6" spans="1:68"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AB6" s="10"/>
      <c r="AC6" s="10"/>
      <c r="BM6" s="4"/>
      <c r="BN6" s="4"/>
      <c r="BO6" s="4"/>
      <c r="BP6" s="4"/>
    </row>
    <row r="7" spans="1:68"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AB7" s="10"/>
      <c r="AC7" s="10"/>
      <c r="BM7" s="4"/>
      <c r="BN7" s="4"/>
      <c r="BO7" s="4"/>
      <c r="BP7" s="4"/>
    </row>
    <row r="8" spans="1:68" ht="15" customHeight="1">
      <c r="A8" s="9"/>
      <c r="B8" s="9"/>
      <c r="C8" s="9"/>
      <c r="D8" s="9"/>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AB8" s="10"/>
      <c r="AC8" s="10"/>
      <c r="BM8" s="4"/>
      <c r="BN8" s="4"/>
      <c r="BO8" s="4"/>
      <c r="BP8" s="4"/>
    </row>
    <row r="9" spans="1:68" ht="15" customHeight="1">
      <c r="A9" s="9"/>
      <c r="B9" s="9"/>
      <c r="C9" s="9"/>
      <c r="D9" s="9"/>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AB9" s="10"/>
      <c r="AC9" s="10"/>
      <c r="BM9" s="4"/>
      <c r="BN9" s="4"/>
      <c r="BO9" s="4"/>
      <c r="BP9" s="4"/>
    </row>
    <row r="10" spans="1:68" ht="15" customHeight="1">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AB10" s="10"/>
      <c r="AC10" s="10"/>
      <c r="BM10" s="4"/>
      <c r="BN10" s="4"/>
      <c r="BO10" s="4"/>
      <c r="BP10" s="4"/>
    </row>
    <row r="11" spans="1:68" ht="15" customHeight="1">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AB11" s="10"/>
      <c r="AC11" s="10"/>
      <c r="BM11" s="4"/>
      <c r="BN11" s="4"/>
      <c r="BO11" s="4"/>
      <c r="BP11" s="4"/>
    </row>
    <row r="12" spans="1:68"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AB12" s="10"/>
      <c r="AC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AB13" s="10"/>
      <c r="AC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AB14" s="10"/>
      <c r="AC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AB15" s="10"/>
      <c r="AC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AB16" s="10"/>
      <c r="AC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AB17" s="10"/>
      <c r="AC17" s="10"/>
      <c r="BM17" s="4"/>
      <c r="BN17" s="4"/>
      <c r="BO17" s="4"/>
      <c r="BP17" s="4"/>
    </row>
    <row r="18" spans="1:68"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AB18" s="10"/>
      <c r="AC18" s="10"/>
      <c r="BM18" s="4"/>
      <c r="BN18" s="4"/>
      <c r="BO18" s="4"/>
      <c r="BP18" s="4"/>
    </row>
    <row r="19" spans="1:68"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AB19" s="10"/>
      <c r="AC19" s="10"/>
      <c r="BM19" s="4"/>
      <c r="BN19" s="4"/>
      <c r="BO19" s="4"/>
      <c r="BP19" s="4"/>
    </row>
    <row r="20" spans="1:68">
      <c r="A20" s="16" t="str">
        <f t="shared" ref="A20:A39" si="0">$R$2</f>
        <v>АСУЭ.FB_IMs_S</v>
      </c>
      <c r="B20" s="17">
        <v>11001</v>
      </c>
      <c r="C20" s="17" t="s">
        <v>0</v>
      </c>
      <c r="D20" s="18" t="str">
        <f>$Q$2&amp;". "</f>
        <v xml:space="preserve">Выключатель электрический без тележки и защит. </v>
      </c>
    </row>
    <row r="21" spans="1:68">
      <c r="A21" s="19" t="str">
        <f t="shared" si="0"/>
        <v>АСУЭ.FB_IMs_S</v>
      </c>
      <c r="B21" s="11">
        <v>1</v>
      </c>
      <c r="C21" s="11" t="s">
        <v>1</v>
      </c>
      <c r="D21" s="20">
        <v>17</v>
      </c>
    </row>
    <row r="22" spans="1:68">
      <c r="A22" s="19" t="str">
        <f t="shared" si="0"/>
        <v>АСУЭ.FB_IMs_S</v>
      </c>
      <c r="B22" s="11">
        <v>11156</v>
      </c>
      <c r="C22" s="11" t="s">
        <v>0</v>
      </c>
      <c r="D22" s="20" t="str">
        <f>$V$2</f>
        <v>Тестовый экран</v>
      </c>
    </row>
    <row r="23" spans="1:68">
      <c r="A23" s="23" t="str">
        <f>$R$2</f>
        <v>АСУЭ.FB_IMs_S</v>
      </c>
      <c r="B23" s="24">
        <v>9219</v>
      </c>
      <c r="C23" s="24" t="s">
        <v>2</v>
      </c>
      <c r="D23" s="25" t="s">
        <v>3</v>
      </c>
      <c r="Q23" s="778" t="s">
        <v>420</v>
      </c>
    </row>
    <row r="24" spans="1:68">
      <c r="A24" s="29" t="str">
        <f>$R$2</f>
        <v>АСУЭ.FB_IMs_S</v>
      </c>
      <c r="B24" s="27">
        <v>3009219</v>
      </c>
      <c r="C24" s="27" t="s">
        <v>0</v>
      </c>
      <c r="D24" s="28" t="str">
        <f>$X$2</f>
        <v>!АСУЭ.ЗРУиКТП.DI_1.XVLX.value &amp;&amp; АСУЭ.ЗРУиКТП.IMstp_1.XONX.value &amp;&amp; АСУЭ.ЗРУиКТП.IMstp_1.XTON.value</v>
      </c>
      <c r="Q24" s="779"/>
    </row>
    <row r="25" spans="1:68" ht="15" customHeight="1">
      <c r="A25" s="16" t="str">
        <f t="shared" si="0"/>
        <v>АСУЭ.FB_IMs_S</v>
      </c>
      <c r="B25" s="17">
        <v>100</v>
      </c>
      <c r="C25" s="17" t="s">
        <v>0</v>
      </c>
      <c r="D25" s="18" t="b">
        <f>$T$7</f>
        <v>0</v>
      </c>
      <c r="BF25" s="4"/>
      <c r="BG25" s="4"/>
      <c r="BH25" s="4"/>
      <c r="BI25" s="4"/>
    </row>
    <row r="26" spans="1:68">
      <c r="A26" s="29" t="str">
        <f>$R$2</f>
        <v>АСУЭ.FB_IMs_S</v>
      </c>
      <c r="B26" s="1">
        <v>7011</v>
      </c>
      <c r="C26" s="1" t="s">
        <v>2</v>
      </c>
      <c r="D26" s="30" t="s">
        <v>266</v>
      </c>
    </row>
    <row r="27" spans="1:68" ht="15" customHeight="1">
      <c r="A27" s="19" t="str">
        <f t="shared" si="0"/>
        <v>АСУЭ.FB_IMs_S</v>
      </c>
      <c r="B27" s="11">
        <v>9218</v>
      </c>
      <c r="C27" s="11" t="s">
        <v>2</v>
      </c>
      <c r="D27" s="20" t="s">
        <v>3</v>
      </c>
      <c r="BF27" s="4"/>
      <c r="BG27" s="4"/>
      <c r="BH27" s="4"/>
      <c r="BI27" s="4"/>
    </row>
    <row r="28" spans="1:68">
      <c r="A28" s="19" t="str">
        <f t="shared" si="0"/>
        <v>АСУЭ.FB_IMs_S</v>
      </c>
      <c r="B28" s="11">
        <v>11120</v>
      </c>
      <c r="C28" s="11" t="s">
        <v>0</v>
      </c>
      <c r="D28" s="20" t="str">
        <f>$AC$2</f>
        <v>Фиолетовый</v>
      </c>
    </row>
    <row r="29" spans="1:68">
      <c r="A29" s="19" t="str">
        <f t="shared" si="0"/>
        <v>АСУЭ.FB_IMs_S</v>
      </c>
      <c r="B29" s="11">
        <v>11121</v>
      </c>
      <c r="C29" s="11" t="s">
        <v>0</v>
      </c>
      <c r="D29" s="20" t="str">
        <f>$AL$2</f>
        <v>6+2</v>
      </c>
    </row>
    <row r="30" spans="1:68">
      <c r="A30" s="19" t="str">
        <f t="shared" si="0"/>
        <v>АСУЭ.FB_IMs_S</v>
      </c>
      <c r="B30" s="11">
        <v>11122</v>
      </c>
      <c r="C30" s="11" t="s">
        <v>0</v>
      </c>
      <c r="D30" s="20" t="str">
        <f>$AM$2</f>
        <v>6+3</v>
      </c>
    </row>
    <row r="31" spans="1:68">
      <c r="A31" s="19" t="str">
        <f t="shared" si="0"/>
        <v>АСУЭ.FB_IMs_S</v>
      </c>
      <c r="B31" s="11">
        <v>11123</v>
      </c>
      <c r="C31" s="11" t="s">
        <v>0</v>
      </c>
      <c r="D31" s="20" t="str">
        <f>$AN$2</f>
        <v>6+4</v>
      </c>
    </row>
    <row r="32" spans="1:68">
      <c r="A32" s="19" t="str">
        <f t="shared" si="0"/>
        <v>АСУЭ.FB_IMs_S</v>
      </c>
      <c r="B32" s="11">
        <v>11124</v>
      </c>
      <c r="C32" s="11" t="s">
        <v>0</v>
      </c>
      <c r="D32" s="20" t="str">
        <f>$AO$2</f>
        <v>6+5</v>
      </c>
    </row>
    <row r="33" spans="1:61">
      <c r="A33" s="19" t="str">
        <f t="shared" si="0"/>
        <v>АСУЭ.FB_IMs_S</v>
      </c>
      <c r="B33" s="11">
        <v>11125</v>
      </c>
      <c r="C33" s="11" t="s">
        <v>0</v>
      </c>
      <c r="D33" s="20" t="str">
        <f>$AP$2</f>
        <v>6+6</v>
      </c>
    </row>
    <row r="34" spans="1:61">
      <c r="A34" s="19" t="str">
        <f t="shared" si="0"/>
        <v>АСУЭ.FB_IMs_S</v>
      </c>
      <c r="B34" s="11">
        <v>11126</v>
      </c>
      <c r="C34" s="11" t="s">
        <v>0</v>
      </c>
      <c r="D34" s="20" t="str">
        <f>$AQ$2</f>
        <v>2+14</v>
      </c>
    </row>
    <row r="35" spans="1:61">
      <c r="A35" s="19" t="str">
        <f t="shared" si="0"/>
        <v>АСУЭ.FB_IMs_S</v>
      </c>
      <c r="B35" s="11">
        <v>11127</v>
      </c>
      <c r="C35" s="11" t="s">
        <v>0</v>
      </c>
      <c r="D35" s="20" t="str">
        <f>$AR$2</f>
        <v>2+15</v>
      </c>
    </row>
    <row r="36" spans="1:61" ht="15" customHeight="1">
      <c r="A36" s="16" t="str">
        <f t="shared" si="0"/>
        <v>АСУЭ.FB_IMs_S</v>
      </c>
      <c r="B36" s="17">
        <v>13</v>
      </c>
      <c r="C36" s="17" t="s">
        <v>2</v>
      </c>
      <c r="D36" s="18" t="s">
        <v>3</v>
      </c>
      <c r="BF36" s="4"/>
      <c r="BG36" s="4"/>
      <c r="BH36" s="4"/>
      <c r="BI36" s="4"/>
    </row>
    <row r="37" spans="1:61" ht="15" customHeight="1">
      <c r="A37" s="19" t="str">
        <f t="shared" si="0"/>
        <v>АСУЭ.FB_IMs_S</v>
      </c>
      <c r="B37" s="11">
        <v>3000013</v>
      </c>
      <c r="C37" s="11" t="s">
        <v>0</v>
      </c>
      <c r="D37" s="20" t="str">
        <f>$AE$2</f>
        <v>Диагностика.CPU.NOT_LINK.noLink</v>
      </c>
      <c r="BF37" s="4"/>
      <c r="BG37" s="4"/>
      <c r="BH37" s="4"/>
      <c r="BI37" s="4"/>
    </row>
    <row r="38" spans="1:61" ht="15" customHeight="1">
      <c r="A38" s="19" t="str">
        <f t="shared" si="0"/>
        <v>АСУЭ.FB_IMs_S</v>
      </c>
      <c r="B38" s="11">
        <v>4000013</v>
      </c>
      <c r="C38" s="11" t="s">
        <v>0</v>
      </c>
      <c r="D38" s="20" t="s">
        <v>1770</v>
      </c>
      <c r="BF38" s="4"/>
      <c r="BG38" s="4"/>
      <c r="BH38" s="4"/>
      <c r="BI38" s="4"/>
    </row>
    <row r="39" spans="1:61" ht="15" customHeight="1">
      <c r="A39" s="21" t="str">
        <f t="shared" si="0"/>
        <v>АСУЭ.FB_IMs_S</v>
      </c>
      <c r="B39" s="8">
        <v>7000013</v>
      </c>
      <c r="C39" s="8" t="s">
        <v>6</v>
      </c>
      <c r="D39" s="22">
        <v>2</v>
      </c>
      <c r="BF39" s="4"/>
      <c r="BG39" s="4"/>
      <c r="BH39" s="4"/>
      <c r="BI39" s="4"/>
    </row>
    <row r="40" spans="1:61">
      <c r="A40" s="69" t="str">
        <f t="shared" ref="A40:A49" si="1">$R$2&amp;".FRQX"</f>
        <v>АСУЭ.FB_IMs_S.FRQX</v>
      </c>
      <c r="B40" s="70">
        <v>11154</v>
      </c>
      <c r="C40" s="70" t="s">
        <v>4</v>
      </c>
      <c r="D40" s="71">
        <f>$Q$6</f>
        <v>8</v>
      </c>
    </row>
    <row r="41" spans="1:61">
      <c r="A41" s="63" t="str">
        <f t="shared" si="1"/>
        <v>АСУЭ.FB_IMs_S.FRQX</v>
      </c>
      <c r="B41" s="64">
        <v>11152</v>
      </c>
      <c r="C41" s="64" t="s">
        <v>0</v>
      </c>
      <c r="D41" s="65" t="str">
        <f>$R$6</f>
        <v>Предупреждение</v>
      </c>
    </row>
    <row r="42" spans="1:61">
      <c r="A42" s="63" t="str">
        <f t="shared" si="1"/>
        <v>АСУЭ.FB_IMs_S.FRQX</v>
      </c>
      <c r="B42" s="64">
        <v>11150</v>
      </c>
      <c r="C42" s="64" t="s">
        <v>0</v>
      </c>
      <c r="D42" s="65" t="s">
        <v>157</v>
      </c>
    </row>
    <row r="43" spans="1:61">
      <c r="A43" s="63" t="str">
        <f t="shared" si="1"/>
        <v>АСУЭ.FB_IMs_S.FRQX</v>
      </c>
      <c r="B43" s="64">
        <v>11000</v>
      </c>
      <c r="C43" s="64" t="s">
        <v>5</v>
      </c>
      <c r="D43" s="65">
        <v>2147483680</v>
      </c>
    </row>
    <row r="44" spans="1:61">
      <c r="A44" s="19" t="str">
        <f t="shared" si="1"/>
        <v>АСУЭ.FB_IMs_S.FRQX</v>
      </c>
      <c r="B44" s="11">
        <v>101</v>
      </c>
      <c r="C44" s="11" t="s">
        <v>0</v>
      </c>
      <c r="D44" s="20" t="s">
        <v>157</v>
      </c>
    </row>
    <row r="45" spans="1:61">
      <c r="A45" s="19" t="str">
        <f t="shared" si="1"/>
        <v>АСУЭ.FB_IMs_S.FRQX</v>
      </c>
      <c r="B45" s="11">
        <v>1</v>
      </c>
      <c r="C45" s="11" t="s">
        <v>1</v>
      </c>
      <c r="D45" s="20">
        <v>11</v>
      </c>
    </row>
    <row r="46" spans="1:61">
      <c r="A46" s="19" t="str">
        <f t="shared" si="1"/>
        <v>АСУЭ.FB_IMs_S.FRQX</v>
      </c>
      <c r="B46" s="11">
        <v>2</v>
      </c>
      <c r="C46" s="11" t="s">
        <v>2</v>
      </c>
      <c r="D46" s="20" t="s">
        <v>3</v>
      </c>
    </row>
    <row r="47" spans="1:61">
      <c r="A47" s="19" t="str">
        <f t="shared" si="1"/>
        <v>АСУЭ.FB_IMs_S.FRQX</v>
      </c>
      <c r="B47" s="11">
        <v>3</v>
      </c>
      <c r="C47" s="11" t="s">
        <v>1</v>
      </c>
      <c r="D47" s="20">
        <v>192</v>
      </c>
    </row>
    <row r="48" spans="1:61">
      <c r="A48" s="19" t="str">
        <f t="shared" si="1"/>
        <v>АСУЭ.FB_IMs_S.FRQX</v>
      </c>
      <c r="B48" s="11">
        <v>7998</v>
      </c>
      <c r="C48" s="11" t="s">
        <v>6</v>
      </c>
      <c r="D48" s="20">
        <v>1</v>
      </c>
    </row>
    <row r="49" spans="1:4">
      <c r="A49" s="21" t="str">
        <f t="shared" si="1"/>
        <v>АСУЭ.FB_IMs_S.FRQX</v>
      </c>
      <c r="B49" s="8">
        <v>7999</v>
      </c>
      <c r="C49" s="8" t="s">
        <v>0</v>
      </c>
      <c r="D49" s="22" t="str">
        <f>"#"&amp;$S$2&amp;"#"&amp;$T$2&amp;"\"&amp;$P$2&amp;"\FRQX"</f>
        <v>#1#treiOPCDA.CoOPCserv.1\pcmaster\ZRU_OL1_s\FRQX</v>
      </c>
    </row>
    <row r="50" spans="1:4">
      <c r="A50" s="69" t="str">
        <f t="shared" ref="A50:A59" si="2">$R$2&amp;".LAON"</f>
        <v>АСУЭ.FB_IMs_S.LAON</v>
      </c>
      <c r="B50" s="70">
        <v>11154</v>
      </c>
      <c r="C50" s="70" t="s">
        <v>4</v>
      </c>
      <c r="D50" s="71">
        <f>$Q$6</f>
        <v>8</v>
      </c>
    </row>
    <row r="51" spans="1:4">
      <c r="A51" s="63" t="str">
        <f t="shared" si="2"/>
        <v>АСУЭ.FB_IMs_S.LAON</v>
      </c>
      <c r="B51" s="64">
        <v>11152</v>
      </c>
      <c r="C51" s="64" t="s">
        <v>0</v>
      </c>
      <c r="D51" s="65" t="str">
        <f>$R$6</f>
        <v>Предупреждение</v>
      </c>
    </row>
    <row r="52" spans="1:4">
      <c r="A52" s="63" t="str">
        <f t="shared" si="2"/>
        <v>АСУЭ.FB_IMs_S.LAON</v>
      </c>
      <c r="B52" s="64">
        <v>11150</v>
      </c>
      <c r="C52" s="64" t="s">
        <v>0</v>
      </c>
      <c r="D52" s="65" t="s">
        <v>1833</v>
      </c>
    </row>
    <row r="53" spans="1:4">
      <c r="A53" s="63" t="str">
        <f t="shared" si="2"/>
        <v>АСУЭ.FB_IMs_S.LAON</v>
      </c>
      <c r="B53" s="64">
        <v>11000</v>
      </c>
      <c r="C53" s="64" t="s">
        <v>5</v>
      </c>
      <c r="D53" s="65">
        <v>2147483680</v>
      </c>
    </row>
    <row r="54" spans="1:4">
      <c r="A54" s="19" t="str">
        <f t="shared" si="2"/>
        <v>АСУЭ.FB_IMs_S.LAON</v>
      </c>
      <c r="B54" s="11">
        <v>3</v>
      </c>
      <c r="C54" s="11" t="s">
        <v>1</v>
      </c>
      <c r="D54" s="20">
        <v>192</v>
      </c>
    </row>
    <row r="55" spans="1:4">
      <c r="A55" s="19" t="str">
        <f t="shared" si="2"/>
        <v>АСУЭ.FB_IMs_S.LAON</v>
      </c>
      <c r="B55" s="11">
        <v>2</v>
      </c>
      <c r="C55" s="11" t="s">
        <v>2</v>
      </c>
      <c r="D55" s="20" t="s">
        <v>3</v>
      </c>
    </row>
    <row r="56" spans="1:4">
      <c r="A56" s="19" t="str">
        <f t="shared" si="2"/>
        <v>АСУЭ.FB_IMs_S.LAON</v>
      </c>
      <c r="B56" s="11">
        <v>1</v>
      </c>
      <c r="C56" s="11" t="s">
        <v>1</v>
      </c>
      <c r="D56" s="20">
        <v>11</v>
      </c>
    </row>
    <row r="57" spans="1:4">
      <c r="A57" s="19" t="str">
        <f t="shared" si="2"/>
        <v>АСУЭ.FB_IMs_S.LAON</v>
      </c>
      <c r="B57" s="11">
        <v>101</v>
      </c>
      <c r="C57" s="11" t="s">
        <v>0</v>
      </c>
      <c r="D57" s="20" t="s">
        <v>1833</v>
      </c>
    </row>
    <row r="58" spans="1:4">
      <c r="A58" s="19" t="str">
        <f t="shared" si="2"/>
        <v>АСУЭ.FB_IMs_S.LAON</v>
      </c>
      <c r="B58" s="11">
        <v>7998</v>
      </c>
      <c r="C58" s="11" t="s">
        <v>6</v>
      </c>
      <c r="D58" s="20">
        <v>1</v>
      </c>
    </row>
    <row r="59" spans="1:4">
      <c r="A59" s="21" t="str">
        <f t="shared" si="2"/>
        <v>АСУЭ.FB_IMs_S.LAON</v>
      </c>
      <c r="B59" s="8">
        <v>7999</v>
      </c>
      <c r="C59" s="8" t="s">
        <v>0</v>
      </c>
      <c r="D59" s="22" t="str">
        <f>"#"&amp;$S$2&amp;"#"&amp;$T$2&amp;"\"&amp;$P$2&amp;"\LAON"</f>
        <v>#1#treiOPCDA.CoOPCserv.1\pcmaster\ZRU_OL1_s\LAON</v>
      </c>
    </row>
    <row r="60" spans="1:4">
      <c r="A60" s="69" t="str">
        <f t="shared" ref="A60:A69" si="3">$R$2&amp;".LAOF"</f>
        <v>АСУЭ.FB_IMs_S.LAOF</v>
      </c>
      <c r="B60" s="70">
        <v>11154</v>
      </c>
      <c r="C60" s="70" t="s">
        <v>4</v>
      </c>
      <c r="D60" s="71">
        <f>$Q$6</f>
        <v>8</v>
      </c>
    </row>
    <row r="61" spans="1:4">
      <c r="A61" s="63" t="str">
        <f t="shared" si="3"/>
        <v>АСУЭ.FB_IMs_S.LAOF</v>
      </c>
      <c r="B61" s="64">
        <v>11152</v>
      </c>
      <c r="C61" s="64" t="s">
        <v>0</v>
      </c>
      <c r="D61" s="65" t="str">
        <f>$R$6</f>
        <v>Предупреждение</v>
      </c>
    </row>
    <row r="62" spans="1:4">
      <c r="A62" s="63" t="str">
        <f t="shared" si="3"/>
        <v>АСУЭ.FB_IMs_S.LAOF</v>
      </c>
      <c r="B62" s="64">
        <v>11150</v>
      </c>
      <c r="C62" s="64" t="s">
        <v>0</v>
      </c>
      <c r="D62" s="65" t="s">
        <v>1834</v>
      </c>
    </row>
    <row r="63" spans="1:4">
      <c r="A63" s="63" t="str">
        <f t="shared" si="3"/>
        <v>АСУЭ.FB_IMs_S.LAOF</v>
      </c>
      <c r="B63" s="64">
        <v>11000</v>
      </c>
      <c r="C63" s="64" t="s">
        <v>5</v>
      </c>
      <c r="D63" s="65">
        <v>2147483680</v>
      </c>
    </row>
    <row r="64" spans="1:4">
      <c r="A64" s="19" t="str">
        <f t="shared" si="3"/>
        <v>АСУЭ.FB_IMs_S.LAOF</v>
      </c>
      <c r="B64" s="11">
        <v>3</v>
      </c>
      <c r="C64" s="11" t="s">
        <v>1</v>
      </c>
      <c r="D64" s="20">
        <v>192</v>
      </c>
    </row>
    <row r="65" spans="1:66">
      <c r="A65" s="19" t="str">
        <f t="shared" si="3"/>
        <v>АСУЭ.FB_IMs_S.LAOF</v>
      </c>
      <c r="B65" s="11">
        <v>2</v>
      </c>
      <c r="C65" s="11" t="s">
        <v>2</v>
      </c>
      <c r="D65" s="20" t="s">
        <v>3</v>
      </c>
    </row>
    <row r="66" spans="1:66">
      <c r="A66" s="19" t="str">
        <f t="shared" si="3"/>
        <v>АСУЭ.FB_IMs_S.LAOF</v>
      </c>
      <c r="B66" s="11">
        <v>1</v>
      </c>
      <c r="C66" s="11" t="s">
        <v>1</v>
      </c>
      <c r="D66" s="20">
        <v>11</v>
      </c>
    </row>
    <row r="67" spans="1:66">
      <c r="A67" s="19" t="str">
        <f t="shared" si="3"/>
        <v>АСУЭ.FB_IMs_S.LAOF</v>
      </c>
      <c r="B67" s="11">
        <v>101</v>
      </c>
      <c r="C67" s="11" t="s">
        <v>0</v>
      </c>
      <c r="D67" s="20" t="s">
        <v>1834</v>
      </c>
    </row>
    <row r="68" spans="1:66">
      <c r="A68" s="19" t="str">
        <f t="shared" si="3"/>
        <v>АСУЭ.FB_IMs_S.LAOF</v>
      </c>
      <c r="B68" s="11">
        <v>7998</v>
      </c>
      <c r="C68" s="11" t="s">
        <v>6</v>
      </c>
      <c r="D68" s="20">
        <v>1</v>
      </c>
    </row>
    <row r="69" spans="1:66">
      <c r="A69" s="21" t="str">
        <f t="shared" si="3"/>
        <v>АСУЭ.FB_IMs_S.LAOF</v>
      </c>
      <c r="B69" s="8">
        <v>7999</v>
      </c>
      <c r="C69" s="8" t="s">
        <v>0</v>
      </c>
      <c r="D69" s="22" t="str">
        <f>"#"&amp;$S$2&amp;"#"&amp;$T$2&amp;"\"&amp;$P$2&amp;"\LAOF"</f>
        <v>#1#treiOPCDA.CoOPCserv.1\pcmaster\ZRU_OL1_s\LAOF</v>
      </c>
    </row>
    <row r="70" spans="1:66">
      <c r="A70" s="69" t="str">
        <f t="shared" ref="A70:A79" si="4">$R$2&amp;".ILCX"</f>
        <v>АСУЭ.FB_IMs_S.ILCX</v>
      </c>
      <c r="B70" s="70">
        <v>11154</v>
      </c>
      <c r="C70" s="70" t="s">
        <v>4</v>
      </c>
      <c r="D70" s="71">
        <f>$Q$6</f>
        <v>8</v>
      </c>
    </row>
    <row r="71" spans="1:66">
      <c r="A71" s="63" t="str">
        <f t="shared" si="4"/>
        <v>АСУЭ.FB_IMs_S.ILCX</v>
      </c>
      <c r="B71" s="64">
        <v>11150</v>
      </c>
      <c r="C71" s="64" t="s">
        <v>0</v>
      </c>
      <c r="D71" s="65" t="s">
        <v>169</v>
      </c>
    </row>
    <row r="72" spans="1:66">
      <c r="A72" s="63" t="str">
        <f t="shared" si="4"/>
        <v>АСУЭ.FB_IMs_S.ILCX</v>
      </c>
      <c r="B72" s="64">
        <v>11000</v>
      </c>
      <c r="C72" s="64" t="s">
        <v>5</v>
      </c>
      <c r="D72" s="65">
        <v>2147483680</v>
      </c>
    </row>
    <row r="73" spans="1:66">
      <c r="A73" s="63" t="str">
        <f t="shared" si="4"/>
        <v>АСУЭ.FB_IMs_S.ILCX</v>
      </c>
      <c r="B73" s="64">
        <v>11152</v>
      </c>
      <c r="C73" s="64" t="s">
        <v>0</v>
      </c>
      <c r="D73" s="65" t="str">
        <f>$R$6</f>
        <v>Предупреждение</v>
      </c>
    </row>
    <row r="74" spans="1:66">
      <c r="A74" s="19" t="str">
        <f t="shared" si="4"/>
        <v>АСУЭ.FB_IMs_S.ILCX</v>
      </c>
      <c r="B74" s="11">
        <v>101</v>
      </c>
      <c r="C74" s="11" t="s">
        <v>0</v>
      </c>
      <c r="D74" s="20" t="s">
        <v>577</v>
      </c>
    </row>
    <row r="75" spans="1:66">
      <c r="A75" s="19" t="str">
        <f t="shared" si="4"/>
        <v>АСУЭ.FB_IMs_S.ILCX</v>
      </c>
      <c r="B75" s="11">
        <v>1</v>
      </c>
      <c r="C75" s="11" t="s">
        <v>1</v>
      </c>
      <c r="D75" s="20">
        <v>11</v>
      </c>
    </row>
    <row r="76" spans="1:66">
      <c r="A76" s="19" t="str">
        <f t="shared" si="4"/>
        <v>АСУЭ.FB_IMs_S.ILCX</v>
      </c>
      <c r="B76" s="11">
        <v>2</v>
      </c>
      <c r="C76" s="11" t="s">
        <v>2</v>
      </c>
      <c r="D76" s="20" t="s">
        <v>3</v>
      </c>
    </row>
    <row r="77" spans="1:66">
      <c r="A77" s="19" t="str">
        <f t="shared" si="4"/>
        <v>АСУЭ.FB_IMs_S.ILCX</v>
      </c>
      <c r="B77" s="11">
        <v>3</v>
      </c>
      <c r="C77" s="11" t="s">
        <v>1</v>
      </c>
      <c r="D77" s="20">
        <v>192</v>
      </c>
    </row>
    <row r="78" spans="1:66">
      <c r="A78" s="19" t="str">
        <f t="shared" si="4"/>
        <v>АСУЭ.FB_IMs_S.ILCX</v>
      </c>
      <c r="B78" s="11">
        <v>7998</v>
      </c>
      <c r="C78" s="11" t="s">
        <v>6</v>
      </c>
      <c r="D78" s="20">
        <v>1</v>
      </c>
    </row>
    <row r="79" spans="1:66">
      <c r="A79" s="21" t="str">
        <f t="shared" si="4"/>
        <v>АСУЭ.FB_IMs_S.ILCX</v>
      </c>
      <c r="B79" s="8">
        <v>7999</v>
      </c>
      <c r="C79" s="8" t="s">
        <v>0</v>
      </c>
      <c r="D79" s="22" t="str">
        <f>"#"&amp;$S$2&amp;"#"&amp;$T$2&amp;"\"&amp;$P$2&amp;"\ILCX"</f>
        <v>#1#treiOPCDA.CoOPCserv.1\pcmaster\ZRU_OL1_s\ILCX</v>
      </c>
    </row>
    <row r="80" spans="1:66" ht="15" customHeight="1">
      <c r="A80" s="69" t="str">
        <f t="shared" ref="A80:A89" si="5">$R$2&amp;".CEON"</f>
        <v>АСУЭ.FB_IMs_S.CEON</v>
      </c>
      <c r="B80" s="70">
        <v>11154</v>
      </c>
      <c r="C80" s="70" t="s">
        <v>4</v>
      </c>
      <c r="D80" s="144">
        <f>$Q$6</f>
        <v>8</v>
      </c>
      <c r="BK80" s="4"/>
      <c r="BL80" s="4"/>
      <c r="BM80" s="4"/>
      <c r="BN80" s="4"/>
    </row>
    <row r="81" spans="1:66" ht="15" customHeight="1">
      <c r="A81" s="63" t="str">
        <f t="shared" si="5"/>
        <v>АСУЭ.FB_IMs_S.CEON</v>
      </c>
      <c r="B81" s="64">
        <v>11150</v>
      </c>
      <c r="C81" s="64" t="s">
        <v>0</v>
      </c>
      <c r="D81" s="65" t="s">
        <v>1835</v>
      </c>
      <c r="BK81" s="4"/>
      <c r="BL81" s="4"/>
      <c r="BM81" s="4"/>
      <c r="BN81" s="4"/>
    </row>
    <row r="82" spans="1:66" ht="15" customHeight="1">
      <c r="A82" s="63" t="str">
        <f t="shared" si="5"/>
        <v>АСУЭ.FB_IMs_S.CEON</v>
      </c>
      <c r="B82" s="64">
        <v>11152</v>
      </c>
      <c r="C82" s="64" t="s">
        <v>0</v>
      </c>
      <c r="D82" s="99" t="str">
        <f>$R$6</f>
        <v>Предупреждение</v>
      </c>
      <c r="BK82" s="4"/>
      <c r="BL82" s="4"/>
      <c r="BM82" s="4"/>
      <c r="BN82" s="4"/>
    </row>
    <row r="83" spans="1:66" ht="15" customHeight="1">
      <c r="A83" s="63" t="str">
        <f t="shared" si="5"/>
        <v>АСУЭ.FB_IMs_S.CEON</v>
      </c>
      <c r="B83" s="64">
        <v>11000</v>
      </c>
      <c r="C83" s="64" t="s">
        <v>5</v>
      </c>
      <c r="D83" s="65">
        <v>2147483680</v>
      </c>
      <c r="BK83" s="4"/>
      <c r="BL83" s="4"/>
      <c r="BM83" s="4"/>
      <c r="BN83" s="4"/>
    </row>
    <row r="84" spans="1:66" ht="15" customHeight="1">
      <c r="A84" s="19" t="str">
        <f t="shared" si="5"/>
        <v>АСУЭ.FB_IMs_S.CEON</v>
      </c>
      <c r="B84" s="11">
        <v>7999</v>
      </c>
      <c r="C84" s="11" t="s">
        <v>0</v>
      </c>
      <c r="D84" s="20" t="str">
        <f>"#"&amp;$S$2&amp;"#"&amp;$T$2&amp;"\"&amp;$P$2&amp;"\CEON"</f>
        <v>#1#treiOPCDA.CoOPCserv.1\pcmaster\ZRU_OL1_s\CEON</v>
      </c>
      <c r="BK84" s="4"/>
      <c r="BL84" s="4"/>
      <c r="BM84" s="4"/>
      <c r="BN84" s="4"/>
    </row>
    <row r="85" spans="1:66" ht="15" customHeight="1">
      <c r="A85" s="19" t="str">
        <f t="shared" si="5"/>
        <v>АСУЭ.FB_IMs_S.CEON</v>
      </c>
      <c r="B85" s="11">
        <v>7998</v>
      </c>
      <c r="C85" s="11" t="s">
        <v>6</v>
      </c>
      <c r="D85" s="20">
        <v>1</v>
      </c>
      <c r="BK85" s="4"/>
      <c r="BL85" s="4"/>
      <c r="BM85" s="4"/>
      <c r="BN85" s="4"/>
    </row>
    <row r="86" spans="1:66" ht="15" customHeight="1">
      <c r="A86" s="19" t="str">
        <f t="shared" si="5"/>
        <v>АСУЭ.FB_IMs_S.CEON</v>
      </c>
      <c r="B86" s="11">
        <v>101</v>
      </c>
      <c r="C86" s="11" t="s">
        <v>0</v>
      </c>
      <c r="D86" s="20" t="s">
        <v>1835</v>
      </c>
      <c r="BK86" s="4"/>
      <c r="BL86" s="4"/>
      <c r="BM86" s="4"/>
      <c r="BN86" s="4"/>
    </row>
    <row r="87" spans="1:66" ht="15" customHeight="1">
      <c r="A87" s="19" t="str">
        <f t="shared" si="5"/>
        <v>АСУЭ.FB_IMs_S.CEON</v>
      </c>
      <c r="B87" s="11">
        <v>3</v>
      </c>
      <c r="C87" s="11" t="s">
        <v>1</v>
      </c>
      <c r="D87" s="20">
        <v>192</v>
      </c>
      <c r="BK87" s="4"/>
      <c r="BL87" s="4"/>
      <c r="BM87" s="4"/>
      <c r="BN87" s="4"/>
    </row>
    <row r="88" spans="1:66" ht="15" customHeight="1">
      <c r="A88" s="19" t="str">
        <f t="shared" si="5"/>
        <v>АСУЭ.FB_IMs_S.CEON</v>
      </c>
      <c r="B88" s="11">
        <v>2</v>
      </c>
      <c r="C88" s="11" t="s">
        <v>2</v>
      </c>
      <c r="D88" s="20" t="s">
        <v>3</v>
      </c>
      <c r="BK88" s="4"/>
      <c r="BL88" s="4"/>
      <c r="BM88" s="4"/>
      <c r="BN88" s="4"/>
    </row>
    <row r="89" spans="1:66" ht="15" customHeight="1">
      <c r="A89" s="21" t="str">
        <f t="shared" si="5"/>
        <v>АСУЭ.FB_IMs_S.CEON</v>
      </c>
      <c r="B89" s="8">
        <v>1</v>
      </c>
      <c r="C89" s="8" t="s">
        <v>1</v>
      </c>
      <c r="D89" s="22">
        <v>11</v>
      </c>
      <c r="BK89" s="4"/>
      <c r="BL89" s="4"/>
      <c r="BM89" s="4"/>
      <c r="BN89" s="4"/>
    </row>
    <row r="90" spans="1:66" ht="15" customHeight="1">
      <c r="A90" s="69" t="str">
        <f t="shared" ref="A90:A99" si="6">$R$2&amp;".CEOF"</f>
        <v>АСУЭ.FB_IMs_S.CEOF</v>
      </c>
      <c r="B90" s="70">
        <v>11154</v>
      </c>
      <c r="C90" s="70" t="s">
        <v>4</v>
      </c>
      <c r="D90" s="144">
        <f>$Q$6</f>
        <v>8</v>
      </c>
      <c r="BK90" s="4"/>
      <c r="BL90" s="4"/>
      <c r="BM90" s="4"/>
      <c r="BN90" s="4"/>
    </row>
    <row r="91" spans="1:66" ht="15" customHeight="1">
      <c r="A91" s="63" t="str">
        <f t="shared" si="6"/>
        <v>АСУЭ.FB_IMs_S.CEOF</v>
      </c>
      <c r="B91" s="64">
        <v>11150</v>
      </c>
      <c r="C91" s="64" t="s">
        <v>0</v>
      </c>
      <c r="D91" s="65" t="s">
        <v>1836</v>
      </c>
      <c r="BK91" s="4"/>
      <c r="BL91" s="4"/>
      <c r="BM91" s="4"/>
      <c r="BN91" s="4"/>
    </row>
    <row r="92" spans="1:66" ht="15" customHeight="1">
      <c r="A92" s="63" t="str">
        <f t="shared" si="6"/>
        <v>АСУЭ.FB_IMs_S.CEOF</v>
      </c>
      <c r="B92" s="64">
        <v>11152</v>
      </c>
      <c r="C92" s="64" t="s">
        <v>0</v>
      </c>
      <c r="D92" s="99" t="str">
        <f>$R$6</f>
        <v>Предупреждение</v>
      </c>
      <c r="BK92" s="4"/>
      <c r="BL92" s="4"/>
      <c r="BM92" s="4"/>
      <c r="BN92" s="4"/>
    </row>
    <row r="93" spans="1:66" ht="15" customHeight="1">
      <c r="A93" s="63" t="str">
        <f t="shared" si="6"/>
        <v>АСУЭ.FB_IMs_S.CEOF</v>
      </c>
      <c r="B93" s="64">
        <v>11000</v>
      </c>
      <c r="C93" s="64" t="s">
        <v>5</v>
      </c>
      <c r="D93" s="65">
        <v>2147483680</v>
      </c>
      <c r="BK93" s="4"/>
      <c r="BL93" s="4"/>
      <c r="BM93" s="4"/>
      <c r="BN93" s="4"/>
    </row>
    <row r="94" spans="1:66" ht="15" customHeight="1">
      <c r="A94" s="19" t="str">
        <f t="shared" si="6"/>
        <v>АСУЭ.FB_IMs_S.CEOF</v>
      </c>
      <c r="B94" s="11">
        <v>7999</v>
      </c>
      <c r="C94" s="11" t="s">
        <v>0</v>
      </c>
      <c r="D94" s="20" t="str">
        <f>"#"&amp;$S$2&amp;"#"&amp;$T$2&amp;"\"&amp;$P$2&amp;"\CEOF"</f>
        <v>#1#treiOPCDA.CoOPCserv.1\pcmaster\ZRU_OL1_s\CEOF</v>
      </c>
      <c r="BK94" s="4"/>
      <c r="BL94" s="4"/>
      <c r="BM94" s="4"/>
      <c r="BN94" s="4"/>
    </row>
    <row r="95" spans="1:66" ht="15" customHeight="1">
      <c r="A95" s="19" t="str">
        <f t="shared" si="6"/>
        <v>АСУЭ.FB_IMs_S.CEOF</v>
      </c>
      <c r="B95" s="11">
        <v>7998</v>
      </c>
      <c r="C95" s="11" t="s">
        <v>6</v>
      </c>
      <c r="D95" s="20">
        <v>1</v>
      </c>
      <c r="BK95" s="4"/>
      <c r="BL95" s="4"/>
      <c r="BM95" s="4"/>
      <c r="BN95" s="4"/>
    </row>
    <row r="96" spans="1:66" ht="15" customHeight="1">
      <c r="A96" s="19" t="str">
        <f t="shared" si="6"/>
        <v>АСУЭ.FB_IMs_S.CEOF</v>
      </c>
      <c r="B96" s="11">
        <v>101</v>
      </c>
      <c r="C96" s="11" t="s">
        <v>0</v>
      </c>
      <c r="D96" s="20" t="s">
        <v>1836</v>
      </c>
      <c r="BK96" s="4"/>
      <c r="BL96" s="4"/>
      <c r="BM96" s="4"/>
      <c r="BN96" s="4"/>
    </row>
    <row r="97" spans="1:66" ht="15" customHeight="1">
      <c r="A97" s="19" t="str">
        <f t="shared" si="6"/>
        <v>АСУЭ.FB_IMs_S.CEOF</v>
      </c>
      <c r="B97" s="11">
        <v>3</v>
      </c>
      <c r="C97" s="11" t="s">
        <v>1</v>
      </c>
      <c r="D97" s="20">
        <v>192</v>
      </c>
      <c r="BK97" s="4"/>
      <c r="BL97" s="4"/>
      <c r="BM97" s="4"/>
      <c r="BN97" s="4"/>
    </row>
    <row r="98" spans="1:66" ht="15" customHeight="1">
      <c r="A98" s="19" t="str">
        <f t="shared" si="6"/>
        <v>АСУЭ.FB_IMs_S.CEOF</v>
      </c>
      <c r="B98" s="11">
        <v>2</v>
      </c>
      <c r="C98" s="11" t="s">
        <v>2</v>
      </c>
      <c r="D98" s="20" t="s">
        <v>3</v>
      </c>
      <c r="BK98" s="4"/>
      <c r="BL98" s="4"/>
      <c r="BM98" s="4"/>
      <c r="BN98" s="4"/>
    </row>
    <row r="99" spans="1:66" ht="15" customHeight="1">
      <c r="A99" s="21" t="str">
        <f t="shared" si="6"/>
        <v>АСУЭ.FB_IMs_S.CEOF</v>
      </c>
      <c r="B99" s="8">
        <v>1</v>
      </c>
      <c r="C99" s="8" t="s">
        <v>1</v>
      </c>
      <c r="D99" s="22">
        <v>11</v>
      </c>
      <c r="BK99" s="4"/>
      <c r="BL99" s="4"/>
      <c r="BM99" s="4"/>
      <c r="BN99" s="4"/>
    </row>
    <row r="100" spans="1:66" ht="15" customHeight="1">
      <c r="A100" s="69" t="str">
        <f t="shared" ref="A100:A109" si="7">$R$2&amp;".CBON"</f>
        <v>АСУЭ.FB_IMs_S.CBON</v>
      </c>
      <c r="B100" s="70">
        <v>11154</v>
      </c>
      <c r="C100" s="70" t="s">
        <v>4</v>
      </c>
      <c r="D100" s="144">
        <f>$Q$6</f>
        <v>8</v>
      </c>
      <c r="BK100" s="4"/>
      <c r="BL100" s="4"/>
      <c r="BM100" s="4"/>
      <c r="BN100" s="4"/>
    </row>
    <row r="101" spans="1:66" ht="15" customHeight="1">
      <c r="A101" s="63" t="str">
        <f t="shared" si="7"/>
        <v>АСУЭ.FB_IMs_S.CBON</v>
      </c>
      <c r="B101" s="64">
        <v>11150</v>
      </c>
      <c r="C101" s="64" t="s">
        <v>0</v>
      </c>
      <c r="D101" s="65" t="s">
        <v>1837</v>
      </c>
      <c r="BK101" s="4"/>
      <c r="BL101" s="4"/>
      <c r="BM101" s="4"/>
      <c r="BN101" s="4"/>
    </row>
    <row r="102" spans="1:66" ht="15" customHeight="1">
      <c r="A102" s="63" t="str">
        <f t="shared" si="7"/>
        <v>АСУЭ.FB_IMs_S.CBON</v>
      </c>
      <c r="B102" s="64">
        <v>11152</v>
      </c>
      <c r="C102" s="64" t="s">
        <v>0</v>
      </c>
      <c r="D102" s="99" t="str">
        <f>$R$6</f>
        <v>Предупреждение</v>
      </c>
      <c r="BK102" s="4"/>
      <c r="BL102" s="4"/>
      <c r="BM102" s="4"/>
      <c r="BN102" s="4"/>
    </row>
    <row r="103" spans="1:66" ht="15" customHeight="1">
      <c r="A103" s="63" t="str">
        <f t="shared" si="7"/>
        <v>АСУЭ.FB_IMs_S.CBON</v>
      </c>
      <c r="B103" s="64">
        <v>11000</v>
      </c>
      <c r="C103" s="64" t="s">
        <v>5</v>
      </c>
      <c r="D103" s="65">
        <v>2147483680</v>
      </c>
      <c r="BK103" s="4"/>
      <c r="BL103" s="4"/>
      <c r="BM103" s="4"/>
      <c r="BN103" s="4"/>
    </row>
    <row r="104" spans="1:66" ht="15" customHeight="1">
      <c r="A104" s="19" t="str">
        <f t="shared" si="7"/>
        <v>АСУЭ.FB_IMs_S.CBON</v>
      </c>
      <c r="B104" s="11">
        <v>7999</v>
      </c>
      <c r="C104" s="11" t="s">
        <v>0</v>
      </c>
      <c r="D104" s="20" t="str">
        <f>"#"&amp;$S$2&amp;"#"&amp;$T$2&amp;"\"&amp;$P$2&amp;"\CBON"</f>
        <v>#1#treiOPCDA.CoOPCserv.1\pcmaster\ZRU_OL1_s\CBON</v>
      </c>
      <c r="BK104" s="4"/>
      <c r="BL104" s="4"/>
      <c r="BM104" s="4"/>
      <c r="BN104" s="4"/>
    </row>
    <row r="105" spans="1:66" ht="15" customHeight="1">
      <c r="A105" s="19" t="str">
        <f t="shared" si="7"/>
        <v>АСУЭ.FB_IMs_S.CBON</v>
      </c>
      <c r="B105" s="11">
        <v>7998</v>
      </c>
      <c r="C105" s="11" t="s">
        <v>6</v>
      </c>
      <c r="D105" s="20">
        <v>1</v>
      </c>
      <c r="BK105" s="4"/>
      <c r="BL105" s="4"/>
      <c r="BM105" s="4"/>
      <c r="BN105" s="4"/>
    </row>
    <row r="106" spans="1:66" ht="15" customHeight="1">
      <c r="A106" s="19" t="str">
        <f t="shared" si="7"/>
        <v>АСУЭ.FB_IMs_S.CBON</v>
      </c>
      <c r="B106" s="11">
        <v>101</v>
      </c>
      <c r="C106" s="11" t="s">
        <v>0</v>
      </c>
      <c r="D106" s="20" t="s">
        <v>1837</v>
      </c>
      <c r="BK106" s="4"/>
      <c r="BL106" s="4"/>
      <c r="BM106" s="4"/>
      <c r="BN106" s="4"/>
    </row>
    <row r="107" spans="1:66" ht="15" customHeight="1">
      <c r="A107" s="19" t="str">
        <f t="shared" si="7"/>
        <v>АСУЭ.FB_IMs_S.CBON</v>
      </c>
      <c r="B107" s="11">
        <v>3</v>
      </c>
      <c r="C107" s="11" t="s">
        <v>1</v>
      </c>
      <c r="D107" s="20">
        <v>192</v>
      </c>
      <c r="BK107" s="4"/>
      <c r="BL107" s="4"/>
      <c r="BM107" s="4"/>
      <c r="BN107" s="4"/>
    </row>
    <row r="108" spans="1:66" ht="15" customHeight="1">
      <c r="A108" s="19" t="str">
        <f t="shared" si="7"/>
        <v>АСУЭ.FB_IMs_S.CBON</v>
      </c>
      <c r="B108" s="11">
        <v>2</v>
      </c>
      <c r="C108" s="11" t="s">
        <v>2</v>
      </c>
      <c r="D108" s="20" t="s">
        <v>3</v>
      </c>
      <c r="BK108" s="4"/>
      <c r="BL108" s="4"/>
      <c r="BM108" s="4"/>
      <c r="BN108" s="4"/>
    </row>
    <row r="109" spans="1:66" ht="15" customHeight="1">
      <c r="A109" s="21" t="str">
        <f t="shared" si="7"/>
        <v>АСУЭ.FB_IMs_S.CBON</v>
      </c>
      <c r="B109" s="8">
        <v>1</v>
      </c>
      <c r="C109" s="8" t="s">
        <v>1</v>
      </c>
      <c r="D109" s="22">
        <v>11</v>
      </c>
      <c r="BK109" s="4"/>
      <c r="BL109" s="4"/>
      <c r="BM109" s="4"/>
      <c r="BN109" s="4"/>
    </row>
    <row r="110" spans="1:66" ht="15" customHeight="1">
      <c r="A110" s="69" t="str">
        <f t="shared" ref="A110:A119" si="8">$R$2&amp;".CBOF"</f>
        <v>АСУЭ.FB_IMs_S.CBOF</v>
      </c>
      <c r="B110" s="70">
        <v>11154</v>
      </c>
      <c r="C110" s="70" t="s">
        <v>4</v>
      </c>
      <c r="D110" s="144">
        <f>$Q$6</f>
        <v>8</v>
      </c>
      <c r="BK110" s="4"/>
      <c r="BL110" s="4"/>
      <c r="BM110" s="4"/>
      <c r="BN110" s="4"/>
    </row>
    <row r="111" spans="1:66" ht="15" customHeight="1">
      <c r="A111" s="63" t="str">
        <f t="shared" si="8"/>
        <v>АСУЭ.FB_IMs_S.CBOF</v>
      </c>
      <c r="B111" s="64">
        <v>11150</v>
      </c>
      <c r="C111" s="64" t="s">
        <v>0</v>
      </c>
      <c r="D111" s="65" t="s">
        <v>1838</v>
      </c>
      <c r="BK111" s="4"/>
      <c r="BL111" s="4"/>
      <c r="BM111" s="4"/>
      <c r="BN111" s="4"/>
    </row>
    <row r="112" spans="1:66" ht="15" customHeight="1">
      <c r="A112" s="63" t="str">
        <f t="shared" si="8"/>
        <v>АСУЭ.FB_IMs_S.CBOF</v>
      </c>
      <c r="B112" s="64">
        <v>11152</v>
      </c>
      <c r="C112" s="64" t="s">
        <v>0</v>
      </c>
      <c r="D112" s="99" t="str">
        <f>$R$6</f>
        <v>Предупреждение</v>
      </c>
      <c r="BK112" s="4"/>
      <c r="BL112" s="4"/>
      <c r="BM112" s="4"/>
      <c r="BN112" s="4"/>
    </row>
    <row r="113" spans="1:66" ht="15" customHeight="1">
      <c r="A113" s="63" t="str">
        <f t="shared" si="8"/>
        <v>АСУЭ.FB_IMs_S.CBOF</v>
      </c>
      <c r="B113" s="64">
        <v>11000</v>
      </c>
      <c r="C113" s="64" t="s">
        <v>5</v>
      </c>
      <c r="D113" s="65">
        <v>2147483680</v>
      </c>
      <c r="BK113" s="4"/>
      <c r="BL113" s="4"/>
      <c r="BM113" s="4"/>
      <c r="BN113" s="4"/>
    </row>
    <row r="114" spans="1:66" ht="15" customHeight="1">
      <c r="A114" s="19" t="str">
        <f t="shared" si="8"/>
        <v>АСУЭ.FB_IMs_S.CBOF</v>
      </c>
      <c r="B114" s="11">
        <v>7999</v>
      </c>
      <c r="C114" s="11" t="s">
        <v>0</v>
      </c>
      <c r="D114" s="20" t="str">
        <f>"#"&amp;$S$2&amp;"#"&amp;$T$2&amp;"\"&amp;$P$2&amp;"\CBOF"</f>
        <v>#1#treiOPCDA.CoOPCserv.1\pcmaster\ZRU_OL1_s\CBOF</v>
      </c>
      <c r="BK114" s="4"/>
      <c r="BL114" s="4"/>
      <c r="BM114" s="4"/>
      <c r="BN114" s="4"/>
    </row>
    <row r="115" spans="1:66" ht="15" customHeight="1">
      <c r="A115" s="19" t="str">
        <f t="shared" si="8"/>
        <v>АСУЭ.FB_IMs_S.CBOF</v>
      </c>
      <c r="B115" s="11">
        <v>7998</v>
      </c>
      <c r="C115" s="11" t="s">
        <v>6</v>
      </c>
      <c r="D115" s="20">
        <v>1</v>
      </c>
      <c r="BK115" s="4"/>
      <c r="BL115" s="4"/>
      <c r="BM115" s="4"/>
      <c r="BN115" s="4"/>
    </row>
    <row r="116" spans="1:66" ht="15" customHeight="1">
      <c r="A116" s="19" t="str">
        <f t="shared" si="8"/>
        <v>АСУЭ.FB_IMs_S.CBOF</v>
      </c>
      <c r="B116" s="11">
        <v>101</v>
      </c>
      <c r="C116" s="11" t="s">
        <v>0</v>
      </c>
      <c r="D116" s="20" t="s">
        <v>1838</v>
      </c>
      <c r="BK116" s="4"/>
      <c r="BL116" s="4"/>
      <c r="BM116" s="4"/>
      <c r="BN116" s="4"/>
    </row>
    <row r="117" spans="1:66" ht="15" customHeight="1">
      <c r="A117" s="19" t="str">
        <f t="shared" si="8"/>
        <v>АСУЭ.FB_IMs_S.CBOF</v>
      </c>
      <c r="B117" s="11">
        <v>3</v>
      </c>
      <c r="C117" s="11" t="s">
        <v>1</v>
      </c>
      <c r="D117" s="20">
        <v>192</v>
      </c>
      <c r="BK117" s="4"/>
      <c r="BL117" s="4"/>
      <c r="BM117" s="4"/>
      <c r="BN117" s="4"/>
    </row>
    <row r="118" spans="1:66" ht="15" customHeight="1">
      <c r="A118" s="19" t="str">
        <f t="shared" si="8"/>
        <v>АСУЭ.FB_IMs_S.CBOF</v>
      </c>
      <c r="B118" s="11">
        <v>2</v>
      </c>
      <c r="C118" s="11" t="s">
        <v>2</v>
      </c>
      <c r="D118" s="20" t="s">
        <v>3</v>
      </c>
      <c r="BK118" s="4"/>
      <c r="BL118" s="4"/>
      <c r="BM118" s="4"/>
      <c r="BN118" s="4"/>
    </row>
    <row r="119" spans="1:66" ht="15" customHeight="1">
      <c r="A119" s="21" t="str">
        <f t="shared" si="8"/>
        <v>АСУЭ.FB_IMs_S.CBOF</v>
      </c>
      <c r="B119" s="8">
        <v>1</v>
      </c>
      <c r="C119" s="8" t="s">
        <v>1</v>
      </c>
      <c r="D119" s="22">
        <v>11</v>
      </c>
      <c r="BK119" s="4"/>
      <c r="BL119" s="4"/>
      <c r="BM119" s="4"/>
      <c r="BN119" s="4"/>
    </row>
    <row r="120" spans="1:66">
      <c r="A120" s="217" t="str">
        <f t="shared" ref="A120:A129" si="9">$R$2&amp;".IFXX"</f>
        <v>АСУЭ.FB_IMs_S.IFXX</v>
      </c>
      <c r="B120" s="218">
        <v>11154</v>
      </c>
      <c r="C120" s="218" t="s">
        <v>4</v>
      </c>
      <c r="D120" s="231">
        <f>$Q$7</f>
        <v>12</v>
      </c>
    </row>
    <row r="121" spans="1:66">
      <c r="A121" s="211" t="str">
        <f t="shared" si="9"/>
        <v>АСУЭ.FB_IMs_S.IFXX</v>
      </c>
      <c r="B121" s="212">
        <v>11150</v>
      </c>
      <c r="C121" s="212" t="s">
        <v>0</v>
      </c>
      <c r="D121" s="213" t="s">
        <v>110</v>
      </c>
    </row>
    <row r="122" spans="1:66">
      <c r="A122" s="211" t="str">
        <f t="shared" si="9"/>
        <v>АСУЭ.FB_IMs_S.IFXX</v>
      </c>
      <c r="B122" s="212">
        <v>11000</v>
      </c>
      <c r="C122" s="212" t="s">
        <v>5</v>
      </c>
      <c r="D122" s="213">
        <v>2147483680</v>
      </c>
    </row>
    <row r="123" spans="1:66">
      <c r="A123" s="211" t="str">
        <f t="shared" si="9"/>
        <v>АСУЭ.FB_IMs_S.IFXX</v>
      </c>
      <c r="B123" s="212">
        <v>11152</v>
      </c>
      <c r="C123" s="212" t="s">
        <v>0</v>
      </c>
      <c r="D123" s="213" t="str">
        <f>$R$7</f>
        <v>Неисправность</v>
      </c>
    </row>
    <row r="124" spans="1:66">
      <c r="A124" s="19" t="str">
        <f t="shared" si="9"/>
        <v>АСУЭ.FB_IMs_S.IFXX</v>
      </c>
      <c r="B124" s="11">
        <v>3</v>
      </c>
      <c r="C124" s="11" t="s">
        <v>1</v>
      </c>
      <c r="D124" s="20">
        <v>192</v>
      </c>
    </row>
    <row r="125" spans="1:66">
      <c r="A125" s="19" t="str">
        <f t="shared" si="9"/>
        <v>АСУЭ.FB_IMs_S.IFXX</v>
      </c>
      <c r="B125" s="11">
        <v>2</v>
      </c>
      <c r="C125" s="11" t="s">
        <v>2</v>
      </c>
      <c r="D125" s="20" t="s">
        <v>3</v>
      </c>
    </row>
    <row r="126" spans="1:66">
      <c r="A126" s="19" t="str">
        <f t="shared" si="9"/>
        <v>АСУЭ.FB_IMs_S.IFXX</v>
      </c>
      <c r="B126" s="11">
        <v>1</v>
      </c>
      <c r="C126" s="11" t="s">
        <v>1</v>
      </c>
      <c r="D126" s="20">
        <v>11</v>
      </c>
    </row>
    <row r="127" spans="1:66">
      <c r="A127" s="19" t="str">
        <f t="shared" si="9"/>
        <v>АСУЭ.FB_IMs_S.IFXX</v>
      </c>
      <c r="B127" s="11">
        <v>101</v>
      </c>
      <c r="C127" s="11" t="s">
        <v>0</v>
      </c>
      <c r="D127" s="20" t="s">
        <v>176</v>
      </c>
    </row>
    <row r="128" spans="1:66">
      <c r="A128" s="19" t="str">
        <f t="shared" si="9"/>
        <v>АСУЭ.FB_IMs_S.IFXX</v>
      </c>
      <c r="B128" s="11">
        <v>7998</v>
      </c>
      <c r="C128" s="11" t="s">
        <v>6</v>
      </c>
      <c r="D128" s="20">
        <v>1</v>
      </c>
    </row>
    <row r="129" spans="1:4">
      <c r="A129" s="19" t="str">
        <f t="shared" si="9"/>
        <v>АСУЭ.FB_IMs_S.IFXX</v>
      </c>
      <c r="B129" s="11">
        <v>7999</v>
      </c>
      <c r="C129" s="11" t="s">
        <v>0</v>
      </c>
      <c r="D129" s="20" t="str">
        <f>"#"&amp;$S$2&amp;"#"&amp;$T$2&amp;"\"&amp;$P$2&amp;"\IFXX"</f>
        <v>#1#treiOPCDA.CoOPCserv.1\pcmaster\ZRU_OL1_s\IFXX</v>
      </c>
    </row>
    <row r="130" spans="1:4">
      <c r="A130" s="217" t="str">
        <f t="shared" ref="A130:A139" si="10">$R$2&amp;".FFOF"</f>
        <v>АСУЭ.FB_IMs_S.FFOF</v>
      </c>
      <c r="B130" s="218">
        <v>11154</v>
      </c>
      <c r="C130" s="218" t="s">
        <v>4</v>
      </c>
      <c r="D130" s="231">
        <f>$Q$7</f>
        <v>12</v>
      </c>
    </row>
    <row r="131" spans="1:4">
      <c r="A131" s="211" t="str">
        <f t="shared" si="10"/>
        <v>АСУЭ.FB_IMs_S.FFOF</v>
      </c>
      <c r="B131" s="212">
        <v>11152</v>
      </c>
      <c r="C131" s="212" t="s">
        <v>0</v>
      </c>
      <c r="D131" s="213" t="str">
        <f>$R$7</f>
        <v>Неисправность</v>
      </c>
    </row>
    <row r="132" spans="1:4">
      <c r="A132" s="211" t="str">
        <f t="shared" si="10"/>
        <v>АСУЭ.FB_IMs_S.FFOF</v>
      </c>
      <c r="B132" s="212">
        <v>11150</v>
      </c>
      <c r="C132" s="212" t="s">
        <v>0</v>
      </c>
      <c r="D132" s="213" t="s">
        <v>143</v>
      </c>
    </row>
    <row r="133" spans="1:4">
      <c r="A133" s="211" t="str">
        <f t="shared" si="10"/>
        <v>АСУЭ.FB_IMs_S.FFOF</v>
      </c>
      <c r="B133" s="212">
        <v>11000</v>
      </c>
      <c r="C133" s="212" t="s">
        <v>5</v>
      </c>
      <c r="D133" s="213">
        <v>2147483680</v>
      </c>
    </row>
    <row r="134" spans="1:4">
      <c r="A134" s="19" t="str">
        <f t="shared" si="10"/>
        <v>АСУЭ.FB_IMs_S.FFOF</v>
      </c>
      <c r="B134" s="11">
        <v>3</v>
      </c>
      <c r="C134" s="11" t="s">
        <v>1</v>
      </c>
      <c r="D134" s="20">
        <v>192</v>
      </c>
    </row>
    <row r="135" spans="1:4">
      <c r="A135" s="19" t="str">
        <f t="shared" si="10"/>
        <v>АСУЭ.FB_IMs_S.FFOF</v>
      </c>
      <c r="B135" s="11">
        <v>2</v>
      </c>
      <c r="C135" s="11" t="s">
        <v>2</v>
      </c>
      <c r="D135" s="20" t="s">
        <v>3</v>
      </c>
    </row>
    <row r="136" spans="1:4">
      <c r="A136" s="19" t="str">
        <f t="shared" si="10"/>
        <v>АСУЭ.FB_IMs_S.FFOF</v>
      </c>
      <c r="B136" s="11">
        <v>1</v>
      </c>
      <c r="C136" s="11" t="s">
        <v>1</v>
      </c>
      <c r="D136" s="20">
        <v>11</v>
      </c>
    </row>
    <row r="137" spans="1:4">
      <c r="A137" s="19" t="str">
        <f t="shared" si="10"/>
        <v>АСУЭ.FB_IMs_S.FFOF</v>
      </c>
      <c r="B137" s="11">
        <v>101</v>
      </c>
      <c r="C137" s="11" t="s">
        <v>0</v>
      </c>
      <c r="D137" s="20" t="s">
        <v>142</v>
      </c>
    </row>
    <row r="138" spans="1:4">
      <c r="A138" s="19" t="str">
        <f t="shared" si="10"/>
        <v>АСУЭ.FB_IMs_S.FFOF</v>
      </c>
      <c r="B138" s="11">
        <v>7998</v>
      </c>
      <c r="C138" s="11" t="s">
        <v>6</v>
      </c>
      <c r="D138" s="20">
        <v>1</v>
      </c>
    </row>
    <row r="139" spans="1:4">
      <c r="A139" s="21" t="str">
        <f t="shared" si="10"/>
        <v>АСУЭ.FB_IMs_S.FFOF</v>
      </c>
      <c r="B139" s="8">
        <v>7999</v>
      </c>
      <c r="C139" s="8" t="s">
        <v>0</v>
      </c>
      <c r="D139" s="22" t="str">
        <f>"#"&amp;$S$2&amp;"#"&amp;$T$2&amp;"\"&amp;$P$2&amp;"\FFOF"</f>
        <v>#1#treiOPCDA.CoOPCserv.1\pcmaster\ZRU_OL1_s\FFOF</v>
      </c>
    </row>
    <row r="140" spans="1:4">
      <c r="A140" s="217" t="str">
        <f t="shared" ref="A140:A149" si="11">$R$2&amp;".FFON"</f>
        <v>АСУЭ.FB_IMs_S.FFON</v>
      </c>
      <c r="B140" s="218">
        <v>11154</v>
      </c>
      <c r="C140" s="218" t="s">
        <v>4</v>
      </c>
      <c r="D140" s="231">
        <f>$Q$7</f>
        <v>12</v>
      </c>
    </row>
    <row r="141" spans="1:4">
      <c r="A141" s="211" t="str">
        <f t="shared" si="11"/>
        <v>АСУЭ.FB_IMs_S.FFON</v>
      </c>
      <c r="B141" s="212">
        <v>11152</v>
      </c>
      <c r="C141" s="212" t="s">
        <v>0</v>
      </c>
      <c r="D141" s="213" t="str">
        <f>$R$7</f>
        <v>Неисправность</v>
      </c>
    </row>
    <row r="142" spans="1:4">
      <c r="A142" s="211" t="str">
        <f t="shared" si="11"/>
        <v>АСУЭ.FB_IMs_S.FFON</v>
      </c>
      <c r="B142" s="212">
        <v>11150</v>
      </c>
      <c r="C142" s="212" t="s">
        <v>0</v>
      </c>
      <c r="D142" s="213" t="s">
        <v>148</v>
      </c>
    </row>
    <row r="143" spans="1:4">
      <c r="A143" s="211" t="str">
        <f t="shared" si="11"/>
        <v>АСУЭ.FB_IMs_S.FFON</v>
      </c>
      <c r="B143" s="212">
        <v>11000</v>
      </c>
      <c r="C143" s="212" t="s">
        <v>5</v>
      </c>
      <c r="D143" s="213">
        <v>2147483680</v>
      </c>
    </row>
    <row r="144" spans="1:4">
      <c r="A144" s="19" t="str">
        <f t="shared" si="11"/>
        <v>АСУЭ.FB_IMs_S.FFON</v>
      </c>
      <c r="B144" s="11">
        <v>3</v>
      </c>
      <c r="C144" s="11" t="s">
        <v>1</v>
      </c>
      <c r="D144" s="20">
        <v>192</v>
      </c>
    </row>
    <row r="145" spans="1:4">
      <c r="A145" s="19" t="str">
        <f t="shared" si="11"/>
        <v>АСУЭ.FB_IMs_S.FFON</v>
      </c>
      <c r="B145" s="11">
        <v>2</v>
      </c>
      <c r="C145" s="11" t="s">
        <v>2</v>
      </c>
      <c r="D145" s="20" t="s">
        <v>3</v>
      </c>
    </row>
    <row r="146" spans="1:4">
      <c r="A146" s="19" t="str">
        <f t="shared" si="11"/>
        <v>АСУЭ.FB_IMs_S.FFON</v>
      </c>
      <c r="B146" s="11">
        <v>1</v>
      </c>
      <c r="C146" s="11" t="s">
        <v>1</v>
      </c>
      <c r="D146" s="20">
        <v>11</v>
      </c>
    </row>
    <row r="147" spans="1:4">
      <c r="A147" s="19" t="str">
        <f t="shared" si="11"/>
        <v>АСУЭ.FB_IMs_S.FFON</v>
      </c>
      <c r="B147" s="11">
        <v>101</v>
      </c>
      <c r="C147" s="11" t="s">
        <v>0</v>
      </c>
      <c r="D147" s="20" t="s">
        <v>148</v>
      </c>
    </row>
    <row r="148" spans="1:4">
      <c r="A148" s="19" t="str">
        <f t="shared" si="11"/>
        <v>АСУЭ.FB_IMs_S.FFON</v>
      </c>
      <c r="B148" s="11">
        <v>7998</v>
      </c>
      <c r="C148" s="11" t="s">
        <v>6</v>
      </c>
      <c r="D148" s="20">
        <v>1</v>
      </c>
    </row>
    <row r="149" spans="1:4">
      <c r="A149" s="21" t="str">
        <f t="shared" si="11"/>
        <v>АСУЭ.FB_IMs_S.FFON</v>
      </c>
      <c r="B149" s="8">
        <v>7999</v>
      </c>
      <c r="C149" s="8" t="s">
        <v>0</v>
      </c>
      <c r="D149" s="22" t="str">
        <f>"#"&amp;$S$2&amp;"#"&amp;$T$2&amp;"\"&amp;$P$2&amp;"\FFON"</f>
        <v>#1#treiOPCDA.CoOPCserv.1\pcmaster\ZRU_OL1_s\FFON</v>
      </c>
    </row>
    <row r="150" spans="1:4">
      <c r="A150" s="217" t="str">
        <f t="shared" ref="A150:A159" si="12">$R$2&amp;".FCOM"</f>
        <v>АСУЭ.FB_IMs_S.FCOM</v>
      </c>
      <c r="B150" s="218">
        <v>11154</v>
      </c>
      <c r="C150" s="218" t="s">
        <v>4</v>
      </c>
      <c r="D150" s="231">
        <f>$Q$7</f>
        <v>12</v>
      </c>
    </row>
    <row r="151" spans="1:4">
      <c r="A151" s="211" t="str">
        <f t="shared" si="12"/>
        <v>АСУЭ.FB_IMs_S.FCOM</v>
      </c>
      <c r="B151" s="212">
        <v>11152</v>
      </c>
      <c r="C151" s="212" t="s">
        <v>0</v>
      </c>
      <c r="D151" s="213" t="str">
        <f>$R$7</f>
        <v>Неисправность</v>
      </c>
    </row>
    <row r="152" spans="1:4">
      <c r="A152" s="211" t="str">
        <f t="shared" si="12"/>
        <v>АСУЭ.FB_IMs_S.FCOM</v>
      </c>
      <c r="B152" s="212">
        <v>11150</v>
      </c>
      <c r="C152" s="212" t="s">
        <v>0</v>
      </c>
      <c r="D152" s="213" t="s">
        <v>149</v>
      </c>
    </row>
    <row r="153" spans="1:4">
      <c r="A153" s="211" t="str">
        <f t="shared" si="12"/>
        <v>АСУЭ.FB_IMs_S.FCOM</v>
      </c>
      <c r="B153" s="212">
        <v>11000</v>
      </c>
      <c r="C153" s="212" t="s">
        <v>5</v>
      </c>
      <c r="D153" s="213">
        <v>2147483680</v>
      </c>
    </row>
    <row r="154" spans="1:4">
      <c r="A154" s="19" t="str">
        <f t="shared" si="12"/>
        <v>АСУЭ.FB_IMs_S.FCOM</v>
      </c>
      <c r="B154" s="11">
        <v>3</v>
      </c>
      <c r="C154" s="11" t="s">
        <v>1</v>
      </c>
      <c r="D154" s="20">
        <v>192</v>
      </c>
    </row>
    <row r="155" spans="1:4">
      <c r="A155" s="19" t="str">
        <f t="shared" si="12"/>
        <v>АСУЭ.FB_IMs_S.FCOM</v>
      </c>
      <c r="B155" s="11">
        <v>2</v>
      </c>
      <c r="C155" s="11" t="s">
        <v>2</v>
      </c>
      <c r="D155" s="20" t="s">
        <v>3</v>
      </c>
    </row>
    <row r="156" spans="1:4">
      <c r="A156" s="19" t="str">
        <f t="shared" si="12"/>
        <v>АСУЭ.FB_IMs_S.FCOM</v>
      </c>
      <c r="B156" s="11">
        <v>1</v>
      </c>
      <c r="C156" s="11" t="s">
        <v>1</v>
      </c>
      <c r="D156" s="20">
        <v>11</v>
      </c>
    </row>
    <row r="157" spans="1:4">
      <c r="A157" s="19" t="str">
        <f t="shared" si="12"/>
        <v>АСУЭ.FB_IMs_S.FCOM</v>
      </c>
      <c r="B157" s="11">
        <v>101</v>
      </c>
      <c r="C157" s="11" t="s">
        <v>0</v>
      </c>
      <c r="D157" s="20" t="s">
        <v>149</v>
      </c>
    </row>
    <row r="158" spans="1:4">
      <c r="A158" s="19" t="str">
        <f t="shared" si="12"/>
        <v>АСУЭ.FB_IMs_S.FCOM</v>
      </c>
      <c r="B158" s="11">
        <v>7998</v>
      </c>
      <c r="C158" s="11" t="s">
        <v>6</v>
      </c>
      <c r="D158" s="20">
        <v>1</v>
      </c>
    </row>
    <row r="159" spans="1:4">
      <c r="A159" s="21" t="str">
        <f t="shared" si="12"/>
        <v>АСУЭ.FB_IMs_S.FCOM</v>
      </c>
      <c r="B159" s="8">
        <v>7999</v>
      </c>
      <c r="C159" s="8" t="s">
        <v>0</v>
      </c>
      <c r="D159" s="22" t="str">
        <f>"#"&amp;$S$2&amp;"#"&amp;$T$2&amp;"\"&amp;$P$2&amp;"\FCOM"</f>
        <v>#1#treiOPCDA.CoOPCserv.1\pcmaster\ZRU_OL1_s\FCOM</v>
      </c>
    </row>
    <row r="160" spans="1:4">
      <c r="A160" s="217" t="str">
        <f t="shared" ref="A160:A169" si="13">$R$2&amp;".FOFX"</f>
        <v>АСУЭ.FB_IMs_S.FOFX</v>
      </c>
      <c r="B160" s="218">
        <v>11154</v>
      </c>
      <c r="C160" s="218" t="s">
        <v>4</v>
      </c>
      <c r="D160" s="231">
        <f>$Q$7</f>
        <v>12</v>
      </c>
    </row>
    <row r="161" spans="1:4">
      <c r="A161" s="211" t="str">
        <f t="shared" si="13"/>
        <v>АСУЭ.FB_IMs_S.FOFX</v>
      </c>
      <c r="B161" s="212">
        <v>11152</v>
      </c>
      <c r="C161" s="212" t="s">
        <v>0</v>
      </c>
      <c r="D161" s="213" t="str">
        <f>$R$7</f>
        <v>Неисправность</v>
      </c>
    </row>
    <row r="162" spans="1:4">
      <c r="A162" s="211" t="str">
        <f t="shared" si="13"/>
        <v>АСУЭ.FB_IMs_S.FOFX</v>
      </c>
      <c r="B162" s="212">
        <v>11150</v>
      </c>
      <c r="C162" s="212" t="s">
        <v>0</v>
      </c>
      <c r="D162" s="213" t="s">
        <v>150</v>
      </c>
    </row>
    <row r="163" spans="1:4">
      <c r="A163" s="211" t="str">
        <f t="shared" si="13"/>
        <v>АСУЭ.FB_IMs_S.FOFX</v>
      </c>
      <c r="B163" s="212">
        <v>11000</v>
      </c>
      <c r="C163" s="212" t="s">
        <v>5</v>
      </c>
      <c r="D163" s="213">
        <v>2147483680</v>
      </c>
    </row>
    <row r="164" spans="1:4">
      <c r="A164" s="19" t="str">
        <f t="shared" si="13"/>
        <v>АСУЭ.FB_IMs_S.FOFX</v>
      </c>
      <c r="B164" s="11">
        <v>3</v>
      </c>
      <c r="C164" s="11" t="s">
        <v>1</v>
      </c>
      <c r="D164" s="20">
        <v>192</v>
      </c>
    </row>
    <row r="165" spans="1:4">
      <c r="A165" s="19" t="str">
        <f t="shared" si="13"/>
        <v>АСУЭ.FB_IMs_S.FOFX</v>
      </c>
      <c r="B165" s="11">
        <v>2</v>
      </c>
      <c r="C165" s="11" t="s">
        <v>2</v>
      </c>
      <c r="D165" s="20" t="s">
        <v>3</v>
      </c>
    </row>
    <row r="166" spans="1:4">
      <c r="A166" s="19" t="str">
        <f t="shared" si="13"/>
        <v>АСУЭ.FB_IMs_S.FOFX</v>
      </c>
      <c r="B166" s="11">
        <v>1</v>
      </c>
      <c r="C166" s="11" t="s">
        <v>1</v>
      </c>
      <c r="D166" s="20">
        <v>11</v>
      </c>
    </row>
    <row r="167" spans="1:4">
      <c r="A167" s="19" t="str">
        <f t="shared" si="13"/>
        <v>АСУЭ.FB_IMs_S.FOFX</v>
      </c>
      <c r="B167" s="11">
        <v>101</v>
      </c>
      <c r="C167" s="11" t="s">
        <v>0</v>
      </c>
      <c r="D167" s="20" t="s">
        <v>150</v>
      </c>
    </row>
    <row r="168" spans="1:4">
      <c r="A168" s="19" t="str">
        <f t="shared" si="13"/>
        <v>АСУЭ.FB_IMs_S.FOFX</v>
      </c>
      <c r="B168" s="11">
        <v>7998</v>
      </c>
      <c r="C168" s="11" t="s">
        <v>6</v>
      </c>
      <c r="D168" s="20">
        <v>1</v>
      </c>
    </row>
    <row r="169" spans="1:4">
      <c r="A169" s="21" t="str">
        <f t="shared" si="13"/>
        <v>АСУЭ.FB_IMs_S.FOFX</v>
      </c>
      <c r="B169" s="8">
        <v>7999</v>
      </c>
      <c r="C169" s="8" t="s">
        <v>0</v>
      </c>
      <c r="D169" s="22" t="str">
        <f>"#"&amp;$S$2&amp;"#"&amp;$T$2&amp;"\"&amp;$P$2&amp;"\FOFX"</f>
        <v>#1#treiOPCDA.CoOPCserv.1\pcmaster\ZRU_OL1_s\FOFX</v>
      </c>
    </row>
    <row r="170" spans="1:4">
      <c r="A170" s="217" t="str">
        <f t="shared" ref="A170:A179" si="14">$R$2&amp;".FUSX"</f>
        <v>АСУЭ.FB_IMs_S.FUSX</v>
      </c>
      <c r="B170" s="218">
        <v>11154</v>
      </c>
      <c r="C170" s="218" t="s">
        <v>4</v>
      </c>
      <c r="D170" s="231">
        <f>$Q$7</f>
        <v>12</v>
      </c>
    </row>
    <row r="171" spans="1:4">
      <c r="A171" s="211" t="str">
        <f t="shared" si="14"/>
        <v>АСУЭ.FB_IMs_S.FUSX</v>
      </c>
      <c r="B171" s="212">
        <v>11152</v>
      </c>
      <c r="C171" s="212" t="s">
        <v>0</v>
      </c>
      <c r="D171" s="213" t="str">
        <f>$R$7</f>
        <v>Неисправность</v>
      </c>
    </row>
    <row r="172" spans="1:4">
      <c r="A172" s="211" t="str">
        <f t="shared" si="14"/>
        <v>АСУЭ.FB_IMs_S.FUSX</v>
      </c>
      <c r="B172" s="212">
        <v>11150</v>
      </c>
      <c r="C172" s="212" t="s">
        <v>0</v>
      </c>
      <c r="D172" s="213" t="s">
        <v>1854</v>
      </c>
    </row>
    <row r="173" spans="1:4">
      <c r="A173" s="211" t="str">
        <f t="shared" si="14"/>
        <v>АСУЭ.FB_IMs_S.FUSX</v>
      </c>
      <c r="B173" s="212">
        <v>11000</v>
      </c>
      <c r="C173" s="212" t="s">
        <v>5</v>
      </c>
      <c r="D173" s="213">
        <v>2147483680</v>
      </c>
    </row>
    <row r="174" spans="1:4">
      <c r="A174" s="19" t="str">
        <f t="shared" si="14"/>
        <v>АСУЭ.FB_IMs_S.FUSX</v>
      </c>
      <c r="B174" s="11">
        <v>3</v>
      </c>
      <c r="C174" s="11" t="s">
        <v>1</v>
      </c>
      <c r="D174" s="20">
        <v>192</v>
      </c>
    </row>
    <row r="175" spans="1:4">
      <c r="A175" s="19" t="str">
        <f t="shared" si="14"/>
        <v>АСУЭ.FB_IMs_S.FUSX</v>
      </c>
      <c r="B175" s="11">
        <v>2</v>
      </c>
      <c r="C175" s="11" t="s">
        <v>2</v>
      </c>
      <c r="D175" s="20" t="s">
        <v>3</v>
      </c>
    </row>
    <row r="176" spans="1:4">
      <c r="A176" s="19" t="str">
        <f t="shared" si="14"/>
        <v>АСУЭ.FB_IMs_S.FUSX</v>
      </c>
      <c r="B176" s="11">
        <v>1</v>
      </c>
      <c r="C176" s="11" t="s">
        <v>1</v>
      </c>
      <c r="D176" s="20">
        <v>11</v>
      </c>
    </row>
    <row r="177" spans="1:4">
      <c r="A177" s="19" t="str">
        <f t="shared" si="14"/>
        <v>АСУЭ.FB_IMs_S.FUSX</v>
      </c>
      <c r="B177" s="11">
        <v>101</v>
      </c>
      <c r="C177" s="11" t="s">
        <v>0</v>
      </c>
      <c r="D177" s="20" t="s">
        <v>1854</v>
      </c>
    </row>
    <row r="178" spans="1:4">
      <c r="A178" s="19" t="str">
        <f t="shared" si="14"/>
        <v>АСУЭ.FB_IMs_S.FUSX</v>
      </c>
      <c r="B178" s="11">
        <v>7998</v>
      </c>
      <c r="C178" s="11" t="s">
        <v>6</v>
      </c>
      <c r="D178" s="20">
        <v>1</v>
      </c>
    </row>
    <row r="179" spans="1:4">
      <c r="A179" s="21" t="str">
        <f t="shared" si="14"/>
        <v>АСУЭ.FB_IMs_S.FUSX</v>
      </c>
      <c r="B179" s="8">
        <v>7999</v>
      </c>
      <c r="C179" s="8" t="s">
        <v>0</v>
      </c>
      <c r="D179" s="22" t="str">
        <f>"#"&amp;$S$2&amp;"#"&amp;$T$2&amp;"\"&amp;$P$2&amp;"\FUSX"</f>
        <v>#1#treiOPCDA.CoOPCserv.1\pcmaster\ZRU_OL1_s\FUSX</v>
      </c>
    </row>
    <row r="180" spans="1:4">
      <c r="A180" s="217" t="str">
        <f t="shared" ref="A180:A189" si="15">$R$2&amp;".FDSX"</f>
        <v>АСУЭ.FB_IMs_S.FDSX</v>
      </c>
      <c r="B180" s="218">
        <v>11154</v>
      </c>
      <c r="C180" s="218" t="s">
        <v>4</v>
      </c>
      <c r="D180" s="231">
        <f>$Q$7</f>
        <v>12</v>
      </c>
    </row>
    <row r="181" spans="1:4">
      <c r="A181" s="211" t="str">
        <f t="shared" si="15"/>
        <v>АСУЭ.FB_IMs_S.FDSX</v>
      </c>
      <c r="B181" s="212">
        <v>11152</v>
      </c>
      <c r="C181" s="212" t="s">
        <v>0</v>
      </c>
      <c r="D181" s="213" t="str">
        <f>$R$7</f>
        <v>Неисправность</v>
      </c>
    </row>
    <row r="182" spans="1:4">
      <c r="A182" s="211" t="str">
        <f t="shared" si="15"/>
        <v>АСУЭ.FB_IMs_S.FDSX</v>
      </c>
      <c r="B182" s="212">
        <v>11150</v>
      </c>
      <c r="C182" s="212" t="s">
        <v>0</v>
      </c>
      <c r="D182" s="213" t="s">
        <v>1855</v>
      </c>
    </row>
    <row r="183" spans="1:4">
      <c r="A183" s="211" t="str">
        <f t="shared" si="15"/>
        <v>АСУЭ.FB_IMs_S.FDSX</v>
      </c>
      <c r="B183" s="212">
        <v>11000</v>
      </c>
      <c r="C183" s="212" t="s">
        <v>5</v>
      </c>
      <c r="D183" s="213">
        <v>2147483680</v>
      </c>
    </row>
    <row r="184" spans="1:4">
      <c r="A184" s="19" t="str">
        <f t="shared" si="15"/>
        <v>АСУЭ.FB_IMs_S.FDSX</v>
      </c>
      <c r="B184" s="11">
        <v>3</v>
      </c>
      <c r="C184" s="11" t="s">
        <v>1</v>
      </c>
      <c r="D184" s="20">
        <v>192</v>
      </c>
    </row>
    <row r="185" spans="1:4">
      <c r="A185" s="19" t="str">
        <f t="shared" si="15"/>
        <v>АСУЭ.FB_IMs_S.FDSX</v>
      </c>
      <c r="B185" s="11">
        <v>2</v>
      </c>
      <c r="C185" s="11" t="s">
        <v>2</v>
      </c>
      <c r="D185" s="20" t="s">
        <v>3</v>
      </c>
    </row>
    <row r="186" spans="1:4">
      <c r="A186" s="19" t="str">
        <f t="shared" si="15"/>
        <v>АСУЭ.FB_IMs_S.FDSX</v>
      </c>
      <c r="B186" s="11">
        <v>1</v>
      </c>
      <c r="C186" s="11" t="s">
        <v>1</v>
      </c>
      <c r="D186" s="20">
        <v>11</v>
      </c>
    </row>
    <row r="187" spans="1:4">
      <c r="A187" s="19" t="str">
        <f t="shared" si="15"/>
        <v>АСУЭ.FB_IMs_S.FDSX</v>
      </c>
      <c r="B187" s="11">
        <v>101</v>
      </c>
      <c r="C187" s="11" t="s">
        <v>0</v>
      </c>
      <c r="D187" s="20" t="s">
        <v>1855</v>
      </c>
    </row>
    <row r="188" spans="1:4">
      <c r="A188" s="19" t="str">
        <f t="shared" si="15"/>
        <v>АСУЭ.FB_IMs_S.FDSX</v>
      </c>
      <c r="B188" s="11">
        <v>7998</v>
      </c>
      <c r="C188" s="11" t="s">
        <v>6</v>
      </c>
      <c r="D188" s="20">
        <v>1</v>
      </c>
    </row>
    <row r="189" spans="1:4">
      <c r="A189" s="21" t="str">
        <f t="shared" si="15"/>
        <v>АСУЭ.FB_IMs_S.FDSX</v>
      </c>
      <c r="B189" s="8">
        <v>7999</v>
      </c>
      <c r="C189" s="8" t="s">
        <v>0</v>
      </c>
      <c r="D189" s="22" t="str">
        <f>"#"&amp;$S$2&amp;"#"&amp;$T$2&amp;"\"&amp;$P$2&amp;"\FDSX"</f>
        <v>#1#treiOPCDA.CoOPCserv.1\pcmaster\ZRU_OL1_s\FDSX</v>
      </c>
    </row>
    <row r="190" spans="1:4">
      <c r="A190" s="217" t="str">
        <f t="shared" ref="A190:A199" si="16">$R$2&amp;".FONX"</f>
        <v>АСУЭ.FB_IMs_S.FONX</v>
      </c>
      <c r="B190" s="218">
        <v>11154</v>
      </c>
      <c r="C190" s="218" t="s">
        <v>4</v>
      </c>
      <c r="D190" s="231">
        <f>$Q$7</f>
        <v>12</v>
      </c>
    </row>
    <row r="191" spans="1:4">
      <c r="A191" s="211" t="str">
        <f t="shared" si="16"/>
        <v>АСУЭ.FB_IMs_S.FONX</v>
      </c>
      <c r="B191" s="212">
        <v>11152</v>
      </c>
      <c r="C191" s="212" t="s">
        <v>0</v>
      </c>
      <c r="D191" s="213" t="str">
        <f>$R$7</f>
        <v>Неисправность</v>
      </c>
    </row>
    <row r="192" spans="1:4">
      <c r="A192" s="211" t="str">
        <f t="shared" si="16"/>
        <v>АСУЭ.FB_IMs_S.FONX</v>
      </c>
      <c r="B192" s="212">
        <v>11150</v>
      </c>
      <c r="C192" s="212" t="s">
        <v>0</v>
      </c>
      <c r="D192" s="213" t="s">
        <v>163</v>
      </c>
    </row>
    <row r="193" spans="1:4">
      <c r="A193" s="211" t="str">
        <f t="shared" si="16"/>
        <v>АСУЭ.FB_IMs_S.FONX</v>
      </c>
      <c r="B193" s="212">
        <v>11000</v>
      </c>
      <c r="C193" s="212" t="s">
        <v>5</v>
      </c>
      <c r="D193" s="213">
        <v>2147483680</v>
      </c>
    </row>
    <row r="194" spans="1:4">
      <c r="A194" s="19" t="str">
        <f t="shared" si="16"/>
        <v>АСУЭ.FB_IMs_S.FONX</v>
      </c>
      <c r="B194" s="11">
        <v>3</v>
      </c>
      <c r="C194" s="11" t="s">
        <v>1</v>
      </c>
      <c r="D194" s="20">
        <v>192</v>
      </c>
    </row>
    <row r="195" spans="1:4">
      <c r="A195" s="19" t="str">
        <f t="shared" si="16"/>
        <v>АСУЭ.FB_IMs_S.FONX</v>
      </c>
      <c r="B195" s="11">
        <v>2</v>
      </c>
      <c r="C195" s="11" t="s">
        <v>2</v>
      </c>
      <c r="D195" s="20" t="s">
        <v>3</v>
      </c>
    </row>
    <row r="196" spans="1:4">
      <c r="A196" s="19" t="str">
        <f t="shared" si="16"/>
        <v>АСУЭ.FB_IMs_S.FONX</v>
      </c>
      <c r="B196" s="11">
        <v>1</v>
      </c>
      <c r="C196" s="11" t="s">
        <v>1</v>
      </c>
      <c r="D196" s="20">
        <v>11</v>
      </c>
    </row>
    <row r="197" spans="1:4">
      <c r="A197" s="19" t="str">
        <f t="shared" si="16"/>
        <v>АСУЭ.FB_IMs_S.FONX</v>
      </c>
      <c r="B197" s="11">
        <v>101</v>
      </c>
      <c r="C197" s="11" t="s">
        <v>0</v>
      </c>
      <c r="D197" s="20" t="s">
        <v>163</v>
      </c>
    </row>
    <row r="198" spans="1:4">
      <c r="A198" s="19" t="str">
        <f t="shared" si="16"/>
        <v>АСУЭ.FB_IMs_S.FONX</v>
      </c>
      <c r="B198" s="11">
        <v>7998</v>
      </c>
      <c r="C198" s="11" t="s">
        <v>6</v>
      </c>
      <c r="D198" s="20">
        <v>1</v>
      </c>
    </row>
    <row r="199" spans="1:4">
      <c r="A199" s="21" t="str">
        <f t="shared" si="16"/>
        <v>АСУЭ.FB_IMs_S.FONX</v>
      </c>
      <c r="B199" s="8">
        <v>7999</v>
      </c>
      <c r="C199" s="8" t="s">
        <v>0</v>
      </c>
      <c r="D199" s="22" t="str">
        <f>"#"&amp;$S$2&amp;"#"&amp;$T$2&amp;"\"&amp;$P$2&amp;"\FONX"</f>
        <v>#1#treiOPCDA.CoOPCserv.1\pcmaster\ZRU_OL1_s\FONX</v>
      </c>
    </row>
    <row r="200" spans="1:4">
      <c r="A200" s="217" t="str">
        <f t="shared" ref="A200:A209" si="17">$R$2&amp;".FUCX"</f>
        <v>АСУЭ.FB_IMs_S.FUCX</v>
      </c>
      <c r="B200" s="218">
        <v>11154</v>
      </c>
      <c r="C200" s="218" t="s">
        <v>4</v>
      </c>
      <c r="D200" s="231">
        <f>$Q$7</f>
        <v>12</v>
      </c>
    </row>
    <row r="201" spans="1:4">
      <c r="A201" s="211" t="str">
        <f t="shared" si="17"/>
        <v>АСУЭ.FB_IMs_S.FUCX</v>
      </c>
      <c r="B201" s="212">
        <v>11152</v>
      </c>
      <c r="C201" s="212" t="s">
        <v>0</v>
      </c>
      <c r="D201" s="213" t="str">
        <f>$R$7</f>
        <v>Неисправность</v>
      </c>
    </row>
    <row r="202" spans="1:4">
      <c r="A202" s="211" t="str">
        <f t="shared" si="17"/>
        <v>АСУЭ.FB_IMs_S.FUCX</v>
      </c>
      <c r="B202" s="212">
        <v>11150</v>
      </c>
      <c r="C202" s="212" t="s">
        <v>0</v>
      </c>
      <c r="D202" s="213" t="s">
        <v>167</v>
      </c>
    </row>
    <row r="203" spans="1:4">
      <c r="A203" s="211" t="str">
        <f t="shared" si="17"/>
        <v>АСУЭ.FB_IMs_S.FUCX</v>
      </c>
      <c r="B203" s="212">
        <v>11000</v>
      </c>
      <c r="C203" s="212" t="s">
        <v>5</v>
      </c>
      <c r="D203" s="213">
        <v>2147483680</v>
      </c>
    </row>
    <row r="204" spans="1:4">
      <c r="A204" s="19" t="str">
        <f t="shared" si="17"/>
        <v>АСУЭ.FB_IMs_S.FUCX</v>
      </c>
      <c r="B204" s="11">
        <v>101</v>
      </c>
      <c r="C204" s="11" t="s">
        <v>0</v>
      </c>
      <c r="D204" s="20" t="s">
        <v>167</v>
      </c>
    </row>
    <row r="205" spans="1:4">
      <c r="A205" s="19" t="str">
        <f t="shared" si="17"/>
        <v>АСУЭ.FB_IMs_S.FUCX</v>
      </c>
      <c r="B205" s="11">
        <v>1</v>
      </c>
      <c r="C205" s="11" t="s">
        <v>1</v>
      </c>
      <c r="D205" s="20">
        <v>11</v>
      </c>
    </row>
    <row r="206" spans="1:4">
      <c r="A206" s="19" t="str">
        <f t="shared" si="17"/>
        <v>АСУЭ.FB_IMs_S.FUCX</v>
      </c>
      <c r="B206" s="11">
        <v>2</v>
      </c>
      <c r="C206" s="11" t="s">
        <v>2</v>
      </c>
      <c r="D206" s="20" t="s">
        <v>3</v>
      </c>
    </row>
    <row r="207" spans="1:4">
      <c r="A207" s="19" t="str">
        <f t="shared" si="17"/>
        <v>АСУЭ.FB_IMs_S.FUCX</v>
      </c>
      <c r="B207" s="11">
        <v>3</v>
      </c>
      <c r="C207" s="11" t="s">
        <v>1</v>
      </c>
      <c r="D207" s="20">
        <v>192</v>
      </c>
    </row>
    <row r="208" spans="1:4">
      <c r="A208" s="19" t="str">
        <f t="shared" si="17"/>
        <v>АСУЭ.FB_IMs_S.FUCX</v>
      </c>
      <c r="B208" s="11">
        <v>7998</v>
      </c>
      <c r="C208" s="11" t="s">
        <v>6</v>
      </c>
      <c r="D208" s="20">
        <v>1</v>
      </c>
    </row>
    <row r="209" spans="1:4">
      <c r="A209" s="21" t="str">
        <f t="shared" si="17"/>
        <v>АСУЭ.FB_IMs_S.FUCX</v>
      </c>
      <c r="B209" s="8">
        <v>7999</v>
      </c>
      <c r="C209" s="8" t="s">
        <v>0</v>
      </c>
      <c r="D209" s="22" t="str">
        <f>"#"&amp;$S$2&amp;"#"&amp;$T$2&amp;"\"&amp;$P$2&amp;"\FUCX"</f>
        <v>#1#treiOPCDA.CoOPCserv.1\pcmaster\ZRU_OL1_s\FUCX</v>
      </c>
    </row>
    <row r="210" spans="1:4">
      <c r="A210" s="217" t="str">
        <f t="shared" ref="A210:A219" si="18">$R$2&amp;".FDCX"</f>
        <v>АСУЭ.FB_IMs_S.FDCX</v>
      </c>
      <c r="B210" s="218">
        <v>11154</v>
      </c>
      <c r="C210" s="218" t="s">
        <v>4</v>
      </c>
      <c r="D210" s="231">
        <f>$Q$7</f>
        <v>12</v>
      </c>
    </row>
    <row r="211" spans="1:4">
      <c r="A211" s="211" t="str">
        <f t="shared" si="18"/>
        <v>АСУЭ.FB_IMs_S.FDCX</v>
      </c>
      <c r="B211" s="212">
        <v>11152</v>
      </c>
      <c r="C211" s="212" t="s">
        <v>0</v>
      </c>
      <c r="D211" s="213" t="str">
        <f>$R$7</f>
        <v>Неисправность</v>
      </c>
    </row>
    <row r="212" spans="1:4">
      <c r="A212" s="211" t="str">
        <f t="shared" si="18"/>
        <v>АСУЭ.FB_IMs_S.FDCX</v>
      </c>
      <c r="B212" s="212">
        <v>11150</v>
      </c>
      <c r="C212" s="212" t="s">
        <v>0</v>
      </c>
      <c r="D212" s="213" t="s">
        <v>168</v>
      </c>
    </row>
    <row r="213" spans="1:4">
      <c r="A213" s="211" t="str">
        <f t="shared" si="18"/>
        <v>АСУЭ.FB_IMs_S.FDCX</v>
      </c>
      <c r="B213" s="212">
        <v>11000</v>
      </c>
      <c r="C213" s="212" t="s">
        <v>5</v>
      </c>
      <c r="D213" s="213">
        <v>2147483680</v>
      </c>
    </row>
    <row r="214" spans="1:4">
      <c r="A214" s="19" t="str">
        <f t="shared" si="18"/>
        <v>АСУЭ.FB_IMs_S.FDCX</v>
      </c>
      <c r="B214" s="11">
        <v>101</v>
      </c>
      <c r="C214" s="11" t="s">
        <v>0</v>
      </c>
      <c r="D214" s="20" t="s">
        <v>168</v>
      </c>
    </row>
    <row r="215" spans="1:4">
      <c r="A215" s="19" t="str">
        <f t="shared" si="18"/>
        <v>АСУЭ.FB_IMs_S.FDCX</v>
      </c>
      <c r="B215" s="11">
        <v>1</v>
      </c>
      <c r="C215" s="11" t="s">
        <v>1</v>
      </c>
      <c r="D215" s="20">
        <v>11</v>
      </c>
    </row>
    <row r="216" spans="1:4">
      <c r="A216" s="19" t="str">
        <f t="shared" si="18"/>
        <v>АСУЭ.FB_IMs_S.FDCX</v>
      </c>
      <c r="B216" s="11">
        <v>2</v>
      </c>
      <c r="C216" s="11" t="s">
        <v>2</v>
      </c>
      <c r="D216" s="20" t="s">
        <v>3</v>
      </c>
    </row>
    <row r="217" spans="1:4">
      <c r="A217" s="19" t="str">
        <f t="shared" si="18"/>
        <v>АСУЭ.FB_IMs_S.FDCX</v>
      </c>
      <c r="B217" s="11">
        <v>3</v>
      </c>
      <c r="C217" s="11" t="s">
        <v>1</v>
      </c>
      <c r="D217" s="20">
        <v>192</v>
      </c>
    </row>
    <row r="218" spans="1:4">
      <c r="A218" s="19" t="str">
        <f t="shared" si="18"/>
        <v>АСУЭ.FB_IMs_S.FDCX</v>
      </c>
      <c r="B218" s="11">
        <v>7998</v>
      </c>
      <c r="C218" s="11" t="s">
        <v>6</v>
      </c>
      <c r="D218" s="20">
        <v>1</v>
      </c>
    </row>
    <row r="219" spans="1:4">
      <c r="A219" s="19" t="str">
        <f t="shared" si="18"/>
        <v>АСУЭ.FB_IMs_S.FDCX</v>
      </c>
      <c r="B219" s="11">
        <v>7999</v>
      </c>
      <c r="C219" s="11" t="s">
        <v>0</v>
      </c>
      <c r="D219" s="20" t="str">
        <f>"#"&amp;$S$2&amp;"#"&amp;$T$2&amp;"\"&amp;$P$2&amp;"\FDCX"</f>
        <v>#1#treiOPCDA.CoOPCserv.1\pcmaster\ZRU_OL1_s\FDCX</v>
      </c>
    </row>
    <row r="220" spans="1:4">
      <c r="A220" s="137" t="str">
        <f t="shared" ref="A220:A231" si="19">$R$2&amp;".XRPX"</f>
        <v>АСУЭ.FB_IMs_S.XRPX</v>
      </c>
      <c r="B220" s="138">
        <v>11154</v>
      </c>
      <c r="C220" s="138" t="s">
        <v>4</v>
      </c>
      <c r="D220" s="202">
        <f>$Q$11</f>
        <v>14</v>
      </c>
    </row>
    <row r="221" spans="1:4">
      <c r="A221" s="140" t="str">
        <f t="shared" si="19"/>
        <v>АСУЭ.FB_IMs_S.XRPX</v>
      </c>
      <c r="B221" s="141">
        <v>11152</v>
      </c>
      <c r="C221" s="141" t="s">
        <v>0</v>
      </c>
      <c r="D221" s="142" t="str">
        <f>$R$11</f>
        <v>Ремонт</v>
      </c>
    </row>
    <row r="222" spans="1:4">
      <c r="A222" s="140" t="str">
        <f t="shared" si="19"/>
        <v>АСУЭ.FB_IMs_S.XRPX</v>
      </c>
      <c r="B222" s="141">
        <v>11150</v>
      </c>
      <c r="C222" s="141" t="s">
        <v>0</v>
      </c>
      <c r="D222" s="142" t="s">
        <v>89</v>
      </c>
    </row>
    <row r="223" spans="1:4">
      <c r="A223" s="140" t="str">
        <f t="shared" si="19"/>
        <v>АСУЭ.FB_IMs_S.XRPX</v>
      </c>
      <c r="B223" s="141">
        <v>11000</v>
      </c>
      <c r="C223" s="141" t="s">
        <v>5</v>
      </c>
      <c r="D223" s="142">
        <v>2147483680</v>
      </c>
    </row>
    <row r="224" spans="1:4">
      <c r="A224" s="19" t="str">
        <f t="shared" si="19"/>
        <v>АСУЭ.FB_IMs_S.XRPX</v>
      </c>
      <c r="B224" s="11">
        <v>3</v>
      </c>
      <c r="C224" s="11" t="s">
        <v>1</v>
      </c>
      <c r="D224" s="20">
        <v>192</v>
      </c>
    </row>
    <row r="225" spans="1:4">
      <c r="A225" s="19" t="str">
        <f t="shared" si="19"/>
        <v>АСУЭ.FB_IMs_S.XRPX</v>
      </c>
      <c r="B225" s="11">
        <v>2</v>
      </c>
      <c r="C225" s="11" t="s">
        <v>2</v>
      </c>
      <c r="D225" s="20" t="s">
        <v>3</v>
      </c>
    </row>
    <row r="226" spans="1:4">
      <c r="A226" s="19" t="str">
        <f t="shared" si="19"/>
        <v>АСУЭ.FB_IMs_S.XRPX</v>
      </c>
      <c r="B226" s="11">
        <v>1</v>
      </c>
      <c r="C226" s="11" t="s">
        <v>1</v>
      </c>
      <c r="D226" s="20">
        <v>11</v>
      </c>
    </row>
    <row r="227" spans="1:4">
      <c r="A227" s="19" t="str">
        <f t="shared" si="19"/>
        <v>АСУЭ.FB_IMs_S.XRPX</v>
      </c>
      <c r="B227" s="11">
        <v>101</v>
      </c>
      <c r="C227" s="11" t="s">
        <v>0</v>
      </c>
      <c r="D227" s="20" t="s">
        <v>137</v>
      </c>
    </row>
    <row r="228" spans="1:4">
      <c r="A228" s="19" t="str">
        <f t="shared" si="19"/>
        <v>АСУЭ.FB_IMs_S.XRPX</v>
      </c>
      <c r="B228" s="11">
        <v>7998</v>
      </c>
      <c r="C228" s="11" t="s">
        <v>6</v>
      </c>
      <c r="D228" s="20">
        <v>1</v>
      </c>
    </row>
    <row r="229" spans="1:4">
      <c r="A229" s="19" t="str">
        <f t="shared" si="19"/>
        <v>АСУЭ.FB_IMs_S.XRPX</v>
      </c>
      <c r="B229" s="11">
        <v>7999</v>
      </c>
      <c r="C229" s="11" t="s">
        <v>0</v>
      </c>
      <c r="D229" s="20" t="str">
        <f>"#"&amp;$S$2&amp;"#"&amp;$T$2&amp;"\"&amp;$P$2&amp;"\XRPX"</f>
        <v>#1#treiOPCDA.CoOPCserv.1\pcmaster\ZRU_OL1_s\XRPX</v>
      </c>
    </row>
    <row r="230" spans="1:4" ht="14.25" customHeight="1">
      <c r="A230" s="29" t="str">
        <f t="shared" si="19"/>
        <v>АСУЭ.FB_IMs_S.XRPX</v>
      </c>
      <c r="B230" s="1">
        <v>4000000</v>
      </c>
      <c r="C230" s="1" t="s">
        <v>0</v>
      </c>
      <c r="D230" s="415" t="s">
        <v>1482</v>
      </c>
    </row>
    <row r="231" spans="1:4">
      <c r="A231" s="26" t="str">
        <f t="shared" si="19"/>
        <v>АСУЭ.FB_IMs_S.XRPX</v>
      </c>
      <c r="B231" s="27">
        <v>7000000</v>
      </c>
      <c r="C231" s="27" t="s">
        <v>6</v>
      </c>
      <c r="D231" s="28">
        <v>2</v>
      </c>
    </row>
    <row r="232" spans="1:4">
      <c r="A232" s="110" t="str">
        <f t="shared" ref="A232:A241" si="20">$R$2&amp;".DONX"</f>
        <v>АСУЭ.FB_IMs_S.DONX</v>
      </c>
      <c r="B232" s="111">
        <v>11154</v>
      </c>
      <c r="C232" s="111" t="s">
        <v>4</v>
      </c>
      <c r="D232" s="112">
        <f>$Q$9</f>
        <v>10</v>
      </c>
    </row>
    <row r="233" spans="1:4">
      <c r="A233" s="110" t="str">
        <f t="shared" si="20"/>
        <v>АСУЭ.FB_IMs_S.DONX</v>
      </c>
      <c r="B233" s="111">
        <v>11152</v>
      </c>
      <c r="C233" s="111" t="s">
        <v>0</v>
      </c>
      <c r="D233" s="112" t="str">
        <f>$R$9</f>
        <v>Недостоверность</v>
      </c>
    </row>
    <row r="234" spans="1:4">
      <c r="A234" s="110" t="str">
        <f t="shared" si="20"/>
        <v>АСУЭ.FB_IMs_S.DONX</v>
      </c>
      <c r="B234" s="111">
        <v>11150</v>
      </c>
      <c r="C234" s="111" t="s">
        <v>0</v>
      </c>
      <c r="D234" s="112" t="s">
        <v>123</v>
      </c>
    </row>
    <row r="235" spans="1:4">
      <c r="A235" s="110" t="str">
        <f t="shared" si="20"/>
        <v>АСУЭ.FB_IMs_S.DONX</v>
      </c>
      <c r="B235" s="111">
        <v>11000</v>
      </c>
      <c r="C235" s="111" t="s">
        <v>5</v>
      </c>
      <c r="D235" s="112">
        <v>2147483680</v>
      </c>
    </row>
    <row r="236" spans="1:4">
      <c r="A236" s="19" t="str">
        <f t="shared" si="20"/>
        <v>АСУЭ.FB_IMs_S.DONX</v>
      </c>
      <c r="B236" s="11">
        <v>3</v>
      </c>
      <c r="C236" s="11" t="s">
        <v>1</v>
      </c>
      <c r="D236" s="20">
        <v>192</v>
      </c>
    </row>
    <row r="237" spans="1:4">
      <c r="A237" s="19" t="str">
        <f t="shared" si="20"/>
        <v>АСУЭ.FB_IMs_S.DONX</v>
      </c>
      <c r="B237" s="11">
        <v>2</v>
      </c>
      <c r="C237" s="11" t="s">
        <v>2</v>
      </c>
      <c r="D237" s="20" t="s">
        <v>3</v>
      </c>
    </row>
    <row r="238" spans="1:4">
      <c r="A238" s="19" t="str">
        <f t="shared" si="20"/>
        <v>АСУЭ.FB_IMs_S.DONX</v>
      </c>
      <c r="B238" s="11">
        <v>1</v>
      </c>
      <c r="C238" s="11" t="s">
        <v>1</v>
      </c>
      <c r="D238" s="20">
        <v>11</v>
      </c>
    </row>
    <row r="239" spans="1:4">
      <c r="A239" s="19" t="str">
        <f t="shared" si="20"/>
        <v>АСУЭ.FB_IMs_S.DONX</v>
      </c>
      <c r="B239" s="11">
        <v>101</v>
      </c>
      <c r="C239" s="11" t="s">
        <v>0</v>
      </c>
      <c r="D239" s="20" t="s">
        <v>122</v>
      </c>
    </row>
    <row r="240" spans="1:4">
      <c r="A240" s="19" t="str">
        <f t="shared" si="20"/>
        <v>АСУЭ.FB_IMs_S.DONX</v>
      </c>
      <c r="B240" s="11">
        <v>7998</v>
      </c>
      <c r="C240" s="11" t="s">
        <v>6</v>
      </c>
      <c r="D240" s="20">
        <v>1</v>
      </c>
    </row>
    <row r="241" spans="1:4">
      <c r="A241" s="21" t="str">
        <f t="shared" si="20"/>
        <v>АСУЭ.FB_IMs_S.DONX</v>
      </c>
      <c r="B241" s="8">
        <v>7999</v>
      </c>
      <c r="C241" s="8" t="s">
        <v>0</v>
      </c>
      <c r="D241" s="22" t="str">
        <f>"#"&amp;$S$2&amp;"#"&amp;$T$2&amp;"\"&amp;$P$2&amp;"\DONX"</f>
        <v>#1#treiOPCDA.CoOPCserv.1\pcmaster\ZRU_OL1_s\DONX</v>
      </c>
    </row>
    <row r="242" spans="1:4">
      <c r="A242" s="163" t="str">
        <f t="shared" ref="A242:A251" si="21">$R$2&amp;".DOFX"</f>
        <v>АСУЭ.FB_IMs_S.DOFX</v>
      </c>
      <c r="B242" s="123">
        <v>11154</v>
      </c>
      <c r="C242" s="123" t="s">
        <v>4</v>
      </c>
      <c r="D242" s="198">
        <f>$Q$9</f>
        <v>10</v>
      </c>
    </row>
    <row r="243" spans="1:4">
      <c r="A243" s="110" t="str">
        <f t="shared" si="21"/>
        <v>АСУЭ.FB_IMs_S.DOFX</v>
      </c>
      <c r="B243" s="111">
        <v>11152</v>
      </c>
      <c r="C243" s="111" t="s">
        <v>0</v>
      </c>
      <c r="D243" s="112" t="str">
        <f>$R$9</f>
        <v>Недостоверность</v>
      </c>
    </row>
    <row r="244" spans="1:4">
      <c r="A244" s="110" t="str">
        <f t="shared" si="21"/>
        <v>АСУЭ.FB_IMs_S.DOFX</v>
      </c>
      <c r="B244" s="111">
        <v>11150</v>
      </c>
      <c r="C244" s="111" t="s">
        <v>0</v>
      </c>
      <c r="D244" s="112" t="s">
        <v>98</v>
      </c>
    </row>
    <row r="245" spans="1:4">
      <c r="A245" s="110" t="str">
        <f t="shared" si="21"/>
        <v>АСУЭ.FB_IMs_S.DOFX</v>
      </c>
      <c r="B245" s="111">
        <v>11000</v>
      </c>
      <c r="C245" s="111" t="s">
        <v>5</v>
      </c>
      <c r="D245" s="112">
        <v>2147483680</v>
      </c>
    </row>
    <row r="246" spans="1:4">
      <c r="A246" s="19" t="str">
        <f t="shared" si="21"/>
        <v>АСУЭ.FB_IMs_S.DOFX</v>
      </c>
      <c r="B246" s="11">
        <v>3</v>
      </c>
      <c r="C246" s="11" t="s">
        <v>1</v>
      </c>
      <c r="D246" s="20">
        <v>192</v>
      </c>
    </row>
    <row r="247" spans="1:4">
      <c r="A247" s="19" t="str">
        <f t="shared" si="21"/>
        <v>АСУЭ.FB_IMs_S.DOFX</v>
      </c>
      <c r="B247" s="11">
        <v>2</v>
      </c>
      <c r="C247" s="11" t="s">
        <v>2</v>
      </c>
      <c r="D247" s="20" t="s">
        <v>3</v>
      </c>
    </row>
    <row r="248" spans="1:4">
      <c r="A248" s="19" t="str">
        <f t="shared" si="21"/>
        <v>АСУЭ.FB_IMs_S.DOFX</v>
      </c>
      <c r="B248" s="11">
        <v>1</v>
      </c>
      <c r="C248" s="11" t="s">
        <v>1</v>
      </c>
      <c r="D248" s="20">
        <v>11</v>
      </c>
    </row>
    <row r="249" spans="1:4">
      <c r="A249" s="19" t="str">
        <f t="shared" si="21"/>
        <v>АСУЭ.FB_IMs_S.DOFX</v>
      </c>
      <c r="B249" s="11">
        <v>101</v>
      </c>
      <c r="C249" s="11" t="s">
        <v>0</v>
      </c>
      <c r="D249" s="20" t="s">
        <v>97</v>
      </c>
    </row>
    <row r="250" spans="1:4">
      <c r="A250" s="19" t="str">
        <f t="shared" si="21"/>
        <v>АСУЭ.FB_IMs_S.DOFX</v>
      </c>
      <c r="B250" s="11">
        <v>7998</v>
      </c>
      <c r="C250" s="11" t="s">
        <v>6</v>
      </c>
      <c r="D250" s="20">
        <v>1</v>
      </c>
    </row>
    <row r="251" spans="1:4">
      <c r="A251" s="21" t="str">
        <f t="shared" si="21"/>
        <v>АСУЭ.FB_IMs_S.DOFX</v>
      </c>
      <c r="B251" s="8">
        <v>7999</v>
      </c>
      <c r="C251" s="8" t="s">
        <v>0</v>
      </c>
      <c r="D251" s="22" t="str">
        <f>"#"&amp;$S$2&amp;"#"&amp;$T$2&amp;"\"&amp;$P$2&amp;"\DOFX"</f>
        <v>#1#treiOPCDA.CoOPCserv.1\pcmaster\ZRU_OL1_s\DOFX</v>
      </c>
    </row>
    <row r="252" spans="1:4">
      <c r="A252" s="163" t="str">
        <f t="shared" ref="A252:A261" si="22">$R$2&amp;".DOON"</f>
        <v>АСУЭ.FB_IMs_S.DOON</v>
      </c>
      <c r="B252" s="123">
        <v>11154</v>
      </c>
      <c r="C252" s="123" t="s">
        <v>4</v>
      </c>
      <c r="D252" s="198">
        <f>$Q$9</f>
        <v>10</v>
      </c>
    </row>
    <row r="253" spans="1:4">
      <c r="A253" s="110" t="str">
        <f t="shared" si="22"/>
        <v>АСУЭ.FB_IMs_S.DOON</v>
      </c>
      <c r="B253" s="111">
        <v>11152</v>
      </c>
      <c r="C253" s="111" t="s">
        <v>0</v>
      </c>
      <c r="D253" s="112" t="str">
        <f>$R$9</f>
        <v>Недостоверность</v>
      </c>
    </row>
    <row r="254" spans="1:4">
      <c r="A254" s="110" t="str">
        <f t="shared" si="22"/>
        <v>АСУЭ.FB_IMs_S.DOON</v>
      </c>
      <c r="B254" s="111">
        <v>11150</v>
      </c>
      <c r="C254" s="111" t="s">
        <v>0</v>
      </c>
      <c r="D254" s="112" t="s">
        <v>100</v>
      </c>
    </row>
    <row r="255" spans="1:4">
      <c r="A255" s="110" t="str">
        <f t="shared" si="22"/>
        <v>АСУЭ.FB_IMs_S.DOON</v>
      </c>
      <c r="B255" s="111">
        <v>11000</v>
      </c>
      <c r="C255" s="111" t="s">
        <v>5</v>
      </c>
      <c r="D255" s="112">
        <v>2147483680</v>
      </c>
    </row>
    <row r="256" spans="1:4">
      <c r="A256" s="19" t="str">
        <f t="shared" si="22"/>
        <v>АСУЭ.FB_IMs_S.DOON</v>
      </c>
      <c r="B256" s="11">
        <v>3</v>
      </c>
      <c r="C256" s="11" t="s">
        <v>1</v>
      </c>
      <c r="D256" s="20">
        <v>192</v>
      </c>
    </row>
    <row r="257" spans="1:4">
      <c r="A257" s="19" t="str">
        <f t="shared" si="22"/>
        <v>АСУЭ.FB_IMs_S.DOON</v>
      </c>
      <c r="B257" s="11">
        <v>2</v>
      </c>
      <c r="C257" s="11" t="s">
        <v>2</v>
      </c>
      <c r="D257" s="20" t="s">
        <v>3</v>
      </c>
    </row>
    <row r="258" spans="1:4">
      <c r="A258" s="19" t="str">
        <f t="shared" si="22"/>
        <v>АСУЭ.FB_IMs_S.DOON</v>
      </c>
      <c r="B258" s="11">
        <v>1</v>
      </c>
      <c r="C258" s="11" t="s">
        <v>1</v>
      </c>
      <c r="D258" s="20">
        <v>11</v>
      </c>
    </row>
    <row r="259" spans="1:4">
      <c r="A259" s="19" t="str">
        <f t="shared" si="22"/>
        <v>АСУЭ.FB_IMs_S.DOON</v>
      </c>
      <c r="B259" s="11">
        <v>101</v>
      </c>
      <c r="C259" s="11" t="s">
        <v>0</v>
      </c>
      <c r="D259" s="20" t="s">
        <v>99</v>
      </c>
    </row>
    <row r="260" spans="1:4">
      <c r="A260" s="19" t="str">
        <f t="shared" si="22"/>
        <v>АСУЭ.FB_IMs_S.DOON</v>
      </c>
      <c r="B260" s="11">
        <v>7998</v>
      </c>
      <c r="C260" s="11" t="s">
        <v>6</v>
      </c>
      <c r="D260" s="20">
        <v>1</v>
      </c>
    </row>
    <row r="261" spans="1:4">
      <c r="A261" s="21" t="str">
        <f t="shared" si="22"/>
        <v>АСУЭ.FB_IMs_S.DOON</v>
      </c>
      <c r="B261" s="8">
        <v>7999</v>
      </c>
      <c r="C261" s="8" t="s">
        <v>0</v>
      </c>
      <c r="D261" s="22" t="str">
        <f>"#"&amp;$S$2&amp;"#"&amp;$T$2&amp;"\"&amp;$P$2&amp;"\DOON"</f>
        <v>#1#treiOPCDA.CoOPCserv.1\pcmaster\ZRU_OL1_s\DOON</v>
      </c>
    </row>
    <row r="262" spans="1:4">
      <c r="A262" s="163" t="str">
        <f t="shared" ref="A262:A271" si="23">$R$2&amp;".DOOF"</f>
        <v>АСУЭ.FB_IMs_S.DOOF</v>
      </c>
      <c r="B262" s="123">
        <v>11154</v>
      </c>
      <c r="C262" s="123" t="s">
        <v>4</v>
      </c>
      <c r="D262" s="198">
        <f>$Q$9</f>
        <v>10</v>
      </c>
    </row>
    <row r="263" spans="1:4">
      <c r="A263" s="110" t="str">
        <f t="shared" si="23"/>
        <v>АСУЭ.FB_IMs_S.DOOF</v>
      </c>
      <c r="B263" s="111">
        <v>11152</v>
      </c>
      <c r="C263" s="111" t="s">
        <v>0</v>
      </c>
      <c r="D263" s="112" t="str">
        <f>$R$9</f>
        <v>Недостоверность</v>
      </c>
    </row>
    <row r="264" spans="1:4">
      <c r="A264" s="110" t="str">
        <f t="shared" si="23"/>
        <v>АСУЭ.FB_IMs_S.DOOF</v>
      </c>
      <c r="B264" s="111">
        <v>11150</v>
      </c>
      <c r="C264" s="111" t="s">
        <v>0</v>
      </c>
      <c r="D264" s="112" t="s">
        <v>102</v>
      </c>
    </row>
    <row r="265" spans="1:4">
      <c r="A265" s="110" t="str">
        <f t="shared" si="23"/>
        <v>АСУЭ.FB_IMs_S.DOOF</v>
      </c>
      <c r="B265" s="111">
        <v>11000</v>
      </c>
      <c r="C265" s="111" t="s">
        <v>5</v>
      </c>
      <c r="D265" s="112">
        <v>2147483680</v>
      </c>
    </row>
    <row r="266" spans="1:4">
      <c r="A266" s="19" t="str">
        <f t="shared" si="23"/>
        <v>АСУЭ.FB_IMs_S.DOOF</v>
      </c>
      <c r="B266" s="11">
        <v>3</v>
      </c>
      <c r="C266" s="11" t="s">
        <v>1</v>
      </c>
      <c r="D266" s="20">
        <v>192</v>
      </c>
    </row>
    <row r="267" spans="1:4">
      <c r="A267" s="19" t="str">
        <f t="shared" si="23"/>
        <v>АСУЭ.FB_IMs_S.DOOF</v>
      </c>
      <c r="B267" s="11">
        <v>2</v>
      </c>
      <c r="C267" s="11" t="s">
        <v>2</v>
      </c>
      <c r="D267" s="20" t="s">
        <v>3</v>
      </c>
    </row>
    <row r="268" spans="1:4">
      <c r="A268" s="19" t="str">
        <f t="shared" si="23"/>
        <v>АСУЭ.FB_IMs_S.DOOF</v>
      </c>
      <c r="B268" s="11">
        <v>1</v>
      </c>
      <c r="C268" s="11" t="s">
        <v>1</v>
      </c>
      <c r="D268" s="20">
        <v>11</v>
      </c>
    </row>
    <row r="269" spans="1:4">
      <c r="A269" s="19" t="str">
        <f t="shared" si="23"/>
        <v>АСУЭ.FB_IMs_S.DOOF</v>
      </c>
      <c r="B269" s="11">
        <v>101</v>
      </c>
      <c r="C269" s="11" t="s">
        <v>0</v>
      </c>
      <c r="D269" s="20" t="s">
        <v>101</v>
      </c>
    </row>
    <row r="270" spans="1:4">
      <c r="A270" s="19" t="str">
        <f t="shared" si="23"/>
        <v>АСУЭ.FB_IMs_S.DOOF</v>
      </c>
      <c r="B270" s="11">
        <v>7998</v>
      </c>
      <c r="C270" s="11" t="s">
        <v>6</v>
      </c>
      <c r="D270" s="20">
        <v>1</v>
      </c>
    </row>
    <row r="271" spans="1:4">
      <c r="A271" s="21" t="str">
        <f t="shared" si="23"/>
        <v>АСУЭ.FB_IMs_S.DOOF</v>
      </c>
      <c r="B271" s="8">
        <v>7999</v>
      </c>
      <c r="C271" s="8" t="s">
        <v>0</v>
      </c>
      <c r="D271" s="22" t="str">
        <f>"#"&amp;$S$2&amp;"#"&amp;$T$2&amp;"\"&amp;$P$2&amp;"\DOOF"</f>
        <v>#1#treiOPCDA.CoOPCserv.1\pcmaster\ZRU_OL1_s\DOOF</v>
      </c>
    </row>
    <row r="272" spans="1:4">
      <c r="A272" s="163" t="str">
        <f t="shared" ref="A272:A281" si="24">$R$2&amp;".DOSP"</f>
        <v>АСУЭ.FB_IMs_S.DOSP</v>
      </c>
      <c r="B272" s="123">
        <v>11154</v>
      </c>
      <c r="C272" s="123" t="s">
        <v>4</v>
      </c>
      <c r="D272" s="198">
        <f>$Q$9</f>
        <v>10</v>
      </c>
    </row>
    <row r="273" spans="1:4">
      <c r="A273" s="110" t="str">
        <f t="shared" si="24"/>
        <v>АСУЭ.FB_IMs_S.DOSP</v>
      </c>
      <c r="B273" s="111">
        <v>11152</v>
      </c>
      <c r="C273" s="111" t="s">
        <v>0</v>
      </c>
      <c r="D273" s="112" t="str">
        <f>$R$9</f>
        <v>Недостоверность</v>
      </c>
    </row>
    <row r="274" spans="1:4">
      <c r="A274" s="110" t="str">
        <f t="shared" si="24"/>
        <v>АСУЭ.FB_IMs_S.DOSP</v>
      </c>
      <c r="B274" s="111">
        <v>11150</v>
      </c>
      <c r="C274" s="111" t="s">
        <v>0</v>
      </c>
      <c r="D274" s="112" t="s">
        <v>1849</v>
      </c>
    </row>
    <row r="275" spans="1:4">
      <c r="A275" s="110" t="str">
        <f t="shared" si="24"/>
        <v>АСУЭ.FB_IMs_S.DOSP</v>
      </c>
      <c r="B275" s="111">
        <v>11000</v>
      </c>
      <c r="C275" s="111" t="s">
        <v>5</v>
      </c>
      <c r="D275" s="112">
        <v>2147483680</v>
      </c>
    </row>
    <row r="276" spans="1:4">
      <c r="A276" s="19" t="str">
        <f t="shared" si="24"/>
        <v>АСУЭ.FB_IMs_S.DOSP</v>
      </c>
      <c r="B276" s="11">
        <v>3</v>
      </c>
      <c r="C276" s="11" t="s">
        <v>1</v>
      </c>
      <c r="D276" s="20">
        <v>192</v>
      </c>
    </row>
    <row r="277" spans="1:4">
      <c r="A277" s="19" t="str">
        <f t="shared" si="24"/>
        <v>АСУЭ.FB_IMs_S.DOSP</v>
      </c>
      <c r="B277" s="11">
        <v>2</v>
      </c>
      <c r="C277" s="11" t="s">
        <v>2</v>
      </c>
      <c r="D277" s="20" t="s">
        <v>3</v>
      </c>
    </row>
    <row r="278" spans="1:4">
      <c r="A278" s="19" t="str">
        <f t="shared" si="24"/>
        <v>АСУЭ.FB_IMs_S.DOSP</v>
      </c>
      <c r="B278" s="11">
        <v>1</v>
      </c>
      <c r="C278" s="11" t="s">
        <v>1</v>
      </c>
      <c r="D278" s="20">
        <v>11</v>
      </c>
    </row>
    <row r="279" spans="1:4">
      <c r="A279" s="19" t="str">
        <f t="shared" si="24"/>
        <v>АСУЭ.FB_IMs_S.DOSP</v>
      </c>
      <c r="B279" s="11">
        <v>101</v>
      </c>
      <c r="C279" s="11" t="s">
        <v>0</v>
      </c>
      <c r="D279" s="20" t="s">
        <v>1849</v>
      </c>
    </row>
    <row r="280" spans="1:4">
      <c r="A280" s="19" t="str">
        <f t="shared" si="24"/>
        <v>АСУЭ.FB_IMs_S.DOSP</v>
      </c>
      <c r="B280" s="11">
        <v>7998</v>
      </c>
      <c r="C280" s="11" t="s">
        <v>6</v>
      </c>
      <c r="D280" s="20">
        <v>1</v>
      </c>
    </row>
    <row r="281" spans="1:4">
      <c r="A281" s="21" t="str">
        <f t="shared" si="24"/>
        <v>АСУЭ.FB_IMs_S.DOSP</v>
      </c>
      <c r="B281" s="8">
        <v>7999</v>
      </c>
      <c r="C281" s="8" t="s">
        <v>0</v>
      </c>
      <c r="D281" s="22" t="str">
        <f>"#"&amp;$S$2&amp;"#"&amp;$T$2&amp;"\"&amp;$P$2&amp;"\DOSP"</f>
        <v>#1#treiOPCDA.CoOPCserv.1\pcmaster\ZRU_OL1_s\DOSP</v>
      </c>
    </row>
    <row r="282" spans="1:4">
      <c r="A282" s="163" t="str">
        <f t="shared" ref="A282:A291" si="25">$R$2&amp;".DFXX"</f>
        <v>АСУЭ.FB_IMs_S.DFXX</v>
      </c>
      <c r="B282" s="123">
        <v>11154</v>
      </c>
      <c r="C282" s="123" t="s">
        <v>4</v>
      </c>
      <c r="D282" s="198">
        <f>$Q$9</f>
        <v>10</v>
      </c>
    </row>
    <row r="283" spans="1:4">
      <c r="A283" s="110" t="str">
        <f t="shared" si="25"/>
        <v>АСУЭ.FB_IMs_S.DFXX</v>
      </c>
      <c r="B283" s="111">
        <v>11152</v>
      </c>
      <c r="C283" s="111" t="s">
        <v>0</v>
      </c>
      <c r="D283" s="112" t="str">
        <f>$R$9</f>
        <v>Недостоверность</v>
      </c>
    </row>
    <row r="284" spans="1:4">
      <c r="A284" s="110" t="str">
        <f t="shared" si="25"/>
        <v>АСУЭ.FB_IMs_S.DFXX</v>
      </c>
      <c r="B284" s="111">
        <v>11150</v>
      </c>
      <c r="C284" s="111" t="s">
        <v>0</v>
      </c>
      <c r="D284" s="112" t="s">
        <v>104</v>
      </c>
    </row>
    <row r="285" spans="1:4">
      <c r="A285" s="110" t="str">
        <f t="shared" si="25"/>
        <v>АСУЭ.FB_IMs_S.DFXX</v>
      </c>
      <c r="B285" s="111">
        <v>11000</v>
      </c>
      <c r="C285" s="111" t="s">
        <v>5</v>
      </c>
      <c r="D285" s="112">
        <v>2147483680</v>
      </c>
    </row>
    <row r="286" spans="1:4">
      <c r="A286" s="19" t="str">
        <f t="shared" si="25"/>
        <v>АСУЭ.FB_IMs_S.DFXX</v>
      </c>
      <c r="B286" s="11">
        <v>3</v>
      </c>
      <c r="C286" s="11" t="s">
        <v>1</v>
      </c>
      <c r="D286" s="20">
        <v>192</v>
      </c>
    </row>
    <row r="287" spans="1:4">
      <c r="A287" s="19" t="str">
        <f t="shared" si="25"/>
        <v>АСУЭ.FB_IMs_S.DFXX</v>
      </c>
      <c r="B287" s="11">
        <v>2</v>
      </c>
      <c r="C287" s="11" t="s">
        <v>2</v>
      </c>
      <c r="D287" s="20" t="s">
        <v>3</v>
      </c>
    </row>
    <row r="288" spans="1:4">
      <c r="A288" s="19" t="str">
        <f t="shared" si="25"/>
        <v>АСУЭ.FB_IMs_S.DFXX</v>
      </c>
      <c r="B288" s="11">
        <v>1</v>
      </c>
      <c r="C288" s="11" t="s">
        <v>1</v>
      </c>
      <c r="D288" s="20">
        <v>11</v>
      </c>
    </row>
    <row r="289" spans="1:4">
      <c r="A289" s="19" t="str">
        <f t="shared" si="25"/>
        <v>АСУЭ.FB_IMs_S.DFXX</v>
      </c>
      <c r="B289" s="11">
        <v>7998</v>
      </c>
      <c r="C289" s="11" t="s">
        <v>6</v>
      </c>
      <c r="D289" s="20">
        <v>1</v>
      </c>
    </row>
    <row r="290" spans="1:4">
      <c r="A290" s="19" t="str">
        <f t="shared" si="25"/>
        <v>АСУЭ.FB_IMs_S.DFXX</v>
      </c>
      <c r="B290" s="11">
        <v>7999</v>
      </c>
      <c r="C290" s="11" t="s">
        <v>0</v>
      </c>
      <c r="D290" s="20" t="str">
        <f>"#"&amp;$S$2&amp;"#"&amp;$T$2&amp;"\"&amp;$P$2&amp;"\DFXX"</f>
        <v>#1#treiOPCDA.CoOPCserv.1\pcmaster\ZRU_OL1_s\DFXX</v>
      </c>
    </row>
    <row r="291" spans="1:4">
      <c r="A291" s="21" t="str">
        <f t="shared" si="25"/>
        <v>АСУЭ.FB_IMs_S.DFXX</v>
      </c>
      <c r="B291" s="8">
        <v>101</v>
      </c>
      <c r="C291" s="8" t="s">
        <v>0</v>
      </c>
      <c r="D291" s="22" t="s">
        <v>520</v>
      </c>
    </row>
    <row r="292" spans="1:4">
      <c r="A292" s="163" t="str">
        <f t="shared" ref="A292:A301" si="26">$R$2&amp;".DRCX"</f>
        <v>АСУЭ.FB_IMs_S.DRCX</v>
      </c>
      <c r="B292" s="123">
        <v>11154</v>
      </c>
      <c r="C292" s="123" t="s">
        <v>4</v>
      </c>
      <c r="D292" s="198">
        <f>$Q$9</f>
        <v>10</v>
      </c>
    </row>
    <row r="293" spans="1:4">
      <c r="A293" s="110" t="str">
        <f t="shared" si="26"/>
        <v>АСУЭ.FB_IMs_S.DRCX</v>
      </c>
      <c r="B293" s="111">
        <v>11152</v>
      </c>
      <c r="C293" s="111" t="s">
        <v>0</v>
      </c>
      <c r="D293" s="112" t="str">
        <f>$R$9</f>
        <v>Недостоверность</v>
      </c>
    </row>
    <row r="294" spans="1:4">
      <c r="A294" s="110" t="str">
        <f t="shared" si="26"/>
        <v>АСУЭ.FB_IMs_S.DRCX</v>
      </c>
      <c r="B294" s="111">
        <v>11150</v>
      </c>
      <c r="C294" s="111" t="s">
        <v>0</v>
      </c>
      <c r="D294" s="112" t="s">
        <v>105</v>
      </c>
    </row>
    <row r="295" spans="1:4">
      <c r="A295" s="110" t="str">
        <f t="shared" si="26"/>
        <v>АСУЭ.FB_IMs_S.DRCX</v>
      </c>
      <c r="B295" s="111">
        <v>11000</v>
      </c>
      <c r="C295" s="111" t="s">
        <v>5</v>
      </c>
      <c r="D295" s="112">
        <v>2147483680</v>
      </c>
    </row>
    <row r="296" spans="1:4">
      <c r="A296" s="19" t="str">
        <f t="shared" si="26"/>
        <v>АСУЭ.FB_IMs_S.DRCX</v>
      </c>
      <c r="B296" s="11">
        <v>3</v>
      </c>
      <c r="C296" s="11" t="s">
        <v>1</v>
      </c>
      <c r="D296" s="20">
        <v>192</v>
      </c>
    </row>
    <row r="297" spans="1:4">
      <c r="A297" s="19" t="str">
        <f t="shared" si="26"/>
        <v>АСУЭ.FB_IMs_S.DRCX</v>
      </c>
      <c r="B297" s="11">
        <v>2</v>
      </c>
      <c r="C297" s="11" t="s">
        <v>2</v>
      </c>
      <c r="D297" s="20" t="s">
        <v>3</v>
      </c>
    </row>
    <row r="298" spans="1:4">
      <c r="A298" s="19" t="str">
        <f t="shared" si="26"/>
        <v>АСУЭ.FB_IMs_S.DRCX</v>
      </c>
      <c r="B298" s="11">
        <v>1</v>
      </c>
      <c r="C298" s="11" t="s">
        <v>1</v>
      </c>
      <c r="D298" s="20">
        <v>11</v>
      </c>
    </row>
    <row r="299" spans="1:4">
      <c r="A299" s="19" t="str">
        <f t="shared" si="26"/>
        <v>АСУЭ.FB_IMs_S.DRCX</v>
      </c>
      <c r="B299" s="11">
        <v>101</v>
      </c>
      <c r="C299" s="11" t="s">
        <v>0</v>
      </c>
      <c r="D299" s="20" t="s">
        <v>573</v>
      </c>
    </row>
    <row r="300" spans="1:4">
      <c r="A300" s="19" t="str">
        <f t="shared" si="26"/>
        <v>АСУЭ.FB_IMs_S.DRCX</v>
      </c>
      <c r="B300" s="11">
        <v>7998</v>
      </c>
      <c r="C300" s="11" t="s">
        <v>6</v>
      </c>
      <c r="D300" s="20">
        <v>1</v>
      </c>
    </row>
    <row r="301" spans="1:4">
      <c r="A301" s="21" t="str">
        <f t="shared" si="26"/>
        <v>АСУЭ.FB_IMs_S.DRCX</v>
      </c>
      <c r="B301" s="8">
        <v>7999</v>
      </c>
      <c r="C301" s="8" t="s">
        <v>0</v>
      </c>
      <c r="D301" s="22" t="str">
        <f>"#"&amp;$S$2&amp;"#"&amp;$T$2&amp;"\"&amp;$P$2&amp;"\DRCX"</f>
        <v>#1#treiOPCDA.CoOPCserv.1\pcmaster\ZRU_OL1_s\DRCX</v>
      </c>
    </row>
    <row r="302" spans="1:4">
      <c r="A302" s="163" t="str">
        <f t="shared" ref="A302:A311" si="27">$R$2&amp;".DLCX"</f>
        <v>АСУЭ.FB_IMs_S.DLCX</v>
      </c>
      <c r="B302" s="123">
        <v>11154</v>
      </c>
      <c r="C302" s="123" t="s">
        <v>4</v>
      </c>
      <c r="D302" s="198">
        <f>$Q$9</f>
        <v>10</v>
      </c>
    </row>
    <row r="303" spans="1:4">
      <c r="A303" s="110" t="str">
        <f t="shared" si="27"/>
        <v>АСУЭ.FB_IMs_S.DLCX</v>
      </c>
      <c r="B303" s="111">
        <v>11152</v>
      </c>
      <c r="C303" s="111" t="s">
        <v>0</v>
      </c>
      <c r="D303" s="112" t="str">
        <f>$R$9</f>
        <v>Недостоверность</v>
      </c>
    </row>
    <row r="304" spans="1:4">
      <c r="A304" s="110" t="str">
        <f t="shared" si="27"/>
        <v>АСУЭ.FB_IMs_S.DLCX</v>
      </c>
      <c r="B304" s="111">
        <v>11150</v>
      </c>
      <c r="C304" s="111" t="s">
        <v>0</v>
      </c>
      <c r="D304" s="112" t="s">
        <v>166</v>
      </c>
    </row>
    <row r="305" spans="1:4">
      <c r="A305" s="110" t="str">
        <f t="shared" si="27"/>
        <v>АСУЭ.FB_IMs_S.DLCX</v>
      </c>
      <c r="B305" s="111">
        <v>11000</v>
      </c>
      <c r="C305" s="111" t="s">
        <v>5</v>
      </c>
      <c r="D305" s="112">
        <v>2147483680</v>
      </c>
    </row>
    <row r="306" spans="1:4">
      <c r="A306" s="19" t="str">
        <f t="shared" si="27"/>
        <v>АСУЭ.FB_IMs_S.DLCX</v>
      </c>
      <c r="B306" s="11">
        <v>7998</v>
      </c>
      <c r="C306" s="11" t="s">
        <v>6</v>
      </c>
      <c r="D306" s="20">
        <v>1</v>
      </c>
    </row>
    <row r="307" spans="1:4">
      <c r="A307" s="19" t="str">
        <f t="shared" si="27"/>
        <v>АСУЭ.FB_IMs_S.DLCX</v>
      </c>
      <c r="B307" s="11">
        <v>101</v>
      </c>
      <c r="C307" s="11" t="s">
        <v>0</v>
      </c>
      <c r="D307" s="20" t="s">
        <v>578</v>
      </c>
    </row>
    <row r="308" spans="1:4">
      <c r="A308" s="19" t="str">
        <f t="shared" si="27"/>
        <v>АСУЭ.FB_IMs_S.DLCX</v>
      </c>
      <c r="B308" s="11">
        <v>1</v>
      </c>
      <c r="C308" s="11" t="s">
        <v>1</v>
      </c>
      <c r="D308" s="20">
        <v>11</v>
      </c>
    </row>
    <row r="309" spans="1:4">
      <c r="A309" s="19" t="str">
        <f t="shared" si="27"/>
        <v>АСУЭ.FB_IMs_S.DLCX</v>
      </c>
      <c r="B309" s="11">
        <v>2</v>
      </c>
      <c r="C309" s="11" t="s">
        <v>2</v>
      </c>
      <c r="D309" s="20" t="s">
        <v>3</v>
      </c>
    </row>
    <row r="310" spans="1:4">
      <c r="A310" s="19" t="str">
        <f t="shared" si="27"/>
        <v>АСУЭ.FB_IMs_S.DLCX</v>
      </c>
      <c r="B310" s="11">
        <v>3</v>
      </c>
      <c r="C310" s="11" t="s">
        <v>1</v>
      </c>
      <c r="D310" s="20">
        <v>192</v>
      </c>
    </row>
    <row r="311" spans="1:4">
      <c r="A311" s="21" t="str">
        <f t="shared" si="27"/>
        <v>АСУЭ.FB_IMs_S.DLCX</v>
      </c>
      <c r="B311" s="8">
        <v>7999</v>
      </c>
      <c r="C311" s="8" t="s">
        <v>0</v>
      </c>
      <c r="D311" s="22" t="str">
        <f>"#"&amp;$S$2&amp;"#"&amp;$T$2&amp;"\"&amp;$P$2&amp;"\DLCX"</f>
        <v>#1#treiOPCDA.CoOPCserv.1\pcmaster\ZRU_OL1_s\DLCX</v>
      </c>
    </row>
    <row r="312" spans="1:4">
      <c r="A312" s="159" t="str">
        <f t="shared" ref="A312:A321" si="28">$R$2&amp;".XMMX"</f>
        <v>АСУЭ.FB_IMs_S.XMMX</v>
      </c>
      <c r="B312" s="160">
        <v>11154</v>
      </c>
      <c r="C312" s="160" t="s">
        <v>4</v>
      </c>
      <c r="D312" s="201">
        <f>$Q$8</f>
        <v>18</v>
      </c>
    </row>
    <row r="313" spans="1:4">
      <c r="A313" s="100" t="str">
        <f t="shared" si="28"/>
        <v>АСУЭ.FB_IMs_S.XMMX</v>
      </c>
      <c r="B313" s="101">
        <v>11152</v>
      </c>
      <c r="C313" s="101" t="s">
        <v>0</v>
      </c>
      <c r="D313" s="103" t="str">
        <f>$R$8</f>
        <v>Телесигнализация</v>
      </c>
    </row>
    <row r="314" spans="1:4">
      <c r="A314" s="100" t="str">
        <f t="shared" si="28"/>
        <v>АСУЭ.FB_IMs_S.XMMX</v>
      </c>
      <c r="B314" s="101">
        <v>11150</v>
      </c>
      <c r="C314" s="101" t="s">
        <v>0</v>
      </c>
      <c r="D314" s="103" t="s">
        <v>134</v>
      </c>
    </row>
    <row r="315" spans="1:4">
      <c r="A315" s="100" t="str">
        <f t="shared" si="28"/>
        <v>АСУЭ.FB_IMs_S.XMMX</v>
      </c>
      <c r="B315" s="101">
        <v>11000</v>
      </c>
      <c r="C315" s="101" t="s">
        <v>5</v>
      </c>
      <c r="D315" s="103">
        <v>2147483680</v>
      </c>
    </row>
    <row r="316" spans="1:4">
      <c r="A316" s="19" t="str">
        <f t="shared" si="28"/>
        <v>АСУЭ.FB_IMs_S.XMMX</v>
      </c>
      <c r="B316" s="11">
        <v>3</v>
      </c>
      <c r="C316" s="11" t="s">
        <v>1</v>
      </c>
      <c r="D316" s="20">
        <v>192</v>
      </c>
    </row>
    <row r="317" spans="1:4">
      <c r="A317" s="19" t="str">
        <f t="shared" si="28"/>
        <v>АСУЭ.FB_IMs_S.XMMX</v>
      </c>
      <c r="B317" s="11">
        <v>2</v>
      </c>
      <c r="C317" s="11" t="s">
        <v>2</v>
      </c>
      <c r="D317" s="20" t="s">
        <v>3</v>
      </c>
    </row>
    <row r="318" spans="1:4">
      <c r="A318" s="19" t="str">
        <f t="shared" si="28"/>
        <v>АСУЭ.FB_IMs_S.XMMX</v>
      </c>
      <c r="B318" s="11">
        <v>1</v>
      </c>
      <c r="C318" s="11" t="s">
        <v>1</v>
      </c>
      <c r="D318" s="20">
        <v>11</v>
      </c>
    </row>
    <row r="319" spans="1:4">
      <c r="A319" s="19" t="str">
        <f t="shared" si="28"/>
        <v>АСУЭ.FB_IMs_S.XMMX</v>
      </c>
      <c r="B319" s="11">
        <v>101</v>
      </c>
      <c r="C319" s="11" t="s">
        <v>0</v>
      </c>
      <c r="D319" s="20" t="s">
        <v>574</v>
      </c>
    </row>
    <row r="320" spans="1:4">
      <c r="A320" s="19" t="str">
        <f t="shared" si="28"/>
        <v>АСУЭ.FB_IMs_S.XMMX</v>
      </c>
      <c r="B320" s="11">
        <v>7998</v>
      </c>
      <c r="C320" s="11" t="s">
        <v>6</v>
      </c>
      <c r="D320" s="20">
        <v>1</v>
      </c>
    </row>
    <row r="321" spans="1:4">
      <c r="A321" s="21" t="str">
        <f t="shared" si="28"/>
        <v>АСУЭ.FB_IMs_S.XMMX</v>
      </c>
      <c r="B321" s="8">
        <v>7999</v>
      </c>
      <c r="C321" s="8" t="s">
        <v>0</v>
      </c>
      <c r="D321" s="22" t="str">
        <f>"#"&amp;$S$2&amp;"#"&amp;$T$2&amp;"\"&amp;$P$2&amp;"\XMMX"</f>
        <v>#1#treiOPCDA.CoOPCserv.1\pcmaster\ZRU_OL1_s\XMMX</v>
      </c>
    </row>
    <row r="322" spans="1:4">
      <c r="A322" s="159" t="str">
        <f t="shared" ref="A322:A331" si="29">$R$2&amp;".XONX"</f>
        <v>АСУЭ.FB_IMs_S.XONX</v>
      </c>
      <c r="B322" s="160">
        <v>11154</v>
      </c>
      <c r="C322" s="160" t="s">
        <v>4</v>
      </c>
      <c r="D322" s="201">
        <f>$Q$8</f>
        <v>18</v>
      </c>
    </row>
    <row r="323" spans="1:4">
      <c r="A323" s="100" t="str">
        <f t="shared" si="29"/>
        <v>АСУЭ.FB_IMs_S.XONX</v>
      </c>
      <c r="B323" s="101">
        <v>11152</v>
      </c>
      <c r="C323" s="101" t="s">
        <v>0</v>
      </c>
      <c r="D323" s="103" t="str">
        <f>$R$8</f>
        <v>Телесигнализация</v>
      </c>
    </row>
    <row r="324" spans="1:4">
      <c r="A324" s="100" t="str">
        <f t="shared" si="29"/>
        <v>АСУЭ.FB_IMs_S.XONX</v>
      </c>
      <c r="B324" s="101">
        <v>11150</v>
      </c>
      <c r="C324" s="101" t="s">
        <v>0</v>
      </c>
      <c r="D324" s="103" t="s">
        <v>337</v>
      </c>
    </row>
    <row r="325" spans="1:4">
      <c r="A325" s="100" t="str">
        <f t="shared" si="29"/>
        <v>АСУЭ.FB_IMs_S.XONX</v>
      </c>
      <c r="B325" s="101">
        <v>11000</v>
      </c>
      <c r="C325" s="101" t="s">
        <v>5</v>
      </c>
      <c r="D325" s="103">
        <v>2147483680</v>
      </c>
    </row>
    <row r="326" spans="1:4">
      <c r="A326" s="19" t="str">
        <f t="shared" si="29"/>
        <v>АСУЭ.FB_IMs_S.XONX</v>
      </c>
      <c r="B326" s="11">
        <v>3</v>
      </c>
      <c r="C326" s="11" t="s">
        <v>1</v>
      </c>
      <c r="D326" s="20">
        <v>192</v>
      </c>
    </row>
    <row r="327" spans="1:4">
      <c r="A327" s="19" t="str">
        <f t="shared" si="29"/>
        <v>АСУЭ.FB_IMs_S.XONX</v>
      </c>
      <c r="B327" s="11">
        <v>2</v>
      </c>
      <c r="C327" s="11" t="s">
        <v>2</v>
      </c>
      <c r="D327" s="20" t="s">
        <v>3</v>
      </c>
    </row>
    <row r="328" spans="1:4">
      <c r="A328" s="19" t="str">
        <f t="shared" si="29"/>
        <v>АСУЭ.FB_IMs_S.XONX</v>
      </c>
      <c r="B328" s="11">
        <v>1</v>
      </c>
      <c r="C328" s="11" t="s">
        <v>1</v>
      </c>
      <c r="D328" s="20">
        <v>11</v>
      </c>
    </row>
    <row r="329" spans="1:4">
      <c r="A329" s="19" t="str">
        <f t="shared" si="29"/>
        <v>АСУЭ.FB_IMs_S.XONX</v>
      </c>
      <c r="B329" s="11">
        <v>101</v>
      </c>
      <c r="C329" s="11" t="s">
        <v>0</v>
      </c>
      <c r="D329" s="20" t="s">
        <v>337</v>
      </c>
    </row>
    <row r="330" spans="1:4">
      <c r="A330" s="19" t="str">
        <f t="shared" si="29"/>
        <v>АСУЭ.FB_IMs_S.XONX</v>
      </c>
      <c r="B330" s="11">
        <v>7998</v>
      </c>
      <c r="C330" s="11" t="s">
        <v>6</v>
      </c>
      <c r="D330" s="20">
        <v>1</v>
      </c>
    </row>
    <row r="331" spans="1:4">
      <c r="A331" s="21" t="str">
        <f t="shared" si="29"/>
        <v>АСУЭ.FB_IMs_S.XONX</v>
      </c>
      <c r="B331" s="8">
        <v>7999</v>
      </c>
      <c r="C331" s="8" t="s">
        <v>0</v>
      </c>
      <c r="D331" s="22" t="str">
        <f>"#"&amp;$S$2&amp;"#"&amp;$T$2&amp;"\"&amp;$P$2&amp;"\XONX"</f>
        <v>#1#treiOPCDA.CoOPCserv.1\pcmaster\ZRU_OL1_s\XONX</v>
      </c>
    </row>
    <row r="332" spans="1:4">
      <c r="A332" s="159" t="str">
        <f t="shared" ref="A332:A341" si="30">$R$2&amp;".XOFX"</f>
        <v>АСУЭ.FB_IMs_S.XOFX</v>
      </c>
      <c r="B332" s="160">
        <v>11154</v>
      </c>
      <c r="C332" s="160" t="s">
        <v>4</v>
      </c>
      <c r="D332" s="201">
        <f>$Q$8</f>
        <v>18</v>
      </c>
    </row>
    <row r="333" spans="1:4">
      <c r="A333" s="100" t="str">
        <f t="shared" si="30"/>
        <v>АСУЭ.FB_IMs_S.XOFX</v>
      </c>
      <c r="B333" s="101">
        <v>11152</v>
      </c>
      <c r="C333" s="101" t="s">
        <v>0</v>
      </c>
      <c r="D333" s="103" t="str">
        <f>$R$8</f>
        <v>Телесигнализация</v>
      </c>
    </row>
    <row r="334" spans="1:4">
      <c r="A334" s="100" t="str">
        <f t="shared" si="30"/>
        <v>АСУЭ.FB_IMs_S.XOFX</v>
      </c>
      <c r="B334" s="101">
        <v>11150</v>
      </c>
      <c r="C334" s="101" t="s">
        <v>0</v>
      </c>
      <c r="D334" s="103" t="s">
        <v>336</v>
      </c>
    </row>
    <row r="335" spans="1:4">
      <c r="A335" s="100" t="str">
        <f t="shared" si="30"/>
        <v>АСУЭ.FB_IMs_S.XOFX</v>
      </c>
      <c r="B335" s="101">
        <v>11000</v>
      </c>
      <c r="C335" s="101" t="s">
        <v>5</v>
      </c>
      <c r="D335" s="103">
        <v>2147483680</v>
      </c>
    </row>
    <row r="336" spans="1:4">
      <c r="A336" s="19" t="str">
        <f t="shared" si="30"/>
        <v>АСУЭ.FB_IMs_S.XOFX</v>
      </c>
      <c r="B336" s="11">
        <v>3</v>
      </c>
      <c r="C336" s="11" t="s">
        <v>1</v>
      </c>
      <c r="D336" s="20">
        <v>192</v>
      </c>
    </row>
    <row r="337" spans="1:4">
      <c r="A337" s="19" t="str">
        <f t="shared" si="30"/>
        <v>АСУЭ.FB_IMs_S.XOFX</v>
      </c>
      <c r="B337" s="11">
        <v>2</v>
      </c>
      <c r="C337" s="11" t="s">
        <v>2</v>
      </c>
      <c r="D337" s="20" t="s">
        <v>3</v>
      </c>
    </row>
    <row r="338" spans="1:4">
      <c r="A338" s="19" t="str">
        <f t="shared" si="30"/>
        <v>АСУЭ.FB_IMs_S.XOFX</v>
      </c>
      <c r="B338" s="11">
        <v>1</v>
      </c>
      <c r="C338" s="11" t="s">
        <v>1</v>
      </c>
      <c r="D338" s="20">
        <v>11</v>
      </c>
    </row>
    <row r="339" spans="1:4">
      <c r="A339" s="19" t="str">
        <f t="shared" si="30"/>
        <v>АСУЭ.FB_IMs_S.XOFX</v>
      </c>
      <c r="B339" s="11">
        <v>101</v>
      </c>
      <c r="C339" s="11" t="s">
        <v>0</v>
      </c>
      <c r="D339" s="20" t="s">
        <v>336</v>
      </c>
    </row>
    <row r="340" spans="1:4">
      <c r="A340" s="19" t="str">
        <f t="shared" si="30"/>
        <v>АСУЭ.FB_IMs_S.XOFX</v>
      </c>
      <c r="B340" s="11">
        <v>7998</v>
      </c>
      <c r="C340" s="11" t="s">
        <v>6</v>
      </c>
      <c r="D340" s="20">
        <v>1</v>
      </c>
    </row>
    <row r="341" spans="1:4">
      <c r="A341" s="21" t="str">
        <f t="shared" si="30"/>
        <v>АСУЭ.FB_IMs_S.XOFX</v>
      </c>
      <c r="B341" s="8">
        <v>7999</v>
      </c>
      <c r="C341" s="8" t="s">
        <v>0</v>
      </c>
      <c r="D341" s="22" t="str">
        <f>"#"&amp;$S$2&amp;"#"&amp;$T$2&amp;"\"&amp;$P$2&amp;"\XOFX"</f>
        <v>#1#treiOPCDA.CoOPCserv.1\pcmaster\ZRU_OL1_s\XOFX</v>
      </c>
    </row>
    <row r="342" spans="1:4">
      <c r="A342" s="159" t="str">
        <f t="shared" ref="A342:A351" si="31">$R$2&amp;".XRCX"</f>
        <v>АСУЭ.FB_IMs_S.XRCX</v>
      </c>
      <c r="B342" s="160">
        <v>11154</v>
      </c>
      <c r="C342" s="160" t="s">
        <v>4</v>
      </c>
      <c r="D342" s="201">
        <f>$Q$8</f>
        <v>18</v>
      </c>
    </row>
    <row r="343" spans="1:4">
      <c r="A343" s="100" t="str">
        <f t="shared" si="31"/>
        <v>АСУЭ.FB_IMs_S.XRCX</v>
      </c>
      <c r="B343" s="101">
        <v>11152</v>
      </c>
      <c r="C343" s="101" t="s">
        <v>0</v>
      </c>
      <c r="D343" s="103" t="str">
        <f>$R$8</f>
        <v>Телесигнализация</v>
      </c>
    </row>
    <row r="344" spans="1:4">
      <c r="A344" s="100" t="str">
        <f t="shared" si="31"/>
        <v>АСУЭ.FB_IMs_S.XRCX</v>
      </c>
      <c r="B344" s="101">
        <v>11150</v>
      </c>
      <c r="C344" s="101" t="s">
        <v>0</v>
      </c>
      <c r="D344" s="103" t="s">
        <v>136</v>
      </c>
    </row>
    <row r="345" spans="1:4">
      <c r="A345" s="100" t="str">
        <f t="shared" si="31"/>
        <v>АСУЭ.FB_IMs_S.XRCX</v>
      </c>
      <c r="B345" s="101">
        <v>11000</v>
      </c>
      <c r="C345" s="101" t="s">
        <v>5</v>
      </c>
      <c r="D345" s="103">
        <v>2147483680</v>
      </c>
    </row>
    <row r="346" spans="1:4">
      <c r="A346" s="19" t="str">
        <f t="shared" si="31"/>
        <v>АСУЭ.FB_IMs_S.XRCX</v>
      </c>
      <c r="B346" s="11">
        <v>3</v>
      </c>
      <c r="C346" s="11" t="s">
        <v>1</v>
      </c>
      <c r="D346" s="20">
        <v>192</v>
      </c>
    </row>
    <row r="347" spans="1:4">
      <c r="A347" s="19" t="str">
        <f t="shared" si="31"/>
        <v>АСУЭ.FB_IMs_S.XRCX</v>
      </c>
      <c r="B347" s="11">
        <v>2</v>
      </c>
      <c r="C347" s="11" t="s">
        <v>2</v>
      </c>
      <c r="D347" s="20" t="s">
        <v>3</v>
      </c>
    </row>
    <row r="348" spans="1:4">
      <c r="A348" s="19" t="str">
        <f t="shared" si="31"/>
        <v>АСУЭ.FB_IMs_S.XRCX</v>
      </c>
      <c r="B348" s="11">
        <v>1</v>
      </c>
      <c r="C348" s="11" t="s">
        <v>1</v>
      </c>
      <c r="D348" s="20">
        <v>11</v>
      </c>
    </row>
    <row r="349" spans="1:4">
      <c r="A349" s="19" t="str">
        <f t="shared" si="31"/>
        <v>АСУЭ.FB_IMs_S.XRCX</v>
      </c>
      <c r="B349" s="11">
        <v>101</v>
      </c>
      <c r="C349" s="11" t="s">
        <v>0</v>
      </c>
      <c r="D349" s="20" t="s">
        <v>575</v>
      </c>
    </row>
    <row r="350" spans="1:4">
      <c r="A350" s="19" t="str">
        <f t="shared" si="31"/>
        <v>АСУЭ.FB_IMs_S.XRCX</v>
      </c>
      <c r="B350" s="11">
        <v>7998</v>
      </c>
      <c r="C350" s="11" t="s">
        <v>6</v>
      </c>
      <c r="D350" s="20">
        <v>1</v>
      </c>
    </row>
    <row r="351" spans="1:4">
      <c r="A351" s="21" t="str">
        <f t="shared" si="31"/>
        <v>АСУЭ.FB_IMs_S.XRCX</v>
      </c>
      <c r="B351" s="8">
        <v>7999</v>
      </c>
      <c r="C351" s="8" t="s">
        <v>0</v>
      </c>
      <c r="D351" s="22" t="str">
        <f>"#"&amp;$S$2&amp;"#"&amp;$T$2&amp;"\"&amp;$P$2&amp;"\XRCX"</f>
        <v>#1#treiOPCDA.CoOPCserv.1\pcmaster\ZRU_OL1_s\XRCX</v>
      </c>
    </row>
    <row r="352" spans="1:4">
      <c r="A352" s="159" t="str">
        <f t="shared" ref="A352:A355" si="32">$R$2&amp;".CAON"</f>
        <v>АСУЭ.FB_IMs_S.CAON</v>
      </c>
      <c r="B352" s="160">
        <v>11154</v>
      </c>
      <c r="C352" s="160" t="s">
        <v>4</v>
      </c>
      <c r="D352" s="201">
        <f>$Q$8</f>
        <v>18</v>
      </c>
    </row>
    <row r="353" spans="1:4">
      <c r="A353" s="100" t="str">
        <f t="shared" si="32"/>
        <v>АСУЭ.FB_IMs_S.CAON</v>
      </c>
      <c r="B353" s="101">
        <v>11152</v>
      </c>
      <c r="C353" s="101" t="s">
        <v>0</v>
      </c>
      <c r="D353" s="103" t="str">
        <f>$R$8</f>
        <v>Телесигнализация</v>
      </c>
    </row>
    <row r="354" spans="1:4">
      <c r="A354" s="100" t="str">
        <f t="shared" si="32"/>
        <v>АСУЭ.FB_IMs_S.CAON</v>
      </c>
      <c r="B354" s="101">
        <v>11150</v>
      </c>
      <c r="C354" s="101" t="s">
        <v>0</v>
      </c>
      <c r="D354" s="103" t="s">
        <v>1839</v>
      </c>
    </row>
    <row r="355" spans="1:4">
      <c r="A355" s="100" t="str">
        <f t="shared" si="32"/>
        <v>АСУЭ.FB_IMs_S.CAON</v>
      </c>
      <c r="B355" s="101">
        <v>11000</v>
      </c>
      <c r="C355" s="101" t="s">
        <v>5</v>
      </c>
      <c r="D355" s="103">
        <v>2147483680</v>
      </c>
    </row>
    <row r="356" spans="1:4">
      <c r="A356" s="19" t="str">
        <f t="shared" ref="A356:A361" si="33">$R$2&amp;".CAON"</f>
        <v>АСУЭ.FB_IMs_S.CAON</v>
      </c>
      <c r="B356" s="11">
        <v>3</v>
      </c>
      <c r="C356" s="11" t="s">
        <v>1</v>
      </c>
      <c r="D356" s="20">
        <v>192</v>
      </c>
    </row>
    <row r="357" spans="1:4">
      <c r="A357" s="19" t="str">
        <f t="shared" si="33"/>
        <v>АСУЭ.FB_IMs_S.CAON</v>
      </c>
      <c r="B357" s="11">
        <v>2</v>
      </c>
      <c r="C357" s="11" t="s">
        <v>2</v>
      </c>
      <c r="D357" s="20" t="s">
        <v>3</v>
      </c>
    </row>
    <row r="358" spans="1:4">
      <c r="A358" s="19" t="str">
        <f t="shared" si="33"/>
        <v>АСУЭ.FB_IMs_S.CAON</v>
      </c>
      <c r="B358" s="11">
        <v>1</v>
      </c>
      <c r="C358" s="11" t="s">
        <v>1</v>
      </c>
      <c r="D358" s="20">
        <v>11</v>
      </c>
    </row>
    <row r="359" spans="1:4">
      <c r="A359" s="19" t="str">
        <f t="shared" si="33"/>
        <v>АСУЭ.FB_IMs_S.CAON</v>
      </c>
      <c r="B359" s="11">
        <v>7998</v>
      </c>
      <c r="C359" s="11" t="s">
        <v>6</v>
      </c>
      <c r="D359" s="20">
        <v>1</v>
      </c>
    </row>
    <row r="360" spans="1:4">
      <c r="A360" s="19" t="str">
        <f t="shared" si="33"/>
        <v>АСУЭ.FB_IMs_S.CAON</v>
      </c>
      <c r="B360" s="11">
        <v>7999</v>
      </c>
      <c r="C360" s="11" t="s">
        <v>0</v>
      </c>
      <c r="D360" s="20" t="str">
        <f>"#"&amp;$S$2&amp;"#"&amp;$T$2&amp;"\"&amp;$P$2&amp;"\CAON"</f>
        <v>#1#treiOPCDA.CoOPCserv.1\pcmaster\ZRU_OL1_s\CAON</v>
      </c>
    </row>
    <row r="361" spans="1:4">
      <c r="A361" s="19" t="str">
        <f t="shared" si="33"/>
        <v>АСУЭ.FB_IMs_S.CAON</v>
      </c>
      <c r="B361" s="11">
        <v>101</v>
      </c>
      <c r="C361" s="11" t="s">
        <v>0</v>
      </c>
      <c r="D361" s="20" t="s">
        <v>1839</v>
      </c>
    </row>
    <row r="362" spans="1:4">
      <c r="A362" s="159" t="str">
        <f t="shared" ref="A362:A366" si="34">$R$2&amp;".CAOF"</f>
        <v>АСУЭ.FB_IMs_S.CAOF</v>
      </c>
      <c r="B362" s="160">
        <v>11154</v>
      </c>
      <c r="C362" s="160" t="s">
        <v>4</v>
      </c>
      <c r="D362" s="201">
        <f>$Q$8</f>
        <v>18</v>
      </c>
    </row>
    <row r="363" spans="1:4">
      <c r="A363" s="100" t="str">
        <f t="shared" si="34"/>
        <v>АСУЭ.FB_IMs_S.CAOF</v>
      </c>
      <c r="B363" s="101">
        <v>11152</v>
      </c>
      <c r="C363" s="101" t="s">
        <v>0</v>
      </c>
      <c r="D363" s="103" t="str">
        <f>$R$8</f>
        <v>Телесигнализация</v>
      </c>
    </row>
    <row r="364" spans="1:4">
      <c r="A364" s="100" t="str">
        <f t="shared" si="34"/>
        <v>АСУЭ.FB_IMs_S.CAOF</v>
      </c>
      <c r="B364" s="101">
        <v>11150</v>
      </c>
      <c r="C364" s="101" t="s">
        <v>0</v>
      </c>
      <c r="D364" s="103" t="s">
        <v>1840</v>
      </c>
    </row>
    <row r="365" spans="1:4">
      <c r="A365" s="100" t="str">
        <f t="shared" si="34"/>
        <v>АСУЭ.FB_IMs_S.CAOF</v>
      </c>
      <c r="B365" s="101">
        <v>11000</v>
      </c>
      <c r="C365" s="101" t="s">
        <v>5</v>
      </c>
      <c r="D365" s="103">
        <v>2147483680</v>
      </c>
    </row>
    <row r="366" spans="1:4">
      <c r="A366" s="19" t="str">
        <f t="shared" si="34"/>
        <v>АСУЭ.FB_IMs_S.CAOF</v>
      </c>
      <c r="B366" s="11">
        <v>3</v>
      </c>
      <c r="C366" s="11" t="s">
        <v>1</v>
      </c>
      <c r="D366" s="20">
        <v>192</v>
      </c>
    </row>
    <row r="367" spans="1:4">
      <c r="A367" s="19" t="str">
        <f t="shared" ref="A367:A371" si="35">$R$2&amp;".CAOF"</f>
        <v>АСУЭ.FB_IMs_S.CAOF</v>
      </c>
      <c r="B367" s="11">
        <v>2</v>
      </c>
      <c r="C367" s="11" t="s">
        <v>2</v>
      </c>
      <c r="D367" s="20" t="s">
        <v>3</v>
      </c>
    </row>
    <row r="368" spans="1:4">
      <c r="A368" s="19" t="str">
        <f t="shared" si="35"/>
        <v>АСУЭ.FB_IMs_S.CAOF</v>
      </c>
      <c r="B368" s="11">
        <v>1</v>
      </c>
      <c r="C368" s="11" t="s">
        <v>1</v>
      </c>
      <c r="D368" s="20">
        <v>11</v>
      </c>
    </row>
    <row r="369" spans="1:4">
      <c r="A369" s="19" t="str">
        <f t="shared" si="35"/>
        <v>АСУЭ.FB_IMs_S.CAOF</v>
      </c>
      <c r="B369" s="11">
        <v>7998</v>
      </c>
      <c r="C369" s="11" t="s">
        <v>6</v>
      </c>
      <c r="D369" s="20">
        <v>1</v>
      </c>
    </row>
    <row r="370" spans="1:4">
      <c r="A370" s="19" t="str">
        <f t="shared" si="35"/>
        <v>АСУЭ.FB_IMs_S.CAOF</v>
      </c>
      <c r="B370" s="11">
        <v>7999</v>
      </c>
      <c r="C370" s="11" t="s">
        <v>0</v>
      </c>
      <c r="D370" s="20" t="str">
        <f>"#"&amp;$S$2&amp;"#"&amp;$T$2&amp;"\"&amp;$P$2&amp;"\CAOF"</f>
        <v>#1#treiOPCDA.CoOPCserv.1\pcmaster\ZRU_OL1_s\CAOF</v>
      </c>
    </row>
    <row r="371" spans="1:4">
      <c r="A371" s="21" t="str">
        <f t="shared" si="35"/>
        <v>АСУЭ.FB_IMs_S.CAOF</v>
      </c>
      <c r="B371" s="8">
        <v>101</v>
      </c>
      <c r="C371" s="8" t="s">
        <v>0</v>
      </c>
      <c r="D371" s="22" t="s">
        <v>1840</v>
      </c>
    </row>
    <row r="372" spans="1:4">
      <c r="A372" s="19" t="str">
        <f>$R$2&amp;".Commands.COON"</f>
        <v>АСУЭ.FB_IMs_S.Commands.COON</v>
      </c>
      <c r="B372" s="11">
        <v>7999</v>
      </c>
      <c r="C372" s="11" t="s">
        <v>0</v>
      </c>
      <c r="D372" s="20" t="str">
        <f>"#"&amp;$T$5&amp;"#"&amp;$T$2&amp;"\"&amp;$P$2&amp;"\COON"</f>
        <v>#1#treiOPCDA.CoOPCserv.1\pcmaster\ZRU_OL1_s\COON</v>
      </c>
    </row>
    <row r="373" spans="1:4">
      <c r="A373" s="19" t="str">
        <f>$R$2&amp;".Commands.COON"</f>
        <v>АСУЭ.FB_IMs_S.Commands.COON</v>
      </c>
      <c r="B373" s="11">
        <v>7998</v>
      </c>
      <c r="C373" s="11" t="s">
        <v>6</v>
      </c>
      <c r="D373" s="20">
        <v>2</v>
      </c>
    </row>
    <row r="374" spans="1:4">
      <c r="A374" s="19" t="str">
        <f>$R$2&amp;".Commands.COON"</f>
        <v>АСУЭ.FB_IMs_S.Commands.COON</v>
      </c>
      <c r="B374" s="11">
        <v>1</v>
      </c>
      <c r="C374" s="11" t="s">
        <v>1</v>
      </c>
      <c r="D374" s="20">
        <v>11</v>
      </c>
    </row>
    <row r="375" spans="1:4">
      <c r="A375" s="21" t="str">
        <f>$R$2&amp;".Commands.COON"</f>
        <v>АСУЭ.FB_IMs_S.Commands.COON</v>
      </c>
      <c r="B375" s="8">
        <v>101</v>
      </c>
      <c r="C375" s="8" t="s">
        <v>0</v>
      </c>
      <c r="D375" s="22" t="s">
        <v>112</v>
      </c>
    </row>
    <row r="376" spans="1:4">
      <c r="A376" s="16" t="str">
        <f>$R$2&amp;".Commands.CMMX"</f>
        <v>АСУЭ.FB_IMs_S.Commands.CMMX</v>
      </c>
      <c r="B376" s="17">
        <v>7999</v>
      </c>
      <c r="C376" s="17" t="s">
        <v>0</v>
      </c>
      <c r="D376" s="18" t="str">
        <f>"#"&amp;$T$5&amp;"#"&amp;$T$2&amp;"\"&amp;$P$2&amp;"\CMMX"</f>
        <v>#1#treiOPCDA.CoOPCserv.1\pcmaster\ZRU_OL1_s\CMMX</v>
      </c>
    </row>
    <row r="377" spans="1:4">
      <c r="A377" s="19" t="str">
        <f>$R$2&amp;".Commands.CMMX"</f>
        <v>АСУЭ.FB_IMs_S.Commands.CMMX</v>
      </c>
      <c r="B377" s="11">
        <v>7998</v>
      </c>
      <c r="C377" s="11" t="s">
        <v>6</v>
      </c>
      <c r="D377" s="20">
        <v>2</v>
      </c>
    </row>
    <row r="378" spans="1:4">
      <c r="A378" s="19" t="str">
        <f>$R$2&amp;".Commands.CMMX"</f>
        <v>АСУЭ.FB_IMs_S.Commands.CMMX</v>
      </c>
      <c r="B378" s="11">
        <v>1</v>
      </c>
      <c r="C378" s="11" t="s">
        <v>1</v>
      </c>
      <c r="D378" s="20">
        <v>11</v>
      </c>
    </row>
    <row r="379" spans="1:4">
      <c r="A379" s="21" t="str">
        <f>$R$2&amp;".Commands.CMMX"</f>
        <v>АСУЭ.FB_IMs_S.Commands.CMMX</v>
      </c>
      <c r="B379" s="8">
        <v>101</v>
      </c>
      <c r="C379" s="8" t="s">
        <v>0</v>
      </c>
      <c r="D379" s="22" t="s">
        <v>94</v>
      </c>
    </row>
    <row r="380" spans="1:4">
      <c r="A380" s="16" t="str">
        <f>$R$2&amp;".Commands.CRST"</f>
        <v>АСУЭ.FB_IMs_S.Commands.CRST</v>
      </c>
      <c r="B380" s="17">
        <v>7999</v>
      </c>
      <c r="C380" s="17" t="s">
        <v>0</v>
      </c>
      <c r="D380" s="18" t="str">
        <f>"#"&amp;$T$5&amp;"#"&amp;$T$2&amp;"\"&amp;$P$2&amp;"\CRST"</f>
        <v>#1#treiOPCDA.CoOPCserv.1\pcmaster\ZRU_OL1_s\CRST</v>
      </c>
    </row>
    <row r="381" spans="1:4">
      <c r="A381" s="19" t="str">
        <f>$R$2&amp;".Commands.CRST"</f>
        <v>АСУЭ.FB_IMs_S.Commands.CRST</v>
      </c>
      <c r="B381" s="11">
        <v>7998</v>
      </c>
      <c r="C381" s="11" t="s">
        <v>6</v>
      </c>
      <c r="D381" s="20">
        <v>2</v>
      </c>
    </row>
    <row r="382" spans="1:4">
      <c r="A382" s="19" t="str">
        <f>$R$2&amp;".Commands.CRST"</f>
        <v>АСУЭ.FB_IMs_S.Commands.CRST</v>
      </c>
      <c r="B382" s="11">
        <v>1</v>
      </c>
      <c r="C382" s="11" t="s">
        <v>1</v>
      </c>
      <c r="D382" s="20">
        <v>11</v>
      </c>
    </row>
    <row r="383" spans="1:4">
      <c r="A383" s="21" t="str">
        <f>$R$2&amp;".Commands.CRST"</f>
        <v>АСУЭ.FB_IMs_S.Commands.CRST</v>
      </c>
      <c r="B383" s="8">
        <v>101</v>
      </c>
      <c r="C383" s="8" t="s">
        <v>0</v>
      </c>
      <c r="D383" s="22" t="s">
        <v>114</v>
      </c>
    </row>
    <row r="384" spans="1:4">
      <c r="A384" s="16" t="str">
        <f>$R$2&amp;".Commands.CRPX"</f>
        <v>АСУЭ.FB_IMs_S.Commands.CRPX</v>
      </c>
      <c r="B384" s="17">
        <v>7999</v>
      </c>
      <c r="C384" s="17" t="s">
        <v>0</v>
      </c>
      <c r="D384" s="18" t="str">
        <f>"#"&amp;$T$5&amp;"#"&amp;$T$2&amp;"\"&amp;$P$2&amp;"\CRPX"</f>
        <v>#1#treiOPCDA.CoOPCserv.1\pcmaster\ZRU_OL1_s\CRPX</v>
      </c>
    </row>
    <row r="385" spans="1:4">
      <c r="A385" s="19" t="str">
        <f>$R$2&amp;".Commands.CRPX"</f>
        <v>АСУЭ.FB_IMs_S.Commands.CRPX</v>
      </c>
      <c r="B385" s="11">
        <v>7998</v>
      </c>
      <c r="C385" s="11" t="s">
        <v>6</v>
      </c>
      <c r="D385" s="20">
        <v>2</v>
      </c>
    </row>
    <row r="386" spans="1:4">
      <c r="A386" s="19" t="str">
        <f>$R$2&amp;".Commands.CRPX"</f>
        <v>АСУЭ.FB_IMs_S.Commands.CRPX</v>
      </c>
      <c r="B386" s="11">
        <v>1</v>
      </c>
      <c r="C386" s="11" t="s">
        <v>1</v>
      </c>
      <c r="D386" s="20">
        <v>11</v>
      </c>
    </row>
    <row r="387" spans="1:4">
      <c r="A387" s="21" t="str">
        <f>$R$2&amp;".Commands.CRPX"</f>
        <v>АСУЭ.FB_IMs_S.Commands.CRPX</v>
      </c>
      <c r="B387" s="8">
        <v>101</v>
      </c>
      <c r="C387" s="8" t="s">
        <v>0</v>
      </c>
      <c r="D387" s="22" t="s">
        <v>113</v>
      </c>
    </row>
    <row r="388" spans="1:4">
      <c r="A388" s="16" t="str">
        <f>$R$2&amp;".Commands.COOF"</f>
        <v>АСУЭ.FB_IMs_S.Commands.COOF</v>
      </c>
      <c r="B388" s="17">
        <v>7999</v>
      </c>
      <c r="C388" s="17" t="s">
        <v>0</v>
      </c>
      <c r="D388" s="18" t="str">
        <f>"#"&amp;$T$5&amp;"#"&amp;$T$2&amp;"\"&amp;$P$2&amp;"\COOF"</f>
        <v>#1#treiOPCDA.CoOPCserv.1\pcmaster\ZRU_OL1_s\COOF</v>
      </c>
    </row>
    <row r="389" spans="1:4">
      <c r="A389" s="19" t="str">
        <f>$R$2&amp;".Commands.COOF"</f>
        <v>АСУЭ.FB_IMs_S.Commands.COOF</v>
      </c>
      <c r="B389" s="11">
        <v>7998</v>
      </c>
      <c r="C389" s="11" t="s">
        <v>6</v>
      </c>
      <c r="D389" s="20">
        <v>2</v>
      </c>
    </row>
    <row r="390" spans="1:4">
      <c r="A390" s="19" t="str">
        <f>$R$2&amp;".Commands.COOF"</f>
        <v>АСУЭ.FB_IMs_S.Commands.COOF</v>
      </c>
      <c r="B390" s="11">
        <v>1</v>
      </c>
      <c r="C390" s="11" t="s">
        <v>1</v>
      </c>
      <c r="D390" s="20">
        <v>11</v>
      </c>
    </row>
    <row r="391" spans="1:4">
      <c r="A391" s="21" t="str">
        <f>$R$2&amp;".Commands.COOF"</f>
        <v>АСУЭ.FB_IMs_S.Commands.COOF</v>
      </c>
      <c r="B391" s="8">
        <v>101</v>
      </c>
      <c r="C391" s="8" t="s">
        <v>0</v>
      </c>
      <c r="D391" s="22" t="s">
        <v>124</v>
      </c>
    </row>
    <row r="392" spans="1:4">
      <c r="A392" s="294" t="str">
        <f>$R$2&amp;".Commands.SRQX"</f>
        <v>АСУЭ.FB_IMs_S.Commands.SRQX</v>
      </c>
      <c r="B392" s="295">
        <v>101</v>
      </c>
      <c r="C392" s="295" t="s">
        <v>0</v>
      </c>
      <c r="D392" s="296" t="s">
        <v>125</v>
      </c>
    </row>
    <row r="393" spans="1:4">
      <c r="A393" s="288" t="str">
        <f>$R$2&amp;".Commands.SRQX"</f>
        <v>АСУЭ.FB_IMs_S.Commands.SRQX</v>
      </c>
      <c r="B393" s="289">
        <v>1</v>
      </c>
      <c r="C393" s="289" t="s">
        <v>1</v>
      </c>
      <c r="D393" s="290">
        <v>3</v>
      </c>
    </row>
    <row r="394" spans="1:4">
      <c r="A394" s="288" t="str">
        <f>$R$2&amp;".Commands.SRQX"</f>
        <v>АСУЭ.FB_IMs_S.Commands.SRQX</v>
      </c>
      <c r="B394" s="289">
        <v>7998</v>
      </c>
      <c r="C394" s="289" t="s">
        <v>6</v>
      </c>
      <c r="D394" s="290">
        <v>2</v>
      </c>
    </row>
    <row r="395" spans="1:4">
      <c r="A395" s="291" t="str">
        <f>$R$2&amp;".Commands.SRQX"</f>
        <v>АСУЭ.FB_IMs_S.Commands.SRQX</v>
      </c>
      <c r="B395" s="292">
        <v>7999</v>
      </c>
      <c r="C395" s="292" t="s">
        <v>0</v>
      </c>
      <c r="D395" s="293" t="str">
        <f>"#"&amp;$T$5&amp;"#"&amp;$T$2&amp;"\"&amp;$P$2&amp;"\SRQX"</f>
        <v>#1#treiOPCDA.CoOPCserv.1\pcmaster\ZRU_OL1_s\SRQX</v>
      </c>
    </row>
    <row r="396" spans="1:4">
      <c r="A396" s="266" t="str">
        <f>$R$2&amp;".Commands.TCON"</f>
        <v>АСУЭ.FB_IMs_S.Commands.TCON</v>
      </c>
      <c r="B396" s="267">
        <v>101</v>
      </c>
      <c r="C396" s="267" t="s">
        <v>0</v>
      </c>
      <c r="D396" s="268" t="s">
        <v>274</v>
      </c>
    </row>
    <row r="397" spans="1:4">
      <c r="A397" s="269" t="str">
        <f>$R$2&amp;".Commands.TCON"</f>
        <v>АСУЭ.FB_IMs_S.Commands.TCON</v>
      </c>
      <c r="B397" s="270">
        <v>1</v>
      </c>
      <c r="C397" s="270" t="s">
        <v>1</v>
      </c>
      <c r="D397" s="271">
        <v>3</v>
      </c>
    </row>
    <row r="398" spans="1:4">
      <c r="A398" s="269" t="str">
        <f>$R$2&amp;".Commands.TCON"</f>
        <v>АСУЭ.FB_IMs_S.Commands.TCON</v>
      </c>
      <c r="B398" s="270">
        <v>7998</v>
      </c>
      <c r="C398" s="270" t="s">
        <v>6</v>
      </c>
      <c r="D398" s="271">
        <v>2</v>
      </c>
    </row>
    <row r="399" spans="1:4">
      <c r="A399" s="272" t="str">
        <f>$R$2&amp;".Commands.TCON"</f>
        <v>АСУЭ.FB_IMs_S.Commands.TCON</v>
      </c>
      <c r="B399" s="273">
        <v>7999</v>
      </c>
      <c r="C399" s="273" t="s">
        <v>0</v>
      </c>
      <c r="D399" s="274" t="str">
        <f>"#"&amp;$T$5&amp;"#"&amp;$T$2&amp;"\"&amp;$P$2&amp;"\TCON"</f>
        <v>#1#treiOPCDA.CoOPCserv.1\pcmaster\ZRU_OL1_s\TCON</v>
      </c>
    </row>
    <row r="400" spans="1:4">
      <c r="A400" s="266" t="str">
        <f>$R$2&amp;".Commands.TCOF"</f>
        <v>АСУЭ.FB_IMs_S.Commands.TCOF</v>
      </c>
      <c r="B400" s="267">
        <v>101</v>
      </c>
      <c r="C400" s="267" t="s">
        <v>0</v>
      </c>
      <c r="D400" s="268" t="s">
        <v>275</v>
      </c>
    </row>
    <row r="401" spans="1:4">
      <c r="A401" s="269" t="str">
        <f>$R$2&amp;".Commands.TCOF"</f>
        <v>АСУЭ.FB_IMs_S.Commands.TCOF</v>
      </c>
      <c r="B401" s="270">
        <v>1</v>
      </c>
      <c r="C401" s="270" t="s">
        <v>1</v>
      </c>
      <c r="D401" s="271">
        <v>3</v>
      </c>
    </row>
    <row r="402" spans="1:4">
      <c r="A402" s="269" t="str">
        <f>$R$2&amp;".Commands.TCOF"</f>
        <v>АСУЭ.FB_IMs_S.Commands.TCOF</v>
      </c>
      <c r="B402" s="270">
        <v>7998</v>
      </c>
      <c r="C402" s="270" t="s">
        <v>6</v>
      </c>
      <c r="D402" s="271">
        <v>2</v>
      </c>
    </row>
    <row r="403" spans="1:4">
      <c r="A403" s="272" t="str">
        <f>$R$2&amp;".Commands.TCOF"</f>
        <v>АСУЭ.FB_IMs_S.Commands.TCOF</v>
      </c>
      <c r="B403" s="273">
        <v>7999</v>
      </c>
      <c r="C403" s="273" t="s">
        <v>0</v>
      </c>
      <c r="D403" s="274" t="str">
        <f>"#"&amp;$T$5&amp;"#"&amp;$T$2&amp;"\"&amp;$P$2&amp;"\TCOF"</f>
        <v>#1#treiOPCDA.CoOPCserv.1\pcmaster\ZRU_OL1_s\TCOF</v>
      </c>
    </row>
    <row r="404" spans="1:4">
      <c r="A404" s="266" t="str">
        <f>$R$2&amp;".Commands.STSX"</f>
        <v>АСУЭ.FB_IMs_S.Commands.STSX</v>
      </c>
      <c r="B404" s="267">
        <v>7999</v>
      </c>
      <c r="C404" s="267" t="s">
        <v>0</v>
      </c>
      <c r="D404" s="268" t="str">
        <f>"#"&amp;$T$5&amp;"#"&amp;$T$2&amp;"\"&amp;$P$2&amp;"\STSX"</f>
        <v>#1#treiOPCDA.CoOPCserv.1\pcmaster\ZRU_OL1_s\STSX</v>
      </c>
    </row>
    <row r="405" spans="1:4">
      <c r="A405" s="269" t="str">
        <f>$R$2&amp;".Commands.STSX"</f>
        <v>АСУЭ.FB_IMs_S.Commands.STSX</v>
      </c>
      <c r="B405" s="270">
        <v>7998</v>
      </c>
      <c r="C405" s="270" t="s">
        <v>6</v>
      </c>
      <c r="D405" s="271">
        <v>2</v>
      </c>
    </row>
    <row r="406" spans="1:4">
      <c r="A406" s="269" t="str">
        <f>$R$2&amp;".Commands.STSX"</f>
        <v>АСУЭ.FB_IMs_S.Commands.STSX</v>
      </c>
      <c r="B406" s="270">
        <v>1</v>
      </c>
      <c r="C406" s="270" t="s">
        <v>1</v>
      </c>
      <c r="D406" s="271">
        <v>3</v>
      </c>
    </row>
    <row r="407" spans="1:4">
      <c r="A407" s="272" t="str">
        <f>$R$2&amp;".Commands.STSX"</f>
        <v>АСУЭ.FB_IMs_S.Commands.STSX</v>
      </c>
      <c r="B407" s="273">
        <v>101</v>
      </c>
      <c r="C407" s="273" t="s">
        <v>0</v>
      </c>
      <c r="D407" s="274" t="s">
        <v>128</v>
      </c>
    </row>
    <row r="408" spans="1:4">
      <c r="A408" s="16" t="str">
        <f>$R$2&amp;".Commands.CRRX"</f>
        <v>АСУЭ.FB_IMs_S.Commands.CRRX</v>
      </c>
      <c r="B408" s="17">
        <v>101</v>
      </c>
      <c r="C408" s="17" t="s">
        <v>0</v>
      </c>
      <c r="D408" s="18" t="s">
        <v>116</v>
      </c>
    </row>
    <row r="409" spans="1:4">
      <c r="A409" s="19" t="str">
        <f>$R$2&amp;".Commands.CRRX"</f>
        <v>АСУЭ.FB_IMs_S.Commands.CRRX</v>
      </c>
      <c r="B409" s="11">
        <v>1</v>
      </c>
      <c r="C409" s="11" t="s">
        <v>1</v>
      </c>
      <c r="D409" s="20">
        <v>11</v>
      </c>
    </row>
    <row r="410" spans="1:4">
      <c r="A410" s="19" t="str">
        <f>$R$2&amp;".Commands.CRRX"</f>
        <v>АСУЭ.FB_IMs_S.Commands.CRRX</v>
      </c>
      <c r="B410" s="11">
        <v>7998</v>
      </c>
      <c r="C410" s="11" t="s">
        <v>6</v>
      </c>
      <c r="D410" s="20">
        <v>2</v>
      </c>
    </row>
    <row r="411" spans="1:4">
      <c r="A411" s="21" t="str">
        <f>$R$2&amp;".Commands.CRRX"</f>
        <v>АСУЭ.FB_IMs_S.Commands.CRRX</v>
      </c>
      <c r="B411" s="8">
        <v>7999</v>
      </c>
      <c r="C411" s="8" t="s">
        <v>0</v>
      </c>
      <c r="D411" s="22" t="str">
        <f>"#"&amp;$T$5&amp;"#"&amp;$T$2&amp;"\"&amp;$P$2&amp;"\CRRX"</f>
        <v>#1#treiOPCDA.CoOPCserv.1\pcmaster\ZRU_OL1_s\CRRX</v>
      </c>
    </row>
    <row r="412" spans="1:4">
      <c r="A412" s="16" t="str">
        <f>$R$2&amp;".Commands.CPSL"</f>
        <v>АСУЭ.FB_IMs_S.Commands.CPSL</v>
      </c>
      <c r="B412" s="17">
        <v>101</v>
      </c>
      <c r="C412" s="17" t="s">
        <v>0</v>
      </c>
      <c r="D412" s="18" t="s">
        <v>279</v>
      </c>
    </row>
    <row r="413" spans="1:4">
      <c r="A413" s="19" t="str">
        <f>$R$2&amp;".Commands.CPSL"</f>
        <v>АСУЭ.FB_IMs_S.Commands.CPSL</v>
      </c>
      <c r="B413" s="11">
        <v>1</v>
      </c>
      <c r="C413" s="11" t="s">
        <v>1</v>
      </c>
      <c r="D413" s="20">
        <v>11</v>
      </c>
    </row>
    <row r="414" spans="1:4">
      <c r="A414" s="19" t="str">
        <f>$R$2&amp;".Commands.CPSL"</f>
        <v>АСУЭ.FB_IMs_S.Commands.CPSL</v>
      </c>
      <c r="B414" s="11">
        <v>7998</v>
      </c>
      <c r="C414" s="11" t="s">
        <v>6</v>
      </c>
      <c r="D414" s="20">
        <v>2</v>
      </c>
    </row>
    <row r="415" spans="1:4">
      <c r="A415" s="21" t="str">
        <f>$R$2&amp;".Commands.CPSL"</f>
        <v>АСУЭ.FB_IMs_S.Commands.CPSL</v>
      </c>
      <c r="B415" s="8">
        <v>7999</v>
      </c>
      <c r="C415" s="8" t="s">
        <v>0</v>
      </c>
      <c r="D415" s="22" t="str">
        <f>"#"&amp;$T$5&amp;"#"&amp;$T$2&amp;"\"&amp;$P$2&amp;"\CPSL"</f>
        <v>#1#treiOPCDA.CoOPCserv.1\pcmaster\ZRU_OL1_s\CPSL</v>
      </c>
    </row>
    <row r="416" spans="1:4">
      <c r="A416" s="16" t="str">
        <f>$R$2&amp;".Commands.CPSP"</f>
        <v>АСУЭ.FB_IMs_S.Commands.CPSP</v>
      </c>
      <c r="B416" s="17">
        <v>101</v>
      </c>
      <c r="C416" s="17" t="s">
        <v>0</v>
      </c>
      <c r="D416" s="18" t="s">
        <v>280</v>
      </c>
    </row>
    <row r="417" spans="1:4">
      <c r="A417" s="19" t="str">
        <f>$R$2&amp;".Commands.CPSP"</f>
        <v>АСУЭ.FB_IMs_S.Commands.CPSP</v>
      </c>
      <c r="B417" s="11">
        <v>1</v>
      </c>
      <c r="C417" s="11" t="s">
        <v>1</v>
      </c>
      <c r="D417" s="20">
        <v>11</v>
      </c>
    </row>
    <row r="418" spans="1:4">
      <c r="A418" s="19" t="str">
        <f>$R$2&amp;".Commands.CPSP"</f>
        <v>АСУЭ.FB_IMs_S.Commands.CPSP</v>
      </c>
      <c r="B418" s="11">
        <v>7998</v>
      </c>
      <c r="C418" s="11" t="s">
        <v>6</v>
      </c>
      <c r="D418" s="20">
        <v>2</v>
      </c>
    </row>
    <row r="419" spans="1:4">
      <c r="A419" s="21" t="str">
        <f>$R$2&amp;".Commands.CPSP"</f>
        <v>АСУЭ.FB_IMs_S.Commands.CPSP</v>
      </c>
      <c r="B419" s="8">
        <v>7999</v>
      </c>
      <c r="C419" s="8" t="s">
        <v>0</v>
      </c>
      <c r="D419" s="22" t="str">
        <f>"#"&amp;$T$5&amp;"#"&amp;$T$2&amp;"\"&amp;$P$2&amp;"\CPSP"</f>
        <v>#1#treiOPCDA.CoOPCserv.1\pcmaster\ZRU_OL1_s\CPSP</v>
      </c>
    </row>
    <row r="420" spans="1:4">
      <c r="A420" s="16" t="str">
        <f>$R$2&amp;".Commands.CPSG"</f>
        <v>АСУЭ.FB_IMs_S.Commands.CPSG</v>
      </c>
      <c r="B420" s="17">
        <v>101</v>
      </c>
      <c r="C420" s="17" t="s">
        <v>0</v>
      </c>
      <c r="D420" s="18" t="s">
        <v>281</v>
      </c>
    </row>
    <row r="421" spans="1:4">
      <c r="A421" s="19" t="str">
        <f>$R$2&amp;".Commands.CPSG"</f>
        <v>АСУЭ.FB_IMs_S.Commands.CPSG</v>
      </c>
      <c r="B421" s="11">
        <v>1</v>
      </c>
      <c r="C421" s="11" t="s">
        <v>1</v>
      </c>
      <c r="D421" s="20">
        <v>11</v>
      </c>
    </row>
    <row r="422" spans="1:4">
      <c r="A422" s="19" t="str">
        <f>$R$2&amp;".Commands.CPSG"</f>
        <v>АСУЭ.FB_IMs_S.Commands.CPSG</v>
      </c>
      <c r="B422" s="11">
        <v>7998</v>
      </c>
      <c r="C422" s="11" t="s">
        <v>6</v>
      </c>
      <c r="D422" s="20">
        <v>2</v>
      </c>
    </row>
    <row r="423" spans="1:4">
      <c r="A423" s="21" t="str">
        <f>$R$2&amp;".Commands.CPSG"</f>
        <v>АСУЭ.FB_IMs_S.Commands.CPSG</v>
      </c>
      <c r="B423" s="8">
        <v>7999</v>
      </c>
      <c r="C423" s="8" t="s">
        <v>0</v>
      </c>
      <c r="D423" s="22" t="str">
        <f>"#"&amp;$T$5&amp;"#"&amp;$T$2&amp;"\"&amp;$P$2&amp;"\CPSG"</f>
        <v>#1#treiOPCDA.CoOPCserv.1\pcmaster\ZRU_OL1_s\CPSG</v>
      </c>
    </row>
    <row r="424" spans="1:4">
      <c r="A424" s="16" t="str">
        <f>$R$2&amp;".Commands.CPSV"</f>
        <v>АСУЭ.FB_IMs_S.Commands.CPSV</v>
      </c>
      <c r="B424" s="17">
        <v>101</v>
      </c>
      <c r="C424" s="17" t="s">
        <v>0</v>
      </c>
      <c r="D424" s="18" t="s">
        <v>282</v>
      </c>
    </row>
    <row r="425" spans="1:4">
      <c r="A425" s="19" t="str">
        <f>$R$2&amp;".Commands.CPSV"</f>
        <v>АСУЭ.FB_IMs_S.Commands.CPSV</v>
      </c>
      <c r="B425" s="11">
        <v>1</v>
      </c>
      <c r="C425" s="11" t="s">
        <v>1</v>
      </c>
      <c r="D425" s="20">
        <v>11</v>
      </c>
    </row>
    <row r="426" spans="1:4">
      <c r="A426" s="19" t="str">
        <f>$R$2&amp;".Commands.CPSV"</f>
        <v>АСУЭ.FB_IMs_S.Commands.CPSV</v>
      </c>
      <c r="B426" s="11">
        <v>7998</v>
      </c>
      <c r="C426" s="11" t="s">
        <v>6</v>
      </c>
      <c r="D426" s="20">
        <v>2</v>
      </c>
    </row>
    <row r="427" spans="1:4">
      <c r="A427" s="21" t="str">
        <f>$R$2&amp;".Commands.CPSV"</f>
        <v>АСУЭ.FB_IMs_S.Commands.CPSV</v>
      </c>
      <c r="B427" s="8">
        <v>7999</v>
      </c>
      <c r="C427" s="8" t="s">
        <v>0</v>
      </c>
      <c r="D427" s="22" t="str">
        <f>"#"&amp;$T$5&amp;"#"&amp;$T$2&amp;"\"&amp;$P$2&amp;"\CPSV"</f>
        <v>#1#treiOPCDA.CoOPCserv.1\pcmaster\ZRU_OL1_s\CPSV</v>
      </c>
    </row>
    <row r="428" spans="1:4">
      <c r="A428" s="16" t="str">
        <f t="shared" ref="A428:A433" si="36">$R$2&amp;".CPSL"</f>
        <v>АСУЭ.FB_IMs_S.CPSL</v>
      </c>
      <c r="B428" s="17">
        <v>3</v>
      </c>
      <c r="C428" s="17" t="s">
        <v>1</v>
      </c>
      <c r="D428" s="18">
        <v>192</v>
      </c>
    </row>
    <row r="429" spans="1:4">
      <c r="A429" s="19" t="str">
        <f t="shared" si="36"/>
        <v>АСУЭ.FB_IMs_S.CPSL</v>
      </c>
      <c r="B429" s="11">
        <v>2</v>
      </c>
      <c r="C429" s="11" t="s">
        <v>2</v>
      </c>
      <c r="D429" s="20" t="s">
        <v>3</v>
      </c>
    </row>
    <row r="430" spans="1:4">
      <c r="A430" s="19" t="str">
        <f t="shared" si="36"/>
        <v>АСУЭ.FB_IMs_S.CPSL</v>
      </c>
      <c r="B430" s="11">
        <v>1</v>
      </c>
      <c r="C430" s="11" t="s">
        <v>1</v>
      </c>
      <c r="D430" s="20">
        <v>11</v>
      </c>
    </row>
    <row r="431" spans="1:4">
      <c r="A431" s="19" t="str">
        <f t="shared" si="36"/>
        <v>АСУЭ.FB_IMs_S.CPSL</v>
      </c>
      <c r="B431" s="11">
        <v>101</v>
      </c>
      <c r="C431" s="11" t="s">
        <v>0</v>
      </c>
      <c r="D431" s="20" t="s">
        <v>283</v>
      </c>
    </row>
    <row r="432" spans="1:4">
      <c r="A432" s="19" t="str">
        <f t="shared" si="36"/>
        <v>АСУЭ.FB_IMs_S.CPSL</v>
      </c>
      <c r="B432" s="11">
        <v>7998</v>
      </c>
      <c r="C432" s="11" t="s">
        <v>6</v>
      </c>
      <c r="D432" s="20">
        <v>1</v>
      </c>
    </row>
    <row r="433" spans="1:4">
      <c r="A433" s="19" t="str">
        <f t="shared" si="36"/>
        <v>АСУЭ.FB_IMs_S.CPSL</v>
      </c>
      <c r="B433" s="11">
        <v>7999</v>
      </c>
      <c r="C433" s="11" t="s">
        <v>0</v>
      </c>
      <c r="D433" s="20" t="str">
        <f>"#"&amp;$S$2&amp;"#"&amp;$T$2&amp;"\"&amp;$P$2&amp;"\CPSL"</f>
        <v>#1#treiOPCDA.CoOPCserv.1\pcmaster\ZRU_OL1_s\CPSL</v>
      </c>
    </row>
    <row r="434" spans="1:4">
      <c r="A434" s="16" t="str">
        <f t="shared" ref="A434:A439" si="37">$R$2&amp;".CPSP"</f>
        <v>АСУЭ.FB_IMs_S.CPSP</v>
      </c>
      <c r="B434" s="17">
        <v>3</v>
      </c>
      <c r="C434" s="17" t="s">
        <v>1</v>
      </c>
      <c r="D434" s="18">
        <v>192</v>
      </c>
    </row>
    <row r="435" spans="1:4">
      <c r="A435" s="19" t="str">
        <f t="shared" si="37"/>
        <v>АСУЭ.FB_IMs_S.CPSP</v>
      </c>
      <c r="B435" s="11">
        <v>2</v>
      </c>
      <c r="C435" s="11" t="s">
        <v>2</v>
      </c>
      <c r="D435" s="20" t="s">
        <v>3</v>
      </c>
    </row>
    <row r="436" spans="1:4">
      <c r="A436" s="19" t="str">
        <f t="shared" si="37"/>
        <v>АСУЭ.FB_IMs_S.CPSP</v>
      </c>
      <c r="B436" s="11">
        <v>1</v>
      </c>
      <c r="C436" s="11" t="s">
        <v>1</v>
      </c>
      <c r="D436" s="20">
        <v>11</v>
      </c>
    </row>
    <row r="437" spans="1:4">
      <c r="A437" s="19" t="str">
        <f t="shared" si="37"/>
        <v>АСУЭ.FB_IMs_S.CPSP</v>
      </c>
      <c r="B437" s="11">
        <v>101</v>
      </c>
      <c r="C437" s="11" t="s">
        <v>0</v>
      </c>
      <c r="D437" s="20" t="s">
        <v>284</v>
      </c>
    </row>
    <row r="438" spans="1:4">
      <c r="A438" s="19" t="str">
        <f t="shared" si="37"/>
        <v>АСУЭ.FB_IMs_S.CPSP</v>
      </c>
      <c r="B438" s="11">
        <v>7998</v>
      </c>
      <c r="C438" s="11" t="s">
        <v>6</v>
      </c>
      <c r="D438" s="20">
        <v>1</v>
      </c>
    </row>
    <row r="439" spans="1:4">
      <c r="A439" s="19" t="str">
        <f t="shared" si="37"/>
        <v>АСУЭ.FB_IMs_S.CPSP</v>
      </c>
      <c r="B439" s="11">
        <v>7999</v>
      </c>
      <c r="C439" s="11" t="s">
        <v>0</v>
      </c>
      <c r="D439" s="20" t="str">
        <f>"#"&amp;$S$2&amp;"#"&amp;$T$2&amp;"\"&amp;$P$2&amp;"\CPSP"</f>
        <v>#1#treiOPCDA.CoOPCserv.1\pcmaster\ZRU_OL1_s\CPSP</v>
      </c>
    </row>
    <row r="440" spans="1:4">
      <c r="A440" s="16" t="str">
        <f t="shared" ref="A440:A445" si="38">$R$2&amp;".CPSG"</f>
        <v>АСУЭ.FB_IMs_S.CPSG</v>
      </c>
      <c r="B440" s="17">
        <v>3</v>
      </c>
      <c r="C440" s="17" t="s">
        <v>1</v>
      </c>
      <c r="D440" s="18">
        <v>192</v>
      </c>
    </row>
    <row r="441" spans="1:4">
      <c r="A441" s="19" t="str">
        <f t="shared" si="38"/>
        <v>АСУЭ.FB_IMs_S.CPSG</v>
      </c>
      <c r="B441" s="11">
        <v>2</v>
      </c>
      <c r="C441" s="11" t="s">
        <v>2</v>
      </c>
      <c r="D441" s="20" t="s">
        <v>3</v>
      </c>
    </row>
    <row r="442" spans="1:4">
      <c r="A442" s="19" t="str">
        <f t="shared" si="38"/>
        <v>АСУЭ.FB_IMs_S.CPSG</v>
      </c>
      <c r="B442" s="11">
        <v>1</v>
      </c>
      <c r="C442" s="11" t="s">
        <v>1</v>
      </c>
      <c r="D442" s="20">
        <v>11</v>
      </c>
    </row>
    <row r="443" spans="1:4">
      <c r="A443" s="19" t="str">
        <f t="shared" si="38"/>
        <v>АСУЭ.FB_IMs_S.CPSG</v>
      </c>
      <c r="B443" s="11">
        <v>101</v>
      </c>
      <c r="C443" s="11" t="s">
        <v>0</v>
      </c>
      <c r="D443" s="20" t="s">
        <v>285</v>
      </c>
    </row>
    <row r="444" spans="1:4">
      <c r="A444" s="19" t="str">
        <f t="shared" si="38"/>
        <v>АСУЭ.FB_IMs_S.CPSG</v>
      </c>
      <c r="B444" s="11">
        <v>7998</v>
      </c>
      <c r="C444" s="11" t="s">
        <v>6</v>
      </c>
      <c r="D444" s="20">
        <v>1</v>
      </c>
    </row>
    <row r="445" spans="1:4">
      <c r="A445" s="19" t="str">
        <f t="shared" si="38"/>
        <v>АСУЭ.FB_IMs_S.CPSG</v>
      </c>
      <c r="B445" s="11">
        <v>7999</v>
      </c>
      <c r="C445" s="11" t="s">
        <v>0</v>
      </c>
      <c r="D445" s="20" t="str">
        <f>"#"&amp;$S$2&amp;"#"&amp;$T$2&amp;"\"&amp;$P$2&amp;"\CPSG"</f>
        <v>#1#treiOPCDA.CoOPCserv.1\pcmaster\ZRU_OL1_s\CPSG</v>
      </c>
    </row>
    <row r="446" spans="1:4">
      <c r="A446" s="16" t="str">
        <f t="shared" ref="A446:A451" si="39">$R$2&amp;".CPSV"</f>
        <v>АСУЭ.FB_IMs_S.CPSV</v>
      </c>
      <c r="B446" s="17">
        <v>3</v>
      </c>
      <c r="C446" s="17" t="s">
        <v>1</v>
      </c>
      <c r="D446" s="18">
        <v>192</v>
      </c>
    </row>
    <row r="447" spans="1:4">
      <c r="A447" s="19" t="str">
        <f t="shared" si="39"/>
        <v>АСУЭ.FB_IMs_S.CPSV</v>
      </c>
      <c r="B447" s="11">
        <v>2</v>
      </c>
      <c r="C447" s="11" t="s">
        <v>2</v>
      </c>
      <c r="D447" s="20" t="s">
        <v>3</v>
      </c>
    </row>
    <row r="448" spans="1:4">
      <c r="A448" s="19" t="str">
        <f t="shared" si="39"/>
        <v>АСУЭ.FB_IMs_S.CPSV</v>
      </c>
      <c r="B448" s="11">
        <v>1</v>
      </c>
      <c r="C448" s="11" t="s">
        <v>1</v>
      </c>
      <c r="D448" s="20">
        <v>11</v>
      </c>
    </row>
    <row r="449" spans="1:4">
      <c r="A449" s="19" t="str">
        <f t="shared" si="39"/>
        <v>АСУЭ.FB_IMs_S.CPSV</v>
      </c>
      <c r="B449" s="11">
        <v>101</v>
      </c>
      <c r="C449" s="11" t="s">
        <v>0</v>
      </c>
      <c r="D449" s="20" t="s">
        <v>286</v>
      </c>
    </row>
    <row r="450" spans="1:4">
      <c r="A450" s="19" t="str">
        <f t="shared" si="39"/>
        <v>АСУЭ.FB_IMs_S.CPSV</v>
      </c>
      <c r="B450" s="11">
        <v>7998</v>
      </c>
      <c r="C450" s="11" t="s">
        <v>6</v>
      </c>
      <c r="D450" s="20">
        <v>1</v>
      </c>
    </row>
    <row r="451" spans="1:4">
      <c r="A451" s="19" t="str">
        <f t="shared" si="39"/>
        <v>АСУЭ.FB_IMs_S.CPSV</v>
      </c>
      <c r="B451" s="11">
        <v>7999</v>
      </c>
      <c r="C451" s="11" t="s">
        <v>0</v>
      </c>
      <c r="D451" s="20" t="str">
        <f>"#"&amp;$S$2&amp;"#"&amp;$T$2&amp;"\"&amp;$P$2&amp;"\CPSV"</f>
        <v>#1#treiOPCDA.CoOPCserv.1\pcmaster\ZRU_OL1_s\CPSV</v>
      </c>
    </row>
    <row r="452" spans="1:4">
      <c r="A452" s="19" t="str">
        <f t="shared" ref="A452:A457" si="40">$R$2&amp;".IONX"</f>
        <v>АСУЭ.FB_IMs_S.IONX</v>
      </c>
      <c r="B452" s="11">
        <v>7999</v>
      </c>
      <c r="C452" s="11" t="s">
        <v>0</v>
      </c>
      <c r="D452" s="20" t="str">
        <f>"#"&amp;$S$2&amp;"#"&amp;$T$2&amp;"\"&amp;$P$2&amp;"\IONX"</f>
        <v>#1#treiOPCDA.CoOPCserv.1\pcmaster\ZRU_OL1_s\IONX</v>
      </c>
    </row>
    <row r="453" spans="1:4">
      <c r="A453" s="19" t="str">
        <f t="shared" si="40"/>
        <v>АСУЭ.FB_IMs_S.IONX</v>
      </c>
      <c r="B453" s="11">
        <v>7998</v>
      </c>
      <c r="C453" s="11" t="s">
        <v>6</v>
      </c>
      <c r="D453" s="20">
        <v>1</v>
      </c>
    </row>
    <row r="454" spans="1:4">
      <c r="A454" s="19" t="str">
        <f t="shared" si="40"/>
        <v>АСУЭ.FB_IMs_S.IONX</v>
      </c>
      <c r="B454" s="11">
        <v>3</v>
      </c>
      <c r="C454" s="11" t="s">
        <v>1</v>
      </c>
      <c r="D454" s="20">
        <v>192</v>
      </c>
    </row>
    <row r="455" spans="1:4">
      <c r="A455" s="19" t="str">
        <f t="shared" si="40"/>
        <v>АСУЭ.FB_IMs_S.IONX</v>
      </c>
      <c r="B455" s="11">
        <v>2</v>
      </c>
      <c r="C455" s="11" t="s">
        <v>2</v>
      </c>
      <c r="D455" s="20" t="s">
        <v>3</v>
      </c>
    </row>
    <row r="456" spans="1:4">
      <c r="A456" s="19" t="str">
        <f t="shared" si="40"/>
        <v>АСУЭ.FB_IMs_S.IONX</v>
      </c>
      <c r="B456" s="11">
        <v>1</v>
      </c>
      <c r="C456" s="11" t="s">
        <v>1</v>
      </c>
      <c r="D456" s="20">
        <v>11</v>
      </c>
    </row>
    <row r="457" spans="1:4">
      <c r="A457" s="21" t="str">
        <f t="shared" si="40"/>
        <v>АСУЭ.FB_IMs_S.IONX</v>
      </c>
      <c r="B457" s="8">
        <v>101</v>
      </c>
      <c r="C457" s="8" t="s">
        <v>0</v>
      </c>
      <c r="D457" s="22" t="s">
        <v>92</v>
      </c>
    </row>
    <row r="458" spans="1:4">
      <c r="A458" s="16" t="str">
        <f t="shared" ref="A458:A463" si="41">$R$2&amp;".IOFX"</f>
        <v>АСУЭ.FB_IMs_S.IOFX</v>
      </c>
      <c r="B458" s="17">
        <v>3</v>
      </c>
      <c r="C458" s="17" t="s">
        <v>1</v>
      </c>
      <c r="D458" s="18">
        <v>192</v>
      </c>
    </row>
    <row r="459" spans="1:4">
      <c r="A459" s="19" t="str">
        <f t="shared" si="41"/>
        <v>АСУЭ.FB_IMs_S.IOFX</v>
      </c>
      <c r="B459" s="11">
        <v>2</v>
      </c>
      <c r="C459" s="11" t="s">
        <v>2</v>
      </c>
      <c r="D459" s="20" t="s">
        <v>3</v>
      </c>
    </row>
    <row r="460" spans="1:4">
      <c r="A460" s="19" t="str">
        <f t="shared" si="41"/>
        <v>АСУЭ.FB_IMs_S.IOFX</v>
      </c>
      <c r="B460" s="11">
        <v>1</v>
      </c>
      <c r="C460" s="11" t="s">
        <v>1</v>
      </c>
      <c r="D460" s="20">
        <v>11</v>
      </c>
    </row>
    <row r="461" spans="1:4">
      <c r="A461" s="19" t="str">
        <f t="shared" si="41"/>
        <v>АСУЭ.FB_IMs_S.IOFX</v>
      </c>
      <c r="B461" s="11">
        <v>101</v>
      </c>
      <c r="C461" s="11" t="s">
        <v>0</v>
      </c>
      <c r="D461" s="20" t="s">
        <v>107</v>
      </c>
    </row>
    <row r="462" spans="1:4">
      <c r="A462" s="19" t="str">
        <f t="shared" si="41"/>
        <v>АСУЭ.FB_IMs_S.IOFX</v>
      </c>
      <c r="B462" s="11">
        <v>7998</v>
      </c>
      <c r="C462" s="11" t="s">
        <v>6</v>
      </c>
      <c r="D462" s="20">
        <v>1</v>
      </c>
    </row>
    <row r="463" spans="1:4">
      <c r="A463" s="21" t="str">
        <f t="shared" si="41"/>
        <v>АСУЭ.FB_IMs_S.IOFX</v>
      </c>
      <c r="B463" s="8">
        <v>7999</v>
      </c>
      <c r="C463" s="8" t="s">
        <v>0</v>
      </c>
      <c r="D463" s="22" t="str">
        <f>"#"&amp;$S$2&amp;"#"&amp;$T$2&amp;"\"&amp;$P$2&amp;"\IOFX"</f>
        <v>#1#treiOPCDA.CoOPCserv.1\pcmaster\ZRU_OL1_s\IOFX</v>
      </c>
    </row>
    <row r="464" spans="1:4">
      <c r="A464" s="16" t="str">
        <f t="shared" ref="A464:A469" si="42">$R$2&amp;".IRCX"</f>
        <v>АСУЭ.FB_IMs_S.IRCX</v>
      </c>
      <c r="B464" s="17">
        <v>3</v>
      </c>
      <c r="C464" s="17" t="s">
        <v>1</v>
      </c>
      <c r="D464" s="18">
        <v>192</v>
      </c>
    </row>
    <row r="465" spans="1:4">
      <c r="A465" s="19" t="str">
        <f t="shared" si="42"/>
        <v>АСУЭ.FB_IMs_S.IRCX</v>
      </c>
      <c r="B465" s="11">
        <v>2</v>
      </c>
      <c r="C465" s="11" t="s">
        <v>2</v>
      </c>
      <c r="D465" s="20" t="s">
        <v>3</v>
      </c>
    </row>
    <row r="466" spans="1:4">
      <c r="A466" s="19" t="str">
        <f t="shared" si="42"/>
        <v>АСУЭ.FB_IMs_S.IRCX</v>
      </c>
      <c r="B466" s="11">
        <v>1</v>
      </c>
      <c r="C466" s="11" t="s">
        <v>1</v>
      </c>
      <c r="D466" s="20">
        <v>11</v>
      </c>
    </row>
    <row r="467" spans="1:4">
      <c r="A467" s="19" t="str">
        <f t="shared" si="42"/>
        <v>АСУЭ.FB_IMs_S.IRCX</v>
      </c>
      <c r="B467" s="11">
        <v>101</v>
      </c>
      <c r="C467" s="11" t="s">
        <v>0</v>
      </c>
      <c r="D467" s="20" t="s">
        <v>576</v>
      </c>
    </row>
    <row r="468" spans="1:4">
      <c r="A468" s="19" t="str">
        <f t="shared" si="42"/>
        <v>АСУЭ.FB_IMs_S.IRCX</v>
      </c>
      <c r="B468" s="11">
        <v>7998</v>
      </c>
      <c r="C468" s="11" t="s">
        <v>6</v>
      </c>
      <c r="D468" s="20">
        <v>1</v>
      </c>
    </row>
    <row r="469" spans="1:4">
      <c r="A469" s="21" t="str">
        <f t="shared" si="42"/>
        <v>АСУЭ.FB_IMs_S.IRCX</v>
      </c>
      <c r="B469" s="8">
        <v>7999</v>
      </c>
      <c r="C469" s="8" t="s">
        <v>0</v>
      </c>
      <c r="D469" s="22" t="str">
        <f>"#"&amp;$S$2&amp;"#"&amp;$T$2&amp;"\"&amp;$P$2&amp;"\IRCX"</f>
        <v>#1#treiOPCDA.CoOPCserv.1\pcmaster\ZRU_OL1_s\IRCX</v>
      </c>
    </row>
    <row r="470" spans="1:4">
      <c r="A470" s="16" t="str">
        <f t="shared" ref="A470:A475" si="43">$R$2&amp;".CAON"</f>
        <v>АСУЭ.FB_IMs_S.CAON</v>
      </c>
      <c r="B470" s="17">
        <v>3</v>
      </c>
      <c r="C470" s="17" t="s">
        <v>1</v>
      </c>
      <c r="D470" s="18">
        <v>192</v>
      </c>
    </row>
    <row r="471" spans="1:4">
      <c r="A471" s="19" t="str">
        <f t="shared" si="43"/>
        <v>АСУЭ.FB_IMs_S.CAON</v>
      </c>
      <c r="B471" s="11">
        <v>2</v>
      </c>
      <c r="C471" s="11" t="s">
        <v>2</v>
      </c>
      <c r="D471" s="20" t="s">
        <v>3</v>
      </c>
    </row>
    <row r="472" spans="1:4">
      <c r="A472" s="19" t="str">
        <f t="shared" si="43"/>
        <v>АСУЭ.FB_IMs_S.CAON</v>
      </c>
      <c r="B472" s="11">
        <v>1</v>
      </c>
      <c r="C472" s="11" t="s">
        <v>1</v>
      </c>
      <c r="D472" s="20">
        <v>11</v>
      </c>
    </row>
    <row r="473" spans="1:4">
      <c r="A473" s="19" t="str">
        <f t="shared" si="43"/>
        <v>АСУЭ.FB_IMs_S.CAON</v>
      </c>
      <c r="B473" s="11">
        <v>7998</v>
      </c>
      <c r="C473" s="11" t="s">
        <v>6</v>
      </c>
      <c r="D473" s="20">
        <v>1</v>
      </c>
    </row>
    <row r="474" spans="1:4">
      <c r="A474" s="19" t="str">
        <f t="shared" si="43"/>
        <v>АСУЭ.FB_IMs_S.CAON</v>
      </c>
      <c r="B474" s="11">
        <v>7999</v>
      </c>
      <c r="C474" s="11" t="s">
        <v>0</v>
      </c>
      <c r="D474" s="20" t="str">
        <f>"#"&amp;$S$2&amp;"#"&amp;$T$2&amp;"\"&amp;$P$2&amp;"\CAON"</f>
        <v>#1#treiOPCDA.CoOPCserv.1\pcmaster\ZRU_OL1_s\CAON</v>
      </c>
    </row>
    <row r="475" spans="1:4">
      <c r="A475" s="21" t="str">
        <f t="shared" si="43"/>
        <v>АСУЭ.FB_IMs_S.CAON</v>
      </c>
      <c r="B475" s="8">
        <v>101</v>
      </c>
      <c r="C475" s="8" t="s">
        <v>0</v>
      </c>
      <c r="D475" s="22" t="s">
        <v>1839</v>
      </c>
    </row>
    <row r="476" spans="1:4">
      <c r="A476" s="16" t="str">
        <f t="shared" ref="A476:A481" si="44">$R$2&amp;".CAOF"</f>
        <v>АСУЭ.FB_IMs_S.CAOF</v>
      </c>
      <c r="B476" s="17">
        <v>3</v>
      </c>
      <c r="C476" s="17" t="s">
        <v>1</v>
      </c>
      <c r="D476" s="18">
        <v>192</v>
      </c>
    </row>
    <row r="477" spans="1:4">
      <c r="A477" s="19" t="str">
        <f t="shared" si="44"/>
        <v>АСУЭ.FB_IMs_S.CAOF</v>
      </c>
      <c r="B477" s="11">
        <v>2</v>
      </c>
      <c r="C477" s="11" t="s">
        <v>2</v>
      </c>
      <c r="D477" s="20" t="s">
        <v>3</v>
      </c>
    </row>
    <row r="478" spans="1:4">
      <c r="A478" s="19" t="str">
        <f t="shared" si="44"/>
        <v>АСУЭ.FB_IMs_S.CAOF</v>
      </c>
      <c r="B478" s="11">
        <v>1</v>
      </c>
      <c r="C478" s="11" t="s">
        <v>1</v>
      </c>
      <c r="D478" s="20">
        <v>11</v>
      </c>
    </row>
    <row r="479" spans="1:4">
      <c r="A479" s="19" t="str">
        <f t="shared" si="44"/>
        <v>АСУЭ.FB_IMs_S.CAOF</v>
      </c>
      <c r="B479" s="11">
        <v>7998</v>
      </c>
      <c r="C479" s="11" t="s">
        <v>6</v>
      </c>
      <c r="D479" s="20">
        <v>1</v>
      </c>
    </row>
    <row r="480" spans="1:4">
      <c r="A480" s="19" t="str">
        <f t="shared" si="44"/>
        <v>АСУЭ.FB_IMs_S.CAOF</v>
      </c>
      <c r="B480" s="11">
        <v>7999</v>
      </c>
      <c r="C480" s="11" t="s">
        <v>0</v>
      </c>
      <c r="D480" s="20" t="str">
        <f>"#"&amp;$S$2&amp;"#"&amp;$T$2&amp;"\"&amp;$P$2&amp;"\CAOF"</f>
        <v>#1#treiOPCDA.CoOPCserv.1\pcmaster\ZRU_OL1_s\CAOF</v>
      </c>
    </row>
    <row r="481" spans="1:4">
      <c r="A481" s="21" t="str">
        <f t="shared" si="44"/>
        <v>АСУЭ.FB_IMs_S.CAOF</v>
      </c>
      <c r="B481" s="8">
        <v>101</v>
      </c>
      <c r="C481" s="8" t="s">
        <v>0</v>
      </c>
      <c r="D481" s="22" t="s">
        <v>1840</v>
      </c>
    </row>
    <row r="482" spans="1:4">
      <c r="A482" s="16" t="str">
        <f t="shared" ref="A482:A487" si="45">$R$2&amp;".CPMM"</f>
        <v>АСУЭ.FB_IMs_S.CPMM</v>
      </c>
      <c r="B482" s="17">
        <v>3</v>
      </c>
      <c r="C482" s="17" t="s">
        <v>1</v>
      </c>
      <c r="D482" s="18">
        <v>192</v>
      </c>
    </row>
    <row r="483" spans="1:4">
      <c r="A483" s="19" t="str">
        <f t="shared" si="45"/>
        <v>АСУЭ.FB_IMs_S.CPMM</v>
      </c>
      <c r="B483" s="11">
        <v>2</v>
      </c>
      <c r="C483" s="11" t="s">
        <v>2</v>
      </c>
      <c r="D483" s="20" t="s">
        <v>266</v>
      </c>
    </row>
    <row r="484" spans="1:4">
      <c r="A484" s="19" t="str">
        <f t="shared" si="45"/>
        <v>АСУЭ.FB_IMs_S.CPMM</v>
      </c>
      <c r="B484" s="11">
        <v>1</v>
      </c>
      <c r="C484" s="11" t="s">
        <v>1</v>
      </c>
      <c r="D484" s="20">
        <v>11</v>
      </c>
    </row>
    <row r="485" spans="1:4">
      <c r="A485" s="19" t="str">
        <f t="shared" si="45"/>
        <v>АСУЭ.FB_IMs_S.CPMM</v>
      </c>
      <c r="B485" s="11">
        <v>7998</v>
      </c>
      <c r="C485" s="11" t="s">
        <v>6</v>
      </c>
      <c r="D485" s="20">
        <v>1</v>
      </c>
    </row>
    <row r="486" spans="1:4">
      <c r="A486" s="19" t="str">
        <f t="shared" si="45"/>
        <v>АСУЭ.FB_IMs_S.CPMM</v>
      </c>
      <c r="B486" s="11">
        <v>7999</v>
      </c>
      <c r="C486" s="11" t="s">
        <v>0</v>
      </c>
      <c r="D486" s="20" t="str">
        <f>"#"&amp;$S$2&amp;"#"&amp;$T$2&amp;"\"&amp;$P$2&amp;"\CPMM"</f>
        <v>#1#treiOPCDA.CoOPCserv.1\pcmaster\ZRU_OL1_s\CPMM</v>
      </c>
    </row>
    <row r="487" spans="1:4">
      <c r="A487" s="21" t="str">
        <f t="shared" si="45"/>
        <v>АСУЭ.FB_IMs_S.CPMM</v>
      </c>
      <c r="B487" s="8">
        <v>101</v>
      </c>
      <c r="C487" s="8" t="s">
        <v>0</v>
      </c>
      <c r="D487" s="22" t="s">
        <v>115</v>
      </c>
    </row>
    <row r="488" spans="1:4">
      <c r="A488" s="16" t="str">
        <f t="shared" ref="A488:A493" si="46">$R$2&amp;".OXON"</f>
        <v>АСУЭ.FB_IMs_S.OXON</v>
      </c>
      <c r="B488" s="17">
        <v>101</v>
      </c>
      <c r="C488" s="17" t="s">
        <v>0</v>
      </c>
      <c r="D488" s="18" t="s">
        <v>131</v>
      </c>
    </row>
    <row r="489" spans="1:4">
      <c r="A489" s="19" t="str">
        <f t="shared" si="46"/>
        <v>АСУЭ.FB_IMs_S.OXON</v>
      </c>
      <c r="B489" s="11">
        <v>1</v>
      </c>
      <c r="C489" s="11" t="s">
        <v>1</v>
      </c>
      <c r="D489" s="20">
        <v>11</v>
      </c>
    </row>
    <row r="490" spans="1:4">
      <c r="A490" s="19" t="str">
        <f t="shared" si="46"/>
        <v>АСУЭ.FB_IMs_S.OXON</v>
      </c>
      <c r="B490" s="11">
        <v>2</v>
      </c>
      <c r="C490" s="11" t="s">
        <v>2</v>
      </c>
      <c r="D490" s="20" t="s">
        <v>3</v>
      </c>
    </row>
    <row r="491" spans="1:4">
      <c r="A491" s="19" t="str">
        <f t="shared" si="46"/>
        <v>АСУЭ.FB_IMs_S.OXON</v>
      </c>
      <c r="B491" s="11">
        <v>3</v>
      </c>
      <c r="C491" s="11" t="s">
        <v>1</v>
      </c>
      <c r="D491" s="20">
        <v>192</v>
      </c>
    </row>
    <row r="492" spans="1:4">
      <c r="A492" s="19" t="str">
        <f t="shared" si="46"/>
        <v>АСУЭ.FB_IMs_S.OXON</v>
      </c>
      <c r="B492" s="11">
        <v>7998</v>
      </c>
      <c r="C492" s="11" t="s">
        <v>6</v>
      </c>
      <c r="D492" s="20">
        <v>1</v>
      </c>
    </row>
    <row r="493" spans="1:4">
      <c r="A493" s="21" t="str">
        <f t="shared" si="46"/>
        <v>АСУЭ.FB_IMs_S.OXON</v>
      </c>
      <c r="B493" s="8">
        <v>7999</v>
      </c>
      <c r="C493" s="8" t="s">
        <v>0</v>
      </c>
      <c r="D493" s="22" t="str">
        <f>"#"&amp;$S$2&amp;"#"&amp;$T$2&amp;"\"&amp;$P$2&amp;"\OXON"</f>
        <v>#1#treiOPCDA.CoOPCserv.1\pcmaster\ZRU_OL1_s\OXON</v>
      </c>
    </row>
    <row r="494" spans="1:4">
      <c r="A494" s="16" t="str">
        <f t="shared" ref="A494:A499" si="47">$R$2&amp;".OXOF"</f>
        <v>АСУЭ.FB_IMs_S.OXOF</v>
      </c>
      <c r="B494" s="17">
        <v>101</v>
      </c>
      <c r="C494" s="17" t="s">
        <v>0</v>
      </c>
      <c r="D494" s="18" t="s">
        <v>132</v>
      </c>
    </row>
    <row r="495" spans="1:4">
      <c r="A495" s="19" t="str">
        <f t="shared" si="47"/>
        <v>АСУЭ.FB_IMs_S.OXOF</v>
      </c>
      <c r="B495" s="11">
        <v>1</v>
      </c>
      <c r="C495" s="11" t="s">
        <v>1</v>
      </c>
      <c r="D495" s="20">
        <v>11</v>
      </c>
    </row>
    <row r="496" spans="1:4">
      <c r="A496" s="19" t="str">
        <f t="shared" si="47"/>
        <v>АСУЭ.FB_IMs_S.OXOF</v>
      </c>
      <c r="B496" s="11">
        <v>2</v>
      </c>
      <c r="C496" s="11" t="s">
        <v>2</v>
      </c>
      <c r="D496" s="20" t="s">
        <v>3</v>
      </c>
    </row>
    <row r="497" spans="1:4">
      <c r="A497" s="19" t="str">
        <f t="shared" si="47"/>
        <v>АСУЭ.FB_IMs_S.OXOF</v>
      </c>
      <c r="B497" s="11">
        <v>3</v>
      </c>
      <c r="C497" s="11" t="s">
        <v>1</v>
      </c>
      <c r="D497" s="20">
        <v>192</v>
      </c>
    </row>
    <row r="498" spans="1:4">
      <c r="A498" s="19" t="str">
        <f t="shared" si="47"/>
        <v>АСУЭ.FB_IMs_S.OXOF</v>
      </c>
      <c r="B498" s="11">
        <v>7998</v>
      </c>
      <c r="C498" s="11" t="s">
        <v>6</v>
      </c>
      <c r="D498" s="20">
        <v>1</v>
      </c>
    </row>
    <row r="499" spans="1:4">
      <c r="A499" s="21" t="str">
        <f t="shared" si="47"/>
        <v>АСУЭ.FB_IMs_S.OXOF</v>
      </c>
      <c r="B499" s="8">
        <v>7999</v>
      </c>
      <c r="C499" s="8" t="s">
        <v>0</v>
      </c>
      <c r="D499" s="22" t="str">
        <f>"#"&amp;$S$2&amp;"#"&amp;$T$2&amp;"\"&amp;$P$2&amp;"\OXOF"</f>
        <v>#1#treiOPCDA.CoOPCserv.1\pcmaster\ZRU_OL1_s\OXOF</v>
      </c>
    </row>
    <row r="500" spans="1:4">
      <c r="A500" s="16" t="str">
        <f t="shared" ref="A500:A505" si="48">$R$2&amp;".OXSP"</f>
        <v>АСУЭ.FB_IMs_S.OXSP</v>
      </c>
      <c r="B500" s="17">
        <v>3</v>
      </c>
      <c r="C500" s="17" t="s">
        <v>1</v>
      </c>
      <c r="D500" s="18">
        <v>192</v>
      </c>
    </row>
    <row r="501" spans="1:4">
      <c r="A501" s="19" t="str">
        <f t="shared" si="48"/>
        <v>АСУЭ.FB_IMs_S.OXSP</v>
      </c>
      <c r="B501" s="11">
        <v>2</v>
      </c>
      <c r="C501" s="11" t="s">
        <v>2</v>
      </c>
      <c r="D501" s="20" t="s">
        <v>3</v>
      </c>
    </row>
    <row r="502" spans="1:4">
      <c r="A502" s="19" t="str">
        <f t="shared" si="48"/>
        <v>АСУЭ.FB_IMs_S.OXSP</v>
      </c>
      <c r="B502" s="11">
        <v>1</v>
      </c>
      <c r="C502" s="11" t="s">
        <v>1</v>
      </c>
      <c r="D502" s="20">
        <v>11</v>
      </c>
    </row>
    <row r="503" spans="1:4">
      <c r="A503" s="19" t="str">
        <f t="shared" si="48"/>
        <v>АСУЭ.FB_IMs_S.OXSP</v>
      </c>
      <c r="B503" s="11">
        <v>101</v>
      </c>
      <c r="C503" s="11" t="s">
        <v>0</v>
      </c>
      <c r="D503" s="20" t="s">
        <v>133</v>
      </c>
    </row>
    <row r="504" spans="1:4">
      <c r="A504" s="19" t="str">
        <f t="shared" si="48"/>
        <v>АСУЭ.FB_IMs_S.OXSP</v>
      </c>
      <c r="B504" s="11">
        <v>7998</v>
      </c>
      <c r="C504" s="11" t="s">
        <v>6</v>
      </c>
      <c r="D504" s="20">
        <v>1</v>
      </c>
    </row>
    <row r="505" spans="1:4">
      <c r="A505" s="21" t="str">
        <f t="shared" si="48"/>
        <v>АСУЭ.FB_IMs_S.OXSP</v>
      </c>
      <c r="B505" s="8">
        <v>7999</v>
      </c>
      <c r="C505" s="8" t="s">
        <v>0</v>
      </c>
      <c r="D505" s="22" t="str">
        <f>"#"&amp;$S$2&amp;"#"&amp;$T$2&amp;"\"&amp;$P$2&amp;"\OXSP"</f>
        <v>#1#treiOPCDA.CoOPCserv.1\pcmaster\ZRU_OL1_s\OXSP</v>
      </c>
    </row>
    <row r="506" spans="1:4">
      <c r="A506" s="16" t="str">
        <f t="shared" ref="A506:A511" si="49">$R$2&amp;".OCON"</f>
        <v>АСУЭ.FB_IMs_S.OCON</v>
      </c>
      <c r="B506" s="17">
        <v>101</v>
      </c>
      <c r="C506" s="17" t="s">
        <v>0</v>
      </c>
      <c r="D506" s="18" t="s">
        <v>138</v>
      </c>
    </row>
    <row r="507" spans="1:4">
      <c r="A507" s="19" t="str">
        <f t="shared" si="49"/>
        <v>АСУЭ.FB_IMs_S.OCON</v>
      </c>
      <c r="B507" s="11">
        <v>1</v>
      </c>
      <c r="C507" s="11" t="s">
        <v>1</v>
      </c>
      <c r="D507" s="20">
        <v>11</v>
      </c>
    </row>
    <row r="508" spans="1:4">
      <c r="A508" s="19" t="str">
        <f t="shared" si="49"/>
        <v>АСУЭ.FB_IMs_S.OCON</v>
      </c>
      <c r="B508" s="11">
        <v>2</v>
      </c>
      <c r="C508" s="11" t="s">
        <v>2</v>
      </c>
      <c r="D508" s="20" t="s">
        <v>3</v>
      </c>
    </row>
    <row r="509" spans="1:4">
      <c r="A509" s="19" t="str">
        <f t="shared" si="49"/>
        <v>АСУЭ.FB_IMs_S.OCON</v>
      </c>
      <c r="B509" s="11">
        <v>3</v>
      </c>
      <c r="C509" s="11" t="s">
        <v>1</v>
      </c>
      <c r="D509" s="20">
        <v>192</v>
      </c>
    </row>
    <row r="510" spans="1:4">
      <c r="A510" s="19" t="str">
        <f t="shared" si="49"/>
        <v>АСУЭ.FB_IMs_S.OCON</v>
      </c>
      <c r="B510" s="11">
        <v>7998</v>
      </c>
      <c r="C510" s="11" t="s">
        <v>6</v>
      </c>
      <c r="D510" s="20">
        <v>1</v>
      </c>
    </row>
    <row r="511" spans="1:4">
      <c r="A511" s="21" t="str">
        <f t="shared" si="49"/>
        <v>АСУЭ.FB_IMs_S.OCON</v>
      </c>
      <c r="B511" s="8">
        <v>7999</v>
      </c>
      <c r="C511" s="8" t="s">
        <v>0</v>
      </c>
      <c r="D511" s="22" t="str">
        <f>"#"&amp;$S$2&amp;"#"&amp;$T$2&amp;"\"&amp;$P$2&amp;"\OCON"</f>
        <v>#1#treiOPCDA.CoOPCserv.1\pcmaster\ZRU_OL1_s\OCON</v>
      </c>
    </row>
    <row r="512" spans="1:4">
      <c r="A512" s="16" t="str">
        <f t="shared" ref="A512:A517" si="50">$R$2&amp;".FXXX"</f>
        <v>АСУЭ.FB_IMs_S.FXXX</v>
      </c>
      <c r="B512" s="17">
        <v>3</v>
      </c>
      <c r="C512" s="17" t="s">
        <v>1</v>
      </c>
      <c r="D512" s="18">
        <v>192</v>
      </c>
    </row>
    <row r="513" spans="1:4">
      <c r="A513" s="19" t="str">
        <f t="shared" si="50"/>
        <v>АСУЭ.FB_IMs_S.FXXX</v>
      </c>
      <c r="B513" s="11">
        <v>2</v>
      </c>
      <c r="C513" s="11" t="s">
        <v>2</v>
      </c>
      <c r="D513" s="20" t="s">
        <v>3</v>
      </c>
    </row>
    <row r="514" spans="1:4">
      <c r="A514" s="19" t="str">
        <f t="shared" si="50"/>
        <v>АСУЭ.FB_IMs_S.FXXX</v>
      </c>
      <c r="B514" s="11">
        <v>1</v>
      </c>
      <c r="C514" s="11" t="s">
        <v>1</v>
      </c>
      <c r="D514" s="20">
        <v>11</v>
      </c>
    </row>
    <row r="515" spans="1:4">
      <c r="A515" s="19" t="str">
        <f t="shared" si="50"/>
        <v>АСУЭ.FB_IMs_S.FXXX</v>
      </c>
      <c r="B515" s="11">
        <v>101</v>
      </c>
      <c r="C515" s="11" t="s">
        <v>0</v>
      </c>
      <c r="D515" s="20" t="s">
        <v>139</v>
      </c>
    </row>
    <row r="516" spans="1:4">
      <c r="A516" s="19" t="str">
        <f t="shared" si="50"/>
        <v>АСУЭ.FB_IMs_S.FXXX</v>
      </c>
      <c r="B516" s="11">
        <v>7998</v>
      </c>
      <c r="C516" s="11" t="s">
        <v>6</v>
      </c>
      <c r="D516" s="20">
        <v>1</v>
      </c>
    </row>
    <row r="517" spans="1:4">
      <c r="A517" s="21" t="str">
        <f t="shared" si="50"/>
        <v>АСУЭ.FB_IMs_S.FXXX</v>
      </c>
      <c r="B517" s="8">
        <v>7999</v>
      </c>
      <c r="C517" s="8" t="s">
        <v>0</v>
      </c>
      <c r="D517" s="22" t="str">
        <f>"#"&amp;$S$2&amp;"#"&amp;$T$2&amp;"\"&amp;$P$2&amp;"\FXXX"</f>
        <v>#1#treiOPCDA.CoOPCserv.1\pcmaster\ZRU_OL1_s\FXXX</v>
      </c>
    </row>
    <row r="518" spans="1:4">
      <c r="A518" s="16" t="str">
        <f t="shared" ref="A518:A523" si="51">$R$2&amp;".OCOF"</f>
        <v>АСУЭ.FB_IMs_S.OCOF</v>
      </c>
      <c r="B518" s="17">
        <v>101</v>
      </c>
      <c r="C518" s="17" t="s">
        <v>0</v>
      </c>
      <c r="D518" s="18" t="s">
        <v>145</v>
      </c>
    </row>
    <row r="519" spans="1:4">
      <c r="A519" s="19" t="str">
        <f t="shared" si="51"/>
        <v>АСУЭ.FB_IMs_S.OCOF</v>
      </c>
      <c r="B519" s="11">
        <v>1</v>
      </c>
      <c r="C519" s="11" t="s">
        <v>1</v>
      </c>
      <c r="D519" s="20">
        <v>11</v>
      </c>
    </row>
    <row r="520" spans="1:4">
      <c r="A520" s="19" t="str">
        <f t="shared" si="51"/>
        <v>АСУЭ.FB_IMs_S.OCOF</v>
      </c>
      <c r="B520" s="11">
        <v>2</v>
      </c>
      <c r="C520" s="11" t="s">
        <v>2</v>
      </c>
      <c r="D520" s="20" t="s">
        <v>3</v>
      </c>
    </row>
    <row r="521" spans="1:4">
      <c r="A521" s="19" t="str">
        <f t="shared" si="51"/>
        <v>АСУЭ.FB_IMs_S.OCOF</v>
      </c>
      <c r="B521" s="11">
        <v>3</v>
      </c>
      <c r="C521" s="11" t="s">
        <v>1</v>
      </c>
      <c r="D521" s="20">
        <v>192</v>
      </c>
    </row>
    <row r="522" spans="1:4">
      <c r="A522" s="19" t="str">
        <f t="shared" si="51"/>
        <v>АСУЭ.FB_IMs_S.OCOF</v>
      </c>
      <c r="B522" s="11">
        <v>7998</v>
      </c>
      <c r="C522" s="11" t="s">
        <v>6</v>
      </c>
      <c r="D522" s="20">
        <v>1</v>
      </c>
    </row>
    <row r="523" spans="1:4">
      <c r="A523" s="21" t="str">
        <f t="shared" si="51"/>
        <v>АСУЭ.FB_IMs_S.OCOF</v>
      </c>
      <c r="B523" s="8">
        <v>7999</v>
      </c>
      <c r="C523" s="8" t="s">
        <v>0</v>
      </c>
      <c r="D523" s="22" t="str">
        <f>"#"&amp;$S$2&amp;"#"&amp;$T$2&amp;"\"&amp;$P$2&amp;"\OCOF"</f>
        <v>#1#treiOPCDA.CoOPCserv.1\pcmaster\ZRU_OL1_s\OCOF</v>
      </c>
    </row>
    <row r="524" spans="1:4">
      <c r="A524" s="16" t="str">
        <f t="shared" ref="A524:A529" si="52">$R$2&amp;".XONP"</f>
        <v>АСУЭ.FB_IMs_S.XONP</v>
      </c>
      <c r="B524" s="17">
        <v>101</v>
      </c>
      <c r="C524" s="17" t="s">
        <v>0</v>
      </c>
      <c r="D524" s="18" t="s">
        <v>147</v>
      </c>
    </row>
    <row r="525" spans="1:4">
      <c r="A525" s="19" t="str">
        <f t="shared" si="52"/>
        <v>АСУЭ.FB_IMs_S.XONP</v>
      </c>
      <c r="B525" s="11">
        <v>1</v>
      </c>
      <c r="C525" s="11" t="s">
        <v>1</v>
      </c>
      <c r="D525" s="20">
        <v>11</v>
      </c>
    </row>
    <row r="526" spans="1:4">
      <c r="A526" s="19" t="str">
        <f t="shared" si="52"/>
        <v>АСУЭ.FB_IMs_S.XONP</v>
      </c>
      <c r="B526" s="11">
        <v>2</v>
      </c>
      <c r="C526" s="11" t="s">
        <v>2</v>
      </c>
      <c r="D526" s="20" t="s">
        <v>3</v>
      </c>
    </row>
    <row r="527" spans="1:4">
      <c r="A527" s="19" t="str">
        <f t="shared" si="52"/>
        <v>АСУЭ.FB_IMs_S.XONP</v>
      </c>
      <c r="B527" s="11">
        <v>3</v>
      </c>
      <c r="C527" s="11" t="s">
        <v>1</v>
      </c>
      <c r="D527" s="20">
        <v>192</v>
      </c>
    </row>
    <row r="528" spans="1:4">
      <c r="A528" s="19" t="str">
        <f t="shared" si="52"/>
        <v>АСУЭ.FB_IMs_S.XONP</v>
      </c>
      <c r="B528" s="11">
        <v>7998</v>
      </c>
      <c r="C528" s="11" t="s">
        <v>6</v>
      </c>
      <c r="D528" s="20">
        <v>1</v>
      </c>
    </row>
    <row r="529" spans="1:4">
      <c r="A529" s="21" t="str">
        <f t="shared" si="52"/>
        <v>АСУЭ.FB_IMs_S.XONP</v>
      </c>
      <c r="B529" s="8">
        <v>7999</v>
      </c>
      <c r="C529" s="8" t="s">
        <v>0</v>
      </c>
      <c r="D529" s="22" t="str">
        <f>"#"&amp;$S$2&amp;"#"&amp;$T$2&amp;"\"&amp;$P$2&amp;"\XONP"</f>
        <v>#1#treiOPCDA.CoOPCserv.1\pcmaster\ZRU_OL1_s\XONP</v>
      </c>
    </row>
    <row r="530" spans="1:4">
      <c r="A530" s="19" t="str">
        <f t="shared" ref="A530:A535" si="53">$R$2&amp;".CDON"</f>
        <v>АСУЭ.FB_IMs_S.CDON</v>
      </c>
      <c r="B530" s="11">
        <v>101</v>
      </c>
      <c r="C530" s="11" t="s">
        <v>0</v>
      </c>
      <c r="D530" s="20" t="s">
        <v>164</v>
      </c>
    </row>
    <row r="531" spans="1:4">
      <c r="A531" s="19" t="str">
        <f t="shared" si="53"/>
        <v>АСУЭ.FB_IMs_S.CDON</v>
      </c>
      <c r="B531" s="11">
        <v>1</v>
      </c>
      <c r="C531" s="11" t="s">
        <v>1</v>
      </c>
      <c r="D531" s="20">
        <v>11</v>
      </c>
    </row>
    <row r="532" spans="1:4">
      <c r="A532" s="19" t="str">
        <f t="shared" si="53"/>
        <v>АСУЭ.FB_IMs_S.CDON</v>
      </c>
      <c r="B532" s="11">
        <v>2</v>
      </c>
      <c r="C532" s="11" t="s">
        <v>2</v>
      </c>
      <c r="D532" s="20" t="s">
        <v>3</v>
      </c>
    </row>
    <row r="533" spans="1:4">
      <c r="A533" s="19" t="str">
        <f t="shared" si="53"/>
        <v>АСУЭ.FB_IMs_S.CDON</v>
      </c>
      <c r="B533" s="11">
        <v>3</v>
      </c>
      <c r="C533" s="11" t="s">
        <v>1</v>
      </c>
      <c r="D533" s="20">
        <v>192</v>
      </c>
    </row>
    <row r="534" spans="1:4">
      <c r="A534" s="19" t="str">
        <f t="shared" si="53"/>
        <v>АСУЭ.FB_IMs_S.CDON</v>
      </c>
      <c r="B534" s="11">
        <v>7998</v>
      </c>
      <c r="C534" s="11" t="s">
        <v>6</v>
      </c>
      <c r="D534" s="20">
        <v>1</v>
      </c>
    </row>
    <row r="535" spans="1:4">
      <c r="A535" s="21" t="str">
        <f t="shared" si="53"/>
        <v>АСУЭ.FB_IMs_S.CDON</v>
      </c>
      <c r="B535" s="8">
        <v>7999</v>
      </c>
      <c r="C535" s="8" t="s">
        <v>0</v>
      </c>
      <c r="D535" s="22" t="str">
        <f>"#"&amp;$S$2&amp;"#"&amp;$T$2&amp;"\"&amp;$P$2&amp;"\CDON"</f>
        <v>#1#treiOPCDA.CoOPCserv.1\pcmaster\ZRU_OL1_s\CDON</v>
      </c>
    </row>
    <row r="536" spans="1:4">
      <c r="A536" s="16" t="str">
        <f t="shared" ref="A536:A541" si="54">$R$2&amp;".CDOF"</f>
        <v>АСУЭ.FB_IMs_S.CDOF</v>
      </c>
      <c r="B536" s="17">
        <v>3</v>
      </c>
      <c r="C536" s="17" t="s">
        <v>1</v>
      </c>
      <c r="D536" s="18">
        <v>192</v>
      </c>
    </row>
    <row r="537" spans="1:4">
      <c r="A537" s="19" t="str">
        <f t="shared" si="54"/>
        <v>АСУЭ.FB_IMs_S.CDOF</v>
      </c>
      <c r="B537" s="11">
        <v>2</v>
      </c>
      <c r="C537" s="11" t="s">
        <v>2</v>
      </c>
      <c r="D537" s="20" t="s">
        <v>3</v>
      </c>
    </row>
    <row r="538" spans="1:4">
      <c r="A538" s="19" t="str">
        <f t="shared" si="54"/>
        <v>АСУЭ.FB_IMs_S.CDOF</v>
      </c>
      <c r="B538" s="11">
        <v>1</v>
      </c>
      <c r="C538" s="11" t="s">
        <v>1</v>
      </c>
      <c r="D538" s="20">
        <v>11</v>
      </c>
    </row>
    <row r="539" spans="1:4">
      <c r="A539" s="19" t="str">
        <f t="shared" si="54"/>
        <v>АСУЭ.FB_IMs_S.CDOF</v>
      </c>
      <c r="B539" s="11">
        <v>101</v>
      </c>
      <c r="C539" s="11" t="s">
        <v>0</v>
      </c>
      <c r="D539" s="20" t="s">
        <v>165</v>
      </c>
    </row>
    <row r="540" spans="1:4">
      <c r="A540" s="19" t="str">
        <f t="shared" si="54"/>
        <v>АСУЭ.FB_IMs_S.CDOF</v>
      </c>
      <c r="B540" s="11">
        <v>7998</v>
      </c>
      <c r="C540" s="11" t="s">
        <v>6</v>
      </c>
      <c r="D540" s="20">
        <v>1</v>
      </c>
    </row>
    <row r="541" spans="1:4">
      <c r="A541" s="21" t="str">
        <f t="shared" si="54"/>
        <v>АСУЭ.FB_IMs_S.CDOF</v>
      </c>
      <c r="B541" s="8">
        <v>7999</v>
      </c>
      <c r="C541" s="8" t="s">
        <v>0</v>
      </c>
      <c r="D541" s="22" t="str">
        <f>"#"&amp;$S$2&amp;"#"&amp;$T$2&amp;"\"&amp;$P$2&amp;"\CDOF"</f>
        <v>#1#treiOPCDA.CoOPCserv.1\pcmaster\ZRU_OL1_s\CDOF</v>
      </c>
    </row>
    <row r="542" spans="1:4">
      <c r="A542" s="16" t="str">
        <f t="shared" ref="A542:A547" si="55">$R$2&amp;".XOFP"</f>
        <v>АСУЭ.FB_IMs_S.XOFP</v>
      </c>
      <c r="B542" s="17">
        <v>101</v>
      </c>
      <c r="C542" s="17" t="s">
        <v>0</v>
      </c>
      <c r="D542" s="18" t="s">
        <v>170</v>
      </c>
    </row>
    <row r="543" spans="1:4">
      <c r="A543" s="19" t="str">
        <f t="shared" si="55"/>
        <v>АСУЭ.FB_IMs_S.XOFP</v>
      </c>
      <c r="B543" s="11">
        <v>1</v>
      </c>
      <c r="C543" s="11" t="s">
        <v>1</v>
      </c>
      <c r="D543" s="20">
        <v>11</v>
      </c>
    </row>
    <row r="544" spans="1:4">
      <c r="A544" s="19" t="str">
        <f t="shared" si="55"/>
        <v>АСУЭ.FB_IMs_S.XOFP</v>
      </c>
      <c r="B544" s="11">
        <v>2</v>
      </c>
      <c r="C544" s="11" t="s">
        <v>2</v>
      </c>
      <c r="D544" s="20" t="s">
        <v>3</v>
      </c>
    </row>
    <row r="545" spans="1:4">
      <c r="A545" s="19" t="str">
        <f t="shared" si="55"/>
        <v>АСУЭ.FB_IMs_S.XOFP</v>
      </c>
      <c r="B545" s="11">
        <v>3</v>
      </c>
      <c r="C545" s="11" t="s">
        <v>1</v>
      </c>
      <c r="D545" s="20">
        <v>192</v>
      </c>
    </row>
    <row r="546" spans="1:4">
      <c r="A546" s="19" t="str">
        <f t="shared" si="55"/>
        <v>АСУЭ.FB_IMs_S.XOFP</v>
      </c>
      <c r="B546" s="11">
        <v>7998</v>
      </c>
      <c r="C546" s="11" t="s">
        <v>6</v>
      </c>
      <c r="D546" s="20">
        <v>1</v>
      </c>
    </row>
    <row r="547" spans="1:4">
      <c r="A547" s="21" t="str">
        <f t="shared" si="55"/>
        <v>АСУЭ.FB_IMs_S.XOFP</v>
      </c>
      <c r="B547" s="8">
        <v>7999</v>
      </c>
      <c r="C547" s="8" t="s">
        <v>0</v>
      </c>
      <c r="D547" s="22" t="str">
        <f>"#"&amp;$S$2&amp;"#"&amp;$T$2&amp;"\"&amp;$P$2&amp;"\XOFP"</f>
        <v>#1#treiOPCDA.CoOPCserv.1\pcmaster\ZRU_OL1_s\XOFP</v>
      </c>
    </row>
    <row r="548" spans="1:4">
      <c r="A548" s="16" t="str">
        <f t="shared" ref="A548:A553" si="56">$R$2&amp;".XSPP"</f>
        <v>АСУЭ.FB_IMs_S.XSPP</v>
      </c>
      <c r="B548" s="17">
        <v>7998</v>
      </c>
      <c r="C548" s="17" t="s">
        <v>6</v>
      </c>
      <c r="D548" s="18">
        <v>1</v>
      </c>
    </row>
    <row r="549" spans="1:4">
      <c r="A549" s="19" t="str">
        <f t="shared" si="56"/>
        <v>АСУЭ.FB_IMs_S.XSPP</v>
      </c>
      <c r="B549" s="11">
        <v>7999</v>
      </c>
      <c r="C549" s="11" t="s">
        <v>0</v>
      </c>
      <c r="D549" s="20" t="str">
        <f>"#"&amp;$S$2&amp;"#"&amp;$T$2&amp;"\"&amp;$P$2&amp;"\XSPP"</f>
        <v>#1#treiOPCDA.CoOPCserv.1\pcmaster\ZRU_OL1_s\XSPP</v>
      </c>
    </row>
    <row r="550" spans="1:4">
      <c r="A550" s="19" t="str">
        <f t="shared" si="56"/>
        <v>АСУЭ.FB_IMs_S.XSPP</v>
      </c>
      <c r="B550" s="11">
        <v>101</v>
      </c>
      <c r="C550" s="11" t="s">
        <v>0</v>
      </c>
      <c r="D550" s="20" t="s">
        <v>171</v>
      </c>
    </row>
    <row r="551" spans="1:4">
      <c r="A551" s="19" t="str">
        <f t="shared" si="56"/>
        <v>АСУЭ.FB_IMs_S.XSPP</v>
      </c>
      <c r="B551" s="11">
        <v>1</v>
      </c>
      <c r="C551" s="11" t="s">
        <v>1</v>
      </c>
      <c r="D551" s="20">
        <v>11</v>
      </c>
    </row>
    <row r="552" spans="1:4">
      <c r="A552" s="19" t="str">
        <f t="shared" si="56"/>
        <v>АСУЭ.FB_IMs_S.XSPP</v>
      </c>
      <c r="B552" s="11">
        <v>2</v>
      </c>
      <c r="C552" s="11" t="s">
        <v>2</v>
      </c>
      <c r="D552" s="20" t="s">
        <v>3</v>
      </c>
    </row>
    <row r="553" spans="1:4">
      <c r="A553" s="21" t="str">
        <f t="shared" si="56"/>
        <v>АСУЭ.FB_IMs_S.XSPP</v>
      </c>
      <c r="B553" s="8">
        <v>3</v>
      </c>
      <c r="C553" s="8" t="s">
        <v>1</v>
      </c>
      <c r="D553" s="22">
        <v>192</v>
      </c>
    </row>
    <row r="554" spans="1:4">
      <c r="A554" s="19" t="str">
        <f t="shared" ref="A554:A559" si="57">$R$2&amp;".SMMX"</f>
        <v>АСУЭ.FB_IMs_S.SMMX</v>
      </c>
      <c r="B554" s="11">
        <v>7999</v>
      </c>
      <c r="C554" s="11" t="s">
        <v>0</v>
      </c>
      <c r="D554" s="20" t="str">
        <f>"#"&amp;$S$2&amp;"#"&amp;$T$2&amp;"\"&amp;$P$2&amp;"\SMMX"</f>
        <v>#1#treiOPCDA.CoOPCserv.1\pcmaster\ZRU_OL1_s\SMMX</v>
      </c>
    </row>
    <row r="555" spans="1:4">
      <c r="A555" s="19" t="str">
        <f t="shared" si="57"/>
        <v>АСУЭ.FB_IMs_S.SMMX</v>
      </c>
      <c r="B555" s="11">
        <v>7998</v>
      </c>
      <c r="C555" s="11" t="s">
        <v>6</v>
      </c>
      <c r="D555" s="20">
        <v>1</v>
      </c>
    </row>
    <row r="556" spans="1:4">
      <c r="A556" s="19" t="str">
        <f t="shared" si="57"/>
        <v>АСУЭ.FB_IMs_S.SMMX</v>
      </c>
      <c r="B556" s="11">
        <v>101</v>
      </c>
      <c r="C556" s="11" t="s">
        <v>0</v>
      </c>
      <c r="D556" s="20" t="s">
        <v>251</v>
      </c>
    </row>
    <row r="557" spans="1:4">
      <c r="A557" s="19" t="str">
        <f t="shared" si="57"/>
        <v>АСУЭ.FB_IMs_S.SMMX</v>
      </c>
      <c r="B557" s="11">
        <v>3</v>
      </c>
      <c r="C557" s="11" t="s">
        <v>1</v>
      </c>
      <c r="D557" s="20">
        <v>192</v>
      </c>
    </row>
    <row r="558" spans="1:4">
      <c r="A558" s="19" t="str">
        <f t="shared" si="57"/>
        <v>АСУЭ.FB_IMs_S.SMMX</v>
      </c>
      <c r="B558" s="11">
        <v>2</v>
      </c>
      <c r="C558" s="11" t="s">
        <v>2</v>
      </c>
      <c r="D558" s="20" t="s">
        <v>3</v>
      </c>
    </row>
    <row r="559" spans="1:4">
      <c r="A559" s="21" t="str">
        <f t="shared" si="57"/>
        <v>АСУЭ.FB_IMs_S.SMMX</v>
      </c>
      <c r="B559" s="8">
        <v>1</v>
      </c>
      <c r="C559" s="8" t="s">
        <v>1</v>
      </c>
      <c r="D559" s="22">
        <v>11</v>
      </c>
    </row>
    <row r="560" spans="1:4">
      <c r="A560" s="294" t="str">
        <f t="shared" ref="A560:A565" si="58">$R$2&amp;".SRQX"</f>
        <v>АСУЭ.FB_IMs_S.SRQX</v>
      </c>
      <c r="B560" s="295">
        <v>101</v>
      </c>
      <c r="C560" s="295" t="s">
        <v>0</v>
      </c>
      <c r="D560" s="296" t="s">
        <v>125</v>
      </c>
    </row>
    <row r="561" spans="1:4">
      <c r="A561" s="288" t="str">
        <f t="shared" si="58"/>
        <v>АСУЭ.FB_IMs_S.SRQX</v>
      </c>
      <c r="B561" s="289">
        <v>3</v>
      </c>
      <c r="C561" s="289" t="s">
        <v>1</v>
      </c>
      <c r="D561" s="290">
        <v>192</v>
      </c>
    </row>
    <row r="562" spans="1:4">
      <c r="A562" s="288" t="str">
        <f t="shared" si="58"/>
        <v>АСУЭ.FB_IMs_S.SRQX</v>
      </c>
      <c r="B562" s="289">
        <v>2</v>
      </c>
      <c r="C562" s="289" t="s">
        <v>6</v>
      </c>
      <c r="D562" s="290">
        <v>0</v>
      </c>
    </row>
    <row r="563" spans="1:4">
      <c r="A563" s="288" t="str">
        <f t="shared" si="58"/>
        <v>АСУЭ.FB_IMs_S.SRQX</v>
      </c>
      <c r="B563" s="289">
        <v>1</v>
      </c>
      <c r="C563" s="289" t="s">
        <v>1</v>
      </c>
      <c r="D563" s="290">
        <v>3</v>
      </c>
    </row>
    <row r="564" spans="1:4">
      <c r="A564" s="288" t="str">
        <f t="shared" si="58"/>
        <v>АСУЭ.FB_IMs_S.SRQX</v>
      </c>
      <c r="B564" s="289">
        <v>7998</v>
      </c>
      <c r="C564" s="289" t="s">
        <v>6</v>
      </c>
      <c r="D564" s="290">
        <v>1</v>
      </c>
    </row>
    <row r="565" spans="1:4">
      <c r="A565" s="291" t="str">
        <f t="shared" si="58"/>
        <v>АСУЭ.FB_IMs_S.SRQX</v>
      </c>
      <c r="B565" s="292">
        <v>7999</v>
      </c>
      <c r="C565" s="292" t="s">
        <v>0</v>
      </c>
      <c r="D565" s="293" t="str">
        <f>"#"&amp;$S$2&amp;"#"&amp;$T$2&amp;"\"&amp;$P$2&amp;"\SRQX"</f>
        <v>#1#treiOPCDA.CoOPCserv.1\pcmaster\ZRU_OL1_s\SRQX</v>
      </c>
    </row>
    <row r="566" spans="1:4">
      <c r="A566" s="266" t="str">
        <f t="shared" ref="A566:A571" si="59">$R$2&amp;".TCON"</f>
        <v>АСУЭ.FB_IMs_S.TCON</v>
      </c>
      <c r="B566" s="267">
        <v>3</v>
      </c>
      <c r="C566" s="267" t="s">
        <v>1</v>
      </c>
      <c r="D566" s="268">
        <v>192</v>
      </c>
    </row>
    <row r="567" spans="1:4">
      <c r="A567" s="269" t="str">
        <f t="shared" si="59"/>
        <v>АСУЭ.FB_IMs_S.TCON</v>
      </c>
      <c r="B567" s="270">
        <v>2</v>
      </c>
      <c r="C567" s="270" t="s">
        <v>6</v>
      </c>
      <c r="D567" s="271">
        <v>0</v>
      </c>
    </row>
    <row r="568" spans="1:4">
      <c r="A568" s="269" t="str">
        <f t="shared" si="59"/>
        <v>АСУЭ.FB_IMs_S.TCON</v>
      </c>
      <c r="B568" s="270">
        <v>1</v>
      </c>
      <c r="C568" s="270" t="s">
        <v>1</v>
      </c>
      <c r="D568" s="271">
        <v>3</v>
      </c>
    </row>
    <row r="569" spans="1:4">
      <c r="A569" s="269" t="str">
        <f t="shared" si="59"/>
        <v>АСУЭ.FB_IMs_S.TCON</v>
      </c>
      <c r="B569" s="270">
        <v>101</v>
      </c>
      <c r="C569" s="270" t="s">
        <v>0</v>
      </c>
      <c r="D569" s="271" t="s">
        <v>274</v>
      </c>
    </row>
    <row r="570" spans="1:4">
      <c r="A570" s="269" t="str">
        <f t="shared" si="59"/>
        <v>АСУЭ.FB_IMs_S.TCON</v>
      </c>
      <c r="B570" s="270">
        <v>7998</v>
      </c>
      <c r="C570" s="270" t="s">
        <v>6</v>
      </c>
      <c r="D570" s="271">
        <v>1</v>
      </c>
    </row>
    <row r="571" spans="1:4">
      <c r="A571" s="272" t="str">
        <f t="shared" si="59"/>
        <v>АСУЭ.FB_IMs_S.TCON</v>
      </c>
      <c r="B571" s="273">
        <v>7999</v>
      </c>
      <c r="C571" s="273" t="s">
        <v>0</v>
      </c>
      <c r="D571" s="274" t="str">
        <f>"#"&amp;$S$2&amp;"#"&amp;$T$2&amp;"\"&amp;$P$2&amp;"\TCON"</f>
        <v>#1#treiOPCDA.CoOPCserv.1\pcmaster\ZRU_OL1_s\TCON</v>
      </c>
    </row>
    <row r="572" spans="1:4">
      <c r="A572" s="266" t="str">
        <f t="shared" ref="A572:A577" si="60">$R$2&amp;".TCOF"</f>
        <v>АСУЭ.FB_IMs_S.TCOF</v>
      </c>
      <c r="B572" s="267">
        <v>3</v>
      </c>
      <c r="C572" s="267" t="s">
        <v>1</v>
      </c>
      <c r="D572" s="268">
        <v>192</v>
      </c>
    </row>
    <row r="573" spans="1:4">
      <c r="A573" s="269" t="str">
        <f t="shared" si="60"/>
        <v>АСУЭ.FB_IMs_S.TCOF</v>
      </c>
      <c r="B573" s="270">
        <v>2</v>
      </c>
      <c r="C573" s="270" t="s">
        <v>6</v>
      </c>
      <c r="D573" s="271">
        <v>0</v>
      </c>
    </row>
    <row r="574" spans="1:4">
      <c r="A574" s="269" t="str">
        <f t="shared" si="60"/>
        <v>АСУЭ.FB_IMs_S.TCOF</v>
      </c>
      <c r="B574" s="270">
        <v>1</v>
      </c>
      <c r="C574" s="270" t="s">
        <v>1</v>
      </c>
      <c r="D574" s="271">
        <v>3</v>
      </c>
    </row>
    <row r="575" spans="1:4">
      <c r="A575" s="269" t="str">
        <f t="shared" si="60"/>
        <v>АСУЭ.FB_IMs_S.TCOF</v>
      </c>
      <c r="B575" s="270">
        <v>101</v>
      </c>
      <c r="C575" s="270" t="s">
        <v>0</v>
      </c>
      <c r="D575" s="271" t="s">
        <v>275</v>
      </c>
    </row>
    <row r="576" spans="1:4">
      <c r="A576" s="269" t="str">
        <f t="shared" si="60"/>
        <v>АСУЭ.FB_IMs_S.TCOF</v>
      </c>
      <c r="B576" s="270">
        <v>7998</v>
      </c>
      <c r="C576" s="270" t="s">
        <v>6</v>
      </c>
      <c r="D576" s="271">
        <v>1</v>
      </c>
    </row>
    <row r="577" spans="1:4">
      <c r="A577" s="272" t="str">
        <f t="shared" si="60"/>
        <v>АСУЭ.FB_IMs_S.TCOF</v>
      </c>
      <c r="B577" s="273">
        <v>7999</v>
      </c>
      <c r="C577" s="273" t="s">
        <v>0</v>
      </c>
      <c r="D577" s="274" t="str">
        <f>"#"&amp;$S$2&amp;"#"&amp;$T$2&amp;"\"&amp;$P$2&amp;"\TCOF"</f>
        <v>#1#treiOPCDA.CoOPCserv.1\pcmaster\ZRU_OL1_s\TCOF</v>
      </c>
    </row>
    <row r="578" spans="1:4">
      <c r="A578" s="266" t="str">
        <f t="shared" ref="A578:A583" si="61">$R$2&amp;".STSX"</f>
        <v>АСУЭ.FB_IMs_S.STSX</v>
      </c>
      <c r="B578" s="267">
        <v>101</v>
      </c>
      <c r="C578" s="267" t="s">
        <v>0</v>
      </c>
      <c r="D578" s="268" t="s">
        <v>128</v>
      </c>
    </row>
    <row r="579" spans="1:4">
      <c r="A579" s="269" t="str">
        <f t="shared" si="61"/>
        <v>АСУЭ.FB_IMs_S.STSX</v>
      </c>
      <c r="B579" s="270">
        <v>3</v>
      </c>
      <c r="C579" s="270" t="s">
        <v>1</v>
      </c>
      <c r="D579" s="271">
        <v>192</v>
      </c>
    </row>
    <row r="580" spans="1:4">
      <c r="A580" s="269" t="str">
        <f t="shared" si="61"/>
        <v>АСУЭ.FB_IMs_S.STSX</v>
      </c>
      <c r="B580" s="270">
        <v>2</v>
      </c>
      <c r="C580" s="270" t="s">
        <v>6</v>
      </c>
      <c r="D580" s="271">
        <v>0</v>
      </c>
    </row>
    <row r="581" spans="1:4">
      <c r="A581" s="269" t="str">
        <f t="shared" si="61"/>
        <v>АСУЭ.FB_IMs_S.STSX</v>
      </c>
      <c r="B581" s="270">
        <v>1</v>
      </c>
      <c r="C581" s="270" t="s">
        <v>1</v>
      </c>
      <c r="D581" s="271">
        <v>3</v>
      </c>
    </row>
    <row r="582" spans="1:4">
      <c r="A582" s="269" t="str">
        <f t="shared" si="61"/>
        <v>АСУЭ.FB_IMs_S.STSX</v>
      </c>
      <c r="B582" s="270">
        <v>7998</v>
      </c>
      <c r="C582" s="270" t="s">
        <v>6</v>
      </c>
      <c r="D582" s="271">
        <v>1</v>
      </c>
    </row>
    <row r="583" spans="1:4">
      <c r="A583" s="272" t="str">
        <f t="shared" si="61"/>
        <v>АСУЭ.FB_IMs_S.STSX</v>
      </c>
      <c r="B583" s="273">
        <v>7999</v>
      </c>
      <c r="C583" s="273" t="s">
        <v>0</v>
      </c>
      <c r="D583" s="274" t="str">
        <f>"#"&amp;$S$2&amp;"#"&amp;$T$2&amp;"\"&amp;$P$2&amp;"\STSX"</f>
        <v>#1#treiOPCDA.CoOPCserv.1\pcmaster\ZRU_OL1_s\STSX</v>
      </c>
    </row>
    <row r="584" spans="1:4">
      <c r="A584" s="266" t="str">
        <f t="shared" ref="A584:A589" si="62">$R$2&amp;".XRON"</f>
        <v>АСУЭ.FB_IMs_S.XRON</v>
      </c>
      <c r="B584" s="267">
        <v>101</v>
      </c>
      <c r="C584" s="267" t="s">
        <v>0</v>
      </c>
      <c r="D584" s="268" t="s">
        <v>172</v>
      </c>
    </row>
    <row r="585" spans="1:4">
      <c r="A585" s="269" t="str">
        <f t="shared" si="62"/>
        <v>АСУЭ.FB_IMs_S.XRON</v>
      </c>
      <c r="B585" s="270">
        <v>1</v>
      </c>
      <c r="C585" s="270" t="s">
        <v>1</v>
      </c>
      <c r="D585" s="271">
        <v>3</v>
      </c>
    </row>
    <row r="586" spans="1:4">
      <c r="A586" s="269" t="str">
        <f t="shared" si="62"/>
        <v>АСУЭ.FB_IMs_S.XRON</v>
      </c>
      <c r="B586" s="270">
        <v>2</v>
      </c>
      <c r="C586" s="270" t="s">
        <v>6</v>
      </c>
      <c r="D586" s="271">
        <v>0</v>
      </c>
    </row>
    <row r="587" spans="1:4">
      <c r="A587" s="269" t="str">
        <f t="shared" si="62"/>
        <v>АСУЭ.FB_IMs_S.XRON</v>
      </c>
      <c r="B587" s="270">
        <v>3</v>
      </c>
      <c r="C587" s="270" t="s">
        <v>1</v>
      </c>
      <c r="D587" s="271">
        <v>192</v>
      </c>
    </row>
    <row r="588" spans="1:4">
      <c r="A588" s="269" t="str">
        <f t="shared" si="62"/>
        <v>АСУЭ.FB_IMs_S.XRON</v>
      </c>
      <c r="B588" s="270">
        <v>7998</v>
      </c>
      <c r="C588" s="270" t="s">
        <v>6</v>
      </c>
      <c r="D588" s="271">
        <v>1</v>
      </c>
    </row>
    <row r="589" spans="1:4">
      <c r="A589" s="272" t="str">
        <f t="shared" si="62"/>
        <v>АСУЭ.FB_IMs_S.XRON</v>
      </c>
      <c r="B589" s="273">
        <v>7999</v>
      </c>
      <c r="C589" s="273" t="s">
        <v>0</v>
      </c>
      <c r="D589" s="274" t="str">
        <f>"#"&amp;$S$2&amp;"#"&amp;$T$2&amp;"\"&amp;$P$2&amp;"\XRON"</f>
        <v>#1#treiOPCDA.CoOPCserv.1\pcmaster\ZRU_OL1_s\XRON</v>
      </c>
    </row>
    <row r="590" spans="1:4">
      <c r="A590" s="266" t="str">
        <f t="shared" ref="A590:A595" si="63">$R$2&amp;".XROF"</f>
        <v>АСУЭ.FB_IMs_S.XROF</v>
      </c>
      <c r="B590" s="267">
        <v>101</v>
      </c>
      <c r="C590" s="267" t="s">
        <v>0</v>
      </c>
      <c r="D590" s="268" t="s">
        <v>173</v>
      </c>
    </row>
    <row r="591" spans="1:4">
      <c r="A591" s="269" t="str">
        <f t="shared" si="63"/>
        <v>АСУЭ.FB_IMs_S.XROF</v>
      </c>
      <c r="B591" s="270">
        <v>1</v>
      </c>
      <c r="C591" s="270" t="s">
        <v>1</v>
      </c>
      <c r="D591" s="271">
        <v>3</v>
      </c>
    </row>
    <row r="592" spans="1:4">
      <c r="A592" s="269" t="str">
        <f t="shared" si="63"/>
        <v>АСУЭ.FB_IMs_S.XROF</v>
      </c>
      <c r="B592" s="270">
        <v>2</v>
      </c>
      <c r="C592" s="270" t="s">
        <v>6</v>
      </c>
      <c r="D592" s="271">
        <v>0</v>
      </c>
    </row>
    <row r="593" spans="1:4">
      <c r="A593" s="269" t="str">
        <f t="shared" si="63"/>
        <v>АСУЭ.FB_IMs_S.XROF</v>
      </c>
      <c r="B593" s="270">
        <v>3</v>
      </c>
      <c r="C593" s="270" t="s">
        <v>1</v>
      </c>
      <c r="D593" s="271">
        <v>192</v>
      </c>
    </row>
    <row r="594" spans="1:4">
      <c r="A594" s="269" t="str">
        <f t="shared" si="63"/>
        <v>АСУЭ.FB_IMs_S.XROF</v>
      </c>
      <c r="B594" s="270">
        <v>7998</v>
      </c>
      <c r="C594" s="270" t="s">
        <v>6</v>
      </c>
      <c r="D594" s="271">
        <v>1</v>
      </c>
    </row>
    <row r="595" spans="1:4">
      <c r="A595" s="272" t="str">
        <f t="shared" si="63"/>
        <v>АСУЭ.FB_IMs_S.XROF</v>
      </c>
      <c r="B595" s="273">
        <v>7999</v>
      </c>
      <c r="C595" s="273" t="s">
        <v>0</v>
      </c>
      <c r="D595" s="274" t="str">
        <f>"#"&amp;$S$2&amp;"#"&amp;$T$2&amp;"\"&amp;$P$2&amp;"\XROF"</f>
        <v>#1#treiOPCDA.CoOPCserv.1\pcmaster\ZRU_OL1_s\XROF</v>
      </c>
    </row>
  </sheetData>
  <autoFilter ref="B1:B595" xr:uid="{00000000-0009-0000-0000-000012000000}"/>
  <mergeCells count="1">
    <mergeCell ref="Q23:Q24"/>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Лист47">
    <tabColor rgb="FFFFC000"/>
  </sheetPr>
  <dimension ref="A1:BP673"/>
  <sheetViews>
    <sheetView topLeftCell="A13" zoomScale="85" zoomScaleNormal="85"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62"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1"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61"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61" t="str">
        <f>Таблица!AL1</f>
        <v>Для TREI
FB_IMstp_S, FB_IMs_S, FB_IMp_S, FB_IMv_S, FB_IM_ADES_S: Настройка перехода ручной-/автоматический-(TRUE/FALSE) 
FB_DI_S: Генерировать метки времени (TRUE/FALSE)</v>
      </c>
      <c r="AY1" s="261"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61" t="str">
        <f>Таблица!AN1</f>
        <v>Для TREI
FB_AI_S, FB_QSA_S: Верхний предел датчика
FB_IMp_S, FB_IMv_S, FB_IM_ADES_S, FB_OZK_KD_S: Время перестановки</v>
      </c>
      <c r="BA1" s="261"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t="s">
        <v>246</v>
      </c>
      <c r="Q2" s="2" t="s">
        <v>769</v>
      </c>
      <c r="R2" s="2" t="s">
        <v>783</v>
      </c>
      <c r="S2" s="3">
        <v>1</v>
      </c>
      <c r="T2" s="3" t="s">
        <v>1698</v>
      </c>
      <c r="U2" s="3"/>
      <c r="V2" s="3" t="s">
        <v>569</v>
      </c>
      <c r="W2" s="12"/>
      <c r="X2" s="12" t="s">
        <v>327</v>
      </c>
      <c r="Y2" s="12"/>
      <c r="Z2" s="12"/>
      <c r="AA2" s="12"/>
      <c r="AB2" s="2"/>
      <c r="AC2" s="2" t="s">
        <v>307</v>
      </c>
      <c r="AD2" s="2"/>
      <c r="AE2" s="2" t="s">
        <v>1414</v>
      </c>
      <c r="AF2" s="2"/>
      <c r="AG2" s="2"/>
      <c r="AH2" s="2"/>
      <c r="AI2" s="2"/>
      <c r="AJ2" s="2"/>
      <c r="AK2" s="2"/>
      <c r="AL2" s="2" t="s">
        <v>1258</v>
      </c>
      <c r="AM2" s="2" t="s">
        <v>1259</v>
      </c>
      <c r="AN2" s="2" t="s">
        <v>1260</v>
      </c>
      <c r="AO2" s="2" t="s">
        <v>1261</v>
      </c>
      <c r="AP2" s="2" t="s">
        <v>1262</v>
      </c>
      <c r="AQ2" s="2" t="s">
        <v>1263</v>
      </c>
      <c r="AR2" s="2" t="s">
        <v>1264</v>
      </c>
      <c r="AS2" s="2" t="s">
        <v>1265</v>
      </c>
      <c r="AT2" s="2"/>
      <c r="AU2" s="2"/>
      <c r="AV2" s="2" t="s">
        <v>1266</v>
      </c>
      <c r="AW2" s="2"/>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AB3" s="10"/>
      <c r="AC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AB4" s="10"/>
      <c r="AC4" s="10"/>
      <c r="BM4" s="4"/>
      <c r="BN4" s="4"/>
      <c r="BO4" s="4"/>
      <c r="BP4" s="4"/>
    </row>
    <row r="5" spans="1:68"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AB5" s="10"/>
      <c r="AC5" s="10"/>
      <c r="BM5" s="4"/>
      <c r="BN5" s="4"/>
      <c r="BO5" s="4"/>
      <c r="BP5" s="4"/>
    </row>
    <row r="6" spans="1:68"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AB6" s="10"/>
      <c r="AC6" s="10"/>
      <c r="BM6" s="4"/>
      <c r="BN6" s="4"/>
      <c r="BO6" s="4"/>
      <c r="BP6" s="4"/>
    </row>
    <row r="7" spans="1:68"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AB7" s="10"/>
      <c r="AC7" s="10"/>
      <c r="BM7" s="4"/>
      <c r="BN7" s="4"/>
      <c r="BO7" s="4"/>
      <c r="BP7" s="4"/>
    </row>
    <row r="8" spans="1:68" ht="15" customHeight="1">
      <c r="A8" s="9"/>
      <c r="B8" s="9"/>
      <c r="C8" s="9"/>
      <c r="D8" s="9"/>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AB8" s="10"/>
      <c r="AC8" s="10"/>
      <c r="BM8" s="4"/>
      <c r="BN8" s="4"/>
      <c r="BO8" s="4"/>
      <c r="BP8" s="4"/>
    </row>
    <row r="9" spans="1:68" ht="15" customHeight="1">
      <c r="A9" s="9"/>
      <c r="B9" s="9"/>
      <c r="C9" s="9"/>
      <c r="D9" s="9"/>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AB9" s="10"/>
      <c r="AC9" s="10"/>
      <c r="BM9" s="4"/>
      <c r="BN9" s="4"/>
      <c r="BO9" s="4"/>
      <c r="BP9" s="4"/>
    </row>
    <row r="10" spans="1:68" ht="15" customHeight="1">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AB10" s="10"/>
      <c r="AC10" s="10"/>
      <c r="BM10" s="4"/>
      <c r="BN10" s="4"/>
      <c r="BO10" s="4"/>
      <c r="BP10" s="4"/>
    </row>
    <row r="11" spans="1:68" ht="15" customHeight="1">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AB11" s="10"/>
      <c r="AC11" s="10"/>
      <c r="BM11" s="4"/>
      <c r="BN11" s="4"/>
      <c r="BO11" s="4"/>
      <c r="BP11" s="4"/>
    </row>
    <row r="12" spans="1:68"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AB12" s="10"/>
      <c r="AC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AB13" s="10"/>
      <c r="AC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AB14" s="10"/>
      <c r="AC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AB15" s="10"/>
      <c r="AC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AB16" s="10"/>
      <c r="AC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AB17" s="10"/>
      <c r="AC17" s="10"/>
      <c r="BM17" s="4"/>
      <c r="BN17" s="4"/>
      <c r="BO17" s="4"/>
      <c r="BP17" s="4"/>
    </row>
    <row r="18" spans="1:68"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AB18" s="10"/>
      <c r="AC18" s="10"/>
      <c r="BM18" s="4"/>
      <c r="BN18" s="4"/>
      <c r="BO18" s="4"/>
      <c r="BP18" s="4"/>
    </row>
    <row r="19" spans="1:68"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AB19" s="10"/>
      <c r="AC19" s="10"/>
      <c r="BM19" s="4"/>
      <c r="BN19" s="4"/>
      <c r="BO19" s="4"/>
      <c r="BP19" s="4"/>
    </row>
    <row r="20" spans="1:68">
      <c r="A20" s="16" t="str">
        <f t="shared" ref="A20:A41" si="0">$R$2</f>
        <v>АСУЭ.FB_IMsp_S</v>
      </c>
      <c r="B20" s="17">
        <v>11001</v>
      </c>
      <c r="C20" s="17" t="s">
        <v>0</v>
      </c>
      <c r="D20" s="18" t="str">
        <f>$Q$2&amp;". "</f>
        <v xml:space="preserve">Выключатель электрический без тележки. </v>
      </c>
    </row>
    <row r="21" spans="1:68">
      <c r="A21" s="19" t="str">
        <f t="shared" si="0"/>
        <v>АСУЭ.FB_IMsp_S</v>
      </c>
      <c r="B21" s="11">
        <v>1</v>
      </c>
      <c r="C21" s="11" t="s">
        <v>1</v>
      </c>
      <c r="D21" s="20">
        <v>17</v>
      </c>
    </row>
    <row r="22" spans="1:68">
      <c r="A22" s="19" t="str">
        <f t="shared" si="0"/>
        <v>АСУЭ.FB_IMsp_S</v>
      </c>
      <c r="B22" s="11">
        <v>11156</v>
      </c>
      <c r="C22" s="11" t="s">
        <v>0</v>
      </c>
      <c r="D22" s="20" t="str">
        <f>$V$2</f>
        <v>Тестовый экран</v>
      </c>
    </row>
    <row r="23" spans="1:68">
      <c r="A23" s="23" t="str">
        <f>$R$2</f>
        <v>АСУЭ.FB_IMsp_S</v>
      </c>
      <c r="B23" s="24">
        <v>9219</v>
      </c>
      <c r="C23" s="24" t="s">
        <v>2</v>
      </c>
      <c r="D23" s="25" t="s">
        <v>3</v>
      </c>
      <c r="Q23" s="778" t="s">
        <v>420</v>
      </c>
    </row>
    <row r="24" spans="1:68">
      <c r="A24" s="29" t="str">
        <f>$R$2</f>
        <v>АСУЭ.FB_IMsp_S</v>
      </c>
      <c r="B24" s="27">
        <v>3009219</v>
      </c>
      <c r="C24" s="27" t="s">
        <v>0</v>
      </c>
      <c r="D24" s="28" t="str">
        <f>$X$2</f>
        <v>!АСУЭ.ЗРУиКТП.DI_1.XVLX.value &amp;&amp; АСУЭ.ЗРУиКТП.IMstp_1.XONX.value &amp;&amp; АСУЭ.ЗРУиКТП.IMstp_1.XTON.value</v>
      </c>
      <c r="Q24" s="779"/>
    </row>
    <row r="25" spans="1:68" ht="15" customHeight="1">
      <c r="A25" s="16" t="str">
        <f t="shared" si="0"/>
        <v>АСУЭ.FB_IMsp_S</v>
      </c>
      <c r="B25" s="17">
        <v>100</v>
      </c>
      <c r="C25" s="17" t="s">
        <v>0</v>
      </c>
      <c r="D25" s="18" t="b">
        <f>$T$7</f>
        <v>0</v>
      </c>
      <c r="BF25" s="4"/>
      <c r="BG25" s="4"/>
      <c r="BH25" s="4"/>
      <c r="BI25" s="4"/>
    </row>
    <row r="26" spans="1:68">
      <c r="A26" s="29" t="str">
        <f>$R$2</f>
        <v>АСУЭ.FB_IMsp_S</v>
      </c>
      <c r="B26" s="1">
        <v>7011</v>
      </c>
      <c r="C26" s="1" t="s">
        <v>2</v>
      </c>
      <c r="D26" s="30" t="s">
        <v>266</v>
      </c>
    </row>
    <row r="27" spans="1:68" ht="15" customHeight="1">
      <c r="A27" s="19" t="str">
        <f t="shared" si="0"/>
        <v>АСУЭ.FB_IMsp_S</v>
      </c>
      <c r="B27" s="11">
        <v>9218</v>
      </c>
      <c r="C27" s="11" t="s">
        <v>2</v>
      </c>
      <c r="D27" s="20" t="s">
        <v>3</v>
      </c>
      <c r="BF27" s="4"/>
      <c r="BG27" s="4"/>
      <c r="BH27" s="4"/>
      <c r="BI27" s="4"/>
    </row>
    <row r="28" spans="1:68">
      <c r="A28" s="19" t="str">
        <f t="shared" si="0"/>
        <v>АСУЭ.FB_IMsp_S</v>
      </c>
      <c r="B28" s="11">
        <v>11120</v>
      </c>
      <c r="C28" s="11" t="s">
        <v>0</v>
      </c>
      <c r="D28" s="20" t="str">
        <f>$AC$2</f>
        <v>Синий</v>
      </c>
    </row>
    <row r="29" spans="1:68">
      <c r="A29" s="19" t="str">
        <f t="shared" si="0"/>
        <v>АСУЭ.FB_IMsp_S</v>
      </c>
      <c r="B29" s="11">
        <v>11121</v>
      </c>
      <c r="C29" s="11" t="s">
        <v>0</v>
      </c>
      <c r="D29" s="20" t="str">
        <f>$AL$2</f>
        <v>1+27</v>
      </c>
    </row>
    <row r="30" spans="1:68">
      <c r="A30" s="19" t="str">
        <f t="shared" si="0"/>
        <v>АСУЭ.FB_IMsp_S</v>
      </c>
      <c r="B30" s="11">
        <v>11122</v>
      </c>
      <c r="C30" s="11" t="s">
        <v>0</v>
      </c>
      <c r="D30" s="20" t="str">
        <f>$AM$2</f>
        <v>1+28</v>
      </c>
    </row>
    <row r="31" spans="1:68">
      <c r="A31" s="19" t="str">
        <f t="shared" si="0"/>
        <v>АСУЭ.FB_IMsp_S</v>
      </c>
      <c r="B31" s="11">
        <v>11123</v>
      </c>
      <c r="C31" s="11" t="s">
        <v>0</v>
      </c>
      <c r="D31" s="20" t="str">
        <f>$AN$2</f>
        <v>1+29</v>
      </c>
    </row>
    <row r="32" spans="1:68">
      <c r="A32" s="19" t="str">
        <f t="shared" si="0"/>
        <v>АСУЭ.FB_IMsp_S</v>
      </c>
      <c r="B32" s="11">
        <v>11124</v>
      </c>
      <c r="C32" s="11" t="s">
        <v>0</v>
      </c>
      <c r="D32" s="20" t="str">
        <f>$AO$2</f>
        <v>1+30</v>
      </c>
    </row>
    <row r="33" spans="1:61">
      <c r="A33" s="19" t="str">
        <f t="shared" si="0"/>
        <v>АСУЭ.FB_IMsp_S</v>
      </c>
      <c r="B33" s="11">
        <v>11125</v>
      </c>
      <c r="C33" s="11" t="s">
        <v>0</v>
      </c>
      <c r="D33" s="20" t="str">
        <f>$AP$2</f>
        <v>1+31</v>
      </c>
    </row>
    <row r="34" spans="1:61">
      <c r="A34" s="19" t="str">
        <f t="shared" si="0"/>
        <v>АСУЭ.FB_IMsp_S</v>
      </c>
      <c r="B34" s="11">
        <v>11126</v>
      </c>
      <c r="C34" s="11" t="s">
        <v>0</v>
      </c>
      <c r="D34" s="20" t="str">
        <f>$AQ$2</f>
        <v>2+12</v>
      </c>
    </row>
    <row r="35" spans="1:61">
      <c r="A35" s="19" t="str">
        <f t="shared" si="0"/>
        <v>АСУЭ.FB_IMsp_S</v>
      </c>
      <c r="B35" s="11">
        <v>11127</v>
      </c>
      <c r="C35" s="11" t="s">
        <v>0</v>
      </c>
      <c r="D35" s="20" t="str">
        <f>$AR$2</f>
        <v>2+13</v>
      </c>
    </row>
    <row r="36" spans="1:61">
      <c r="A36" s="19" t="str">
        <f t="shared" si="0"/>
        <v>АСУЭ.FB_IMsp_S</v>
      </c>
      <c r="B36" s="11">
        <v>11128</v>
      </c>
      <c r="C36" s="11" t="s">
        <v>0</v>
      </c>
      <c r="D36" s="20" t="str">
        <f>$AS$2</f>
        <v>1+32</v>
      </c>
    </row>
    <row r="37" spans="1:61">
      <c r="A37" s="19" t="str">
        <f t="shared" si="0"/>
        <v>АСУЭ.FB_IMsp_S</v>
      </c>
      <c r="B37" s="11">
        <v>11136</v>
      </c>
      <c r="C37" s="11" t="s">
        <v>0</v>
      </c>
      <c r="D37" s="20" t="str">
        <f>$AV$2</f>
        <v>6+1</v>
      </c>
    </row>
    <row r="38" spans="1:61">
      <c r="A38" s="16" t="str">
        <f t="shared" si="0"/>
        <v>АСУЭ.FB_IMsp_S</v>
      </c>
      <c r="B38" s="17">
        <v>13</v>
      </c>
      <c r="C38" s="17" t="s">
        <v>2</v>
      </c>
      <c r="D38" s="18" t="s">
        <v>3</v>
      </c>
    </row>
    <row r="39" spans="1:61" ht="15" customHeight="1">
      <c r="A39" s="19" t="str">
        <f t="shared" si="0"/>
        <v>АСУЭ.FB_IMsp_S</v>
      </c>
      <c r="B39" s="11">
        <v>3000013</v>
      </c>
      <c r="C39" s="11" t="s">
        <v>0</v>
      </c>
      <c r="D39" s="20" t="str">
        <f>$AE$2</f>
        <v>Диагностика.CPU.NOT_LINK.noLink</v>
      </c>
      <c r="BF39" s="4"/>
      <c r="BG39" s="4"/>
      <c r="BH39" s="4"/>
      <c r="BI39" s="4"/>
    </row>
    <row r="40" spans="1:61" ht="15" customHeight="1">
      <c r="A40" s="19" t="str">
        <f t="shared" si="0"/>
        <v>АСУЭ.FB_IMsp_S</v>
      </c>
      <c r="B40" s="11">
        <v>4000013</v>
      </c>
      <c r="C40" s="11" t="s">
        <v>0</v>
      </c>
      <c r="D40" s="20" t="s">
        <v>1770</v>
      </c>
      <c r="BF40" s="4"/>
      <c r="BG40" s="4"/>
      <c r="BH40" s="4"/>
      <c r="BI40" s="4"/>
    </row>
    <row r="41" spans="1:61" ht="15" customHeight="1">
      <c r="A41" s="21" t="str">
        <f t="shared" si="0"/>
        <v>АСУЭ.FB_IMsp_S</v>
      </c>
      <c r="B41" s="8">
        <v>7000013</v>
      </c>
      <c r="C41" s="8" t="s">
        <v>6</v>
      </c>
      <c r="D41" s="22">
        <v>2</v>
      </c>
      <c r="BF41" s="4"/>
      <c r="BG41" s="4"/>
      <c r="BH41" s="4"/>
      <c r="BI41" s="4"/>
    </row>
    <row r="42" spans="1:61">
      <c r="A42" s="16" t="str">
        <f t="shared" ref="A42:A51" si="1">$R$2&amp;".FPTX"</f>
        <v>АСУЭ.FB_IMsp_S.FPTX</v>
      </c>
      <c r="B42" s="17">
        <v>3</v>
      </c>
      <c r="C42" s="17" t="s">
        <v>1</v>
      </c>
      <c r="D42" s="18">
        <v>192</v>
      </c>
    </row>
    <row r="43" spans="1:61">
      <c r="A43" s="19" t="str">
        <f t="shared" si="1"/>
        <v>АСУЭ.FB_IMsp_S.FPTX</v>
      </c>
      <c r="B43" s="11">
        <v>2</v>
      </c>
      <c r="C43" s="11" t="s">
        <v>2</v>
      </c>
      <c r="D43" s="20" t="s">
        <v>3</v>
      </c>
    </row>
    <row r="44" spans="1:61">
      <c r="A44" s="19" t="str">
        <f t="shared" si="1"/>
        <v>АСУЭ.FB_IMsp_S.FPTX</v>
      </c>
      <c r="B44" s="11">
        <v>1</v>
      </c>
      <c r="C44" s="11" t="s">
        <v>1</v>
      </c>
      <c r="D44" s="20">
        <v>11</v>
      </c>
    </row>
    <row r="45" spans="1:61">
      <c r="A45" s="19" t="str">
        <f t="shared" si="1"/>
        <v>АСУЭ.FB_IMsp_S.FPTX</v>
      </c>
      <c r="B45" s="11">
        <v>101</v>
      </c>
      <c r="C45" s="11" t="s">
        <v>0</v>
      </c>
      <c r="D45" s="20" t="s">
        <v>140</v>
      </c>
    </row>
    <row r="46" spans="1:61">
      <c r="A46" s="19" t="str">
        <f t="shared" si="1"/>
        <v>АСУЭ.FB_IMsp_S.FPTX</v>
      </c>
      <c r="B46" s="11">
        <v>7998</v>
      </c>
      <c r="C46" s="11" t="s">
        <v>6</v>
      </c>
      <c r="D46" s="20">
        <v>1</v>
      </c>
    </row>
    <row r="47" spans="1:61">
      <c r="A47" s="19" t="str">
        <f t="shared" si="1"/>
        <v>АСУЭ.FB_IMsp_S.FPTX</v>
      </c>
      <c r="B47" s="11">
        <v>7999</v>
      </c>
      <c r="C47" s="11" t="s">
        <v>0</v>
      </c>
      <c r="D47" s="20" t="str">
        <f>"#"&amp;$S$2&amp;"#"&amp;$T$2&amp;"\"&amp;$P$2&amp;"\FPTX"</f>
        <v>#1#treiOPCDA.CoOPCserv.1\pcmaster\ZRU_OL1\FPTX</v>
      </c>
    </row>
    <row r="48" spans="1:61">
      <c r="A48" s="148" t="str">
        <f t="shared" si="1"/>
        <v>АСУЭ.FB_IMsp_S.FPTX</v>
      </c>
      <c r="B48" s="149">
        <v>11154</v>
      </c>
      <c r="C48" s="149" t="s">
        <v>4</v>
      </c>
      <c r="D48" s="125">
        <f>$Q$5</f>
        <v>4</v>
      </c>
    </row>
    <row r="49" spans="1:4">
      <c r="A49" s="148" t="str">
        <f t="shared" si="1"/>
        <v>АСУЭ.FB_IMsp_S.FPTX</v>
      </c>
      <c r="B49" s="149">
        <v>11152</v>
      </c>
      <c r="C49" s="149" t="s">
        <v>0</v>
      </c>
      <c r="D49" s="125" t="str">
        <f>$R$5</f>
        <v>Авария</v>
      </c>
    </row>
    <row r="50" spans="1:4">
      <c r="A50" s="148" t="str">
        <f t="shared" si="1"/>
        <v>АСУЭ.FB_IMsp_S.FPTX</v>
      </c>
      <c r="B50" s="149">
        <v>11150</v>
      </c>
      <c r="C50" s="149" t="s">
        <v>0</v>
      </c>
      <c r="D50" s="125" t="s">
        <v>141</v>
      </c>
    </row>
    <row r="51" spans="1:4">
      <c r="A51" s="167" t="str">
        <f t="shared" si="1"/>
        <v>АСУЭ.FB_IMsp_S.FPTX</v>
      </c>
      <c r="B51" s="168">
        <v>11000</v>
      </c>
      <c r="C51" s="168" t="s">
        <v>5</v>
      </c>
      <c r="D51" s="169">
        <v>2147483680</v>
      </c>
    </row>
    <row r="52" spans="1:4">
      <c r="A52" s="16" t="str">
        <f t="shared" ref="A52:A61" si="2">$R$2&amp;".ILCX"</f>
        <v>АСУЭ.FB_IMsp_S.ILCX</v>
      </c>
      <c r="B52" s="17">
        <v>101</v>
      </c>
      <c r="C52" s="17" t="s">
        <v>0</v>
      </c>
      <c r="D52" s="18" t="s">
        <v>577</v>
      </c>
    </row>
    <row r="53" spans="1:4">
      <c r="A53" s="19" t="str">
        <f t="shared" si="2"/>
        <v>АСУЭ.FB_IMsp_S.ILCX</v>
      </c>
      <c r="B53" s="11">
        <v>1</v>
      </c>
      <c r="C53" s="11" t="s">
        <v>1</v>
      </c>
      <c r="D53" s="20">
        <v>11</v>
      </c>
    </row>
    <row r="54" spans="1:4">
      <c r="A54" s="19" t="str">
        <f t="shared" si="2"/>
        <v>АСУЭ.FB_IMsp_S.ILCX</v>
      </c>
      <c r="B54" s="11">
        <v>2</v>
      </c>
      <c r="C54" s="11" t="s">
        <v>2</v>
      </c>
      <c r="D54" s="20" t="s">
        <v>3</v>
      </c>
    </row>
    <row r="55" spans="1:4">
      <c r="A55" s="19" t="str">
        <f t="shared" si="2"/>
        <v>АСУЭ.FB_IMsp_S.ILCX</v>
      </c>
      <c r="B55" s="11">
        <v>3</v>
      </c>
      <c r="C55" s="11" t="s">
        <v>1</v>
      </c>
      <c r="D55" s="20">
        <v>192</v>
      </c>
    </row>
    <row r="56" spans="1:4">
      <c r="A56" s="19" t="str">
        <f t="shared" si="2"/>
        <v>АСУЭ.FB_IMsp_S.ILCX</v>
      </c>
      <c r="B56" s="11">
        <v>7998</v>
      </c>
      <c r="C56" s="11" t="s">
        <v>6</v>
      </c>
      <c r="D56" s="20">
        <v>1</v>
      </c>
    </row>
    <row r="57" spans="1:4">
      <c r="A57" s="19" t="str">
        <f t="shared" si="2"/>
        <v>АСУЭ.FB_IMsp_S.ILCX</v>
      </c>
      <c r="B57" s="11">
        <v>7999</v>
      </c>
      <c r="C57" s="11" t="s">
        <v>0</v>
      </c>
      <c r="D57" s="20" t="str">
        <f>"#"&amp;$S$2&amp;"#"&amp;$T$2&amp;"\"&amp;$P$2&amp;"\ILCX"</f>
        <v>#1#treiOPCDA.CoOPCserv.1\pcmaster\ZRU_OL1\ILCX</v>
      </c>
    </row>
    <row r="58" spans="1:4">
      <c r="A58" s="63" t="str">
        <f t="shared" si="2"/>
        <v>АСУЭ.FB_IMsp_S.ILCX</v>
      </c>
      <c r="B58" s="64">
        <v>11154</v>
      </c>
      <c r="C58" s="64" t="s">
        <v>4</v>
      </c>
      <c r="D58" s="65">
        <f>$Q$6</f>
        <v>8</v>
      </c>
    </row>
    <row r="59" spans="1:4">
      <c r="A59" s="63" t="str">
        <f t="shared" si="2"/>
        <v>АСУЭ.FB_IMsp_S.ILCX</v>
      </c>
      <c r="B59" s="64">
        <v>11150</v>
      </c>
      <c r="C59" s="64" t="s">
        <v>0</v>
      </c>
      <c r="D59" s="65" t="s">
        <v>169</v>
      </c>
    </row>
    <row r="60" spans="1:4">
      <c r="A60" s="63" t="str">
        <f t="shared" si="2"/>
        <v>АСУЭ.FB_IMsp_S.ILCX</v>
      </c>
      <c r="B60" s="64">
        <v>11000</v>
      </c>
      <c r="C60" s="64" t="s">
        <v>5</v>
      </c>
      <c r="D60" s="65">
        <v>2147483680</v>
      </c>
    </row>
    <row r="61" spans="1:4">
      <c r="A61" s="66" t="str">
        <f t="shared" si="2"/>
        <v>АСУЭ.FB_IMsp_S.ILCX</v>
      </c>
      <c r="B61" s="67">
        <v>11152</v>
      </c>
      <c r="C61" s="67" t="s">
        <v>0</v>
      </c>
      <c r="D61" s="68" t="str">
        <f>$R$6</f>
        <v>Предупреждение</v>
      </c>
    </row>
    <row r="62" spans="1:4">
      <c r="A62" s="16" t="str">
        <f t="shared" ref="A62:A71" si="3">$R$2&amp;".FRQX"</f>
        <v>АСУЭ.FB_IMsp_S.FRQX</v>
      </c>
      <c r="B62" s="17">
        <v>101</v>
      </c>
      <c r="C62" s="17" t="s">
        <v>0</v>
      </c>
      <c r="D62" s="18" t="s">
        <v>157</v>
      </c>
    </row>
    <row r="63" spans="1:4">
      <c r="A63" s="19" t="str">
        <f t="shared" si="3"/>
        <v>АСУЭ.FB_IMsp_S.FRQX</v>
      </c>
      <c r="B63" s="11">
        <v>1</v>
      </c>
      <c r="C63" s="11" t="s">
        <v>1</v>
      </c>
      <c r="D63" s="20">
        <v>11</v>
      </c>
    </row>
    <row r="64" spans="1:4">
      <c r="A64" s="19" t="str">
        <f t="shared" si="3"/>
        <v>АСУЭ.FB_IMsp_S.FRQX</v>
      </c>
      <c r="B64" s="11">
        <v>2</v>
      </c>
      <c r="C64" s="11" t="s">
        <v>2</v>
      </c>
      <c r="D64" s="20" t="s">
        <v>3</v>
      </c>
    </row>
    <row r="65" spans="1:4">
      <c r="A65" s="19" t="str">
        <f t="shared" si="3"/>
        <v>АСУЭ.FB_IMsp_S.FRQX</v>
      </c>
      <c r="B65" s="11">
        <v>3</v>
      </c>
      <c r="C65" s="11" t="s">
        <v>1</v>
      </c>
      <c r="D65" s="20">
        <v>192</v>
      </c>
    </row>
    <row r="66" spans="1:4">
      <c r="A66" s="19" t="str">
        <f t="shared" si="3"/>
        <v>АСУЭ.FB_IMsp_S.FRQX</v>
      </c>
      <c r="B66" s="11">
        <v>7998</v>
      </c>
      <c r="C66" s="11" t="s">
        <v>6</v>
      </c>
      <c r="D66" s="20">
        <v>1</v>
      </c>
    </row>
    <row r="67" spans="1:4">
      <c r="A67" s="19" t="str">
        <f t="shared" si="3"/>
        <v>АСУЭ.FB_IMsp_S.FRQX</v>
      </c>
      <c r="B67" s="11">
        <v>7999</v>
      </c>
      <c r="C67" s="11" t="s">
        <v>0</v>
      </c>
      <c r="D67" s="20" t="str">
        <f>"#"&amp;$S$2&amp;"#"&amp;$T$2&amp;"\"&amp;$P$2&amp;"\FRQX"</f>
        <v>#1#treiOPCDA.CoOPCserv.1\pcmaster\ZRU_OL1\FRQX</v>
      </c>
    </row>
    <row r="68" spans="1:4">
      <c r="A68" s="63" t="str">
        <f t="shared" si="3"/>
        <v>АСУЭ.FB_IMsp_S.FRQX</v>
      </c>
      <c r="B68" s="64">
        <v>11154</v>
      </c>
      <c r="C68" s="64" t="s">
        <v>4</v>
      </c>
      <c r="D68" s="65">
        <f>$Q$6</f>
        <v>8</v>
      </c>
    </row>
    <row r="69" spans="1:4">
      <c r="A69" s="63" t="str">
        <f t="shared" si="3"/>
        <v>АСУЭ.FB_IMsp_S.FRQX</v>
      </c>
      <c r="B69" s="64">
        <v>11152</v>
      </c>
      <c r="C69" s="64" t="s">
        <v>0</v>
      </c>
      <c r="D69" s="65" t="str">
        <f>$R$6</f>
        <v>Предупреждение</v>
      </c>
    </row>
    <row r="70" spans="1:4">
      <c r="A70" s="63" t="str">
        <f t="shared" si="3"/>
        <v>АСУЭ.FB_IMsp_S.FRQX</v>
      </c>
      <c r="B70" s="64">
        <v>11150</v>
      </c>
      <c r="C70" s="64" t="s">
        <v>0</v>
      </c>
      <c r="D70" s="65" t="s">
        <v>157</v>
      </c>
    </row>
    <row r="71" spans="1:4">
      <c r="A71" s="66" t="str">
        <f t="shared" si="3"/>
        <v>АСУЭ.FB_IMsp_S.FRQX</v>
      </c>
      <c r="B71" s="67">
        <v>11000</v>
      </c>
      <c r="C71" s="67" t="s">
        <v>5</v>
      </c>
      <c r="D71" s="68">
        <v>2147483680</v>
      </c>
    </row>
    <row r="72" spans="1:4">
      <c r="A72" s="16" t="str">
        <f t="shared" ref="A72:A81" si="4">$R$2&amp;".FRPT"</f>
        <v>АСУЭ.FB_IMsp_S.FRPT</v>
      </c>
      <c r="B72" s="17">
        <v>101</v>
      </c>
      <c r="C72" s="17" t="s">
        <v>0</v>
      </c>
      <c r="D72" s="18" t="s">
        <v>177</v>
      </c>
    </row>
    <row r="73" spans="1:4">
      <c r="A73" s="19" t="str">
        <f t="shared" si="4"/>
        <v>АСУЭ.FB_IMsp_S.FRPT</v>
      </c>
      <c r="B73" s="11">
        <v>1</v>
      </c>
      <c r="C73" s="11" t="s">
        <v>1</v>
      </c>
      <c r="D73" s="20">
        <v>11</v>
      </c>
    </row>
    <row r="74" spans="1:4">
      <c r="A74" s="19" t="str">
        <f t="shared" si="4"/>
        <v>АСУЭ.FB_IMsp_S.FRPT</v>
      </c>
      <c r="B74" s="11">
        <v>2</v>
      </c>
      <c r="C74" s="11" t="s">
        <v>2</v>
      </c>
      <c r="D74" s="20" t="s">
        <v>3</v>
      </c>
    </row>
    <row r="75" spans="1:4">
      <c r="A75" s="19" t="str">
        <f t="shared" si="4"/>
        <v>АСУЭ.FB_IMsp_S.FRPT</v>
      </c>
      <c r="B75" s="11">
        <v>3</v>
      </c>
      <c r="C75" s="11" t="s">
        <v>1</v>
      </c>
      <c r="D75" s="20">
        <v>192</v>
      </c>
    </row>
    <row r="76" spans="1:4">
      <c r="A76" s="19" t="str">
        <f t="shared" si="4"/>
        <v>АСУЭ.FB_IMsp_S.FRPT</v>
      </c>
      <c r="B76" s="11">
        <v>7998</v>
      </c>
      <c r="C76" s="11" t="s">
        <v>6</v>
      </c>
      <c r="D76" s="20">
        <v>1</v>
      </c>
    </row>
    <row r="77" spans="1:4">
      <c r="A77" s="19" t="str">
        <f t="shared" si="4"/>
        <v>АСУЭ.FB_IMsp_S.FRPT</v>
      </c>
      <c r="B77" s="11">
        <v>7999</v>
      </c>
      <c r="C77" s="11" t="s">
        <v>0</v>
      </c>
      <c r="D77" s="20" t="str">
        <f>"#"&amp;$S$2&amp;"#"&amp;$T$2&amp;"\"&amp;$P$2&amp;"\FRPT"</f>
        <v>#1#treiOPCDA.CoOPCserv.1\pcmaster\ZRU_OL1\FRPT</v>
      </c>
    </row>
    <row r="78" spans="1:4">
      <c r="A78" s="63" t="str">
        <f t="shared" si="4"/>
        <v>АСУЭ.FB_IMsp_S.FRPT</v>
      </c>
      <c r="B78" s="64">
        <v>11154</v>
      </c>
      <c r="C78" s="64" t="s">
        <v>4</v>
      </c>
      <c r="D78" s="65">
        <f>$Q$6</f>
        <v>8</v>
      </c>
    </row>
    <row r="79" spans="1:4">
      <c r="A79" s="63" t="str">
        <f t="shared" si="4"/>
        <v>АСУЭ.FB_IMsp_S.FRPT</v>
      </c>
      <c r="B79" s="64">
        <v>11152</v>
      </c>
      <c r="C79" s="64" t="s">
        <v>0</v>
      </c>
      <c r="D79" s="65" t="str">
        <f>$R$6</f>
        <v>Предупреждение</v>
      </c>
    </row>
    <row r="80" spans="1:4">
      <c r="A80" s="63" t="str">
        <f t="shared" si="4"/>
        <v>АСУЭ.FB_IMsp_S.FRPT</v>
      </c>
      <c r="B80" s="64">
        <v>11150</v>
      </c>
      <c r="C80" s="64" t="s">
        <v>0</v>
      </c>
      <c r="D80" s="65" t="s">
        <v>177</v>
      </c>
    </row>
    <row r="81" spans="1:4">
      <c r="A81" s="66" t="str">
        <f t="shared" si="4"/>
        <v>АСУЭ.FB_IMsp_S.FRPT</v>
      </c>
      <c r="B81" s="67">
        <v>11000</v>
      </c>
      <c r="C81" s="67" t="s">
        <v>5</v>
      </c>
      <c r="D81" s="68">
        <v>2147483680</v>
      </c>
    </row>
    <row r="82" spans="1:4">
      <c r="A82" s="16" t="str">
        <f t="shared" ref="A82:A91" si="5">$R$2&amp;".LAON"</f>
        <v>АСУЭ.FB_IMsp_S.LAON</v>
      </c>
      <c r="B82" s="17">
        <v>3</v>
      </c>
      <c r="C82" s="17" t="s">
        <v>1</v>
      </c>
      <c r="D82" s="18">
        <v>192</v>
      </c>
    </row>
    <row r="83" spans="1:4">
      <c r="A83" s="19" t="str">
        <f t="shared" si="5"/>
        <v>АСУЭ.FB_IMsp_S.LAON</v>
      </c>
      <c r="B83" s="11">
        <v>2</v>
      </c>
      <c r="C83" s="11" t="s">
        <v>2</v>
      </c>
      <c r="D83" s="20" t="s">
        <v>3</v>
      </c>
    </row>
    <row r="84" spans="1:4">
      <c r="A84" s="19" t="str">
        <f t="shared" si="5"/>
        <v>АСУЭ.FB_IMsp_S.LAON</v>
      </c>
      <c r="B84" s="11">
        <v>1</v>
      </c>
      <c r="C84" s="11" t="s">
        <v>1</v>
      </c>
      <c r="D84" s="20">
        <v>11</v>
      </c>
    </row>
    <row r="85" spans="1:4">
      <c r="A85" s="19" t="str">
        <f t="shared" si="5"/>
        <v>АСУЭ.FB_IMsp_S.LAON</v>
      </c>
      <c r="B85" s="11">
        <v>101</v>
      </c>
      <c r="C85" s="11" t="s">
        <v>0</v>
      </c>
      <c r="D85" s="20" t="s">
        <v>1833</v>
      </c>
    </row>
    <row r="86" spans="1:4">
      <c r="A86" s="19" t="str">
        <f t="shared" si="5"/>
        <v>АСУЭ.FB_IMsp_S.LAON</v>
      </c>
      <c r="B86" s="11">
        <v>7998</v>
      </c>
      <c r="C86" s="11" t="s">
        <v>6</v>
      </c>
      <c r="D86" s="20">
        <v>1</v>
      </c>
    </row>
    <row r="87" spans="1:4">
      <c r="A87" s="19" t="str">
        <f t="shared" si="5"/>
        <v>АСУЭ.FB_IMsp_S.LAON</v>
      </c>
      <c r="B87" s="11">
        <v>7999</v>
      </c>
      <c r="C87" s="11" t="s">
        <v>0</v>
      </c>
      <c r="D87" s="20" t="str">
        <f>"#"&amp;$S$2&amp;"#"&amp;$T$2&amp;"\"&amp;$P$2&amp;"\LAON"</f>
        <v>#1#treiOPCDA.CoOPCserv.1\pcmaster\ZRU_OL1\LAON</v>
      </c>
    </row>
    <row r="88" spans="1:4">
      <c r="A88" s="63" t="str">
        <f t="shared" si="5"/>
        <v>АСУЭ.FB_IMsp_S.LAON</v>
      </c>
      <c r="B88" s="64">
        <v>11154</v>
      </c>
      <c r="C88" s="64" t="s">
        <v>4</v>
      </c>
      <c r="D88" s="65">
        <f>$Q$6</f>
        <v>8</v>
      </c>
    </row>
    <row r="89" spans="1:4">
      <c r="A89" s="63" t="str">
        <f t="shared" si="5"/>
        <v>АСУЭ.FB_IMsp_S.LAON</v>
      </c>
      <c r="B89" s="64">
        <v>11152</v>
      </c>
      <c r="C89" s="64" t="s">
        <v>0</v>
      </c>
      <c r="D89" s="65" t="str">
        <f>$R$6</f>
        <v>Предупреждение</v>
      </c>
    </row>
    <row r="90" spans="1:4">
      <c r="A90" s="63" t="str">
        <f t="shared" si="5"/>
        <v>АСУЭ.FB_IMsp_S.LAON</v>
      </c>
      <c r="B90" s="64">
        <v>11150</v>
      </c>
      <c r="C90" s="64" t="s">
        <v>0</v>
      </c>
      <c r="D90" s="65" t="s">
        <v>1833</v>
      </c>
    </row>
    <row r="91" spans="1:4">
      <c r="A91" s="66" t="str">
        <f t="shared" si="5"/>
        <v>АСУЭ.FB_IMsp_S.LAON</v>
      </c>
      <c r="B91" s="67">
        <v>11000</v>
      </c>
      <c r="C91" s="67" t="s">
        <v>5</v>
      </c>
      <c r="D91" s="68">
        <v>2147483680</v>
      </c>
    </row>
    <row r="92" spans="1:4">
      <c r="A92" s="16" t="str">
        <f t="shared" ref="A92:A101" si="6">$R$2&amp;".LAOF"</f>
        <v>АСУЭ.FB_IMsp_S.LAOF</v>
      </c>
      <c r="B92" s="17">
        <v>3</v>
      </c>
      <c r="C92" s="17" t="s">
        <v>1</v>
      </c>
      <c r="D92" s="18">
        <v>192</v>
      </c>
    </row>
    <row r="93" spans="1:4">
      <c r="A93" s="19" t="str">
        <f t="shared" si="6"/>
        <v>АСУЭ.FB_IMsp_S.LAOF</v>
      </c>
      <c r="B93" s="11">
        <v>2</v>
      </c>
      <c r="C93" s="11" t="s">
        <v>2</v>
      </c>
      <c r="D93" s="20" t="s">
        <v>3</v>
      </c>
    </row>
    <row r="94" spans="1:4">
      <c r="A94" s="19" t="str">
        <f t="shared" si="6"/>
        <v>АСУЭ.FB_IMsp_S.LAOF</v>
      </c>
      <c r="B94" s="11">
        <v>1</v>
      </c>
      <c r="C94" s="11" t="s">
        <v>1</v>
      </c>
      <c r="D94" s="20">
        <v>11</v>
      </c>
    </row>
    <row r="95" spans="1:4">
      <c r="A95" s="19" t="str">
        <f t="shared" si="6"/>
        <v>АСУЭ.FB_IMsp_S.LAOF</v>
      </c>
      <c r="B95" s="11">
        <v>101</v>
      </c>
      <c r="C95" s="11" t="s">
        <v>0</v>
      </c>
      <c r="D95" s="20" t="s">
        <v>1834</v>
      </c>
    </row>
    <row r="96" spans="1:4">
      <c r="A96" s="19" t="str">
        <f t="shared" si="6"/>
        <v>АСУЭ.FB_IMsp_S.LAOF</v>
      </c>
      <c r="B96" s="11">
        <v>7998</v>
      </c>
      <c r="C96" s="11" t="s">
        <v>6</v>
      </c>
      <c r="D96" s="20">
        <v>1</v>
      </c>
    </row>
    <row r="97" spans="1:4">
      <c r="A97" s="19" t="str">
        <f t="shared" si="6"/>
        <v>АСУЭ.FB_IMsp_S.LAOF</v>
      </c>
      <c r="B97" s="11">
        <v>7999</v>
      </c>
      <c r="C97" s="11" t="s">
        <v>0</v>
      </c>
      <c r="D97" s="20" t="str">
        <f>"#"&amp;$S$2&amp;"#"&amp;$T$2&amp;"\"&amp;$P$2&amp;"\LAOF"</f>
        <v>#1#treiOPCDA.CoOPCserv.1\pcmaster\ZRU_OL1\LAOF</v>
      </c>
    </row>
    <row r="98" spans="1:4">
      <c r="A98" s="63" t="str">
        <f t="shared" si="6"/>
        <v>АСУЭ.FB_IMsp_S.LAOF</v>
      </c>
      <c r="B98" s="64">
        <v>11154</v>
      </c>
      <c r="C98" s="64" t="s">
        <v>4</v>
      </c>
      <c r="D98" s="65">
        <f>$Q$6</f>
        <v>8</v>
      </c>
    </row>
    <row r="99" spans="1:4">
      <c r="A99" s="63" t="str">
        <f t="shared" si="6"/>
        <v>АСУЭ.FB_IMsp_S.LAOF</v>
      </c>
      <c r="B99" s="64">
        <v>11152</v>
      </c>
      <c r="C99" s="64" t="s">
        <v>0</v>
      </c>
      <c r="D99" s="65" t="str">
        <f>$R$6</f>
        <v>Предупреждение</v>
      </c>
    </row>
    <row r="100" spans="1:4">
      <c r="A100" s="63" t="str">
        <f t="shared" si="6"/>
        <v>АСУЭ.FB_IMsp_S.LAOF</v>
      </c>
      <c r="B100" s="64">
        <v>11150</v>
      </c>
      <c r="C100" s="64" t="s">
        <v>0</v>
      </c>
      <c r="D100" s="65" t="s">
        <v>1834</v>
      </c>
    </row>
    <row r="101" spans="1:4">
      <c r="A101" s="66" t="str">
        <f t="shared" si="6"/>
        <v>АСУЭ.FB_IMsp_S.LAOF</v>
      </c>
      <c r="B101" s="67">
        <v>11000</v>
      </c>
      <c r="C101" s="67" t="s">
        <v>5</v>
      </c>
      <c r="D101" s="68">
        <v>2147483680</v>
      </c>
    </row>
    <row r="102" spans="1:4">
      <c r="A102" s="16" t="str">
        <f t="shared" ref="A102:A111" si="7">$R$2&amp;".CEON"</f>
        <v>АСУЭ.FB_IMsp_S.CEON</v>
      </c>
      <c r="B102" s="17">
        <v>7999</v>
      </c>
      <c r="C102" s="17" t="s">
        <v>0</v>
      </c>
      <c r="D102" s="18" t="str">
        <f>"#"&amp;$S$2&amp;"#"&amp;$T$2&amp;"\"&amp;$P$2&amp;"\CEON"</f>
        <v>#1#treiOPCDA.CoOPCserv.1\pcmaster\ZRU_OL1\CEON</v>
      </c>
    </row>
    <row r="103" spans="1:4">
      <c r="A103" s="19" t="str">
        <f t="shared" si="7"/>
        <v>АСУЭ.FB_IMsp_S.CEON</v>
      </c>
      <c r="B103" s="11">
        <v>7998</v>
      </c>
      <c r="C103" s="11" t="s">
        <v>6</v>
      </c>
      <c r="D103" s="20">
        <v>1</v>
      </c>
    </row>
    <row r="104" spans="1:4">
      <c r="A104" s="19" t="str">
        <f t="shared" si="7"/>
        <v>АСУЭ.FB_IMsp_S.CEON</v>
      </c>
      <c r="B104" s="11">
        <v>3</v>
      </c>
      <c r="C104" s="11" t="s">
        <v>1</v>
      </c>
      <c r="D104" s="20">
        <v>192</v>
      </c>
    </row>
    <row r="105" spans="1:4">
      <c r="A105" s="19" t="str">
        <f t="shared" si="7"/>
        <v>АСУЭ.FB_IMsp_S.CEON</v>
      </c>
      <c r="B105" s="11">
        <v>2</v>
      </c>
      <c r="C105" s="11" t="s">
        <v>2</v>
      </c>
      <c r="D105" s="20" t="s">
        <v>3</v>
      </c>
    </row>
    <row r="106" spans="1:4">
      <c r="A106" s="19" t="str">
        <f t="shared" si="7"/>
        <v>АСУЭ.FB_IMsp_S.CEON</v>
      </c>
      <c r="B106" s="11">
        <v>1</v>
      </c>
      <c r="C106" s="11" t="s">
        <v>1</v>
      </c>
      <c r="D106" s="20">
        <v>11</v>
      </c>
    </row>
    <row r="107" spans="1:4">
      <c r="A107" s="19" t="str">
        <f t="shared" si="7"/>
        <v>АСУЭ.FB_IMsp_S.CEON</v>
      </c>
      <c r="B107" s="11">
        <v>101</v>
      </c>
      <c r="C107" s="11" t="s">
        <v>0</v>
      </c>
      <c r="D107" s="20" t="s">
        <v>1835</v>
      </c>
    </row>
    <row r="108" spans="1:4">
      <c r="A108" s="63" t="str">
        <f t="shared" si="7"/>
        <v>АСУЭ.FB_IMsp_S.CEON</v>
      </c>
      <c r="B108" s="64">
        <v>11154</v>
      </c>
      <c r="C108" s="64" t="s">
        <v>4</v>
      </c>
      <c r="D108" s="65">
        <f>$Q$6</f>
        <v>8</v>
      </c>
    </row>
    <row r="109" spans="1:4">
      <c r="A109" s="63" t="str">
        <f t="shared" si="7"/>
        <v>АСУЭ.FB_IMsp_S.CEON</v>
      </c>
      <c r="B109" s="64">
        <v>11152</v>
      </c>
      <c r="C109" s="64" t="s">
        <v>0</v>
      </c>
      <c r="D109" s="65" t="str">
        <f>$R$6</f>
        <v>Предупреждение</v>
      </c>
    </row>
    <row r="110" spans="1:4">
      <c r="A110" s="63" t="str">
        <f t="shared" si="7"/>
        <v>АСУЭ.FB_IMsp_S.CEON</v>
      </c>
      <c r="B110" s="64">
        <v>11150</v>
      </c>
      <c r="C110" s="64" t="s">
        <v>0</v>
      </c>
      <c r="D110" s="65" t="s">
        <v>1835</v>
      </c>
    </row>
    <row r="111" spans="1:4">
      <c r="A111" s="66" t="str">
        <f t="shared" si="7"/>
        <v>АСУЭ.FB_IMsp_S.CEON</v>
      </c>
      <c r="B111" s="67">
        <v>11000</v>
      </c>
      <c r="C111" s="67" t="s">
        <v>5</v>
      </c>
      <c r="D111" s="68">
        <v>2147483680</v>
      </c>
    </row>
    <row r="112" spans="1:4">
      <c r="A112" s="16" t="str">
        <f t="shared" ref="A112:A121" si="8">$R$2&amp;".CEOF"</f>
        <v>АСУЭ.FB_IMsp_S.CEOF</v>
      </c>
      <c r="B112" s="17">
        <v>3</v>
      </c>
      <c r="C112" s="17" t="s">
        <v>1</v>
      </c>
      <c r="D112" s="18">
        <v>192</v>
      </c>
    </row>
    <row r="113" spans="1:17">
      <c r="A113" s="19" t="str">
        <f t="shared" si="8"/>
        <v>АСУЭ.FB_IMsp_S.CEOF</v>
      </c>
      <c r="B113" s="11">
        <v>2</v>
      </c>
      <c r="C113" s="11" t="s">
        <v>2</v>
      </c>
      <c r="D113" s="20" t="s">
        <v>3</v>
      </c>
    </row>
    <row r="114" spans="1:17">
      <c r="A114" s="19" t="str">
        <f t="shared" si="8"/>
        <v>АСУЭ.FB_IMsp_S.CEOF</v>
      </c>
      <c r="B114" s="11">
        <v>1</v>
      </c>
      <c r="C114" s="11" t="s">
        <v>1</v>
      </c>
      <c r="D114" s="20">
        <v>11</v>
      </c>
    </row>
    <row r="115" spans="1:17">
      <c r="A115" s="19" t="str">
        <f t="shared" si="8"/>
        <v>АСУЭ.FB_IMsp_S.CEOF</v>
      </c>
      <c r="B115" s="11">
        <v>101</v>
      </c>
      <c r="C115" s="11" t="s">
        <v>0</v>
      </c>
      <c r="D115" s="20" t="s">
        <v>1836</v>
      </c>
      <c r="Q115" s="41"/>
    </row>
    <row r="116" spans="1:17">
      <c r="A116" s="19" t="str">
        <f t="shared" si="8"/>
        <v>АСУЭ.FB_IMsp_S.CEOF</v>
      </c>
      <c r="B116" s="11">
        <v>7998</v>
      </c>
      <c r="C116" s="11" t="s">
        <v>6</v>
      </c>
      <c r="D116" s="20">
        <v>1</v>
      </c>
    </row>
    <row r="117" spans="1:17">
      <c r="A117" s="19" t="str">
        <f t="shared" si="8"/>
        <v>АСУЭ.FB_IMsp_S.CEOF</v>
      </c>
      <c r="B117" s="11">
        <v>7999</v>
      </c>
      <c r="C117" s="11" t="s">
        <v>0</v>
      </c>
      <c r="D117" s="20" t="str">
        <f>"#"&amp;$S$2&amp;"#"&amp;$T$2&amp;"\"&amp;$P$2&amp;"\CEOF"</f>
        <v>#1#treiOPCDA.CoOPCserv.1\pcmaster\ZRU_OL1\CEOF</v>
      </c>
    </row>
    <row r="118" spans="1:17">
      <c r="A118" s="63" t="str">
        <f t="shared" si="8"/>
        <v>АСУЭ.FB_IMsp_S.CEOF</v>
      </c>
      <c r="B118" s="64">
        <v>11154</v>
      </c>
      <c r="C118" s="64" t="s">
        <v>4</v>
      </c>
      <c r="D118" s="65">
        <f>$Q$6</f>
        <v>8</v>
      </c>
    </row>
    <row r="119" spans="1:17">
      <c r="A119" s="63" t="str">
        <f t="shared" si="8"/>
        <v>АСУЭ.FB_IMsp_S.CEOF</v>
      </c>
      <c r="B119" s="64">
        <v>11152</v>
      </c>
      <c r="C119" s="64" t="s">
        <v>0</v>
      </c>
      <c r="D119" s="65" t="str">
        <f>$R$6</f>
        <v>Предупреждение</v>
      </c>
    </row>
    <row r="120" spans="1:17">
      <c r="A120" s="63" t="str">
        <f t="shared" si="8"/>
        <v>АСУЭ.FB_IMsp_S.CEOF</v>
      </c>
      <c r="B120" s="64">
        <v>11150</v>
      </c>
      <c r="C120" s="64" t="s">
        <v>0</v>
      </c>
      <c r="D120" s="65" t="s">
        <v>1836</v>
      </c>
    </row>
    <row r="121" spans="1:17">
      <c r="A121" s="63" t="str">
        <f t="shared" si="8"/>
        <v>АСУЭ.FB_IMsp_S.CEOF</v>
      </c>
      <c r="B121" s="64">
        <v>11000</v>
      </c>
      <c r="C121" s="64" t="s">
        <v>5</v>
      </c>
      <c r="D121" s="65">
        <v>2147483680</v>
      </c>
    </row>
    <row r="122" spans="1:17">
      <c r="A122" s="16" t="str">
        <f t="shared" ref="A122:A131" si="9">$R$2&amp;".CBON"</f>
        <v>АСУЭ.FB_IMsp_S.CBON</v>
      </c>
      <c r="B122" s="17">
        <v>3</v>
      </c>
      <c r="C122" s="17" t="s">
        <v>1</v>
      </c>
      <c r="D122" s="18">
        <v>192</v>
      </c>
    </row>
    <row r="123" spans="1:17">
      <c r="A123" s="19" t="str">
        <f t="shared" si="9"/>
        <v>АСУЭ.FB_IMsp_S.CBON</v>
      </c>
      <c r="B123" s="11">
        <v>2</v>
      </c>
      <c r="C123" s="11" t="s">
        <v>2</v>
      </c>
      <c r="D123" s="20" t="s">
        <v>3</v>
      </c>
    </row>
    <row r="124" spans="1:17">
      <c r="A124" s="19" t="str">
        <f t="shared" si="9"/>
        <v>АСУЭ.FB_IMsp_S.CBON</v>
      </c>
      <c r="B124" s="11">
        <v>1</v>
      </c>
      <c r="C124" s="11" t="s">
        <v>1</v>
      </c>
      <c r="D124" s="20">
        <v>11</v>
      </c>
    </row>
    <row r="125" spans="1:17">
      <c r="A125" s="19" t="str">
        <f t="shared" si="9"/>
        <v>АСУЭ.FB_IMsp_S.CBON</v>
      </c>
      <c r="B125" s="11">
        <v>101</v>
      </c>
      <c r="C125" s="11" t="s">
        <v>0</v>
      </c>
      <c r="D125" s="20" t="s">
        <v>1837</v>
      </c>
    </row>
    <row r="126" spans="1:17">
      <c r="A126" s="19" t="str">
        <f t="shared" si="9"/>
        <v>АСУЭ.FB_IMsp_S.CBON</v>
      </c>
      <c r="B126" s="11">
        <v>7998</v>
      </c>
      <c r="C126" s="11" t="s">
        <v>6</v>
      </c>
      <c r="D126" s="20">
        <v>1</v>
      </c>
    </row>
    <row r="127" spans="1:17">
      <c r="A127" s="19" t="str">
        <f t="shared" si="9"/>
        <v>АСУЭ.FB_IMsp_S.CBON</v>
      </c>
      <c r="B127" s="11">
        <v>7999</v>
      </c>
      <c r="C127" s="11" t="s">
        <v>0</v>
      </c>
      <c r="D127" s="20" t="str">
        <f>"#"&amp;$S$2&amp;"#"&amp;$T$2&amp;"\"&amp;$P$2&amp;"\CBON"</f>
        <v>#1#treiOPCDA.CoOPCserv.1\pcmaster\ZRU_OL1\CBON</v>
      </c>
    </row>
    <row r="128" spans="1:17">
      <c r="A128" s="63" t="str">
        <f t="shared" si="9"/>
        <v>АСУЭ.FB_IMsp_S.CBON</v>
      </c>
      <c r="B128" s="64">
        <v>11154</v>
      </c>
      <c r="C128" s="64" t="s">
        <v>4</v>
      </c>
      <c r="D128" s="65">
        <f>$Q$6</f>
        <v>8</v>
      </c>
    </row>
    <row r="129" spans="1:4">
      <c r="A129" s="63" t="str">
        <f t="shared" si="9"/>
        <v>АСУЭ.FB_IMsp_S.CBON</v>
      </c>
      <c r="B129" s="64">
        <v>11152</v>
      </c>
      <c r="C129" s="64" t="s">
        <v>0</v>
      </c>
      <c r="D129" s="65" t="str">
        <f>$R$6</f>
        <v>Предупреждение</v>
      </c>
    </row>
    <row r="130" spans="1:4">
      <c r="A130" s="63" t="str">
        <f t="shared" si="9"/>
        <v>АСУЭ.FB_IMsp_S.CBON</v>
      </c>
      <c r="B130" s="64">
        <v>11150</v>
      </c>
      <c r="C130" s="64" t="s">
        <v>0</v>
      </c>
      <c r="D130" s="65" t="s">
        <v>1837</v>
      </c>
    </row>
    <row r="131" spans="1:4">
      <c r="A131" s="66" t="str">
        <f t="shared" si="9"/>
        <v>АСУЭ.FB_IMsp_S.CBON</v>
      </c>
      <c r="B131" s="67">
        <v>11000</v>
      </c>
      <c r="C131" s="67" t="s">
        <v>5</v>
      </c>
      <c r="D131" s="68">
        <v>2147483680</v>
      </c>
    </row>
    <row r="132" spans="1:4">
      <c r="A132" s="19" t="str">
        <f t="shared" ref="A132:A141" si="10">$R$2&amp;".CBOF"</f>
        <v>АСУЭ.FB_IMsp_S.CBOF</v>
      </c>
      <c r="B132" s="11">
        <v>3</v>
      </c>
      <c r="C132" s="11" t="s">
        <v>1</v>
      </c>
      <c r="D132" s="20">
        <v>192</v>
      </c>
    </row>
    <row r="133" spans="1:4">
      <c r="A133" s="19" t="str">
        <f t="shared" si="10"/>
        <v>АСУЭ.FB_IMsp_S.CBOF</v>
      </c>
      <c r="B133" s="11">
        <v>2</v>
      </c>
      <c r="C133" s="11" t="s">
        <v>2</v>
      </c>
      <c r="D133" s="20" t="s">
        <v>3</v>
      </c>
    </row>
    <row r="134" spans="1:4">
      <c r="A134" s="19" t="str">
        <f t="shared" si="10"/>
        <v>АСУЭ.FB_IMsp_S.CBOF</v>
      </c>
      <c r="B134" s="11">
        <v>1</v>
      </c>
      <c r="C134" s="11" t="s">
        <v>1</v>
      </c>
      <c r="D134" s="20">
        <v>11</v>
      </c>
    </row>
    <row r="135" spans="1:4">
      <c r="A135" s="19" t="str">
        <f t="shared" si="10"/>
        <v>АСУЭ.FB_IMsp_S.CBOF</v>
      </c>
      <c r="B135" s="11">
        <v>7998</v>
      </c>
      <c r="C135" s="11" t="s">
        <v>6</v>
      </c>
      <c r="D135" s="20">
        <v>1</v>
      </c>
    </row>
    <row r="136" spans="1:4">
      <c r="A136" s="19" t="str">
        <f t="shared" si="10"/>
        <v>АСУЭ.FB_IMsp_S.CBOF</v>
      </c>
      <c r="B136" s="11">
        <v>101</v>
      </c>
      <c r="C136" s="11" t="s">
        <v>0</v>
      </c>
      <c r="D136" s="20" t="s">
        <v>1838</v>
      </c>
    </row>
    <row r="137" spans="1:4">
      <c r="A137" s="19" t="str">
        <f t="shared" si="10"/>
        <v>АСУЭ.FB_IMsp_S.CBOF</v>
      </c>
      <c r="B137" s="11">
        <v>7999</v>
      </c>
      <c r="C137" s="11" t="s">
        <v>0</v>
      </c>
      <c r="D137" s="20" t="str">
        <f>"#"&amp;$S$2&amp;"#"&amp;$T$2&amp;"\"&amp;$P$2&amp;"\CBOF"</f>
        <v>#1#treiOPCDA.CoOPCserv.1\pcmaster\ZRU_OL1\CBOF</v>
      </c>
    </row>
    <row r="138" spans="1:4">
      <c r="A138" s="63" t="str">
        <f t="shared" si="10"/>
        <v>АСУЭ.FB_IMsp_S.CBOF</v>
      </c>
      <c r="B138" s="64">
        <v>11154</v>
      </c>
      <c r="C138" s="64" t="s">
        <v>4</v>
      </c>
      <c r="D138" s="65">
        <f>$Q$6</f>
        <v>8</v>
      </c>
    </row>
    <row r="139" spans="1:4">
      <c r="A139" s="63" t="str">
        <f t="shared" si="10"/>
        <v>АСУЭ.FB_IMsp_S.CBOF</v>
      </c>
      <c r="B139" s="64">
        <v>11152</v>
      </c>
      <c r="C139" s="64" t="s">
        <v>0</v>
      </c>
      <c r="D139" s="65" t="str">
        <f>$R$6</f>
        <v>Предупреждение</v>
      </c>
    </row>
    <row r="140" spans="1:4">
      <c r="A140" s="63" t="str">
        <f t="shared" si="10"/>
        <v>АСУЭ.FB_IMsp_S.CBOF</v>
      </c>
      <c r="B140" s="64">
        <v>11150</v>
      </c>
      <c r="C140" s="64" t="s">
        <v>0</v>
      </c>
      <c r="D140" s="65" t="s">
        <v>1838</v>
      </c>
    </row>
    <row r="141" spans="1:4">
      <c r="A141" s="66" t="str">
        <f t="shared" si="10"/>
        <v>АСУЭ.FB_IMsp_S.CBOF</v>
      </c>
      <c r="B141" s="67">
        <v>11000</v>
      </c>
      <c r="C141" s="67" t="s">
        <v>5</v>
      </c>
      <c r="D141" s="68">
        <v>2147483680</v>
      </c>
    </row>
    <row r="142" spans="1:4">
      <c r="A142" s="16" t="str">
        <f t="shared" ref="A142:A151" si="11">$R$2&amp;".IFXX"</f>
        <v>АСУЭ.FB_IMsp_S.IFXX</v>
      </c>
      <c r="B142" s="17">
        <v>3</v>
      </c>
      <c r="C142" s="17" t="s">
        <v>1</v>
      </c>
      <c r="D142" s="18">
        <v>192</v>
      </c>
    </row>
    <row r="143" spans="1:4">
      <c r="A143" s="19" t="str">
        <f t="shared" si="11"/>
        <v>АСУЭ.FB_IMsp_S.IFXX</v>
      </c>
      <c r="B143" s="11">
        <v>2</v>
      </c>
      <c r="C143" s="11" t="s">
        <v>2</v>
      </c>
      <c r="D143" s="20" t="s">
        <v>3</v>
      </c>
    </row>
    <row r="144" spans="1:4">
      <c r="A144" s="19" t="str">
        <f t="shared" si="11"/>
        <v>АСУЭ.FB_IMsp_S.IFXX</v>
      </c>
      <c r="B144" s="11">
        <v>1</v>
      </c>
      <c r="C144" s="11" t="s">
        <v>1</v>
      </c>
      <c r="D144" s="20">
        <v>11</v>
      </c>
    </row>
    <row r="145" spans="1:4">
      <c r="A145" s="19" t="str">
        <f t="shared" si="11"/>
        <v>АСУЭ.FB_IMsp_S.IFXX</v>
      </c>
      <c r="B145" s="11">
        <v>101</v>
      </c>
      <c r="C145" s="11" t="s">
        <v>0</v>
      </c>
      <c r="D145" s="20" t="s">
        <v>176</v>
      </c>
    </row>
    <row r="146" spans="1:4">
      <c r="A146" s="19" t="str">
        <f t="shared" si="11"/>
        <v>АСУЭ.FB_IMsp_S.IFXX</v>
      </c>
      <c r="B146" s="11">
        <v>7998</v>
      </c>
      <c r="C146" s="11" t="s">
        <v>6</v>
      </c>
      <c r="D146" s="20">
        <v>1</v>
      </c>
    </row>
    <row r="147" spans="1:4">
      <c r="A147" s="19" t="str">
        <f t="shared" si="11"/>
        <v>АСУЭ.FB_IMsp_S.IFXX</v>
      </c>
      <c r="B147" s="11">
        <v>7999</v>
      </c>
      <c r="C147" s="11" t="s">
        <v>0</v>
      </c>
      <c r="D147" s="20" t="str">
        <f>"#"&amp;$S$2&amp;"#"&amp;$T$2&amp;"\"&amp;$P$2&amp;"\IFXX"</f>
        <v>#1#treiOPCDA.CoOPCserv.1\pcmaster\ZRU_OL1\IFXX</v>
      </c>
    </row>
    <row r="148" spans="1:4">
      <c r="A148" s="211" t="str">
        <f t="shared" si="11"/>
        <v>АСУЭ.FB_IMsp_S.IFXX</v>
      </c>
      <c r="B148" s="212">
        <v>11154</v>
      </c>
      <c r="C148" s="212" t="s">
        <v>4</v>
      </c>
      <c r="D148" s="213">
        <f>$Q$7</f>
        <v>12</v>
      </c>
    </row>
    <row r="149" spans="1:4">
      <c r="A149" s="211" t="str">
        <f t="shared" si="11"/>
        <v>АСУЭ.FB_IMsp_S.IFXX</v>
      </c>
      <c r="B149" s="212">
        <v>11150</v>
      </c>
      <c r="C149" s="212" t="s">
        <v>0</v>
      </c>
      <c r="D149" s="213" t="s">
        <v>110</v>
      </c>
    </row>
    <row r="150" spans="1:4">
      <c r="A150" s="211" t="str">
        <f t="shared" si="11"/>
        <v>АСУЭ.FB_IMsp_S.IFXX</v>
      </c>
      <c r="B150" s="212">
        <v>11000</v>
      </c>
      <c r="C150" s="212" t="s">
        <v>5</v>
      </c>
      <c r="D150" s="213">
        <v>2147483680</v>
      </c>
    </row>
    <row r="151" spans="1:4">
      <c r="A151" s="214" t="str">
        <f t="shared" si="11"/>
        <v>АСУЭ.FB_IMsp_S.IFXX</v>
      </c>
      <c r="B151" s="215">
        <v>11152</v>
      </c>
      <c r="C151" s="215" t="s">
        <v>0</v>
      </c>
      <c r="D151" s="216" t="str">
        <f>$R$7</f>
        <v>Неисправность</v>
      </c>
    </row>
    <row r="152" spans="1:4">
      <c r="A152" s="16" t="str">
        <f t="shared" ref="A152:A161" si="12">$R$2&amp;".FFOF"</f>
        <v>АСУЭ.FB_IMsp_S.FFOF</v>
      </c>
      <c r="B152" s="17">
        <v>3</v>
      </c>
      <c r="C152" s="17" t="s">
        <v>1</v>
      </c>
      <c r="D152" s="18">
        <v>192</v>
      </c>
    </row>
    <row r="153" spans="1:4">
      <c r="A153" s="19" t="str">
        <f t="shared" si="12"/>
        <v>АСУЭ.FB_IMsp_S.FFOF</v>
      </c>
      <c r="B153" s="11">
        <v>2</v>
      </c>
      <c r="C153" s="11" t="s">
        <v>2</v>
      </c>
      <c r="D153" s="20" t="s">
        <v>3</v>
      </c>
    </row>
    <row r="154" spans="1:4">
      <c r="A154" s="19" t="str">
        <f t="shared" si="12"/>
        <v>АСУЭ.FB_IMsp_S.FFOF</v>
      </c>
      <c r="B154" s="11">
        <v>1</v>
      </c>
      <c r="C154" s="11" t="s">
        <v>1</v>
      </c>
      <c r="D154" s="20">
        <v>11</v>
      </c>
    </row>
    <row r="155" spans="1:4">
      <c r="A155" s="19" t="str">
        <f t="shared" si="12"/>
        <v>АСУЭ.FB_IMsp_S.FFOF</v>
      </c>
      <c r="B155" s="11">
        <v>101</v>
      </c>
      <c r="C155" s="11" t="s">
        <v>0</v>
      </c>
      <c r="D155" s="20" t="s">
        <v>142</v>
      </c>
    </row>
    <row r="156" spans="1:4">
      <c r="A156" s="19" t="str">
        <f t="shared" si="12"/>
        <v>АСУЭ.FB_IMsp_S.FFOF</v>
      </c>
      <c r="B156" s="11">
        <v>7998</v>
      </c>
      <c r="C156" s="11" t="s">
        <v>6</v>
      </c>
      <c r="D156" s="20">
        <v>1</v>
      </c>
    </row>
    <row r="157" spans="1:4">
      <c r="A157" s="19" t="str">
        <f t="shared" si="12"/>
        <v>АСУЭ.FB_IMsp_S.FFOF</v>
      </c>
      <c r="B157" s="11">
        <v>7999</v>
      </c>
      <c r="C157" s="11" t="s">
        <v>0</v>
      </c>
      <c r="D157" s="20" t="str">
        <f>"#"&amp;$S$2&amp;"#"&amp;$T$2&amp;"\"&amp;$P$2&amp;"\FFOF"</f>
        <v>#1#treiOPCDA.CoOPCserv.1\pcmaster\ZRU_OL1\FFOF</v>
      </c>
    </row>
    <row r="158" spans="1:4">
      <c r="A158" s="211" t="str">
        <f t="shared" si="12"/>
        <v>АСУЭ.FB_IMsp_S.FFOF</v>
      </c>
      <c r="B158" s="212">
        <v>11154</v>
      </c>
      <c r="C158" s="212" t="s">
        <v>4</v>
      </c>
      <c r="D158" s="213">
        <f>$Q$7</f>
        <v>12</v>
      </c>
    </row>
    <row r="159" spans="1:4">
      <c r="A159" s="211" t="str">
        <f t="shared" si="12"/>
        <v>АСУЭ.FB_IMsp_S.FFOF</v>
      </c>
      <c r="B159" s="212">
        <v>11152</v>
      </c>
      <c r="C159" s="212" t="s">
        <v>0</v>
      </c>
      <c r="D159" s="213" t="str">
        <f>$R$7</f>
        <v>Неисправность</v>
      </c>
    </row>
    <row r="160" spans="1:4">
      <c r="A160" s="211" t="str">
        <f t="shared" si="12"/>
        <v>АСУЭ.FB_IMsp_S.FFOF</v>
      </c>
      <c r="B160" s="212">
        <v>11150</v>
      </c>
      <c r="C160" s="212" t="s">
        <v>0</v>
      </c>
      <c r="D160" s="213" t="s">
        <v>143</v>
      </c>
    </row>
    <row r="161" spans="1:4">
      <c r="A161" s="214" t="str">
        <f t="shared" si="12"/>
        <v>АСУЭ.FB_IMsp_S.FFOF</v>
      </c>
      <c r="B161" s="215">
        <v>11000</v>
      </c>
      <c r="C161" s="215" t="s">
        <v>5</v>
      </c>
      <c r="D161" s="216">
        <v>2147483680</v>
      </c>
    </row>
    <row r="162" spans="1:4">
      <c r="A162" s="16" t="str">
        <f t="shared" ref="A162:A171" si="13">$R$2&amp;".FFON"</f>
        <v>АСУЭ.FB_IMsp_S.FFON</v>
      </c>
      <c r="B162" s="17">
        <v>3</v>
      </c>
      <c r="C162" s="17" t="s">
        <v>1</v>
      </c>
      <c r="D162" s="18">
        <v>192</v>
      </c>
    </row>
    <row r="163" spans="1:4">
      <c r="A163" s="19" t="str">
        <f t="shared" si="13"/>
        <v>АСУЭ.FB_IMsp_S.FFON</v>
      </c>
      <c r="B163" s="11">
        <v>2</v>
      </c>
      <c r="C163" s="11" t="s">
        <v>2</v>
      </c>
      <c r="D163" s="20" t="s">
        <v>3</v>
      </c>
    </row>
    <row r="164" spans="1:4">
      <c r="A164" s="19" t="str">
        <f t="shared" si="13"/>
        <v>АСУЭ.FB_IMsp_S.FFON</v>
      </c>
      <c r="B164" s="11">
        <v>1</v>
      </c>
      <c r="C164" s="11" t="s">
        <v>1</v>
      </c>
      <c r="D164" s="20">
        <v>11</v>
      </c>
    </row>
    <row r="165" spans="1:4">
      <c r="A165" s="19" t="str">
        <f t="shared" si="13"/>
        <v>АСУЭ.FB_IMsp_S.FFON</v>
      </c>
      <c r="B165" s="11">
        <v>101</v>
      </c>
      <c r="C165" s="11" t="s">
        <v>0</v>
      </c>
      <c r="D165" s="20" t="s">
        <v>148</v>
      </c>
    </row>
    <row r="166" spans="1:4">
      <c r="A166" s="19" t="str">
        <f t="shared" si="13"/>
        <v>АСУЭ.FB_IMsp_S.FFON</v>
      </c>
      <c r="B166" s="11">
        <v>7998</v>
      </c>
      <c r="C166" s="11" t="s">
        <v>6</v>
      </c>
      <c r="D166" s="20">
        <v>1</v>
      </c>
    </row>
    <row r="167" spans="1:4">
      <c r="A167" s="19" t="str">
        <f t="shared" si="13"/>
        <v>АСУЭ.FB_IMsp_S.FFON</v>
      </c>
      <c r="B167" s="11">
        <v>7999</v>
      </c>
      <c r="C167" s="11" t="s">
        <v>0</v>
      </c>
      <c r="D167" s="20" t="str">
        <f>"#"&amp;$S$2&amp;"#"&amp;$T$2&amp;"\"&amp;$P$2&amp;"\FFON"</f>
        <v>#1#treiOPCDA.CoOPCserv.1\pcmaster\ZRU_OL1\FFON</v>
      </c>
    </row>
    <row r="168" spans="1:4">
      <c r="A168" s="211" t="str">
        <f t="shared" si="13"/>
        <v>АСУЭ.FB_IMsp_S.FFON</v>
      </c>
      <c r="B168" s="212">
        <v>11154</v>
      </c>
      <c r="C168" s="212" t="s">
        <v>4</v>
      </c>
      <c r="D168" s="213">
        <f>$Q$7</f>
        <v>12</v>
      </c>
    </row>
    <row r="169" spans="1:4">
      <c r="A169" s="211" t="str">
        <f t="shared" si="13"/>
        <v>АСУЭ.FB_IMsp_S.FFON</v>
      </c>
      <c r="B169" s="212">
        <v>11152</v>
      </c>
      <c r="C169" s="212" t="s">
        <v>0</v>
      </c>
      <c r="D169" s="213" t="str">
        <f>$R$7</f>
        <v>Неисправность</v>
      </c>
    </row>
    <row r="170" spans="1:4">
      <c r="A170" s="211" t="str">
        <f t="shared" si="13"/>
        <v>АСУЭ.FB_IMsp_S.FFON</v>
      </c>
      <c r="B170" s="212">
        <v>11150</v>
      </c>
      <c r="C170" s="212" t="s">
        <v>0</v>
      </c>
      <c r="D170" s="213" t="s">
        <v>148</v>
      </c>
    </row>
    <row r="171" spans="1:4">
      <c r="A171" s="214" t="str">
        <f t="shared" si="13"/>
        <v>АСУЭ.FB_IMsp_S.FFON</v>
      </c>
      <c r="B171" s="215">
        <v>11000</v>
      </c>
      <c r="C171" s="215" t="s">
        <v>5</v>
      </c>
      <c r="D171" s="216">
        <v>2147483680</v>
      </c>
    </row>
    <row r="172" spans="1:4">
      <c r="A172" s="16" t="str">
        <f t="shared" ref="A172:A181" si="14">$R$2&amp;".FCOM"</f>
        <v>АСУЭ.FB_IMsp_S.FCOM</v>
      </c>
      <c r="B172" s="17">
        <v>3</v>
      </c>
      <c r="C172" s="17" t="s">
        <v>1</v>
      </c>
      <c r="D172" s="18">
        <v>192</v>
      </c>
    </row>
    <row r="173" spans="1:4">
      <c r="A173" s="19" t="str">
        <f t="shared" si="14"/>
        <v>АСУЭ.FB_IMsp_S.FCOM</v>
      </c>
      <c r="B173" s="11">
        <v>2</v>
      </c>
      <c r="C173" s="11" t="s">
        <v>2</v>
      </c>
      <c r="D173" s="20" t="s">
        <v>3</v>
      </c>
    </row>
    <row r="174" spans="1:4">
      <c r="A174" s="19" t="str">
        <f t="shared" si="14"/>
        <v>АСУЭ.FB_IMsp_S.FCOM</v>
      </c>
      <c r="B174" s="11">
        <v>1</v>
      </c>
      <c r="C174" s="11" t="s">
        <v>1</v>
      </c>
      <c r="D174" s="20">
        <v>11</v>
      </c>
    </row>
    <row r="175" spans="1:4">
      <c r="A175" s="19" t="str">
        <f t="shared" si="14"/>
        <v>АСУЭ.FB_IMsp_S.FCOM</v>
      </c>
      <c r="B175" s="11">
        <v>101</v>
      </c>
      <c r="C175" s="11" t="s">
        <v>0</v>
      </c>
      <c r="D175" s="20" t="s">
        <v>149</v>
      </c>
    </row>
    <row r="176" spans="1:4">
      <c r="A176" s="19" t="str">
        <f t="shared" si="14"/>
        <v>АСУЭ.FB_IMsp_S.FCOM</v>
      </c>
      <c r="B176" s="11">
        <v>7998</v>
      </c>
      <c r="C176" s="11" t="s">
        <v>6</v>
      </c>
      <c r="D176" s="20">
        <v>1</v>
      </c>
    </row>
    <row r="177" spans="1:4">
      <c r="A177" s="19" t="str">
        <f t="shared" si="14"/>
        <v>АСУЭ.FB_IMsp_S.FCOM</v>
      </c>
      <c r="B177" s="11">
        <v>7999</v>
      </c>
      <c r="C177" s="11" t="s">
        <v>0</v>
      </c>
      <c r="D177" s="20" t="str">
        <f>"#"&amp;$S$2&amp;"#"&amp;$T$2&amp;"\"&amp;$P$2&amp;"\FCOM"</f>
        <v>#1#treiOPCDA.CoOPCserv.1\pcmaster\ZRU_OL1\FCOM</v>
      </c>
    </row>
    <row r="178" spans="1:4">
      <c r="A178" s="211" t="str">
        <f t="shared" si="14"/>
        <v>АСУЭ.FB_IMsp_S.FCOM</v>
      </c>
      <c r="B178" s="212">
        <v>11154</v>
      </c>
      <c r="C178" s="212" t="s">
        <v>4</v>
      </c>
      <c r="D178" s="213">
        <f>$Q$7</f>
        <v>12</v>
      </c>
    </row>
    <row r="179" spans="1:4">
      <c r="A179" s="211" t="str">
        <f t="shared" si="14"/>
        <v>АСУЭ.FB_IMsp_S.FCOM</v>
      </c>
      <c r="B179" s="212">
        <v>11152</v>
      </c>
      <c r="C179" s="212" t="s">
        <v>0</v>
      </c>
      <c r="D179" s="213" t="str">
        <f>$R$7</f>
        <v>Неисправность</v>
      </c>
    </row>
    <row r="180" spans="1:4">
      <c r="A180" s="211" t="str">
        <f t="shared" si="14"/>
        <v>АСУЭ.FB_IMsp_S.FCOM</v>
      </c>
      <c r="B180" s="212">
        <v>11150</v>
      </c>
      <c r="C180" s="212" t="s">
        <v>0</v>
      </c>
      <c r="D180" s="213" t="s">
        <v>149</v>
      </c>
    </row>
    <row r="181" spans="1:4">
      <c r="A181" s="214" t="str">
        <f t="shared" si="14"/>
        <v>АСУЭ.FB_IMsp_S.FCOM</v>
      </c>
      <c r="B181" s="215">
        <v>11000</v>
      </c>
      <c r="C181" s="215" t="s">
        <v>5</v>
      </c>
      <c r="D181" s="216">
        <v>2147483680</v>
      </c>
    </row>
    <row r="182" spans="1:4">
      <c r="A182" s="16" t="str">
        <f t="shared" ref="A182:A191" si="15">$R$2&amp;".FOFX"</f>
        <v>АСУЭ.FB_IMsp_S.FOFX</v>
      </c>
      <c r="B182" s="17">
        <v>3</v>
      </c>
      <c r="C182" s="17" t="s">
        <v>1</v>
      </c>
      <c r="D182" s="18">
        <v>192</v>
      </c>
    </row>
    <row r="183" spans="1:4">
      <c r="A183" s="19" t="str">
        <f t="shared" si="15"/>
        <v>АСУЭ.FB_IMsp_S.FOFX</v>
      </c>
      <c r="B183" s="11">
        <v>2</v>
      </c>
      <c r="C183" s="11" t="s">
        <v>2</v>
      </c>
      <c r="D183" s="20" t="s">
        <v>3</v>
      </c>
    </row>
    <row r="184" spans="1:4">
      <c r="A184" s="19" t="str">
        <f t="shared" si="15"/>
        <v>АСУЭ.FB_IMsp_S.FOFX</v>
      </c>
      <c r="B184" s="11">
        <v>1</v>
      </c>
      <c r="C184" s="11" t="s">
        <v>1</v>
      </c>
      <c r="D184" s="20">
        <v>11</v>
      </c>
    </row>
    <row r="185" spans="1:4">
      <c r="A185" s="19" t="str">
        <f t="shared" si="15"/>
        <v>АСУЭ.FB_IMsp_S.FOFX</v>
      </c>
      <c r="B185" s="11">
        <v>101</v>
      </c>
      <c r="C185" s="11" t="s">
        <v>0</v>
      </c>
      <c r="D185" s="20" t="s">
        <v>150</v>
      </c>
    </row>
    <row r="186" spans="1:4">
      <c r="A186" s="19" t="str">
        <f t="shared" si="15"/>
        <v>АСУЭ.FB_IMsp_S.FOFX</v>
      </c>
      <c r="B186" s="11">
        <v>7998</v>
      </c>
      <c r="C186" s="11" t="s">
        <v>6</v>
      </c>
      <c r="D186" s="20">
        <v>1</v>
      </c>
    </row>
    <row r="187" spans="1:4">
      <c r="A187" s="19" t="str">
        <f t="shared" si="15"/>
        <v>АСУЭ.FB_IMsp_S.FOFX</v>
      </c>
      <c r="B187" s="11">
        <v>7999</v>
      </c>
      <c r="C187" s="11" t="s">
        <v>0</v>
      </c>
      <c r="D187" s="20" t="str">
        <f>"#"&amp;$S$2&amp;"#"&amp;$T$2&amp;"\"&amp;$P$2&amp;"\FOFX"</f>
        <v>#1#treiOPCDA.CoOPCserv.1\pcmaster\ZRU_OL1\FOFX</v>
      </c>
    </row>
    <row r="188" spans="1:4">
      <c r="A188" s="211" t="str">
        <f t="shared" si="15"/>
        <v>АСУЭ.FB_IMsp_S.FOFX</v>
      </c>
      <c r="B188" s="212">
        <v>11154</v>
      </c>
      <c r="C188" s="212" t="s">
        <v>4</v>
      </c>
      <c r="D188" s="213">
        <f>$Q$7</f>
        <v>12</v>
      </c>
    </row>
    <row r="189" spans="1:4">
      <c r="A189" s="211" t="str">
        <f t="shared" si="15"/>
        <v>АСУЭ.FB_IMsp_S.FOFX</v>
      </c>
      <c r="B189" s="212">
        <v>11152</v>
      </c>
      <c r="C189" s="212" t="s">
        <v>0</v>
      </c>
      <c r="D189" s="213" t="str">
        <f>$R$7</f>
        <v>Неисправность</v>
      </c>
    </row>
    <row r="190" spans="1:4">
      <c r="A190" s="211" t="str">
        <f t="shared" si="15"/>
        <v>АСУЭ.FB_IMsp_S.FOFX</v>
      </c>
      <c r="B190" s="212">
        <v>11150</v>
      </c>
      <c r="C190" s="212" t="s">
        <v>0</v>
      </c>
      <c r="D190" s="213" t="s">
        <v>150</v>
      </c>
    </row>
    <row r="191" spans="1:4">
      <c r="A191" s="214" t="str">
        <f t="shared" si="15"/>
        <v>АСУЭ.FB_IMsp_S.FOFX</v>
      </c>
      <c r="B191" s="215">
        <v>11000</v>
      </c>
      <c r="C191" s="215" t="s">
        <v>5</v>
      </c>
      <c r="D191" s="216">
        <v>2147483680</v>
      </c>
    </row>
    <row r="192" spans="1:4">
      <c r="A192" s="16" t="str">
        <f t="shared" ref="A192:A201" si="16">$R$2&amp;".FUSX"</f>
        <v>АСУЭ.FB_IMsp_S.FUSX</v>
      </c>
      <c r="B192" s="17">
        <v>3</v>
      </c>
      <c r="C192" s="17" t="s">
        <v>1</v>
      </c>
      <c r="D192" s="18">
        <v>192</v>
      </c>
    </row>
    <row r="193" spans="1:4">
      <c r="A193" s="19" t="str">
        <f t="shared" si="16"/>
        <v>АСУЭ.FB_IMsp_S.FUSX</v>
      </c>
      <c r="B193" s="11">
        <v>2</v>
      </c>
      <c r="C193" s="11" t="s">
        <v>2</v>
      </c>
      <c r="D193" s="20" t="s">
        <v>3</v>
      </c>
    </row>
    <row r="194" spans="1:4">
      <c r="A194" s="19" t="str">
        <f t="shared" si="16"/>
        <v>АСУЭ.FB_IMsp_S.FUSX</v>
      </c>
      <c r="B194" s="11">
        <v>1</v>
      </c>
      <c r="C194" s="11" t="s">
        <v>1</v>
      </c>
      <c r="D194" s="20">
        <v>11</v>
      </c>
    </row>
    <row r="195" spans="1:4">
      <c r="A195" s="19" t="str">
        <f t="shared" si="16"/>
        <v>АСУЭ.FB_IMsp_S.FUSX</v>
      </c>
      <c r="B195" s="11">
        <v>101</v>
      </c>
      <c r="C195" s="11" t="s">
        <v>0</v>
      </c>
      <c r="D195" s="20" t="s">
        <v>1854</v>
      </c>
    </row>
    <row r="196" spans="1:4">
      <c r="A196" s="19" t="str">
        <f t="shared" si="16"/>
        <v>АСУЭ.FB_IMsp_S.FUSX</v>
      </c>
      <c r="B196" s="11">
        <v>7998</v>
      </c>
      <c r="C196" s="11" t="s">
        <v>6</v>
      </c>
      <c r="D196" s="20">
        <v>1</v>
      </c>
    </row>
    <row r="197" spans="1:4">
      <c r="A197" s="19" t="str">
        <f t="shared" si="16"/>
        <v>АСУЭ.FB_IMsp_S.FUSX</v>
      </c>
      <c r="B197" s="11">
        <v>7999</v>
      </c>
      <c r="C197" s="11" t="s">
        <v>0</v>
      </c>
      <c r="D197" s="20" t="str">
        <f>"#"&amp;$S$2&amp;"#"&amp;$T$2&amp;"\"&amp;$P$2&amp;"\FUSX"</f>
        <v>#1#treiOPCDA.CoOPCserv.1\pcmaster\ZRU_OL1\FUSX</v>
      </c>
    </row>
    <row r="198" spans="1:4">
      <c r="A198" s="211" t="str">
        <f t="shared" si="16"/>
        <v>АСУЭ.FB_IMsp_S.FUSX</v>
      </c>
      <c r="B198" s="212">
        <v>11154</v>
      </c>
      <c r="C198" s="212" t="s">
        <v>4</v>
      </c>
      <c r="D198" s="213">
        <f>$Q$7</f>
        <v>12</v>
      </c>
    </row>
    <row r="199" spans="1:4">
      <c r="A199" s="211" t="str">
        <f t="shared" si="16"/>
        <v>АСУЭ.FB_IMsp_S.FUSX</v>
      </c>
      <c r="B199" s="212">
        <v>11152</v>
      </c>
      <c r="C199" s="212" t="s">
        <v>0</v>
      </c>
      <c r="D199" s="213" t="str">
        <f>$R$7</f>
        <v>Неисправность</v>
      </c>
    </row>
    <row r="200" spans="1:4">
      <c r="A200" s="211" t="str">
        <f t="shared" si="16"/>
        <v>АСУЭ.FB_IMsp_S.FUSX</v>
      </c>
      <c r="B200" s="212">
        <v>11150</v>
      </c>
      <c r="C200" s="212" t="s">
        <v>0</v>
      </c>
      <c r="D200" s="213" t="s">
        <v>1854</v>
      </c>
    </row>
    <row r="201" spans="1:4">
      <c r="A201" s="214" t="str">
        <f t="shared" si="16"/>
        <v>АСУЭ.FB_IMsp_S.FUSX</v>
      </c>
      <c r="B201" s="215">
        <v>11000</v>
      </c>
      <c r="C201" s="215" t="s">
        <v>5</v>
      </c>
      <c r="D201" s="216">
        <v>2147483680</v>
      </c>
    </row>
    <row r="202" spans="1:4">
      <c r="A202" s="16" t="str">
        <f t="shared" ref="A202:A211" si="17">$R$2&amp;".FUPT"</f>
        <v>АСУЭ.FB_IMsp_S.FUPT</v>
      </c>
      <c r="B202" s="17">
        <v>3</v>
      </c>
      <c r="C202" s="17" t="s">
        <v>1</v>
      </c>
      <c r="D202" s="18">
        <v>192</v>
      </c>
    </row>
    <row r="203" spans="1:4">
      <c r="A203" s="19" t="str">
        <f t="shared" si="17"/>
        <v>АСУЭ.FB_IMsp_S.FUPT</v>
      </c>
      <c r="B203" s="11">
        <v>2</v>
      </c>
      <c r="C203" s="11" t="s">
        <v>2</v>
      </c>
      <c r="D203" s="20" t="s">
        <v>3</v>
      </c>
    </row>
    <row r="204" spans="1:4">
      <c r="A204" s="19" t="str">
        <f t="shared" si="17"/>
        <v>АСУЭ.FB_IMsp_S.FUPT</v>
      </c>
      <c r="B204" s="11">
        <v>1</v>
      </c>
      <c r="C204" s="11" t="s">
        <v>1</v>
      </c>
      <c r="D204" s="20">
        <v>11</v>
      </c>
    </row>
    <row r="205" spans="1:4">
      <c r="A205" s="19" t="str">
        <f t="shared" si="17"/>
        <v>АСУЭ.FB_IMsp_S.FUPT</v>
      </c>
      <c r="B205" s="11">
        <v>101</v>
      </c>
      <c r="C205" s="11" t="s">
        <v>0</v>
      </c>
      <c r="D205" s="20" t="s">
        <v>155</v>
      </c>
    </row>
    <row r="206" spans="1:4">
      <c r="A206" s="19" t="str">
        <f t="shared" si="17"/>
        <v>АСУЭ.FB_IMsp_S.FUPT</v>
      </c>
      <c r="B206" s="11">
        <v>7998</v>
      </c>
      <c r="C206" s="11" t="s">
        <v>6</v>
      </c>
      <c r="D206" s="20">
        <v>1</v>
      </c>
    </row>
    <row r="207" spans="1:4">
      <c r="A207" s="19" t="str">
        <f t="shared" si="17"/>
        <v>АСУЭ.FB_IMsp_S.FUPT</v>
      </c>
      <c r="B207" s="11">
        <v>7999</v>
      </c>
      <c r="C207" s="11" t="s">
        <v>0</v>
      </c>
      <c r="D207" s="20" t="str">
        <f>"#"&amp;$S$2&amp;"#"&amp;$T$2&amp;"\"&amp;$P$2&amp;"\FUPT"</f>
        <v>#1#treiOPCDA.CoOPCserv.1\pcmaster\ZRU_OL1\FUPT</v>
      </c>
    </row>
    <row r="208" spans="1:4">
      <c r="A208" s="211" t="str">
        <f t="shared" si="17"/>
        <v>АСУЭ.FB_IMsp_S.FUPT</v>
      </c>
      <c r="B208" s="212">
        <v>11154</v>
      </c>
      <c r="C208" s="212" t="s">
        <v>4</v>
      </c>
      <c r="D208" s="213">
        <f>$Q$7</f>
        <v>12</v>
      </c>
    </row>
    <row r="209" spans="1:4">
      <c r="A209" s="211" t="str">
        <f t="shared" si="17"/>
        <v>АСУЭ.FB_IMsp_S.FUPT</v>
      </c>
      <c r="B209" s="212">
        <v>11152</v>
      </c>
      <c r="C209" s="212" t="s">
        <v>0</v>
      </c>
      <c r="D209" s="213" t="str">
        <f>$R$7</f>
        <v>Неисправность</v>
      </c>
    </row>
    <row r="210" spans="1:4">
      <c r="A210" s="211" t="str">
        <f t="shared" si="17"/>
        <v>АСУЭ.FB_IMsp_S.FUPT</v>
      </c>
      <c r="B210" s="212">
        <v>11150</v>
      </c>
      <c r="C210" s="212" t="s">
        <v>0</v>
      </c>
      <c r="D210" s="213" t="s">
        <v>156</v>
      </c>
    </row>
    <row r="211" spans="1:4">
      <c r="A211" s="214" t="str">
        <f t="shared" si="17"/>
        <v>АСУЭ.FB_IMsp_S.FUPT</v>
      </c>
      <c r="B211" s="215">
        <v>11000</v>
      </c>
      <c r="C211" s="215" t="s">
        <v>5</v>
      </c>
      <c r="D211" s="216">
        <v>2147483680</v>
      </c>
    </row>
    <row r="212" spans="1:4">
      <c r="A212" s="16" t="str">
        <f t="shared" ref="A212:A221" si="18">$R$2&amp;".FDSX"</f>
        <v>АСУЭ.FB_IMsp_S.FDSX</v>
      </c>
      <c r="B212" s="17">
        <v>3</v>
      </c>
      <c r="C212" s="17" t="s">
        <v>1</v>
      </c>
      <c r="D212" s="18">
        <v>192</v>
      </c>
    </row>
    <row r="213" spans="1:4">
      <c r="A213" s="19" t="str">
        <f t="shared" si="18"/>
        <v>АСУЭ.FB_IMsp_S.FDSX</v>
      </c>
      <c r="B213" s="11">
        <v>2</v>
      </c>
      <c r="C213" s="11" t="s">
        <v>2</v>
      </c>
      <c r="D213" s="20" t="s">
        <v>3</v>
      </c>
    </row>
    <row r="214" spans="1:4">
      <c r="A214" s="19" t="str">
        <f t="shared" si="18"/>
        <v>АСУЭ.FB_IMsp_S.FDSX</v>
      </c>
      <c r="B214" s="11">
        <v>1</v>
      </c>
      <c r="C214" s="11" t="s">
        <v>1</v>
      </c>
      <c r="D214" s="20">
        <v>11</v>
      </c>
    </row>
    <row r="215" spans="1:4">
      <c r="A215" s="19" t="str">
        <f t="shared" si="18"/>
        <v>АСУЭ.FB_IMsp_S.FDSX</v>
      </c>
      <c r="B215" s="11">
        <v>101</v>
      </c>
      <c r="C215" s="11" t="s">
        <v>0</v>
      </c>
      <c r="D215" s="20" t="s">
        <v>1855</v>
      </c>
    </row>
    <row r="216" spans="1:4">
      <c r="A216" s="19" t="str">
        <f t="shared" si="18"/>
        <v>АСУЭ.FB_IMsp_S.FDSX</v>
      </c>
      <c r="B216" s="11">
        <v>7998</v>
      </c>
      <c r="C216" s="11" t="s">
        <v>6</v>
      </c>
      <c r="D216" s="20">
        <v>1</v>
      </c>
    </row>
    <row r="217" spans="1:4">
      <c r="A217" s="19" t="str">
        <f t="shared" si="18"/>
        <v>АСУЭ.FB_IMsp_S.FDSX</v>
      </c>
      <c r="B217" s="11">
        <v>7999</v>
      </c>
      <c r="C217" s="11" t="s">
        <v>0</v>
      </c>
      <c r="D217" s="20" t="str">
        <f>"#"&amp;$S$2&amp;"#"&amp;$T$2&amp;"\"&amp;$P$2&amp;"\FDSX"</f>
        <v>#1#treiOPCDA.CoOPCserv.1\pcmaster\ZRU_OL1\FDSX</v>
      </c>
    </row>
    <row r="218" spans="1:4">
      <c r="A218" s="211" t="str">
        <f t="shared" si="18"/>
        <v>АСУЭ.FB_IMsp_S.FDSX</v>
      </c>
      <c r="B218" s="212">
        <v>11154</v>
      </c>
      <c r="C218" s="212" t="s">
        <v>4</v>
      </c>
      <c r="D218" s="213">
        <f>$Q$7</f>
        <v>12</v>
      </c>
    </row>
    <row r="219" spans="1:4">
      <c r="A219" s="211" t="str">
        <f t="shared" si="18"/>
        <v>АСУЭ.FB_IMsp_S.FDSX</v>
      </c>
      <c r="B219" s="212">
        <v>11152</v>
      </c>
      <c r="C219" s="212" t="s">
        <v>0</v>
      </c>
      <c r="D219" s="213" t="str">
        <f>$R$7</f>
        <v>Неисправность</v>
      </c>
    </row>
    <row r="220" spans="1:4">
      <c r="A220" s="211" t="str">
        <f t="shared" si="18"/>
        <v>АСУЭ.FB_IMsp_S.FDSX</v>
      </c>
      <c r="B220" s="212">
        <v>11150</v>
      </c>
      <c r="C220" s="212" t="s">
        <v>0</v>
      </c>
      <c r="D220" s="213" t="s">
        <v>1855</v>
      </c>
    </row>
    <row r="221" spans="1:4">
      <c r="A221" s="214" t="str">
        <f t="shared" si="18"/>
        <v>АСУЭ.FB_IMsp_S.FDSX</v>
      </c>
      <c r="B221" s="215">
        <v>11000</v>
      </c>
      <c r="C221" s="215" t="s">
        <v>5</v>
      </c>
      <c r="D221" s="216">
        <v>2147483680</v>
      </c>
    </row>
    <row r="222" spans="1:4">
      <c r="A222" s="16" t="str">
        <f t="shared" ref="A222:A231" si="19">$R$2&amp;".FDPT"</f>
        <v>АСУЭ.FB_IMsp_S.FDPT</v>
      </c>
      <c r="B222" s="17">
        <v>3</v>
      </c>
      <c r="C222" s="17" t="s">
        <v>1</v>
      </c>
      <c r="D222" s="18">
        <v>192</v>
      </c>
    </row>
    <row r="223" spans="1:4">
      <c r="A223" s="19" t="str">
        <f t="shared" si="19"/>
        <v>АСУЭ.FB_IMsp_S.FDPT</v>
      </c>
      <c r="B223" s="11">
        <v>2</v>
      </c>
      <c r="C223" s="11" t="s">
        <v>2</v>
      </c>
      <c r="D223" s="20" t="s">
        <v>3</v>
      </c>
    </row>
    <row r="224" spans="1:4">
      <c r="A224" s="19" t="str">
        <f t="shared" si="19"/>
        <v>АСУЭ.FB_IMsp_S.FDPT</v>
      </c>
      <c r="B224" s="11">
        <v>1</v>
      </c>
      <c r="C224" s="11" t="s">
        <v>1</v>
      </c>
      <c r="D224" s="20">
        <v>11</v>
      </c>
    </row>
    <row r="225" spans="1:4">
      <c r="A225" s="19" t="str">
        <f t="shared" si="19"/>
        <v>АСУЭ.FB_IMsp_S.FDPT</v>
      </c>
      <c r="B225" s="11">
        <v>101</v>
      </c>
      <c r="C225" s="11" t="s">
        <v>0</v>
      </c>
      <c r="D225" s="20" t="s">
        <v>162</v>
      </c>
    </row>
    <row r="226" spans="1:4">
      <c r="A226" s="19" t="str">
        <f t="shared" si="19"/>
        <v>АСУЭ.FB_IMsp_S.FDPT</v>
      </c>
      <c r="B226" s="11">
        <v>7998</v>
      </c>
      <c r="C226" s="11" t="s">
        <v>6</v>
      </c>
      <c r="D226" s="20">
        <v>1</v>
      </c>
    </row>
    <row r="227" spans="1:4">
      <c r="A227" s="19" t="str">
        <f t="shared" si="19"/>
        <v>АСУЭ.FB_IMsp_S.FDPT</v>
      </c>
      <c r="B227" s="11">
        <v>7999</v>
      </c>
      <c r="C227" s="11" t="s">
        <v>0</v>
      </c>
      <c r="D227" s="20" t="str">
        <f>"#"&amp;$S$2&amp;"#"&amp;$T$2&amp;"\"&amp;$P$2&amp;"\FDPT"</f>
        <v>#1#treiOPCDA.CoOPCserv.1\pcmaster\ZRU_OL1\FDPT</v>
      </c>
    </row>
    <row r="228" spans="1:4">
      <c r="A228" s="211" t="str">
        <f t="shared" si="19"/>
        <v>АСУЭ.FB_IMsp_S.FDPT</v>
      </c>
      <c r="B228" s="212">
        <v>11154</v>
      </c>
      <c r="C228" s="212" t="s">
        <v>4</v>
      </c>
      <c r="D228" s="213">
        <f>$Q$7</f>
        <v>12</v>
      </c>
    </row>
    <row r="229" spans="1:4">
      <c r="A229" s="211" t="str">
        <f t="shared" si="19"/>
        <v>АСУЭ.FB_IMsp_S.FDPT</v>
      </c>
      <c r="B229" s="212">
        <v>11152</v>
      </c>
      <c r="C229" s="212" t="s">
        <v>0</v>
      </c>
      <c r="D229" s="213" t="str">
        <f>$R$7</f>
        <v>Неисправность</v>
      </c>
    </row>
    <row r="230" spans="1:4">
      <c r="A230" s="211" t="str">
        <f t="shared" si="19"/>
        <v>АСУЭ.FB_IMsp_S.FDPT</v>
      </c>
      <c r="B230" s="212">
        <v>11150</v>
      </c>
      <c r="C230" s="212" t="s">
        <v>0</v>
      </c>
      <c r="D230" s="213" t="s">
        <v>162</v>
      </c>
    </row>
    <row r="231" spans="1:4">
      <c r="A231" s="214" t="str">
        <f t="shared" si="19"/>
        <v>АСУЭ.FB_IMsp_S.FDPT</v>
      </c>
      <c r="B231" s="215">
        <v>11000</v>
      </c>
      <c r="C231" s="215" t="s">
        <v>5</v>
      </c>
      <c r="D231" s="216">
        <v>2147483680</v>
      </c>
    </row>
    <row r="232" spans="1:4">
      <c r="A232" s="16" t="str">
        <f t="shared" ref="A232:A241" si="20">$R$2&amp;".FONX"</f>
        <v>АСУЭ.FB_IMsp_S.FONX</v>
      </c>
      <c r="B232" s="17">
        <v>3</v>
      </c>
      <c r="C232" s="17" t="s">
        <v>1</v>
      </c>
      <c r="D232" s="18">
        <v>192</v>
      </c>
    </row>
    <row r="233" spans="1:4">
      <c r="A233" s="19" t="str">
        <f t="shared" si="20"/>
        <v>АСУЭ.FB_IMsp_S.FONX</v>
      </c>
      <c r="B233" s="11">
        <v>2</v>
      </c>
      <c r="C233" s="11" t="s">
        <v>2</v>
      </c>
      <c r="D233" s="20" t="s">
        <v>3</v>
      </c>
    </row>
    <row r="234" spans="1:4">
      <c r="A234" s="19" t="str">
        <f t="shared" si="20"/>
        <v>АСУЭ.FB_IMsp_S.FONX</v>
      </c>
      <c r="B234" s="11">
        <v>1</v>
      </c>
      <c r="C234" s="11" t="s">
        <v>1</v>
      </c>
      <c r="D234" s="20">
        <v>11</v>
      </c>
    </row>
    <row r="235" spans="1:4">
      <c r="A235" s="19" t="str">
        <f t="shared" si="20"/>
        <v>АСУЭ.FB_IMsp_S.FONX</v>
      </c>
      <c r="B235" s="11">
        <v>101</v>
      </c>
      <c r="C235" s="11" t="s">
        <v>0</v>
      </c>
      <c r="D235" s="20" t="s">
        <v>163</v>
      </c>
    </row>
    <row r="236" spans="1:4">
      <c r="A236" s="19" t="str">
        <f t="shared" si="20"/>
        <v>АСУЭ.FB_IMsp_S.FONX</v>
      </c>
      <c r="B236" s="11">
        <v>7998</v>
      </c>
      <c r="C236" s="11" t="s">
        <v>6</v>
      </c>
      <c r="D236" s="20">
        <v>1</v>
      </c>
    </row>
    <row r="237" spans="1:4">
      <c r="A237" s="19" t="str">
        <f t="shared" si="20"/>
        <v>АСУЭ.FB_IMsp_S.FONX</v>
      </c>
      <c r="B237" s="11">
        <v>7999</v>
      </c>
      <c r="C237" s="11" t="s">
        <v>0</v>
      </c>
      <c r="D237" s="20" t="str">
        <f>"#"&amp;$S$2&amp;"#"&amp;$T$2&amp;"\"&amp;$P$2&amp;"\FONX"</f>
        <v>#1#treiOPCDA.CoOPCserv.1\pcmaster\ZRU_OL1\FONX</v>
      </c>
    </row>
    <row r="238" spans="1:4">
      <c r="A238" s="211" t="str">
        <f t="shared" si="20"/>
        <v>АСУЭ.FB_IMsp_S.FONX</v>
      </c>
      <c r="B238" s="212">
        <v>11154</v>
      </c>
      <c r="C238" s="212" t="s">
        <v>4</v>
      </c>
      <c r="D238" s="213">
        <f>$Q$7</f>
        <v>12</v>
      </c>
    </row>
    <row r="239" spans="1:4">
      <c r="A239" s="211" t="str">
        <f t="shared" si="20"/>
        <v>АСУЭ.FB_IMsp_S.FONX</v>
      </c>
      <c r="B239" s="212">
        <v>11152</v>
      </c>
      <c r="C239" s="212" t="s">
        <v>0</v>
      </c>
      <c r="D239" s="213" t="str">
        <f>$R$7</f>
        <v>Неисправность</v>
      </c>
    </row>
    <row r="240" spans="1:4">
      <c r="A240" s="211" t="str">
        <f t="shared" si="20"/>
        <v>АСУЭ.FB_IMsp_S.FONX</v>
      </c>
      <c r="B240" s="212">
        <v>11150</v>
      </c>
      <c r="C240" s="212" t="s">
        <v>0</v>
      </c>
      <c r="D240" s="213" t="s">
        <v>163</v>
      </c>
    </row>
    <row r="241" spans="1:4">
      <c r="A241" s="214" t="str">
        <f t="shared" si="20"/>
        <v>АСУЭ.FB_IMsp_S.FONX</v>
      </c>
      <c r="B241" s="215">
        <v>11000</v>
      </c>
      <c r="C241" s="215" t="s">
        <v>5</v>
      </c>
      <c r="D241" s="216">
        <v>2147483680</v>
      </c>
    </row>
    <row r="242" spans="1:4">
      <c r="A242" s="16" t="str">
        <f t="shared" ref="A242:A251" si="21">$R$2&amp;".FUCX"</f>
        <v>АСУЭ.FB_IMsp_S.FUCX</v>
      </c>
      <c r="B242" s="17">
        <v>101</v>
      </c>
      <c r="C242" s="17" t="s">
        <v>0</v>
      </c>
      <c r="D242" s="18" t="s">
        <v>167</v>
      </c>
    </row>
    <row r="243" spans="1:4">
      <c r="A243" s="19" t="str">
        <f t="shared" si="21"/>
        <v>АСУЭ.FB_IMsp_S.FUCX</v>
      </c>
      <c r="B243" s="11">
        <v>1</v>
      </c>
      <c r="C243" s="11" t="s">
        <v>1</v>
      </c>
      <c r="D243" s="20">
        <v>11</v>
      </c>
    </row>
    <row r="244" spans="1:4">
      <c r="A244" s="19" t="str">
        <f t="shared" si="21"/>
        <v>АСУЭ.FB_IMsp_S.FUCX</v>
      </c>
      <c r="B244" s="11">
        <v>2</v>
      </c>
      <c r="C244" s="11" t="s">
        <v>2</v>
      </c>
      <c r="D244" s="20" t="s">
        <v>3</v>
      </c>
    </row>
    <row r="245" spans="1:4">
      <c r="A245" s="19" t="str">
        <f t="shared" si="21"/>
        <v>АСУЭ.FB_IMsp_S.FUCX</v>
      </c>
      <c r="B245" s="11">
        <v>3</v>
      </c>
      <c r="C245" s="11" t="s">
        <v>1</v>
      </c>
      <c r="D245" s="20">
        <v>192</v>
      </c>
    </row>
    <row r="246" spans="1:4">
      <c r="A246" s="19" t="str">
        <f t="shared" si="21"/>
        <v>АСУЭ.FB_IMsp_S.FUCX</v>
      </c>
      <c r="B246" s="11">
        <v>7998</v>
      </c>
      <c r="C246" s="11" t="s">
        <v>6</v>
      </c>
      <c r="D246" s="20">
        <v>1</v>
      </c>
    </row>
    <row r="247" spans="1:4">
      <c r="A247" s="19" t="str">
        <f t="shared" si="21"/>
        <v>АСУЭ.FB_IMsp_S.FUCX</v>
      </c>
      <c r="B247" s="11">
        <v>7999</v>
      </c>
      <c r="C247" s="11" t="s">
        <v>0</v>
      </c>
      <c r="D247" s="20" t="str">
        <f>"#"&amp;$S$2&amp;"#"&amp;$T$2&amp;"\"&amp;$P$2&amp;"\FUCX"</f>
        <v>#1#treiOPCDA.CoOPCserv.1\pcmaster\ZRU_OL1\FUCX</v>
      </c>
    </row>
    <row r="248" spans="1:4">
      <c r="A248" s="211" t="str">
        <f t="shared" si="21"/>
        <v>АСУЭ.FB_IMsp_S.FUCX</v>
      </c>
      <c r="B248" s="212">
        <v>11154</v>
      </c>
      <c r="C248" s="212" t="s">
        <v>4</v>
      </c>
      <c r="D248" s="213">
        <f>$Q$7</f>
        <v>12</v>
      </c>
    </row>
    <row r="249" spans="1:4">
      <c r="A249" s="211" t="str">
        <f t="shared" si="21"/>
        <v>АСУЭ.FB_IMsp_S.FUCX</v>
      </c>
      <c r="B249" s="212">
        <v>11152</v>
      </c>
      <c r="C249" s="212" t="s">
        <v>0</v>
      </c>
      <c r="D249" s="213" t="str">
        <f>$R$7</f>
        <v>Неисправность</v>
      </c>
    </row>
    <row r="250" spans="1:4">
      <c r="A250" s="211" t="str">
        <f t="shared" si="21"/>
        <v>АСУЭ.FB_IMsp_S.FUCX</v>
      </c>
      <c r="B250" s="212">
        <v>11150</v>
      </c>
      <c r="C250" s="212" t="s">
        <v>0</v>
      </c>
      <c r="D250" s="213" t="s">
        <v>167</v>
      </c>
    </row>
    <row r="251" spans="1:4">
      <c r="A251" s="214" t="str">
        <f t="shared" si="21"/>
        <v>АСУЭ.FB_IMsp_S.FUCX</v>
      </c>
      <c r="B251" s="215">
        <v>11000</v>
      </c>
      <c r="C251" s="215" t="s">
        <v>5</v>
      </c>
      <c r="D251" s="216">
        <v>2147483680</v>
      </c>
    </row>
    <row r="252" spans="1:4">
      <c r="A252" s="16" t="str">
        <f t="shared" ref="A252:A261" si="22">$R$2&amp;".FDCX"</f>
        <v>АСУЭ.FB_IMsp_S.FDCX</v>
      </c>
      <c r="B252" s="17">
        <v>101</v>
      </c>
      <c r="C252" s="17" t="s">
        <v>0</v>
      </c>
      <c r="D252" s="18" t="s">
        <v>168</v>
      </c>
    </row>
    <row r="253" spans="1:4">
      <c r="A253" s="19" t="str">
        <f t="shared" si="22"/>
        <v>АСУЭ.FB_IMsp_S.FDCX</v>
      </c>
      <c r="B253" s="11">
        <v>1</v>
      </c>
      <c r="C253" s="11" t="s">
        <v>1</v>
      </c>
      <c r="D253" s="20">
        <v>11</v>
      </c>
    </row>
    <row r="254" spans="1:4">
      <c r="A254" s="19" t="str">
        <f t="shared" si="22"/>
        <v>АСУЭ.FB_IMsp_S.FDCX</v>
      </c>
      <c r="B254" s="11">
        <v>2</v>
      </c>
      <c r="C254" s="11" t="s">
        <v>2</v>
      </c>
      <c r="D254" s="20" t="s">
        <v>3</v>
      </c>
    </row>
    <row r="255" spans="1:4">
      <c r="A255" s="19" t="str">
        <f t="shared" si="22"/>
        <v>АСУЭ.FB_IMsp_S.FDCX</v>
      </c>
      <c r="B255" s="11">
        <v>3</v>
      </c>
      <c r="C255" s="11" t="s">
        <v>1</v>
      </c>
      <c r="D255" s="20">
        <v>192</v>
      </c>
    </row>
    <row r="256" spans="1:4">
      <c r="A256" s="19" t="str">
        <f t="shared" si="22"/>
        <v>АСУЭ.FB_IMsp_S.FDCX</v>
      </c>
      <c r="B256" s="11">
        <v>7998</v>
      </c>
      <c r="C256" s="11" t="s">
        <v>6</v>
      </c>
      <c r="D256" s="20">
        <v>1</v>
      </c>
    </row>
    <row r="257" spans="1:4">
      <c r="A257" s="19" t="str">
        <f t="shared" si="22"/>
        <v>АСУЭ.FB_IMsp_S.FDCX</v>
      </c>
      <c r="B257" s="11">
        <v>7999</v>
      </c>
      <c r="C257" s="11" t="s">
        <v>0</v>
      </c>
      <c r="D257" s="20" t="str">
        <f>"#"&amp;$S$2&amp;"#"&amp;$T$2&amp;"\"&amp;$P$2&amp;"\FDCX"</f>
        <v>#1#treiOPCDA.CoOPCserv.1\pcmaster\ZRU_OL1\FDCX</v>
      </c>
    </row>
    <row r="258" spans="1:4">
      <c r="A258" s="211" t="str">
        <f t="shared" si="22"/>
        <v>АСУЭ.FB_IMsp_S.FDCX</v>
      </c>
      <c r="B258" s="212">
        <v>11154</v>
      </c>
      <c r="C258" s="212" t="s">
        <v>4</v>
      </c>
      <c r="D258" s="213">
        <f>$Q$7</f>
        <v>12</v>
      </c>
    </row>
    <row r="259" spans="1:4">
      <c r="A259" s="211" t="str">
        <f t="shared" si="22"/>
        <v>АСУЭ.FB_IMsp_S.FDCX</v>
      </c>
      <c r="B259" s="212">
        <v>11152</v>
      </c>
      <c r="C259" s="212" t="s">
        <v>0</v>
      </c>
      <c r="D259" s="213" t="str">
        <f>$R$7</f>
        <v>Неисправность</v>
      </c>
    </row>
    <row r="260" spans="1:4">
      <c r="A260" s="211" t="str">
        <f t="shared" si="22"/>
        <v>АСУЭ.FB_IMsp_S.FDCX</v>
      </c>
      <c r="B260" s="212">
        <v>11150</v>
      </c>
      <c r="C260" s="212" t="s">
        <v>0</v>
      </c>
      <c r="D260" s="213" t="s">
        <v>168</v>
      </c>
    </row>
    <row r="261" spans="1:4">
      <c r="A261" s="214" t="str">
        <f t="shared" si="22"/>
        <v>АСУЭ.FB_IMsp_S.FDCX</v>
      </c>
      <c r="B261" s="215">
        <v>11000</v>
      </c>
      <c r="C261" s="215" t="s">
        <v>5</v>
      </c>
      <c r="D261" s="216">
        <v>2147483680</v>
      </c>
    </row>
    <row r="262" spans="1:4">
      <c r="A262" s="16" t="str">
        <f t="shared" ref="A262:A271" si="23">$R$2&amp;".DOFX"</f>
        <v>АСУЭ.FB_IMsp_S.DOFX</v>
      </c>
      <c r="B262" s="17">
        <v>3</v>
      </c>
      <c r="C262" s="17" t="s">
        <v>1</v>
      </c>
      <c r="D262" s="18">
        <v>192</v>
      </c>
    </row>
    <row r="263" spans="1:4">
      <c r="A263" s="19" t="str">
        <f t="shared" si="23"/>
        <v>АСУЭ.FB_IMsp_S.DOFX</v>
      </c>
      <c r="B263" s="11">
        <v>2</v>
      </c>
      <c r="C263" s="11" t="s">
        <v>2</v>
      </c>
      <c r="D263" s="20" t="s">
        <v>3</v>
      </c>
    </row>
    <row r="264" spans="1:4">
      <c r="A264" s="19" t="str">
        <f t="shared" si="23"/>
        <v>АСУЭ.FB_IMsp_S.DOFX</v>
      </c>
      <c r="B264" s="11">
        <v>1</v>
      </c>
      <c r="C264" s="11" t="s">
        <v>1</v>
      </c>
      <c r="D264" s="20">
        <v>11</v>
      </c>
    </row>
    <row r="265" spans="1:4">
      <c r="A265" s="19" t="str">
        <f t="shared" si="23"/>
        <v>АСУЭ.FB_IMsp_S.DOFX</v>
      </c>
      <c r="B265" s="11">
        <v>101</v>
      </c>
      <c r="C265" s="11" t="s">
        <v>0</v>
      </c>
      <c r="D265" s="20" t="s">
        <v>97</v>
      </c>
    </row>
    <row r="266" spans="1:4">
      <c r="A266" s="19" t="str">
        <f t="shared" si="23"/>
        <v>АСУЭ.FB_IMsp_S.DOFX</v>
      </c>
      <c r="B266" s="11">
        <v>7998</v>
      </c>
      <c r="C266" s="11" t="s">
        <v>6</v>
      </c>
      <c r="D266" s="20">
        <v>1</v>
      </c>
    </row>
    <row r="267" spans="1:4">
      <c r="A267" s="19" t="str">
        <f t="shared" si="23"/>
        <v>АСУЭ.FB_IMsp_S.DOFX</v>
      </c>
      <c r="B267" s="11">
        <v>7999</v>
      </c>
      <c r="C267" s="11" t="s">
        <v>0</v>
      </c>
      <c r="D267" s="20" t="str">
        <f>"#"&amp;$S$2&amp;"#"&amp;$T$2&amp;"\"&amp;$P$2&amp;"\DOFX"</f>
        <v>#1#treiOPCDA.CoOPCserv.1\pcmaster\ZRU_OL1\DOFX</v>
      </c>
    </row>
    <row r="268" spans="1:4">
      <c r="A268" s="110" t="str">
        <f t="shared" si="23"/>
        <v>АСУЭ.FB_IMsp_S.DOFX</v>
      </c>
      <c r="B268" s="111">
        <v>11154</v>
      </c>
      <c r="C268" s="111" t="s">
        <v>4</v>
      </c>
      <c r="D268" s="112">
        <f>$Q$9</f>
        <v>10</v>
      </c>
    </row>
    <row r="269" spans="1:4">
      <c r="A269" s="110" t="str">
        <f t="shared" si="23"/>
        <v>АСУЭ.FB_IMsp_S.DOFX</v>
      </c>
      <c r="B269" s="111">
        <v>11152</v>
      </c>
      <c r="C269" s="111" t="s">
        <v>0</v>
      </c>
      <c r="D269" s="112" t="str">
        <f>$R$9</f>
        <v>Недостоверность</v>
      </c>
    </row>
    <row r="270" spans="1:4">
      <c r="A270" s="110" t="str">
        <f t="shared" si="23"/>
        <v>АСУЭ.FB_IMsp_S.DOFX</v>
      </c>
      <c r="B270" s="111">
        <v>11150</v>
      </c>
      <c r="C270" s="111" t="s">
        <v>0</v>
      </c>
      <c r="D270" s="112" t="s">
        <v>98</v>
      </c>
    </row>
    <row r="271" spans="1:4">
      <c r="A271" s="164" t="str">
        <f t="shared" si="23"/>
        <v>АСУЭ.FB_IMsp_S.DOFX</v>
      </c>
      <c r="B271" s="165">
        <v>11000</v>
      </c>
      <c r="C271" s="165" t="s">
        <v>5</v>
      </c>
      <c r="D271" s="166">
        <v>2147483680</v>
      </c>
    </row>
    <row r="272" spans="1:4">
      <c r="A272" s="16" t="str">
        <f t="shared" ref="A272:A281" si="24">$R$2&amp;".DOON"</f>
        <v>АСУЭ.FB_IMsp_S.DOON</v>
      </c>
      <c r="B272" s="17">
        <v>3</v>
      </c>
      <c r="C272" s="17" t="s">
        <v>1</v>
      </c>
      <c r="D272" s="18">
        <v>192</v>
      </c>
    </row>
    <row r="273" spans="1:4">
      <c r="A273" s="19" t="str">
        <f t="shared" si="24"/>
        <v>АСУЭ.FB_IMsp_S.DOON</v>
      </c>
      <c r="B273" s="11">
        <v>2</v>
      </c>
      <c r="C273" s="11" t="s">
        <v>2</v>
      </c>
      <c r="D273" s="20" t="s">
        <v>3</v>
      </c>
    </row>
    <row r="274" spans="1:4">
      <c r="A274" s="19" t="str">
        <f t="shared" si="24"/>
        <v>АСУЭ.FB_IMsp_S.DOON</v>
      </c>
      <c r="B274" s="11">
        <v>1</v>
      </c>
      <c r="C274" s="11" t="s">
        <v>1</v>
      </c>
      <c r="D274" s="20">
        <v>11</v>
      </c>
    </row>
    <row r="275" spans="1:4">
      <c r="A275" s="19" t="str">
        <f t="shared" si="24"/>
        <v>АСУЭ.FB_IMsp_S.DOON</v>
      </c>
      <c r="B275" s="11">
        <v>101</v>
      </c>
      <c r="C275" s="11" t="s">
        <v>0</v>
      </c>
      <c r="D275" s="20" t="s">
        <v>99</v>
      </c>
    </row>
    <row r="276" spans="1:4">
      <c r="A276" s="19" t="str">
        <f t="shared" si="24"/>
        <v>АСУЭ.FB_IMsp_S.DOON</v>
      </c>
      <c r="B276" s="11">
        <v>7998</v>
      </c>
      <c r="C276" s="11" t="s">
        <v>6</v>
      </c>
      <c r="D276" s="20">
        <v>1</v>
      </c>
    </row>
    <row r="277" spans="1:4">
      <c r="A277" s="19" t="str">
        <f t="shared" si="24"/>
        <v>АСУЭ.FB_IMsp_S.DOON</v>
      </c>
      <c r="B277" s="11">
        <v>7999</v>
      </c>
      <c r="C277" s="11" t="s">
        <v>0</v>
      </c>
      <c r="D277" s="20" t="str">
        <f>"#"&amp;$S$2&amp;"#"&amp;$T$2&amp;"\"&amp;$P$2&amp;"\DOON"</f>
        <v>#1#treiOPCDA.CoOPCserv.1\pcmaster\ZRU_OL1\DOON</v>
      </c>
    </row>
    <row r="278" spans="1:4">
      <c r="A278" s="110" t="str">
        <f t="shared" si="24"/>
        <v>АСУЭ.FB_IMsp_S.DOON</v>
      </c>
      <c r="B278" s="111">
        <v>11154</v>
      </c>
      <c r="C278" s="111" t="s">
        <v>4</v>
      </c>
      <c r="D278" s="112">
        <f>$Q$9</f>
        <v>10</v>
      </c>
    </row>
    <row r="279" spans="1:4">
      <c r="A279" s="110" t="str">
        <f t="shared" si="24"/>
        <v>АСУЭ.FB_IMsp_S.DOON</v>
      </c>
      <c r="B279" s="111">
        <v>11152</v>
      </c>
      <c r="C279" s="111" t="s">
        <v>0</v>
      </c>
      <c r="D279" s="112" t="str">
        <f>$R$9</f>
        <v>Недостоверность</v>
      </c>
    </row>
    <row r="280" spans="1:4">
      <c r="A280" s="110" t="str">
        <f t="shared" si="24"/>
        <v>АСУЭ.FB_IMsp_S.DOON</v>
      </c>
      <c r="B280" s="111">
        <v>11150</v>
      </c>
      <c r="C280" s="111" t="s">
        <v>0</v>
      </c>
      <c r="D280" s="112" t="s">
        <v>100</v>
      </c>
    </row>
    <row r="281" spans="1:4">
      <c r="A281" s="164" t="str">
        <f t="shared" si="24"/>
        <v>АСУЭ.FB_IMsp_S.DOON</v>
      </c>
      <c r="B281" s="165">
        <v>11000</v>
      </c>
      <c r="C281" s="165" t="s">
        <v>5</v>
      </c>
      <c r="D281" s="166">
        <v>2147483680</v>
      </c>
    </row>
    <row r="282" spans="1:4">
      <c r="A282" s="16" t="str">
        <f t="shared" ref="A282:A291" si="25">$R$2&amp;".DOOF"</f>
        <v>АСУЭ.FB_IMsp_S.DOOF</v>
      </c>
      <c r="B282" s="17">
        <v>3</v>
      </c>
      <c r="C282" s="17" t="s">
        <v>1</v>
      </c>
      <c r="D282" s="18">
        <v>192</v>
      </c>
    </row>
    <row r="283" spans="1:4">
      <c r="A283" s="19" t="str">
        <f t="shared" si="25"/>
        <v>АСУЭ.FB_IMsp_S.DOOF</v>
      </c>
      <c r="B283" s="11">
        <v>2</v>
      </c>
      <c r="C283" s="11" t="s">
        <v>2</v>
      </c>
      <c r="D283" s="20" t="s">
        <v>3</v>
      </c>
    </row>
    <row r="284" spans="1:4">
      <c r="A284" s="19" t="str">
        <f t="shared" si="25"/>
        <v>АСУЭ.FB_IMsp_S.DOOF</v>
      </c>
      <c r="B284" s="11">
        <v>1</v>
      </c>
      <c r="C284" s="11" t="s">
        <v>1</v>
      </c>
      <c r="D284" s="20">
        <v>11</v>
      </c>
    </row>
    <row r="285" spans="1:4">
      <c r="A285" s="19" t="str">
        <f t="shared" si="25"/>
        <v>АСУЭ.FB_IMsp_S.DOOF</v>
      </c>
      <c r="B285" s="11">
        <v>101</v>
      </c>
      <c r="C285" s="11" t="s">
        <v>0</v>
      </c>
      <c r="D285" s="20" t="s">
        <v>101</v>
      </c>
    </row>
    <row r="286" spans="1:4">
      <c r="A286" s="19" t="str">
        <f t="shared" si="25"/>
        <v>АСУЭ.FB_IMsp_S.DOOF</v>
      </c>
      <c r="B286" s="11">
        <v>7998</v>
      </c>
      <c r="C286" s="11" t="s">
        <v>6</v>
      </c>
      <c r="D286" s="20">
        <v>1</v>
      </c>
    </row>
    <row r="287" spans="1:4">
      <c r="A287" s="19" t="str">
        <f t="shared" si="25"/>
        <v>АСУЭ.FB_IMsp_S.DOOF</v>
      </c>
      <c r="B287" s="11">
        <v>7999</v>
      </c>
      <c r="C287" s="11" t="s">
        <v>0</v>
      </c>
      <c r="D287" s="20" t="str">
        <f>"#"&amp;$S$2&amp;"#"&amp;$T$2&amp;"\"&amp;$P$2&amp;"\DOOF"</f>
        <v>#1#treiOPCDA.CoOPCserv.1\pcmaster\ZRU_OL1\DOOF</v>
      </c>
    </row>
    <row r="288" spans="1:4">
      <c r="A288" s="110" t="str">
        <f t="shared" si="25"/>
        <v>АСУЭ.FB_IMsp_S.DOOF</v>
      </c>
      <c r="B288" s="111">
        <v>11154</v>
      </c>
      <c r="C288" s="111" t="s">
        <v>4</v>
      </c>
      <c r="D288" s="112">
        <f>$Q$9</f>
        <v>10</v>
      </c>
    </row>
    <row r="289" spans="1:4">
      <c r="A289" s="110" t="str">
        <f t="shared" si="25"/>
        <v>АСУЭ.FB_IMsp_S.DOOF</v>
      </c>
      <c r="B289" s="111">
        <v>11152</v>
      </c>
      <c r="C289" s="111" t="s">
        <v>0</v>
      </c>
      <c r="D289" s="112" t="str">
        <f>$R$9</f>
        <v>Недостоверность</v>
      </c>
    </row>
    <row r="290" spans="1:4">
      <c r="A290" s="110" t="str">
        <f t="shared" si="25"/>
        <v>АСУЭ.FB_IMsp_S.DOOF</v>
      </c>
      <c r="B290" s="111">
        <v>11150</v>
      </c>
      <c r="C290" s="111" t="s">
        <v>0</v>
      </c>
      <c r="D290" s="112" t="s">
        <v>102</v>
      </c>
    </row>
    <row r="291" spans="1:4">
      <c r="A291" s="164" t="str">
        <f t="shared" si="25"/>
        <v>АСУЭ.FB_IMsp_S.DOOF</v>
      </c>
      <c r="B291" s="165">
        <v>11000</v>
      </c>
      <c r="C291" s="165" t="s">
        <v>5</v>
      </c>
      <c r="D291" s="166">
        <v>2147483680</v>
      </c>
    </row>
    <row r="292" spans="1:4">
      <c r="A292" s="16" t="str">
        <f t="shared" ref="A292:A301" si="26">$R$2&amp;".DOSP"</f>
        <v>АСУЭ.FB_IMsp_S.DOSP</v>
      </c>
      <c r="B292" s="17">
        <v>3</v>
      </c>
      <c r="C292" s="17" t="s">
        <v>1</v>
      </c>
      <c r="D292" s="18">
        <v>192</v>
      </c>
    </row>
    <row r="293" spans="1:4">
      <c r="A293" s="19" t="str">
        <f t="shared" si="26"/>
        <v>АСУЭ.FB_IMsp_S.DOSP</v>
      </c>
      <c r="B293" s="11">
        <v>2</v>
      </c>
      <c r="C293" s="11" t="s">
        <v>2</v>
      </c>
      <c r="D293" s="20" t="s">
        <v>3</v>
      </c>
    </row>
    <row r="294" spans="1:4">
      <c r="A294" s="19" t="str">
        <f t="shared" si="26"/>
        <v>АСУЭ.FB_IMsp_S.DOSP</v>
      </c>
      <c r="B294" s="11">
        <v>1</v>
      </c>
      <c r="C294" s="11" t="s">
        <v>1</v>
      </c>
      <c r="D294" s="20">
        <v>11</v>
      </c>
    </row>
    <row r="295" spans="1:4">
      <c r="A295" s="19" t="str">
        <f t="shared" si="26"/>
        <v>АСУЭ.FB_IMsp_S.DOSP</v>
      </c>
      <c r="B295" s="11">
        <v>101</v>
      </c>
      <c r="C295" s="11" t="s">
        <v>0</v>
      </c>
      <c r="D295" s="20" t="s">
        <v>1849</v>
      </c>
    </row>
    <row r="296" spans="1:4">
      <c r="A296" s="19" t="str">
        <f t="shared" si="26"/>
        <v>АСУЭ.FB_IMsp_S.DOSP</v>
      </c>
      <c r="B296" s="11">
        <v>7998</v>
      </c>
      <c r="C296" s="11" t="s">
        <v>6</v>
      </c>
      <c r="D296" s="20">
        <v>1</v>
      </c>
    </row>
    <row r="297" spans="1:4">
      <c r="A297" s="19" t="str">
        <f t="shared" si="26"/>
        <v>АСУЭ.FB_IMsp_S.DOSP</v>
      </c>
      <c r="B297" s="11">
        <v>7999</v>
      </c>
      <c r="C297" s="11" t="s">
        <v>0</v>
      </c>
      <c r="D297" s="20" t="str">
        <f>"#"&amp;$S$2&amp;"#"&amp;$T$2&amp;"\"&amp;$P$2&amp;"\DOSP"</f>
        <v>#1#treiOPCDA.CoOPCserv.1\pcmaster\ZRU_OL1\DOSP</v>
      </c>
    </row>
    <row r="298" spans="1:4">
      <c r="A298" s="110" t="str">
        <f t="shared" si="26"/>
        <v>АСУЭ.FB_IMsp_S.DOSP</v>
      </c>
      <c r="B298" s="111">
        <v>11154</v>
      </c>
      <c r="C298" s="111" t="s">
        <v>4</v>
      </c>
      <c r="D298" s="112">
        <f>$Q$9</f>
        <v>10</v>
      </c>
    </row>
    <row r="299" spans="1:4">
      <c r="A299" s="110" t="str">
        <f t="shared" si="26"/>
        <v>АСУЭ.FB_IMsp_S.DOSP</v>
      </c>
      <c r="B299" s="111">
        <v>11152</v>
      </c>
      <c r="C299" s="111" t="s">
        <v>0</v>
      </c>
      <c r="D299" s="112" t="str">
        <f>$R$9</f>
        <v>Недостоверность</v>
      </c>
    </row>
    <row r="300" spans="1:4">
      <c r="A300" s="110" t="str">
        <f t="shared" si="26"/>
        <v>АСУЭ.FB_IMsp_S.DOSP</v>
      </c>
      <c r="B300" s="111">
        <v>11150</v>
      </c>
      <c r="C300" s="111" t="s">
        <v>0</v>
      </c>
      <c r="D300" s="112" t="s">
        <v>1849</v>
      </c>
    </row>
    <row r="301" spans="1:4">
      <c r="A301" s="164" t="str">
        <f t="shared" si="26"/>
        <v>АСУЭ.FB_IMsp_S.DOSP</v>
      </c>
      <c r="B301" s="165">
        <v>11000</v>
      </c>
      <c r="C301" s="165" t="s">
        <v>5</v>
      </c>
      <c r="D301" s="166">
        <v>2147483680</v>
      </c>
    </row>
    <row r="302" spans="1:4">
      <c r="A302" s="16" t="str">
        <f t="shared" ref="A302:A311" si="27">$R$2&amp;".DFXX"</f>
        <v>АСУЭ.FB_IMsp_S.DFXX</v>
      </c>
      <c r="B302" s="17">
        <v>3</v>
      </c>
      <c r="C302" s="17" t="s">
        <v>1</v>
      </c>
      <c r="D302" s="18">
        <v>192</v>
      </c>
    </row>
    <row r="303" spans="1:4">
      <c r="A303" s="19" t="str">
        <f t="shared" si="27"/>
        <v>АСУЭ.FB_IMsp_S.DFXX</v>
      </c>
      <c r="B303" s="11">
        <v>2</v>
      </c>
      <c r="C303" s="11" t="s">
        <v>2</v>
      </c>
      <c r="D303" s="20" t="s">
        <v>3</v>
      </c>
    </row>
    <row r="304" spans="1:4">
      <c r="A304" s="19" t="str">
        <f t="shared" si="27"/>
        <v>АСУЭ.FB_IMsp_S.DFXX</v>
      </c>
      <c r="B304" s="11">
        <v>1</v>
      </c>
      <c r="C304" s="11" t="s">
        <v>1</v>
      </c>
      <c r="D304" s="20">
        <v>11</v>
      </c>
    </row>
    <row r="305" spans="1:4">
      <c r="A305" s="19" t="str">
        <f t="shared" si="27"/>
        <v>АСУЭ.FB_IMsp_S.DFXX</v>
      </c>
      <c r="B305" s="11">
        <v>7998</v>
      </c>
      <c r="C305" s="11" t="s">
        <v>6</v>
      </c>
      <c r="D305" s="20">
        <v>1</v>
      </c>
    </row>
    <row r="306" spans="1:4">
      <c r="A306" s="19" t="str">
        <f t="shared" si="27"/>
        <v>АСУЭ.FB_IMsp_S.DFXX</v>
      </c>
      <c r="B306" s="11">
        <v>7999</v>
      </c>
      <c r="C306" s="11" t="s">
        <v>0</v>
      </c>
      <c r="D306" s="20" t="str">
        <f>"#"&amp;$S$2&amp;"#"&amp;$T$2&amp;"\"&amp;$P$2&amp;"\DFXX"</f>
        <v>#1#treiOPCDA.CoOPCserv.1\pcmaster\ZRU_OL1\DFXX</v>
      </c>
    </row>
    <row r="307" spans="1:4">
      <c r="A307" s="19" t="str">
        <f t="shared" si="27"/>
        <v>АСУЭ.FB_IMsp_S.DFXX</v>
      </c>
      <c r="B307" s="11">
        <v>101</v>
      </c>
      <c r="C307" s="11" t="s">
        <v>0</v>
      </c>
      <c r="D307" s="20" t="s">
        <v>520</v>
      </c>
    </row>
    <row r="308" spans="1:4">
      <c r="A308" s="110" t="str">
        <f t="shared" si="27"/>
        <v>АСУЭ.FB_IMsp_S.DFXX</v>
      </c>
      <c r="B308" s="111">
        <v>11154</v>
      </c>
      <c r="C308" s="111" t="s">
        <v>4</v>
      </c>
      <c r="D308" s="112">
        <f>$Q$9</f>
        <v>10</v>
      </c>
    </row>
    <row r="309" spans="1:4">
      <c r="A309" s="110" t="str">
        <f t="shared" si="27"/>
        <v>АСУЭ.FB_IMsp_S.DFXX</v>
      </c>
      <c r="B309" s="111">
        <v>11152</v>
      </c>
      <c r="C309" s="111" t="s">
        <v>0</v>
      </c>
      <c r="D309" s="112" t="str">
        <f>$R$9</f>
        <v>Недостоверность</v>
      </c>
    </row>
    <row r="310" spans="1:4">
      <c r="A310" s="110" t="str">
        <f t="shared" si="27"/>
        <v>АСУЭ.FB_IMsp_S.DFXX</v>
      </c>
      <c r="B310" s="111">
        <v>11150</v>
      </c>
      <c r="C310" s="111" t="s">
        <v>0</v>
      </c>
      <c r="D310" s="112" t="s">
        <v>104</v>
      </c>
    </row>
    <row r="311" spans="1:4">
      <c r="A311" s="164" t="str">
        <f t="shared" si="27"/>
        <v>АСУЭ.FB_IMsp_S.DFXX</v>
      </c>
      <c r="B311" s="165">
        <v>11000</v>
      </c>
      <c r="C311" s="165" t="s">
        <v>5</v>
      </c>
      <c r="D311" s="166">
        <v>2147483680</v>
      </c>
    </row>
    <row r="312" spans="1:4">
      <c r="A312" s="16" t="str">
        <f t="shared" ref="A312:A321" si="28">$R$2&amp;".DRCX"</f>
        <v>АСУЭ.FB_IMsp_S.DRCX</v>
      </c>
      <c r="B312" s="17">
        <v>3</v>
      </c>
      <c r="C312" s="17" t="s">
        <v>1</v>
      </c>
      <c r="D312" s="18">
        <v>192</v>
      </c>
    </row>
    <row r="313" spans="1:4">
      <c r="A313" s="19" t="str">
        <f t="shared" si="28"/>
        <v>АСУЭ.FB_IMsp_S.DRCX</v>
      </c>
      <c r="B313" s="11">
        <v>2</v>
      </c>
      <c r="C313" s="11" t="s">
        <v>2</v>
      </c>
      <c r="D313" s="20" t="s">
        <v>3</v>
      </c>
    </row>
    <row r="314" spans="1:4">
      <c r="A314" s="19" t="str">
        <f t="shared" si="28"/>
        <v>АСУЭ.FB_IMsp_S.DRCX</v>
      </c>
      <c r="B314" s="11">
        <v>1</v>
      </c>
      <c r="C314" s="11" t="s">
        <v>1</v>
      </c>
      <c r="D314" s="20">
        <v>11</v>
      </c>
    </row>
    <row r="315" spans="1:4">
      <c r="A315" s="19" t="str">
        <f t="shared" si="28"/>
        <v>АСУЭ.FB_IMsp_S.DRCX</v>
      </c>
      <c r="B315" s="11">
        <v>101</v>
      </c>
      <c r="C315" s="11" t="s">
        <v>0</v>
      </c>
      <c r="D315" s="20" t="s">
        <v>573</v>
      </c>
    </row>
    <row r="316" spans="1:4">
      <c r="A316" s="19" t="str">
        <f t="shared" si="28"/>
        <v>АСУЭ.FB_IMsp_S.DRCX</v>
      </c>
      <c r="B316" s="11">
        <v>7998</v>
      </c>
      <c r="C316" s="11" t="s">
        <v>6</v>
      </c>
      <c r="D316" s="20">
        <v>1</v>
      </c>
    </row>
    <row r="317" spans="1:4">
      <c r="A317" s="19" t="str">
        <f t="shared" si="28"/>
        <v>АСУЭ.FB_IMsp_S.DRCX</v>
      </c>
      <c r="B317" s="11">
        <v>7999</v>
      </c>
      <c r="C317" s="11" t="s">
        <v>0</v>
      </c>
      <c r="D317" s="20" t="str">
        <f>"#"&amp;$S$2&amp;"#"&amp;$T$2&amp;"\"&amp;$P$2&amp;"\DRCX"</f>
        <v>#1#treiOPCDA.CoOPCserv.1\pcmaster\ZRU_OL1\DRCX</v>
      </c>
    </row>
    <row r="318" spans="1:4">
      <c r="A318" s="110" t="str">
        <f t="shared" si="28"/>
        <v>АСУЭ.FB_IMsp_S.DRCX</v>
      </c>
      <c r="B318" s="111">
        <v>11154</v>
      </c>
      <c r="C318" s="111" t="s">
        <v>4</v>
      </c>
      <c r="D318" s="112">
        <f>$Q$9</f>
        <v>10</v>
      </c>
    </row>
    <row r="319" spans="1:4">
      <c r="A319" s="110" t="str">
        <f t="shared" si="28"/>
        <v>АСУЭ.FB_IMsp_S.DRCX</v>
      </c>
      <c r="B319" s="111">
        <v>11152</v>
      </c>
      <c r="C319" s="111" t="s">
        <v>0</v>
      </c>
      <c r="D319" s="112" t="str">
        <f>$R$9</f>
        <v>Недостоверность</v>
      </c>
    </row>
    <row r="320" spans="1:4">
      <c r="A320" s="110" t="str">
        <f t="shared" si="28"/>
        <v>АСУЭ.FB_IMsp_S.DRCX</v>
      </c>
      <c r="B320" s="111">
        <v>11150</v>
      </c>
      <c r="C320" s="111" t="s">
        <v>0</v>
      </c>
      <c r="D320" s="112" t="s">
        <v>105</v>
      </c>
    </row>
    <row r="321" spans="1:4">
      <c r="A321" s="164" t="str">
        <f t="shared" si="28"/>
        <v>АСУЭ.FB_IMsp_S.DRCX</v>
      </c>
      <c r="B321" s="165">
        <v>11000</v>
      </c>
      <c r="C321" s="165" t="s">
        <v>5</v>
      </c>
      <c r="D321" s="166">
        <v>2147483680</v>
      </c>
    </row>
    <row r="322" spans="1:4">
      <c r="A322" s="16" t="str">
        <f t="shared" ref="A322:A331" si="29">$R$2&amp;".DPTO"</f>
        <v>АСУЭ.FB_IMsp_S.DPTO</v>
      </c>
      <c r="B322" s="17">
        <v>3</v>
      </c>
      <c r="C322" s="17" t="s">
        <v>1</v>
      </c>
      <c r="D322" s="18">
        <v>192</v>
      </c>
    </row>
    <row r="323" spans="1:4">
      <c r="A323" s="19" t="str">
        <f t="shared" si="29"/>
        <v>АСУЭ.FB_IMsp_S.DPTO</v>
      </c>
      <c r="B323" s="11">
        <v>2</v>
      </c>
      <c r="C323" s="11" t="s">
        <v>2</v>
      </c>
      <c r="D323" s="20" t="s">
        <v>3</v>
      </c>
    </row>
    <row r="324" spans="1:4">
      <c r="A324" s="19" t="str">
        <f t="shared" si="29"/>
        <v>АСУЭ.FB_IMsp_S.DPTO</v>
      </c>
      <c r="B324" s="11">
        <v>1</v>
      </c>
      <c r="C324" s="11" t="s">
        <v>1</v>
      </c>
      <c r="D324" s="20">
        <v>11</v>
      </c>
    </row>
    <row r="325" spans="1:4">
      <c r="A325" s="19" t="str">
        <f t="shared" si="29"/>
        <v>АСУЭ.FB_IMsp_S.DPTO</v>
      </c>
      <c r="B325" s="11">
        <v>101</v>
      </c>
      <c r="C325" s="11" t="s">
        <v>0</v>
      </c>
      <c r="D325" s="20" t="s">
        <v>117</v>
      </c>
    </row>
    <row r="326" spans="1:4">
      <c r="A326" s="19" t="str">
        <f t="shared" si="29"/>
        <v>АСУЭ.FB_IMsp_S.DPTO</v>
      </c>
      <c r="B326" s="11">
        <v>7998</v>
      </c>
      <c r="C326" s="11" t="s">
        <v>6</v>
      </c>
      <c r="D326" s="20">
        <v>1</v>
      </c>
    </row>
    <row r="327" spans="1:4">
      <c r="A327" s="19" t="str">
        <f t="shared" si="29"/>
        <v>АСУЭ.FB_IMsp_S.DPTO</v>
      </c>
      <c r="B327" s="11">
        <v>7999</v>
      </c>
      <c r="C327" s="11" t="s">
        <v>0</v>
      </c>
      <c r="D327" s="20" t="str">
        <f>"#"&amp;$S$2&amp;"#"&amp;$T$2&amp;"\"&amp;$P$2&amp;"\DPTO"</f>
        <v>#1#treiOPCDA.CoOPCserv.1\pcmaster\ZRU_OL1\DPTO</v>
      </c>
    </row>
    <row r="328" spans="1:4">
      <c r="A328" s="110" t="str">
        <f t="shared" si="29"/>
        <v>АСУЭ.FB_IMsp_S.DPTO</v>
      </c>
      <c r="B328" s="111">
        <v>11154</v>
      </c>
      <c r="C328" s="111" t="s">
        <v>4</v>
      </c>
      <c r="D328" s="112">
        <f>$Q$9</f>
        <v>10</v>
      </c>
    </row>
    <row r="329" spans="1:4">
      <c r="A329" s="110" t="str">
        <f t="shared" si="29"/>
        <v>АСУЭ.FB_IMsp_S.DPTO</v>
      </c>
      <c r="B329" s="111">
        <v>11152</v>
      </c>
      <c r="C329" s="111" t="s">
        <v>0</v>
      </c>
      <c r="D329" s="112" t="str">
        <f>$R$9</f>
        <v>Недостоверность</v>
      </c>
    </row>
    <row r="330" spans="1:4">
      <c r="A330" s="110" t="str">
        <f t="shared" si="29"/>
        <v>АСУЭ.FB_IMsp_S.DPTO</v>
      </c>
      <c r="B330" s="111">
        <v>11150</v>
      </c>
      <c r="C330" s="111" t="s">
        <v>0</v>
      </c>
      <c r="D330" s="112" t="s">
        <v>118</v>
      </c>
    </row>
    <row r="331" spans="1:4">
      <c r="A331" s="164" t="str">
        <f t="shared" si="29"/>
        <v>АСУЭ.FB_IMsp_S.DPTO</v>
      </c>
      <c r="B331" s="165">
        <v>11000</v>
      </c>
      <c r="C331" s="165" t="s">
        <v>5</v>
      </c>
      <c r="D331" s="166">
        <v>2147483680</v>
      </c>
    </row>
    <row r="332" spans="1:4">
      <c r="A332" s="16" t="str">
        <f t="shared" ref="A332:A341" si="30">$R$2&amp;".DPTC"</f>
        <v>АСУЭ.FB_IMsp_S.DPTC</v>
      </c>
      <c r="B332" s="17">
        <v>3</v>
      </c>
      <c r="C332" s="17" t="s">
        <v>1</v>
      </c>
      <c r="D332" s="18">
        <v>192</v>
      </c>
    </row>
    <row r="333" spans="1:4">
      <c r="A333" s="19" t="str">
        <f t="shared" si="30"/>
        <v>АСУЭ.FB_IMsp_S.DPTC</v>
      </c>
      <c r="B333" s="11">
        <v>2</v>
      </c>
      <c r="C333" s="11" t="s">
        <v>2</v>
      </c>
      <c r="D333" s="20" t="s">
        <v>3</v>
      </c>
    </row>
    <row r="334" spans="1:4">
      <c r="A334" s="19" t="str">
        <f t="shared" si="30"/>
        <v>АСУЭ.FB_IMsp_S.DPTC</v>
      </c>
      <c r="B334" s="11">
        <v>1</v>
      </c>
      <c r="C334" s="11" t="s">
        <v>1</v>
      </c>
      <c r="D334" s="20">
        <v>11</v>
      </c>
    </row>
    <row r="335" spans="1:4">
      <c r="A335" s="19" t="str">
        <f t="shared" si="30"/>
        <v>АСУЭ.FB_IMsp_S.DPTC</v>
      </c>
      <c r="B335" s="11">
        <v>101</v>
      </c>
      <c r="C335" s="11" t="s">
        <v>0</v>
      </c>
      <c r="D335" s="20" t="s">
        <v>119</v>
      </c>
    </row>
    <row r="336" spans="1:4">
      <c r="A336" s="19" t="str">
        <f t="shared" si="30"/>
        <v>АСУЭ.FB_IMsp_S.DPTC</v>
      </c>
      <c r="B336" s="11">
        <v>7998</v>
      </c>
      <c r="C336" s="11" t="s">
        <v>6</v>
      </c>
      <c r="D336" s="20">
        <v>1</v>
      </c>
    </row>
    <row r="337" spans="1:4">
      <c r="A337" s="19" t="str">
        <f t="shared" si="30"/>
        <v>АСУЭ.FB_IMsp_S.DPTC</v>
      </c>
      <c r="B337" s="11">
        <v>7999</v>
      </c>
      <c r="C337" s="11" t="s">
        <v>0</v>
      </c>
      <c r="D337" s="20" t="str">
        <f>"#"&amp;$S$2&amp;"#"&amp;$T$2&amp;"\"&amp;$P$2&amp;"\DPTC"</f>
        <v>#1#treiOPCDA.CoOPCserv.1\pcmaster\ZRU_OL1\DPTC</v>
      </c>
    </row>
    <row r="338" spans="1:4">
      <c r="A338" s="110" t="str">
        <f t="shared" si="30"/>
        <v>АСУЭ.FB_IMsp_S.DPTC</v>
      </c>
      <c r="B338" s="111">
        <v>11154</v>
      </c>
      <c r="C338" s="111" t="s">
        <v>4</v>
      </c>
      <c r="D338" s="112">
        <f>$Q$9</f>
        <v>10</v>
      </c>
    </row>
    <row r="339" spans="1:4">
      <c r="A339" s="110" t="str">
        <f t="shared" si="30"/>
        <v>АСУЭ.FB_IMsp_S.DPTC</v>
      </c>
      <c r="B339" s="111">
        <v>11152</v>
      </c>
      <c r="C339" s="111" t="s">
        <v>0</v>
      </c>
      <c r="D339" s="112" t="str">
        <f>$R$9</f>
        <v>Недостоверность</v>
      </c>
    </row>
    <row r="340" spans="1:4">
      <c r="A340" s="110" t="str">
        <f t="shared" si="30"/>
        <v>АСУЭ.FB_IMsp_S.DPTC</v>
      </c>
      <c r="B340" s="111">
        <v>11150</v>
      </c>
      <c r="C340" s="111" t="s">
        <v>0</v>
      </c>
      <c r="D340" s="112" t="s">
        <v>118</v>
      </c>
    </row>
    <row r="341" spans="1:4">
      <c r="A341" s="164" t="str">
        <f t="shared" si="30"/>
        <v>АСУЭ.FB_IMsp_S.DPTC</v>
      </c>
      <c r="B341" s="165">
        <v>11000</v>
      </c>
      <c r="C341" s="165" t="s">
        <v>5</v>
      </c>
      <c r="D341" s="166">
        <v>2147483680</v>
      </c>
    </row>
    <row r="342" spans="1:4">
      <c r="A342" s="16" t="str">
        <f t="shared" ref="A342:A351" si="31">$R$2&amp;".DONX"</f>
        <v>АСУЭ.FB_IMsp_S.DONX</v>
      </c>
      <c r="B342" s="17">
        <v>3</v>
      </c>
      <c r="C342" s="17" t="s">
        <v>1</v>
      </c>
      <c r="D342" s="18">
        <v>192</v>
      </c>
    </row>
    <row r="343" spans="1:4">
      <c r="A343" s="19" t="str">
        <f t="shared" si="31"/>
        <v>АСУЭ.FB_IMsp_S.DONX</v>
      </c>
      <c r="B343" s="11">
        <v>2</v>
      </c>
      <c r="C343" s="11" t="s">
        <v>2</v>
      </c>
      <c r="D343" s="20" t="s">
        <v>3</v>
      </c>
    </row>
    <row r="344" spans="1:4">
      <c r="A344" s="19" t="str">
        <f t="shared" si="31"/>
        <v>АСУЭ.FB_IMsp_S.DONX</v>
      </c>
      <c r="B344" s="11">
        <v>1</v>
      </c>
      <c r="C344" s="11" t="s">
        <v>1</v>
      </c>
      <c r="D344" s="20">
        <v>11</v>
      </c>
    </row>
    <row r="345" spans="1:4">
      <c r="A345" s="19" t="str">
        <f t="shared" si="31"/>
        <v>АСУЭ.FB_IMsp_S.DONX</v>
      </c>
      <c r="B345" s="11">
        <v>101</v>
      </c>
      <c r="C345" s="11" t="s">
        <v>0</v>
      </c>
      <c r="D345" s="20" t="s">
        <v>122</v>
      </c>
    </row>
    <row r="346" spans="1:4">
      <c r="A346" s="19" t="str">
        <f t="shared" si="31"/>
        <v>АСУЭ.FB_IMsp_S.DONX</v>
      </c>
      <c r="B346" s="11">
        <v>7998</v>
      </c>
      <c r="C346" s="11" t="s">
        <v>6</v>
      </c>
      <c r="D346" s="20">
        <v>1</v>
      </c>
    </row>
    <row r="347" spans="1:4">
      <c r="A347" s="19" t="str">
        <f t="shared" si="31"/>
        <v>АСУЭ.FB_IMsp_S.DONX</v>
      </c>
      <c r="B347" s="11">
        <v>7999</v>
      </c>
      <c r="C347" s="11" t="s">
        <v>0</v>
      </c>
      <c r="D347" s="20" t="str">
        <f>"#"&amp;$S$2&amp;"#"&amp;$T$2&amp;"\"&amp;$P$2&amp;"\DONX"</f>
        <v>#1#treiOPCDA.CoOPCserv.1\pcmaster\ZRU_OL1\DONX</v>
      </c>
    </row>
    <row r="348" spans="1:4">
      <c r="A348" s="110" t="str">
        <f t="shared" si="31"/>
        <v>АСУЭ.FB_IMsp_S.DONX</v>
      </c>
      <c r="B348" s="111">
        <v>11154</v>
      </c>
      <c r="C348" s="111" t="s">
        <v>4</v>
      </c>
      <c r="D348" s="112">
        <f>$Q$9</f>
        <v>10</v>
      </c>
    </row>
    <row r="349" spans="1:4">
      <c r="A349" s="110" t="str">
        <f t="shared" si="31"/>
        <v>АСУЭ.FB_IMsp_S.DONX</v>
      </c>
      <c r="B349" s="111">
        <v>11152</v>
      </c>
      <c r="C349" s="111" t="s">
        <v>0</v>
      </c>
      <c r="D349" s="112" t="str">
        <f>$R$9</f>
        <v>Недостоверность</v>
      </c>
    </row>
    <row r="350" spans="1:4">
      <c r="A350" s="110" t="str">
        <f t="shared" si="31"/>
        <v>АСУЭ.FB_IMsp_S.DONX</v>
      </c>
      <c r="B350" s="111">
        <v>11150</v>
      </c>
      <c r="C350" s="111" t="s">
        <v>0</v>
      </c>
      <c r="D350" s="112" t="s">
        <v>123</v>
      </c>
    </row>
    <row r="351" spans="1:4">
      <c r="A351" s="164" t="str">
        <f t="shared" si="31"/>
        <v>АСУЭ.FB_IMsp_S.DONX</v>
      </c>
      <c r="B351" s="165">
        <v>11000</v>
      </c>
      <c r="C351" s="165" t="s">
        <v>5</v>
      </c>
      <c r="D351" s="166">
        <v>2147483680</v>
      </c>
    </row>
    <row r="352" spans="1:4">
      <c r="A352" s="16" t="str">
        <f t="shared" ref="A352:A361" si="32">$R$2&amp;".DLCX"</f>
        <v>АСУЭ.FB_IMsp_S.DLCX</v>
      </c>
      <c r="B352" s="17">
        <v>7998</v>
      </c>
      <c r="C352" s="17" t="s">
        <v>6</v>
      </c>
      <c r="D352" s="18">
        <v>1</v>
      </c>
    </row>
    <row r="353" spans="1:4">
      <c r="A353" s="19" t="str">
        <f t="shared" si="32"/>
        <v>АСУЭ.FB_IMsp_S.DLCX</v>
      </c>
      <c r="B353" s="11">
        <v>101</v>
      </c>
      <c r="C353" s="11" t="s">
        <v>0</v>
      </c>
      <c r="D353" s="20" t="s">
        <v>578</v>
      </c>
    </row>
    <row r="354" spans="1:4">
      <c r="A354" s="19" t="str">
        <f t="shared" si="32"/>
        <v>АСУЭ.FB_IMsp_S.DLCX</v>
      </c>
      <c r="B354" s="11">
        <v>1</v>
      </c>
      <c r="C354" s="11" t="s">
        <v>1</v>
      </c>
      <c r="D354" s="20">
        <v>11</v>
      </c>
    </row>
    <row r="355" spans="1:4">
      <c r="A355" s="19" t="str">
        <f t="shared" si="32"/>
        <v>АСУЭ.FB_IMsp_S.DLCX</v>
      </c>
      <c r="B355" s="11">
        <v>2</v>
      </c>
      <c r="C355" s="11" t="s">
        <v>2</v>
      </c>
      <c r="D355" s="20" t="s">
        <v>3</v>
      </c>
    </row>
    <row r="356" spans="1:4">
      <c r="A356" s="19" t="str">
        <f t="shared" si="32"/>
        <v>АСУЭ.FB_IMsp_S.DLCX</v>
      </c>
      <c r="B356" s="11">
        <v>3</v>
      </c>
      <c r="C356" s="11" t="s">
        <v>1</v>
      </c>
      <c r="D356" s="20">
        <v>192</v>
      </c>
    </row>
    <row r="357" spans="1:4">
      <c r="A357" s="19" t="str">
        <f t="shared" si="32"/>
        <v>АСУЭ.FB_IMsp_S.DLCX</v>
      </c>
      <c r="B357" s="11">
        <v>7999</v>
      </c>
      <c r="C357" s="11" t="s">
        <v>0</v>
      </c>
      <c r="D357" s="20" t="str">
        <f>"#"&amp;$S$2&amp;"#"&amp;$T$2&amp;"\"&amp;$P$2&amp;"\DLCX"</f>
        <v>#1#treiOPCDA.CoOPCserv.1\pcmaster\ZRU_OL1\DLCX</v>
      </c>
    </row>
    <row r="358" spans="1:4">
      <c r="A358" s="110" t="str">
        <f t="shared" si="32"/>
        <v>АСУЭ.FB_IMsp_S.DLCX</v>
      </c>
      <c r="B358" s="111">
        <v>11154</v>
      </c>
      <c r="C358" s="111" t="s">
        <v>4</v>
      </c>
      <c r="D358" s="112">
        <f>$Q$9</f>
        <v>10</v>
      </c>
    </row>
    <row r="359" spans="1:4">
      <c r="A359" s="110" t="str">
        <f t="shared" si="32"/>
        <v>АСУЭ.FB_IMsp_S.DLCX</v>
      </c>
      <c r="B359" s="111">
        <v>11152</v>
      </c>
      <c r="C359" s="111" t="s">
        <v>0</v>
      </c>
      <c r="D359" s="112" t="str">
        <f>$R$9</f>
        <v>Недостоверность</v>
      </c>
    </row>
    <row r="360" spans="1:4">
      <c r="A360" s="110" t="str">
        <f t="shared" si="32"/>
        <v>АСУЭ.FB_IMsp_S.DLCX</v>
      </c>
      <c r="B360" s="111">
        <v>11150</v>
      </c>
      <c r="C360" s="111" t="s">
        <v>0</v>
      </c>
      <c r="D360" s="112" t="s">
        <v>166</v>
      </c>
    </row>
    <row r="361" spans="1:4">
      <c r="A361" s="110" t="str">
        <f t="shared" si="32"/>
        <v>АСУЭ.FB_IMsp_S.DLCX</v>
      </c>
      <c r="B361" s="111">
        <v>11000</v>
      </c>
      <c r="C361" s="111" t="s">
        <v>5</v>
      </c>
      <c r="D361" s="112">
        <v>2147483680</v>
      </c>
    </row>
    <row r="362" spans="1:4">
      <c r="A362" s="16" t="str">
        <f t="shared" ref="A362:A373" si="33">$R$2&amp;".XRPX"</f>
        <v>АСУЭ.FB_IMsp_S.XRPX</v>
      </c>
      <c r="B362" s="17">
        <v>3</v>
      </c>
      <c r="C362" s="17" t="s">
        <v>1</v>
      </c>
      <c r="D362" s="18">
        <v>192</v>
      </c>
    </row>
    <row r="363" spans="1:4">
      <c r="A363" s="19" t="str">
        <f t="shared" si="33"/>
        <v>АСУЭ.FB_IMsp_S.XRPX</v>
      </c>
      <c r="B363" s="11">
        <v>2</v>
      </c>
      <c r="C363" s="11" t="s">
        <v>2</v>
      </c>
      <c r="D363" s="20" t="s">
        <v>3</v>
      </c>
    </row>
    <row r="364" spans="1:4">
      <c r="A364" s="19" t="str">
        <f t="shared" si="33"/>
        <v>АСУЭ.FB_IMsp_S.XRPX</v>
      </c>
      <c r="B364" s="11">
        <v>1</v>
      </c>
      <c r="C364" s="11" t="s">
        <v>1</v>
      </c>
      <c r="D364" s="20">
        <v>11</v>
      </c>
    </row>
    <row r="365" spans="1:4">
      <c r="A365" s="19" t="str">
        <f t="shared" si="33"/>
        <v>АСУЭ.FB_IMsp_S.XRPX</v>
      </c>
      <c r="B365" s="11">
        <v>101</v>
      </c>
      <c r="C365" s="11" t="s">
        <v>0</v>
      </c>
      <c r="D365" s="20" t="s">
        <v>137</v>
      </c>
    </row>
    <row r="366" spans="1:4">
      <c r="A366" s="19" t="str">
        <f t="shared" si="33"/>
        <v>АСУЭ.FB_IMsp_S.XRPX</v>
      </c>
      <c r="B366" s="11">
        <v>7998</v>
      </c>
      <c r="C366" s="11" t="s">
        <v>6</v>
      </c>
      <c r="D366" s="20">
        <v>1</v>
      </c>
    </row>
    <row r="367" spans="1:4">
      <c r="A367" s="19" t="str">
        <f t="shared" si="33"/>
        <v>АСУЭ.FB_IMsp_S.XRPX</v>
      </c>
      <c r="B367" s="11">
        <v>7999</v>
      </c>
      <c r="C367" s="11" t="s">
        <v>0</v>
      </c>
      <c r="D367" s="20" t="str">
        <f>"#"&amp;$S$2&amp;"#"&amp;$T$2&amp;"\"&amp;$P$2&amp;"\XRPX"</f>
        <v>#1#treiOPCDA.CoOPCserv.1\pcmaster\ZRU_OL1\XRPX</v>
      </c>
    </row>
    <row r="368" spans="1:4">
      <c r="A368" s="140" t="str">
        <f t="shared" si="33"/>
        <v>АСУЭ.FB_IMsp_S.XRPX</v>
      </c>
      <c r="B368" s="141">
        <v>11154</v>
      </c>
      <c r="C368" s="141" t="s">
        <v>4</v>
      </c>
      <c r="D368" s="142">
        <f>$Q$11</f>
        <v>14</v>
      </c>
    </row>
    <row r="369" spans="1:4">
      <c r="A369" s="140" t="str">
        <f t="shared" si="33"/>
        <v>АСУЭ.FB_IMsp_S.XRPX</v>
      </c>
      <c r="B369" s="141">
        <v>11152</v>
      </c>
      <c r="C369" s="141" t="s">
        <v>0</v>
      </c>
      <c r="D369" s="142" t="str">
        <f>$R$11</f>
        <v>Ремонт</v>
      </c>
    </row>
    <row r="370" spans="1:4">
      <c r="A370" s="140" t="str">
        <f t="shared" si="33"/>
        <v>АСУЭ.FB_IMsp_S.XRPX</v>
      </c>
      <c r="B370" s="141">
        <v>11150</v>
      </c>
      <c r="C370" s="141" t="s">
        <v>0</v>
      </c>
      <c r="D370" s="142" t="s">
        <v>89</v>
      </c>
    </row>
    <row r="371" spans="1:4">
      <c r="A371" s="140" t="str">
        <f t="shared" si="33"/>
        <v>АСУЭ.FB_IMsp_S.XRPX</v>
      </c>
      <c r="B371" s="141">
        <v>11000</v>
      </c>
      <c r="C371" s="141" t="s">
        <v>5</v>
      </c>
      <c r="D371" s="142">
        <v>2147483680</v>
      </c>
    </row>
    <row r="372" spans="1:4" ht="13.5" customHeight="1">
      <c r="A372" s="29" t="str">
        <f t="shared" si="33"/>
        <v>АСУЭ.FB_IMsp_S.XRPX</v>
      </c>
      <c r="B372" s="1">
        <v>4000000</v>
      </c>
      <c r="C372" s="1" t="s">
        <v>0</v>
      </c>
      <c r="D372" s="415" t="s">
        <v>1486</v>
      </c>
    </row>
    <row r="373" spans="1:4">
      <c r="A373" s="26" t="str">
        <f t="shared" si="33"/>
        <v>АСУЭ.FB_IMsp_S.XRPX</v>
      </c>
      <c r="B373" s="27">
        <v>7000000</v>
      </c>
      <c r="C373" s="27" t="s">
        <v>6</v>
      </c>
      <c r="D373" s="28">
        <v>2</v>
      </c>
    </row>
    <row r="374" spans="1:4">
      <c r="A374" s="19" t="str">
        <f t="shared" ref="A374:A383" si="34">$R$2&amp;".XMMX"</f>
        <v>АСУЭ.FB_IMsp_S.XMMX</v>
      </c>
      <c r="B374" s="11">
        <v>3</v>
      </c>
      <c r="C374" s="11" t="s">
        <v>1</v>
      </c>
      <c r="D374" s="20">
        <v>192</v>
      </c>
    </row>
    <row r="375" spans="1:4">
      <c r="A375" s="19" t="str">
        <f t="shared" si="34"/>
        <v>АСУЭ.FB_IMsp_S.XMMX</v>
      </c>
      <c r="B375" s="11">
        <v>2</v>
      </c>
      <c r="C375" s="11" t="s">
        <v>2</v>
      </c>
      <c r="D375" s="20" t="s">
        <v>3</v>
      </c>
    </row>
    <row r="376" spans="1:4">
      <c r="A376" s="19" t="str">
        <f t="shared" si="34"/>
        <v>АСУЭ.FB_IMsp_S.XMMX</v>
      </c>
      <c r="B376" s="11">
        <v>1</v>
      </c>
      <c r="C376" s="11" t="s">
        <v>1</v>
      </c>
      <c r="D376" s="20">
        <v>11</v>
      </c>
    </row>
    <row r="377" spans="1:4">
      <c r="A377" s="19" t="str">
        <f t="shared" si="34"/>
        <v>АСУЭ.FB_IMsp_S.XMMX</v>
      </c>
      <c r="B377" s="11">
        <v>101</v>
      </c>
      <c r="C377" s="11" t="s">
        <v>0</v>
      </c>
      <c r="D377" s="20" t="s">
        <v>574</v>
      </c>
    </row>
    <row r="378" spans="1:4">
      <c r="A378" s="19" t="str">
        <f t="shared" si="34"/>
        <v>АСУЭ.FB_IMsp_S.XMMX</v>
      </c>
      <c r="B378" s="11">
        <v>7998</v>
      </c>
      <c r="C378" s="11" t="s">
        <v>6</v>
      </c>
      <c r="D378" s="20">
        <v>1</v>
      </c>
    </row>
    <row r="379" spans="1:4">
      <c r="A379" s="19" t="str">
        <f t="shared" si="34"/>
        <v>АСУЭ.FB_IMsp_S.XMMX</v>
      </c>
      <c r="B379" s="11">
        <v>7999</v>
      </c>
      <c r="C379" s="11" t="s">
        <v>0</v>
      </c>
      <c r="D379" s="20" t="str">
        <f>"#"&amp;$S$2&amp;"#"&amp;$T$2&amp;"\"&amp;$P$2&amp;"\XMMX"</f>
        <v>#1#treiOPCDA.CoOPCserv.1\pcmaster\ZRU_OL1\XMMX</v>
      </c>
    </row>
    <row r="380" spans="1:4">
      <c r="A380" s="100" t="str">
        <f t="shared" si="34"/>
        <v>АСУЭ.FB_IMsp_S.XMMX</v>
      </c>
      <c r="B380" s="101">
        <v>11154</v>
      </c>
      <c r="C380" s="101" t="s">
        <v>4</v>
      </c>
      <c r="D380" s="103">
        <f>$Q$8</f>
        <v>18</v>
      </c>
    </row>
    <row r="381" spans="1:4">
      <c r="A381" s="100" t="str">
        <f t="shared" si="34"/>
        <v>АСУЭ.FB_IMsp_S.XMMX</v>
      </c>
      <c r="B381" s="101">
        <v>11152</v>
      </c>
      <c r="C381" s="101" t="s">
        <v>0</v>
      </c>
      <c r="D381" s="103" t="str">
        <f>$R$8</f>
        <v>Телесигнализация</v>
      </c>
    </row>
    <row r="382" spans="1:4">
      <c r="A382" s="100" t="str">
        <f t="shared" si="34"/>
        <v>АСУЭ.FB_IMsp_S.XMMX</v>
      </c>
      <c r="B382" s="101">
        <v>11150</v>
      </c>
      <c r="C382" s="101" t="s">
        <v>0</v>
      </c>
      <c r="D382" s="103" t="s">
        <v>134</v>
      </c>
    </row>
    <row r="383" spans="1:4">
      <c r="A383" s="170" t="str">
        <f t="shared" si="34"/>
        <v>АСУЭ.FB_IMsp_S.XMMX</v>
      </c>
      <c r="B383" s="171">
        <v>11000</v>
      </c>
      <c r="C383" s="171" t="s">
        <v>5</v>
      </c>
      <c r="D383" s="172">
        <v>2147483680</v>
      </c>
    </row>
    <row r="384" spans="1:4">
      <c r="A384" s="16" t="str">
        <f t="shared" ref="A384:A393" si="35">$R$2&amp;".XRCX"</f>
        <v>АСУЭ.FB_IMsp_S.XRCX</v>
      </c>
      <c r="B384" s="17">
        <v>3</v>
      </c>
      <c r="C384" s="17" t="s">
        <v>1</v>
      </c>
      <c r="D384" s="18">
        <v>192</v>
      </c>
    </row>
    <row r="385" spans="1:4">
      <c r="A385" s="19" t="str">
        <f t="shared" si="35"/>
        <v>АСУЭ.FB_IMsp_S.XRCX</v>
      </c>
      <c r="B385" s="11">
        <v>2</v>
      </c>
      <c r="C385" s="11" t="s">
        <v>2</v>
      </c>
      <c r="D385" s="20" t="s">
        <v>3</v>
      </c>
    </row>
    <row r="386" spans="1:4">
      <c r="A386" s="19" t="str">
        <f t="shared" si="35"/>
        <v>АСУЭ.FB_IMsp_S.XRCX</v>
      </c>
      <c r="B386" s="11">
        <v>1</v>
      </c>
      <c r="C386" s="11" t="s">
        <v>1</v>
      </c>
      <c r="D386" s="20">
        <v>11</v>
      </c>
    </row>
    <row r="387" spans="1:4">
      <c r="A387" s="19" t="str">
        <f t="shared" si="35"/>
        <v>АСУЭ.FB_IMsp_S.XRCX</v>
      </c>
      <c r="B387" s="11">
        <v>101</v>
      </c>
      <c r="C387" s="11" t="s">
        <v>0</v>
      </c>
      <c r="D387" s="20" t="s">
        <v>575</v>
      </c>
    </row>
    <row r="388" spans="1:4">
      <c r="A388" s="19" t="str">
        <f t="shared" si="35"/>
        <v>АСУЭ.FB_IMsp_S.XRCX</v>
      </c>
      <c r="B388" s="11">
        <v>7998</v>
      </c>
      <c r="C388" s="11" t="s">
        <v>6</v>
      </c>
      <c r="D388" s="20">
        <v>1</v>
      </c>
    </row>
    <row r="389" spans="1:4">
      <c r="A389" s="19" t="str">
        <f t="shared" si="35"/>
        <v>АСУЭ.FB_IMsp_S.XRCX</v>
      </c>
      <c r="B389" s="11">
        <v>7999</v>
      </c>
      <c r="C389" s="11" t="s">
        <v>0</v>
      </c>
      <c r="D389" s="20" t="str">
        <f>"#"&amp;$S$2&amp;"#"&amp;$T$2&amp;"\"&amp;$P$2&amp;"\XRCX"</f>
        <v>#1#treiOPCDA.CoOPCserv.1\pcmaster\ZRU_OL1\XRCX</v>
      </c>
    </row>
    <row r="390" spans="1:4">
      <c r="A390" s="100" t="str">
        <f t="shared" si="35"/>
        <v>АСУЭ.FB_IMsp_S.XRCX</v>
      </c>
      <c r="B390" s="101">
        <v>11154</v>
      </c>
      <c r="C390" s="101" t="s">
        <v>4</v>
      </c>
      <c r="D390" s="103">
        <f>$Q$8</f>
        <v>18</v>
      </c>
    </row>
    <row r="391" spans="1:4">
      <c r="A391" s="100" t="str">
        <f t="shared" si="35"/>
        <v>АСУЭ.FB_IMsp_S.XRCX</v>
      </c>
      <c r="B391" s="101">
        <v>11152</v>
      </c>
      <c r="C391" s="101" t="s">
        <v>0</v>
      </c>
      <c r="D391" s="103" t="str">
        <f>$R$8</f>
        <v>Телесигнализация</v>
      </c>
    </row>
    <row r="392" spans="1:4">
      <c r="A392" s="100" t="str">
        <f t="shared" si="35"/>
        <v>АСУЭ.FB_IMsp_S.XRCX</v>
      </c>
      <c r="B392" s="101">
        <v>11150</v>
      </c>
      <c r="C392" s="101" t="s">
        <v>0</v>
      </c>
      <c r="D392" s="103" t="s">
        <v>136</v>
      </c>
    </row>
    <row r="393" spans="1:4">
      <c r="A393" s="170" t="str">
        <f t="shared" si="35"/>
        <v>АСУЭ.FB_IMsp_S.XRCX</v>
      </c>
      <c r="B393" s="171">
        <v>11000</v>
      </c>
      <c r="C393" s="171" t="s">
        <v>5</v>
      </c>
      <c r="D393" s="172">
        <v>2147483680</v>
      </c>
    </row>
    <row r="394" spans="1:4">
      <c r="A394" s="16" t="str">
        <f t="shared" ref="A394:A403" si="36">$R$2&amp;".XONX"</f>
        <v>АСУЭ.FB_IMsp_S.XONX</v>
      </c>
      <c r="B394" s="17">
        <v>3</v>
      </c>
      <c r="C394" s="17" t="s">
        <v>1</v>
      </c>
      <c r="D394" s="18">
        <v>192</v>
      </c>
    </row>
    <row r="395" spans="1:4">
      <c r="A395" s="19" t="str">
        <f t="shared" si="36"/>
        <v>АСУЭ.FB_IMsp_S.XONX</v>
      </c>
      <c r="B395" s="11">
        <v>2</v>
      </c>
      <c r="C395" s="11" t="s">
        <v>2</v>
      </c>
      <c r="D395" s="20" t="s">
        <v>3</v>
      </c>
    </row>
    <row r="396" spans="1:4">
      <c r="A396" s="19" t="str">
        <f t="shared" si="36"/>
        <v>АСУЭ.FB_IMsp_S.XONX</v>
      </c>
      <c r="B396" s="11">
        <v>1</v>
      </c>
      <c r="C396" s="11" t="s">
        <v>1</v>
      </c>
      <c r="D396" s="20">
        <v>11</v>
      </c>
    </row>
    <row r="397" spans="1:4">
      <c r="A397" s="19" t="str">
        <f t="shared" si="36"/>
        <v>АСУЭ.FB_IMsp_S.XONX</v>
      </c>
      <c r="B397" s="11">
        <v>101</v>
      </c>
      <c r="C397" s="11" t="s">
        <v>0</v>
      </c>
      <c r="D397" s="20" t="s">
        <v>337</v>
      </c>
    </row>
    <row r="398" spans="1:4">
      <c r="A398" s="19" t="str">
        <f t="shared" si="36"/>
        <v>АСУЭ.FB_IMsp_S.XONX</v>
      </c>
      <c r="B398" s="11">
        <v>7998</v>
      </c>
      <c r="C398" s="11" t="s">
        <v>6</v>
      </c>
      <c r="D398" s="20">
        <v>1</v>
      </c>
    </row>
    <row r="399" spans="1:4">
      <c r="A399" s="19" t="str">
        <f t="shared" si="36"/>
        <v>АСУЭ.FB_IMsp_S.XONX</v>
      </c>
      <c r="B399" s="11">
        <v>7999</v>
      </c>
      <c r="C399" s="11" t="s">
        <v>0</v>
      </c>
      <c r="D399" s="20" t="str">
        <f>"#"&amp;$S$2&amp;"#"&amp;$T$2&amp;"\"&amp;$P$2&amp;"\XONX"</f>
        <v>#1#treiOPCDA.CoOPCserv.1\pcmaster\ZRU_OL1\XONX</v>
      </c>
    </row>
    <row r="400" spans="1:4">
      <c r="A400" s="100" t="str">
        <f t="shared" si="36"/>
        <v>АСУЭ.FB_IMsp_S.XONX</v>
      </c>
      <c r="B400" s="101">
        <v>11154</v>
      </c>
      <c r="C400" s="101" t="s">
        <v>4</v>
      </c>
      <c r="D400" s="103">
        <f>$Q$8</f>
        <v>18</v>
      </c>
    </row>
    <row r="401" spans="1:4">
      <c r="A401" s="100" t="str">
        <f t="shared" si="36"/>
        <v>АСУЭ.FB_IMsp_S.XONX</v>
      </c>
      <c r="B401" s="101">
        <v>11152</v>
      </c>
      <c r="C401" s="101" t="s">
        <v>0</v>
      </c>
      <c r="D401" s="103" t="str">
        <f>$R$8</f>
        <v>Телесигнализация</v>
      </c>
    </row>
    <row r="402" spans="1:4">
      <c r="A402" s="100" t="str">
        <f t="shared" si="36"/>
        <v>АСУЭ.FB_IMsp_S.XONX</v>
      </c>
      <c r="B402" s="101">
        <v>11150</v>
      </c>
      <c r="C402" s="101" t="s">
        <v>0</v>
      </c>
      <c r="D402" s="103" t="s">
        <v>337</v>
      </c>
    </row>
    <row r="403" spans="1:4">
      <c r="A403" s="170" t="str">
        <f t="shared" si="36"/>
        <v>АСУЭ.FB_IMsp_S.XONX</v>
      </c>
      <c r="B403" s="171">
        <v>11000</v>
      </c>
      <c r="C403" s="171" t="s">
        <v>5</v>
      </c>
      <c r="D403" s="172">
        <v>2147483680</v>
      </c>
    </row>
    <row r="404" spans="1:4">
      <c r="A404" s="16" t="str">
        <f t="shared" ref="A404:A413" si="37">$R$2&amp;".XOFX"</f>
        <v>АСУЭ.FB_IMsp_S.XOFX</v>
      </c>
      <c r="B404" s="17">
        <v>3</v>
      </c>
      <c r="C404" s="17" t="s">
        <v>1</v>
      </c>
      <c r="D404" s="18">
        <v>192</v>
      </c>
    </row>
    <row r="405" spans="1:4">
      <c r="A405" s="19" t="str">
        <f t="shared" si="37"/>
        <v>АСУЭ.FB_IMsp_S.XOFX</v>
      </c>
      <c r="B405" s="11">
        <v>2</v>
      </c>
      <c r="C405" s="11" t="s">
        <v>2</v>
      </c>
      <c r="D405" s="20" t="s">
        <v>3</v>
      </c>
    </row>
    <row r="406" spans="1:4">
      <c r="A406" s="19" t="str">
        <f t="shared" si="37"/>
        <v>АСУЭ.FB_IMsp_S.XOFX</v>
      </c>
      <c r="B406" s="11">
        <v>1</v>
      </c>
      <c r="C406" s="11" t="s">
        <v>1</v>
      </c>
      <c r="D406" s="20">
        <v>11</v>
      </c>
    </row>
    <row r="407" spans="1:4">
      <c r="A407" s="19" t="str">
        <f t="shared" si="37"/>
        <v>АСУЭ.FB_IMsp_S.XOFX</v>
      </c>
      <c r="B407" s="11">
        <v>101</v>
      </c>
      <c r="C407" s="11" t="s">
        <v>0</v>
      </c>
      <c r="D407" s="20" t="s">
        <v>336</v>
      </c>
    </row>
    <row r="408" spans="1:4">
      <c r="A408" s="19" t="str">
        <f t="shared" si="37"/>
        <v>АСУЭ.FB_IMsp_S.XOFX</v>
      </c>
      <c r="B408" s="11">
        <v>7998</v>
      </c>
      <c r="C408" s="11" t="s">
        <v>6</v>
      </c>
      <c r="D408" s="20">
        <v>1</v>
      </c>
    </row>
    <row r="409" spans="1:4">
      <c r="A409" s="19" t="str">
        <f t="shared" si="37"/>
        <v>АСУЭ.FB_IMsp_S.XOFX</v>
      </c>
      <c r="B409" s="11">
        <v>7999</v>
      </c>
      <c r="C409" s="11" t="s">
        <v>0</v>
      </c>
      <c r="D409" s="20" t="str">
        <f>"#"&amp;$S$2&amp;"#"&amp;$T$2&amp;"\"&amp;$P$2&amp;"\XOFX"</f>
        <v>#1#treiOPCDA.CoOPCserv.1\pcmaster\ZRU_OL1\XOFX</v>
      </c>
    </row>
    <row r="410" spans="1:4">
      <c r="A410" s="100" t="str">
        <f t="shared" si="37"/>
        <v>АСУЭ.FB_IMsp_S.XOFX</v>
      </c>
      <c r="B410" s="101">
        <v>11154</v>
      </c>
      <c r="C410" s="101" t="s">
        <v>4</v>
      </c>
      <c r="D410" s="103">
        <f>$Q$8</f>
        <v>18</v>
      </c>
    </row>
    <row r="411" spans="1:4">
      <c r="A411" s="100" t="str">
        <f t="shared" si="37"/>
        <v>АСУЭ.FB_IMsp_S.XOFX</v>
      </c>
      <c r="B411" s="101">
        <v>11152</v>
      </c>
      <c r="C411" s="101" t="s">
        <v>0</v>
      </c>
      <c r="D411" s="103" t="str">
        <f>$R$8</f>
        <v>Телесигнализация</v>
      </c>
    </row>
    <row r="412" spans="1:4">
      <c r="A412" s="100" t="str">
        <f t="shared" si="37"/>
        <v>АСУЭ.FB_IMsp_S.XOFX</v>
      </c>
      <c r="B412" s="101">
        <v>11150</v>
      </c>
      <c r="C412" s="101" t="s">
        <v>0</v>
      </c>
      <c r="D412" s="103" t="s">
        <v>336</v>
      </c>
    </row>
    <row r="413" spans="1:4">
      <c r="A413" s="170" t="str">
        <f t="shared" si="37"/>
        <v>АСУЭ.FB_IMsp_S.XOFX</v>
      </c>
      <c r="B413" s="171">
        <v>11000</v>
      </c>
      <c r="C413" s="171" t="s">
        <v>5</v>
      </c>
      <c r="D413" s="172">
        <v>2147483680</v>
      </c>
    </row>
    <row r="414" spans="1:4">
      <c r="A414" s="16" t="str">
        <f t="shared" ref="A414:A423" si="38">$R$2&amp;".CAON"</f>
        <v>АСУЭ.FB_IMsp_S.CAON</v>
      </c>
      <c r="B414" s="17">
        <v>3</v>
      </c>
      <c r="C414" s="17" t="s">
        <v>1</v>
      </c>
      <c r="D414" s="18">
        <v>192</v>
      </c>
    </row>
    <row r="415" spans="1:4">
      <c r="A415" s="19" t="str">
        <f t="shared" si="38"/>
        <v>АСУЭ.FB_IMsp_S.CAON</v>
      </c>
      <c r="B415" s="11">
        <v>2</v>
      </c>
      <c r="C415" s="11" t="s">
        <v>2</v>
      </c>
      <c r="D415" s="20" t="s">
        <v>3</v>
      </c>
    </row>
    <row r="416" spans="1:4">
      <c r="A416" s="19" t="str">
        <f t="shared" si="38"/>
        <v>АСУЭ.FB_IMsp_S.CAON</v>
      </c>
      <c r="B416" s="11">
        <v>1</v>
      </c>
      <c r="C416" s="11" t="s">
        <v>1</v>
      </c>
      <c r="D416" s="20">
        <v>11</v>
      </c>
    </row>
    <row r="417" spans="1:4">
      <c r="A417" s="19" t="str">
        <f t="shared" si="38"/>
        <v>АСУЭ.FB_IMsp_S.CAON</v>
      </c>
      <c r="B417" s="11">
        <v>7998</v>
      </c>
      <c r="C417" s="11" t="s">
        <v>6</v>
      </c>
      <c r="D417" s="20">
        <v>1</v>
      </c>
    </row>
    <row r="418" spans="1:4">
      <c r="A418" s="19" t="str">
        <f t="shared" si="38"/>
        <v>АСУЭ.FB_IMsp_S.CAON</v>
      </c>
      <c r="B418" s="11">
        <v>7999</v>
      </c>
      <c r="C418" s="11" t="s">
        <v>0</v>
      </c>
      <c r="D418" s="20" t="str">
        <f>"#"&amp;$S$2&amp;"#"&amp;$T$2&amp;"\"&amp;$P$2&amp;"\CAON"</f>
        <v>#1#treiOPCDA.CoOPCserv.1\pcmaster\ZRU_OL1\CAON</v>
      </c>
    </row>
    <row r="419" spans="1:4">
      <c r="A419" s="19" t="str">
        <f t="shared" si="38"/>
        <v>АСУЭ.FB_IMsp_S.CAON</v>
      </c>
      <c r="B419" s="11">
        <v>101</v>
      </c>
      <c r="C419" s="11" t="s">
        <v>0</v>
      </c>
      <c r="D419" s="20" t="s">
        <v>1843</v>
      </c>
    </row>
    <row r="420" spans="1:4">
      <c r="A420" s="100" t="str">
        <f t="shared" si="38"/>
        <v>АСУЭ.FB_IMsp_S.CAON</v>
      </c>
      <c r="B420" s="101">
        <v>11154</v>
      </c>
      <c r="C420" s="101" t="s">
        <v>4</v>
      </c>
      <c r="D420" s="103">
        <f>$Q$8</f>
        <v>18</v>
      </c>
    </row>
    <row r="421" spans="1:4">
      <c r="A421" s="100" t="str">
        <f t="shared" si="38"/>
        <v>АСУЭ.FB_IMsp_S.CAON</v>
      </c>
      <c r="B421" s="101">
        <v>11152</v>
      </c>
      <c r="C421" s="101" t="s">
        <v>0</v>
      </c>
      <c r="D421" s="103" t="str">
        <f>$R$8</f>
        <v>Телесигнализация</v>
      </c>
    </row>
    <row r="422" spans="1:4">
      <c r="A422" s="100" t="str">
        <f t="shared" si="38"/>
        <v>АСУЭ.FB_IMsp_S.CAON</v>
      </c>
      <c r="B422" s="101">
        <v>11150</v>
      </c>
      <c r="C422" s="101" t="s">
        <v>0</v>
      </c>
      <c r="D422" s="103" t="s">
        <v>1843</v>
      </c>
    </row>
    <row r="423" spans="1:4">
      <c r="A423" s="100" t="str">
        <f t="shared" si="38"/>
        <v>АСУЭ.FB_IMsp_S.CAON</v>
      </c>
      <c r="B423" s="101">
        <v>11000</v>
      </c>
      <c r="C423" s="101" t="s">
        <v>5</v>
      </c>
      <c r="D423" s="103">
        <v>2147483680</v>
      </c>
    </row>
    <row r="424" spans="1:4">
      <c r="A424" s="16" t="str">
        <f t="shared" ref="A424:A433" si="39">$R$2&amp;".CAOF"</f>
        <v>АСУЭ.FB_IMsp_S.CAOF</v>
      </c>
      <c r="B424" s="17">
        <v>3</v>
      </c>
      <c r="C424" s="17" t="s">
        <v>1</v>
      </c>
      <c r="D424" s="18">
        <v>192</v>
      </c>
    </row>
    <row r="425" spans="1:4">
      <c r="A425" s="19" t="str">
        <f t="shared" si="39"/>
        <v>АСУЭ.FB_IMsp_S.CAOF</v>
      </c>
      <c r="B425" s="11">
        <v>2</v>
      </c>
      <c r="C425" s="11" t="s">
        <v>2</v>
      </c>
      <c r="D425" s="20" t="s">
        <v>3</v>
      </c>
    </row>
    <row r="426" spans="1:4">
      <c r="A426" s="19" t="str">
        <f t="shared" si="39"/>
        <v>АСУЭ.FB_IMsp_S.CAOF</v>
      </c>
      <c r="B426" s="11">
        <v>1</v>
      </c>
      <c r="C426" s="11" t="s">
        <v>1</v>
      </c>
      <c r="D426" s="20">
        <v>11</v>
      </c>
    </row>
    <row r="427" spans="1:4">
      <c r="A427" s="19" t="str">
        <f t="shared" si="39"/>
        <v>АСУЭ.FB_IMsp_S.CAOF</v>
      </c>
      <c r="B427" s="11">
        <v>7998</v>
      </c>
      <c r="C427" s="11" t="s">
        <v>6</v>
      </c>
      <c r="D427" s="20">
        <v>1</v>
      </c>
    </row>
    <row r="428" spans="1:4">
      <c r="A428" s="19" t="str">
        <f t="shared" si="39"/>
        <v>АСУЭ.FB_IMsp_S.CAOF</v>
      </c>
      <c r="B428" s="11">
        <v>7999</v>
      </c>
      <c r="C428" s="11" t="s">
        <v>0</v>
      </c>
      <c r="D428" s="20" t="str">
        <f>"#"&amp;$S$2&amp;"#"&amp;$T$2&amp;"\"&amp;$P$2&amp;"\CAOF"</f>
        <v>#1#treiOPCDA.CoOPCserv.1\pcmaster\ZRU_OL1\CAOF</v>
      </c>
    </row>
    <row r="429" spans="1:4">
      <c r="A429" s="19" t="str">
        <f t="shared" si="39"/>
        <v>АСУЭ.FB_IMsp_S.CAOF</v>
      </c>
      <c r="B429" s="11">
        <v>101</v>
      </c>
      <c r="C429" s="11" t="s">
        <v>0</v>
      </c>
      <c r="D429" s="20" t="s">
        <v>1844</v>
      </c>
    </row>
    <row r="430" spans="1:4">
      <c r="A430" s="100" t="str">
        <f t="shared" si="39"/>
        <v>АСУЭ.FB_IMsp_S.CAOF</v>
      </c>
      <c r="B430" s="101">
        <v>11154</v>
      </c>
      <c r="C430" s="101" t="s">
        <v>4</v>
      </c>
      <c r="D430" s="103">
        <f>$Q$8</f>
        <v>18</v>
      </c>
    </row>
    <row r="431" spans="1:4">
      <c r="A431" s="100" t="str">
        <f t="shared" si="39"/>
        <v>АСУЭ.FB_IMsp_S.CAOF</v>
      </c>
      <c r="B431" s="101">
        <v>11152</v>
      </c>
      <c r="C431" s="101" t="s">
        <v>0</v>
      </c>
      <c r="D431" s="103" t="str">
        <f>$R$8</f>
        <v>Телесигнализация</v>
      </c>
    </row>
    <row r="432" spans="1:4">
      <c r="A432" s="100" t="str">
        <f t="shared" si="39"/>
        <v>АСУЭ.FB_IMsp_S.CAOF</v>
      </c>
      <c r="B432" s="101">
        <v>11150</v>
      </c>
      <c r="C432" s="101" t="s">
        <v>0</v>
      </c>
      <c r="D432" s="103" t="s">
        <v>1844</v>
      </c>
    </row>
    <row r="433" spans="1:4">
      <c r="A433" s="170" t="str">
        <f t="shared" si="39"/>
        <v>АСУЭ.FB_IMsp_S.CAOF</v>
      </c>
      <c r="B433" s="171">
        <v>11000</v>
      </c>
      <c r="C433" s="171" t="s">
        <v>5</v>
      </c>
      <c r="D433" s="172">
        <v>2147483680</v>
      </c>
    </row>
    <row r="434" spans="1:4">
      <c r="A434" s="294" t="str">
        <f>$R$2&amp;".Commands.SRQX"</f>
        <v>АСУЭ.FB_IMsp_S.Commands.SRQX</v>
      </c>
      <c r="B434" s="295">
        <v>101</v>
      </c>
      <c r="C434" s="295" t="s">
        <v>0</v>
      </c>
      <c r="D434" s="296" t="s">
        <v>125</v>
      </c>
    </row>
    <row r="435" spans="1:4">
      <c r="A435" s="288" t="str">
        <f>$R$2&amp;".Commands.SRQX"</f>
        <v>АСУЭ.FB_IMsp_S.Commands.SRQX</v>
      </c>
      <c r="B435" s="289">
        <v>1</v>
      </c>
      <c r="C435" s="289" t="s">
        <v>1</v>
      </c>
      <c r="D435" s="290">
        <v>3</v>
      </c>
    </row>
    <row r="436" spans="1:4">
      <c r="A436" s="288" t="str">
        <f>$R$2&amp;".Commands.SRQX"</f>
        <v>АСУЭ.FB_IMsp_S.Commands.SRQX</v>
      </c>
      <c r="B436" s="289">
        <v>7998</v>
      </c>
      <c r="C436" s="289" t="s">
        <v>6</v>
      </c>
      <c r="D436" s="290">
        <v>2</v>
      </c>
    </row>
    <row r="437" spans="1:4">
      <c r="A437" s="291" t="str">
        <f>$R$2&amp;".Commands.SRQX"</f>
        <v>АСУЭ.FB_IMsp_S.Commands.SRQX</v>
      </c>
      <c r="B437" s="292">
        <v>7999</v>
      </c>
      <c r="C437" s="292" t="s">
        <v>0</v>
      </c>
      <c r="D437" s="293" t="str">
        <f>"#"&amp;$T$5&amp;"#"&amp;$T$2&amp;"\"&amp;$P$2&amp;"\SRQX"</f>
        <v>#1#treiOPCDA.CoOPCserv.1\pcmaster\ZRU_OL1\SRQX</v>
      </c>
    </row>
    <row r="438" spans="1:4">
      <c r="A438" s="294" t="str">
        <f>$R$2&amp;".Commands.SRPT"</f>
        <v>АСУЭ.FB_IMsp_S.Commands.SRPT</v>
      </c>
      <c r="B438" s="295">
        <v>101</v>
      </c>
      <c r="C438" s="295" t="s">
        <v>0</v>
      </c>
      <c r="D438" s="296" t="s">
        <v>126</v>
      </c>
    </row>
    <row r="439" spans="1:4">
      <c r="A439" s="288" t="str">
        <f>$R$2&amp;".Commands.SRPT"</f>
        <v>АСУЭ.FB_IMsp_S.Commands.SRPT</v>
      </c>
      <c r="B439" s="289">
        <v>1</v>
      </c>
      <c r="C439" s="289" t="s">
        <v>1</v>
      </c>
      <c r="D439" s="290">
        <v>3</v>
      </c>
    </row>
    <row r="440" spans="1:4">
      <c r="A440" s="288" t="str">
        <f>$R$2&amp;".Commands.SRPT"</f>
        <v>АСУЭ.FB_IMsp_S.Commands.SRPT</v>
      </c>
      <c r="B440" s="289">
        <v>7998</v>
      </c>
      <c r="C440" s="289" t="s">
        <v>6</v>
      </c>
      <c r="D440" s="290">
        <v>2</v>
      </c>
    </row>
    <row r="441" spans="1:4">
      <c r="A441" s="291" t="str">
        <f>$R$2&amp;".Commands.SRPT"</f>
        <v>АСУЭ.FB_IMsp_S.Commands.SRPT</v>
      </c>
      <c r="B441" s="292">
        <v>7999</v>
      </c>
      <c r="C441" s="292" t="s">
        <v>0</v>
      </c>
      <c r="D441" s="293" t="str">
        <f>"#"&amp;$T$5&amp;"#"&amp;$T$2&amp;"\"&amp;$P$2&amp;"\SRPT"</f>
        <v>#1#treiOPCDA.CoOPCserv.1\pcmaster\ZRU_OL1\SRPT</v>
      </c>
    </row>
    <row r="442" spans="1:4">
      <c r="A442" s="266" t="str">
        <f>$R$2&amp;".Commands.TCON"</f>
        <v>АСУЭ.FB_IMsp_S.Commands.TCON</v>
      </c>
      <c r="B442" s="267">
        <v>101</v>
      </c>
      <c r="C442" s="267" t="s">
        <v>0</v>
      </c>
      <c r="D442" s="268" t="s">
        <v>274</v>
      </c>
    </row>
    <row r="443" spans="1:4">
      <c r="A443" s="269" t="str">
        <f>$R$2&amp;".Commands.TCON"</f>
        <v>АСУЭ.FB_IMsp_S.Commands.TCON</v>
      </c>
      <c r="B443" s="270">
        <v>1</v>
      </c>
      <c r="C443" s="270" t="s">
        <v>1</v>
      </c>
      <c r="D443" s="271">
        <v>3</v>
      </c>
    </row>
    <row r="444" spans="1:4">
      <c r="A444" s="269" t="str">
        <f>$R$2&amp;".Commands.TCON"</f>
        <v>АСУЭ.FB_IMsp_S.Commands.TCON</v>
      </c>
      <c r="B444" s="270">
        <v>7998</v>
      </c>
      <c r="C444" s="270" t="s">
        <v>6</v>
      </c>
      <c r="D444" s="271">
        <v>2</v>
      </c>
    </row>
    <row r="445" spans="1:4">
      <c r="A445" s="272" t="str">
        <f>$R$2&amp;".Commands.TCON"</f>
        <v>АСУЭ.FB_IMsp_S.Commands.TCON</v>
      </c>
      <c r="B445" s="273">
        <v>7999</v>
      </c>
      <c r="C445" s="273" t="s">
        <v>0</v>
      </c>
      <c r="D445" s="274" t="str">
        <f>"#"&amp;$T$5&amp;"#"&amp;$T$2&amp;"\"&amp;$P$2&amp;"\TCON"</f>
        <v>#1#treiOPCDA.CoOPCserv.1\pcmaster\ZRU_OL1\TCON</v>
      </c>
    </row>
    <row r="446" spans="1:4">
      <c r="A446" s="266" t="str">
        <f>$R$2&amp;".Commands.TCOF"</f>
        <v>АСУЭ.FB_IMsp_S.Commands.TCOF</v>
      </c>
      <c r="B446" s="267">
        <v>101</v>
      </c>
      <c r="C446" s="267" t="s">
        <v>0</v>
      </c>
      <c r="D446" s="268" t="s">
        <v>275</v>
      </c>
    </row>
    <row r="447" spans="1:4">
      <c r="A447" s="269" t="str">
        <f>$R$2&amp;".Commands.TCOF"</f>
        <v>АСУЭ.FB_IMsp_S.Commands.TCOF</v>
      </c>
      <c r="B447" s="270">
        <v>1</v>
      </c>
      <c r="C447" s="270" t="s">
        <v>1</v>
      </c>
      <c r="D447" s="271">
        <v>3</v>
      </c>
    </row>
    <row r="448" spans="1:4">
      <c r="A448" s="269" t="str">
        <f>$R$2&amp;".Commands.TCOF"</f>
        <v>АСУЭ.FB_IMsp_S.Commands.TCOF</v>
      </c>
      <c r="B448" s="270">
        <v>7998</v>
      </c>
      <c r="C448" s="270" t="s">
        <v>6</v>
      </c>
      <c r="D448" s="271">
        <v>2</v>
      </c>
    </row>
    <row r="449" spans="1:4">
      <c r="A449" s="272" t="str">
        <f>$R$2&amp;".Commands.TCOF"</f>
        <v>АСУЭ.FB_IMsp_S.Commands.TCOF</v>
      </c>
      <c r="B449" s="273">
        <v>7999</v>
      </c>
      <c r="C449" s="273" t="s">
        <v>0</v>
      </c>
      <c r="D449" s="274" t="str">
        <f>"#"&amp;$T$5&amp;"#"&amp;$T$2&amp;"\"&amp;$P$2&amp;"\TCOF"</f>
        <v>#1#treiOPCDA.CoOPCserv.1\pcmaster\ZRU_OL1\TCOF</v>
      </c>
    </row>
    <row r="450" spans="1:4">
      <c r="A450" s="266" t="str">
        <f>$R$2&amp;".Commands.STSX"</f>
        <v>АСУЭ.FB_IMsp_S.Commands.STSX</v>
      </c>
      <c r="B450" s="267">
        <v>7999</v>
      </c>
      <c r="C450" s="267" t="s">
        <v>0</v>
      </c>
      <c r="D450" s="268" t="str">
        <f>"#"&amp;$T$5&amp;"#"&amp;$T$2&amp;"\"&amp;$P$2&amp;"\STSX"</f>
        <v>#1#treiOPCDA.CoOPCserv.1\pcmaster\ZRU_OL1\STSX</v>
      </c>
    </row>
    <row r="451" spans="1:4">
      <c r="A451" s="269" t="str">
        <f>$R$2&amp;".Commands.STSX"</f>
        <v>АСУЭ.FB_IMsp_S.Commands.STSX</v>
      </c>
      <c r="B451" s="270">
        <v>7998</v>
      </c>
      <c r="C451" s="270" t="s">
        <v>6</v>
      </c>
      <c r="D451" s="271">
        <v>2</v>
      </c>
    </row>
    <row r="452" spans="1:4">
      <c r="A452" s="269" t="str">
        <f>$R$2&amp;".Commands.STSX"</f>
        <v>АСУЭ.FB_IMsp_S.Commands.STSX</v>
      </c>
      <c r="B452" s="270">
        <v>1</v>
      </c>
      <c r="C452" s="270" t="s">
        <v>1</v>
      </c>
      <c r="D452" s="271">
        <v>3</v>
      </c>
    </row>
    <row r="453" spans="1:4">
      <c r="A453" s="272" t="str">
        <f>$R$2&amp;".Commands.STSX"</f>
        <v>АСУЭ.FB_IMsp_S.Commands.STSX</v>
      </c>
      <c r="B453" s="273">
        <v>101</v>
      </c>
      <c r="C453" s="273" t="s">
        <v>0</v>
      </c>
      <c r="D453" s="274" t="s">
        <v>128</v>
      </c>
    </row>
    <row r="454" spans="1:4">
      <c r="A454" s="16" t="str">
        <f>$R$2&amp;".Commands.COON"</f>
        <v>АСУЭ.FB_IMsp_S.Commands.COON</v>
      </c>
      <c r="B454" s="17">
        <v>7999</v>
      </c>
      <c r="C454" s="17" t="s">
        <v>0</v>
      </c>
      <c r="D454" s="18" t="str">
        <f>"#"&amp;$T$5&amp;"#"&amp;$T$2&amp;"\"&amp;$P$2&amp;"\COON"</f>
        <v>#1#treiOPCDA.CoOPCserv.1\pcmaster\ZRU_OL1\COON</v>
      </c>
    </row>
    <row r="455" spans="1:4">
      <c r="A455" s="19" t="str">
        <f>$R$2&amp;".Commands.COON"</f>
        <v>АСУЭ.FB_IMsp_S.Commands.COON</v>
      </c>
      <c r="B455" s="11">
        <v>7998</v>
      </c>
      <c r="C455" s="11" t="s">
        <v>6</v>
      </c>
      <c r="D455" s="20">
        <v>2</v>
      </c>
    </row>
    <row r="456" spans="1:4">
      <c r="A456" s="19" t="str">
        <f>$R$2&amp;".Commands.COON"</f>
        <v>АСУЭ.FB_IMsp_S.Commands.COON</v>
      </c>
      <c r="B456" s="11">
        <v>1</v>
      </c>
      <c r="C456" s="11" t="s">
        <v>1</v>
      </c>
      <c r="D456" s="20">
        <v>11</v>
      </c>
    </row>
    <row r="457" spans="1:4">
      <c r="A457" s="21" t="str">
        <f>$R$2&amp;".Commands.COON"</f>
        <v>АСУЭ.FB_IMsp_S.Commands.COON</v>
      </c>
      <c r="B457" s="8">
        <v>101</v>
      </c>
      <c r="C457" s="8" t="s">
        <v>0</v>
      </c>
      <c r="D457" s="22" t="s">
        <v>112</v>
      </c>
    </row>
    <row r="458" spans="1:4">
      <c r="A458" s="16" t="str">
        <f>$R$2&amp;".Commands.CMMX"</f>
        <v>АСУЭ.FB_IMsp_S.Commands.CMMX</v>
      </c>
      <c r="B458" s="17">
        <v>7999</v>
      </c>
      <c r="C458" s="17" t="s">
        <v>0</v>
      </c>
      <c r="D458" s="18" t="str">
        <f>"#"&amp;$T$5&amp;"#"&amp;$T$2&amp;"\"&amp;$P$2&amp;"\CMMX"</f>
        <v>#1#treiOPCDA.CoOPCserv.1\pcmaster\ZRU_OL1\CMMX</v>
      </c>
    </row>
    <row r="459" spans="1:4">
      <c r="A459" s="19" t="str">
        <f>$R$2&amp;".Commands.CMMX"</f>
        <v>АСУЭ.FB_IMsp_S.Commands.CMMX</v>
      </c>
      <c r="B459" s="11">
        <v>7998</v>
      </c>
      <c r="C459" s="11" t="s">
        <v>6</v>
      </c>
      <c r="D459" s="20">
        <v>2</v>
      </c>
    </row>
    <row r="460" spans="1:4">
      <c r="A460" s="19" t="str">
        <f>$R$2&amp;".Commands.CMMX"</f>
        <v>АСУЭ.FB_IMsp_S.Commands.CMMX</v>
      </c>
      <c r="B460" s="11">
        <v>1</v>
      </c>
      <c r="C460" s="11" t="s">
        <v>1</v>
      </c>
      <c r="D460" s="20">
        <v>11</v>
      </c>
    </row>
    <row r="461" spans="1:4">
      <c r="A461" s="21" t="str">
        <f>$R$2&amp;".Commands.CMMX"</f>
        <v>АСУЭ.FB_IMsp_S.Commands.CMMX</v>
      </c>
      <c r="B461" s="8">
        <v>101</v>
      </c>
      <c r="C461" s="8" t="s">
        <v>0</v>
      </c>
      <c r="D461" s="22" t="s">
        <v>94</v>
      </c>
    </row>
    <row r="462" spans="1:4">
      <c r="A462" s="16" t="str">
        <f>$R$2&amp;".Commands.CRST"</f>
        <v>АСУЭ.FB_IMsp_S.Commands.CRST</v>
      </c>
      <c r="B462" s="17">
        <v>7999</v>
      </c>
      <c r="C462" s="17" t="s">
        <v>0</v>
      </c>
      <c r="D462" s="18" t="str">
        <f>"#"&amp;$T$5&amp;"#"&amp;$T$2&amp;"\"&amp;$P$2&amp;"\CRST"</f>
        <v>#1#treiOPCDA.CoOPCserv.1\pcmaster\ZRU_OL1\CRST</v>
      </c>
    </row>
    <row r="463" spans="1:4">
      <c r="A463" s="19" t="str">
        <f>$R$2&amp;".Commands.CRST"</f>
        <v>АСУЭ.FB_IMsp_S.Commands.CRST</v>
      </c>
      <c r="B463" s="11">
        <v>7998</v>
      </c>
      <c r="C463" s="11" t="s">
        <v>6</v>
      </c>
      <c r="D463" s="20">
        <v>2</v>
      </c>
    </row>
    <row r="464" spans="1:4">
      <c r="A464" s="19" t="str">
        <f>$R$2&amp;".Commands.CRST"</f>
        <v>АСУЭ.FB_IMsp_S.Commands.CRST</v>
      </c>
      <c r="B464" s="11">
        <v>1</v>
      </c>
      <c r="C464" s="11" t="s">
        <v>1</v>
      </c>
      <c r="D464" s="20">
        <v>11</v>
      </c>
    </row>
    <row r="465" spans="1:4">
      <c r="A465" s="21" t="str">
        <f>$R$2&amp;".Commands.CRST"</f>
        <v>АСУЭ.FB_IMsp_S.Commands.CRST</v>
      </c>
      <c r="B465" s="8">
        <v>101</v>
      </c>
      <c r="C465" s="8" t="s">
        <v>0</v>
      </c>
      <c r="D465" s="22" t="s">
        <v>114</v>
      </c>
    </row>
    <row r="466" spans="1:4">
      <c r="A466" s="16" t="str">
        <f>$R$2&amp;".Commands.CRPX"</f>
        <v>АСУЭ.FB_IMsp_S.Commands.CRPX</v>
      </c>
      <c r="B466" s="17">
        <v>7999</v>
      </c>
      <c r="C466" s="17" t="s">
        <v>0</v>
      </c>
      <c r="D466" s="18" t="str">
        <f>"#"&amp;$T$5&amp;"#"&amp;$T$2&amp;"\"&amp;$P$2&amp;"\CRPX"</f>
        <v>#1#treiOPCDA.CoOPCserv.1\pcmaster\ZRU_OL1\CRPX</v>
      </c>
    </row>
    <row r="467" spans="1:4">
      <c r="A467" s="19" t="str">
        <f>$R$2&amp;".Commands.CRPX"</f>
        <v>АСУЭ.FB_IMsp_S.Commands.CRPX</v>
      </c>
      <c r="B467" s="11">
        <v>7998</v>
      </c>
      <c r="C467" s="11" t="s">
        <v>6</v>
      </c>
      <c r="D467" s="20">
        <v>2</v>
      </c>
    </row>
    <row r="468" spans="1:4">
      <c r="A468" s="19" t="str">
        <f>$R$2&amp;".Commands.CRPX"</f>
        <v>АСУЭ.FB_IMsp_S.Commands.CRPX</v>
      </c>
      <c r="B468" s="11">
        <v>1</v>
      </c>
      <c r="C468" s="11" t="s">
        <v>1</v>
      </c>
      <c r="D468" s="20">
        <v>11</v>
      </c>
    </row>
    <row r="469" spans="1:4">
      <c r="A469" s="21" t="str">
        <f>$R$2&amp;".Commands.CRPX"</f>
        <v>АСУЭ.FB_IMsp_S.Commands.CRPX</v>
      </c>
      <c r="B469" s="8">
        <v>101</v>
      </c>
      <c r="C469" s="8" t="s">
        <v>0</v>
      </c>
      <c r="D469" s="22" t="s">
        <v>113</v>
      </c>
    </row>
    <row r="470" spans="1:4">
      <c r="A470" s="16" t="str">
        <f>$R$2&amp;".Commands.COOF"</f>
        <v>АСУЭ.FB_IMsp_S.Commands.COOF</v>
      </c>
      <c r="B470" s="17">
        <v>7999</v>
      </c>
      <c r="C470" s="17" t="s">
        <v>0</v>
      </c>
      <c r="D470" s="18" t="str">
        <f>"#"&amp;$T$5&amp;"#"&amp;$T$2&amp;"\"&amp;$P$2&amp;"\COOF"</f>
        <v>#1#treiOPCDA.CoOPCserv.1\pcmaster\ZRU_OL1\COOF</v>
      </c>
    </row>
    <row r="471" spans="1:4">
      <c r="A471" s="19" t="str">
        <f>$R$2&amp;".Commands.COOF"</f>
        <v>АСУЭ.FB_IMsp_S.Commands.COOF</v>
      </c>
      <c r="B471" s="11">
        <v>7998</v>
      </c>
      <c r="C471" s="11" t="s">
        <v>6</v>
      </c>
      <c r="D471" s="20">
        <v>2</v>
      </c>
    </row>
    <row r="472" spans="1:4">
      <c r="A472" s="19" t="str">
        <f>$R$2&amp;".Commands.COOF"</f>
        <v>АСУЭ.FB_IMsp_S.Commands.COOF</v>
      </c>
      <c r="B472" s="11">
        <v>1</v>
      </c>
      <c r="C472" s="11" t="s">
        <v>1</v>
      </c>
      <c r="D472" s="20">
        <v>11</v>
      </c>
    </row>
    <row r="473" spans="1:4">
      <c r="A473" s="21" t="str">
        <f>$R$2&amp;".Commands.COOF"</f>
        <v>АСУЭ.FB_IMsp_S.Commands.COOF</v>
      </c>
      <c r="B473" s="8">
        <v>101</v>
      </c>
      <c r="C473" s="8" t="s">
        <v>0</v>
      </c>
      <c r="D473" s="22" t="s">
        <v>124</v>
      </c>
    </row>
    <row r="474" spans="1:4">
      <c r="A474" s="16" t="str">
        <f>$R$2&amp;".Commands.CRRX"</f>
        <v>АСУЭ.FB_IMsp_S.Commands.CRRX</v>
      </c>
      <c r="B474" s="17">
        <v>101</v>
      </c>
      <c r="C474" s="17" t="s">
        <v>0</v>
      </c>
      <c r="D474" s="18" t="s">
        <v>116</v>
      </c>
    </row>
    <row r="475" spans="1:4">
      <c r="A475" s="19" t="str">
        <f>$R$2&amp;".Commands.CRRX"</f>
        <v>АСУЭ.FB_IMsp_S.Commands.CRRX</v>
      </c>
      <c r="B475" s="11">
        <v>1</v>
      </c>
      <c r="C475" s="11" t="s">
        <v>1</v>
      </c>
      <c r="D475" s="20">
        <v>11</v>
      </c>
    </row>
    <row r="476" spans="1:4">
      <c r="A476" s="19" t="str">
        <f>$R$2&amp;".Commands.CRRX"</f>
        <v>АСУЭ.FB_IMsp_S.Commands.CRRX</v>
      </c>
      <c r="B476" s="11">
        <v>7998</v>
      </c>
      <c r="C476" s="11" t="s">
        <v>6</v>
      </c>
      <c r="D476" s="20">
        <v>2</v>
      </c>
    </row>
    <row r="477" spans="1:4">
      <c r="A477" s="21" t="str">
        <f>$R$2&amp;".Commands.CRRX"</f>
        <v>АСУЭ.FB_IMsp_S.Commands.CRRX</v>
      </c>
      <c r="B477" s="8">
        <v>7999</v>
      </c>
      <c r="C477" s="8" t="s">
        <v>0</v>
      </c>
      <c r="D477" s="22" t="str">
        <f>"#"&amp;$T$5&amp;"#"&amp;$T$2&amp;"\"&amp;$P$2&amp;"\CRRX"</f>
        <v>#1#treiOPCDA.CoOPCserv.1\pcmaster\ZRU_OL1\CRRX</v>
      </c>
    </row>
    <row r="478" spans="1:4">
      <c r="A478" s="16" t="str">
        <f>$R$2&amp;".Commands.CPSL"</f>
        <v>АСУЭ.FB_IMsp_S.Commands.CPSL</v>
      </c>
      <c r="B478" s="17">
        <v>101</v>
      </c>
      <c r="C478" s="17" t="s">
        <v>0</v>
      </c>
      <c r="D478" s="18" t="s">
        <v>279</v>
      </c>
    </row>
    <row r="479" spans="1:4">
      <c r="A479" s="19" t="str">
        <f>$R$2&amp;".Commands.CPSL"</f>
        <v>АСУЭ.FB_IMsp_S.Commands.CPSL</v>
      </c>
      <c r="B479" s="11">
        <v>1</v>
      </c>
      <c r="C479" s="11" t="s">
        <v>1</v>
      </c>
      <c r="D479" s="20">
        <v>11</v>
      </c>
    </row>
    <row r="480" spans="1:4">
      <c r="A480" s="19" t="str">
        <f>$R$2&amp;".Commands.CPSL"</f>
        <v>АСУЭ.FB_IMsp_S.Commands.CPSL</v>
      </c>
      <c r="B480" s="11">
        <v>7998</v>
      </c>
      <c r="C480" s="11" t="s">
        <v>6</v>
      </c>
      <c r="D480" s="20">
        <v>2</v>
      </c>
    </row>
    <row r="481" spans="1:4">
      <c r="A481" s="21" t="str">
        <f>$R$2&amp;".Commands.CPSL"</f>
        <v>АСУЭ.FB_IMsp_S.Commands.CPSL</v>
      </c>
      <c r="B481" s="8">
        <v>7999</v>
      </c>
      <c r="C481" s="8" t="s">
        <v>0</v>
      </c>
      <c r="D481" s="22" t="str">
        <f>"#"&amp;$T$5&amp;"#"&amp;$T$2&amp;"\"&amp;$P$2&amp;"\CPSL"</f>
        <v>#1#treiOPCDA.CoOPCserv.1\pcmaster\ZRU_OL1\CPSL</v>
      </c>
    </row>
    <row r="482" spans="1:4">
      <c r="A482" s="16" t="str">
        <f>$R$2&amp;".Commands.CPSP"</f>
        <v>АСУЭ.FB_IMsp_S.Commands.CPSP</v>
      </c>
      <c r="B482" s="17">
        <v>101</v>
      </c>
      <c r="C482" s="17" t="s">
        <v>0</v>
      </c>
      <c r="D482" s="18" t="s">
        <v>280</v>
      </c>
    </row>
    <row r="483" spans="1:4">
      <c r="A483" s="19" t="str">
        <f>$R$2&amp;".Commands.CPSP"</f>
        <v>АСУЭ.FB_IMsp_S.Commands.CPSP</v>
      </c>
      <c r="B483" s="11">
        <v>1</v>
      </c>
      <c r="C483" s="11" t="s">
        <v>1</v>
      </c>
      <c r="D483" s="20">
        <v>11</v>
      </c>
    </row>
    <row r="484" spans="1:4">
      <c r="A484" s="19" t="str">
        <f>$R$2&amp;".Commands.CPSP"</f>
        <v>АСУЭ.FB_IMsp_S.Commands.CPSP</v>
      </c>
      <c r="B484" s="11">
        <v>7998</v>
      </c>
      <c r="C484" s="11" t="s">
        <v>6</v>
      </c>
      <c r="D484" s="20">
        <v>2</v>
      </c>
    </row>
    <row r="485" spans="1:4">
      <c r="A485" s="21" t="str">
        <f>$R$2&amp;".Commands.CPSP"</f>
        <v>АСУЭ.FB_IMsp_S.Commands.CPSP</v>
      </c>
      <c r="B485" s="8">
        <v>7999</v>
      </c>
      <c r="C485" s="8" t="s">
        <v>0</v>
      </c>
      <c r="D485" s="22" t="str">
        <f>"#"&amp;$T$5&amp;"#"&amp;$T$2&amp;"\"&amp;$P$2&amp;"\CPSP"</f>
        <v>#1#treiOPCDA.CoOPCserv.1\pcmaster\ZRU_OL1\CPSP</v>
      </c>
    </row>
    <row r="486" spans="1:4">
      <c r="A486" s="16" t="str">
        <f>$R$2&amp;".Commands.CPSG"</f>
        <v>АСУЭ.FB_IMsp_S.Commands.CPSG</v>
      </c>
      <c r="B486" s="17">
        <v>101</v>
      </c>
      <c r="C486" s="17" t="s">
        <v>0</v>
      </c>
      <c r="D486" s="18" t="s">
        <v>281</v>
      </c>
    </row>
    <row r="487" spans="1:4">
      <c r="A487" s="19" t="str">
        <f>$R$2&amp;".Commands.CPSG"</f>
        <v>АСУЭ.FB_IMsp_S.Commands.CPSG</v>
      </c>
      <c r="B487" s="11">
        <v>1</v>
      </c>
      <c r="C487" s="11" t="s">
        <v>1</v>
      </c>
      <c r="D487" s="20">
        <v>11</v>
      </c>
    </row>
    <row r="488" spans="1:4">
      <c r="A488" s="19" t="str">
        <f>$R$2&amp;".Commands.CPSG"</f>
        <v>АСУЭ.FB_IMsp_S.Commands.CPSG</v>
      </c>
      <c r="B488" s="11">
        <v>7998</v>
      </c>
      <c r="C488" s="11" t="s">
        <v>6</v>
      </c>
      <c r="D488" s="20">
        <v>2</v>
      </c>
    </row>
    <row r="489" spans="1:4">
      <c r="A489" s="21" t="str">
        <f>$R$2&amp;".Commands.CPSG"</f>
        <v>АСУЭ.FB_IMsp_S.Commands.CPSG</v>
      </c>
      <c r="B489" s="8">
        <v>7999</v>
      </c>
      <c r="C489" s="8" t="s">
        <v>0</v>
      </c>
      <c r="D489" s="22" t="str">
        <f>"#"&amp;$T$5&amp;"#"&amp;$T$2&amp;"\"&amp;$P$2&amp;"\CPSG"</f>
        <v>#1#treiOPCDA.CoOPCserv.1\pcmaster\ZRU_OL1\CPSG</v>
      </c>
    </row>
    <row r="490" spans="1:4">
      <c r="A490" s="16" t="str">
        <f>$R$2&amp;".Commands.CPSV"</f>
        <v>АСУЭ.FB_IMsp_S.Commands.CPSV</v>
      </c>
      <c r="B490" s="17">
        <v>101</v>
      </c>
      <c r="C490" s="17" t="s">
        <v>0</v>
      </c>
      <c r="D490" s="18" t="s">
        <v>282</v>
      </c>
    </row>
    <row r="491" spans="1:4">
      <c r="A491" s="19" t="str">
        <f>$R$2&amp;".Commands.CPSV"</f>
        <v>АСУЭ.FB_IMsp_S.Commands.CPSV</v>
      </c>
      <c r="B491" s="11">
        <v>1</v>
      </c>
      <c r="C491" s="11" t="s">
        <v>1</v>
      </c>
      <c r="D491" s="20">
        <v>11</v>
      </c>
    </row>
    <row r="492" spans="1:4">
      <c r="A492" s="19" t="str">
        <f>$R$2&amp;".Commands.CPSV"</f>
        <v>АСУЭ.FB_IMsp_S.Commands.CPSV</v>
      </c>
      <c r="B492" s="11">
        <v>7998</v>
      </c>
      <c r="C492" s="11" t="s">
        <v>6</v>
      </c>
      <c r="D492" s="20">
        <v>2</v>
      </c>
    </row>
    <row r="493" spans="1:4">
      <c r="A493" s="21" t="str">
        <f>$R$2&amp;".Commands.CPSV"</f>
        <v>АСУЭ.FB_IMsp_S.Commands.CPSV</v>
      </c>
      <c r="B493" s="8">
        <v>7999</v>
      </c>
      <c r="C493" s="8" t="s">
        <v>0</v>
      </c>
      <c r="D493" s="22" t="str">
        <f>"#"&amp;$T$5&amp;"#"&amp;$T$2&amp;"\"&amp;$P$2&amp;"\CPSV"</f>
        <v>#1#treiOPCDA.CoOPCserv.1\pcmaster\ZRU_OL1\CPSV</v>
      </c>
    </row>
    <row r="494" spans="1:4">
      <c r="A494" s="16" t="str">
        <f t="shared" ref="A494:A499" si="40">$R$2&amp;".CPSL"</f>
        <v>АСУЭ.FB_IMsp_S.CPSL</v>
      </c>
      <c r="B494" s="17">
        <v>3</v>
      </c>
      <c r="C494" s="17" t="s">
        <v>1</v>
      </c>
      <c r="D494" s="18">
        <v>192</v>
      </c>
    </row>
    <row r="495" spans="1:4">
      <c r="A495" s="19" t="str">
        <f t="shared" si="40"/>
        <v>АСУЭ.FB_IMsp_S.CPSL</v>
      </c>
      <c r="B495" s="11">
        <v>2</v>
      </c>
      <c r="C495" s="11" t="s">
        <v>2</v>
      </c>
      <c r="D495" s="20" t="s">
        <v>3</v>
      </c>
    </row>
    <row r="496" spans="1:4">
      <c r="A496" s="19" t="str">
        <f t="shared" si="40"/>
        <v>АСУЭ.FB_IMsp_S.CPSL</v>
      </c>
      <c r="B496" s="11">
        <v>1</v>
      </c>
      <c r="C496" s="11" t="s">
        <v>1</v>
      </c>
      <c r="D496" s="20">
        <v>11</v>
      </c>
    </row>
    <row r="497" spans="1:4">
      <c r="A497" s="19" t="str">
        <f t="shared" si="40"/>
        <v>АСУЭ.FB_IMsp_S.CPSL</v>
      </c>
      <c r="B497" s="11">
        <v>101</v>
      </c>
      <c r="C497" s="11" t="s">
        <v>0</v>
      </c>
      <c r="D497" s="20" t="s">
        <v>283</v>
      </c>
    </row>
    <row r="498" spans="1:4">
      <c r="A498" s="19" t="str">
        <f t="shared" si="40"/>
        <v>АСУЭ.FB_IMsp_S.CPSL</v>
      </c>
      <c r="B498" s="11">
        <v>7998</v>
      </c>
      <c r="C498" s="11" t="s">
        <v>6</v>
      </c>
      <c r="D498" s="20">
        <v>1</v>
      </c>
    </row>
    <row r="499" spans="1:4">
      <c r="A499" s="19" t="str">
        <f t="shared" si="40"/>
        <v>АСУЭ.FB_IMsp_S.CPSL</v>
      </c>
      <c r="B499" s="11">
        <v>7999</v>
      </c>
      <c r="C499" s="11" t="s">
        <v>0</v>
      </c>
      <c r="D499" s="20" t="str">
        <f>"#"&amp;$S$2&amp;"#"&amp;$T$2&amp;"\"&amp;$P$2&amp;"\CPSL"</f>
        <v>#1#treiOPCDA.CoOPCserv.1\pcmaster\ZRU_OL1\CPSL</v>
      </c>
    </row>
    <row r="500" spans="1:4">
      <c r="A500" s="16" t="str">
        <f t="shared" ref="A500:A505" si="41">$R$2&amp;".CPSP"</f>
        <v>АСУЭ.FB_IMsp_S.CPSP</v>
      </c>
      <c r="B500" s="17">
        <v>3</v>
      </c>
      <c r="C500" s="17" t="s">
        <v>1</v>
      </c>
      <c r="D500" s="18">
        <v>192</v>
      </c>
    </row>
    <row r="501" spans="1:4">
      <c r="A501" s="19" t="str">
        <f t="shared" si="41"/>
        <v>АСУЭ.FB_IMsp_S.CPSP</v>
      </c>
      <c r="B501" s="11">
        <v>2</v>
      </c>
      <c r="C501" s="11" t="s">
        <v>2</v>
      </c>
      <c r="D501" s="20" t="s">
        <v>3</v>
      </c>
    </row>
    <row r="502" spans="1:4">
      <c r="A502" s="19" t="str">
        <f t="shared" si="41"/>
        <v>АСУЭ.FB_IMsp_S.CPSP</v>
      </c>
      <c r="B502" s="11">
        <v>1</v>
      </c>
      <c r="C502" s="11" t="s">
        <v>1</v>
      </c>
      <c r="D502" s="20">
        <v>11</v>
      </c>
    </row>
    <row r="503" spans="1:4">
      <c r="A503" s="19" t="str">
        <f t="shared" si="41"/>
        <v>АСУЭ.FB_IMsp_S.CPSP</v>
      </c>
      <c r="B503" s="11">
        <v>101</v>
      </c>
      <c r="C503" s="11" t="s">
        <v>0</v>
      </c>
      <c r="D503" s="20" t="s">
        <v>284</v>
      </c>
    </row>
    <row r="504" spans="1:4">
      <c r="A504" s="19" t="str">
        <f t="shared" si="41"/>
        <v>АСУЭ.FB_IMsp_S.CPSP</v>
      </c>
      <c r="B504" s="11">
        <v>7998</v>
      </c>
      <c r="C504" s="11" t="s">
        <v>6</v>
      </c>
      <c r="D504" s="20">
        <v>1</v>
      </c>
    </row>
    <row r="505" spans="1:4">
      <c r="A505" s="19" t="str">
        <f t="shared" si="41"/>
        <v>АСУЭ.FB_IMsp_S.CPSP</v>
      </c>
      <c r="B505" s="11">
        <v>7999</v>
      </c>
      <c r="C505" s="11" t="s">
        <v>0</v>
      </c>
      <c r="D505" s="20" t="str">
        <f>"#"&amp;$S$2&amp;"#"&amp;$T$2&amp;"\"&amp;$P$2&amp;"\CPSP"</f>
        <v>#1#treiOPCDA.CoOPCserv.1\pcmaster\ZRU_OL1\CPSP</v>
      </c>
    </row>
    <row r="506" spans="1:4">
      <c r="A506" s="16" t="str">
        <f t="shared" ref="A506:A511" si="42">$R$2&amp;".CPSG"</f>
        <v>АСУЭ.FB_IMsp_S.CPSG</v>
      </c>
      <c r="B506" s="17">
        <v>3</v>
      </c>
      <c r="C506" s="17" t="s">
        <v>1</v>
      </c>
      <c r="D506" s="18">
        <v>192</v>
      </c>
    </row>
    <row r="507" spans="1:4">
      <c r="A507" s="19" t="str">
        <f t="shared" si="42"/>
        <v>АСУЭ.FB_IMsp_S.CPSG</v>
      </c>
      <c r="B507" s="11">
        <v>2</v>
      </c>
      <c r="C507" s="11" t="s">
        <v>2</v>
      </c>
      <c r="D507" s="20" t="s">
        <v>3</v>
      </c>
    </row>
    <row r="508" spans="1:4">
      <c r="A508" s="19" t="str">
        <f t="shared" si="42"/>
        <v>АСУЭ.FB_IMsp_S.CPSG</v>
      </c>
      <c r="B508" s="11">
        <v>1</v>
      </c>
      <c r="C508" s="11" t="s">
        <v>1</v>
      </c>
      <c r="D508" s="20">
        <v>11</v>
      </c>
    </row>
    <row r="509" spans="1:4">
      <c r="A509" s="19" t="str">
        <f t="shared" si="42"/>
        <v>АСУЭ.FB_IMsp_S.CPSG</v>
      </c>
      <c r="B509" s="11">
        <v>101</v>
      </c>
      <c r="C509" s="11" t="s">
        <v>0</v>
      </c>
      <c r="D509" s="20" t="s">
        <v>285</v>
      </c>
    </row>
    <row r="510" spans="1:4">
      <c r="A510" s="19" t="str">
        <f t="shared" si="42"/>
        <v>АСУЭ.FB_IMsp_S.CPSG</v>
      </c>
      <c r="B510" s="11">
        <v>7998</v>
      </c>
      <c r="C510" s="11" t="s">
        <v>6</v>
      </c>
      <c r="D510" s="20">
        <v>1</v>
      </c>
    </row>
    <row r="511" spans="1:4">
      <c r="A511" s="19" t="str">
        <f t="shared" si="42"/>
        <v>АСУЭ.FB_IMsp_S.CPSG</v>
      </c>
      <c r="B511" s="11">
        <v>7999</v>
      </c>
      <c r="C511" s="11" t="s">
        <v>0</v>
      </c>
      <c r="D511" s="20" t="str">
        <f>"#"&amp;$S$2&amp;"#"&amp;$T$2&amp;"\"&amp;$P$2&amp;"\CPSG"</f>
        <v>#1#treiOPCDA.CoOPCserv.1\pcmaster\ZRU_OL1\CPSG</v>
      </c>
    </row>
    <row r="512" spans="1:4">
      <c r="A512" s="16" t="str">
        <f t="shared" ref="A512:A517" si="43">$R$2&amp;".CPSV"</f>
        <v>АСУЭ.FB_IMsp_S.CPSV</v>
      </c>
      <c r="B512" s="17">
        <v>3</v>
      </c>
      <c r="C512" s="17" t="s">
        <v>1</v>
      </c>
      <c r="D512" s="18">
        <v>192</v>
      </c>
    </row>
    <row r="513" spans="1:4">
      <c r="A513" s="19" t="str">
        <f t="shared" si="43"/>
        <v>АСУЭ.FB_IMsp_S.CPSV</v>
      </c>
      <c r="B513" s="11">
        <v>2</v>
      </c>
      <c r="C513" s="11" t="s">
        <v>2</v>
      </c>
      <c r="D513" s="20" t="s">
        <v>3</v>
      </c>
    </row>
    <row r="514" spans="1:4">
      <c r="A514" s="19" t="str">
        <f t="shared" si="43"/>
        <v>АСУЭ.FB_IMsp_S.CPSV</v>
      </c>
      <c r="B514" s="11">
        <v>1</v>
      </c>
      <c r="C514" s="11" t="s">
        <v>1</v>
      </c>
      <c r="D514" s="20">
        <v>11</v>
      </c>
    </row>
    <row r="515" spans="1:4">
      <c r="A515" s="19" t="str">
        <f t="shared" si="43"/>
        <v>АСУЭ.FB_IMsp_S.CPSV</v>
      </c>
      <c r="B515" s="11">
        <v>101</v>
      </c>
      <c r="C515" s="11" t="s">
        <v>0</v>
      </c>
      <c r="D515" s="20" t="s">
        <v>286</v>
      </c>
    </row>
    <row r="516" spans="1:4">
      <c r="A516" s="19" t="str">
        <f t="shared" si="43"/>
        <v>АСУЭ.FB_IMsp_S.CPSV</v>
      </c>
      <c r="B516" s="11">
        <v>7998</v>
      </c>
      <c r="C516" s="11" t="s">
        <v>6</v>
      </c>
      <c r="D516" s="20">
        <v>1</v>
      </c>
    </row>
    <row r="517" spans="1:4">
      <c r="A517" s="19" t="str">
        <f t="shared" si="43"/>
        <v>АСУЭ.FB_IMsp_S.CPSV</v>
      </c>
      <c r="B517" s="11">
        <v>7999</v>
      </c>
      <c r="C517" s="11" t="s">
        <v>0</v>
      </c>
      <c r="D517" s="20" t="str">
        <f>"#"&amp;$S$2&amp;"#"&amp;$T$2&amp;"\"&amp;$P$2&amp;"\CPSV"</f>
        <v>#1#treiOPCDA.CoOPCserv.1\pcmaster\ZRU_OL1\CPSV</v>
      </c>
    </row>
    <row r="518" spans="1:4">
      <c r="A518" s="19" t="str">
        <f t="shared" ref="A518:A523" si="44">$R$2&amp;".IONX"</f>
        <v>АСУЭ.FB_IMsp_S.IONX</v>
      </c>
      <c r="B518" s="11">
        <v>7999</v>
      </c>
      <c r="C518" s="11" t="s">
        <v>0</v>
      </c>
      <c r="D518" s="20" t="str">
        <f>"#"&amp;$S$2&amp;"#"&amp;$T$2&amp;"\"&amp;$P$2&amp;"\IONX"</f>
        <v>#1#treiOPCDA.CoOPCserv.1\pcmaster\ZRU_OL1\IONX</v>
      </c>
    </row>
    <row r="519" spans="1:4">
      <c r="A519" s="19" t="str">
        <f t="shared" si="44"/>
        <v>АСУЭ.FB_IMsp_S.IONX</v>
      </c>
      <c r="B519" s="11">
        <v>7998</v>
      </c>
      <c r="C519" s="11" t="s">
        <v>6</v>
      </c>
      <c r="D519" s="20">
        <v>1</v>
      </c>
    </row>
    <row r="520" spans="1:4">
      <c r="A520" s="19" t="str">
        <f t="shared" si="44"/>
        <v>АСУЭ.FB_IMsp_S.IONX</v>
      </c>
      <c r="B520" s="11">
        <v>3</v>
      </c>
      <c r="C520" s="11" t="s">
        <v>1</v>
      </c>
      <c r="D520" s="20">
        <v>192</v>
      </c>
    </row>
    <row r="521" spans="1:4">
      <c r="A521" s="19" t="str">
        <f t="shared" si="44"/>
        <v>АСУЭ.FB_IMsp_S.IONX</v>
      </c>
      <c r="B521" s="11">
        <v>2</v>
      </c>
      <c r="C521" s="11" t="s">
        <v>2</v>
      </c>
      <c r="D521" s="20" t="s">
        <v>3</v>
      </c>
    </row>
    <row r="522" spans="1:4">
      <c r="A522" s="19" t="str">
        <f t="shared" si="44"/>
        <v>АСУЭ.FB_IMsp_S.IONX</v>
      </c>
      <c r="B522" s="11">
        <v>1</v>
      </c>
      <c r="C522" s="11" t="s">
        <v>1</v>
      </c>
      <c r="D522" s="20">
        <v>11</v>
      </c>
    </row>
    <row r="523" spans="1:4">
      <c r="A523" s="21" t="str">
        <f t="shared" si="44"/>
        <v>АСУЭ.FB_IMsp_S.IONX</v>
      </c>
      <c r="B523" s="8">
        <v>101</v>
      </c>
      <c r="C523" s="8" t="s">
        <v>0</v>
      </c>
      <c r="D523" s="22" t="s">
        <v>92</v>
      </c>
    </row>
    <row r="524" spans="1:4">
      <c r="A524" s="16" t="str">
        <f t="shared" ref="A524:A529" si="45">$R$2&amp;".IOFX"</f>
        <v>АСУЭ.FB_IMsp_S.IOFX</v>
      </c>
      <c r="B524" s="17">
        <v>3</v>
      </c>
      <c r="C524" s="17" t="s">
        <v>1</v>
      </c>
      <c r="D524" s="18">
        <v>192</v>
      </c>
    </row>
    <row r="525" spans="1:4">
      <c r="A525" s="19" t="str">
        <f t="shared" si="45"/>
        <v>АСУЭ.FB_IMsp_S.IOFX</v>
      </c>
      <c r="B525" s="11">
        <v>2</v>
      </c>
      <c r="C525" s="11" t="s">
        <v>2</v>
      </c>
      <c r="D525" s="20" t="s">
        <v>3</v>
      </c>
    </row>
    <row r="526" spans="1:4">
      <c r="A526" s="19" t="str">
        <f t="shared" si="45"/>
        <v>АСУЭ.FB_IMsp_S.IOFX</v>
      </c>
      <c r="B526" s="11">
        <v>1</v>
      </c>
      <c r="C526" s="11" t="s">
        <v>1</v>
      </c>
      <c r="D526" s="20">
        <v>11</v>
      </c>
    </row>
    <row r="527" spans="1:4">
      <c r="A527" s="19" t="str">
        <f t="shared" si="45"/>
        <v>АСУЭ.FB_IMsp_S.IOFX</v>
      </c>
      <c r="B527" s="11">
        <v>101</v>
      </c>
      <c r="C527" s="11" t="s">
        <v>0</v>
      </c>
      <c r="D527" s="20" t="s">
        <v>107</v>
      </c>
    </row>
    <row r="528" spans="1:4">
      <c r="A528" s="19" t="str">
        <f t="shared" si="45"/>
        <v>АСУЭ.FB_IMsp_S.IOFX</v>
      </c>
      <c r="B528" s="11">
        <v>7998</v>
      </c>
      <c r="C528" s="11" t="s">
        <v>6</v>
      </c>
      <c r="D528" s="20">
        <v>1</v>
      </c>
    </row>
    <row r="529" spans="1:4">
      <c r="A529" s="21" t="str">
        <f t="shared" si="45"/>
        <v>АСУЭ.FB_IMsp_S.IOFX</v>
      </c>
      <c r="B529" s="8">
        <v>7999</v>
      </c>
      <c r="C529" s="8" t="s">
        <v>0</v>
      </c>
      <c r="D529" s="22" t="str">
        <f>"#"&amp;$S$2&amp;"#"&amp;$T$2&amp;"\"&amp;$P$2&amp;"\IOFX"</f>
        <v>#1#treiOPCDA.CoOPCserv.1\pcmaster\ZRU_OL1\IOFX</v>
      </c>
    </row>
    <row r="530" spans="1:4">
      <c r="A530" s="16" t="str">
        <f t="shared" ref="A530:A535" si="46">$R$2&amp;".IRCX"</f>
        <v>АСУЭ.FB_IMsp_S.IRCX</v>
      </c>
      <c r="B530" s="17">
        <v>3</v>
      </c>
      <c r="C530" s="17" t="s">
        <v>1</v>
      </c>
      <c r="D530" s="18">
        <v>192</v>
      </c>
    </row>
    <row r="531" spans="1:4">
      <c r="A531" s="19" t="str">
        <f t="shared" si="46"/>
        <v>АСУЭ.FB_IMsp_S.IRCX</v>
      </c>
      <c r="B531" s="11">
        <v>2</v>
      </c>
      <c r="C531" s="11" t="s">
        <v>2</v>
      </c>
      <c r="D531" s="20" t="s">
        <v>3</v>
      </c>
    </row>
    <row r="532" spans="1:4">
      <c r="A532" s="19" t="str">
        <f t="shared" si="46"/>
        <v>АСУЭ.FB_IMsp_S.IRCX</v>
      </c>
      <c r="B532" s="11">
        <v>1</v>
      </c>
      <c r="C532" s="11" t="s">
        <v>1</v>
      </c>
      <c r="D532" s="20">
        <v>11</v>
      </c>
    </row>
    <row r="533" spans="1:4">
      <c r="A533" s="19" t="str">
        <f t="shared" si="46"/>
        <v>АСУЭ.FB_IMsp_S.IRCX</v>
      </c>
      <c r="B533" s="11">
        <v>101</v>
      </c>
      <c r="C533" s="11" t="s">
        <v>0</v>
      </c>
      <c r="D533" s="20" t="s">
        <v>576</v>
      </c>
    </row>
    <row r="534" spans="1:4">
      <c r="A534" s="19" t="str">
        <f t="shared" si="46"/>
        <v>АСУЭ.FB_IMsp_S.IRCX</v>
      </c>
      <c r="B534" s="11">
        <v>7998</v>
      </c>
      <c r="C534" s="11" t="s">
        <v>6</v>
      </c>
      <c r="D534" s="20">
        <v>1</v>
      </c>
    </row>
    <row r="535" spans="1:4">
      <c r="A535" s="21" t="str">
        <f t="shared" si="46"/>
        <v>АСУЭ.FB_IMsp_S.IRCX</v>
      </c>
      <c r="B535" s="8">
        <v>7999</v>
      </c>
      <c r="C535" s="8" t="s">
        <v>0</v>
      </c>
      <c r="D535" s="22" t="str">
        <f>"#"&amp;$S$2&amp;"#"&amp;$T$2&amp;"\"&amp;$P$2&amp;"\IRCX"</f>
        <v>#1#treiOPCDA.CoOPCserv.1\pcmaster\ZRU_OL1\IRCX</v>
      </c>
    </row>
    <row r="536" spans="1:4">
      <c r="A536" s="16" t="str">
        <f t="shared" ref="A536:A541" si="47">$R$2&amp;".IPTO"</f>
        <v>АСУЭ.FB_IMsp_S.IPTO</v>
      </c>
      <c r="B536" s="17">
        <v>3</v>
      </c>
      <c r="C536" s="17" t="s">
        <v>1</v>
      </c>
      <c r="D536" s="18">
        <v>192</v>
      </c>
    </row>
    <row r="537" spans="1:4">
      <c r="A537" s="19" t="str">
        <f t="shared" si="47"/>
        <v>АСУЭ.FB_IMsp_S.IPTO</v>
      </c>
      <c r="B537" s="11">
        <v>2</v>
      </c>
      <c r="C537" s="11" t="s">
        <v>2</v>
      </c>
      <c r="D537" s="20" t="s">
        <v>3</v>
      </c>
    </row>
    <row r="538" spans="1:4">
      <c r="A538" s="19" t="str">
        <f t="shared" si="47"/>
        <v>АСУЭ.FB_IMsp_S.IPTO</v>
      </c>
      <c r="B538" s="11">
        <v>1</v>
      </c>
      <c r="C538" s="11" t="s">
        <v>1</v>
      </c>
      <c r="D538" s="20">
        <v>11</v>
      </c>
    </row>
    <row r="539" spans="1:4">
      <c r="A539" s="19" t="str">
        <f t="shared" si="47"/>
        <v>АСУЭ.FB_IMsp_S.IPTO</v>
      </c>
      <c r="B539" s="11">
        <v>101</v>
      </c>
      <c r="C539" s="11" t="s">
        <v>0</v>
      </c>
      <c r="D539" s="20" t="s">
        <v>108</v>
      </c>
    </row>
    <row r="540" spans="1:4">
      <c r="A540" s="19" t="str">
        <f t="shared" si="47"/>
        <v>АСУЭ.FB_IMsp_S.IPTO</v>
      </c>
      <c r="B540" s="11">
        <v>7998</v>
      </c>
      <c r="C540" s="11" t="s">
        <v>6</v>
      </c>
      <c r="D540" s="20">
        <v>1</v>
      </c>
    </row>
    <row r="541" spans="1:4">
      <c r="A541" s="21" t="str">
        <f t="shared" si="47"/>
        <v>АСУЭ.FB_IMsp_S.IPTO</v>
      </c>
      <c r="B541" s="8">
        <v>7999</v>
      </c>
      <c r="C541" s="8" t="s">
        <v>0</v>
      </c>
      <c r="D541" s="22" t="str">
        <f>"#"&amp;$S$2&amp;"#"&amp;$T$2&amp;"\"&amp;$P$2&amp;"\IPTO"</f>
        <v>#1#treiOPCDA.CoOPCserv.1\pcmaster\ZRU_OL1\IPTO</v>
      </c>
    </row>
    <row r="542" spans="1:4">
      <c r="A542" s="16" t="str">
        <f t="shared" ref="A542:A547" si="48">$R$2&amp;".IPTC"</f>
        <v>АСУЭ.FB_IMsp_S.IPTC</v>
      </c>
      <c r="B542" s="17">
        <v>3</v>
      </c>
      <c r="C542" s="17" t="s">
        <v>1</v>
      </c>
      <c r="D542" s="18">
        <v>192</v>
      </c>
    </row>
    <row r="543" spans="1:4">
      <c r="A543" s="19" t="str">
        <f t="shared" si="48"/>
        <v>АСУЭ.FB_IMsp_S.IPTC</v>
      </c>
      <c r="B543" s="11">
        <v>2</v>
      </c>
      <c r="C543" s="11" t="s">
        <v>2</v>
      </c>
      <c r="D543" s="20" t="s">
        <v>3</v>
      </c>
    </row>
    <row r="544" spans="1:4">
      <c r="A544" s="19" t="str">
        <f t="shared" si="48"/>
        <v>АСУЭ.FB_IMsp_S.IPTC</v>
      </c>
      <c r="B544" s="11">
        <v>1</v>
      </c>
      <c r="C544" s="11" t="s">
        <v>1</v>
      </c>
      <c r="D544" s="20">
        <v>11</v>
      </c>
    </row>
    <row r="545" spans="1:4">
      <c r="A545" s="19" t="str">
        <f t="shared" si="48"/>
        <v>АСУЭ.FB_IMsp_S.IPTC</v>
      </c>
      <c r="B545" s="11">
        <v>101</v>
      </c>
      <c r="C545" s="11" t="s">
        <v>0</v>
      </c>
      <c r="D545" s="20" t="s">
        <v>109</v>
      </c>
    </row>
    <row r="546" spans="1:4">
      <c r="A546" s="19" t="str">
        <f t="shared" si="48"/>
        <v>АСУЭ.FB_IMsp_S.IPTC</v>
      </c>
      <c r="B546" s="11">
        <v>7998</v>
      </c>
      <c r="C546" s="11" t="s">
        <v>6</v>
      </c>
      <c r="D546" s="20">
        <v>1</v>
      </c>
    </row>
    <row r="547" spans="1:4">
      <c r="A547" s="21" t="str">
        <f t="shared" si="48"/>
        <v>АСУЭ.FB_IMsp_S.IPTC</v>
      </c>
      <c r="B547" s="8">
        <v>7999</v>
      </c>
      <c r="C547" s="8" t="s">
        <v>0</v>
      </c>
      <c r="D547" s="22" t="str">
        <f>"#"&amp;$S$2&amp;"#"&amp;$T$2&amp;"\"&amp;$P$2&amp;"\IPTC"</f>
        <v>#1#treiOPCDA.CoOPCserv.1\pcmaster\ZRU_OL1\IPTC</v>
      </c>
    </row>
    <row r="548" spans="1:4">
      <c r="A548" s="16" t="str">
        <f t="shared" ref="A548:A553" si="49">$R$2&amp;".CPMM"</f>
        <v>АСУЭ.FB_IMsp_S.CPMM</v>
      </c>
      <c r="B548" s="17">
        <v>3</v>
      </c>
      <c r="C548" s="17" t="s">
        <v>1</v>
      </c>
      <c r="D548" s="18">
        <v>192</v>
      </c>
    </row>
    <row r="549" spans="1:4">
      <c r="A549" s="19" t="str">
        <f t="shared" si="49"/>
        <v>АСУЭ.FB_IMsp_S.CPMM</v>
      </c>
      <c r="B549" s="11">
        <v>2</v>
      </c>
      <c r="C549" s="11" t="s">
        <v>2</v>
      </c>
      <c r="D549" s="20" t="s">
        <v>266</v>
      </c>
    </row>
    <row r="550" spans="1:4">
      <c r="A550" s="19" t="str">
        <f t="shared" si="49"/>
        <v>АСУЭ.FB_IMsp_S.CPMM</v>
      </c>
      <c r="B550" s="11">
        <v>1</v>
      </c>
      <c r="C550" s="11" t="s">
        <v>1</v>
      </c>
      <c r="D550" s="20">
        <v>11</v>
      </c>
    </row>
    <row r="551" spans="1:4">
      <c r="A551" s="19" t="str">
        <f t="shared" si="49"/>
        <v>АСУЭ.FB_IMsp_S.CPMM</v>
      </c>
      <c r="B551" s="11">
        <v>7998</v>
      </c>
      <c r="C551" s="11" t="s">
        <v>6</v>
      </c>
      <c r="D551" s="20">
        <v>1</v>
      </c>
    </row>
    <row r="552" spans="1:4">
      <c r="A552" s="19" t="str">
        <f t="shared" si="49"/>
        <v>АСУЭ.FB_IMsp_S.CPMM</v>
      </c>
      <c r="B552" s="11">
        <v>7999</v>
      </c>
      <c r="C552" s="11" t="s">
        <v>0</v>
      </c>
      <c r="D552" s="20" t="str">
        <f>"#"&amp;$S$2&amp;"#"&amp;$T$2&amp;"\"&amp;$P$2&amp;"\CPMM"</f>
        <v>#1#treiOPCDA.CoOPCserv.1\pcmaster\ZRU_OL1\CPMM</v>
      </c>
    </row>
    <row r="553" spans="1:4">
      <c r="A553" s="21" t="str">
        <f t="shared" si="49"/>
        <v>АСУЭ.FB_IMsp_S.CPMM</v>
      </c>
      <c r="B553" s="8">
        <v>101</v>
      </c>
      <c r="C553" s="8" t="s">
        <v>0</v>
      </c>
      <c r="D553" s="22" t="s">
        <v>115</v>
      </c>
    </row>
    <row r="554" spans="1:4">
      <c r="A554" s="16" t="str">
        <f t="shared" ref="A554:A559" si="50">$R$2&amp;".OXON"</f>
        <v>АСУЭ.FB_IMsp_S.OXON</v>
      </c>
      <c r="B554" s="17">
        <v>101</v>
      </c>
      <c r="C554" s="17" t="s">
        <v>0</v>
      </c>
      <c r="D554" s="18" t="s">
        <v>131</v>
      </c>
    </row>
    <row r="555" spans="1:4">
      <c r="A555" s="19" t="str">
        <f t="shared" si="50"/>
        <v>АСУЭ.FB_IMsp_S.OXON</v>
      </c>
      <c r="B555" s="11">
        <v>1</v>
      </c>
      <c r="C555" s="11" t="s">
        <v>1</v>
      </c>
      <c r="D555" s="20">
        <v>11</v>
      </c>
    </row>
    <row r="556" spans="1:4">
      <c r="A556" s="19" t="str">
        <f t="shared" si="50"/>
        <v>АСУЭ.FB_IMsp_S.OXON</v>
      </c>
      <c r="B556" s="11">
        <v>2</v>
      </c>
      <c r="C556" s="11" t="s">
        <v>2</v>
      </c>
      <c r="D556" s="20" t="s">
        <v>3</v>
      </c>
    </row>
    <row r="557" spans="1:4">
      <c r="A557" s="19" t="str">
        <f t="shared" si="50"/>
        <v>АСУЭ.FB_IMsp_S.OXON</v>
      </c>
      <c r="B557" s="11">
        <v>3</v>
      </c>
      <c r="C557" s="11" t="s">
        <v>1</v>
      </c>
      <c r="D557" s="20">
        <v>192</v>
      </c>
    </row>
    <row r="558" spans="1:4">
      <c r="A558" s="19" t="str">
        <f t="shared" si="50"/>
        <v>АСУЭ.FB_IMsp_S.OXON</v>
      </c>
      <c r="B558" s="11">
        <v>7998</v>
      </c>
      <c r="C558" s="11" t="s">
        <v>6</v>
      </c>
      <c r="D558" s="20">
        <v>1</v>
      </c>
    </row>
    <row r="559" spans="1:4">
      <c r="A559" s="21" t="str">
        <f t="shared" si="50"/>
        <v>АСУЭ.FB_IMsp_S.OXON</v>
      </c>
      <c r="B559" s="8">
        <v>7999</v>
      </c>
      <c r="C559" s="8" t="s">
        <v>0</v>
      </c>
      <c r="D559" s="22" t="str">
        <f>"#"&amp;$S$2&amp;"#"&amp;$T$2&amp;"\"&amp;$P$2&amp;"\OXON"</f>
        <v>#1#treiOPCDA.CoOPCserv.1\pcmaster\ZRU_OL1\OXON</v>
      </c>
    </row>
    <row r="560" spans="1:4">
      <c r="A560" s="16" t="str">
        <f t="shared" ref="A560:A565" si="51">$R$2&amp;".OXOF"</f>
        <v>АСУЭ.FB_IMsp_S.OXOF</v>
      </c>
      <c r="B560" s="17">
        <v>101</v>
      </c>
      <c r="C560" s="17" t="s">
        <v>0</v>
      </c>
      <c r="D560" s="18" t="s">
        <v>132</v>
      </c>
    </row>
    <row r="561" spans="1:4">
      <c r="A561" s="19" t="str">
        <f t="shared" si="51"/>
        <v>АСУЭ.FB_IMsp_S.OXOF</v>
      </c>
      <c r="B561" s="11">
        <v>1</v>
      </c>
      <c r="C561" s="11" t="s">
        <v>1</v>
      </c>
      <c r="D561" s="20">
        <v>11</v>
      </c>
    </row>
    <row r="562" spans="1:4">
      <c r="A562" s="19" t="str">
        <f t="shared" si="51"/>
        <v>АСУЭ.FB_IMsp_S.OXOF</v>
      </c>
      <c r="B562" s="11">
        <v>2</v>
      </c>
      <c r="C562" s="11" t="s">
        <v>2</v>
      </c>
      <c r="D562" s="20" t="s">
        <v>3</v>
      </c>
    </row>
    <row r="563" spans="1:4">
      <c r="A563" s="19" t="str">
        <f t="shared" si="51"/>
        <v>АСУЭ.FB_IMsp_S.OXOF</v>
      </c>
      <c r="B563" s="11">
        <v>3</v>
      </c>
      <c r="C563" s="11" t="s">
        <v>1</v>
      </c>
      <c r="D563" s="20">
        <v>192</v>
      </c>
    </row>
    <row r="564" spans="1:4">
      <c r="A564" s="19" t="str">
        <f t="shared" si="51"/>
        <v>АСУЭ.FB_IMsp_S.OXOF</v>
      </c>
      <c r="B564" s="11">
        <v>7998</v>
      </c>
      <c r="C564" s="11" t="s">
        <v>6</v>
      </c>
      <c r="D564" s="20">
        <v>1</v>
      </c>
    </row>
    <row r="565" spans="1:4">
      <c r="A565" s="21" t="str">
        <f t="shared" si="51"/>
        <v>АСУЭ.FB_IMsp_S.OXOF</v>
      </c>
      <c r="B565" s="8">
        <v>7999</v>
      </c>
      <c r="C565" s="8" t="s">
        <v>0</v>
      </c>
      <c r="D565" s="22" t="str">
        <f>"#"&amp;$S$2&amp;"#"&amp;$T$2&amp;"\"&amp;$P$2&amp;"\OXOF"</f>
        <v>#1#treiOPCDA.CoOPCserv.1\pcmaster\ZRU_OL1\OXOF</v>
      </c>
    </row>
    <row r="566" spans="1:4">
      <c r="A566" s="16" t="str">
        <f t="shared" ref="A566:A571" si="52">$R$2&amp;".OXSP"</f>
        <v>АСУЭ.FB_IMsp_S.OXSP</v>
      </c>
      <c r="B566" s="17">
        <v>3</v>
      </c>
      <c r="C566" s="17" t="s">
        <v>1</v>
      </c>
      <c r="D566" s="18">
        <v>192</v>
      </c>
    </row>
    <row r="567" spans="1:4">
      <c r="A567" s="19" t="str">
        <f t="shared" si="52"/>
        <v>АСУЭ.FB_IMsp_S.OXSP</v>
      </c>
      <c r="B567" s="11">
        <v>2</v>
      </c>
      <c r="C567" s="11" t="s">
        <v>2</v>
      </c>
      <c r="D567" s="20" t="s">
        <v>3</v>
      </c>
    </row>
    <row r="568" spans="1:4">
      <c r="A568" s="19" t="str">
        <f t="shared" si="52"/>
        <v>АСУЭ.FB_IMsp_S.OXSP</v>
      </c>
      <c r="B568" s="11">
        <v>1</v>
      </c>
      <c r="C568" s="11" t="s">
        <v>1</v>
      </c>
      <c r="D568" s="20">
        <v>11</v>
      </c>
    </row>
    <row r="569" spans="1:4">
      <c r="A569" s="19" t="str">
        <f t="shared" si="52"/>
        <v>АСУЭ.FB_IMsp_S.OXSP</v>
      </c>
      <c r="B569" s="11">
        <v>101</v>
      </c>
      <c r="C569" s="11" t="s">
        <v>0</v>
      </c>
      <c r="D569" s="20" t="s">
        <v>133</v>
      </c>
    </row>
    <row r="570" spans="1:4">
      <c r="A570" s="19" t="str">
        <f t="shared" si="52"/>
        <v>АСУЭ.FB_IMsp_S.OXSP</v>
      </c>
      <c r="B570" s="11">
        <v>7998</v>
      </c>
      <c r="C570" s="11" t="s">
        <v>6</v>
      </c>
      <c r="D570" s="20">
        <v>1</v>
      </c>
    </row>
    <row r="571" spans="1:4">
      <c r="A571" s="21" t="str">
        <f t="shared" si="52"/>
        <v>АСУЭ.FB_IMsp_S.OXSP</v>
      </c>
      <c r="B571" s="8">
        <v>7999</v>
      </c>
      <c r="C571" s="8" t="s">
        <v>0</v>
      </c>
      <c r="D571" s="22" t="str">
        <f>"#"&amp;$S$2&amp;"#"&amp;$T$2&amp;"\"&amp;$P$2&amp;"\OXSP"</f>
        <v>#1#treiOPCDA.CoOPCserv.1\pcmaster\ZRU_OL1\OXSP</v>
      </c>
    </row>
    <row r="572" spans="1:4">
      <c r="A572" s="16" t="str">
        <f t="shared" ref="A572:A577" si="53">$R$2&amp;".OCON"</f>
        <v>АСУЭ.FB_IMsp_S.OCON</v>
      </c>
      <c r="B572" s="17">
        <v>101</v>
      </c>
      <c r="C572" s="17" t="s">
        <v>0</v>
      </c>
      <c r="D572" s="18" t="s">
        <v>138</v>
      </c>
    </row>
    <row r="573" spans="1:4">
      <c r="A573" s="19" t="str">
        <f t="shared" si="53"/>
        <v>АСУЭ.FB_IMsp_S.OCON</v>
      </c>
      <c r="B573" s="11">
        <v>1</v>
      </c>
      <c r="C573" s="11" t="s">
        <v>1</v>
      </c>
      <c r="D573" s="20">
        <v>11</v>
      </c>
    </row>
    <row r="574" spans="1:4">
      <c r="A574" s="19" t="str">
        <f t="shared" si="53"/>
        <v>АСУЭ.FB_IMsp_S.OCON</v>
      </c>
      <c r="B574" s="11">
        <v>2</v>
      </c>
      <c r="C574" s="11" t="s">
        <v>2</v>
      </c>
      <c r="D574" s="20" t="s">
        <v>3</v>
      </c>
    </row>
    <row r="575" spans="1:4">
      <c r="A575" s="19" t="str">
        <f t="shared" si="53"/>
        <v>АСУЭ.FB_IMsp_S.OCON</v>
      </c>
      <c r="B575" s="11">
        <v>3</v>
      </c>
      <c r="C575" s="11" t="s">
        <v>1</v>
      </c>
      <c r="D575" s="20">
        <v>192</v>
      </c>
    </row>
    <row r="576" spans="1:4">
      <c r="A576" s="19" t="str">
        <f t="shared" si="53"/>
        <v>АСУЭ.FB_IMsp_S.OCON</v>
      </c>
      <c r="B576" s="11">
        <v>7998</v>
      </c>
      <c r="C576" s="11" t="s">
        <v>6</v>
      </c>
      <c r="D576" s="20">
        <v>1</v>
      </c>
    </row>
    <row r="577" spans="1:4">
      <c r="A577" s="21" t="str">
        <f t="shared" si="53"/>
        <v>АСУЭ.FB_IMsp_S.OCON</v>
      </c>
      <c r="B577" s="8">
        <v>7999</v>
      </c>
      <c r="C577" s="8" t="s">
        <v>0</v>
      </c>
      <c r="D577" s="22" t="str">
        <f>"#"&amp;$S$2&amp;"#"&amp;$T$2&amp;"\"&amp;$P$2&amp;"\OCON"</f>
        <v>#1#treiOPCDA.CoOPCserv.1\pcmaster\ZRU_OL1\OCON</v>
      </c>
    </row>
    <row r="578" spans="1:4">
      <c r="A578" s="16" t="str">
        <f t="shared" ref="A578:A583" si="54">$R$2&amp;".FXXX"</f>
        <v>АСУЭ.FB_IMsp_S.FXXX</v>
      </c>
      <c r="B578" s="17">
        <v>3</v>
      </c>
      <c r="C578" s="17" t="s">
        <v>1</v>
      </c>
      <c r="D578" s="18">
        <v>192</v>
      </c>
    </row>
    <row r="579" spans="1:4">
      <c r="A579" s="19" t="str">
        <f t="shared" si="54"/>
        <v>АСУЭ.FB_IMsp_S.FXXX</v>
      </c>
      <c r="B579" s="11">
        <v>2</v>
      </c>
      <c r="C579" s="11" t="s">
        <v>2</v>
      </c>
      <c r="D579" s="20" t="s">
        <v>3</v>
      </c>
    </row>
    <row r="580" spans="1:4">
      <c r="A580" s="19" t="str">
        <f t="shared" si="54"/>
        <v>АСУЭ.FB_IMsp_S.FXXX</v>
      </c>
      <c r="B580" s="11">
        <v>1</v>
      </c>
      <c r="C580" s="11" t="s">
        <v>1</v>
      </c>
      <c r="D580" s="20">
        <v>11</v>
      </c>
    </row>
    <row r="581" spans="1:4">
      <c r="A581" s="19" t="str">
        <f t="shared" si="54"/>
        <v>АСУЭ.FB_IMsp_S.FXXX</v>
      </c>
      <c r="B581" s="11">
        <v>101</v>
      </c>
      <c r="C581" s="11" t="s">
        <v>0</v>
      </c>
      <c r="D581" s="20" t="s">
        <v>139</v>
      </c>
    </row>
    <row r="582" spans="1:4">
      <c r="A582" s="19" t="str">
        <f t="shared" si="54"/>
        <v>АСУЭ.FB_IMsp_S.FXXX</v>
      </c>
      <c r="B582" s="11">
        <v>7998</v>
      </c>
      <c r="C582" s="11" t="s">
        <v>6</v>
      </c>
      <c r="D582" s="20">
        <v>1</v>
      </c>
    </row>
    <row r="583" spans="1:4">
      <c r="A583" s="21" t="str">
        <f t="shared" si="54"/>
        <v>АСУЭ.FB_IMsp_S.FXXX</v>
      </c>
      <c r="B583" s="8">
        <v>7999</v>
      </c>
      <c r="C583" s="8" t="s">
        <v>0</v>
      </c>
      <c r="D583" s="22" t="str">
        <f>"#"&amp;$S$2&amp;"#"&amp;$T$2&amp;"\"&amp;$P$2&amp;"\FXXX"</f>
        <v>#1#treiOPCDA.CoOPCserv.1\pcmaster\ZRU_OL1\FXXX</v>
      </c>
    </row>
    <row r="584" spans="1:4">
      <c r="A584" s="16" t="str">
        <f t="shared" ref="A584:A589" si="55">$R$2&amp;".OCOF"</f>
        <v>АСУЭ.FB_IMsp_S.OCOF</v>
      </c>
      <c r="B584" s="17">
        <v>101</v>
      </c>
      <c r="C584" s="17" t="s">
        <v>0</v>
      </c>
      <c r="D584" s="18" t="s">
        <v>145</v>
      </c>
    </row>
    <row r="585" spans="1:4">
      <c r="A585" s="19" t="str">
        <f t="shared" si="55"/>
        <v>АСУЭ.FB_IMsp_S.OCOF</v>
      </c>
      <c r="B585" s="11">
        <v>1</v>
      </c>
      <c r="C585" s="11" t="s">
        <v>1</v>
      </c>
      <c r="D585" s="20">
        <v>11</v>
      </c>
    </row>
    <row r="586" spans="1:4">
      <c r="A586" s="19" t="str">
        <f t="shared" si="55"/>
        <v>АСУЭ.FB_IMsp_S.OCOF</v>
      </c>
      <c r="B586" s="11">
        <v>2</v>
      </c>
      <c r="C586" s="11" t="s">
        <v>2</v>
      </c>
      <c r="D586" s="20" t="s">
        <v>3</v>
      </c>
    </row>
    <row r="587" spans="1:4">
      <c r="A587" s="19" t="str">
        <f t="shared" si="55"/>
        <v>АСУЭ.FB_IMsp_S.OCOF</v>
      </c>
      <c r="B587" s="11">
        <v>3</v>
      </c>
      <c r="C587" s="11" t="s">
        <v>1</v>
      </c>
      <c r="D587" s="20">
        <v>192</v>
      </c>
    </row>
    <row r="588" spans="1:4">
      <c r="A588" s="19" t="str">
        <f t="shared" si="55"/>
        <v>АСУЭ.FB_IMsp_S.OCOF</v>
      </c>
      <c r="B588" s="11">
        <v>7998</v>
      </c>
      <c r="C588" s="11" t="s">
        <v>6</v>
      </c>
      <c r="D588" s="20">
        <v>1</v>
      </c>
    </row>
    <row r="589" spans="1:4">
      <c r="A589" s="21" t="str">
        <f t="shared" si="55"/>
        <v>АСУЭ.FB_IMsp_S.OCOF</v>
      </c>
      <c r="B589" s="8">
        <v>7999</v>
      </c>
      <c r="C589" s="8" t="s">
        <v>0</v>
      </c>
      <c r="D589" s="22" t="str">
        <f>"#"&amp;$S$2&amp;"#"&amp;$T$2&amp;"\"&amp;$P$2&amp;"\OCOF"</f>
        <v>#1#treiOPCDA.CoOPCserv.1\pcmaster\ZRU_OL1\OCOF</v>
      </c>
    </row>
    <row r="590" spans="1:4">
      <c r="A590" s="16" t="str">
        <f t="shared" ref="A590:A595" si="56">$R$2&amp;".XONP"</f>
        <v>АСУЭ.FB_IMsp_S.XONP</v>
      </c>
      <c r="B590" s="17">
        <v>101</v>
      </c>
      <c r="C590" s="17" t="s">
        <v>0</v>
      </c>
      <c r="D590" s="18" t="s">
        <v>147</v>
      </c>
    </row>
    <row r="591" spans="1:4">
      <c r="A591" s="19" t="str">
        <f t="shared" si="56"/>
        <v>АСУЭ.FB_IMsp_S.XONP</v>
      </c>
      <c r="B591" s="11">
        <v>1</v>
      </c>
      <c r="C591" s="11" t="s">
        <v>1</v>
      </c>
      <c r="D591" s="20">
        <v>11</v>
      </c>
    </row>
    <row r="592" spans="1:4">
      <c r="A592" s="19" t="str">
        <f t="shared" si="56"/>
        <v>АСУЭ.FB_IMsp_S.XONP</v>
      </c>
      <c r="B592" s="11">
        <v>2</v>
      </c>
      <c r="C592" s="11" t="s">
        <v>2</v>
      </c>
      <c r="D592" s="20" t="s">
        <v>3</v>
      </c>
    </row>
    <row r="593" spans="1:4">
      <c r="A593" s="19" t="str">
        <f t="shared" si="56"/>
        <v>АСУЭ.FB_IMsp_S.XONP</v>
      </c>
      <c r="B593" s="11">
        <v>3</v>
      </c>
      <c r="C593" s="11" t="s">
        <v>1</v>
      </c>
      <c r="D593" s="20">
        <v>192</v>
      </c>
    </row>
    <row r="594" spans="1:4">
      <c r="A594" s="19" t="str">
        <f t="shared" si="56"/>
        <v>АСУЭ.FB_IMsp_S.XONP</v>
      </c>
      <c r="B594" s="11">
        <v>7998</v>
      </c>
      <c r="C594" s="11" t="s">
        <v>6</v>
      </c>
      <c r="D594" s="20">
        <v>1</v>
      </c>
    </row>
    <row r="595" spans="1:4">
      <c r="A595" s="21" t="str">
        <f t="shared" si="56"/>
        <v>АСУЭ.FB_IMsp_S.XONP</v>
      </c>
      <c r="B595" s="8">
        <v>7999</v>
      </c>
      <c r="C595" s="8" t="s">
        <v>0</v>
      </c>
      <c r="D595" s="22" t="str">
        <f>"#"&amp;$S$2&amp;"#"&amp;$T$2&amp;"\"&amp;$P$2&amp;"\XONP"</f>
        <v>#1#treiOPCDA.CoOPCserv.1\pcmaster\ZRU_OL1\XONP</v>
      </c>
    </row>
    <row r="596" spans="1:4">
      <c r="A596" s="19" t="str">
        <f t="shared" ref="A596:A601" si="57">$R$2&amp;".CDON"</f>
        <v>АСУЭ.FB_IMsp_S.CDON</v>
      </c>
      <c r="B596" s="11">
        <v>101</v>
      </c>
      <c r="C596" s="11" t="s">
        <v>0</v>
      </c>
      <c r="D596" s="20" t="s">
        <v>164</v>
      </c>
    </row>
    <row r="597" spans="1:4">
      <c r="A597" s="19" t="str">
        <f t="shared" si="57"/>
        <v>АСУЭ.FB_IMsp_S.CDON</v>
      </c>
      <c r="B597" s="11">
        <v>1</v>
      </c>
      <c r="C597" s="11" t="s">
        <v>1</v>
      </c>
      <c r="D597" s="20">
        <v>11</v>
      </c>
    </row>
    <row r="598" spans="1:4">
      <c r="A598" s="19" t="str">
        <f t="shared" si="57"/>
        <v>АСУЭ.FB_IMsp_S.CDON</v>
      </c>
      <c r="B598" s="11">
        <v>2</v>
      </c>
      <c r="C598" s="11" t="s">
        <v>2</v>
      </c>
      <c r="D598" s="20" t="s">
        <v>3</v>
      </c>
    </row>
    <row r="599" spans="1:4">
      <c r="A599" s="19" t="str">
        <f t="shared" si="57"/>
        <v>АСУЭ.FB_IMsp_S.CDON</v>
      </c>
      <c r="B599" s="11">
        <v>3</v>
      </c>
      <c r="C599" s="11" t="s">
        <v>1</v>
      </c>
      <c r="D599" s="20">
        <v>192</v>
      </c>
    </row>
    <row r="600" spans="1:4">
      <c r="A600" s="19" t="str">
        <f t="shared" si="57"/>
        <v>АСУЭ.FB_IMsp_S.CDON</v>
      </c>
      <c r="B600" s="11">
        <v>7998</v>
      </c>
      <c r="C600" s="11" t="s">
        <v>6</v>
      </c>
      <c r="D600" s="20">
        <v>1</v>
      </c>
    </row>
    <row r="601" spans="1:4">
      <c r="A601" s="21" t="str">
        <f t="shared" si="57"/>
        <v>АСУЭ.FB_IMsp_S.CDON</v>
      </c>
      <c r="B601" s="8">
        <v>7999</v>
      </c>
      <c r="C601" s="8" t="s">
        <v>0</v>
      </c>
      <c r="D601" s="22" t="str">
        <f>"#"&amp;$S$2&amp;"#"&amp;$T$2&amp;"\"&amp;$P$2&amp;"\CDON"</f>
        <v>#1#treiOPCDA.CoOPCserv.1\pcmaster\ZRU_OL1\CDON</v>
      </c>
    </row>
    <row r="602" spans="1:4">
      <c r="A602" s="16" t="str">
        <f t="shared" ref="A602:A607" si="58">$R$2&amp;".CDOF"</f>
        <v>АСУЭ.FB_IMsp_S.CDOF</v>
      </c>
      <c r="B602" s="17">
        <v>3</v>
      </c>
      <c r="C602" s="17" t="s">
        <v>1</v>
      </c>
      <c r="D602" s="18">
        <v>192</v>
      </c>
    </row>
    <row r="603" spans="1:4">
      <c r="A603" s="19" t="str">
        <f t="shared" si="58"/>
        <v>АСУЭ.FB_IMsp_S.CDOF</v>
      </c>
      <c r="B603" s="11">
        <v>2</v>
      </c>
      <c r="C603" s="11" t="s">
        <v>2</v>
      </c>
      <c r="D603" s="20" t="s">
        <v>3</v>
      </c>
    </row>
    <row r="604" spans="1:4">
      <c r="A604" s="19" t="str">
        <f t="shared" si="58"/>
        <v>АСУЭ.FB_IMsp_S.CDOF</v>
      </c>
      <c r="B604" s="11">
        <v>1</v>
      </c>
      <c r="C604" s="11" t="s">
        <v>1</v>
      </c>
      <c r="D604" s="20">
        <v>11</v>
      </c>
    </row>
    <row r="605" spans="1:4">
      <c r="A605" s="19" t="str">
        <f t="shared" si="58"/>
        <v>АСУЭ.FB_IMsp_S.CDOF</v>
      </c>
      <c r="B605" s="11">
        <v>101</v>
      </c>
      <c r="C605" s="11" t="s">
        <v>0</v>
      </c>
      <c r="D605" s="20" t="s">
        <v>165</v>
      </c>
    </row>
    <row r="606" spans="1:4">
      <c r="A606" s="19" t="str">
        <f t="shared" si="58"/>
        <v>АСУЭ.FB_IMsp_S.CDOF</v>
      </c>
      <c r="B606" s="11">
        <v>7998</v>
      </c>
      <c r="C606" s="11" t="s">
        <v>6</v>
      </c>
      <c r="D606" s="20">
        <v>1</v>
      </c>
    </row>
    <row r="607" spans="1:4">
      <c r="A607" s="21" t="str">
        <f t="shared" si="58"/>
        <v>АСУЭ.FB_IMsp_S.CDOF</v>
      </c>
      <c r="B607" s="8">
        <v>7999</v>
      </c>
      <c r="C607" s="8" t="s">
        <v>0</v>
      </c>
      <c r="D607" s="22" t="str">
        <f>"#"&amp;$S$2&amp;"#"&amp;$T$2&amp;"\"&amp;$P$2&amp;"\CDOF"</f>
        <v>#1#treiOPCDA.CoOPCserv.1\pcmaster\ZRU_OL1\CDOF</v>
      </c>
    </row>
    <row r="608" spans="1:4">
      <c r="A608" s="16" t="str">
        <f t="shared" ref="A608:A613" si="59">$R$2&amp;".XOFP"</f>
        <v>АСУЭ.FB_IMsp_S.XOFP</v>
      </c>
      <c r="B608" s="17">
        <v>101</v>
      </c>
      <c r="C608" s="17" t="s">
        <v>0</v>
      </c>
      <c r="D608" s="18" t="s">
        <v>170</v>
      </c>
    </row>
    <row r="609" spans="1:4">
      <c r="A609" s="19" t="str">
        <f t="shared" si="59"/>
        <v>АСУЭ.FB_IMsp_S.XOFP</v>
      </c>
      <c r="B609" s="11">
        <v>1</v>
      </c>
      <c r="C609" s="11" t="s">
        <v>1</v>
      </c>
      <c r="D609" s="20">
        <v>11</v>
      </c>
    </row>
    <row r="610" spans="1:4">
      <c r="A610" s="19" t="str">
        <f t="shared" si="59"/>
        <v>АСУЭ.FB_IMsp_S.XOFP</v>
      </c>
      <c r="B610" s="11">
        <v>2</v>
      </c>
      <c r="C610" s="11" t="s">
        <v>2</v>
      </c>
      <c r="D610" s="20" t="s">
        <v>3</v>
      </c>
    </row>
    <row r="611" spans="1:4">
      <c r="A611" s="19" t="str">
        <f t="shared" si="59"/>
        <v>АСУЭ.FB_IMsp_S.XOFP</v>
      </c>
      <c r="B611" s="11">
        <v>3</v>
      </c>
      <c r="C611" s="11" t="s">
        <v>1</v>
      </c>
      <c r="D611" s="20">
        <v>192</v>
      </c>
    </row>
    <row r="612" spans="1:4">
      <c r="A612" s="19" t="str">
        <f t="shared" si="59"/>
        <v>АСУЭ.FB_IMsp_S.XOFP</v>
      </c>
      <c r="B612" s="11">
        <v>7998</v>
      </c>
      <c r="C612" s="11" t="s">
        <v>6</v>
      </c>
      <c r="D612" s="20">
        <v>1</v>
      </c>
    </row>
    <row r="613" spans="1:4">
      <c r="A613" s="21" t="str">
        <f t="shared" si="59"/>
        <v>АСУЭ.FB_IMsp_S.XOFP</v>
      </c>
      <c r="B613" s="8">
        <v>7999</v>
      </c>
      <c r="C613" s="8" t="s">
        <v>0</v>
      </c>
      <c r="D613" s="22" t="str">
        <f>"#"&amp;$S$2&amp;"#"&amp;$T$2&amp;"\"&amp;$P$2&amp;"\XOFP"</f>
        <v>#1#treiOPCDA.CoOPCserv.1\pcmaster\ZRU_OL1\XOFP</v>
      </c>
    </row>
    <row r="614" spans="1:4">
      <c r="A614" s="19" t="str">
        <f t="shared" ref="A614:A619" si="60">$R$2&amp;".SMMX"</f>
        <v>АСУЭ.FB_IMsp_S.SMMX</v>
      </c>
      <c r="B614" s="11">
        <v>7999</v>
      </c>
      <c r="C614" s="11" t="s">
        <v>0</v>
      </c>
      <c r="D614" s="20" t="str">
        <f>"#"&amp;$S$2&amp;"#"&amp;$T$2&amp;"\"&amp;$P$2&amp;"\SMMX"</f>
        <v>#1#treiOPCDA.CoOPCserv.1\pcmaster\ZRU_OL1\SMMX</v>
      </c>
    </row>
    <row r="615" spans="1:4">
      <c r="A615" s="19" t="str">
        <f t="shared" si="60"/>
        <v>АСУЭ.FB_IMsp_S.SMMX</v>
      </c>
      <c r="B615" s="11">
        <v>7998</v>
      </c>
      <c r="C615" s="11" t="s">
        <v>6</v>
      </c>
      <c r="D615" s="20">
        <v>1</v>
      </c>
    </row>
    <row r="616" spans="1:4">
      <c r="A616" s="19" t="str">
        <f t="shared" si="60"/>
        <v>АСУЭ.FB_IMsp_S.SMMX</v>
      </c>
      <c r="B616" s="11">
        <v>101</v>
      </c>
      <c r="C616" s="11" t="s">
        <v>0</v>
      </c>
      <c r="D616" s="20" t="s">
        <v>251</v>
      </c>
    </row>
    <row r="617" spans="1:4">
      <c r="A617" s="19" t="str">
        <f t="shared" si="60"/>
        <v>АСУЭ.FB_IMsp_S.SMMX</v>
      </c>
      <c r="B617" s="11">
        <v>3</v>
      </c>
      <c r="C617" s="11" t="s">
        <v>1</v>
      </c>
      <c r="D617" s="20">
        <v>192</v>
      </c>
    </row>
    <row r="618" spans="1:4">
      <c r="A618" s="19" t="str">
        <f t="shared" si="60"/>
        <v>АСУЭ.FB_IMsp_S.SMMX</v>
      </c>
      <c r="B618" s="11">
        <v>2</v>
      </c>
      <c r="C618" s="11" t="s">
        <v>2</v>
      </c>
      <c r="D618" s="20" t="s">
        <v>3</v>
      </c>
    </row>
    <row r="619" spans="1:4">
      <c r="A619" s="21" t="str">
        <f t="shared" si="60"/>
        <v>АСУЭ.FB_IMsp_S.SMMX</v>
      </c>
      <c r="B619" s="8">
        <v>1</v>
      </c>
      <c r="C619" s="8" t="s">
        <v>1</v>
      </c>
      <c r="D619" s="22">
        <v>11</v>
      </c>
    </row>
    <row r="620" spans="1:4">
      <c r="A620" s="16" t="str">
        <f t="shared" ref="A620:A625" si="61">$R$2&amp;".XSPP"</f>
        <v>АСУЭ.FB_IMsp_S.XSPP</v>
      </c>
      <c r="B620" s="17">
        <v>7998</v>
      </c>
      <c r="C620" s="17" t="s">
        <v>6</v>
      </c>
      <c r="D620" s="18">
        <v>1</v>
      </c>
    </row>
    <row r="621" spans="1:4">
      <c r="A621" s="19" t="str">
        <f t="shared" si="61"/>
        <v>АСУЭ.FB_IMsp_S.XSPP</v>
      </c>
      <c r="B621" s="11">
        <v>7999</v>
      </c>
      <c r="C621" s="11" t="s">
        <v>0</v>
      </c>
      <c r="D621" s="20" t="str">
        <f>"#"&amp;$S$2&amp;"#"&amp;$T$2&amp;"\"&amp;$P$2&amp;"\XSPP"</f>
        <v>#1#treiOPCDA.CoOPCserv.1\pcmaster\ZRU_OL1\XSPP</v>
      </c>
    </row>
    <row r="622" spans="1:4">
      <c r="A622" s="19" t="str">
        <f t="shared" si="61"/>
        <v>АСУЭ.FB_IMsp_S.XSPP</v>
      </c>
      <c r="B622" s="11">
        <v>101</v>
      </c>
      <c r="C622" s="11" t="s">
        <v>0</v>
      </c>
      <c r="D622" s="20" t="s">
        <v>171</v>
      </c>
    </row>
    <row r="623" spans="1:4">
      <c r="A623" s="19" t="str">
        <f t="shared" si="61"/>
        <v>АСУЭ.FB_IMsp_S.XSPP</v>
      </c>
      <c r="B623" s="11">
        <v>1</v>
      </c>
      <c r="C623" s="11" t="s">
        <v>1</v>
      </c>
      <c r="D623" s="20">
        <v>11</v>
      </c>
    </row>
    <row r="624" spans="1:4">
      <c r="A624" s="19" t="str">
        <f t="shared" si="61"/>
        <v>АСУЭ.FB_IMsp_S.XSPP</v>
      </c>
      <c r="B624" s="11">
        <v>2</v>
      </c>
      <c r="C624" s="11" t="s">
        <v>2</v>
      </c>
      <c r="D624" s="20" t="s">
        <v>3</v>
      </c>
    </row>
    <row r="625" spans="1:4">
      <c r="A625" s="21" t="str">
        <f t="shared" si="61"/>
        <v>АСУЭ.FB_IMsp_S.XSPP</v>
      </c>
      <c r="B625" s="8">
        <v>3</v>
      </c>
      <c r="C625" s="8" t="s">
        <v>1</v>
      </c>
      <c r="D625" s="22">
        <v>192</v>
      </c>
    </row>
    <row r="626" spans="1:4">
      <c r="A626" s="266" t="str">
        <f t="shared" ref="A626:A631" si="62">$R$2&amp;".TCON"</f>
        <v>АСУЭ.FB_IMsp_S.TCON</v>
      </c>
      <c r="B626" s="267">
        <v>3</v>
      </c>
      <c r="C626" s="267" t="s">
        <v>1</v>
      </c>
      <c r="D626" s="268">
        <v>192</v>
      </c>
    </row>
    <row r="627" spans="1:4">
      <c r="A627" s="269" t="str">
        <f t="shared" si="62"/>
        <v>АСУЭ.FB_IMsp_S.TCON</v>
      </c>
      <c r="B627" s="270">
        <v>2</v>
      </c>
      <c r="C627" s="270" t="s">
        <v>6</v>
      </c>
      <c r="D627" s="271">
        <v>0</v>
      </c>
    </row>
    <row r="628" spans="1:4">
      <c r="A628" s="269" t="str">
        <f t="shared" si="62"/>
        <v>АСУЭ.FB_IMsp_S.TCON</v>
      </c>
      <c r="B628" s="270">
        <v>1</v>
      </c>
      <c r="C628" s="270" t="s">
        <v>1</v>
      </c>
      <c r="D628" s="271">
        <v>3</v>
      </c>
    </row>
    <row r="629" spans="1:4">
      <c r="A629" s="269" t="str">
        <f t="shared" si="62"/>
        <v>АСУЭ.FB_IMsp_S.TCON</v>
      </c>
      <c r="B629" s="270">
        <v>101</v>
      </c>
      <c r="C629" s="270" t="s">
        <v>0</v>
      </c>
      <c r="D629" s="271" t="s">
        <v>274</v>
      </c>
    </row>
    <row r="630" spans="1:4">
      <c r="A630" s="269" t="str">
        <f t="shared" si="62"/>
        <v>АСУЭ.FB_IMsp_S.TCON</v>
      </c>
      <c r="B630" s="270">
        <v>7998</v>
      </c>
      <c r="C630" s="270" t="s">
        <v>6</v>
      </c>
      <c r="D630" s="271">
        <v>1</v>
      </c>
    </row>
    <row r="631" spans="1:4">
      <c r="A631" s="272" t="str">
        <f t="shared" si="62"/>
        <v>АСУЭ.FB_IMsp_S.TCON</v>
      </c>
      <c r="B631" s="273">
        <v>7999</v>
      </c>
      <c r="C631" s="273" t="s">
        <v>0</v>
      </c>
      <c r="D631" s="274" t="str">
        <f>"#"&amp;$S$2&amp;"#"&amp;$T$2&amp;"\"&amp;$P$2&amp;"\TCON"</f>
        <v>#1#treiOPCDA.CoOPCserv.1\pcmaster\ZRU_OL1\TCON</v>
      </c>
    </row>
    <row r="632" spans="1:4">
      <c r="A632" s="266" t="str">
        <f t="shared" ref="A632:A637" si="63">$R$2&amp;".TCOF"</f>
        <v>АСУЭ.FB_IMsp_S.TCOF</v>
      </c>
      <c r="B632" s="267">
        <v>3</v>
      </c>
      <c r="C632" s="267" t="s">
        <v>1</v>
      </c>
      <c r="D632" s="268">
        <v>192</v>
      </c>
    </row>
    <row r="633" spans="1:4">
      <c r="A633" s="269" t="str">
        <f t="shared" si="63"/>
        <v>АСУЭ.FB_IMsp_S.TCOF</v>
      </c>
      <c r="B633" s="270">
        <v>2</v>
      </c>
      <c r="C633" s="270" t="s">
        <v>6</v>
      </c>
      <c r="D633" s="271">
        <v>0</v>
      </c>
    </row>
    <row r="634" spans="1:4">
      <c r="A634" s="269" t="str">
        <f t="shared" si="63"/>
        <v>АСУЭ.FB_IMsp_S.TCOF</v>
      </c>
      <c r="B634" s="270">
        <v>1</v>
      </c>
      <c r="C634" s="270" t="s">
        <v>1</v>
      </c>
      <c r="D634" s="271">
        <v>3</v>
      </c>
    </row>
    <row r="635" spans="1:4">
      <c r="A635" s="269" t="str">
        <f t="shared" si="63"/>
        <v>АСУЭ.FB_IMsp_S.TCOF</v>
      </c>
      <c r="B635" s="270">
        <v>101</v>
      </c>
      <c r="C635" s="270" t="s">
        <v>0</v>
      </c>
      <c r="D635" s="271" t="s">
        <v>275</v>
      </c>
    </row>
    <row r="636" spans="1:4">
      <c r="A636" s="269" t="str">
        <f t="shared" si="63"/>
        <v>АСУЭ.FB_IMsp_S.TCOF</v>
      </c>
      <c r="B636" s="270">
        <v>7998</v>
      </c>
      <c r="C636" s="270" t="s">
        <v>6</v>
      </c>
      <c r="D636" s="271">
        <v>1</v>
      </c>
    </row>
    <row r="637" spans="1:4">
      <c r="A637" s="272" t="str">
        <f t="shared" si="63"/>
        <v>АСУЭ.FB_IMsp_S.TCOF</v>
      </c>
      <c r="B637" s="273">
        <v>7999</v>
      </c>
      <c r="C637" s="273" t="s">
        <v>0</v>
      </c>
      <c r="D637" s="274" t="str">
        <f>"#"&amp;$S$2&amp;"#"&amp;$T$2&amp;"\"&amp;$P$2&amp;"\TCOF"</f>
        <v>#1#treiOPCDA.CoOPCserv.1\pcmaster\ZRU_OL1\TCOF</v>
      </c>
    </row>
    <row r="638" spans="1:4">
      <c r="A638" s="266" t="str">
        <f t="shared" ref="A638:A643" si="64">$R$2&amp;".STSX"</f>
        <v>АСУЭ.FB_IMsp_S.STSX</v>
      </c>
      <c r="B638" s="267">
        <v>101</v>
      </c>
      <c r="C638" s="267" t="s">
        <v>0</v>
      </c>
      <c r="D638" s="268" t="s">
        <v>128</v>
      </c>
    </row>
    <row r="639" spans="1:4">
      <c r="A639" s="269" t="str">
        <f t="shared" si="64"/>
        <v>АСУЭ.FB_IMsp_S.STSX</v>
      </c>
      <c r="B639" s="270">
        <v>3</v>
      </c>
      <c r="C639" s="270" t="s">
        <v>1</v>
      </c>
      <c r="D639" s="271">
        <v>192</v>
      </c>
    </row>
    <row r="640" spans="1:4">
      <c r="A640" s="269" t="str">
        <f t="shared" si="64"/>
        <v>АСУЭ.FB_IMsp_S.STSX</v>
      </c>
      <c r="B640" s="270">
        <v>2</v>
      </c>
      <c r="C640" s="270" t="s">
        <v>6</v>
      </c>
      <c r="D640" s="271">
        <v>0</v>
      </c>
    </row>
    <row r="641" spans="1:4">
      <c r="A641" s="269" t="str">
        <f t="shared" si="64"/>
        <v>АСУЭ.FB_IMsp_S.STSX</v>
      </c>
      <c r="B641" s="270">
        <v>1</v>
      </c>
      <c r="C641" s="270" t="s">
        <v>1</v>
      </c>
      <c r="D641" s="271">
        <v>3</v>
      </c>
    </row>
    <row r="642" spans="1:4">
      <c r="A642" s="269" t="str">
        <f t="shared" si="64"/>
        <v>АСУЭ.FB_IMsp_S.STSX</v>
      </c>
      <c r="B642" s="270">
        <v>7998</v>
      </c>
      <c r="C642" s="270" t="s">
        <v>6</v>
      </c>
      <c r="D642" s="271">
        <v>1</v>
      </c>
    </row>
    <row r="643" spans="1:4">
      <c r="A643" s="272" t="str">
        <f t="shared" si="64"/>
        <v>АСУЭ.FB_IMsp_S.STSX</v>
      </c>
      <c r="B643" s="273">
        <v>7999</v>
      </c>
      <c r="C643" s="273" t="s">
        <v>0</v>
      </c>
      <c r="D643" s="274" t="str">
        <f>"#"&amp;$S$2&amp;"#"&amp;$T$2&amp;"\"&amp;$P$2&amp;"\STSX"</f>
        <v>#1#treiOPCDA.CoOPCserv.1\pcmaster\ZRU_OL1\STSX</v>
      </c>
    </row>
    <row r="644" spans="1:4">
      <c r="A644" s="266" t="str">
        <f t="shared" ref="A644:A649" si="65">$R$2&amp;".XRON"</f>
        <v>АСУЭ.FB_IMsp_S.XRON</v>
      </c>
      <c r="B644" s="267">
        <v>101</v>
      </c>
      <c r="C644" s="267" t="s">
        <v>0</v>
      </c>
      <c r="D644" s="268" t="s">
        <v>172</v>
      </c>
    </row>
    <row r="645" spans="1:4">
      <c r="A645" s="269" t="str">
        <f t="shared" si="65"/>
        <v>АСУЭ.FB_IMsp_S.XRON</v>
      </c>
      <c r="B645" s="270">
        <v>1</v>
      </c>
      <c r="C645" s="270" t="s">
        <v>1</v>
      </c>
      <c r="D645" s="271">
        <v>3</v>
      </c>
    </row>
    <row r="646" spans="1:4">
      <c r="A646" s="269" t="str">
        <f t="shared" si="65"/>
        <v>АСУЭ.FB_IMsp_S.XRON</v>
      </c>
      <c r="B646" s="270">
        <v>2</v>
      </c>
      <c r="C646" s="270" t="s">
        <v>6</v>
      </c>
      <c r="D646" s="271">
        <v>0</v>
      </c>
    </row>
    <row r="647" spans="1:4">
      <c r="A647" s="269" t="str">
        <f t="shared" si="65"/>
        <v>АСУЭ.FB_IMsp_S.XRON</v>
      </c>
      <c r="B647" s="270">
        <v>3</v>
      </c>
      <c r="C647" s="270" t="s">
        <v>1</v>
      </c>
      <c r="D647" s="271">
        <v>192</v>
      </c>
    </row>
    <row r="648" spans="1:4">
      <c r="A648" s="269" t="str">
        <f t="shared" si="65"/>
        <v>АСУЭ.FB_IMsp_S.XRON</v>
      </c>
      <c r="B648" s="270">
        <v>7998</v>
      </c>
      <c r="C648" s="270" t="s">
        <v>6</v>
      </c>
      <c r="D648" s="271">
        <v>1</v>
      </c>
    </row>
    <row r="649" spans="1:4">
      <c r="A649" s="272" t="str">
        <f t="shared" si="65"/>
        <v>АСУЭ.FB_IMsp_S.XRON</v>
      </c>
      <c r="B649" s="273">
        <v>7999</v>
      </c>
      <c r="C649" s="273" t="s">
        <v>0</v>
      </c>
      <c r="D649" s="274" t="str">
        <f>"#"&amp;$S$2&amp;"#"&amp;$T$2&amp;"\"&amp;$P$2&amp;"\XRON"</f>
        <v>#1#treiOPCDA.CoOPCserv.1\pcmaster\ZRU_OL1\XRON</v>
      </c>
    </row>
    <row r="650" spans="1:4">
      <c r="A650" s="266" t="str">
        <f t="shared" ref="A650:A655" si="66">$R$2&amp;".XROF"</f>
        <v>АСУЭ.FB_IMsp_S.XROF</v>
      </c>
      <c r="B650" s="267">
        <v>101</v>
      </c>
      <c r="C650" s="267" t="s">
        <v>0</v>
      </c>
      <c r="D650" s="268" t="s">
        <v>173</v>
      </c>
    </row>
    <row r="651" spans="1:4">
      <c r="A651" s="269" t="str">
        <f t="shared" si="66"/>
        <v>АСУЭ.FB_IMsp_S.XROF</v>
      </c>
      <c r="B651" s="270">
        <v>1</v>
      </c>
      <c r="C651" s="270" t="s">
        <v>1</v>
      </c>
      <c r="D651" s="271">
        <v>3</v>
      </c>
    </row>
    <row r="652" spans="1:4">
      <c r="A652" s="269" t="str">
        <f t="shared" si="66"/>
        <v>АСУЭ.FB_IMsp_S.XROF</v>
      </c>
      <c r="B652" s="270">
        <v>2</v>
      </c>
      <c r="C652" s="270" t="s">
        <v>6</v>
      </c>
      <c r="D652" s="271">
        <v>0</v>
      </c>
    </row>
    <row r="653" spans="1:4">
      <c r="A653" s="269" t="str">
        <f t="shared" si="66"/>
        <v>АСУЭ.FB_IMsp_S.XROF</v>
      </c>
      <c r="B653" s="270">
        <v>3</v>
      </c>
      <c r="C653" s="270" t="s">
        <v>1</v>
      </c>
      <c r="D653" s="271">
        <v>192</v>
      </c>
    </row>
    <row r="654" spans="1:4">
      <c r="A654" s="269" t="str">
        <f t="shared" si="66"/>
        <v>АСУЭ.FB_IMsp_S.XROF</v>
      </c>
      <c r="B654" s="270">
        <v>7998</v>
      </c>
      <c r="C654" s="270" t="s">
        <v>6</v>
      </c>
      <c r="D654" s="271">
        <v>1</v>
      </c>
    </row>
    <row r="655" spans="1:4">
      <c r="A655" s="272" t="str">
        <f t="shared" si="66"/>
        <v>АСУЭ.FB_IMsp_S.XROF</v>
      </c>
      <c r="B655" s="273">
        <v>7999</v>
      </c>
      <c r="C655" s="273" t="s">
        <v>0</v>
      </c>
      <c r="D655" s="274" t="str">
        <f>"#"&amp;$S$2&amp;"#"&amp;$T$2&amp;"\"&amp;$P$2&amp;"\XROF"</f>
        <v>#1#treiOPCDA.CoOPCserv.1\pcmaster\ZRU_OL1\XROF</v>
      </c>
    </row>
    <row r="656" spans="1:4">
      <c r="A656" s="266" t="str">
        <f t="shared" ref="A656:A661" si="67">$R$2&amp;".XRPT"</f>
        <v>АСУЭ.FB_IMsp_S.XRPT</v>
      </c>
      <c r="B656" s="267">
        <v>101</v>
      </c>
      <c r="C656" s="267" t="s">
        <v>0</v>
      </c>
      <c r="D656" s="268" t="s">
        <v>174</v>
      </c>
    </row>
    <row r="657" spans="1:4">
      <c r="A657" s="269" t="str">
        <f t="shared" si="67"/>
        <v>АСУЭ.FB_IMsp_S.XRPT</v>
      </c>
      <c r="B657" s="270">
        <v>1</v>
      </c>
      <c r="C657" s="270" t="s">
        <v>1</v>
      </c>
      <c r="D657" s="271">
        <v>3</v>
      </c>
    </row>
    <row r="658" spans="1:4">
      <c r="A658" s="269" t="str">
        <f t="shared" si="67"/>
        <v>АСУЭ.FB_IMsp_S.XRPT</v>
      </c>
      <c r="B658" s="270">
        <v>2</v>
      </c>
      <c r="C658" s="270" t="s">
        <v>6</v>
      </c>
      <c r="D658" s="271">
        <v>0</v>
      </c>
    </row>
    <row r="659" spans="1:4">
      <c r="A659" s="269" t="str">
        <f t="shared" si="67"/>
        <v>АСУЭ.FB_IMsp_S.XRPT</v>
      </c>
      <c r="B659" s="270">
        <v>3</v>
      </c>
      <c r="C659" s="270" t="s">
        <v>1</v>
      </c>
      <c r="D659" s="271">
        <v>192</v>
      </c>
    </row>
    <row r="660" spans="1:4">
      <c r="A660" s="269" t="str">
        <f t="shared" si="67"/>
        <v>АСУЭ.FB_IMsp_S.XRPT</v>
      </c>
      <c r="B660" s="270">
        <v>7998</v>
      </c>
      <c r="C660" s="270" t="s">
        <v>6</v>
      </c>
      <c r="D660" s="271">
        <v>1</v>
      </c>
    </row>
    <row r="661" spans="1:4">
      <c r="A661" s="272" t="str">
        <f t="shared" si="67"/>
        <v>АСУЭ.FB_IMsp_S.XRPT</v>
      </c>
      <c r="B661" s="273">
        <v>7999</v>
      </c>
      <c r="C661" s="273" t="s">
        <v>0</v>
      </c>
      <c r="D661" s="274" t="str">
        <f>"#"&amp;$S$2&amp;"#"&amp;$T$2&amp;"\"&amp;$P$2&amp;"\XRPT"</f>
        <v>#1#treiOPCDA.CoOPCserv.1\pcmaster\ZRU_OL1\XRPT</v>
      </c>
    </row>
    <row r="662" spans="1:4">
      <c r="A662" s="266" t="str">
        <f t="shared" ref="A662:A667" si="68">$R$2&amp;".SRPT"</f>
        <v>АСУЭ.FB_IMsp_S.SRPT</v>
      </c>
      <c r="B662" s="267">
        <v>3</v>
      </c>
      <c r="C662" s="267" t="s">
        <v>1</v>
      </c>
      <c r="D662" s="268">
        <v>192</v>
      </c>
    </row>
    <row r="663" spans="1:4">
      <c r="A663" s="269" t="str">
        <f t="shared" si="68"/>
        <v>АСУЭ.FB_IMsp_S.SRPT</v>
      </c>
      <c r="B663" s="270">
        <v>2</v>
      </c>
      <c r="C663" s="270" t="s">
        <v>6</v>
      </c>
      <c r="D663" s="271">
        <v>0</v>
      </c>
    </row>
    <row r="664" spans="1:4">
      <c r="A664" s="269" t="str">
        <f t="shared" si="68"/>
        <v>АСУЭ.FB_IMsp_S.SRPT</v>
      </c>
      <c r="B664" s="270">
        <v>1</v>
      </c>
      <c r="C664" s="270" t="s">
        <v>1</v>
      </c>
      <c r="D664" s="271">
        <v>3</v>
      </c>
    </row>
    <row r="665" spans="1:4">
      <c r="A665" s="269" t="str">
        <f t="shared" si="68"/>
        <v>АСУЭ.FB_IMsp_S.SRPT</v>
      </c>
      <c r="B665" s="270">
        <v>101</v>
      </c>
      <c r="C665" s="270" t="s">
        <v>0</v>
      </c>
      <c r="D665" s="271" t="s">
        <v>126</v>
      </c>
    </row>
    <row r="666" spans="1:4">
      <c r="A666" s="269" t="str">
        <f t="shared" si="68"/>
        <v>АСУЭ.FB_IMsp_S.SRPT</v>
      </c>
      <c r="B666" s="270">
        <v>7998</v>
      </c>
      <c r="C666" s="270" t="s">
        <v>6</v>
      </c>
      <c r="D666" s="271">
        <v>1</v>
      </c>
    </row>
    <row r="667" spans="1:4">
      <c r="A667" s="272" t="str">
        <f t="shared" si="68"/>
        <v>АСУЭ.FB_IMsp_S.SRPT</v>
      </c>
      <c r="B667" s="273">
        <v>7999</v>
      </c>
      <c r="C667" s="273" t="s">
        <v>0</v>
      </c>
      <c r="D667" s="274" t="str">
        <f>"#"&amp;$S$2&amp;"#"&amp;$T$2&amp;"\"&amp;$P$2&amp;"\SRPT"</f>
        <v>#1#treiOPCDA.CoOPCserv.1\pcmaster\ZRU_OL1\SRPT</v>
      </c>
    </row>
    <row r="668" spans="1:4">
      <c r="A668" s="266" t="str">
        <f t="shared" ref="A668:A673" si="69">$R$2&amp;".SRQX"</f>
        <v>АСУЭ.FB_IMsp_S.SRQX</v>
      </c>
      <c r="B668" s="267">
        <v>101</v>
      </c>
      <c r="C668" s="267" t="s">
        <v>0</v>
      </c>
      <c r="D668" s="268" t="s">
        <v>125</v>
      </c>
    </row>
    <row r="669" spans="1:4">
      <c r="A669" s="269" t="str">
        <f t="shared" si="69"/>
        <v>АСУЭ.FB_IMsp_S.SRQX</v>
      </c>
      <c r="B669" s="270">
        <v>3</v>
      </c>
      <c r="C669" s="270" t="s">
        <v>1</v>
      </c>
      <c r="D669" s="271">
        <v>192</v>
      </c>
    </row>
    <row r="670" spans="1:4">
      <c r="A670" s="269" t="str">
        <f t="shared" si="69"/>
        <v>АСУЭ.FB_IMsp_S.SRQX</v>
      </c>
      <c r="B670" s="270">
        <v>2</v>
      </c>
      <c r="C670" s="270" t="s">
        <v>6</v>
      </c>
      <c r="D670" s="271">
        <v>0</v>
      </c>
    </row>
    <row r="671" spans="1:4">
      <c r="A671" s="269" t="str">
        <f t="shared" si="69"/>
        <v>АСУЭ.FB_IMsp_S.SRQX</v>
      </c>
      <c r="B671" s="270">
        <v>1</v>
      </c>
      <c r="C671" s="270" t="s">
        <v>1</v>
      </c>
      <c r="D671" s="271">
        <v>3</v>
      </c>
    </row>
    <row r="672" spans="1:4">
      <c r="A672" s="269" t="str">
        <f t="shared" si="69"/>
        <v>АСУЭ.FB_IMsp_S.SRQX</v>
      </c>
      <c r="B672" s="270">
        <v>7998</v>
      </c>
      <c r="C672" s="270" t="s">
        <v>6</v>
      </c>
      <c r="D672" s="271">
        <v>1</v>
      </c>
    </row>
    <row r="673" spans="1:4">
      <c r="A673" s="272" t="str">
        <f t="shared" si="69"/>
        <v>АСУЭ.FB_IMsp_S.SRQX</v>
      </c>
      <c r="B673" s="273">
        <v>7999</v>
      </c>
      <c r="C673" s="273" t="s">
        <v>0</v>
      </c>
      <c r="D673" s="274" t="str">
        <f>"#"&amp;$S$2&amp;"#"&amp;$T$2&amp;"\"&amp;$P$2&amp;"\SRQX"</f>
        <v>#1#treiOPCDA.CoOPCserv.1\pcmaster\ZRU_OL1\SRQX</v>
      </c>
    </row>
  </sheetData>
  <autoFilter ref="B1:B677" xr:uid="{00000000-0009-0000-0000-000013000000}"/>
  <mergeCells count="1">
    <mergeCell ref="Q23:Q24"/>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Лист9">
    <tabColor rgb="FFFFC000"/>
  </sheetPr>
  <dimension ref="A1:BP259"/>
  <sheetViews>
    <sheetView topLeftCell="A7" zoomScale="60" zoomScaleNormal="60"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57"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1"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61"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61" t="str">
        <f>Таблица!AL1</f>
        <v>Для TREI
FB_IMstp_S, FB_IMs_S, FB_IMp_S, FB_IMv_S, FB_IM_ADES_S: Настройка перехода ручной-/автоматический-(TRUE/FALSE) 
FB_DI_S: Генерировать метки времени (TRUE/FALSE)</v>
      </c>
      <c r="AY1" s="261"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61" t="str">
        <f>Таблица!AN1</f>
        <v>Для TREI
FB_AI_S, FB_QSA_S: Верхний предел датчика
FB_IMp_S, FB_IMv_S, FB_IM_ADES_S, FB_OZK_KD_S: Время перестановки</v>
      </c>
      <c r="BA1" s="261"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t="s">
        <v>300</v>
      </c>
      <c r="Q2" s="2" t="s">
        <v>771</v>
      </c>
      <c r="R2" s="2" t="s">
        <v>785</v>
      </c>
      <c r="S2" s="3">
        <v>1</v>
      </c>
      <c r="T2" s="3" t="s">
        <v>1698</v>
      </c>
      <c r="U2" s="3"/>
      <c r="V2" s="3" t="s">
        <v>569</v>
      </c>
      <c r="W2" s="12" t="s">
        <v>326</v>
      </c>
      <c r="X2" s="12" t="s">
        <v>327</v>
      </c>
      <c r="Y2" s="12"/>
      <c r="Z2" s="12"/>
      <c r="AA2" s="12"/>
      <c r="AB2" s="2"/>
      <c r="AC2" s="2" t="s">
        <v>305</v>
      </c>
      <c r="AD2" s="2"/>
      <c r="AE2" s="2" t="s">
        <v>1414</v>
      </c>
      <c r="AF2" s="2"/>
      <c r="AG2" s="2"/>
      <c r="AH2" s="2"/>
      <c r="AI2" s="2"/>
      <c r="AJ2" s="2"/>
      <c r="AK2" s="2"/>
      <c r="AL2" s="2" t="s">
        <v>1274</v>
      </c>
      <c r="AM2" s="2" t="s">
        <v>1275</v>
      </c>
      <c r="AN2" s="2"/>
      <c r="AO2" s="2"/>
      <c r="AP2" s="2" t="s">
        <v>1276</v>
      </c>
      <c r="AQ2" s="2"/>
      <c r="AR2" s="2"/>
      <c r="AS2" s="2"/>
      <c r="AT2" s="2" t="s">
        <v>1277</v>
      </c>
      <c r="AU2" s="2" t="s">
        <v>1278</v>
      </c>
      <c r="AV2" s="2"/>
      <c r="AW2" s="2"/>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M4" s="4"/>
      <c r="BN4" s="4"/>
      <c r="BO4" s="4"/>
      <c r="BP4" s="4"/>
    </row>
    <row r="5" spans="1:68"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M5" s="4"/>
      <c r="BN5" s="4"/>
      <c r="BO5" s="4"/>
      <c r="BP5" s="4"/>
    </row>
    <row r="6" spans="1:68"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M6" s="4"/>
      <c r="BN6" s="4"/>
      <c r="BO6" s="4"/>
      <c r="BP6" s="4"/>
    </row>
    <row r="7" spans="1:68"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M7" s="4"/>
      <c r="BN7" s="4"/>
      <c r="BO7" s="4"/>
      <c r="BP7" s="4"/>
    </row>
    <row r="8" spans="1:68" ht="15" customHeight="1">
      <c r="A8" s="9"/>
      <c r="B8" s="9"/>
      <c r="C8" s="9"/>
      <c r="D8" s="9"/>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BM8" s="4"/>
      <c r="BN8" s="4"/>
      <c r="BO8" s="4"/>
      <c r="BP8" s="4"/>
    </row>
    <row r="9" spans="1:68" ht="15" customHeight="1">
      <c r="A9" s="9"/>
      <c r="B9" s="9"/>
      <c r="C9" s="9"/>
      <c r="D9" s="9"/>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BM9" s="4"/>
      <c r="BN9" s="4"/>
      <c r="BO9" s="4"/>
      <c r="BP9" s="4"/>
    </row>
    <row r="10" spans="1:68" ht="15" customHeight="1">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BM10" s="4"/>
      <c r="BN10" s="4"/>
      <c r="BO10" s="4"/>
      <c r="BP10" s="4"/>
    </row>
    <row r="11" spans="1:68" ht="15" customHeight="1">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BM11" s="4"/>
      <c r="BN11" s="4"/>
      <c r="BO11" s="4"/>
      <c r="BP11" s="4"/>
    </row>
    <row r="12" spans="1:68"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M17" s="4"/>
      <c r="BN17" s="4"/>
      <c r="BO17" s="4"/>
      <c r="BP17" s="4"/>
    </row>
    <row r="18" spans="1:68"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M18" s="4"/>
      <c r="BN18" s="4"/>
      <c r="BO18" s="4"/>
      <c r="BP18" s="4"/>
    </row>
    <row r="19" spans="1:68"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M19" s="4"/>
      <c r="BN19" s="4"/>
      <c r="BO19" s="4"/>
      <c r="BP19" s="4"/>
    </row>
    <row r="20" spans="1:68">
      <c r="A20" s="32" t="str">
        <f t="shared" ref="A20:A37" si="0">$R$2</f>
        <v>АСУЭ.FB_IMst_MON_S</v>
      </c>
      <c r="B20" s="33">
        <v>1</v>
      </c>
      <c r="C20" s="33" t="s">
        <v>1</v>
      </c>
      <c r="D20" s="34">
        <v>17</v>
      </c>
    </row>
    <row r="21" spans="1:68">
      <c r="A21" s="35" t="str">
        <f t="shared" si="0"/>
        <v>АСУЭ.FB_IMst_MON_S</v>
      </c>
      <c r="B21" s="36">
        <v>11001</v>
      </c>
      <c r="C21" s="36" t="s">
        <v>0</v>
      </c>
      <c r="D21" s="20" t="str">
        <f>$Q$2&amp;". "</f>
        <v xml:space="preserve">Выключатель электрический без защит. </v>
      </c>
    </row>
    <row r="22" spans="1:68">
      <c r="A22" s="38" t="str">
        <f t="shared" si="0"/>
        <v>АСУЭ.FB_IMst_MON_S</v>
      </c>
      <c r="B22" s="39">
        <v>11156</v>
      </c>
      <c r="C22" s="39" t="s">
        <v>0</v>
      </c>
      <c r="D22" s="40" t="str">
        <f>$V$2</f>
        <v>Тестовый экран</v>
      </c>
    </row>
    <row r="23" spans="1:68">
      <c r="A23" s="23" t="str">
        <f>$R$2</f>
        <v>АСУЭ.FB_IMst_MON_S</v>
      </c>
      <c r="B23" s="24">
        <v>9219</v>
      </c>
      <c r="C23" s="24" t="s">
        <v>2</v>
      </c>
      <c r="D23" s="25" t="s">
        <v>3</v>
      </c>
      <c r="Q23" s="778" t="s">
        <v>224</v>
      </c>
    </row>
    <row r="24" spans="1:68">
      <c r="A24" s="29" t="str">
        <f>$R$2</f>
        <v>АСУЭ.FB_IMst_MON_S</v>
      </c>
      <c r="B24" s="27">
        <v>3009219</v>
      </c>
      <c r="C24" s="27" t="s">
        <v>0</v>
      </c>
      <c r="D24" s="28" t="str">
        <f>$X$2</f>
        <v>!АСУЭ.ЗРУиКТП.DI_1.XVLX.value &amp;&amp; АСУЭ.ЗРУиКТП.IMstp_1.XONX.value &amp;&amp; АСУЭ.ЗРУиКТП.IMstp_1.XTON.value</v>
      </c>
      <c r="Q24" s="779"/>
    </row>
    <row r="25" spans="1:68">
      <c r="A25" s="23" t="str">
        <f>$R$2</f>
        <v>АСУЭ.FB_IMst_MON_S</v>
      </c>
      <c r="B25" s="1">
        <v>9220</v>
      </c>
      <c r="C25" s="1" t="s">
        <v>2</v>
      </c>
      <c r="D25" s="30" t="s">
        <v>3</v>
      </c>
      <c r="Q25" s="778" t="s">
        <v>223</v>
      </c>
    </row>
    <row r="26" spans="1:68">
      <c r="A26" s="26" t="str">
        <f>$R$2</f>
        <v>АСУЭ.FB_IMst_MON_S</v>
      </c>
      <c r="B26" s="27">
        <v>3009220</v>
      </c>
      <c r="C26" s="27" t="s">
        <v>0</v>
      </c>
      <c r="D26" s="28" t="str">
        <f>$W$2</f>
        <v>!АСУЭ.ЗРУиКТП.DI_1.XVLX.value &amp;&amp; АСУЭ.ЗРУиКТП.IMstp_1.XTON.value</v>
      </c>
      <c r="Q26" s="779"/>
    </row>
    <row r="27" spans="1:68" ht="15" customHeight="1">
      <c r="A27" s="16" t="str">
        <f t="shared" si="0"/>
        <v>АСУЭ.FB_IMst_MON_S</v>
      </c>
      <c r="B27" s="17">
        <v>100</v>
      </c>
      <c r="C27" s="17" t="s">
        <v>0</v>
      </c>
      <c r="D27" s="20" t="b">
        <f>$T$7</f>
        <v>0</v>
      </c>
      <c r="BF27" s="4"/>
      <c r="BG27" s="4"/>
      <c r="BH27" s="4"/>
      <c r="BI27" s="4"/>
    </row>
    <row r="28" spans="1:68">
      <c r="A28" s="19" t="str">
        <f t="shared" si="0"/>
        <v>АСУЭ.FB_IMst_MON_S</v>
      </c>
      <c r="B28" s="11">
        <v>11120</v>
      </c>
      <c r="C28" s="11" t="s">
        <v>0</v>
      </c>
      <c r="D28" s="20" t="str">
        <f>$AC$2</f>
        <v>Фиолетовый</v>
      </c>
    </row>
    <row r="29" spans="1:68">
      <c r="A29" s="19" t="str">
        <f t="shared" si="0"/>
        <v>АСУЭ.FB_IMst_MON_S</v>
      </c>
      <c r="B29" s="11">
        <v>11121</v>
      </c>
      <c r="C29" s="11" t="s">
        <v>0</v>
      </c>
      <c r="D29" s="20" t="str">
        <f>$AL$2</f>
        <v>6+27</v>
      </c>
    </row>
    <row r="30" spans="1:68">
      <c r="A30" s="19" t="str">
        <f t="shared" si="0"/>
        <v>АСУЭ.FB_IMst_MON_S</v>
      </c>
      <c r="B30" s="11">
        <v>11122</v>
      </c>
      <c r="C30" s="11" t="s">
        <v>0</v>
      </c>
      <c r="D30" s="20" t="str">
        <f>$AM$2</f>
        <v>6+28</v>
      </c>
    </row>
    <row r="31" spans="1:68">
      <c r="A31" s="19" t="str">
        <f t="shared" si="0"/>
        <v>АСУЭ.FB_IMst_MON_S</v>
      </c>
      <c r="B31" s="11">
        <v>11123</v>
      </c>
      <c r="C31" s="11" t="s">
        <v>0</v>
      </c>
      <c r="D31" s="20" t="str">
        <f>$AT$2</f>
        <v>6+17</v>
      </c>
    </row>
    <row r="32" spans="1:68">
      <c r="A32" s="19" t="str">
        <f t="shared" si="0"/>
        <v>АСУЭ.FB_IMst_MON_S</v>
      </c>
      <c r="B32" s="11">
        <v>11124</v>
      </c>
      <c r="C32" s="11" t="s">
        <v>0</v>
      </c>
      <c r="D32" s="20" t="str">
        <f>$AU$2</f>
        <v>6+22</v>
      </c>
    </row>
    <row r="33" spans="1:61">
      <c r="A33" s="19" t="str">
        <f t="shared" si="0"/>
        <v>АСУЭ.FB_IMst_MON_S</v>
      </c>
      <c r="B33" s="11">
        <v>11125</v>
      </c>
      <c r="C33" s="11" t="s">
        <v>0</v>
      </c>
      <c r="D33" s="20" t="str">
        <f>$AP$2</f>
        <v>6+7</v>
      </c>
    </row>
    <row r="34" spans="1:61">
      <c r="A34" s="16" t="str">
        <f t="shared" si="0"/>
        <v>АСУЭ.FB_IMst_MON_S</v>
      </c>
      <c r="B34" s="17">
        <v>13</v>
      </c>
      <c r="C34" s="17" t="s">
        <v>2</v>
      </c>
      <c r="D34" s="18" t="s">
        <v>3</v>
      </c>
    </row>
    <row r="35" spans="1:61" ht="15" customHeight="1">
      <c r="A35" s="19" t="str">
        <f t="shared" si="0"/>
        <v>АСУЭ.FB_IMst_MON_S</v>
      </c>
      <c r="B35" s="11">
        <v>3000013</v>
      </c>
      <c r="C35" s="11" t="s">
        <v>0</v>
      </c>
      <c r="D35" s="20" t="str">
        <f>$AE$2</f>
        <v>Диагностика.CPU.NOT_LINK.noLink</v>
      </c>
      <c r="BF35" s="4"/>
      <c r="BG35" s="4"/>
      <c r="BH35" s="4"/>
      <c r="BI35" s="4"/>
    </row>
    <row r="36" spans="1:61" ht="15" customHeight="1">
      <c r="A36" s="19" t="str">
        <f t="shared" si="0"/>
        <v>АСУЭ.FB_IMst_MON_S</v>
      </c>
      <c r="B36" s="11">
        <v>4000013</v>
      </c>
      <c r="C36" s="11" t="s">
        <v>0</v>
      </c>
      <c r="D36" s="20" t="s">
        <v>1770</v>
      </c>
      <c r="BF36" s="4"/>
      <c r="BG36" s="4"/>
      <c r="BH36" s="4"/>
      <c r="BI36" s="4"/>
    </row>
    <row r="37" spans="1:61" ht="15" customHeight="1">
      <c r="A37" s="21" t="str">
        <f t="shared" si="0"/>
        <v>АСУЭ.FB_IMst_MON_S</v>
      </c>
      <c r="B37" s="8">
        <v>7000013</v>
      </c>
      <c r="C37" s="8" t="s">
        <v>6</v>
      </c>
      <c r="D37" s="22">
        <v>2</v>
      </c>
      <c r="BF37" s="4"/>
      <c r="BG37" s="4"/>
      <c r="BH37" s="4"/>
      <c r="BI37" s="4"/>
    </row>
    <row r="38" spans="1:61">
      <c r="A38" s="32" t="str">
        <f t="shared" ref="A38:A47" si="1">$R$2&amp;".FRQX"</f>
        <v>АСУЭ.FB_IMst_MON_S.FRQX</v>
      </c>
      <c r="B38" s="33">
        <v>1</v>
      </c>
      <c r="C38" s="33" t="s">
        <v>1</v>
      </c>
      <c r="D38" s="34">
        <v>11</v>
      </c>
    </row>
    <row r="39" spans="1:61">
      <c r="A39" s="35" t="str">
        <f t="shared" si="1"/>
        <v>АСУЭ.FB_IMst_MON_S.FRQX</v>
      </c>
      <c r="B39" s="36">
        <v>2</v>
      </c>
      <c r="C39" s="36" t="s">
        <v>2</v>
      </c>
      <c r="D39" s="37" t="s">
        <v>175</v>
      </c>
    </row>
    <row r="40" spans="1:61">
      <c r="A40" s="35" t="str">
        <f t="shared" si="1"/>
        <v>АСУЭ.FB_IMst_MON_S.FRQX</v>
      </c>
      <c r="B40" s="36">
        <v>3</v>
      </c>
      <c r="C40" s="36" t="s">
        <v>1</v>
      </c>
      <c r="D40" s="37">
        <v>192</v>
      </c>
    </row>
    <row r="41" spans="1:61">
      <c r="A41" s="35" t="str">
        <f t="shared" si="1"/>
        <v>АСУЭ.FB_IMst_MON_S.FRQX</v>
      </c>
      <c r="B41" s="36">
        <v>101</v>
      </c>
      <c r="C41" s="36" t="s">
        <v>0</v>
      </c>
      <c r="D41" s="37" t="s">
        <v>157</v>
      </c>
    </row>
    <row r="42" spans="1:61">
      <c r="A42" s="35" t="str">
        <f t="shared" si="1"/>
        <v>АСУЭ.FB_IMst_MON_S.FRQX</v>
      </c>
      <c r="B42" s="36">
        <v>7998</v>
      </c>
      <c r="C42" s="36" t="s">
        <v>6</v>
      </c>
      <c r="D42" s="37">
        <v>1</v>
      </c>
    </row>
    <row r="43" spans="1:61">
      <c r="A43" s="35" t="str">
        <f t="shared" si="1"/>
        <v>АСУЭ.FB_IMst_MON_S.FRQX</v>
      </c>
      <c r="B43" s="36">
        <v>7999</v>
      </c>
      <c r="C43" s="36" t="s">
        <v>0</v>
      </c>
      <c r="D43" s="37" t="str">
        <f>"#"&amp;$S$2&amp;"#"&amp;$T$2&amp;"\"&amp;$P$2&amp;"\FRQX"</f>
        <v>#1#treiOPCDA.CoOPCserv.1\pcmaster\ZRU_OL1_st\FRQX</v>
      </c>
    </row>
    <row r="44" spans="1:61">
      <c r="A44" s="176" t="str">
        <f t="shared" si="1"/>
        <v>АСУЭ.FB_IMst_MON_S.FRQX</v>
      </c>
      <c r="B44" s="177">
        <v>11000</v>
      </c>
      <c r="C44" s="177" t="s">
        <v>5</v>
      </c>
      <c r="D44" s="181">
        <v>2147483680</v>
      </c>
    </row>
    <row r="45" spans="1:61">
      <c r="A45" s="176" t="str">
        <f t="shared" si="1"/>
        <v>АСУЭ.FB_IMst_MON_S.FRQX</v>
      </c>
      <c r="B45" s="177">
        <v>11150</v>
      </c>
      <c r="C45" s="177" t="s">
        <v>0</v>
      </c>
      <c r="D45" s="181" t="s">
        <v>157</v>
      </c>
    </row>
    <row r="46" spans="1:61">
      <c r="A46" s="176" t="str">
        <f t="shared" si="1"/>
        <v>АСУЭ.FB_IMst_MON_S.FRQX</v>
      </c>
      <c r="B46" s="177">
        <v>11152</v>
      </c>
      <c r="C46" s="177" t="s">
        <v>0</v>
      </c>
      <c r="D46" s="181" t="str">
        <f>$R$6</f>
        <v>Предупреждение</v>
      </c>
    </row>
    <row r="47" spans="1:61">
      <c r="A47" s="178" t="str">
        <f t="shared" si="1"/>
        <v>АСУЭ.FB_IMst_MON_S.FRQX</v>
      </c>
      <c r="B47" s="179">
        <v>11154</v>
      </c>
      <c r="C47" s="179" t="s">
        <v>4</v>
      </c>
      <c r="D47" s="180">
        <f>$Q$6</f>
        <v>8</v>
      </c>
    </row>
    <row r="48" spans="1:61">
      <c r="A48" s="32" t="str">
        <f t="shared" ref="A48:A57" si="2">$R$2&amp;".FDTX"</f>
        <v>АСУЭ.FB_IMst_MON_S.FDTX</v>
      </c>
      <c r="B48" s="33">
        <v>1</v>
      </c>
      <c r="C48" s="33" t="s">
        <v>1</v>
      </c>
      <c r="D48" s="34">
        <v>11</v>
      </c>
    </row>
    <row r="49" spans="1:4">
      <c r="A49" s="35" t="str">
        <f t="shared" si="2"/>
        <v>АСУЭ.FB_IMst_MON_S.FDTX</v>
      </c>
      <c r="B49" s="36">
        <v>2</v>
      </c>
      <c r="C49" s="36" t="s">
        <v>2</v>
      </c>
      <c r="D49" s="37" t="s">
        <v>175</v>
      </c>
    </row>
    <row r="50" spans="1:4">
      <c r="A50" s="35" t="str">
        <f t="shared" si="2"/>
        <v>АСУЭ.FB_IMst_MON_S.FDTX</v>
      </c>
      <c r="B50" s="36">
        <v>3</v>
      </c>
      <c r="C50" s="36" t="s">
        <v>1</v>
      </c>
      <c r="D50" s="37">
        <v>192</v>
      </c>
    </row>
    <row r="51" spans="1:4">
      <c r="A51" s="35" t="str">
        <f t="shared" si="2"/>
        <v>АСУЭ.FB_IMst_MON_S.FDTX</v>
      </c>
      <c r="B51" s="36">
        <v>101</v>
      </c>
      <c r="C51" s="36" t="s">
        <v>0</v>
      </c>
      <c r="D51" s="37" t="s">
        <v>160</v>
      </c>
    </row>
    <row r="52" spans="1:4">
      <c r="A52" s="35" t="str">
        <f t="shared" si="2"/>
        <v>АСУЭ.FB_IMst_MON_S.FDTX</v>
      </c>
      <c r="B52" s="36">
        <v>7998</v>
      </c>
      <c r="C52" s="36" t="s">
        <v>6</v>
      </c>
      <c r="D52" s="37">
        <v>1</v>
      </c>
    </row>
    <row r="53" spans="1:4">
      <c r="A53" s="35" t="str">
        <f t="shared" si="2"/>
        <v>АСУЭ.FB_IMst_MON_S.FDTX</v>
      </c>
      <c r="B53" s="36">
        <v>7999</v>
      </c>
      <c r="C53" s="36" t="s">
        <v>0</v>
      </c>
      <c r="D53" s="37" t="str">
        <f>"#"&amp;$S$2&amp;"#"&amp;$T$2&amp;"\"&amp;$P$2&amp;"\FDTX"</f>
        <v>#1#treiOPCDA.CoOPCserv.1\pcmaster\ZRU_OL1_st\FDTX</v>
      </c>
    </row>
    <row r="54" spans="1:4">
      <c r="A54" s="232" t="str">
        <f t="shared" si="2"/>
        <v>АСУЭ.FB_IMst_MON_S.FDTX</v>
      </c>
      <c r="B54" s="233">
        <v>11000</v>
      </c>
      <c r="C54" s="233" t="s">
        <v>5</v>
      </c>
      <c r="D54" s="234">
        <v>2147483680</v>
      </c>
    </row>
    <row r="55" spans="1:4">
      <c r="A55" s="232" t="str">
        <f t="shared" si="2"/>
        <v>АСУЭ.FB_IMst_MON_S.FDTX</v>
      </c>
      <c r="B55" s="233">
        <v>11150</v>
      </c>
      <c r="C55" s="233" t="s">
        <v>0</v>
      </c>
      <c r="D55" s="234" t="s">
        <v>160</v>
      </c>
    </row>
    <row r="56" spans="1:4">
      <c r="A56" s="232" t="str">
        <f t="shared" si="2"/>
        <v>АСУЭ.FB_IMst_MON_S.FDTX</v>
      </c>
      <c r="B56" s="233">
        <v>11152</v>
      </c>
      <c r="C56" s="233" t="s">
        <v>0</v>
      </c>
      <c r="D56" s="234" t="str">
        <f>$R$7</f>
        <v>Неисправность</v>
      </c>
    </row>
    <row r="57" spans="1:4">
      <c r="A57" s="235" t="str">
        <f t="shared" si="2"/>
        <v>АСУЭ.FB_IMst_MON_S.FDTX</v>
      </c>
      <c r="B57" s="236">
        <v>11154</v>
      </c>
      <c r="C57" s="236" t="s">
        <v>4</v>
      </c>
      <c r="D57" s="237">
        <f>$Q$7</f>
        <v>12</v>
      </c>
    </row>
    <row r="58" spans="1:4">
      <c r="A58" s="32" t="str">
        <f t="shared" ref="A58:A67" si="3">$R$2&amp;".IFXX"</f>
        <v>АСУЭ.FB_IMst_MON_S.IFXX</v>
      </c>
      <c r="B58" s="33">
        <v>1</v>
      </c>
      <c r="C58" s="33" t="s">
        <v>1</v>
      </c>
      <c r="D58" s="34">
        <v>11</v>
      </c>
    </row>
    <row r="59" spans="1:4">
      <c r="A59" s="35" t="str">
        <f t="shared" si="3"/>
        <v>АСУЭ.FB_IMst_MON_S.IFXX</v>
      </c>
      <c r="B59" s="36">
        <v>2</v>
      </c>
      <c r="C59" s="36" t="s">
        <v>2</v>
      </c>
      <c r="D59" s="37" t="s">
        <v>175</v>
      </c>
    </row>
    <row r="60" spans="1:4">
      <c r="A60" s="35" t="str">
        <f t="shared" si="3"/>
        <v>АСУЭ.FB_IMst_MON_S.IFXX</v>
      </c>
      <c r="B60" s="36">
        <v>3</v>
      </c>
      <c r="C60" s="36" t="s">
        <v>1</v>
      </c>
      <c r="D60" s="37">
        <v>192</v>
      </c>
    </row>
    <row r="61" spans="1:4">
      <c r="A61" s="35" t="str">
        <f t="shared" si="3"/>
        <v>АСУЭ.FB_IMst_MON_S.IFXX</v>
      </c>
      <c r="B61" s="36">
        <v>101</v>
      </c>
      <c r="C61" s="36" t="s">
        <v>0</v>
      </c>
      <c r="D61" s="37" t="s">
        <v>176</v>
      </c>
    </row>
    <row r="62" spans="1:4">
      <c r="A62" s="35" t="str">
        <f t="shared" si="3"/>
        <v>АСУЭ.FB_IMst_MON_S.IFXX</v>
      </c>
      <c r="B62" s="36">
        <v>7998</v>
      </c>
      <c r="C62" s="36" t="s">
        <v>6</v>
      </c>
      <c r="D62" s="37">
        <v>1</v>
      </c>
    </row>
    <row r="63" spans="1:4">
      <c r="A63" s="35" t="str">
        <f t="shared" si="3"/>
        <v>АСУЭ.FB_IMst_MON_S.IFXX</v>
      </c>
      <c r="B63" s="36">
        <v>7999</v>
      </c>
      <c r="C63" s="36" t="s">
        <v>0</v>
      </c>
      <c r="D63" s="37" t="str">
        <f>"#"&amp;$S$2&amp;"#"&amp;$T$2&amp;"\"&amp;$P$2&amp;"\IFXX"</f>
        <v>#1#treiOPCDA.CoOPCserv.1\pcmaster\ZRU_OL1_st\IFXX</v>
      </c>
    </row>
    <row r="64" spans="1:4">
      <c r="A64" s="232" t="str">
        <f t="shared" si="3"/>
        <v>АСУЭ.FB_IMst_MON_S.IFXX</v>
      </c>
      <c r="B64" s="233">
        <v>11000</v>
      </c>
      <c r="C64" s="233" t="s">
        <v>5</v>
      </c>
      <c r="D64" s="234">
        <v>2147483680</v>
      </c>
    </row>
    <row r="65" spans="1:4">
      <c r="A65" s="232" t="str">
        <f t="shared" si="3"/>
        <v>АСУЭ.FB_IMst_MON_S.IFXX</v>
      </c>
      <c r="B65" s="233">
        <v>11150</v>
      </c>
      <c r="C65" s="233" t="s">
        <v>0</v>
      </c>
      <c r="D65" s="234" t="s">
        <v>110</v>
      </c>
    </row>
    <row r="66" spans="1:4">
      <c r="A66" s="232" t="str">
        <f t="shared" si="3"/>
        <v>АСУЭ.FB_IMst_MON_S.IFXX</v>
      </c>
      <c r="B66" s="233">
        <v>11152</v>
      </c>
      <c r="C66" s="233" t="s">
        <v>0</v>
      </c>
      <c r="D66" s="234" t="str">
        <f>$R$7</f>
        <v>Неисправность</v>
      </c>
    </row>
    <row r="67" spans="1:4">
      <c r="A67" s="235" t="str">
        <f t="shared" si="3"/>
        <v>АСУЭ.FB_IMst_MON_S.IFXX</v>
      </c>
      <c r="B67" s="236">
        <v>11154</v>
      </c>
      <c r="C67" s="236" t="s">
        <v>4</v>
      </c>
      <c r="D67" s="237">
        <f>$Q$7</f>
        <v>12</v>
      </c>
    </row>
    <row r="68" spans="1:4">
      <c r="A68" s="32" t="str">
        <f t="shared" ref="A68:A77" si="4">$R$2&amp;".FUSX"</f>
        <v>АСУЭ.FB_IMst_MON_S.FUSX</v>
      </c>
      <c r="B68" s="33">
        <v>1</v>
      </c>
      <c r="C68" s="33" t="s">
        <v>1</v>
      </c>
      <c r="D68" s="34">
        <v>11</v>
      </c>
    </row>
    <row r="69" spans="1:4">
      <c r="A69" s="35" t="str">
        <f t="shared" si="4"/>
        <v>АСУЭ.FB_IMst_MON_S.FUSX</v>
      </c>
      <c r="B69" s="36">
        <v>2</v>
      </c>
      <c r="C69" s="36" t="s">
        <v>2</v>
      </c>
      <c r="D69" s="37" t="s">
        <v>175</v>
      </c>
    </row>
    <row r="70" spans="1:4">
      <c r="A70" s="35" t="str">
        <f t="shared" si="4"/>
        <v>АСУЭ.FB_IMst_MON_S.FUSX</v>
      </c>
      <c r="B70" s="36">
        <v>3</v>
      </c>
      <c r="C70" s="36" t="s">
        <v>1</v>
      </c>
      <c r="D70" s="37">
        <v>192</v>
      </c>
    </row>
    <row r="71" spans="1:4">
      <c r="A71" s="35" t="str">
        <f t="shared" si="4"/>
        <v>АСУЭ.FB_IMst_MON_S.FUSX</v>
      </c>
      <c r="B71" s="36">
        <v>101</v>
      </c>
      <c r="C71" s="36" t="s">
        <v>0</v>
      </c>
      <c r="D71" s="37" t="s">
        <v>1854</v>
      </c>
    </row>
    <row r="72" spans="1:4">
      <c r="A72" s="35" t="str">
        <f t="shared" si="4"/>
        <v>АСУЭ.FB_IMst_MON_S.FUSX</v>
      </c>
      <c r="B72" s="36">
        <v>7998</v>
      </c>
      <c r="C72" s="36" t="s">
        <v>6</v>
      </c>
      <c r="D72" s="37">
        <v>1</v>
      </c>
    </row>
    <row r="73" spans="1:4">
      <c r="A73" s="35" t="str">
        <f t="shared" si="4"/>
        <v>АСУЭ.FB_IMst_MON_S.FUSX</v>
      </c>
      <c r="B73" s="36">
        <v>7999</v>
      </c>
      <c r="C73" s="36" t="s">
        <v>0</v>
      </c>
      <c r="D73" s="37" t="str">
        <f>"#"&amp;$S$2&amp;"#"&amp;$T$2&amp;"\"&amp;$P$2&amp;"\FUSX"</f>
        <v>#1#treiOPCDA.CoOPCserv.1\pcmaster\ZRU_OL1_st\FUSX</v>
      </c>
    </row>
    <row r="74" spans="1:4">
      <c r="A74" s="232" t="str">
        <f t="shared" si="4"/>
        <v>АСУЭ.FB_IMst_MON_S.FUSX</v>
      </c>
      <c r="B74" s="233">
        <v>11000</v>
      </c>
      <c r="C74" s="233" t="s">
        <v>5</v>
      </c>
      <c r="D74" s="234">
        <v>2147483680</v>
      </c>
    </row>
    <row r="75" spans="1:4">
      <c r="A75" s="232" t="str">
        <f t="shared" si="4"/>
        <v>АСУЭ.FB_IMst_MON_S.FUSX</v>
      </c>
      <c r="B75" s="233">
        <v>11150</v>
      </c>
      <c r="C75" s="233" t="s">
        <v>0</v>
      </c>
      <c r="D75" s="234" t="s">
        <v>1854</v>
      </c>
    </row>
    <row r="76" spans="1:4">
      <c r="A76" s="232" t="str">
        <f t="shared" si="4"/>
        <v>АСУЭ.FB_IMst_MON_S.FUSX</v>
      </c>
      <c r="B76" s="233">
        <v>11152</v>
      </c>
      <c r="C76" s="233" t="s">
        <v>0</v>
      </c>
      <c r="D76" s="234" t="str">
        <f>$R$7</f>
        <v>Неисправность</v>
      </c>
    </row>
    <row r="77" spans="1:4">
      <c r="A77" s="235" t="str">
        <f t="shared" si="4"/>
        <v>АСУЭ.FB_IMst_MON_S.FUSX</v>
      </c>
      <c r="B77" s="236">
        <v>11154</v>
      </c>
      <c r="C77" s="236" t="s">
        <v>4</v>
      </c>
      <c r="D77" s="237">
        <f>$Q$7</f>
        <v>12</v>
      </c>
    </row>
    <row r="78" spans="1:4">
      <c r="A78" s="32" t="str">
        <f t="shared" ref="A78:A87" si="5">$R$2&amp;".FDSX"</f>
        <v>АСУЭ.FB_IMst_MON_S.FDSX</v>
      </c>
      <c r="B78" s="33">
        <v>1</v>
      </c>
      <c r="C78" s="33" t="s">
        <v>1</v>
      </c>
      <c r="D78" s="34">
        <v>11</v>
      </c>
    </row>
    <row r="79" spans="1:4">
      <c r="A79" s="35" t="str">
        <f t="shared" si="5"/>
        <v>АСУЭ.FB_IMst_MON_S.FDSX</v>
      </c>
      <c r="B79" s="36">
        <v>2</v>
      </c>
      <c r="C79" s="36" t="s">
        <v>2</v>
      </c>
      <c r="D79" s="37" t="s">
        <v>175</v>
      </c>
    </row>
    <row r="80" spans="1:4">
      <c r="A80" s="35" t="str">
        <f t="shared" si="5"/>
        <v>АСУЭ.FB_IMst_MON_S.FDSX</v>
      </c>
      <c r="B80" s="36">
        <v>3</v>
      </c>
      <c r="C80" s="36" t="s">
        <v>1</v>
      </c>
      <c r="D80" s="37">
        <v>192</v>
      </c>
    </row>
    <row r="81" spans="1:4">
      <c r="A81" s="35" t="str">
        <f t="shared" si="5"/>
        <v>АСУЭ.FB_IMst_MON_S.FDSX</v>
      </c>
      <c r="B81" s="36">
        <v>101</v>
      </c>
      <c r="C81" s="36" t="s">
        <v>0</v>
      </c>
      <c r="D81" s="37" t="s">
        <v>1855</v>
      </c>
    </row>
    <row r="82" spans="1:4">
      <c r="A82" s="35" t="str">
        <f t="shared" si="5"/>
        <v>АСУЭ.FB_IMst_MON_S.FDSX</v>
      </c>
      <c r="B82" s="36">
        <v>7998</v>
      </c>
      <c r="C82" s="36" t="s">
        <v>6</v>
      </c>
      <c r="D82" s="37">
        <v>1</v>
      </c>
    </row>
    <row r="83" spans="1:4">
      <c r="A83" s="35" t="str">
        <f t="shared" si="5"/>
        <v>АСУЭ.FB_IMst_MON_S.FDSX</v>
      </c>
      <c r="B83" s="36">
        <v>7999</v>
      </c>
      <c r="C83" s="36" t="s">
        <v>0</v>
      </c>
      <c r="D83" s="37" t="str">
        <f>"#"&amp;$S$2&amp;"#"&amp;$T$2&amp;"\"&amp;$P$2&amp;"\FDSX"</f>
        <v>#1#treiOPCDA.CoOPCserv.1\pcmaster\ZRU_OL1_st\FDSX</v>
      </c>
    </row>
    <row r="84" spans="1:4">
      <c r="A84" s="232" t="str">
        <f t="shared" si="5"/>
        <v>АСУЭ.FB_IMst_MON_S.FDSX</v>
      </c>
      <c r="B84" s="233">
        <v>11000</v>
      </c>
      <c r="C84" s="233" t="s">
        <v>5</v>
      </c>
      <c r="D84" s="234">
        <v>2147483680</v>
      </c>
    </row>
    <row r="85" spans="1:4">
      <c r="A85" s="232" t="str">
        <f t="shared" si="5"/>
        <v>АСУЭ.FB_IMst_MON_S.FDSX</v>
      </c>
      <c r="B85" s="233">
        <v>11150</v>
      </c>
      <c r="C85" s="233" t="s">
        <v>0</v>
      </c>
      <c r="D85" s="234" t="s">
        <v>1855</v>
      </c>
    </row>
    <row r="86" spans="1:4">
      <c r="A86" s="232" t="str">
        <f t="shared" si="5"/>
        <v>АСУЭ.FB_IMst_MON_S.FDSX</v>
      </c>
      <c r="B86" s="233">
        <v>11152</v>
      </c>
      <c r="C86" s="233" t="s">
        <v>0</v>
      </c>
      <c r="D86" s="234" t="str">
        <f>$R$7</f>
        <v>Неисправность</v>
      </c>
    </row>
    <row r="87" spans="1:4">
      <c r="A87" s="235" t="str">
        <f t="shared" si="5"/>
        <v>АСУЭ.FB_IMst_MON_S.FDSX</v>
      </c>
      <c r="B87" s="236">
        <v>11154</v>
      </c>
      <c r="C87" s="236" t="s">
        <v>4</v>
      </c>
      <c r="D87" s="237">
        <f>$Q$7</f>
        <v>12</v>
      </c>
    </row>
    <row r="88" spans="1:4">
      <c r="A88" s="32" t="str">
        <f t="shared" ref="A88:A97" si="6">$R$2&amp;".FUTX"</f>
        <v>АСУЭ.FB_IMst_MON_S.FUTX</v>
      </c>
      <c r="B88" s="33">
        <v>1</v>
      </c>
      <c r="C88" s="33" t="s">
        <v>1</v>
      </c>
      <c r="D88" s="34">
        <v>11</v>
      </c>
    </row>
    <row r="89" spans="1:4">
      <c r="A89" s="35" t="str">
        <f t="shared" si="6"/>
        <v>АСУЭ.FB_IMst_MON_S.FUTX</v>
      </c>
      <c r="B89" s="36">
        <v>2</v>
      </c>
      <c r="C89" s="36" t="s">
        <v>2</v>
      </c>
      <c r="D89" s="37" t="s">
        <v>175</v>
      </c>
    </row>
    <row r="90" spans="1:4">
      <c r="A90" s="35" t="str">
        <f t="shared" si="6"/>
        <v>АСУЭ.FB_IMst_MON_S.FUTX</v>
      </c>
      <c r="B90" s="36">
        <v>3</v>
      </c>
      <c r="C90" s="36" t="s">
        <v>1</v>
      </c>
      <c r="D90" s="37">
        <v>192</v>
      </c>
    </row>
    <row r="91" spans="1:4">
      <c r="A91" s="35" t="str">
        <f t="shared" si="6"/>
        <v>АСУЭ.FB_IMst_MON_S.FUTX</v>
      </c>
      <c r="B91" s="36">
        <v>101</v>
      </c>
      <c r="C91" s="36" t="s">
        <v>0</v>
      </c>
      <c r="D91" s="37" t="s">
        <v>152</v>
      </c>
    </row>
    <row r="92" spans="1:4">
      <c r="A92" s="35" t="str">
        <f t="shared" si="6"/>
        <v>АСУЭ.FB_IMst_MON_S.FUTX</v>
      </c>
      <c r="B92" s="36">
        <v>7998</v>
      </c>
      <c r="C92" s="36" t="s">
        <v>6</v>
      </c>
      <c r="D92" s="37">
        <v>1</v>
      </c>
    </row>
    <row r="93" spans="1:4">
      <c r="A93" s="35" t="str">
        <f t="shared" si="6"/>
        <v>АСУЭ.FB_IMst_MON_S.FUTX</v>
      </c>
      <c r="B93" s="36">
        <v>7999</v>
      </c>
      <c r="C93" s="36" t="s">
        <v>0</v>
      </c>
      <c r="D93" s="37" t="str">
        <f>"#"&amp;$S$2&amp;"#"&amp;$T$2&amp;"\"&amp;$P$2&amp;"\FUTX"</f>
        <v>#1#treiOPCDA.CoOPCserv.1\pcmaster\ZRU_OL1_st\FUTX</v>
      </c>
    </row>
    <row r="94" spans="1:4">
      <c r="A94" s="232" t="str">
        <f t="shared" si="6"/>
        <v>АСУЭ.FB_IMst_MON_S.FUTX</v>
      </c>
      <c r="B94" s="233">
        <v>11000</v>
      </c>
      <c r="C94" s="233" t="s">
        <v>5</v>
      </c>
      <c r="D94" s="234">
        <v>2147483680</v>
      </c>
    </row>
    <row r="95" spans="1:4">
      <c r="A95" s="232" t="str">
        <f t="shared" si="6"/>
        <v>АСУЭ.FB_IMst_MON_S.FUTX</v>
      </c>
      <c r="B95" s="233">
        <v>11150</v>
      </c>
      <c r="C95" s="233" t="s">
        <v>0</v>
      </c>
      <c r="D95" s="234" t="s">
        <v>152</v>
      </c>
    </row>
    <row r="96" spans="1:4">
      <c r="A96" s="232" t="str">
        <f t="shared" si="6"/>
        <v>АСУЭ.FB_IMst_MON_S.FUTX</v>
      </c>
      <c r="B96" s="233">
        <v>11152</v>
      </c>
      <c r="C96" s="233" t="s">
        <v>0</v>
      </c>
      <c r="D96" s="234" t="str">
        <f>$R$7</f>
        <v>Неисправность</v>
      </c>
    </row>
    <row r="97" spans="1:4">
      <c r="A97" s="232" t="str">
        <f t="shared" si="6"/>
        <v>АСУЭ.FB_IMst_MON_S.FUTX</v>
      </c>
      <c r="B97" s="233">
        <v>11154</v>
      </c>
      <c r="C97" s="233" t="s">
        <v>4</v>
      </c>
      <c r="D97" s="234">
        <f>$Q$7</f>
        <v>12</v>
      </c>
    </row>
    <row r="98" spans="1:4">
      <c r="A98" s="32" t="str">
        <f t="shared" ref="A98:A109" si="7">$R$2&amp;".XRPX"</f>
        <v>АСУЭ.FB_IMst_MON_S.XRPX</v>
      </c>
      <c r="B98" s="33">
        <v>1</v>
      </c>
      <c r="C98" s="33" t="s">
        <v>1</v>
      </c>
      <c r="D98" s="34">
        <v>11</v>
      </c>
    </row>
    <row r="99" spans="1:4">
      <c r="A99" s="35" t="str">
        <f t="shared" si="7"/>
        <v>АСУЭ.FB_IMst_MON_S.XRPX</v>
      </c>
      <c r="B99" s="36">
        <v>2</v>
      </c>
      <c r="C99" s="36" t="s">
        <v>2</v>
      </c>
      <c r="D99" s="37" t="s">
        <v>175</v>
      </c>
    </row>
    <row r="100" spans="1:4">
      <c r="A100" s="35" t="str">
        <f t="shared" si="7"/>
        <v>АСУЭ.FB_IMst_MON_S.XRPX</v>
      </c>
      <c r="B100" s="36">
        <v>3</v>
      </c>
      <c r="C100" s="36" t="s">
        <v>1</v>
      </c>
      <c r="D100" s="37">
        <v>192</v>
      </c>
    </row>
    <row r="101" spans="1:4">
      <c r="A101" s="35" t="str">
        <f t="shared" si="7"/>
        <v>АСУЭ.FB_IMst_MON_S.XRPX</v>
      </c>
      <c r="B101" s="36">
        <v>101</v>
      </c>
      <c r="C101" s="36" t="s">
        <v>0</v>
      </c>
      <c r="D101" s="37" t="s">
        <v>137</v>
      </c>
    </row>
    <row r="102" spans="1:4">
      <c r="A102" s="35" t="str">
        <f t="shared" si="7"/>
        <v>АСУЭ.FB_IMst_MON_S.XRPX</v>
      </c>
      <c r="B102" s="36">
        <v>7998</v>
      </c>
      <c r="C102" s="36" t="s">
        <v>6</v>
      </c>
      <c r="D102" s="37">
        <v>1</v>
      </c>
    </row>
    <row r="103" spans="1:4">
      <c r="A103" s="35" t="str">
        <f t="shared" si="7"/>
        <v>АСУЭ.FB_IMst_MON_S.XRPX</v>
      </c>
      <c r="B103" s="36">
        <v>7999</v>
      </c>
      <c r="C103" s="36" t="s">
        <v>0</v>
      </c>
      <c r="D103" s="37" t="str">
        <f>"#"&amp;$S$2&amp;"#"&amp;$T$2&amp;"\"&amp;$P$2&amp;"\XRPX"</f>
        <v>#1#treiOPCDA.CoOPCserv.1\pcmaster\ZRU_OL1_st\XRPX</v>
      </c>
    </row>
    <row r="104" spans="1:4">
      <c r="A104" s="188" t="str">
        <f t="shared" si="7"/>
        <v>АСУЭ.FB_IMst_MON_S.XRPX</v>
      </c>
      <c r="B104" s="189">
        <v>11000</v>
      </c>
      <c r="C104" s="189" t="s">
        <v>5</v>
      </c>
      <c r="D104" s="190">
        <v>2147483680</v>
      </c>
    </row>
    <row r="105" spans="1:4">
      <c r="A105" s="188" t="str">
        <f t="shared" si="7"/>
        <v>АСУЭ.FB_IMst_MON_S.XRPX</v>
      </c>
      <c r="B105" s="189">
        <v>11150</v>
      </c>
      <c r="C105" s="189" t="s">
        <v>0</v>
      </c>
      <c r="D105" s="190" t="s">
        <v>89</v>
      </c>
    </row>
    <row r="106" spans="1:4">
      <c r="A106" s="188" t="str">
        <f t="shared" si="7"/>
        <v>АСУЭ.FB_IMst_MON_S.XRPX</v>
      </c>
      <c r="B106" s="189">
        <v>11152</v>
      </c>
      <c r="C106" s="189" t="s">
        <v>0</v>
      </c>
      <c r="D106" s="190" t="str">
        <f>$R$11</f>
        <v>Ремонт</v>
      </c>
    </row>
    <row r="107" spans="1:4">
      <c r="A107" s="188" t="str">
        <f t="shared" si="7"/>
        <v>АСУЭ.FB_IMst_MON_S.XRPX</v>
      </c>
      <c r="B107" s="189">
        <v>11154</v>
      </c>
      <c r="C107" s="189" t="s">
        <v>4</v>
      </c>
      <c r="D107" s="190">
        <f>$Q$11</f>
        <v>14</v>
      </c>
    </row>
    <row r="108" spans="1:4" ht="14.25" customHeight="1">
      <c r="A108" s="29" t="str">
        <f t="shared" si="7"/>
        <v>АСУЭ.FB_IMst_MON_S.XRPX</v>
      </c>
      <c r="B108" s="1">
        <v>4000000</v>
      </c>
      <c r="C108" s="1" t="s">
        <v>0</v>
      </c>
      <c r="D108" s="415" t="s">
        <v>1487</v>
      </c>
    </row>
    <row r="109" spans="1:4">
      <c r="A109" s="26" t="str">
        <f t="shared" si="7"/>
        <v>АСУЭ.FB_IMst_MON_S.XRPX</v>
      </c>
      <c r="B109" s="27">
        <v>7000000</v>
      </c>
      <c r="C109" s="27" t="s">
        <v>6</v>
      </c>
      <c r="D109" s="28">
        <v>2</v>
      </c>
    </row>
    <row r="110" spans="1:4">
      <c r="A110" s="35" t="str">
        <f t="shared" ref="A110:A119" si="8">$R$2&amp;".DOFX"</f>
        <v>АСУЭ.FB_IMst_MON_S.DOFX</v>
      </c>
      <c r="B110" s="36">
        <v>1</v>
      </c>
      <c r="C110" s="36" t="s">
        <v>1</v>
      </c>
      <c r="D110" s="37">
        <v>11</v>
      </c>
    </row>
    <row r="111" spans="1:4">
      <c r="A111" s="35" t="str">
        <f t="shared" si="8"/>
        <v>АСУЭ.FB_IMst_MON_S.DOFX</v>
      </c>
      <c r="B111" s="36">
        <v>2</v>
      </c>
      <c r="C111" s="36" t="s">
        <v>2</v>
      </c>
      <c r="D111" s="37" t="s">
        <v>175</v>
      </c>
    </row>
    <row r="112" spans="1:4">
      <c r="A112" s="35" t="str">
        <f t="shared" si="8"/>
        <v>АСУЭ.FB_IMst_MON_S.DOFX</v>
      </c>
      <c r="B112" s="36">
        <v>3</v>
      </c>
      <c r="C112" s="36" t="s">
        <v>1</v>
      </c>
      <c r="D112" s="37">
        <v>192</v>
      </c>
    </row>
    <row r="113" spans="1:4">
      <c r="A113" s="35" t="str">
        <f t="shared" si="8"/>
        <v>АСУЭ.FB_IMst_MON_S.DOFX</v>
      </c>
      <c r="B113" s="36">
        <v>101</v>
      </c>
      <c r="C113" s="36" t="s">
        <v>0</v>
      </c>
      <c r="D113" s="37" t="s">
        <v>97</v>
      </c>
    </row>
    <row r="114" spans="1:4">
      <c r="A114" s="35" t="str">
        <f t="shared" si="8"/>
        <v>АСУЭ.FB_IMst_MON_S.DOFX</v>
      </c>
      <c r="B114" s="36">
        <v>7998</v>
      </c>
      <c r="C114" s="36" t="s">
        <v>6</v>
      </c>
      <c r="D114" s="37">
        <v>1</v>
      </c>
    </row>
    <row r="115" spans="1:4">
      <c r="A115" s="35" t="str">
        <f t="shared" si="8"/>
        <v>АСУЭ.FB_IMst_MON_S.DOFX</v>
      </c>
      <c r="B115" s="36">
        <v>7999</v>
      </c>
      <c r="C115" s="36" t="s">
        <v>0</v>
      </c>
      <c r="D115" s="37" t="str">
        <f>"#"&amp;$S$2&amp;"#"&amp;$T$2&amp;"\"&amp;$P$2&amp;"\DOFX"</f>
        <v>#1#treiOPCDA.CoOPCserv.1\pcmaster\ZRU_OL1_st\DOFX</v>
      </c>
    </row>
    <row r="116" spans="1:4">
      <c r="A116" s="191" t="str">
        <f t="shared" si="8"/>
        <v>АСУЭ.FB_IMst_MON_S.DOFX</v>
      </c>
      <c r="B116" s="192">
        <v>11000</v>
      </c>
      <c r="C116" s="192" t="s">
        <v>5</v>
      </c>
      <c r="D116" s="193">
        <v>2147483680</v>
      </c>
    </row>
    <row r="117" spans="1:4">
      <c r="A117" s="191" t="str">
        <f t="shared" si="8"/>
        <v>АСУЭ.FB_IMst_MON_S.DOFX</v>
      </c>
      <c r="B117" s="192">
        <v>11150</v>
      </c>
      <c r="C117" s="192" t="s">
        <v>0</v>
      </c>
      <c r="D117" s="193" t="s">
        <v>98</v>
      </c>
    </row>
    <row r="118" spans="1:4">
      <c r="A118" s="191" t="str">
        <f t="shared" si="8"/>
        <v>АСУЭ.FB_IMst_MON_S.DOFX</v>
      </c>
      <c r="B118" s="192">
        <v>11152</v>
      </c>
      <c r="C118" s="192" t="s">
        <v>0</v>
      </c>
      <c r="D118" s="193" t="str">
        <f>$R$9</f>
        <v>Недостоверность</v>
      </c>
    </row>
    <row r="119" spans="1:4">
      <c r="A119" s="194" t="str">
        <f t="shared" si="8"/>
        <v>АСУЭ.FB_IMst_MON_S.DOFX</v>
      </c>
      <c r="B119" s="195">
        <v>11154</v>
      </c>
      <c r="C119" s="195" t="s">
        <v>4</v>
      </c>
      <c r="D119" s="196">
        <f>$Q$9</f>
        <v>10</v>
      </c>
    </row>
    <row r="120" spans="1:4">
      <c r="A120" s="32" t="str">
        <f t="shared" ref="A120:A129" si="9">$R$2&amp;".DTON"</f>
        <v>АСУЭ.FB_IMst_MON_S.DTON</v>
      </c>
      <c r="B120" s="33">
        <v>1</v>
      </c>
      <c r="C120" s="33" t="s">
        <v>1</v>
      </c>
      <c r="D120" s="34">
        <v>11</v>
      </c>
    </row>
    <row r="121" spans="1:4">
      <c r="A121" s="35" t="str">
        <f t="shared" si="9"/>
        <v>АСУЭ.FB_IMst_MON_S.DTON</v>
      </c>
      <c r="B121" s="36">
        <v>2</v>
      </c>
      <c r="C121" s="36" t="s">
        <v>2</v>
      </c>
      <c r="D121" s="37" t="s">
        <v>175</v>
      </c>
    </row>
    <row r="122" spans="1:4">
      <c r="A122" s="35" t="str">
        <f t="shared" si="9"/>
        <v>АСУЭ.FB_IMst_MON_S.DTON</v>
      </c>
      <c r="B122" s="36">
        <v>3</v>
      </c>
      <c r="C122" s="36" t="s">
        <v>1</v>
      </c>
      <c r="D122" s="37">
        <v>192</v>
      </c>
    </row>
    <row r="123" spans="1:4">
      <c r="A123" s="35" t="str">
        <f t="shared" si="9"/>
        <v>АСУЭ.FB_IMst_MON_S.DTON</v>
      </c>
      <c r="B123" s="36">
        <v>101</v>
      </c>
      <c r="C123" s="36" t="s">
        <v>0</v>
      </c>
      <c r="D123" s="37" t="s">
        <v>95</v>
      </c>
    </row>
    <row r="124" spans="1:4">
      <c r="A124" s="35" t="str">
        <f t="shared" si="9"/>
        <v>АСУЭ.FB_IMst_MON_S.DTON</v>
      </c>
      <c r="B124" s="36">
        <v>7998</v>
      </c>
      <c r="C124" s="36" t="s">
        <v>6</v>
      </c>
      <c r="D124" s="37">
        <v>1</v>
      </c>
    </row>
    <row r="125" spans="1:4">
      <c r="A125" s="35" t="str">
        <f t="shared" si="9"/>
        <v>АСУЭ.FB_IMst_MON_S.DTON</v>
      </c>
      <c r="B125" s="36">
        <v>7999</v>
      </c>
      <c r="C125" s="36" t="s">
        <v>0</v>
      </c>
      <c r="D125" s="37" t="str">
        <f>"#"&amp;$S$2&amp;"#"&amp;$T$2&amp;"\"&amp;$P$2&amp;"\DTON"</f>
        <v>#1#treiOPCDA.CoOPCserv.1\pcmaster\ZRU_OL1_st\DTON</v>
      </c>
    </row>
    <row r="126" spans="1:4">
      <c r="A126" s="191" t="str">
        <f t="shared" si="9"/>
        <v>АСУЭ.FB_IMst_MON_S.DTON</v>
      </c>
      <c r="B126" s="192">
        <v>11000</v>
      </c>
      <c r="C126" s="192" t="s">
        <v>5</v>
      </c>
      <c r="D126" s="193">
        <v>2147483680</v>
      </c>
    </row>
    <row r="127" spans="1:4">
      <c r="A127" s="191" t="str">
        <f t="shared" si="9"/>
        <v>АСУЭ.FB_IMst_MON_S.DTON</v>
      </c>
      <c r="B127" s="192">
        <v>11150</v>
      </c>
      <c r="C127" s="192" t="s">
        <v>0</v>
      </c>
      <c r="D127" s="193" t="s">
        <v>96</v>
      </c>
    </row>
    <row r="128" spans="1:4">
      <c r="A128" s="191" t="str">
        <f t="shared" si="9"/>
        <v>АСУЭ.FB_IMst_MON_S.DTON</v>
      </c>
      <c r="B128" s="192">
        <v>11152</v>
      </c>
      <c r="C128" s="192" t="s">
        <v>0</v>
      </c>
      <c r="D128" s="193" t="str">
        <f>$R$9</f>
        <v>Недостоверность</v>
      </c>
    </row>
    <row r="129" spans="1:4">
      <c r="A129" s="194" t="str">
        <f t="shared" si="9"/>
        <v>АСУЭ.FB_IMst_MON_S.DTON</v>
      </c>
      <c r="B129" s="195">
        <v>11154</v>
      </c>
      <c r="C129" s="195" t="s">
        <v>4</v>
      </c>
      <c r="D129" s="196">
        <f>$Q$9</f>
        <v>10</v>
      </c>
    </row>
    <row r="130" spans="1:4">
      <c r="A130" s="32" t="str">
        <f t="shared" ref="A130:A139" si="10">$R$2&amp;".DTOF"</f>
        <v>АСУЭ.FB_IMst_MON_S.DTOF</v>
      </c>
      <c r="B130" s="33">
        <v>1</v>
      </c>
      <c r="C130" s="33" t="s">
        <v>1</v>
      </c>
      <c r="D130" s="34">
        <v>11</v>
      </c>
    </row>
    <row r="131" spans="1:4">
      <c r="A131" s="35" t="str">
        <f t="shared" si="10"/>
        <v>АСУЭ.FB_IMst_MON_S.DTOF</v>
      </c>
      <c r="B131" s="36">
        <v>2</v>
      </c>
      <c r="C131" s="36" t="s">
        <v>2</v>
      </c>
      <c r="D131" s="37" t="s">
        <v>175</v>
      </c>
    </row>
    <row r="132" spans="1:4">
      <c r="A132" s="35" t="str">
        <f t="shared" si="10"/>
        <v>АСУЭ.FB_IMst_MON_S.DTOF</v>
      </c>
      <c r="B132" s="36">
        <v>3</v>
      </c>
      <c r="C132" s="36" t="s">
        <v>1</v>
      </c>
      <c r="D132" s="37">
        <v>192</v>
      </c>
    </row>
    <row r="133" spans="1:4">
      <c r="A133" s="35" t="str">
        <f t="shared" si="10"/>
        <v>АСУЭ.FB_IMst_MON_S.DTOF</v>
      </c>
      <c r="B133" s="36">
        <v>101</v>
      </c>
      <c r="C133" s="36" t="s">
        <v>0</v>
      </c>
      <c r="D133" s="37" t="s">
        <v>120</v>
      </c>
    </row>
    <row r="134" spans="1:4">
      <c r="A134" s="35" t="str">
        <f t="shared" si="10"/>
        <v>АСУЭ.FB_IMst_MON_S.DTOF</v>
      </c>
      <c r="B134" s="36">
        <v>7998</v>
      </c>
      <c r="C134" s="36" t="s">
        <v>6</v>
      </c>
      <c r="D134" s="37">
        <v>1</v>
      </c>
    </row>
    <row r="135" spans="1:4">
      <c r="A135" s="35" t="str">
        <f t="shared" si="10"/>
        <v>АСУЭ.FB_IMst_MON_S.DTOF</v>
      </c>
      <c r="B135" s="36">
        <v>7999</v>
      </c>
      <c r="C135" s="36" t="s">
        <v>0</v>
      </c>
      <c r="D135" s="37" t="str">
        <f>"#"&amp;$S$2&amp;"#"&amp;$T$2&amp;"\"&amp;$P$2&amp;"\DTOF"</f>
        <v>#1#treiOPCDA.CoOPCserv.1\pcmaster\ZRU_OL1_st\DTOF</v>
      </c>
    </row>
    <row r="136" spans="1:4">
      <c r="A136" s="191" t="str">
        <f t="shared" si="10"/>
        <v>АСУЭ.FB_IMst_MON_S.DTOF</v>
      </c>
      <c r="B136" s="192">
        <v>11000</v>
      </c>
      <c r="C136" s="192" t="s">
        <v>5</v>
      </c>
      <c r="D136" s="193">
        <v>2147483680</v>
      </c>
    </row>
    <row r="137" spans="1:4">
      <c r="A137" s="191" t="str">
        <f t="shared" si="10"/>
        <v>АСУЭ.FB_IMst_MON_S.DTOF</v>
      </c>
      <c r="B137" s="192">
        <v>11150</v>
      </c>
      <c r="C137" s="192" t="s">
        <v>0</v>
      </c>
      <c r="D137" s="193" t="s">
        <v>121</v>
      </c>
    </row>
    <row r="138" spans="1:4">
      <c r="A138" s="191" t="str">
        <f t="shared" si="10"/>
        <v>АСУЭ.FB_IMst_MON_S.DTOF</v>
      </c>
      <c r="B138" s="192">
        <v>11152</v>
      </c>
      <c r="C138" s="192" t="s">
        <v>0</v>
      </c>
      <c r="D138" s="193" t="str">
        <f>$R$9</f>
        <v>Недостоверность</v>
      </c>
    </row>
    <row r="139" spans="1:4">
      <c r="A139" s="194" t="str">
        <f t="shared" si="10"/>
        <v>АСУЭ.FB_IMst_MON_S.DTOF</v>
      </c>
      <c r="B139" s="195">
        <v>11154</v>
      </c>
      <c r="C139" s="195" t="s">
        <v>4</v>
      </c>
      <c r="D139" s="196">
        <f>$Q$9</f>
        <v>10</v>
      </c>
    </row>
    <row r="140" spans="1:4">
      <c r="A140" s="32" t="str">
        <f t="shared" ref="A140:A149" si="11">$R$2&amp;".DFXX"</f>
        <v>АСУЭ.FB_IMst_MON_S.DFXX</v>
      </c>
      <c r="B140" s="33">
        <v>1</v>
      </c>
      <c r="C140" s="33" t="s">
        <v>1</v>
      </c>
      <c r="D140" s="34">
        <v>11</v>
      </c>
    </row>
    <row r="141" spans="1:4">
      <c r="A141" s="35" t="str">
        <f t="shared" si="11"/>
        <v>АСУЭ.FB_IMst_MON_S.DFXX</v>
      </c>
      <c r="B141" s="36">
        <v>2</v>
      </c>
      <c r="C141" s="36" t="s">
        <v>2</v>
      </c>
      <c r="D141" s="37" t="s">
        <v>175</v>
      </c>
    </row>
    <row r="142" spans="1:4">
      <c r="A142" s="35" t="str">
        <f t="shared" si="11"/>
        <v>АСУЭ.FB_IMst_MON_S.DFXX</v>
      </c>
      <c r="B142" s="36">
        <v>3</v>
      </c>
      <c r="C142" s="36" t="s">
        <v>1</v>
      </c>
      <c r="D142" s="37">
        <v>192</v>
      </c>
    </row>
    <row r="143" spans="1:4">
      <c r="A143" s="35" t="str">
        <f t="shared" si="11"/>
        <v>АСУЭ.FB_IMst_MON_S.DFXX</v>
      </c>
      <c r="B143" s="36">
        <v>101</v>
      </c>
      <c r="C143" s="36" t="s">
        <v>0</v>
      </c>
      <c r="D143" s="37" t="s">
        <v>520</v>
      </c>
    </row>
    <row r="144" spans="1:4">
      <c r="A144" s="35" t="str">
        <f t="shared" si="11"/>
        <v>АСУЭ.FB_IMst_MON_S.DFXX</v>
      </c>
      <c r="B144" s="36">
        <v>7998</v>
      </c>
      <c r="C144" s="36" t="s">
        <v>6</v>
      </c>
      <c r="D144" s="37">
        <v>1</v>
      </c>
    </row>
    <row r="145" spans="1:4">
      <c r="A145" s="35" t="str">
        <f t="shared" si="11"/>
        <v>АСУЭ.FB_IMst_MON_S.DFXX</v>
      </c>
      <c r="B145" s="36">
        <v>7999</v>
      </c>
      <c r="C145" s="36" t="s">
        <v>0</v>
      </c>
      <c r="D145" s="37" t="str">
        <f>"#"&amp;$S$2&amp;"#"&amp;$T$2&amp;"\"&amp;$P$2&amp;"\DFXX"</f>
        <v>#1#treiOPCDA.CoOPCserv.1\pcmaster\ZRU_OL1_st\DFXX</v>
      </c>
    </row>
    <row r="146" spans="1:4">
      <c r="A146" s="191" t="str">
        <f t="shared" si="11"/>
        <v>АСУЭ.FB_IMst_MON_S.DFXX</v>
      </c>
      <c r="B146" s="192">
        <v>11000</v>
      </c>
      <c r="C146" s="192" t="s">
        <v>5</v>
      </c>
      <c r="D146" s="193">
        <v>2147483680</v>
      </c>
    </row>
    <row r="147" spans="1:4">
      <c r="A147" s="191" t="str">
        <f t="shared" si="11"/>
        <v>АСУЭ.FB_IMst_MON_S.DFXX</v>
      </c>
      <c r="B147" s="192">
        <v>11150</v>
      </c>
      <c r="C147" s="192" t="s">
        <v>0</v>
      </c>
      <c r="D147" s="193" t="s">
        <v>104</v>
      </c>
    </row>
    <row r="148" spans="1:4">
      <c r="A148" s="191" t="str">
        <f t="shared" si="11"/>
        <v>АСУЭ.FB_IMst_MON_S.DFXX</v>
      </c>
      <c r="B148" s="192">
        <v>11152</v>
      </c>
      <c r="C148" s="192" t="s">
        <v>0</v>
      </c>
      <c r="D148" s="193" t="str">
        <f>$R$9</f>
        <v>Недостоверность</v>
      </c>
    </row>
    <row r="149" spans="1:4">
      <c r="A149" s="194" t="str">
        <f t="shared" si="11"/>
        <v>АСУЭ.FB_IMst_MON_S.DFXX</v>
      </c>
      <c r="B149" s="195">
        <v>11154</v>
      </c>
      <c r="C149" s="195" t="s">
        <v>4</v>
      </c>
      <c r="D149" s="196">
        <f>$Q$9</f>
        <v>10</v>
      </c>
    </row>
    <row r="150" spans="1:4">
      <c r="A150" s="32" t="str">
        <f t="shared" ref="A150:A159" si="12">$R$2&amp;".DONX"</f>
        <v>АСУЭ.FB_IMst_MON_S.DONX</v>
      </c>
      <c r="B150" s="33">
        <v>1</v>
      </c>
      <c r="C150" s="33" t="s">
        <v>1</v>
      </c>
      <c r="D150" s="34">
        <v>11</v>
      </c>
    </row>
    <row r="151" spans="1:4">
      <c r="A151" s="35" t="str">
        <f t="shared" si="12"/>
        <v>АСУЭ.FB_IMst_MON_S.DONX</v>
      </c>
      <c r="B151" s="36">
        <v>2</v>
      </c>
      <c r="C151" s="36" t="s">
        <v>2</v>
      </c>
      <c r="D151" s="37" t="s">
        <v>175</v>
      </c>
    </row>
    <row r="152" spans="1:4">
      <c r="A152" s="35" t="str">
        <f t="shared" si="12"/>
        <v>АСУЭ.FB_IMst_MON_S.DONX</v>
      </c>
      <c r="B152" s="36">
        <v>3</v>
      </c>
      <c r="C152" s="36" t="s">
        <v>1</v>
      </c>
      <c r="D152" s="37">
        <v>192</v>
      </c>
    </row>
    <row r="153" spans="1:4">
      <c r="A153" s="35" t="str">
        <f t="shared" si="12"/>
        <v>АСУЭ.FB_IMst_MON_S.DONX</v>
      </c>
      <c r="B153" s="36">
        <v>101</v>
      </c>
      <c r="C153" s="36" t="s">
        <v>0</v>
      </c>
      <c r="D153" s="37" t="s">
        <v>122</v>
      </c>
    </row>
    <row r="154" spans="1:4">
      <c r="A154" s="35" t="str">
        <f t="shared" si="12"/>
        <v>АСУЭ.FB_IMst_MON_S.DONX</v>
      </c>
      <c r="B154" s="36">
        <v>7998</v>
      </c>
      <c r="C154" s="36" t="s">
        <v>6</v>
      </c>
      <c r="D154" s="37">
        <v>1</v>
      </c>
    </row>
    <row r="155" spans="1:4">
      <c r="A155" s="35" t="str">
        <f t="shared" si="12"/>
        <v>АСУЭ.FB_IMst_MON_S.DONX</v>
      </c>
      <c r="B155" s="36">
        <v>7999</v>
      </c>
      <c r="C155" s="36" t="s">
        <v>0</v>
      </c>
      <c r="D155" s="37" t="str">
        <f>"#"&amp;$S$2&amp;"#"&amp;$T$2&amp;"\"&amp;$P$2&amp;"\DONX"</f>
        <v>#1#treiOPCDA.CoOPCserv.1\pcmaster\ZRU_OL1_st\DONX</v>
      </c>
    </row>
    <row r="156" spans="1:4">
      <c r="A156" s="191" t="str">
        <f t="shared" si="12"/>
        <v>АСУЭ.FB_IMst_MON_S.DONX</v>
      </c>
      <c r="B156" s="192">
        <v>11000</v>
      </c>
      <c r="C156" s="192" t="s">
        <v>5</v>
      </c>
      <c r="D156" s="193">
        <v>2147483680</v>
      </c>
    </row>
    <row r="157" spans="1:4">
      <c r="A157" s="191" t="str">
        <f t="shared" si="12"/>
        <v>АСУЭ.FB_IMst_MON_S.DONX</v>
      </c>
      <c r="B157" s="192">
        <v>11150</v>
      </c>
      <c r="C157" s="192" t="s">
        <v>0</v>
      </c>
      <c r="D157" s="193" t="s">
        <v>123</v>
      </c>
    </row>
    <row r="158" spans="1:4">
      <c r="A158" s="191" t="str">
        <f t="shared" si="12"/>
        <v>АСУЭ.FB_IMst_MON_S.DONX</v>
      </c>
      <c r="B158" s="192">
        <v>11152</v>
      </c>
      <c r="C158" s="192" t="s">
        <v>0</v>
      </c>
      <c r="D158" s="193" t="str">
        <f>$R$9</f>
        <v>Недостоверность</v>
      </c>
    </row>
    <row r="159" spans="1:4">
      <c r="A159" s="194" t="str">
        <f t="shared" si="12"/>
        <v>АСУЭ.FB_IMst_MON_S.DONX</v>
      </c>
      <c r="B159" s="195">
        <v>11154</v>
      </c>
      <c r="C159" s="195" t="s">
        <v>4</v>
      </c>
      <c r="D159" s="196">
        <f>$Q$9</f>
        <v>10</v>
      </c>
    </row>
    <row r="160" spans="1:4">
      <c r="A160" s="32" t="str">
        <f t="shared" ref="A160:A169" si="13">$R$2&amp;".XTOF"</f>
        <v>АСУЭ.FB_IMst_MON_S.XTOF</v>
      </c>
      <c r="B160" s="33">
        <v>1</v>
      </c>
      <c r="C160" s="33" t="s">
        <v>1</v>
      </c>
      <c r="D160" s="34">
        <v>11</v>
      </c>
    </row>
    <row r="161" spans="1:4">
      <c r="A161" s="35" t="str">
        <f t="shared" si="13"/>
        <v>АСУЭ.FB_IMst_MON_S.XTOF</v>
      </c>
      <c r="B161" s="36">
        <v>2</v>
      </c>
      <c r="C161" s="36" t="s">
        <v>2</v>
      </c>
      <c r="D161" s="37" t="s">
        <v>175</v>
      </c>
    </row>
    <row r="162" spans="1:4">
      <c r="A162" s="35" t="str">
        <f t="shared" si="13"/>
        <v>АСУЭ.FB_IMst_MON_S.XTOF</v>
      </c>
      <c r="B162" s="36">
        <v>3</v>
      </c>
      <c r="C162" s="36" t="s">
        <v>1</v>
      </c>
      <c r="D162" s="37">
        <v>192</v>
      </c>
    </row>
    <row r="163" spans="1:4">
      <c r="A163" s="35" t="str">
        <f t="shared" si="13"/>
        <v>АСУЭ.FB_IMst_MON_S.XTOF</v>
      </c>
      <c r="B163" s="36">
        <v>101</v>
      </c>
      <c r="C163" s="36" t="s">
        <v>0</v>
      </c>
      <c r="D163" s="37" t="s">
        <v>1851</v>
      </c>
    </row>
    <row r="164" spans="1:4">
      <c r="A164" s="35" t="str">
        <f t="shared" si="13"/>
        <v>АСУЭ.FB_IMst_MON_S.XTOF</v>
      </c>
      <c r="B164" s="36">
        <v>7998</v>
      </c>
      <c r="C164" s="36" t="s">
        <v>6</v>
      </c>
      <c r="D164" s="37">
        <v>1</v>
      </c>
    </row>
    <row r="165" spans="1:4">
      <c r="A165" s="35" t="str">
        <f t="shared" si="13"/>
        <v>АСУЭ.FB_IMst_MON_S.XTOF</v>
      </c>
      <c r="B165" s="36">
        <v>7999</v>
      </c>
      <c r="C165" s="36" t="s">
        <v>0</v>
      </c>
      <c r="D165" s="37" t="str">
        <f>"#"&amp;$S$2&amp;"#"&amp;$T$2&amp;"\"&amp;$P$2&amp;"\XTOF"</f>
        <v>#1#treiOPCDA.CoOPCserv.1\pcmaster\ZRU_OL1_st\XTOF</v>
      </c>
    </row>
    <row r="166" spans="1:4">
      <c r="A166" s="182" t="str">
        <f t="shared" si="13"/>
        <v>АСУЭ.FB_IMst_MON_S.XTOF</v>
      </c>
      <c r="B166" s="183">
        <v>11000</v>
      </c>
      <c r="C166" s="183" t="s">
        <v>5</v>
      </c>
      <c r="D166" s="184">
        <v>2147483680</v>
      </c>
    </row>
    <row r="167" spans="1:4">
      <c r="A167" s="182" t="str">
        <f t="shared" si="13"/>
        <v>АСУЭ.FB_IMst_MON_S.XTOF</v>
      </c>
      <c r="B167" s="183">
        <v>11150</v>
      </c>
      <c r="C167" s="183" t="s">
        <v>0</v>
      </c>
      <c r="D167" s="184" t="s">
        <v>1851</v>
      </c>
    </row>
    <row r="168" spans="1:4">
      <c r="A168" s="182" t="str">
        <f t="shared" si="13"/>
        <v>АСУЭ.FB_IMst_MON_S.XTOF</v>
      </c>
      <c r="B168" s="183">
        <v>11152</v>
      </c>
      <c r="C168" s="183" t="s">
        <v>0</v>
      </c>
      <c r="D168" s="184" t="str">
        <f>$R$8</f>
        <v>Телесигнализация</v>
      </c>
    </row>
    <row r="169" spans="1:4">
      <c r="A169" s="185" t="str">
        <f t="shared" si="13"/>
        <v>АСУЭ.FB_IMst_MON_S.XTOF</v>
      </c>
      <c r="B169" s="186">
        <v>11154</v>
      </c>
      <c r="C169" s="186" t="s">
        <v>4</v>
      </c>
      <c r="D169" s="187">
        <f>$Q$8</f>
        <v>18</v>
      </c>
    </row>
    <row r="170" spans="1:4">
      <c r="A170" s="32" t="str">
        <f t="shared" ref="A170:A179" si="14">$R$2&amp;".XONX"</f>
        <v>АСУЭ.FB_IMst_MON_S.XONX</v>
      </c>
      <c r="B170" s="33">
        <v>1</v>
      </c>
      <c r="C170" s="33" t="s">
        <v>1</v>
      </c>
      <c r="D170" s="34">
        <v>11</v>
      </c>
    </row>
    <row r="171" spans="1:4">
      <c r="A171" s="35" t="str">
        <f t="shared" si="14"/>
        <v>АСУЭ.FB_IMst_MON_S.XONX</v>
      </c>
      <c r="B171" s="36">
        <v>2</v>
      </c>
      <c r="C171" s="36" t="s">
        <v>2</v>
      </c>
      <c r="D171" s="37" t="s">
        <v>175</v>
      </c>
    </row>
    <row r="172" spans="1:4">
      <c r="A172" s="35" t="str">
        <f t="shared" si="14"/>
        <v>АСУЭ.FB_IMst_MON_S.XONX</v>
      </c>
      <c r="B172" s="36">
        <v>3</v>
      </c>
      <c r="C172" s="36" t="s">
        <v>1</v>
      </c>
      <c r="D172" s="37">
        <v>192</v>
      </c>
    </row>
    <row r="173" spans="1:4">
      <c r="A173" s="35" t="str">
        <f t="shared" si="14"/>
        <v>АСУЭ.FB_IMst_MON_S.XONX</v>
      </c>
      <c r="B173" s="36">
        <v>101</v>
      </c>
      <c r="C173" s="36" t="s">
        <v>0</v>
      </c>
      <c r="D173" s="37" t="s">
        <v>337</v>
      </c>
    </row>
    <row r="174" spans="1:4">
      <c r="A174" s="35" t="str">
        <f t="shared" si="14"/>
        <v>АСУЭ.FB_IMst_MON_S.XONX</v>
      </c>
      <c r="B174" s="36">
        <v>7998</v>
      </c>
      <c r="C174" s="36" t="s">
        <v>6</v>
      </c>
      <c r="D174" s="37">
        <v>1</v>
      </c>
    </row>
    <row r="175" spans="1:4">
      <c r="A175" s="35" t="str">
        <f t="shared" si="14"/>
        <v>АСУЭ.FB_IMst_MON_S.XONX</v>
      </c>
      <c r="B175" s="36">
        <v>7999</v>
      </c>
      <c r="C175" s="36" t="s">
        <v>0</v>
      </c>
      <c r="D175" s="37" t="str">
        <f>"#"&amp;$S$2&amp;"#"&amp;$T$2&amp;"\"&amp;$P$2&amp;"\XONX"</f>
        <v>#1#treiOPCDA.CoOPCserv.1\pcmaster\ZRU_OL1_st\XONX</v>
      </c>
    </row>
    <row r="176" spans="1:4">
      <c r="A176" s="182" t="str">
        <f t="shared" si="14"/>
        <v>АСУЭ.FB_IMst_MON_S.XONX</v>
      </c>
      <c r="B176" s="183">
        <v>11000</v>
      </c>
      <c r="C176" s="183" t="s">
        <v>5</v>
      </c>
      <c r="D176" s="184">
        <v>2147483680</v>
      </c>
    </row>
    <row r="177" spans="1:4">
      <c r="A177" s="182" t="str">
        <f t="shared" si="14"/>
        <v>АСУЭ.FB_IMst_MON_S.XONX</v>
      </c>
      <c r="B177" s="183">
        <v>11150</v>
      </c>
      <c r="C177" s="183" t="s">
        <v>0</v>
      </c>
      <c r="D177" s="184" t="s">
        <v>337</v>
      </c>
    </row>
    <row r="178" spans="1:4">
      <c r="A178" s="182" t="str">
        <f t="shared" si="14"/>
        <v>АСУЭ.FB_IMst_MON_S.XONX</v>
      </c>
      <c r="B178" s="183">
        <v>11152</v>
      </c>
      <c r="C178" s="183" t="s">
        <v>0</v>
      </c>
      <c r="D178" s="184" t="str">
        <f>$R$8</f>
        <v>Телесигнализация</v>
      </c>
    </row>
    <row r="179" spans="1:4">
      <c r="A179" s="185" t="str">
        <f t="shared" si="14"/>
        <v>АСУЭ.FB_IMst_MON_S.XONX</v>
      </c>
      <c r="B179" s="186">
        <v>11154</v>
      </c>
      <c r="C179" s="186" t="s">
        <v>4</v>
      </c>
      <c r="D179" s="187">
        <f>$Q$8</f>
        <v>18</v>
      </c>
    </row>
    <row r="180" spans="1:4">
      <c r="A180" s="32" t="str">
        <f t="shared" ref="A180:A189" si="15">$R$2&amp;".XOFX"</f>
        <v>АСУЭ.FB_IMst_MON_S.XOFX</v>
      </c>
      <c r="B180" s="33">
        <v>1</v>
      </c>
      <c r="C180" s="33" t="s">
        <v>1</v>
      </c>
      <c r="D180" s="34">
        <v>11</v>
      </c>
    </row>
    <row r="181" spans="1:4">
      <c r="A181" s="35" t="str">
        <f t="shared" si="15"/>
        <v>АСУЭ.FB_IMst_MON_S.XOFX</v>
      </c>
      <c r="B181" s="36">
        <v>2</v>
      </c>
      <c r="C181" s="36" t="s">
        <v>2</v>
      </c>
      <c r="D181" s="37" t="s">
        <v>175</v>
      </c>
    </row>
    <row r="182" spans="1:4">
      <c r="A182" s="35" t="str">
        <f t="shared" si="15"/>
        <v>АСУЭ.FB_IMst_MON_S.XOFX</v>
      </c>
      <c r="B182" s="36">
        <v>3</v>
      </c>
      <c r="C182" s="36" t="s">
        <v>1</v>
      </c>
      <c r="D182" s="37">
        <v>192</v>
      </c>
    </row>
    <row r="183" spans="1:4">
      <c r="A183" s="35" t="str">
        <f t="shared" si="15"/>
        <v>АСУЭ.FB_IMst_MON_S.XOFX</v>
      </c>
      <c r="B183" s="36">
        <v>101</v>
      </c>
      <c r="C183" s="36" t="s">
        <v>0</v>
      </c>
      <c r="D183" s="37" t="s">
        <v>336</v>
      </c>
    </row>
    <row r="184" spans="1:4">
      <c r="A184" s="35" t="str">
        <f t="shared" si="15"/>
        <v>АСУЭ.FB_IMst_MON_S.XOFX</v>
      </c>
      <c r="B184" s="36">
        <v>7998</v>
      </c>
      <c r="C184" s="36" t="s">
        <v>6</v>
      </c>
      <c r="D184" s="37">
        <v>1</v>
      </c>
    </row>
    <row r="185" spans="1:4">
      <c r="A185" s="35" t="str">
        <f t="shared" si="15"/>
        <v>АСУЭ.FB_IMst_MON_S.XOFX</v>
      </c>
      <c r="B185" s="36">
        <v>7999</v>
      </c>
      <c r="C185" s="36" t="s">
        <v>0</v>
      </c>
      <c r="D185" s="37" t="str">
        <f>"#"&amp;$S$2&amp;"#"&amp;$T$2&amp;"\"&amp;$P$2&amp;"\XOFX"</f>
        <v>#1#treiOPCDA.CoOPCserv.1\pcmaster\ZRU_OL1_st\XOFX</v>
      </c>
    </row>
    <row r="186" spans="1:4">
      <c r="A186" s="182" t="str">
        <f t="shared" si="15"/>
        <v>АСУЭ.FB_IMst_MON_S.XOFX</v>
      </c>
      <c r="B186" s="183">
        <v>11000</v>
      </c>
      <c r="C186" s="183" t="s">
        <v>5</v>
      </c>
      <c r="D186" s="184">
        <v>2147483680</v>
      </c>
    </row>
    <row r="187" spans="1:4">
      <c r="A187" s="182" t="str">
        <f t="shared" si="15"/>
        <v>АСУЭ.FB_IMst_MON_S.XOFX</v>
      </c>
      <c r="B187" s="183">
        <v>11150</v>
      </c>
      <c r="C187" s="183" t="s">
        <v>0</v>
      </c>
      <c r="D187" s="184" t="s">
        <v>336</v>
      </c>
    </row>
    <row r="188" spans="1:4">
      <c r="A188" s="182" t="str">
        <f t="shared" si="15"/>
        <v>АСУЭ.FB_IMst_MON_S.XOFX</v>
      </c>
      <c r="B188" s="183">
        <v>11152</v>
      </c>
      <c r="C188" s="183" t="s">
        <v>0</v>
      </c>
      <c r="D188" s="184" t="str">
        <f>$R$8</f>
        <v>Телесигнализация</v>
      </c>
    </row>
    <row r="189" spans="1:4">
      <c r="A189" s="185" t="str">
        <f t="shared" si="15"/>
        <v>АСУЭ.FB_IMst_MON_S.XOFX</v>
      </c>
      <c r="B189" s="186">
        <v>11154</v>
      </c>
      <c r="C189" s="186" t="s">
        <v>4</v>
      </c>
      <c r="D189" s="187">
        <f>$Q$8</f>
        <v>18</v>
      </c>
    </row>
    <row r="190" spans="1:4">
      <c r="A190" s="32" t="str">
        <f t="shared" ref="A190:A199" si="16">$R$2&amp;".XTON"</f>
        <v>АСУЭ.FB_IMst_MON_S.XTON</v>
      </c>
      <c r="B190" s="33">
        <v>1</v>
      </c>
      <c r="C190" s="33" t="s">
        <v>1</v>
      </c>
      <c r="D190" s="34">
        <v>11</v>
      </c>
    </row>
    <row r="191" spans="1:4">
      <c r="A191" s="35" t="str">
        <f t="shared" si="16"/>
        <v>АСУЭ.FB_IMst_MON_S.XTON</v>
      </c>
      <c r="B191" s="36">
        <v>2</v>
      </c>
      <c r="C191" s="36" t="s">
        <v>2</v>
      </c>
      <c r="D191" s="37" t="s">
        <v>175</v>
      </c>
    </row>
    <row r="192" spans="1:4">
      <c r="A192" s="35" t="str">
        <f t="shared" si="16"/>
        <v>АСУЭ.FB_IMst_MON_S.XTON</v>
      </c>
      <c r="B192" s="36">
        <v>3</v>
      </c>
      <c r="C192" s="36" t="s">
        <v>1</v>
      </c>
      <c r="D192" s="37">
        <v>192</v>
      </c>
    </row>
    <row r="193" spans="1:4">
      <c r="A193" s="35" t="str">
        <f t="shared" si="16"/>
        <v>АСУЭ.FB_IMst_MON_S.XTON</v>
      </c>
      <c r="B193" s="36">
        <v>101</v>
      </c>
      <c r="C193" s="36" t="s">
        <v>0</v>
      </c>
      <c r="D193" s="37" t="s">
        <v>1850</v>
      </c>
    </row>
    <row r="194" spans="1:4">
      <c r="A194" s="35" t="str">
        <f t="shared" si="16"/>
        <v>АСУЭ.FB_IMst_MON_S.XTON</v>
      </c>
      <c r="B194" s="36">
        <v>7998</v>
      </c>
      <c r="C194" s="36" t="s">
        <v>6</v>
      </c>
      <c r="D194" s="37">
        <v>1</v>
      </c>
    </row>
    <row r="195" spans="1:4">
      <c r="A195" s="35" t="str">
        <f t="shared" si="16"/>
        <v>АСУЭ.FB_IMst_MON_S.XTON</v>
      </c>
      <c r="B195" s="36">
        <v>7999</v>
      </c>
      <c r="C195" s="36" t="s">
        <v>0</v>
      </c>
      <c r="D195" s="37" t="str">
        <f>"#"&amp;$S$2&amp;"#"&amp;$T$2&amp;"\"&amp;$P$2&amp;"\XTON"</f>
        <v>#1#treiOPCDA.CoOPCserv.1\pcmaster\ZRU_OL1_st\XTON</v>
      </c>
    </row>
    <row r="196" spans="1:4">
      <c r="A196" s="182" t="str">
        <f t="shared" si="16"/>
        <v>АСУЭ.FB_IMst_MON_S.XTON</v>
      </c>
      <c r="B196" s="183">
        <v>11000</v>
      </c>
      <c r="C196" s="183" t="s">
        <v>5</v>
      </c>
      <c r="D196" s="184">
        <v>2147483680</v>
      </c>
    </row>
    <row r="197" spans="1:4">
      <c r="A197" s="182" t="str">
        <f t="shared" si="16"/>
        <v>АСУЭ.FB_IMst_MON_S.XTON</v>
      </c>
      <c r="B197" s="183">
        <v>11150</v>
      </c>
      <c r="C197" s="183" t="s">
        <v>0</v>
      </c>
      <c r="D197" s="184" t="s">
        <v>1850</v>
      </c>
    </row>
    <row r="198" spans="1:4">
      <c r="A198" s="182" t="str">
        <f t="shared" si="16"/>
        <v>АСУЭ.FB_IMst_MON_S.XTON</v>
      </c>
      <c r="B198" s="183">
        <v>11152</v>
      </c>
      <c r="C198" s="183" t="s">
        <v>0</v>
      </c>
      <c r="D198" s="184" t="str">
        <f>$R$8</f>
        <v>Телесигнализация</v>
      </c>
    </row>
    <row r="199" spans="1:4">
      <c r="A199" s="185" t="str">
        <f t="shared" si="16"/>
        <v>АСУЭ.FB_IMst_MON_S.XTON</v>
      </c>
      <c r="B199" s="186">
        <v>11154</v>
      </c>
      <c r="C199" s="186" t="s">
        <v>4</v>
      </c>
      <c r="D199" s="187">
        <f>$Q$8</f>
        <v>18</v>
      </c>
    </row>
    <row r="200" spans="1:4">
      <c r="A200" s="297" t="str">
        <f>$R$2&amp;".Commands.SRQX"</f>
        <v>АСУЭ.FB_IMst_MON_S.Commands.SRQX</v>
      </c>
      <c r="B200" s="298">
        <v>1</v>
      </c>
      <c r="C200" s="298" t="s">
        <v>1</v>
      </c>
      <c r="D200" s="299">
        <v>3</v>
      </c>
    </row>
    <row r="201" spans="1:4">
      <c r="A201" s="300" t="str">
        <f>$R$2&amp;".Commands.SRQX"</f>
        <v>АСУЭ.FB_IMst_MON_S.Commands.SRQX</v>
      </c>
      <c r="B201" s="301">
        <v>101</v>
      </c>
      <c r="C201" s="301" t="s">
        <v>0</v>
      </c>
      <c r="D201" s="302" t="s">
        <v>125</v>
      </c>
    </row>
    <row r="202" spans="1:4">
      <c r="A202" s="300" t="str">
        <f>$R$2&amp;".Commands.SRQX"</f>
        <v>АСУЭ.FB_IMst_MON_S.Commands.SRQX</v>
      </c>
      <c r="B202" s="301">
        <v>7998</v>
      </c>
      <c r="C202" s="301" t="s">
        <v>6</v>
      </c>
      <c r="D202" s="302">
        <v>2</v>
      </c>
    </row>
    <row r="203" spans="1:4">
      <c r="A203" s="303" t="str">
        <f>$R$2&amp;".Commands.SRQX"</f>
        <v>АСУЭ.FB_IMst_MON_S.Commands.SRQX</v>
      </c>
      <c r="B203" s="304">
        <v>7999</v>
      </c>
      <c r="C203" s="304" t="s">
        <v>0</v>
      </c>
      <c r="D203" s="305" t="str">
        <f>"#"&amp;$T$5&amp;"#"&amp;$T$2&amp;"\"&amp;$P$2&amp;"\SRQX"</f>
        <v>#1#treiOPCDA.CoOPCserv.1\pcmaster\ZRU_OL1_st\SRQX</v>
      </c>
    </row>
    <row r="204" spans="1:4">
      <c r="A204" s="32" t="str">
        <f>$R$2&amp;".Commands.CRRX"</f>
        <v>АСУЭ.FB_IMst_MON_S.Commands.CRRX</v>
      </c>
      <c r="B204" s="33">
        <v>1</v>
      </c>
      <c r="C204" s="33" t="s">
        <v>1</v>
      </c>
      <c r="D204" s="34">
        <v>11</v>
      </c>
    </row>
    <row r="205" spans="1:4">
      <c r="A205" s="35" t="str">
        <f>$R$2&amp;".Commands.CRRX"</f>
        <v>АСУЭ.FB_IMst_MON_S.Commands.CRRX</v>
      </c>
      <c r="B205" s="36">
        <v>101</v>
      </c>
      <c r="C205" s="36" t="s">
        <v>0</v>
      </c>
      <c r="D205" s="37" t="s">
        <v>116</v>
      </c>
    </row>
    <row r="206" spans="1:4">
      <c r="A206" s="35" t="str">
        <f>$R$2&amp;".Commands.CRRX"</f>
        <v>АСУЭ.FB_IMst_MON_S.Commands.CRRX</v>
      </c>
      <c r="B206" s="36">
        <v>7998</v>
      </c>
      <c r="C206" s="36" t="s">
        <v>6</v>
      </c>
      <c r="D206" s="37">
        <v>2</v>
      </c>
    </row>
    <row r="207" spans="1:4">
      <c r="A207" s="38" t="str">
        <f>$R$2&amp;".Commands.CRRX"</f>
        <v>АСУЭ.FB_IMst_MON_S.Commands.CRRX</v>
      </c>
      <c r="B207" s="39">
        <v>7999</v>
      </c>
      <c r="C207" s="39" t="s">
        <v>0</v>
      </c>
      <c r="D207" s="40" t="str">
        <f>"#"&amp;$T$5&amp;"#"&amp;$T$2&amp;"\"&amp;$P$2&amp;"\CRRX"</f>
        <v>#1#treiOPCDA.CoOPCserv.1\pcmaster\ZRU_OL1_st\CRRX</v>
      </c>
    </row>
    <row r="208" spans="1:4">
      <c r="A208" s="32" t="str">
        <f>$R$2&amp;".Commands.CRPX"</f>
        <v>АСУЭ.FB_IMst_MON_S.Commands.CRPX</v>
      </c>
      <c r="B208" s="33">
        <v>1</v>
      </c>
      <c r="C208" s="33" t="s">
        <v>1</v>
      </c>
      <c r="D208" s="34">
        <v>11</v>
      </c>
    </row>
    <row r="209" spans="1:4">
      <c r="A209" s="35" t="str">
        <f>$R$2&amp;".Commands.CRPX"</f>
        <v>АСУЭ.FB_IMst_MON_S.Commands.CRPX</v>
      </c>
      <c r="B209" s="36">
        <v>101</v>
      </c>
      <c r="C209" s="36" t="s">
        <v>0</v>
      </c>
      <c r="D209" s="37" t="s">
        <v>113</v>
      </c>
    </row>
    <row r="210" spans="1:4">
      <c r="A210" s="35" t="str">
        <f>$R$2&amp;".Commands.CRPX"</f>
        <v>АСУЭ.FB_IMst_MON_S.Commands.CRPX</v>
      </c>
      <c r="B210" s="36">
        <v>7998</v>
      </c>
      <c r="C210" s="36" t="s">
        <v>6</v>
      </c>
      <c r="D210" s="37">
        <v>2</v>
      </c>
    </row>
    <row r="211" spans="1:4">
      <c r="A211" s="38" t="str">
        <f>$R$2&amp;".Commands.CRPX"</f>
        <v>АСУЭ.FB_IMst_MON_S.Commands.CRPX</v>
      </c>
      <c r="B211" s="39">
        <v>7999</v>
      </c>
      <c r="C211" s="39" t="s">
        <v>0</v>
      </c>
      <c r="D211" s="40" t="str">
        <f>"#"&amp;$T$5&amp;"#"&amp;$T$2&amp;"\"&amp;$P$2&amp;"\CRPX"</f>
        <v>#1#treiOPCDA.CoOPCserv.1\pcmaster\ZRU_OL1_st\CRPX</v>
      </c>
    </row>
    <row r="212" spans="1:4">
      <c r="A212" s="32" t="str">
        <f t="shared" ref="A212:A217" si="17">$R$2&amp;".ITOF"</f>
        <v>АСУЭ.FB_IMst_MON_S.ITOF</v>
      </c>
      <c r="B212" s="33">
        <v>1</v>
      </c>
      <c r="C212" s="33" t="s">
        <v>1</v>
      </c>
      <c r="D212" s="34">
        <v>11</v>
      </c>
    </row>
    <row r="213" spans="1:4">
      <c r="A213" s="35" t="str">
        <f t="shared" si="17"/>
        <v>АСУЭ.FB_IMst_MON_S.ITOF</v>
      </c>
      <c r="B213" s="36">
        <v>2</v>
      </c>
      <c r="C213" s="36" t="s">
        <v>2</v>
      </c>
      <c r="D213" s="37" t="s">
        <v>175</v>
      </c>
    </row>
    <row r="214" spans="1:4">
      <c r="A214" s="35" t="str">
        <f t="shared" si="17"/>
        <v>АСУЭ.FB_IMst_MON_S.ITOF</v>
      </c>
      <c r="B214" s="36">
        <v>3</v>
      </c>
      <c r="C214" s="36" t="s">
        <v>1</v>
      </c>
      <c r="D214" s="37">
        <v>192</v>
      </c>
    </row>
    <row r="215" spans="1:4">
      <c r="A215" s="35" t="str">
        <f t="shared" si="17"/>
        <v>АСУЭ.FB_IMst_MON_S.ITOF</v>
      </c>
      <c r="B215" s="36">
        <v>101</v>
      </c>
      <c r="C215" s="36" t="s">
        <v>0</v>
      </c>
      <c r="D215" s="37" t="s">
        <v>106</v>
      </c>
    </row>
    <row r="216" spans="1:4">
      <c r="A216" s="35" t="str">
        <f t="shared" si="17"/>
        <v>АСУЭ.FB_IMst_MON_S.ITOF</v>
      </c>
      <c r="B216" s="36">
        <v>7998</v>
      </c>
      <c r="C216" s="36" t="s">
        <v>6</v>
      </c>
      <c r="D216" s="37">
        <v>1</v>
      </c>
    </row>
    <row r="217" spans="1:4">
      <c r="A217" s="38" t="str">
        <f t="shared" si="17"/>
        <v>АСУЭ.FB_IMst_MON_S.ITOF</v>
      </c>
      <c r="B217" s="39">
        <v>7999</v>
      </c>
      <c r="C217" s="39" t="s">
        <v>0</v>
      </c>
      <c r="D217" s="40" t="str">
        <f>"#"&amp;$S$2&amp;"#"&amp;$T$2&amp;"\"&amp;$P$2&amp;"\ITOF"</f>
        <v>#1#treiOPCDA.CoOPCserv.1\pcmaster\ZRU_OL1_st\ITOF</v>
      </c>
    </row>
    <row r="218" spans="1:4">
      <c r="A218" s="32" t="str">
        <f t="shared" ref="A218:A223" si="18">$R$2&amp;".IONX"</f>
        <v>АСУЭ.FB_IMst_MON_S.IONX</v>
      </c>
      <c r="B218" s="33">
        <v>1</v>
      </c>
      <c r="C218" s="33" t="s">
        <v>1</v>
      </c>
      <c r="D218" s="34">
        <v>11</v>
      </c>
    </row>
    <row r="219" spans="1:4">
      <c r="A219" s="35" t="str">
        <f t="shared" si="18"/>
        <v>АСУЭ.FB_IMst_MON_S.IONX</v>
      </c>
      <c r="B219" s="36">
        <v>2</v>
      </c>
      <c r="C219" s="36" t="s">
        <v>2</v>
      </c>
      <c r="D219" s="37" t="s">
        <v>175</v>
      </c>
    </row>
    <row r="220" spans="1:4">
      <c r="A220" s="35" t="str">
        <f t="shared" si="18"/>
        <v>АСУЭ.FB_IMst_MON_S.IONX</v>
      </c>
      <c r="B220" s="36">
        <v>3</v>
      </c>
      <c r="C220" s="36" t="s">
        <v>1</v>
      </c>
      <c r="D220" s="37">
        <v>192</v>
      </c>
    </row>
    <row r="221" spans="1:4">
      <c r="A221" s="35" t="str">
        <f t="shared" si="18"/>
        <v>АСУЭ.FB_IMst_MON_S.IONX</v>
      </c>
      <c r="B221" s="36">
        <v>101</v>
      </c>
      <c r="C221" s="36" t="s">
        <v>0</v>
      </c>
      <c r="D221" s="37" t="s">
        <v>107</v>
      </c>
    </row>
    <row r="222" spans="1:4">
      <c r="A222" s="35" t="str">
        <f t="shared" si="18"/>
        <v>АСУЭ.FB_IMst_MON_S.IONX</v>
      </c>
      <c r="B222" s="36">
        <v>7998</v>
      </c>
      <c r="C222" s="36" t="s">
        <v>6</v>
      </c>
      <c r="D222" s="37">
        <v>1</v>
      </c>
    </row>
    <row r="223" spans="1:4">
      <c r="A223" s="38" t="str">
        <f t="shared" si="18"/>
        <v>АСУЭ.FB_IMst_MON_S.IONX</v>
      </c>
      <c r="B223" s="39">
        <v>7999</v>
      </c>
      <c r="C223" s="39" t="s">
        <v>0</v>
      </c>
      <c r="D223" s="40" t="str">
        <f>"#"&amp;$S$2&amp;"#"&amp;$T$2&amp;"\"&amp;$P$2&amp;"\IONX"</f>
        <v>#1#treiOPCDA.CoOPCserv.1\pcmaster\ZRU_OL1_st\IONX</v>
      </c>
    </row>
    <row r="224" spans="1:4">
      <c r="A224" s="32" t="str">
        <f t="shared" ref="A224:A229" si="19">$R$2&amp;".IOFX"</f>
        <v>АСУЭ.FB_IMst_MON_S.IOFX</v>
      </c>
      <c r="B224" s="33">
        <v>1</v>
      </c>
      <c r="C224" s="33" t="s">
        <v>1</v>
      </c>
      <c r="D224" s="34">
        <v>11</v>
      </c>
    </row>
    <row r="225" spans="1:4">
      <c r="A225" s="35" t="str">
        <f t="shared" si="19"/>
        <v>АСУЭ.FB_IMst_MON_S.IOFX</v>
      </c>
      <c r="B225" s="36">
        <v>2</v>
      </c>
      <c r="C225" s="36" t="s">
        <v>2</v>
      </c>
      <c r="D225" s="37" t="s">
        <v>175</v>
      </c>
    </row>
    <row r="226" spans="1:4">
      <c r="A226" s="35" t="str">
        <f t="shared" si="19"/>
        <v>АСУЭ.FB_IMst_MON_S.IOFX</v>
      </c>
      <c r="B226" s="36">
        <v>3</v>
      </c>
      <c r="C226" s="36" t="s">
        <v>1</v>
      </c>
      <c r="D226" s="37">
        <v>192</v>
      </c>
    </row>
    <row r="227" spans="1:4">
      <c r="A227" s="35" t="str">
        <f t="shared" si="19"/>
        <v>АСУЭ.FB_IMst_MON_S.IOFX</v>
      </c>
      <c r="B227" s="36">
        <v>101</v>
      </c>
      <c r="C227" s="36" t="s">
        <v>0</v>
      </c>
      <c r="D227" s="37" t="s">
        <v>92</v>
      </c>
    </row>
    <row r="228" spans="1:4">
      <c r="A228" s="35" t="str">
        <f t="shared" si="19"/>
        <v>АСУЭ.FB_IMst_MON_S.IOFX</v>
      </c>
      <c r="B228" s="36">
        <v>7998</v>
      </c>
      <c r="C228" s="36" t="s">
        <v>6</v>
      </c>
      <c r="D228" s="37">
        <v>1</v>
      </c>
    </row>
    <row r="229" spans="1:4">
      <c r="A229" s="38" t="str">
        <f t="shared" si="19"/>
        <v>АСУЭ.FB_IMst_MON_S.IOFX</v>
      </c>
      <c r="B229" s="39">
        <v>7999</v>
      </c>
      <c r="C229" s="39" t="s">
        <v>0</v>
      </c>
      <c r="D229" s="40" t="str">
        <f>"#"&amp;$S$2&amp;"#"&amp;$T$2&amp;"\"&amp;$P$2&amp;"\IOFX"</f>
        <v>#1#treiOPCDA.CoOPCserv.1\pcmaster\ZRU_OL1_st\IOFX</v>
      </c>
    </row>
    <row r="230" spans="1:4">
      <c r="A230" s="32" t="str">
        <f t="shared" ref="A230:A235" si="20">$R$2&amp;".ITON"</f>
        <v>АСУЭ.FB_IMst_MON_S.ITON</v>
      </c>
      <c r="B230" s="33">
        <v>1</v>
      </c>
      <c r="C230" s="33" t="s">
        <v>1</v>
      </c>
      <c r="D230" s="34">
        <v>11</v>
      </c>
    </row>
    <row r="231" spans="1:4">
      <c r="A231" s="35" t="str">
        <f t="shared" si="20"/>
        <v>АСУЭ.FB_IMst_MON_S.ITON</v>
      </c>
      <c r="B231" s="36">
        <v>2</v>
      </c>
      <c r="C231" s="36" t="s">
        <v>2</v>
      </c>
      <c r="D231" s="37" t="s">
        <v>175</v>
      </c>
    </row>
    <row r="232" spans="1:4">
      <c r="A232" s="35" t="str">
        <f t="shared" si="20"/>
        <v>АСУЭ.FB_IMst_MON_S.ITON</v>
      </c>
      <c r="B232" s="36">
        <v>3</v>
      </c>
      <c r="C232" s="36" t="s">
        <v>1</v>
      </c>
      <c r="D232" s="37">
        <v>192</v>
      </c>
    </row>
    <row r="233" spans="1:4">
      <c r="A233" s="35" t="str">
        <f t="shared" si="20"/>
        <v>АСУЭ.FB_IMst_MON_S.ITON</v>
      </c>
      <c r="B233" s="36">
        <v>101</v>
      </c>
      <c r="C233" s="36" t="s">
        <v>0</v>
      </c>
      <c r="D233" s="37" t="s">
        <v>93</v>
      </c>
    </row>
    <row r="234" spans="1:4">
      <c r="A234" s="35" t="str">
        <f t="shared" si="20"/>
        <v>АСУЭ.FB_IMst_MON_S.ITON</v>
      </c>
      <c r="B234" s="36">
        <v>7998</v>
      </c>
      <c r="C234" s="36" t="s">
        <v>6</v>
      </c>
      <c r="D234" s="37">
        <v>1</v>
      </c>
    </row>
    <row r="235" spans="1:4">
      <c r="A235" s="38" t="str">
        <f t="shared" si="20"/>
        <v>АСУЭ.FB_IMst_MON_S.ITON</v>
      </c>
      <c r="B235" s="39">
        <v>7999</v>
      </c>
      <c r="C235" s="39" t="s">
        <v>0</v>
      </c>
      <c r="D235" s="40" t="str">
        <f>"#"&amp;$S$2&amp;"#"&amp;$T$2&amp;"\"&amp;$P$2&amp;"\ITON"</f>
        <v>#1#treiOPCDA.CoOPCserv.1\pcmaster\ZRU_OL1_st\ITON</v>
      </c>
    </row>
    <row r="236" spans="1:4">
      <c r="A236" s="32" t="str">
        <f t="shared" ref="A236:A241" si="21">$R$2&amp;".FXXX"</f>
        <v>АСУЭ.FB_IMst_MON_S.FXXX</v>
      </c>
      <c r="B236" s="33">
        <v>1</v>
      </c>
      <c r="C236" s="33" t="s">
        <v>1</v>
      </c>
      <c r="D236" s="34">
        <v>11</v>
      </c>
    </row>
    <row r="237" spans="1:4">
      <c r="A237" s="35" t="str">
        <f t="shared" si="21"/>
        <v>АСУЭ.FB_IMst_MON_S.FXXX</v>
      </c>
      <c r="B237" s="36">
        <v>2</v>
      </c>
      <c r="C237" s="36" t="s">
        <v>2</v>
      </c>
      <c r="D237" s="37" t="s">
        <v>175</v>
      </c>
    </row>
    <row r="238" spans="1:4">
      <c r="A238" s="35" t="str">
        <f t="shared" si="21"/>
        <v>АСУЭ.FB_IMst_MON_S.FXXX</v>
      </c>
      <c r="B238" s="36">
        <v>3</v>
      </c>
      <c r="C238" s="36" t="s">
        <v>1</v>
      </c>
      <c r="D238" s="37">
        <v>192</v>
      </c>
    </row>
    <row r="239" spans="1:4">
      <c r="A239" s="35" t="str">
        <f t="shared" si="21"/>
        <v>АСУЭ.FB_IMst_MON_S.FXXX</v>
      </c>
      <c r="B239" s="36">
        <v>101</v>
      </c>
      <c r="C239" s="36" t="s">
        <v>0</v>
      </c>
      <c r="D239" s="37" t="s">
        <v>139</v>
      </c>
    </row>
    <row r="240" spans="1:4">
      <c r="A240" s="35" t="str">
        <f t="shared" si="21"/>
        <v>АСУЭ.FB_IMst_MON_S.FXXX</v>
      </c>
      <c r="B240" s="36">
        <v>7998</v>
      </c>
      <c r="C240" s="36" t="s">
        <v>6</v>
      </c>
      <c r="D240" s="37">
        <v>1</v>
      </c>
    </row>
    <row r="241" spans="1:4">
      <c r="A241" s="38" t="str">
        <f t="shared" si="21"/>
        <v>АСУЭ.FB_IMst_MON_S.FXXX</v>
      </c>
      <c r="B241" s="39">
        <v>7999</v>
      </c>
      <c r="C241" s="39" t="s">
        <v>0</v>
      </c>
      <c r="D241" s="40" t="str">
        <f>"#"&amp;$S$2&amp;"#"&amp;$T$2&amp;"\"&amp;$P$2&amp;"\FXXX"</f>
        <v>#1#treiOPCDA.CoOPCserv.1\pcmaster\ZRU_OL1_st\FXXX</v>
      </c>
    </row>
    <row r="242" spans="1:4">
      <c r="A242" s="297" t="str">
        <f t="shared" ref="A242:A247" si="22">$R$2&amp;".XRON"</f>
        <v>АСУЭ.FB_IMst_MON_S.XRON</v>
      </c>
      <c r="B242" s="298">
        <v>1</v>
      </c>
      <c r="C242" s="298" t="s">
        <v>1</v>
      </c>
      <c r="D242" s="299">
        <v>3</v>
      </c>
    </row>
    <row r="243" spans="1:4">
      <c r="A243" s="300" t="str">
        <f t="shared" si="22"/>
        <v>АСУЭ.FB_IMst_MON_S.XRON</v>
      </c>
      <c r="B243" s="301">
        <v>2</v>
      </c>
      <c r="C243" s="301" t="s">
        <v>6</v>
      </c>
      <c r="D243" s="302">
        <v>0</v>
      </c>
    </row>
    <row r="244" spans="1:4">
      <c r="A244" s="300" t="str">
        <f t="shared" si="22"/>
        <v>АСУЭ.FB_IMst_MON_S.XRON</v>
      </c>
      <c r="B244" s="301">
        <v>3</v>
      </c>
      <c r="C244" s="301" t="s">
        <v>1</v>
      </c>
      <c r="D244" s="302">
        <v>192</v>
      </c>
    </row>
    <row r="245" spans="1:4">
      <c r="A245" s="300" t="str">
        <f t="shared" si="22"/>
        <v>АСУЭ.FB_IMst_MON_S.XRON</v>
      </c>
      <c r="B245" s="301">
        <v>101</v>
      </c>
      <c r="C245" s="301" t="s">
        <v>0</v>
      </c>
      <c r="D245" s="302" t="s">
        <v>287</v>
      </c>
    </row>
    <row r="246" spans="1:4">
      <c r="A246" s="300" t="str">
        <f t="shared" si="22"/>
        <v>АСУЭ.FB_IMst_MON_S.XRON</v>
      </c>
      <c r="B246" s="301">
        <v>7998</v>
      </c>
      <c r="C246" s="301" t="s">
        <v>6</v>
      </c>
      <c r="D246" s="302">
        <v>1</v>
      </c>
    </row>
    <row r="247" spans="1:4">
      <c r="A247" s="303" t="str">
        <f t="shared" si="22"/>
        <v>АСУЭ.FB_IMst_MON_S.XRON</v>
      </c>
      <c r="B247" s="304">
        <v>7999</v>
      </c>
      <c r="C247" s="304" t="s">
        <v>0</v>
      </c>
      <c r="D247" s="305" t="str">
        <f>"#"&amp;$S$2&amp;"#"&amp;$T$2&amp;"\"&amp;$P$2&amp;"\XRON"</f>
        <v>#1#treiOPCDA.CoOPCserv.1\pcmaster\ZRU_OL1_st\XRON</v>
      </c>
    </row>
    <row r="248" spans="1:4">
      <c r="A248" s="297" t="str">
        <f t="shared" ref="A248:A253" si="23">$R$2&amp;".XROF"</f>
        <v>АСУЭ.FB_IMst_MON_S.XROF</v>
      </c>
      <c r="B248" s="298">
        <v>1</v>
      </c>
      <c r="C248" s="298" t="s">
        <v>1</v>
      </c>
      <c r="D248" s="299">
        <v>3</v>
      </c>
    </row>
    <row r="249" spans="1:4">
      <c r="A249" s="300" t="str">
        <f t="shared" si="23"/>
        <v>АСУЭ.FB_IMst_MON_S.XROF</v>
      </c>
      <c r="B249" s="301">
        <v>2</v>
      </c>
      <c r="C249" s="301" t="s">
        <v>6</v>
      </c>
      <c r="D249" s="302">
        <v>0</v>
      </c>
    </row>
    <row r="250" spans="1:4">
      <c r="A250" s="300" t="str">
        <f t="shared" si="23"/>
        <v>АСУЭ.FB_IMst_MON_S.XROF</v>
      </c>
      <c r="B250" s="301">
        <v>3</v>
      </c>
      <c r="C250" s="301" t="s">
        <v>1</v>
      </c>
      <c r="D250" s="302">
        <v>192</v>
      </c>
    </row>
    <row r="251" spans="1:4">
      <c r="A251" s="300" t="str">
        <f t="shared" si="23"/>
        <v>АСУЭ.FB_IMst_MON_S.XROF</v>
      </c>
      <c r="B251" s="301">
        <v>101</v>
      </c>
      <c r="C251" s="301" t="s">
        <v>0</v>
      </c>
      <c r="D251" s="302" t="s">
        <v>288</v>
      </c>
    </row>
    <row r="252" spans="1:4">
      <c r="A252" s="300" t="str">
        <f t="shared" si="23"/>
        <v>АСУЭ.FB_IMst_MON_S.XROF</v>
      </c>
      <c r="B252" s="301">
        <v>7998</v>
      </c>
      <c r="C252" s="301" t="s">
        <v>6</v>
      </c>
      <c r="D252" s="302">
        <v>1</v>
      </c>
    </row>
    <row r="253" spans="1:4">
      <c r="A253" s="300" t="str">
        <f t="shared" si="23"/>
        <v>АСУЭ.FB_IMst_MON_S.XROF</v>
      </c>
      <c r="B253" s="301">
        <v>7999</v>
      </c>
      <c r="C253" s="301" t="s">
        <v>0</v>
      </c>
      <c r="D253" s="302" t="str">
        <f>"#"&amp;$S$2&amp;"#"&amp;$T$2&amp;"\"&amp;$P$2&amp;"\XROF"</f>
        <v>#1#treiOPCDA.CoOPCserv.1\pcmaster\ZRU_OL1_st\XROF</v>
      </c>
    </row>
    <row r="254" spans="1:4">
      <c r="A254" s="297" t="str">
        <f t="shared" ref="A254:A259" si="24">$R$2&amp;".SRQX"</f>
        <v>АСУЭ.FB_IMst_MON_S.SRQX</v>
      </c>
      <c r="B254" s="298">
        <v>1</v>
      </c>
      <c r="C254" s="298" t="s">
        <v>1</v>
      </c>
      <c r="D254" s="299">
        <v>3</v>
      </c>
    </row>
    <row r="255" spans="1:4">
      <c r="A255" s="300" t="str">
        <f t="shared" si="24"/>
        <v>АСУЭ.FB_IMst_MON_S.SRQX</v>
      </c>
      <c r="B255" s="301">
        <v>2</v>
      </c>
      <c r="C255" s="301" t="s">
        <v>6</v>
      </c>
      <c r="D255" s="302">
        <v>0</v>
      </c>
    </row>
    <row r="256" spans="1:4">
      <c r="A256" s="300" t="str">
        <f t="shared" si="24"/>
        <v>АСУЭ.FB_IMst_MON_S.SRQX</v>
      </c>
      <c r="B256" s="301">
        <v>3</v>
      </c>
      <c r="C256" s="301" t="s">
        <v>1</v>
      </c>
      <c r="D256" s="302">
        <v>192</v>
      </c>
    </row>
    <row r="257" spans="1:4">
      <c r="A257" s="300" t="str">
        <f t="shared" si="24"/>
        <v>АСУЭ.FB_IMst_MON_S.SRQX</v>
      </c>
      <c r="B257" s="301">
        <v>101</v>
      </c>
      <c r="C257" s="301" t="s">
        <v>0</v>
      </c>
      <c r="D257" s="302" t="s">
        <v>125</v>
      </c>
    </row>
    <row r="258" spans="1:4">
      <c r="A258" s="300" t="str">
        <f t="shared" si="24"/>
        <v>АСУЭ.FB_IMst_MON_S.SRQX</v>
      </c>
      <c r="B258" s="301">
        <v>7998</v>
      </c>
      <c r="C258" s="301" t="s">
        <v>6</v>
      </c>
      <c r="D258" s="302">
        <v>1</v>
      </c>
    </row>
    <row r="259" spans="1:4">
      <c r="A259" s="303" t="str">
        <f t="shared" si="24"/>
        <v>АСУЭ.FB_IMst_MON_S.SRQX</v>
      </c>
      <c r="B259" s="304">
        <v>7999</v>
      </c>
      <c r="C259" s="304" t="s">
        <v>0</v>
      </c>
      <c r="D259" s="305" t="str">
        <f>"#"&amp;$S$2&amp;"#"&amp;$T$2&amp;"\"&amp;$P$2&amp;"\SRQX"</f>
        <v>#1#treiOPCDA.CoOPCserv.1\pcmaster\ZRU_OL1_st\SRQX</v>
      </c>
    </row>
  </sheetData>
  <autoFilter ref="B1:B259" xr:uid="{00000000-0009-0000-0000-000014000000}"/>
  <mergeCells count="2">
    <mergeCell ref="Q23:Q24"/>
    <mergeCell ref="Q25:Q26"/>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Лист10">
    <tabColor rgb="FFFFC000"/>
  </sheetPr>
  <dimension ref="A1:BP270"/>
  <sheetViews>
    <sheetView topLeftCell="A10" zoomScale="80" zoomScaleNormal="80" workbookViewId="0">
      <selection activeCell="D2" sqref="D2:D4"/>
    </sheetView>
  </sheetViews>
  <sheetFormatPr defaultRowHeight="14.4"/>
  <cols>
    <col min="1" max="1" width="30.44140625" customWidth="1"/>
    <col min="2" max="2" width="8" customWidth="1"/>
    <col min="3" max="3" width="7.6640625" customWidth="1"/>
    <col min="4" max="4" width="71.4414062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57"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1"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61"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61" t="str">
        <f>Таблица!AL1</f>
        <v>Для TREI
FB_IMstp_S, FB_IMs_S, FB_IMp_S, FB_IMv_S, FB_IM_ADES_S: Настройка перехода ручной-/автоматический-(TRUE/FALSE) 
FB_DI_S: Генерировать метки времени (TRUE/FALSE)</v>
      </c>
      <c r="AY1" s="261"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61" t="str">
        <f>Таблица!AN1</f>
        <v>Для TREI
FB_AI_S, FB_QSA_S: Верхний предел датчика
FB_IMp_S, FB_IMv_S, FB_IM_ADES_S, FB_OZK_KD_S: Время перестановки</v>
      </c>
      <c r="BA1" s="261"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t="s">
        <v>298</v>
      </c>
      <c r="Q2" s="2" t="s">
        <v>772</v>
      </c>
      <c r="R2" s="2" t="s">
        <v>786</v>
      </c>
      <c r="S2" s="3">
        <v>1</v>
      </c>
      <c r="T2" s="3" t="s">
        <v>1698</v>
      </c>
      <c r="U2" s="3"/>
      <c r="V2" s="3" t="s">
        <v>569</v>
      </c>
      <c r="W2" s="12"/>
      <c r="X2" s="12"/>
      <c r="Y2" s="12"/>
      <c r="Z2" s="12"/>
      <c r="AA2" s="12"/>
      <c r="AB2" s="2"/>
      <c r="AC2" s="2"/>
      <c r="AD2" s="2"/>
      <c r="AE2" s="2" t="s">
        <v>1414</v>
      </c>
      <c r="AF2" s="2"/>
      <c r="AG2" s="2"/>
      <c r="AH2" s="2"/>
      <c r="AI2" s="2"/>
      <c r="AJ2" s="2"/>
      <c r="AK2" s="2"/>
      <c r="AL2" s="2" t="s">
        <v>1282</v>
      </c>
      <c r="AM2" s="2" t="s">
        <v>1283</v>
      </c>
      <c r="AN2" s="2"/>
      <c r="AO2" s="2"/>
      <c r="AP2" s="2" t="s">
        <v>1284</v>
      </c>
      <c r="AQ2" s="2"/>
      <c r="AR2" s="2"/>
      <c r="AS2" s="2" t="s">
        <v>1285</v>
      </c>
      <c r="AT2" s="2"/>
      <c r="AU2" s="2"/>
      <c r="AV2" s="2" t="s">
        <v>1286</v>
      </c>
      <c r="AW2" s="2"/>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M4" s="4"/>
      <c r="BN4" s="4"/>
      <c r="BO4" s="4"/>
      <c r="BP4" s="4"/>
    </row>
    <row r="5" spans="1:68"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M5" s="4"/>
      <c r="BN5" s="4"/>
      <c r="BO5" s="4"/>
      <c r="BP5" s="4"/>
    </row>
    <row r="6" spans="1:68"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M6" s="4"/>
      <c r="BN6" s="4"/>
      <c r="BO6" s="4"/>
      <c r="BP6" s="4"/>
    </row>
    <row r="7" spans="1:68"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M7" s="4"/>
      <c r="BN7" s="4"/>
      <c r="BO7" s="4"/>
      <c r="BP7" s="4"/>
    </row>
    <row r="8" spans="1:68" ht="15" customHeight="1">
      <c r="A8" s="9"/>
      <c r="B8" s="9"/>
      <c r="C8" s="9"/>
      <c r="D8" s="9"/>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BM8" s="4"/>
      <c r="BN8" s="4"/>
      <c r="BO8" s="4"/>
      <c r="BP8" s="4"/>
    </row>
    <row r="9" spans="1:68" ht="15" customHeight="1">
      <c r="A9" s="9"/>
      <c r="B9" s="9"/>
      <c r="C9" s="9"/>
      <c r="D9" s="9"/>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BM9" s="4"/>
      <c r="BN9" s="4"/>
      <c r="BO9" s="4"/>
      <c r="BP9" s="4"/>
    </row>
    <row r="10" spans="1:68" ht="15" customHeight="1">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BM10" s="4"/>
      <c r="BN10" s="4"/>
      <c r="BO10" s="4"/>
      <c r="BP10" s="4"/>
    </row>
    <row r="11" spans="1:68" ht="15" customHeight="1">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BM11" s="4"/>
      <c r="BN11" s="4"/>
      <c r="BO11" s="4"/>
      <c r="BP11" s="4"/>
    </row>
    <row r="12" spans="1:68"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M17" s="4"/>
      <c r="BN17" s="4"/>
      <c r="BO17" s="4"/>
      <c r="BP17" s="4"/>
    </row>
    <row r="18" spans="1:68"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M18" s="4"/>
      <c r="BN18" s="4"/>
      <c r="BO18" s="4"/>
      <c r="BP18" s="4"/>
    </row>
    <row r="19" spans="1:68"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M19" s="4"/>
      <c r="BN19" s="4"/>
      <c r="BO19" s="4"/>
      <c r="BP19" s="4"/>
    </row>
    <row r="20" spans="1:68">
      <c r="A20" s="23" t="str">
        <f t="shared" ref="A20:A32" si="0">$R$2</f>
        <v>АСУЭ.FB_IMsp_MON_S</v>
      </c>
      <c r="B20" s="24">
        <v>1</v>
      </c>
      <c r="C20" s="24" t="s">
        <v>1</v>
      </c>
      <c r="D20" s="25">
        <v>17</v>
      </c>
    </row>
    <row r="21" spans="1:68">
      <c r="A21" s="29" t="str">
        <f t="shared" si="0"/>
        <v>АСУЭ.FB_IMsp_MON_S</v>
      </c>
      <c r="B21" s="1">
        <v>11001</v>
      </c>
      <c r="C21" s="1" t="s">
        <v>0</v>
      </c>
      <c r="D21" s="30" t="str">
        <f>$Q$2&amp;". "</f>
        <v xml:space="preserve">Выключатель с защитой без управления и без тележки. </v>
      </c>
    </row>
    <row r="22" spans="1:68">
      <c r="A22" s="29" t="str">
        <f t="shared" si="0"/>
        <v>АСУЭ.FB_IMsp_MON_S</v>
      </c>
      <c r="B22" s="1">
        <v>11156</v>
      </c>
      <c r="C22" s="1" t="s">
        <v>0</v>
      </c>
      <c r="D22" s="30" t="str">
        <f>$V$2</f>
        <v>Тестовый экран</v>
      </c>
    </row>
    <row r="23" spans="1:68" ht="15" customHeight="1">
      <c r="A23" s="16" t="str">
        <f t="shared" si="0"/>
        <v>АСУЭ.FB_IMsp_MON_S</v>
      </c>
      <c r="B23" s="17">
        <v>100</v>
      </c>
      <c r="C23" s="17" t="s">
        <v>0</v>
      </c>
      <c r="D23" s="18" t="b">
        <f>$T$7</f>
        <v>0</v>
      </c>
      <c r="BF23" s="4"/>
      <c r="BG23" s="4"/>
      <c r="BH23" s="4"/>
      <c r="BI23" s="4"/>
    </row>
    <row r="24" spans="1:68">
      <c r="A24" s="19" t="str">
        <f t="shared" si="0"/>
        <v>АСУЭ.FB_IMsp_MON_S</v>
      </c>
      <c r="B24" s="11">
        <v>11120</v>
      </c>
      <c r="C24" s="11" t="s">
        <v>0</v>
      </c>
      <c r="D24" s="20" t="str">
        <f>$AL$2</f>
        <v>6+30</v>
      </c>
    </row>
    <row r="25" spans="1:68">
      <c r="A25" s="19" t="str">
        <f t="shared" si="0"/>
        <v>АСУЭ.FB_IMsp_MON_S</v>
      </c>
      <c r="B25" s="11">
        <v>11121</v>
      </c>
      <c r="C25" s="11" t="s">
        <v>0</v>
      </c>
      <c r="D25" s="20" t="str">
        <f>$AM$2</f>
        <v>7+2</v>
      </c>
    </row>
    <row r="26" spans="1:68">
      <c r="A26" s="19" t="str">
        <f t="shared" si="0"/>
        <v>АСУЭ.FB_IMsp_MON_S</v>
      </c>
      <c r="B26" s="11">
        <v>11122</v>
      </c>
      <c r="C26" s="11" t="s">
        <v>0</v>
      </c>
      <c r="D26" s="20" t="str">
        <f>$AP$2</f>
        <v>6+12</v>
      </c>
    </row>
    <row r="27" spans="1:68">
      <c r="A27" s="19" t="str">
        <f t="shared" si="0"/>
        <v>АСУЭ.FB_IMsp_MON_S</v>
      </c>
      <c r="B27" s="11">
        <v>11123</v>
      </c>
      <c r="C27" s="11" t="s">
        <v>0</v>
      </c>
      <c r="D27" s="20" t="str">
        <f>$AS$2</f>
        <v>6+16</v>
      </c>
    </row>
    <row r="28" spans="1:68">
      <c r="A28" s="21" t="str">
        <f t="shared" si="0"/>
        <v>АСУЭ.FB_IMsp_MON_S</v>
      </c>
      <c r="B28" s="8">
        <v>11124</v>
      </c>
      <c r="C28" s="8" t="s">
        <v>0</v>
      </c>
      <c r="D28" s="22" t="str">
        <f>$AV$2</f>
        <v>6+29</v>
      </c>
    </row>
    <row r="29" spans="1:68">
      <c r="A29" s="16" t="str">
        <f t="shared" si="0"/>
        <v>АСУЭ.FB_IMsp_MON_S</v>
      </c>
      <c r="B29" s="17">
        <v>13</v>
      </c>
      <c r="C29" s="17" t="s">
        <v>2</v>
      </c>
      <c r="D29" s="18" t="s">
        <v>3</v>
      </c>
    </row>
    <row r="30" spans="1:68" ht="15" customHeight="1">
      <c r="A30" s="19" t="str">
        <f t="shared" si="0"/>
        <v>АСУЭ.FB_IMsp_MON_S</v>
      </c>
      <c r="B30" s="11">
        <v>3000013</v>
      </c>
      <c r="C30" s="11" t="s">
        <v>0</v>
      </c>
      <c r="D30" s="20" t="str">
        <f>$AE$2</f>
        <v>Диагностика.CPU.NOT_LINK.noLink</v>
      </c>
      <c r="BF30" s="4"/>
      <c r="BG30" s="4"/>
      <c r="BH30" s="4"/>
      <c r="BI30" s="4"/>
    </row>
    <row r="31" spans="1:68" ht="15" customHeight="1">
      <c r="A31" s="19" t="str">
        <f t="shared" si="0"/>
        <v>АСУЭ.FB_IMsp_MON_S</v>
      </c>
      <c r="B31" s="11">
        <v>4000013</v>
      </c>
      <c r="C31" s="11" t="s">
        <v>0</v>
      </c>
      <c r="D31" s="20" t="s">
        <v>1770</v>
      </c>
      <c r="BF31" s="4"/>
      <c r="BG31" s="4"/>
      <c r="BH31" s="4"/>
      <c r="BI31" s="4"/>
    </row>
    <row r="32" spans="1:68" ht="15" customHeight="1">
      <c r="A32" s="21" t="str">
        <f t="shared" si="0"/>
        <v>АСУЭ.FB_IMsp_MON_S</v>
      </c>
      <c r="B32" s="8">
        <v>7000013</v>
      </c>
      <c r="C32" s="8" t="s">
        <v>6</v>
      </c>
      <c r="D32" s="22">
        <v>2</v>
      </c>
      <c r="BF32" s="4"/>
      <c r="BG32" s="4"/>
      <c r="BH32" s="4"/>
      <c r="BI32" s="4"/>
    </row>
    <row r="33" spans="1:4">
      <c r="A33" s="156" t="str">
        <f t="shared" ref="A33:A42" si="1">$R$2&amp;".FPTX"</f>
        <v>АСУЭ.FB_IMsp_MON_S.FPTX</v>
      </c>
      <c r="B33" s="157">
        <v>11154</v>
      </c>
      <c r="C33" s="157" t="s">
        <v>4</v>
      </c>
      <c r="D33" s="197">
        <f>$Q$5</f>
        <v>4</v>
      </c>
    </row>
    <row r="34" spans="1:4">
      <c r="A34" s="148" t="str">
        <f t="shared" si="1"/>
        <v>АСУЭ.FB_IMsp_MON_S.FPTX</v>
      </c>
      <c r="B34" s="149">
        <v>11152</v>
      </c>
      <c r="C34" s="149" t="s">
        <v>0</v>
      </c>
      <c r="D34" s="125" t="str">
        <f>$R$5</f>
        <v>Авария</v>
      </c>
    </row>
    <row r="35" spans="1:4">
      <c r="A35" s="148" t="str">
        <f t="shared" si="1"/>
        <v>АСУЭ.FB_IMsp_MON_S.FPTX</v>
      </c>
      <c r="B35" s="149">
        <v>11150</v>
      </c>
      <c r="C35" s="149" t="s">
        <v>0</v>
      </c>
      <c r="D35" s="125" t="s">
        <v>141</v>
      </c>
    </row>
    <row r="36" spans="1:4">
      <c r="A36" s="148" t="str">
        <f t="shared" si="1"/>
        <v>АСУЭ.FB_IMsp_MON_S.FPTX</v>
      </c>
      <c r="B36" s="149">
        <v>11000</v>
      </c>
      <c r="C36" s="149" t="s">
        <v>5</v>
      </c>
      <c r="D36" s="125">
        <v>2147483680</v>
      </c>
    </row>
    <row r="37" spans="1:4">
      <c r="A37" s="29" t="str">
        <f t="shared" si="1"/>
        <v>АСУЭ.FB_IMsp_MON_S.FPTX</v>
      </c>
      <c r="B37" s="1">
        <v>7999</v>
      </c>
      <c r="C37" s="1" t="s">
        <v>0</v>
      </c>
      <c r="D37" s="30" t="str">
        <f>"#"&amp;$S$2&amp;"#"&amp;$T$2&amp;"\"&amp;$P$2&amp;"\FPTX"</f>
        <v>#1#treiOPCDA.CoOPCserv.1\pcmaster\ZRU_OL1_sp\FPTX</v>
      </c>
    </row>
    <row r="38" spans="1:4">
      <c r="A38" s="29" t="str">
        <f t="shared" si="1"/>
        <v>АСУЭ.FB_IMsp_MON_S.FPTX</v>
      </c>
      <c r="B38" s="1">
        <v>7998</v>
      </c>
      <c r="C38" s="1" t="s">
        <v>6</v>
      </c>
      <c r="D38" s="30">
        <v>1</v>
      </c>
    </row>
    <row r="39" spans="1:4">
      <c r="A39" s="29" t="str">
        <f t="shared" si="1"/>
        <v>АСУЭ.FB_IMsp_MON_S.FPTX</v>
      </c>
      <c r="B39" s="1">
        <v>101</v>
      </c>
      <c r="C39" s="1" t="s">
        <v>0</v>
      </c>
      <c r="D39" s="30" t="s">
        <v>140</v>
      </c>
    </row>
    <row r="40" spans="1:4">
      <c r="A40" s="29" t="str">
        <f t="shared" si="1"/>
        <v>АСУЭ.FB_IMsp_MON_S.FPTX</v>
      </c>
      <c r="B40" s="1">
        <v>3</v>
      </c>
      <c r="C40" s="1" t="s">
        <v>1</v>
      </c>
      <c r="D40" s="30">
        <v>192</v>
      </c>
    </row>
    <row r="41" spans="1:4">
      <c r="A41" s="29" t="str">
        <f t="shared" si="1"/>
        <v>АСУЭ.FB_IMsp_MON_S.FPTX</v>
      </c>
      <c r="B41" s="1">
        <v>2</v>
      </c>
      <c r="C41" s="1" t="s">
        <v>2</v>
      </c>
      <c r="D41" s="30" t="s">
        <v>3</v>
      </c>
    </row>
    <row r="42" spans="1:4">
      <c r="A42" s="29" t="str">
        <f t="shared" si="1"/>
        <v>АСУЭ.FB_IMsp_MON_S.FPTX</v>
      </c>
      <c r="B42" s="1">
        <v>1</v>
      </c>
      <c r="C42" s="1" t="s">
        <v>1</v>
      </c>
      <c r="D42" s="30">
        <v>11</v>
      </c>
    </row>
    <row r="43" spans="1:4">
      <c r="A43" s="69" t="str">
        <f t="shared" ref="A43:A52" si="2">$R$2&amp;".FRQX"</f>
        <v>АСУЭ.FB_IMsp_MON_S.FRQX</v>
      </c>
      <c r="B43" s="70">
        <v>11154</v>
      </c>
      <c r="C43" s="70" t="s">
        <v>4</v>
      </c>
      <c r="D43" s="71">
        <f>$Q$6</f>
        <v>8</v>
      </c>
    </row>
    <row r="44" spans="1:4">
      <c r="A44" s="63" t="str">
        <f t="shared" si="2"/>
        <v>АСУЭ.FB_IMsp_MON_S.FRQX</v>
      </c>
      <c r="B44" s="64">
        <v>11152</v>
      </c>
      <c r="C44" s="64" t="s">
        <v>0</v>
      </c>
      <c r="D44" s="65" t="str">
        <f>$R$6</f>
        <v>Предупреждение</v>
      </c>
    </row>
    <row r="45" spans="1:4">
      <c r="A45" s="63" t="str">
        <f t="shared" si="2"/>
        <v>АСУЭ.FB_IMsp_MON_S.FRQX</v>
      </c>
      <c r="B45" s="64">
        <v>11150</v>
      </c>
      <c r="C45" s="64" t="s">
        <v>0</v>
      </c>
      <c r="D45" s="65" t="s">
        <v>157</v>
      </c>
    </row>
    <row r="46" spans="1:4">
      <c r="A46" s="63" t="str">
        <f t="shared" si="2"/>
        <v>АСУЭ.FB_IMsp_MON_S.FRQX</v>
      </c>
      <c r="B46" s="64">
        <v>11000</v>
      </c>
      <c r="C46" s="64" t="s">
        <v>5</v>
      </c>
      <c r="D46" s="65">
        <v>2147483680</v>
      </c>
    </row>
    <row r="47" spans="1:4">
      <c r="A47" s="29" t="str">
        <f t="shared" si="2"/>
        <v>АСУЭ.FB_IMsp_MON_S.FRQX</v>
      </c>
      <c r="B47" s="1">
        <v>7999</v>
      </c>
      <c r="C47" s="1" t="s">
        <v>0</v>
      </c>
      <c r="D47" s="30" t="str">
        <f>"#"&amp;$S$2&amp;"#"&amp;$T$2&amp;"\"&amp;$P$2&amp;"\FRQX"</f>
        <v>#1#treiOPCDA.CoOPCserv.1\pcmaster\ZRU_OL1_sp\FRQX</v>
      </c>
    </row>
    <row r="48" spans="1:4">
      <c r="A48" s="29" t="str">
        <f t="shared" si="2"/>
        <v>АСУЭ.FB_IMsp_MON_S.FRQX</v>
      </c>
      <c r="B48" s="1">
        <v>7998</v>
      </c>
      <c r="C48" s="1" t="s">
        <v>6</v>
      </c>
      <c r="D48" s="30">
        <v>1</v>
      </c>
    </row>
    <row r="49" spans="1:4">
      <c r="A49" s="29" t="str">
        <f t="shared" si="2"/>
        <v>АСУЭ.FB_IMsp_MON_S.FRQX</v>
      </c>
      <c r="B49" s="1">
        <v>101</v>
      </c>
      <c r="C49" s="1" t="s">
        <v>0</v>
      </c>
      <c r="D49" s="30" t="s">
        <v>157</v>
      </c>
    </row>
    <row r="50" spans="1:4">
      <c r="A50" s="29" t="str">
        <f t="shared" si="2"/>
        <v>АСУЭ.FB_IMsp_MON_S.FRQX</v>
      </c>
      <c r="B50" s="1">
        <v>3</v>
      </c>
      <c r="C50" s="1" t="s">
        <v>1</v>
      </c>
      <c r="D50" s="30">
        <v>192</v>
      </c>
    </row>
    <row r="51" spans="1:4">
      <c r="A51" s="29" t="str">
        <f t="shared" si="2"/>
        <v>АСУЭ.FB_IMsp_MON_S.FRQX</v>
      </c>
      <c r="B51" s="1">
        <v>2</v>
      </c>
      <c r="C51" s="1" t="s">
        <v>2</v>
      </c>
      <c r="D51" s="30" t="s">
        <v>3</v>
      </c>
    </row>
    <row r="52" spans="1:4">
      <c r="A52" s="26" t="str">
        <f t="shared" si="2"/>
        <v>АСУЭ.FB_IMsp_MON_S.FRQX</v>
      </c>
      <c r="B52" s="27">
        <v>1</v>
      </c>
      <c r="C52" s="27" t="s">
        <v>1</v>
      </c>
      <c r="D52" s="28">
        <v>11</v>
      </c>
    </row>
    <row r="53" spans="1:4">
      <c r="A53" s="69" t="str">
        <f t="shared" ref="A53:A62" si="3">$R$2&amp;".FRPT"</f>
        <v>АСУЭ.FB_IMsp_MON_S.FRPT</v>
      </c>
      <c r="B53" s="70">
        <v>11000</v>
      </c>
      <c r="C53" s="70" t="s">
        <v>5</v>
      </c>
      <c r="D53" s="71">
        <v>2147483680</v>
      </c>
    </row>
    <row r="54" spans="1:4">
      <c r="A54" s="63" t="str">
        <f t="shared" si="3"/>
        <v>АСУЭ.FB_IMsp_MON_S.FRPT</v>
      </c>
      <c r="B54" s="64">
        <v>11150</v>
      </c>
      <c r="C54" s="64" t="s">
        <v>0</v>
      </c>
      <c r="D54" s="65" t="s">
        <v>177</v>
      </c>
    </row>
    <row r="55" spans="1:4">
      <c r="A55" s="63" t="str">
        <f t="shared" si="3"/>
        <v>АСУЭ.FB_IMsp_MON_S.FRPT</v>
      </c>
      <c r="B55" s="64">
        <v>11152</v>
      </c>
      <c r="C55" s="64" t="s">
        <v>0</v>
      </c>
      <c r="D55" s="65" t="str">
        <f>$R$6</f>
        <v>Предупреждение</v>
      </c>
    </row>
    <row r="56" spans="1:4">
      <c r="A56" s="63" t="str">
        <f t="shared" si="3"/>
        <v>АСУЭ.FB_IMsp_MON_S.FRPT</v>
      </c>
      <c r="B56" s="64">
        <v>11154</v>
      </c>
      <c r="C56" s="64" t="s">
        <v>4</v>
      </c>
      <c r="D56" s="65">
        <f>$Q$6</f>
        <v>8</v>
      </c>
    </row>
    <row r="57" spans="1:4">
      <c r="A57" s="29" t="str">
        <f t="shared" si="3"/>
        <v>АСУЭ.FB_IMsp_MON_S.FRPT</v>
      </c>
      <c r="B57" s="1">
        <v>1</v>
      </c>
      <c r="C57" s="1" t="s">
        <v>1</v>
      </c>
      <c r="D57" s="30">
        <v>11</v>
      </c>
    </row>
    <row r="58" spans="1:4">
      <c r="A58" s="29" t="str">
        <f t="shared" si="3"/>
        <v>АСУЭ.FB_IMsp_MON_S.FRPT</v>
      </c>
      <c r="B58" s="1">
        <v>2</v>
      </c>
      <c r="C58" s="1" t="s">
        <v>2</v>
      </c>
      <c r="D58" s="30" t="s">
        <v>3</v>
      </c>
    </row>
    <row r="59" spans="1:4">
      <c r="A59" s="29" t="str">
        <f t="shared" si="3"/>
        <v>АСУЭ.FB_IMsp_MON_S.FRPT</v>
      </c>
      <c r="B59" s="1">
        <v>3</v>
      </c>
      <c r="C59" s="1" t="s">
        <v>1</v>
      </c>
      <c r="D59" s="30">
        <v>192</v>
      </c>
    </row>
    <row r="60" spans="1:4">
      <c r="A60" s="29" t="str">
        <f t="shared" si="3"/>
        <v>АСУЭ.FB_IMsp_MON_S.FRPT</v>
      </c>
      <c r="B60" s="1">
        <v>101</v>
      </c>
      <c r="C60" s="1" t="s">
        <v>0</v>
      </c>
      <c r="D60" s="30" t="s">
        <v>177</v>
      </c>
    </row>
    <row r="61" spans="1:4">
      <c r="A61" s="29" t="str">
        <f t="shared" si="3"/>
        <v>АСУЭ.FB_IMsp_MON_S.FRPT</v>
      </c>
      <c r="B61" s="1">
        <v>7998</v>
      </c>
      <c r="C61" s="1" t="s">
        <v>6</v>
      </c>
      <c r="D61" s="30">
        <v>1</v>
      </c>
    </row>
    <row r="62" spans="1:4">
      <c r="A62" s="26" t="str">
        <f t="shared" si="3"/>
        <v>АСУЭ.FB_IMsp_MON_S.FRPT</v>
      </c>
      <c r="B62" s="27">
        <v>7999</v>
      </c>
      <c r="C62" s="27" t="s">
        <v>0</v>
      </c>
      <c r="D62" s="28" t="str">
        <f>"#"&amp;$S$2&amp;"#"&amp;$T$2&amp;"\"&amp;$P$2&amp;"\FRPT"</f>
        <v>#1#treiOPCDA.CoOPCserv.1\pcmaster\ZRU_OL1_sp\FRPT</v>
      </c>
    </row>
    <row r="63" spans="1:4">
      <c r="A63" s="217" t="str">
        <f t="shared" ref="A63:A72" si="4">$R$2&amp;".IFXX"</f>
        <v>АСУЭ.FB_IMsp_MON_S.IFXX</v>
      </c>
      <c r="B63" s="218">
        <v>11152</v>
      </c>
      <c r="C63" s="218" t="s">
        <v>0</v>
      </c>
      <c r="D63" s="231" t="str">
        <f>$R$7</f>
        <v>Неисправность</v>
      </c>
    </row>
    <row r="64" spans="1:4">
      <c r="A64" s="211" t="str">
        <f t="shared" si="4"/>
        <v>АСУЭ.FB_IMsp_MON_S.IFXX</v>
      </c>
      <c r="B64" s="212">
        <v>11000</v>
      </c>
      <c r="C64" s="212" t="s">
        <v>5</v>
      </c>
      <c r="D64" s="213">
        <v>2147483680</v>
      </c>
    </row>
    <row r="65" spans="1:4">
      <c r="A65" s="211" t="str">
        <f t="shared" si="4"/>
        <v>АСУЭ.FB_IMsp_MON_S.IFXX</v>
      </c>
      <c r="B65" s="212">
        <v>11150</v>
      </c>
      <c r="C65" s="212" t="s">
        <v>0</v>
      </c>
      <c r="D65" s="213" t="s">
        <v>110</v>
      </c>
    </row>
    <row r="66" spans="1:4">
      <c r="A66" s="211" t="str">
        <f t="shared" si="4"/>
        <v>АСУЭ.FB_IMsp_MON_S.IFXX</v>
      </c>
      <c r="B66" s="212">
        <v>11154</v>
      </c>
      <c r="C66" s="212" t="s">
        <v>4</v>
      </c>
      <c r="D66" s="213">
        <f>$Q$7</f>
        <v>12</v>
      </c>
    </row>
    <row r="67" spans="1:4">
      <c r="A67" s="29" t="str">
        <f t="shared" si="4"/>
        <v>АСУЭ.FB_IMsp_MON_S.IFXX</v>
      </c>
      <c r="B67" s="1">
        <v>1</v>
      </c>
      <c r="C67" s="1" t="s">
        <v>1</v>
      </c>
      <c r="D67" s="30">
        <v>11</v>
      </c>
    </row>
    <row r="68" spans="1:4">
      <c r="A68" s="29" t="str">
        <f t="shared" si="4"/>
        <v>АСУЭ.FB_IMsp_MON_S.IFXX</v>
      </c>
      <c r="B68" s="1">
        <v>2</v>
      </c>
      <c r="C68" s="1" t="s">
        <v>2</v>
      </c>
      <c r="D68" s="30" t="s">
        <v>3</v>
      </c>
    </row>
    <row r="69" spans="1:4">
      <c r="A69" s="29" t="str">
        <f t="shared" si="4"/>
        <v>АСУЭ.FB_IMsp_MON_S.IFXX</v>
      </c>
      <c r="B69" s="1">
        <v>3</v>
      </c>
      <c r="C69" s="1" t="s">
        <v>1</v>
      </c>
      <c r="D69" s="30">
        <v>192</v>
      </c>
    </row>
    <row r="70" spans="1:4">
      <c r="A70" s="29" t="str">
        <f t="shared" si="4"/>
        <v>АСУЭ.FB_IMsp_MON_S.IFXX</v>
      </c>
      <c r="B70" s="1">
        <v>101</v>
      </c>
      <c r="C70" s="1" t="s">
        <v>0</v>
      </c>
      <c r="D70" s="30" t="s">
        <v>176</v>
      </c>
    </row>
    <row r="71" spans="1:4">
      <c r="A71" s="29" t="str">
        <f t="shared" si="4"/>
        <v>АСУЭ.FB_IMsp_MON_S.IFXX</v>
      </c>
      <c r="B71" s="1">
        <v>7998</v>
      </c>
      <c r="C71" s="1" t="s">
        <v>6</v>
      </c>
      <c r="D71" s="30">
        <v>1</v>
      </c>
    </row>
    <row r="72" spans="1:4">
      <c r="A72" s="29" t="str">
        <f t="shared" si="4"/>
        <v>АСУЭ.FB_IMsp_MON_S.IFXX</v>
      </c>
      <c r="B72" s="1">
        <v>7999</v>
      </c>
      <c r="C72" s="1" t="s">
        <v>0</v>
      </c>
      <c r="D72" s="30" t="str">
        <f>"#"&amp;$S$2&amp;"#"&amp;$T$2&amp;"\"&amp;$P$2&amp;"\IFXX"</f>
        <v>#1#treiOPCDA.CoOPCserv.1\pcmaster\ZRU_OL1_sp\IFXX</v>
      </c>
    </row>
    <row r="73" spans="1:4">
      <c r="A73" s="217" t="str">
        <f t="shared" ref="A73:A82" si="5">$R$2&amp;".FUPT"</f>
        <v>АСУЭ.FB_IMsp_MON_S.FUPT</v>
      </c>
      <c r="B73" s="218">
        <v>11000</v>
      </c>
      <c r="C73" s="218" t="s">
        <v>5</v>
      </c>
      <c r="D73" s="231">
        <v>2147483680</v>
      </c>
    </row>
    <row r="74" spans="1:4">
      <c r="A74" s="211" t="str">
        <f t="shared" si="5"/>
        <v>АСУЭ.FB_IMsp_MON_S.FUPT</v>
      </c>
      <c r="B74" s="212">
        <v>11150</v>
      </c>
      <c r="C74" s="212" t="s">
        <v>0</v>
      </c>
      <c r="D74" s="213" t="s">
        <v>156</v>
      </c>
    </row>
    <row r="75" spans="1:4">
      <c r="A75" s="211" t="str">
        <f t="shared" si="5"/>
        <v>АСУЭ.FB_IMsp_MON_S.FUPT</v>
      </c>
      <c r="B75" s="212">
        <v>11152</v>
      </c>
      <c r="C75" s="212" t="s">
        <v>0</v>
      </c>
      <c r="D75" s="213" t="str">
        <f>$R$7</f>
        <v>Неисправность</v>
      </c>
    </row>
    <row r="76" spans="1:4">
      <c r="A76" s="211" t="str">
        <f t="shared" si="5"/>
        <v>АСУЭ.FB_IMsp_MON_S.FUPT</v>
      </c>
      <c r="B76" s="212">
        <v>11154</v>
      </c>
      <c r="C76" s="212" t="s">
        <v>4</v>
      </c>
      <c r="D76" s="213">
        <f>$Q$7</f>
        <v>12</v>
      </c>
    </row>
    <row r="77" spans="1:4">
      <c r="A77" s="29" t="str">
        <f t="shared" si="5"/>
        <v>АСУЭ.FB_IMsp_MON_S.FUPT</v>
      </c>
      <c r="B77" s="1">
        <v>1</v>
      </c>
      <c r="C77" s="1" t="s">
        <v>1</v>
      </c>
      <c r="D77" s="30">
        <v>11</v>
      </c>
    </row>
    <row r="78" spans="1:4">
      <c r="A78" s="29" t="str">
        <f t="shared" si="5"/>
        <v>АСУЭ.FB_IMsp_MON_S.FUPT</v>
      </c>
      <c r="B78" s="1">
        <v>2</v>
      </c>
      <c r="C78" s="1" t="s">
        <v>2</v>
      </c>
      <c r="D78" s="30" t="s">
        <v>3</v>
      </c>
    </row>
    <row r="79" spans="1:4">
      <c r="A79" s="29" t="str">
        <f t="shared" si="5"/>
        <v>АСУЭ.FB_IMsp_MON_S.FUPT</v>
      </c>
      <c r="B79" s="1">
        <v>3</v>
      </c>
      <c r="C79" s="1" t="s">
        <v>1</v>
      </c>
      <c r="D79" s="30">
        <v>192</v>
      </c>
    </row>
    <row r="80" spans="1:4">
      <c r="A80" s="29" t="str">
        <f t="shared" si="5"/>
        <v>АСУЭ.FB_IMsp_MON_S.FUPT</v>
      </c>
      <c r="B80" s="1">
        <v>101</v>
      </c>
      <c r="C80" s="1" t="s">
        <v>0</v>
      </c>
      <c r="D80" s="30" t="s">
        <v>156</v>
      </c>
    </row>
    <row r="81" spans="1:4">
      <c r="A81" s="29" t="str">
        <f t="shared" si="5"/>
        <v>АСУЭ.FB_IMsp_MON_S.FUPT</v>
      </c>
      <c r="B81" s="1">
        <v>7998</v>
      </c>
      <c r="C81" s="1" t="s">
        <v>6</v>
      </c>
      <c r="D81" s="30">
        <v>1</v>
      </c>
    </row>
    <row r="82" spans="1:4">
      <c r="A82" s="26" t="str">
        <f t="shared" si="5"/>
        <v>АСУЭ.FB_IMsp_MON_S.FUPT</v>
      </c>
      <c r="B82" s="27">
        <v>7999</v>
      </c>
      <c r="C82" s="27" t="s">
        <v>0</v>
      </c>
      <c r="D82" s="28" t="str">
        <f>"#"&amp;$S$2&amp;"#"&amp;$T$2&amp;"\"&amp;$P$2&amp;"\FUPT"</f>
        <v>#1#treiOPCDA.CoOPCserv.1\pcmaster\ZRU_OL1_sp\FUPT</v>
      </c>
    </row>
    <row r="83" spans="1:4">
      <c r="A83" s="211" t="str">
        <f t="shared" ref="A83:A92" si="6">$R$2&amp;".FUSX"</f>
        <v>АСУЭ.FB_IMsp_MON_S.FUSX</v>
      </c>
      <c r="B83" s="212">
        <v>11154</v>
      </c>
      <c r="C83" s="212" t="s">
        <v>4</v>
      </c>
      <c r="D83" s="213">
        <f>$Q$7</f>
        <v>12</v>
      </c>
    </row>
    <row r="84" spans="1:4">
      <c r="A84" s="211" t="str">
        <f t="shared" si="6"/>
        <v>АСУЭ.FB_IMsp_MON_S.FUSX</v>
      </c>
      <c r="B84" s="212">
        <v>11152</v>
      </c>
      <c r="C84" s="212" t="s">
        <v>0</v>
      </c>
      <c r="D84" s="213" t="str">
        <f>$R$7</f>
        <v>Неисправность</v>
      </c>
    </row>
    <row r="85" spans="1:4">
      <c r="A85" s="211" t="str">
        <f t="shared" si="6"/>
        <v>АСУЭ.FB_IMsp_MON_S.FUSX</v>
      </c>
      <c r="B85" s="212">
        <v>11150</v>
      </c>
      <c r="C85" s="212" t="s">
        <v>0</v>
      </c>
      <c r="D85" s="213" t="s">
        <v>1854</v>
      </c>
    </row>
    <row r="86" spans="1:4">
      <c r="A86" s="211" t="str">
        <f t="shared" si="6"/>
        <v>АСУЭ.FB_IMsp_MON_S.FUSX</v>
      </c>
      <c r="B86" s="212">
        <v>11000</v>
      </c>
      <c r="C86" s="212" t="s">
        <v>5</v>
      </c>
      <c r="D86" s="213">
        <v>2147483680</v>
      </c>
    </row>
    <row r="87" spans="1:4">
      <c r="A87" s="29" t="str">
        <f t="shared" si="6"/>
        <v>АСУЭ.FB_IMsp_MON_S.FUSX</v>
      </c>
      <c r="B87" s="1">
        <v>7999</v>
      </c>
      <c r="C87" s="1" t="s">
        <v>0</v>
      </c>
      <c r="D87" s="30" t="str">
        <f>"#"&amp;$S$2&amp;"#"&amp;$T$2&amp;"\"&amp;$P$2&amp;"\FUSX"</f>
        <v>#1#treiOPCDA.CoOPCserv.1\pcmaster\ZRU_OL1_sp\FUSX</v>
      </c>
    </row>
    <row r="88" spans="1:4">
      <c r="A88" s="29" t="str">
        <f t="shared" si="6"/>
        <v>АСУЭ.FB_IMsp_MON_S.FUSX</v>
      </c>
      <c r="B88" s="1">
        <v>7998</v>
      </c>
      <c r="C88" s="1" t="s">
        <v>6</v>
      </c>
      <c r="D88" s="30">
        <v>1</v>
      </c>
    </row>
    <row r="89" spans="1:4">
      <c r="A89" s="29" t="str">
        <f t="shared" si="6"/>
        <v>АСУЭ.FB_IMsp_MON_S.FUSX</v>
      </c>
      <c r="B89" s="1">
        <v>101</v>
      </c>
      <c r="C89" s="1" t="s">
        <v>0</v>
      </c>
      <c r="D89" s="30" t="s">
        <v>1854</v>
      </c>
    </row>
    <row r="90" spans="1:4">
      <c r="A90" s="29" t="str">
        <f t="shared" si="6"/>
        <v>АСУЭ.FB_IMsp_MON_S.FUSX</v>
      </c>
      <c r="B90" s="1">
        <v>3</v>
      </c>
      <c r="C90" s="1" t="s">
        <v>1</v>
      </c>
      <c r="D90" s="30">
        <v>192</v>
      </c>
    </row>
    <row r="91" spans="1:4">
      <c r="A91" s="29" t="str">
        <f t="shared" si="6"/>
        <v>АСУЭ.FB_IMsp_MON_S.FUSX</v>
      </c>
      <c r="B91" s="1">
        <v>2</v>
      </c>
      <c r="C91" s="1" t="s">
        <v>2</v>
      </c>
      <c r="D91" s="30" t="s">
        <v>3</v>
      </c>
    </row>
    <row r="92" spans="1:4">
      <c r="A92" s="26" t="str">
        <f t="shared" si="6"/>
        <v>АСУЭ.FB_IMsp_MON_S.FUSX</v>
      </c>
      <c r="B92" s="27">
        <v>1</v>
      </c>
      <c r="C92" s="27" t="s">
        <v>1</v>
      </c>
      <c r="D92" s="28">
        <v>11</v>
      </c>
    </row>
    <row r="93" spans="1:4">
      <c r="A93" s="217" t="str">
        <f t="shared" ref="A93:A102" si="7">$R$2&amp;".FDPT"</f>
        <v>АСУЭ.FB_IMsp_MON_S.FDPT</v>
      </c>
      <c r="B93" s="218">
        <v>11154</v>
      </c>
      <c r="C93" s="218" t="s">
        <v>4</v>
      </c>
      <c r="D93" s="213">
        <f>$Q$7</f>
        <v>12</v>
      </c>
    </row>
    <row r="94" spans="1:4">
      <c r="A94" s="211" t="str">
        <f t="shared" si="7"/>
        <v>АСУЭ.FB_IMsp_MON_S.FDPT</v>
      </c>
      <c r="B94" s="212">
        <v>11152</v>
      </c>
      <c r="C94" s="212" t="s">
        <v>0</v>
      </c>
      <c r="D94" s="213" t="str">
        <f>$R$7</f>
        <v>Неисправность</v>
      </c>
    </row>
    <row r="95" spans="1:4">
      <c r="A95" s="211" t="str">
        <f t="shared" si="7"/>
        <v>АСУЭ.FB_IMsp_MON_S.FDPT</v>
      </c>
      <c r="B95" s="212">
        <v>11150</v>
      </c>
      <c r="C95" s="212" t="s">
        <v>0</v>
      </c>
      <c r="D95" s="213" t="s">
        <v>162</v>
      </c>
    </row>
    <row r="96" spans="1:4">
      <c r="A96" s="211" t="str">
        <f t="shared" si="7"/>
        <v>АСУЭ.FB_IMsp_MON_S.FDPT</v>
      </c>
      <c r="B96" s="212">
        <v>11000</v>
      </c>
      <c r="C96" s="212" t="s">
        <v>5</v>
      </c>
      <c r="D96" s="213">
        <v>2147483680</v>
      </c>
    </row>
    <row r="97" spans="1:4">
      <c r="A97" s="29" t="str">
        <f t="shared" si="7"/>
        <v>АСУЭ.FB_IMsp_MON_S.FDPT</v>
      </c>
      <c r="B97" s="1">
        <v>7999</v>
      </c>
      <c r="C97" s="1" t="s">
        <v>0</v>
      </c>
      <c r="D97" s="30" t="str">
        <f>"#"&amp;$S$2&amp;"#"&amp;$T$2&amp;"\"&amp;$P$2&amp;"\FDPT"</f>
        <v>#1#treiOPCDA.CoOPCserv.1\pcmaster\ZRU_OL1_sp\FDPT</v>
      </c>
    </row>
    <row r="98" spans="1:4">
      <c r="A98" s="29" t="str">
        <f t="shared" si="7"/>
        <v>АСУЭ.FB_IMsp_MON_S.FDPT</v>
      </c>
      <c r="B98" s="1">
        <v>7998</v>
      </c>
      <c r="C98" s="1" t="s">
        <v>6</v>
      </c>
      <c r="D98" s="30">
        <v>1</v>
      </c>
    </row>
    <row r="99" spans="1:4">
      <c r="A99" s="29" t="str">
        <f t="shared" si="7"/>
        <v>АСУЭ.FB_IMsp_MON_S.FDPT</v>
      </c>
      <c r="B99" s="1">
        <v>101</v>
      </c>
      <c r="C99" s="1" t="s">
        <v>0</v>
      </c>
      <c r="D99" s="30" t="s">
        <v>162</v>
      </c>
    </row>
    <row r="100" spans="1:4">
      <c r="A100" s="29" t="str">
        <f t="shared" si="7"/>
        <v>АСУЭ.FB_IMsp_MON_S.FDPT</v>
      </c>
      <c r="B100" s="1">
        <v>3</v>
      </c>
      <c r="C100" s="1" t="s">
        <v>1</v>
      </c>
      <c r="D100" s="30">
        <v>192</v>
      </c>
    </row>
    <row r="101" spans="1:4">
      <c r="A101" s="29" t="str">
        <f t="shared" si="7"/>
        <v>АСУЭ.FB_IMsp_MON_S.FDPT</v>
      </c>
      <c r="B101" s="1">
        <v>2</v>
      </c>
      <c r="C101" s="1" t="s">
        <v>2</v>
      </c>
      <c r="D101" s="30" t="s">
        <v>3</v>
      </c>
    </row>
    <row r="102" spans="1:4">
      <c r="A102" s="29" t="str">
        <f t="shared" si="7"/>
        <v>АСУЭ.FB_IMsp_MON_S.FDPT</v>
      </c>
      <c r="B102" s="1">
        <v>1</v>
      </c>
      <c r="C102" s="1" t="s">
        <v>1</v>
      </c>
      <c r="D102" s="30">
        <v>11</v>
      </c>
    </row>
    <row r="103" spans="1:4">
      <c r="A103" s="217" t="str">
        <f t="shared" ref="A103:A112" si="8">$R$2&amp;".FDSX"</f>
        <v>АСУЭ.FB_IMsp_MON_S.FDSX</v>
      </c>
      <c r="B103" s="218">
        <v>11000</v>
      </c>
      <c r="C103" s="218" t="s">
        <v>5</v>
      </c>
      <c r="D103" s="231">
        <v>2147483680</v>
      </c>
    </row>
    <row r="104" spans="1:4">
      <c r="A104" s="211" t="str">
        <f t="shared" si="8"/>
        <v>АСУЭ.FB_IMsp_MON_S.FDSX</v>
      </c>
      <c r="B104" s="212">
        <v>11150</v>
      </c>
      <c r="C104" s="212" t="s">
        <v>0</v>
      </c>
      <c r="D104" s="213" t="s">
        <v>1855</v>
      </c>
    </row>
    <row r="105" spans="1:4">
      <c r="A105" s="211" t="str">
        <f t="shared" si="8"/>
        <v>АСУЭ.FB_IMsp_MON_S.FDSX</v>
      </c>
      <c r="B105" s="212">
        <v>11152</v>
      </c>
      <c r="C105" s="212" t="s">
        <v>0</v>
      </c>
      <c r="D105" s="213" t="str">
        <f>$R$7</f>
        <v>Неисправность</v>
      </c>
    </row>
    <row r="106" spans="1:4">
      <c r="A106" s="211" t="str">
        <f t="shared" si="8"/>
        <v>АСУЭ.FB_IMsp_MON_S.FDSX</v>
      </c>
      <c r="B106" s="212">
        <v>11154</v>
      </c>
      <c r="C106" s="212" t="s">
        <v>4</v>
      </c>
      <c r="D106" s="213">
        <f>$Q$7</f>
        <v>12</v>
      </c>
    </row>
    <row r="107" spans="1:4">
      <c r="A107" s="29" t="str">
        <f t="shared" si="8"/>
        <v>АСУЭ.FB_IMsp_MON_S.FDSX</v>
      </c>
      <c r="B107" s="1">
        <v>1</v>
      </c>
      <c r="C107" s="1" t="s">
        <v>1</v>
      </c>
      <c r="D107" s="30">
        <v>11</v>
      </c>
    </row>
    <row r="108" spans="1:4">
      <c r="A108" s="29" t="str">
        <f t="shared" si="8"/>
        <v>АСУЭ.FB_IMsp_MON_S.FDSX</v>
      </c>
      <c r="B108" s="1">
        <v>2</v>
      </c>
      <c r="C108" s="1" t="s">
        <v>2</v>
      </c>
      <c r="D108" s="30" t="s">
        <v>3</v>
      </c>
    </row>
    <row r="109" spans="1:4">
      <c r="A109" s="29" t="str">
        <f t="shared" si="8"/>
        <v>АСУЭ.FB_IMsp_MON_S.FDSX</v>
      </c>
      <c r="B109" s="1">
        <v>3</v>
      </c>
      <c r="C109" s="1" t="s">
        <v>1</v>
      </c>
      <c r="D109" s="30">
        <v>192</v>
      </c>
    </row>
    <row r="110" spans="1:4">
      <c r="A110" s="29" t="str">
        <f t="shared" si="8"/>
        <v>АСУЭ.FB_IMsp_MON_S.FDSX</v>
      </c>
      <c r="B110" s="1">
        <v>101</v>
      </c>
      <c r="C110" s="1" t="s">
        <v>0</v>
      </c>
      <c r="D110" s="30" t="s">
        <v>1855</v>
      </c>
    </row>
    <row r="111" spans="1:4">
      <c r="A111" s="29" t="str">
        <f t="shared" si="8"/>
        <v>АСУЭ.FB_IMsp_MON_S.FDSX</v>
      </c>
      <c r="B111" s="1">
        <v>7998</v>
      </c>
      <c r="C111" s="1" t="s">
        <v>6</v>
      </c>
      <c r="D111" s="30">
        <v>1</v>
      </c>
    </row>
    <row r="112" spans="1:4">
      <c r="A112" s="29" t="str">
        <f t="shared" si="8"/>
        <v>АСУЭ.FB_IMsp_MON_S.FDSX</v>
      </c>
      <c r="B112" s="1">
        <v>7999</v>
      </c>
      <c r="C112" s="1" t="s">
        <v>0</v>
      </c>
      <c r="D112" s="30" t="str">
        <f>"#"&amp;$S$2&amp;"#"&amp;$T$2&amp;"\"&amp;$P$2&amp;"\FDSX"</f>
        <v>#1#treiOPCDA.CoOPCserv.1\pcmaster\ZRU_OL1_sp\FDSX</v>
      </c>
    </row>
    <row r="113" spans="1:4">
      <c r="A113" s="110" t="str">
        <f t="shared" ref="A113:A122" si="9">$R$2&amp;".DPTO"</f>
        <v>АСУЭ.FB_IMsp_MON_S.DPTO</v>
      </c>
      <c r="B113" s="111">
        <v>11154</v>
      </c>
      <c r="C113" s="111" t="s">
        <v>4</v>
      </c>
      <c r="D113" s="112">
        <f>$Q$9</f>
        <v>10</v>
      </c>
    </row>
    <row r="114" spans="1:4">
      <c r="A114" s="110" t="str">
        <f t="shared" si="9"/>
        <v>АСУЭ.FB_IMsp_MON_S.DPTO</v>
      </c>
      <c r="B114" s="111">
        <v>11152</v>
      </c>
      <c r="C114" s="111" t="s">
        <v>0</v>
      </c>
      <c r="D114" s="112" t="str">
        <f>$R$9</f>
        <v>Недостоверность</v>
      </c>
    </row>
    <row r="115" spans="1:4">
      <c r="A115" s="110" t="str">
        <f t="shared" si="9"/>
        <v>АСУЭ.FB_IMsp_MON_S.DPTO</v>
      </c>
      <c r="B115" s="111">
        <v>11150</v>
      </c>
      <c r="C115" s="111" t="s">
        <v>0</v>
      </c>
      <c r="D115" s="112" t="s">
        <v>118</v>
      </c>
    </row>
    <row r="116" spans="1:4">
      <c r="A116" s="110" t="str">
        <f t="shared" si="9"/>
        <v>АСУЭ.FB_IMsp_MON_S.DPTO</v>
      </c>
      <c r="B116" s="111">
        <v>11000</v>
      </c>
      <c r="C116" s="111" t="s">
        <v>5</v>
      </c>
      <c r="D116" s="112">
        <v>2147483680</v>
      </c>
    </row>
    <row r="117" spans="1:4">
      <c r="A117" s="29" t="str">
        <f t="shared" si="9"/>
        <v>АСУЭ.FB_IMsp_MON_S.DPTO</v>
      </c>
      <c r="B117" s="1">
        <v>7999</v>
      </c>
      <c r="C117" s="1" t="s">
        <v>0</v>
      </c>
      <c r="D117" s="30" t="str">
        <f>"#"&amp;$S$2&amp;"#"&amp;$T$2&amp;"\"&amp;$P$2&amp;"\DPTO"</f>
        <v>#1#treiOPCDA.CoOPCserv.1\pcmaster\ZRU_OL1_sp\DPTO</v>
      </c>
    </row>
    <row r="118" spans="1:4">
      <c r="A118" s="29" t="str">
        <f t="shared" si="9"/>
        <v>АСУЭ.FB_IMsp_MON_S.DPTO</v>
      </c>
      <c r="B118" s="1">
        <v>7998</v>
      </c>
      <c r="C118" s="1" t="s">
        <v>6</v>
      </c>
      <c r="D118" s="30">
        <v>1</v>
      </c>
    </row>
    <row r="119" spans="1:4">
      <c r="A119" s="29" t="str">
        <f t="shared" si="9"/>
        <v>АСУЭ.FB_IMsp_MON_S.DPTO</v>
      </c>
      <c r="B119" s="1">
        <v>101</v>
      </c>
      <c r="C119" s="1" t="s">
        <v>0</v>
      </c>
      <c r="D119" s="30" t="s">
        <v>117</v>
      </c>
    </row>
    <row r="120" spans="1:4">
      <c r="A120" s="29" t="str">
        <f t="shared" si="9"/>
        <v>АСУЭ.FB_IMsp_MON_S.DPTO</v>
      </c>
      <c r="B120" s="1">
        <v>3</v>
      </c>
      <c r="C120" s="1" t="s">
        <v>1</v>
      </c>
      <c r="D120" s="30">
        <v>192</v>
      </c>
    </row>
    <row r="121" spans="1:4">
      <c r="A121" s="29" t="str">
        <f t="shared" si="9"/>
        <v>АСУЭ.FB_IMsp_MON_S.DPTO</v>
      </c>
      <c r="B121" s="1">
        <v>2</v>
      </c>
      <c r="C121" s="1" t="s">
        <v>2</v>
      </c>
      <c r="D121" s="30" t="s">
        <v>3</v>
      </c>
    </row>
    <row r="122" spans="1:4">
      <c r="A122" s="29" t="str">
        <f t="shared" si="9"/>
        <v>АСУЭ.FB_IMsp_MON_S.DPTO</v>
      </c>
      <c r="B122" s="1">
        <v>1</v>
      </c>
      <c r="C122" s="1" t="s">
        <v>1</v>
      </c>
      <c r="D122" s="30">
        <v>11</v>
      </c>
    </row>
    <row r="123" spans="1:4">
      <c r="A123" s="163" t="str">
        <f t="shared" ref="A123:A132" si="10">$R$2&amp;".DPTC"</f>
        <v>АСУЭ.FB_IMsp_MON_S.DPTC</v>
      </c>
      <c r="B123" s="123">
        <v>11000</v>
      </c>
      <c r="C123" s="123" t="s">
        <v>5</v>
      </c>
      <c r="D123" s="198">
        <v>2147483680</v>
      </c>
    </row>
    <row r="124" spans="1:4">
      <c r="A124" s="110" t="str">
        <f t="shared" si="10"/>
        <v>АСУЭ.FB_IMsp_MON_S.DPTC</v>
      </c>
      <c r="B124" s="111">
        <v>11150</v>
      </c>
      <c r="C124" s="111" t="s">
        <v>0</v>
      </c>
      <c r="D124" s="112" t="s">
        <v>118</v>
      </c>
    </row>
    <row r="125" spans="1:4">
      <c r="A125" s="110" t="str">
        <f t="shared" si="10"/>
        <v>АСУЭ.FB_IMsp_MON_S.DPTC</v>
      </c>
      <c r="B125" s="111">
        <v>11152</v>
      </c>
      <c r="C125" s="111" t="s">
        <v>0</v>
      </c>
      <c r="D125" s="112" t="str">
        <f>$R$9</f>
        <v>Недостоверность</v>
      </c>
    </row>
    <row r="126" spans="1:4">
      <c r="A126" s="110" t="str">
        <f t="shared" si="10"/>
        <v>АСУЭ.FB_IMsp_MON_S.DPTC</v>
      </c>
      <c r="B126" s="111">
        <v>11154</v>
      </c>
      <c r="C126" s="111" t="s">
        <v>4</v>
      </c>
      <c r="D126" s="112">
        <f>$Q$9</f>
        <v>10</v>
      </c>
    </row>
    <row r="127" spans="1:4">
      <c r="A127" s="29" t="str">
        <f t="shared" si="10"/>
        <v>АСУЭ.FB_IMsp_MON_S.DPTC</v>
      </c>
      <c r="B127" s="1">
        <v>1</v>
      </c>
      <c r="C127" s="1" t="s">
        <v>1</v>
      </c>
      <c r="D127" s="30">
        <v>11</v>
      </c>
    </row>
    <row r="128" spans="1:4">
      <c r="A128" s="29" t="str">
        <f t="shared" si="10"/>
        <v>АСУЭ.FB_IMsp_MON_S.DPTC</v>
      </c>
      <c r="B128" s="1">
        <v>2</v>
      </c>
      <c r="C128" s="1" t="s">
        <v>2</v>
      </c>
      <c r="D128" s="30" t="s">
        <v>3</v>
      </c>
    </row>
    <row r="129" spans="1:4">
      <c r="A129" s="29" t="str">
        <f t="shared" si="10"/>
        <v>АСУЭ.FB_IMsp_MON_S.DPTC</v>
      </c>
      <c r="B129" s="1">
        <v>3</v>
      </c>
      <c r="C129" s="1" t="s">
        <v>1</v>
      </c>
      <c r="D129" s="30">
        <v>192</v>
      </c>
    </row>
    <row r="130" spans="1:4">
      <c r="A130" s="29" t="str">
        <f t="shared" si="10"/>
        <v>АСУЭ.FB_IMsp_MON_S.DPTC</v>
      </c>
      <c r="B130" s="1">
        <v>101</v>
      </c>
      <c r="C130" s="1" t="s">
        <v>0</v>
      </c>
      <c r="D130" s="30" t="s">
        <v>119</v>
      </c>
    </row>
    <row r="131" spans="1:4">
      <c r="A131" s="29" t="str">
        <f t="shared" si="10"/>
        <v>АСУЭ.FB_IMsp_MON_S.DPTC</v>
      </c>
      <c r="B131" s="1">
        <v>7998</v>
      </c>
      <c r="C131" s="1" t="s">
        <v>6</v>
      </c>
      <c r="D131" s="30">
        <v>1</v>
      </c>
    </row>
    <row r="132" spans="1:4">
      <c r="A132" s="29" t="str">
        <f t="shared" si="10"/>
        <v>АСУЭ.FB_IMsp_MON_S.DPTC</v>
      </c>
      <c r="B132" s="1">
        <v>7999</v>
      </c>
      <c r="C132" s="1" t="s">
        <v>0</v>
      </c>
      <c r="D132" s="30" t="str">
        <f>"#"&amp;$S$2&amp;"#"&amp;$T$2&amp;"\"&amp;$P$2&amp;"\DPTC"</f>
        <v>#1#treiOPCDA.CoOPCserv.1\pcmaster\ZRU_OL1_sp\DPTC</v>
      </c>
    </row>
    <row r="133" spans="1:4">
      <c r="A133" s="163" t="str">
        <f t="shared" ref="A133:A142" si="11">$R$2&amp;".DONX"</f>
        <v>АСУЭ.FB_IMsp_MON_S.DONX</v>
      </c>
      <c r="B133" s="123">
        <v>11000</v>
      </c>
      <c r="C133" s="123" t="s">
        <v>5</v>
      </c>
      <c r="D133" s="198">
        <v>2147483680</v>
      </c>
    </row>
    <row r="134" spans="1:4">
      <c r="A134" s="110" t="str">
        <f t="shared" si="11"/>
        <v>АСУЭ.FB_IMsp_MON_S.DONX</v>
      </c>
      <c r="B134" s="111">
        <v>11150</v>
      </c>
      <c r="C134" s="111" t="s">
        <v>0</v>
      </c>
      <c r="D134" s="112" t="s">
        <v>123</v>
      </c>
    </row>
    <row r="135" spans="1:4">
      <c r="A135" s="110" t="str">
        <f t="shared" si="11"/>
        <v>АСУЭ.FB_IMsp_MON_S.DONX</v>
      </c>
      <c r="B135" s="111">
        <v>11152</v>
      </c>
      <c r="C135" s="111" t="s">
        <v>0</v>
      </c>
      <c r="D135" s="112" t="str">
        <f>$R$9</f>
        <v>Недостоверность</v>
      </c>
    </row>
    <row r="136" spans="1:4">
      <c r="A136" s="110" t="str">
        <f t="shared" si="11"/>
        <v>АСУЭ.FB_IMsp_MON_S.DONX</v>
      </c>
      <c r="B136" s="111">
        <v>11154</v>
      </c>
      <c r="C136" s="111" t="s">
        <v>4</v>
      </c>
      <c r="D136" s="112">
        <f>$Q$9</f>
        <v>10</v>
      </c>
    </row>
    <row r="137" spans="1:4">
      <c r="A137" s="29" t="str">
        <f t="shared" si="11"/>
        <v>АСУЭ.FB_IMsp_MON_S.DONX</v>
      </c>
      <c r="B137" s="1">
        <v>1</v>
      </c>
      <c r="C137" s="1" t="s">
        <v>1</v>
      </c>
      <c r="D137" s="30">
        <v>11</v>
      </c>
    </row>
    <row r="138" spans="1:4">
      <c r="A138" s="29" t="str">
        <f t="shared" si="11"/>
        <v>АСУЭ.FB_IMsp_MON_S.DONX</v>
      </c>
      <c r="B138" s="1">
        <v>2</v>
      </c>
      <c r="C138" s="1" t="s">
        <v>2</v>
      </c>
      <c r="D138" s="30" t="s">
        <v>3</v>
      </c>
    </row>
    <row r="139" spans="1:4">
      <c r="A139" s="29" t="str">
        <f t="shared" si="11"/>
        <v>АСУЭ.FB_IMsp_MON_S.DONX</v>
      </c>
      <c r="B139" s="1">
        <v>3</v>
      </c>
      <c r="C139" s="1" t="s">
        <v>1</v>
      </c>
      <c r="D139" s="30">
        <v>192</v>
      </c>
    </row>
    <row r="140" spans="1:4">
      <c r="A140" s="29" t="str">
        <f t="shared" si="11"/>
        <v>АСУЭ.FB_IMsp_MON_S.DONX</v>
      </c>
      <c r="B140" s="1">
        <v>101</v>
      </c>
      <c r="C140" s="1" t="s">
        <v>0</v>
      </c>
      <c r="D140" s="30" t="s">
        <v>122</v>
      </c>
    </row>
    <row r="141" spans="1:4">
      <c r="A141" s="29" t="str">
        <f t="shared" si="11"/>
        <v>АСУЭ.FB_IMsp_MON_S.DONX</v>
      </c>
      <c r="B141" s="1">
        <v>7998</v>
      </c>
      <c r="C141" s="1" t="s">
        <v>6</v>
      </c>
      <c r="D141" s="30">
        <v>1</v>
      </c>
    </row>
    <row r="142" spans="1:4">
      <c r="A142" s="26" t="str">
        <f t="shared" si="11"/>
        <v>АСУЭ.FB_IMsp_MON_S.DONX</v>
      </c>
      <c r="B142" s="27">
        <v>7999</v>
      </c>
      <c r="C142" s="27" t="s">
        <v>0</v>
      </c>
      <c r="D142" s="28" t="str">
        <f>"#"&amp;$S$2&amp;"#"&amp;$T$2&amp;"\"&amp;$P$2&amp;"\DONX"</f>
        <v>#1#treiOPCDA.CoOPCserv.1\pcmaster\ZRU_OL1_sp\DONX</v>
      </c>
    </row>
    <row r="143" spans="1:4">
      <c r="A143" s="110" t="str">
        <f t="shared" ref="A143:A152" si="12">$R$2&amp;".DOFX"</f>
        <v>АСУЭ.FB_IMsp_MON_S.DOFX</v>
      </c>
      <c r="B143" s="111">
        <v>11000</v>
      </c>
      <c r="C143" s="111" t="s">
        <v>5</v>
      </c>
      <c r="D143" s="112">
        <v>2147483680</v>
      </c>
    </row>
    <row r="144" spans="1:4">
      <c r="A144" s="110" t="str">
        <f t="shared" si="12"/>
        <v>АСУЭ.FB_IMsp_MON_S.DOFX</v>
      </c>
      <c r="B144" s="111">
        <v>11150</v>
      </c>
      <c r="C144" s="111" t="s">
        <v>0</v>
      </c>
      <c r="D144" s="112" t="s">
        <v>98</v>
      </c>
    </row>
    <row r="145" spans="1:4">
      <c r="A145" s="110" t="str">
        <f t="shared" si="12"/>
        <v>АСУЭ.FB_IMsp_MON_S.DOFX</v>
      </c>
      <c r="B145" s="111">
        <v>11152</v>
      </c>
      <c r="C145" s="111" t="s">
        <v>0</v>
      </c>
      <c r="D145" s="112" t="str">
        <f>$R$9</f>
        <v>Недостоверность</v>
      </c>
    </row>
    <row r="146" spans="1:4">
      <c r="A146" s="110" t="str">
        <f t="shared" si="12"/>
        <v>АСУЭ.FB_IMsp_MON_S.DOFX</v>
      </c>
      <c r="B146" s="111">
        <v>11154</v>
      </c>
      <c r="C146" s="111" t="s">
        <v>4</v>
      </c>
      <c r="D146" s="112">
        <f>$Q$9</f>
        <v>10</v>
      </c>
    </row>
    <row r="147" spans="1:4">
      <c r="A147" s="29" t="str">
        <f t="shared" si="12"/>
        <v>АСУЭ.FB_IMsp_MON_S.DOFX</v>
      </c>
      <c r="B147" s="1">
        <v>7999</v>
      </c>
      <c r="C147" s="1" t="s">
        <v>0</v>
      </c>
      <c r="D147" s="30" t="str">
        <f>"#"&amp;$S$2&amp;"#"&amp;$T$2&amp;"\"&amp;$P$2&amp;"\DOFX"</f>
        <v>#1#treiOPCDA.CoOPCserv.1\pcmaster\ZRU_OL1_sp\DOFX</v>
      </c>
    </row>
    <row r="148" spans="1:4">
      <c r="A148" s="29" t="str">
        <f t="shared" si="12"/>
        <v>АСУЭ.FB_IMsp_MON_S.DOFX</v>
      </c>
      <c r="B148" s="1">
        <v>7998</v>
      </c>
      <c r="C148" s="1" t="s">
        <v>6</v>
      </c>
      <c r="D148" s="30">
        <v>1</v>
      </c>
    </row>
    <row r="149" spans="1:4">
      <c r="A149" s="29" t="str">
        <f t="shared" si="12"/>
        <v>АСУЭ.FB_IMsp_MON_S.DOFX</v>
      </c>
      <c r="B149" s="1">
        <v>101</v>
      </c>
      <c r="C149" s="1" t="s">
        <v>0</v>
      </c>
      <c r="D149" s="30" t="s">
        <v>97</v>
      </c>
    </row>
    <row r="150" spans="1:4">
      <c r="A150" s="29" t="str">
        <f t="shared" si="12"/>
        <v>АСУЭ.FB_IMsp_MON_S.DOFX</v>
      </c>
      <c r="B150" s="1">
        <v>3</v>
      </c>
      <c r="C150" s="1" t="s">
        <v>1</v>
      </c>
      <c r="D150" s="30">
        <v>192</v>
      </c>
    </row>
    <row r="151" spans="1:4">
      <c r="A151" s="29" t="str">
        <f t="shared" si="12"/>
        <v>АСУЭ.FB_IMsp_MON_S.DOFX</v>
      </c>
      <c r="B151" s="1">
        <v>2</v>
      </c>
      <c r="C151" s="1" t="s">
        <v>2</v>
      </c>
      <c r="D151" s="30" t="s">
        <v>3</v>
      </c>
    </row>
    <row r="152" spans="1:4">
      <c r="A152" s="26" t="str">
        <f t="shared" si="12"/>
        <v>АСУЭ.FB_IMsp_MON_S.DOFX</v>
      </c>
      <c r="B152" s="27">
        <v>1</v>
      </c>
      <c r="C152" s="27" t="s">
        <v>1</v>
      </c>
      <c r="D152" s="28">
        <v>11</v>
      </c>
    </row>
    <row r="153" spans="1:4">
      <c r="A153" s="163" t="str">
        <f t="shared" ref="A153:A162" si="13">$R$2&amp;".DFXX"</f>
        <v>АСУЭ.FB_IMsp_MON_S.DFXX</v>
      </c>
      <c r="B153" s="123">
        <v>11154</v>
      </c>
      <c r="C153" s="123" t="s">
        <v>4</v>
      </c>
      <c r="D153" s="198">
        <f>$Q$9</f>
        <v>10</v>
      </c>
    </row>
    <row r="154" spans="1:4">
      <c r="A154" s="110" t="str">
        <f t="shared" si="13"/>
        <v>АСУЭ.FB_IMsp_MON_S.DFXX</v>
      </c>
      <c r="B154" s="111">
        <v>11152</v>
      </c>
      <c r="C154" s="111" t="s">
        <v>0</v>
      </c>
      <c r="D154" s="112" t="str">
        <f>$R$9</f>
        <v>Недостоверность</v>
      </c>
    </row>
    <row r="155" spans="1:4">
      <c r="A155" s="110" t="str">
        <f t="shared" si="13"/>
        <v>АСУЭ.FB_IMsp_MON_S.DFXX</v>
      </c>
      <c r="B155" s="111">
        <v>11150</v>
      </c>
      <c r="C155" s="111" t="s">
        <v>0</v>
      </c>
      <c r="D155" s="112" t="s">
        <v>104</v>
      </c>
    </row>
    <row r="156" spans="1:4">
      <c r="A156" s="110" t="str">
        <f t="shared" si="13"/>
        <v>АСУЭ.FB_IMsp_MON_S.DFXX</v>
      </c>
      <c r="B156" s="111">
        <v>11000</v>
      </c>
      <c r="C156" s="111" t="s">
        <v>5</v>
      </c>
      <c r="D156" s="112">
        <v>2147483680</v>
      </c>
    </row>
    <row r="157" spans="1:4">
      <c r="A157" s="29" t="str">
        <f t="shared" si="13"/>
        <v>АСУЭ.FB_IMsp_MON_S.DFXX</v>
      </c>
      <c r="B157" s="1">
        <v>7999</v>
      </c>
      <c r="C157" s="1" t="s">
        <v>0</v>
      </c>
      <c r="D157" s="30" t="str">
        <f>"#"&amp;$S$2&amp;"#"&amp;$T$2&amp;"\"&amp;$P$2&amp;"\DFXX"</f>
        <v>#1#treiOPCDA.CoOPCserv.1\pcmaster\ZRU_OL1_sp\DFXX</v>
      </c>
    </row>
    <row r="158" spans="1:4">
      <c r="A158" s="29" t="str">
        <f t="shared" si="13"/>
        <v>АСУЭ.FB_IMsp_MON_S.DFXX</v>
      </c>
      <c r="B158" s="1">
        <v>7998</v>
      </c>
      <c r="C158" s="1" t="s">
        <v>6</v>
      </c>
      <c r="D158" s="30">
        <v>1</v>
      </c>
    </row>
    <row r="159" spans="1:4">
      <c r="A159" s="29" t="str">
        <f t="shared" si="13"/>
        <v>АСУЭ.FB_IMsp_MON_S.DFXX</v>
      </c>
      <c r="B159" s="1">
        <v>101</v>
      </c>
      <c r="C159" s="1" t="s">
        <v>0</v>
      </c>
      <c r="D159" s="30" t="s">
        <v>520</v>
      </c>
    </row>
    <row r="160" spans="1:4">
      <c r="A160" s="29" t="str">
        <f t="shared" si="13"/>
        <v>АСУЭ.FB_IMsp_MON_S.DFXX</v>
      </c>
      <c r="B160" s="1">
        <v>3</v>
      </c>
      <c r="C160" s="1" t="s">
        <v>1</v>
      </c>
      <c r="D160" s="30">
        <v>192</v>
      </c>
    </row>
    <row r="161" spans="1:4">
      <c r="A161" s="29" t="str">
        <f t="shared" si="13"/>
        <v>АСУЭ.FB_IMsp_MON_S.DFXX</v>
      </c>
      <c r="B161" s="1">
        <v>2</v>
      </c>
      <c r="C161" s="1" t="s">
        <v>2</v>
      </c>
      <c r="D161" s="30" t="s">
        <v>3</v>
      </c>
    </row>
    <row r="162" spans="1:4">
      <c r="A162" s="29" t="str">
        <f t="shared" si="13"/>
        <v>АСУЭ.FB_IMsp_MON_S.DFXX</v>
      </c>
      <c r="B162" s="1">
        <v>1</v>
      </c>
      <c r="C162" s="1" t="s">
        <v>1</v>
      </c>
      <c r="D162" s="30">
        <v>11</v>
      </c>
    </row>
    <row r="163" spans="1:4">
      <c r="A163" s="137" t="str">
        <f t="shared" ref="A163:A174" si="14">$R$2&amp;".XRPX"</f>
        <v>АСУЭ.FB_IMsp_MON_S.XRPX</v>
      </c>
      <c r="B163" s="138">
        <v>11000</v>
      </c>
      <c r="C163" s="138" t="s">
        <v>5</v>
      </c>
      <c r="D163" s="202">
        <v>2147483680</v>
      </c>
    </row>
    <row r="164" spans="1:4">
      <c r="A164" s="140" t="str">
        <f t="shared" si="14"/>
        <v>АСУЭ.FB_IMsp_MON_S.XRPX</v>
      </c>
      <c r="B164" s="141">
        <v>11150</v>
      </c>
      <c r="C164" s="141" t="s">
        <v>0</v>
      </c>
      <c r="D164" s="142" t="s">
        <v>89</v>
      </c>
    </row>
    <row r="165" spans="1:4">
      <c r="A165" s="140" t="str">
        <f t="shared" si="14"/>
        <v>АСУЭ.FB_IMsp_MON_S.XRPX</v>
      </c>
      <c r="B165" s="141">
        <v>11152</v>
      </c>
      <c r="C165" s="141" t="s">
        <v>0</v>
      </c>
      <c r="D165" s="142" t="str">
        <f>$R$11</f>
        <v>Ремонт</v>
      </c>
    </row>
    <row r="166" spans="1:4">
      <c r="A166" s="140" t="str">
        <f t="shared" si="14"/>
        <v>АСУЭ.FB_IMsp_MON_S.XRPX</v>
      </c>
      <c r="B166" s="141">
        <v>11154</v>
      </c>
      <c r="C166" s="141" t="s">
        <v>4</v>
      </c>
      <c r="D166" s="142">
        <f>$Q$11</f>
        <v>14</v>
      </c>
    </row>
    <row r="167" spans="1:4">
      <c r="A167" s="29" t="str">
        <f t="shared" si="14"/>
        <v>АСУЭ.FB_IMsp_MON_S.XRPX</v>
      </c>
      <c r="B167" s="1">
        <v>1</v>
      </c>
      <c r="C167" s="1" t="s">
        <v>1</v>
      </c>
      <c r="D167" s="30">
        <v>11</v>
      </c>
    </row>
    <row r="168" spans="1:4">
      <c r="A168" s="29" t="str">
        <f t="shared" si="14"/>
        <v>АСУЭ.FB_IMsp_MON_S.XRPX</v>
      </c>
      <c r="B168" s="1">
        <v>2</v>
      </c>
      <c r="C168" s="1" t="s">
        <v>2</v>
      </c>
      <c r="D168" s="30" t="s">
        <v>3</v>
      </c>
    </row>
    <row r="169" spans="1:4">
      <c r="A169" s="29" t="str">
        <f t="shared" si="14"/>
        <v>АСУЭ.FB_IMsp_MON_S.XRPX</v>
      </c>
      <c r="B169" s="1">
        <v>3</v>
      </c>
      <c r="C169" s="1" t="s">
        <v>1</v>
      </c>
      <c r="D169" s="30">
        <v>192</v>
      </c>
    </row>
    <row r="170" spans="1:4">
      <c r="A170" s="29" t="str">
        <f t="shared" si="14"/>
        <v>АСУЭ.FB_IMsp_MON_S.XRPX</v>
      </c>
      <c r="B170" s="1">
        <v>101</v>
      </c>
      <c r="C170" s="1" t="s">
        <v>0</v>
      </c>
      <c r="D170" s="30" t="s">
        <v>137</v>
      </c>
    </row>
    <row r="171" spans="1:4">
      <c r="A171" s="29" t="str">
        <f t="shared" si="14"/>
        <v>АСУЭ.FB_IMsp_MON_S.XRPX</v>
      </c>
      <c r="B171" s="1">
        <v>7998</v>
      </c>
      <c r="C171" s="1" t="s">
        <v>6</v>
      </c>
      <c r="D171" s="30">
        <v>1</v>
      </c>
    </row>
    <row r="172" spans="1:4">
      <c r="A172" s="29" t="str">
        <f t="shared" si="14"/>
        <v>АСУЭ.FB_IMsp_MON_S.XRPX</v>
      </c>
      <c r="B172" s="1">
        <v>7999</v>
      </c>
      <c r="C172" s="1" t="s">
        <v>0</v>
      </c>
      <c r="D172" s="30" t="str">
        <f>"#"&amp;$S$2&amp;"#"&amp;$T$2&amp;"\"&amp;$P$2&amp;"\XRPX"</f>
        <v>#1#treiOPCDA.CoOPCserv.1\pcmaster\ZRU_OL1_sp\XRPX</v>
      </c>
    </row>
    <row r="173" spans="1:4" ht="13.5" customHeight="1">
      <c r="A173" s="29" t="str">
        <f t="shared" si="14"/>
        <v>АСУЭ.FB_IMsp_MON_S.XRPX</v>
      </c>
      <c r="B173" s="1">
        <v>4000000</v>
      </c>
      <c r="C173" s="1" t="s">
        <v>0</v>
      </c>
      <c r="D173" s="415" t="s">
        <v>1488</v>
      </c>
    </row>
    <row r="174" spans="1:4">
      <c r="A174" s="26" t="str">
        <f t="shared" si="14"/>
        <v>АСУЭ.FB_IMsp_MON_S.XRPX</v>
      </c>
      <c r="B174" s="27">
        <v>7000000</v>
      </c>
      <c r="C174" s="27" t="s">
        <v>6</v>
      </c>
      <c r="D174" s="28">
        <v>2</v>
      </c>
    </row>
    <row r="175" spans="1:4">
      <c r="A175" s="159" t="str">
        <f t="shared" ref="A175:A184" si="15">$R$2&amp;".XONX"</f>
        <v>АСУЭ.FB_IMsp_MON_S.XONX</v>
      </c>
      <c r="B175" s="160">
        <v>11000</v>
      </c>
      <c r="C175" s="160" t="s">
        <v>5</v>
      </c>
      <c r="D175" s="201">
        <v>2147483680</v>
      </c>
    </row>
    <row r="176" spans="1:4">
      <c r="A176" s="100" t="str">
        <f t="shared" si="15"/>
        <v>АСУЭ.FB_IMsp_MON_S.XONX</v>
      </c>
      <c r="B176" s="101">
        <v>11150</v>
      </c>
      <c r="C176" s="101" t="s">
        <v>0</v>
      </c>
      <c r="D176" s="103" t="s">
        <v>337</v>
      </c>
    </row>
    <row r="177" spans="1:4">
      <c r="A177" s="100" t="str">
        <f t="shared" si="15"/>
        <v>АСУЭ.FB_IMsp_MON_S.XONX</v>
      </c>
      <c r="B177" s="101">
        <v>11152</v>
      </c>
      <c r="C177" s="101" t="s">
        <v>0</v>
      </c>
      <c r="D177" s="103" t="str">
        <f>$R$8</f>
        <v>Телесигнализация</v>
      </c>
    </row>
    <row r="178" spans="1:4">
      <c r="A178" s="100" t="str">
        <f t="shared" si="15"/>
        <v>АСУЭ.FB_IMsp_MON_S.XONX</v>
      </c>
      <c r="B178" s="101">
        <v>11154</v>
      </c>
      <c r="C178" s="101" t="s">
        <v>4</v>
      </c>
      <c r="D178" s="103">
        <f>$Q$8</f>
        <v>18</v>
      </c>
    </row>
    <row r="179" spans="1:4">
      <c r="A179" s="29" t="str">
        <f t="shared" si="15"/>
        <v>АСУЭ.FB_IMsp_MON_S.XONX</v>
      </c>
      <c r="B179" s="1">
        <v>1</v>
      </c>
      <c r="C179" s="1" t="s">
        <v>1</v>
      </c>
      <c r="D179" s="30">
        <v>11</v>
      </c>
    </row>
    <row r="180" spans="1:4">
      <c r="A180" s="29" t="str">
        <f t="shared" si="15"/>
        <v>АСУЭ.FB_IMsp_MON_S.XONX</v>
      </c>
      <c r="B180" s="1">
        <v>2</v>
      </c>
      <c r="C180" s="1" t="s">
        <v>2</v>
      </c>
      <c r="D180" s="30" t="s">
        <v>3</v>
      </c>
    </row>
    <row r="181" spans="1:4">
      <c r="A181" s="29" t="str">
        <f t="shared" si="15"/>
        <v>АСУЭ.FB_IMsp_MON_S.XONX</v>
      </c>
      <c r="B181" s="1">
        <v>3</v>
      </c>
      <c r="C181" s="1" t="s">
        <v>1</v>
      </c>
      <c r="D181" s="30">
        <v>192</v>
      </c>
    </row>
    <row r="182" spans="1:4">
      <c r="A182" s="29" t="str">
        <f t="shared" si="15"/>
        <v>АСУЭ.FB_IMsp_MON_S.XONX</v>
      </c>
      <c r="B182" s="1">
        <v>101</v>
      </c>
      <c r="C182" s="1" t="s">
        <v>0</v>
      </c>
      <c r="D182" s="30" t="s">
        <v>144</v>
      </c>
    </row>
    <row r="183" spans="1:4">
      <c r="A183" s="29" t="str">
        <f t="shared" si="15"/>
        <v>АСУЭ.FB_IMsp_MON_S.XONX</v>
      </c>
      <c r="B183" s="1">
        <v>7998</v>
      </c>
      <c r="C183" s="1" t="s">
        <v>6</v>
      </c>
      <c r="D183" s="30">
        <v>1</v>
      </c>
    </row>
    <row r="184" spans="1:4">
      <c r="A184" s="26" t="str">
        <f t="shared" si="15"/>
        <v>АСУЭ.FB_IMsp_MON_S.XONX</v>
      </c>
      <c r="B184" s="27">
        <v>7999</v>
      </c>
      <c r="C184" s="27" t="s">
        <v>0</v>
      </c>
      <c r="D184" s="28" t="str">
        <f>"#"&amp;$S$2&amp;"#"&amp;$T$2&amp;"\"&amp;$P$2&amp;"\XONX"</f>
        <v>#1#treiOPCDA.CoOPCserv.1\pcmaster\ZRU_OL1_sp\XONX</v>
      </c>
    </row>
    <row r="185" spans="1:4">
      <c r="A185" s="100" t="str">
        <f t="shared" ref="A185:A194" si="16">$R$2&amp;".XOFX"</f>
        <v>АСУЭ.FB_IMsp_MON_S.XOFX</v>
      </c>
      <c r="B185" s="101">
        <v>11000</v>
      </c>
      <c r="C185" s="101" t="s">
        <v>5</v>
      </c>
      <c r="D185" s="103">
        <v>2147483680</v>
      </c>
    </row>
    <row r="186" spans="1:4">
      <c r="A186" s="100" t="str">
        <f t="shared" si="16"/>
        <v>АСУЭ.FB_IMsp_MON_S.XOFX</v>
      </c>
      <c r="B186" s="101">
        <v>11150</v>
      </c>
      <c r="C186" s="101" t="s">
        <v>0</v>
      </c>
      <c r="D186" s="103" t="s">
        <v>336</v>
      </c>
    </row>
    <row r="187" spans="1:4">
      <c r="A187" s="100" t="str">
        <f t="shared" si="16"/>
        <v>АСУЭ.FB_IMsp_MON_S.XOFX</v>
      </c>
      <c r="B187" s="101">
        <v>11152</v>
      </c>
      <c r="C187" s="101" t="s">
        <v>0</v>
      </c>
      <c r="D187" s="103" t="str">
        <f>$R$8</f>
        <v>Телесигнализация</v>
      </c>
    </row>
    <row r="188" spans="1:4">
      <c r="A188" s="100" t="str">
        <f t="shared" si="16"/>
        <v>АСУЭ.FB_IMsp_MON_S.XOFX</v>
      </c>
      <c r="B188" s="101">
        <v>11154</v>
      </c>
      <c r="C188" s="101" t="s">
        <v>4</v>
      </c>
      <c r="D188" s="103">
        <f>$Q$8</f>
        <v>18</v>
      </c>
    </row>
    <row r="189" spans="1:4">
      <c r="A189" s="29" t="str">
        <f t="shared" si="16"/>
        <v>АСУЭ.FB_IMsp_MON_S.XOFX</v>
      </c>
      <c r="B189" s="1">
        <v>1</v>
      </c>
      <c r="C189" s="1" t="s">
        <v>1</v>
      </c>
      <c r="D189" s="30">
        <v>11</v>
      </c>
    </row>
    <row r="190" spans="1:4">
      <c r="A190" s="29" t="str">
        <f t="shared" si="16"/>
        <v>АСУЭ.FB_IMsp_MON_S.XOFX</v>
      </c>
      <c r="B190" s="1">
        <v>2</v>
      </c>
      <c r="C190" s="1" t="s">
        <v>2</v>
      </c>
      <c r="D190" s="30" t="s">
        <v>3</v>
      </c>
    </row>
    <row r="191" spans="1:4">
      <c r="A191" s="29" t="str">
        <f t="shared" si="16"/>
        <v>АСУЭ.FB_IMsp_MON_S.XOFX</v>
      </c>
      <c r="B191" s="1">
        <v>3</v>
      </c>
      <c r="C191" s="1" t="s">
        <v>1</v>
      </c>
      <c r="D191" s="30">
        <v>192</v>
      </c>
    </row>
    <row r="192" spans="1:4">
      <c r="A192" s="29" t="str">
        <f t="shared" si="16"/>
        <v>АСУЭ.FB_IMsp_MON_S.XOFX</v>
      </c>
      <c r="B192" s="1">
        <v>101</v>
      </c>
      <c r="C192" s="1" t="s">
        <v>0</v>
      </c>
      <c r="D192" s="30" t="s">
        <v>146</v>
      </c>
    </row>
    <row r="193" spans="1:4">
      <c r="A193" s="29" t="str">
        <f t="shared" si="16"/>
        <v>АСУЭ.FB_IMsp_MON_S.XOFX</v>
      </c>
      <c r="B193" s="1">
        <v>7998</v>
      </c>
      <c r="C193" s="1" t="s">
        <v>6</v>
      </c>
      <c r="D193" s="30">
        <v>1</v>
      </c>
    </row>
    <row r="194" spans="1:4">
      <c r="A194" s="26" t="str">
        <f t="shared" si="16"/>
        <v>АСУЭ.FB_IMsp_MON_S.XOFX</v>
      </c>
      <c r="B194" s="27">
        <v>7999</v>
      </c>
      <c r="C194" s="27" t="s">
        <v>0</v>
      </c>
      <c r="D194" s="28" t="str">
        <f>"#"&amp;$S$2&amp;"#"&amp;$T$2&amp;"\"&amp;$P$2&amp;"\XOFX"</f>
        <v>#1#treiOPCDA.CoOPCserv.1\pcmaster\ZRU_OL1_sp\XOFX</v>
      </c>
    </row>
    <row r="195" spans="1:4">
      <c r="A195" s="269" t="str">
        <f>$R$2&amp;".Commands.SRPT"</f>
        <v>АСУЭ.FB_IMsp_MON_S.Commands.SRPT</v>
      </c>
      <c r="B195" s="270">
        <v>7999</v>
      </c>
      <c r="C195" s="270" t="s">
        <v>0</v>
      </c>
      <c r="D195" s="271" t="str">
        <f>"#"&amp;$T$5&amp;"#"&amp;$T$2&amp;"\"&amp;$P$2&amp;"\SRPT"</f>
        <v>#1#treiOPCDA.CoOPCserv.1\pcmaster\ZRU_OL1_sp\SRPT</v>
      </c>
    </row>
    <row r="196" spans="1:4">
      <c r="A196" s="269" t="str">
        <f>$R$2&amp;".Commands.SRPT"</f>
        <v>АСУЭ.FB_IMsp_MON_S.Commands.SRPT</v>
      </c>
      <c r="B196" s="270">
        <v>7998</v>
      </c>
      <c r="C196" s="270" t="s">
        <v>6</v>
      </c>
      <c r="D196" s="271">
        <v>2</v>
      </c>
    </row>
    <row r="197" spans="1:4">
      <c r="A197" s="269" t="str">
        <f>$R$2&amp;".Commands.SRPT"</f>
        <v>АСУЭ.FB_IMsp_MON_S.Commands.SRPT</v>
      </c>
      <c r="B197" s="270">
        <v>101</v>
      </c>
      <c r="C197" s="270" t="s">
        <v>0</v>
      </c>
      <c r="D197" s="271" t="s">
        <v>126</v>
      </c>
    </row>
    <row r="198" spans="1:4">
      <c r="A198" s="272" t="str">
        <f>$R$2&amp;".Commands.SRPT"</f>
        <v>АСУЭ.FB_IMsp_MON_S.Commands.SRPT</v>
      </c>
      <c r="B198" s="273">
        <v>1</v>
      </c>
      <c r="C198" s="273" t="s">
        <v>1</v>
      </c>
      <c r="D198" s="274">
        <v>3</v>
      </c>
    </row>
    <row r="199" spans="1:4">
      <c r="A199" s="266" t="str">
        <f>$R$2&amp;".Commands.SRQX"</f>
        <v>АСУЭ.FB_IMsp_MON_S.Commands.SRQX</v>
      </c>
      <c r="B199" s="267">
        <v>1</v>
      </c>
      <c r="C199" s="267" t="s">
        <v>1</v>
      </c>
      <c r="D199" s="268">
        <v>3</v>
      </c>
    </row>
    <row r="200" spans="1:4">
      <c r="A200" s="269" t="str">
        <f>$R$2&amp;".Commands.SRQX"</f>
        <v>АСУЭ.FB_IMsp_MON_S.Commands.SRQX</v>
      </c>
      <c r="B200" s="270">
        <v>101</v>
      </c>
      <c r="C200" s="270" t="s">
        <v>0</v>
      </c>
      <c r="D200" s="271" t="s">
        <v>125</v>
      </c>
    </row>
    <row r="201" spans="1:4">
      <c r="A201" s="269" t="str">
        <f>$R$2&amp;".Commands.SRQX"</f>
        <v>АСУЭ.FB_IMsp_MON_S.Commands.SRQX</v>
      </c>
      <c r="B201" s="270">
        <v>7998</v>
      </c>
      <c r="C201" s="270" t="s">
        <v>6</v>
      </c>
      <c r="D201" s="271">
        <v>2</v>
      </c>
    </row>
    <row r="202" spans="1:4">
      <c r="A202" s="272" t="str">
        <f>$R$2&amp;".Commands.SRQX"</f>
        <v>АСУЭ.FB_IMsp_MON_S.Commands.SRQX</v>
      </c>
      <c r="B202" s="273">
        <v>7999</v>
      </c>
      <c r="C202" s="273" t="s">
        <v>0</v>
      </c>
      <c r="D202" s="274" t="str">
        <f>"#"&amp;$T$5&amp;"#"&amp;$T$2&amp;"\"&amp;$P$2&amp;"\SRQX"</f>
        <v>#1#treiOPCDA.CoOPCserv.1\pcmaster\ZRU_OL1_sp\SRQX</v>
      </c>
    </row>
    <row r="203" spans="1:4">
      <c r="A203" s="23" t="str">
        <f>$R$2&amp;".Commands.CRPX"</f>
        <v>АСУЭ.FB_IMsp_MON_S.Commands.CRPX</v>
      </c>
      <c r="B203" s="24">
        <v>1</v>
      </c>
      <c r="C203" s="24" t="s">
        <v>1</v>
      </c>
      <c r="D203" s="25">
        <v>11</v>
      </c>
    </row>
    <row r="204" spans="1:4">
      <c r="A204" s="29" t="str">
        <f>$R$2&amp;".Commands.CRPX"</f>
        <v>АСУЭ.FB_IMsp_MON_S.Commands.CRPX</v>
      </c>
      <c r="B204" s="1">
        <v>101</v>
      </c>
      <c r="C204" s="1" t="s">
        <v>0</v>
      </c>
      <c r="D204" s="30" t="s">
        <v>113</v>
      </c>
    </row>
    <row r="205" spans="1:4">
      <c r="A205" s="29" t="str">
        <f>$R$2&amp;".Commands.CRPX"</f>
        <v>АСУЭ.FB_IMsp_MON_S.Commands.CRPX</v>
      </c>
      <c r="B205" s="1">
        <v>7998</v>
      </c>
      <c r="C205" s="1" t="s">
        <v>6</v>
      </c>
      <c r="D205" s="30">
        <v>2</v>
      </c>
    </row>
    <row r="206" spans="1:4">
      <c r="A206" s="26" t="str">
        <f>$R$2&amp;".Commands.CRPX"</f>
        <v>АСУЭ.FB_IMsp_MON_S.Commands.CRPX</v>
      </c>
      <c r="B206" s="27">
        <v>7999</v>
      </c>
      <c r="C206" s="27" t="s">
        <v>0</v>
      </c>
      <c r="D206" s="28" t="str">
        <f>"#"&amp;$T$5&amp;"#"&amp;$T$2&amp;"\"&amp;$P$2&amp;"\CRPX"</f>
        <v>#1#treiOPCDA.CoOPCserv.1\pcmaster\ZRU_OL1_sp\CRPX</v>
      </c>
    </row>
    <row r="207" spans="1:4">
      <c r="A207" s="23" t="str">
        <f>$R$2&amp;".Commands.CRRX"</f>
        <v>АСУЭ.FB_IMsp_MON_S.Commands.CRRX</v>
      </c>
      <c r="B207" s="24">
        <v>1</v>
      </c>
      <c r="C207" s="24" t="s">
        <v>1</v>
      </c>
      <c r="D207" s="25">
        <v>11</v>
      </c>
    </row>
    <row r="208" spans="1:4">
      <c r="A208" s="29" t="str">
        <f>$R$2&amp;".Commands.CRRX"</f>
        <v>АСУЭ.FB_IMsp_MON_S.Commands.CRRX</v>
      </c>
      <c r="B208" s="1">
        <v>101</v>
      </c>
      <c r="C208" s="1" t="s">
        <v>0</v>
      </c>
      <c r="D208" s="30" t="s">
        <v>116</v>
      </c>
    </row>
    <row r="209" spans="1:4">
      <c r="A209" s="29" t="str">
        <f>$R$2&amp;".Commands.CRRX"</f>
        <v>АСУЭ.FB_IMsp_MON_S.Commands.CRRX</v>
      </c>
      <c r="B209" s="1">
        <v>7998</v>
      </c>
      <c r="C209" s="1" t="s">
        <v>6</v>
      </c>
      <c r="D209" s="30">
        <v>2</v>
      </c>
    </row>
    <row r="210" spans="1:4">
      <c r="A210" s="26" t="str">
        <f>$R$2&amp;".Commands.CRRX"</f>
        <v>АСУЭ.FB_IMsp_MON_S.Commands.CRRX</v>
      </c>
      <c r="B210" s="27">
        <v>7999</v>
      </c>
      <c r="C210" s="27" t="s">
        <v>0</v>
      </c>
      <c r="D210" s="28" t="str">
        <f>"#"&amp;$S$2&amp;"#"&amp;$T$2&amp;"\"&amp;$P$2&amp;"\CRRX"</f>
        <v>#1#treiOPCDA.CoOPCserv.1\pcmaster\ZRU_OL1_sp\CRRX</v>
      </c>
    </row>
    <row r="211" spans="1:4">
      <c r="A211" s="23" t="str">
        <f t="shared" ref="A211:A216" si="17">$R$2&amp;".IPTO"</f>
        <v>АСУЭ.FB_IMsp_MON_S.IPTO</v>
      </c>
      <c r="B211" s="24">
        <v>1</v>
      </c>
      <c r="C211" s="24" t="s">
        <v>1</v>
      </c>
      <c r="D211" s="25">
        <v>11</v>
      </c>
    </row>
    <row r="212" spans="1:4">
      <c r="A212" s="29" t="str">
        <f t="shared" si="17"/>
        <v>АСУЭ.FB_IMsp_MON_S.IPTO</v>
      </c>
      <c r="B212" s="1">
        <v>2</v>
      </c>
      <c r="C212" s="1" t="s">
        <v>2</v>
      </c>
      <c r="D212" s="30" t="s">
        <v>3</v>
      </c>
    </row>
    <row r="213" spans="1:4">
      <c r="A213" s="29" t="str">
        <f t="shared" si="17"/>
        <v>АСУЭ.FB_IMsp_MON_S.IPTO</v>
      </c>
      <c r="B213" s="1">
        <v>3</v>
      </c>
      <c r="C213" s="1" t="s">
        <v>1</v>
      </c>
      <c r="D213" s="30">
        <v>192</v>
      </c>
    </row>
    <row r="214" spans="1:4">
      <c r="A214" s="29" t="str">
        <f t="shared" si="17"/>
        <v>АСУЭ.FB_IMsp_MON_S.IPTO</v>
      </c>
      <c r="B214" s="1">
        <v>101</v>
      </c>
      <c r="C214" s="1" t="s">
        <v>0</v>
      </c>
      <c r="D214" s="30" t="s">
        <v>108</v>
      </c>
    </row>
    <row r="215" spans="1:4">
      <c r="A215" s="29" t="str">
        <f t="shared" si="17"/>
        <v>АСУЭ.FB_IMsp_MON_S.IPTO</v>
      </c>
      <c r="B215" s="1">
        <v>7998</v>
      </c>
      <c r="C215" s="1" t="s">
        <v>6</v>
      </c>
      <c r="D215" s="30">
        <v>1</v>
      </c>
    </row>
    <row r="216" spans="1:4">
      <c r="A216" s="26" t="str">
        <f t="shared" si="17"/>
        <v>АСУЭ.FB_IMsp_MON_S.IPTO</v>
      </c>
      <c r="B216" s="27">
        <v>7999</v>
      </c>
      <c r="C216" s="27" t="s">
        <v>0</v>
      </c>
      <c r="D216" s="28" t="str">
        <f>"#"&amp;$S$2&amp;"#"&amp;$T$2&amp;"\"&amp;$P$2&amp;"\IPTO"</f>
        <v>#1#treiOPCDA.CoOPCserv.1\pcmaster\ZRU_OL1_sp\IPTO</v>
      </c>
    </row>
    <row r="217" spans="1:4">
      <c r="A217" s="23" t="str">
        <f t="shared" ref="A217:A222" si="18">$R$2&amp;".IPTC"</f>
        <v>АСУЭ.FB_IMsp_MON_S.IPTC</v>
      </c>
      <c r="B217" s="24">
        <v>7999</v>
      </c>
      <c r="C217" s="24" t="s">
        <v>0</v>
      </c>
      <c r="D217" s="25" t="str">
        <f>"#"&amp;$S$2&amp;"#"&amp;$T$2&amp;"\"&amp;$P$2&amp;"\IPTC"</f>
        <v>#1#treiOPCDA.CoOPCserv.1\pcmaster\ZRU_OL1_sp\IPTC</v>
      </c>
    </row>
    <row r="218" spans="1:4">
      <c r="A218" s="29" t="str">
        <f t="shared" si="18"/>
        <v>АСУЭ.FB_IMsp_MON_S.IPTC</v>
      </c>
      <c r="B218" s="1">
        <v>7998</v>
      </c>
      <c r="C218" s="1" t="s">
        <v>6</v>
      </c>
      <c r="D218" s="30">
        <v>1</v>
      </c>
    </row>
    <row r="219" spans="1:4">
      <c r="A219" s="29" t="str">
        <f t="shared" si="18"/>
        <v>АСУЭ.FB_IMsp_MON_S.IPTC</v>
      </c>
      <c r="B219" s="1">
        <v>101</v>
      </c>
      <c r="C219" s="1" t="s">
        <v>0</v>
      </c>
      <c r="D219" s="30" t="s">
        <v>109</v>
      </c>
    </row>
    <row r="220" spans="1:4">
      <c r="A220" s="29" t="str">
        <f t="shared" si="18"/>
        <v>АСУЭ.FB_IMsp_MON_S.IPTC</v>
      </c>
      <c r="B220" s="1">
        <v>3</v>
      </c>
      <c r="C220" s="1" t="s">
        <v>1</v>
      </c>
      <c r="D220" s="30">
        <v>192</v>
      </c>
    </row>
    <row r="221" spans="1:4">
      <c r="A221" s="29" t="str">
        <f t="shared" si="18"/>
        <v>АСУЭ.FB_IMsp_MON_S.IPTC</v>
      </c>
      <c r="B221" s="1">
        <v>2</v>
      </c>
      <c r="C221" s="1" t="s">
        <v>2</v>
      </c>
      <c r="D221" s="30" t="s">
        <v>3</v>
      </c>
    </row>
    <row r="222" spans="1:4">
      <c r="A222" s="26" t="str">
        <f t="shared" si="18"/>
        <v>АСУЭ.FB_IMsp_MON_S.IPTC</v>
      </c>
      <c r="B222" s="27">
        <v>1</v>
      </c>
      <c r="C222" s="27" t="s">
        <v>1</v>
      </c>
      <c r="D222" s="28">
        <v>11</v>
      </c>
    </row>
    <row r="223" spans="1:4">
      <c r="A223" s="23" t="str">
        <f t="shared" ref="A223:A228" si="19">$R$2&amp;".IOFX"</f>
        <v>АСУЭ.FB_IMsp_MON_S.IOFX</v>
      </c>
      <c r="B223" s="24">
        <v>7999</v>
      </c>
      <c r="C223" s="24" t="s">
        <v>0</v>
      </c>
      <c r="D223" s="25" t="str">
        <f>"#"&amp;$S$2&amp;"#"&amp;$T$2&amp;"\"&amp;$P$2&amp;"\IOFX"</f>
        <v>#1#treiOPCDA.CoOPCserv.1\pcmaster\ZRU_OL1_sp\IOFX</v>
      </c>
    </row>
    <row r="224" spans="1:4">
      <c r="A224" s="29" t="str">
        <f t="shared" si="19"/>
        <v>АСУЭ.FB_IMsp_MON_S.IOFX</v>
      </c>
      <c r="B224" s="1">
        <v>7998</v>
      </c>
      <c r="C224" s="1" t="s">
        <v>6</v>
      </c>
      <c r="D224" s="30">
        <v>1</v>
      </c>
    </row>
    <row r="225" spans="1:4">
      <c r="A225" s="29" t="str">
        <f t="shared" si="19"/>
        <v>АСУЭ.FB_IMsp_MON_S.IOFX</v>
      </c>
      <c r="B225" s="1">
        <v>101</v>
      </c>
      <c r="C225" s="1" t="s">
        <v>0</v>
      </c>
      <c r="D225" s="30" t="s">
        <v>92</v>
      </c>
    </row>
    <row r="226" spans="1:4">
      <c r="A226" s="29" t="str">
        <f t="shared" si="19"/>
        <v>АСУЭ.FB_IMsp_MON_S.IOFX</v>
      </c>
      <c r="B226" s="1">
        <v>3</v>
      </c>
      <c r="C226" s="1" t="s">
        <v>1</v>
      </c>
      <c r="D226" s="30">
        <v>192</v>
      </c>
    </row>
    <row r="227" spans="1:4">
      <c r="A227" s="29" t="str">
        <f t="shared" si="19"/>
        <v>АСУЭ.FB_IMsp_MON_S.IOFX</v>
      </c>
      <c r="B227" s="1">
        <v>2</v>
      </c>
      <c r="C227" s="1" t="s">
        <v>2</v>
      </c>
      <c r="D227" s="30" t="s">
        <v>3</v>
      </c>
    </row>
    <row r="228" spans="1:4">
      <c r="A228" s="26" t="str">
        <f t="shared" si="19"/>
        <v>АСУЭ.FB_IMsp_MON_S.IOFX</v>
      </c>
      <c r="B228" s="27">
        <v>1</v>
      </c>
      <c r="C228" s="27" t="s">
        <v>1</v>
      </c>
      <c r="D228" s="28">
        <v>11</v>
      </c>
    </row>
    <row r="229" spans="1:4">
      <c r="A229" s="16" t="str">
        <f t="shared" ref="A229:A234" si="20">$R$2&amp;".IONX"</f>
        <v>АСУЭ.FB_IMsp_MON_S.IONX</v>
      </c>
      <c r="B229" s="17">
        <v>1</v>
      </c>
      <c r="C229" s="17" t="s">
        <v>1</v>
      </c>
      <c r="D229" s="18">
        <v>11</v>
      </c>
    </row>
    <row r="230" spans="1:4">
      <c r="A230" s="19" t="str">
        <f t="shared" si="20"/>
        <v>АСУЭ.FB_IMsp_MON_S.IONX</v>
      </c>
      <c r="B230" s="11">
        <v>2</v>
      </c>
      <c r="C230" s="11" t="s">
        <v>2</v>
      </c>
      <c r="D230" s="20" t="s">
        <v>3</v>
      </c>
    </row>
    <row r="231" spans="1:4">
      <c r="A231" s="19" t="str">
        <f t="shared" si="20"/>
        <v>АСУЭ.FB_IMsp_MON_S.IONX</v>
      </c>
      <c r="B231" s="11">
        <v>3</v>
      </c>
      <c r="C231" s="11" t="s">
        <v>1</v>
      </c>
      <c r="D231" s="20">
        <v>192</v>
      </c>
    </row>
    <row r="232" spans="1:4">
      <c r="A232" s="19" t="str">
        <f t="shared" si="20"/>
        <v>АСУЭ.FB_IMsp_MON_S.IONX</v>
      </c>
      <c r="B232" s="11">
        <v>101</v>
      </c>
      <c r="C232" s="11" t="s">
        <v>0</v>
      </c>
      <c r="D232" s="20" t="s">
        <v>107</v>
      </c>
    </row>
    <row r="233" spans="1:4">
      <c r="A233" s="19" t="str">
        <f t="shared" si="20"/>
        <v>АСУЭ.FB_IMsp_MON_S.IONX</v>
      </c>
      <c r="B233" s="11">
        <v>7998</v>
      </c>
      <c r="C233" s="11" t="s">
        <v>6</v>
      </c>
      <c r="D233" s="20">
        <v>1</v>
      </c>
    </row>
    <row r="234" spans="1:4">
      <c r="A234" s="21" t="str">
        <f t="shared" si="20"/>
        <v>АСУЭ.FB_IMsp_MON_S.IONX</v>
      </c>
      <c r="B234" s="8">
        <v>7999</v>
      </c>
      <c r="C234" s="8" t="s">
        <v>0</v>
      </c>
      <c r="D234" s="22" t="str">
        <f>"#"&amp;$S$2&amp;"#"&amp;$T$2&amp;"\"&amp;$P$2&amp;"\IONX"</f>
        <v>#1#treiOPCDA.CoOPCserv.1\pcmaster\ZRU_OL1_sp\IONX</v>
      </c>
    </row>
    <row r="235" spans="1:4">
      <c r="A235" s="16" t="str">
        <f t="shared" ref="A235:A240" si="21">$R$2&amp;".FXXX"</f>
        <v>АСУЭ.FB_IMsp_MON_S.FXXX</v>
      </c>
      <c r="B235" s="17">
        <v>1</v>
      </c>
      <c r="C235" s="17" t="s">
        <v>1</v>
      </c>
      <c r="D235" s="18">
        <v>11</v>
      </c>
    </row>
    <row r="236" spans="1:4">
      <c r="A236" s="19" t="str">
        <f t="shared" si="21"/>
        <v>АСУЭ.FB_IMsp_MON_S.FXXX</v>
      </c>
      <c r="B236" s="11">
        <v>2</v>
      </c>
      <c r="C236" s="11" t="s">
        <v>2</v>
      </c>
      <c r="D236" s="20" t="s">
        <v>3</v>
      </c>
    </row>
    <row r="237" spans="1:4">
      <c r="A237" s="19" t="str">
        <f t="shared" si="21"/>
        <v>АСУЭ.FB_IMsp_MON_S.FXXX</v>
      </c>
      <c r="B237" s="11">
        <v>3</v>
      </c>
      <c r="C237" s="11" t="s">
        <v>1</v>
      </c>
      <c r="D237" s="20">
        <v>192</v>
      </c>
    </row>
    <row r="238" spans="1:4">
      <c r="A238" s="19" t="str">
        <f t="shared" si="21"/>
        <v>АСУЭ.FB_IMsp_MON_S.FXXX</v>
      </c>
      <c r="B238" s="11">
        <v>101</v>
      </c>
      <c r="C238" s="11" t="s">
        <v>0</v>
      </c>
      <c r="D238" s="20" t="s">
        <v>139</v>
      </c>
    </row>
    <row r="239" spans="1:4">
      <c r="A239" s="19" t="str">
        <f t="shared" si="21"/>
        <v>АСУЭ.FB_IMsp_MON_S.FXXX</v>
      </c>
      <c r="B239" s="11">
        <v>7998</v>
      </c>
      <c r="C239" s="11" t="s">
        <v>6</v>
      </c>
      <c r="D239" s="20">
        <v>1</v>
      </c>
    </row>
    <row r="240" spans="1:4">
      <c r="A240" s="21" t="str">
        <f t="shared" si="21"/>
        <v>АСУЭ.FB_IMsp_MON_S.FXXX</v>
      </c>
      <c r="B240" s="8">
        <v>7999</v>
      </c>
      <c r="C240" s="8" t="s">
        <v>0</v>
      </c>
      <c r="D240" s="22" t="str">
        <f>"#"&amp;$S$2&amp;"#"&amp;$T$2&amp;"\"&amp;$P$2&amp;"\FXXX"</f>
        <v>#1#treiOPCDA.CoOPCserv.1\pcmaster\ZRU_OL1_sp\FXXX</v>
      </c>
    </row>
    <row r="241" spans="1:4">
      <c r="A241" s="266" t="str">
        <f t="shared" ref="A241:A246" si="22">$R$2&amp;".XRPT"</f>
        <v>АСУЭ.FB_IMsp_MON_S.XRPT</v>
      </c>
      <c r="B241" s="267">
        <v>1</v>
      </c>
      <c r="C241" s="267" t="s">
        <v>1</v>
      </c>
      <c r="D241" s="268">
        <v>3</v>
      </c>
    </row>
    <row r="242" spans="1:4">
      <c r="A242" s="269" t="str">
        <f t="shared" si="22"/>
        <v>АСУЭ.FB_IMsp_MON_S.XRPT</v>
      </c>
      <c r="B242" s="270">
        <v>2</v>
      </c>
      <c r="C242" s="270" t="s">
        <v>6</v>
      </c>
      <c r="D242" s="271">
        <v>0</v>
      </c>
    </row>
    <row r="243" spans="1:4">
      <c r="A243" s="269" t="str">
        <f t="shared" si="22"/>
        <v>АСУЭ.FB_IMsp_MON_S.XRPT</v>
      </c>
      <c r="B243" s="270">
        <v>3</v>
      </c>
      <c r="C243" s="270" t="s">
        <v>1</v>
      </c>
      <c r="D243" s="271">
        <v>192</v>
      </c>
    </row>
    <row r="244" spans="1:4">
      <c r="A244" s="269" t="str">
        <f t="shared" si="22"/>
        <v>АСУЭ.FB_IMsp_MON_S.XRPT</v>
      </c>
      <c r="B244" s="270">
        <v>101</v>
      </c>
      <c r="C244" s="270" t="s">
        <v>0</v>
      </c>
      <c r="D244" s="271" t="s">
        <v>289</v>
      </c>
    </row>
    <row r="245" spans="1:4">
      <c r="A245" s="269" t="str">
        <f t="shared" si="22"/>
        <v>АСУЭ.FB_IMsp_MON_S.XRPT</v>
      </c>
      <c r="B245" s="270">
        <v>7998</v>
      </c>
      <c r="C245" s="270" t="s">
        <v>6</v>
      </c>
      <c r="D245" s="271">
        <v>1</v>
      </c>
    </row>
    <row r="246" spans="1:4">
      <c r="A246" s="272" t="str">
        <f t="shared" si="22"/>
        <v>АСУЭ.FB_IMsp_MON_S.XRPT</v>
      </c>
      <c r="B246" s="273">
        <v>7999</v>
      </c>
      <c r="C246" s="273" t="s">
        <v>0</v>
      </c>
      <c r="D246" s="274" t="str">
        <f>"#"&amp;$S$2&amp;"#"&amp;$T$2&amp;"\"&amp;$P$2&amp;"\XRPT"</f>
        <v>#1#treiOPCDA.CoOPCserv.1\pcmaster\ZRU_OL1_sp\XRPT</v>
      </c>
    </row>
    <row r="247" spans="1:4">
      <c r="A247" s="266" t="str">
        <f t="shared" ref="A247:A252" si="23">$R$2&amp;".SRPT"</f>
        <v>АСУЭ.FB_IMsp_MON_S.SRPT</v>
      </c>
      <c r="B247" s="267">
        <v>1</v>
      </c>
      <c r="C247" s="267" t="s">
        <v>1</v>
      </c>
      <c r="D247" s="268">
        <v>3</v>
      </c>
    </row>
    <row r="248" spans="1:4">
      <c r="A248" s="269" t="str">
        <f t="shared" si="23"/>
        <v>АСУЭ.FB_IMsp_MON_S.SRPT</v>
      </c>
      <c r="B248" s="270">
        <v>2</v>
      </c>
      <c r="C248" s="270" t="s">
        <v>6</v>
      </c>
      <c r="D248" s="271">
        <v>0</v>
      </c>
    </row>
    <row r="249" spans="1:4">
      <c r="A249" s="269" t="str">
        <f t="shared" si="23"/>
        <v>АСУЭ.FB_IMsp_MON_S.SRPT</v>
      </c>
      <c r="B249" s="270">
        <v>3</v>
      </c>
      <c r="C249" s="270" t="s">
        <v>1</v>
      </c>
      <c r="D249" s="271">
        <v>192</v>
      </c>
    </row>
    <row r="250" spans="1:4">
      <c r="A250" s="269" t="str">
        <f t="shared" si="23"/>
        <v>АСУЭ.FB_IMsp_MON_S.SRPT</v>
      </c>
      <c r="B250" s="270">
        <v>101</v>
      </c>
      <c r="C250" s="270" t="s">
        <v>0</v>
      </c>
      <c r="D250" s="271" t="s">
        <v>126</v>
      </c>
    </row>
    <row r="251" spans="1:4">
      <c r="A251" s="269" t="str">
        <f t="shared" si="23"/>
        <v>АСУЭ.FB_IMsp_MON_S.SRPT</v>
      </c>
      <c r="B251" s="270">
        <v>7998</v>
      </c>
      <c r="C251" s="270" t="s">
        <v>6</v>
      </c>
      <c r="D251" s="271">
        <v>1</v>
      </c>
    </row>
    <row r="252" spans="1:4">
      <c r="A252" s="272" t="str">
        <f t="shared" si="23"/>
        <v>АСУЭ.FB_IMsp_MON_S.SRPT</v>
      </c>
      <c r="B252" s="273">
        <v>7999</v>
      </c>
      <c r="C252" s="273" t="s">
        <v>0</v>
      </c>
      <c r="D252" s="274" t="str">
        <f>"#"&amp;$S$2&amp;"#"&amp;$T$2&amp;"\"&amp;$P$2&amp;"\SRPT"</f>
        <v>#1#treiOPCDA.CoOPCserv.1\pcmaster\ZRU_OL1_sp\SRPT</v>
      </c>
    </row>
    <row r="253" spans="1:4">
      <c r="A253" s="266" t="str">
        <f t="shared" ref="A253:A258" si="24">$R$2&amp;".XRON"</f>
        <v>АСУЭ.FB_IMsp_MON_S.XRON</v>
      </c>
      <c r="B253" s="267">
        <v>1</v>
      </c>
      <c r="C253" s="267" t="s">
        <v>1</v>
      </c>
      <c r="D253" s="268">
        <v>3</v>
      </c>
    </row>
    <row r="254" spans="1:4">
      <c r="A254" s="269" t="str">
        <f t="shared" si="24"/>
        <v>АСУЭ.FB_IMsp_MON_S.XRON</v>
      </c>
      <c r="B254" s="270">
        <v>2</v>
      </c>
      <c r="C254" s="270" t="s">
        <v>6</v>
      </c>
      <c r="D254" s="271">
        <v>0</v>
      </c>
    </row>
    <row r="255" spans="1:4">
      <c r="A255" s="269" t="str">
        <f t="shared" si="24"/>
        <v>АСУЭ.FB_IMsp_MON_S.XRON</v>
      </c>
      <c r="B255" s="270">
        <v>3</v>
      </c>
      <c r="C255" s="270" t="s">
        <v>1</v>
      </c>
      <c r="D255" s="271">
        <v>192</v>
      </c>
    </row>
    <row r="256" spans="1:4">
      <c r="A256" s="269" t="str">
        <f t="shared" si="24"/>
        <v>АСУЭ.FB_IMsp_MON_S.XRON</v>
      </c>
      <c r="B256" s="270">
        <v>101</v>
      </c>
      <c r="C256" s="270" t="s">
        <v>0</v>
      </c>
      <c r="D256" s="271" t="s">
        <v>287</v>
      </c>
    </row>
    <row r="257" spans="1:4">
      <c r="A257" s="269" t="str">
        <f t="shared" si="24"/>
        <v>АСУЭ.FB_IMsp_MON_S.XRON</v>
      </c>
      <c r="B257" s="270">
        <v>7998</v>
      </c>
      <c r="C257" s="270" t="s">
        <v>6</v>
      </c>
      <c r="D257" s="271">
        <v>1</v>
      </c>
    </row>
    <row r="258" spans="1:4">
      <c r="A258" s="272" t="str">
        <f t="shared" si="24"/>
        <v>АСУЭ.FB_IMsp_MON_S.XRON</v>
      </c>
      <c r="B258" s="273">
        <v>7999</v>
      </c>
      <c r="C258" s="273" t="s">
        <v>0</v>
      </c>
      <c r="D258" s="274" t="str">
        <f>"#"&amp;$S$2&amp;"#"&amp;$T$2&amp;"\"&amp;$P$2&amp;"\XRON"</f>
        <v>#1#treiOPCDA.CoOPCserv.1\pcmaster\ZRU_OL1_sp\XRON</v>
      </c>
    </row>
    <row r="259" spans="1:4">
      <c r="A259" s="266" t="str">
        <f t="shared" ref="A259:A264" si="25">$R$2&amp;".XROF"</f>
        <v>АСУЭ.FB_IMsp_MON_S.XROF</v>
      </c>
      <c r="B259" s="267">
        <v>1</v>
      </c>
      <c r="C259" s="267" t="s">
        <v>1</v>
      </c>
      <c r="D259" s="268">
        <v>3</v>
      </c>
    </row>
    <row r="260" spans="1:4">
      <c r="A260" s="269" t="str">
        <f t="shared" si="25"/>
        <v>АСУЭ.FB_IMsp_MON_S.XROF</v>
      </c>
      <c r="B260" s="270">
        <v>2</v>
      </c>
      <c r="C260" s="270" t="s">
        <v>6</v>
      </c>
      <c r="D260" s="271">
        <v>0</v>
      </c>
    </row>
    <row r="261" spans="1:4">
      <c r="A261" s="269" t="str">
        <f t="shared" si="25"/>
        <v>АСУЭ.FB_IMsp_MON_S.XROF</v>
      </c>
      <c r="B261" s="270">
        <v>3</v>
      </c>
      <c r="C261" s="270" t="s">
        <v>1</v>
      </c>
      <c r="D261" s="271">
        <v>192</v>
      </c>
    </row>
    <row r="262" spans="1:4">
      <c r="A262" s="269" t="str">
        <f t="shared" si="25"/>
        <v>АСУЭ.FB_IMsp_MON_S.XROF</v>
      </c>
      <c r="B262" s="270">
        <v>101</v>
      </c>
      <c r="C262" s="270" t="s">
        <v>0</v>
      </c>
      <c r="D262" s="271" t="s">
        <v>288</v>
      </c>
    </row>
    <row r="263" spans="1:4">
      <c r="A263" s="269" t="str">
        <f t="shared" si="25"/>
        <v>АСУЭ.FB_IMsp_MON_S.XROF</v>
      </c>
      <c r="B263" s="270">
        <v>7998</v>
      </c>
      <c r="C263" s="270" t="s">
        <v>6</v>
      </c>
      <c r="D263" s="271">
        <v>1</v>
      </c>
    </row>
    <row r="264" spans="1:4">
      <c r="A264" s="272" t="str">
        <f t="shared" si="25"/>
        <v>АСУЭ.FB_IMsp_MON_S.XROF</v>
      </c>
      <c r="B264" s="273">
        <v>7999</v>
      </c>
      <c r="C264" s="273" t="s">
        <v>0</v>
      </c>
      <c r="D264" s="274" t="str">
        <f>"#"&amp;$S$2&amp;"#"&amp;$T$2&amp;"\"&amp;$P$2&amp;"\XROF"</f>
        <v>#1#treiOPCDA.CoOPCserv.1\pcmaster\ZRU_OL1_sp\XROF</v>
      </c>
    </row>
    <row r="265" spans="1:4">
      <c r="A265" s="266" t="str">
        <f t="shared" ref="A265:A270" si="26">$R$2&amp;".SRQX"</f>
        <v>АСУЭ.FB_IMsp_MON_S.SRQX</v>
      </c>
      <c r="B265" s="267">
        <v>1</v>
      </c>
      <c r="C265" s="267" t="s">
        <v>1</v>
      </c>
      <c r="D265" s="268">
        <v>3</v>
      </c>
    </row>
    <row r="266" spans="1:4">
      <c r="A266" s="269" t="str">
        <f t="shared" si="26"/>
        <v>АСУЭ.FB_IMsp_MON_S.SRQX</v>
      </c>
      <c r="B266" s="270">
        <v>2</v>
      </c>
      <c r="C266" s="270" t="s">
        <v>6</v>
      </c>
      <c r="D266" s="271">
        <v>0</v>
      </c>
    </row>
    <row r="267" spans="1:4">
      <c r="A267" s="269" t="str">
        <f t="shared" si="26"/>
        <v>АСУЭ.FB_IMsp_MON_S.SRQX</v>
      </c>
      <c r="B267" s="270">
        <v>3</v>
      </c>
      <c r="C267" s="270" t="s">
        <v>1</v>
      </c>
      <c r="D267" s="271">
        <v>192</v>
      </c>
    </row>
    <row r="268" spans="1:4">
      <c r="A268" s="269" t="str">
        <f t="shared" si="26"/>
        <v>АСУЭ.FB_IMsp_MON_S.SRQX</v>
      </c>
      <c r="B268" s="270">
        <v>101</v>
      </c>
      <c r="C268" s="270" t="s">
        <v>0</v>
      </c>
      <c r="D268" s="271" t="s">
        <v>125</v>
      </c>
    </row>
    <row r="269" spans="1:4">
      <c r="A269" s="269" t="str">
        <f t="shared" si="26"/>
        <v>АСУЭ.FB_IMsp_MON_S.SRQX</v>
      </c>
      <c r="B269" s="270">
        <v>7998</v>
      </c>
      <c r="C269" s="270" t="s">
        <v>6</v>
      </c>
      <c r="D269" s="271">
        <v>1</v>
      </c>
    </row>
    <row r="270" spans="1:4">
      <c r="A270" s="272" t="str">
        <f t="shared" si="26"/>
        <v>АСУЭ.FB_IMsp_MON_S.SRQX</v>
      </c>
      <c r="B270" s="273">
        <v>7999</v>
      </c>
      <c r="C270" s="273" t="s">
        <v>0</v>
      </c>
      <c r="D270" s="274" t="str">
        <f>"#"&amp;$S$2&amp;"#"&amp;$T$2&amp;"\"&amp;$P$2&amp;"\SRQX"</f>
        <v>#1#treiOPCDA.CoOPCserv.1\pcmaster\ZRU_OL1_sp\SRQX</v>
      </c>
    </row>
  </sheetData>
  <autoFilter ref="B1:B270" xr:uid="{00000000-0009-0000-0000-000015000000}"/>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Лист13">
    <tabColor rgb="FFFFC000"/>
  </sheetPr>
  <dimension ref="A1:BP186"/>
  <sheetViews>
    <sheetView topLeftCell="A4" zoomScale="70" zoomScaleNormal="70" workbookViewId="0">
      <selection activeCell="D2" sqref="D2:D4"/>
    </sheetView>
  </sheetViews>
  <sheetFormatPr defaultRowHeight="14.4"/>
  <cols>
    <col min="1" max="1" width="30.44140625" customWidth="1"/>
    <col min="2" max="2" width="11.6640625" customWidth="1"/>
    <col min="3" max="3" width="7.6640625" customWidth="1"/>
    <col min="4" max="4" width="71.4414062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57"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t="s">
        <v>792</v>
      </c>
      <c r="Q2" s="2" t="s">
        <v>332</v>
      </c>
      <c r="R2" s="2" t="s">
        <v>749</v>
      </c>
      <c r="S2" s="3">
        <v>1</v>
      </c>
      <c r="T2" s="3" t="s">
        <v>1698</v>
      </c>
      <c r="U2" s="3"/>
      <c r="V2" s="3" t="s">
        <v>569</v>
      </c>
      <c r="W2" s="12" t="s">
        <v>326</v>
      </c>
      <c r="X2" s="12" t="s">
        <v>327</v>
      </c>
      <c r="Y2" s="12" t="s">
        <v>309</v>
      </c>
      <c r="Z2" s="12"/>
      <c r="AA2" s="12"/>
      <c r="AB2" s="2"/>
      <c r="AC2" s="2" t="s">
        <v>305</v>
      </c>
      <c r="AD2" s="2"/>
      <c r="AE2" s="2" t="s">
        <v>1414</v>
      </c>
      <c r="AF2" s="2"/>
      <c r="AG2" s="2"/>
      <c r="AH2" s="2"/>
      <c r="AI2" s="2"/>
      <c r="AJ2" s="2"/>
      <c r="AK2" s="2"/>
      <c r="AL2" s="2"/>
      <c r="AM2" s="2"/>
      <c r="AN2" s="2"/>
      <c r="AO2" s="2"/>
      <c r="AP2" s="2" t="s">
        <v>1279</v>
      </c>
      <c r="AQ2" s="2"/>
      <c r="AR2" s="2"/>
      <c r="AS2" s="2"/>
      <c r="AT2" s="2" t="s">
        <v>1280</v>
      </c>
      <c r="AU2" s="2" t="s">
        <v>1281</v>
      </c>
      <c r="AV2" s="2"/>
      <c r="AW2" s="2"/>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M4" s="4"/>
      <c r="BN4" s="4"/>
      <c r="BO4" s="4"/>
      <c r="BP4" s="4"/>
    </row>
    <row r="5" spans="1:68"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M5" s="4"/>
      <c r="BN5" s="4"/>
      <c r="BO5" s="4"/>
      <c r="BP5" s="4"/>
    </row>
    <row r="6" spans="1:68"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M6" s="4"/>
      <c r="BN6" s="4"/>
      <c r="BO6" s="4"/>
      <c r="BP6" s="4"/>
    </row>
    <row r="7" spans="1:68"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M7" s="4"/>
      <c r="BN7" s="4"/>
      <c r="BO7" s="4"/>
      <c r="BP7" s="4"/>
    </row>
    <row r="8" spans="1:68" ht="15" customHeight="1">
      <c r="A8" s="9"/>
      <c r="B8" s="9"/>
      <c r="C8" s="9"/>
      <c r="D8" s="9"/>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BM8" s="4"/>
      <c r="BN8" s="4"/>
      <c r="BO8" s="4"/>
      <c r="BP8" s="4"/>
    </row>
    <row r="9" spans="1:68" ht="15" customHeight="1">
      <c r="A9" s="9"/>
      <c r="B9" s="9"/>
      <c r="C9" s="9"/>
      <c r="D9" s="9"/>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BM9" s="4"/>
      <c r="BN9" s="4"/>
      <c r="BO9" s="4"/>
      <c r="BP9" s="4"/>
    </row>
    <row r="10" spans="1:68" ht="15" customHeight="1">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BM10" s="4"/>
      <c r="BN10" s="4"/>
      <c r="BO10" s="4"/>
      <c r="BP10" s="4"/>
    </row>
    <row r="11" spans="1:68" ht="15" customHeight="1">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BM11" s="4"/>
      <c r="BN11" s="4"/>
      <c r="BO11" s="4"/>
      <c r="BP11" s="4"/>
    </row>
    <row r="12" spans="1:68"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M17" s="4"/>
      <c r="BN17" s="4"/>
      <c r="BO17" s="4"/>
      <c r="BP17" s="4"/>
    </row>
    <row r="18" spans="1:68"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M18" s="4"/>
      <c r="BN18" s="4"/>
      <c r="BO18" s="4"/>
      <c r="BP18" s="4"/>
    </row>
    <row r="19" spans="1:68"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M19" s="4"/>
      <c r="BN19" s="4"/>
      <c r="BO19" s="4"/>
      <c r="BP19" s="4"/>
    </row>
    <row r="20" spans="1:68">
      <c r="A20" s="23" t="str">
        <f t="shared" ref="A20:A36" si="0">$R$2</f>
        <v>АСУЭ.BMRZ</v>
      </c>
      <c r="B20" s="24">
        <v>1</v>
      </c>
      <c r="C20" s="24" t="s">
        <v>1</v>
      </c>
      <c r="D20" s="25">
        <v>17</v>
      </c>
    </row>
    <row r="21" spans="1:68">
      <c r="A21" s="29" t="str">
        <f t="shared" si="0"/>
        <v>АСУЭ.BMRZ</v>
      </c>
      <c r="B21" s="1">
        <v>11001</v>
      </c>
      <c r="C21" s="1" t="s">
        <v>0</v>
      </c>
      <c r="D21" s="30" t="str">
        <f>$Q$2&amp;". "</f>
        <v xml:space="preserve">BMRZ. </v>
      </c>
    </row>
    <row r="22" spans="1:68">
      <c r="A22" s="29" t="str">
        <f t="shared" si="0"/>
        <v>АСУЭ.BMRZ</v>
      </c>
      <c r="B22" s="1">
        <v>11156</v>
      </c>
      <c r="C22" s="1" t="s">
        <v>0</v>
      </c>
      <c r="D22" s="30" t="str">
        <f>$V$2</f>
        <v>Тестовый экран</v>
      </c>
    </row>
    <row r="23" spans="1:68">
      <c r="A23" s="23" t="str">
        <f>$R$2</f>
        <v>АСУЭ.BMRZ</v>
      </c>
      <c r="B23" s="24">
        <v>9219</v>
      </c>
      <c r="C23" s="24" t="s">
        <v>2</v>
      </c>
      <c r="D23" s="25" t="s">
        <v>3</v>
      </c>
      <c r="Q23" s="778" t="s">
        <v>224</v>
      </c>
    </row>
    <row r="24" spans="1:68">
      <c r="A24" s="29" t="str">
        <f>$R$2</f>
        <v>АСУЭ.BMRZ</v>
      </c>
      <c r="B24" s="27">
        <v>3009219</v>
      </c>
      <c r="C24" s="27" t="s">
        <v>0</v>
      </c>
      <c r="D24" s="28" t="str">
        <f>$X$2</f>
        <v>!АСУЭ.ЗРУиКТП.DI_1.XVLX.value &amp;&amp; АСУЭ.ЗРУиКТП.IMstp_1.XONX.value &amp;&amp; АСУЭ.ЗРУиКТП.IMstp_1.XTON.value</v>
      </c>
      <c r="Q24" s="779"/>
    </row>
    <row r="25" spans="1:68">
      <c r="A25" s="23" t="str">
        <f>$R$2</f>
        <v>АСУЭ.BMRZ</v>
      </c>
      <c r="B25" s="1">
        <v>9220</v>
      </c>
      <c r="C25" s="1" t="s">
        <v>2</v>
      </c>
      <c r="D25" s="30" t="s">
        <v>3</v>
      </c>
      <c r="Q25" s="778" t="s">
        <v>223</v>
      </c>
    </row>
    <row r="26" spans="1:68">
      <c r="A26" s="26" t="str">
        <f>$R$2</f>
        <v>АСУЭ.BMRZ</v>
      </c>
      <c r="B26" s="27">
        <v>3009220</v>
      </c>
      <c r="C26" s="27" t="s">
        <v>0</v>
      </c>
      <c r="D26" s="28" t="str">
        <f>$W$2</f>
        <v>!АСУЭ.ЗРУиКТП.DI_1.XVLX.value &amp;&amp; АСУЭ.ЗРУиКТП.IMstp_1.XTON.value</v>
      </c>
      <c r="Q26" s="779"/>
    </row>
    <row r="27" spans="1:68" ht="15" customHeight="1">
      <c r="A27" s="16" t="str">
        <f t="shared" si="0"/>
        <v>АСУЭ.BMRZ</v>
      </c>
      <c r="B27" s="17">
        <v>100</v>
      </c>
      <c r="C27" s="17" t="s">
        <v>0</v>
      </c>
      <c r="D27" s="18" t="b">
        <f>$T$7</f>
        <v>0</v>
      </c>
      <c r="BF27" s="4"/>
      <c r="BG27" s="4"/>
      <c r="BH27" s="4"/>
      <c r="BI27" s="4"/>
    </row>
    <row r="28" spans="1:68">
      <c r="A28" s="19" t="str">
        <f t="shared" si="0"/>
        <v>АСУЭ.BMRZ</v>
      </c>
      <c r="B28" s="11">
        <v>11120</v>
      </c>
      <c r="C28" s="11" t="s">
        <v>0</v>
      </c>
      <c r="D28" s="20" t="str">
        <f>$AT$2</f>
        <v>6+21</v>
      </c>
    </row>
    <row r="29" spans="1:68">
      <c r="A29" s="19" t="str">
        <f t="shared" si="0"/>
        <v>АСУЭ.BMRZ</v>
      </c>
      <c r="B29" s="11">
        <v>11121</v>
      </c>
      <c r="C29" s="11" t="s">
        <v>0</v>
      </c>
      <c r="D29" s="20" t="str">
        <f>$AU$2</f>
        <v>6+26</v>
      </c>
    </row>
    <row r="30" spans="1:68">
      <c r="A30" s="19" t="str">
        <f t="shared" si="0"/>
        <v>АСУЭ.BMRZ</v>
      </c>
      <c r="B30" s="11">
        <v>11122</v>
      </c>
      <c r="C30" s="11" t="s">
        <v>0</v>
      </c>
      <c r="D30" s="20" t="str">
        <f>$AP$2</f>
        <v>6+11</v>
      </c>
    </row>
    <row r="31" spans="1:68">
      <c r="A31" s="19" t="str">
        <f t="shared" si="0"/>
        <v>АСУЭ.BMRZ</v>
      </c>
      <c r="B31" s="11">
        <v>11126</v>
      </c>
      <c r="C31" s="11" t="s">
        <v>0</v>
      </c>
      <c r="D31" s="20" t="str">
        <f>$AC$2</f>
        <v>Фиолетовый</v>
      </c>
    </row>
    <row r="32" spans="1:68">
      <c r="A32" s="21" t="str">
        <f t="shared" si="0"/>
        <v>АСУЭ.BMRZ</v>
      </c>
      <c r="B32" s="8">
        <v>11128</v>
      </c>
      <c r="C32" s="8" t="s">
        <v>0</v>
      </c>
      <c r="D32" s="22" t="str">
        <f>$Y$2</f>
        <v>Темно-зеленый</v>
      </c>
    </row>
    <row r="33" spans="1:61">
      <c r="A33" s="16" t="str">
        <f t="shared" si="0"/>
        <v>АСУЭ.BMRZ</v>
      </c>
      <c r="B33" s="17">
        <v>13</v>
      </c>
      <c r="C33" s="17" t="s">
        <v>2</v>
      </c>
      <c r="D33" s="18" t="s">
        <v>3</v>
      </c>
    </row>
    <row r="34" spans="1:61" ht="15" customHeight="1">
      <c r="A34" s="19" t="str">
        <f t="shared" si="0"/>
        <v>АСУЭ.BMRZ</v>
      </c>
      <c r="B34" s="11">
        <v>3000013</v>
      </c>
      <c r="C34" s="11" t="s">
        <v>0</v>
      </c>
      <c r="D34" s="20" t="str">
        <f>$AE$2</f>
        <v>Диагностика.CPU.NOT_LINK.noLink</v>
      </c>
      <c r="BF34" s="4"/>
      <c r="BG34" s="4"/>
      <c r="BH34" s="4"/>
      <c r="BI34" s="4"/>
    </row>
    <row r="35" spans="1:61" ht="15" customHeight="1">
      <c r="A35" s="19" t="str">
        <f t="shared" si="0"/>
        <v>АСУЭ.BMRZ</v>
      </c>
      <c r="B35" s="11">
        <v>4000013</v>
      </c>
      <c r="C35" s="11" t="s">
        <v>0</v>
      </c>
      <c r="D35" s="20" t="s">
        <v>1771</v>
      </c>
      <c r="BF35" s="4"/>
      <c r="BG35" s="4"/>
      <c r="BH35" s="4"/>
      <c r="BI35" s="4"/>
    </row>
    <row r="36" spans="1:61" ht="15" customHeight="1">
      <c r="A36" s="21" t="str">
        <f t="shared" si="0"/>
        <v>АСУЭ.BMRZ</v>
      </c>
      <c r="B36" s="8">
        <v>7000013</v>
      </c>
      <c r="C36" s="8" t="s">
        <v>6</v>
      </c>
      <c r="D36" s="22">
        <v>2</v>
      </c>
      <c r="BF36" s="4"/>
      <c r="BG36" s="4"/>
      <c r="BH36" s="4"/>
      <c r="BI36" s="4"/>
    </row>
    <row r="37" spans="1:61">
      <c r="A37" s="69" t="str">
        <f t="shared" ref="A37:A46" si="1">$R$2&amp;".FRQX"</f>
        <v>АСУЭ.BMRZ.FRQX</v>
      </c>
      <c r="B37" s="70">
        <v>11154</v>
      </c>
      <c r="C37" s="70" t="s">
        <v>4</v>
      </c>
      <c r="D37" s="71">
        <f>$Q$6</f>
        <v>8</v>
      </c>
    </row>
    <row r="38" spans="1:61">
      <c r="A38" s="63" t="str">
        <f t="shared" si="1"/>
        <v>АСУЭ.BMRZ.FRQX</v>
      </c>
      <c r="B38" s="64">
        <v>11152</v>
      </c>
      <c r="C38" s="64" t="s">
        <v>0</v>
      </c>
      <c r="D38" s="65" t="str">
        <f>$R$6</f>
        <v>Предупреждение</v>
      </c>
    </row>
    <row r="39" spans="1:61">
      <c r="A39" s="63" t="str">
        <f t="shared" si="1"/>
        <v>АСУЭ.BMRZ.FRQX</v>
      </c>
      <c r="B39" s="64">
        <v>11150</v>
      </c>
      <c r="C39" s="64" t="s">
        <v>0</v>
      </c>
      <c r="D39" s="65" t="s">
        <v>157</v>
      </c>
    </row>
    <row r="40" spans="1:61">
      <c r="A40" s="63" t="str">
        <f t="shared" si="1"/>
        <v>АСУЭ.BMRZ.FRQX</v>
      </c>
      <c r="B40" s="64">
        <v>11000</v>
      </c>
      <c r="C40" s="64" t="s">
        <v>5</v>
      </c>
      <c r="D40" s="65">
        <v>2147483680</v>
      </c>
    </row>
    <row r="41" spans="1:61">
      <c r="A41" s="29" t="str">
        <f t="shared" si="1"/>
        <v>АСУЭ.BMRZ.FRQX</v>
      </c>
      <c r="B41" s="1">
        <v>7999</v>
      </c>
      <c r="C41" s="1" t="s">
        <v>0</v>
      </c>
      <c r="D41" s="30" t="str">
        <f>"#"&amp;$S$2&amp;"#"&amp;$T$2&amp;"\"&amp;$P$2&amp;"\FRQX"</f>
        <v>#1#treiOPCDA.CoOPCserv.1\pcmaster\ZRU_SR_TEL4\FRQX</v>
      </c>
    </row>
    <row r="42" spans="1:61">
      <c r="A42" s="29" t="str">
        <f t="shared" si="1"/>
        <v>АСУЭ.BMRZ.FRQX</v>
      </c>
      <c r="B42" s="1">
        <v>7998</v>
      </c>
      <c r="C42" s="1" t="s">
        <v>6</v>
      </c>
      <c r="D42" s="30">
        <v>1</v>
      </c>
    </row>
    <row r="43" spans="1:61">
      <c r="A43" s="29" t="str">
        <f t="shared" si="1"/>
        <v>АСУЭ.BMRZ.FRQX</v>
      </c>
      <c r="B43" s="1">
        <v>101</v>
      </c>
      <c r="C43" s="1" t="s">
        <v>0</v>
      </c>
      <c r="D43" s="30" t="s">
        <v>157</v>
      </c>
    </row>
    <row r="44" spans="1:61">
      <c r="A44" s="29" t="str">
        <f t="shared" si="1"/>
        <v>АСУЭ.BMRZ.FRQX</v>
      </c>
      <c r="B44" s="1">
        <v>3</v>
      </c>
      <c r="C44" s="1" t="s">
        <v>1</v>
      </c>
      <c r="D44" s="30">
        <v>192</v>
      </c>
    </row>
    <row r="45" spans="1:61">
      <c r="A45" s="29" t="str">
        <f t="shared" si="1"/>
        <v>АСУЭ.BMRZ.FRQX</v>
      </c>
      <c r="B45" s="1">
        <v>2</v>
      </c>
      <c r="C45" s="1" t="s">
        <v>2</v>
      </c>
      <c r="D45" s="30" t="s">
        <v>3</v>
      </c>
    </row>
    <row r="46" spans="1:61">
      <c r="A46" s="26" t="str">
        <f t="shared" si="1"/>
        <v>АСУЭ.BMRZ.FRQX</v>
      </c>
      <c r="B46" s="27">
        <v>1</v>
      </c>
      <c r="C46" s="27" t="s">
        <v>1</v>
      </c>
      <c r="D46" s="28">
        <v>11</v>
      </c>
    </row>
    <row r="47" spans="1:61">
      <c r="A47" s="23" t="str">
        <f t="shared" ref="A47:A56" si="2">$R$2&amp;".IFXX"</f>
        <v>АСУЭ.BMRZ.IFXX</v>
      </c>
      <c r="B47" s="24">
        <v>1</v>
      </c>
      <c r="C47" s="24" t="s">
        <v>1</v>
      </c>
      <c r="D47" s="25">
        <v>11</v>
      </c>
    </row>
    <row r="48" spans="1:61">
      <c r="A48" s="29" t="str">
        <f t="shared" si="2"/>
        <v>АСУЭ.BMRZ.IFXX</v>
      </c>
      <c r="B48" s="1">
        <v>2</v>
      </c>
      <c r="C48" s="1" t="s">
        <v>2</v>
      </c>
      <c r="D48" s="30" t="s">
        <v>3</v>
      </c>
    </row>
    <row r="49" spans="1:4">
      <c r="A49" s="29" t="str">
        <f t="shared" si="2"/>
        <v>АСУЭ.BMRZ.IFXX</v>
      </c>
      <c r="B49" s="1">
        <v>3</v>
      </c>
      <c r="C49" s="1" t="s">
        <v>1</v>
      </c>
      <c r="D49" s="30">
        <v>192</v>
      </c>
    </row>
    <row r="50" spans="1:4">
      <c r="A50" s="211" t="str">
        <f t="shared" si="2"/>
        <v>АСУЭ.BMRZ.IFXX</v>
      </c>
      <c r="B50" s="212">
        <v>11152</v>
      </c>
      <c r="C50" s="212" t="s">
        <v>0</v>
      </c>
      <c r="D50" s="213" t="str">
        <f>$R$7</f>
        <v>Неисправность</v>
      </c>
    </row>
    <row r="51" spans="1:4">
      <c r="A51" s="211" t="str">
        <f t="shared" si="2"/>
        <v>АСУЭ.BMRZ.IFXX</v>
      </c>
      <c r="B51" s="212">
        <v>11000</v>
      </c>
      <c r="C51" s="212" t="s">
        <v>5</v>
      </c>
      <c r="D51" s="213">
        <v>2147483680</v>
      </c>
    </row>
    <row r="52" spans="1:4">
      <c r="A52" s="211" t="str">
        <f t="shared" si="2"/>
        <v>АСУЭ.BMRZ.IFXX</v>
      </c>
      <c r="B52" s="212">
        <v>11150</v>
      </c>
      <c r="C52" s="212" t="s">
        <v>0</v>
      </c>
      <c r="D52" s="213" t="s">
        <v>110</v>
      </c>
    </row>
    <row r="53" spans="1:4">
      <c r="A53" s="211" t="str">
        <f t="shared" si="2"/>
        <v>АСУЭ.BMRZ.IFXX</v>
      </c>
      <c r="B53" s="212">
        <v>11154</v>
      </c>
      <c r="C53" s="212" t="s">
        <v>4</v>
      </c>
      <c r="D53" s="213">
        <f>$Q$7</f>
        <v>12</v>
      </c>
    </row>
    <row r="54" spans="1:4">
      <c r="A54" s="29" t="str">
        <f t="shared" si="2"/>
        <v>АСУЭ.BMRZ.IFXX</v>
      </c>
      <c r="B54" s="1">
        <v>101</v>
      </c>
      <c r="C54" s="1" t="s">
        <v>0</v>
      </c>
      <c r="D54" s="30" t="s">
        <v>176</v>
      </c>
    </row>
    <row r="55" spans="1:4">
      <c r="A55" s="29" t="str">
        <f t="shared" si="2"/>
        <v>АСУЭ.BMRZ.IFXX</v>
      </c>
      <c r="B55" s="1">
        <v>7998</v>
      </c>
      <c r="C55" s="1" t="s">
        <v>6</v>
      </c>
      <c r="D55" s="30">
        <v>1</v>
      </c>
    </row>
    <row r="56" spans="1:4">
      <c r="A56" s="26" t="str">
        <f t="shared" si="2"/>
        <v>АСУЭ.BMRZ.IFXX</v>
      </c>
      <c r="B56" s="27">
        <v>7999</v>
      </c>
      <c r="C56" s="27" t="s">
        <v>0</v>
      </c>
      <c r="D56" s="28" t="str">
        <f>"#"&amp;$S$2&amp;"#"&amp;$T$2&amp;"\"&amp;$P$2&amp;"\IFXX"</f>
        <v>#1#treiOPCDA.CoOPCserv.1\pcmaster\ZRU_SR_TEL4\IFXX</v>
      </c>
    </row>
    <row r="57" spans="1:4">
      <c r="A57" s="217" t="str">
        <f t="shared" ref="A57:A66" si="3">$R$2&amp;".FUTX"</f>
        <v>АСУЭ.BMRZ.FUTX</v>
      </c>
      <c r="B57" s="218">
        <v>11154</v>
      </c>
      <c r="C57" s="218" t="s">
        <v>4</v>
      </c>
      <c r="D57" s="231">
        <f>$Q$7</f>
        <v>12</v>
      </c>
    </row>
    <row r="58" spans="1:4">
      <c r="A58" s="211" t="str">
        <f t="shared" si="3"/>
        <v>АСУЭ.BMRZ.FUTX</v>
      </c>
      <c r="B58" s="212">
        <v>11152</v>
      </c>
      <c r="C58" s="212" t="s">
        <v>0</v>
      </c>
      <c r="D58" s="213" t="str">
        <f>$R$7</f>
        <v>Неисправность</v>
      </c>
    </row>
    <row r="59" spans="1:4">
      <c r="A59" s="211" t="str">
        <f t="shared" si="3"/>
        <v>АСУЭ.BMRZ.FUTX</v>
      </c>
      <c r="B59" s="212">
        <v>11150</v>
      </c>
      <c r="C59" s="212" t="s">
        <v>0</v>
      </c>
      <c r="D59" s="213" t="s">
        <v>258</v>
      </c>
    </row>
    <row r="60" spans="1:4">
      <c r="A60" s="211" t="str">
        <f t="shared" si="3"/>
        <v>АСУЭ.BMRZ.FUTX</v>
      </c>
      <c r="B60" s="212">
        <v>11000</v>
      </c>
      <c r="C60" s="212" t="s">
        <v>5</v>
      </c>
      <c r="D60" s="213">
        <v>2147483680</v>
      </c>
    </row>
    <row r="61" spans="1:4">
      <c r="A61" s="29" t="str">
        <f t="shared" si="3"/>
        <v>АСУЭ.BMRZ.FUTX</v>
      </c>
      <c r="B61" s="1">
        <v>7999</v>
      </c>
      <c r="C61" s="1" t="s">
        <v>0</v>
      </c>
      <c r="D61" s="30" t="str">
        <f>"#"&amp;$S$2&amp;"#"&amp;$T$2&amp;"\"&amp;$P$2&amp;"\FUTX"</f>
        <v>#1#treiOPCDA.CoOPCserv.1\pcmaster\ZRU_SR_TEL4\FUTX</v>
      </c>
    </row>
    <row r="62" spans="1:4">
      <c r="A62" s="29" t="str">
        <f t="shared" si="3"/>
        <v>АСУЭ.BMRZ.FUTX</v>
      </c>
      <c r="B62" s="1">
        <v>7998</v>
      </c>
      <c r="C62" s="1" t="s">
        <v>6</v>
      </c>
      <c r="D62" s="30">
        <v>1</v>
      </c>
    </row>
    <row r="63" spans="1:4">
      <c r="A63" s="29" t="str">
        <f t="shared" si="3"/>
        <v>АСУЭ.BMRZ.FUTX</v>
      </c>
      <c r="B63" s="1">
        <v>101</v>
      </c>
      <c r="C63" s="1" t="s">
        <v>0</v>
      </c>
      <c r="D63" s="30" t="s">
        <v>258</v>
      </c>
    </row>
    <row r="64" spans="1:4">
      <c r="A64" s="29" t="str">
        <f t="shared" si="3"/>
        <v>АСУЭ.BMRZ.FUTX</v>
      </c>
      <c r="B64" s="1">
        <v>3</v>
      </c>
      <c r="C64" s="1" t="s">
        <v>1</v>
      </c>
      <c r="D64" s="30">
        <v>192</v>
      </c>
    </row>
    <row r="65" spans="1:4">
      <c r="A65" s="29" t="str">
        <f t="shared" si="3"/>
        <v>АСУЭ.BMRZ.FUTX</v>
      </c>
      <c r="B65" s="1">
        <v>2</v>
      </c>
      <c r="C65" s="1" t="s">
        <v>2</v>
      </c>
      <c r="D65" s="30" t="s">
        <v>3</v>
      </c>
    </row>
    <row r="66" spans="1:4">
      <c r="A66" s="26" t="str">
        <f t="shared" si="3"/>
        <v>АСУЭ.BMRZ.FUTX</v>
      </c>
      <c r="B66" s="27">
        <v>1</v>
      </c>
      <c r="C66" s="27" t="s">
        <v>1</v>
      </c>
      <c r="D66" s="28">
        <v>11</v>
      </c>
    </row>
    <row r="67" spans="1:4">
      <c r="A67" s="23" t="str">
        <f t="shared" ref="A67:A76" si="4">$R$2&amp;".FDTX"</f>
        <v>АСУЭ.BMRZ.FDTX</v>
      </c>
      <c r="B67" s="24">
        <v>1</v>
      </c>
      <c r="C67" s="24" t="s">
        <v>1</v>
      </c>
      <c r="D67" s="25">
        <v>11</v>
      </c>
    </row>
    <row r="68" spans="1:4">
      <c r="A68" s="29" t="str">
        <f t="shared" si="4"/>
        <v>АСУЭ.BMRZ.FDTX</v>
      </c>
      <c r="B68" s="1">
        <v>2</v>
      </c>
      <c r="C68" s="1" t="s">
        <v>2</v>
      </c>
      <c r="D68" s="30" t="s">
        <v>3</v>
      </c>
    </row>
    <row r="69" spans="1:4">
      <c r="A69" s="29" t="str">
        <f t="shared" si="4"/>
        <v>АСУЭ.BMRZ.FDTX</v>
      </c>
      <c r="B69" s="1">
        <v>3</v>
      </c>
      <c r="C69" s="1" t="s">
        <v>1</v>
      </c>
      <c r="D69" s="30">
        <v>192</v>
      </c>
    </row>
    <row r="70" spans="1:4">
      <c r="A70" s="29" t="str">
        <f t="shared" si="4"/>
        <v>АСУЭ.BMRZ.FDTX</v>
      </c>
      <c r="B70" s="1">
        <v>101</v>
      </c>
      <c r="C70" s="1" t="s">
        <v>0</v>
      </c>
      <c r="D70" s="30" t="s">
        <v>259</v>
      </c>
    </row>
    <row r="71" spans="1:4">
      <c r="A71" s="29" t="str">
        <f t="shared" si="4"/>
        <v>АСУЭ.BMRZ.FDTX</v>
      </c>
      <c r="B71" s="1">
        <v>7998</v>
      </c>
      <c r="C71" s="1" t="s">
        <v>6</v>
      </c>
      <c r="D71" s="30">
        <v>1</v>
      </c>
    </row>
    <row r="72" spans="1:4">
      <c r="A72" s="29" t="str">
        <f t="shared" si="4"/>
        <v>АСУЭ.BMRZ.FDTX</v>
      </c>
      <c r="B72" s="1">
        <v>7999</v>
      </c>
      <c r="C72" s="1" t="s">
        <v>0</v>
      </c>
      <c r="D72" s="30" t="str">
        <f>"#"&amp;$S$2&amp;"#"&amp;$T$2&amp;"\"&amp;$P$2&amp;"\FDTX"</f>
        <v>#1#treiOPCDA.CoOPCserv.1\pcmaster\ZRU_SR_TEL4\FDTX</v>
      </c>
    </row>
    <row r="73" spans="1:4">
      <c r="A73" s="211" t="str">
        <f t="shared" si="4"/>
        <v>АСУЭ.BMRZ.FDTX</v>
      </c>
      <c r="B73" s="212">
        <v>11000</v>
      </c>
      <c r="C73" s="212" t="s">
        <v>5</v>
      </c>
      <c r="D73" s="213">
        <v>2147483680</v>
      </c>
    </row>
    <row r="74" spans="1:4">
      <c r="A74" s="211" t="str">
        <f t="shared" si="4"/>
        <v>АСУЭ.BMRZ.FDTX</v>
      </c>
      <c r="B74" s="212">
        <v>11150</v>
      </c>
      <c r="C74" s="212" t="s">
        <v>0</v>
      </c>
      <c r="D74" s="213" t="s">
        <v>259</v>
      </c>
    </row>
    <row r="75" spans="1:4">
      <c r="A75" s="211" t="str">
        <f t="shared" si="4"/>
        <v>АСУЭ.BMRZ.FDTX</v>
      </c>
      <c r="B75" s="212">
        <v>11152</v>
      </c>
      <c r="C75" s="212" t="s">
        <v>0</v>
      </c>
      <c r="D75" s="213" t="str">
        <f>$R$7</f>
        <v>Неисправность</v>
      </c>
    </row>
    <row r="76" spans="1:4">
      <c r="A76" s="214" t="str">
        <f t="shared" si="4"/>
        <v>АСУЭ.BMRZ.FDTX</v>
      </c>
      <c r="B76" s="215">
        <v>11154</v>
      </c>
      <c r="C76" s="215" t="s">
        <v>4</v>
      </c>
      <c r="D76" s="216">
        <f>$Q$7</f>
        <v>12</v>
      </c>
    </row>
    <row r="77" spans="1:4">
      <c r="A77" s="23" t="str">
        <f t="shared" ref="A77:A86" si="5">$R$2&amp;".DTON"</f>
        <v>АСУЭ.BMRZ.DTON</v>
      </c>
      <c r="B77" s="24">
        <v>1</v>
      </c>
      <c r="C77" s="24" t="s">
        <v>1</v>
      </c>
      <c r="D77" s="25">
        <v>11</v>
      </c>
    </row>
    <row r="78" spans="1:4">
      <c r="A78" s="29" t="str">
        <f t="shared" si="5"/>
        <v>АСУЭ.BMRZ.DTON</v>
      </c>
      <c r="B78" s="1">
        <v>2</v>
      </c>
      <c r="C78" s="1" t="s">
        <v>2</v>
      </c>
      <c r="D78" s="30" t="s">
        <v>3</v>
      </c>
    </row>
    <row r="79" spans="1:4">
      <c r="A79" s="29" t="str">
        <f t="shared" si="5"/>
        <v>АСУЭ.BMRZ.DTON</v>
      </c>
      <c r="B79" s="1">
        <v>3</v>
      </c>
      <c r="C79" s="1" t="s">
        <v>1</v>
      </c>
      <c r="D79" s="30">
        <v>192</v>
      </c>
    </row>
    <row r="80" spans="1:4">
      <c r="A80" s="29" t="str">
        <f t="shared" si="5"/>
        <v>АСУЭ.BMRZ.DTON</v>
      </c>
      <c r="B80" s="1">
        <v>101</v>
      </c>
      <c r="C80" s="1" t="s">
        <v>0</v>
      </c>
      <c r="D80" s="30" t="s">
        <v>260</v>
      </c>
    </row>
    <row r="81" spans="1:4">
      <c r="A81" s="29" t="str">
        <f t="shared" si="5"/>
        <v>АСУЭ.BMRZ.DTON</v>
      </c>
      <c r="B81" s="1">
        <v>7998</v>
      </c>
      <c r="C81" s="1" t="s">
        <v>6</v>
      </c>
      <c r="D81" s="30">
        <v>1</v>
      </c>
    </row>
    <row r="82" spans="1:4">
      <c r="A82" s="29" t="str">
        <f t="shared" si="5"/>
        <v>АСУЭ.BMRZ.DTON</v>
      </c>
      <c r="B82" s="1">
        <v>7999</v>
      </c>
      <c r="C82" s="1" t="s">
        <v>0</v>
      </c>
      <c r="D82" s="30" t="str">
        <f>"#"&amp;$S$2&amp;"#"&amp;$T$2&amp;"\"&amp;$P$2&amp;"\DTON"</f>
        <v>#1#treiOPCDA.CoOPCserv.1\pcmaster\ZRU_SR_TEL4\DTON</v>
      </c>
    </row>
    <row r="83" spans="1:4">
      <c r="A83" s="110" t="str">
        <f t="shared" si="5"/>
        <v>АСУЭ.BMRZ.DTON</v>
      </c>
      <c r="B83" s="111">
        <v>11000</v>
      </c>
      <c r="C83" s="111" t="s">
        <v>5</v>
      </c>
      <c r="D83" s="112">
        <v>2147483680</v>
      </c>
    </row>
    <row r="84" spans="1:4">
      <c r="A84" s="110" t="str">
        <f t="shared" si="5"/>
        <v>АСУЭ.BMRZ.DTON</v>
      </c>
      <c r="B84" s="111">
        <v>11150</v>
      </c>
      <c r="C84" s="111" t="s">
        <v>0</v>
      </c>
      <c r="D84" s="112" t="s">
        <v>261</v>
      </c>
    </row>
    <row r="85" spans="1:4">
      <c r="A85" s="110" t="str">
        <f t="shared" si="5"/>
        <v>АСУЭ.BMRZ.DTON</v>
      </c>
      <c r="B85" s="111">
        <v>11152</v>
      </c>
      <c r="C85" s="111" t="s">
        <v>0</v>
      </c>
      <c r="D85" s="112" t="str">
        <f>$R$9</f>
        <v>Недостоверность</v>
      </c>
    </row>
    <row r="86" spans="1:4">
      <c r="A86" s="164" t="str">
        <f t="shared" si="5"/>
        <v>АСУЭ.BMRZ.DTON</v>
      </c>
      <c r="B86" s="165">
        <v>11154</v>
      </c>
      <c r="C86" s="165" t="s">
        <v>4</v>
      </c>
      <c r="D86" s="166">
        <f>$Q$9</f>
        <v>10</v>
      </c>
    </row>
    <row r="87" spans="1:4">
      <c r="A87" s="163" t="str">
        <f t="shared" ref="A87:A96" si="6">$R$2&amp;".DTOF"</f>
        <v>АСУЭ.BMRZ.DTOF</v>
      </c>
      <c r="B87" s="123">
        <v>11000</v>
      </c>
      <c r="C87" s="123" t="s">
        <v>5</v>
      </c>
      <c r="D87" s="198">
        <v>2147483680</v>
      </c>
    </row>
    <row r="88" spans="1:4">
      <c r="A88" s="110" t="str">
        <f t="shared" si="6"/>
        <v>АСУЭ.BMRZ.DTOF</v>
      </c>
      <c r="B88" s="111">
        <v>11150</v>
      </c>
      <c r="C88" s="111" t="s">
        <v>0</v>
      </c>
      <c r="D88" s="112" t="s">
        <v>262</v>
      </c>
    </row>
    <row r="89" spans="1:4">
      <c r="A89" s="110" t="str">
        <f t="shared" si="6"/>
        <v>АСУЭ.BMRZ.DTOF</v>
      </c>
      <c r="B89" s="111">
        <v>11152</v>
      </c>
      <c r="C89" s="111" t="s">
        <v>0</v>
      </c>
      <c r="D89" s="112" t="str">
        <f>$R$9</f>
        <v>Недостоверность</v>
      </c>
    </row>
    <row r="90" spans="1:4">
      <c r="A90" s="110" t="str">
        <f t="shared" si="6"/>
        <v>АСУЭ.BMRZ.DTOF</v>
      </c>
      <c r="B90" s="111">
        <v>11154</v>
      </c>
      <c r="C90" s="111" t="s">
        <v>4</v>
      </c>
      <c r="D90" s="112">
        <f>$Q$9</f>
        <v>10</v>
      </c>
    </row>
    <row r="91" spans="1:4">
      <c r="A91" s="29" t="str">
        <f t="shared" si="6"/>
        <v>АСУЭ.BMRZ.DTOF</v>
      </c>
      <c r="B91" s="1">
        <v>7999</v>
      </c>
      <c r="C91" s="1" t="s">
        <v>0</v>
      </c>
      <c r="D91" s="30" t="str">
        <f>"#"&amp;$S$2&amp;"#"&amp;$T$2&amp;"\"&amp;$P$2&amp;"\DTOF"</f>
        <v>#1#treiOPCDA.CoOPCserv.1\pcmaster\ZRU_SR_TEL4\DTOF</v>
      </c>
    </row>
    <row r="92" spans="1:4">
      <c r="A92" s="29" t="str">
        <f t="shared" si="6"/>
        <v>АСУЭ.BMRZ.DTOF</v>
      </c>
      <c r="B92" s="1">
        <v>7998</v>
      </c>
      <c r="C92" s="1" t="s">
        <v>6</v>
      </c>
      <c r="D92" s="30">
        <v>1</v>
      </c>
    </row>
    <row r="93" spans="1:4">
      <c r="A93" s="29" t="str">
        <f t="shared" si="6"/>
        <v>АСУЭ.BMRZ.DTOF</v>
      </c>
      <c r="B93" s="1">
        <v>101</v>
      </c>
      <c r="C93" s="1" t="s">
        <v>0</v>
      </c>
      <c r="D93" s="30" t="s">
        <v>263</v>
      </c>
    </row>
    <row r="94" spans="1:4">
      <c r="A94" s="29" t="str">
        <f t="shared" si="6"/>
        <v>АСУЭ.BMRZ.DTOF</v>
      </c>
      <c r="B94" s="1">
        <v>3</v>
      </c>
      <c r="C94" s="1" t="s">
        <v>1</v>
      </c>
      <c r="D94" s="30">
        <v>192</v>
      </c>
    </row>
    <row r="95" spans="1:4">
      <c r="A95" s="29" t="str">
        <f t="shared" si="6"/>
        <v>АСУЭ.BMRZ.DTOF</v>
      </c>
      <c r="B95" s="1">
        <v>2</v>
      </c>
      <c r="C95" s="1" t="s">
        <v>2</v>
      </c>
      <c r="D95" s="30" t="s">
        <v>3</v>
      </c>
    </row>
    <row r="96" spans="1:4">
      <c r="A96" s="26" t="str">
        <f t="shared" si="6"/>
        <v>АСУЭ.BMRZ.DTOF</v>
      </c>
      <c r="B96" s="27">
        <v>1</v>
      </c>
      <c r="C96" s="27" t="s">
        <v>1</v>
      </c>
      <c r="D96" s="28">
        <v>11</v>
      </c>
    </row>
    <row r="97" spans="1:4">
      <c r="A97" s="163" t="str">
        <f t="shared" ref="A97:A106" si="7">$R$2&amp;".DFXX"</f>
        <v>АСУЭ.BMRZ.DFXX</v>
      </c>
      <c r="B97" s="123">
        <v>11154</v>
      </c>
      <c r="C97" s="123" t="s">
        <v>4</v>
      </c>
      <c r="D97" s="198">
        <f>$Q$9</f>
        <v>10</v>
      </c>
    </row>
    <row r="98" spans="1:4">
      <c r="A98" s="110" t="str">
        <f t="shared" si="7"/>
        <v>АСУЭ.BMRZ.DFXX</v>
      </c>
      <c r="B98" s="111">
        <v>11152</v>
      </c>
      <c r="C98" s="111" t="s">
        <v>0</v>
      </c>
      <c r="D98" s="112" t="str">
        <f>$R$9</f>
        <v>Недостоверность</v>
      </c>
    </row>
    <row r="99" spans="1:4">
      <c r="A99" s="110" t="str">
        <f t="shared" si="7"/>
        <v>АСУЭ.BMRZ.DFXX</v>
      </c>
      <c r="B99" s="111">
        <v>11150</v>
      </c>
      <c r="C99" s="111" t="s">
        <v>0</v>
      </c>
      <c r="D99" s="112" t="s">
        <v>104</v>
      </c>
    </row>
    <row r="100" spans="1:4">
      <c r="A100" s="110" t="str">
        <f t="shared" si="7"/>
        <v>АСУЭ.BMRZ.DFXX</v>
      </c>
      <c r="B100" s="111">
        <v>11000</v>
      </c>
      <c r="C100" s="111" t="s">
        <v>5</v>
      </c>
      <c r="D100" s="112">
        <v>2147483680</v>
      </c>
    </row>
    <row r="101" spans="1:4">
      <c r="A101" s="29" t="str">
        <f t="shared" si="7"/>
        <v>АСУЭ.BMRZ.DFXX</v>
      </c>
      <c r="B101" s="1">
        <v>7999</v>
      </c>
      <c r="C101" s="1" t="s">
        <v>0</v>
      </c>
      <c r="D101" s="30" t="str">
        <f>"#"&amp;$S$2&amp;"#"&amp;$T$2&amp;"\"&amp;$P$2&amp;"\DFXX"</f>
        <v>#1#treiOPCDA.CoOPCserv.1\pcmaster\ZRU_SR_TEL4\DFXX</v>
      </c>
    </row>
    <row r="102" spans="1:4">
      <c r="A102" s="29" t="str">
        <f t="shared" si="7"/>
        <v>АСУЭ.BMRZ.DFXX</v>
      </c>
      <c r="B102" s="1">
        <v>7998</v>
      </c>
      <c r="C102" s="1" t="s">
        <v>6</v>
      </c>
      <c r="D102" s="30">
        <v>1</v>
      </c>
    </row>
    <row r="103" spans="1:4">
      <c r="A103" s="29" t="str">
        <f t="shared" si="7"/>
        <v>АСУЭ.BMRZ.DFXX</v>
      </c>
      <c r="B103" s="1">
        <v>101</v>
      </c>
      <c r="C103" s="1" t="s">
        <v>0</v>
      </c>
      <c r="D103" s="30" t="s">
        <v>520</v>
      </c>
    </row>
    <row r="104" spans="1:4">
      <c r="A104" s="29" t="str">
        <f t="shared" si="7"/>
        <v>АСУЭ.BMRZ.DFXX</v>
      </c>
      <c r="B104" s="1">
        <v>3</v>
      </c>
      <c r="C104" s="1" t="s">
        <v>1</v>
      </c>
      <c r="D104" s="30">
        <v>192</v>
      </c>
    </row>
    <row r="105" spans="1:4">
      <c r="A105" s="29" t="str">
        <f t="shared" si="7"/>
        <v>АСУЭ.BMRZ.DFXX</v>
      </c>
      <c r="B105" s="1">
        <v>2</v>
      </c>
      <c r="C105" s="1" t="s">
        <v>2</v>
      </c>
      <c r="D105" s="30" t="s">
        <v>3</v>
      </c>
    </row>
    <row r="106" spans="1:4">
      <c r="A106" s="29" t="str">
        <f t="shared" si="7"/>
        <v>АСУЭ.BMRZ.DFXX</v>
      </c>
      <c r="B106" s="1">
        <v>1</v>
      </c>
      <c r="C106" s="1" t="s">
        <v>1</v>
      </c>
      <c r="D106" s="30">
        <v>11</v>
      </c>
    </row>
    <row r="107" spans="1:4">
      <c r="A107" s="23" t="str">
        <f t="shared" ref="A107:A118" si="8">$R$2&amp;".XRPX"</f>
        <v>АСУЭ.BMRZ.XRPX</v>
      </c>
      <c r="B107" s="24">
        <v>1</v>
      </c>
      <c r="C107" s="24" t="s">
        <v>1</v>
      </c>
      <c r="D107" s="25">
        <v>11</v>
      </c>
    </row>
    <row r="108" spans="1:4">
      <c r="A108" s="29" t="str">
        <f t="shared" si="8"/>
        <v>АСУЭ.BMRZ.XRPX</v>
      </c>
      <c r="B108" s="1">
        <v>2</v>
      </c>
      <c r="C108" s="1" t="s">
        <v>2</v>
      </c>
      <c r="D108" s="30" t="s">
        <v>3</v>
      </c>
    </row>
    <row r="109" spans="1:4">
      <c r="A109" s="29" t="str">
        <f t="shared" si="8"/>
        <v>АСУЭ.BMRZ.XRPX</v>
      </c>
      <c r="B109" s="1">
        <v>3</v>
      </c>
      <c r="C109" s="1" t="s">
        <v>1</v>
      </c>
      <c r="D109" s="30">
        <v>192</v>
      </c>
    </row>
    <row r="110" spans="1:4">
      <c r="A110" s="29" t="str">
        <f t="shared" si="8"/>
        <v>АСУЭ.BMRZ.XRPX</v>
      </c>
      <c r="B110" s="1">
        <v>101</v>
      </c>
      <c r="C110" s="1" t="s">
        <v>0</v>
      </c>
      <c r="D110" s="30" t="s">
        <v>137</v>
      </c>
    </row>
    <row r="111" spans="1:4">
      <c r="A111" s="29" t="str">
        <f t="shared" si="8"/>
        <v>АСУЭ.BMRZ.XRPX</v>
      </c>
      <c r="B111" s="1">
        <v>7998</v>
      </c>
      <c r="C111" s="1" t="s">
        <v>6</v>
      </c>
      <c r="D111" s="30">
        <v>1</v>
      </c>
    </row>
    <row r="112" spans="1:4">
      <c r="A112" s="29" t="str">
        <f t="shared" si="8"/>
        <v>АСУЭ.BMRZ.XRPX</v>
      </c>
      <c r="B112" s="1">
        <v>7999</v>
      </c>
      <c r="C112" s="1" t="s">
        <v>0</v>
      </c>
      <c r="D112" s="30" t="str">
        <f>"#"&amp;$S$2&amp;"#"&amp;$T$2&amp;"\"&amp;$P$2&amp;"\XRPX"</f>
        <v>#1#treiOPCDA.CoOPCserv.1\pcmaster\ZRU_SR_TEL4\XRPX</v>
      </c>
    </row>
    <row r="113" spans="1:4">
      <c r="A113" s="140" t="str">
        <f t="shared" si="8"/>
        <v>АСУЭ.BMRZ.XRPX</v>
      </c>
      <c r="B113" s="141">
        <v>11000</v>
      </c>
      <c r="C113" s="141" t="s">
        <v>5</v>
      </c>
      <c r="D113" s="142">
        <v>2147483680</v>
      </c>
    </row>
    <row r="114" spans="1:4">
      <c r="A114" s="140" t="str">
        <f t="shared" si="8"/>
        <v>АСУЭ.BMRZ.XRPX</v>
      </c>
      <c r="B114" s="141">
        <v>11150</v>
      </c>
      <c r="C114" s="141" t="s">
        <v>0</v>
      </c>
      <c r="D114" s="142" t="s">
        <v>89</v>
      </c>
    </row>
    <row r="115" spans="1:4">
      <c r="A115" s="140" t="str">
        <f t="shared" si="8"/>
        <v>АСУЭ.BMRZ.XRPX</v>
      </c>
      <c r="B115" s="141">
        <v>11152</v>
      </c>
      <c r="C115" s="141" t="s">
        <v>0</v>
      </c>
      <c r="D115" s="142" t="str">
        <f>$R$11</f>
        <v>Ремонт</v>
      </c>
    </row>
    <row r="116" spans="1:4">
      <c r="A116" s="140" t="str">
        <f t="shared" si="8"/>
        <v>АСУЭ.BMRZ.XRPX</v>
      </c>
      <c r="B116" s="141">
        <v>11154</v>
      </c>
      <c r="C116" s="141" t="s">
        <v>4</v>
      </c>
      <c r="D116" s="142">
        <f>$Q$11</f>
        <v>14</v>
      </c>
    </row>
    <row r="117" spans="1:4" ht="15.75" customHeight="1">
      <c r="A117" s="29" t="str">
        <f t="shared" si="8"/>
        <v>АСУЭ.BMRZ.XRPX</v>
      </c>
      <c r="B117" s="1">
        <v>4000000</v>
      </c>
      <c r="C117" s="1" t="s">
        <v>0</v>
      </c>
      <c r="D117" s="415" t="s">
        <v>1491</v>
      </c>
    </row>
    <row r="118" spans="1:4">
      <c r="A118" s="26" t="str">
        <f t="shared" si="8"/>
        <v>АСУЭ.BMRZ.XRPX</v>
      </c>
      <c r="B118" s="27">
        <v>7000000</v>
      </c>
      <c r="C118" s="27" t="s">
        <v>6</v>
      </c>
      <c r="D118" s="28">
        <v>2</v>
      </c>
    </row>
    <row r="119" spans="1:4">
      <c r="A119" s="29" t="str">
        <f t="shared" ref="A119:A128" si="9">$R$2&amp;".XTON"</f>
        <v>АСУЭ.BMRZ.XTON</v>
      </c>
      <c r="B119" s="1">
        <v>1</v>
      </c>
      <c r="C119" s="1" t="s">
        <v>1</v>
      </c>
      <c r="D119" s="30">
        <v>11</v>
      </c>
    </row>
    <row r="120" spans="1:4">
      <c r="A120" s="29" t="str">
        <f t="shared" si="9"/>
        <v>АСУЭ.BMRZ.XTON</v>
      </c>
      <c r="B120" s="1">
        <v>2</v>
      </c>
      <c r="C120" s="1" t="s">
        <v>2</v>
      </c>
      <c r="D120" s="30" t="s">
        <v>3</v>
      </c>
    </row>
    <row r="121" spans="1:4">
      <c r="A121" s="29" t="str">
        <f t="shared" si="9"/>
        <v>АСУЭ.BMRZ.XTON</v>
      </c>
      <c r="B121" s="1">
        <v>3</v>
      </c>
      <c r="C121" s="1" t="s">
        <v>1</v>
      </c>
      <c r="D121" s="30">
        <v>192</v>
      </c>
    </row>
    <row r="122" spans="1:4">
      <c r="A122" s="29" t="str">
        <f t="shared" si="9"/>
        <v>АСУЭ.BMRZ.XTON</v>
      </c>
      <c r="B122" s="1">
        <v>101</v>
      </c>
      <c r="C122" s="1" t="s">
        <v>0</v>
      </c>
      <c r="D122" s="30" t="s">
        <v>1856</v>
      </c>
    </row>
    <row r="123" spans="1:4">
      <c r="A123" s="29" t="str">
        <f t="shared" si="9"/>
        <v>АСУЭ.BMRZ.XTON</v>
      </c>
      <c r="B123" s="1">
        <v>7998</v>
      </c>
      <c r="C123" s="1" t="s">
        <v>6</v>
      </c>
      <c r="D123" s="30">
        <v>1</v>
      </c>
    </row>
    <row r="124" spans="1:4">
      <c r="A124" s="29" t="str">
        <f t="shared" si="9"/>
        <v>АСУЭ.BMRZ.XTON</v>
      </c>
      <c r="B124" s="1">
        <v>7999</v>
      </c>
      <c r="C124" s="1" t="s">
        <v>0</v>
      </c>
      <c r="D124" s="30" t="str">
        <f>"#"&amp;$S$2&amp;"#"&amp;$T$2&amp;"\"&amp;$P$2&amp;"\XTON"</f>
        <v>#1#treiOPCDA.CoOPCserv.1\pcmaster\ZRU_SR_TEL4\XTON</v>
      </c>
    </row>
    <row r="125" spans="1:4">
      <c r="A125" s="100" t="str">
        <f t="shared" si="9"/>
        <v>АСУЭ.BMRZ.XTON</v>
      </c>
      <c r="B125" s="101">
        <v>11000</v>
      </c>
      <c r="C125" s="101" t="s">
        <v>5</v>
      </c>
      <c r="D125" s="103">
        <v>2147483680</v>
      </c>
    </row>
    <row r="126" spans="1:4">
      <c r="A126" s="100" t="str">
        <f t="shared" si="9"/>
        <v>АСУЭ.BMRZ.XTON</v>
      </c>
      <c r="B126" s="101">
        <v>11150</v>
      </c>
      <c r="C126" s="101" t="s">
        <v>0</v>
      </c>
      <c r="D126" s="103" t="s">
        <v>1856</v>
      </c>
    </row>
    <row r="127" spans="1:4">
      <c r="A127" s="100" t="str">
        <f t="shared" si="9"/>
        <v>АСУЭ.BMRZ.XTON</v>
      </c>
      <c r="B127" s="101">
        <v>11152</v>
      </c>
      <c r="C127" s="101" t="s">
        <v>0</v>
      </c>
      <c r="D127" s="103" t="str">
        <f>$R$8</f>
        <v>Телесигнализация</v>
      </c>
    </row>
    <row r="128" spans="1:4">
      <c r="A128" s="170" t="str">
        <f t="shared" si="9"/>
        <v>АСУЭ.BMRZ.XTON</v>
      </c>
      <c r="B128" s="171">
        <v>11154</v>
      </c>
      <c r="C128" s="171" t="s">
        <v>4</v>
      </c>
      <c r="D128" s="172">
        <f>$Q$8</f>
        <v>18</v>
      </c>
    </row>
    <row r="129" spans="1:4">
      <c r="A129" s="23" t="str">
        <f t="shared" ref="A129:A138" si="10">$R$2&amp;".XTOF"</f>
        <v>АСУЭ.BMRZ.XTOF</v>
      </c>
      <c r="B129" s="24">
        <v>1</v>
      </c>
      <c r="C129" s="24" t="s">
        <v>1</v>
      </c>
      <c r="D129" s="25">
        <v>11</v>
      </c>
    </row>
    <row r="130" spans="1:4">
      <c r="A130" s="29" t="str">
        <f t="shared" si="10"/>
        <v>АСУЭ.BMRZ.XTOF</v>
      </c>
      <c r="B130" s="1">
        <v>2</v>
      </c>
      <c r="C130" s="1" t="s">
        <v>2</v>
      </c>
      <c r="D130" s="30" t="s">
        <v>3</v>
      </c>
    </row>
    <row r="131" spans="1:4">
      <c r="A131" s="29" t="str">
        <f t="shared" si="10"/>
        <v>АСУЭ.BMRZ.XTOF</v>
      </c>
      <c r="B131" s="1">
        <v>3</v>
      </c>
      <c r="C131" s="1" t="s">
        <v>1</v>
      </c>
      <c r="D131" s="30">
        <v>192</v>
      </c>
    </row>
    <row r="132" spans="1:4">
      <c r="A132" s="29" t="str">
        <f t="shared" si="10"/>
        <v>АСУЭ.BMRZ.XTOF</v>
      </c>
      <c r="B132" s="1">
        <v>101</v>
      </c>
      <c r="C132" s="1" t="s">
        <v>0</v>
      </c>
      <c r="D132" s="30" t="s">
        <v>1857</v>
      </c>
    </row>
    <row r="133" spans="1:4">
      <c r="A133" s="29" t="str">
        <f t="shared" si="10"/>
        <v>АСУЭ.BMRZ.XTOF</v>
      </c>
      <c r="B133" s="1">
        <v>7998</v>
      </c>
      <c r="C133" s="1" t="s">
        <v>6</v>
      </c>
      <c r="D133" s="30">
        <v>1</v>
      </c>
    </row>
    <row r="134" spans="1:4">
      <c r="A134" s="29" t="str">
        <f t="shared" si="10"/>
        <v>АСУЭ.BMRZ.XTOF</v>
      </c>
      <c r="B134" s="1">
        <v>7999</v>
      </c>
      <c r="C134" s="1" t="s">
        <v>0</v>
      </c>
      <c r="D134" s="30" t="str">
        <f>"#"&amp;$S$2&amp;"#"&amp;$T$2&amp;"\"&amp;$P$2&amp;"\XTOF"</f>
        <v>#1#treiOPCDA.CoOPCserv.1\pcmaster\ZRU_SR_TEL4\XTOF</v>
      </c>
    </row>
    <row r="135" spans="1:4">
      <c r="A135" s="100" t="str">
        <f t="shared" si="10"/>
        <v>АСУЭ.BMRZ.XTOF</v>
      </c>
      <c r="B135" s="101">
        <v>11000</v>
      </c>
      <c r="C135" s="101" t="s">
        <v>5</v>
      </c>
      <c r="D135" s="103">
        <v>2147483680</v>
      </c>
    </row>
    <row r="136" spans="1:4">
      <c r="A136" s="100" t="str">
        <f t="shared" si="10"/>
        <v>АСУЭ.BMRZ.XTOF</v>
      </c>
      <c r="B136" s="101">
        <v>11150</v>
      </c>
      <c r="C136" s="101" t="s">
        <v>0</v>
      </c>
      <c r="D136" s="103" t="s">
        <v>1857</v>
      </c>
    </row>
    <row r="137" spans="1:4">
      <c r="A137" s="100" t="str">
        <f t="shared" si="10"/>
        <v>АСУЭ.BMRZ.XTOF</v>
      </c>
      <c r="B137" s="101">
        <v>11152</v>
      </c>
      <c r="C137" s="101" t="s">
        <v>0</v>
      </c>
      <c r="D137" s="103" t="str">
        <f>$R$8</f>
        <v>Телесигнализация</v>
      </c>
    </row>
    <row r="138" spans="1:4">
      <c r="A138" s="170" t="str">
        <f t="shared" si="10"/>
        <v>АСУЭ.BMRZ.XTOF</v>
      </c>
      <c r="B138" s="171">
        <v>11154</v>
      </c>
      <c r="C138" s="171" t="s">
        <v>4</v>
      </c>
      <c r="D138" s="172">
        <f>$Q$8</f>
        <v>18</v>
      </c>
    </row>
    <row r="139" spans="1:4">
      <c r="A139" s="266" t="str">
        <f>$R$2&amp;".Commands.SRQX"</f>
        <v>АСУЭ.BMRZ.Commands.SRQX</v>
      </c>
      <c r="B139" s="267">
        <v>1</v>
      </c>
      <c r="C139" s="267" t="s">
        <v>1</v>
      </c>
      <c r="D139" s="268">
        <v>3</v>
      </c>
    </row>
    <row r="140" spans="1:4">
      <c r="A140" s="269" t="str">
        <f>$R$2&amp;".Commands.SRQX"</f>
        <v>АСУЭ.BMRZ.Commands.SRQX</v>
      </c>
      <c r="B140" s="270">
        <v>101</v>
      </c>
      <c r="C140" s="270" t="s">
        <v>0</v>
      </c>
      <c r="D140" s="271" t="s">
        <v>125</v>
      </c>
    </row>
    <row r="141" spans="1:4">
      <c r="A141" s="269" t="str">
        <f>$R$2&amp;".Commands.SRQX"</f>
        <v>АСУЭ.BMRZ.Commands.SRQX</v>
      </c>
      <c r="B141" s="270">
        <v>7998</v>
      </c>
      <c r="C141" s="270" t="s">
        <v>6</v>
      </c>
      <c r="D141" s="271">
        <v>2</v>
      </c>
    </row>
    <row r="142" spans="1:4">
      <c r="A142" s="272" t="str">
        <f>$R$2&amp;".Commands.SRQX"</f>
        <v>АСУЭ.BMRZ.Commands.SRQX</v>
      </c>
      <c r="B142" s="273">
        <v>7999</v>
      </c>
      <c r="C142" s="273" t="s">
        <v>0</v>
      </c>
      <c r="D142" s="274" t="str">
        <f>"#"&amp;$T$5&amp;"#"&amp;$T$2&amp;"\"&amp;$P$2&amp;"\SRQX"</f>
        <v>#1#treiOPCDA.CoOPCserv.1\pcmaster\ZRU_SR_TEL4\SRQX</v>
      </c>
    </row>
    <row r="143" spans="1:4">
      <c r="A143" s="23" t="str">
        <f>$R$2&amp;".Commands.CRPX"</f>
        <v>АСУЭ.BMRZ.Commands.CRPX</v>
      </c>
      <c r="B143" s="24">
        <v>1</v>
      </c>
      <c r="C143" s="24" t="s">
        <v>1</v>
      </c>
      <c r="D143" s="25">
        <v>11</v>
      </c>
    </row>
    <row r="144" spans="1:4">
      <c r="A144" s="29" t="str">
        <f>$R$2&amp;".Commands.CRPX"</f>
        <v>АСУЭ.BMRZ.Commands.CRPX</v>
      </c>
      <c r="B144" s="1">
        <v>101</v>
      </c>
      <c r="C144" s="1" t="s">
        <v>0</v>
      </c>
      <c r="D144" s="30" t="s">
        <v>113</v>
      </c>
    </row>
    <row r="145" spans="1:4">
      <c r="A145" s="29" t="str">
        <f>$R$2&amp;".Commands.CRPX"</f>
        <v>АСУЭ.BMRZ.Commands.CRPX</v>
      </c>
      <c r="B145" s="1">
        <v>7998</v>
      </c>
      <c r="C145" s="1" t="s">
        <v>6</v>
      </c>
      <c r="D145" s="30">
        <v>2</v>
      </c>
    </row>
    <row r="146" spans="1:4">
      <c r="A146" s="26" t="str">
        <f>$R$2&amp;".Commands.CRPX"</f>
        <v>АСУЭ.BMRZ.Commands.CRPX</v>
      </c>
      <c r="B146" s="27">
        <v>7999</v>
      </c>
      <c r="C146" s="27" t="s">
        <v>0</v>
      </c>
      <c r="D146" s="28" t="str">
        <f>"#"&amp;$T$5&amp;"#"&amp;$T$2&amp;"\"&amp;$P$2&amp;"\CRPX"</f>
        <v>#1#treiOPCDA.CoOPCserv.1\pcmaster\ZRU_SR_TEL4\CRPX</v>
      </c>
    </row>
    <row r="147" spans="1:4">
      <c r="A147" s="23" t="str">
        <f>$R$2&amp;".Commands.CRRX"</f>
        <v>АСУЭ.BMRZ.Commands.CRRX</v>
      </c>
      <c r="B147" s="24">
        <v>1</v>
      </c>
      <c r="C147" s="24" t="s">
        <v>1</v>
      </c>
      <c r="D147" s="25">
        <v>11</v>
      </c>
    </row>
    <row r="148" spans="1:4">
      <c r="A148" s="29" t="str">
        <f>$R$2&amp;".Commands.CRRX"</f>
        <v>АСУЭ.BMRZ.Commands.CRRX</v>
      </c>
      <c r="B148" s="1">
        <v>101</v>
      </c>
      <c r="C148" s="1" t="s">
        <v>0</v>
      </c>
      <c r="D148" s="30" t="s">
        <v>116</v>
      </c>
    </row>
    <row r="149" spans="1:4">
      <c r="A149" s="29" t="str">
        <f>$R$2&amp;".Commands.CRRX"</f>
        <v>АСУЭ.BMRZ.Commands.CRRX</v>
      </c>
      <c r="B149" s="1">
        <v>7998</v>
      </c>
      <c r="C149" s="1" t="s">
        <v>6</v>
      </c>
      <c r="D149" s="30">
        <v>2</v>
      </c>
    </row>
    <row r="150" spans="1:4">
      <c r="A150" s="26" t="str">
        <f>$R$2&amp;".Commands.CRRX"</f>
        <v>АСУЭ.BMRZ.Commands.CRRX</v>
      </c>
      <c r="B150" s="27">
        <v>7999</v>
      </c>
      <c r="C150" s="27" t="s">
        <v>0</v>
      </c>
      <c r="D150" s="28" t="str">
        <f>"#"&amp;$T$5&amp;"#"&amp;$T$2&amp;"\"&amp;$P$2&amp;"\CRRX"</f>
        <v>#1#treiOPCDA.CoOPCserv.1\pcmaster\ZRU_SR_TEL4\CRRX</v>
      </c>
    </row>
    <row r="151" spans="1:4">
      <c r="A151" s="23" t="str">
        <f t="shared" ref="A151:A156" si="11">$R$2&amp;".FXXX"</f>
        <v>АСУЭ.BMRZ.FXXX</v>
      </c>
      <c r="B151" s="24">
        <v>1</v>
      </c>
      <c r="C151" s="24" t="s">
        <v>1</v>
      </c>
      <c r="D151" s="25">
        <v>11</v>
      </c>
    </row>
    <row r="152" spans="1:4">
      <c r="A152" s="29" t="str">
        <f t="shared" si="11"/>
        <v>АСУЭ.BMRZ.FXXX</v>
      </c>
      <c r="B152" s="1">
        <v>2</v>
      </c>
      <c r="C152" s="1" t="s">
        <v>2</v>
      </c>
      <c r="D152" s="30" t="s">
        <v>3</v>
      </c>
    </row>
    <row r="153" spans="1:4">
      <c r="A153" s="29" t="str">
        <f t="shared" si="11"/>
        <v>АСУЭ.BMRZ.FXXX</v>
      </c>
      <c r="B153" s="1">
        <v>3</v>
      </c>
      <c r="C153" s="1" t="s">
        <v>1</v>
      </c>
      <c r="D153" s="30">
        <v>192</v>
      </c>
    </row>
    <row r="154" spans="1:4">
      <c r="A154" s="29" t="str">
        <f t="shared" si="11"/>
        <v>АСУЭ.BMRZ.FXXX</v>
      </c>
      <c r="B154" s="1">
        <v>101</v>
      </c>
      <c r="C154" s="1" t="s">
        <v>0</v>
      </c>
      <c r="D154" s="30" t="s">
        <v>139</v>
      </c>
    </row>
    <row r="155" spans="1:4">
      <c r="A155" s="29" t="str">
        <f t="shared" si="11"/>
        <v>АСУЭ.BMRZ.FXXX</v>
      </c>
      <c r="B155" s="1">
        <v>7998</v>
      </c>
      <c r="C155" s="1" t="s">
        <v>6</v>
      </c>
      <c r="D155" s="30">
        <v>1</v>
      </c>
    </row>
    <row r="156" spans="1:4">
      <c r="A156" s="29" t="str">
        <f t="shared" si="11"/>
        <v>АСУЭ.BMRZ.FXXX</v>
      </c>
      <c r="B156" s="1">
        <v>7999</v>
      </c>
      <c r="C156" s="1" t="s">
        <v>0</v>
      </c>
      <c r="D156" s="30" t="str">
        <f>"#"&amp;$S$2&amp;"#"&amp;$T$2&amp;"\"&amp;$P$2&amp;"\FXXX"</f>
        <v>#1#treiOPCDA.CoOPCserv.1\pcmaster\ZRU_SR_TEL4\FXXX</v>
      </c>
    </row>
    <row r="157" spans="1:4">
      <c r="A157" s="23" t="str">
        <f t="shared" ref="A157:A162" si="12">$R$2&amp;".ITON"</f>
        <v>АСУЭ.BMRZ.ITON</v>
      </c>
      <c r="B157" s="24">
        <v>1</v>
      </c>
      <c r="C157" s="24" t="s">
        <v>1</v>
      </c>
      <c r="D157" s="25">
        <v>11</v>
      </c>
    </row>
    <row r="158" spans="1:4">
      <c r="A158" s="29" t="str">
        <f t="shared" si="12"/>
        <v>АСУЭ.BMRZ.ITON</v>
      </c>
      <c r="B158" s="1">
        <v>2</v>
      </c>
      <c r="C158" s="1" t="s">
        <v>2</v>
      </c>
      <c r="D158" s="30" t="s">
        <v>3</v>
      </c>
    </row>
    <row r="159" spans="1:4">
      <c r="A159" s="29" t="str">
        <f t="shared" si="12"/>
        <v>АСУЭ.BMRZ.ITON</v>
      </c>
      <c r="B159" s="1">
        <v>3</v>
      </c>
      <c r="C159" s="1" t="s">
        <v>1</v>
      </c>
      <c r="D159" s="30">
        <v>192</v>
      </c>
    </row>
    <row r="160" spans="1:4">
      <c r="A160" s="29" t="str">
        <f t="shared" si="12"/>
        <v>АСУЭ.BMRZ.ITON</v>
      </c>
      <c r="B160" s="1">
        <v>101</v>
      </c>
      <c r="C160" s="1" t="s">
        <v>0</v>
      </c>
      <c r="D160" s="30" t="s">
        <v>256</v>
      </c>
    </row>
    <row r="161" spans="1:4">
      <c r="A161" s="29" t="str">
        <f t="shared" si="12"/>
        <v>АСУЭ.BMRZ.ITON</v>
      </c>
      <c r="B161" s="1">
        <v>7998</v>
      </c>
      <c r="C161" s="1" t="s">
        <v>6</v>
      </c>
      <c r="D161" s="30">
        <v>1</v>
      </c>
    </row>
    <row r="162" spans="1:4">
      <c r="A162" s="26" t="str">
        <f t="shared" si="12"/>
        <v>АСУЭ.BMRZ.ITON</v>
      </c>
      <c r="B162" s="27">
        <v>7999</v>
      </c>
      <c r="C162" s="27" t="s">
        <v>0</v>
      </c>
      <c r="D162" s="28" t="str">
        <f>"#"&amp;$S$2&amp;"#"&amp;$T$2&amp;"\"&amp;$P$2&amp;"\ITON"</f>
        <v>#1#treiOPCDA.CoOPCserv.1\pcmaster\ZRU_SR_TEL4\ITON</v>
      </c>
    </row>
    <row r="163" spans="1:4">
      <c r="A163" s="23" t="str">
        <f t="shared" ref="A163:A168" si="13">$R$2&amp;".ITOF"</f>
        <v>АСУЭ.BMRZ.ITOF</v>
      </c>
      <c r="B163" s="24">
        <v>7999</v>
      </c>
      <c r="C163" s="24" t="s">
        <v>0</v>
      </c>
      <c r="D163" s="25" t="str">
        <f>"#"&amp;$S$2&amp;"#"&amp;$T$2&amp;"\"&amp;$P$2&amp;"\ITOF"</f>
        <v>#1#treiOPCDA.CoOPCserv.1\pcmaster\ZRU_SR_TEL4\ITOF</v>
      </c>
    </row>
    <row r="164" spans="1:4">
      <c r="A164" s="29" t="str">
        <f t="shared" si="13"/>
        <v>АСУЭ.BMRZ.ITOF</v>
      </c>
      <c r="B164" s="1">
        <v>7998</v>
      </c>
      <c r="C164" s="1" t="s">
        <v>6</v>
      </c>
      <c r="D164" s="30">
        <v>1</v>
      </c>
    </row>
    <row r="165" spans="1:4">
      <c r="A165" s="29" t="str">
        <f t="shared" si="13"/>
        <v>АСУЭ.BMRZ.ITOF</v>
      </c>
      <c r="B165" s="1">
        <v>101</v>
      </c>
      <c r="C165" s="1" t="s">
        <v>0</v>
      </c>
      <c r="D165" s="30" t="s">
        <v>257</v>
      </c>
    </row>
    <row r="166" spans="1:4">
      <c r="A166" s="29" t="str">
        <f t="shared" si="13"/>
        <v>АСУЭ.BMRZ.ITOF</v>
      </c>
      <c r="B166" s="1">
        <v>3</v>
      </c>
      <c r="C166" s="1" t="s">
        <v>1</v>
      </c>
      <c r="D166" s="30">
        <v>192</v>
      </c>
    </row>
    <row r="167" spans="1:4">
      <c r="A167" s="29" t="str">
        <f t="shared" si="13"/>
        <v>АСУЭ.BMRZ.ITOF</v>
      </c>
      <c r="B167" s="1">
        <v>2</v>
      </c>
      <c r="C167" s="1" t="s">
        <v>2</v>
      </c>
      <c r="D167" s="30" t="s">
        <v>3</v>
      </c>
    </row>
    <row r="168" spans="1:4">
      <c r="A168" s="26" t="str">
        <f t="shared" si="13"/>
        <v>АСУЭ.BMRZ.ITOF</v>
      </c>
      <c r="B168" s="27">
        <v>1</v>
      </c>
      <c r="C168" s="27" t="s">
        <v>1</v>
      </c>
      <c r="D168" s="28">
        <v>11</v>
      </c>
    </row>
    <row r="169" spans="1:4">
      <c r="A169" s="266" t="str">
        <f t="shared" ref="A169:A174" si="14">$R$2&amp;".XRON"</f>
        <v>АСУЭ.BMRZ.XRON</v>
      </c>
      <c r="B169" s="267">
        <v>1</v>
      </c>
      <c r="C169" s="267" t="s">
        <v>1</v>
      </c>
      <c r="D169" s="268">
        <v>3</v>
      </c>
    </row>
    <row r="170" spans="1:4">
      <c r="A170" s="269" t="str">
        <f t="shared" si="14"/>
        <v>АСУЭ.BMRZ.XRON</v>
      </c>
      <c r="B170" s="270">
        <v>2</v>
      </c>
      <c r="C170" s="270" t="s">
        <v>6</v>
      </c>
      <c r="D170" s="271">
        <v>0</v>
      </c>
    </row>
    <row r="171" spans="1:4">
      <c r="A171" s="269" t="str">
        <f t="shared" si="14"/>
        <v>АСУЭ.BMRZ.XRON</v>
      </c>
      <c r="B171" s="270">
        <v>3</v>
      </c>
      <c r="C171" s="270" t="s">
        <v>1</v>
      </c>
      <c r="D171" s="271">
        <v>192</v>
      </c>
    </row>
    <row r="172" spans="1:4">
      <c r="A172" s="269" t="str">
        <f t="shared" si="14"/>
        <v>АСУЭ.BMRZ.XRON</v>
      </c>
      <c r="B172" s="270">
        <v>101</v>
      </c>
      <c r="C172" s="270" t="s">
        <v>0</v>
      </c>
      <c r="D172" s="271" t="s">
        <v>290</v>
      </c>
    </row>
    <row r="173" spans="1:4">
      <c r="A173" s="269" t="str">
        <f t="shared" si="14"/>
        <v>АСУЭ.BMRZ.XRON</v>
      </c>
      <c r="B173" s="270">
        <v>7998</v>
      </c>
      <c r="C173" s="270" t="s">
        <v>6</v>
      </c>
      <c r="D173" s="271">
        <v>1</v>
      </c>
    </row>
    <row r="174" spans="1:4">
      <c r="A174" s="272" t="str">
        <f t="shared" si="14"/>
        <v>АСУЭ.BMRZ.XRON</v>
      </c>
      <c r="B174" s="273">
        <v>7999</v>
      </c>
      <c r="C174" s="273" t="s">
        <v>0</v>
      </c>
      <c r="D174" s="274" t="str">
        <f>"#"&amp;$S$2&amp;"#"&amp;$T$2&amp;"\"&amp;$P$2&amp;"\XRON"</f>
        <v>#1#treiOPCDA.CoOPCserv.1\pcmaster\ZRU_SR_TEL4\XRON</v>
      </c>
    </row>
    <row r="175" spans="1:4">
      <c r="A175" s="266" t="str">
        <f t="shared" ref="A175:A180" si="15">$R$2&amp;".XROF"</f>
        <v>АСУЭ.BMRZ.XROF</v>
      </c>
      <c r="B175" s="267">
        <v>1</v>
      </c>
      <c r="C175" s="267" t="s">
        <v>1</v>
      </c>
      <c r="D175" s="268">
        <v>3</v>
      </c>
    </row>
    <row r="176" spans="1:4">
      <c r="A176" s="269" t="str">
        <f t="shared" si="15"/>
        <v>АСУЭ.BMRZ.XROF</v>
      </c>
      <c r="B176" s="270">
        <v>2</v>
      </c>
      <c r="C176" s="270" t="s">
        <v>6</v>
      </c>
      <c r="D176" s="271">
        <v>0</v>
      </c>
    </row>
    <row r="177" spans="1:4">
      <c r="A177" s="269" t="str">
        <f t="shared" si="15"/>
        <v>АСУЭ.BMRZ.XROF</v>
      </c>
      <c r="B177" s="270">
        <v>3</v>
      </c>
      <c r="C177" s="270" t="s">
        <v>1</v>
      </c>
      <c r="D177" s="271">
        <v>192</v>
      </c>
    </row>
    <row r="178" spans="1:4">
      <c r="A178" s="269" t="str">
        <f t="shared" si="15"/>
        <v>АСУЭ.BMRZ.XROF</v>
      </c>
      <c r="B178" s="270">
        <v>101</v>
      </c>
      <c r="C178" s="270" t="s">
        <v>0</v>
      </c>
      <c r="D178" s="271" t="s">
        <v>291</v>
      </c>
    </row>
    <row r="179" spans="1:4">
      <c r="A179" s="269" t="str">
        <f t="shared" si="15"/>
        <v>АСУЭ.BMRZ.XROF</v>
      </c>
      <c r="B179" s="270">
        <v>7998</v>
      </c>
      <c r="C179" s="270" t="s">
        <v>6</v>
      </c>
      <c r="D179" s="271">
        <v>1</v>
      </c>
    </row>
    <row r="180" spans="1:4">
      <c r="A180" s="272" t="str">
        <f t="shared" si="15"/>
        <v>АСУЭ.BMRZ.XROF</v>
      </c>
      <c r="B180" s="273">
        <v>7999</v>
      </c>
      <c r="C180" s="273" t="s">
        <v>0</v>
      </c>
      <c r="D180" s="274" t="str">
        <f>"#"&amp;$S$2&amp;"#"&amp;$T$2&amp;"\"&amp;$P$2&amp;"\XROF"</f>
        <v>#1#treiOPCDA.CoOPCserv.1\pcmaster\ZRU_SR_TEL4\XROF</v>
      </c>
    </row>
    <row r="181" spans="1:4">
      <c r="A181" s="266" t="str">
        <f t="shared" ref="A181:A186" si="16">$R$2&amp;".SRQX"</f>
        <v>АСУЭ.BMRZ.SRQX</v>
      </c>
      <c r="B181" s="267">
        <v>1</v>
      </c>
      <c r="C181" s="267" t="s">
        <v>1</v>
      </c>
      <c r="D181" s="268">
        <v>3</v>
      </c>
    </row>
    <row r="182" spans="1:4">
      <c r="A182" s="269" t="str">
        <f t="shared" si="16"/>
        <v>АСУЭ.BMRZ.SRQX</v>
      </c>
      <c r="B182" s="270">
        <v>2</v>
      </c>
      <c r="C182" s="270" t="s">
        <v>6</v>
      </c>
      <c r="D182" s="271">
        <v>0</v>
      </c>
    </row>
    <row r="183" spans="1:4">
      <c r="A183" s="269" t="str">
        <f t="shared" si="16"/>
        <v>АСУЭ.BMRZ.SRQX</v>
      </c>
      <c r="B183" s="270">
        <v>3</v>
      </c>
      <c r="C183" s="270" t="s">
        <v>1</v>
      </c>
      <c r="D183" s="271">
        <v>192</v>
      </c>
    </row>
    <row r="184" spans="1:4">
      <c r="A184" s="269" t="str">
        <f t="shared" si="16"/>
        <v>АСУЭ.BMRZ.SRQX</v>
      </c>
      <c r="B184" s="270">
        <v>101</v>
      </c>
      <c r="C184" s="270" t="s">
        <v>0</v>
      </c>
      <c r="D184" s="271" t="s">
        <v>125</v>
      </c>
    </row>
    <row r="185" spans="1:4">
      <c r="A185" s="269" t="str">
        <f t="shared" si="16"/>
        <v>АСУЭ.BMRZ.SRQX</v>
      </c>
      <c r="B185" s="270">
        <v>7998</v>
      </c>
      <c r="C185" s="270" t="s">
        <v>6</v>
      </c>
      <c r="D185" s="271">
        <v>1</v>
      </c>
    </row>
    <row r="186" spans="1:4">
      <c r="A186" s="272" t="str">
        <f t="shared" si="16"/>
        <v>АСУЭ.BMRZ.SRQX</v>
      </c>
      <c r="B186" s="273">
        <v>7999</v>
      </c>
      <c r="C186" s="273" t="s">
        <v>0</v>
      </c>
      <c r="D186" s="274" t="str">
        <f>"#"&amp;$S$2&amp;"#"&amp;$T$2&amp;"\"&amp;$P$2&amp;"\SRQX"</f>
        <v>#1#treiOPCDA.CoOPCserv.1\pcmaster\ZRU_SR_TEL4\SRQX</v>
      </c>
    </row>
  </sheetData>
  <autoFilter ref="B1:B186" xr:uid="{00000000-0009-0000-0000-000016000000}"/>
  <mergeCells count="2">
    <mergeCell ref="Q23:Q24"/>
    <mergeCell ref="Q25:Q26"/>
  </mergeCell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Лист11">
    <tabColor rgb="FFFFC000"/>
  </sheetPr>
  <dimension ref="A1:BP280"/>
  <sheetViews>
    <sheetView topLeftCell="A13" workbookViewId="0">
      <selection activeCell="D2" sqref="D2:D4"/>
    </sheetView>
  </sheetViews>
  <sheetFormatPr defaultRowHeight="14.4"/>
  <cols>
    <col min="1" max="1" width="30.44140625" customWidth="1"/>
    <col min="2" max="2" width="8" customWidth="1"/>
    <col min="3" max="3" width="7.6640625" customWidth="1"/>
    <col min="4" max="4" width="71.4414062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57"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1"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61"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61" t="str">
        <f>Таблица!AL1</f>
        <v>Для TREI
FB_IMstp_S, FB_IMs_S, FB_IMp_S, FB_IMv_S, FB_IM_ADES_S: Настройка перехода ручной-/автоматический-(TRUE/FALSE) 
FB_DI_S: Генерировать метки времени (TRUE/FALSE)</v>
      </c>
      <c r="AY1" s="261"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61" t="str">
        <f>Таблица!AN1</f>
        <v>Для TREI
FB_AI_S, FB_QSA_S: Верхний предел датчика
FB_IMp_S, FB_IMv_S, FB_IM_ADES_S, FB_OZK_KD_S: Время перестановки</v>
      </c>
      <c r="BA1" s="261"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c r="Q2" s="2"/>
      <c r="R2" s="2"/>
      <c r="S2" s="3"/>
      <c r="T2" s="3"/>
      <c r="U2" s="3"/>
      <c r="V2" s="3"/>
      <c r="W2" s="12"/>
      <c r="X2" s="12"/>
      <c r="Y2" s="12"/>
      <c r="Z2" s="12"/>
      <c r="AA2" s="12"/>
      <c r="AB2" s="2"/>
      <c r="AC2" s="2"/>
      <c r="AD2" s="2"/>
      <c r="AE2" s="2"/>
      <c r="AF2" s="2"/>
      <c r="AG2" s="2"/>
      <c r="AH2" s="2"/>
      <c r="AI2" s="2"/>
      <c r="AJ2" s="2"/>
      <c r="AK2" s="2"/>
      <c r="AL2" s="2"/>
      <c r="AM2" s="2"/>
      <c r="AN2" s="2"/>
      <c r="AO2" s="2"/>
      <c r="AP2" s="2"/>
      <c r="AQ2" s="2"/>
      <c r="AR2" s="2"/>
      <c r="AS2" s="2"/>
      <c r="AT2" s="2"/>
      <c r="AU2" s="2"/>
      <c r="AV2" s="2"/>
      <c r="AW2" s="2"/>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M4" s="4"/>
      <c r="BN4" s="4"/>
      <c r="BO4" s="4"/>
      <c r="BP4" s="4"/>
    </row>
    <row r="5" spans="1:68"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M5" s="4"/>
      <c r="BN5" s="4"/>
      <c r="BO5" s="4"/>
      <c r="BP5" s="4"/>
    </row>
    <row r="6" spans="1:68"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M6" s="4"/>
      <c r="BN6" s="4"/>
      <c r="BO6" s="4"/>
      <c r="BP6" s="4"/>
    </row>
    <row r="7" spans="1:68"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M7" s="4"/>
      <c r="BN7" s="4"/>
      <c r="BO7" s="4"/>
      <c r="BP7" s="4"/>
    </row>
    <row r="8" spans="1:68" ht="15" customHeight="1">
      <c r="A8" s="9"/>
      <c r="B8" s="9"/>
      <c r="C8" s="9"/>
      <c r="D8" s="9"/>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BM8" s="4"/>
      <c r="BN8" s="4"/>
      <c r="BO8" s="4"/>
      <c r="BP8" s="4"/>
    </row>
    <row r="9" spans="1:68" ht="15" customHeight="1">
      <c r="A9" s="9"/>
      <c r="B9" s="9"/>
      <c r="C9" s="9"/>
      <c r="D9" s="9"/>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BM9" s="4"/>
      <c r="BN9" s="4"/>
      <c r="BO9" s="4"/>
      <c r="BP9" s="4"/>
    </row>
    <row r="10" spans="1:68" ht="15" customHeight="1">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BM10" s="4"/>
      <c r="BN10" s="4"/>
      <c r="BO10" s="4"/>
      <c r="BP10" s="4"/>
    </row>
    <row r="11" spans="1:68" ht="15" customHeight="1">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BM11" s="4"/>
      <c r="BN11" s="4"/>
      <c r="BO11" s="4"/>
      <c r="BP11" s="4"/>
    </row>
    <row r="12" spans="1:68"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M17" s="4"/>
      <c r="BN17" s="4"/>
      <c r="BO17" s="4"/>
      <c r="BP17" s="4"/>
    </row>
    <row r="18" spans="1:68"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M18" s="4"/>
      <c r="BN18" s="4"/>
      <c r="BO18" s="4"/>
      <c r="BP18" s="4"/>
    </row>
    <row r="19" spans="1:68"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M19" s="4"/>
      <c r="BN19" s="4"/>
      <c r="BO19" s="4"/>
      <c r="BP19" s="4"/>
    </row>
    <row r="20" spans="1:68">
      <c r="A20" s="23">
        <f>$R$2</f>
        <v>0</v>
      </c>
      <c r="B20" s="24">
        <v>1</v>
      </c>
      <c r="C20" s="24" t="s">
        <v>1</v>
      </c>
      <c r="D20" s="25">
        <v>17</v>
      </c>
    </row>
    <row r="21" spans="1:68">
      <c r="A21" s="29">
        <f>$R$2</f>
        <v>0</v>
      </c>
      <c r="B21" s="1">
        <v>11001</v>
      </c>
      <c r="C21" s="1" t="s">
        <v>0</v>
      </c>
      <c r="D21" s="30" t="str">
        <f>$Q$2&amp;". "</f>
        <v xml:space="preserve">. </v>
      </c>
    </row>
    <row r="22" spans="1:68">
      <c r="A22" s="26">
        <f>$R$2</f>
        <v>0</v>
      </c>
      <c r="B22" s="27">
        <v>11156</v>
      </c>
      <c r="C22" s="27" t="s">
        <v>0</v>
      </c>
      <c r="D22" s="28">
        <f>$V$2</f>
        <v>0</v>
      </c>
    </row>
    <row r="23" spans="1:68">
      <c r="A23" s="23" t="str">
        <f t="shared" ref="A23:A28" si="0">$R$2&amp;".XRPT"</f>
        <v>.XRPT</v>
      </c>
      <c r="B23" s="24">
        <v>1</v>
      </c>
      <c r="C23" s="24" t="s">
        <v>1</v>
      </c>
      <c r="D23" s="25">
        <v>2</v>
      </c>
    </row>
    <row r="24" spans="1:68">
      <c r="A24" s="29" t="str">
        <f t="shared" si="0"/>
        <v>.XRPT</v>
      </c>
      <c r="B24" s="1">
        <v>2</v>
      </c>
      <c r="C24" s="1" t="s">
        <v>1</v>
      </c>
      <c r="D24" s="30">
        <v>0</v>
      </c>
    </row>
    <row r="25" spans="1:68">
      <c r="A25" s="29" t="str">
        <f t="shared" si="0"/>
        <v>.XRPT</v>
      </c>
      <c r="B25" s="1">
        <v>3</v>
      </c>
      <c r="C25" s="1" t="s">
        <v>1</v>
      </c>
      <c r="D25" s="30">
        <v>192</v>
      </c>
    </row>
    <row r="26" spans="1:68">
      <c r="A26" s="29" t="str">
        <f t="shared" si="0"/>
        <v>.XRPT</v>
      </c>
      <c r="B26" s="1">
        <v>101</v>
      </c>
      <c r="C26" s="1" t="s">
        <v>0</v>
      </c>
      <c r="D26" s="30" t="s">
        <v>289</v>
      </c>
    </row>
    <row r="27" spans="1:68">
      <c r="A27" s="29" t="str">
        <f t="shared" si="0"/>
        <v>.XRPT</v>
      </c>
      <c r="B27" s="1">
        <v>7998</v>
      </c>
      <c r="C27" s="1" t="s">
        <v>6</v>
      </c>
      <c r="D27" s="30">
        <v>1</v>
      </c>
    </row>
    <row r="28" spans="1:68">
      <c r="A28" s="26" t="str">
        <f t="shared" si="0"/>
        <v>.XRPT</v>
      </c>
      <c r="B28" s="27">
        <v>7999</v>
      </c>
      <c r="C28" s="27" t="s">
        <v>0</v>
      </c>
      <c r="D28" s="28" t="str">
        <f>"#"&amp;$S$2&amp;"#"&amp;$T$2&amp;"\"&amp;$P$2&amp;"\XRPT"</f>
        <v>##\\XRPT</v>
      </c>
    </row>
    <row r="29" spans="1:68">
      <c r="A29" s="23" t="str">
        <f t="shared" ref="A29:A34" si="1">$R$2&amp;".SRPT"</f>
        <v>.SRPT</v>
      </c>
      <c r="B29" s="24">
        <v>1</v>
      </c>
      <c r="C29" s="24" t="s">
        <v>1</v>
      </c>
      <c r="D29" s="25">
        <v>2</v>
      </c>
    </row>
    <row r="30" spans="1:68">
      <c r="A30" s="29" t="str">
        <f t="shared" si="1"/>
        <v>.SRPT</v>
      </c>
      <c r="B30" s="1">
        <v>2</v>
      </c>
      <c r="C30" s="1" t="s">
        <v>1</v>
      </c>
      <c r="D30" s="30">
        <v>0</v>
      </c>
    </row>
    <row r="31" spans="1:68">
      <c r="A31" s="29" t="str">
        <f t="shared" si="1"/>
        <v>.SRPT</v>
      </c>
      <c r="B31" s="1">
        <v>3</v>
      </c>
      <c r="C31" s="1" t="s">
        <v>1</v>
      </c>
      <c r="D31" s="30">
        <v>192</v>
      </c>
    </row>
    <row r="32" spans="1:68">
      <c r="A32" s="29" t="str">
        <f t="shared" si="1"/>
        <v>.SRPT</v>
      </c>
      <c r="B32" s="1">
        <v>101</v>
      </c>
      <c r="C32" s="1" t="s">
        <v>0</v>
      </c>
      <c r="D32" s="30" t="s">
        <v>126</v>
      </c>
    </row>
    <row r="33" spans="1:4">
      <c r="A33" s="29" t="str">
        <f t="shared" si="1"/>
        <v>.SRPT</v>
      </c>
      <c r="B33" s="1">
        <v>7998</v>
      </c>
      <c r="C33" s="1" t="s">
        <v>6</v>
      </c>
      <c r="D33" s="30">
        <v>1</v>
      </c>
    </row>
    <row r="34" spans="1:4">
      <c r="A34" s="26" t="str">
        <f t="shared" si="1"/>
        <v>.SRPT</v>
      </c>
      <c r="B34" s="27">
        <v>7999</v>
      </c>
      <c r="C34" s="27" t="s">
        <v>0</v>
      </c>
      <c r="D34" s="28" t="str">
        <f>"#"&amp;$S$2&amp;"#"&amp;$T$2&amp;"\"&amp;$P$2&amp;"\SRPT"</f>
        <v>##\\SRPT</v>
      </c>
    </row>
    <row r="35" spans="1:4">
      <c r="A35" s="23" t="str">
        <f t="shared" ref="A35:A44" si="2">$R$2&amp;".XRPX"</f>
        <v>.XRPX</v>
      </c>
      <c r="B35" s="24">
        <v>1</v>
      </c>
      <c r="C35" s="24" t="s">
        <v>1</v>
      </c>
      <c r="D35" s="25">
        <v>11</v>
      </c>
    </row>
    <row r="36" spans="1:4">
      <c r="A36" s="29" t="str">
        <f t="shared" si="2"/>
        <v>.XRPX</v>
      </c>
      <c r="B36" s="1">
        <v>2</v>
      </c>
      <c r="C36" s="1" t="s">
        <v>2</v>
      </c>
      <c r="D36" s="30" t="s">
        <v>3</v>
      </c>
    </row>
    <row r="37" spans="1:4">
      <c r="A37" s="29" t="str">
        <f t="shared" si="2"/>
        <v>.XRPX</v>
      </c>
      <c r="B37" s="1">
        <v>3</v>
      </c>
      <c r="C37" s="1" t="s">
        <v>1</v>
      </c>
      <c r="D37" s="30">
        <v>192</v>
      </c>
    </row>
    <row r="38" spans="1:4">
      <c r="A38" s="29" t="str">
        <f t="shared" si="2"/>
        <v>.XRPX</v>
      </c>
      <c r="B38" s="1">
        <v>101</v>
      </c>
      <c r="C38" s="1" t="s">
        <v>0</v>
      </c>
      <c r="D38" s="30" t="s">
        <v>137</v>
      </c>
    </row>
    <row r="39" spans="1:4">
      <c r="A39" s="29" t="str">
        <f t="shared" si="2"/>
        <v>.XRPX</v>
      </c>
      <c r="B39" s="1">
        <v>7998</v>
      </c>
      <c r="C39" s="1" t="s">
        <v>6</v>
      </c>
      <c r="D39" s="30">
        <v>1</v>
      </c>
    </row>
    <row r="40" spans="1:4">
      <c r="A40" s="29" t="str">
        <f t="shared" si="2"/>
        <v>.XRPX</v>
      </c>
      <c r="B40" s="1">
        <v>7999</v>
      </c>
      <c r="C40" s="1" t="s">
        <v>0</v>
      </c>
      <c r="D40" s="30" t="str">
        <f>"#"&amp;$S$2&amp;"#"&amp;$T$2&amp;"\"&amp;$P$2&amp;"\XRPX"</f>
        <v>##\\XRPX</v>
      </c>
    </row>
    <row r="41" spans="1:4">
      <c r="A41" s="29" t="str">
        <f t="shared" si="2"/>
        <v>.XRPX</v>
      </c>
      <c r="B41" s="1">
        <v>11000</v>
      </c>
      <c r="C41" s="1" t="s">
        <v>5</v>
      </c>
      <c r="D41" s="30">
        <v>2147483680</v>
      </c>
    </row>
    <row r="42" spans="1:4">
      <c r="A42" s="29" t="str">
        <f t="shared" si="2"/>
        <v>.XRPX</v>
      </c>
      <c r="B42" s="1">
        <v>11150</v>
      </c>
      <c r="C42" s="1" t="s">
        <v>0</v>
      </c>
      <c r="D42" s="30" t="s">
        <v>89</v>
      </c>
    </row>
    <row r="43" spans="1:4">
      <c r="A43" s="29" t="str">
        <f t="shared" si="2"/>
        <v>.XRPX</v>
      </c>
      <c r="B43" s="1">
        <v>11152</v>
      </c>
      <c r="C43" s="1" t="s">
        <v>0</v>
      </c>
      <c r="D43" s="30" t="str">
        <f>$R$11</f>
        <v>Ремонт</v>
      </c>
    </row>
    <row r="44" spans="1:4">
      <c r="A44" s="26" t="str">
        <f t="shared" si="2"/>
        <v>.XRPX</v>
      </c>
      <c r="B44" s="27">
        <v>11154</v>
      </c>
      <c r="C44" s="27" t="s">
        <v>4</v>
      </c>
      <c r="D44" s="28">
        <f>$Q$11</f>
        <v>14</v>
      </c>
    </row>
    <row r="45" spans="1:4">
      <c r="A45" s="23" t="str">
        <f t="shared" ref="A45:A50" si="3">$R$2&amp;".XRON"</f>
        <v>.XRON</v>
      </c>
      <c r="B45" s="24">
        <v>1</v>
      </c>
      <c r="C45" s="24" t="s">
        <v>1</v>
      </c>
      <c r="D45" s="25">
        <v>2</v>
      </c>
    </row>
    <row r="46" spans="1:4">
      <c r="A46" s="29" t="str">
        <f t="shared" si="3"/>
        <v>.XRON</v>
      </c>
      <c r="B46" s="1">
        <v>2</v>
      </c>
      <c r="C46" s="1" t="s">
        <v>1</v>
      </c>
      <c r="D46" s="30">
        <v>0</v>
      </c>
    </row>
    <row r="47" spans="1:4">
      <c r="A47" s="29" t="str">
        <f t="shared" si="3"/>
        <v>.XRON</v>
      </c>
      <c r="B47" s="1">
        <v>3</v>
      </c>
      <c r="C47" s="1" t="s">
        <v>1</v>
      </c>
      <c r="D47" s="30">
        <v>192</v>
      </c>
    </row>
    <row r="48" spans="1:4">
      <c r="A48" s="29" t="str">
        <f t="shared" si="3"/>
        <v>.XRON</v>
      </c>
      <c r="B48" s="1">
        <v>101</v>
      </c>
      <c r="C48" s="1" t="s">
        <v>0</v>
      </c>
      <c r="D48" s="30" t="s">
        <v>290</v>
      </c>
    </row>
    <row r="49" spans="1:4">
      <c r="A49" s="29" t="str">
        <f t="shared" si="3"/>
        <v>.XRON</v>
      </c>
      <c r="B49" s="1">
        <v>7998</v>
      </c>
      <c r="C49" s="1" t="s">
        <v>6</v>
      </c>
      <c r="D49" s="30">
        <v>1</v>
      </c>
    </row>
    <row r="50" spans="1:4">
      <c r="A50" s="26" t="str">
        <f t="shared" si="3"/>
        <v>.XRON</v>
      </c>
      <c r="B50" s="27">
        <v>7999</v>
      </c>
      <c r="C50" s="27" t="s">
        <v>0</v>
      </c>
      <c r="D50" s="28" t="str">
        <f>"#"&amp;$S$2&amp;"#"&amp;$T$2&amp;"\"&amp;$P$2&amp;"\XRON"</f>
        <v>##\\XRON</v>
      </c>
    </row>
    <row r="51" spans="1:4">
      <c r="A51" s="23" t="str">
        <f t="shared" ref="A51:A56" si="4">$R$2&amp;".XROF"</f>
        <v>.XROF</v>
      </c>
      <c r="B51" s="24">
        <v>1</v>
      </c>
      <c r="C51" s="24" t="s">
        <v>1</v>
      </c>
      <c r="D51" s="25">
        <v>2</v>
      </c>
    </row>
    <row r="52" spans="1:4">
      <c r="A52" s="29" t="str">
        <f t="shared" si="4"/>
        <v>.XROF</v>
      </c>
      <c r="B52" s="1">
        <v>2</v>
      </c>
      <c r="C52" s="1" t="s">
        <v>1</v>
      </c>
      <c r="D52" s="30">
        <v>0</v>
      </c>
    </row>
    <row r="53" spans="1:4">
      <c r="A53" s="29" t="str">
        <f t="shared" si="4"/>
        <v>.XROF</v>
      </c>
      <c r="B53" s="1">
        <v>3</v>
      </c>
      <c r="C53" s="1" t="s">
        <v>1</v>
      </c>
      <c r="D53" s="30">
        <v>192</v>
      </c>
    </row>
    <row r="54" spans="1:4">
      <c r="A54" s="29" t="str">
        <f t="shared" si="4"/>
        <v>.XROF</v>
      </c>
      <c r="B54" s="1">
        <v>101</v>
      </c>
      <c r="C54" s="1" t="s">
        <v>0</v>
      </c>
      <c r="D54" s="30" t="s">
        <v>291</v>
      </c>
    </row>
    <row r="55" spans="1:4">
      <c r="A55" s="29" t="str">
        <f t="shared" si="4"/>
        <v>.XROF</v>
      </c>
      <c r="B55" s="1">
        <v>7998</v>
      </c>
      <c r="C55" s="1" t="s">
        <v>6</v>
      </c>
      <c r="D55" s="30">
        <v>1</v>
      </c>
    </row>
    <row r="56" spans="1:4">
      <c r="A56" s="26" t="str">
        <f t="shared" si="4"/>
        <v>.XROF</v>
      </c>
      <c r="B56" s="27">
        <v>7999</v>
      </c>
      <c r="C56" s="27" t="s">
        <v>0</v>
      </c>
      <c r="D56" s="28" t="str">
        <f>"#"&amp;$S$2&amp;"#"&amp;$T$2&amp;"\"&amp;$P$2&amp;"\XROF"</f>
        <v>##\\XROF</v>
      </c>
    </row>
    <row r="57" spans="1:4">
      <c r="A57" s="23" t="str">
        <f t="shared" ref="A57:A66" si="5">$R$2&amp;".XTON"</f>
        <v>.XTON</v>
      </c>
      <c r="B57" s="24">
        <v>1</v>
      </c>
      <c r="C57" s="24" t="s">
        <v>1</v>
      </c>
      <c r="D57" s="25">
        <v>11</v>
      </c>
    </row>
    <row r="58" spans="1:4">
      <c r="A58" s="29" t="str">
        <f t="shared" si="5"/>
        <v>.XTON</v>
      </c>
      <c r="B58" s="1">
        <v>2</v>
      </c>
      <c r="C58" s="1" t="s">
        <v>2</v>
      </c>
      <c r="D58" s="30" t="s">
        <v>3</v>
      </c>
    </row>
    <row r="59" spans="1:4">
      <c r="A59" s="29" t="str">
        <f t="shared" si="5"/>
        <v>.XTON</v>
      </c>
      <c r="B59" s="1">
        <v>3</v>
      </c>
      <c r="C59" s="1" t="s">
        <v>1</v>
      </c>
      <c r="D59" s="30">
        <v>192</v>
      </c>
    </row>
    <row r="60" spans="1:4">
      <c r="A60" s="29" t="str">
        <f t="shared" si="5"/>
        <v>.XTON</v>
      </c>
      <c r="B60" s="1">
        <v>101</v>
      </c>
      <c r="C60" s="1" t="s">
        <v>0</v>
      </c>
      <c r="D60" s="30" t="s">
        <v>252</v>
      </c>
    </row>
    <row r="61" spans="1:4">
      <c r="A61" s="29" t="str">
        <f t="shared" si="5"/>
        <v>.XTON</v>
      </c>
      <c r="B61" s="1">
        <v>7998</v>
      </c>
      <c r="C61" s="1" t="s">
        <v>6</v>
      </c>
      <c r="D61" s="30">
        <v>1</v>
      </c>
    </row>
    <row r="62" spans="1:4">
      <c r="A62" s="29" t="str">
        <f t="shared" si="5"/>
        <v>.XTON</v>
      </c>
      <c r="B62" s="1">
        <v>7999</v>
      </c>
      <c r="C62" s="1" t="s">
        <v>0</v>
      </c>
      <c r="D62" s="30" t="str">
        <f>"#"&amp;$S$2&amp;"#"&amp;$T$2&amp;"\"&amp;$P$2&amp;"\XTON"</f>
        <v>##\\XTON</v>
      </c>
    </row>
    <row r="63" spans="1:4">
      <c r="A63" s="29" t="str">
        <f t="shared" si="5"/>
        <v>.XTON</v>
      </c>
      <c r="B63" s="1">
        <v>11000</v>
      </c>
      <c r="C63" s="1" t="s">
        <v>5</v>
      </c>
      <c r="D63" s="30">
        <v>2147483680</v>
      </c>
    </row>
    <row r="64" spans="1:4">
      <c r="A64" s="29" t="str">
        <f t="shared" si="5"/>
        <v>.XTON</v>
      </c>
      <c r="B64" s="1">
        <v>11150</v>
      </c>
      <c r="C64" s="1" t="s">
        <v>0</v>
      </c>
      <c r="D64" s="30" t="s">
        <v>253</v>
      </c>
    </row>
    <row r="65" spans="1:4">
      <c r="A65" s="29" t="str">
        <f t="shared" si="5"/>
        <v>.XTON</v>
      </c>
      <c r="B65" s="1">
        <v>11152</v>
      </c>
      <c r="C65" s="1" t="s">
        <v>0</v>
      </c>
      <c r="D65" s="30" t="str">
        <f>$R$8</f>
        <v>Телесигнализация</v>
      </c>
    </row>
    <row r="66" spans="1:4">
      <c r="A66" s="26" t="str">
        <f t="shared" si="5"/>
        <v>.XTON</v>
      </c>
      <c r="B66" s="27">
        <v>11154</v>
      </c>
      <c r="C66" s="27" t="s">
        <v>4</v>
      </c>
      <c r="D66" s="28">
        <f>$Q$8</f>
        <v>18</v>
      </c>
    </row>
    <row r="67" spans="1:4">
      <c r="A67" s="23" t="str">
        <f t="shared" ref="A67:A76" si="6">$R$2&amp;".XTOF"</f>
        <v>.XTOF</v>
      </c>
      <c r="B67" s="24">
        <v>1</v>
      </c>
      <c r="C67" s="24" t="s">
        <v>1</v>
      </c>
      <c r="D67" s="25">
        <v>11</v>
      </c>
    </row>
    <row r="68" spans="1:4">
      <c r="A68" s="29" t="str">
        <f t="shared" si="6"/>
        <v>.XTOF</v>
      </c>
      <c r="B68" s="1">
        <v>2</v>
      </c>
      <c r="C68" s="1" t="s">
        <v>2</v>
      </c>
      <c r="D68" s="30" t="s">
        <v>3</v>
      </c>
    </row>
    <row r="69" spans="1:4">
      <c r="A69" s="29" t="str">
        <f t="shared" si="6"/>
        <v>.XTOF</v>
      </c>
      <c r="B69" s="1">
        <v>3</v>
      </c>
      <c r="C69" s="1" t="s">
        <v>1</v>
      </c>
      <c r="D69" s="30">
        <v>192</v>
      </c>
    </row>
    <row r="70" spans="1:4">
      <c r="A70" s="29" t="str">
        <f t="shared" si="6"/>
        <v>.XTOF</v>
      </c>
      <c r="B70" s="1">
        <v>101</v>
      </c>
      <c r="C70" s="1" t="s">
        <v>0</v>
      </c>
      <c r="D70" s="30" t="s">
        <v>254</v>
      </c>
    </row>
    <row r="71" spans="1:4">
      <c r="A71" s="29" t="str">
        <f t="shared" si="6"/>
        <v>.XTOF</v>
      </c>
      <c r="B71" s="1">
        <v>7998</v>
      </c>
      <c r="C71" s="1" t="s">
        <v>6</v>
      </c>
      <c r="D71" s="30">
        <v>1</v>
      </c>
    </row>
    <row r="72" spans="1:4">
      <c r="A72" s="29" t="str">
        <f t="shared" si="6"/>
        <v>.XTOF</v>
      </c>
      <c r="B72" s="1">
        <v>7999</v>
      </c>
      <c r="C72" s="1" t="s">
        <v>0</v>
      </c>
      <c r="D72" s="30" t="str">
        <f>"#"&amp;$S$2&amp;"#"&amp;$T$2&amp;"\"&amp;$P$2&amp;"\XTOF"</f>
        <v>##\\XTOF</v>
      </c>
    </row>
    <row r="73" spans="1:4">
      <c r="A73" s="29" t="str">
        <f t="shared" si="6"/>
        <v>.XTOF</v>
      </c>
      <c r="B73" s="1">
        <v>11000</v>
      </c>
      <c r="C73" s="1" t="s">
        <v>5</v>
      </c>
      <c r="D73" s="30">
        <v>2147483680</v>
      </c>
    </row>
    <row r="74" spans="1:4">
      <c r="A74" s="29" t="str">
        <f t="shared" si="6"/>
        <v>.XTOF</v>
      </c>
      <c r="B74" s="1">
        <v>11150</v>
      </c>
      <c r="C74" s="1" t="s">
        <v>0</v>
      </c>
      <c r="D74" s="30" t="s">
        <v>255</v>
      </c>
    </row>
    <row r="75" spans="1:4">
      <c r="A75" s="29" t="str">
        <f t="shared" si="6"/>
        <v>.XTOF</v>
      </c>
      <c r="B75" s="1">
        <v>11152</v>
      </c>
      <c r="C75" s="1" t="s">
        <v>0</v>
      </c>
      <c r="D75" s="30" t="str">
        <f>$R$8</f>
        <v>Телесигнализация</v>
      </c>
    </row>
    <row r="76" spans="1:4">
      <c r="A76" s="26" t="str">
        <f t="shared" si="6"/>
        <v>.XTOF</v>
      </c>
      <c r="B76" s="27">
        <v>11154</v>
      </c>
      <c r="C76" s="27" t="s">
        <v>4</v>
      </c>
      <c r="D76" s="28">
        <f>$Q$8</f>
        <v>18</v>
      </c>
    </row>
    <row r="77" spans="1:4">
      <c r="A77" s="23" t="str">
        <f t="shared" ref="A77:A82" si="7">$R$2&amp;".SRQX"</f>
        <v>.SRQX</v>
      </c>
      <c r="B77" s="24">
        <v>1</v>
      </c>
      <c r="C77" s="24" t="s">
        <v>1</v>
      </c>
      <c r="D77" s="25">
        <v>2</v>
      </c>
    </row>
    <row r="78" spans="1:4">
      <c r="A78" s="29" t="str">
        <f t="shared" si="7"/>
        <v>.SRQX</v>
      </c>
      <c r="B78" s="1">
        <v>2</v>
      </c>
      <c r="C78" s="1" t="s">
        <v>1</v>
      </c>
      <c r="D78" s="30">
        <v>0</v>
      </c>
    </row>
    <row r="79" spans="1:4">
      <c r="A79" s="29" t="str">
        <f t="shared" si="7"/>
        <v>.SRQX</v>
      </c>
      <c r="B79" s="1">
        <v>3</v>
      </c>
      <c r="C79" s="1" t="s">
        <v>1</v>
      </c>
      <c r="D79" s="30">
        <v>192</v>
      </c>
    </row>
    <row r="80" spans="1:4">
      <c r="A80" s="29" t="str">
        <f t="shared" si="7"/>
        <v>.SRQX</v>
      </c>
      <c r="B80" s="1">
        <v>101</v>
      </c>
      <c r="C80" s="1" t="s">
        <v>0</v>
      </c>
      <c r="D80" s="30" t="s">
        <v>125</v>
      </c>
    </row>
    <row r="81" spans="1:4">
      <c r="A81" s="29" t="str">
        <f t="shared" si="7"/>
        <v>.SRQX</v>
      </c>
      <c r="B81" s="1">
        <v>7998</v>
      </c>
      <c r="C81" s="1" t="s">
        <v>6</v>
      </c>
      <c r="D81" s="30">
        <v>1</v>
      </c>
    </row>
    <row r="82" spans="1:4">
      <c r="A82" s="26" t="str">
        <f t="shared" si="7"/>
        <v>.SRQX</v>
      </c>
      <c r="B82" s="27">
        <v>7999</v>
      </c>
      <c r="C82" s="27" t="s">
        <v>0</v>
      </c>
      <c r="D82" s="28" t="str">
        <f>"#"&amp;$S$2&amp;"#"&amp;$T$2&amp;"\"&amp;$P$2&amp;"\SRQX"</f>
        <v>##\\SRQX</v>
      </c>
    </row>
    <row r="83" spans="1:4">
      <c r="A83" s="23" t="str">
        <f t="shared" ref="A83:A88" si="8">$R$2&amp;".IPTO"</f>
        <v>.IPTO</v>
      </c>
      <c r="B83" s="24">
        <v>1</v>
      </c>
      <c r="C83" s="24" t="s">
        <v>1</v>
      </c>
      <c r="D83" s="25">
        <v>11</v>
      </c>
    </row>
    <row r="84" spans="1:4">
      <c r="A84" s="29" t="str">
        <f t="shared" si="8"/>
        <v>.IPTO</v>
      </c>
      <c r="B84" s="1">
        <v>2</v>
      </c>
      <c r="C84" s="1" t="s">
        <v>2</v>
      </c>
      <c r="D84" s="30" t="s">
        <v>3</v>
      </c>
    </row>
    <row r="85" spans="1:4">
      <c r="A85" s="29" t="str">
        <f t="shared" si="8"/>
        <v>.IPTO</v>
      </c>
      <c r="B85" s="1">
        <v>3</v>
      </c>
      <c r="C85" s="1" t="s">
        <v>1</v>
      </c>
      <c r="D85" s="30">
        <v>192</v>
      </c>
    </row>
    <row r="86" spans="1:4">
      <c r="A86" s="29" t="str">
        <f t="shared" si="8"/>
        <v>.IPTO</v>
      </c>
      <c r="B86" s="1">
        <v>101</v>
      </c>
      <c r="C86" s="1" t="s">
        <v>0</v>
      </c>
      <c r="D86" s="30" t="s">
        <v>108</v>
      </c>
    </row>
    <row r="87" spans="1:4">
      <c r="A87" s="29" t="str">
        <f t="shared" si="8"/>
        <v>.IPTO</v>
      </c>
      <c r="B87" s="1">
        <v>7998</v>
      </c>
      <c r="C87" s="1" t="s">
        <v>6</v>
      </c>
      <c r="D87" s="30">
        <v>1</v>
      </c>
    </row>
    <row r="88" spans="1:4">
      <c r="A88" s="26" t="str">
        <f t="shared" si="8"/>
        <v>.IPTO</v>
      </c>
      <c r="B88" s="27">
        <v>7999</v>
      </c>
      <c r="C88" s="27" t="s">
        <v>0</v>
      </c>
      <c r="D88" s="28" t="str">
        <f>"#"&amp;$S$2&amp;"#"&amp;$T$2&amp;"\"&amp;$P$2&amp;"\IPTO"</f>
        <v>##\\IPTO</v>
      </c>
    </row>
    <row r="89" spans="1:4">
      <c r="A89" s="23" t="str">
        <f t="shared" ref="A89:A94" si="9">$R$2&amp;".IPTC"</f>
        <v>.IPTC</v>
      </c>
      <c r="B89" s="24">
        <v>7999</v>
      </c>
      <c r="C89" s="24" t="s">
        <v>0</v>
      </c>
      <c r="D89" s="25" t="str">
        <f>"#"&amp;$S$2&amp;"#"&amp;$T$2&amp;"\"&amp;$P$2&amp;"\IPTC"</f>
        <v>##\\IPTC</v>
      </c>
    </row>
    <row r="90" spans="1:4">
      <c r="A90" s="29" t="str">
        <f t="shared" si="9"/>
        <v>.IPTC</v>
      </c>
      <c r="B90" s="1">
        <v>7998</v>
      </c>
      <c r="C90" s="1" t="s">
        <v>6</v>
      </c>
      <c r="D90" s="30">
        <v>1</v>
      </c>
    </row>
    <row r="91" spans="1:4">
      <c r="A91" s="29" t="str">
        <f t="shared" si="9"/>
        <v>.IPTC</v>
      </c>
      <c r="B91" s="1">
        <v>101</v>
      </c>
      <c r="C91" s="1" t="s">
        <v>0</v>
      </c>
      <c r="D91" s="30" t="s">
        <v>109</v>
      </c>
    </row>
    <row r="92" spans="1:4">
      <c r="A92" s="29" t="str">
        <f t="shared" si="9"/>
        <v>.IPTC</v>
      </c>
      <c r="B92" s="1">
        <v>3</v>
      </c>
      <c r="C92" s="1" t="s">
        <v>1</v>
      </c>
      <c r="D92" s="30">
        <v>192</v>
      </c>
    </row>
    <row r="93" spans="1:4">
      <c r="A93" s="29" t="str">
        <f t="shared" si="9"/>
        <v>.IPTC</v>
      </c>
      <c r="B93" s="1">
        <v>2</v>
      </c>
      <c r="C93" s="1" t="s">
        <v>2</v>
      </c>
      <c r="D93" s="30" t="s">
        <v>3</v>
      </c>
    </row>
    <row r="94" spans="1:4">
      <c r="A94" s="26" t="str">
        <f t="shared" si="9"/>
        <v>.IPTC</v>
      </c>
      <c r="B94" s="27">
        <v>1</v>
      </c>
      <c r="C94" s="27" t="s">
        <v>1</v>
      </c>
      <c r="D94" s="28">
        <v>11</v>
      </c>
    </row>
    <row r="95" spans="1:4">
      <c r="A95" s="23" t="str">
        <f t="shared" ref="A95:A100" si="10">$R$2&amp;".ITON"</f>
        <v>.ITON</v>
      </c>
      <c r="B95" s="24">
        <v>1</v>
      </c>
      <c r="C95" s="24" t="s">
        <v>1</v>
      </c>
      <c r="D95" s="25">
        <v>11</v>
      </c>
    </row>
    <row r="96" spans="1:4">
      <c r="A96" s="29" t="str">
        <f t="shared" si="10"/>
        <v>.ITON</v>
      </c>
      <c r="B96" s="1">
        <v>2</v>
      </c>
      <c r="C96" s="1" t="s">
        <v>2</v>
      </c>
      <c r="D96" s="30" t="s">
        <v>3</v>
      </c>
    </row>
    <row r="97" spans="1:4">
      <c r="A97" s="29" t="str">
        <f t="shared" si="10"/>
        <v>.ITON</v>
      </c>
      <c r="B97" s="1">
        <v>3</v>
      </c>
      <c r="C97" s="1" t="s">
        <v>1</v>
      </c>
      <c r="D97" s="30">
        <v>192</v>
      </c>
    </row>
    <row r="98" spans="1:4">
      <c r="A98" s="29" t="str">
        <f t="shared" si="10"/>
        <v>.ITON</v>
      </c>
      <c r="B98" s="1">
        <v>101</v>
      </c>
      <c r="C98" s="1" t="s">
        <v>0</v>
      </c>
      <c r="D98" s="30" t="s">
        <v>256</v>
      </c>
    </row>
    <row r="99" spans="1:4">
      <c r="A99" s="29" t="str">
        <f t="shared" si="10"/>
        <v>.ITON</v>
      </c>
      <c r="B99" s="1">
        <v>7998</v>
      </c>
      <c r="C99" s="1" t="s">
        <v>6</v>
      </c>
      <c r="D99" s="30">
        <v>1</v>
      </c>
    </row>
    <row r="100" spans="1:4">
      <c r="A100" s="26" t="str">
        <f t="shared" si="10"/>
        <v>.ITON</v>
      </c>
      <c r="B100" s="27">
        <v>7999</v>
      </c>
      <c r="C100" s="27" t="s">
        <v>0</v>
      </c>
      <c r="D100" s="28" t="str">
        <f>"#"&amp;$S$2&amp;"#"&amp;$T$2&amp;"\"&amp;$P$2&amp;"\ITON"</f>
        <v>##\\ITON</v>
      </c>
    </row>
    <row r="101" spans="1:4">
      <c r="A101" s="23" t="str">
        <f t="shared" ref="A101:A106" si="11">$R$2&amp;".ITOF"</f>
        <v>.ITOF</v>
      </c>
      <c r="B101" s="24">
        <v>7999</v>
      </c>
      <c r="C101" s="24" t="s">
        <v>0</v>
      </c>
      <c r="D101" s="25" t="str">
        <f>"#"&amp;$S$2&amp;"#"&amp;$T$2&amp;"\"&amp;$P$2&amp;"\ITOF"</f>
        <v>##\\ITOF</v>
      </c>
    </row>
    <row r="102" spans="1:4">
      <c r="A102" s="29" t="str">
        <f t="shared" si="11"/>
        <v>.ITOF</v>
      </c>
      <c r="B102" s="1">
        <v>7998</v>
      </c>
      <c r="C102" s="1" t="s">
        <v>6</v>
      </c>
      <c r="D102" s="30">
        <v>1</v>
      </c>
    </row>
    <row r="103" spans="1:4">
      <c r="A103" s="29" t="str">
        <f t="shared" si="11"/>
        <v>.ITOF</v>
      </c>
      <c r="B103" s="1">
        <v>101</v>
      </c>
      <c r="C103" s="1" t="s">
        <v>0</v>
      </c>
      <c r="D103" s="30" t="s">
        <v>257</v>
      </c>
    </row>
    <row r="104" spans="1:4">
      <c r="A104" s="29" t="str">
        <f t="shared" si="11"/>
        <v>.ITOF</v>
      </c>
      <c r="B104" s="1">
        <v>3</v>
      </c>
      <c r="C104" s="1" t="s">
        <v>1</v>
      </c>
      <c r="D104" s="30">
        <v>192</v>
      </c>
    </row>
    <row r="105" spans="1:4">
      <c r="A105" s="29" t="str">
        <f t="shared" si="11"/>
        <v>.ITOF</v>
      </c>
      <c r="B105" s="1">
        <v>2</v>
      </c>
      <c r="C105" s="1" t="s">
        <v>2</v>
      </c>
      <c r="D105" s="30" t="s">
        <v>3</v>
      </c>
    </row>
    <row r="106" spans="1:4">
      <c r="A106" s="26" t="str">
        <f t="shared" si="11"/>
        <v>.ITOF</v>
      </c>
      <c r="B106" s="27">
        <v>1</v>
      </c>
      <c r="C106" s="27" t="s">
        <v>1</v>
      </c>
      <c r="D106" s="28">
        <v>11</v>
      </c>
    </row>
    <row r="107" spans="1:4">
      <c r="A107" s="23" t="str">
        <f t="shared" ref="A107:A116" si="12">$R$2&amp;".IFXX"</f>
        <v>.IFXX</v>
      </c>
      <c r="B107" s="24">
        <v>1</v>
      </c>
      <c r="C107" s="24" t="s">
        <v>1</v>
      </c>
      <c r="D107" s="25">
        <v>11</v>
      </c>
    </row>
    <row r="108" spans="1:4">
      <c r="A108" s="29" t="str">
        <f t="shared" si="12"/>
        <v>.IFXX</v>
      </c>
      <c r="B108" s="1">
        <v>2</v>
      </c>
      <c r="C108" s="1" t="s">
        <v>2</v>
      </c>
      <c r="D108" s="30" t="s">
        <v>3</v>
      </c>
    </row>
    <row r="109" spans="1:4">
      <c r="A109" s="29" t="str">
        <f t="shared" si="12"/>
        <v>.IFXX</v>
      </c>
      <c r="B109" s="1">
        <v>3</v>
      </c>
      <c r="C109" s="1" t="s">
        <v>1</v>
      </c>
      <c r="D109" s="30">
        <v>192</v>
      </c>
    </row>
    <row r="110" spans="1:4">
      <c r="A110" s="29" t="str">
        <f t="shared" si="12"/>
        <v>.IFXX</v>
      </c>
      <c r="B110" s="1">
        <v>11152</v>
      </c>
      <c r="C110" s="1" t="s">
        <v>0</v>
      </c>
      <c r="D110" s="30" t="str">
        <f>$R$6</f>
        <v>Предупреждение</v>
      </c>
    </row>
    <row r="111" spans="1:4">
      <c r="A111" s="29" t="str">
        <f t="shared" si="12"/>
        <v>.IFXX</v>
      </c>
      <c r="B111" s="1">
        <v>11000</v>
      </c>
      <c r="C111" s="1" t="s">
        <v>5</v>
      </c>
      <c r="D111" s="30">
        <v>2147483680</v>
      </c>
    </row>
    <row r="112" spans="1:4">
      <c r="A112" s="29" t="str">
        <f t="shared" si="12"/>
        <v>.IFXX</v>
      </c>
      <c r="B112" s="1">
        <v>11150</v>
      </c>
      <c r="C112" s="1" t="s">
        <v>0</v>
      </c>
      <c r="D112" s="30" t="s">
        <v>110</v>
      </c>
    </row>
    <row r="113" spans="1:4">
      <c r="A113" s="29" t="str">
        <f t="shared" si="12"/>
        <v>.IFXX</v>
      </c>
      <c r="B113" s="1">
        <v>11154</v>
      </c>
      <c r="C113" s="1" t="s">
        <v>4</v>
      </c>
      <c r="D113" s="30">
        <f>$Q$6</f>
        <v>8</v>
      </c>
    </row>
    <row r="114" spans="1:4">
      <c r="A114" s="29" t="str">
        <f t="shared" si="12"/>
        <v>.IFXX</v>
      </c>
      <c r="B114" s="1">
        <v>101</v>
      </c>
      <c r="C114" s="1" t="s">
        <v>0</v>
      </c>
      <c r="D114" s="30" t="s">
        <v>176</v>
      </c>
    </row>
    <row r="115" spans="1:4">
      <c r="A115" s="29" t="str">
        <f t="shared" si="12"/>
        <v>.IFXX</v>
      </c>
      <c r="B115" s="1">
        <v>7998</v>
      </c>
      <c r="C115" s="1" t="s">
        <v>6</v>
      </c>
      <c r="D115" s="30">
        <v>1</v>
      </c>
    </row>
    <row r="116" spans="1:4">
      <c r="A116" s="26" t="str">
        <f t="shared" si="12"/>
        <v>.IFXX</v>
      </c>
      <c r="B116" s="27">
        <v>7999</v>
      </c>
      <c r="C116" s="27" t="s">
        <v>0</v>
      </c>
      <c r="D116" s="28" t="str">
        <f>"#"&amp;$S$2&amp;"#"&amp;$T$2&amp;"\"&amp;$P$2&amp;"\IFXX"</f>
        <v>##\\IFXX</v>
      </c>
    </row>
    <row r="117" spans="1:4">
      <c r="A117" s="23" t="str">
        <f t="shared" ref="A117:A123" si="13">$R$2&amp;".FXXX"</f>
        <v>.FXXX</v>
      </c>
      <c r="B117" s="24">
        <v>1</v>
      </c>
      <c r="C117" s="24" t="s">
        <v>1</v>
      </c>
      <c r="D117" s="25">
        <v>11</v>
      </c>
    </row>
    <row r="118" spans="1:4">
      <c r="A118" s="29" t="str">
        <f t="shared" si="13"/>
        <v>.FXXX</v>
      </c>
      <c r="B118" s="1">
        <v>2</v>
      </c>
      <c r="C118" s="1" t="s">
        <v>2</v>
      </c>
      <c r="D118" s="30" t="s">
        <v>3</v>
      </c>
    </row>
    <row r="119" spans="1:4">
      <c r="A119" s="29" t="str">
        <f t="shared" si="13"/>
        <v>.FXXX</v>
      </c>
      <c r="B119" s="1">
        <v>3</v>
      </c>
      <c r="C119" s="1" t="s">
        <v>1</v>
      </c>
      <c r="D119" s="30">
        <v>192</v>
      </c>
    </row>
    <row r="120" spans="1:4">
      <c r="A120" s="29" t="str">
        <f t="shared" si="13"/>
        <v>.FXXX</v>
      </c>
      <c r="B120" s="1">
        <v>101</v>
      </c>
      <c r="C120" s="1" t="s">
        <v>0</v>
      </c>
      <c r="D120" s="30" t="s">
        <v>139</v>
      </c>
    </row>
    <row r="121" spans="1:4">
      <c r="A121" s="29" t="str">
        <f t="shared" si="13"/>
        <v>.FXXX</v>
      </c>
      <c r="B121" s="1">
        <v>7998</v>
      </c>
      <c r="C121" s="1" t="s">
        <v>6</v>
      </c>
      <c r="D121" s="30">
        <v>1</v>
      </c>
    </row>
    <row r="122" spans="1:4">
      <c r="A122" s="29" t="str">
        <f t="shared" si="13"/>
        <v>.FXXX</v>
      </c>
      <c r="B122" s="1">
        <v>7999</v>
      </c>
      <c r="C122" s="1" t="s">
        <v>0</v>
      </c>
      <c r="D122" s="30" t="str">
        <f>"#"&amp;$S$2&amp;"#"&amp;$T$2&amp;"\"&amp;$P$2&amp;"\FXXX"</f>
        <v>##\\FXXX</v>
      </c>
    </row>
    <row r="123" spans="1:4">
      <c r="A123" s="26" t="str">
        <f t="shared" si="13"/>
        <v>.FXXX</v>
      </c>
      <c r="B123" s="27">
        <v>11000</v>
      </c>
      <c r="C123" s="27" t="s">
        <v>5</v>
      </c>
      <c r="D123" s="28">
        <v>0</v>
      </c>
    </row>
    <row r="124" spans="1:4">
      <c r="A124" s="23" t="str">
        <f t="shared" ref="A124:A133" si="14">$R$2&amp;".FUPT"</f>
        <v>.FUPT</v>
      </c>
      <c r="B124" s="24">
        <v>1</v>
      </c>
      <c r="C124" s="24" t="s">
        <v>1</v>
      </c>
      <c r="D124" s="25">
        <v>11</v>
      </c>
    </row>
    <row r="125" spans="1:4">
      <c r="A125" s="29" t="str">
        <f t="shared" si="14"/>
        <v>.FUPT</v>
      </c>
      <c r="B125" s="1">
        <v>2</v>
      </c>
      <c r="C125" s="1" t="s">
        <v>2</v>
      </c>
      <c r="D125" s="30" t="s">
        <v>3</v>
      </c>
    </row>
    <row r="126" spans="1:4">
      <c r="A126" s="29" t="str">
        <f t="shared" si="14"/>
        <v>.FUPT</v>
      </c>
      <c r="B126" s="1">
        <v>3</v>
      </c>
      <c r="C126" s="1" t="s">
        <v>1</v>
      </c>
      <c r="D126" s="30">
        <v>192</v>
      </c>
    </row>
    <row r="127" spans="1:4">
      <c r="A127" s="29" t="str">
        <f t="shared" si="14"/>
        <v>.FUPT</v>
      </c>
      <c r="B127" s="1">
        <v>101</v>
      </c>
      <c r="C127" s="1" t="s">
        <v>0</v>
      </c>
      <c r="D127" s="30" t="s">
        <v>156</v>
      </c>
    </row>
    <row r="128" spans="1:4">
      <c r="A128" s="29" t="str">
        <f t="shared" si="14"/>
        <v>.FUPT</v>
      </c>
      <c r="B128" s="1">
        <v>7998</v>
      </c>
      <c r="C128" s="1" t="s">
        <v>6</v>
      </c>
      <c r="D128" s="30">
        <v>1</v>
      </c>
    </row>
    <row r="129" spans="1:4">
      <c r="A129" s="29" t="str">
        <f t="shared" si="14"/>
        <v>.FUPT</v>
      </c>
      <c r="B129" s="1">
        <v>7999</v>
      </c>
      <c r="C129" s="1" t="s">
        <v>0</v>
      </c>
      <c r="D129" s="30" t="str">
        <f>"#"&amp;$S$2&amp;"#"&amp;$T$2&amp;"\"&amp;$P$2&amp;"\FUPT"</f>
        <v>##\\FUPT</v>
      </c>
    </row>
    <row r="130" spans="1:4">
      <c r="A130" s="29" t="str">
        <f t="shared" si="14"/>
        <v>.FUPT</v>
      </c>
      <c r="B130" s="1">
        <v>11000</v>
      </c>
      <c r="C130" s="1" t="s">
        <v>5</v>
      </c>
      <c r="D130" s="30">
        <v>2147483680</v>
      </c>
    </row>
    <row r="131" spans="1:4">
      <c r="A131" s="29" t="str">
        <f t="shared" si="14"/>
        <v>.FUPT</v>
      </c>
      <c r="B131" s="1">
        <v>11150</v>
      </c>
      <c r="C131" s="1" t="s">
        <v>0</v>
      </c>
      <c r="D131" s="30" t="s">
        <v>156</v>
      </c>
    </row>
    <row r="132" spans="1:4">
      <c r="A132" s="29" t="str">
        <f t="shared" si="14"/>
        <v>.FUPT</v>
      </c>
      <c r="B132" s="1">
        <v>11152</v>
      </c>
      <c r="C132" s="1" t="s">
        <v>0</v>
      </c>
      <c r="D132" s="30" t="str">
        <f>$R$6</f>
        <v>Предупреждение</v>
      </c>
    </row>
    <row r="133" spans="1:4">
      <c r="A133" s="26" t="str">
        <f t="shared" si="14"/>
        <v>.FUPT</v>
      </c>
      <c r="B133" s="27">
        <v>11154</v>
      </c>
      <c r="C133" s="27" t="s">
        <v>4</v>
      </c>
      <c r="D133" s="28">
        <f>$Q$6</f>
        <v>8</v>
      </c>
    </row>
    <row r="134" spans="1:4">
      <c r="A134" s="23" t="str">
        <f t="shared" ref="A134:A143" si="15">$R$2&amp;".FUTX"</f>
        <v>.FUTX</v>
      </c>
      <c r="B134" s="24">
        <v>11154</v>
      </c>
      <c r="C134" s="24" t="s">
        <v>4</v>
      </c>
      <c r="D134" s="25">
        <f>$Q$6</f>
        <v>8</v>
      </c>
    </row>
    <row r="135" spans="1:4">
      <c r="A135" s="29" t="str">
        <f t="shared" si="15"/>
        <v>.FUTX</v>
      </c>
      <c r="B135" s="1">
        <v>11152</v>
      </c>
      <c r="C135" s="1" t="s">
        <v>0</v>
      </c>
      <c r="D135" s="30" t="str">
        <f>$R$6</f>
        <v>Предупреждение</v>
      </c>
    </row>
    <row r="136" spans="1:4">
      <c r="A136" s="29" t="str">
        <f t="shared" si="15"/>
        <v>.FUTX</v>
      </c>
      <c r="B136" s="1">
        <v>11150</v>
      </c>
      <c r="C136" s="1" t="s">
        <v>0</v>
      </c>
      <c r="D136" s="30" t="s">
        <v>258</v>
      </c>
    </row>
    <row r="137" spans="1:4">
      <c r="A137" s="29" t="str">
        <f t="shared" si="15"/>
        <v>.FUTX</v>
      </c>
      <c r="B137" s="1">
        <v>11000</v>
      </c>
      <c r="C137" s="1" t="s">
        <v>5</v>
      </c>
      <c r="D137" s="30">
        <v>2147483680</v>
      </c>
    </row>
    <row r="138" spans="1:4">
      <c r="A138" s="29" t="str">
        <f t="shared" si="15"/>
        <v>.FUTX</v>
      </c>
      <c r="B138" s="1">
        <v>7999</v>
      </c>
      <c r="C138" s="1" t="s">
        <v>0</v>
      </c>
      <c r="D138" s="30" t="str">
        <f>"#"&amp;$S$2&amp;"#"&amp;$T$2&amp;"\"&amp;$P$2&amp;"\FUTX"</f>
        <v>##\\FUTX</v>
      </c>
    </row>
    <row r="139" spans="1:4">
      <c r="A139" s="29" t="str">
        <f t="shared" si="15"/>
        <v>.FUTX</v>
      </c>
      <c r="B139" s="1">
        <v>7998</v>
      </c>
      <c r="C139" s="1" t="s">
        <v>6</v>
      </c>
      <c r="D139" s="30">
        <v>1</v>
      </c>
    </row>
    <row r="140" spans="1:4">
      <c r="A140" s="29" t="str">
        <f t="shared" si="15"/>
        <v>.FUTX</v>
      </c>
      <c r="B140" s="1">
        <v>101</v>
      </c>
      <c r="C140" s="1" t="s">
        <v>0</v>
      </c>
      <c r="D140" s="30" t="s">
        <v>258</v>
      </c>
    </row>
    <row r="141" spans="1:4">
      <c r="A141" s="29" t="str">
        <f t="shared" si="15"/>
        <v>.FUTX</v>
      </c>
      <c r="B141" s="1">
        <v>3</v>
      </c>
      <c r="C141" s="1" t="s">
        <v>1</v>
      </c>
      <c r="D141" s="30">
        <v>192</v>
      </c>
    </row>
    <row r="142" spans="1:4">
      <c r="A142" s="29" t="str">
        <f t="shared" si="15"/>
        <v>.FUTX</v>
      </c>
      <c r="B142" s="1">
        <v>2</v>
      </c>
      <c r="C142" s="1" t="s">
        <v>2</v>
      </c>
      <c r="D142" s="30" t="s">
        <v>3</v>
      </c>
    </row>
    <row r="143" spans="1:4">
      <c r="A143" s="26" t="str">
        <f t="shared" si="15"/>
        <v>.FUTX</v>
      </c>
      <c r="B143" s="27">
        <v>1</v>
      </c>
      <c r="C143" s="27" t="s">
        <v>1</v>
      </c>
      <c r="D143" s="28">
        <v>11</v>
      </c>
    </row>
    <row r="144" spans="1:4">
      <c r="A144" s="23" t="str">
        <f t="shared" ref="A144:A153" si="16">$R$2&amp;".FRQX"</f>
        <v>.FRQX</v>
      </c>
      <c r="B144" s="24">
        <v>11154</v>
      </c>
      <c r="C144" s="24" t="s">
        <v>4</v>
      </c>
      <c r="D144" s="25">
        <f>$Q$6</f>
        <v>8</v>
      </c>
    </row>
    <row r="145" spans="1:4">
      <c r="A145" s="29" t="str">
        <f t="shared" si="16"/>
        <v>.FRQX</v>
      </c>
      <c r="B145" s="1">
        <v>11152</v>
      </c>
      <c r="C145" s="1" t="s">
        <v>0</v>
      </c>
      <c r="D145" s="30" t="str">
        <f>$R$6</f>
        <v>Предупреждение</v>
      </c>
    </row>
    <row r="146" spans="1:4">
      <c r="A146" s="29" t="str">
        <f t="shared" si="16"/>
        <v>.FRQX</v>
      </c>
      <c r="B146" s="1">
        <v>11150</v>
      </c>
      <c r="C146" s="1" t="s">
        <v>0</v>
      </c>
      <c r="D146" s="30" t="s">
        <v>157</v>
      </c>
    </row>
    <row r="147" spans="1:4">
      <c r="A147" s="29" t="str">
        <f t="shared" si="16"/>
        <v>.FRQX</v>
      </c>
      <c r="B147" s="1">
        <v>11000</v>
      </c>
      <c r="C147" s="1" t="s">
        <v>5</v>
      </c>
      <c r="D147" s="30">
        <v>2147483680</v>
      </c>
    </row>
    <row r="148" spans="1:4">
      <c r="A148" s="29" t="str">
        <f t="shared" si="16"/>
        <v>.FRQX</v>
      </c>
      <c r="B148" s="1">
        <v>7999</v>
      </c>
      <c r="C148" s="1" t="s">
        <v>0</v>
      </c>
      <c r="D148" s="30" t="str">
        <f>"#"&amp;$S$2&amp;"#"&amp;$T$2&amp;"\"&amp;$P$2&amp;"\FRQX"</f>
        <v>##\\FRQX</v>
      </c>
    </row>
    <row r="149" spans="1:4">
      <c r="A149" s="29" t="str">
        <f t="shared" si="16"/>
        <v>.FRQX</v>
      </c>
      <c r="B149" s="1">
        <v>7998</v>
      </c>
      <c r="C149" s="1" t="s">
        <v>6</v>
      </c>
      <c r="D149" s="30">
        <v>1</v>
      </c>
    </row>
    <row r="150" spans="1:4">
      <c r="A150" s="29" t="str">
        <f t="shared" si="16"/>
        <v>.FRQX</v>
      </c>
      <c r="B150" s="1">
        <v>101</v>
      </c>
      <c r="C150" s="1" t="s">
        <v>0</v>
      </c>
      <c r="D150" s="30" t="s">
        <v>157</v>
      </c>
    </row>
    <row r="151" spans="1:4">
      <c r="A151" s="29" t="str">
        <f t="shared" si="16"/>
        <v>.FRQX</v>
      </c>
      <c r="B151" s="1">
        <v>3</v>
      </c>
      <c r="C151" s="1" t="s">
        <v>1</v>
      </c>
      <c r="D151" s="30">
        <v>192</v>
      </c>
    </row>
    <row r="152" spans="1:4">
      <c r="A152" s="29" t="str">
        <f t="shared" si="16"/>
        <v>.FRQX</v>
      </c>
      <c r="B152" s="1">
        <v>2</v>
      </c>
      <c r="C152" s="1" t="s">
        <v>2</v>
      </c>
      <c r="D152" s="30" t="s">
        <v>3</v>
      </c>
    </row>
    <row r="153" spans="1:4">
      <c r="A153" s="26" t="str">
        <f t="shared" si="16"/>
        <v>.FRQX</v>
      </c>
      <c r="B153" s="27">
        <v>1</v>
      </c>
      <c r="C153" s="27" t="s">
        <v>1</v>
      </c>
      <c r="D153" s="28">
        <v>11</v>
      </c>
    </row>
    <row r="154" spans="1:4">
      <c r="A154" s="23" t="str">
        <f t="shared" ref="A154:A163" si="17">$R$2&amp;".FDPT"</f>
        <v>.FDPT</v>
      </c>
      <c r="B154" s="24">
        <v>11154</v>
      </c>
      <c r="C154" s="24" t="s">
        <v>4</v>
      </c>
      <c r="D154" s="25">
        <f>$Q$6</f>
        <v>8</v>
      </c>
    </row>
    <row r="155" spans="1:4">
      <c r="A155" s="29" t="str">
        <f t="shared" si="17"/>
        <v>.FDPT</v>
      </c>
      <c r="B155" s="1">
        <v>11152</v>
      </c>
      <c r="C155" s="1" t="s">
        <v>0</v>
      </c>
      <c r="D155" s="30" t="str">
        <f>$R$6</f>
        <v>Предупреждение</v>
      </c>
    </row>
    <row r="156" spans="1:4">
      <c r="A156" s="29" t="str">
        <f t="shared" si="17"/>
        <v>.FDPT</v>
      </c>
      <c r="B156" s="1">
        <v>11150</v>
      </c>
      <c r="C156" s="1" t="s">
        <v>0</v>
      </c>
      <c r="D156" s="30" t="s">
        <v>162</v>
      </c>
    </row>
    <row r="157" spans="1:4">
      <c r="A157" s="29" t="str">
        <f t="shared" si="17"/>
        <v>.FDPT</v>
      </c>
      <c r="B157" s="1">
        <v>11000</v>
      </c>
      <c r="C157" s="1" t="s">
        <v>5</v>
      </c>
      <c r="D157" s="30">
        <v>2147483680</v>
      </c>
    </row>
    <row r="158" spans="1:4">
      <c r="A158" s="29" t="str">
        <f t="shared" si="17"/>
        <v>.FDPT</v>
      </c>
      <c r="B158" s="1">
        <v>7999</v>
      </c>
      <c r="C158" s="1" t="s">
        <v>0</v>
      </c>
      <c r="D158" s="30" t="str">
        <f>"#"&amp;$S$2&amp;"#"&amp;$T$2&amp;"\"&amp;$P$2&amp;"\FDPT"</f>
        <v>##\\FDPT</v>
      </c>
    </row>
    <row r="159" spans="1:4">
      <c r="A159" s="29" t="str">
        <f t="shared" si="17"/>
        <v>.FDPT</v>
      </c>
      <c r="B159" s="1">
        <v>7998</v>
      </c>
      <c r="C159" s="1" t="s">
        <v>6</v>
      </c>
      <c r="D159" s="30">
        <v>1</v>
      </c>
    </row>
    <row r="160" spans="1:4">
      <c r="A160" s="29" t="str">
        <f t="shared" si="17"/>
        <v>.FDPT</v>
      </c>
      <c r="B160" s="1">
        <v>101</v>
      </c>
      <c r="C160" s="1" t="s">
        <v>0</v>
      </c>
      <c r="D160" s="30" t="s">
        <v>162</v>
      </c>
    </row>
    <row r="161" spans="1:4">
      <c r="A161" s="29" t="str">
        <f t="shared" si="17"/>
        <v>.FDPT</v>
      </c>
      <c r="B161" s="1">
        <v>3</v>
      </c>
      <c r="C161" s="1" t="s">
        <v>1</v>
      </c>
      <c r="D161" s="30">
        <v>192</v>
      </c>
    </row>
    <row r="162" spans="1:4">
      <c r="A162" s="29" t="str">
        <f t="shared" si="17"/>
        <v>.FDPT</v>
      </c>
      <c r="B162" s="1">
        <v>2</v>
      </c>
      <c r="C162" s="1" t="s">
        <v>2</v>
      </c>
      <c r="D162" s="30" t="s">
        <v>3</v>
      </c>
    </row>
    <row r="163" spans="1:4">
      <c r="A163" s="26" t="str">
        <f t="shared" si="17"/>
        <v>.FDPT</v>
      </c>
      <c r="B163" s="27">
        <v>1</v>
      </c>
      <c r="C163" s="27" t="s">
        <v>1</v>
      </c>
      <c r="D163" s="28">
        <v>11</v>
      </c>
    </row>
    <row r="164" spans="1:4">
      <c r="A164" s="23" t="str">
        <f t="shared" ref="A164:A173" si="18">$R$2&amp;".FDTX"</f>
        <v>.FDTX</v>
      </c>
      <c r="B164" s="24">
        <v>1</v>
      </c>
      <c r="C164" s="24" t="s">
        <v>1</v>
      </c>
      <c r="D164" s="25">
        <v>11</v>
      </c>
    </row>
    <row r="165" spans="1:4">
      <c r="A165" s="29" t="str">
        <f t="shared" si="18"/>
        <v>.FDTX</v>
      </c>
      <c r="B165" s="1">
        <v>2</v>
      </c>
      <c r="C165" s="1" t="s">
        <v>2</v>
      </c>
      <c r="D165" s="30" t="s">
        <v>3</v>
      </c>
    </row>
    <row r="166" spans="1:4">
      <c r="A166" s="29" t="str">
        <f t="shared" si="18"/>
        <v>.FDTX</v>
      </c>
      <c r="B166" s="1">
        <v>3</v>
      </c>
      <c r="C166" s="1" t="s">
        <v>1</v>
      </c>
      <c r="D166" s="30">
        <v>192</v>
      </c>
    </row>
    <row r="167" spans="1:4">
      <c r="A167" s="29" t="str">
        <f t="shared" si="18"/>
        <v>.FDTX</v>
      </c>
      <c r="B167" s="1">
        <v>101</v>
      </c>
      <c r="C167" s="1" t="s">
        <v>0</v>
      </c>
      <c r="D167" s="30" t="s">
        <v>259</v>
      </c>
    </row>
    <row r="168" spans="1:4">
      <c r="A168" s="29" t="str">
        <f t="shared" si="18"/>
        <v>.FDTX</v>
      </c>
      <c r="B168" s="1">
        <v>7998</v>
      </c>
      <c r="C168" s="1" t="s">
        <v>6</v>
      </c>
      <c r="D168" s="30">
        <v>1</v>
      </c>
    </row>
    <row r="169" spans="1:4">
      <c r="A169" s="29" t="str">
        <f t="shared" si="18"/>
        <v>.FDTX</v>
      </c>
      <c r="B169" s="1">
        <v>7999</v>
      </c>
      <c r="C169" s="1" t="s">
        <v>0</v>
      </c>
      <c r="D169" s="30" t="str">
        <f>"#"&amp;$S$2&amp;"#"&amp;$T$2&amp;"\"&amp;$P$2&amp;"\FDTX"</f>
        <v>##\\FDTX</v>
      </c>
    </row>
    <row r="170" spans="1:4">
      <c r="A170" s="29" t="str">
        <f t="shared" si="18"/>
        <v>.FDTX</v>
      </c>
      <c r="B170" s="1">
        <v>11000</v>
      </c>
      <c r="C170" s="1" t="s">
        <v>5</v>
      </c>
      <c r="D170" s="30">
        <v>2147483680</v>
      </c>
    </row>
    <row r="171" spans="1:4">
      <c r="A171" s="29" t="str">
        <f t="shared" si="18"/>
        <v>.FDTX</v>
      </c>
      <c r="B171" s="1">
        <v>11150</v>
      </c>
      <c r="C171" s="1" t="s">
        <v>0</v>
      </c>
      <c r="D171" s="30" t="s">
        <v>259</v>
      </c>
    </row>
    <row r="172" spans="1:4">
      <c r="A172" s="29" t="str">
        <f t="shared" si="18"/>
        <v>.FDTX</v>
      </c>
      <c r="B172" s="1">
        <v>11152</v>
      </c>
      <c r="C172" s="1" t="s">
        <v>0</v>
      </c>
      <c r="D172" s="30" t="str">
        <f>$R$6</f>
        <v>Предупреждение</v>
      </c>
    </row>
    <row r="173" spans="1:4">
      <c r="A173" s="26" t="str">
        <f t="shared" si="18"/>
        <v>.FDTX</v>
      </c>
      <c r="B173" s="27">
        <v>11154</v>
      </c>
      <c r="C173" s="27" t="s">
        <v>4</v>
      </c>
      <c r="D173" s="28">
        <f>$Q$6</f>
        <v>8</v>
      </c>
    </row>
    <row r="174" spans="1:4">
      <c r="A174" s="23" t="str">
        <f t="shared" ref="A174:A183" si="19">$R$2&amp;".DPTO"</f>
        <v>.DPTO</v>
      </c>
      <c r="B174" s="24">
        <v>11154</v>
      </c>
      <c r="C174" s="24" t="s">
        <v>4</v>
      </c>
      <c r="D174" s="25">
        <f>$Q$9</f>
        <v>10</v>
      </c>
    </row>
    <row r="175" spans="1:4">
      <c r="A175" s="29" t="str">
        <f t="shared" si="19"/>
        <v>.DPTO</v>
      </c>
      <c r="B175" s="1">
        <v>11152</v>
      </c>
      <c r="C175" s="1" t="s">
        <v>0</v>
      </c>
      <c r="D175" s="30" t="str">
        <f>$R$7</f>
        <v>Неисправность</v>
      </c>
    </row>
    <row r="176" spans="1:4">
      <c r="A176" s="29" t="str">
        <f t="shared" si="19"/>
        <v>.DPTO</v>
      </c>
      <c r="B176" s="1">
        <v>11150</v>
      </c>
      <c r="C176" s="1" t="s">
        <v>0</v>
      </c>
      <c r="D176" s="30" t="s">
        <v>118</v>
      </c>
    </row>
    <row r="177" spans="1:4">
      <c r="A177" s="29" t="str">
        <f t="shared" si="19"/>
        <v>.DPTO</v>
      </c>
      <c r="B177" s="1">
        <v>11000</v>
      </c>
      <c r="C177" s="1" t="s">
        <v>5</v>
      </c>
      <c r="D177" s="30">
        <v>2147483680</v>
      </c>
    </row>
    <row r="178" spans="1:4">
      <c r="A178" s="29" t="str">
        <f t="shared" si="19"/>
        <v>.DPTO</v>
      </c>
      <c r="B178" s="1">
        <v>7999</v>
      </c>
      <c r="C178" s="1" t="s">
        <v>0</v>
      </c>
      <c r="D178" s="30" t="str">
        <f>"#"&amp;$S$2&amp;"#"&amp;$T$2&amp;"\"&amp;$P$2&amp;"\DPTO"</f>
        <v>##\\DPTO</v>
      </c>
    </row>
    <row r="179" spans="1:4">
      <c r="A179" s="29" t="str">
        <f t="shared" si="19"/>
        <v>.DPTO</v>
      </c>
      <c r="B179" s="1">
        <v>7998</v>
      </c>
      <c r="C179" s="1" t="s">
        <v>6</v>
      </c>
      <c r="D179" s="30">
        <v>1</v>
      </c>
    </row>
    <row r="180" spans="1:4">
      <c r="A180" s="29" t="str">
        <f t="shared" si="19"/>
        <v>.DPTO</v>
      </c>
      <c r="B180" s="1">
        <v>101</v>
      </c>
      <c r="C180" s="1" t="s">
        <v>0</v>
      </c>
      <c r="D180" s="30" t="s">
        <v>117</v>
      </c>
    </row>
    <row r="181" spans="1:4">
      <c r="A181" s="29" t="str">
        <f t="shared" si="19"/>
        <v>.DPTO</v>
      </c>
      <c r="B181" s="1">
        <v>3</v>
      </c>
      <c r="C181" s="1" t="s">
        <v>1</v>
      </c>
      <c r="D181" s="30">
        <v>192</v>
      </c>
    </row>
    <row r="182" spans="1:4">
      <c r="A182" s="29" t="str">
        <f t="shared" si="19"/>
        <v>.DPTO</v>
      </c>
      <c r="B182" s="1">
        <v>2</v>
      </c>
      <c r="C182" s="1" t="s">
        <v>2</v>
      </c>
      <c r="D182" s="30" t="s">
        <v>3</v>
      </c>
    </row>
    <row r="183" spans="1:4">
      <c r="A183" s="26" t="str">
        <f t="shared" si="19"/>
        <v>.DPTO</v>
      </c>
      <c r="B183" s="27">
        <v>1</v>
      </c>
      <c r="C183" s="27" t="s">
        <v>1</v>
      </c>
      <c r="D183" s="28">
        <v>11</v>
      </c>
    </row>
    <row r="184" spans="1:4">
      <c r="A184" s="23" t="str">
        <f t="shared" ref="A184:A193" si="20">$R$2&amp;".DPTC"</f>
        <v>.DPTC</v>
      </c>
      <c r="B184" s="24">
        <v>1</v>
      </c>
      <c r="C184" s="24" t="s">
        <v>1</v>
      </c>
      <c r="D184" s="25">
        <v>11</v>
      </c>
    </row>
    <row r="185" spans="1:4">
      <c r="A185" s="29" t="str">
        <f t="shared" si="20"/>
        <v>.DPTC</v>
      </c>
      <c r="B185" s="1">
        <v>2</v>
      </c>
      <c r="C185" s="1" t="s">
        <v>2</v>
      </c>
      <c r="D185" s="30" t="s">
        <v>3</v>
      </c>
    </row>
    <row r="186" spans="1:4">
      <c r="A186" s="29" t="str">
        <f t="shared" si="20"/>
        <v>.DPTC</v>
      </c>
      <c r="B186" s="1">
        <v>3</v>
      </c>
      <c r="C186" s="1" t="s">
        <v>1</v>
      </c>
      <c r="D186" s="30">
        <v>192</v>
      </c>
    </row>
    <row r="187" spans="1:4">
      <c r="A187" s="29" t="str">
        <f t="shared" si="20"/>
        <v>.DPTC</v>
      </c>
      <c r="B187" s="1">
        <v>101</v>
      </c>
      <c r="C187" s="1" t="s">
        <v>0</v>
      </c>
      <c r="D187" s="30" t="s">
        <v>119</v>
      </c>
    </row>
    <row r="188" spans="1:4">
      <c r="A188" s="29" t="str">
        <f t="shared" si="20"/>
        <v>.DPTC</v>
      </c>
      <c r="B188" s="1">
        <v>7998</v>
      </c>
      <c r="C188" s="1" t="s">
        <v>6</v>
      </c>
      <c r="D188" s="30">
        <v>1</v>
      </c>
    </row>
    <row r="189" spans="1:4">
      <c r="A189" s="29" t="str">
        <f t="shared" si="20"/>
        <v>.DPTC</v>
      </c>
      <c r="B189" s="1">
        <v>7999</v>
      </c>
      <c r="C189" s="1" t="s">
        <v>0</v>
      </c>
      <c r="D189" s="30" t="str">
        <f>"#"&amp;$S$2&amp;"#"&amp;$T$2&amp;"\"&amp;$P$2&amp;"\DPTC"</f>
        <v>##\\DPTC</v>
      </c>
    </row>
    <row r="190" spans="1:4">
      <c r="A190" s="29" t="str">
        <f t="shared" si="20"/>
        <v>.DPTC</v>
      </c>
      <c r="B190" s="1">
        <v>11000</v>
      </c>
      <c r="C190" s="1" t="s">
        <v>5</v>
      </c>
      <c r="D190" s="30">
        <v>2147483680</v>
      </c>
    </row>
    <row r="191" spans="1:4">
      <c r="A191" s="29" t="str">
        <f t="shared" si="20"/>
        <v>.DPTC</v>
      </c>
      <c r="B191" s="1">
        <v>11150</v>
      </c>
      <c r="C191" s="1" t="s">
        <v>0</v>
      </c>
      <c r="D191" s="30" t="s">
        <v>118</v>
      </c>
    </row>
    <row r="192" spans="1:4">
      <c r="A192" s="29" t="str">
        <f t="shared" si="20"/>
        <v>.DPTC</v>
      </c>
      <c r="B192" s="1">
        <v>11152</v>
      </c>
      <c r="C192" s="1" t="s">
        <v>0</v>
      </c>
      <c r="D192" s="30" t="str">
        <f>$R$7</f>
        <v>Неисправность</v>
      </c>
    </row>
    <row r="193" spans="1:4">
      <c r="A193" s="26" t="str">
        <f t="shared" si="20"/>
        <v>.DPTC</v>
      </c>
      <c r="B193" s="27">
        <v>11154</v>
      </c>
      <c r="C193" s="27" t="s">
        <v>4</v>
      </c>
      <c r="D193" s="28">
        <f>$Q$9</f>
        <v>10</v>
      </c>
    </row>
    <row r="194" spans="1:4">
      <c r="A194" s="23" t="str">
        <f t="shared" ref="A194:A203" si="21">$R$2&amp;".DTON"</f>
        <v>.DTON</v>
      </c>
      <c r="B194" s="24">
        <v>1</v>
      </c>
      <c r="C194" s="24" t="s">
        <v>1</v>
      </c>
      <c r="D194" s="25">
        <v>11</v>
      </c>
    </row>
    <row r="195" spans="1:4">
      <c r="A195" s="29" t="str">
        <f t="shared" si="21"/>
        <v>.DTON</v>
      </c>
      <c r="B195" s="1">
        <v>2</v>
      </c>
      <c r="C195" s="1" t="s">
        <v>2</v>
      </c>
      <c r="D195" s="30" t="s">
        <v>3</v>
      </c>
    </row>
    <row r="196" spans="1:4">
      <c r="A196" s="29" t="str">
        <f t="shared" si="21"/>
        <v>.DTON</v>
      </c>
      <c r="B196" s="1">
        <v>3</v>
      </c>
      <c r="C196" s="1" t="s">
        <v>1</v>
      </c>
      <c r="D196" s="30">
        <v>192</v>
      </c>
    </row>
    <row r="197" spans="1:4">
      <c r="A197" s="29" t="str">
        <f t="shared" si="21"/>
        <v>.DTON</v>
      </c>
      <c r="B197" s="1">
        <v>101</v>
      </c>
      <c r="C197" s="1" t="s">
        <v>0</v>
      </c>
      <c r="D197" s="30" t="s">
        <v>260</v>
      </c>
    </row>
    <row r="198" spans="1:4">
      <c r="A198" s="29" t="str">
        <f t="shared" si="21"/>
        <v>.DTON</v>
      </c>
      <c r="B198" s="1">
        <v>7998</v>
      </c>
      <c r="C198" s="1" t="s">
        <v>6</v>
      </c>
      <c r="D198" s="30">
        <v>1</v>
      </c>
    </row>
    <row r="199" spans="1:4">
      <c r="A199" s="29" t="str">
        <f t="shared" si="21"/>
        <v>.DTON</v>
      </c>
      <c r="B199" s="1">
        <v>7999</v>
      </c>
      <c r="C199" s="1" t="s">
        <v>0</v>
      </c>
      <c r="D199" s="30" t="str">
        <f>"#"&amp;$S$2&amp;"#"&amp;$T$2&amp;"\"&amp;$P$2&amp;"\DTON"</f>
        <v>##\\DTON</v>
      </c>
    </row>
    <row r="200" spans="1:4">
      <c r="A200" s="29" t="str">
        <f t="shared" si="21"/>
        <v>.DTON</v>
      </c>
      <c r="B200" s="1">
        <v>11000</v>
      </c>
      <c r="C200" s="1" t="s">
        <v>5</v>
      </c>
      <c r="D200" s="30">
        <v>2147483680</v>
      </c>
    </row>
    <row r="201" spans="1:4">
      <c r="A201" s="29" t="str">
        <f t="shared" si="21"/>
        <v>.DTON</v>
      </c>
      <c r="B201" s="1">
        <v>11150</v>
      </c>
      <c r="C201" s="1" t="s">
        <v>0</v>
      </c>
      <c r="D201" s="30" t="s">
        <v>261</v>
      </c>
    </row>
    <row r="202" spans="1:4">
      <c r="A202" s="29" t="str">
        <f t="shared" si="21"/>
        <v>.DTON</v>
      </c>
      <c r="B202" s="1">
        <v>11152</v>
      </c>
      <c r="C202" s="1" t="s">
        <v>0</v>
      </c>
      <c r="D202" s="30" t="str">
        <f>$R$7</f>
        <v>Неисправность</v>
      </c>
    </row>
    <row r="203" spans="1:4">
      <c r="A203" s="26" t="str">
        <f t="shared" si="21"/>
        <v>.DTON</v>
      </c>
      <c r="B203" s="27">
        <v>11154</v>
      </c>
      <c r="C203" s="27" t="s">
        <v>4</v>
      </c>
      <c r="D203" s="28">
        <f>$Q$9</f>
        <v>10</v>
      </c>
    </row>
    <row r="204" spans="1:4">
      <c r="A204" s="23" t="str">
        <f t="shared" ref="A204:A213" si="22">$R$2&amp;".DTOF"</f>
        <v>.DTOF</v>
      </c>
      <c r="B204" s="24">
        <v>11000</v>
      </c>
      <c r="C204" s="24" t="s">
        <v>5</v>
      </c>
      <c r="D204" s="25">
        <v>2147483680</v>
      </c>
    </row>
    <row r="205" spans="1:4">
      <c r="A205" s="29" t="str">
        <f t="shared" si="22"/>
        <v>.DTOF</v>
      </c>
      <c r="B205" s="1">
        <v>11150</v>
      </c>
      <c r="C205" s="1" t="s">
        <v>0</v>
      </c>
      <c r="D205" s="30" t="s">
        <v>262</v>
      </c>
    </row>
    <row r="206" spans="1:4">
      <c r="A206" s="29" t="str">
        <f t="shared" si="22"/>
        <v>.DTOF</v>
      </c>
      <c r="B206" s="1">
        <v>11152</v>
      </c>
      <c r="C206" s="1" t="s">
        <v>0</v>
      </c>
      <c r="D206" s="30" t="str">
        <f>$R$7</f>
        <v>Неисправность</v>
      </c>
    </row>
    <row r="207" spans="1:4">
      <c r="A207" s="29" t="str">
        <f t="shared" si="22"/>
        <v>.DTOF</v>
      </c>
      <c r="B207" s="1">
        <v>11154</v>
      </c>
      <c r="C207" s="1" t="s">
        <v>4</v>
      </c>
      <c r="D207" s="30">
        <f>$Q$9</f>
        <v>10</v>
      </c>
    </row>
    <row r="208" spans="1:4">
      <c r="A208" s="29" t="str">
        <f t="shared" si="22"/>
        <v>.DTOF</v>
      </c>
      <c r="B208" s="1">
        <v>7999</v>
      </c>
      <c r="C208" s="1" t="s">
        <v>0</v>
      </c>
      <c r="D208" s="30" t="str">
        <f>"#"&amp;$S$2&amp;"#"&amp;$T$2&amp;"\"&amp;$P$2&amp;"\DTOF"</f>
        <v>##\\DTOF</v>
      </c>
    </row>
    <row r="209" spans="1:4">
      <c r="A209" s="29" t="str">
        <f t="shared" si="22"/>
        <v>.DTOF</v>
      </c>
      <c r="B209" s="1">
        <v>7998</v>
      </c>
      <c r="C209" s="1" t="s">
        <v>6</v>
      </c>
      <c r="D209" s="30">
        <v>1</v>
      </c>
    </row>
    <row r="210" spans="1:4">
      <c r="A210" s="29" t="str">
        <f t="shared" si="22"/>
        <v>.DTOF</v>
      </c>
      <c r="B210" s="1">
        <v>101</v>
      </c>
      <c r="C210" s="1" t="s">
        <v>0</v>
      </c>
      <c r="D210" s="30" t="s">
        <v>263</v>
      </c>
    </row>
    <row r="211" spans="1:4">
      <c r="A211" s="29" t="str">
        <f t="shared" si="22"/>
        <v>.DTOF</v>
      </c>
      <c r="B211" s="1">
        <v>3</v>
      </c>
      <c r="C211" s="1" t="s">
        <v>1</v>
      </c>
      <c r="D211" s="30">
        <v>192</v>
      </c>
    </row>
    <row r="212" spans="1:4">
      <c r="A212" s="29" t="str">
        <f t="shared" si="22"/>
        <v>.DTOF</v>
      </c>
      <c r="B212" s="1">
        <v>2</v>
      </c>
      <c r="C212" s="1" t="s">
        <v>2</v>
      </c>
      <c r="D212" s="30" t="s">
        <v>3</v>
      </c>
    </row>
    <row r="213" spans="1:4">
      <c r="A213" s="26" t="str">
        <f t="shared" si="22"/>
        <v>.DTOF</v>
      </c>
      <c r="B213" s="27">
        <v>1</v>
      </c>
      <c r="C213" s="27" t="s">
        <v>1</v>
      </c>
      <c r="D213" s="28">
        <v>11</v>
      </c>
    </row>
    <row r="214" spans="1:4">
      <c r="A214" s="23" t="str">
        <f t="shared" ref="A214:A223" si="23">$R$2&amp;".DFXX"</f>
        <v>.DFXX</v>
      </c>
      <c r="B214" s="24">
        <v>11154</v>
      </c>
      <c r="C214" s="24" t="s">
        <v>4</v>
      </c>
      <c r="D214" s="25">
        <f>$Q$9</f>
        <v>10</v>
      </c>
    </row>
    <row r="215" spans="1:4">
      <c r="A215" s="29" t="str">
        <f t="shared" si="23"/>
        <v>.DFXX</v>
      </c>
      <c r="B215" s="1">
        <v>11152</v>
      </c>
      <c r="C215" s="1" t="s">
        <v>0</v>
      </c>
      <c r="D215" s="30" t="str">
        <f>$R$7</f>
        <v>Неисправность</v>
      </c>
    </row>
    <row r="216" spans="1:4">
      <c r="A216" s="29" t="str">
        <f t="shared" si="23"/>
        <v>.DFXX</v>
      </c>
      <c r="B216" s="1">
        <v>11150</v>
      </c>
      <c r="C216" s="1" t="s">
        <v>0</v>
      </c>
      <c r="D216" s="30" t="s">
        <v>104</v>
      </c>
    </row>
    <row r="217" spans="1:4">
      <c r="A217" s="29" t="str">
        <f t="shared" si="23"/>
        <v>.DFXX</v>
      </c>
      <c r="B217" s="1">
        <v>11000</v>
      </c>
      <c r="C217" s="1" t="s">
        <v>5</v>
      </c>
      <c r="D217" s="30">
        <v>2147483680</v>
      </c>
    </row>
    <row r="218" spans="1:4">
      <c r="A218" s="29" t="str">
        <f t="shared" si="23"/>
        <v>.DFXX</v>
      </c>
      <c r="B218" s="1">
        <v>7999</v>
      </c>
      <c r="C218" s="1" t="s">
        <v>0</v>
      </c>
      <c r="D218" s="30" t="str">
        <f>"#"&amp;$S$2&amp;"#"&amp;$T$2&amp;"\"&amp;$P$2&amp;"\DFXX"</f>
        <v>##\\DFXX</v>
      </c>
    </row>
    <row r="219" spans="1:4">
      <c r="A219" s="29" t="str">
        <f t="shared" si="23"/>
        <v>.DFXX</v>
      </c>
      <c r="B219" s="1">
        <v>7998</v>
      </c>
      <c r="C219" s="1" t="s">
        <v>6</v>
      </c>
      <c r="D219" s="30">
        <v>1</v>
      </c>
    </row>
    <row r="220" spans="1:4">
      <c r="A220" s="29" t="str">
        <f t="shared" si="23"/>
        <v>.DFXX</v>
      </c>
      <c r="B220" s="1">
        <v>101</v>
      </c>
      <c r="C220" s="1" t="s">
        <v>0</v>
      </c>
      <c r="D220" s="30" t="s">
        <v>520</v>
      </c>
    </row>
    <row r="221" spans="1:4">
      <c r="A221" s="29" t="str">
        <f t="shared" si="23"/>
        <v>.DFXX</v>
      </c>
      <c r="B221" s="1">
        <v>3</v>
      </c>
      <c r="C221" s="1" t="s">
        <v>1</v>
      </c>
      <c r="D221" s="30">
        <v>192</v>
      </c>
    </row>
    <row r="222" spans="1:4">
      <c r="A222" s="29" t="str">
        <f t="shared" si="23"/>
        <v>.DFXX</v>
      </c>
      <c r="B222" s="1">
        <v>2</v>
      </c>
      <c r="C222" s="1" t="s">
        <v>2</v>
      </c>
      <c r="D222" s="30" t="s">
        <v>3</v>
      </c>
    </row>
    <row r="223" spans="1:4">
      <c r="A223" s="26" t="str">
        <f t="shared" si="23"/>
        <v>.DFXX</v>
      </c>
      <c r="B223" s="27">
        <v>1</v>
      </c>
      <c r="C223" s="27" t="s">
        <v>1</v>
      </c>
      <c r="D223" s="28">
        <v>11</v>
      </c>
    </row>
    <row r="224" spans="1:4">
      <c r="A224" s="58" t="str">
        <f>$R$2&amp;".fNoLink"</f>
        <v>.fNoLink</v>
      </c>
      <c r="B224" s="17">
        <v>2</v>
      </c>
      <c r="C224" s="17" t="s">
        <v>2</v>
      </c>
      <c r="D224" s="18" t="s">
        <v>3</v>
      </c>
    </row>
    <row r="225" spans="1:4">
      <c r="A225" s="31" t="str">
        <f>$R$2&amp;".fNoLink"</f>
        <v>.fNoLink</v>
      </c>
      <c r="B225" s="11">
        <v>1</v>
      </c>
      <c r="C225" s="11" t="s">
        <v>1</v>
      </c>
      <c r="D225" s="20">
        <v>11</v>
      </c>
    </row>
    <row r="226" spans="1:4">
      <c r="A226" s="31" t="str">
        <f>$R$2&amp;".fNoLink"</f>
        <v>.fNoLink</v>
      </c>
      <c r="B226" s="11">
        <v>7998</v>
      </c>
      <c r="C226" s="11" t="s">
        <v>6</v>
      </c>
      <c r="D226" s="20">
        <v>4</v>
      </c>
    </row>
    <row r="227" spans="1:4">
      <c r="A227" s="31" t="str">
        <f>$R$2&amp;".fNoLink"</f>
        <v>.fNoLink</v>
      </c>
      <c r="B227" s="11">
        <v>7999</v>
      </c>
      <c r="C227" s="11" t="s">
        <v>0</v>
      </c>
      <c r="D227" s="20" t="str">
        <f>"#"&amp;$S$2&amp;"#"&amp;$T$2</f>
        <v>##</v>
      </c>
    </row>
    <row r="228" spans="1:4">
      <c r="A228" s="16" t="str">
        <f>$R$2&amp;".fNoLink.OPC"</f>
        <v>.fNoLink.OPC</v>
      </c>
      <c r="B228" s="17">
        <v>3</v>
      </c>
      <c r="C228" s="17" t="s">
        <v>1</v>
      </c>
      <c r="D228" s="18">
        <v>192</v>
      </c>
    </row>
    <row r="229" spans="1:4">
      <c r="A229" s="19" t="str">
        <f>$R$2&amp;".fNoLink.OPC"</f>
        <v>.fNoLink.OPC</v>
      </c>
      <c r="B229" s="11">
        <v>2</v>
      </c>
      <c r="C229" s="11" t="s">
        <v>2</v>
      </c>
      <c r="D229" s="20" t="s">
        <v>3</v>
      </c>
    </row>
    <row r="230" spans="1:4">
      <c r="A230" s="19" t="str">
        <f>$R$2&amp;".fNoLink.OPC"</f>
        <v>.fNoLink.OPC</v>
      </c>
      <c r="B230" s="11">
        <v>1</v>
      </c>
      <c r="C230" s="11" t="s">
        <v>1</v>
      </c>
      <c r="D230" s="20">
        <v>11</v>
      </c>
    </row>
    <row r="231" spans="1:4">
      <c r="A231" s="21" t="str">
        <f>$R$2&amp;".fNoLink.OPC"</f>
        <v>.fNoLink.OPC</v>
      </c>
      <c r="B231" s="8">
        <v>3000000</v>
      </c>
      <c r="C231" s="8" t="s">
        <v>0</v>
      </c>
      <c r="D231" s="96" t="s">
        <v>628</v>
      </c>
    </row>
    <row r="232" spans="1:4">
      <c r="A232" s="16" t="str">
        <f>$R$2&amp;".fNoLink.Device"</f>
        <v>.fNoLink.Device</v>
      </c>
      <c r="B232" s="17">
        <v>3000000</v>
      </c>
      <c r="C232" s="17" t="s">
        <v>0</v>
      </c>
      <c r="D232" s="18">
        <f>$AE$2</f>
        <v>0</v>
      </c>
    </row>
    <row r="233" spans="1:4">
      <c r="A233" s="19" t="str">
        <f>$R$2&amp;".fNoLink.Device"</f>
        <v>.fNoLink.Device</v>
      </c>
      <c r="B233" s="11">
        <v>3</v>
      </c>
      <c r="C233" s="11" t="s">
        <v>1</v>
      </c>
      <c r="D233" s="20">
        <v>192</v>
      </c>
    </row>
    <row r="234" spans="1:4">
      <c r="A234" s="19" t="str">
        <f>$R$2&amp;".fNoLink.Device"</f>
        <v>.fNoLink.Device</v>
      </c>
      <c r="B234" s="11">
        <v>2</v>
      </c>
      <c r="C234" s="11" t="s">
        <v>2</v>
      </c>
      <c r="D234" s="20" t="s">
        <v>3</v>
      </c>
    </row>
    <row r="235" spans="1:4">
      <c r="A235" s="21" t="str">
        <f>$R$2&amp;".fNoLink.Device"</f>
        <v>.fNoLink.Device</v>
      </c>
      <c r="B235" s="8">
        <v>1</v>
      </c>
      <c r="C235" s="8" t="s">
        <v>1</v>
      </c>
      <c r="D235" s="22">
        <v>11</v>
      </c>
    </row>
    <row r="236" spans="1:4">
      <c r="A236" s="23" t="str">
        <f>$R$2&amp;".Message.cmd_operator"</f>
        <v>.Message.cmd_operator</v>
      </c>
      <c r="B236" s="24">
        <v>1</v>
      </c>
      <c r="C236" s="24" t="s">
        <v>1</v>
      </c>
      <c r="D236" s="25">
        <v>11</v>
      </c>
    </row>
    <row r="237" spans="1:4">
      <c r="A237" s="29" t="str">
        <f>$R$2&amp;".Message.cmd_operator"</f>
        <v>.Message.cmd_operator</v>
      </c>
      <c r="B237" s="1">
        <v>11000</v>
      </c>
      <c r="C237" s="1" t="s">
        <v>5</v>
      </c>
      <c r="D237" s="30">
        <v>2147483680</v>
      </c>
    </row>
    <row r="238" spans="1:4">
      <c r="A238" s="29" t="str">
        <f>$R$2&amp;".Message.cmd_operator"</f>
        <v>.Message.cmd_operator</v>
      </c>
      <c r="B238" s="1">
        <v>11150</v>
      </c>
      <c r="C238" s="1" t="s">
        <v>0</v>
      </c>
      <c r="D238" s="30" t="s">
        <v>43</v>
      </c>
    </row>
    <row r="239" spans="1:4">
      <c r="A239" s="29" t="str">
        <f>$R$2&amp;".Message.cmd_operator"</f>
        <v>.Message.cmd_operator</v>
      </c>
      <c r="B239" s="1">
        <v>11151</v>
      </c>
      <c r="C239" s="1" t="s">
        <v>0</v>
      </c>
      <c r="D239" s="30" t="s">
        <v>43</v>
      </c>
    </row>
    <row r="240" spans="1:4">
      <c r="A240" s="26" t="str">
        <f>$R$2&amp;".Message.cmd_operator"</f>
        <v>.Message.cmd_operator</v>
      </c>
      <c r="B240" s="27">
        <v>11154</v>
      </c>
      <c r="C240" s="27" t="s">
        <v>4</v>
      </c>
      <c r="D240" s="28">
        <f>$Q$12</f>
        <v>20</v>
      </c>
    </row>
    <row r="241" spans="1:4">
      <c r="A241" s="23" t="str">
        <f>$R$2&amp;".Commands.SRPT"</f>
        <v>.Commands.SRPT</v>
      </c>
      <c r="B241" s="24">
        <v>7999</v>
      </c>
      <c r="C241" s="24" t="s">
        <v>0</v>
      </c>
      <c r="D241" s="25" t="str">
        <f>"#"&amp;$T$5&amp;"#"&amp;$T$2&amp;"\"&amp;$P$2&amp;"\SRPT"</f>
        <v>#1#\\SRPT</v>
      </c>
    </row>
    <row r="242" spans="1:4">
      <c r="A242" s="29" t="str">
        <f>$R$2&amp;".Commands.SRPT"</f>
        <v>.Commands.SRPT</v>
      </c>
      <c r="B242" s="1">
        <v>7998</v>
      </c>
      <c r="C242" s="1" t="s">
        <v>6</v>
      </c>
      <c r="D242" s="30">
        <v>2</v>
      </c>
    </row>
    <row r="243" spans="1:4">
      <c r="A243" s="29" t="str">
        <f>$R$2&amp;".Commands.SRPT"</f>
        <v>.Commands.SRPT</v>
      </c>
      <c r="B243" s="1">
        <v>101</v>
      </c>
      <c r="C243" s="1" t="s">
        <v>0</v>
      </c>
      <c r="D243" s="30" t="s">
        <v>126</v>
      </c>
    </row>
    <row r="244" spans="1:4">
      <c r="A244" s="29" t="str">
        <f>$R$2&amp;".Commands.SRPT"</f>
        <v>.Commands.SRPT</v>
      </c>
      <c r="B244" s="1">
        <v>2</v>
      </c>
      <c r="C244" s="1" t="s">
        <v>1</v>
      </c>
      <c r="D244" s="30">
        <v>0</v>
      </c>
    </row>
    <row r="245" spans="1:4">
      <c r="A245" s="26" t="str">
        <f>$R$2&amp;".Commands.SRPT"</f>
        <v>.Commands.SRPT</v>
      </c>
      <c r="B245" s="27">
        <v>1</v>
      </c>
      <c r="C245" s="27" t="s">
        <v>1</v>
      </c>
      <c r="D245" s="28">
        <v>2</v>
      </c>
    </row>
    <row r="246" spans="1:4">
      <c r="A246" s="23" t="str">
        <f>$R$2&amp;".Commands.CRPX"</f>
        <v>.Commands.CRPX</v>
      </c>
      <c r="B246" s="24">
        <v>1</v>
      </c>
      <c r="C246" s="24" t="s">
        <v>1</v>
      </c>
      <c r="D246" s="25">
        <v>11</v>
      </c>
    </row>
    <row r="247" spans="1:4">
      <c r="A247" s="29" t="str">
        <f>$R$2&amp;".Commands.CRPX"</f>
        <v>.Commands.CRPX</v>
      </c>
      <c r="B247" s="1">
        <v>2</v>
      </c>
      <c r="C247" s="1" t="s">
        <v>2</v>
      </c>
      <c r="D247" s="30" t="s">
        <v>3</v>
      </c>
    </row>
    <row r="248" spans="1:4">
      <c r="A248" s="29" t="str">
        <f>$R$2&amp;".Commands.CRPX"</f>
        <v>.Commands.CRPX</v>
      </c>
      <c r="B248" s="1">
        <v>101</v>
      </c>
      <c r="C248" s="1" t="s">
        <v>0</v>
      </c>
      <c r="D248" s="30" t="s">
        <v>113</v>
      </c>
    </row>
    <row r="249" spans="1:4">
      <c r="A249" s="29" t="str">
        <f>$R$2&amp;".Commands.CRPX"</f>
        <v>.Commands.CRPX</v>
      </c>
      <c r="B249" s="1">
        <v>7998</v>
      </c>
      <c r="C249" s="1" t="s">
        <v>6</v>
      </c>
      <c r="D249" s="30">
        <v>2</v>
      </c>
    </row>
    <row r="250" spans="1:4">
      <c r="A250" s="26" t="str">
        <f>$R$2&amp;".Commands.CRPX"</f>
        <v>.Commands.CRPX</v>
      </c>
      <c r="B250" s="27">
        <v>7999</v>
      </c>
      <c r="C250" s="27" t="s">
        <v>0</v>
      </c>
      <c r="D250" s="28" t="str">
        <f>"#"&amp;$T$5&amp;"#"&amp;$T$2&amp;"\"&amp;$P$2&amp;"\CRPX"</f>
        <v>#1#\\CRPX</v>
      </c>
    </row>
    <row r="251" spans="1:4">
      <c r="A251" s="23" t="str">
        <f>$R$2&amp;".Commands.SRQX"</f>
        <v>.Commands.SRQX</v>
      </c>
      <c r="B251" s="24">
        <v>1</v>
      </c>
      <c r="C251" s="24" t="s">
        <v>1</v>
      </c>
      <c r="D251" s="25">
        <v>2</v>
      </c>
    </row>
    <row r="252" spans="1:4">
      <c r="A252" s="29" t="str">
        <f>$R$2&amp;".Commands.SRQX"</f>
        <v>.Commands.SRQX</v>
      </c>
      <c r="B252" s="1">
        <v>2</v>
      </c>
      <c r="C252" s="1" t="s">
        <v>1</v>
      </c>
      <c r="D252" s="30">
        <v>0</v>
      </c>
    </row>
    <row r="253" spans="1:4">
      <c r="A253" s="29" t="str">
        <f>$R$2&amp;".Commands.SRQX"</f>
        <v>.Commands.SRQX</v>
      </c>
      <c r="B253" s="1">
        <v>101</v>
      </c>
      <c r="C253" s="1" t="s">
        <v>0</v>
      </c>
      <c r="D253" s="30" t="s">
        <v>125</v>
      </c>
    </row>
    <row r="254" spans="1:4">
      <c r="A254" s="29" t="str">
        <f>$R$2&amp;".Commands.SRQX"</f>
        <v>.Commands.SRQX</v>
      </c>
      <c r="B254" s="1">
        <v>7998</v>
      </c>
      <c r="C254" s="1" t="s">
        <v>6</v>
      </c>
      <c r="D254" s="30">
        <v>2</v>
      </c>
    </row>
    <row r="255" spans="1:4">
      <c r="A255" s="26" t="str">
        <f>$R$2&amp;".Commands.SRQX"</f>
        <v>.Commands.SRQX</v>
      </c>
      <c r="B255" s="27">
        <v>7999</v>
      </c>
      <c r="C255" s="27" t="s">
        <v>0</v>
      </c>
      <c r="D255" s="28" t="str">
        <f>"#"&amp;$T$5&amp;"#"&amp;$T$2&amp;"\"&amp;$P$2&amp;"\SRQX"</f>
        <v>#1#\\SRQX</v>
      </c>
    </row>
    <row r="256" spans="1:4">
      <c r="A256" s="23" t="str">
        <f>$R$2&amp;".Commands.CRRX"</f>
        <v>.Commands.CRRX</v>
      </c>
      <c r="B256" s="24">
        <v>1</v>
      </c>
      <c r="C256" s="24" t="s">
        <v>1</v>
      </c>
      <c r="D256" s="25">
        <v>11</v>
      </c>
    </row>
    <row r="257" spans="1:4">
      <c r="A257" s="29" t="str">
        <f>$R$2&amp;".Commands.CRRX"</f>
        <v>.Commands.CRRX</v>
      </c>
      <c r="B257" s="1">
        <v>2</v>
      </c>
      <c r="C257" s="1" t="s">
        <v>2</v>
      </c>
      <c r="D257" s="30" t="s">
        <v>3</v>
      </c>
    </row>
    <row r="258" spans="1:4">
      <c r="A258" s="29" t="str">
        <f>$R$2&amp;".Commands.CRRX"</f>
        <v>.Commands.CRRX</v>
      </c>
      <c r="B258" s="1">
        <v>101</v>
      </c>
      <c r="C258" s="1" t="s">
        <v>0</v>
      </c>
      <c r="D258" s="30" t="s">
        <v>116</v>
      </c>
    </row>
    <row r="259" spans="1:4">
      <c r="A259" s="29" t="str">
        <f>$R$2&amp;".Commands.CRRX"</f>
        <v>.Commands.CRRX</v>
      </c>
      <c r="B259" s="1">
        <v>7998</v>
      </c>
      <c r="C259" s="1" t="s">
        <v>6</v>
      </c>
      <c r="D259" s="30">
        <v>2</v>
      </c>
    </row>
    <row r="260" spans="1:4">
      <c r="A260" s="26" t="str">
        <f>$R$2&amp;".Commands.CRRX"</f>
        <v>.Commands.CRRX</v>
      </c>
      <c r="B260" s="27">
        <v>7999</v>
      </c>
      <c r="C260" s="27" t="s">
        <v>0</v>
      </c>
      <c r="D260" s="28" t="str">
        <f>"#"&amp;$T$5&amp;"#"&amp;$T$2&amp;"\"&amp;$P$2&amp;"\CRRX"</f>
        <v>#1#\\CRRX</v>
      </c>
    </row>
    <row r="261" spans="1:4">
      <c r="A261" s="23" t="str">
        <f t="shared" ref="A261:A270" si="24">$R$2&amp;".FRPT"</f>
        <v>.FRPT</v>
      </c>
      <c r="B261" s="24">
        <v>1</v>
      </c>
      <c r="C261" s="24" t="s">
        <v>1</v>
      </c>
      <c r="D261" s="25">
        <v>11</v>
      </c>
    </row>
    <row r="262" spans="1:4">
      <c r="A262" s="29" t="str">
        <f t="shared" si="24"/>
        <v>.FRPT</v>
      </c>
      <c r="B262" s="1">
        <v>2</v>
      </c>
      <c r="C262" s="1" t="s">
        <v>2</v>
      </c>
      <c r="D262" s="30" t="s">
        <v>3</v>
      </c>
    </row>
    <row r="263" spans="1:4">
      <c r="A263" s="29" t="str">
        <f t="shared" si="24"/>
        <v>.FRPT</v>
      </c>
      <c r="B263" s="1">
        <v>3</v>
      </c>
      <c r="C263" s="1" t="s">
        <v>1</v>
      </c>
      <c r="D263" s="30">
        <v>192</v>
      </c>
    </row>
    <row r="264" spans="1:4">
      <c r="A264" s="29" t="str">
        <f t="shared" si="24"/>
        <v>.FRPT</v>
      </c>
      <c r="B264" s="1">
        <v>101</v>
      </c>
      <c r="C264" s="1" t="s">
        <v>0</v>
      </c>
      <c r="D264" s="30" t="s">
        <v>177</v>
      </c>
    </row>
    <row r="265" spans="1:4">
      <c r="A265" s="29" t="str">
        <f t="shared" si="24"/>
        <v>.FRPT</v>
      </c>
      <c r="B265" s="1">
        <v>7998</v>
      </c>
      <c r="C265" s="1" t="s">
        <v>6</v>
      </c>
      <c r="D265" s="30">
        <v>1</v>
      </c>
    </row>
    <row r="266" spans="1:4">
      <c r="A266" s="29" t="str">
        <f t="shared" si="24"/>
        <v>.FRPT</v>
      </c>
      <c r="B266" s="1">
        <v>7999</v>
      </c>
      <c r="C266" s="1" t="s">
        <v>0</v>
      </c>
      <c r="D266" s="30" t="str">
        <f>"#"&amp;$S$2&amp;"#"&amp;$T$2&amp;"\"&amp;$P$2&amp;"\FRPT"</f>
        <v>##\\FRPT</v>
      </c>
    </row>
    <row r="267" spans="1:4">
      <c r="A267" s="29" t="str">
        <f t="shared" si="24"/>
        <v>.FRPT</v>
      </c>
      <c r="B267" s="1">
        <v>11000</v>
      </c>
      <c r="C267" s="1" t="s">
        <v>5</v>
      </c>
      <c r="D267" s="30">
        <v>2147483680</v>
      </c>
    </row>
    <row r="268" spans="1:4">
      <c r="A268" s="29" t="str">
        <f t="shared" si="24"/>
        <v>.FRPT</v>
      </c>
      <c r="B268" s="1">
        <v>11150</v>
      </c>
      <c r="C268" s="1" t="s">
        <v>0</v>
      </c>
      <c r="D268" s="30" t="s">
        <v>177</v>
      </c>
    </row>
    <row r="269" spans="1:4">
      <c r="A269" s="29" t="str">
        <f t="shared" si="24"/>
        <v>.FRPT</v>
      </c>
      <c r="B269" s="1">
        <v>11152</v>
      </c>
      <c r="C269" s="1" t="s">
        <v>0</v>
      </c>
      <c r="D269" s="30" t="str">
        <f>$R$6</f>
        <v>Предупреждение</v>
      </c>
    </row>
    <row r="270" spans="1:4">
      <c r="A270" s="26" t="str">
        <f t="shared" si="24"/>
        <v>.FRPT</v>
      </c>
      <c r="B270" s="27">
        <v>11154</v>
      </c>
      <c r="C270" s="27" t="s">
        <v>4</v>
      </c>
      <c r="D270" s="28">
        <f>$Q$6</f>
        <v>8</v>
      </c>
    </row>
    <row r="271" spans="1:4">
      <c r="A271" s="23" t="str">
        <f t="shared" ref="A271:A280" si="25">$R$2&amp;".FPTX"</f>
        <v>.FPTX</v>
      </c>
      <c r="B271" s="24">
        <v>11154</v>
      </c>
      <c r="C271" s="24" t="s">
        <v>4</v>
      </c>
      <c r="D271" s="25">
        <f>$Q$5</f>
        <v>4</v>
      </c>
    </row>
    <row r="272" spans="1:4">
      <c r="A272" s="29" t="str">
        <f t="shared" si="25"/>
        <v>.FPTX</v>
      </c>
      <c r="B272" s="1">
        <v>11152</v>
      </c>
      <c r="C272" s="1" t="s">
        <v>0</v>
      </c>
      <c r="D272" s="30" t="str">
        <f>$R$5</f>
        <v>Авария</v>
      </c>
    </row>
    <row r="273" spans="1:4">
      <c r="A273" s="29" t="str">
        <f t="shared" si="25"/>
        <v>.FPTX</v>
      </c>
      <c r="B273" s="1">
        <v>11150</v>
      </c>
      <c r="C273" s="1" t="s">
        <v>0</v>
      </c>
      <c r="D273" s="30" t="s">
        <v>141</v>
      </c>
    </row>
    <row r="274" spans="1:4">
      <c r="A274" s="29" t="str">
        <f t="shared" si="25"/>
        <v>.FPTX</v>
      </c>
      <c r="B274" s="1">
        <v>11000</v>
      </c>
      <c r="C274" s="1" t="s">
        <v>5</v>
      </c>
      <c r="D274" s="30">
        <v>2147483680</v>
      </c>
    </row>
    <row r="275" spans="1:4">
      <c r="A275" s="29" t="str">
        <f t="shared" si="25"/>
        <v>.FPTX</v>
      </c>
      <c r="B275" s="1">
        <v>7999</v>
      </c>
      <c r="C275" s="1" t="s">
        <v>0</v>
      </c>
      <c r="D275" s="30" t="str">
        <f>"#"&amp;$S$2&amp;"#"&amp;$T$2&amp;"\"&amp;$P$2&amp;"\FPTX"</f>
        <v>##\\FPTX</v>
      </c>
    </row>
    <row r="276" spans="1:4">
      <c r="A276" s="29" t="str">
        <f t="shared" si="25"/>
        <v>.FPTX</v>
      </c>
      <c r="B276" s="1">
        <v>7998</v>
      </c>
      <c r="C276" s="1" t="s">
        <v>6</v>
      </c>
      <c r="D276" s="30">
        <v>1</v>
      </c>
    </row>
    <row r="277" spans="1:4">
      <c r="A277" s="29" t="str">
        <f t="shared" si="25"/>
        <v>.FPTX</v>
      </c>
      <c r="B277" s="1">
        <v>101</v>
      </c>
      <c r="C277" s="1" t="s">
        <v>0</v>
      </c>
      <c r="D277" s="30" t="s">
        <v>140</v>
      </c>
    </row>
    <row r="278" spans="1:4">
      <c r="A278" s="29" t="str">
        <f t="shared" si="25"/>
        <v>.FPTX</v>
      </c>
      <c r="B278" s="1">
        <v>3</v>
      </c>
      <c r="C278" s="1" t="s">
        <v>1</v>
      </c>
      <c r="D278" s="30">
        <v>192</v>
      </c>
    </row>
    <row r="279" spans="1:4">
      <c r="A279" s="29" t="str">
        <f t="shared" si="25"/>
        <v>.FPTX</v>
      </c>
      <c r="B279" s="1">
        <v>2</v>
      </c>
      <c r="C279" s="1" t="s">
        <v>2</v>
      </c>
      <c r="D279" s="30" t="s">
        <v>3</v>
      </c>
    </row>
    <row r="280" spans="1:4">
      <c r="A280" s="26" t="str">
        <f t="shared" si="25"/>
        <v>.FPTX</v>
      </c>
      <c r="B280" s="27">
        <v>1</v>
      </c>
      <c r="C280" s="27" t="s">
        <v>1</v>
      </c>
      <c r="D280" s="28">
        <v>11</v>
      </c>
    </row>
  </sheetData>
  <autoFilter ref="B1:B280" xr:uid="{00000000-0009-0000-0000-000017000000}"/>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Лист52">
    <tabColor rgb="FFFFC000"/>
  </sheetPr>
  <dimension ref="A1:BP180"/>
  <sheetViews>
    <sheetView topLeftCell="A13" zoomScale="70" zoomScaleNormal="70" workbookViewId="0">
      <selection activeCell="D2" sqref="D2:D4"/>
    </sheetView>
  </sheetViews>
  <sheetFormatPr defaultRowHeight="14.4"/>
  <cols>
    <col min="1" max="1" width="30.44140625" customWidth="1"/>
    <col min="2" max="2" width="8" customWidth="1"/>
    <col min="3" max="3" width="7.6640625" customWidth="1"/>
    <col min="4" max="4" width="71.4414062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57"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t="s">
        <v>299</v>
      </c>
      <c r="Q2" s="2" t="s">
        <v>773</v>
      </c>
      <c r="R2" s="2" t="s">
        <v>787</v>
      </c>
      <c r="S2" s="3">
        <v>1</v>
      </c>
      <c r="T2" s="3" t="s">
        <v>1698</v>
      </c>
      <c r="U2" s="3"/>
      <c r="V2" s="3" t="s">
        <v>569</v>
      </c>
      <c r="W2" s="12"/>
      <c r="X2" s="12"/>
      <c r="Y2" s="12"/>
      <c r="Z2" s="12"/>
      <c r="AA2" s="12"/>
      <c r="AB2" s="2"/>
      <c r="AC2" s="2"/>
      <c r="AD2" s="2"/>
      <c r="AE2" s="2" t="s">
        <v>1414</v>
      </c>
      <c r="AF2" s="2"/>
      <c r="AG2" s="2"/>
      <c r="AH2" s="2"/>
      <c r="AI2" s="2"/>
      <c r="AJ2" s="2"/>
      <c r="AK2" s="2"/>
      <c r="AL2" s="2" t="s">
        <v>1287</v>
      </c>
      <c r="AM2" s="2" t="s">
        <v>1288</v>
      </c>
      <c r="AN2" s="2"/>
      <c r="AO2" s="2"/>
      <c r="AP2" s="2" t="s">
        <v>1289</v>
      </c>
      <c r="AQ2" s="2"/>
      <c r="AR2" s="2"/>
      <c r="AS2" s="2"/>
      <c r="AT2" s="2"/>
      <c r="AU2" s="2"/>
      <c r="AV2" s="2"/>
      <c r="AW2" s="2"/>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M4" s="4"/>
      <c r="BN4" s="4"/>
      <c r="BO4" s="4"/>
      <c r="BP4" s="4"/>
    </row>
    <row r="5" spans="1:68"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M5" s="4"/>
      <c r="BN5" s="4"/>
      <c r="BO5" s="4"/>
      <c r="BP5" s="4"/>
    </row>
    <row r="6" spans="1:68"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M6" s="4"/>
      <c r="BN6" s="4"/>
      <c r="BO6" s="4"/>
      <c r="BP6" s="4"/>
    </row>
    <row r="7" spans="1:68"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M7" s="4"/>
      <c r="BN7" s="4"/>
      <c r="BO7" s="4"/>
      <c r="BP7" s="4"/>
    </row>
    <row r="8" spans="1:68" ht="15" customHeight="1">
      <c r="A8" s="9"/>
      <c r="B8" s="9"/>
      <c r="C8" s="9"/>
      <c r="D8" s="9"/>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BM8" s="4"/>
      <c r="BN8" s="4"/>
      <c r="BO8" s="4"/>
      <c r="BP8" s="4"/>
    </row>
    <row r="9" spans="1:68" ht="15" customHeight="1">
      <c r="A9" s="9"/>
      <c r="B9" s="9"/>
      <c r="C9" s="9"/>
      <c r="D9" s="9"/>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BM9" s="4"/>
      <c r="BN9" s="4"/>
      <c r="BO9" s="4"/>
      <c r="BP9" s="4"/>
    </row>
    <row r="10" spans="1:68" ht="15" customHeight="1">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BM10" s="4"/>
      <c r="BN10" s="4"/>
      <c r="BO10" s="4"/>
      <c r="BP10" s="4"/>
    </row>
    <row r="11" spans="1:68" ht="15" customHeight="1">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BM11" s="4"/>
      <c r="BN11" s="4"/>
      <c r="BO11" s="4"/>
      <c r="BP11" s="4"/>
    </row>
    <row r="12" spans="1:68"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M17" s="4"/>
      <c r="BN17" s="4"/>
      <c r="BO17" s="4"/>
      <c r="BP17" s="4"/>
    </row>
    <row r="18" spans="1:68"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M18" s="4"/>
      <c r="BN18" s="4"/>
      <c r="BO18" s="4"/>
      <c r="BP18" s="4"/>
    </row>
    <row r="19" spans="1:68"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M19" s="4"/>
      <c r="BN19" s="4"/>
      <c r="BO19" s="4"/>
      <c r="BP19" s="4"/>
    </row>
    <row r="20" spans="1:68">
      <c r="A20" s="16" t="str">
        <f t="shared" ref="A20:A30" si="0">$R$2</f>
        <v>АСУЭ.FB_IMs_MON_S</v>
      </c>
      <c r="B20" s="17">
        <v>1</v>
      </c>
      <c r="C20" s="17" t="s">
        <v>1</v>
      </c>
      <c r="D20" s="18">
        <v>17</v>
      </c>
    </row>
    <row r="21" spans="1:68">
      <c r="A21" s="19" t="str">
        <f t="shared" si="0"/>
        <v>АСУЭ.FB_IMs_MON_S</v>
      </c>
      <c r="B21" s="11">
        <v>11001</v>
      </c>
      <c r="C21" s="11" t="s">
        <v>0</v>
      </c>
      <c r="D21" s="20" t="str">
        <f>$Q$2&amp;". "</f>
        <v xml:space="preserve">Выключатель с защитой без управления, без тележки и без защит. </v>
      </c>
    </row>
    <row r="22" spans="1:68">
      <c r="A22" s="19" t="str">
        <f t="shared" si="0"/>
        <v>АСУЭ.FB_IMs_MON_S</v>
      </c>
      <c r="B22" s="11">
        <v>11156</v>
      </c>
      <c r="C22" s="11" t="s">
        <v>0</v>
      </c>
      <c r="D22" s="20" t="str">
        <f>$V$2</f>
        <v>Тестовый экран</v>
      </c>
    </row>
    <row r="23" spans="1:68" ht="15" customHeight="1">
      <c r="A23" s="16" t="str">
        <f t="shared" si="0"/>
        <v>АСУЭ.FB_IMs_MON_S</v>
      </c>
      <c r="B23" s="17">
        <v>100</v>
      </c>
      <c r="C23" s="17" t="s">
        <v>0</v>
      </c>
      <c r="D23" s="18" t="b">
        <f>$T$7</f>
        <v>0</v>
      </c>
      <c r="BF23" s="4"/>
      <c r="BG23" s="4"/>
      <c r="BH23" s="4"/>
      <c r="BI23" s="4"/>
    </row>
    <row r="24" spans="1:68">
      <c r="A24" s="19" t="str">
        <f t="shared" si="0"/>
        <v>АСУЭ.FB_IMs_MON_S</v>
      </c>
      <c r="B24" s="11">
        <v>11120</v>
      </c>
      <c r="C24" s="11" t="s">
        <v>0</v>
      </c>
      <c r="D24" s="20" t="str">
        <f>$AL$2</f>
        <v>6+31</v>
      </c>
    </row>
    <row r="25" spans="1:68">
      <c r="A25" s="19" t="str">
        <f t="shared" si="0"/>
        <v>АСУЭ.FB_IMs_MON_S</v>
      </c>
      <c r="B25" s="11">
        <v>11121</v>
      </c>
      <c r="C25" s="11" t="s">
        <v>0</v>
      </c>
      <c r="D25" s="20" t="str">
        <f>$AM$2</f>
        <v>7+3</v>
      </c>
    </row>
    <row r="26" spans="1:68">
      <c r="A26" s="21" t="str">
        <f t="shared" si="0"/>
        <v>АСУЭ.FB_IMs_MON_S</v>
      </c>
      <c r="B26" s="8">
        <v>11122</v>
      </c>
      <c r="C26" s="8" t="s">
        <v>0</v>
      </c>
      <c r="D26" s="22" t="str">
        <f>$AP$2</f>
        <v>6+13</v>
      </c>
    </row>
    <row r="27" spans="1:68">
      <c r="A27" s="16" t="str">
        <f t="shared" si="0"/>
        <v>АСУЭ.FB_IMs_MON_S</v>
      </c>
      <c r="B27" s="17">
        <v>13</v>
      </c>
      <c r="C27" s="17" t="s">
        <v>2</v>
      </c>
      <c r="D27" s="18" t="s">
        <v>3</v>
      </c>
    </row>
    <row r="28" spans="1:68" ht="15" customHeight="1">
      <c r="A28" s="19" t="str">
        <f t="shared" si="0"/>
        <v>АСУЭ.FB_IMs_MON_S</v>
      </c>
      <c r="B28" s="11">
        <v>3000013</v>
      </c>
      <c r="C28" s="11" t="s">
        <v>0</v>
      </c>
      <c r="D28" s="20" t="str">
        <f>$AE$2</f>
        <v>Диагностика.CPU.NOT_LINK.noLink</v>
      </c>
      <c r="BF28" s="4"/>
      <c r="BG28" s="4"/>
      <c r="BH28" s="4"/>
      <c r="BI28" s="4"/>
    </row>
    <row r="29" spans="1:68" ht="15" customHeight="1">
      <c r="A29" s="19" t="str">
        <f t="shared" si="0"/>
        <v>АСУЭ.FB_IMs_MON_S</v>
      </c>
      <c r="B29" s="11">
        <v>4000013</v>
      </c>
      <c r="C29" s="11" t="s">
        <v>0</v>
      </c>
      <c r="D29" s="20" t="s">
        <v>1770</v>
      </c>
      <c r="BF29" s="4"/>
      <c r="BG29" s="4"/>
      <c r="BH29" s="4"/>
      <c r="BI29" s="4"/>
    </row>
    <row r="30" spans="1:68" ht="15" customHeight="1">
      <c r="A30" s="21" t="str">
        <f t="shared" si="0"/>
        <v>АСУЭ.FB_IMs_MON_S</v>
      </c>
      <c r="B30" s="8">
        <v>7000013</v>
      </c>
      <c r="C30" s="8" t="s">
        <v>6</v>
      </c>
      <c r="D30" s="22">
        <v>2</v>
      </c>
      <c r="BF30" s="4"/>
      <c r="BG30" s="4"/>
      <c r="BH30" s="4"/>
      <c r="BI30" s="4"/>
    </row>
    <row r="31" spans="1:68">
      <c r="A31" s="69" t="str">
        <f t="shared" ref="A31:A40" si="1">$R$2&amp;".FRQX"</f>
        <v>АСУЭ.FB_IMs_MON_S.FRQX</v>
      </c>
      <c r="B31" s="70">
        <v>11154</v>
      </c>
      <c r="C31" s="70" t="s">
        <v>4</v>
      </c>
      <c r="D31" s="71">
        <f>$Q$6</f>
        <v>8</v>
      </c>
    </row>
    <row r="32" spans="1:68">
      <c r="A32" s="63" t="str">
        <f t="shared" si="1"/>
        <v>АСУЭ.FB_IMs_MON_S.FRQX</v>
      </c>
      <c r="B32" s="64">
        <v>11152</v>
      </c>
      <c r="C32" s="64" t="s">
        <v>0</v>
      </c>
      <c r="D32" s="65" t="str">
        <f>$R$6</f>
        <v>Предупреждение</v>
      </c>
    </row>
    <row r="33" spans="1:4">
      <c r="A33" s="63" t="str">
        <f t="shared" si="1"/>
        <v>АСУЭ.FB_IMs_MON_S.FRQX</v>
      </c>
      <c r="B33" s="64">
        <v>11150</v>
      </c>
      <c r="C33" s="64" t="s">
        <v>0</v>
      </c>
      <c r="D33" s="65" t="s">
        <v>157</v>
      </c>
    </row>
    <row r="34" spans="1:4">
      <c r="A34" s="63" t="str">
        <f t="shared" si="1"/>
        <v>АСУЭ.FB_IMs_MON_S.FRQX</v>
      </c>
      <c r="B34" s="64">
        <v>11000</v>
      </c>
      <c r="C34" s="64" t="s">
        <v>5</v>
      </c>
      <c r="D34" s="65">
        <v>2147483680</v>
      </c>
    </row>
    <row r="35" spans="1:4">
      <c r="A35" s="19" t="str">
        <f t="shared" si="1"/>
        <v>АСУЭ.FB_IMs_MON_S.FRQX</v>
      </c>
      <c r="B35" s="11">
        <v>7999</v>
      </c>
      <c r="C35" s="11" t="s">
        <v>0</v>
      </c>
      <c r="D35" s="20" t="str">
        <f>"#"&amp;$S$2&amp;"#"&amp;$T$2&amp;"\"&amp;$P$2&amp;"\FRQX"</f>
        <v>#1#treiOPCDA.CoOPCserv.1\pcmaster\ZRU_OL1_ZEM\FRQX</v>
      </c>
    </row>
    <row r="36" spans="1:4">
      <c r="A36" s="19" t="str">
        <f t="shared" si="1"/>
        <v>АСУЭ.FB_IMs_MON_S.FRQX</v>
      </c>
      <c r="B36" s="11">
        <v>7998</v>
      </c>
      <c r="C36" s="11" t="s">
        <v>6</v>
      </c>
      <c r="D36" s="20">
        <v>1</v>
      </c>
    </row>
    <row r="37" spans="1:4">
      <c r="A37" s="19" t="str">
        <f t="shared" si="1"/>
        <v>АСУЭ.FB_IMs_MON_S.FRQX</v>
      </c>
      <c r="B37" s="11">
        <v>101</v>
      </c>
      <c r="C37" s="11" t="s">
        <v>0</v>
      </c>
      <c r="D37" s="20" t="s">
        <v>157</v>
      </c>
    </row>
    <row r="38" spans="1:4">
      <c r="A38" s="19" t="str">
        <f t="shared" si="1"/>
        <v>АСУЭ.FB_IMs_MON_S.FRQX</v>
      </c>
      <c r="B38" s="11">
        <v>3</v>
      </c>
      <c r="C38" s="11" t="s">
        <v>1</v>
      </c>
      <c r="D38" s="20">
        <v>192</v>
      </c>
    </row>
    <row r="39" spans="1:4">
      <c r="A39" s="19" t="str">
        <f t="shared" si="1"/>
        <v>АСУЭ.FB_IMs_MON_S.FRQX</v>
      </c>
      <c r="B39" s="11">
        <v>2</v>
      </c>
      <c r="C39" s="11" t="s">
        <v>2</v>
      </c>
      <c r="D39" s="20" t="s">
        <v>3</v>
      </c>
    </row>
    <row r="40" spans="1:4">
      <c r="A40" s="21" t="str">
        <f t="shared" si="1"/>
        <v>АСУЭ.FB_IMs_MON_S.FRQX</v>
      </c>
      <c r="B40" s="8">
        <v>1</v>
      </c>
      <c r="C40" s="8" t="s">
        <v>1</v>
      </c>
      <c r="D40" s="22">
        <v>11</v>
      </c>
    </row>
    <row r="41" spans="1:4">
      <c r="A41" s="16" t="str">
        <f t="shared" ref="A41:A50" si="2">$R$2&amp;".IFXX"</f>
        <v>АСУЭ.FB_IMs_MON_S.IFXX</v>
      </c>
      <c r="B41" s="17">
        <v>1</v>
      </c>
      <c r="C41" s="17" t="s">
        <v>1</v>
      </c>
      <c r="D41" s="18">
        <v>11</v>
      </c>
    </row>
    <row r="42" spans="1:4">
      <c r="A42" s="19" t="str">
        <f t="shared" si="2"/>
        <v>АСУЭ.FB_IMs_MON_S.IFXX</v>
      </c>
      <c r="B42" s="11">
        <v>2</v>
      </c>
      <c r="C42" s="11" t="s">
        <v>2</v>
      </c>
      <c r="D42" s="20" t="s">
        <v>3</v>
      </c>
    </row>
    <row r="43" spans="1:4">
      <c r="A43" s="19" t="str">
        <f t="shared" si="2"/>
        <v>АСУЭ.FB_IMs_MON_S.IFXX</v>
      </c>
      <c r="B43" s="11">
        <v>3</v>
      </c>
      <c r="C43" s="11" t="s">
        <v>1</v>
      </c>
      <c r="D43" s="20">
        <v>192</v>
      </c>
    </row>
    <row r="44" spans="1:4">
      <c r="A44" s="211" t="str">
        <f t="shared" si="2"/>
        <v>АСУЭ.FB_IMs_MON_S.IFXX</v>
      </c>
      <c r="B44" s="212">
        <v>11152</v>
      </c>
      <c r="C44" s="212" t="s">
        <v>0</v>
      </c>
      <c r="D44" s="213" t="str">
        <f>$R$7</f>
        <v>Неисправность</v>
      </c>
    </row>
    <row r="45" spans="1:4">
      <c r="A45" s="211" t="str">
        <f t="shared" si="2"/>
        <v>АСУЭ.FB_IMs_MON_S.IFXX</v>
      </c>
      <c r="B45" s="212">
        <v>11000</v>
      </c>
      <c r="C45" s="212" t="s">
        <v>5</v>
      </c>
      <c r="D45" s="213">
        <v>2147483680</v>
      </c>
    </row>
    <row r="46" spans="1:4">
      <c r="A46" s="211" t="str">
        <f t="shared" si="2"/>
        <v>АСУЭ.FB_IMs_MON_S.IFXX</v>
      </c>
      <c r="B46" s="212">
        <v>11150</v>
      </c>
      <c r="C46" s="212" t="s">
        <v>0</v>
      </c>
      <c r="D46" s="213" t="s">
        <v>110</v>
      </c>
    </row>
    <row r="47" spans="1:4">
      <c r="A47" s="211" t="str">
        <f t="shared" si="2"/>
        <v>АСУЭ.FB_IMs_MON_S.IFXX</v>
      </c>
      <c r="B47" s="212">
        <v>11154</v>
      </c>
      <c r="C47" s="212" t="s">
        <v>4</v>
      </c>
      <c r="D47" s="213">
        <f>$Q$7</f>
        <v>12</v>
      </c>
    </row>
    <row r="48" spans="1:4">
      <c r="A48" s="19" t="str">
        <f t="shared" si="2"/>
        <v>АСУЭ.FB_IMs_MON_S.IFXX</v>
      </c>
      <c r="B48" s="11">
        <v>101</v>
      </c>
      <c r="C48" s="11" t="s">
        <v>0</v>
      </c>
      <c r="D48" s="20" t="s">
        <v>176</v>
      </c>
    </row>
    <row r="49" spans="1:4">
      <c r="A49" s="19" t="str">
        <f t="shared" si="2"/>
        <v>АСУЭ.FB_IMs_MON_S.IFXX</v>
      </c>
      <c r="B49" s="11">
        <v>7998</v>
      </c>
      <c r="C49" s="11" t="s">
        <v>6</v>
      </c>
      <c r="D49" s="20">
        <v>1</v>
      </c>
    </row>
    <row r="50" spans="1:4">
      <c r="A50" s="21" t="str">
        <f t="shared" si="2"/>
        <v>АСУЭ.FB_IMs_MON_S.IFXX</v>
      </c>
      <c r="B50" s="8">
        <v>7999</v>
      </c>
      <c r="C50" s="8" t="s">
        <v>0</v>
      </c>
      <c r="D50" s="22" t="str">
        <f>"#"&amp;$S$2&amp;"#"&amp;$T$2&amp;"\"&amp;$P$2&amp;"\IFXX"</f>
        <v>#1#treiOPCDA.CoOPCserv.1\pcmaster\ZRU_OL1_ZEM\IFXX</v>
      </c>
    </row>
    <row r="51" spans="1:4">
      <c r="A51" s="16" t="str">
        <f t="shared" ref="A51:A56" si="3">$R$2&amp;".FXXX"</f>
        <v>АСУЭ.FB_IMs_MON_S.FXXX</v>
      </c>
      <c r="B51" s="17">
        <v>1</v>
      </c>
      <c r="C51" s="17" t="s">
        <v>1</v>
      </c>
      <c r="D51" s="18">
        <v>11</v>
      </c>
    </row>
    <row r="52" spans="1:4">
      <c r="A52" s="19" t="str">
        <f t="shared" si="3"/>
        <v>АСУЭ.FB_IMs_MON_S.FXXX</v>
      </c>
      <c r="B52" s="11">
        <v>2</v>
      </c>
      <c r="C52" s="11" t="s">
        <v>2</v>
      </c>
      <c r="D52" s="20" t="s">
        <v>3</v>
      </c>
    </row>
    <row r="53" spans="1:4">
      <c r="A53" s="19" t="str">
        <f t="shared" si="3"/>
        <v>АСУЭ.FB_IMs_MON_S.FXXX</v>
      </c>
      <c r="B53" s="11">
        <v>3</v>
      </c>
      <c r="C53" s="11" t="s">
        <v>1</v>
      </c>
      <c r="D53" s="20">
        <v>192</v>
      </c>
    </row>
    <row r="54" spans="1:4">
      <c r="A54" s="19" t="str">
        <f t="shared" si="3"/>
        <v>АСУЭ.FB_IMs_MON_S.FXXX</v>
      </c>
      <c r="B54" s="11">
        <v>101</v>
      </c>
      <c r="C54" s="11" t="s">
        <v>0</v>
      </c>
      <c r="D54" s="20" t="s">
        <v>139</v>
      </c>
    </row>
    <row r="55" spans="1:4">
      <c r="A55" s="19" t="str">
        <f t="shared" si="3"/>
        <v>АСУЭ.FB_IMs_MON_S.FXXX</v>
      </c>
      <c r="B55" s="11">
        <v>7998</v>
      </c>
      <c r="C55" s="11" t="s">
        <v>6</v>
      </c>
      <c r="D55" s="20">
        <v>1</v>
      </c>
    </row>
    <row r="56" spans="1:4">
      <c r="A56" s="19" t="str">
        <f t="shared" si="3"/>
        <v>АСУЭ.FB_IMs_MON_S.FXXX</v>
      </c>
      <c r="B56" s="11">
        <v>7999</v>
      </c>
      <c r="C56" s="11" t="s">
        <v>0</v>
      </c>
      <c r="D56" s="20" t="str">
        <f>"#"&amp;$S$2&amp;"#"&amp;$T$2&amp;"\"&amp;$P$2&amp;"\FXXX"</f>
        <v>#1#treiOPCDA.CoOPCserv.1\pcmaster\ZRU_OL1_ZEM\FXXX</v>
      </c>
    </row>
    <row r="57" spans="1:4">
      <c r="A57" s="217" t="str">
        <f t="shared" ref="A57:A66" si="4">$R$2&amp;".FUSX"</f>
        <v>АСУЭ.FB_IMs_MON_S.FUSX</v>
      </c>
      <c r="B57" s="218">
        <v>11154</v>
      </c>
      <c r="C57" s="218" t="s">
        <v>4</v>
      </c>
      <c r="D57" s="231">
        <f>$Q$7</f>
        <v>12</v>
      </c>
    </row>
    <row r="58" spans="1:4">
      <c r="A58" s="211" t="str">
        <f t="shared" si="4"/>
        <v>АСУЭ.FB_IMs_MON_S.FUSX</v>
      </c>
      <c r="B58" s="212">
        <v>11152</v>
      </c>
      <c r="C58" s="212" t="s">
        <v>0</v>
      </c>
      <c r="D58" s="213" t="str">
        <f>$R$7</f>
        <v>Неисправность</v>
      </c>
    </row>
    <row r="59" spans="1:4">
      <c r="A59" s="211" t="str">
        <f t="shared" si="4"/>
        <v>АСУЭ.FB_IMs_MON_S.FUSX</v>
      </c>
      <c r="B59" s="212">
        <v>11150</v>
      </c>
      <c r="C59" s="212" t="s">
        <v>0</v>
      </c>
      <c r="D59" s="213" t="s">
        <v>1854</v>
      </c>
    </row>
    <row r="60" spans="1:4">
      <c r="A60" s="211" t="str">
        <f t="shared" si="4"/>
        <v>АСУЭ.FB_IMs_MON_S.FUSX</v>
      </c>
      <c r="B60" s="212">
        <v>11000</v>
      </c>
      <c r="C60" s="212" t="s">
        <v>5</v>
      </c>
      <c r="D60" s="213">
        <v>2147483680</v>
      </c>
    </row>
    <row r="61" spans="1:4">
      <c r="A61" s="19" t="str">
        <f t="shared" si="4"/>
        <v>АСУЭ.FB_IMs_MON_S.FUSX</v>
      </c>
      <c r="B61" s="11">
        <v>7999</v>
      </c>
      <c r="C61" s="11" t="s">
        <v>0</v>
      </c>
      <c r="D61" s="20" t="str">
        <f>"#"&amp;$S$2&amp;"#"&amp;$T$2&amp;"\"&amp;$P$2&amp;"\FUSX"</f>
        <v>#1#treiOPCDA.CoOPCserv.1\pcmaster\ZRU_OL1_ZEM\FUSX</v>
      </c>
    </row>
    <row r="62" spans="1:4">
      <c r="A62" s="19" t="str">
        <f t="shared" si="4"/>
        <v>АСУЭ.FB_IMs_MON_S.FUSX</v>
      </c>
      <c r="B62" s="11">
        <v>7998</v>
      </c>
      <c r="C62" s="11" t="s">
        <v>6</v>
      </c>
      <c r="D62" s="20">
        <v>1</v>
      </c>
    </row>
    <row r="63" spans="1:4">
      <c r="A63" s="19" t="str">
        <f t="shared" si="4"/>
        <v>АСУЭ.FB_IMs_MON_S.FUSX</v>
      </c>
      <c r="B63" s="11">
        <v>101</v>
      </c>
      <c r="C63" s="11" t="s">
        <v>0</v>
      </c>
      <c r="D63" s="20" t="s">
        <v>1854</v>
      </c>
    </row>
    <row r="64" spans="1:4">
      <c r="A64" s="19" t="str">
        <f t="shared" si="4"/>
        <v>АСУЭ.FB_IMs_MON_S.FUSX</v>
      </c>
      <c r="B64" s="11">
        <v>3</v>
      </c>
      <c r="C64" s="11" t="s">
        <v>1</v>
      </c>
      <c r="D64" s="20">
        <v>192</v>
      </c>
    </row>
    <row r="65" spans="1:4">
      <c r="A65" s="19" t="str">
        <f t="shared" si="4"/>
        <v>АСУЭ.FB_IMs_MON_S.FUSX</v>
      </c>
      <c r="B65" s="11">
        <v>2</v>
      </c>
      <c r="C65" s="11" t="s">
        <v>2</v>
      </c>
      <c r="D65" s="20" t="s">
        <v>3</v>
      </c>
    </row>
    <row r="66" spans="1:4">
      <c r="A66" s="21" t="str">
        <f t="shared" si="4"/>
        <v>АСУЭ.FB_IMs_MON_S.FUSX</v>
      </c>
      <c r="B66" s="8">
        <v>1</v>
      </c>
      <c r="C66" s="8" t="s">
        <v>1</v>
      </c>
      <c r="D66" s="22">
        <v>11</v>
      </c>
    </row>
    <row r="67" spans="1:4">
      <c r="A67" s="16" t="str">
        <f t="shared" ref="A67:A76" si="5">$R$2&amp;".FDSX"</f>
        <v>АСУЭ.FB_IMs_MON_S.FDSX</v>
      </c>
      <c r="B67" s="17">
        <v>1</v>
      </c>
      <c r="C67" s="17" t="s">
        <v>1</v>
      </c>
      <c r="D67" s="18">
        <v>11</v>
      </c>
    </row>
    <row r="68" spans="1:4">
      <c r="A68" s="19" t="str">
        <f t="shared" si="5"/>
        <v>АСУЭ.FB_IMs_MON_S.FDSX</v>
      </c>
      <c r="B68" s="11">
        <v>2</v>
      </c>
      <c r="C68" s="11" t="s">
        <v>2</v>
      </c>
      <c r="D68" s="20" t="s">
        <v>3</v>
      </c>
    </row>
    <row r="69" spans="1:4">
      <c r="A69" s="19" t="str">
        <f t="shared" si="5"/>
        <v>АСУЭ.FB_IMs_MON_S.FDSX</v>
      </c>
      <c r="B69" s="11">
        <v>3</v>
      </c>
      <c r="C69" s="11" t="s">
        <v>1</v>
      </c>
      <c r="D69" s="20">
        <v>192</v>
      </c>
    </row>
    <row r="70" spans="1:4">
      <c r="A70" s="19" t="str">
        <f t="shared" si="5"/>
        <v>АСУЭ.FB_IMs_MON_S.FDSX</v>
      </c>
      <c r="B70" s="11">
        <v>101</v>
      </c>
      <c r="C70" s="11" t="s">
        <v>0</v>
      </c>
      <c r="D70" s="20" t="s">
        <v>1855</v>
      </c>
    </row>
    <row r="71" spans="1:4">
      <c r="A71" s="19" t="str">
        <f t="shared" si="5"/>
        <v>АСУЭ.FB_IMs_MON_S.FDSX</v>
      </c>
      <c r="B71" s="11">
        <v>7998</v>
      </c>
      <c r="C71" s="11" t="s">
        <v>6</v>
      </c>
      <c r="D71" s="20">
        <v>1</v>
      </c>
    </row>
    <row r="72" spans="1:4">
      <c r="A72" s="19" t="str">
        <f t="shared" si="5"/>
        <v>АСУЭ.FB_IMs_MON_S.FDSX</v>
      </c>
      <c r="B72" s="11">
        <v>7999</v>
      </c>
      <c r="C72" s="11" t="s">
        <v>0</v>
      </c>
      <c r="D72" s="20" t="str">
        <f>"#"&amp;$S$2&amp;"#"&amp;$T$2&amp;"\"&amp;$P$2&amp;"\FDSX"</f>
        <v>#1#treiOPCDA.CoOPCserv.1\pcmaster\ZRU_OL1_ZEM\FDSX</v>
      </c>
    </row>
    <row r="73" spans="1:4">
      <c r="A73" s="211" t="str">
        <f t="shared" si="5"/>
        <v>АСУЭ.FB_IMs_MON_S.FDSX</v>
      </c>
      <c r="B73" s="212">
        <v>11000</v>
      </c>
      <c r="C73" s="212" t="s">
        <v>5</v>
      </c>
      <c r="D73" s="213">
        <v>2147483680</v>
      </c>
    </row>
    <row r="74" spans="1:4">
      <c r="A74" s="211" t="str">
        <f t="shared" si="5"/>
        <v>АСУЭ.FB_IMs_MON_S.FDSX</v>
      </c>
      <c r="B74" s="212">
        <v>11150</v>
      </c>
      <c r="C74" s="212" t="s">
        <v>0</v>
      </c>
      <c r="D74" s="213" t="s">
        <v>1855</v>
      </c>
    </row>
    <row r="75" spans="1:4">
      <c r="A75" s="211" t="str">
        <f t="shared" si="5"/>
        <v>АСУЭ.FB_IMs_MON_S.FDSX</v>
      </c>
      <c r="B75" s="212">
        <v>11152</v>
      </c>
      <c r="C75" s="212" t="s">
        <v>0</v>
      </c>
      <c r="D75" s="213" t="str">
        <f>$R$7</f>
        <v>Неисправность</v>
      </c>
    </row>
    <row r="76" spans="1:4">
      <c r="A76" s="214" t="str">
        <f t="shared" si="5"/>
        <v>АСУЭ.FB_IMs_MON_S.FDSX</v>
      </c>
      <c r="B76" s="215">
        <v>11154</v>
      </c>
      <c r="C76" s="215" t="s">
        <v>4</v>
      </c>
      <c r="D76" s="216">
        <f>$Q$7</f>
        <v>12</v>
      </c>
    </row>
    <row r="77" spans="1:4">
      <c r="A77" s="16" t="str">
        <f t="shared" ref="A77:A86" si="6">$R$2&amp;".DONX"</f>
        <v>АСУЭ.FB_IMs_MON_S.DONX</v>
      </c>
      <c r="B77" s="17">
        <v>1</v>
      </c>
      <c r="C77" s="17" t="s">
        <v>1</v>
      </c>
      <c r="D77" s="18">
        <v>11</v>
      </c>
    </row>
    <row r="78" spans="1:4">
      <c r="A78" s="19" t="str">
        <f t="shared" si="6"/>
        <v>АСУЭ.FB_IMs_MON_S.DONX</v>
      </c>
      <c r="B78" s="11">
        <v>2</v>
      </c>
      <c r="C78" s="11" t="s">
        <v>2</v>
      </c>
      <c r="D78" s="20" t="s">
        <v>3</v>
      </c>
    </row>
    <row r="79" spans="1:4">
      <c r="A79" s="19" t="str">
        <f t="shared" si="6"/>
        <v>АСУЭ.FB_IMs_MON_S.DONX</v>
      </c>
      <c r="B79" s="11">
        <v>3</v>
      </c>
      <c r="C79" s="11" t="s">
        <v>1</v>
      </c>
      <c r="D79" s="20">
        <v>192</v>
      </c>
    </row>
    <row r="80" spans="1:4">
      <c r="A80" s="19" t="str">
        <f t="shared" si="6"/>
        <v>АСУЭ.FB_IMs_MON_S.DONX</v>
      </c>
      <c r="B80" s="11">
        <v>101</v>
      </c>
      <c r="C80" s="11" t="s">
        <v>0</v>
      </c>
      <c r="D80" s="20" t="s">
        <v>122</v>
      </c>
    </row>
    <row r="81" spans="1:4">
      <c r="A81" s="19" t="str">
        <f t="shared" si="6"/>
        <v>АСУЭ.FB_IMs_MON_S.DONX</v>
      </c>
      <c r="B81" s="11">
        <v>7998</v>
      </c>
      <c r="C81" s="11" t="s">
        <v>6</v>
      </c>
      <c r="D81" s="20">
        <v>1</v>
      </c>
    </row>
    <row r="82" spans="1:4">
      <c r="A82" s="19" t="str">
        <f t="shared" si="6"/>
        <v>АСУЭ.FB_IMs_MON_S.DONX</v>
      </c>
      <c r="B82" s="11">
        <v>7999</v>
      </c>
      <c r="C82" s="11" t="s">
        <v>0</v>
      </c>
      <c r="D82" s="20" t="str">
        <f>"#"&amp;$S$2&amp;"#"&amp;$T$2&amp;"\"&amp;$P$2&amp;"\DONX"</f>
        <v>#1#treiOPCDA.CoOPCserv.1\pcmaster\ZRU_OL1_ZEM\DONX</v>
      </c>
    </row>
    <row r="83" spans="1:4">
      <c r="A83" s="110" t="str">
        <f t="shared" si="6"/>
        <v>АСУЭ.FB_IMs_MON_S.DONX</v>
      </c>
      <c r="B83" s="111">
        <v>11000</v>
      </c>
      <c r="C83" s="111" t="s">
        <v>5</v>
      </c>
      <c r="D83" s="112">
        <v>2147483680</v>
      </c>
    </row>
    <row r="84" spans="1:4">
      <c r="A84" s="110" t="str">
        <f t="shared" si="6"/>
        <v>АСУЭ.FB_IMs_MON_S.DONX</v>
      </c>
      <c r="B84" s="111">
        <v>11150</v>
      </c>
      <c r="C84" s="111" t="s">
        <v>0</v>
      </c>
      <c r="D84" s="112" t="s">
        <v>123</v>
      </c>
    </row>
    <row r="85" spans="1:4">
      <c r="A85" s="110" t="str">
        <f t="shared" si="6"/>
        <v>АСУЭ.FB_IMs_MON_S.DONX</v>
      </c>
      <c r="B85" s="111">
        <v>11152</v>
      </c>
      <c r="C85" s="111" t="s">
        <v>0</v>
      </c>
      <c r="D85" s="112" t="str">
        <f>$R$9</f>
        <v>Недостоверность</v>
      </c>
    </row>
    <row r="86" spans="1:4">
      <c r="A86" s="164" t="str">
        <f t="shared" si="6"/>
        <v>АСУЭ.FB_IMs_MON_S.DONX</v>
      </c>
      <c r="B86" s="165">
        <v>11154</v>
      </c>
      <c r="C86" s="165" t="s">
        <v>4</v>
      </c>
      <c r="D86" s="166">
        <f>$Q$9</f>
        <v>10</v>
      </c>
    </row>
    <row r="87" spans="1:4">
      <c r="A87" s="163" t="str">
        <f t="shared" ref="A87:A96" si="7">$R$2&amp;".DOFX"</f>
        <v>АСУЭ.FB_IMs_MON_S.DOFX</v>
      </c>
      <c r="B87" s="123">
        <v>11000</v>
      </c>
      <c r="C87" s="123" t="s">
        <v>5</v>
      </c>
      <c r="D87" s="198">
        <v>2147483680</v>
      </c>
    </row>
    <row r="88" spans="1:4">
      <c r="A88" s="110" t="str">
        <f t="shared" si="7"/>
        <v>АСУЭ.FB_IMs_MON_S.DOFX</v>
      </c>
      <c r="B88" s="111">
        <v>11150</v>
      </c>
      <c r="C88" s="111" t="s">
        <v>0</v>
      </c>
      <c r="D88" s="112" t="s">
        <v>98</v>
      </c>
    </row>
    <row r="89" spans="1:4">
      <c r="A89" s="110" t="str">
        <f t="shared" si="7"/>
        <v>АСУЭ.FB_IMs_MON_S.DOFX</v>
      </c>
      <c r="B89" s="111">
        <v>11152</v>
      </c>
      <c r="C89" s="111" t="s">
        <v>0</v>
      </c>
      <c r="D89" s="112" t="str">
        <f>$R$9</f>
        <v>Недостоверность</v>
      </c>
    </row>
    <row r="90" spans="1:4">
      <c r="A90" s="110" t="str">
        <f t="shared" si="7"/>
        <v>АСУЭ.FB_IMs_MON_S.DOFX</v>
      </c>
      <c r="B90" s="111">
        <v>11154</v>
      </c>
      <c r="C90" s="111" t="s">
        <v>4</v>
      </c>
      <c r="D90" s="112">
        <f>$Q$9</f>
        <v>10</v>
      </c>
    </row>
    <row r="91" spans="1:4">
      <c r="A91" s="19" t="str">
        <f t="shared" si="7"/>
        <v>АСУЭ.FB_IMs_MON_S.DOFX</v>
      </c>
      <c r="B91" s="11">
        <v>7999</v>
      </c>
      <c r="C91" s="11" t="s">
        <v>0</v>
      </c>
      <c r="D91" s="20" t="str">
        <f>"#"&amp;$S$2&amp;"#"&amp;$T$2&amp;"\"&amp;$P$2&amp;"\DOFX"</f>
        <v>#1#treiOPCDA.CoOPCserv.1\pcmaster\ZRU_OL1_ZEM\DOFX</v>
      </c>
    </row>
    <row r="92" spans="1:4">
      <c r="A92" s="19" t="str">
        <f t="shared" si="7"/>
        <v>АСУЭ.FB_IMs_MON_S.DOFX</v>
      </c>
      <c r="B92" s="11">
        <v>7998</v>
      </c>
      <c r="C92" s="11" t="s">
        <v>6</v>
      </c>
      <c r="D92" s="20">
        <v>1</v>
      </c>
    </row>
    <row r="93" spans="1:4">
      <c r="A93" s="19" t="str">
        <f t="shared" si="7"/>
        <v>АСУЭ.FB_IMs_MON_S.DOFX</v>
      </c>
      <c r="B93" s="11">
        <v>101</v>
      </c>
      <c r="C93" s="11" t="s">
        <v>0</v>
      </c>
      <c r="D93" s="20" t="s">
        <v>97</v>
      </c>
    </row>
    <row r="94" spans="1:4">
      <c r="A94" s="19" t="str">
        <f t="shared" si="7"/>
        <v>АСУЭ.FB_IMs_MON_S.DOFX</v>
      </c>
      <c r="B94" s="11">
        <v>3</v>
      </c>
      <c r="C94" s="11" t="s">
        <v>1</v>
      </c>
      <c r="D94" s="20">
        <v>192</v>
      </c>
    </row>
    <row r="95" spans="1:4">
      <c r="A95" s="19" t="str">
        <f t="shared" si="7"/>
        <v>АСУЭ.FB_IMs_MON_S.DOFX</v>
      </c>
      <c r="B95" s="11">
        <v>2</v>
      </c>
      <c r="C95" s="11" t="s">
        <v>2</v>
      </c>
      <c r="D95" s="20" t="s">
        <v>3</v>
      </c>
    </row>
    <row r="96" spans="1:4">
      <c r="A96" s="21" t="str">
        <f t="shared" si="7"/>
        <v>АСУЭ.FB_IMs_MON_S.DOFX</v>
      </c>
      <c r="B96" s="8">
        <v>1</v>
      </c>
      <c r="C96" s="8" t="s">
        <v>1</v>
      </c>
      <c r="D96" s="22">
        <v>11</v>
      </c>
    </row>
    <row r="97" spans="1:4">
      <c r="A97" s="163" t="str">
        <f t="shared" ref="A97:A106" si="8">$R$2&amp;".DFXX"</f>
        <v>АСУЭ.FB_IMs_MON_S.DFXX</v>
      </c>
      <c r="B97" s="123">
        <v>11154</v>
      </c>
      <c r="C97" s="123" t="s">
        <v>4</v>
      </c>
      <c r="D97" s="198">
        <f>$Q$9</f>
        <v>10</v>
      </c>
    </row>
    <row r="98" spans="1:4">
      <c r="A98" s="110" t="str">
        <f t="shared" si="8"/>
        <v>АСУЭ.FB_IMs_MON_S.DFXX</v>
      </c>
      <c r="B98" s="111">
        <v>11152</v>
      </c>
      <c r="C98" s="111" t="s">
        <v>0</v>
      </c>
      <c r="D98" s="112" t="str">
        <f>$R$9</f>
        <v>Недостоверность</v>
      </c>
    </row>
    <row r="99" spans="1:4">
      <c r="A99" s="110" t="str">
        <f t="shared" si="8"/>
        <v>АСУЭ.FB_IMs_MON_S.DFXX</v>
      </c>
      <c r="B99" s="111">
        <v>11150</v>
      </c>
      <c r="C99" s="111" t="s">
        <v>0</v>
      </c>
      <c r="D99" s="112" t="s">
        <v>104</v>
      </c>
    </row>
    <row r="100" spans="1:4">
      <c r="A100" s="110" t="str">
        <f t="shared" si="8"/>
        <v>АСУЭ.FB_IMs_MON_S.DFXX</v>
      </c>
      <c r="B100" s="111">
        <v>11000</v>
      </c>
      <c r="C100" s="111" t="s">
        <v>5</v>
      </c>
      <c r="D100" s="112">
        <v>2147483680</v>
      </c>
    </row>
    <row r="101" spans="1:4">
      <c r="A101" s="19" t="str">
        <f t="shared" si="8"/>
        <v>АСУЭ.FB_IMs_MON_S.DFXX</v>
      </c>
      <c r="B101" s="11">
        <v>7999</v>
      </c>
      <c r="C101" s="11" t="s">
        <v>0</v>
      </c>
      <c r="D101" s="20" t="str">
        <f>"#"&amp;$S$2&amp;"#"&amp;$T$2&amp;"\"&amp;$P$2&amp;"\DFXX"</f>
        <v>#1#treiOPCDA.CoOPCserv.1\pcmaster\ZRU_OL1_ZEM\DFXX</v>
      </c>
    </row>
    <row r="102" spans="1:4">
      <c r="A102" s="19" t="str">
        <f t="shared" si="8"/>
        <v>АСУЭ.FB_IMs_MON_S.DFXX</v>
      </c>
      <c r="B102" s="11">
        <v>7998</v>
      </c>
      <c r="C102" s="11" t="s">
        <v>6</v>
      </c>
      <c r="D102" s="20">
        <v>1</v>
      </c>
    </row>
    <row r="103" spans="1:4">
      <c r="A103" s="19" t="str">
        <f t="shared" si="8"/>
        <v>АСУЭ.FB_IMs_MON_S.DFXX</v>
      </c>
      <c r="B103" s="11">
        <v>101</v>
      </c>
      <c r="C103" s="11" t="s">
        <v>0</v>
      </c>
      <c r="D103" s="20" t="s">
        <v>520</v>
      </c>
    </row>
    <row r="104" spans="1:4">
      <c r="A104" s="19" t="str">
        <f t="shared" si="8"/>
        <v>АСУЭ.FB_IMs_MON_S.DFXX</v>
      </c>
      <c r="B104" s="11">
        <v>3</v>
      </c>
      <c r="C104" s="11" t="s">
        <v>1</v>
      </c>
      <c r="D104" s="20">
        <v>192</v>
      </c>
    </row>
    <row r="105" spans="1:4">
      <c r="A105" s="19" t="str">
        <f t="shared" si="8"/>
        <v>АСУЭ.FB_IMs_MON_S.DFXX</v>
      </c>
      <c r="B105" s="11">
        <v>2</v>
      </c>
      <c r="C105" s="11" t="s">
        <v>2</v>
      </c>
      <c r="D105" s="20" t="s">
        <v>3</v>
      </c>
    </row>
    <row r="106" spans="1:4">
      <c r="A106" s="19" t="str">
        <f t="shared" si="8"/>
        <v>АСУЭ.FB_IMs_MON_S.DFXX</v>
      </c>
      <c r="B106" s="11">
        <v>1</v>
      </c>
      <c r="C106" s="11" t="s">
        <v>1</v>
      </c>
      <c r="D106" s="20">
        <v>11</v>
      </c>
    </row>
    <row r="107" spans="1:4">
      <c r="A107" s="16" t="str">
        <f t="shared" ref="A107:A118" si="9">$R$2&amp;".XRPX"</f>
        <v>АСУЭ.FB_IMs_MON_S.XRPX</v>
      </c>
      <c r="B107" s="17">
        <v>1</v>
      </c>
      <c r="C107" s="17" t="s">
        <v>1</v>
      </c>
      <c r="D107" s="18">
        <v>11</v>
      </c>
    </row>
    <row r="108" spans="1:4">
      <c r="A108" s="19" t="str">
        <f t="shared" si="9"/>
        <v>АСУЭ.FB_IMs_MON_S.XRPX</v>
      </c>
      <c r="B108" s="11">
        <v>2</v>
      </c>
      <c r="C108" s="11" t="s">
        <v>2</v>
      </c>
      <c r="D108" s="20" t="s">
        <v>3</v>
      </c>
    </row>
    <row r="109" spans="1:4">
      <c r="A109" s="19" t="str">
        <f t="shared" si="9"/>
        <v>АСУЭ.FB_IMs_MON_S.XRPX</v>
      </c>
      <c r="B109" s="11">
        <v>3</v>
      </c>
      <c r="C109" s="11" t="s">
        <v>1</v>
      </c>
      <c r="D109" s="20">
        <v>192</v>
      </c>
    </row>
    <row r="110" spans="1:4">
      <c r="A110" s="19" t="str">
        <f t="shared" si="9"/>
        <v>АСУЭ.FB_IMs_MON_S.XRPX</v>
      </c>
      <c r="B110" s="11">
        <v>101</v>
      </c>
      <c r="C110" s="11" t="s">
        <v>0</v>
      </c>
      <c r="D110" s="20" t="s">
        <v>137</v>
      </c>
    </row>
    <row r="111" spans="1:4">
      <c r="A111" s="19" t="str">
        <f t="shared" si="9"/>
        <v>АСУЭ.FB_IMs_MON_S.XRPX</v>
      </c>
      <c r="B111" s="11">
        <v>7998</v>
      </c>
      <c r="C111" s="11" t="s">
        <v>6</v>
      </c>
      <c r="D111" s="20">
        <v>1</v>
      </c>
    </row>
    <row r="112" spans="1:4">
      <c r="A112" s="19" t="str">
        <f t="shared" si="9"/>
        <v>АСУЭ.FB_IMs_MON_S.XRPX</v>
      </c>
      <c r="B112" s="11">
        <v>7999</v>
      </c>
      <c r="C112" s="11" t="s">
        <v>0</v>
      </c>
      <c r="D112" s="20" t="str">
        <f>"#"&amp;$S$2&amp;"#"&amp;$T$2&amp;"\"&amp;$P$2&amp;"\XRPX"</f>
        <v>#1#treiOPCDA.CoOPCserv.1\pcmaster\ZRU_OL1_ZEM\XRPX</v>
      </c>
    </row>
    <row r="113" spans="1:4">
      <c r="A113" s="140" t="str">
        <f t="shared" si="9"/>
        <v>АСУЭ.FB_IMs_MON_S.XRPX</v>
      </c>
      <c r="B113" s="141">
        <v>11000</v>
      </c>
      <c r="C113" s="141" t="s">
        <v>5</v>
      </c>
      <c r="D113" s="142">
        <v>2147483680</v>
      </c>
    </row>
    <row r="114" spans="1:4">
      <c r="A114" s="140" t="str">
        <f t="shared" si="9"/>
        <v>АСУЭ.FB_IMs_MON_S.XRPX</v>
      </c>
      <c r="B114" s="141">
        <v>11150</v>
      </c>
      <c r="C114" s="141" t="s">
        <v>0</v>
      </c>
      <c r="D114" s="142" t="s">
        <v>89</v>
      </c>
    </row>
    <row r="115" spans="1:4">
      <c r="A115" s="140" t="str">
        <f t="shared" si="9"/>
        <v>АСУЭ.FB_IMs_MON_S.XRPX</v>
      </c>
      <c r="B115" s="141">
        <v>11152</v>
      </c>
      <c r="C115" s="141" t="s">
        <v>0</v>
      </c>
      <c r="D115" s="142" t="str">
        <f>$R$11</f>
        <v>Ремонт</v>
      </c>
    </row>
    <row r="116" spans="1:4">
      <c r="A116" s="140" t="str">
        <f t="shared" si="9"/>
        <v>АСУЭ.FB_IMs_MON_S.XRPX</v>
      </c>
      <c r="B116" s="141">
        <v>11154</v>
      </c>
      <c r="C116" s="141" t="s">
        <v>4</v>
      </c>
      <c r="D116" s="142">
        <f>$Q$11</f>
        <v>14</v>
      </c>
    </row>
    <row r="117" spans="1:4" ht="16.5" customHeight="1">
      <c r="A117" s="29" t="str">
        <f t="shared" si="9"/>
        <v>АСУЭ.FB_IMs_MON_S.XRPX</v>
      </c>
      <c r="B117" s="1">
        <v>4000000</v>
      </c>
      <c r="C117" s="1" t="s">
        <v>0</v>
      </c>
      <c r="D117" s="415" t="s">
        <v>1489</v>
      </c>
    </row>
    <row r="118" spans="1:4">
      <c r="A118" s="26" t="str">
        <f t="shared" si="9"/>
        <v>АСУЭ.FB_IMs_MON_S.XRPX</v>
      </c>
      <c r="B118" s="27">
        <v>7000000</v>
      </c>
      <c r="C118" s="27" t="s">
        <v>6</v>
      </c>
      <c r="D118" s="28">
        <v>2</v>
      </c>
    </row>
    <row r="119" spans="1:4">
      <c r="A119" s="19" t="str">
        <f t="shared" ref="A119:A128" si="10">$R$2&amp;".XONX"</f>
        <v>АСУЭ.FB_IMs_MON_S.XONX</v>
      </c>
      <c r="B119" s="11">
        <v>1</v>
      </c>
      <c r="C119" s="11" t="s">
        <v>1</v>
      </c>
      <c r="D119" s="20">
        <v>11</v>
      </c>
    </row>
    <row r="120" spans="1:4">
      <c r="A120" s="19" t="str">
        <f t="shared" si="10"/>
        <v>АСУЭ.FB_IMs_MON_S.XONX</v>
      </c>
      <c r="B120" s="11">
        <v>2</v>
      </c>
      <c r="C120" s="11" t="s">
        <v>2</v>
      </c>
      <c r="D120" s="20" t="s">
        <v>3</v>
      </c>
    </row>
    <row r="121" spans="1:4">
      <c r="A121" s="19" t="str">
        <f t="shared" si="10"/>
        <v>АСУЭ.FB_IMs_MON_S.XONX</v>
      </c>
      <c r="B121" s="11">
        <v>3</v>
      </c>
      <c r="C121" s="11" t="s">
        <v>1</v>
      </c>
      <c r="D121" s="20">
        <v>192</v>
      </c>
    </row>
    <row r="122" spans="1:4">
      <c r="A122" s="19" t="str">
        <f t="shared" si="10"/>
        <v>АСУЭ.FB_IMs_MON_S.XONX</v>
      </c>
      <c r="B122" s="11">
        <v>101</v>
      </c>
      <c r="C122" s="11" t="s">
        <v>0</v>
      </c>
      <c r="D122" s="20" t="s">
        <v>337</v>
      </c>
    </row>
    <row r="123" spans="1:4">
      <c r="A123" s="19" t="str">
        <f t="shared" si="10"/>
        <v>АСУЭ.FB_IMs_MON_S.XONX</v>
      </c>
      <c r="B123" s="11">
        <v>7998</v>
      </c>
      <c r="C123" s="11" t="s">
        <v>6</v>
      </c>
      <c r="D123" s="20">
        <v>1</v>
      </c>
    </row>
    <row r="124" spans="1:4">
      <c r="A124" s="19" t="str">
        <f t="shared" si="10"/>
        <v>АСУЭ.FB_IMs_MON_S.XONX</v>
      </c>
      <c r="B124" s="11">
        <v>7999</v>
      </c>
      <c r="C124" s="11" t="s">
        <v>0</v>
      </c>
      <c r="D124" s="20" t="str">
        <f>"#"&amp;$S$2&amp;"#"&amp;$T$2&amp;"\"&amp;$P$2&amp;"\XONX"</f>
        <v>#1#treiOPCDA.CoOPCserv.1\pcmaster\ZRU_OL1_ZEM\XONX</v>
      </c>
    </row>
    <row r="125" spans="1:4">
      <c r="A125" s="100" t="str">
        <f t="shared" si="10"/>
        <v>АСУЭ.FB_IMs_MON_S.XONX</v>
      </c>
      <c r="B125" s="101">
        <v>11000</v>
      </c>
      <c r="C125" s="101" t="s">
        <v>5</v>
      </c>
      <c r="D125" s="103">
        <v>2147483680</v>
      </c>
    </row>
    <row r="126" spans="1:4">
      <c r="A126" s="100" t="str">
        <f t="shared" si="10"/>
        <v>АСУЭ.FB_IMs_MON_S.XONX</v>
      </c>
      <c r="B126" s="101">
        <v>11150</v>
      </c>
      <c r="C126" s="101" t="s">
        <v>0</v>
      </c>
      <c r="D126" s="103" t="s">
        <v>337</v>
      </c>
    </row>
    <row r="127" spans="1:4">
      <c r="A127" s="100" t="str">
        <f t="shared" si="10"/>
        <v>АСУЭ.FB_IMs_MON_S.XONX</v>
      </c>
      <c r="B127" s="101">
        <v>11152</v>
      </c>
      <c r="C127" s="101" t="s">
        <v>0</v>
      </c>
      <c r="D127" s="103" t="str">
        <f>$R$8</f>
        <v>Телесигнализация</v>
      </c>
    </row>
    <row r="128" spans="1:4">
      <c r="A128" s="170" t="str">
        <f t="shared" si="10"/>
        <v>АСУЭ.FB_IMs_MON_S.XONX</v>
      </c>
      <c r="B128" s="171">
        <v>11154</v>
      </c>
      <c r="C128" s="171" t="s">
        <v>4</v>
      </c>
      <c r="D128" s="172">
        <f>$Q$8</f>
        <v>18</v>
      </c>
    </row>
    <row r="129" spans="1:4">
      <c r="A129" s="16" t="str">
        <f t="shared" ref="A129:A138" si="11">$R$2&amp;".XOFX"</f>
        <v>АСУЭ.FB_IMs_MON_S.XOFX</v>
      </c>
      <c r="B129" s="17">
        <v>1</v>
      </c>
      <c r="C129" s="17" t="s">
        <v>1</v>
      </c>
      <c r="D129" s="18">
        <v>11</v>
      </c>
    </row>
    <row r="130" spans="1:4">
      <c r="A130" s="19" t="str">
        <f t="shared" si="11"/>
        <v>АСУЭ.FB_IMs_MON_S.XOFX</v>
      </c>
      <c r="B130" s="11">
        <v>2</v>
      </c>
      <c r="C130" s="11" t="s">
        <v>2</v>
      </c>
      <c r="D130" s="20" t="s">
        <v>3</v>
      </c>
    </row>
    <row r="131" spans="1:4">
      <c r="A131" s="19" t="str">
        <f t="shared" si="11"/>
        <v>АСУЭ.FB_IMs_MON_S.XOFX</v>
      </c>
      <c r="B131" s="11">
        <v>3</v>
      </c>
      <c r="C131" s="11" t="s">
        <v>1</v>
      </c>
      <c r="D131" s="20">
        <v>192</v>
      </c>
    </row>
    <row r="132" spans="1:4">
      <c r="A132" s="19" t="str">
        <f t="shared" si="11"/>
        <v>АСУЭ.FB_IMs_MON_S.XOFX</v>
      </c>
      <c r="B132" s="11">
        <v>101</v>
      </c>
      <c r="C132" s="11" t="s">
        <v>0</v>
      </c>
      <c r="D132" s="20" t="s">
        <v>336</v>
      </c>
    </row>
    <row r="133" spans="1:4">
      <c r="A133" s="19" t="str">
        <f t="shared" si="11"/>
        <v>АСУЭ.FB_IMs_MON_S.XOFX</v>
      </c>
      <c r="B133" s="11">
        <v>7998</v>
      </c>
      <c r="C133" s="11" t="s">
        <v>6</v>
      </c>
      <c r="D133" s="20">
        <v>1</v>
      </c>
    </row>
    <row r="134" spans="1:4">
      <c r="A134" s="19" t="str">
        <f t="shared" si="11"/>
        <v>АСУЭ.FB_IMs_MON_S.XOFX</v>
      </c>
      <c r="B134" s="11">
        <v>7999</v>
      </c>
      <c r="C134" s="11" t="s">
        <v>0</v>
      </c>
      <c r="D134" s="20" t="str">
        <f>"#"&amp;$S$2&amp;"#"&amp;$T$2&amp;"\"&amp;$P$2&amp;"\XOFX"</f>
        <v>#1#treiOPCDA.CoOPCserv.1\pcmaster\ZRU_OL1_ZEM\XOFX</v>
      </c>
    </row>
    <row r="135" spans="1:4">
      <c r="A135" s="100" t="str">
        <f t="shared" si="11"/>
        <v>АСУЭ.FB_IMs_MON_S.XOFX</v>
      </c>
      <c r="B135" s="101">
        <v>11000</v>
      </c>
      <c r="C135" s="101" t="s">
        <v>5</v>
      </c>
      <c r="D135" s="103">
        <v>2147483680</v>
      </c>
    </row>
    <row r="136" spans="1:4">
      <c r="A136" s="100" t="str">
        <f t="shared" si="11"/>
        <v>АСУЭ.FB_IMs_MON_S.XOFX</v>
      </c>
      <c r="B136" s="101">
        <v>11150</v>
      </c>
      <c r="C136" s="101" t="s">
        <v>0</v>
      </c>
      <c r="D136" s="103" t="s">
        <v>336</v>
      </c>
    </row>
    <row r="137" spans="1:4">
      <c r="A137" s="100" t="str">
        <f t="shared" si="11"/>
        <v>АСУЭ.FB_IMs_MON_S.XOFX</v>
      </c>
      <c r="B137" s="101">
        <v>11152</v>
      </c>
      <c r="C137" s="101" t="s">
        <v>0</v>
      </c>
      <c r="D137" s="103" t="str">
        <f>$R$8</f>
        <v>Телесигнализация</v>
      </c>
    </row>
    <row r="138" spans="1:4">
      <c r="A138" s="170" t="str">
        <f t="shared" si="11"/>
        <v>АСУЭ.FB_IMs_MON_S.XOFX</v>
      </c>
      <c r="B138" s="171">
        <v>11154</v>
      </c>
      <c r="C138" s="171" t="s">
        <v>4</v>
      </c>
      <c r="D138" s="172">
        <f>$Q$8</f>
        <v>18</v>
      </c>
    </row>
    <row r="139" spans="1:4">
      <c r="A139" s="266" t="str">
        <f>$R$2&amp;".Commands.SRQX"</f>
        <v>АСУЭ.FB_IMs_MON_S.Commands.SRQX</v>
      </c>
      <c r="B139" s="267">
        <v>1</v>
      </c>
      <c r="C139" s="267" t="s">
        <v>1</v>
      </c>
      <c r="D139" s="268">
        <v>3</v>
      </c>
    </row>
    <row r="140" spans="1:4">
      <c r="A140" s="269" t="str">
        <f>$R$2&amp;".Commands.SRQX"</f>
        <v>АСУЭ.FB_IMs_MON_S.Commands.SRQX</v>
      </c>
      <c r="B140" s="270">
        <v>101</v>
      </c>
      <c r="C140" s="270" t="s">
        <v>0</v>
      </c>
      <c r="D140" s="271" t="s">
        <v>125</v>
      </c>
    </row>
    <row r="141" spans="1:4">
      <c r="A141" s="269" t="str">
        <f>$R$2&amp;".Commands.SRQX"</f>
        <v>АСУЭ.FB_IMs_MON_S.Commands.SRQX</v>
      </c>
      <c r="B141" s="270">
        <v>7998</v>
      </c>
      <c r="C141" s="270" t="s">
        <v>6</v>
      </c>
      <c r="D141" s="271">
        <v>2</v>
      </c>
    </row>
    <row r="142" spans="1:4">
      <c r="A142" s="272" t="str">
        <f>$R$2&amp;".Commands.SRQX"</f>
        <v>АСУЭ.FB_IMs_MON_S.Commands.SRQX</v>
      </c>
      <c r="B142" s="273">
        <v>7999</v>
      </c>
      <c r="C142" s="273" t="s">
        <v>0</v>
      </c>
      <c r="D142" s="274" t="str">
        <f>"#"&amp;$T$5&amp;"#"&amp;$T$2&amp;"\"&amp;$P$2&amp;"\SRQX"</f>
        <v>#1#treiOPCDA.CoOPCserv.1\pcmaster\ZRU_OL1_ZEM\SRQX</v>
      </c>
    </row>
    <row r="143" spans="1:4">
      <c r="A143" s="16" t="str">
        <f>$R$2&amp;".Commands.CRPX"</f>
        <v>АСУЭ.FB_IMs_MON_S.Commands.CRPX</v>
      </c>
      <c r="B143" s="17">
        <v>1</v>
      </c>
      <c r="C143" s="17" t="s">
        <v>1</v>
      </c>
      <c r="D143" s="18">
        <v>11</v>
      </c>
    </row>
    <row r="144" spans="1:4">
      <c r="A144" s="19" t="str">
        <f>$R$2&amp;".Commands.CRPX"</f>
        <v>АСУЭ.FB_IMs_MON_S.Commands.CRPX</v>
      </c>
      <c r="B144" s="11">
        <v>101</v>
      </c>
      <c r="C144" s="11" t="s">
        <v>0</v>
      </c>
      <c r="D144" s="20" t="s">
        <v>113</v>
      </c>
    </row>
    <row r="145" spans="1:4">
      <c r="A145" s="19" t="str">
        <f>$R$2&amp;".Commands.CRPX"</f>
        <v>АСУЭ.FB_IMs_MON_S.Commands.CRPX</v>
      </c>
      <c r="B145" s="11">
        <v>7998</v>
      </c>
      <c r="C145" s="11" t="s">
        <v>6</v>
      </c>
      <c r="D145" s="20">
        <v>2</v>
      </c>
    </row>
    <row r="146" spans="1:4">
      <c r="A146" s="21" t="str">
        <f>$R$2&amp;".Commands.CRPX"</f>
        <v>АСУЭ.FB_IMs_MON_S.Commands.CRPX</v>
      </c>
      <c r="B146" s="8">
        <v>7999</v>
      </c>
      <c r="C146" s="8" t="s">
        <v>0</v>
      </c>
      <c r="D146" s="22" t="str">
        <f>"#"&amp;$T$5&amp;"#"&amp;$T$2&amp;"\"&amp;$P$2&amp;"\CRPX"</f>
        <v>#1#treiOPCDA.CoOPCserv.1\pcmaster\ZRU_OL1_ZEM\CRPX</v>
      </c>
    </row>
    <row r="147" spans="1:4">
      <c r="A147" s="16" t="str">
        <f>$R$2&amp;".Commands.CRRX"</f>
        <v>АСУЭ.FB_IMs_MON_S.Commands.CRRX</v>
      </c>
      <c r="B147" s="17">
        <v>1</v>
      </c>
      <c r="C147" s="17" t="s">
        <v>1</v>
      </c>
      <c r="D147" s="18">
        <v>11</v>
      </c>
    </row>
    <row r="148" spans="1:4">
      <c r="A148" s="19" t="str">
        <f>$R$2&amp;".Commands.CRRX"</f>
        <v>АСУЭ.FB_IMs_MON_S.Commands.CRRX</v>
      </c>
      <c r="B148" s="11">
        <v>101</v>
      </c>
      <c r="C148" s="11" t="s">
        <v>0</v>
      </c>
      <c r="D148" s="20" t="s">
        <v>116</v>
      </c>
    </row>
    <row r="149" spans="1:4">
      <c r="A149" s="19" t="str">
        <f>$R$2&amp;".Commands.CRRX"</f>
        <v>АСУЭ.FB_IMs_MON_S.Commands.CRRX</v>
      </c>
      <c r="B149" s="11">
        <v>7998</v>
      </c>
      <c r="C149" s="11" t="s">
        <v>6</v>
      </c>
      <c r="D149" s="20">
        <v>2</v>
      </c>
    </row>
    <row r="150" spans="1:4">
      <c r="A150" s="21" t="str">
        <f>$R$2&amp;".Commands.CRRX"</f>
        <v>АСУЭ.FB_IMs_MON_S.Commands.CRRX</v>
      </c>
      <c r="B150" s="8">
        <v>7999</v>
      </c>
      <c r="C150" s="8" t="s">
        <v>0</v>
      </c>
      <c r="D150" s="22" t="str">
        <f>"#"&amp;$T$5&amp;"#"&amp;$T$2&amp;"\"&amp;$P$2&amp;"\CRRX"</f>
        <v>#1#treiOPCDA.CoOPCserv.1\pcmaster\ZRU_OL1_ZEM\CRRX</v>
      </c>
    </row>
    <row r="151" spans="1:4">
      <c r="A151" s="16" t="str">
        <f t="shared" ref="A151:A156" si="12">$R$2&amp;".IONX"</f>
        <v>АСУЭ.FB_IMs_MON_S.IONX</v>
      </c>
      <c r="B151" s="17">
        <v>1</v>
      </c>
      <c r="C151" s="17" t="s">
        <v>1</v>
      </c>
      <c r="D151" s="18">
        <v>11</v>
      </c>
    </row>
    <row r="152" spans="1:4">
      <c r="A152" s="19" t="str">
        <f t="shared" si="12"/>
        <v>АСУЭ.FB_IMs_MON_S.IONX</v>
      </c>
      <c r="B152" s="11">
        <v>2</v>
      </c>
      <c r="C152" s="11" t="s">
        <v>2</v>
      </c>
      <c r="D152" s="20" t="s">
        <v>3</v>
      </c>
    </row>
    <row r="153" spans="1:4">
      <c r="A153" s="19" t="str">
        <f t="shared" si="12"/>
        <v>АСУЭ.FB_IMs_MON_S.IONX</v>
      </c>
      <c r="B153" s="11">
        <v>3</v>
      </c>
      <c r="C153" s="11" t="s">
        <v>1</v>
      </c>
      <c r="D153" s="20">
        <v>192</v>
      </c>
    </row>
    <row r="154" spans="1:4">
      <c r="A154" s="19" t="str">
        <f t="shared" si="12"/>
        <v>АСУЭ.FB_IMs_MON_S.IONX</v>
      </c>
      <c r="B154" s="11">
        <v>101</v>
      </c>
      <c r="C154" s="11" t="s">
        <v>0</v>
      </c>
      <c r="D154" s="20" t="s">
        <v>107</v>
      </c>
    </row>
    <row r="155" spans="1:4">
      <c r="A155" s="19" t="str">
        <f t="shared" si="12"/>
        <v>АСУЭ.FB_IMs_MON_S.IONX</v>
      </c>
      <c r="B155" s="11">
        <v>7998</v>
      </c>
      <c r="C155" s="11" t="s">
        <v>6</v>
      </c>
      <c r="D155" s="20">
        <v>1</v>
      </c>
    </row>
    <row r="156" spans="1:4">
      <c r="A156" s="21" t="str">
        <f t="shared" si="12"/>
        <v>АСУЭ.FB_IMs_MON_S.IONX</v>
      </c>
      <c r="B156" s="8">
        <v>7999</v>
      </c>
      <c r="C156" s="8" t="s">
        <v>0</v>
      </c>
      <c r="D156" s="22" t="str">
        <f>"#"&amp;$S$2&amp;"#"&amp;$T$2&amp;"\"&amp;$P$2&amp;"\IONX"</f>
        <v>#1#treiOPCDA.CoOPCserv.1\pcmaster\ZRU_OL1_ZEM\IONX</v>
      </c>
    </row>
    <row r="157" spans="1:4">
      <c r="A157" s="16" t="str">
        <f t="shared" ref="A157:A162" si="13">$R$2&amp;".IOFX"</f>
        <v>АСУЭ.FB_IMs_MON_S.IOFX</v>
      </c>
      <c r="B157" s="17">
        <v>7999</v>
      </c>
      <c r="C157" s="17" t="s">
        <v>0</v>
      </c>
      <c r="D157" s="18" t="str">
        <f>"#"&amp;$S$2&amp;"#"&amp;$T$2&amp;"\"&amp;$P$2&amp;"\IOFX"</f>
        <v>#1#treiOPCDA.CoOPCserv.1\pcmaster\ZRU_OL1_ZEM\IOFX</v>
      </c>
    </row>
    <row r="158" spans="1:4">
      <c r="A158" s="19" t="str">
        <f t="shared" si="13"/>
        <v>АСУЭ.FB_IMs_MON_S.IOFX</v>
      </c>
      <c r="B158" s="11">
        <v>7998</v>
      </c>
      <c r="C158" s="11" t="s">
        <v>6</v>
      </c>
      <c r="D158" s="20">
        <v>1</v>
      </c>
    </row>
    <row r="159" spans="1:4">
      <c r="A159" s="19" t="str">
        <f t="shared" si="13"/>
        <v>АСУЭ.FB_IMs_MON_S.IOFX</v>
      </c>
      <c r="B159" s="11">
        <v>101</v>
      </c>
      <c r="C159" s="11" t="s">
        <v>0</v>
      </c>
      <c r="D159" s="20" t="s">
        <v>92</v>
      </c>
    </row>
    <row r="160" spans="1:4">
      <c r="A160" s="19" t="str">
        <f t="shared" si="13"/>
        <v>АСУЭ.FB_IMs_MON_S.IOFX</v>
      </c>
      <c r="B160" s="11">
        <v>3</v>
      </c>
      <c r="C160" s="11" t="s">
        <v>1</v>
      </c>
      <c r="D160" s="20">
        <v>192</v>
      </c>
    </row>
    <row r="161" spans="1:4">
      <c r="A161" s="19" t="str">
        <f t="shared" si="13"/>
        <v>АСУЭ.FB_IMs_MON_S.IOFX</v>
      </c>
      <c r="B161" s="11">
        <v>2</v>
      </c>
      <c r="C161" s="11" t="s">
        <v>2</v>
      </c>
      <c r="D161" s="20" t="s">
        <v>3</v>
      </c>
    </row>
    <row r="162" spans="1:4">
      <c r="A162" s="21" t="str">
        <f t="shared" si="13"/>
        <v>АСУЭ.FB_IMs_MON_S.IOFX</v>
      </c>
      <c r="B162" s="8">
        <v>1</v>
      </c>
      <c r="C162" s="8" t="s">
        <v>1</v>
      </c>
      <c r="D162" s="22">
        <v>11</v>
      </c>
    </row>
    <row r="163" spans="1:4">
      <c r="A163" s="266" t="str">
        <f t="shared" ref="A163:A168" si="14">$R$2&amp;".XRON"</f>
        <v>АСУЭ.FB_IMs_MON_S.XRON</v>
      </c>
      <c r="B163" s="267">
        <v>1</v>
      </c>
      <c r="C163" s="267" t="s">
        <v>1</v>
      </c>
      <c r="D163" s="268">
        <v>3</v>
      </c>
    </row>
    <row r="164" spans="1:4">
      <c r="A164" s="269" t="str">
        <f t="shared" si="14"/>
        <v>АСУЭ.FB_IMs_MON_S.XRON</v>
      </c>
      <c r="B164" s="270">
        <v>2</v>
      </c>
      <c r="C164" s="270" t="s">
        <v>6</v>
      </c>
      <c r="D164" s="271">
        <v>0</v>
      </c>
    </row>
    <row r="165" spans="1:4">
      <c r="A165" s="269" t="str">
        <f t="shared" si="14"/>
        <v>АСУЭ.FB_IMs_MON_S.XRON</v>
      </c>
      <c r="B165" s="270">
        <v>3</v>
      </c>
      <c r="C165" s="270" t="s">
        <v>1</v>
      </c>
      <c r="D165" s="271">
        <v>192</v>
      </c>
    </row>
    <row r="166" spans="1:4">
      <c r="A166" s="269" t="str">
        <f t="shared" si="14"/>
        <v>АСУЭ.FB_IMs_MON_S.XRON</v>
      </c>
      <c r="B166" s="270">
        <v>101</v>
      </c>
      <c r="C166" s="270" t="s">
        <v>0</v>
      </c>
      <c r="D166" s="271" t="s">
        <v>287</v>
      </c>
    </row>
    <row r="167" spans="1:4">
      <c r="A167" s="269" t="str">
        <f t="shared" si="14"/>
        <v>АСУЭ.FB_IMs_MON_S.XRON</v>
      </c>
      <c r="B167" s="270">
        <v>7998</v>
      </c>
      <c r="C167" s="270" t="s">
        <v>6</v>
      </c>
      <c r="D167" s="271">
        <v>1</v>
      </c>
    </row>
    <row r="168" spans="1:4">
      <c r="A168" s="272" t="str">
        <f t="shared" si="14"/>
        <v>АСУЭ.FB_IMs_MON_S.XRON</v>
      </c>
      <c r="B168" s="273">
        <v>7999</v>
      </c>
      <c r="C168" s="273" t="s">
        <v>0</v>
      </c>
      <c r="D168" s="274" t="str">
        <f>"#"&amp;$S$2&amp;"#"&amp;$T$2&amp;"\"&amp;$P$2&amp;"\XRON"</f>
        <v>#1#treiOPCDA.CoOPCserv.1\pcmaster\ZRU_OL1_ZEM\XRON</v>
      </c>
    </row>
    <row r="169" spans="1:4">
      <c r="A169" s="266" t="str">
        <f t="shared" ref="A169:A174" si="15">$R$2&amp;".XROF"</f>
        <v>АСУЭ.FB_IMs_MON_S.XROF</v>
      </c>
      <c r="B169" s="267">
        <v>1</v>
      </c>
      <c r="C169" s="267" t="s">
        <v>1</v>
      </c>
      <c r="D169" s="268">
        <v>3</v>
      </c>
    </row>
    <row r="170" spans="1:4">
      <c r="A170" s="269" t="str">
        <f t="shared" si="15"/>
        <v>АСУЭ.FB_IMs_MON_S.XROF</v>
      </c>
      <c r="B170" s="270">
        <v>2</v>
      </c>
      <c r="C170" s="270" t="s">
        <v>6</v>
      </c>
      <c r="D170" s="271">
        <v>0</v>
      </c>
    </row>
    <row r="171" spans="1:4">
      <c r="A171" s="269" t="str">
        <f t="shared" si="15"/>
        <v>АСУЭ.FB_IMs_MON_S.XROF</v>
      </c>
      <c r="B171" s="270">
        <v>3</v>
      </c>
      <c r="C171" s="270" t="s">
        <v>1</v>
      </c>
      <c r="D171" s="271">
        <v>192</v>
      </c>
    </row>
    <row r="172" spans="1:4">
      <c r="A172" s="269" t="str">
        <f t="shared" si="15"/>
        <v>АСУЭ.FB_IMs_MON_S.XROF</v>
      </c>
      <c r="B172" s="270">
        <v>101</v>
      </c>
      <c r="C172" s="270" t="s">
        <v>0</v>
      </c>
      <c r="D172" s="271" t="s">
        <v>288</v>
      </c>
    </row>
    <row r="173" spans="1:4">
      <c r="A173" s="269" t="str">
        <f t="shared" si="15"/>
        <v>АСУЭ.FB_IMs_MON_S.XROF</v>
      </c>
      <c r="B173" s="270">
        <v>7998</v>
      </c>
      <c r="C173" s="270" t="s">
        <v>6</v>
      </c>
      <c r="D173" s="271">
        <v>1</v>
      </c>
    </row>
    <row r="174" spans="1:4">
      <c r="A174" s="272" t="str">
        <f t="shared" si="15"/>
        <v>АСУЭ.FB_IMs_MON_S.XROF</v>
      </c>
      <c r="B174" s="273">
        <v>7999</v>
      </c>
      <c r="C174" s="273" t="s">
        <v>0</v>
      </c>
      <c r="D174" s="274" t="str">
        <f>"#"&amp;$S$2&amp;"#"&amp;$T$2&amp;"\"&amp;$P$2&amp;"\XROF"</f>
        <v>#1#treiOPCDA.CoOPCserv.1\pcmaster\ZRU_OL1_ZEM\XROF</v>
      </c>
    </row>
    <row r="175" spans="1:4">
      <c r="A175" s="266" t="str">
        <f t="shared" ref="A175:A180" si="16">$R$2&amp;".SRQX"</f>
        <v>АСУЭ.FB_IMs_MON_S.SRQX</v>
      </c>
      <c r="B175" s="267">
        <v>1</v>
      </c>
      <c r="C175" s="267" t="s">
        <v>1</v>
      </c>
      <c r="D175" s="268">
        <v>3</v>
      </c>
    </row>
    <row r="176" spans="1:4">
      <c r="A176" s="269" t="str">
        <f t="shared" si="16"/>
        <v>АСУЭ.FB_IMs_MON_S.SRQX</v>
      </c>
      <c r="B176" s="270">
        <v>2</v>
      </c>
      <c r="C176" s="270" t="s">
        <v>6</v>
      </c>
      <c r="D176" s="271">
        <v>0</v>
      </c>
    </row>
    <row r="177" spans="1:4">
      <c r="A177" s="269" t="str">
        <f t="shared" si="16"/>
        <v>АСУЭ.FB_IMs_MON_S.SRQX</v>
      </c>
      <c r="B177" s="270">
        <v>3</v>
      </c>
      <c r="C177" s="270" t="s">
        <v>1</v>
      </c>
      <c r="D177" s="271">
        <v>192</v>
      </c>
    </row>
    <row r="178" spans="1:4">
      <c r="A178" s="269" t="str">
        <f t="shared" si="16"/>
        <v>АСУЭ.FB_IMs_MON_S.SRQX</v>
      </c>
      <c r="B178" s="270">
        <v>101</v>
      </c>
      <c r="C178" s="270" t="s">
        <v>0</v>
      </c>
      <c r="D178" s="271" t="s">
        <v>125</v>
      </c>
    </row>
    <row r="179" spans="1:4">
      <c r="A179" s="269" t="str">
        <f t="shared" si="16"/>
        <v>АСУЭ.FB_IMs_MON_S.SRQX</v>
      </c>
      <c r="B179" s="270">
        <v>7998</v>
      </c>
      <c r="C179" s="270" t="s">
        <v>6</v>
      </c>
      <c r="D179" s="271">
        <v>1</v>
      </c>
    </row>
    <row r="180" spans="1:4">
      <c r="A180" s="272" t="str">
        <f t="shared" si="16"/>
        <v>АСУЭ.FB_IMs_MON_S.SRQX</v>
      </c>
      <c r="B180" s="273">
        <v>7999</v>
      </c>
      <c r="C180" s="273" t="s">
        <v>0</v>
      </c>
      <c r="D180" s="274" t="str">
        <f>"#"&amp;$S$2&amp;"#"&amp;$T$2&amp;"\"&amp;$P$2&amp;"\SRQX"</f>
        <v>#1#treiOPCDA.CoOPCserv.1\pcmaster\ZRU_OL1_ZEM\SRQX</v>
      </c>
    </row>
  </sheetData>
  <autoFilter ref="B1:B180" xr:uid="{00000000-0009-0000-0000-000018000000}"/>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Лист53">
    <tabColor rgb="FFFFC000"/>
  </sheetPr>
  <dimension ref="A1:BP180"/>
  <sheetViews>
    <sheetView topLeftCell="A149" workbookViewId="0">
      <selection activeCell="D2" sqref="D2:D4"/>
    </sheetView>
  </sheetViews>
  <sheetFormatPr defaultRowHeight="14.4"/>
  <cols>
    <col min="1" max="1" width="30.44140625" customWidth="1"/>
    <col min="2" max="2" width="8" customWidth="1"/>
    <col min="3" max="3" width="7.6640625" customWidth="1"/>
    <col min="4" max="4" width="71.4414062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57"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t="s">
        <v>1401</v>
      </c>
      <c r="Q2" s="2" t="s">
        <v>774</v>
      </c>
      <c r="R2" s="2" t="s">
        <v>605</v>
      </c>
      <c r="S2" s="3">
        <v>1</v>
      </c>
      <c r="T2" s="3" t="s">
        <v>1698</v>
      </c>
      <c r="U2" s="3"/>
      <c r="V2" s="3" t="s">
        <v>569</v>
      </c>
      <c r="W2" s="12"/>
      <c r="X2" s="12"/>
      <c r="Y2" s="12"/>
      <c r="Z2" s="12"/>
      <c r="AA2" s="12"/>
      <c r="AB2" s="2"/>
      <c r="AC2" s="2"/>
      <c r="AD2" s="2"/>
      <c r="AE2" s="2" t="s">
        <v>1414</v>
      </c>
      <c r="AF2" s="2"/>
      <c r="AG2" s="2"/>
      <c r="AH2" s="2"/>
      <c r="AI2" s="2"/>
      <c r="AJ2" s="2"/>
      <c r="AK2" s="2"/>
      <c r="AL2" s="2" t="s">
        <v>1290</v>
      </c>
      <c r="AM2" s="2" t="s">
        <v>1291</v>
      </c>
      <c r="AN2" s="2"/>
      <c r="AO2" s="2"/>
      <c r="AP2" s="2" t="s">
        <v>1292</v>
      </c>
      <c r="AQ2" s="2"/>
      <c r="AR2" s="2"/>
      <c r="AS2" s="2"/>
      <c r="AT2" s="2"/>
      <c r="AU2" s="2"/>
      <c r="AV2" s="2"/>
      <c r="AW2" s="2"/>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M4" s="4"/>
      <c r="BN4" s="4"/>
      <c r="BO4" s="4"/>
      <c r="BP4" s="4"/>
    </row>
    <row r="5" spans="1:68"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M5" s="4"/>
      <c r="BN5" s="4"/>
      <c r="BO5" s="4"/>
      <c r="BP5" s="4"/>
    </row>
    <row r="6" spans="1:68"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M6" s="4"/>
      <c r="BN6" s="4"/>
      <c r="BO6" s="4"/>
      <c r="BP6" s="4"/>
    </row>
    <row r="7" spans="1:68"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M7" s="4"/>
      <c r="BN7" s="4"/>
      <c r="BO7" s="4"/>
      <c r="BP7" s="4"/>
    </row>
    <row r="8" spans="1:68" ht="15" customHeight="1">
      <c r="A8" s="9"/>
      <c r="B8" s="9"/>
      <c r="C8" s="9"/>
      <c r="D8" s="9"/>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BM8" s="4"/>
      <c r="BN8" s="4"/>
      <c r="BO8" s="4"/>
      <c r="BP8" s="4"/>
    </row>
    <row r="9" spans="1:68" ht="15" customHeight="1">
      <c r="A9" s="9"/>
      <c r="B9" s="9"/>
      <c r="C9" s="9"/>
      <c r="D9" s="9"/>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BM9" s="4"/>
      <c r="BN9" s="4"/>
      <c r="BO9" s="4"/>
      <c r="BP9" s="4"/>
    </row>
    <row r="10" spans="1:68" ht="15" customHeight="1">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BM10" s="4"/>
      <c r="BN10" s="4"/>
      <c r="BO10" s="4"/>
      <c r="BP10" s="4"/>
    </row>
    <row r="11" spans="1:68" ht="15" customHeight="1">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BM11" s="4"/>
      <c r="BN11" s="4"/>
      <c r="BO11" s="4"/>
      <c r="BP11" s="4"/>
    </row>
    <row r="12" spans="1:68"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M17" s="4"/>
      <c r="BN17" s="4"/>
      <c r="BO17" s="4"/>
      <c r="BP17" s="4"/>
    </row>
    <row r="18" spans="1:68"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M18" s="4"/>
      <c r="BN18" s="4"/>
      <c r="BO18" s="4"/>
      <c r="BP18" s="4"/>
    </row>
    <row r="19" spans="1:68"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M19" s="4"/>
      <c r="BN19" s="4"/>
      <c r="BO19" s="4"/>
      <c r="BP19" s="4"/>
    </row>
    <row r="20" spans="1:68">
      <c r="A20" s="16" t="str">
        <f t="shared" ref="A20:A30" si="0">$R$2</f>
        <v>FB_IMp_MON_S</v>
      </c>
      <c r="B20" s="17">
        <v>1</v>
      </c>
      <c r="C20" s="17" t="s">
        <v>1</v>
      </c>
      <c r="D20" s="18">
        <v>17</v>
      </c>
    </row>
    <row r="21" spans="1:68">
      <c r="A21" s="19" t="str">
        <f t="shared" si="0"/>
        <v>FB_IMp_MON_S</v>
      </c>
      <c r="B21" s="11">
        <v>11001</v>
      </c>
      <c r="C21" s="11" t="s">
        <v>0</v>
      </c>
      <c r="D21" s="20" t="str">
        <f>$Q$2&amp;". "</f>
        <v xml:space="preserve">Насос без управления. </v>
      </c>
    </row>
    <row r="22" spans="1:68">
      <c r="A22" s="19" t="str">
        <f t="shared" si="0"/>
        <v>FB_IMp_MON_S</v>
      </c>
      <c r="B22" s="11">
        <v>11156</v>
      </c>
      <c r="C22" s="11" t="s">
        <v>0</v>
      </c>
      <c r="D22" s="20" t="str">
        <f>$V$2</f>
        <v>Тестовый экран</v>
      </c>
    </row>
    <row r="23" spans="1:68" ht="15" customHeight="1">
      <c r="A23" s="16" t="str">
        <f t="shared" si="0"/>
        <v>FB_IMp_MON_S</v>
      </c>
      <c r="B23" s="17">
        <v>100</v>
      </c>
      <c r="C23" s="17" t="s">
        <v>0</v>
      </c>
      <c r="D23" s="18" t="b">
        <f>$T$7</f>
        <v>0</v>
      </c>
      <c r="BF23" s="4"/>
      <c r="BG23" s="4"/>
      <c r="BH23" s="4"/>
      <c r="BI23" s="4"/>
    </row>
    <row r="24" spans="1:68">
      <c r="A24" s="19" t="str">
        <f t="shared" si="0"/>
        <v>FB_IMp_MON_S</v>
      </c>
      <c r="B24" s="11">
        <v>11120</v>
      </c>
      <c r="C24" s="11" t="s">
        <v>0</v>
      </c>
      <c r="D24" s="20" t="str">
        <f>$AL$2</f>
        <v>6+32</v>
      </c>
    </row>
    <row r="25" spans="1:68">
      <c r="A25" s="19" t="str">
        <f t="shared" si="0"/>
        <v>FB_IMp_MON_S</v>
      </c>
      <c r="B25" s="11">
        <v>11121</v>
      </c>
      <c r="C25" s="11" t="s">
        <v>0</v>
      </c>
      <c r="D25" s="20" t="str">
        <f>$AM$2</f>
        <v>7+4</v>
      </c>
    </row>
    <row r="26" spans="1:68">
      <c r="A26" s="21" t="str">
        <f t="shared" si="0"/>
        <v>FB_IMp_MON_S</v>
      </c>
      <c r="B26" s="8">
        <v>11122</v>
      </c>
      <c r="C26" s="8" t="s">
        <v>0</v>
      </c>
      <c r="D26" s="22" t="str">
        <f>$AP$2</f>
        <v>6+14</v>
      </c>
    </row>
    <row r="27" spans="1:68">
      <c r="A27" s="16" t="str">
        <f t="shared" si="0"/>
        <v>FB_IMp_MON_S</v>
      </c>
      <c r="B27" s="17">
        <v>13</v>
      </c>
      <c r="C27" s="17" t="s">
        <v>2</v>
      </c>
      <c r="D27" s="18" t="s">
        <v>3</v>
      </c>
    </row>
    <row r="28" spans="1:68" ht="15" customHeight="1">
      <c r="A28" s="19" t="str">
        <f t="shared" si="0"/>
        <v>FB_IMp_MON_S</v>
      </c>
      <c r="B28" s="11">
        <v>3000013</v>
      </c>
      <c r="C28" s="11" t="s">
        <v>0</v>
      </c>
      <c r="D28" s="20" t="str">
        <f>$AE$2</f>
        <v>Диагностика.CPU.NOT_LINK.noLink</v>
      </c>
      <c r="BF28" s="4"/>
      <c r="BG28" s="4"/>
      <c r="BH28" s="4"/>
      <c r="BI28" s="4"/>
    </row>
    <row r="29" spans="1:68" ht="15" customHeight="1">
      <c r="A29" s="19" t="str">
        <f t="shared" si="0"/>
        <v>FB_IMp_MON_S</v>
      </c>
      <c r="B29" s="11">
        <v>4000013</v>
      </c>
      <c r="C29" s="11" t="s">
        <v>0</v>
      </c>
      <c r="D29" s="20" t="s">
        <v>1770</v>
      </c>
      <c r="BF29" s="4"/>
      <c r="BG29" s="4"/>
      <c r="BH29" s="4"/>
      <c r="BI29" s="4"/>
    </row>
    <row r="30" spans="1:68" ht="15" customHeight="1">
      <c r="A30" s="21" t="str">
        <f t="shared" si="0"/>
        <v>FB_IMp_MON_S</v>
      </c>
      <c r="B30" s="8">
        <v>7000013</v>
      </c>
      <c r="C30" s="8" t="s">
        <v>6</v>
      </c>
      <c r="D30" s="22">
        <v>2</v>
      </c>
      <c r="BF30" s="4"/>
      <c r="BG30" s="4"/>
      <c r="BH30" s="4"/>
      <c r="BI30" s="4"/>
    </row>
    <row r="31" spans="1:68">
      <c r="A31" s="69" t="str">
        <f t="shared" ref="A31:A40" si="1">$R$2&amp;".FRTX"</f>
        <v>FB_IMp_MON_S.FRTX</v>
      </c>
      <c r="B31" s="70">
        <v>11154</v>
      </c>
      <c r="C31" s="70" t="s">
        <v>4</v>
      </c>
      <c r="D31" s="144">
        <f>$Q$6</f>
        <v>8</v>
      </c>
    </row>
    <row r="32" spans="1:68">
      <c r="A32" s="63" t="str">
        <f t="shared" si="1"/>
        <v>FB_IMp_MON_S.FRTX</v>
      </c>
      <c r="B32" s="64">
        <v>11150</v>
      </c>
      <c r="C32" s="64" t="s">
        <v>0</v>
      </c>
      <c r="D32" s="65" t="s">
        <v>158</v>
      </c>
    </row>
    <row r="33" spans="1:4">
      <c r="A33" s="63" t="str">
        <f t="shared" si="1"/>
        <v>FB_IMp_MON_S.FRTX</v>
      </c>
      <c r="B33" s="64">
        <v>11152</v>
      </c>
      <c r="C33" s="64" t="s">
        <v>0</v>
      </c>
      <c r="D33" s="99" t="str">
        <f>$R$6</f>
        <v>Предупреждение</v>
      </c>
    </row>
    <row r="34" spans="1:4">
      <c r="A34" s="63" t="str">
        <f t="shared" si="1"/>
        <v>FB_IMp_MON_S.FRTX</v>
      </c>
      <c r="B34" s="64">
        <v>11000</v>
      </c>
      <c r="C34" s="64" t="s">
        <v>5</v>
      </c>
      <c r="D34" s="65">
        <v>2147483680</v>
      </c>
    </row>
    <row r="35" spans="1:4">
      <c r="A35" s="19" t="str">
        <f t="shared" si="1"/>
        <v>FB_IMp_MON_S.FRTX</v>
      </c>
      <c r="B35" s="11">
        <v>7999</v>
      </c>
      <c r="C35" s="11" t="s">
        <v>0</v>
      </c>
      <c r="D35" s="20" t="str">
        <f>"#"&amp;$S$2&amp;"#"&amp;$T$2&amp;"\"&amp;$P$2&amp;"\FRTX"</f>
        <v>#1#treiOPCDA.CoOPCserv.1\pcmaster\MK1\FRTX</v>
      </c>
    </row>
    <row r="36" spans="1:4">
      <c r="A36" s="19" t="str">
        <f t="shared" si="1"/>
        <v>FB_IMp_MON_S.FRTX</v>
      </c>
      <c r="B36" s="11">
        <v>7998</v>
      </c>
      <c r="C36" s="11" t="s">
        <v>6</v>
      </c>
      <c r="D36" s="20">
        <v>1</v>
      </c>
    </row>
    <row r="37" spans="1:4">
      <c r="A37" s="19" t="str">
        <f t="shared" si="1"/>
        <v>FB_IMp_MON_S.FRTX</v>
      </c>
      <c r="B37" s="11">
        <v>101</v>
      </c>
      <c r="C37" s="11" t="s">
        <v>0</v>
      </c>
      <c r="D37" s="20" t="s">
        <v>158</v>
      </c>
    </row>
    <row r="38" spans="1:4">
      <c r="A38" s="19" t="str">
        <f t="shared" si="1"/>
        <v>FB_IMp_MON_S.FRTX</v>
      </c>
      <c r="B38" s="11">
        <v>3</v>
      </c>
      <c r="C38" s="11" t="s">
        <v>1</v>
      </c>
      <c r="D38" s="20">
        <v>192</v>
      </c>
    </row>
    <row r="39" spans="1:4">
      <c r="A39" s="19" t="str">
        <f t="shared" si="1"/>
        <v>FB_IMp_MON_S.FRTX</v>
      </c>
      <c r="B39" s="11">
        <v>2</v>
      </c>
      <c r="C39" s="11" t="s">
        <v>2</v>
      </c>
      <c r="D39" s="20" t="s">
        <v>3</v>
      </c>
    </row>
    <row r="40" spans="1:4">
      <c r="A40" s="21" t="str">
        <f t="shared" si="1"/>
        <v>FB_IMp_MON_S.FRTX</v>
      </c>
      <c r="B40" s="8">
        <v>1</v>
      </c>
      <c r="C40" s="8" t="s">
        <v>1</v>
      </c>
      <c r="D40" s="22">
        <v>11</v>
      </c>
    </row>
    <row r="41" spans="1:4">
      <c r="A41" s="16" t="str">
        <f t="shared" ref="A41:A50" si="2">$R$2&amp;".IFXX"</f>
        <v>FB_IMp_MON_S.IFXX</v>
      </c>
      <c r="B41" s="17">
        <v>1</v>
      </c>
      <c r="C41" s="17" t="s">
        <v>1</v>
      </c>
      <c r="D41" s="18">
        <v>11</v>
      </c>
    </row>
    <row r="42" spans="1:4">
      <c r="A42" s="19" t="str">
        <f t="shared" si="2"/>
        <v>FB_IMp_MON_S.IFXX</v>
      </c>
      <c r="B42" s="11">
        <v>2</v>
      </c>
      <c r="C42" s="11" t="s">
        <v>2</v>
      </c>
      <c r="D42" s="20" t="s">
        <v>3</v>
      </c>
    </row>
    <row r="43" spans="1:4">
      <c r="A43" s="19" t="str">
        <f t="shared" si="2"/>
        <v>FB_IMp_MON_S.IFXX</v>
      </c>
      <c r="B43" s="11">
        <v>3</v>
      </c>
      <c r="C43" s="11" t="s">
        <v>1</v>
      </c>
      <c r="D43" s="20">
        <v>192</v>
      </c>
    </row>
    <row r="44" spans="1:4">
      <c r="A44" s="211" t="str">
        <f t="shared" si="2"/>
        <v>FB_IMp_MON_S.IFXX</v>
      </c>
      <c r="B44" s="212">
        <v>11152</v>
      </c>
      <c r="C44" s="212" t="s">
        <v>0</v>
      </c>
      <c r="D44" s="213" t="str">
        <f>$R$7</f>
        <v>Неисправность</v>
      </c>
    </row>
    <row r="45" spans="1:4">
      <c r="A45" s="211" t="str">
        <f t="shared" si="2"/>
        <v>FB_IMp_MON_S.IFXX</v>
      </c>
      <c r="B45" s="212">
        <v>11000</v>
      </c>
      <c r="C45" s="212" t="s">
        <v>5</v>
      </c>
      <c r="D45" s="213">
        <v>2147483680</v>
      </c>
    </row>
    <row r="46" spans="1:4">
      <c r="A46" s="211" t="str">
        <f t="shared" si="2"/>
        <v>FB_IMp_MON_S.IFXX</v>
      </c>
      <c r="B46" s="212">
        <v>11150</v>
      </c>
      <c r="C46" s="212" t="s">
        <v>0</v>
      </c>
      <c r="D46" s="213" t="s">
        <v>110</v>
      </c>
    </row>
    <row r="47" spans="1:4">
      <c r="A47" s="211" t="str">
        <f t="shared" si="2"/>
        <v>FB_IMp_MON_S.IFXX</v>
      </c>
      <c r="B47" s="212">
        <v>11154</v>
      </c>
      <c r="C47" s="212" t="s">
        <v>4</v>
      </c>
      <c r="D47" s="213">
        <f>$Q$7</f>
        <v>12</v>
      </c>
    </row>
    <row r="48" spans="1:4">
      <c r="A48" s="19" t="str">
        <f t="shared" si="2"/>
        <v>FB_IMp_MON_S.IFXX</v>
      </c>
      <c r="B48" s="11">
        <v>101</v>
      </c>
      <c r="C48" s="11" t="s">
        <v>0</v>
      </c>
      <c r="D48" s="20" t="s">
        <v>176</v>
      </c>
    </row>
    <row r="49" spans="1:4">
      <c r="A49" s="19" t="str">
        <f t="shared" si="2"/>
        <v>FB_IMp_MON_S.IFXX</v>
      </c>
      <c r="B49" s="11">
        <v>7998</v>
      </c>
      <c r="C49" s="11" t="s">
        <v>6</v>
      </c>
      <c r="D49" s="20">
        <v>1</v>
      </c>
    </row>
    <row r="50" spans="1:4">
      <c r="A50" s="21" t="str">
        <f t="shared" si="2"/>
        <v>FB_IMp_MON_S.IFXX</v>
      </c>
      <c r="B50" s="8">
        <v>7999</v>
      </c>
      <c r="C50" s="8" t="s">
        <v>0</v>
      </c>
      <c r="D50" s="22" t="str">
        <f>"#"&amp;$S$2&amp;"#"&amp;$T$2&amp;"\"&amp;$P$2&amp;"\IFXX"</f>
        <v>#1#treiOPCDA.CoOPCserv.1\pcmaster\MK1\IFXX</v>
      </c>
    </row>
    <row r="51" spans="1:4">
      <c r="A51" s="16" t="str">
        <f t="shared" ref="A51:A56" si="3">$R$2&amp;".FXXX"</f>
        <v>FB_IMp_MON_S.FXXX</v>
      </c>
      <c r="B51" s="17">
        <v>1</v>
      </c>
      <c r="C51" s="17" t="s">
        <v>1</v>
      </c>
      <c r="D51" s="18">
        <v>11</v>
      </c>
    </row>
    <row r="52" spans="1:4">
      <c r="A52" s="19" t="str">
        <f t="shared" si="3"/>
        <v>FB_IMp_MON_S.FXXX</v>
      </c>
      <c r="B52" s="11">
        <v>2</v>
      </c>
      <c r="C52" s="11" t="s">
        <v>2</v>
      </c>
      <c r="D52" s="20" t="s">
        <v>3</v>
      </c>
    </row>
    <row r="53" spans="1:4">
      <c r="A53" s="19" t="str">
        <f t="shared" si="3"/>
        <v>FB_IMp_MON_S.FXXX</v>
      </c>
      <c r="B53" s="11">
        <v>3</v>
      </c>
      <c r="C53" s="11" t="s">
        <v>1</v>
      </c>
      <c r="D53" s="20">
        <v>192</v>
      </c>
    </row>
    <row r="54" spans="1:4">
      <c r="A54" s="19" t="str">
        <f t="shared" si="3"/>
        <v>FB_IMp_MON_S.FXXX</v>
      </c>
      <c r="B54" s="11">
        <v>101</v>
      </c>
      <c r="C54" s="11" t="s">
        <v>0</v>
      </c>
      <c r="D54" s="20" t="s">
        <v>139</v>
      </c>
    </row>
    <row r="55" spans="1:4">
      <c r="A55" s="19" t="str">
        <f t="shared" si="3"/>
        <v>FB_IMp_MON_S.FXXX</v>
      </c>
      <c r="B55" s="11">
        <v>7998</v>
      </c>
      <c r="C55" s="11" t="s">
        <v>6</v>
      </c>
      <c r="D55" s="20">
        <v>1</v>
      </c>
    </row>
    <row r="56" spans="1:4">
      <c r="A56" s="19" t="str">
        <f t="shared" si="3"/>
        <v>FB_IMp_MON_S.FXXX</v>
      </c>
      <c r="B56" s="11">
        <v>7999</v>
      </c>
      <c r="C56" s="11" t="s">
        <v>0</v>
      </c>
      <c r="D56" s="20" t="str">
        <f>"#"&amp;$S$2&amp;"#"&amp;$T$2&amp;"\"&amp;$P$2&amp;"\FXXX"</f>
        <v>#1#treiOPCDA.CoOPCserv.1\pcmaster\MK1\FXXX</v>
      </c>
    </row>
    <row r="57" spans="1:4">
      <c r="A57" s="217" t="str">
        <f t="shared" ref="A57:A66" si="4">$R$2&amp;".FUSX"</f>
        <v>FB_IMp_MON_S.FUSX</v>
      </c>
      <c r="B57" s="218">
        <v>11154</v>
      </c>
      <c r="C57" s="218" t="s">
        <v>4</v>
      </c>
      <c r="D57" s="231">
        <f>$Q$7</f>
        <v>12</v>
      </c>
    </row>
    <row r="58" spans="1:4">
      <c r="A58" s="211" t="str">
        <f t="shared" si="4"/>
        <v>FB_IMp_MON_S.FUSX</v>
      </c>
      <c r="B58" s="212">
        <v>11152</v>
      </c>
      <c r="C58" s="212" t="s">
        <v>0</v>
      </c>
      <c r="D58" s="213" t="str">
        <f>$R$7</f>
        <v>Неисправность</v>
      </c>
    </row>
    <row r="59" spans="1:4">
      <c r="A59" s="211" t="str">
        <f t="shared" si="4"/>
        <v>FB_IMp_MON_S.FUSX</v>
      </c>
      <c r="B59" s="212">
        <v>11150</v>
      </c>
      <c r="C59" s="212" t="s">
        <v>0</v>
      </c>
      <c r="D59" s="213" t="s">
        <v>154</v>
      </c>
    </row>
    <row r="60" spans="1:4">
      <c r="A60" s="211" t="str">
        <f t="shared" si="4"/>
        <v>FB_IMp_MON_S.FUSX</v>
      </c>
      <c r="B60" s="212">
        <v>11000</v>
      </c>
      <c r="C60" s="212" t="s">
        <v>5</v>
      </c>
      <c r="D60" s="213">
        <v>2147483680</v>
      </c>
    </row>
    <row r="61" spans="1:4">
      <c r="A61" s="19" t="str">
        <f t="shared" si="4"/>
        <v>FB_IMp_MON_S.FUSX</v>
      </c>
      <c r="B61" s="11">
        <v>7999</v>
      </c>
      <c r="C61" s="11" t="s">
        <v>0</v>
      </c>
      <c r="D61" s="20" t="str">
        <f>"#"&amp;$S$2&amp;"#"&amp;$T$2&amp;"\"&amp;$P$2&amp;"\FUSX"</f>
        <v>#1#treiOPCDA.CoOPCserv.1\pcmaster\MK1\FUSX</v>
      </c>
    </row>
    <row r="62" spans="1:4">
      <c r="A62" s="19" t="str">
        <f t="shared" si="4"/>
        <v>FB_IMp_MON_S.FUSX</v>
      </c>
      <c r="B62" s="11">
        <v>7998</v>
      </c>
      <c r="C62" s="11" t="s">
        <v>6</v>
      </c>
      <c r="D62" s="20">
        <v>1</v>
      </c>
    </row>
    <row r="63" spans="1:4">
      <c r="A63" s="19" t="str">
        <f t="shared" si="4"/>
        <v>FB_IMp_MON_S.FUSX</v>
      </c>
      <c r="B63" s="11">
        <v>101</v>
      </c>
      <c r="C63" s="11" t="s">
        <v>0</v>
      </c>
      <c r="D63" s="20" t="s">
        <v>154</v>
      </c>
    </row>
    <row r="64" spans="1:4">
      <c r="A64" s="19" t="str">
        <f t="shared" si="4"/>
        <v>FB_IMp_MON_S.FUSX</v>
      </c>
      <c r="B64" s="11">
        <v>3</v>
      </c>
      <c r="C64" s="11" t="s">
        <v>1</v>
      </c>
      <c r="D64" s="20">
        <v>192</v>
      </c>
    </row>
    <row r="65" spans="1:4">
      <c r="A65" s="19" t="str">
        <f t="shared" si="4"/>
        <v>FB_IMp_MON_S.FUSX</v>
      </c>
      <c r="B65" s="11">
        <v>2</v>
      </c>
      <c r="C65" s="11" t="s">
        <v>2</v>
      </c>
      <c r="D65" s="20" t="s">
        <v>3</v>
      </c>
    </row>
    <row r="66" spans="1:4">
      <c r="A66" s="21" t="str">
        <f t="shared" si="4"/>
        <v>FB_IMp_MON_S.FUSX</v>
      </c>
      <c r="B66" s="8">
        <v>1</v>
      </c>
      <c r="C66" s="8" t="s">
        <v>1</v>
      </c>
      <c r="D66" s="22">
        <v>11</v>
      </c>
    </row>
    <row r="67" spans="1:4">
      <c r="A67" s="16" t="str">
        <f t="shared" ref="A67:A76" si="5">$R$2&amp;".FDSX"</f>
        <v>FB_IMp_MON_S.FDSX</v>
      </c>
      <c r="B67" s="17">
        <v>1</v>
      </c>
      <c r="C67" s="17" t="s">
        <v>1</v>
      </c>
      <c r="D67" s="18">
        <v>11</v>
      </c>
    </row>
    <row r="68" spans="1:4">
      <c r="A68" s="19" t="str">
        <f t="shared" si="5"/>
        <v>FB_IMp_MON_S.FDSX</v>
      </c>
      <c r="B68" s="11">
        <v>2</v>
      </c>
      <c r="C68" s="11" t="s">
        <v>2</v>
      </c>
      <c r="D68" s="20" t="s">
        <v>3</v>
      </c>
    </row>
    <row r="69" spans="1:4">
      <c r="A69" s="19" t="str">
        <f t="shared" si="5"/>
        <v>FB_IMp_MON_S.FDSX</v>
      </c>
      <c r="B69" s="11">
        <v>3</v>
      </c>
      <c r="C69" s="11" t="s">
        <v>1</v>
      </c>
      <c r="D69" s="20">
        <v>192</v>
      </c>
    </row>
    <row r="70" spans="1:4">
      <c r="A70" s="19" t="str">
        <f t="shared" si="5"/>
        <v>FB_IMp_MON_S.FDSX</v>
      </c>
      <c r="B70" s="11">
        <v>101</v>
      </c>
      <c r="C70" s="11" t="s">
        <v>0</v>
      </c>
      <c r="D70" s="20" t="s">
        <v>161</v>
      </c>
    </row>
    <row r="71" spans="1:4">
      <c r="A71" s="19" t="str">
        <f t="shared" si="5"/>
        <v>FB_IMp_MON_S.FDSX</v>
      </c>
      <c r="B71" s="11">
        <v>7998</v>
      </c>
      <c r="C71" s="11" t="s">
        <v>6</v>
      </c>
      <c r="D71" s="20">
        <v>1</v>
      </c>
    </row>
    <row r="72" spans="1:4">
      <c r="A72" s="19" t="str">
        <f t="shared" si="5"/>
        <v>FB_IMp_MON_S.FDSX</v>
      </c>
      <c r="B72" s="11">
        <v>7999</v>
      </c>
      <c r="C72" s="11" t="s">
        <v>0</v>
      </c>
      <c r="D72" s="20" t="str">
        <f>"#"&amp;$S$2&amp;"#"&amp;$T$2&amp;"\"&amp;$P$2&amp;"\FDSX"</f>
        <v>#1#treiOPCDA.CoOPCserv.1\pcmaster\MK1\FDSX</v>
      </c>
    </row>
    <row r="73" spans="1:4">
      <c r="A73" s="211" t="str">
        <f t="shared" si="5"/>
        <v>FB_IMp_MON_S.FDSX</v>
      </c>
      <c r="B73" s="212">
        <v>11000</v>
      </c>
      <c r="C73" s="212" t="s">
        <v>5</v>
      </c>
      <c r="D73" s="213">
        <v>2147483680</v>
      </c>
    </row>
    <row r="74" spans="1:4">
      <c r="A74" s="211" t="str">
        <f t="shared" si="5"/>
        <v>FB_IMp_MON_S.FDSX</v>
      </c>
      <c r="B74" s="212">
        <v>11150</v>
      </c>
      <c r="C74" s="212" t="s">
        <v>0</v>
      </c>
      <c r="D74" s="213" t="s">
        <v>161</v>
      </c>
    </row>
    <row r="75" spans="1:4">
      <c r="A75" s="211" t="str">
        <f t="shared" si="5"/>
        <v>FB_IMp_MON_S.FDSX</v>
      </c>
      <c r="B75" s="212">
        <v>11152</v>
      </c>
      <c r="C75" s="212" t="s">
        <v>0</v>
      </c>
      <c r="D75" s="213" t="str">
        <f>$R$7</f>
        <v>Неисправность</v>
      </c>
    </row>
    <row r="76" spans="1:4">
      <c r="A76" s="214" t="str">
        <f t="shared" si="5"/>
        <v>FB_IMp_MON_S.FDSX</v>
      </c>
      <c r="B76" s="215">
        <v>11154</v>
      </c>
      <c r="C76" s="215" t="s">
        <v>4</v>
      </c>
      <c r="D76" s="216">
        <f>$Q$7</f>
        <v>12</v>
      </c>
    </row>
    <row r="77" spans="1:4">
      <c r="A77" s="16" t="str">
        <f t="shared" ref="A77:A86" si="6">$R$2&amp;".DONX"</f>
        <v>FB_IMp_MON_S.DONX</v>
      </c>
      <c r="B77" s="17">
        <v>1</v>
      </c>
      <c r="C77" s="17" t="s">
        <v>1</v>
      </c>
      <c r="D77" s="18">
        <v>11</v>
      </c>
    </row>
    <row r="78" spans="1:4">
      <c r="A78" s="19" t="str">
        <f t="shared" si="6"/>
        <v>FB_IMp_MON_S.DONX</v>
      </c>
      <c r="B78" s="11">
        <v>2</v>
      </c>
      <c r="C78" s="11" t="s">
        <v>2</v>
      </c>
      <c r="D78" s="20" t="s">
        <v>3</v>
      </c>
    </row>
    <row r="79" spans="1:4">
      <c r="A79" s="19" t="str">
        <f t="shared" si="6"/>
        <v>FB_IMp_MON_S.DONX</v>
      </c>
      <c r="B79" s="11">
        <v>3</v>
      </c>
      <c r="C79" s="11" t="s">
        <v>1</v>
      </c>
      <c r="D79" s="20">
        <v>192</v>
      </c>
    </row>
    <row r="80" spans="1:4">
      <c r="A80" s="19" t="str">
        <f t="shared" si="6"/>
        <v>FB_IMp_MON_S.DONX</v>
      </c>
      <c r="B80" s="11">
        <v>101</v>
      </c>
      <c r="C80" s="11" t="s">
        <v>0</v>
      </c>
      <c r="D80" s="20" t="s">
        <v>122</v>
      </c>
    </row>
    <row r="81" spans="1:4">
      <c r="A81" s="19" t="str">
        <f t="shared" si="6"/>
        <v>FB_IMp_MON_S.DONX</v>
      </c>
      <c r="B81" s="11">
        <v>7998</v>
      </c>
      <c r="C81" s="11" t="s">
        <v>6</v>
      </c>
      <c r="D81" s="20">
        <v>1</v>
      </c>
    </row>
    <row r="82" spans="1:4">
      <c r="A82" s="19" t="str">
        <f t="shared" si="6"/>
        <v>FB_IMp_MON_S.DONX</v>
      </c>
      <c r="B82" s="11">
        <v>7999</v>
      </c>
      <c r="C82" s="11" t="s">
        <v>0</v>
      </c>
      <c r="D82" s="20" t="str">
        <f>"#"&amp;$S$2&amp;"#"&amp;$T$2&amp;"\"&amp;$P$2&amp;"\DONX"</f>
        <v>#1#treiOPCDA.CoOPCserv.1\pcmaster\MK1\DONX</v>
      </c>
    </row>
    <row r="83" spans="1:4">
      <c r="A83" s="110" t="str">
        <f t="shared" si="6"/>
        <v>FB_IMp_MON_S.DONX</v>
      </c>
      <c r="B83" s="111">
        <v>11000</v>
      </c>
      <c r="C83" s="111" t="s">
        <v>5</v>
      </c>
      <c r="D83" s="112">
        <v>2147483680</v>
      </c>
    </row>
    <row r="84" spans="1:4">
      <c r="A84" s="110" t="str">
        <f t="shared" si="6"/>
        <v>FB_IMp_MON_S.DONX</v>
      </c>
      <c r="B84" s="111">
        <v>11150</v>
      </c>
      <c r="C84" s="111" t="s">
        <v>0</v>
      </c>
      <c r="D84" s="112" t="s">
        <v>123</v>
      </c>
    </row>
    <row r="85" spans="1:4">
      <c r="A85" s="110" t="str">
        <f t="shared" si="6"/>
        <v>FB_IMp_MON_S.DONX</v>
      </c>
      <c r="B85" s="111">
        <v>11152</v>
      </c>
      <c r="C85" s="111" t="s">
        <v>0</v>
      </c>
      <c r="D85" s="112" t="str">
        <f>$R$9</f>
        <v>Недостоверность</v>
      </c>
    </row>
    <row r="86" spans="1:4">
      <c r="A86" s="164" t="str">
        <f t="shared" si="6"/>
        <v>FB_IMp_MON_S.DONX</v>
      </c>
      <c r="B86" s="165">
        <v>11154</v>
      </c>
      <c r="C86" s="165" t="s">
        <v>4</v>
      </c>
      <c r="D86" s="166">
        <f>$Q$9</f>
        <v>10</v>
      </c>
    </row>
    <row r="87" spans="1:4">
      <c r="A87" s="163" t="str">
        <f t="shared" ref="A87:A96" si="7">$R$2&amp;".DOFX"</f>
        <v>FB_IMp_MON_S.DOFX</v>
      </c>
      <c r="B87" s="123">
        <v>11000</v>
      </c>
      <c r="C87" s="123" t="s">
        <v>5</v>
      </c>
      <c r="D87" s="198">
        <v>2147483680</v>
      </c>
    </row>
    <row r="88" spans="1:4">
      <c r="A88" s="110" t="str">
        <f t="shared" si="7"/>
        <v>FB_IMp_MON_S.DOFX</v>
      </c>
      <c r="B88" s="111">
        <v>11150</v>
      </c>
      <c r="C88" s="111" t="s">
        <v>0</v>
      </c>
      <c r="D88" s="112" t="s">
        <v>98</v>
      </c>
    </row>
    <row r="89" spans="1:4">
      <c r="A89" s="110" t="str">
        <f t="shared" si="7"/>
        <v>FB_IMp_MON_S.DOFX</v>
      </c>
      <c r="B89" s="111">
        <v>11152</v>
      </c>
      <c r="C89" s="111" t="s">
        <v>0</v>
      </c>
      <c r="D89" s="112" t="str">
        <f>$R$9</f>
        <v>Недостоверность</v>
      </c>
    </row>
    <row r="90" spans="1:4">
      <c r="A90" s="110" t="str">
        <f t="shared" si="7"/>
        <v>FB_IMp_MON_S.DOFX</v>
      </c>
      <c r="B90" s="111">
        <v>11154</v>
      </c>
      <c r="C90" s="111" t="s">
        <v>4</v>
      </c>
      <c r="D90" s="112">
        <f>$Q$9</f>
        <v>10</v>
      </c>
    </row>
    <row r="91" spans="1:4">
      <c r="A91" s="19" t="str">
        <f t="shared" si="7"/>
        <v>FB_IMp_MON_S.DOFX</v>
      </c>
      <c r="B91" s="11">
        <v>7999</v>
      </c>
      <c r="C91" s="11" t="s">
        <v>0</v>
      </c>
      <c r="D91" s="20" t="str">
        <f>"#"&amp;$S$2&amp;"#"&amp;$T$2&amp;"\"&amp;$P$2&amp;"\DOFX"</f>
        <v>#1#treiOPCDA.CoOPCserv.1\pcmaster\MK1\DOFX</v>
      </c>
    </row>
    <row r="92" spans="1:4">
      <c r="A92" s="19" t="str">
        <f t="shared" si="7"/>
        <v>FB_IMp_MON_S.DOFX</v>
      </c>
      <c r="B92" s="11">
        <v>7998</v>
      </c>
      <c r="C92" s="11" t="s">
        <v>6</v>
      </c>
      <c r="D92" s="20">
        <v>1</v>
      </c>
    </row>
    <row r="93" spans="1:4">
      <c r="A93" s="19" t="str">
        <f t="shared" si="7"/>
        <v>FB_IMp_MON_S.DOFX</v>
      </c>
      <c r="B93" s="11">
        <v>101</v>
      </c>
      <c r="C93" s="11" t="s">
        <v>0</v>
      </c>
      <c r="D93" s="20" t="s">
        <v>97</v>
      </c>
    </row>
    <row r="94" spans="1:4">
      <c r="A94" s="19" t="str">
        <f t="shared" si="7"/>
        <v>FB_IMp_MON_S.DOFX</v>
      </c>
      <c r="B94" s="11">
        <v>3</v>
      </c>
      <c r="C94" s="11" t="s">
        <v>1</v>
      </c>
      <c r="D94" s="20">
        <v>192</v>
      </c>
    </row>
    <row r="95" spans="1:4">
      <c r="A95" s="19" t="str">
        <f t="shared" si="7"/>
        <v>FB_IMp_MON_S.DOFX</v>
      </c>
      <c r="B95" s="11">
        <v>2</v>
      </c>
      <c r="C95" s="11" t="s">
        <v>2</v>
      </c>
      <c r="D95" s="20" t="s">
        <v>3</v>
      </c>
    </row>
    <row r="96" spans="1:4">
      <c r="A96" s="21" t="str">
        <f t="shared" si="7"/>
        <v>FB_IMp_MON_S.DOFX</v>
      </c>
      <c r="B96" s="8">
        <v>1</v>
      </c>
      <c r="C96" s="8" t="s">
        <v>1</v>
      </c>
      <c r="D96" s="22">
        <v>11</v>
      </c>
    </row>
    <row r="97" spans="1:4">
      <c r="A97" s="163" t="str">
        <f t="shared" ref="A97:A106" si="8">$R$2&amp;".DFXX"</f>
        <v>FB_IMp_MON_S.DFXX</v>
      </c>
      <c r="B97" s="123">
        <v>11154</v>
      </c>
      <c r="C97" s="123" t="s">
        <v>4</v>
      </c>
      <c r="D97" s="198">
        <f>$Q$9</f>
        <v>10</v>
      </c>
    </row>
    <row r="98" spans="1:4">
      <c r="A98" s="110" t="str">
        <f t="shared" si="8"/>
        <v>FB_IMp_MON_S.DFXX</v>
      </c>
      <c r="B98" s="111">
        <v>11152</v>
      </c>
      <c r="C98" s="111" t="s">
        <v>0</v>
      </c>
      <c r="D98" s="112" t="str">
        <f>$R$9</f>
        <v>Недостоверность</v>
      </c>
    </row>
    <row r="99" spans="1:4">
      <c r="A99" s="110" t="str">
        <f t="shared" si="8"/>
        <v>FB_IMp_MON_S.DFXX</v>
      </c>
      <c r="B99" s="111">
        <v>11150</v>
      </c>
      <c r="C99" s="111" t="s">
        <v>0</v>
      </c>
      <c r="D99" s="112" t="s">
        <v>104</v>
      </c>
    </row>
    <row r="100" spans="1:4">
      <c r="A100" s="110" t="str">
        <f t="shared" si="8"/>
        <v>FB_IMp_MON_S.DFXX</v>
      </c>
      <c r="B100" s="111">
        <v>11000</v>
      </c>
      <c r="C100" s="111" t="s">
        <v>5</v>
      </c>
      <c r="D100" s="112">
        <v>2147483680</v>
      </c>
    </row>
    <row r="101" spans="1:4">
      <c r="A101" s="19" t="str">
        <f t="shared" si="8"/>
        <v>FB_IMp_MON_S.DFXX</v>
      </c>
      <c r="B101" s="11">
        <v>7999</v>
      </c>
      <c r="C101" s="11" t="s">
        <v>0</v>
      </c>
      <c r="D101" s="20" t="str">
        <f>"#"&amp;$S$2&amp;"#"&amp;$T$2&amp;"\"&amp;$P$2&amp;"\DFXX"</f>
        <v>#1#treiOPCDA.CoOPCserv.1\pcmaster\MK1\DFXX</v>
      </c>
    </row>
    <row r="102" spans="1:4">
      <c r="A102" s="19" t="str">
        <f t="shared" si="8"/>
        <v>FB_IMp_MON_S.DFXX</v>
      </c>
      <c r="B102" s="11">
        <v>7998</v>
      </c>
      <c r="C102" s="11" t="s">
        <v>6</v>
      </c>
      <c r="D102" s="20">
        <v>1</v>
      </c>
    </row>
    <row r="103" spans="1:4">
      <c r="A103" s="19" t="str">
        <f t="shared" si="8"/>
        <v>FB_IMp_MON_S.DFXX</v>
      </c>
      <c r="B103" s="11">
        <v>101</v>
      </c>
      <c r="C103" s="11" t="s">
        <v>0</v>
      </c>
      <c r="D103" s="20" t="s">
        <v>520</v>
      </c>
    </row>
    <row r="104" spans="1:4">
      <c r="A104" s="19" t="str">
        <f t="shared" si="8"/>
        <v>FB_IMp_MON_S.DFXX</v>
      </c>
      <c r="B104" s="11">
        <v>3</v>
      </c>
      <c r="C104" s="11" t="s">
        <v>1</v>
      </c>
      <c r="D104" s="20">
        <v>192</v>
      </c>
    </row>
    <row r="105" spans="1:4">
      <c r="A105" s="19" t="str">
        <f t="shared" si="8"/>
        <v>FB_IMp_MON_S.DFXX</v>
      </c>
      <c r="B105" s="11">
        <v>2</v>
      </c>
      <c r="C105" s="11" t="s">
        <v>2</v>
      </c>
      <c r="D105" s="20" t="s">
        <v>3</v>
      </c>
    </row>
    <row r="106" spans="1:4">
      <c r="A106" s="19" t="str">
        <f t="shared" si="8"/>
        <v>FB_IMp_MON_S.DFXX</v>
      </c>
      <c r="B106" s="11">
        <v>1</v>
      </c>
      <c r="C106" s="11" t="s">
        <v>1</v>
      </c>
      <c r="D106" s="20">
        <v>11</v>
      </c>
    </row>
    <row r="107" spans="1:4">
      <c r="A107" s="16" t="str">
        <f t="shared" ref="A107:A118" si="9">$R$2&amp;".XRPX"</f>
        <v>FB_IMp_MON_S.XRPX</v>
      </c>
      <c r="B107" s="17">
        <v>1</v>
      </c>
      <c r="C107" s="17" t="s">
        <v>1</v>
      </c>
      <c r="D107" s="18">
        <v>11</v>
      </c>
    </row>
    <row r="108" spans="1:4">
      <c r="A108" s="19" t="str">
        <f t="shared" si="9"/>
        <v>FB_IMp_MON_S.XRPX</v>
      </c>
      <c r="B108" s="11">
        <v>2</v>
      </c>
      <c r="C108" s="11" t="s">
        <v>2</v>
      </c>
      <c r="D108" s="20" t="s">
        <v>3</v>
      </c>
    </row>
    <row r="109" spans="1:4">
      <c r="A109" s="19" t="str">
        <f t="shared" si="9"/>
        <v>FB_IMp_MON_S.XRPX</v>
      </c>
      <c r="B109" s="11">
        <v>3</v>
      </c>
      <c r="C109" s="11" t="s">
        <v>1</v>
      </c>
      <c r="D109" s="20">
        <v>192</v>
      </c>
    </row>
    <row r="110" spans="1:4">
      <c r="A110" s="19" t="str">
        <f t="shared" si="9"/>
        <v>FB_IMp_MON_S.XRPX</v>
      </c>
      <c r="B110" s="11">
        <v>101</v>
      </c>
      <c r="C110" s="11" t="s">
        <v>0</v>
      </c>
      <c r="D110" s="20" t="s">
        <v>137</v>
      </c>
    </row>
    <row r="111" spans="1:4">
      <c r="A111" s="19" t="str">
        <f t="shared" si="9"/>
        <v>FB_IMp_MON_S.XRPX</v>
      </c>
      <c r="B111" s="11">
        <v>7998</v>
      </c>
      <c r="C111" s="11" t="s">
        <v>6</v>
      </c>
      <c r="D111" s="20">
        <v>1</v>
      </c>
    </row>
    <row r="112" spans="1:4">
      <c r="A112" s="19" t="str">
        <f t="shared" si="9"/>
        <v>FB_IMp_MON_S.XRPX</v>
      </c>
      <c r="B112" s="11">
        <v>7999</v>
      </c>
      <c r="C112" s="11" t="s">
        <v>0</v>
      </c>
      <c r="D112" s="20" t="str">
        <f>"#"&amp;$S$2&amp;"#"&amp;$T$2&amp;"\"&amp;$P$2&amp;"\XRPX"</f>
        <v>#1#treiOPCDA.CoOPCserv.1\pcmaster\MK1\XRPX</v>
      </c>
    </row>
    <row r="113" spans="1:4">
      <c r="A113" s="140" t="str">
        <f t="shared" si="9"/>
        <v>FB_IMp_MON_S.XRPX</v>
      </c>
      <c r="B113" s="141">
        <v>11000</v>
      </c>
      <c r="C113" s="141" t="s">
        <v>5</v>
      </c>
      <c r="D113" s="142">
        <v>2147483680</v>
      </c>
    </row>
    <row r="114" spans="1:4">
      <c r="A114" s="140" t="str">
        <f t="shared" si="9"/>
        <v>FB_IMp_MON_S.XRPX</v>
      </c>
      <c r="B114" s="141">
        <v>11150</v>
      </c>
      <c r="C114" s="141" t="s">
        <v>0</v>
      </c>
      <c r="D114" s="142" t="s">
        <v>89</v>
      </c>
    </row>
    <row r="115" spans="1:4">
      <c r="A115" s="140" t="str">
        <f t="shared" si="9"/>
        <v>FB_IMp_MON_S.XRPX</v>
      </c>
      <c r="B115" s="141">
        <v>11152</v>
      </c>
      <c r="C115" s="141" t="s">
        <v>0</v>
      </c>
      <c r="D115" s="142" t="str">
        <f>$R$11</f>
        <v>Ремонт</v>
      </c>
    </row>
    <row r="116" spans="1:4">
      <c r="A116" s="140" t="str">
        <f t="shared" si="9"/>
        <v>FB_IMp_MON_S.XRPX</v>
      </c>
      <c r="B116" s="141">
        <v>11154</v>
      </c>
      <c r="C116" s="141" t="s">
        <v>4</v>
      </c>
      <c r="D116" s="142">
        <f>$Q$11</f>
        <v>14</v>
      </c>
    </row>
    <row r="117" spans="1:4" ht="15.75" customHeight="1">
      <c r="A117" s="29" t="str">
        <f t="shared" si="9"/>
        <v>FB_IMp_MON_S.XRPX</v>
      </c>
      <c r="B117" s="1">
        <v>4000000</v>
      </c>
      <c r="C117" s="1" t="s">
        <v>0</v>
      </c>
      <c r="D117" s="415" t="s">
        <v>1490</v>
      </c>
    </row>
    <row r="118" spans="1:4">
      <c r="A118" s="26" t="str">
        <f t="shared" si="9"/>
        <v>FB_IMp_MON_S.XRPX</v>
      </c>
      <c r="B118" s="27">
        <v>7000000</v>
      </c>
      <c r="C118" s="27" t="s">
        <v>6</v>
      </c>
      <c r="D118" s="28">
        <v>2</v>
      </c>
    </row>
    <row r="119" spans="1:4">
      <c r="A119" s="19" t="str">
        <f t="shared" ref="A119:A128" si="10">$R$2&amp;".XONX"</f>
        <v>FB_IMp_MON_S.XONX</v>
      </c>
      <c r="B119" s="11">
        <v>1</v>
      </c>
      <c r="C119" s="11" t="s">
        <v>1</v>
      </c>
      <c r="D119" s="20">
        <v>11</v>
      </c>
    </row>
    <row r="120" spans="1:4">
      <c r="A120" s="19" t="str">
        <f t="shared" si="10"/>
        <v>FB_IMp_MON_S.XONX</v>
      </c>
      <c r="B120" s="11">
        <v>2</v>
      </c>
      <c r="C120" s="11" t="s">
        <v>2</v>
      </c>
      <c r="D120" s="20" t="s">
        <v>3</v>
      </c>
    </row>
    <row r="121" spans="1:4">
      <c r="A121" s="19" t="str">
        <f t="shared" si="10"/>
        <v>FB_IMp_MON_S.XONX</v>
      </c>
      <c r="B121" s="11">
        <v>3</v>
      </c>
      <c r="C121" s="11" t="s">
        <v>1</v>
      </c>
      <c r="D121" s="20">
        <v>192</v>
      </c>
    </row>
    <row r="122" spans="1:4">
      <c r="A122" s="19" t="str">
        <f t="shared" si="10"/>
        <v>FB_IMp_MON_S.XONX</v>
      </c>
      <c r="B122" s="11">
        <v>101</v>
      </c>
      <c r="C122" s="11" t="s">
        <v>0</v>
      </c>
      <c r="D122" s="20" t="s">
        <v>337</v>
      </c>
    </row>
    <row r="123" spans="1:4">
      <c r="A123" s="19" t="str">
        <f t="shared" si="10"/>
        <v>FB_IMp_MON_S.XONX</v>
      </c>
      <c r="B123" s="11">
        <v>7998</v>
      </c>
      <c r="C123" s="11" t="s">
        <v>6</v>
      </c>
      <c r="D123" s="20">
        <v>1</v>
      </c>
    </row>
    <row r="124" spans="1:4">
      <c r="A124" s="19" t="str">
        <f t="shared" si="10"/>
        <v>FB_IMp_MON_S.XONX</v>
      </c>
      <c r="B124" s="11">
        <v>7999</v>
      </c>
      <c r="C124" s="11" t="s">
        <v>0</v>
      </c>
      <c r="D124" s="20" t="str">
        <f>"#"&amp;$S$2&amp;"#"&amp;$T$2&amp;"\"&amp;$P$2&amp;"\XONX"</f>
        <v>#1#treiOPCDA.CoOPCserv.1\pcmaster\MK1\XONX</v>
      </c>
    </row>
    <row r="125" spans="1:4">
      <c r="A125" s="100" t="str">
        <f t="shared" si="10"/>
        <v>FB_IMp_MON_S.XONX</v>
      </c>
      <c r="B125" s="101">
        <v>11000</v>
      </c>
      <c r="C125" s="101" t="s">
        <v>5</v>
      </c>
      <c r="D125" s="103">
        <v>2147483680</v>
      </c>
    </row>
    <row r="126" spans="1:4">
      <c r="A126" s="100" t="str">
        <f t="shared" si="10"/>
        <v>FB_IMp_MON_S.XONX</v>
      </c>
      <c r="B126" s="101">
        <v>11150</v>
      </c>
      <c r="C126" s="101" t="s">
        <v>0</v>
      </c>
      <c r="D126" s="103" t="s">
        <v>337</v>
      </c>
    </row>
    <row r="127" spans="1:4">
      <c r="A127" s="100" t="str">
        <f t="shared" si="10"/>
        <v>FB_IMp_MON_S.XONX</v>
      </c>
      <c r="B127" s="101">
        <v>11152</v>
      </c>
      <c r="C127" s="101" t="s">
        <v>0</v>
      </c>
      <c r="D127" s="103" t="str">
        <f>$R$8</f>
        <v>Телесигнализация</v>
      </c>
    </row>
    <row r="128" spans="1:4">
      <c r="A128" s="170" t="str">
        <f t="shared" si="10"/>
        <v>FB_IMp_MON_S.XONX</v>
      </c>
      <c r="B128" s="171">
        <v>11154</v>
      </c>
      <c r="C128" s="171" t="s">
        <v>4</v>
      </c>
      <c r="D128" s="172">
        <f>$Q$8</f>
        <v>18</v>
      </c>
    </row>
    <row r="129" spans="1:4">
      <c r="A129" s="16" t="str">
        <f t="shared" ref="A129:A138" si="11">$R$2&amp;".XOFX"</f>
        <v>FB_IMp_MON_S.XOFX</v>
      </c>
      <c r="B129" s="17">
        <v>1</v>
      </c>
      <c r="C129" s="17" t="s">
        <v>1</v>
      </c>
      <c r="D129" s="18">
        <v>11</v>
      </c>
    </row>
    <row r="130" spans="1:4">
      <c r="A130" s="19" t="str">
        <f t="shared" si="11"/>
        <v>FB_IMp_MON_S.XOFX</v>
      </c>
      <c r="B130" s="11">
        <v>2</v>
      </c>
      <c r="C130" s="11" t="s">
        <v>2</v>
      </c>
      <c r="D130" s="20" t="s">
        <v>3</v>
      </c>
    </row>
    <row r="131" spans="1:4">
      <c r="A131" s="19" t="str">
        <f t="shared" si="11"/>
        <v>FB_IMp_MON_S.XOFX</v>
      </c>
      <c r="B131" s="11">
        <v>3</v>
      </c>
      <c r="C131" s="11" t="s">
        <v>1</v>
      </c>
      <c r="D131" s="20">
        <v>192</v>
      </c>
    </row>
    <row r="132" spans="1:4">
      <c r="A132" s="19" t="str">
        <f t="shared" si="11"/>
        <v>FB_IMp_MON_S.XOFX</v>
      </c>
      <c r="B132" s="11">
        <v>101</v>
      </c>
      <c r="C132" s="11" t="s">
        <v>0</v>
      </c>
      <c r="D132" s="20" t="s">
        <v>336</v>
      </c>
    </row>
    <row r="133" spans="1:4">
      <c r="A133" s="19" t="str">
        <f t="shared" si="11"/>
        <v>FB_IMp_MON_S.XOFX</v>
      </c>
      <c r="B133" s="11">
        <v>7998</v>
      </c>
      <c r="C133" s="11" t="s">
        <v>6</v>
      </c>
      <c r="D133" s="20">
        <v>1</v>
      </c>
    </row>
    <row r="134" spans="1:4">
      <c r="A134" s="19" t="str">
        <f t="shared" si="11"/>
        <v>FB_IMp_MON_S.XOFX</v>
      </c>
      <c r="B134" s="11">
        <v>7999</v>
      </c>
      <c r="C134" s="11" t="s">
        <v>0</v>
      </c>
      <c r="D134" s="20" t="str">
        <f>"#"&amp;$S$2&amp;"#"&amp;$T$2&amp;"\"&amp;$P$2&amp;"\XOFX"</f>
        <v>#1#treiOPCDA.CoOPCserv.1\pcmaster\MK1\XOFX</v>
      </c>
    </row>
    <row r="135" spans="1:4">
      <c r="A135" s="100" t="str">
        <f t="shared" si="11"/>
        <v>FB_IMp_MON_S.XOFX</v>
      </c>
      <c r="B135" s="101">
        <v>11000</v>
      </c>
      <c r="C135" s="101" t="s">
        <v>5</v>
      </c>
      <c r="D135" s="103">
        <v>2147483680</v>
      </c>
    </row>
    <row r="136" spans="1:4">
      <c r="A136" s="100" t="str">
        <f t="shared" si="11"/>
        <v>FB_IMp_MON_S.XOFX</v>
      </c>
      <c r="B136" s="101">
        <v>11150</v>
      </c>
      <c r="C136" s="101" t="s">
        <v>0</v>
      </c>
      <c r="D136" s="103" t="s">
        <v>336</v>
      </c>
    </row>
    <row r="137" spans="1:4">
      <c r="A137" s="100" t="str">
        <f t="shared" si="11"/>
        <v>FB_IMp_MON_S.XOFX</v>
      </c>
      <c r="B137" s="101">
        <v>11152</v>
      </c>
      <c r="C137" s="101" t="s">
        <v>0</v>
      </c>
      <c r="D137" s="103" t="str">
        <f>$R$8</f>
        <v>Телесигнализация</v>
      </c>
    </row>
    <row r="138" spans="1:4">
      <c r="A138" s="170" t="str">
        <f t="shared" si="11"/>
        <v>FB_IMp_MON_S.XOFX</v>
      </c>
      <c r="B138" s="171">
        <v>11154</v>
      </c>
      <c r="C138" s="171" t="s">
        <v>4</v>
      </c>
      <c r="D138" s="172">
        <f>$Q$8</f>
        <v>18</v>
      </c>
    </row>
    <row r="139" spans="1:4">
      <c r="A139" s="266" t="str">
        <f>$R$2&amp;".Commands.SRTX"</f>
        <v>FB_IMp_MON_S.Commands.SRTX</v>
      </c>
      <c r="B139" s="267">
        <v>1</v>
      </c>
      <c r="C139" s="267" t="s">
        <v>1</v>
      </c>
      <c r="D139" s="268">
        <v>3</v>
      </c>
    </row>
    <row r="140" spans="1:4">
      <c r="A140" s="269" t="str">
        <f>$R$2&amp;".Commands.SRTX"</f>
        <v>FB_IMp_MON_S.Commands.SRTX</v>
      </c>
      <c r="B140" s="270">
        <v>101</v>
      </c>
      <c r="C140" s="270" t="s">
        <v>0</v>
      </c>
      <c r="D140" s="271" t="s">
        <v>192</v>
      </c>
    </row>
    <row r="141" spans="1:4">
      <c r="A141" s="269" t="str">
        <f>$R$2&amp;".Commands.SRTX"</f>
        <v>FB_IMp_MON_S.Commands.SRTX</v>
      </c>
      <c r="B141" s="270">
        <v>7998</v>
      </c>
      <c r="C141" s="270" t="s">
        <v>6</v>
      </c>
      <c r="D141" s="271">
        <v>2</v>
      </c>
    </row>
    <row r="142" spans="1:4">
      <c r="A142" s="272" t="str">
        <f>$R$2&amp;".Commands.SRTX"</f>
        <v>FB_IMp_MON_S.Commands.SRTX</v>
      </c>
      <c r="B142" s="273">
        <v>7999</v>
      </c>
      <c r="C142" s="273" t="s">
        <v>0</v>
      </c>
      <c r="D142" s="274" t="str">
        <f>"#"&amp;$T$5&amp;"#"&amp;$T$2&amp;"\"&amp;$P$2&amp;"\SRTX"</f>
        <v>#1#treiOPCDA.CoOPCserv.1\pcmaster\MK1\SRTX</v>
      </c>
    </row>
    <row r="143" spans="1:4">
      <c r="A143" s="16" t="str">
        <f>$R$2&amp;".Commands.CRPX"</f>
        <v>FB_IMp_MON_S.Commands.CRPX</v>
      </c>
      <c r="B143" s="17">
        <v>1</v>
      </c>
      <c r="C143" s="17" t="s">
        <v>1</v>
      </c>
      <c r="D143" s="18">
        <v>11</v>
      </c>
    </row>
    <row r="144" spans="1:4">
      <c r="A144" s="19" t="str">
        <f>$R$2&amp;".Commands.CRPX"</f>
        <v>FB_IMp_MON_S.Commands.CRPX</v>
      </c>
      <c r="B144" s="11">
        <v>101</v>
      </c>
      <c r="C144" s="11" t="s">
        <v>0</v>
      </c>
      <c r="D144" s="20" t="s">
        <v>113</v>
      </c>
    </row>
    <row r="145" spans="1:4">
      <c r="A145" s="19" t="str">
        <f>$R$2&amp;".Commands.CRPX"</f>
        <v>FB_IMp_MON_S.Commands.CRPX</v>
      </c>
      <c r="B145" s="11">
        <v>7998</v>
      </c>
      <c r="C145" s="11" t="s">
        <v>6</v>
      </c>
      <c r="D145" s="20">
        <v>2</v>
      </c>
    </row>
    <row r="146" spans="1:4">
      <c r="A146" s="21" t="str">
        <f>$R$2&amp;".Commands.CRPX"</f>
        <v>FB_IMp_MON_S.Commands.CRPX</v>
      </c>
      <c r="B146" s="8">
        <v>7999</v>
      </c>
      <c r="C146" s="8" t="s">
        <v>0</v>
      </c>
      <c r="D146" s="22" t="str">
        <f>"#"&amp;$T$5&amp;"#"&amp;$T$2&amp;"\"&amp;$P$2&amp;"\CRPX"</f>
        <v>#1#treiOPCDA.CoOPCserv.1\pcmaster\MK1\CRPX</v>
      </c>
    </row>
    <row r="147" spans="1:4">
      <c r="A147" s="16" t="str">
        <f>$R$2&amp;".Commands.CRRX"</f>
        <v>FB_IMp_MON_S.Commands.CRRX</v>
      </c>
      <c r="B147" s="17">
        <v>1</v>
      </c>
      <c r="C147" s="17" t="s">
        <v>1</v>
      </c>
      <c r="D147" s="18">
        <v>11</v>
      </c>
    </row>
    <row r="148" spans="1:4">
      <c r="A148" s="19" t="str">
        <f>$R$2&amp;".Commands.CRRX"</f>
        <v>FB_IMp_MON_S.Commands.CRRX</v>
      </c>
      <c r="B148" s="11">
        <v>101</v>
      </c>
      <c r="C148" s="11" t="s">
        <v>0</v>
      </c>
      <c r="D148" s="20" t="s">
        <v>116</v>
      </c>
    </row>
    <row r="149" spans="1:4">
      <c r="A149" s="19" t="str">
        <f>$R$2&amp;".Commands.CRRX"</f>
        <v>FB_IMp_MON_S.Commands.CRRX</v>
      </c>
      <c r="B149" s="11">
        <v>7998</v>
      </c>
      <c r="C149" s="11" t="s">
        <v>6</v>
      </c>
      <c r="D149" s="20">
        <v>2</v>
      </c>
    </row>
    <row r="150" spans="1:4">
      <c r="A150" s="21" t="str">
        <f>$R$2&amp;".Commands.CRRX"</f>
        <v>FB_IMp_MON_S.Commands.CRRX</v>
      </c>
      <c r="B150" s="8">
        <v>7999</v>
      </c>
      <c r="C150" s="8" t="s">
        <v>0</v>
      </c>
      <c r="D150" s="22" t="str">
        <f>"#"&amp;$T$5&amp;"#"&amp;$T$2&amp;"\"&amp;$P$2&amp;"\CRRX"</f>
        <v>#1#treiOPCDA.CoOPCserv.1\pcmaster\MK1\CRRX</v>
      </c>
    </row>
    <row r="151" spans="1:4">
      <c r="A151" s="16" t="str">
        <f t="shared" ref="A151:A156" si="12">$R$2&amp;".IONX"</f>
        <v>FB_IMp_MON_S.IONX</v>
      </c>
      <c r="B151" s="17">
        <v>1</v>
      </c>
      <c r="C151" s="17" t="s">
        <v>1</v>
      </c>
      <c r="D151" s="18">
        <v>11</v>
      </c>
    </row>
    <row r="152" spans="1:4">
      <c r="A152" s="19" t="str">
        <f t="shared" si="12"/>
        <v>FB_IMp_MON_S.IONX</v>
      </c>
      <c r="B152" s="11">
        <v>2</v>
      </c>
      <c r="C152" s="11" t="s">
        <v>2</v>
      </c>
      <c r="D152" s="20" t="s">
        <v>3</v>
      </c>
    </row>
    <row r="153" spans="1:4">
      <c r="A153" s="19" t="str">
        <f t="shared" si="12"/>
        <v>FB_IMp_MON_S.IONX</v>
      </c>
      <c r="B153" s="11">
        <v>3</v>
      </c>
      <c r="C153" s="11" t="s">
        <v>1</v>
      </c>
      <c r="D153" s="20">
        <v>192</v>
      </c>
    </row>
    <row r="154" spans="1:4">
      <c r="A154" s="19" t="str">
        <f t="shared" si="12"/>
        <v>FB_IMp_MON_S.IONX</v>
      </c>
      <c r="B154" s="11">
        <v>101</v>
      </c>
      <c r="C154" s="11" t="s">
        <v>0</v>
      </c>
      <c r="D154" s="20" t="s">
        <v>107</v>
      </c>
    </row>
    <row r="155" spans="1:4">
      <c r="A155" s="19" t="str">
        <f t="shared" si="12"/>
        <v>FB_IMp_MON_S.IONX</v>
      </c>
      <c r="B155" s="11">
        <v>7998</v>
      </c>
      <c r="C155" s="11" t="s">
        <v>6</v>
      </c>
      <c r="D155" s="20">
        <v>1</v>
      </c>
    </row>
    <row r="156" spans="1:4">
      <c r="A156" s="21" t="str">
        <f t="shared" si="12"/>
        <v>FB_IMp_MON_S.IONX</v>
      </c>
      <c r="B156" s="8">
        <v>7999</v>
      </c>
      <c r="C156" s="8" t="s">
        <v>0</v>
      </c>
      <c r="D156" s="22" t="str">
        <f>"#"&amp;$S$2&amp;"#"&amp;$T$2&amp;"\"&amp;$P$2&amp;"\IONX"</f>
        <v>#1#treiOPCDA.CoOPCserv.1\pcmaster\MK1\IONX</v>
      </c>
    </row>
    <row r="157" spans="1:4">
      <c r="A157" s="16" t="str">
        <f t="shared" ref="A157:A162" si="13">$R$2&amp;".IOFX"</f>
        <v>FB_IMp_MON_S.IOFX</v>
      </c>
      <c r="B157" s="17">
        <v>7999</v>
      </c>
      <c r="C157" s="17" t="s">
        <v>0</v>
      </c>
      <c r="D157" s="18" t="str">
        <f>"#"&amp;$S$2&amp;"#"&amp;$T$2&amp;"\"&amp;$P$2&amp;"\IOFX"</f>
        <v>#1#treiOPCDA.CoOPCserv.1\pcmaster\MK1\IOFX</v>
      </c>
    </row>
    <row r="158" spans="1:4">
      <c r="A158" s="19" t="str">
        <f t="shared" si="13"/>
        <v>FB_IMp_MON_S.IOFX</v>
      </c>
      <c r="B158" s="11">
        <v>7998</v>
      </c>
      <c r="C158" s="11" t="s">
        <v>6</v>
      </c>
      <c r="D158" s="20">
        <v>1</v>
      </c>
    </row>
    <row r="159" spans="1:4">
      <c r="A159" s="19" t="str">
        <f t="shared" si="13"/>
        <v>FB_IMp_MON_S.IOFX</v>
      </c>
      <c r="B159" s="11">
        <v>101</v>
      </c>
      <c r="C159" s="11" t="s">
        <v>0</v>
      </c>
      <c r="D159" s="20" t="s">
        <v>92</v>
      </c>
    </row>
    <row r="160" spans="1:4">
      <c r="A160" s="19" t="str">
        <f t="shared" si="13"/>
        <v>FB_IMp_MON_S.IOFX</v>
      </c>
      <c r="B160" s="11">
        <v>3</v>
      </c>
      <c r="C160" s="11" t="s">
        <v>1</v>
      </c>
      <c r="D160" s="20">
        <v>192</v>
      </c>
    </row>
    <row r="161" spans="1:4">
      <c r="A161" s="19" t="str">
        <f t="shared" si="13"/>
        <v>FB_IMp_MON_S.IOFX</v>
      </c>
      <c r="B161" s="11">
        <v>2</v>
      </c>
      <c r="C161" s="11" t="s">
        <v>2</v>
      </c>
      <c r="D161" s="20" t="s">
        <v>3</v>
      </c>
    </row>
    <row r="162" spans="1:4">
      <c r="A162" s="21" t="str">
        <f t="shared" si="13"/>
        <v>FB_IMp_MON_S.IOFX</v>
      </c>
      <c r="B162" s="8">
        <v>1</v>
      </c>
      <c r="C162" s="8" t="s">
        <v>1</v>
      </c>
      <c r="D162" s="22">
        <v>11</v>
      </c>
    </row>
    <row r="163" spans="1:4">
      <c r="A163" s="266" t="str">
        <f t="shared" ref="A163:A168" si="14">$R$2&amp;".XRHX"</f>
        <v>FB_IMp_MON_S.XRHX</v>
      </c>
      <c r="B163" s="267">
        <v>3</v>
      </c>
      <c r="C163" s="267" t="s">
        <v>1</v>
      </c>
      <c r="D163" s="268">
        <v>192</v>
      </c>
    </row>
    <row r="164" spans="1:4">
      <c r="A164" s="269" t="str">
        <f t="shared" si="14"/>
        <v>FB_IMp_MON_S.XRHX</v>
      </c>
      <c r="B164" s="270">
        <v>2</v>
      </c>
      <c r="C164" s="270" t="s">
        <v>6</v>
      </c>
      <c r="D164" s="271">
        <v>0</v>
      </c>
    </row>
    <row r="165" spans="1:4">
      <c r="A165" s="269" t="str">
        <f t="shared" si="14"/>
        <v>FB_IMp_MON_S.XRHX</v>
      </c>
      <c r="B165" s="270">
        <v>1</v>
      </c>
      <c r="C165" s="270" t="s">
        <v>1</v>
      </c>
      <c r="D165" s="271">
        <v>3</v>
      </c>
    </row>
    <row r="166" spans="1:4">
      <c r="A166" s="269" t="str">
        <f t="shared" si="14"/>
        <v>FB_IMp_MON_S.XRHX</v>
      </c>
      <c r="B166" s="270">
        <v>101</v>
      </c>
      <c r="C166" s="270" t="s">
        <v>0</v>
      </c>
      <c r="D166" s="271" t="str">
        <f>"Счетчик часов в состоянии Включен"</f>
        <v>Счетчик часов в состоянии Включен</v>
      </c>
    </row>
    <row r="167" spans="1:4">
      <c r="A167" s="269" t="str">
        <f t="shared" si="14"/>
        <v>FB_IMp_MON_S.XRHX</v>
      </c>
      <c r="B167" s="270">
        <v>7998</v>
      </c>
      <c r="C167" s="270" t="s">
        <v>6</v>
      </c>
      <c r="D167" s="271">
        <v>1</v>
      </c>
    </row>
    <row r="168" spans="1:4">
      <c r="A168" s="272" t="str">
        <f t="shared" si="14"/>
        <v>FB_IMp_MON_S.XRHX</v>
      </c>
      <c r="B168" s="273">
        <v>7999</v>
      </c>
      <c r="C168" s="273" t="s">
        <v>0</v>
      </c>
      <c r="D168" s="274" t="str">
        <f>"#"&amp;$S$2&amp;"#"&amp;$T$2&amp;"\"&amp;$P$2&amp;"\XRHX"</f>
        <v>#1#treiOPCDA.CoOPCserv.1\pcmaster\MK1\XRHX</v>
      </c>
    </row>
    <row r="169" spans="1:4">
      <c r="A169" s="266" t="str">
        <f t="shared" ref="A169:A174" si="15">$R$2&amp;".XRMX"</f>
        <v>FB_IMp_MON_S.XRMX</v>
      </c>
      <c r="B169" s="267">
        <v>3</v>
      </c>
      <c r="C169" s="267" t="s">
        <v>1</v>
      </c>
      <c r="D169" s="268">
        <v>192</v>
      </c>
    </row>
    <row r="170" spans="1:4">
      <c r="A170" s="269" t="str">
        <f t="shared" si="15"/>
        <v>FB_IMp_MON_S.XRMX</v>
      </c>
      <c r="B170" s="270">
        <v>2</v>
      </c>
      <c r="C170" s="270" t="s">
        <v>6</v>
      </c>
      <c r="D170" s="271">
        <v>0</v>
      </c>
    </row>
    <row r="171" spans="1:4">
      <c r="A171" s="269" t="str">
        <f t="shared" si="15"/>
        <v>FB_IMp_MON_S.XRMX</v>
      </c>
      <c r="B171" s="270">
        <v>1</v>
      </c>
      <c r="C171" s="270" t="s">
        <v>1</v>
      </c>
      <c r="D171" s="271">
        <v>3</v>
      </c>
    </row>
    <row r="172" spans="1:4">
      <c r="A172" s="269" t="str">
        <f t="shared" si="15"/>
        <v>FB_IMp_MON_S.XRMX</v>
      </c>
      <c r="B172" s="270">
        <v>101</v>
      </c>
      <c r="C172" s="270" t="s">
        <v>0</v>
      </c>
      <c r="D172" s="271" t="str">
        <f>"Счетчик минут в текущем часе в состоянии Включен"</f>
        <v>Счетчик минут в текущем часе в состоянии Включен</v>
      </c>
    </row>
    <row r="173" spans="1:4">
      <c r="A173" s="269" t="str">
        <f t="shared" si="15"/>
        <v>FB_IMp_MON_S.XRMX</v>
      </c>
      <c r="B173" s="270">
        <v>7998</v>
      </c>
      <c r="C173" s="270" t="s">
        <v>6</v>
      </c>
      <c r="D173" s="271">
        <v>1</v>
      </c>
    </row>
    <row r="174" spans="1:4">
      <c r="A174" s="272" t="str">
        <f t="shared" si="15"/>
        <v>FB_IMp_MON_S.XRMX</v>
      </c>
      <c r="B174" s="273">
        <v>7999</v>
      </c>
      <c r="C174" s="273" t="s">
        <v>0</v>
      </c>
      <c r="D174" s="274" t="str">
        <f>"#"&amp;$S$2&amp;"#"&amp;$T$2&amp;"\"&amp;$P$2&amp;"\XRMX"</f>
        <v>#1#treiOPCDA.CoOPCserv.1\pcmaster\MK1\XRMX</v>
      </c>
    </row>
    <row r="175" spans="1:4">
      <c r="A175" s="266" t="str">
        <f t="shared" ref="A175:A180" si="16">$R$2&amp;".SRTX"</f>
        <v>FB_IMp_MON_S.SRTX</v>
      </c>
      <c r="B175" s="267">
        <v>3</v>
      </c>
      <c r="C175" s="267" t="s">
        <v>1</v>
      </c>
      <c r="D175" s="268">
        <v>192</v>
      </c>
    </row>
    <row r="176" spans="1:4">
      <c r="A176" s="269" t="str">
        <f t="shared" si="16"/>
        <v>FB_IMp_MON_S.SRTX</v>
      </c>
      <c r="B176" s="270">
        <v>2</v>
      </c>
      <c r="C176" s="270" t="s">
        <v>6</v>
      </c>
      <c r="D176" s="271">
        <v>0</v>
      </c>
    </row>
    <row r="177" spans="1:4">
      <c r="A177" s="269" t="str">
        <f t="shared" si="16"/>
        <v>FB_IMp_MON_S.SRTX</v>
      </c>
      <c r="B177" s="270">
        <v>1</v>
      </c>
      <c r="C177" s="270" t="s">
        <v>1</v>
      </c>
      <c r="D177" s="271">
        <v>3</v>
      </c>
    </row>
    <row r="178" spans="1:4">
      <c r="A178" s="269" t="str">
        <f t="shared" si="16"/>
        <v>FB_IMp_MON_S.SRTX</v>
      </c>
      <c r="B178" s="270">
        <v>101</v>
      </c>
      <c r="C178" s="270" t="s">
        <v>0</v>
      </c>
      <c r="D178" s="271" t="s">
        <v>192</v>
      </c>
    </row>
    <row r="179" spans="1:4">
      <c r="A179" s="269" t="str">
        <f t="shared" si="16"/>
        <v>FB_IMp_MON_S.SRTX</v>
      </c>
      <c r="B179" s="270">
        <v>7998</v>
      </c>
      <c r="C179" s="270" t="s">
        <v>6</v>
      </c>
      <c r="D179" s="271">
        <v>1</v>
      </c>
    </row>
    <row r="180" spans="1:4">
      <c r="A180" s="272" t="str">
        <f t="shared" si="16"/>
        <v>FB_IMp_MON_S.SRTX</v>
      </c>
      <c r="B180" s="273">
        <v>7999</v>
      </c>
      <c r="C180" s="273" t="s">
        <v>0</v>
      </c>
      <c r="D180" s="274" t="str">
        <f>"#"&amp;$S$2&amp;"#"&amp;$T$2&amp;"\"&amp;$P$2&amp;"\SRTX"</f>
        <v>#1#treiOPCDA.CoOPCserv.1\pcmaster\MK1\SRTX</v>
      </c>
    </row>
  </sheetData>
  <autoFilter ref="B1:B197" xr:uid="{00000000-0009-0000-0000-000019000000}"/>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Лист54">
    <tabColor rgb="FFFFC000"/>
  </sheetPr>
  <dimension ref="A1:BP180"/>
  <sheetViews>
    <sheetView topLeftCell="A103" workbookViewId="0">
      <selection activeCell="D2" sqref="D2:D4"/>
    </sheetView>
  </sheetViews>
  <sheetFormatPr defaultRowHeight="14.4"/>
  <cols>
    <col min="1" max="1" width="30.44140625" customWidth="1"/>
    <col min="2" max="2" width="8" customWidth="1"/>
    <col min="3" max="3" width="7.6640625" customWidth="1"/>
    <col min="4" max="4" width="71.4414062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57"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t="s">
        <v>265</v>
      </c>
      <c r="Q2" s="2" t="s">
        <v>775</v>
      </c>
      <c r="R2" s="2" t="s">
        <v>606</v>
      </c>
      <c r="S2" s="3">
        <v>1</v>
      </c>
      <c r="T2" s="3" t="s">
        <v>1698</v>
      </c>
      <c r="U2" s="3"/>
      <c r="V2" s="3" t="s">
        <v>569</v>
      </c>
      <c r="W2" s="12"/>
      <c r="X2" s="12"/>
      <c r="Y2" s="12"/>
      <c r="Z2" s="12"/>
      <c r="AA2" s="12"/>
      <c r="AB2" s="2"/>
      <c r="AC2" s="2"/>
      <c r="AD2" s="2"/>
      <c r="AE2" s="2" t="s">
        <v>1414</v>
      </c>
      <c r="AF2" s="2"/>
      <c r="AG2" s="2"/>
      <c r="AH2" s="2"/>
      <c r="AI2" s="2"/>
      <c r="AJ2" s="2"/>
      <c r="AK2" s="2"/>
      <c r="AL2" s="2" t="s">
        <v>1293</v>
      </c>
      <c r="AM2" s="2" t="s">
        <v>1294</v>
      </c>
      <c r="AN2" s="2"/>
      <c r="AO2" s="2"/>
      <c r="AP2" s="2" t="s">
        <v>1295</v>
      </c>
      <c r="AQ2" s="2"/>
      <c r="AR2" s="2"/>
      <c r="AS2" s="2"/>
      <c r="AT2" s="2"/>
      <c r="AU2" s="2"/>
      <c r="AV2" s="2"/>
      <c r="AW2" s="2"/>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M4" s="4"/>
      <c r="BN4" s="4"/>
      <c r="BO4" s="4"/>
      <c r="BP4" s="4"/>
    </row>
    <row r="5" spans="1:68"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M5" s="4"/>
      <c r="BN5" s="4"/>
      <c r="BO5" s="4"/>
      <c r="BP5" s="4"/>
    </row>
    <row r="6" spans="1:68"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M6" s="4"/>
      <c r="BN6" s="4"/>
      <c r="BO6" s="4"/>
      <c r="BP6" s="4"/>
    </row>
    <row r="7" spans="1:68"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M7" s="4"/>
      <c r="BN7" s="4"/>
      <c r="BO7" s="4"/>
      <c r="BP7" s="4"/>
    </row>
    <row r="8" spans="1:68" ht="15" customHeight="1">
      <c r="A8" s="9"/>
      <c r="B8" s="9"/>
      <c r="C8" s="9"/>
      <c r="D8" s="9"/>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BM8" s="4"/>
      <c r="BN8" s="4"/>
      <c r="BO8" s="4"/>
      <c r="BP8" s="4"/>
    </row>
    <row r="9" spans="1:68" ht="15" customHeight="1">
      <c r="A9" s="9"/>
      <c r="B9" s="9"/>
      <c r="C9" s="9"/>
      <c r="D9" s="9"/>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BM9" s="4"/>
      <c r="BN9" s="4"/>
      <c r="BO9" s="4"/>
      <c r="BP9" s="4"/>
    </row>
    <row r="10" spans="1:68" ht="15" customHeight="1">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BM10" s="4"/>
      <c r="BN10" s="4"/>
      <c r="BO10" s="4"/>
      <c r="BP10" s="4"/>
    </row>
    <row r="11" spans="1:68" ht="15" customHeight="1">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BM11" s="4"/>
      <c r="BN11" s="4"/>
      <c r="BO11" s="4"/>
      <c r="BP11" s="4"/>
    </row>
    <row r="12" spans="1:68"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M17" s="4"/>
      <c r="BN17" s="4"/>
      <c r="BO17" s="4"/>
      <c r="BP17" s="4"/>
    </row>
    <row r="18" spans="1:68"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M18" s="4"/>
      <c r="BN18" s="4"/>
      <c r="BO18" s="4"/>
      <c r="BP18" s="4"/>
    </row>
    <row r="19" spans="1:68"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M19" s="4"/>
      <c r="BN19" s="4"/>
      <c r="BO19" s="4"/>
      <c r="BP19" s="4"/>
    </row>
    <row r="20" spans="1:68">
      <c r="A20" s="16" t="str">
        <f t="shared" ref="A20:A30" si="0">$R$2</f>
        <v>FB_IMv_MON_S</v>
      </c>
      <c r="B20" s="17">
        <v>1</v>
      </c>
      <c r="C20" s="17" t="s">
        <v>1</v>
      </c>
      <c r="D20" s="18">
        <v>17</v>
      </c>
    </row>
    <row r="21" spans="1:68">
      <c r="A21" s="19" t="str">
        <f t="shared" si="0"/>
        <v>FB_IMv_MON_S</v>
      </c>
      <c r="B21" s="11">
        <v>11001</v>
      </c>
      <c r="C21" s="11" t="s">
        <v>0</v>
      </c>
      <c r="D21" s="20" t="str">
        <f>$Q$2&amp;". "</f>
        <v xml:space="preserve">Задвижка без управления. </v>
      </c>
    </row>
    <row r="22" spans="1:68">
      <c r="A22" s="19" t="str">
        <f t="shared" si="0"/>
        <v>FB_IMv_MON_S</v>
      </c>
      <c r="B22" s="11">
        <v>11156</v>
      </c>
      <c r="C22" s="11" t="s">
        <v>0</v>
      </c>
      <c r="D22" s="20" t="str">
        <f>$V$2</f>
        <v>Тестовый экран</v>
      </c>
    </row>
    <row r="23" spans="1:68" ht="15" customHeight="1">
      <c r="A23" s="16" t="str">
        <f t="shared" si="0"/>
        <v>FB_IMv_MON_S</v>
      </c>
      <c r="B23" s="17">
        <v>100</v>
      </c>
      <c r="C23" s="17" t="s">
        <v>0</v>
      </c>
      <c r="D23" s="18" t="b">
        <f>$T$7</f>
        <v>0</v>
      </c>
      <c r="BF23" s="4"/>
      <c r="BG23" s="4"/>
      <c r="BH23" s="4"/>
      <c r="BI23" s="4"/>
    </row>
    <row r="24" spans="1:68">
      <c r="A24" s="19" t="str">
        <f t="shared" si="0"/>
        <v>FB_IMv_MON_S</v>
      </c>
      <c r="B24" s="11">
        <v>11120</v>
      </c>
      <c r="C24" s="11" t="s">
        <v>0</v>
      </c>
      <c r="D24" s="20" t="str">
        <f>$AL$2</f>
        <v>7+1</v>
      </c>
    </row>
    <row r="25" spans="1:68">
      <c r="A25" s="19" t="str">
        <f t="shared" si="0"/>
        <v>FB_IMv_MON_S</v>
      </c>
      <c r="B25" s="11">
        <v>11121</v>
      </c>
      <c r="C25" s="11" t="s">
        <v>0</v>
      </c>
      <c r="D25" s="20" t="str">
        <f>$AM$2</f>
        <v>7+5</v>
      </c>
    </row>
    <row r="26" spans="1:68">
      <c r="A26" s="21" t="str">
        <f t="shared" si="0"/>
        <v>FB_IMv_MON_S</v>
      </c>
      <c r="B26" s="8">
        <v>11122</v>
      </c>
      <c r="C26" s="8" t="s">
        <v>0</v>
      </c>
      <c r="D26" s="22" t="str">
        <f>$AP$2</f>
        <v>6+15</v>
      </c>
    </row>
    <row r="27" spans="1:68">
      <c r="A27" s="16" t="str">
        <f t="shared" si="0"/>
        <v>FB_IMv_MON_S</v>
      </c>
      <c r="B27" s="17">
        <v>13</v>
      </c>
      <c r="C27" s="17" t="s">
        <v>2</v>
      </c>
      <c r="D27" s="18" t="s">
        <v>3</v>
      </c>
    </row>
    <row r="28" spans="1:68" ht="15" customHeight="1">
      <c r="A28" s="19" t="str">
        <f t="shared" si="0"/>
        <v>FB_IMv_MON_S</v>
      </c>
      <c r="B28" s="11">
        <v>3000013</v>
      </c>
      <c r="C28" s="11" t="s">
        <v>0</v>
      </c>
      <c r="D28" s="20" t="str">
        <f>$AE$2</f>
        <v>Диагностика.CPU.NOT_LINK.noLink</v>
      </c>
      <c r="BF28" s="4"/>
      <c r="BG28" s="4"/>
      <c r="BH28" s="4"/>
      <c r="BI28" s="4"/>
    </row>
    <row r="29" spans="1:68" ht="15" customHeight="1">
      <c r="A29" s="19" t="str">
        <f t="shared" si="0"/>
        <v>FB_IMv_MON_S</v>
      </c>
      <c r="B29" s="11">
        <v>4000013</v>
      </c>
      <c r="C29" s="11" t="s">
        <v>0</v>
      </c>
      <c r="D29" s="20" t="s">
        <v>1770</v>
      </c>
      <c r="BF29" s="4"/>
      <c r="BG29" s="4"/>
      <c r="BH29" s="4"/>
      <c r="BI29" s="4"/>
    </row>
    <row r="30" spans="1:68" ht="15" customHeight="1">
      <c r="A30" s="21" t="str">
        <f t="shared" si="0"/>
        <v>FB_IMv_MON_S</v>
      </c>
      <c r="B30" s="8">
        <v>7000013</v>
      </c>
      <c r="C30" s="8" t="s">
        <v>6</v>
      </c>
      <c r="D30" s="22">
        <v>2</v>
      </c>
      <c r="BF30" s="4"/>
      <c r="BG30" s="4"/>
      <c r="BH30" s="4"/>
      <c r="BI30" s="4"/>
    </row>
    <row r="31" spans="1:68">
      <c r="A31" s="69" t="str">
        <f t="shared" ref="A31:A40" si="1">$R$2&amp;".FRQX"</f>
        <v>FB_IMv_MON_S.FRQX</v>
      </c>
      <c r="B31" s="70">
        <v>11154</v>
      </c>
      <c r="C31" s="70" t="s">
        <v>4</v>
      </c>
      <c r="D31" s="71">
        <f>$Q$6</f>
        <v>8</v>
      </c>
    </row>
    <row r="32" spans="1:68">
      <c r="A32" s="63" t="str">
        <f t="shared" si="1"/>
        <v>FB_IMv_MON_S.FRQX</v>
      </c>
      <c r="B32" s="64">
        <v>11152</v>
      </c>
      <c r="C32" s="64" t="s">
        <v>0</v>
      </c>
      <c r="D32" s="65" t="str">
        <f>$R$6</f>
        <v>Предупреждение</v>
      </c>
    </row>
    <row r="33" spans="1:4">
      <c r="A33" s="63" t="str">
        <f t="shared" si="1"/>
        <v>FB_IMv_MON_S.FRQX</v>
      </c>
      <c r="B33" s="64">
        <v>11150</v>
      </c>
      <c r="C33" s="64" t="s">
        <v>0</v>
      </c>
      <c r="D33" s="65" t="s">
        <v>157</v>
      </c>
    </row>
    <row r="34" spans="1:4">
      <c r="A34" s="63" t="str">
        <f t="shared" si="1"/>
        <v>FB_IMv_MON_S.FRQX</v>
      </c>
      <c r="B34" s="64">
        <v>11000</v>
      </c>
      <c r="C34" s="64" t="s">
        <v>5</v>
      </c>
      <c r="D34" s="65">
        <v>2147483680</v>
      </c>
    </row>
    <row r="35" spans="1:4">
      <c r="A35" s="19" t="str">
        <f t="shared" si="1"/>
        <v>FB_IMv_MON_S.FRQX</v>
      </c>
      <c r="B35" s="11">
        <v>7999</v>
      </c>
      <c r="C35" s="11" t="s">
        <v>0</v>
      </c>
      <c r="D35" s="20" t="str">
        <f>"#"&amp;$S$2&amp;"#"&amp;$T$2&amp;"\"&amp;$P$2&amp;"\FRQX"</f>
        <v>#1#treiOPCDA.CoOPCserv.1\pcmaster\KNS_P2\FRQX</v>
      </c>
    </row>
    <row r="36" spans="1:4">
      <c r="A36" s="19" t="str">
        <f t="shared" si="1"/>
        <v>FB_IMv_MON_S.FRQX</v>
      </c>
      <c r="B36" s="11">
        <v>7998</v>
      </c>
      <c r="C36" s="11" t="s">
        <v>6</v>
      </c>
      <c r="D36" s="20">
        <v>1</v>
      </c>
    </row>
    <row r="37" spans="1:4">
      <c r="A37" s="19" t="str">
        <f t="shared" si="1"/>
        <v>FB_IMv_MON_S.FRQX</v>
      </c>
      <c r="B37" s="11">
        <v>101</v>
      </c>
      <c r="C37" s="11" t="s">
        <v>0</v>
      </c>
      <c r="D37" s="20" t="s">
        <v>157</v>
      </c>
    </row>
    <row r="38" spans="1:4">
      <c r="A38" s="19" t="str">
        <f t="shared" si="1"/>
        <v>FB_IMv_MON_S.FRQX</v>
      </c>
      <c r="B38" s="11">
        <v>3</v>
      </c>
      <c r="C38" s="11" t="s">
        <v>1</v>
      </c>
      <c r="D38" s="20">
        <v>192</v>
      </c>
    </row>
    <row r="39" spans="1:4">
      <c r="A39" s="19" t="str">
        <f t="shared" si="1"/>
        <v>FB_IMv_MON_S.FRQX</v>
      </c>
      <c r="B39" s="11">
        <v>2</v>
      </c>
      <c r="C39" s="11" t="s">
        <v>2</v>
      </c>
      <c r="D39" s="20" t="s">
        <v>3</v>
      </c>
    </row>
    <row r="40" spans="1:4">
      <c r="A40" s="21" t="str">
        <f t="shared" si="1"/>
        <v>FB_IMv_MON_S.FRQX</v>
      </c>
      <c r="B40" s="8">
        <v>1</v>
      </c>
      <c r="C40" s="8" t="s">
        <v>1</v>
      </c>
      <c r="D40" s="22">
        <v>11</v>
      </c>
    </row>
    <row r="41" spans="1:4">
      <c r="A41" s="16" t="str">
        <f t="shared" ref="A41:A50" si="2">$R$2&amp;".IFXX"</f>
        <v>FB_IMv_MON_S.IFXX</v>
      </c>
      <c r="B41" s="17">
        <v>1</v>
      </c>
      <c r="C41" s="17" t="s">
        <v>1</v>
      </c>
      <c r="D41" s="18">
        <v>11</v>
      </c>
    </row>
    <row r="42" spans="1:4">
      <c r="A42" s="19" t="str">
        <f t="shared" si="2"/>
        <v>FB_IMv_MON_S.IFXX</v>
      </c>
      <c r="B42" s="11">
        <v>2</v>
      </c>
      <c r="C42" s="11" t="s">
        <v>2</v>
      </c>
      <c r="D42" s="20" t="s">
        <v>3</v>
      </c>
    </row>
    <row r="43" spans="1:4">
      <c r="A43" s="19" t="str">
        <f t="shared" si="2"/>
        <v>FB_IMv_MON_S.IFXX</v>
      </c>
      <c r="B43" s="11">
        <v>3</v>
      </c>
      <c r="C43" s="11" t="s">
        <v>1</v>
      </c>
      <c r="D43" s="20">
        <v>192</v>
      </c>
    </row>
    <row r="44" spans="1:4">
      <c r="A44" s="211" t="str">
        <f t="shared" si="2"/>
        <v>FB_IMv_MON_S.IFXX</v>
      </c>
      <c r="B44" s="212">
        <v>11152</v>
      </c>
      <c r="C44" s="212" t="s">
        <v>0</v>
      </c>
      <c r="D44" s="213" t="str">
        <f>$R$7</f>
        <v>Неисправность</v>
      </c>
    </row>
    <row r="45" spans="1:4">
      <c r="A45" s="211" t="str">
        <f t="shared" si="2"/>
        <v>FB_IMv_MON_S.IFXX</v>
      </c>
      <c r="B45" s="212">
        <v>11000</v>
      </c>
      <c r="C45" s="212" t="s">
        <v>5</v>
      </c>
      <c r="D45" s="213">
        <v>2147483680</v>
      </c>
    </row>
    <row r="46" spans="1:4">
      <c r="A46" s="211" t="str">
        <f t="shared" si="2"/>
        <v>FB_IMv_MON_S.IFXX</v>
      </c>
      <c r="B46" s="212">
        <v>11150</v>
      </c>
      <c r="C46" s="212" t="s">
        <v>0</v>
      </c>
      <c r="D46" s="213" t="s">
        <v>110</v>
      </c>
    </row>
    <row r="47" spans="1:4">
      <c r="A47" s="211" t="str">
        <f t="shared" si="2"/>
        <v>FB_IMv_MON_S.IFXX</v>
      </c>
      <c r="B47" s="212">
        <v>11154</v>
      </c>
      <c r="C47" s="212" t="s">
        <v>4</v>
      </c>
      <c r="D47" s="213">
        <f>$Q$7</f>
        <v>12</v>
      </c>
    </row>
    <row r="48" spans="1:4">
      <c r="A48" s="19" t="str">
        <f t="shared" si="2"/>
        <v>FB_IMv_MON_S.IFXX</v>
      </c>
      <c r="B48" s="11">
        <v>101</v>
      </c>
      <c r="C48" s="11" t="s">
        <v>0</v>
      </c>
      <c r="D48" s="20" t="s">
        <v>176</v>
      </c>
    </row>
    <row r="49" spans="1:4">
      <c r="A49" s="19" t="str">
        <f t="shared" si="2"/>
        <v>FB_IMv_MON_S.IFXX</v>
      </c>
      <c r="B49" s="11">
        <v>7998</v>
      </c>
      <c r="C49" s="11" t="s">
        <v>6</v>
      </c>
      <c r="D49" s="20">
        <v>1</v>
      </c>
    </row>
    <row r="50" spans="1:4">
      <c r="A50" s="21" t="str">
        <f t="shared" si="2"/>
        <v>FB_IMv_MON_S.IFXX</v>
      </c>
      <c r="B50" s="8">
        <v>7999</v>
      </c>
      <c r="C50" s="8" t="s">
        <v>0</v>
      </c>
      <c r="D50" s="22" t="str">
        <f>"#"&amp;$S$2&amp;"#"&amp;$T$2&amp;"\"&amp;$P$2&amp;"\IFXX"</f>
        <v>#1#treiOPCDA.CoOPCserv.1\pcmaster\KNS_P2\IFXX</v>
      </c>
    </row>
    <row r="51" spans="1:4">
      <c r="A51" s="217" t="str">
        <f t="shared" ref="A51:A60" si="3">$R$2&amp;".FUSX"</f>
        <v>FB_IMv_MON_S.FUSX</v>
      </c>
      <c r="B51" s="218">
        <v>11154</v>
      </c>
      <c r="C51" s="218" t="s">
        <v>4</v>
      </c>
      <c r="D51" s="231">
        <f>$Q$7</f>
        <v>12</v>
      </c>
    </row>
    <row r="52" spans="1:4">
      <c r="A52" s="211" t="str">
        <f t="shared" si="3"/>
        <v>FB_IMv_MON_S.FUSX</v>
      </c>
      <c r="B52" s="212">
        <v>11152</v>
      </c>
      <c r="C52" s="212" t="s">
        <v>0</v>
      </c>
      <c r="D52" s="213" t="str">
        <f>$R$7</f>
        <v>Неисправность</v>
      </c>
    </row>
    <row r="53" spans="1:4">
      <c r="A53" s="211" t="str">
        <f t="shared" si="3"/>
        <v>FB_IMv_MON_S.FUSX</v>
      </c>
      <c r="B53" s="212">
        <v>11150</v>
      </c>
      <c r="C53" s="212" t="s">
        <v>0</v>
      </c>
      <c r="D53" s="213" t="s">
        <v>154</v>
      </c>
    </row>
    <row r="54" spans="1:4">
      <c r="A54" s="211" t="str">
        <f t="shared" si="3"/>
        <v>FB_IMv_MON_S.FUSX</v>
      </c>
      <c r="B54" s="212">
        <v>11000</v>
      </c>
      <c r="C54" s="212" t="s">
        <v>5</v>
      </c>
      <c r="D54" s="213">
        <v>2147483680</v>
      </c>
    </row>
    <row r="55" spans="1:4">
      <c r="A55" s="19" t="str">
        <f t="shared" si="3"/>
        <v>FB_IMv_MON_S.FUSX</v>
      </c>
      <c r="B55" s="11">
        <v>7999</v>
      </c>
      <c r="C55" s="11" t="s">
        <v>0</v>
      </c>
      <c r="D55" s="20" t="str">
        <f>"#"&amp;$S$2&amp;"#"&amp;$T$2&amp;"\"&amp;$P$2&amp;"\FUSX"</f>
        <v>#1#treiOPCDA.CoOPCserv.1\pcmaster\KNS_P2\FUSX</v>
      </c>
    </row>
    <row r="56" spans="1:4">
      <c r="A56" s="19" t="str">
        <f t="shared" si="3"/>
        <v>FB_IMv_MON_S.FUSX</v>
      </c>
      <c r="B56" s="11">
        <v>7998</v>
      </c>
      <c r="C56" s="11" t="s">
        <v>6</v>
      </c>
      <c r="D56" s="20">
        <v>1</v>
      </c>
    </row>
    <row r="57" spans="1:4">
      <c r="A57" s="19" t="str">
        <f t="shared" si="3"/>
        <v>FB_IMv_MON_S.FUSX</v>
      </c>
      <c r="B57" s="11">
        <v>101</v>
      </c>
      <c r="C57" s="11" t="s">
        <v>0</v>
      </c>
      <c r="D57" s="20" t="s">
        <v>154</v>
      </c>
    </row>
    <row r="58" spans="1:4">
      <c r="A58" s="19" t="str">
        <f t="shared" si="3"/>
        <v>FB_IMv_MON_S.FUSX</v>
      </c>
      <c r="B58" s="11">
        <v>3</v>
      </c>
      <c r="C58" s="11" t="s">
        <v>1</v>
      </c>
      <c r="D58" s="20">
        <v>192</v>
      </c>
    </row>
    <row r="59" spans="1:4">
      <c r="A59" s="19" t="str">
        <f t="shared" si="3"/>
        <v>FB_IMv_MON_S.FUSX</v>
      </c>
      <c r="B59" s="11">
        <v>2</v>
      </c>
      <c r="C59" s="11" t="s">
        <v>2</v>
      </c>
      <c r="D59" s="20" t="s">
        <v>3</v>
      </c>
    </row>
    <row r="60" spans="1:4">
      <c r="A60" s="21" t="str">
        <f t="shared" si="3"/>
        <v>FB_IMv_MON_S.FUSX</v>
      </c>
      <c r="B60" s="8">
        <v>1</v>
      </c>
      <c r="C60" s="8" t="s">
        <v>1</v>
      </c>
      <c r="D60" s="22">
        <v>11</v>
      </c>
    </row>
    <row r="61" spans="1:4">
      <c r="A61" s="16" t="str">
        <f t="shared" ref="A61:A70" si="4">$R$2&amp;".FDSX"</f>
        <v>FB_IMv_MON_S.FDSX</v>
      </c>
      <c r="B61" s="17">
        <v>1</v>
      </c>
      <c r="C61" s="17" t="s">
        <v>1</v>
      </c>
      <c r="D61" s="18">
        <v>11</v>
      </c>
    </row>
    <row r="62" spans="1:4">
      <c r="A62" s="19" t="str">
        <f t="shared" si="4"/>
        <v>FB_IMv_MON_S.FDSX</v>
      </c>
      <c r="B62" s="11">
        <v>2</v>
      </c>
      <c r="C62" s="11" t="s">
        <v>2</v>
      </c>
      <c r="D62" s="20" t="s">
        <v>3</v>
      </c>
    </row>
    <row r="63" spans="1:4">
      <c r="A63" s="19" t="str">
        <f t="shared" si="4"/>
        <v>FB_IMv_MON_S.FDSX</v>
      </c>
      <c r="B63" s="11">
        <v>3</v>
      </c>
      <c r="C63" s="11" t="s">
        <v>1</v>
      </c>
      <c r="D63" s="20">
        <v>192</v>
      </c>
    </row>
    <row r="64" spans="1:4">
      <c r="A64" s="19" t="str">
        <f t="shared" si="4"/>
        <v>FB_IMv_MON_S.FDSX</v>
      </c>
      <c r="B64" s="11">
        <v>101</v>
      </c>
      <c r="C64" s="11" t="s">
        <v>0</v>
      </c>
      <c r="D64" s="20" t="s">
        <v>161</v>
      </c>
    </row>
    <row r="65" spans="1:4">
      <c r="A65" s="19" t="str">
        <f t="shared" si="4"/>
        <v>FB_IMv_MON_S.FDSX</v>
      </c>
      <c r="B65" s="11">
        <v>7998</v>
      </c>
      <c r="C65" s="11" t="s">
        <v>6</v>
      </c>
      <c r="D65" s="20">
        <v>1</v>
      </c>
    </row>
    <row r="66" spans="1:4">
      <c r="A66" s="19" t="str">
        <f t="shared" si="4"/>
        <v>FB_IMv_MON_S.FDSX</v>
      </c>
      <c r="B66" s="11">
        <v>7999</v>
      </c>
      <c r="C66" s="11" t="s">
        <v>0</v>
      </c>
      <c r="D66" s="20" t="str">
        <f>"#"&amp;$S$2&amp;"#"&amp;$T$2&amp;"\"&amp;$P$2&amp;"\FDSX"</f>
        <v>#1#treiOPCDA.CoOPCserv.1\pcmaster\KNS_P2\FDSX</v>
      </c>
    </row>
    <row r="67" spans="1:4">
      <c r="A67" s="211" t="str">
        <f t="shared" si="4"/>
        <v>FB_IMv_MON_S.FDSX</v>
      </c>
      <c r="B67" s="212">
        <v>11000</v>
      </c>
      <c r="C67" s="212" t="s">
        <v>5</v>
      </c>
      <c r="D67" s="213">
        <v>2147483680</v>
      </c>
    </row>
    <row r="68" spans="1:4">
      <c r="A68" s="211" t="str">
        <f t="shared" si="4"/>
        <v>FB_IMv_MON_S.FDSX</v>
      </c>
      <c r="B68" s="212">
        <v>11150</v>
      </c>
      <c r="C68" s="212" t="s">
        <v>0</v>
      </c>
      <c r="D68" s="213" t="s">
        <v>161</v>
      </c>
    </row>
    <row r="69" spans="1:4">
      <c r="A69" s="211" t="str">
        <f t="shared" si="4"/>
        <v>FB_IMv_MON_S.FDSX</v>
      </c>
      <c r="B69" s="212">
        <v>11152</v>
      </c>
      <c r="C69" s="212" t="s">
        <v>0</v>
      </c>
      <c r="D69" s="213" t="str">
        <f>$R$7</f>
        <v>Неисправность</v>
      </c>
    </row>
    <row r="70" spans="1:4">
      <c r="A70" s="214" t="str">
        <f t="shared" si="4"/>
        <v>FB_IMv_MON_S.FDSX</v>
      </c>
      <c r="B70" s="215">
        <v>11154</v>
      </c>
      <c r="C70" s="215" t="s">
        <v>4</v>
      </c>
      <c r="D70" s="216">
        <f>$Q$7</f>
        <v>12</v>
      </c>
    </row>
    <row r="71" spans="1:4">
      <c r="A71" s="16" t="str">
        <f t="shared" ref="A71:A80" si="5">$R$2&amp;".DONX"</f>
        <v>FB_IMv_MON_S.DONX</v>
      </c>
      <c r="B71" s="17">
        <v>1</v>
      </c>
      <c r="C71" s="17" t="s">
        <v>1</v>
      </c>
      <c r="D71" s="18">
        <v>11</v>
      </c>
    </row>
    <row r="72" spans="1:4">
      <c r="A72" s="19" t="str">
        <f t="shared" si="5"/>
        <v>FB_IMv_MON_S.DONX</v>
      </c>
      <c r="B72" s="11">
        <v>2</v>
      </c>
      <c r="C72" s="11" t="s">
        <v>2</v>
      </c>
      <c r="D72" s="20" t="s">
        <v>3</v>
      </c>
    </row>
    <row r="73" spans="1:4">
      <c r="A73" s="19" t="str">
        <f t="shared" si="5"/>
        <v>FB_IMv_MON_S.DONX</v>
      </c>
      <c r="B73" s="11">
        <v>3</v>
      </c>
      <c r="C73" s="11" t="s">
        <v>1</v>
      </c>
      <c r="D73" s="20">
        <v>192</v>
      </c>
    </row>
    <row r="74" spans="1:4">
      <c r="A74" s="19" t="str">
        <f t="shared" si="5"/>
        <v>FB_IMv_MON_S.DONX</v>
      </c>
      <c r="B74" s="11">
        <v>101</v>
      </c>
      <c r="C74" s="11" t="s">
        <v>0</v>
      </c>
      <c r="D74" s="20" t="s">
        <v>122</v>
      </c>
    </row>
    <row r="75" spans="1:4">
      <c r="A75" s="19" t="str">
        <f t="shared" si="5"/>
        <v>FB_IMv_MON_S.DONX</v>
      </c>
      <c r="B75" s="11">
        <v>7998</v>
      </c>
      <c r="C75" s="11" t="s">
        <v>6</v>
      </c>
      <c r="D75" s="20">
        <v>1</v>
      </c>
    </row>
    <row r="76" spans="1:4">
      <c r="A76" s="19" t="str">
        <f t="shared" si="5"/>
        <v>FB_IMv_MON_S.DONX</v>
      </c>
      <c r="B76" s="11">
        <v>7999</v>
      </c>
      <c r="C76" s="11" t="s">
        <v>0</v>
      </c>
      <c r="D76" s="20" t="str">
        <f>"#"&amp;$S$2&amp;"#"&amp;$T$2&amp;"\"&amp;$P$2&amp;"\DONX"</f>
        <v>#1#treiOPCDA.CoOPCserv.1\pcmaster\KNS_P2\DONX</v>
      </c>
    </row>
    <row r="77" spans="1:4">
      <c r="A77" s="110" t="str">
        <f t="shared" si="5"/>
        <v>FB_IMv_MON_S.DONX</v>
      </c>
      <c r="B77" s="111">
        <v>11000</v>
      </c>
      <c r="C77" s="111" t="s">
        <v>5</v>
      </c>
      <c r="D77" s="112">
        <v>2147483680</v>
      </c>
    </row>
    <row r="78" spans="1:4">
      <c r="A78" s="110" t="str">
        <f t="shared" si="5"/>
        <v>FB_IMv_MON_S.DONX</v>
      </c>
      <c r="B78" s="111">
        <v>11150</v>
      </c>
      <c r="C78" s="111" t="s">
        <v>0</v>
      </c>
      <c r="D78" s="112" t="s">
        <v>410</v>
      </c>
    </row>
    <row r="79" spans="1:4">
      <c r="A79" s="110" t="str">
        <f t="shared" si="5"/>
        <v>FB_IMv_MON_S.DONX</v>
      </c>
      <c r="B79" s="111">
        <v>11152</v>
      </c>
      <c r="C79" s="111" t="s">
        <v>0</v>
      </c>
      <c r="D79" s="112" t="str">
        <f>$R$9</f>
        <v>Недостоверность</v>
      </c>
    </row>
    <row r="80" spans="1:4">
      <c r="A80" s="164" t="str">
        <f t="shared" si="5"/>
        <v>FB_IMv_MON_S.DONX</v>
      </c>
      <c r="B80" s="165">
        <v>11154</v>
      </c>
      <c r="C80" s="165" t="s">
        <v>4</v>
      </c>
      <c r="D80" s="166">
        <f>$Q$9</f>
        <v>10</v>
      </c>
    </row>
    <row r="81" spans="1:4">
      <c r="A81" s="163" t="str">
        <f t="shared" ref="A81:A90" si="6">$R$2&amp;".DOFX"</f>
        <v>FB_IMv_MON_S.DOFX</v>
      </c>
      <c r="B81" s="123">
        <v>11000</v>
      </c>
      <c r="C81" s="123" t="s">
        <v>5</v>
      </c>
      <c r="D81" s="198">
        <v>2147483680</v>
      </c>
    </row>
    <row r="82" spans="1:4">
      <c r="A82" s="110" t="str">
        <f t="shared" si="6"/>
        <v>FB_IMv_MON_S.DOFX</v>
      </c>
      <c r="B82" s="111">
        <v>11150</v>
      </c>
      <c r="C82" s="111" t="s">
        <v>0</v>
      </c>
      <c r="D82" s="112" t="s">
        <v>411</v>
      </c>
    </row>
    <row r="83" spans="1:4">
      <c r="A83" s="110" t="str">
        <f t="shared" si="6"/>
        <v>FB_IMv_MON_S.DOFX</v>
      </c>
      <c r="B83" s="111">
        <v>11152</v>
      </c>
      <c r="C83" s="111" t="s">
        <v>0</v>
      </c>
      <c r="D83" s="112" t="str">
        <f>$R$9</f>
        <v>Недостоверность</v>
      </c>
    </row>
    <row r="84" spans="1:4">
      <c r="A84" s="110" t="str">
        <f t="shared" si="6"/>
        <v>FB_IMv_MON_S.DOFX</v>
      </c>
      <c r="B84" s="111">
        <v>11154</v>
      </c>
      <c r="C84" s="111" t="s">
        <v>4</v>
      </c>
      <c r="D84" s="112">
        <f>$Q$9</f>
        <v>10</v>
      </c>
    </row>
    <row r="85" spans="1:4">
      <c r="A85" s="19" t="str">
        <f t="shared" si="6"/>
        <v>FB_IMv_MON_S.DOFX</v>
      </c>
      <c r="B85" s="11">
        <v>7999</v>
      </c>
      <c r="C85" s="11" t="s">
        <v>0</v>
      </c>
      <c r="D85" s="20" t="str">
        <f>"#"&amp;$S$2&amp;"#"&amp;$T$2&amp;"\"&amp;$P$2&amp;"\DOFX"</f>
        <v>#1#treiOPCDA.CoOPCserv.1\pcmaster\KNS_P2\DOFX</v>
      </c>
    </row>
    <row r="86" spans="1:4">
      <c r="A86" s="19" t="str">
        <f t="shared" si="6"/>
        <v>FB_IMv_MON_S.DOFX</v>
      </c>
      <c r="B86" s="11">
        <v>7998</v>
      </c>
      <c r="C86" s="11" t="s">
        <v>6</v>
      </c>
      <c r="D86" s="20">
        <v>1</v>
      </c>
    </row>
    <row r="87" spans="1:4">
      <c r="A87" s="19" t="str">
        <f t="shared" si="6"/>
        <v>FB_IMv_MON_S.DOFX</v>
      </c>
      <c r="B87" s="11">
        <v>101</v>
      </c>
      <c r="C87" s="11" t="s">
        <v>0</v>
      </c>
      <c r="D87" s="20" t="s">
        <v>97</v>
      </c>
    </row>
    <row r="88" spans="1:4">
      <c r="A88" s="19" t="str">
        <f t="shared" si="6"/>
        <v>FB_IMv_MON_S.DOFX</v>
      </c>
      <c r="B88" s="11">
        <v>3</v>
      </c>
      <c r="C88" s="11" t="s">
        <v>1</v>
      </c>
      <c r="D88" s="20">
        <v>192</v>
      </c>
    </row>
    <row r="89" spans="1:4">
      <c r="A89" s="19" t="str">
        <f t="shared" si="6"/>
        <v>FB_IMv_MON_S.DOFX</v>
      </c>
      <c r="B89" s="11">
        <v>2</v>
      </c>
      <c r="C89" s="11" t="s">
        <v>2</v>
      </c>
      <c r="D89" s="20" t="s">
        <v>3</v>
      </c>
    </row>
    <row r="90" spans="1:4">
      <c r="A90" s="21" t="str">
        <f t="shared" si="6"/>
        <v>FB_IMv_MON_S.DOFX</v>
      </c>
      <c r="B90" s="8">
        <v>1</v>
      </c>
      <c r="C90" s="8" t="s">
        <v>1</v>
      </c>
      <c r="D90" s="22">
        <v>11</v>
      </c>
    </row>
    <row r="91" spans="1:4">
      <c r="A91" s="163" t="str">
        <f t="shared" ref="A91:A100" si="7">$R$2&amp;".DFXX"</f>
        <v>FB_IMv_MON_S.DFXX</v>
      </c>
      <c r="B91" s="123">
        <v>11154</v>
      </c>
      <c r="C91" s="123" t="s">
        <v>4</v>
      </c>
      <c r="D91" s="198">
        <f>$Q$9</f>
        <v>10</v>
      </c>
    </row>
    <row r="92" spans="1:4">
      <c r="A92" s="110" t="str">
        <f t="shared" si="7"/>
        <v>FB_IMv_MON_S.DFXX</v>
      </c>
      <c r="B92" s="111">
        <v>11152</v>
      </c>
      <c r="C92" s="111" t="s">
        <v>0</v>
      </c>
      <c r="D92" s="112" t="str">
        <f>$R$9</f>
        <v>Недостоверность</v>
      </c>
    </row>
    <row r="93" spans="1:4">
      <c r="A93" s="110" t="str">
        <f t="shared" si="7"/>
        <v>FB_IMv_MON_S.DFXX</v>
      </c>
      <c r="B93" s="111">
        <v>11150</v>
      </c>
      <c r="C93" s="111" t="s">
        <v>0</v>
      </c>
      <c r="D93" s="112" t="s">
        <v>104</v>
      </c>
    </row>
    <row r="94" spans="1:4">
      <c r="A94" s="110" t="str">
        <f t="shared" si="7"/>
        <v>FB_IMv_MON_S.DFXX</v>
      </c>
      <c r="B94" s="111">
        <v>11000</v>
      </c>
      <c r="C94" s="111" t="s">
        <v>5</v>
      </c>
      <c r="D94" s="112">
        <v>2147483680</v>
      </c>
    </row>
    <row r="95" spans="1:4">
      <c r="A95" s="19" t="str">
        <f t="shared" si="7"/>
        <v>FB_IMv_MON_S.DFXX</v>
      </c>
      <c r="B95" s="11">
        <v>7999</v>
      </c>
      <c r="C95" s="11" t="s">
        <v>0</v>
      </c>
      <c r="D95" s="20" t="str">
        <f>"#"&amp;$S$2&amp;"#"&amp;$T$2&amp;"\"&amp;$P$2&amp;"\DFXX"</f>
        <v>#1#treiOPCDA.CoOPCserv.1\pcmaster\KNS_P2\DFXX</v>
      </c>
    </row>
    <row r="96" spans="1:4">
      <c r="A96" s="19" t="str">
        <f t="shared" si="7"/>
        <v>FB_IMv_MON_S.DFXX</v>
      </c>
      <c r="B96" s="11">
        <v>7998</v>
      </c>
      <c r="C96" s="11" t="s">
        <v>6</v>
      </c>
      <c r="D96" s="20">
        <v>1</v>
      </c>
    </row>
    <row r="97" spans="1:4">
      <c r="A97" s="19" t="str">
        <f t="shared" si="7"/>
        <v>FB_IMv_MON_S.DFXX</v>
      </c>
      <c r="B97" s="11">
        <v>101</v>
      </c>
      <c r="C97" s="11" t="s">
        <v>0</v>
      </c>
      <c r="D97" s="20" t="s">
        <v>520</v>
      </c>
    </row>
    <row r="98" spans="1:4">
      <c r="A98" s="19" t="str">
        <f t="shared" si="7"/>
        <v>FB_IMv_MON_S.DFXX</v>
      </c>
      <c r="B98" s="11">
        <v>3</v>
      </c>
      <c r="C98" s="11" t="s">
        <v>1</v>
      </c>
      <c r="D98" s="20">
        <v>192</v>
      </c>
    </row>
    <row r="99" spans="1:4">
      <c r="A99" s="19" t="str">
        <f t="shared" si="7"/>
        <v>FB_IMv_MON_S.DFXX</v>
      </c>
      <c r="B99" s="11">
        <v>2</v>
      </c>
      <c r="C99" s="11" t="s">
        <v>2</v>
      </c>
      <c r="D99" s="20" t="s">
        <v>3</v>
      </c>
    </row>
    <row r="100" spans="1:4">
      <c r="A100" s="19" t="str">
        <f t="shared" si="7"/>
        <v>FB_IMv_MON_S.DFXX</v>
      </c>
      <c r="B100" s="11">
        <v>1</v>
      </c>
      <c r="C100" s="11" t="s">
        <v>1</v>
      </c>
      <c r="D100" s="20">
        <v>11</v>
      </c>
    </row>
    <row r="101" spans="1:4">
      <c r="A101" s="16" t="str">
        <f t="shared" ref="A101:A112" si="8">$R$2&amp;".XRPX"</f>
        <v>FB_IMv_MON_S.XRPX</v>
      </c>
      <c r="B101" s="17">
        <v>1</v>
      </c>
      <c r="C101" s="17" t="s">
        <v>1</v>
      </c>
      <c r="D101" s="18">
        <v>11</v>
      </c>
    </row>
    <row r="102" spans="1:4">
      <c r="A102" s="19" t="str">
        <f t="shared" si="8"/>
        <v>FB_IMv_MON_S.XRPX</v>
      </c>
      <c r="B102" s="11">
        <v>2</v>
      </c>
      <c r="C102" s="11" t="s">
        <v>2</v>
      </c>
      <c r="D102" s="20" t="s">
        <v>3</v>
      </c>
    </row>
    <row r="103" spans="1:4">
      <c r="A103" s="19" t="str">
        <f t="shared" si="8"/>
        <v>FB_IMv_MON_S.XRPX</v>
      </c>
      <c r="B103" s="11">
        <v>3</v>
      </c>
      <c r="C103" s="11" t="s">
        <v>1</v>
      </c>
      <c r="D103" s="20">
        <v>192</v>
      </c>
    </row>
    <row r="104" spans="1:4">
      <c r="A104" s="19" t="str">
        <f t="shared" si="8"/>
        <v>FB_IMv_MON_S.XRPX</v>
      </c>
      <c r="B104" s="11">
        <v>101</v>
      </c>
      <c r="C104" s="11" t="s">
        <v>0</v>
      </c>
      <c r="D104" s="20" t="s">
        <v>137</v>
      </c>
    </row>
    <row r="105" spans="1:4">
      <c r="A105" s="19" t="str">
        <f t="shared" si="8"/>
        <v>FB_IMv_MON_S.XRPX</v>
      </c>
      <c r="B105" s="11">
        <v>7998</v>
      </c>
      <c r="C105" s="11" t="s">
        <v>6</v>
      </c>
      <c r="D105" s="20">
        <v>1</v>
      </c>
    </row>
    <row r="106" spans="1:4">
      <c r="A106" s="19" t="str">
        <f t="shared" si="8"/>
        <v>FB_IMv_MON_S.XRPX</v>
      </c>
      <c r="B106" s="11">
        <v>7999</v>
      </c>
      <c r="C106" s="11" t="s">
        <v>0</v>
      </c>
      <c r="D106" s="20" t="str">
        <f>"#"&amp;$S$2&amp;"#"&amp;$T$2&amp;"\"&amp;$P$2&amp;"\XRPX"</f>
        <v>#1#treiOPCDA.CoOPCserv.1\pcmaster\KNS_P2\XRPX</v>
      </c>
    </row>
    <row r="107" spans="1:4">
      <c r="A107" s="140" t="str">
        <f t="shared" si="8"/>
        <v>FB_IMv_MON_S.XRPX</v>
      </c>
      <c r="B107" s="141">
        <v>11000</v>
      </c>
      <c r="C107" s="141" t="s">
        <v>5</v>
      </c>
      <c r="D107" s="142">
        <v>2147483680</v>
      </c>
    </row>
    <row r="108" spans="1:4">
      <c r="A108" s="140" t="str">
        <f t="shared" si="8"/>
        <v>FB_IMv_MON_S.XRPX</v>
      </c>
      <c r="B108" s="141">
        <v>11150</v>
      </c>
      <c r="C108" s="141" t="s">
        <v>0</v>
      </c>
      <c r="D108" s="142" t="s">
        <v>89</v>
      </c>
    </row>
    <row r="109" spans="1:4">
      <c r="A109" s="140" t="str">
        <f t="shared" si="8"/>
        <v>FB_IMv_MON_S.XRPX</v>
      </c>
      <c r="B109" s="141">
        <v>11152</v>
      </c>
      <c r="C109" s="141" t="s">
        <v>0</v>
      </c>
      <c r="D109" s="142" t="str">
        <f>$R$11</f>
        <v>Ремонт</v>
      </c>
    </row>
    <row r="110" spans="1:4">
      <c r="A110" s="140" t="str">
        <f t="shared" si="8"/>
        <v>FB_IMv_MON_S.XRPX</v>
      </c>
      <c r="B110" s="141">
        <v>11154</v>
      </c>
      <c r="C110" s="141" t="s">
        <v>4</v>
      </c>
      <c r="D110" s="142">
        <f>$Q$11</f>
        <v>14</v>
      </c>
    </row>
    <row r="111" spans="1:4" ht="15" customHeight="1">
      <c r="A111" s="29" t="str">
        <f t="shared" si="8"/>
        <v>FB_IMv_MON_S.XRPX</v>
      </c>
      <c r="B111" s="1">
        <v>4000000</v>
      </c>
      <c r="C111" s="1" t="s">
        <v>0</v>
      </c>
      <c r="D111" s="415" t="s">
        <v>1489</v>
      </c>
    </row>
    <row r="112" spans="1:4">
      <c r="A112" s="26" t="str">
        <f t="shared" si="8"/>
        <v>FB_IMv_MON_S.XRPX</v>
      </c>
      <c r="B112" s="27">
        <v>7000000</v>
      </c>
      <c r="C112" s="27" t="s">
        <v>6</v>
      </c>
      <c r="D112" s="28">
        <v>2</v>
      </c>
    </row>
    <row r="113" spans="1:4">
      <c r="A113" s="19" t="str">
        <f t="shared" ref="A113:A122" si="9">$R$2&amp;".XONX"</f>
        <v>FB_IMv_MON_S.XONX</v>
      </c>
      <c r="B113" s="11">
        <v>1</v>
      </c>
      <c r="C113" s="11" t="s">
        <v>1</v>
      </c>
      <c r="D113" s="20">
        <v>11</v>
      </c>
    </row>
    <row r="114" spans="1:4">
      <c r="A114" s="19" t="str">
        <f t="shared" si="9"/>
        <v>FB_IMv_MON_S.XONX</v>
      </c>
      <c r="B114" s="11">
        <v>2</v>
      </c>
      <c r="C114" s="11" t="s">
        <v>2</v>
      </c>
      <c r="D114" s="20" t="s">
        <v>3</v>
      </c>
    </row>
    <row r="115" spans="1:4">
      <c r="A115" s="19" t="str">
        <f t="shared" si="9"/>
        <v>FB_IMv_MON_S.XONX</v>
      </c>
      <c r="B115" s="11">
        <v>3</v>
      </c>
      <c r="C115" s="11" t="s">
        <v>1</v>
      </c>
      <c r="D115" s="20">
        <v>192</v>
      </c>
    </row>
    <row r="116" spans="1:4">
      <c r="A116" s="19" t="str">
        <f t="shared" si="9"/>
        <v>FB_IMv_MON_S.XONX</v>
      </c>
      <c r="B116" s="11">
        <v>101</v>
      </c>
      <c r="C116" s="11" t="s">
        <v>0</v>
      </c>
      <c r="D116" s="20" t="s">
        <v>685</v>
      </c>
    </row>
    <row r="117" spans="1:4">
      <c r="A117" s="19" t="str">
        <f t="shared" si="9"/>
        <v>FB_IMv_MON_S.XONX</v>
      </c>
      <c r="B117" s="11">
        <v>7998</v>
      </c>
      <c r="C117" s="11" t="s">
        <v>6</v>
      </c>
      <c r="D117" s="20">
        <v>1</v>
      </c>
    </row>
    <row r="118" spans="1:4">
      <c r="A118" s="19" t="str">
        <f t="shared" si="9"/>
        <v>FB_IMv_MON_S.XONX</v>
      </c>
      <c r="B118" s="11">
        <v>7999</v>
      </c>
      <c r="C118" s="11" t="s">
        <v>0</v>
      </c>
      <c r="D118" s="20" t="str">
        <f>"#"&amp;$S$2&amp;"#"&amp;$T$2&amp;"\"&amp;$P$2&amp;"\XONX"</f>
        <v>#1#treiOPCDA.CoOPCserv.1\pcmaster\KNS_P2\XONX</v>
      </c>
    </row>
    <row r="119" spans="1:4">
      <c r="A119" s="100" t="str">
        <f t="shared" si="9"/>
        <v>FB_IMv_MON_S.XONX</v>
      </c>
      <c r="B119" s="101">
        <v>11000</v>
      </c>
      <c r="C119" s="101" t="s">
        <v>5</v>
      </c>
      <c r="D119" s="103">
        <v>2147483680</v>
      </c>
    </row>
    <row r="120" spans="1:4">
      <c r="A120" s="100" t="str">
        <f t="shared" si="9"/>
        <v>FB_IMv_MON_S.XONX</v>
      </c>
      <c r="B120" s="101">
        <v>11150</v>
      </c>
      <c r="C120" s="101" t="s">
        <v>0</v>
      </c>
      <c r="D120" s="103" t="s">
        <v>685</v>
      </c>
    </row>
    <row r="121" spans="1:4">
      <c r="A121" s="100" t="str">
        <f t="shared" si="9"/>
        <v>FB_IMv_MON_S.XONX</v>
      </c>
      <c r="B121" s="101">
        <v>11152</v>
      </c>
      <c r="C121" s="101" t="s">
        <v>0</v>
      </c>
      <c r="D121" s="103" t="str">
        <f>$R$8</f>
        <v>Телесигнализация</v>
      </c>
    </row>
    <row r="122" spans="1:4">
      <c r="A122" s="170" t="str">
        <f t="shared" si="9"/>
        <v>FB_IMv_MON_S.XONX</v>
      </c>
      <c r="B122" s="171">
        <v>11154</v>
      </c>
      <c r="C122" s="171" t="s">
        <v>4</v>
      </c>
      <c r="D122" s="172">
        <f>$Q$8</f>
        <v>18</v>
      </c>
    </row>
    <row r="123" spans="1:4">
      <c r="A123" s="16" t="str">
        <f t="shared" ref="A123:A132" si="10">$R$2&amp;".XOFX"</f>
        <v>FB_IMv_MON_S.XOFX</v>
      </c>
      <c r="B123" s="17">
        <v>1</v>
      </c>
      <c r="C123" s="17" t="s">
        <v>1</v>
      </c>
      <c r="D123" s="18">
        <v>11</v>
      </c>
    </row>
    <row r="124" spans="1:4">
      <c r="A124" s="19" t="str">
        <f t="shared" si="10"/>
        <v>FB_IMv_MON_S.XOFX</v>
      </c>
      <c r="B124" s="11">
        <v>2</v>
      </c>
      <c r="C124" s="11" t="s">
        <v>2</v>
      </c>
      <c r="D124" s="20" t="s">
        <v>3</v>
      </c>
    </row>
    <row r="125" spans="1:4">
      <c r="A125" s="19" t="str">
        <f t="shared" si="10"/>
        <v>FB_IMv_MON_S.XOFX</v>
      </c>
      <c r="B125" s="11">
        <v>3</v>
      </c>
      <c r="C125" s="11" t="s">
        <v>1</v>
      </c>
      <c r="D125" s="20">
        <v>192</v>
      </c>
    </row>
    <row r="126" spans="1:4">
      <c r="A126" s="19" t="str">
        <f t="shared" si="10"/>
        <v>FB_IMv_MON_S.XOFX</v>
      </c>
      <c r="B126" s="11">
        <v>101</v>
      </c>
      <c r="C126" s="11" t="s">
        <v>0</v>
      </c>
      <c r="D126" s="20" t="s">
        <v>816</v>
      </c>
    </row>
    <row r="127" spans="1:4">
      <c r="A127" s="19" t="str">
        <f t="shared" si="10"/>
        <v>FB_IMv_MON_S.XOFX</v>
      </c>
      <c r="B127" s="11">
        <v>7998</v>
      </c>
      <c r="C127" s="11" t="s">
        <v>6</v>
      </c>
      <c r="D127" s="20">
        <v>1</v>
      </c>
    </row>
    <row r="128" spans="1:4">
      <c r="A128" s="19" t="str">
        <f t="shared" si="10"/>
        <v>FB_IMv_MON_S.XOFX</v>
      </c>
      <c r="B128" s="11">
        <v>7999</v>
      </c>
      <c r="C128" s="11" t="s">
        <v>0</v>
      </c>
      <c r="D128" s="20" t="str">
        <f>"#"&amp;$S$2&amp;"#"&amp;$T$2&amp;"\"&amp;$P$2&amp;"\XOFX"</f>
        <v>#1#treiOPCDA.CoOPCserv.1\pcmaster\KNS_P2\XOFX</v>
      </c>
    </row>
    <row r="129" spans="1:4">
      <c r="A129" s="100" t="str">
        <f t="shared" si="10"/>
        <v>FB_IMv_MON_S.XOFX</v>
      </c>
      <c r="B129" s="101">
        <v>11000</v>
      </c>
      <c r="C129" s="101" t="s">
        <v>5</v>
      </c>
      <c r="D129" s="103">
        <v>2147483680</v>
      </c>
    </row>
    <row r="130" spans="1:4">
      <c r="A130" s="100" t="str">
        <f t="shared" si="10"/>
        <v>FB_IMv_MON_S.XOFX</v>
      </c>
      <c r="B130" s="101">
        <v>11150</v>
      </c>
      <c r="C130" s="101" t="s">
        <v>0</v>
      </c>
      <c r="D130" s="103" t="s">
        <v>816</v>
      </c>
    </row>
    <row r="131" spans="1:4">
      <c r="A131" s="100" t="str">
        <f t="shared" si="10"/>
        <v>FB_IMv_MON_S.XOFX</v>
      </c>
      <c r="B131" s="101">
        <v>11152</v>
      </c>
      <c r="C131" s="101" t="s">
        <v>0</v>
      </c>
      <c r="D131" s="103" t="str">
        <f>$R$8</f>
        <v>Телесигнализация</v>
      </c>
    </row>
    <row r="132" spans="1:4">
      <c r="A132" s="170" t="str">
        <f t="shared" si="10"/>
        <v>FB_IMv_MON_S.XOFX</v>
      </c>
      <c r="B132" s="171">
        <v>11154</v>
      </c>
      <c r="C132" s="171" t="s">
        <v>4</v>
      </c>
      <c r="D132" s="172">
        <f>$Q$8</f>
        <v>18</v>
      </c>
    </row>
    <row r="133" spans="1:4">
      <c r="A133" s="266" t="str">
        <f>$R$2&amp;".Commands.SRQX"</f>
        <v>FB_IMv_MON_S.Commands.SRQX</v>
      </c>
      <c r="B133" s="267">
        <v>1</v>
      </c>
      <c r="C133" s="267" t="s">
        <v>1</v>
      </c>
      <c r="D133" s="268">
        <v>3</v>
      </c>
    </row>
    <row r="134" spans="1:4">
      <c r="A134" s="269" t="str">
        <f>$R$2&amp;".Commands.SRQX"</f>
        <v>FB_IMv_MON_S.Commands.SRQX</v>
      </c>
      <c r="B134" s="270">
        <v>101</v>
      </c>
      <c r="C134" s="270" t="s">
        <v>0</v>
      </c>
      <c r="D134" s="271" t="s">
        <v>125</v>
      </c>
    </row>
    <row r="135" spans="1:4">
      <c r="A135" s="269" t="str">
        <f>$R$2&amp;".Commands.SRQX"</f>
        <v>FB_IMv_MON_S.Commands.SRQX</v>
      </c>
      <c r="B135" s="270">
        <v>7998</v>
      </c>
      <c r="C135" s="270" t="s">
        <v>6</v>
      </c>
      <c r="D135" s="271">
        <v>2</v>
      </c>
    </row>
    <row r="136" spans="1:4">
      <c r="A136" s="272" t="str">
        <f>$R$2&amp;".Commands.SRQX"</f>
        <v>FB_IMv_MON_S.Commands.SRQX</v>
      </c>
      <c r="B136" s="273">
        <v>7999</v>
      </c>
      <c r="C136" s="273" t="s">
        <v>0</v>
      </c>
      <c r="D136" s="274" t="str">
        <f>"#"&amp;$T$5&amp;"#"&amp;$T$2&amp;"\"&amp;$P$2&amp;"\SRQX"</f>
        <v>#1#treiOPCDA.CoOPCserv.1\pcmaster\KNS_P2\SRQX</v>
      </c>
    </row>
    <row r="137" spans="1:4">
      <c r="A137" s="16" t="str">
        <f>$R$2&amp;".Commands.CRPX"</f>
        <v>FB_IMv_MON_S.Commands.CRPX</v>
      </c>
      <c r="B137" s="17">
        <v>1</v>
      </c>
      <c r="C137" s="17" t="s">
        <v>1</v>
      </c>
      <c r="D137" s="18">
        <v>11</v>
      </c>
    </row>
    <row r="138" spans="1:4">
      <c r="A138" s="19" t="str">
        <f>$R$2&amp;".Commands.CRPX"</f>
        <v>FB_IMv_MON_S.Commands.CRPX</v>
      </c>
      <c r="B138" s="11">
        <v>101</v>
      </c>
      <c r="C138" s="11" t="s">
        <v>0</v>
      </c>
      <c r="D138" s="20" t="s">
        <v>113</v>
      </c>
    </row>
    <row r="139" spans="1:4">
      <c r="A139" s="19" t="str">
        <f>$R$2&amp;".Commands.CRPX"</f>
        <v>FB_IMv_MON_S.Commands.CRPX</v>
      </c>
      <c r="B139" s="11">
        <v>7998</v>
      </c>
      <c r="C139" s="11" t="s">
        <v>6</v>
      </c>
      <c r="D139" s="20">
        <v>2</v>
      </c>
    </row>
    <row r="140" spans="1:4">
      <c r="A140" s="21" t="str">
        <f>$R$2&amp;".Commands.CRPX"</f>
        <v>FB_IMv_MON_S.Commands.CRPX</v>
      </c>
      <c r="B140" s="8">
        <v>7999</v>
      </c>
      <c r="C140" s="8" t="s">
        <v>0</v>
      </c>
      <c r="D140" s="22" t="str">
        <f>"#"&amp;$T$5&amp;"#"&amp;$T$2&amp;"\"&amp;$P$2&amp;"\CRPX"</f>
        <v>#1#treiOPCDA.CoOPCserv.1\pcmaster\KNS_P2\CRPX</v>
      </c>
    </row>
    <row r="141" spans="1:4">
      <c r="A141" s="16" t="str">
        <f>$R$2&amp;".Commands.CRRX"</f>
        <v>FB_IMv_MON_S.Commands.CRRX</v>
      </c>
      <c r="B141" s="17">
        <v>1</v>
      </c>
      <c r="C141" s="17" t="s">
        <v>1</v>
      </c>
      <c r="D141" s="18">
        <v>11</v>
      </c>
    </row>
    <row r="142" spans="1:4">
      <c r="A142" s="19" t="str">
        <f>$R$2&amp;".Commands.CRRX"</f>
        <v>FB_IMv_MON_S.Commands.CRRX</v>
      </c>
      <c r="B142" s="11">
        <v>101</v>
      </c>
      <c r="C142" s="11" t="s">
        <v>0</v>
      </c>
      <c r="D142" s="20" t="s">
        <v>116</v>
      </c>
    </row>
    <row r="143" spans="1:4">
      <c r="A143" s="19" t="str">
        <f>$R$2&amp;".Commands.CRRX"</f>
        <v>FB_IMv_MON_S.Commands.CRRX</v>
      </c>
      <c r="B143" s="11">
        <v>7998</v>
      </c>
      <c r="C143" s="11" t="s">
        <v>6</v>
      </c>
      <c r="D143" s="20">
        <v>2</v>
      </c>
    </row>
    <row r="144" spans="1:4">
      <c r="A144" s="21" t="str">
        <f>$R$2&amp;".Commands.CRRX"</f>
        <v>FB_IMv_MON_S.Commands.CRRX</v>
      </c>
      <c r="B144" s="8">
        <v>7999</v>
      </c>
      <c r="C144" s="8" t="s">
        <v>0</v>
      </c>
      <c r="D144" s="22" t="str">
        <f>"#"&amp;$T$5&amp;"#"&amp;$T$2&amp;"\"&amp;$P$2&amp;"\CRRX"</f>
        <v>#1#treiOPCDA.CoOPCserv.1\pcmaster\KNS_P2\CRRX</v>
      </c>
    </row>
    <row r="145" spans="1:4">
      <c r="A145" s="16" t="str">
        <f t="shared" ref="A145:A150" si="11">$R$2&amp;".FXXX"</f>
        <v>FB_IMv_MON_S.FXXX</v>
      </c>
      <c r="B145" s="17">
        <v>1</v>
      </c>
      <c r="C145" s="17" t="s">
        <v>1</v>
      </c>
      <c r="D145" s="18">
        <v>11</v>
      </c>
    </row>
    <row r="146" spans="1:4">
      <c r="A146" s="19" t="str">
        <f t="shared" si="11"/>
        <v>FB_IMv_MON_S.FXXX</v>
      </c>
      <c r="B146" s="11">
        <v>2</v>
      </c>
      <c r="C146" s="11" t="s">
        <v>2</v>
      </c>
      <c r="D146" s="20" t="s">
        <v>3</v>
      </c>
    </row>
    <row r="147" spans="1:4">
      <c r="A147" s="19" t="str">
        <f t="shared" si="11"/>
        <v>FB_IMv_MON_S.FXXX</v>
      </c>
      <c r="B147" s="11">
        <v>3</v>
      </c>
      <c r="C147" s="11" t="s">
        <v>1</v>
      </c>
      <c r="D147" s="20">
        <v>192</v>
      </c>
    </row>
    <row r="148" spans="1:4">
      <c r="A148" s="19" t="str">
        <f t="shared" si="11"/>
        <v>FB_IMv_MON_S.FXXX</v>
      </c>
      <c r="B148" s="11">
        <v>101</v>
      </c>
      <c r="C148" s="11" t="s">
        <v>0</v>
      </c>
      <c r="D148" s="20" t="s">
        <v>139</v>
      </c>
    </row>
    <row r="149" spans="1:4">
      <c r="A149" s="19" t="str">
        <f t="shared" si="11"/>
        <v>FB_IMv_MON_S.FXXX</v>
      </c>
      <c r="B149" s="11">
        <v>7998</v>
      </c>
      <c r="C149" s="11" t="s">
        <v>6</v>
      </c>
      <c r="D149" s="20">
        <v>1</v>
      </c>
    </row>
    <row r="150" spans="1:4">
      <c r="A150" s="19" t="str">
        <f t="shared" si="11"/>
        <v>FB_IMv_MON_S.FXXX</v>
      </c>
      <c r="B150" s="11">
        <v>7999</v>
      </c>
      <c r="C150" s="11" t="s">
        <v>0</v>
      </c>
      <c r="D150" s="20" t="str">
        <f>"#"&amp;$S$2&amp;"#"&amp;$T$2&amp;"\"&amp;$P$2&amp;"\FXXX"</f>
        <v>#1#treiOPCDA.CoOPCserv.1\pcmaster\KNS_P2\FXXX</v>
      </c>
    </row>
    <row r="151" spans="1:4">
      <c r="A151" s="16" t="str">
        <f t="shared" ref="A151:A156" si="12">$R$2&amp;".IONX"</f>
        <v>FB_IMv_MON_S.IONX</v>
      </c>
      <c r="B151" s="17">
        <v>1</v>
      </c>
      <c r="C151" s="17" t="s">
        <v>1</v>
      </c>
      <c r="D151" s="18">
        <v>11</v>
      </c>
    </row>
    <row r="152" spans="1:4">
      <c r="A152" s="19" t="str">
        <f t="shared" si="12"/>
        <v>FB_IMv_MON_S.IONX</v>
      </c>
      <c r="B152" s="11">
        <v>2</v>
      </c>
      <c r="C152" s="11" t="s">
        <v>2</v>
      </c>
      <c r="D152" s="20" t="s">
        <v>3</v>
      </c>
    </row>
    <row r="153" spans="1:4">
      <c r="A153" s="19" t="str">
        <f t="shared" si="12"/>
        <v>FB_IMv_MON_S.IONX</v>
      </c>
      <c r="B153" s="11">
        <v>3</v>
      </c>
      <c r="C153" s="11" t="s">
        <v>1</v>
      </c>
      <c r="D153" s="20">
        <v>192</v>
      </c>
    </row>
    <row r="154" spans="1:4">
      <c r="A154" s="19" t="str">
        <f t="shared" si="12"/>
        <v>FB_IMv_MON_S.IONX</v>
      </c>
      <c r="B154" s="11">
        <v>101</v>
      </c>
      <c r="C154" s="11" t="s">
        <v>0</v>
      </c>
      <c r="D154" s="20" t="s">
        <v>107</v>
      </c>
    </row>
    <row r="155" spans="1:4">
      <c r="A155" s="19" t="str">
        <f t="shared" si="12"/>
        <v>FB_IMv_MON_S.IONX</v>
      </c>
      <c r="B155" s="11">
        <v>7998</v>
      </c>
      <c r="C155" s="11" t="s">
        <v>6</v>
      </c>
      <c r="D155" s="20">
        <v>1</v>
      </c>
    </row>
    <row r="156" spans="1:4">
      <c r="A156" s="21" t="str">
        <f t="shared" si="12"/>
        <v>FB_IMv_MON_S.IONX</v>
      </c>
      <c r="B156" s="8">
        <v>7999</v>
      </c>
      <c r="C156" s="8" t="s">
        <v>0</v>
      </c>
      <c r="D156" s="22" t="str">
        <f>"#"&amp;$S$2&amp;"#"&amp;$T$2&amp;"\"&amp;$P$2&amp;"\IONX"</f>
        <v>#1#treiOPCDA.CoOPCserv.1\pcmaster\KNS_P2\IONX</v>
      </c>
    </row>
    <row r="157" spans="1:4">
      <c r="A157" s="16" t="str">
        <f t="shared" ref="A157:A162" si="13">$R$2&amp;".IOFX"</f>
        <v>FB_IMv_MON_S.IOFX</v>
      </c>
      <c r="B157" s="17">
        <v>7999</v>
      </c>
      <c r="C157" s="17" t="s">
        <v>0</v>
      </c>
      <c r="D157" s="18" t="str">
        <f>"#"&amp;$S$2&amp;"#"&amp;$T$2&amp;"\"&amp;$P$2&amp;"\IOFX"</f>
        <v>#1#treiOPCDA.CoOPCserv.1\pcmaster\KNS_P2\IOFX</v>
      </c>
    </row>
    <row r="158" spans="1:4">
      <c r="A158" s="19" t="str">
        <f t="shared" si="13"/>
        <v>FB_IMv_MON_S.IOFX</v>
      </c>
      <c r="B158" s="11">
        <v>7998</v>
      </c>
      <c r="C158" s="11" t="s">
        <v>6</v>
      </c>
      <c r="D158" s="20">
        <v>1</v>
      </c>
    </row>
    <row r="159" spans="1:4">
      <c r="A159" s="19" t="str">
        <f t="shared" si="13"/>
        <v>FB_IMv_MON_S.IOFX</v>
      </c>
      <c r="B159" s="11">
        <v>101</v>
      </c>
      <c r="C159" s="11" t="s">
        <v>0</v>
      </c>
      <c r="D159" s="20" t="s">
        <v>92</v>
      </c>
    </row>
    <row r="160" spans="1:4">
      <c r="A160" s="19" t="str">
        <f t="shared" si="13"/>
        <v>FB_IMv_MON_S.IOFX</v>
      </c>
      <c r="B160" s="11">
        <v>3</v>
      </c>
      <c r="C160" s="11" t="s">
        <v>1</v>
      </c>
      <c r="D160" s="20">
        <v>192</v>
      </c>
    </row>
    <row r="161" spans="1:4">
      <c r="A161" s="19" t="str">
        <f t="shared" si="13"/>
        <v>FB_IMv_MON_S.IOFX</v>
      </c>
      <c r="B161" s="11">
        <v>2</v>
      </c>
      <c r="C161" s="11" t="s">
        <v>2</v>
      </c>
      <c r="D161" s="20" t="s">
        <v>3</v>
      </c>
    </row>
    <row r="162" spans="1:4">
      <c r="A162" s="21" t="str">
        <f t="shared" si="13"/>
        <v>FB_IMv_MON_S.IOFX</v>
      </c>
      <c r="B162" s="8">
        <v>1</v>
      </c>
      <c r="C162" s="8" t="s">
        <v>1</v>
      </c>
      <c r="D162" s="22">
        <v>11</v>
      </c>
    </row>
    <row r="163" spans="1:4">
      <c r="A163" s="266" t="str">
        <f t="shared" ref="A163:A168" si="14">$R$2&amp;".XRON"</f>
        <v>FB_IMv_MON_S.XRON</v>
      </c>
      <c r="B163" s="267">
        <v>1</v>
      </c>
      <c r="C163" s="267" t="s">
        <v>1</v>
      </c>
      <c r="D163" s="268">
        <v>3</v>
      </c>
    </row>
    <row r="164" spans="1:4">
      <c r="A164" s="269" t="str">
        <f t="shared" si="14"/>
        <v>FB_IMv_MON_S.XRON</v>
      </c>
      <c r="B164" s="270">
        <v>2</v>
      </c>
      <c r="C164" s="270" t="s">
        <v>6</v>
      </c>
      <c r="D164" s="271">
        <v>0</v>
      </c>
    </row>
    <row r="165" spans="1:4">
      <c r="A165" s="269" t="str">
        <f t="shared" si="14"/>
        <v>FB_IMv_MON_S.XRON</v>
      </c>
      <c r="B165" s="270">
        <v>3</v>
      </c>
      <c r="C165" s="270" t="s">
        <v>1</v>
      </c>
      <c r="D165" s="271">
        <v>192</v>
      </c>
    </row>
    <row r="166" spans="1:4">
      <c r="A166" s="269" t="str">
        <f t="shared" si="14"/>
        <v>FB_IMv_MON_S.XRON</v>
      </c>
      <c r="B166" s="270">
        <v>101</v>
      </c>
      <c r="C166" s="270" t="s">
        <v>0</v>
      </c>
      <c r="D166" s="271" t="s">
        <v>287</v>
      </c>
    </row>
    <row r="167" spans="1:4">
      <c r="A167" s="269" t="str">
        <f t="shared" si="14"/>
        <v>FB_IMv_MON_S.XRON</v>
      </c>
      <c r="B167" s="270">
        <v>7998</v>
      </c>
      <c r="C167" s="270" t="s">
        <v>6</v>
      </c>
      <c r="D167" s="271">
        <v>1</v>
      </c>
    </row>
    <row r="168" spans="1:4">
      <c r="A168" s="272" t="str">
        <f t="shared" si="14"/>
        <v>FB_IMv_MON_S.XRON</v>
      </c>
      <c r="B168" s="273">
        <v>7999</v>
      </c>
      <c r="C168" s="273" t="s">
        <v>0</v>
      </c>
      <c r="D168" s="274" t="str">
        <f>"#"&amp;$S$2&amp;"#"&amp;$T$2&amp;"\"&amp;$P$2&amp;"\XRON"</f>
        <v>#1#treiOPCDA.CoOPCserv.1\pcmaster\KNS_P2\XRON</v>
      </c>
    </row>
    <row r="169" spans="1:4">
      <c r="A169" s="266" t="str">
        <f t="shared" ref="A169:A174" si="15">$R$2&amp;".XROF"</f>
        <v>FB_IMv_MON_S.XROF</v>
      </c>
      <c r="B169" s="267">
        <v>1</v>
      </c>
      <c r="C169" s="267" t="s">
        <v>1</v>
      </c>
      <c r="D169" s="268">
        <v>3</v>
      </c>
    </row>
    <row r="170" spans="1:4">
      <c r="A170" s="269" t="str">
        <f t="shared" si="15"/>
        <v>FB_IMv_MON_S.XROF</v>
      </c>
      <c r="B170" s="270">
        <v>2</v>
      </c>
      <c r="C170" s="270" t="s">
        <v>6</v>
      </c>
      <c r="D170" s="271">
        <v>0</v>
      </c>
    </row>
    <row r="171" spans="1:4">
      <c r="A171" s="269" t="str">
        <f t="shared" si="15"/>
        <v>FB_IMv_MON_S.XROF</v>
      </c>
      <c r="B171" s="270">
        <v>3</v>
      </c>
      <c r="C171" s="270" t="s">
        <v>1</v>
      </c>
      <c r="D171" s="271">
        <v>192</v>
      </c>
    </row>
    <row r="172" spans="1:4">
      <c r="A172" s="269" t="str">
        <f t="shared" si="15"/>
        <v>FB_IMv_MON_S.XROF</v>
      </c>
      <c r="B172" s="270">
        <v>101</v>
      </c>
      <c r="C172" s="270" t="s">
        <v>0</v>
      </c>
      <c r="D172" s="271" t="s">
        <v>288</v>
      </c>
    </row>
    <row r="173" spans="1:4">
      <c r="A173" s="269" t="str">
        <f t="shared" si="15"/>
        <v>FB_IMv_MON_S.XROF</v>
      </c>
      <c r="B173" s="270">
        <v>7998</v>
      </c>
      <c r="C173" s="270" t="s">
        <v>6</v>
      </c>
      <c r="D173" s="271">
        <v>1</v>
      </c>
    </row>
    <row r="174" spans="1:4">
      <c r="A174" s="272" t="str">
        <f t="shared" si="15"/>
        <v>FB_IMv_MON_S.XROF</v>
      </c>
      <c r="B174" s="273">
        <v>7999</v>
      </c>
      <c r="C174" s="273" t="s">
        <v>0</v>
      </c>
      <c r="D174" s="274" t="str">
        <f>"#"&amp;$S$2&amp;"#"&amp;$T$2&amp;"\"&amp;$P$2&amp;"\XROF"</f>
        <v>#1#treiOPCDA.CoOPCserv.1\pcmaster\KNS_P2\XROF</v>
      </c>
    </row>
    <row r="175" spans="1:4">
      <c r="A175" s="266" t="str">
        <f t="shared" ref="A175:A180" si="16">$R$2&amp;".SRQX"</f>
        <v>FB_IMv_MON_S.SRQX</v>
      </c>
      <c r="B175" s="267">
        <v>1</v>
      </c>
      <c r="C175" s="267" t="s">
        <v>1</v>
      </c>
      <c r="D175" s="268">
        <v>3</v>
      </c>
    </row>
    <row r="176" spans="1:4">
      <c r="A176" s="269" t="str">
        <f t="shared" si="16"/>
        <v>FB_IMv_MON_S.SRQX</v>
      </c>
      <c r="B176" s="270">
        <v>2</v>
      </c>
      <c r="C176" s="270" t="s">
        <v>6</v>
      </c>
      <c r="D176" s="271">
        <v>0</v>
      </c>
    </row>
    <row r="177" spans="1:4">
      <c r="A177" s="269" t="str">
        <f t="shared" si="16"/>
        <v>FB_IMv_MON_S.SRQX</v>
      </c>
      <c r="B177" s="270">
        <v>3</v>
      </c>
      <c r="C177" s="270" t="s">
        <v>1</v>
      </c>
      <c r="D177" s="271">
        <v>192</v>
      </c>
    </row>
    <row r="178" spans="1:4">
      <c r="A178" s="269" t="str">
        <f t="shared" si="16"/>
        <v>FB_IMv_MON_S.SRQX</v>
      </c>
      <c r="B178" s="270">
        <v>101</v>
      </c>
      <c r="C178" s="270" t="s">
        <v>0</v>
      </c>
      <c r="D178" s="271" t="s">
        <v>125</v>
      </c>
    </row>
    <row r="179" spans="1:4">
      <c r="A179" s="269" t="str">
        <f t="shared" si="16"/>
        <v>FB_IMv_MON_S.SRQX</v>
      </c>
      <c r="B179" s="270">
        <v>7998</v>
      </c>
      <c r="C179" s="270" t="s">
        <v>6</v>
      </c>
      <c r="D179" s="271">
        <v>1</v>
      </c>
    </row>
    <row r="180" spans="1:4">
      <c r="A180" s="272" t="str">
        <f t="shared" si="16"/>
        <v>FB_IMv_MON_S.SRQX</v>
      </c>
      <c r="B180" s="273">
        <v>7999</v>
      </c>
      <c r="C180" s="273" t="s">
        <v>0</v>
      </c>
      <c r="D180" s="274" t="str">
        <f>"#"&amp;$S$2&amp;"#"&amp;$T$2&amp;"\"&amp;$P$2&amp;"\SRQX"</f>
        <v>#1#treiOPCDA.CoOPCserv.1\pcmaster\KNS_P2\SRQX</v>
      </c>
    </row>
  </sheetData>
  <autoFilter ref="B1:B180" xr:uid="{00000000-0009-0000-0000-00001A000000}"/>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Лист33">
    <tabColor rgb="FFFFC000"/>
  </sheetPr>
  <dimension ref="A1:BP37"/>
  <sheetViews>
    <sheetView topLeftCell="A13"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57"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t="s">
        <v>245</v>
      </c>
      <c r="Q2" s="2" t="s">
        <v>1756</v>
      </c>
      <c r="R2" s="2" t="s">
        <v>329</v>
      </c>
      <c r="S2" s="3">
        <v>1</v>
      </c>
      <c r="T2" s="3" t="s">
        <v>1698</v>
      </c>
      <c r="U2" s="3"/>
      <c r="V2" s="3" t="s">
        <v>569</v>
      </c>
      <c r="W2" s="12"/>
      <c r="X2" s="12"/>
      <c r="Y2" s="12"/>
      <c r="Z2" s="12"/>
      <c r="AA2" s="12">
        <v>0</v>
      </c>
      <c r="AB2" s="2" t="s">
        <v>231</v>
      </c>
      <c r="AC2" s="2" t="s">
        <v>227</v>
      </c>
      <c r="AD2" s="2"/>
      <c r="AE2" s="2" t="s">
        <v>1414</v>
      </c>
      <c r="AF2" s="2"/>
      <c r="AG2" s="2"/>
      <c r="AH2" s="2"/>
      <c r="AI2" s="2"/>
      <c r="AJ2" s="2"/>
      <c r="AK2" s="2"/>
      <c r="AL2" s="2"/>
      <c r="AM2" s="2"/>
      <c r="AN2" s="2"/>
      <c r="AO2" s="2"/>
      <c r="AP2" s="2"/>
      <c r="AQ2" s="2"/>
      <c r="AR2" s="2"/>
      <c r="AS2" s="2"/>
      <c r="AT2" s="2"/>
      <c r="AU2" s="2"/>
      <c r="AV2" s="2"/>
      <c r="AW2" s="2"/>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AB3" s="10"/>
      <c r="AC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AB4" s="10"/>
      <c r="AC4" s="10"/>
      <c r="BM4" s="4"/>
      <c r="BN4" s="4"/>
      <c r="BO4" s="4"/>
      <c r="BP4" s="4"/>
    </row>
    <row r="5" spans="1:68"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AB5" s="10"/>
      <c r="AC5" s="10"/>
      <c r="BM5" s="4"/>
      <c r="BN5" s="4"/>
      <c r="BO5" s="4"/>
      <c r="BP5" s="4"/>
    </row>
    <row r="6" spans="1:68"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AB6" s="10"/>
      <c r="AC6" s="10"/>
      <c r="BM6" s="4"/>
      <c r="BN6" s="4"/>
      <c r="BO6" s="4"/>
      <c r="BP6" s="4"/>
    </row>
    <row r="7" spans="1:68"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AB7" s="10"/>
      <c r="AC7" s="10"/>
      <c r="BM7" s="4"/>
      <c r="BN7" s="4"/>
      <c r="BO7" s="4"/>
      <c r="BP7" s="4"/>
    </row>
    <row r="8" spans="1:68" ht="15" customHeight="1">
      <c r="A8" s="9"/>
      <c r="B8" s="9"/>
      <c r="C8" s="9"/>
      <c r="D8" s="9"/>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AB8" s="10"/>
      <c r="AC8" s="10"/>
      <c r="BM8" s="4"/>
      <c r="BN8" s="4"/>
      <c r="BO8" s="4"/>
      <c r="BP8" s="4"/>
    </row>
    <row r="9" spans="1:68" ht="15" customHeight="1">
      <c r="A9" s="9"/>
      <c r="B9" s="9"/>
      <c r="C9" s="9"/>
      <c r="D9" s="9"/>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AB9" s="10"/>
      <c r="AC9" s="10"/>
      <c r="BM9" s="4"/>
      <c r="BN9" s="4"/>
      <c r="BO9" s="4"/>
      <c r="BP9" s="4"/>
    </row>
    <row r="10" spans="1:68" ht="15" customHeight="1">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AB10" s="10"/>
      <c r="AC10" s="10"/>
      <c r="BM10" s="4"/>
      <c r="BN10" s="4"/>
      <c r="BO10" s="4"/>
      <c r="BP10" s="4"/>
    </row>
    <row r="11" spans="1:68" ht="15" customHeight="1">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AB11" s="10"/>
      <c r="AC11" s="10"/>
      <c r="BM11" s="4"/>
      <c r="BN11" s="4"/>
      <c r="BO11" s="4"/>
      <c r="BP11" s="4"/>
    </row>
    <row r="12" spans="1:68"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AB12" s="10"/>
      <c r="AC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AB13" s="10"/>
      <c r="AC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AB14" s="10"/>
      <c r="AC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AB15" s="10"/>
      <c r="AC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AB16" s="10"/>
      <c r="AC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AB17" s="10"/>
      <c r="AC17" s="10"/>
      <c r="BM17" s="4"/>
      <c r="BN17" s="4"/>
      <c r="BO17" s="4"/>
      <c r="BP17" s="4"/>
    </row>
    <row r="18" spans="1:68"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AB18" s="10"/>
      <c r="AC18" s="10"/>
      <c r="BM18" s="4"/>
      <c r="BN18" s="4"/>
      <c r="BO18" s="4"/>
      <c r="BP18" s="4"/>
    </row>
    <row r="19" spans="1:68"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AB19" s="10"/>
      <c r="AC19" s="10"/>
      <c r="BM19" s="4"/>
      <c r="BN19" s="4"/>
      <c r="BO19" s="4"/>
      <c r="BP19" s="4"/>
    </row>
    <row r="20" spans="1:68" ht="15" customHeight="1">
      <c r="A20" s="19" t="str">
        <f t="shared" ref="A20:A37" si="0">$R$2</f>
        <v>DI</v>
      </c>
      <c r="B20" s="11">
        <v>11156</v>
      </c>
      <c r="C20" s="11" t="s">
        <v>0</v>
      </c>
      <c r="D20" s="20" t="str">
        <f>$V$2</f>
        <v>Тестовый экран</v>
      </c>
      <c r="E20" s="4"/>
      <c r="F20" s="4"/>
      <c r="BM20" s="4"/>
      <c r="BN20" s="4"/>
      <c r="BO20" s="4"/>
      <c r="BP20" s="4"/>
    </row>
    <row r="21" spans="1:68" ht="15" customHeight="1">
      <c r="A21" s="19" t="str">
        <f t="shared" si="0"/>
        <v>DI</v>
      </c>
      <c r="B21" s="11">
        <v>100</v>
      </c>
      <c r="C21" s="11" t="s">
        <v>0</v>
      </c>
      <c r="D21" s="20" t="b">
        <f>$T$7</f>
        <v>0</v>
      </c>
      <c r="BF21" s="4"/>
      <c r="BG21" s="4"/>
      <c r="BH21" s="4"/>
      <c r="BI21" s="4"/>
    </row>
    <row r="22" spans="1:68" ht="15" customHeight="1">
      <c r="A22" s="21" t="str">
        <f t="shared" si="0"/>
        <v>DI</v>
      </c>
      <c r="B22" s="8">
        <v>11120</v>
      </c>
      <c r="C22" s="8" t="s">
        <v>0</v>
      </c>
      <c r="D22" s="22" t="str">
        <f>$AC$2</f>
        <v>Зеленый</v>
      </c>
      <c r="BM22" s="4"/>
      <c r="BN22" s="4"/>
      <c r="BO22" s="4"/>
      <c r="BP22" s="4"/>
    </row>
    <row r="23" spans="1:68">
      <c r="A23" s="16" t="str">
        <f t="shared" si="0"/>
        <v>DI</v>
      </c>
      <c r="B23" s="17">
        <v>13</v>
      </c>
      <c r="C23" s="17" t="s">
        <v>2</v>
      </c>
      <c r="D23" s="18" t="s">
        <v>3</v>
      </c>
    </row>
    <row r="24" spans="1:68" ht="15" customHeight="1">
      <c r="A24" s="19" t="str">
        <f t="shared" si="0"/>
        <v>DI</v>
      </c>
      <c r="B24" s="11">
        <v>3000013</v>
      </c>
      <c r="C24" s="11" t="s">
        <v>0</v>
      </c>
      <c r="D24" s="20" t="str">
        <f>$AE$2</f>
        <v>Диагностика.CPU.NOT_LINK.noLink</v>
      </c>
      <c r="BF24" s="4"/>
      <c r="BG24" s="4"/>
      <c r="BH24" s="4"/>
      <c r="BI24" s="4"/>
    </row>
    <row r="25" spans="1:68" ht="15" customHeight="1">
      <c r="A25" s="19" t="str">
        <f t="shared" si="0"/>
        <v>DI</v>
      </c>
      <c r="B25" s="11">
        <v>4000013</v>
      </c>
      <c r="C25" s="11" t="s">
        <v>0</v>
      </c>
      <c r="D25" s="20" t="s">
        <v>1773</v>
      </c>
      <c r="BF25" s="4"/>
      <c r="BG25" s="4"/>
      <c r="BH25" s="4"/>
      <c r="BI25" s="4"/>
    </row>
    <row r="26" spans="1:68" ht="15" customHeight="1">
      <c r="A26" s="21" t="str">
        <f t="shared" si="0"/>
        <v>DI</v>
      </c>
      <c r="B26" s="8">
        <v>7000013</v>
      </c>
      <c r="C26" s="8" t="s">
        <v>6</v>
      </c>
      <c r="D26" s="22">
        <v>2</v>
      </c>
      <c r="BF26" s="4"/>
      <c r="BG26" s="4"/>
      <c r="BH26" s="4"/>
      <c r="BI26" s="4"/>
    </row>
    <row r="27" spans="1:68" ht="15" customHeight="1">
      <c r="A27" s="241" t="str">
        <f t="shared" si="0"/>
        <v>DI</v>
      </c>
      <c r="B27" s="242">
        <v>11154</v>
      </c>
      <c r="C27" s="242" t="s">
        <v>4</v>
      </c>
      <c r="D27" s="243">
        <f>IF($AB$2=$P$5,$Q$5,IF($AB$2=$P$6,$Q$6,IF($AB$2=$P$7,$Q$7,IF($AB$2=$P$8,$Q$8,IF($AB$2=$P$9,$Q$9,IF($AB$2=$P$10,$Q$10,IF($AB$2=$P$11,$Q$11,IF($AB$2=$P$12,$Q$12,IF($AB$2=$P$13,$Q$13,IF($AB$2=$P$14,$Q$14,IF($AB$2=$P$15,$Q$15,IF($AB$2=$P$16,$Q$16,IF($AB$2=$P$17,$Q$17,IF($AB$2=$P$18,$Q$18,IF($AB$2=$P$19,$Q$19,0)))))))))))))))</f>
        <v>18</v>
      </c>
      <c r="BM27" s="4"/>
      <c r="BN27" s="4"/>
      <c r="BO27" s="4"/>
      <c r="BP27" s="4"/>
    </row>
    <row r="28" spans="1:68" ht="15" customHeight="1">
      <c r="A28" s="244" t="str">
        <f t="shared" si="0"/>
        <v>DI</v>
      </c>
      <c r="B28" s="245">
        <v>11150</v>
      </c>
      <c r="C28" s="245" t="s">
        <v>0</v>
      </c>
      <c r="D28" s="246" t="str">
        <f>$Q$2</f>
        <v>Дискретный вход (только один сигнал)</v>
      </c>
      <c r="BM28" s="4"/>
      <c r="BN28" s="4"/>
      <c r="BO28" s="4"/>
      <c r="BP28" s="4"/>
    </row>
    <row r="29" spans="1:68" ht="15" customHeight="1">
      <c r="A29" s="244" t="str">
        <f t="shared" si="0"/>
        <v>DI</v>
      </c>
      <c r="B29" s="245">
        <v>11152</v>
      </c>
      <c r="C29" s="245" t="s">
        <v>0</v>
      </c>
      <c r="D29" s="247" t="str">
        <f>IF($AB$2=$P$5,$R$5,IF($AB$2=$P$6,$R$6,IF($AB$2=$P$7,$R$7,IF($AB$2=$P$8,$R$8,IF($AB$2=$P$9,$R$9,IF($AB$2=$P$10,$R$10,IF($AB$2=$P$11,$R$11,IF($AB$2=$P$12,$R$12,IF($AB$2=$P$13,$R$13,IF($AB$2=$P$14,$R$14,IF($AB$2=$P$15,$R$15,IF($AB$2=$P$16,$R$16,IF($AB$2=$P$17,$R$17,IF($AB$2=$P$18,$R$18,IF($AB$2=$P$19,$R$19,0)))))))))))))))</f>
        <v>Телесигнализация</v>
      </c>
      <c r="BM29" s="4"/>
      <c r="BN29" s="4"/>
      <c r="BO29" s="4"/>
      <c r="BP29" s="4"/>
    </row>
    <row r="30" spans="1:68" ht="15" customHeight="1">
      <c r="A30" s="244" t="str">
        <f t="shared" si="0"/>
        <v>DI</v>
      </c>
      <c r="B30" s="245">
        <v>11000</v>
      </c>
      <c r="C30" s="245" t="s">
        <v>5</v>
      </c>
      <c r="D30" s="246">
        <v>2147483680</v>
      </c>
      <c r="BM30" s="4"/>
      <c r="BN30" s="4"/>
      <c r="BO30" s="4"/>
      <c r="BP30" s="4"/>
    </row>
    <row r="31" spans="1:68" ht="15" customHeight="1">
      <c r="A31" s="19" t="str">
        <f t="shared" si="0"/>
        <v>DI</v>
      </c>
      <c r="B31" s="11">
        <v>7999</v>
      </c>
      <c r="C31" s="11" t="s">
        <v>0</v>
      </c>
      <c r="D31" s="20" t="str">
        <f>"#"&amp;$S$2&amp;"#"&amp;$T$2&amp;"\"&amp;$P$2</f>
        <v>#1#treiOPCDA.CoOPCserv.1\pcmaster\KTP_SEC1_NOT_U</v>
      </c>
      <c r="BM31" s="4"/>
      <c r="BN31" s="4"/>
      <c r="BO31" s="4"/>
      <c r="BP31" s="4"/>
    </row>
    <row r="32" spans="1:68" ht="15" customHeight="1">
      <c r="A32" s="19" t="str">
        <f t="shared" si="0"/>
        <v>DI</v>
      </c>
      <c r="B32" s="11">
        <v>7998</v>
      </c>
      <c r="C32" s="11" t="s">
        <v>6</v>
      </c>
      <c r="D32" s="20">
        <v>1</v>
      </c>
      <c r="BM32" s="4"/>
      <c r="BN32" s="4"/>
      <c r="BO32" s="4"/>
      <c r="BP32" s="4"/>
    </row>
    <row r="33" spans="1:68" ht="15" customHeight="1">
      <c r="A33" s="19" t="str">
        <f t="shared" si="0"/>
        <v>DI</v>
      </c>
      <c r="B33" s="11">
        <v>101</v>
      </c>
      <c r="C33" s="11" t="s">
        <v>0</v>
      </c>
      <c r="D33" s="20" t="str">
        <f>$Q$2</f>
        <v>Дискретный вход (только один сигнал)</v>
      </c>
      <c r="BM33" s="4"/>
      <c r="BN33" s="4"/>
      <c r="BO33" s="4"/>
      <c r="BP33" s="4"/>
    </row>
    <row r="34" spans="1:68" ht="15" customHeight="1">
      <c r="A34" s="19" t="str">
        <f t="shared" si="0"/>
        <v>DI</v>
      </c>
      <c r="B34" s="11">
        <v>3</v>
      </c>
      <c r="C34" s="11" t="s">
        <v>1</v>
      </c>
      <c r="D34" s="20">
        <v>192</v>
      </c>
      <c r="BM34" s="4"/>
      <c r="BN34" s="4"/>
      <c r="BO34" s="4"/>
      <c r="BP34" s="4"/>
    </row>
    <row r="35" spans="1:68" ht="15" customHeight="1">
      <c r="A35" s="19" t="str">
        <f t="shared" si="0"/>
        <v>DI</v>
      </c>
      <c r="B35" s="11">
        <v>2</v>
      </c>
      <c r="C35" s="11" t="s">
        <v>2</v>
      </c>
      <c r="D35" s="20" t="s">
        <v>3</v>
      </c>
      <c r="BM35" s="4"/>
      <c r="BN35" s="4"/>
      <c r="BO35" s="4"/>
      <c r="BP35" s="4"/>
    </row>
    <row r="36" spans="1:68" ht="15" customHeight="1">
      <c r="A36" s="19" t="str">
        <f t="shared" si="0"/>
        <v>DI</v>
      </c>
      <c r="B36" s="11">
        <v>1</v>
      </c>
      <c r="C36" s="11" t="s">
        <v>1</v>
      </c>
      <c r="D36" s="20">
        <v>11</v>
      </c>
      <c r="BM36" s="4"/>
      <c r="BN36" s="4"/>
      <c r="BO36" s="4"/>
      <c r="BP36" s="4"/>
    </row>
    <row r="37" spans="1:68">
      <c r="A37" s="21" t="str">
        <f t="shared" si="0"/>
        <v>DI</v>
      </c>
      <c r="B37" s="27">
        <v>7200</v>
      </c>
      <c r="C37" s="27" t="s">
        <v>2</v>
      </c>
      <c r="D37" s="248" t="str">
        <f>IF($AA$2=1,"True","False")</f>
        <v>False</v>
      </c>
    </row>
  </sheetData>
  <autoFilter ref="B1:B35" xr:uid="{00000000-0009-0000-0000-00001B000000}"/>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Лист55">
    <tabColor rgb="FFFFC000"/>
  </sheetPr>
  <dimension ref="A1:BP50"/>
  <sheetViews>
    <sheetView topLeftCell="A16"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57"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t="s">
        <v>435</v>
      </c>
      <c r="Q2" s="2" t="s">
        <v>1757</v>
      </c>
      <c r="R2" s="2" t="s">
        <v>748</v>
      </c>
      <c r="S2" s="3">
        <v>1</v>
      </c>
      <c r="T2" s="3" t="s">
        <v>1698</v>
      </c>
      <c r="U2" s="3"/>
      <c r="V2" s="3" t="s">
        <v>569</v>
      </c>
      <c r="W2" s="12"/>
      <c r="X2" s="12"/>
      <c r="Y2" s="12"/>
      <c r="Z2" s="12"/>
      <c r="AA2" s="12">
        <v>0</v>
      </c>
      <c r="AB2" s="2" t="s">
        <v>230</v>
      </c>
      <c r="AC2" s="2" t="s">
        <v>226</v>
      </c>
      <c r="AD2" s="2"/>
      <c r="AE2" s="2" t="s">
        <v>1414</v>
      </c>
      <c r="AF2" s="2"/>
      <c r="AG2" s="2"/>
      <c r="AH2" s="2"/>
      <c r="AI2" s="2"/>
      <c r="AJ2" s="2"/>
      <c r="AK2" s="2" t="s">
        <v>1296</v>
      </c>
      <c r="AL2" s="2"/>
      <c r="AM2" s="2"/>
      <c r="AN2" s="2"/>
      <c r="AO2" s="2"/>
      <c r="AP2" s="2"/>
      <c r="AQ2" s="2"/>
      <c r="AR2" s="2"/>
      <c r="AS2" s="2"/>
      <c r="AT2" s="2"/>
      <c r="AU2" s="2"/>
      <c r="AV2" s="2"/>
      <c r="AW2" s="2"/>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AB3" s="10"/>
      <c r="AC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AB4" s="10"/>
      <c r="AC4" s="10"/>
      <c r="BM4" s="4"/>
      <c r="BN4" s="4"/>
      <c r="BO4" s="4"/>
      <c r="BP4" s="4"/>
    </row>
    <row r="5" spans="1:68"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AB5" s="10"/>
      <c r="AC5" s="10"/>
      <c r="BM5" s="4"/>
      <c r="BN5" s="4"/>
      <c r="BO5" s="4"/>
      <c r="BP5" s="4"/>
    </row>
    <row r="6" spans="1:68"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AB6" s="10"/>
      <c r="AC6" s="10"/>
      <c r="BM6" s="4"/>
      <c r="BN6" s="4"/>
      <c r="BO6" s="4"/>
      <c r="BP6" s="4"/>
    </row>
    <row r="7" spans="1:68"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AB7" s="10"/>
      <c r="AC7" s="10"/>
      <c r="BM7" s="4"/>
      <c r="BN7" s="4"/>
      <c r="BO7" s="4"/>
      <c r="BP7" s="4"/>
    </row>
    <row r="8" spans="1:68" ht="15" customHeight="1">
      <c r="A8" s="9"/>
      <c r="B8" s="9"/>
      <c r="C8" s="9"/>
      <c r="D8" s="9"/>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AB8" s="10"/>
      <c r="AC8" s="10"/>
      <c r="BM8" s="4"/>
      <c r="BN8" s="4"/>
      <c r="BO8" s="4"/>
      <c r="BP8" s="4"/>
    </row>
    <row r="9" spans="1:68" ht="15" customHeight="1">
      <c r="A9" s="9"/>
      <c r="B9" s="9"/>
      <c r="C9" s="9"/>
      <c r="D9" s="9"/>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AB9" s="10"/>
      <c r="AC9" s="10"/>
      <c r="BM9" s="4"/>
      <c r="BN9" s="4"/>
      <c r="BO9" s="4"/>
      <c r="BP9" s="4"/>
    </row>
    <row r="10" spans="1:68" ht="15" customHeight="1">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AB10" s="10"/>
      <c r="AC10" s="10"/>
      <c r="BM10" s="4"/>
      <c r="BN10" s="4"/>
      <c r="BO10" s="4"/>
      <c r="BP10" s="4"/>
    </row>
    <row r="11" spans="1:68" ht="15" customHeight="1">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AB11" s="10"/>
      <c r="AC11" s="10"/>
      <c r="BM11" s="4"/>
      <c r="BN11" s="4"/>
      <c r="BO11" s="4"/>
      <c r="BP11" s="4"/>
    </row>
    <row r="12" spans="1:68"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AB12" s="10"/>
      <c r="AC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AB13" s="10"/>
      <c r="AC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AB14" s="10"/>
      <c r="AC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AB15" s="10"/>
      <c r="AC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AB16" s="10"/>
      <c r="AC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AB17" s="10"/>
      <c r="AC17" s="10"/>
      <c r="BM17" s="4"/>
      <c r="BN17" s="4"/>
      <c r="BO17" s="4"/>
      <c r="BP17" s="4"/>
    </row>
    <row r="18" spans="1:68"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AB18" s="10"/>
      <c r="AC18" s="10"/>
      <c r="BM18" s="4"/>
      <c r="BN18" s="4"/>
      <c r="BO18" s="4"/>
      <c r="BP18" s="4"/>
    </row>
    <row r="19" spans="1:68"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AB19" s="10"/>
      <c r="AC19" s="10"/>
      <c r="BM19" s="4"/>
      <c r="BN19" s="4"/>
      <c r="BO19" s="4"/>
      <c r="BP19" s="4"/>
    </row>
    <row r="20" spans="1:68" ht="15" customHeight="1">
      <c r="A20" s="16" t="str">
        <f t="shared" ref="A20:A29" si="0">$R$2</f>
        <v>Диагностика.DI_DIAG</v>
      </c>
      <c r="B20" s="17">
        <v>11001</v>
      </c>
      <c r="C20" s="17" t="s">
        <v>0</v>
      </c>
      <c r="D20" s="18" t="str">
        <f>$Q$2</f>
        <v>Дискретный вход (XVLX+DVXX)</v>
      </c>
      <c r="E20" s="4"/>
      <c r="F20" s="4"/>
      <c r="BM20" s="4"/>
      <c r="BN20" s="4"/>
      <c r="BO20" s="4"/>
      <c r="BP20" s="4"/>
    </row>
    <row r="21" spans="1:68" ht="15" customHeight="1">
      <c r="A21" s="19" t="str">
        <f t="shared" si="0"/>
        <v>Диагностика.DI_DIAG</v>
      </c>
      <c r="B21" s="11">
        <v>11156</v>
      </c>
      <c r="C21" s="11" t="s">
        <v>0</v>
      </c>
      <c r="D21" s="20" t="str">
        <f>$V$2</f>
        <v>Тестовый экран</v>
      </c>
      <c r="E21" s="4"/>
      <c r="F21" s="4"/>
      <c r="BM21" s="4"/>
      <c r="BN21" s="4"/>
      <c r="BO21" s="4"/>
      <c r="BP21" s="4"/>
    </row>
    <row r="22" spans="1:68" ht="15" customHeight="1">
      <c r="A22" s="19" t="str">
        <f t="shared" si="0"/>
        <v>Диагностика.DI_DIAG</v>
      </c>
      <c r="B22" s="11">
        <v>11157</v>
      </c>
      <c r="C22" s="11" t="s">
        <v>0</v>
      </c>
      <c r="D22" s="20" t="str">
        <f>$V$2</f>
        <v>Тестовый экран</v>
      </c>
      <c r="E22" s="4"/>
      <c r="F22" s="4"/>
      <c r="BM22" s="4"/>
      <c r="BN22" s="4"/>
      <c r="BO22" s="4"/>
      <c r="BP22" s="4"/>
    </row>
    <row r="23" spans="1:68" ht="15" customHeight="1">
      <c r="A23" s="19" t="str">
        <f t="shared" si="0"/>
        <v>Диагностика.DI_DIAG</v>
      </c>
      <c r="B23" s="11">
        <v>1</v>
      </c>
      <c r="C23" s="11" t="s">
        <v>1</v>
      </c>
      <c r="D23" s="20">
        <v>17</v>
      </c>
      <c r="BM23" s="4"/>
      <c r="BN23" s="4"/>
      <c r="BO23" s="4"/>
      <c r="BP23" s="4"/>
    </row>
    <row r="24" spans="1:68" ht="15" customHeight="1">
      <c r="A24" s="16" t="str">
        <f t="shared" si="0"/>
        <v>Диагностика.DI_DIAG</v>
      </c>
      <c r="B24" s="17">
        <v>100</v>
      </c>
      <c r="C24" s="17" t="s">
        <v>0</v>
      </c>
      <c r="D24" s="18" t="b">
        <f>$T$7</f>
        <v>0</v>
      </c>
      <c r="BF24" s="4"/>
      <c r="BG24" s="4"/>
      <c r="BH24" s="4"/>
      <c r="BI24" s="4"/>
    </row>
    <row r="25" spans="1:68" ht="15" customHeight="1">
      <c r="A25" s="21" t="str">
        <f t="shared" si="0"/>
        <v>Диагностика.DI_DIAG</v>
      </c>
      <c r="B25" s="8">
        <v>11120</v>
      </c>
      <c r="C25" s="8" t="s">
        <v>0</v>
      </c>
      <c r="D25" s="22" t="str">
        <f>$AC$2</f>
        <v>Желтый</v>
      </c>
      <c r="BM25" s="4"/>
      <c r="BN25" s="4"/>
      <c r="BO25" s="4"/>
      <c r="BP25" s="4"/>
    </row>
    <row r="26" spans="1:68">
      <c r="A26" s="16" t="str">
        <f t="shared" si="0"/>
        <v>Диагностика.DI_DIAG</v>
      </c>
      <c r="B26" s="17">
        <v>13</v>
      </c>
      <c r="C26" s="17" t="s">
        <v>2</v>
      </c>
      <c r="D26" s="18" t="s">
        <v>3</v>
      </c>
    </row>
    <row r="27" spans="1:68" ht="15" customHeight="1">
      <c r="A27" s="19" t="str">
        <f t="shared" si="0"/>
        <v>Диагностика.DI_DIAG</v>
      </c>
      <c r="B27" s="11">
        <v>3000013</v>
      </c>
      <c r="C27" s="11" t="s">
        <v>0</v>
      </c>
      <c r="D27" s="20" t="str">
        <f>$AE$2</f>
        <v>Диагностика.CPU.NOT_LINK.noLink</v>
      </c>
      <c r="BF27" s="4"/>
      <c r="BG27" s="4"/>
      <c r="BH27" s="4"/>
      <c r="BI27" s="4"/>
    </row>
    <row r="28" spans="1:68" ht="15" customHeight="1">
      <c r="A28" s="19" t="str">
        <f t="shared" si="0"/>
        <v>Диагностика.DI_DIAG</v>
      </c>
      <c r="B28" s="11">
        <v>4000013</v>
      </c>
      <c r="C28" s="11" t="s">
        <v>0</v>
      </c>
      <c r="D28" s="20" t="s">
        <v>1769</v>
      </c>
      <c r="BF28" s="4"/>
      <c r="BG28" s="4"/>
      <c r="BH28" s="4"/>
      <c r="BI28" s="4"/>
    </row>
    <row r="29" spans="1:68" ht="15" customHeight="1">
      <c r="A29" s="21" t="str">
        <f t="shared" si="0"/>
        <v>Диагностика.DI_DIAG</v>
      </c>
      <c r="B29" s="8">
        <v>7000013</v>
      </c>
      <c r="C29" s="8" t="s">
        <v>6</v>
      </c>
      <c r="D29" s="22">
        <v>2</v>
      </c>
      <c r="BF29" s="4"/>
      <c r="BG29" s="4"/>
      <c r="BH29" s="4"/>
      <c r="BI29" s="4"/>
    </row>
    <row r="30" spans="1:68" ht="15" customHeight="1">
      <c r="A30" s="163" t="str">
        <f>$R$2&amp;".DVXX"</f>
        <v>Диагностика.DI_DIAG.DVXX</v>
      </c>
      <c r="B30" s="123">
        <v>11154</v>
      </c>
      <c r="C30" s="123" t="s">
        <v>4</v>
      </c>
      <c r="D30" s="124">
        <f>$Q$9</f>
        <v>10</v>
      </c>
      <c r="BM30" s="4"/>
      <c r="BN30" s="4"/>
      <c r="BO30" s="4"/>
      <c r="BP30" s="4"/>
    </row>
    <row r="31" spans="1:68" ht="15" customHeight="1">
      <c r="A31" s="110" t="str">
        <f t="shared" ref="A31:A39" si="1">$R$2&amp;".DVXX"</f>
        <v>Диагностика.DI_DIAG.DVXX</v>
      </c>
      <c r="B31" s="111">
        <v>11150</v>
      </c>
      <c r="C31" s="111" t="s">
        <v>0</v>
      </c>
      <c r="D31" s="112" t="s">
        <v>513</v>
      </c>
      <c r="BM31" s="4"/>
      <c r="BN31" s="4"/>
      <c r="BO31" s="4"/>
      <c r="BP31" s="4"/>
    </row>
    <row r="32" spans="1:68" ht="15" customHeight="1">
      <c r="A32" s="110" t="str">
        <f t="shared" si="1"/>
        <v>Диагностика.DI_DIAG.DVXX</v>
      </c>
      <c r="B32" s="111">
        <v>11152</v>
      </c>
      <c r="C32" s="111" t="s">
        <v>0</v>
      </c>
      <c r="D32" s="113" t="str">
        <f>$R$9</f>
        <v>Недостоверность</v>
      </c>
      <c r="BM32" s="4"/>
      <c r="BN32" s="4"/>
      <c r="BO32" s="4"/>
      <c r="BP32" s="4"/>
    </row>
    <row r="33" spans="1:68" ht="15" customHeight="1">
      <c r="A33" s="110" t="str">
        <f t="shared" si="1"/>
        <v>Диагностика.DI_DIAG.DVXX</v>
      </c>
      <c r="B33" s="111">
        <v>11000</v>
      </c>
      <c r="C33" s="111" t="s">
        <v>5</v>
      </c>
      <c r="D33" s="112">
        <v>2147483680</v>
      </c>
      <c r="BM33" s="4"/>
      <c r="BN33" s="4"/>
      <c r="BO33" s="4"/>
      <c r="BP33" s="4"/>
    </row>
    <row r="34" spans="1:68" ht="15" customHeight="1">
      <c r="A34" s="19" t="str">
        <f t="shared" si="1"/>
        <v>Диагностика.DI_DIAG.DVXX</v>
      </c>
      <c r="B34" s="11">
        <v>7999</v>
      </c>
      <c r="C34" s="11" t="s">
        <v>0</v>
      </c>
      <c r="D34" s="20" t="str">
        <f>"#"&amp;$S$2&amp;"#"&amp;$T$2&amp;"\"&amp;$P$2&amp;"\DVXX"</f>
        <v>#1#treiOPCDA.CoOPCserv.1\pcmaster\DI_DIAG\DVXX</v>
      </c>
      <c r="BM34" s="4"/>
      <c r="BN34" s="4"/>
      <c r="BO34" s="4"/>
      <c r="BP34" s="4"/>
    </row>
    <row r="35" spans="1:68" ht="15" customHeight="1">
      <c r="A35" s="19" t="str">
        <f t="shared" si="1"/>
        <v>Диагностика.DI_DIAG.DVXX</v>
      </c>
      <c r="B35" s="11">
        <v>7998</v>
      </c>
      <c r="C35" s="11" t="s">
        <v>6</v>
      </c>
      <c r="D35" s="20">
        <v>1</v>
      </c>
      <c r="BM35" s="4"/>
      <c r="BN35" s="4"/>
      <c r="BO35" s="4"/>
      <c r="BP35" s="4"/>
    </row>
    <row r="36" spans="1:68" ht="15" customHeight="1">
      <c r="A36" s="19" t="str">
        <f t="shared" si="1"/>
        <v>Диагностика.DI_DIAG.DVXX</v>
      </c>
      <c r="B36" s="11">
        <v>101</v>
      </c>
      <c r="C36" s="11" t="s">
        <v>0</v>
      </c>
      <c r="D36" s="20" t="s">
        <v>232</v>
      </c>
      <c r="BM36" s="4"/>
      <c r="BN36" s="4"/>
      <c r="BO36" s="4"/>
      <c r="BP36" s="4"/>
    </row>
    <row r="37" spans="1:68" ht="15" customHeight="1">
      <c r="A37" s="19" t="str">
        <f t="shared" si="1"/>
        <v>Диагностика.DI_DIAG.DVXX</v>
      </c>
      <c r="B37" s="11">
        <v>3</v>
      </c>
      <c r="C37" s="11" t="s">
        <v>1</v>
      </c>
      <c r="D37" s="20">
        <v>192</v>
      </c>
      <c r="BM37" s="4"/>
      <c r="BN37" s="4"/>
      <c r="BO37" s="4"/>
      <c r="BP37" s="4"/>
    </row>
    <row r="38" spans="1:68" ht="15" customHeight="1">
      <c r="A38" s="19" t="str">
        <f t="shared" si="1"/>
        <v>Диагностика.DI_DIAG.DVXX</v>
      </c>
      <c r="B38" s="11">
        <v>2</v>
      </c>
      <c r="C38" s="11" t="s">
        <v>2</v>
      </c>
      <c r="D38" s="20" t="s">
        <v>3</v>
      </c>
      <c r="BM38" s="4"/>
      <c r="BN38" s="4"/>
      <c r="BO38" s="4"/>
      <c r="BP38" s="4"/>
    </row>
    <row r="39" spans="1:68" ht="15" customHeight="1">
      <c r="A39" s="19" t="str">
        <f t="shared" si="1"/>
        <v>Диагностика.DI_DIAG.DVXX</v>
      </c>
      <c r="B39" s="11">
        <v>1</v>
      </c>
      <c r="C39" s="11" t="s">
        <v>1</v>
      </c>
      <c r="D39" s="20">
        <v>11</v>
      </c>
      <c r="BM39" s="4"/>
      <c r="BN39" s="4"/>
      <c r="BO39" s="4"/>
      <c r="BP39" s="4"/>
    </row>
    <row r="40" spans="1:68" ht="15" customHeight="1">
      <c r="A40" s="241" t="str">
        <f>$R$2&amp;".XVLX"</f>
        <v>Диагностика.DI_DIAG.XVLX</v>
      </c>
      <c r="B40" s="242">
        <v>11154</v>
      </c>
      <c r="C40" s="242" t="s">
        <v>4</v>
      </c>
      <c r="D40" s="243">
        <f>IF($AB$2=$P$5,$Q$5,IF($AB$2=$P$6,$Q$6,IF($AB$2=$P$7,$Q$7,IF($AB$2=$P$8,$Q$8,IF($AB$2=$P$9,$Q$9,IF($AB$2=$P$10,$Q$10,IF($AB$2=$P$11,$Q$11,IF($AB$2=$P$12,$Q$12,IF($AB$2=$P$13,$Q$13,IF($AB$2=$P$14,$Q$14,IF($AB$2=$P$15,$Q$15,IF($AB$2=$P$16,$Q$16,IF($AB$2=$P$17,$Q$17,IF($AB$2=$P$18,$Q$18,IF($AB$2=$P$19,$Q$19,0)))))))))))))))</f>
        <v>8</v>
      </c>
      <c r="BM40" s="4"/>
      <c r="BN40" s="4"/>
      <c r="BO40" s="4"/>
      <c r="BP40" s="4"/>
    </row>
    <row r="41" spans="1:68" ht="15" customHeight="1">
      <c r="A41" s="244" t="str">
        <f>$R$2&amp;".XVLX"</f>
        <v>Диагностика.DI_DIAG.XVLX</v>
      </c>
      <c r="B41" s="245">
        <v>11150</v>
      </c>
      <c r="C41" s="245" t="s">
        <v>0</v>
      </c>
      <c r="D41" s="246" t="s">
        <v>178</v>
      </c>
      <c r="BM41" s="4"/>
      <c r="BN41" s="4"/>
      <c r="BO41" s="4"/>
      <c r="BP41" s="4"/>
    </row>
    <row r="42" spans="1:68" ht="15" customHeight="1">
      <c r="A42" s="244" t="str">
        <f>$R$2&amp;".XVLX"</f>
        <v>Диагностика.DI_DIAG.XVLX</v>
      </c>
      <c r="B42" s="245">
        <v>11152</v>
      </c>
      <c r="C42" s="245" t="s">
        <v>0</v>
      </c>
      <c r="D42" s="247" t="str">
        <f>IF($AB$2=$P$5,$R$5,IF($AB$2=$P$6,$R$6,IF($AB$2=$P$7,$R$7,IF($AB$2=$P$8,$R$8,IF($AB$2=$P$9,$R$9,IF($AB$2=$P$10,$R$10,IF($AB$2=$P$11,$R$11,IF($AB$2=$P$12,$R$12,IF($AB$2=$P$13,$R$13,IF($AB$2=$P$14,$R$14,IF($AB$2=$P$15,$R$15,IF($AB$2=$P$16,$R$16,IF($AB$2=$P$17,$R$17,IF($AB$2=$P$18,$R$18,IF($AB$2=$P$19,$R$19,0)))))))))))))))</f>
        <v>Предупреждение</v>
      </c>
      <c r="BM42" s="4"/>
      <c r="BN42" s="4"/>
      <c r="BO42" s="4"/>
      <c r="BP42" s="4"/>
    </row>
    <row r="43" spans="1:68" ht="15" customHeight="1">
      <c r="A43" s="244" t="str">
        <f t="shared" ref="A43:A50" si="2">$R$2&amp;".XVLX"</f>
        <v>Диагностика.DI_DIAG.XVLX</v>
      </c>
      <c r="B43" s="245">
        <v>11000</v>
      </c>
      <c r="C43" s="245" t="s">
        <v>5</v>
      </c>
      <c r="D43" s="246">
        <v>2147483680</v>
      </c>
      <c r="BM43" s="4"/>
      <c r="BN43" s="4"/>
      <c r="BO43" s="4"/>
      <c r="BP43" s="4"/>
    </row>
    <row r="44" spans="1:68" ht="15" customHeight="1">
      <c r="A44" s="19" t="str">
        <f t="shared" si="2"/>
        <v>Диагностика.DI_DIAG.XVLX</v>
      </c>
      <c r="B44" s="11">
        <v>7999</v>
      </c>
      <c r="C44" s="11" t="s">
        <v>0</v>
      </c>
      <c r="D44" s="20" t="str">
        <f>"#"&amp;$S$2&amp;"#"&amp;$T$2&amp;"\"&amp;$P$2&amp;"\XVLX"</f>
        <v>#1#treiOPCDA.CoOPCserv.1\pcmaster\DI_DIAG\XVLX</v>
      </c>
      <c r="BM44" s="4"/>
      <c r="BN44" s="4"/>
      <c r="BO44" s="4"/>
      <c r="BP44" s="4"/>
    </row>
    <row r="45" spans="1:68" ht="15" customHeight="1">
      <c r="A45" s="19" t="str">
        <f t="shared" si="2"/>
        <v>Диагностика.DI_DIAG.XVLX</v>
      </c>
      <c r="B45" s="11">
        <v>7998</v>
      </c>
      <c r="C45" s="11" t="s">
        <v>6</v>
      </c>
      <c r="D45" s="20">
        <v>1</v>
      </c>
      <c r="BM45" s="4"/>
      <c r="BN45" s="4"/>
      <c r="BO45" s="4"/>
      <c r="BP45" s="4"/>
    </row>
    <row r="46" spans="1:68" ht="15" customHeight="1">
      <c r="A46" s="19" t="str">
        <f t="shared" si="2"/>
        <v>Диагностика.DI_DIAG.XVLX</v>
      </c>
      <c r="B46" s="11">
        <v>101</v>
      </c>
      <c r="C46" s="11" t="s">
        <v>0</v>
      </c>
      <c r="D46" s="20" t="s">
        <v>234</v>
      </c>
      <c r="BM46" s="4"/>
      <c r="BN46" s="4"/>
      <c r="BO46" s="4"/>
      <c r="BP46" s="4"/>
    </row>
    <row r="47" spans="1:68" ht="15" customHeight="1">
      <c r="A47" s="19" t="str">
        <f t="shared" si="2"/>
        <v>Диагностика.DI_DIAG.XVLX</v>
      </c>
      <c r="B47" s="11">
        <v>3</v>
      </c>
      <c r="C47" s="11" t="s">
        <v>1</v>
      </c>
      <c r="D47" s="20">
        <v>192</v>
      </c>
      <c r="BM47" s="4"/>
      <c r="BN47" s="4"/>
      <c r="BO47" s="4"/>
      <c r="BP47" s="4"/>
    </row>
    <row r="48" spans="1:68" ht="15" customHeight="1">
      <c r="A48" s="19" t="str">
        <f t="shared" si="2"/>
        <v>Диагностика.DI_DIAG.XVLX</v>
      </c>
      <c r="B48" s="11">
        <v>2</v>
      </c>
      <c r="C48" s="11" t="s">
        <v>2</v>
      </c>
      <c r="D48" s="20" t="s">
        <v>3</v>
      </c>
      <c r="BM48" s="4"/>
      <c r="BN48" s="4"/>
      <c r="BO48" s="4"/>
      <c r="BP48" s="4"/>
    </row>
    <row r="49" spans="1:68" ht="15" customHeight="1">
      <c r="A49" s="19" t="str">
        <f t="shared" si="2"/>
        <v>Диагностика.DI_DIAG.XVLX</v>
      </c>
      <c r="B49" s="11">
        <v>1</v>
      </c>
      <c r="C49" s="11" t="s">
        <v>1</v>
      </c>
      <c r="D49" s="20">
        <v>11</v>
      </c>
      <c r="BM49" s="4"/>
      <c r="BN49" s="4"/>
      <c r="BO49" s="4"/>
      <c r="BP49" s="4"/>
    </row>
    <row r="50" spans="1:68">
      <c r="A50" s="21" t="str">
        <f t="shared" si="2"/>
        <v>Диагностика.DI_DIAG.XVLX</v>
      </c>
      <c r="B50" s="27">
        <v>7200</v>
      </c>
      <c r="C50" s="27" t="s">
        <v>2</v>
      </c>
      <c r="D50" s="248" t="str">
        <f>IF($AA$2=1,"True","False")</f>
        <v>False</v>
      </c>
    </row>
  </sheetData>
  <autoFilter ref="B1:B50" xr:uid="{00000000-0009-0000-0000-00001C000000}"/>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Лист102">
    <tabColor rgb="FFFFC000"/>
  </sheetPr>
  <dimension ref="A1:BP46"/>
  <sheetViews>
    <sheetView topLeftCell="A13"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57"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t="s">
        <v>1210</v>
      </c>
      <c r="Q2" s="2" t="s">
        <v>1758</v>
      </c>
      <c r="R2" s="2" t="s">
        <v>1211</v>
      </c>
      <c r="S2" s="3">
        <v>1</v>
      </c>
      <c r="T2" s="3" t="s">
        <v>1698</v>
      </c>
      <c r="U2" s="3"/>
      <c r="V2" s="3" t="s">
        <v>569</v>
      </c>
      <c r="W2" s="12"/>
      <c r="X2" s="12"/>
      <c r="Y2" s="12"/>
      <c r="Z2" s="12"/>
      <c r="AA2" s="12"/>
      <c r="AB2" s="2"/>
      <c r="AC2" s="2"/>
      <c r="AD2" s="2"/>
      <c r="AE2" s="2" t="s">
        <v>1414</v>
      </c>
      <c r="AF2" s="2"/>
      <c r="AG2" s="2"/>
      <c r="AH2" s="2"/>
      <c r="AI2" s="2"/>
      <c r="AJ2" s="2"/>
      <c r="AK2" s="2" t="s">
        <v>1297</v>
      </c>
      <c r="AL2" s="2"/>
      <c r="AM2" s="2"/>
      <c r="AN2" s="2"/>
      <c r="AO2" s="2"/>
      <c r="AP2" s="2"/>
      <c r="AQ2" s="2"/>
      <c r="AR2" s="2"/>
      <c r="AS2" s="2"/>
      <c r="AT2" s="2"/>
      <c r="AU2" s="2"/>
      <c r="AV2" s="2"/>
      <c r="AW2" s="2"/>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AB3" s="10"/>
      <c r="AC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AB4" s="10"/>
      <c r="AC4" s="10"/>
      <c r="BM4" s="4"/>
      <c r="BN4" s="4"/>
      <c r="BO4" s="4"/>
      <c r="BP4" s="4"/>
    </row>
    <row r="5" spans="1:68"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AB5" s="10"/>
      <c r="AC5" s="10"/>
      <c r="BM5" s="4"/>
      <c r="BN5" s="4"/>
      <c r="BO5" s="4"/>
      <c r="BP5" s="4"/>
    </row>
    <row r="6" spans="1:68"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AB6" s="10"/>
      <c r="AC6" s="10"/>
      <c r="BM6" s="4"/>
      <c r="BN6" s="4"/>
      <c r="BO6" s="4"/>
      <c r="BP6" s="4"/>
    </row>
    <row r="7" spans="1:68"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AB7" s="10"/>
      <c r="AC7" s="10"/>
      <c r="BM7" s="4"/>
      <c r="BN7" s="4"/>
      <c r="BO7" s="4"/>
      <c r="BP7" s="4"/>
    </row>
    <row r="8" spans="1:68" ht="15" customHeight="1">
      <c r="A8" s="9"/>
      <c r="B8" s="9"/>
      <c r="C8" s="9"/>
      <c r="D8" s="9"/>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AB8" s="10"/>
      <c r="AC8" s="10"/>
      <c r="BM8" s="4"/>
      <c r="BN8" s="4"/>
      <c r="BO8" s="4"/>
      <c r="BP8" s="4"/>
    </row>
    <row r="9" spans="1:68" ht="15" customHeight="1">
      <c r="A9" s="9"/>
      <c r="B9" s="9"/>
      <c r="C9" s="9"/>
      <c r="D9" s="9"/>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AB9" s="10"/>
      <c r="AC9" s="10"/>
      <c r="BM9" s="4"/>
      <c r="BN9" s="4"/>
      <c r="BO9" s="4"/>
      <c r="BP9" s="4"/>
    </row>
    <row r="10" spans="1:68" ht="15" customHeight="1">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AB10" s="10"/>
      <c r="AC10" s="10"/>
      <c r="BM10" s="4"/>
      <c r="BN10" s="4"/>
      <c r="BO10" s="4"/>
      <c r="BP10" s="4"/>
    </row>
    <row r="11" spans="1:68" ht="15" customHeight="1">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AB11" s="10"/>
      <c r="AC11" s="10"/>
      <c r="BM11" s="4"/>
      <c r="BN11" s="4"/>
      <c r="BO11" s="4"/>
      <c r="BP11" s="4"/>
    </row>
    <row r="12" spans="1:68"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AB12" s="10"/>
      <c r="AC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AB13" s="10"/>
      <c r="AC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AB14" s="10"/>
      <c r="AC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AB15" s="10"/>
      <c r="AC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AB16" s="10"/>
      <c r="AC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AB17" s="10"/>
      <c r="AC17" s="10"/>
      <c r="BM17" s="4"/>
      <c r="BN17" s="4"/>
      <c r="BO17" s="4"/>
      <c r="BP17" s="4"/>
    </row>
    <row r="18" spans="1:68"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AB18" s="10"/>
      <c r="AC18" s="10"/>
      <c r="BM18" s="4"/>
      <c r="BN18" s="4"/>
      <c r="BO18" s="4"/>
      <c r="BP18" s="4"/>
    </row>
    <row r="19" spans="1:68"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AB19" s="10"/>
      <c r="AC19" s="10"/>
      <c r="BM19" s="4"/>
      <c r="BN19" s="4"/>
      <c r="BO19" s="4"/>
      <c r="BP19" s="4"/>
    </row>
    <row r="20" spans="1:68" ht="15" customHeight="1">
      <c r="A20" s="16" t="str">
        <f t="shared" ref="A20:A29" si="0">$R$2</f>
        <v>Диагностика.DO_DIAG</v>
      </c>
      <c r="B20" s="17">
        <v>11001</v>
      </c>
      <c r="C20" s="17" t="s">
        <v>0</v>
      </c>
      <c r="D20" s="18" t="str">
        <f>$Q$2</f>
        <v>Дискретный выход (XVLX+DVXX)</v>
      </c>
      <c r="E20" s="4"/>
      <c r="F20" s="4"/>
      <c r="BM20" s="4"/>
      <c r="BN20" s="4"/>
      <c r="BO20" s="4"/>
      <c r="BP20" s="4"/>
    </row>
    <row r="21" spans="1:68" ht="15" customHeight="1">
      <c r="A21" s="19" t="str">
        <f t="shared" si="0"/>
        <v>Диагностика.DO_DIAG</v>
      </c>
      <c r="B21" s="11">
        <v>11156</v>
      </c>
      <c r="C21" s="11" t="s">
        <v>0</v>
      </c>
      <c r="D21" s="20" t="str">
        <f>$V$2</f>
        <v>Тестовый экран</v>
      </c>
      <c r="E21" s="4"/>
      <c r="F21" s="4"/>
      <c r="BM21" s="4"/>
      <c r="BN21" s="4"/>
      <c r="BO21" s="4"/>
      <c r="BP21" s="4"/>
    </row>
    <row r="22" spans="1:68" ht="15" customHeight="1">
      <c r="A22" s="19" t="str">
        <f t="shared" si="0"/>
        <v>Диагностика.DO_DIAG</v>
      </c>
      <c r="B22" s="11">
        <v>11157</v>
      </c>
      <c r="C22" s="11" t="s">
        <v>0</v>
      </c>
      <c r="D22" s="20" t="str">
        <f>$V$2</f>
        <v>Тестовый экран</v>
      </c>
      <c r="E22" s="4"/>
      <c r="F22" s="4"/>
      <c r="BM22" s="4"/>
      <c r="BN22" s="4"/>
      <c r="BO22" s="4"/>
      <c r="BP22" s="4"/>
    </row>
    <row r="23" spans="1:68" ht="15" customHeight="1">
      <c r="A23" s="19" t="str">
        <f t="shared" si="0"/>
        <v>Диагностика.DO_DIAG</v>
      </c>
      <c r="B23" s="11">
        <v>1</v>
      </c>
      <c r="C23" s="11" t="s">
        <v>1</v>
      </c>
      <c r="D23" s="20">
        <v>17</v>
      </c>
      <c r="BM23" s="4"/>
      <c r="BN23" s="4"/>
      <c r="BO23" s="4"/>
      <c r="BP23" s="4"/>
    </row>
    <row r="24" spans="1:68" ht="15" customHeight="1">
      <c r="A24" s="19" t="str">
        <f t="shared" si="0"/>
        <v>Диагностика.DO_DIAG</v>
      </c>
      <c r="B24" s="11">
        <v>100</v>
      </c>
      <c r="C24" s="11" t="s">
        <v>0</v>
      </c>
      <c r="D24" s="20" t="b">
        <f>$T$7</f>
        <v>0</v>
      </c>
      <c r="BF24" s="4"/>
      <c r="BG24" s="4"/>
      <c r="BH24" s="4"/>
      <c r="BI24" s="4"/>
    </row>
    <row r="25" spans="1:68" ht="15" customHeight="1">
      <c r="A25" s="21" t="str">
        <f t="shared" si="0"/>
        <v>Диагностика.DO_DIAG</v>
      </c>
      <c r="B25" s="8">
        <v>11120</v>
      </c>
      <c r="C25" s="8" t="s">
        <v>0</v>
      </c>
      <c r="D25" s="22">
        <f>$AC$2</f>
        <v>0</v>
      </c>
      <c r="BM25" s="4"/>
      <c r="BN25" s="4"/>
      <c r="BO25" s="4"/>
      <c r="BP25" s="4"/>
    </row>
    <row r="26" spans="1:68">
      <c r="A26" s="16" t="str">
        <f t="shared" si="0"/>
        <v>Диагностика.DO_DIAG</v>
      </c>
      <c r="B26" s="17">
        <v>13</v>
      </c>
      <c r="C26" s="17" t="s">
        <v>2</v>
      </c>
      <c r="D26" s="18" t="s">
        <v>3</v>
      </c>
    </row>
    <row r="27" spans="1:68" ht="15" customHeight="1">
      <c r="A27" s="19" t="str">
        <f t="shared" si="0"/>
        <v>Диагностика.DO_DIAG</v>
      </c>
      <c r="B27" s="11">
        <v>3000013</v>
      </c>
      <c r="C27" s="11" t="s">
        <v>0</v>
      </c>
      <c r="D27" s="20" t="str">
        <f>$AE$2</f>
        <v>Диагностика.CPU.NOT_LINK.noLink</v>
      </c>
      <c r="BF27" s="4"/>
      <c r="BG27" s="4"/>
      <c r="BH27" s="4"/>
      <c r="BI27" s="4"/>
    </row>
    <row r="28" spans="1:68" ht="15" customHeight="1">
      <c r="A28" s="19" t="str">
        <f t="shared" si="0"/>
        <v>Диагностика.DO_DIAG</v>
      </c>
      <c r="B28" s="11">
        <v>4000013</v>
      </c>
      <c r="C28" s="11" t="s">
        <v>0</v>
      </c>
      <c r="D28" s="20" t="s">
        <v>1769</v>
      </c>
      <c r="BF28" s="4"/>
      <c r="BG28" s="4"/>
      <c r="BH28" s="4"/>
      <c r="BI28" s="4"/>
    </row>
    <row r="29" spans="1:68" ht="15" customHeight="1">
      <c r="A29" s="21" t="str">
        <f t="shared" si="0"/>
        <v>Диагностика.DO_DIAG</v>
      </c>
      <c r="B29" s="8">
        <v>7000013</v>
      </c>
      <c r="C29" s="8" t="s">
        <v>6</v>
      </c>
      <c r="D29" s="22">
        <v>2</v>
      </c>
      <c r="BF29" s="4"/>
      <c r="BG29" s="4"/>
      <c r="BH29" s="4"/>
      <c r="BI29" s="4"/>
    </row>
    <row r="30" spans="1:68" ht="15" customHeight="1">
      <c r="A30" s="163" t="str">
        <f>$R$2&amp;".DVXX"</f>
        <v>Диагностика.DO_DIAG.DVXX</v>
      </c>
      <c r="B30" s="123">
        <v>11154</v>
      </c>
      <c r="C30" s="123" t="s">
        <v>4</v>
      </c>
      <c r="D30" s="124">
        <f>$Q$9</f>
        <v>10</v>
      </c>
      <c r="BM30" s="4"/>
      <c r="BN30" s="4"/>
      <c r="BO30" s="4"/>
      <c r="BP30" s="4"/>
    </row>
    <row r="31" spans="1:68" ht="15" customHeight="1">
      <c r="A31" s="110" t="str">
        <f t="shared" ref="A31:A39" si="1">$R$2&amp;".DVXX"</f>
        <v>Диагностика.DO_DIAG.DVXX</v>
      </c>
      <c r="B31" s="111">
        <v>11150</v>
      </c>
      <c r="C31" s="111" t="s">
        <v>0</v>
      </c>
      <c r="D31" s="112" t="s">
        <v>513</v>
      </c>
      <c r="BM31" s="4"/>
      <c r="BN31" s="4"/>
      <c r="BO31" s="4"/>
      <c r="BP31" s="4"/>
    </row>
    <row r="32" spans="1:68" ht="15" customHeight="1">
      <c r="A32" s="110" t="str">
        <f t="shared" si="1"/>
        <v>Диагностика.DO_DIAG.DVXX</v>
      </c>
      <c r="B32" s="111">
        <v>11152</v>
      </c>
      <c r="C32" s="111" t="s">
        <v>0</v>
      </c>
      <c r="D32" s="113" t="str">
        <f>$R$9</f>
        <v>Недостоверность</v>
      </c>
      <c r="BM32" s="4"/>
      <c r="BN32" s="4"/>
      <c r="BO32" s="4"/>
      <c r="BP32" s="4"/>
    </row>
    <row r="33" spans="1:68" ht="15" customHeight="1">
      <c r="A33" s="110" t="str">
        <f t="shared" si="1"/>
        <v>Диагностика.DO_DIAG.DVXX</v>
      </c>
      <c r="B33" s="111">
        <v>11000</v>
      </c>
      <c r="C33" s="111" t="s">
        <v>5</v>
      </c>
      <c r="D33" s="112">
        <v>2147483680</v>
      </c>
      <c r="BM33" s="4"/>
      <c r="BN33" s="4"/>
      <c r="BO33" s="4"/>
      <c r="BP33" s="4"/>
    </row>
    <row r="34" spans="1:68" ht="15" customHeight="1">
      <c r="A34" s="19" t="str">
        <f t="shared" si="1"/>
        <v>Диагностика.DO_DIAG.DVXX</v>
      </c>
      <c r="B34" s="11">
        <v>7999</v>
      </c>
      <c r="C34" s="11" t="s">
        <v>0</v>
      </c>
      <c r="D34" s="20" t="str">
        <f>"#"&amp;$S$2&amp;"#"&amp;$T$2&amp;"\"&amp;$P$2&amp;"\DVXX"</f>
        <v>#1#treiOPCDA.CoOPCserv.1\pcmaster\DO_DIAG\DVXX</v>
      </c>
      <c r="BM34" s="4"/>
      <c r="BN34" s="4"/>
      <c r="BO34" s="4"/>
      <c r="BP34" s="4"/>
    </row>
    <row r="35" spans="1:68" ht="15" customHeight="1">
      <c r="A35" s="19" t="str">
        <f t="shared" si="1"/>
        <v>Диагностика.DO_DIAG.DVXX</v>
      </c>
      <c r="B35" s="11">
        <v>7998</v>
      </c>
      <c r="C35" s="11" t="s">
        <v>6</v>
      </c>
      <c r="D35" s="20">
        <v>1</v>
      </c>
      <c r="BM35" s="4"/>
      <c r="BN35" s="4"/>
      <c r="BO35" s="4"/>
      <c r="BP35" s="4"/>
    </row>
    <row r="36" spans="1:68" ht="15" customHeight="1">
      <c r="A36" s="19" t="str">
        <f t="shared" si="1"/>
        <v>Диагностика.DO_DIAG.DVXX</v>
      </c>
      <c r="B36" s="11">
        <v>101</v>
      </c>
      <c r="C36" s="11" t="s">
        <v>0</v>
      </c>
      <c r="D36" s="20" t="s">
        <v>232</v>
      </c>
      <c r="BM36" s="4"/>
      <c r="BN36" s="4"/>
      <c r="BO36" s="4"/>
      <c r="BP36" s="4"/>
    </row>
    <row r="37" spans="1:68" ht="15" customHeight="1">
      <c r="A37" s="19" t="str">
        <f t="shared" si="1"/>
        <v>Диагностика.DO_DIAG.DVXX</v>
      </c>
      <c r="B37" s="11">
        <v>3</v>
      </c>
      <c r="C37" s="11" t="s">
        <v>1</v>
      </c>
      <c r="D37" s="20">
        <v>192</v>
      </c>
      <c r="BM37" s="4"/>
      <c r="BN37" s="4"/>
      <c r="BO37" s="4"/>
      <c r="BP37" s="4"/>
    </row>
    <row r="38" spans="1:68" ht="15" customHeight="1">
      <c r="A38" s="19" t="str">
        <f t="shared" si="1"/>
        <v>Диагностика.DO_DIAG.DVXX</v>
      </c>
      <c r="B38" s="11">
        <v>2</v>
      </c>
      <c r="C38" s="11" t="s">
        <v>2</v>
      </c>
      <c r="D38" s="20" t="s">
        <v>3</v>
      </c>
      <c r="BM38" s="4"/>
      <c r="BN38" s="4"/>
      <c r="BO38" s="4"/>
      <c r="BP38" s="4"/>
    </row>
    <row r="39" spans="1:68" ht="15" customHeight="1">
      <c r="A39" s="19" t="str">
        <f t="shared" si="1"/>
        <v>Диагностика.DO_DIAG.DVXX</v>
      </c>
      <c r="B39" s="11">
        <v>1</v>
      </c>
      <c r="C39" s="11" t="s">
        <v>1</v>
      </c>
      <c r="D39" s="20">
        <v>11</v>
      </c>
      <c r="BM39" s="4"/>
      <c r="BN39" s="4"/>
      <c r="BO39" s="4"/>
      <c r="BP39" s="4"/>
    </row>
    <row r="40" spans="1:68" ht="15" customHeight="1">
      <c r="A40" s="16" t="str">
        <f t="shared" ref="A40:A46" si="2">$R$2&amp;".XVLX"</f>
        <v>Диагностика.DO_DIAG.XVLX</v>
      </c>
      <c r="B40" s="17">
        <v>7999</v>
      </c>
      <c r="C40" s="17" t="s">
        <v>0</v>
      </c>
      <c r="D40" s="18" t="str">
        <f>"#"&amp;$S$2&amp;"#"&amp;$T$2&amp;"\"&amp;$P$2&amp;"\XVLX"</f>
        <v>#1#treiOPCDA.CoOPCserv.1\pcmaster\DO_DIAG\XVLX</v>
      </c>
      <c r="BM40" s="4"/>
      <c r="BN40" s="4"/>
      <c r="BO40" s="4"/>
      <c r="BP40" s="4"/>
    </row>
    <row r="41" spans="1:68" ht="15" customHeight="1">
      <c r="A41" s="19" t="str">
        <f t="shared" si="2"/>
        <v>Диагностика.DO_DIAG.XVLX</v>
      </c>
      <c r="B41" s="11">
        <v>7998</v>
      </c>
      <c r="C41" s="11" t="s">
        <v>6</v>
      </c>
      <c r="D41" s="20">
        <v>1</v>
      </c>
      <c r="BM41" s="4"/>
      <c r="BN41" s="4"/>
      <c r="BO41" s="4"/>
      <c r="BP41" s="4"/>
    </row>
    <row r="42" spans="1:68" ht="15" customHeight="1">
      <c r="A42" s="19" t="str">
        <f t="shared" si="2"/>
        <v>Диагностика.DO_DIAG.XVLX</v>
      </c>
      <c r="B42" s="11">
        <v>101</v>
      </c>
      <c r="C42" s="11" t="s">
        <v>0</v>
      </c>
      <c r="D42" s="20" t="s">
        <v>234</v>
      </c>
      <c r="BM42" s="4"/>
      <c r="BN42" s="4"/>
      <c r="BO42" s="4"/>
      <c r="BP42" s="4"/>
    </row>
    <row r="43" spans="1:68" ht="15" customHeight="1">
      <c r="A43" s="19" t="str">
        <f t="shared" si="2"/>
        <v>Диагностика.DO_DIAG.XVLX</v>
      </c>
      <c r="B43" s="11">
        <v>3</v>
      </c>
      <c r="C43" s="11" t="s">
        <v>1</v>
      </c>
      <c r="D43" s="20">
        <v>192</v>
      </c>
      <c r="BM43" s="4"/>
      <c r="BN43" s="4"/>
      <c r="BO43" s="4"/>
      <c r="BP43" s="4"/>
    </row>
    <row r="44" spans="1:68" ht="15" customHeight="1">
      <c r="A44" s="19" t="str">
        <f t="shared" si="2"/>
        <v>Диагностика.DO_DIAG.XVLX</v>
      </c>
      <c r="B44" s="11">
        <v>2</v>
      </c>
      <c r="C44" s="11" t="s">
        <v>2</v>
      </c>
      <c r="D44" s="20" t="s">
        <v>3</v>
      </c>
      <c r="BM44" s="4"/>
      <c r="BN44" s="4"/>
      <c r="BO44" s="4"/>
      <c r="BP44" s="4"/>
    </row>
    <row r="45" spans="1:68" ht="15" customHeight="1">
      <c r="A45" s="19" t="str">
        <f t="shared" si="2"/>
        <v>Диагностика.DO_DIAG.XVLX</v>
      </c>
      <c r="B45" s="11">
        <v>1</v>
      </c>
      <c r="C45" s="11" t="s">
        <v>1</v>
      </c>
      <c r="D45" s="20">
        <v>11</v>
      </c>
      <c r="BM45" s="4"/>
      <c r="BN45" s="4"/>
      <c r="BO45" s="4"/>
      <c r="BP45" s="4"/>
    </row>
    <row r="46" spans="1:68">
      <c r="A46" s="21" t="str">
        <f t="shared" si="2"/>
        <v>Диагностика.DO_DIAG.XVLX</v>
      </c>
      <c r="B46" s="27">
        <v>7200</v>
      </c>
      <c r="C46" s="27" t="s">
        <v>2</v>
      </c>
      <c r="D46" s="248" t="str">
        <f>IF($AA$2=1,"True","False")</f>
        <v>False</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Лист49">
    <tabColor rgb="FFFFC000"/>
  </sheetPr>
  <dimension ref="A1:BP28"/>
  <sheetViews>
    <sheetView topLeftCell="A4"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57"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t="s">
        <v>1477</v>
      </c>
      <c r="Q2" s="2" t="s">
        <v>1760</v>
      </c>
      <c r="R2" s="2" t="s">
        <v>1477</v>
      </c>
      <c r="S2" s="3">
        <v>1</v>
      </c>
      <c r="T2" s="3" t="s">
        <v>1698</v>
      </c>
      <c r="U2" s="3"/>
      <c r="V2" s="3" t="s">
        <v>569</v>
      </c>
      <c r="W2" s="12"/>
      <c r="X2" s="12"/>
      <c r="Y2" s="12"/>
      <c r="Z2" s="12"/>
      <c r="AA2" s="12"/>
      <c r="AB2" s="2"/>
      <c r="AC2" s="2"/>
      <c r="AD2" s="2"/>
      <c r="AE2" s="2"/>
      <c r="AF2" s="2"/>
      <c r="AG2" s="2"/>
      <c r="AH2" s="2"/>
      <c r="AI2" s="2"/>
      <c r="AJ2" s="2"/>
      <c r="AK2" s="2"/>
      <c r="AL2" s="2"/>
      <c r="AM2" s="2"/>
      <c r="AN2" s="2"/>
      <c r="AO2" s="2"/>
      <c r="AP2" s="2"/>
      <c r="AQ2" s="2"/>
      <c r="AR2" s="2"/>
      <c r="AS2" s="2"/>
      <c r="AT2" s="2"/>
      <c r="AU2" s="2"/>
      <c r="AV2" s="2"/>
      <c r="AW2" s="2"/>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AB3" s="10"/>
      <c r="AC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AB4" s="10"/>
      <c r="AC4" s="10"/>
      <c r="BM4" s="4"/>
      <c r="BN4" s="4"/>
      <c r="BO4" s="4"/>
      <c r="BP4" s="4"/>
    </row>
    <row r="5" spans="1:68"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AB5" s="10"/>
      <c r="AC5" s="10"/>
      <c r="BM5" s="4"/>
      <c r="BN5" s="4"/>
      <c r="BO5" s="4"/>
      <c r="BP5" s="4"/>
    </row>
    <row r="6" spans="1:68"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AB6" s="10"/>
      <c r="AC6" s="10"/>
      <c r="BM6" s="4"/>
      <c r="BN6" s="4"/>
      <c r="BO6" s="4"/>
      <c r="BP6" s="4"/>
    </row>
    <row r="7" spans="1:68"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AB7" s="10"/>
      <c r="AC7" s="10"/>
      <c r="BM7" s="4"/>
      <c r="BN7" s="4"/>
      <c r="BO7" s="4"/>
      <c r="BP7" s="4"/>
    </row>
    <row r="8" spans="1:68" ht="15" customHeight="1">
      <c r="A8" s="9"/>
      <c r="B8" s="9"/>
      <c r="C8" s="9"/>
      <c r="D8" s="9"/>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AB8" s="10"/>
      <c r="AC8" s="10"/>
      <c r="BM8" s="4"/>
      <c r="BN8" s="4"/>
      <c r="BO8" s="4"/>
      <c r="BP8" s="4"/>
    </row>
    <row r="9" spans="1:68" ht="15" customHeight="1">
      <c r="A9" s="9"/>
      <c r="B9" s="9"/>
      <c r="C9" s="9"/>
      <c r="D9" s="9"/>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AB9" s="10"/>
      <c r="AC9" s="10"/>
      <c r="BM9" s="4"/>
      <c r="BN9" s="4"/>
      <c r="BO9" s="4"/>
      <c r="BP9" s="4"/>
    </row>
    <row r="10" spans="1:68" ht="15" customHeight="1">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AB10" s="10"/>
      <c r="AC10" s="10"/>
      <c r="BM10" s="4"/>
      <c r="BN10" s="4"/>
      <c r="BO10" s="4"/>
      <c r="BP10" s="4"/>
    </row>
    <row r="11" spans="1:68" ht="15" customHeight="1">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AB11" s="10"/>
      <c r="AC11" s="10"/>
      <c r="BM11" s="4"/>
      <c r="BN11" s="4"/>
      <c r="BO11" s="4"/>
      <c r="BP11" s="4"/>
    </row>
    <row r="12" spans="1:68"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AB12" s="10"/>
      <c r="AC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AB13" s="10"/>
      <c r="AC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AB14" s="10"/>
      <c r="AC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AB15" s="10"/>
      <c r="AC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AB16" s="10"/>
      <c r="AC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AB17" s="10"/>
      <c r="AC17" s="10"/>
      <c r="BM17" s="4"/>
      <c r="BN17" s="4"/>
      <c r="BO17" s="4"/>
      <c r="BP17" s="4"/>
    </row>
    <row r="18" spans="1:68"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AB18" s="10"/>
      <c r="AC18" s="10"/>
      <c r="BM18" s="4"/>
      <c r="BN18" s="4"/>
      <c r="BO18" s="4"/>
      <c r="BP18" s="4"/>
    </row>
    <row r="19" spans="1:68"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AB19" s="10"/>
      <c r="AC19" s="10"/>
      <c r="BM19" s="4"/>
      <c r="BN19" s="4"/>
      <c r="BO19" s="4"/>
      <c r="BP19" s="4"/>
    </row>
    <row r="20" spans="1:68" ht="15" customHeight="1">
      <c r="A20" s="16" t="str">
        <f>$R$2</f>
        <v>DO</v>
      </c>
      <c r="B20" s="17">
        <v>11001</v>
      </c>
      <c r="C20" s="17" t="s">
        <v>0</v>
      </c>
      <c r="D20" s="18" t="str">
        <f>$Q$2</f>
        <v>Дискретный выход (для кнопок)</v>
      </c>
      <c r="BM20" s="4"/>
      <c r="BN20" s="4"/>
      <c r="BO20" s="4"/>
      <c r="BP20" s="4"/>
    </row>
    <row r="21" spans="1:68" ht="15" customHeight="1">
      <c r="A21" s="19" t="str">
        <f t="shared" ref="A21:A28" si="0">$R$2</f>
        <v>DO</v>
      </c>
      <c r="B21" s="11">
        <v>11156</v>
      </c>
      <c r="C21" s="11" t="s">
        <v>0</v>
      </c>
      <c r="D21" s="20" t="str">
        <f>$V$2</f>
        <v>Тестовый экран</v>
      </c>
      <c r="BM21" s="4"/>
      <c r="BN21" s="4"/>
      <c r="BO21" s="4"/>
      <c r="BP21" s="4"/>
    </row>
    <row r="22" spans="1:68" ht="15" customHeight="1">
      <c r="A22" s="19" t="str">
        <f t="shared" si="0"/>
        <v>DO</v>
      </c>
      <c r="B22" s="11">
        <v>100</v>
      </c>
      <c r="C22" s="11" t="s">
        <v>0</v>
      </c>
      <c r="D22" s="20" t="b">
        <f>$T$7</f>
        <v>0</v>
      </c>
      <c r="BF22" s="4"/>
      <c r="BG22" s="4"/>
      <c r="BH22" s="4"/>
      <c r="BI22" s="4"/>
    </row>
    <row r="23" spans="1:68">
      <c r="A23" s="19" t="str">
        <f t="shared" si="0"/>
        <v>DO</v>
      </c>
      <c r="B23" s="11">
        <v>7999</v>
      </c>
      <c r="C23" s="11" t="s">
        <v>0</v>
      </c>
      <c r="D23" s="20" t="str">
        <f>"#"&amp;$T$5&amp;"#"&amp;$T$2&amp;"\"&amp;$P$2</f>
        <v>#1#treiOPCDA.CoOPCserv.1\pcmaster\DO</v>
      </c>
    </row>
    <row r="24" spans="1:68">
      <c r="A24" s="19" t="str">
        <f t="shared" si="0"/>
        <v>DO</v>
      </c>
      <c r="B24" s="11">
        <v>7998</v>
      </c>
      <c r="C24" s="11" t="s">
        <v>6</v>
      </c>
      <c r="D24" s="20">
        <v>2</v>
      </c>
    </row>
    <row r="25" spans="1:68">
      <c r="A25" s="19" t="str">
        <f t="shared" si="0"/>
        <v>DO</v>
      </c>
      <c r="B25" s="11">
        <v>101</v>
      </c>
      <c r="C25" s="11" t="s">
        <v>0</v>
      </c>
      <c r="D25" s="20" t="str">
        <f>$Q$2</f>
        <v>Дискретный выход (для кнопок)</v>
      </c>
    </row>
    <row r="26" spans="1:68">
      <c r="A26" s="19" t="str">
        <f t="shared" si="0"/>
        <v>DO</v>
      </c>
      <c r="B26" s="11">
        <v>3</v>
      </c>
      <c r="C26" s="11" t="s">
        <v>1</v>
      </c>
      <c r="D26" s="20">
        <v>192</v>
      </c>
    </row>
    <row r="27" spans="1:68">
      <c r="A27" s="19" t="str">
        <f t="shared" si="0"/>
        <v>DO</v>
      </c>
      <c r="B27" s="11">
        <v>2</v>
      </c>
      <c r="C27" s="11" t="s">
        <v>2</v>
      </c>
      <c r="D27" s="20" t="s">
        <v>3</v>
      </c>
    </row>
    <row r="28" spans="1:68">
      <c r="A28" s="21" t="str">
        <f t="shared" si="0"/>
        <v>DO</v>
      </c>
      <c r="B28" s="8">
        <v>1</v>
      </c>
      <c r="C28" s="8" t="s">
        <v>1</v>
      </c>
      <c r="D28" s="22">
        <v>11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Лист132">
    <tabColor rgb="FFFFC000"/>
  </sheetPr>
  <dimension ref="A1:BP36"/>
  <sheetViews>
    <sheetView topLeftCell="A7"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153.6" thickBot="1">
      <c r="A1" s="257"/>
      <c r="B1" s="257" t="s">
        <v>84</v>
      </c>
      <c r="C1" s="257"/>
      <c r="D1" s="257"/>
      <c r="E1" s="257"/>
      <c r="F1" s="257"/>
      <c r="P1" s="251" t="s">
        <v>328</v>
      </c>
      <c r="Q1" s="251" t="s">
        <v>397</v>
      </c>
      <c r="R1" s="252" t="s">
        <v>398</v>
      </c>
      <c r="S1" s="251" t="s">
        <v>1415</v>
      </c>
      <c r="T1" s="253" t="s">
        <v>52</v>
      </c>
      <c r="U1" s="253" t="s">
        <v>53</v>
      </c>
      <c r="V1" s="253" t="s">
        <v>51</v>
      </c>
      <c r="W1" s="254" t="s">
        <v>1416</v>
      </c>
      <c r="X1" s="254" t="s">
        <v>1417</v>
      </c>
      <c r="Y1" s="254" t="s">
        <v>1418</v>
      </c>
      <c r="Z1" s="254" t="s">
        <v>1419</v>
      </c>
      <c r="AA1" s="254" t="s">
        <v>1420</v>
      </c>
      <c r="AB1" s="254" t="s">
        <v>1421</v>
      </c>
      <c r="AC1" s="254" t="s">
        <v>1422</v>
      </c>
      <c r="AD1" s="254" t="s">
        <v>1423</v>
      </c>
      <c r="AE1" s="254" t="s">
        <v>451</v>
      </c>
      <c r="AF1" s="254">
        <v>0</v>
      </c>
      <c r="AG1" s="254">
        <v>0</v>
      </c>
      <c r="AH1" s="254">
        <v>0</v>
      </c>
      <c r="AI1" s="254">
        <v>0</v>
      </c>
      <c r="AJ1" s="254">
        <v>0</v>
      </c>
      <c r="AK1" s="255" t="s">
        <v>1424</v>
      </c>
      <c r="AL1" s="255" t="s">
        <v>1425</v>
      </c>
      <c r="AM1" s="255" t="s">
        <v>1426</v>
      </c>
      <c r="AN1" s="255" t="s">
        <v>1427</v>
      </c>
      <c r="AO1" s="255" t="s">
        <v>1428</v>
      </c>
      <c r="AP1" s="255" t="s">
        <v>1429</v>
      </c>
      <c r="AQ1" s="255" t="s">
        <v>1430</v>
      </c>
      <c r="AR1" s="255" t="s">
        <v>1431</v>
      </c>
      <c r="AS1" s="255" t="s">
        <v>1432</v>
      </c>
      <c r="AT1" s="255" t="s">
        <v>1433</v>
      </c>
      <c r="AU1" s="255" t="s">
        <v>1434</v>
      </c>
      <c r="AV1" s="255" t="s">
        <v>1435</v>
      </c>
      <c r="AW1" s="256" t="s">
        <v>1436</v>
      </c>
      <c r="AX1" s="256" t="s">
        <v>1437</v>
      </c>
      <c r="AY1" s="256" t="s">
        <v>1441</v>
      </c>
      <c r="AZ1" s="256" t="s">
        <v>1439</v>
      </c>
      <c r="BA1" s="256" t="s">
        <v>1440</v>
      </c>
      <c r="BM1" s="259"/>
      <c r="BN1" s="259"/>
      <c r="BO1" s="259"/>
      <c r="BP1" s="259"/>
    </row>
    <row r="2" spans="1:68" ht="15" customHeight="1">
      <c r="A2" s="9"/>
      <c r="B2" s="9"/>
      <c r="C2" s="9"/>
      <c r="D2" s="9"/>
      <c r="E2" s="9"/>
      <c r="F2" s="9"/>
      <c r="P2" s="2" t="s">
        <v>1379</v>
      </c>
      <c r="Q2" s="2" t="s">
        <v>1759</v>
      </c>
      <c r="R2" s="2" t="s">
        <v>1379</v>
      </c>
      <c r="S2" s="3">
        <v>1</v>
      </c>
      <c r="T2" s="3" t="s">
        <v>1698</v>
      </c>
      <c r="U2" s="3"/>
      <c r="V2" s="3" t="s">
        <v>569</v>
      </c>
      <c r="W2" s="12"/>
      <c r="X2" s="12"/>
      <c r="Y2" s="12"/>
      <c r="Z2" s="12"/>
      <c r="AA2" s="12"/>
      <c r="AB2" s="2"/>
      <c r="AC2" s="2"/>
      <c r="AD2" s="2"/>
      <c r="AE2" s="2" t="s">
        <v>1414</v>
      </c>
      <c r="AF2" s="2"/>
      <c r="AG2" s="2"/>
      <c r="AH2" s="2"/>
      <c r="AI2" s="2"/>
      <c r="AJ2" s="2"/>
      <c r="AK2" s="2"/>
      <c r="AL2" s="2"/>
      <c r="AM2" s="2"/>
      <c r="AN2" s="2"/>
      <c r="AO2" s="2"/>
      <c r="AP2" s="2"/>
      <c r="AQ2" s="2"/>
      <c r="AR2" s="2"/>
      <c r="AS2" s="2"/>
      <c r="AT2" s="2"/>
      <c r="AU2" s="2"/>
      <c r="AV2" s="2"/>
      <c r="AW2" s="2" t="s">
        <v>1822</v>
      </c>
      <c r="AX2" s="2"/>
      <c r="AY2" s="2">
        <v>5</v>
      </c>
      <c r="AZ2" s="2"/>
      <c r="BA2" s="2"/>
      <c r="BM2" s="4"/>
      <c r="BN2" s="4"/>
      <c r="BO2" s="4"/>
      <c r="BP2" s="4"/>
    </row>
    <row r="3" spans="1:68" ht="15" customHeight="1">
      <c r="A3" s="9"/>
      <c r="B3" s="9"/>
      <c r="C3" s="9"/>
      <c r="D3" s="9"/>
      <c r="E3" s="9"/>
      <c r="F3" s="9"/>
      <c r="P3" s="10"/>
      <c r="Q3" s="10"/>
      <c r="R3" s="10"/>
      <c r="S3" s="10"/>
      <c r="T3" s="10"/>
      <c r="U3" s="10"/>
      <c r="V3" s="10"/>
      <c r="W3" s="10"/>
      <c r="X3" s="10"/>
      <c r="Y3" s="10"/>
      <c r="Z3" s="10"/>
      <c r="AA3" s="10"/>
      <c r="AB3" s="10"/>
      <c r="AC3" s="10"/>
      <c r="BM3" s="4"/>
      <c r="BN3" s="4"/>
      <c r="BO3" s="4"/>
      <c r="BP3" s="4"/>
    </row>
    <row r="4" spans="1:68" ht="15" customHeight="1">
      <c r="A4" s="9"/>
      <c r="B4" s="9"/>
      <c r="C4" s="9"/>
      <c r="D4" s="9"/>
      <c r="E4" s="9"/>
      <c r="F4" s="9"/>
      <c r="P4" s="7" t="s">
        <v>56</v>
      </c>
      <c r="Q4" s="7" t="s">
        <v>55</v>
      </c>
      <c r="R4" s="7" t="s">
        <v>54</v>
      </c>
      <c r="S4" s="10"/>
      <c r="T4" s="548" t="str">
        <f>Настройки!M11</f>
        <v>№ Модуля commands</v>
      </c>
      <c r="U4" s="10"/>
      <c r="V4" s="10"/>
      <c r="W4" s="10"/>
      <c r="X4" s="10"/>
      <c r="Y4" s="10"/>
      <c r="Z4" s="10"/>
      <c r="AA4" s="10"/>
      <c r="AB4" s="10"/>
      <c r="AC4" s="10"/>
      <c r="BM4" s="4"/>
      <c r="BN4" s="4"/>
      <c r="BO4" s="4"/>
      <c r="BP4" s="4"/>
    </row>
    <row r="5" spans="1:68" ht="15" customHeight="1">
      <c r="A5" s="9"/>
      <c r="B5" s="9"/>
      <c r="C5" s="9"/>
      <c r="D5" s="9"/>
      <c r="E5" s="9"/>
      <c r="F5" s="9"/>
      <c r="P5" s="6" t="s">
        <v>229</v>
      </c>
      <c r="Q5" s="5">
        <v>4</v>
      </c>
      <c r="R5" s="5" t="s">
        <v>229</v>
      </c>
      <c r="S5" s="10"/>
      <c r="T5" s="458">
        <f>Настройки!M12</f>
        <v>1</v>
      </c>
      <c r="U5" s="10"/>
      <c r="V5" s="10"/>
      <c r="W5" s="10"/>
      <c r="X5" s="10"/>
      <c r="Y5" s="10"/>
      <c r="Z5" s="10"/>
      <c r="AA5" s="10"/>
      <c r="AB5" s="10"/>
      <c r="AC5" s="10"/>
      <c r="BM5" s="4"/>
      <c r="BN5" s="4"/>
      <c r="BO5" s="4"/>
      <c r="BP5" s="4"/>
    </row>
    <row r="6" spans="1:68" ht="15" customHeight="1">
      <c r="A6" s="9"/>
      <c r="B6" s="9"/>
      <c r="C6" s="9"/>
      <c r="D6" s="9"/>
      <c r="E6" s="9"/>
      <c r="F6" s="9"/>
      <c r="P6" s="6" t="s">
        <v>230</v>
      </c>
      <c r="Q6" s="5">
        <v>8</v>
      </c>
      <c r="R6" s="5" t="s">
        <v>230</v>
      </c>
      <c r="S6" s="10"/>
      <c r="T6" s="608" t="str">
        <f>Настройки!M7</f>
        <v>Отображение Таблицы подлючений в диаг.</v>
      </c>
      <c r="U6" s="10"/>
      <c r="V6" s="10"/>
      <c r="W6" s="10"/>
      <c r="X6" s="10"/>
      <c r="Y6" s="10"/>
      <c r="Z6" s="10"/>
      <c r="AA6" s="10"/>
      <c r="AB6" s="10"/>
      <c r="AC6" s="10"/>
      <c r="BM6" s="4"/>
      <c r="BN6" s="4"/>
      <c r="BO6" s="4"/>
      <c r="BP6" s="4"/>
    </row>
    <row r="7" spans="1:68" ht="15" customHeight="1">
      <c r="A7" s="9"/>
      <c r="B7" s="9"/>
      <c r="C7" s="9"/>
      <c r="D7" s="9"/>
      <c r="E7" s="9"/>
      <c r="F7" s="9"/>
      <c r="P7" s="6" t="s">
        <v>110</v>
      </c>
      <c r="Q7" s="5">
        <v>12</v>
      </c>
      <c r="R7" s="5" t="s">
        <v>110</v>
      </c>
      <c r="S7" s="10"/>
      <c r="T7" s="644" t="b">
        <f>Настройки!M8</f>
        <v>0</v>
      </c>
      <c r="U7" s="10"/>
      <c r="V7" s="10"/>
      <c r="W7" s="10"/>
      <c r="X7" s="10"/>
      <c r="Y7" s="10"/>
      <c r="Z7" s="10"/>
      <c r="AA7" s="10"/>
      <c r="AB7" s="10"/>
      <c r="AC7" s="10"/>
      <c r="BM7" s="4"/>
      <c r="BN7" s="4"/>
      <c r="BO7" s="4"/>
      <c r="BP7" s="4"/>
    </row>
    <row r="8" spans="1:68" ht="15" customHeight="1">
      <c r="A8" s="9"/>
      <c r="B8" s="9"/>
      <c r="C8" s="9"/>
      <c r="D8" s="9"/>
      <c r="E8" s="9"/>
      <c r="F8" s="9"/>
      <c r="P8" s="6" t="s">
        <v>231</v>
      </c>
      <c r="Q8" s="5">
        <v>18</v>
      </c>
      <c r="R8" s="5" t="s">
        <v>231</v>
      </c>
      <c r="S8" s="10"/>
      <c r="T8" s="10"/>
      <c r="U8" s="10"/>
      <c r="V8" s="10"/>
      <c r="W8" s="10"/>
      <c r="X8" s="10"/>
      <c r="Y8" s="10"/>
      <c r="Z8" s="10"/>
      <c r="AA8" s="10"/>
      <c r="AB8" s="10"/>
      <c r="AC8" s="10"/>
      <c r="BM8" s="4"/>
      <c r="BN8" s="4"/>
      <c r="BO8" s="4"/>
      <c r="BP8" s="4"/>
    </row>
    <row r="9" spans="1:68" ht="15" customHeight="1">
      <c r="A9" s="9"/>
      <c r="B9" s="9"/>
      <c r="C9" s="9"/>
      <c r="D9" s="9"/>
      <c r="E9" s="9"/>
      <c r="F9" s="9"/>
      <c r="P9" s="6" t="s">
        <v>232</v>
      </c>
      <c r="Q9" s="5">
        <v>10</v>
      </c>
      <c r="R9" s="5" t="s">
        <v>232</v>
      </c>
      <c r="S9" s="10"/>
      <c r="T9" s="10"/>
      <c r="U9" s="10"/>
      <c r="V9" s="10"/>
      <c r="W9" s="10"/>
      <c r="X9" s="10"/>
      <c r="Y9" s="10"/>
      <c r="Z9" s="10"/>
      <c r="AA9" s="10"/>
      <c r="AB9" s="10"/>
      <c r="AC9" s="10"/>
      <c r="BM9" s="4"/>
      <c r="BN9" s="4"/>
      <c r="BO9" s="4"/>
      <c r="BP9" s="4"/>
    </row>
    <row r="10" spans="1:68" ht="15" customHeight="1">
      <c r="A10" s="9"/>
      <c r="B10" s="9"/>
      <c r="C10" s="9"/>
      <c r="D10" s="9"/>
      <c r="E10" s="9"/>
      <c r="F10" s="9"/>
      <c r="P10" s="6" t="s">
        <v>81</v>
      </c>
      <c r="Q10" s="5">
        <v>16</v>
      </c>
      <c r="R10" s="5" t="s">
        <v>81</v>
      </c>
      <c r="S10" s="10"/>
      <c r="T10" s="10"/>
      <c r="U10" s="10"/>
      <c r="V10" s="10"/>
      <c r="W10" s="10"/>
      <c r="X10" s="10"/>
      <c r="Y10" s="10"/>
      <c r="Z10" s="10"/>
      <c r="AA10" s="10"/>
      <c r="AB10" s="10"/>
      <c r="AC10" s="10"/>
      <c r="BM10" s="4"/>
      <c r="BN10" s="4"/>
      <c r="BO10" s="4"/>
      <c r="BP10" s="4"/>
    </row>
    <row r="11" spans="1:68" ht="15" customHeight="1">
      <c r="A11" s="9"/>
      <c r="B11" s="9"/>
      <c r="C11" s="9"/>
      <c r="D11" s="9"/>
      <c r="E11" s="9"/>
      <c r="F11" s="9"/>
      <c r="P11" s="6" t="s">
        <v>89</v>
      </c>
      <c r="Q11" s="5">
        <v>14</v>
      </c>
      <c r="R11" s="5" t="s">
        <v>89</v>
      </c>
      <c r="S11" s="10"/>
      <c r="T11" s="10"/>
      <c r="U11" s="10"/>
      <c r="V11" s="10"/>
      <c r="W11" s="10"/>
      <c r="X11" s="10"/>
      <c r="Y11" s="10"/>
      <c r="Z11" s="10"/>
      <c r="AA11" s="10"/>
      <c r="AB11" s="10"/>
      <c r="AC11" s="10"/>
      <c r="BM11" s="4"/>
      <c r="BN11" s="4"/>
      <c r="BO11" s="4"/>
      <c r="BP11" s="4"/>
    </row>
    <row r="12" spans="1:68" ht="15" customHeight="1">
      <c r="A12" s="9"/>
      <c r="B12" s="9"/>
      <c r="C12" s="9"/>
      <c r="D12" s="9"/>
      <c r="E12" s="9"/>
      <c r="F12" s="9"/>
      <c r="P12" s="6" t="s">
        <v>452</v>
      </c>
      <c r="Q12" s="5">
        <v>20</v>
      </c>
      <c r="R12" s="5" t="s">
        <v>452</v>
      </c>
      <c r="S12" s="10"/>
      <c r="T12" s="10"/>
      <c r="U12" s="10"/>
      <c r="V12" s="10"/>
      <c r="W12" s="10"/>
      <c r="X12" s="10"/>
      <c r="Y12" s="10"/>
      <c r="Z12" s="10"/>
      <c r="AA12" s="10"/>
      <c r="AB12" s="10"/>
      <c r="AC12" s="10"/>
      <c r="BM12" s="4"/>
      <c r="BN12" s="4"/>
      <c r="BO12" s="4"/>
      <c r="BP12" s="4"/>
    </row>
    <row r="13" spans="1:68" ht="15" customHeight="1">
      <c r="A13" s="9"/>
      <c r="B13" s="9"/>
      <c r="C13" s="9"/>
      <c r="D13" s="9"/>
      <c r="E13" s="9"/>
      <c r="F13" s="9"/>
      <c r="P13" s="6" t="s">
        <v>453</v>
      </c>
      <c r="Q13" s="5">
        <v>5</v>
      </c>
      <c r="R13" s="5" t="s">
        <v>453</v>
      </c>
      <c r="S13" s="10"/>
      <c r="T13" s="10"/>
      <c r="U13" s="10"/>
      <c r="V13" s="10"/>
      <c r="W13" s="10"/>
      <c r="X13" s="10"/>
      <c r="Y13" s="10"/>
      <c r="Z13" s="10"/>
      <c r="AA13" s="10"/>
      <c r="AB13" s="10"/>
      <c r="AC13" s="10"/>
      <c r="BM13" s="4"/>
      <c r="BN13" s="4"/>
      <c r="BO13" s="4"/>
      <c r="BP13" s="4"/>
    </row>
    <row r="14" spans="1:68" ht="15" customHeight="1">
      <c r="A14" s="9"/>
      <c r="B14" s="9"/>
      <c r="C14" s="9"/>
      <c r="D14" s="9"/>
      <c r="E14" s="9"/>
      <c r="F14" s="9"/>
      <c r="P14" s="6" t="s">
        <v>454</v>
      </c>
      <c r="Q14" s="5">
        <v>1</v>
      </c>
      <c r="R14" s="5" t="s">
        <v>454</v>
      </c>
      <c r="S14" s="10"/>
      <c r="T14" s="10"/>
      <c r="U14" s="10"/>
      <c r="V14" s="10"/>
      <c r="W14" s="10"/>
      <c r="X14" s="10"/>
      <c r="Y14" s="10"/>
      <c r="Z14" s="10"/>
      <c r="AA14" s="10"/>
      <c r="AB14" s="10"/>
      <c r="AC14" s="10"/>
      <c r="BM14" s="4"/>
      <c r="BN14" s="4"/>
      <c r="BO14" s="4"/>
      <c r="BP14" s="4"/>
    </row>
    <row r="15" spans="1:68" ht="15" customHeight="1">
      <c r="A15" s="9"/>
      <c r="B15" s="9"/>
      <c r="C15" s="9"/>
      <c r="D15" s="9"/>
      <c r="E15" s="9"/>
      <c r="F15" s="9"/>
      <c r="P15" s="6" t="s">
        <v>426</v>
      </c>
      <c r="Q15" s="5">
        <v>2</v>
      </c>
      <c r="R15" s="5" t="s">
        <v>426</v>
      </c>
      <c r="S15" s="10"/>
      <c r="T15" s="10"/>
      <c r="U15" s="10"/>
      <c r="V15" s="10"/>
      <c r="W15" s="10"/>
      <c r="X15" s="10"/>
      <c r="Y15" s="10"/>
      <c r="Z15" s="10"/>
      <c r="AA15" s="10"/>
      <c r="AB15" s="10"/>
      <c r="AC15" s="10"/>
      <c r="BM15" s="4"/>
      <c r="BN15" s="4"/>
      <c r="BO15" s="4"/>
      <c r="BP15" s="4"/>
    </row>
    <row r="16" spans="1:68" ht="15" customHeight="1">
      <c r="A16" s="9"/>
      <c r="B16" s="9"/>
      <c r="C16" s="9"/>
      <c r="D16" s="9"/>
      <c r="E16" s="9"/>
      <c r="F16" s="9"/>
      <c r="P16" s="6" t="s">
        <v>654</v>
      </c>
      <c r="Q16" s="5">
        <v>3</v>
      </c>
      <c r="R16" s="5" t="s">
        <v>654</v>
      </c>
      <c r="S16" s="10"/>
      <c r="T16" s="10"/>
      <c r="U16" s="10"/>
      <c r="V16" s="10"/>
      <c r="W16" s="10"/>
      <c r="X16" s="10"/>
      <c r="Y16" s="10"/>
      <c r="Z16" s="10"/>
      <c r="AA16" s="10"/>
      <c r="AB16" s="10"/>
      <c r="AC16" s="10"/>
      <c r="BM16" s="4"/>
      <c r="BN16" s="4"/>
      <c r="BO16" s="4"/>
      <c r="BP16" s="4"/>
    </row>
    <row r="17" spans="1:68" ht="15" customHeight="1">
      <c r="A17" s="9"/>
      <c r="B17" s="9"/>
      <c r="C17" s="9"/>
      <c r="D17" s="9"/>
      <c r="E17" s="9"/>
      <c r="F17" s="9"/>
      <c r="P17" s="6" t="s">
        <v>655</v>
      </c>
      <c r="Q17" s="5">
        <v>6</v>
      </c>
      <c r="R17" s="5" t="s">
        <v>655</v>
      </c>
      <c r="S17" s="10"/>
      <c r="T17" s="10"/>
      <c r="U17" s="10"/>
      <c r="V17" s="10"/>
      <c r="W17" s="10"/>
      <c r="X17" s="10"/>
      <c r="Y17" s="10"/>
      <c r="Z17" s="10"/>
      <c r="AA17" s="10"/>
      <c r="AB17" s="10"/>
      <c r="AC17" s="10"/>
      <c r="BM17" s="4"/>
      <c r="BN17" s="4"/>
      <c r="BO17" s="4"/>
      <c r="BP17" s="4"/>
    </row>
    <row r="18" spans="1:68" ht="15" customHeight="1">
      <c r="A18" s="9"/>
      <c r="B18" s="9"/>
      <c r="C18" s="9"/>
      <c r="D18" s="9"/>
      <c r="E18" s="9"/>
      <c r="F18" s="9"/>
      <c r="P18" s="6" t="s">
        <v>656</v>
      </c>
      <c r="Q18" s="5">
        <v>13</v>
      </c>
      <c r="R18" s="5" t="s">
        <v>656</v>
      </c>
      <c r="S18" s="10"/>
      <c r="T18" s="10"/>
      <c r="U18" s="10"/>
      <c r="V18" s="10"/>
      <c r="W18" s="10"/>
      <c r="X18" s="10"/>
      <c r="Y18" s="10"/>
      <c r="Z18" s="10"/>
      <c r="AA18" s="10"/>
      <c r="AB18" s="10"/>
      <c r="AC18" s="10"/>
      <c r="BM18" s="4"/>
      <c r="BN18" s="4"/>
      <c r="BO18" s="4"/>
      <c r="BP18" s="4"/>
    </row>
    <row r="19" spans="1:68" ht="15" customHeight="1">
      <c r="A19" s="9"/>
      <c r="B19" s="9"/>
      <c r="C19" s="9"/>
      <c r="D19" s="9"/>
      <c r="E19" s="9"/>
      <c r="F19" s="9"/>
      <c r="P19" s="6" t="s">
        <v>682</v>
      </c>
      <c r="Q19" s="5">
        <v>22</v>
      </c>
      <c r="R19" s="5" t="s">
        <v>682</v>
      </c>
      <c r="S19" s="10"/>
      <c r="T19" s="10"/>
      <c r="U19" s="10"/>
      <c r="V19" s="10"/>
      <c r="W19" s="10"/>
      <c r="X19" s="10"/>
      <c r="Y19" s="10"/>
      <c r="Z19" s="10"/>
      <c r="AA19" s="10"/>
      <c r="AB19" s="10"/>
      <c r="AC19" s="10"/>
      <c r="BM19" s="4"/>
      <c r="BN19" s="4"/>
      <c r="BO19" s="4"/>
      <c r="BP19" s="4"/>
    </row>
    <row r="20" spans="1:68" ht="15" customHeight="1">
      <c r="A20" s="16" t="str">
        <f>$R$2&amp;".Value"</f>
        <v>AO.Value</v>
      </c>
      <c r="B20" s="17">
        <v>11001</v>
      </c>
      <c r="C20" s="17" t="s">
        <v>0</v>
      </c>
      <c r="D20" s="18" t="str">
        <f>$Q$2&amp;". "</f>
        <v xml:space="preserve">Аналоговый выход (задание уставок). </v>
      </c>
      <c r="BM20" s="4"/>
      <c r="BN20" s="4"/>
      <c r="BO20" s="4"/>
      <c r="BP20" s="4"/>
    </row>
    <row r="21" spans="1:68" ht="15" customHeight="1">
      <c r="A21" s="19" t="str">
        <f t="shared" ref="A21:A26" si="0">$R$2&amp;".Value"</f>
        <v>AO.Value</v>
      </c>
      <c r="B21" s="11">
        <v>11156</v>
      </c>
      <c r="C21" s="11" t="s">
        <v>0</v>
      </c>
      <c r="D21" s="20" t="str">
        <f>$V$2</f>
        <v>Тестовый экран</v>
      </c>
      <c r="BM21" s="4"/>
      <c r="BN21" s="4"/>
      <c r="BO21" s="4"/>
      <c r="BP21" s="4"/>
    </row>
    <row r="22" spans="1:68" ht="15" customHeight="1">
      <c r="A22" s="21" t="str">
        <f t="shared" si="0"/>
        <v>AO.Value</v>
      </c>
      <c r="B22" s="8">
        <v>100</v>
      </c>
      <c r="C22" s="8" t="s">
        <v>0</v>
      </c>
      <c r="D22" s="20" t="b">
        <f>$T$7</f>
        <v>0</v>
      </c>
      <c r="BF22" s="4"/>
      <c r="BG22" s="4"/>
      <c r="BH22" s="4"/>
      <c r="BI22" s="4"/>
    </row>
    <row r="23" spans="1:68">
      <c r="A23" s="19" t="str">
        <f t="shared" si="0"/>
        <v>AO.Value</v>
      </c>
      <c r="B23" s="11">
        <v>13</v>
      </c>
      <c r="C23" s="11" t="s">
        <v>2</v>
      </c>
      <c r="D23" s="18" t="s">
        <v>3</v>
      </c>
    </row>
    <row r="24" spans="1:68" ht="15" customHeight="1">
      <c r="A24" s="19" t="str">
        <f t="shared" si="0"/>
        <v>AO.Value</v>
      </c>
      <c r="B24" s="11">
        <v>3000013</v>
      </c>
      <c r="C24" s="11" t="s">
        <v>0</v>
      </c>
      <c r="D24" s="20" t="str">
        <f>$AE$2</f>
        <v>Диагностика.CPU.NOT_LINK.noLink</v>
      </c>
      <c r="BF24" s="4"/>
      <c r="BG24" s="4"/>
      <c r="BH24" s="4"/>
      <c r="BI24" s="4"/>
    </row>
    <row r="25" spans="1:68" ht="15" customHeight="1">
      <c r="A25" s="19" t="str">
        <f t="shared" si="0"/>
        <v>AO.Value</v>
      </c>
      <c r="B25" s="11">
        <v>4000013</v>
      </c>
      <c r="C25" s="11" t="s">
        <v>0</v>
      </c>
      <c r="D25" s="20" t="s">
        <v>1773</v>
      </c>
      <c r="BF25" s="4"/>
      <c r="BG25" s="4"/>
      <c r="BH25" s="4"/>
      <c r="BI25" s="4"/>
    </row>
    <row r="26" spans="1:68" ht="15" customHeight="1">
      <c r="A26" s="21" t="str">
        <f t="shared" si="0"/>
        <v>AO.Value</v>
      </c>
      <c r="B26" s="8">
        <v>7000013</v>
      </c>
      <c r="C26" s="8" t="s">
        <v>6</v>
      </c>
      <c r="D26" s="22">
        <v>2</v>
      </c>
      <c r="BF26" s="4"/>
      <c r="BG26" s="4"/>
      <c r="BH26" s="4"/>
      <c r="BI26" s="4"/>
    </row>
    <row r="27" spans="1:68" ht="15" customHeight="1">
      <c r="A27" s="664" t="str">
        <f>$R$2&amp;".Commands.Value"</f>
        <v>AO.Commands.Value</v>
      </c>
      <c r="B27" s="665">
        <v>101</v>
      </c>
      <c r="C27" s="665" t="s">
        <v>0</v>
      </c>
      <c r="D27" s="666" t="s">
        <v>234</v>
      </c>
    </row>
    <row r="28" spans="1:68" ht="15" customHeight="1">
      <c r="A28" s="667" t="str">
        <f>$R$2&amp;".Commands.Value"</f>
        <v>AO.Commands.Value</v>
      </c>
      <c r="B28" s="668">
        <v>7999</v>
      </c>
      <c r="C28" s="668" t="s">
        <v>0</v>
      </c>
      <c r="D28" s="666" t="str">
        <f>"#"&amp;$T$5&amp;"#"&amp;$T$2&amp;"\"&amp;$P$2</f>
        <v>#1#treiOPCDA.CoOPCserv.1\pcmaster\AO</v>
      </c>
    </row>
    <row r="29" spans="1:68" ht="15" customHeight="1">
      <c r="A29" s="667" t="str">
        <f>$R$2&amp;".Commands.Value"</f>
        <v>AO.Commands.Value</v>
      </c>
      <c r="B29" s="668">
        <v>7998</v>
      </c>
      <c r="C29" s="668" t="s">
        <v>6</v>
      </c>
      <c r="D29" s="666">
        <v>2</v>
      </c>
    </row>
    <row r="30" spans="1:68" s="4" customFormat="1" ht="15" customHeight="1">
      <c r="A30" s="669" t="str">
        <f>$R$2&amp;".Commands.Value"</f>
        <v>AO.Commands.Value</v>
      </c>
      <c r="B30" s="670">
        <v>1</v>
      </c>
      <c r="C30" s="670" t="s">
        <v>1</v>
      </c>
      <c r="D30" s="671">
        <v>4</v>
      </c>
    </row>
    <row r="31" spans="1:68">
      <c r="A31" s="664" t="str">
        <f>$R$2&amp;".Value"</f>
        <v>AO.Value</v>
      </c>
      <c r="B31" s="665">
        <v>7999</v>
      </c>
      <c r="C31" s="665" t="s">
        <v>0</v>
      </c>
      <c r="D31" s="672" t="str">
        <f>"#"&amp;$S$2&amp;"#"&amp;$T$2&amp;"\"&amp;$P$2</f>
        <v>#1#treiOPCDA.CoOPCserv.1\pcmaster\AO</v>
      </c>
    </row>
    <row r="32" spans="1:68">
      <c r="A32" s="667" t="str">
        <f t="shared" ref="A32:A36" si="1">$R$2&amp;".Value"</f>
        <v>AO.Value</v>
      </c>
      <c r="B32" s="668">
        <v>7998</v>
      </c>
      <c r="C32" s="668" t="s">
        <v>6</v>
      </c>
      <c r="D32" s="666">
        <v>1</v>
      </c>
    </row>
    <row r="33" spans="1:4">
      <c r="A33" s="667" t="str">
        <f t="shared" si="1"/>
        <v>AO.Value</v>
      </c>
      <c r="B33" s="668">
        <v>101</v>
      </c>
      <c r="C33" s="668" t="s">
        <v>0</v>
      </c>
      <c r="D33" s="666" t="s">
        <v>234</v>
      </c>
    </row>
    <row r="34" spans="1:4">
      <c r="A34" s="667" t="str">
        <f t="shared" si="1"/>
        <v>AO.Value</v>
      </c>
      <c r="B34" s="668">
        <v>3</v>
      </c>
      <c r="C34" s="668" t="s">
        <v>1</v>
      </c>
      <c r="D34" s="666">
        <v>192</v>
      </c>
    </row>
    <row r="35" spans="1:4">
      <c r="A35" s="667" t="str">
        <f t="shared" si="1"/>
        <v>AO.Value</v>
      </c>
      <c r="B35" s="668">
        <v>2</v>
      </c>
      <c r="C35" s="64" t="str">
        <f>IF($AW$2="INT","vt_i2",IF($AW$2="DINT","vt_i4","vt_r4"))</f>
        <v>vt_i4</v>
      </c>
      <c r="D35" s="666">
        <v>0</v>
      </c>
    </row>
    <row r="36" spans="1:4">
      <c r="A36" s="669" t="str">
        <f t="shared" si="1"/>
        <v>AO.Value</v>
      </c>
      <c r="B36" s="670">
        <v>1</v>
      </c>
      <c r="C36" s="670" t="s">
        <v>1</v>
      </c>
      <c r="D36" s="68">
        <f>IF($AW$2="INT",2,IF($AW$2="DINT",3,4))</f>
        <v>3</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Лист35">
    <tabColor rgb="FFFFC000"/>
  </sheetPr>
  <dimension ref="A1:BP94"/>
  <sheetViews>
    <sheetView topLeftCell="A34" zoomScale="85" zoomScaleNormal="85"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57"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t="s">
        <v>244</v>
      </c>
      <c r="Q2" s="2" t="s">
        <v>1754</v>
      </c>
      <c r="R2" s="2" t="s">
        <v>330</v>
      </c>
      <c r="S2" s="3">
        <v>1</v>
      </c>
      <c r="T2" s="3" t="s">
        <v>1698</v>
      </c>
      <c r="U2" s="3"/>
      <c r="V2" s="3" t="s">
        <v>569</v>
      </c>
      <c r="W2" s="12" t="s">
        <v>247</v>
      </c>
      <c r="X2" s="12" t="s">
        <v>248</v>
      </c>
      <c r="Y2" s="12"/>
      <c r="Z2" s="12" t="s">
        <v>249</v>
      </c>
      <c r="AA2" s="12" t="s">
        <v>250</v>
      </c>
      <c r="AB2" s="2"/>
      <c r="AC2" s="2"/>
      <c r="AD2" s="2"/>
      <c r="AE2" s="2" t="s">
        <v>1414</v>
      </c>
      <c r="AF2" s="2"/>
      <c r="AG2" s="2"/>
      <c r="AH2" s="2"/>
      <c r="AI2" s="2"/>
      <c r="AJ2" s="2"/>
      <c r="AK2" s="2"/>
      <c r="AL2" s="2"/>
      <c r="AM2" s="2"/>
      <c r="AN2" s="2"/>
      <c r="AO2" s="2"/>
      <c r="AP2" s="2"/>
      <c r="AQ2" s="2"/>
      <c r="AR2" s="2"/>
      <c r="AS2" s="2"/>
      <c r="AT2" s="2"/>
      <c r="AU2" s="2"/>
      <c r="AV2" s="2"/>
      <c r="AW2" s="2" t="s">
        <v>708</v>
      </c>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M4" s="4"/>
      <c r="BN4" s="4"/>
      <c r="BO4" s="4"/>
      <c r="BP4" s="4"/>
    </row>
    <row r="5" spans="1:68"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M5" s="4"/>
      <c r="BN5" s="4"/>
      <c r="BO5" s="4"/>
      <c r="BP5" s="4"/>
    </row>
    <row r="6" spans="1:68"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M6" s="4"/>
      <c r="BN6" s="4"/>
      <c r="BO6" s="4"/>
      <c r="BP6" s="4"/>
    </row>
    <row r="7" spans="1:68"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M7" s="4"/>
      <c r="BN7" s="4"/>
      <c r="BO7" s="4"/>
      <c r="BP7" s="4"/>
    </row>
    <row r="8" spans="1:68" ht="15" customHeight="1">
      <c r="A8" s="9"/>
      <c r="B8" s="9"/>
      <c r="C8" s="9"/>
      <c r="D8" s="9"/>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BM8" s="4"/>
      <c r="BN8" s="4"/>
      <c r="BO8" s="4"/>
      <c r="BP8" s="4"/>
    </row>
    <row r="9" spans="1:68" ht="15" customHeight="1">
      <c r="A9" s="9"/>
      <c r="B9" s="9"/>
      <c r="C9" s="9"/>
      <c r="D9" s="9"/>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BM9" s="4"/>
      <c r="BN9" s="4"/>
      <c r="BO9" s="4"/>
      <c r="BP9" s="4"/>
    </row>
    <row r="10" spans="1:68" ht="15" customHeight="1">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BM10" s="4"/>
      <c r="BN10" s="4"/>
      <c r="BO10" s="4"/>
      <c r="BP10" s="4"/>
    </row>
    <row r="11" spans="1:68" ht="15" customHeight="1">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BM11" s="4"/>
      <c r="BN11" s="4"/>
      <c r="BO11" s="4"/>
      <c r="BP11" s="4"/>
    </row>
    <row r="12" spans="1:68"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M17" s="4"/>
      <c r="BN17" s="4"/>
      <c r="BO17" s="4"/>
      <c r="BP17" s="4"/>
    </row>
    <row r="18" spans="1:68"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M18" s="4"/>
      <c r="BN18" s="4"/>
      <c r="BO18" s="4"/>
      <c r="BP18" s="4"/>
    </row>
    <row r="19" spans="1:68"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M19" s="4"/>
      <c r="BN19" s="4"/>
      <c r="BO19" s="4"/>
      <c r="BP19" s="4"/>
    </row>
    <row r="20" spans="1:68" ht="15" customHeight="1">
      <c r="A20" s="16" t="str">
        <f t="shared" ref="A20:A31" si="0">$R$2</f>
        <v>AI</v>
      </c>
      <c r="B20" s="17">
        <v>11001</v>
      </c>
      <c r="C20" s="17" t="s">
        <v>0</v>
      </c>
      <c r="D20" s="18" t="str">
        <f>$Q$2&amp;". "</f>
        <v xml:space="preserve">Аналоговый сигнал (уставки и ремонт в INFINITY). </v>
      </c>
      <c r="E20" s="4"/>
      <c r="F20" s="4"/>
      <c r="BM20" s="4"/>
      <c r="BN20" s="4"/>
      <c r="BO20" s="4"/>
      <c r="BP20" s="4"/>
    </row>
    <row r="21" spans="1:68" ht="15" customHeight="1">
      <c r="A21" s="19" t="str">
        <f t="shared" si="0"/>
        <v>AI</v>
      </c>
      <c r="B21" s="11">
        <v>11156</v>
      </c>
      <c r="C21" s="11" t="s">
        <v>0</v>
      </c>
      <c r="D21" s="20" t="str">
        <f>$V$2</f>
        <v>Тестовый экран</v>
      </c>
      <c r="E21" s="4"/>
      <c r="F21" s="4"/>
      <c r="BM21" s="4"/>
      <c r="BN21" s="4"/>
      <c r="BO21" s="4"/>
      <c r="BP21" s="4"/>
    </row>
    <row r="22" spans="1:68" ht="15" customHeight="1">
      <c r="A22" s="19" t="str">
        <f t="shared" si="0"/>
        <v>AI</v>
      </c>
      <c r="B22" s="11">
        <v>1</v>
      </c>
      <c r="C22" s="11" t="s">
        <v>1</v>
      </c>
      <c r="D22" s="20">
        <v>17</v>
      </c>
      <c r="BM22" s="4"/>
      <c r="BN22" s="4"/>
      <c r="BO22" s="4"/>
      <c r="BP22" s="4"/>
    </row>
    <row r="23" spans="1:68" ht="15" customHeight="1">
      <c r="A23" s="16" t="str">
        <f t="shared" si="0"/>
        <v>AI</v>
      </c>
      <c r="B23" s="17">
        <v>100</v>
      </c>
      <c r="C23" s="17" t="s">
        <v>0</v>
      </c>
      <c r="D23" s="18" t="b">
        <f>$T$7</f>
        <v>0</v>
      </c>
      <c r="BF23" s="4"/>
      <c r="BG23" s="4"/>
      <c r="BH23" s="4"/>
      <c r="BI23" s="4"/>
    </row>
    <row r="24" spans="1:68" ht="15" customHeight="1">
      <c r="A24" s="19" t="str">
        <f t="shared" si="0"/>
        <v>AI</v>
      </c>
      <c r="B24" s="11">
        <v>11120</v>
      </c>
      <c r="C24" s="11" t="s">
        <v>0</v>
      </c>
      <c r="D24" s="20" t="str">
        <f>$X$2</f>
        <v>C</v>
      </c>
      <c r="BM24" s="4"/>
      <c r="BN24" s="4"/>
      <c r="BO24" s="4"/>
      <c r="BP24" s="4"/>
    </row>
    <row r="25" spans="1:68" ht="15" customHeight="1">
      <c r="A25" s="19" t="str">
        <f t="shared" si="0"/>
        <v>AI</v>
      </c>
      <c r="B25" s="11">
        <v>11121</v>
      </c>
      <c r="C25" s="11" t="s">
        <v>0</v>
      </c>
      <c r="D25" s="20" t="str">
        <f>$W$2</f>
        <v>T</v>
      </c>
      <c r="BM25" s="4"/>
      <c r="BN25" s="4"/>
      <c r="BO25" s="4"/>
      <c r="BP25" s="4"/>
    </row>
    <row r="26" spans="1:68" ht="15" customHeight="1">
      <c r="A26" s="19" t="str">
        <f t="shared" si="0"/>
        <v>AI</v>
      </c>
      <c r="B26" s="11">
        <v>11122</v>
      </c>
      <c r="C26" s="11" t="s">
        <v>0</v>
      </c>
      <c r="D26" s="20" t="str">
        <f>$AA$2</f>
        <v>ТСМ</v>
      </c>
      <c r="BM26" s="4"/>
      <c r="BN26" s="4"/>
      <c r="BO26" s="4"/>
      <c r="BP26" s="4"/>
    </row>
    <row r="27" spans="1:68" ht="15" customHeight="1">
      <c r="A27" s="21" t="str">
        <f t="shared" si="0"/>
        <v>AI</v>
      </c>
      <c r="B27" s="8">
        <v>11123</v>
      </c>
      <c r="C27" s="8" t="s">
        <v>0</v>
      </c>
      <c r="D27" s="22" t="str">
        <f>$Z$2</f>
        <v>ЗРУ</v>
      </c>
      <c r="BM27" s="4"/>
      <c r="BN27" s="4"/>
      <c r="BO27" s="4"/>
      <c r="BP27" s="4"/>
    </row>
    <row r="28" spans="1:68">
      <c r="A28" s="16" t="str">
        <f t="shared" si="0"/>
        <v>AI</v>
      </c>
      <c r="B28" s="17">
        <v>13</v>
      </c>
      <c r="C28" s="17" t="s">
        <v>2</v>
      </c>
      <c r="D28" s="18" t="s">
        <v>3</v>
      </c>
    </row>
    <row r="29" spans="1:68" ht="15" customHeight="1">
      <c r="A29" s="19" t="str">
        <f t="shared" si="0"/>
        <v>AI</v>
      </c>
      <c r="B29" s="11">
        <v>3000013</v>
      </c>
      <c r="C29" s="11" t="s">
        <v>0</v>
      </c>
      <c r="D29" s="20" t="str">
        <f>$AE$2</f>
        <v>Диагностика.CPU.NOT_LINK.noLink</v>
      </c>
      <c r="BF29" s="4"/>
      <c r="BG29" s="4"/>
      <c r="BH29" s="4"/>
      <c r="BI29" s="4"/>
    </row>
    <row r="30" spans="1:68" ht="15" customHeight="1">
      <c r="A30" s="19" t="str">
        <f t="shared" si="0"/>
        <v>AI</v>
      </c>
      <c r="B30" s="11">
        <v>4000013</v>
      </c>
      <c r="C30" s="11" t="s">
        <v>0</v>
      </c>
      <c r="D30" s="20" t="s">
        <v>1772</v>
      </c>
      <c r="BF30" s="4"/>
      <c r="BG30" s="4"/>
      <c r="BH30" s="4"/>
      <c r="BI30" s="4"/>
    </row>
    <row r="31" spans="1:68" ht="15" customHeight="1">
      <c r="A31" s="19" t="str">
        <f t="shared" si="0"/>
        <v>AI</v>
      </c>
      <c r="B31" s="11">
        <v>7000013</v>
      </c>
      <c r="C31" s="11" t="s">
        <v>6</v>
      </c>
      <c r="D31" s="20">
        <v>2</v>
      </c>
      <c r="BF31" s="4"/>
      <c r="BG31" s="4"/>
      <c r="BH31" s="4"/>
      <c r="BI31" s="4"/>
    </row>
    <row r="32" spans="1:68" ht="15" customHeight="1">
      <c r="A32" s="16" t="str">
        <f>$R$2&amp;".Commands"</f>
        <v>AI.Commands</v>
      </c>
      <c r="B32" s="24">
        <v>1</v>
      </c>
      <c r="C32" s="24" t="s">
        <v>1</v>
      </c>
      <c r="D32" s="25">
        <v>17</v>
      </c>
      <c r="BF32" s="4"/>
      <c r="BG32" s="4"/>
      <c r="BH32" s="4"/>
      <c r="BI32" s="4"/>
    </row>
    <row r="33" spans="1:61">
      <c r="A33" s="29" t="str">
        <f>$R$2&amp;".Commands"</f>
        <v>AI.Commands</v>
      </c>
      <c r="B33" s="1">
        <v>7011</v>
      </c>
      <c r="C33" s="1" t="s">
        <v>2</v>
      </c>
      <c r="D33" s="30" t="s">
        <v>266</v>
      </c>
    </row>
    <row r="34" spans="1:61" ht="15" customHeight="1">
      <c r="A34" s="19" t="str">
        <f t="shared" ref="A34:A41" si="1">$R$2&amp;".Commands"</f>
        <v>AI.Commands</v>
      </c>
      <c r="B34" s="11">
        <v>9221</v>
      </c>
      <c r="C34" s="11" t="s">
        <v>2</v>
      </c>
      <c r="D34" s="20" t="s">
        <v>3</v>
      </c>
      <c r="BF34" s="4"/>
      <c r="BG34" s="4"/>
      <c r="BH34" s="4"/>
      <c r="BI34" s="4"/>
    </row>
    <row r="35" spans="1:61" ht="15" customHeight="1">
      <c r="A35" s="19" t="str">
        <f t="shared" si="1"/>
        <v>AI.Commands</v>
      </c>
      <c r="B35" s="11">
        <v>9222</v>
      </c>
      <c r="C35" s="11" t="s">
        <v>2</v>
      </c>
      <c r="D35" s="20" t="s">
        <v>3</v>
      </c>
      <c r="BF35" s="4"/>
      <c r="BG35" s="4"/>
      <c r="BH35" s="4"/>
      <c r="BI35" s="4"/>
    </row>
    <row r="36" spans="1:61" ht="15" customHeight="1">
      <c r="A36" s="19" t="str">
        <f t="shared" si="1"/>
        <v>AI.Commands</v>
      </c>
      <c r="B36" s="11">
        <v>9223</v>
      </c>
      <c r="C36" s="11" t="s">
        <v>2</v>
      </c>
      <c r="D36" s="20" t="s">
        <v>3</v>
      </c>
      <c r="BF36" s="4"/>
      <c r="BG36" s="4"/>
      <c r="BH36" s="4"/>
      <c r="BI36" s="4"/>
    </row>
    <row r="37" spans="1:61" ht="15" customHeight="1">
      <c r="A37" s="19" t="str">
        <f t="shared" si="1"/>
        <v>AI.Commands</v>
      </c>
      <c r="B37" s="11">
        <v>9224</v>
      </c>
      <c r="C37" s="11" t="s">
        <v>2</v>
      </c>
      <c r="D37" s="20" t="s">
        <v>3</v>
      </c>
      <c r="BF37" s="4"/>
      <c r="BG37" s="4"/>
      <c r="BH37" s="4"/>
      <c r="BI37" s="4"/>
    </row>
    <row r="38" spans="1:61" ht="15" customHeight="1">
      <c r="A38" s="19" t="str">
        <f t="shared" si="1"/>
        <v>AI.Commands</v>
      </c>
      <c r="B38" s="11">
        <v>9225</v>
      </c>
      <c r="C38" s="11" t="s">
        <v>80</v>
      </c>
      <c r="D38" s="20">
        <v>0</v>
      </c>
      <c r="BF38" s="4"/>
      <c r="BG38" s="4"/>
      <c r="BH38" s="4"/>
      <c r="BI38" s="4"/>
    </row>
    <row r="39" spans="1:61" ht="15" customHeight="1">
      <c r="A39" s="19" t="str">
        <f t="shared" si="1"/>
        <v>AI.Commands</v>
      </c>
      <c r="B39" s="11">
        <v>9226</v>
      </c>
      <c r="C39" s="11" t="s">
        <v>80</v>
      </c>
      <c r="D39" s="20">
        <v>0</v>
      </c>
      <c r="BF39" s="4"/>
      <c r="BG39" s="4"/>
      <c r="BH39" s="4"/>
      <c r="BI39" s="4"/>
    </row>
    <row r="40" spans="1:61" ht="15" customHeight="1">
      <c r="A40" s="19" t="str">
        <f t="shared" si="1"/>
        <v>AI.Commands</v>
      </c>
      <c r="B40" s="11">
        <v>9227</v>
      </c>
      <c r="C40" s="11" t="s">
        <v>80</v>
      </c>
      <c r="D40" s="20">
        <v>0</v>
      </c>
      <c r="BF40" s="4"/>
      <c r="BG40" s="4"/>
      <c r="BH40" s="4"/>
      <c r="BI40" s="4"/>
    </row>
    <row r="41" spans="1:61" ht="15" customHeight="1">
      <c r="A41" s="21" t="str">
        <f t="shared" si="1"/>
        <v>AI.Commands</v>
      </c>
      <c r="B41" s="8">
        <v>9228</v>
      </c>
      <c r="C41" s="8" t="s">
        <v>80</v>
      </c>
      <c r="D41" s="22">
        <v>0</v>
      </c>
      <c r="BF41" s="4"/>
      <c r="BG41" s="4"/>
      <c r="BH41" s="4"/>
      <c r="BI41" s="4"/>
    </row>
    <row r="42" spans="1:61">
      <c r="A42" s="29" t="str">
        <f t="shared" ref="A42" si="2">$R$2&amp;".aL"</f>
        <v>AI.aL</v>
      </c>
      <c r="B42">
        <v>3000000</v>
      </c>
      <c r="C42" t="s">
        <v>0</v>
      </c>
      <c r="D42" s="30" t="s">
        <v>2324</v>
      </c>
    </row>
    <row r="43" spans="1:61">
      <c r="A43" s="148" t="str">
        <f t="shared" ref="A43:A50" si="3">$R$2&amp;".aL"</f>
        <v>AI.aL</v>
      </c>
      <c r="B43" s="149">
        <v>11154</v>
      </c>
      <c r="C43" s="149" t="s">
        <v>4</v>
      </c>
      <c r="D43" s="150">
        <f>$Q$5</f>
        <v>4</v>
      </c>
      <c r="Q43" s="4"/>
      <c r="R43" s="4"/>
      <c r="S43" s="4"/>
      <c r="T43" s="4"/>
      <c r="U43" s="4"/>
      <c r="V43" s="4"/>
    </row>
    <row r="44" spans="1:61" s="4" customFormat="1">
      <c r="A44" s="148" t="str">
        <f t="shared" si="3"/>
        <v>AI.aL</v>
      </c>
      <c r="B44" s="149">
        <v>11152</v>
      </c>
      <c r="C44" s="149" t="s">
        <v>0</v>
      </c>
      <c r="D44" s="151" t="str">
        <f>$R$5</f>
        <v>Авария</v>
      </c>
    </row>
    <row r="45" spans="1:61">
      <c r="A45" s="148" t="str">
        <f t="shared" si="3"/>
        <v>AI.aL</v>
      </c>
      <c r="B45" s="149">
        <v>11150</v>
      </c>
      <c r="C45" s="149" t="s">
        <v>0</v>
      </c>
      <c r="D45" s="125" t="s">
        <v>87</v>
      </c>
      <c r="Q45" s="4"/>
      <c r="R45" s="4"/>
      <c r="S45" s="4"/>
      <c r="T45" s="4"/>
      <c r="U45" s="4"/>
      <c r="V45" s="4"/>
    </row>
    <row r="46" spans="1:61">
      <c r="A46" s="148" t="str">
        <f t="shared" si="3"/>
        <v>AI.aL</v>
      </c>
      <c r="B46" s="149">
        <v>11000</v>
      </c>
      <c r="C46" s="149" t="s">
        <v>5</v>
      </c>
      <c r="D46" s="125">
        <v>2147483680</v>
      </c>
      <c r="Q46" s="4"/>
      <c r="R46" s="4"/>
      <c r="S46" s="4"/>
      <c r="T46" s="4"/>
      <c r="U46" s="4"/>
      <c r="V46" s="4"/>
    </row>
    <row r="47" spans="1:61">
      <c r="A47" s="19" t="str">
        <f t="shared" si="3"/>
        <v>AI.aL</v>
      </c>
      <c r="B47" s="11">
        <v>101</v>
      </c>
      <c r="C47" s="11" t="s">
        <v>0</v>
      </c>
      <c r="D47" s="20" t="s">
        <v>48</v>
      </c>
      <c r="Q47" s="4"/>
      <c r="R47" s="4"/>
      <c r="S47" s="4"/>
      <c r="T47" s="4"/>
      <c r="U47" s="4"/>
      <c r="V47" s="4"/>
    </row>
    <row r="48" spans="1:61">
      <c r="A48" s="19" t="str">
        <f t="shared" si="3"/>
        <v>AI.aL</v>
      </c>
      <c r="B48" s="11">
        <v>3</v>
      </c>
      <c r="C48" s="11" t="s">
        <v>1</v>
      </c>
      <c r="D48" s="20">
        <v>192</v>
      </c>
      <c r="Q48" s="4"/>
      <c r="R48" s="4"/>
      <c r="S48" s="4"/>
      <c r="T48" s="4"/>
      <c r="U48" s="4"/>
      <c r="V48" s="4"/>
    </row>
    <row r="49" spans="1:4" s="4" customFormat="1">
      <c r="A49" s="19" t="str">
        <f t="shared" si="3"/>
        <v>AI.aL</v>
      </c>
      <c r="B49" s="11">
        <v>2</v>
      </c>
      <c r="C49" s="11" t="s">
        <v>2</v>
      </c>
      <c r="D49" s="20" t="s">
        <v>3</v>
      </c>
    </row>
    <row r="50" spans="1:4">
      <c r="A50" s="21" t="str">
        <f t="shared" si="3"/>
        <v>AI.aL</v>
      </c>
      <c r="B50" s="8">
        <v>1</v>
      </c>
      <c r="C50" s="8" t="s">
        <v>1</v>
      </c>
      <c r="D50" s="22">
        <v>11</v>
      </c>
    </row>
    <row r="51" spans="1:4">
      <c r="A51" s="29" t="str">
        <f t="shared" ref="A51" si="4">$R$2&amp;".aH"</f>
        <v>AI.aH</v>
      </c>
      <c r="B51" s="24">
        <v>3000000</v>
      </c>
      <c r="C51" s="24" t="s">
        <v>0</v>
      </c>
      <c r="D51" s="25" t="s">
        <v>2323</v>
      </c>
    </row>
    <row r="52" spans="1:4">
      <c r="A52" s="148" t="str">
        <f t="shared" ref="A52:A59" si="5">$R$2&amp;".aH"</f>
        <v>AI.aH</v>
      </c>
      <c r="B52" s="149">
        <v>11154</v>
      </c>
      <c r="C52" s="149" t="s">
        <v>4</v>
      </c>
      <c r="D52" s="150">
        <f>$Q$5</f>
        <v>4</v>
      </c>
    </row>
    <row r="53" spans="1:4">
      <c r="A53" s="148" t="str">
        <f t="shared" si="5"/>
        <v>AI.aH</v>
      </c>
      <c r="B53" s="149">
        <v>11152</v>
      </c>
      <c r="C53" s="149" t="s">
        <v>0</v>
      </c>
      <c r="D53" s="151" t="str">
        <f>$R$5</f>
        <v>Авария</v>
      </c>
    </row>
    <row r="54" spans="1:4" s="4" customFormat="1">
      <c r="A54" s="148" t="str">
        <f t="shared" si="5"/>
        <v>AI.aH</v>
      </c>
      <c r="B54" s="149">
        <v>11150</v>
      </c>
      <c r="C54" s="149" t="s">
        <v>0</v>
      </c>
      <c r="D54" s="125" t="s">
        <v>85</v>
      </c>
    </row>
    <row r="55" spans="1:4">
      <c r="A55" s="148" t="str">
        <f t="shared" si="5"/>
        <v>AI.aH</v>
      </c>
      <c r="B55" s="149">
        <v>11000</v>
      </c>
      <c r="C55" s="149" t="s">
        <v>5</v>
      </c>
      <c r="D55" s="125">
        <v>2147483680</v>
      </c>
    </row>
    <row r="56" spans="1:4">
      <c r="A56" s="19" t="str">
        <f t="shared" si="5"/>
        <v>AI.aH</v>
      </c>
      <c r="B56" s="11">
        <v>101</v>
      </c>
      <c r="C56" s="11" t="s">
        <v>0</v>
      </c>
      <c r="D56" s="20" t="s">
        <v>46</v>
      </c>
    </row>
    <row r="57" spans="1:4">
      <c r="A57" s="19" t="str">
        <f t="shared" si="5"/>
        <v>AI.aH</v>
      </c>
      <c r="B57" s="11">
        <v>3</v>
      </c>
      <c r="C57" s="11" t="s">
        <v>1</v>
      </c>
      <c r="D57" s="20">
        <v>192</v>
      </c>
    </row>
    <row r="58" spans="1:4">
      <c r="A58" s="19" t="str">
        <f t="shared" si="5"/>
        <v>AI.aH</v>
      </c>
      <c r="B58" s="11">
        <v>2</v>
      </c>
      <c r="C58" s="11" t="s">
        <v>2</v>
      </c>
      <c r="D58" s="20" t="s">
        <v>3</v>
      </c>
    </row>
    <row r="59" spans="1:4">
      <c r="A59" s="21" t="str">
        <f t="shared" si="5"/>
        <v>AI.aH</v>
      </c>
      <c r="B59" s="8">
        <v>1</v>
      </c>
      <c r="C59" s="8" t="s">
        <v>1</v>
      </c>
      <c r="D59" s="22">
        <v>11</v>
      </c>
    </row>
    <row r="60" spans="1:4">
      <c r="A60" s="29" t="str">
        <f t="shared" ref="A60" si="6">$R$2&amp;".wH"</f>
        <v>AI.wH</v>
      </c>
      <c r="B60" s="24">
        <v>3000000</v>
      </c>
      <c r="C60" s="24" t="s">
        <v>0</v>
      </c>
      <c r="D60" s="25" t="s">
        <v>2322</v>
      </c>
    </row>
    <row r="61" spans="1:4">
      <c r="A61" s="63" t="str">
        <f t="shared" ref="A61:A68" si="7">$R$2&amp;".wH"</f>
        <v>AI.wH</v>
      </c>
      <c r="B61" s="64">
        <v>11154</v>
      </c>
      <c r="C61" s="64" t="s">
        <v>4</v>
      </c>
      <c r="D61" s="98">
        <f>$Q$6</f>
        <v>8</v>
      </c>
    </row>
    <row r="62" spans="1:4">
      <c r="A62" s="63" t="str">
        <f t="shared" si="7"/>
        <v>AI.wH</v>
      </c>
      <c r="B62" s="64">
        <v>11152</v>
      </c>
      <c r="C62" s="64" t="s">
        <v>0</v>
      </c>
      <c r="D62" s="129" t="str">
        <f>$R$6</f>
        <v>Предупреждение</v>
      </c>
    </row>
    <row r="63" spans="1:4">
      <c r="A63" s="63" t="str">
        <f t="shared" si="7"/>
        <v>AI.wH</v>
      </c>
      <c r="B63" s="64">
        <v>11150</v>
      </c>
      <c r="C63" s="64" t="s">
        <v>0</v>
      </c>
      <c r="D63" s="65" t="s">
        <v>86</v>
      </c>
    </row>
    <row r="64" spans="1:4">
      <c r="A64" s="63" t="str">
        <f t="shared" si="7"/>
        <v>AI.wH</v>
      </c>
      <c r="B64" s="64">
        <v>11000</v>
      </c>
      <c r="C64" s="64" t="s">
        <v>5</v>
      </c>
      <c r="D64" s="65">
        <v>2147483680</v>
      </c>
    </row>
    <row r="65" spans="1:4">
      <c r="A65" s="19" t="str">
        <f t="shared" si="7"/>
        <v>AI.wH</v>
      </c>
      <c r="B65" s="11">
        <v>101</v>
      </c>
      <c r="C65" s="11" t="s">
        <v>0</v>
      </c>
      <c r="D65" s="20" t="s">
        <v>47</v>
      </c>
    </row>
    <row r="66" spans="1:4">
      <c r="A66" s="19" t="str">
        <f t="shared" si="7"/>
        <v>AI.wH</v>
      </c>
      <c r="B66" s="11">
        <v>3</v>
      </c>
      <c r="C66" s="11" t="s">
        <v>1</v>
      </c>
      <c r="D66" s="20">
        <v>192</v>
      </c>
    </row>
    <row r="67" spans="1:4" s="4" customFormat="1">
      <c r="A67" s="19" t="str">
        <f t="shared" si="7"/>
        <v>AI.wH</v>
      </c>
      <c r="B67" s="11">
        <v>2</v>
      </c>
      <c r="C67" s="11" t="s">
        <v>2</v>
      </c>
      <c r="D67" s="20" t="s">
        <v>3</v>
      </c>
    </row>
    <row r="68" spans="1:4">
      <c r="A68" s="21" t="str">
        <f t="shared" si="7"/>
        <v>AI.wH</v>
      </c>
      <c r="B68" s="8">
        <v>1</v>
      </c>
      <c r="C68" s="8" t="s">
        <v>1</v>
      </c>
      <c r="D68" s="22">
        <v>11</v>
      </c>
    </row>
    <row r="69" spans="1:4">
      <c r="A69" s="29" t="str">
        <f t="shared" ref="A69" si="8">$R$2&amp;".wL"</f>
        <v>AI.wL</v>
      </c>
      <c r="B69" s="24">
        <v>3000000</v>
      </c>
      <c r="C69" s="24" t="s">
        <v>0</v>
      </c>
      <c r="D69" s="25" t="s">
        <v>2321</v>
      </c>
    </row>
    <row r="70" spans="1:4">
      <c r="A70" s="63" t="str">
        <f t="shared" ref="A70:A77" si="9">$R$2&amp;".wL"</f>
        <v>AI.wL</v>
      </c>
      <c r="B70" s="64">
        <v>11154</v>
      </c>
      <c r="C70" s="64" t="s">
        <v>4</v>
      </c>
      <c r="D70" s="98">
        <f>$Q$6</f>
        <v>8</v>
      </c>
    </row>
    <row r="71" spans="1:4">
      <c r="A71" s="63" t="str">
        <f t="shared" si="9"/>
        <v>AI.wL</v>
      </c>
      <c r="B71" s="64">
        <v>11152</v>
      </c>
      <c r="C71" s="64" t="s">
        <v>0</v>
      </c>
      <c r="D71" s="129" t="str">
        <f>$R$6</f>
        <v>Предупреждение</v>
      </c>
    </row>
    <row r="72" spans="1:4" s="4" customFormat="1">
      <c r="A72" s="63" t="str">
        <f t="shared" si="9"/>
        <v>AI.wL</v>
      </c>
      <c r="B72" s="64">
        <v>11150</v>
      </c>
      <c r="C72" s="64" t="s">
        <v>0</v>
      </c>
      <c r="D72" s="65" t="s">
        <v>88</v>
      </c>
    </row>
    <row r="73" spans="1:4">
      <c r="A73" s="63" t="str">
        <f t="shared" si="9"/>
        <v>AI.wL</v>
      </c>
      <c r="B73" s="64">
        <v>11000</v>
      </c>
      <c r="C73" s="64" t="s">
        <v>5</v>
      </c>
      <c r="D73" s="65">
        <v>2147483680</v>
      </c>
    </row>
    <row r="74" spans="1:4">
      <c r="A74" s="19" t="str">
        <f t="shared" si="9"/>
        <v>AI.wL</v>
      </c>
      <c r="B74" s="11">
        <v>101</v>
      </c>
      <c r="C74" s="11" t="s">
        <v>0</v>
      </c>
      <c r="D74" s="20" t="s">
        <v>49</v>
      </c>
    </row>
    <row r="75" spans="1:4">
      <c r="A75" s="19" t="str">
        <f t="shared" si="9"/>
        <v>AI.wL</v>
      </c>
      <c r="B75" s="11">
        <v>3</v>
      </c>
      <c r="C75" s="11" t="s">
        <v>1</v>
      </c>
      <c r="D75" s="20">
        <v>192</v>
      </c>
    </row>
    <row r="76" spans="1:4">
      <c r="A76" s="19" t="str">
        <f t="shared" si="9"/>
        <v>AI.wL</v>
      </c>
      <c r="B76" s="11">
        <v>2</v>
      </c>
      <c r="C76" s="11" t="s">
        <v>2</v>
      </c>
      <c r="D76" s="20" t="s">
        <v>3</v>
      </c>
    </row>
    <row r="77" spans="1:4" s="4" customFormat="1">
      <c r="A77" s="19" t="str">
        <f t="shared" si="9"/>
        <v>AI.wL</v>
      </c>
      <c r="B77" s="11">
        <v>1</v>
      </c>
      <c r="C77" s="11" t="s">
        <v>1</v>
      </c>
      <c r="D77" s="20">
        <v>11</v>
      </c>
    </row>
    <row r="78" spans="1:4">
      <c r="A78" s="16" t="str">
        <f t="shared" ref="A78:A86" si="10">$R$2&amp;".Commands.coRepair"</f>
        <v>AI.Commands.coRepair</v>
      </c>
      <c r="B78" s="17">
        <v>7011</v>
      </c>
      <c r="C78" s="17" t="s">
        <v>2</v>
      </c>
      <c r="D78" s="18" t="s">
        <v>266</v>
      </c>
    </row>
    <row r="79" spans="1:4">
      <c r="A79" s="140" t="str">
        <f t="shared" si="10"/>
        <v>AI.Commands.coRepair</v>
      </c>
      <c r="B79" s="141">
        <v>11152</v>
      </c>
      <c r="C79" s="141" t="s">
        <v>0</v>
      </c>
      <c r="D79" s="142" t="str">
        <f>$R$11</f>
        <v>Ремонт</v>
      </c>
    </row>
    <row r="80" spans="1:4">
      <c r="A80" s="140" t="str">
        <f t="shared" si="10"/>
        <v>AI.Commands.coRepair</v>
      </c>
      <c r="B80" s="141">
        <v>11154</v>
      </c>
      <c r="C80" s="141" t="s">
        <v>4</v>
      </c>
      <c r="D80" s="142">
        <f>$Q$11</f>
        <v>14</v>
      </c>
    </row>
    <row r="81" spans="1:16">
      <c r="A81" s="140" t="str">
        <f t="shared" si="10"/>
        <v>AI.Commands.coRepair</v>
      </c>
      <c r="B81" s="141">
        <v>11150</v>
      </c>
      <c r="C81" s="141" t="s">
        <v>0</v>
      </c>
      <c r="D81" s="142" t="s">
        <v>89</v>
      </c>
    </row>
    <row r="82" spans="1:16" s="4" customFormat="1">
      <c r="A82" s="140" t="str">
        <f t="shared" si="10"/>
        <v>AI.Commands.coRepair</v>
      </c>
      <c r="B82" s="141">
        <v>11000</v>
      </c>
      <c r="C82" s="141" t="s">
        <v>5</v>
      </c>
      <c r="D82" s="142">
        <v>2147483680</v>
      </c>
    </row>
    <row r="83" spans="1:16">
      <c r="A83" s="19" t="str">
        <f t="shared" si="10"/>
        <v>AI.Commands.coRepair</v>
      </c>
      <c r="B83" s="11">
        <v>1</v>
      </c>
      <c r="C83" s="11" t="s">
        <v>1</v>
      </c>
      <c r="D83" s="20">
        <v>11</v>
      </c>
    </row>
    <row r="84" spans="1:16" ht="13.5" customHeight="1">
      <c r="A84" s="29" t="str">
        <f t="shared" si="10"/>
        <v>AI.Commands.coRepair</v>
      </c>
      <c r="B84" s="1">
        <v>4000000</v>
      </c>
      <c r="C84" s="1" t="s">
        <v>0</v>
      </c>
      <c r="D84" s="415" t="s">
        <v>1492</v>
      </c>
    </row>
    <row r="85" spans="1:16" ht="13.5" customHeight="1">
      <c r="A85" s="29" t="str">
        <f t="shared" si="10"/>
        <v>AI.Commands.coRepair</v>
      </c>
      <c r="B85" s="1">
        <v>7000000</v>
      </c>
      <c r="C85" s="1" t="s">
        <v>6</v>
      </c>
      <c r="D85" s="30">
        <v>2</v>
      </c>
    </row>
    <row r="86" spans="1:16">
      <c r="A86" s="26" t="str">
        <f t="shared" si="10"/>
        <v>AI.Commands.coRepair</v>
      </c>
      <c r="B86" s="11">
        <v>3</v>
      </c>
      <c r="C86" s="11" t="s">
        <v>1</v>
      </c>
      <c r="D86" s="20">
        <v>192</v>
      </c>
    </row>
    <row r="87" spans="1:16">
      <c r="A87" s="275" t="str">
        <f t="shared" ref="A87:A94" si="11">$R$2&amp;".Value"</f>
        <v>AI.Value</v>
      </c>
      <c r="B87" s="276">
        <v>7999</v>
      </c>
      <c r="C87" s="276" t="s">
        <v>0</v>
      </c>
      <c r="D87" s="277" t="str">
        <f>"#"&amp;$S$2&amp;"#"&amp;$T$2&amp;"\"&amp;$P$2</f>
        <v>#1#treiOPCDA.CoOPCserv.1\pcmaster\KTP_T_v_KTP</v>
      </c>
    </row>
    <row r="88" spans="1:16">
      <c r="A88" s="278" t="str">
        <f t="shared" si="11"/>
        <v>AI.Value</v>
      </c>
      <c r="B88" s="279">
        <v>7998</v>
      </c>
      <c r="C88" s="279" t="s">
        <v>6</v>
      </c>
      <c r="D88" s="280">
        <v>1</v>
      </c>
    </row>
    <row r="89" spans="1:16">
      <c r="A89" s="278" t="str">
        <f t="shared" si="11"/>
        <v>AI.Value</v>
      </c>
      <c r="B89" s="279">
        <v>101</v>
      </c>
      <c r="C89" s="279" t="s">
        <v>0</v>
      </c>
      <c r="D89" s="280" t="str">
        <f>$Q$2&amp;", "&amp;$X$2</f>
        <v>Аналоговый сигнал (уставки и ремонт в INFINITY), C</v>
      </c>
    </row>
    <row r="90" spans="1:16">
      <c r="A90" s="278" t="str">
        <f t="shared" si="11"/>
        <v>AI.Value</v>
      </c>
      <c r="B90" s="279">
        <v>3</v>
      </c>
      <c r="C90" s="279" t="s">
        <v>1</v>
      </c>
      <c r="D90" s="280">
        <v>192</v>
      </c>
    </row>
    <row r="91" spans="1:16">
      <c r="A91" s="278" t="str">
        <f t="shared" si="11"/>
        <v>AI.Value</v>
      </c>
      <c r="B91" s="279">
        <v>2</v>
      </c>
      <c r="C91" s="64" t="str">
        <f>IF($AW$2="INT","vt_i2",IF($AW$2="DINT","vt_i4","vt_r4"))</f>
        <v>vt_r4</v>
      </c>
      <c r="D91" s="280">
        <v>0</v>
      </c>
      <c r="E91" s="4"/>
      <c r="F91" s="4"/>
      <c r="G91" s="4"/>
      <c r="H91" s="4"/>
      <c r="I91" s="4"/>
      <c r="J91" s="4"/>
      <c r="K91" s="4"/>
      <c r="L91" s="4"/>
      <c r="M91" s="4"/>
      <c r="N91" s="4"/>
      <c r="O91" s="4"/>
      <c r="P91" s="4"/>
    </row>
    <row r="92" spans="1:16">
      <c r="A92" s="278" t="str">
        <f t="shared" si="11"/>
        <v>AI.Value</v>
      </c>
      <c r="B92" s="279">
        <v>1</v>
      </c>
      <c r="C92" s="279" t="s">
        <v>1</v>
      </c>
      <c r="D92" s="65">
        <f>IF($AW$2="INT",2,IF($AW$2="DINT",3,4))</f>
        <v>4</v>
      </c>
      <c r="E92" s="4"/>
      <c r="F92" s="4"/>
      <c r="G92" s="4"/>
      <c r="H92" s="4"/>
      <c r="I92" s="4"/>
      <c r="J92" s="4"/>
      <c r="K92" s="4"/>
      <c r="L92" s="4"/>
      <c r="M92" s="4"/>
      <c r="N92" s="4"/>
      <c r="O92" s="4"/>
      <c r="P92" s="4"/>
    </row>
    <row r="93" spans="1:16">
      <c r="A93" s="278" t="str">
        <f t="shared" si="11"/>
        <v>AI.Value</v>
      </c>
      <c r="B93" s="279">
        <v>7011</v>
      </c>
      <c r="C93" s="279" t="s">
        <v>2</v>
      </c>
      <c r="D93" s="285" t="s">
        <v>266</v>
      </c>
    </row>
    <row r="94" spans="1:16">
      <c r="A94" s="281" t="str">
        <f t="shared" si="11"/>
        <v>AI.Value</v>
      </c>
      <c r="B94" s="282">
        <v>9002</v>
      </c>
      <c r="C94" s="282" t="s">
        <v>0</v>
      </c>
      <c r="D94" s="306">
        <v>2</v>
      </c>
    </row>
  </sheetData>
  <autoFilter ref="B1:B94" xr:uid="{00000000-0009-0000-0000-000020000000}"/>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Лист88">
    <tabColor rgb="FFFFC000"/>
  </sheetPr>
  <dimension ref="A1:BP157"/>
  <sheetViews>
    <sheetView topLeftCell="A7"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57"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t="s">
        <v>1744</v>
      </c>
      <c r="Q2" s="2" t="s">
        <v>1755</v>
      </c>
      <c r="R2" s="2" t="s">
        <v>1744</v>
      </c>
      <c r="S2" s="3">
        <v>1</v>
      </c>
      <c r="T2" s="3" t="s">
        <v>1698</v>
      </c>
      <c r="U2" s="3"/>
      <c r="V2" s="3" t="s">
        <v>569</v>
      </c>
      <c r="W2" s="12" t="s">
        <v>247</v>
      </c>
      <c r="X2" s="12" t="s">
        <v>248</v>
      </c>
      <c r="Y2" s="12"/>
      <c r="Z2" s="12"/>
      <c r="AA2" s="12"/>
      <c r="AB2" s="2"/>
      <c r="AC2" s="2"/>
      <c r="AD2" s="2"/>
      <c r="AE2" s="2" t="s">
        <v>1414</v>
      </c>
      <c r="AF2" s="2"/>
      <c r="AG2" s="2"/>
      <c r="AH2" s="2"/>
      <c r="AI2" s="2"/>
      <c r="AJ2" s="2"/>
      <c r="AK2" s="2"/>
      <c r="AL2" s="2"/>
      <c r="AM2" s="2"/>
      <c r="AN2" s="2"/>
      <c r="AO2" s="2"/>
      <c r="AP2" s="2"/>
      <c r="AQ2" s="2"/>
      <c r="AR2" s="2"/>
      <c r="AS2" s="2"/>
      <c r="AT2" s="2"/>
      <c r="AU2" s="2"/>
      <c r="AV2" s="2"/>
      <c r="AW2" s="2" t="s">
        <v>618</v>
      </c>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M4" s="4"/>
      <c r="BN4" s="4"/>
      <c r="BO4" s="4"/>
      <c r="BP4" s="4"/>
    </row>
    <row r="5" spans="1:68"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M5" s="4"/>
      <c r="BN5" s="4"/>
      <c r="BO5" s="4"/>
      <c r="BP5" s="4"/>
    </row>
    <row r="6" spans="1:68"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M6" s="4"/>
      <c r="BN6" s="4"/>
      <c r="BO6" s="4"/>
      <c r="BP6" s="4"/>
    </row>
    <row r="7" spans="1:68"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M7" s="4"/>
      <c r="BN7" s="4"/>
      <c r="BO7" s="4"/>
      <c r="BP7" s="4"/>
    </row>
    <row r="8" spans="1:68" ht="15" customHeight="1">
      <c r="A8" s="9"/>
      <c r="B8" s="9"/>
      <c r="C8" s="9"/>
      <c r="D8" s="9"/>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BM8" s="4"/>
      <c r="BN8" s="4"/>
      <c r="BO8" s="4"/>
      <c r="BP8" s="4"/>
    </row>
    <row r="9" spans="1:68" ht="15" customHeight="1">
      <c r="A9" s="9"/>
      <c r="B9" s="9"/>
      <c r="C9" s="9"/>
      <c r="D9" s="9"/>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BM9" s="4"/>
      <c r="BN9" s="4"/>
      <c r="BO9" s="4"/>
      <c r="BP9" s="4"/>
    </row>
    <row r="10" spans="1:68" ht="15" customHeight="1">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BM10" s="4"/>
      <c r="BN10" s="4"/>
      <c r="BO10" s="4"/>
      <c r="BP10" s="4"/>
    </row>
    <row r="11" spans="1:68" ht="15" customHeight="1">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BM11" s="4"/>
      <c r="BN11" s="4"/>
      <c r="BO11" s="4"/>
      <c r="BP11" s="4"/>
    </row>
    <row r="12" spans="1:68"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M17" s="4"/>
      <c r="BN17" s="4"/>
      <c r="BO17" s="4"/>
      <c r="BP17" s="4"/>
    </row>
    <row r="18" spans="1:68"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M18" s="4"/>
      <c r="BN18" s="4"/>
      <c r="BO18" s="4"/>
      <c r="BP18" s="4"/>
    </row>
    <row r="19" spans="1:68"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M19" s="4"/>
      <c r="BN19" s="4"/>
      <c r="BO19" s="4"/>
      <c r="BP19" s="4"/>
    </row>
    <row r="20" spans="1:68" ht="15" customHeight="1">
      <c r="A20" s="16" t="str">
        <f t="shared" ref="A20:A38" si="0">$R$2</f>
        <v>AI_SLIM</v>
      </c>
      <c r="B20" s="17">
        <v>11001</v>
      </c>
      <c r="C20" s="17" t="s">
        <v>0</v>
      </c>
      <c r="D20" s="18" t="str">
        <f>$Q$2&amp;". "</f>
        <v xml:space="preserve">Аналоговый сигнал облегченный (только один сигнал). </v>
      </c>
      <c r="E20" s="4"/>
      <c r="F20" s="4"/>
      <c r="BM20" s="4"/>
      <c r="BN20" s="4"/>
      <c r="BO20" s="4"/>
      <c r="BP20" s="4"/>
    </row>
    <row r="21" spans="1:68" ht="15" customHeight="1">
      <c r="A21" s="19" t="str">
        <f t="shared" si="0"/>
        <v>AI_SLIM</v>
      </c>
      <c r="B21" s="11">
        <v>11156</v>
      </c>
      <c r="C21" s="11" t="s">
        <v>0</v>
      </c>
      <c r="D21" s="20" t="str">
        <f>$V$2</f>
        <v>Тестовый экран</v>
      </c>
      <c r="E21" s="4"/>
      <c r="F21" s="4"/>
      <c r="BM21" s="4"/>
      <c r="BN21" s="4"/>
      <c r="BO21" s="4"/>
      <c r="BP21" s="4"/>
    </row>
    <row r="22" spans="1:68" ht="15" customHeight="1">
      <c r="A22" s="19" t="str">
        <f t="shared" si="0"/>
        <v>AI_SLIM</v>
      </c>
      <c r="B22" s="11">
        <v>100</v>
      </c>
      <c r="C22" s="11" t="s">
        <v>0</v>
      </c>
      <c r="D22" s="20" t="b">
        <f>$T$7</f>
        <v>0</v>
      </c>
      <c r="BM22" s="4"/>
      <c r="BN22" s="4"/>
      <c r="BO22" s="4"/>
      <c r="BP22" s="4"/>
    </row>
    <row r="23" spans="1:68">
      <c r="A23" s="16" t="str">
        <f t="shared" si="0"/>
        <v>AI_SLIM</v>
      </c>
      <c r="B23" s="17">
        <v>13</v>
      </c>
      <c r="C23" s="17" t="s">
        <v>2</v>
      </c>
      <c r="D23" s="18" t="s">
        <v>3</v>
      </c>
    </row>
    <row r="24" spans="1:68" ht="15" customHeight="1">
      <c r="A24" s="765" t="str">
        <f>$R$2</f>
        <v>AI_SLIM</v>
      </c>
      <c r="B24" s="11">
        <v>7011</v>
      </c>
      <c r="C24" s="11" t="s">
        <v>2</v>
      </c>
      <c r="D24" s="568" t="s">
        <v>266</v>
      </c>
      <c r="E24" s="4"/>
      <c r="F24" s="4"/>
      <c r="G24" s="4"/>
      <c r="H24" s="4"/>
      <c r="I24" s="4"/>
      <c r="J24" s="4"/>
      <c r="K24" s="4"/>
      <c r="L24" s="4"/>
      <c r="M24" s="4"/>
      <c r="N24" s="4"/>
      <c r="O24" s="4"/>
      <c r="P24" s="4"/>
    </row>
    <row r="25" spans="1:68" ht="15" customHeight="1">
      <c r="A25" s="19" t="str">
        <f t="shared" si="0"/>
        <v>AI_SLIM</v>
      </c>
      <c r="B25" s="11">
        <v>3000013</v>
      </c>
      <c r="C25" s="11" t="s">
        <v>0</v>
      </c>
      <c r="D25" s="20" t="str">
        <f>$AE$2</f>
        <v>Диагностика.CPU.NOT_LINK.noLink</v>
      </c>
      <c r="BF25" s="4"/>
      <c r="BG25" s="4"/>
      <c r="BH25" s="4"/>
      <c r="BI25" s="4"/>
    </row>
    <row r="26" spans="1:68" ht="15" customHeight="1">
      <c r="A26" s="19" t="str">
        <f t="shared" si="0"/>
        <v>AI_SLIM</v>
      </c>
      <c r="B26" s="11">
        <v>4000013</v>
      </c>
      <c r="C26" s="11" t="s">
        <v>0</v>
      </c>
      <c r="D26" s="20" t="s">
        <v>1773</v>
      </c>
      <c r="BF26" s="4"/>
      <c r="BG26" s="4"/>
      <c r="BH26" s="4"/>
      <c r="BI26" s="4"/>
    </row>
    <row r="27" spans="1:68" ht="15" customHeight="1">
      <c r="A27" s="21" t="str">
        <f t="shared" si="0"/>
        <v>AI_SLIM</v>
      </c>
      <c r="B27" s="8">
        <v>7000013</v>
      </c>
      <c r="C27" s="8" t="s">
        <v>6</v>
      </c>
      <c r="D27" s="22">
        <v>2</v>
      </c>
      <c r="BF27" s="4"/>
      <c r="BG27" s="4"/>
      <c r="BH27" s="4"/>
      <c r="BI27" s="4"/>
    </row>
    <row r="28" spans="1:68" ht="15" customHeight="1">
      <c r="A28" s="19" t="str">
        <f t="shared" si="0"/>
        <v>AI_SLIM</v>
      </c>
      <c r="B28" s="11">
        <v>11120</v>
      </c>
      <c r="C28" s="11" t="s">
        <v>0</v>
      </c>
      <c r="D28" s="20" t="str">
        <f>$X$2</f>
        <v>C</v>
      </c>
      <c r="BF28" s="4"/>
      <c r="BG28" s="4"/>
      <c r="BH28" s="4"/>
      <c r="BI28" s="4"/>
    </row>
    <row r="29" spans="1:68" ht="15" customHeight="1">
      <c r="A29" s="19" t="str">
        <f t="shared" si="0"/>
        <v>AI_SLIM</v>
      </c>
      <c r="B29" s="11">
        <v>11121</v>
      </c>
      <c r="C29" s="11" t="s">
        <v>0</v>
      </c>
      <c r="D29" s="20" t="str">
        <f>$W$2</f>
        <v>T</v>
      </c>
      <c r="BM29" s="4"/>
      <c r="BN29" s="4"/>
      <c r="BO29" s="4"/>
      <c r="BP29" s="4"/>
    </row>
    <row r="30" spans="1:68" ht="15" customHeight="1">
      <c r="A30" s="19" t="str">
        <f t="shared" si="0"/>
        <v>AI_SLIM</v>
      </c>
      <c r="B30" s="11">
        <v>11122</v>
      </c>
      <c r="C30" s="11" t="s">
        <v>0</v>
      </c>
      <c r="D30" s="20">
        <f>$AA$2</f>
        <v>0</v>
      </c>
      <c r="BM30" s="4"/>
      <c r="BN30" s="4"/>
      <c r="BO30" s="4"/>
      <c r="BP30" s="4"/>
    </row>
    <row r="31" spans="1:68" ht="15" customHeight="1">
      <c r="A31" s="19" t="str">
        <f t="shared" si="0"/>
        <v>AI_SLIM</v>
      </c>
      <c r="B31" s="11">
        <v>11123</v>
      </c>
      <c r="C31" s="11" t="s">
        <v>0</v>
      </c>
      <c r="D31" s="20">
        <f>$Z$2</f>
        <v>0</v>
      </c>
      <c r="BM31" s="4"/>
      <c r="BN31" s="4"/>
      <c r="BO31" s="4"/>
      <c r="BP31" s="4"/>
    </row>
    <row r="32" spans="1:68" ht="15" customHeight="1">
      <c r="A32" s="278" t="str">
        <f t="shared" si="0"/>
        <v>AI_SLIM</v>
      </c>
      <c r="B32" s="279">
        <v>7999</v>
      </c>
      <c r="C32" s="279" t="s">
        <v>0</v>
      </c>
      <c r="D32" s="280" t="str">
        <f>"#"&amp;$S$2&amp;"#"&amp;$T$2&amp;"\"&amp;$P$2</f>
        <v>#1#treiOPCDA.CoOPCserv.1\pcmaster\AI_SLIM</v>
      </c>
      <c r="BM32" s="4"/>
      <c r="BN32" s="4"/>
      <c r="BO32" s="4"/>
      <c r="BP32" s="4"/>
    </row>
    <row r="33" spans="1:68" ht="15" customHeight="1">
      <c r="A33" s="278" t="str">
        <f t="shared" si="0"/>
        <v>AI_SLIM</v>
      </c>
      <c r="B33" s="279">
        <v>7998</v>
      </c>
      <c r="C33" s="279" t="s">
        <v>6</v>
      </c>
      <c r="D33" s="280">
        <v>1</v>
      </c>
      <c r="BM33" s="4"/>
      <c r="BN33" s="4"/>
      <c r="BO33" s="4"/>
      <c r="BP33" s="4"/>
    </row>
    <row r="34" spans="1:68" ht="15" customHeight="1">
      <c r="A34" s="278" t="str">
        <f t="shared" si="0"/>
        <v>AI_SLIM</v>
      </c>
      <c r="B34" s="279">
        <v>101</v>
      </c>
      <c r="C34" s="279" t="s">
        <v>0</v>
      </c>
      <c r="D34" s="280" t="str">
        <f>$Q$2&amp;", "&amp;$X$2</f>
        <v>Аналоговый сигнал облегченный (только один сигнал), C</v>
      </c>
      <c r="BM34" s="4"/>
      <c r="BN34" s="4"/>
      <c r="BO34" s="4"/>
      <c r="BP34" s="4"/>
    </row>
    <row r="35" spans="1:68" ht="15" customHeight="1">
      <c r="A35" s="278" t="str">
        <f t="shared" si="0"/>
        <v>AI_SLIM</v>
      </c>
      <c r="B35" s="279">
        <v>3</v>
      </c>
      <c r="C35" s="279" t="s">
        <v>1</v>
      </c>
      <c r="D35" s="280">
        <v>192</v>
      </c>
      <c r="BM35" s="4"/>
      <c r="BN35" s="4"/>
      <c r="BO35" s="4"/>
      <c r="BP35" s="4"/>
    </row>
    <row r="36" spans="1:68" ht="15" customHeight="1">
      <c r="A36" s="278" t="str">
        <f t="shared" si="0"/>
        <v>AI_SLIM</v>
      </c>
      <c r="B36" s="279">
        <v>2</v>
      </c>
      <c r="C36" s="64" t="str">
        <f>IF($AW$2="INT","vt_i2",IF($AW$2="DINT","vt_i4","vt_r4"))</f>
        <v>vt_i2</v>
      </c>
      <c r="D36" s="280">
        <v>0</v>
      </c>
      <c r="BM36" s="4"/>
      <c r="BN36" s="4"/>
      <c r="BO36" s="4"/>
      <c r="BP36" s="4"/>
    </row>
    <row r="37" spans="1:68" ht="15" customHeight="1">
      <c r="A37" s="278" t="str">
        <f t="shared" si="0"/>
        <v>AI_SLIM</v>
      </c>
      <c r="B37" s="279">
        <v>1</v>
      </c>
      <c r="C37" s="279" t="s">
        <v>1</v>
      </c>
      <c r="D37" s="65">
        <f>IF($AW$2="INT",2,IF($AW$2="DINT",3,4))</f>
        <v>2</v>
      </c>
      <c r="BM37" s="4"/>
      <c r="BN37" s="4"/>
      <c r="BO37" s="4"/>
      <c r="BP37" s="4"/>
    </row>
    <row r="38" spans="1:68" ht="15" customHeight="1">
      <c r="A38" s="281" t="str">
        <f t="shared" si="0"/>
        <v>AI_SLIM</v>
      </c>
      <c r="B38" s="282">
        <v>9002</v>
      </c>
      <c r="C38" s="282" t="s">
        <v>0</v>
      </c>
      <c r="D38" s="306">
        <v>2</v>
      </c>
      <c r="BM38" s="4"/>
      <c r="BN38" s="4"/>
      <c r="BO38" s="4"/>
      <c r="BP38" s="4"/>
    </row>
    <row r="39" spans="1:68" ht="15" customHeight="1">
      <c r="BM39" s="4"/>
      <c r="BN39" s="4"/>
      <c r="BO39" s="4"/>
      <c r="BP39" s="4"/>
    </row>
    <row r="40" spans="1:68" ht="15" customHeight="1">
      <c r="BM40" s="4"/>
      <c r="BN40" s="4"/>
      <c r="BO40" s="4"/>
      <c r="BP40" s="4"/>
    </row>
    <row r="41" spans="1:68" ht="15" customHeight="1">
      <c r="BM41" s="4"/>
      <c r="BN41" s="4"/>
      <c r="BO41" s="4"/>
      <c r="BP41" s="4"/>
    </row>
    <row r="42" spans="1:68" ht="15" customHeight="1">
      <c r="BM42" s="4"/>
      <c r="BN42" s="4"/>
      <c r="BO42" s="4"/>
      <c r="BP42" s="4"/>
    </row>
    <row r="43" spans="1:68" ht="15" customHeight="1">
      <c r="BM43" s="4"/>
      <c r="BN43" s="4"/>
      <c r="BO43" s="4"/>
      <c r="BP43" s="4"/>
    </row>
    <row r="44" spans="1:68" ht="15" customHeight="1">
      <c r="BM44" s="4"/>
      <c r="BN44" s="4"/>
      <c r="BO44" s="4"/>
      <c r="BP44" s="4"/>
    </row>
    <row r="45" spans="1:68" ht="15" customHeight="1">
      <c r="BM45" s="4"/>
      <c r="BN45" s="4"/>
      <c r="BO45" s="4"/>
      <c r="BP45" s="4"/>
    </row>
    <row r="46" spans="1:68">
      <c r="Q46" s="4"/>
      <c r="R46" s="4"/>
      <c r="S46" s="4"/>
      <c r="T46" s="4"/>
      <c r="U46" s="4"/>
      <c r="V46" s="4"/>
    </row>
    <row r="47" spans="1:68">
      <c r="Q47" s="4"/>
      <c r="R47" s="4"/>
      <c r="S47" s="4"/>
      <c r="T47" s="4"/>
      <c r="U47" s="4"/>
      <c r="V47" s="4"/>
    </row>
    <row r="48" spans="1:68">
      <c r="Q48" s="4"/>
      <c r="R48" s="4"/>
      <c r="S48" s="4"/>
      <c r="T48" s="4"/>
      <c r="U48" s="4"/>
      <c r="V48" s="4"/>
    </row>
    <row r="49" spans="1:22">
      <c r="Q49" s="4"/>
      <c r="R49" s="4"/>
      <c r="S49" s="4"/>
      <c r="T49" s="4"/>
      <c r="U49" s="4"/>
      <c r="V49" s="4"/>
    </row>
    <row r="50" spans="1:22">
      <c r="Q50" s="4"/>
      <c r="R50" s="4"/>
      <c r="S50" s="4"/>
      <c r="T50" s="4"/>
      <c r="U50" s="4"/>
      <c r="V50" s="4"/>
    </row>
    <row r="51" spans="1:22" s="4" customFormat="1">
      <c r="A51"/>
      <c r="B51"/>
      <c r="C51"/>
      <c r="D51"/>
    </row>
    <row r="52" spans="1:22">
      <c r="Q52" s="4"/>
      <c r="R52" s="4"/>
      <c r="S52" s="4"/>
      <c r="T52" s="4"/>
      <c r="U52" s="4"/>
      <c r="V52" s="4"/>
    </row>
    <row r="53" spans="1:22">
      <c r="Q53" s="4"/>
      <c r="R53" s="4"/>
      <c r="S53" s="4"/>
      <c r="T53" s="4"/>
      <c r="U53" s="4"/>
      <c r="V53" s="4"/>
    </row>
    <row r="54" spans="1:22">
      <c r="Q54" s="4"/>
      <c r="R54" s="4"/>
      <c r="S54" s="4"/>
      <c r="T54" s="4"/>
      <c r="U54" s="4"/>
      <c r="V54" s="4"/>
    </row>
    <row r="55" spans="1:22">
      <c r="Q55" s="4"/>
      <c r="R55" s="4"/>
      <c r="S55" s="4"/>
      <c r="T55" s="4"/>
      <c r="U55" s="4"/>
      <c r="V55" s="4"/>
    </row>
    <row r="56" spans="1:22" s="4" customFormat="1">
      <c r="A56"/>
      <c r="B56"/>
      <c r="C56"/>
      <c r="D56"/>
    </row>
    <row r="61" spans="1:22" s="4" customFormat="1">
      <c r="A61"/>
      <c r="B61"/>
      <c r="C61"/>
      <c r="D61"/>
    </row>
    <row r="74" spans="1:4" s="4" customFormat="1">
      <c r="A74"/>
      <c r="B74"/>
      <c r="C74"/>
      <c r="D74"/>
    </row>
    <row r="79" spans="1:4" s="4" customFormat="1">
      <c r="A79"/>
      <c r="B79"/>
      <c r="C79"/>
      <c r="D79"/>
    </row>
    <row r="84" spans="1:4" s="4" customFormat="1">
      <c r="A84"/>
      <c r="B84"/>
      <c r="C84"/>
      <c r="D84"/>
    </row>
    <row r="89" spans="1:4" s="4" customFormat="1">
      <c r="A89"/>
      <c r="B89"/>
      <c r="C89"/>
      <c r="D89"/>
    </row>
    <row r="91" spans="1:4" ht="13.5" customHeight="1"/>
    <row r="92" spans="1:4" ht="13.5" customHeight="1"/>
    <row r="139" spans="1:4" s="1" customFormat="1">
      <c r="A139"/>
      <c r="B139"/>
      <c r="C139"/>
      <c r="D139"/>
    </row>
    <row r="150" spans="5:16">
      <c r="E150" s="4"/>
      <c r="F150" s="4"/>
      <c r="G150" s="4"/>
      <c r="H150" s="4"/>
      <c r="I150" s="4"/>
      <c r="J150" s="4"/>
      <c r="K150" s="4"/>
      <c r="L150" s="4"/>
      <c r="M150" s="4"/>
      <c r="N150" s="4"/>
      <c r="O150" s="4"/>
      <c r="P150" s="4"/>
    </row>
    <row r="151" spans="5:16">
      <c r="E151" s="4"/>
      <c r="F151" s="4"/>
      <c r="G151" s="4"/>
      <c r="H151" s="4"/>
      <c r="I151" s="4"/>
      <c r="J151" s="4"/>
      <c r="K151" s="4"/>
      <c r="L151" s="4"/>
      <c r="M151" s="4"/>
      <c r="N151" s="4"/>
      <c r="O151" s="4"/>
      <c r="P151" s="4"/>
    </row>
    <row r="152" spans="5:16">
      <c r="E152" s="4"/>
      <c r="F152" s="4"/>
      <c r="G152" s="4"/>
      <c r="H152" s="4"/>
      <c r="I152" s="4"/>
      <c r="J152" s="4"/>
      <c r="K152" s="4"/>
      <c r="L152" s="4"/>
      <c r="M152" s="4"/>
      <c r="N152" s="4"/>
      <c r="O152" s="4"/>
      <c r="P152" s="4"/>
    </row>
    <row r="153" spans="5:16">
      <c r="E153" s="4"/>
      <c r="F153" s="4"/>
      <c r="G153" s="4"/>
      <c r="H153" s="4"/>
      <c r="I153" s="4"/>
      <c r="J153" s="4"/>
      <c r="K153" s="4"/>
      <c r="L153" s="4"/>
      <c r="M153" s="4"/>
      <c r="N153" s="4"/>
      <c r="O153" s="4"/>
      <c r="P153" s="4"/>
    </row>
    <row r="154" spans="5:16">
      <c r="E154" s="4"/>
      <c r="F154" s="4"/>
      <c r="G154" s="4"/>
      <c r="H154" s="4"/>
      <c r="I154" s="4"/>
      <c r="J154" s="4"/>
      <c r="K154" s="4"/>
      <c r="L154" s="4"/>
      <c r="M154" s="4"/>
      <c r="N154" s="4"/>
      <c r="O154" s="4"/>
      <c r="P154" s="4"/>
    </row>
    <row r="155" spans="5:16">
      <c r="E155" s="4"/>
      <c r="F155" s="4"/>
      <c r="G155" s="4"/>
      <c r="H155" s="4"/>
      <c r="I155" s="4"/>
      <c r="J155" s="4"/>
      <c r="K155" s="4"/>
      <c r="L155" s="4"/>
      <c r="M155" s="4"/>
      <c r="N155" s="4"/>
      <c r="O155" s="4"/>
      <c r="P155" s="4"/>
    </row>
    <row r="156" spans="5:16">
      <c r="E156" s="4"/>
      <c r="F156" s="4"/>
      <c r="G156" s="4"/>
      <c r="H156" s="4"/>
      <c r="I156" s="4"/>
      <c r="J156" s="4"/>
      <c r="K156" s="4"/>
      <c r="L156" s="4"/>
      <c r="M156" s="4"/>
      <c r="N156" s="4"/>
      <c r="O156" s="4"/>
      <c r="P156" s="4"/>
    </row>
    <row r="157" spans="5:16">
      <c r="E157" s="4"/>
      <c r="F157" s="4"/>
      <c r="G157" s="4"/>
      <c r="H157" s="4"/>
      <c r="I157" s="4"/>
      <c r="J157" s="4"/>
      <c r="K157" s="4"/>
      <c r="L157" s="4"/>
      <c r="M157" s="4"/>
      <c r="N157" s="4"/>
      <c r="O157" s="4"/>
      <c r="P157"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Лист197">
    <tabColor rgb="FFFFC000"/>
  </sheetPr>
  <dimension ref="A1:BA191"/>
  <sheetViews>
    <sheetView topLeftCell="A4" zoomScale="85" zoomScaleNormal="85" workbookViewId="0">
      <selection activeCell="D2" sqref="D2:D4"/>
    </sheetView>
  </sheetViews>
  <sheetFormatPr defaultRowHeight="14.4"/>
  <cols>
    <col min="1" max="1" width="41" bestFit="1" customWidth="1"/>
    <col min="2" max="2" width="9.5546875" customWidth="1"/>
    <col min="4" max="4" width="63.88671875" customWidth="1"/>
    <col min="5" max="15" width="9.109375"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7.33203125" customWidth="1"/>
    <col min="56" max="56" width="10.33203125" customWidth="1"/>
    <col min="57" max="57" width="10" customWidth="1"/>
    <col min="59" max="59" width="7.109375" customWidth="1"/>
    <col min="60" max="60" width="10.88671875" customWidth="1"/>
    <col min="62" max="62" width="65.109375" customWidth="1"/>
  </cols>
  <sheetData>
    <row r="1" spans="1:53" s="258" customFormat="1" ht="204.6" thickBot="1">
      <c r="A1" s="257"/>
      <c r="B1" s="257" t="s">
        <v>84</v>
      </c>
      <c r="C1" s="257"/>
      <c r="D1" s="257"/>
      <c r="E1" s="257"/>
      <c r="F1" s="257"/>
      <c r="P1" s="704" t="str">
        <f>Таблица!D1</f>
        <v>Префикс для TREI
Тэг ОРС для INFINITY</v>
      </c>
      <c r="Q1" s="730" t="str">
        <f>Таблица!E1</f>
        <v>Комментарий для TREI и INFINITY</v>
      </c>
      <c r="R1" s="733" t="str">
        <f>Таблица!F1</f>
        <v>ТЭГ в дереве INFINITY Server</v>
      </c>
      <c r="S1" s="730"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732" t="str">
        <f>Таблица!H1</f>
        <v>OPC путь 
№ маршрута Modbus TCP, Modbus RTU, Modbus over TCP (1-255)
№ КП IEC104 (1-65534)</v>
      </c>
      <c r="U1" s="731" t="str">
        <f>Таблица!I1</f>
        <v>OPC путь</v>
      </c>
      <c r="V1" s="731" t="str">
        <f>Таблица!J1</f>
        <v>Мнемосхема</v>
      </c>
      <c r="W1" s="729"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729"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729" t="str">
        <f>Таблица!M1</f>
        <v>FB_IMt_MON_S, IMt_MON: Только для трансформатора. Цвет нижних обмоток(-ки) при наличии напряжения</v>
      </c>
      <c r="Z1" s="729"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729"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729" t="str">
        <f>Таблица!P1</f>
        <v xml:space="preserve">FB_DI_S, FB_DO_S, DI, DI_DIAG, FB_DO_STB_S: Тип сигнализации (Авария, предупреждение, телесигнализация и тд.)
FB_SHPS_S(SB), FB_BTF_S: Тип сигнализации XFRX
</v>
      </c>
      <c r="AC1" s="729"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729" t="str">
        <f>Таблица!R1</f>
        <v>SEPAM: Тип ячейки (OL,SV,VV,TN)
BMRZ: Тип ячейки (VV,AV)
TOR: Тип ячейки (OL,SV,VV,TN,BK)</v>
      </c>
      <c r="AE1" s="730" t="str">
        <f>Таблица!S1</f>
        <v>Формула для fNoLink.Device</v>
      </c>
      <c r="AF1" s="729">
        <f>Таблица!T1</f>
        <v>0</v>
      </c>
      <c r="AG1" s="729">
        <f>Таблица!U1</f>
        <v>0</v>
      </c>
      <c r="AH1" s="729">
        <f>Таблица!V1</f>
        <v>0</v>
      </c>
      <c r="AI1" s="729">
        <f>Таблица!W1</f>
        <v>0</v>
      </c>
      <c r="AJ1" s="729">
        <f>Таблица!X1</f>
        <v>0</v>
      </c>
      <c r="AK1" s="728" t="str">
        <f>Таблица!Y1</f>
        <v>FB_AI_S, FB_DI_S, FB_QSA_S, FB_DO_S, FB_SHPS_S, FB_SHOP_S, FB_BTF_S: IVXX
FB_KL_UPT_S: ISON
SW_S301, SW_MES3508: Подключение к порту 1
SW_MAYAK: Подключение к порту 1,2 (через "\")
DI_DIAG, DO_DIAG: XVLX</v>
      </c>
      <c r="AL1" s="728"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728"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728" t="str">
        <f>Таблица!AB1</f>
        <v>FB_IMstp_S, FB_IMsp_S, FB_IMs_S, FB_REG_S, FB_IM_ADES_S : ILCX
SW_S301: Подключение к порту 4
SW_MAYAK, SW_MES3508: Подключение к порту 7,8 (через "\")</v>
      </c>
      <c r="AO1" s="728" t="str">
        <f>Таблица!AC1</f>
        <v xml:space="preserve">FB_IMstp_S, FB_IMsp_S, FB_IMs_S, FB_IMp_S, FB_IMv_S, FB_REG_S, FB_IM_ADES_S, FB_DO_S : IRCX
SW_S301, SW_MES3508: Подключение к порту 5
SW_MAYAK: Подключение к порту 9,10 (через "\")
</v>
      </c>
      <c r="AP1" s="728"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728"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728" t="str">
        <f>Таблица!AF1</f>
        <v xml:space="preserve">FB_IMstp_S, FB_IMsp_S, FB_IMs_S, FB_IMp_S, FB_IMv_S, FB_IM_ADES_S, FB_OZK_KD_S, FB_DO_S: OXOF
SW_S301, SW_MES3508: Подключение к порту 8
SW_MAYAK: Подключение к порту 15,16 (через "\")
</v>
      </c>
      <c r="AS1" s="728" t="str">
        <f>Таблица!AG1</f>
        <v xml:space="preserve">FB_IM_ADES_S, FB_IMp_S, FB_IMv_S: OXSP
FB_IMstp_S, FB_IMsp_S, FB_IMsp_MON_S: IPTC
SW_S301, SW_MES3508: Подключение к порту 9
SW_MAYAK: Подключение к порту 17,18 (через "\")
</v>
      </c>
      <c r="AT1" s="728" t="str">
        <f>Таблица!AH1</f>
        <v xml:space="preserve">FB_IMstp_S, FB_IMst_MON_S, FB_IMt_MON_S: ITON
FB_IM_ADES_S: IOLD
SW_S301, SW_MES3508: Подключение к порту 10
SW_MAYAK: Подключение к порту 19,20 (через "\")
</v>
      </c>
      <c r="AU1" s="728" t="str">
        <f>Таблица!AI1</f>
        <v>FB_IMstp_S, FB_IMst_MON_S, FB_IMt_MON_S: ITOF
FB_IM_ADES_S: IRAD
SW_MAYAK: Подключение к порту 21,22 (через "\")</v>
      </c>
      <c r="AV1" s="728" t="str">
        <f>Таблица!AJ1</f>
        <v xml:space="preserve">FB_IMstp_S, FB_IMsp_S, FB_IMsp_MON_S, FB_IM_ADES_S: IPTO
SW_MAYAK: Подключение к порту 23,24 (через "\")
</v>
      </c>
      <c r="AW1" s="727"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727" t="str">
        <f>Таблица!AL1</f>
        <v>Для TREI
FB_IMstp_S, FB_IMs_S, FB_IMp_S, FB_IMv_S, FB_IM_ADES_S: Настройка перехода ручной-/автоматический-(TRUE/FALSE) 
FB_DI_S: Генерировать метки времени (TRUE/FALSE)</v>
      </c>
      <c r="AY1" s="727"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727" t="str">
        <f>Таблица!AN1</f>
        <v>Для TREI
FB_AI_S, FB_QSA_S: Верхний предел датчика
FB_IMp_S, FB_IMv_S, FB_IM_ADES_S, FB_OZK_KD_S: Время перестановки</v>
      </c>
      <c r="BA1" s="727"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row>
    <row r="2" spans="1:53" ht="15" customHeight="1">
      <c r="A2" s="10"/>
      <c r="B2" s="10"/>
      <c r="C2" s="10"/>
      <c r="D2" s="10"/>
      <c r="E2" s="10"/>
      <c r="F2" s="10"/>
      <c r="P2" s="2"/>
      <c r="Q2" s="2" t="s">
        <v>2702</v>
      </c>
      <c r="R2" s="2" t="s">
        <v>2331</v>
      </c>
      <c r="S2" s="3">
        <v>0</v>
      </c>
      <c r="T2" s="3" t="s">
        <v>2578</v>
      </c>
      <c r="U2" s="3"/>
      <c r="V2" s="3" t="s">
        <v>569</v>
      </c>
      <c r="W2" s="3"/>
      <c r="X2" s="3"/>
      <c r="Y2" s="3"/>
      <c r="Z2" s="3">
        <v>5</v>
      </c>
      <c r="AA2" s="3"/>
      <c r="AB2" s="2"/>
      <c r="AC2" s="2"/>
      <c r="AD2" s="2"/>
      <c r="AE2" s="2" t="s">
        <v>1414</v>
      </c>
      <c r="AF2" s="2"/>
      <c r="AG2" s="2"/>
      <c r="AH2" s="2"/>
      <c r="AI2" s="2"/>
      <c r="AJ2" s="2"/>
      <c r="AK2" s="2" t="s">
        <v>293</v>
      </c>
      <c r="AL2" s="2" t="s">
        <v>2569</v>
      </c>
      <c r="AM2" s="2" t="s">
        <v>2570</v>
      </c>
      <c r="AN2" s="2" t="s">
        <v>2571</v>
      </c>
      <c r="AO2" s="2" t="s">
        <v>2572</v>
      </c>
      <c r="AP2" s="2" t="s">
        <v>2573</v>
      </c>
      <c r="AQ2" s="2" t="s">
        <v>2574</v>
      </c>
      <c r="AR2" s="2" t="s">
        <v>2575</v>
      </c>
      <c r="AS2" s="2" t="s">
        <v>2576</v>
      </c>
      <c r="AT2" s="2" t="s">
        <v>2577</v>
      </c>
      <c r="AU2" s="2" t="s">
        <v>293</v>
      </c>
      <c r="AV2" s="2" t="s">
        <v>293</v>
      </c>
      <c r="AW2" s="2"/>
      <c r="AX2" s="2"/>
      <c r="AY2" s="2"/>
      <c r="AZ2" s="2"/>
      <c r="BA2" s="2"/>
    </row>
    <row r="3" spans="1:53" ht="15" customHeight="1">
      <c r="A3" s="10"/>
      <c r="B3" s="10"/>
      <c r="C3" s="10"/>
      <c r="D3" s="10"/>
      <c r="E3" s="10"/>
      <c r="F3" s="10"/>
      <c r="P3" s="10"/>
      <c r="Q3" s="10"/>
      <c r="R3" s="10"/>
      <c r="S3" s="10"/>
      <c r="T3" s="10"/>
      <c r="U3" s="10"/>
      <c r="V3" s="10"/>
      <c r="W3" s="10"/>
      <c r="X3" s="10"/>
      <c r="Y3" s="10"/>
      <c r="Z3" s="10"/>
      <c r="AA3" s="10"/>
    </row>
    <row r="4" spans="1:53" ht="15" customHeight="1">
      <c r="A4" s="10"/>
      <c r="B4" s="10"/>
      <c r="C4" s="10"/>
      <c r="D4" s="10"/>
      <c r="E4" s="10"/>
      <c r="F4" s="10"/>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row>
    <row r="5" spans="1:53" ht="15" customHeight="1">
      <c r="A5" s="10"/>
      <c r="B5" s="10"/>
      <c r="C5" s="10"/>
      <c r="D5" s="10"/>
      <c r="E5" s="10"/>
      <c r="F5" s="10"/>
      <c r="P5" s="703" t="str">
        <f>Настройки!A2</f>
        <v>Авария</v>
      </c>
      <c r="Q5" s="518">
        <f>Настройки!B2</f>
        <v>4</v>
      </c>
      <c r="R5" s="708" t="str">
        <f>Настройки!C2</f>
        <v>Авария</v>
      </c>
      <c r="S5" s="10"/>
      <c r="T5" s="456">
        <f>Настройки!M12</f>
        <v>1</v>
      </c>
      <c r="U5" s="10"/>
      <c r="V5" s="10"/>
      <c r="W5" s="10"/>
      <c r="X5" s="10"/>
      <c r="Y5" s="10"/>
      <c r="Z5" s="10"/>
      <c r="AA5" s="10"/>
    </row>
    <row r="6" spans="1:53" ht="15" customHeight="1">
      <c r="A6" s="10"/>
      <c r="B6" s="10"/>
      <c r="C6" s="10"/>
      <c r="D6" s="10"/>
      <c r="E6" s="10"/>
      <c r="F6" s="10"/>
      <c r="P6" s="703" t="str">
        <f>Настройки!A3</f>
        <v>Предупреждение</v>
      </c>
      <c r="Q6" s="518">
        <f>Настройки!B3</f>
        <v>8</v>
      </c>
      <c r="R6" s="708" t="str">
        <f>Настройки!C3</f>
        <v>Предупреждение</v>
      </c>
      <c r="S6" s="10"/>
      <c r="T6" s="608" t="str">
        <f>Настройки!M7</f>
        <v>Отображение Таблицы подлючений в диаг.</v>
      </c>
      <c r="U6" s="10"/>
      <c r="V6" s="10"/>
      <c r="W6" s="10"/>
      <c r="X6" s="10"/>
      <c r="Y6" s="10"/>
      <c r="Z6" s="10"/>
      <c r="AA6" s="10"/>
    </row>
    <row r="7" spans="1:53" ht="15" customHeight="1">
      <c r="A7" s="10"/>
      <c r="B7" s="10"/>
      <c r="C7" s="10"/>
      <c r="D7" s="10"/>
      <c r="E7" s="10"/>
      <c r="F7" s="10"/>
      <c r="P7" s="703" t="str">
        <f>Настройки!A4</f>
        <v>Неисправность</v>
      </c>
      <c r="Q7" s="518">
        <f>Настройки!B4</f>
        <v>12</v>
      </c>
      <c r="R7" s="708" t="str">
        <f>Настройки!C4</f>
        <v>Неисправность</v>
      </c>
      <c r="S7" s="10"/>
      <c r="T7" s="714" t="b">
        <f>Настройки!M8</f>
        <v>0</v>
      </c>
      <c r="U7" s="10"/>
      <c r="V7" s="10"/>
      <c r="W7" s="10"/>
      <c r="X7" s="10"/>
      <c r="Y7" s="10"/>
      <c r="Z7" s="10"/>
      <c r="AA7" s="10"/>
    </row>
    <row r="8" spans="1:53" ht="15" customHeight="1">
      <c r="A8" s="10"/>
      <c r="B8" s="10"/>
      <c r="C8" s="10"/>
      <c r="D8" s="10"/>
      <c r="E8" s="10"/>
      <c r="F8" s="10"/>
      <c r="P8" s="703" t="str">
        <f>Настройки!A5</f>
        <v>Телесигнализация</v>
      </c>
      <c r="Q8" s="518">
        <f>Настройки!B5</f>
        <v>18</v>
      </c>
      <c r="R8" s="708" t="str">
        <f>Настройки!C5</f>
        <v>Телесигнализация</v>
      </c>
      <c r="S8" s="10"/>
      <c r="T8" s="10"/>
      <c r="U8" s="10"/>
      <c r="V8" s="10"/>
      <c r="W8" s="10"/>
      <c r="X8" s="10"/>
      <c r="Y8" s="10"/>
      <c r="Z8" s="10"/>
      <c r="AA8" s="10"/>
    </row>
    <row r="9" spans="1:53" ht="15" customHeight="1">
      <c r="A9" s="10"/>
      <c r="B9" s="10"/>
      <c r="C9" s="10"/>
      <c r="D9" s="10"/>
      <c r="E9" s="10"/>
      <c r="F9" s="10"/>
      <c r="P9" s="703" t="str">
        <f>Настройки!A6</f>
        <v>Недостоверность</v>
      </c>
      <c r="Q9" s="518">
        <f>Настройки!B6</f>
        <v>10</v>
      </c>
      <c r="R9" s="708" t="str">
        <f>Настройки!C6</f>
        <v>Недостоверность</v>
      </c>
      <c r="S9" s="10"/>
      <c r="T9" s="10"/>
      <c r="U9" s="10"/>
      <c r="V9" s="10"/>
      <c r="W9" s="10"/>
      <c r="X9" s="10"/>
      <c r="Y9" s="10"/>
      <c r="Z9" s="10"/>
      <c r="AA9" s="10"/>
    </row>
    <row r="10" spans="1:53" ht="15" customHeight="1">
      <c r="A10" s="10"/>
      <c r="B10" s="10"/>
      <c r="C10" s="10"/>
      <c r="D10" s="10"/>
      <c r="E10" s="10"/>
      <c r="F10" s="10"/>
      <c r="P10" s="703" t="str">
        <f>Настройки!A7</f>
        <v>Имитация</v>
      </c>
      <c r="Q10" s="518">
        <f>Настройки!B7</f>
        <v>16</v>
      </c>
      <c r="R10" s="708" t="str">
        <f>Настройки!C7</f>
        <v>Имитация</v>
      </c>
      <c r="S10" s="10"/>
      <c r="T10" s="10"/>
      <c r="U10" s="10"/>
      <c r="V10" s="10"/>
      <c r="W10" s="10"/>
      <c r="X10" s="10"/>
      <c r="Y10" s="10"/>
      <c r="Z10" s="10"/>
      <c r="AA10" s="10"/>
    </row>
    <row r="11" spans="1:53" ht="15" customHeight="1">
      <c r="A11" s="10"/>
      <c r="B11" s="10"/>
      <c r="C11" s="10"/>
      <c r="D11" s="10"/>
      <c r="E11" s="10"/>
      <c r="F11" s="10"/>
      <c r="P11" s="703" t="str">
        <f>Настройки!A8</f>
        <v>Ремонт</v>
      </c>
      <c r="Q11" s="518">
        <f>Настройки!B8</f>
        <v>14</v>
      </c>
      <c r="R11" s="708" t="str">
        <f>Настройки!C8</f>
        <v>Ремонт</v>
      </c>
      <c r="S11" s="10"/>
      <c r="T11" s="10"/>
      <c r="U11" s="10"/>
      <c r="V11" s="10"/>
      <c r="W11" s="10"/>
      <c r="X11" s="10"/>
      <c r="Y11" s="10"/>
      <c r="Z11" s="10"/>
      <c r="AA11" s="10"/>
    </row>
    <row r="12" spans="1:53" ht="15" customHeight="1">
      <c r="A12" s="10"/>
      <c r="B12" s="10"/>
      <c r="C12" s="10"/>
      <c r="D12" s="10"/>
      <c r="E12" s="10"/>
      <c r="F12" s="10"/>
      <c r="P12" s="703" t="str">
        <f>Настройки!A9</f>
        <v>Команда оператора</v>
      </c>
      <c r="Q12" s="518">
        <f>Настройки!B9</f>
        <v>20</v>
      </c>
      <c r="R12" s="708" t="str">
        <f>Настройки!C9</f>
        <v>Команда оператора</v>
      </c>
      <c r="S12" s="10"/>
      <c r="T12" s="10"/>
      <c r="U12" s="10"/>
      <c r="V12" s="10"/>
      <c r="W12" s="10"/>
      <c r="X12" s="10"/>
      <c r="Y12" s="10"/>
      <c r="Z12" s="10"/>
      <c r="AA12" s="10"/>
    </row>
    <row r="13" spans="1:53" ht="15" customHeight="1">
      <c r="A13" s="10"/>
      <c r="B13" s="10"/>
      <c r="C13" s="10"/>
      <c r="D13" s="10"/>
      <c r="E13" s="10"/>
      <c r="F13" s="10"/>
      <c r="P13" s="703" t="str">
        <f>Настройки!A10</f>
        <v>Тревога</v>
      </c>
      <c r="Q13" s="518">
        <f>Настройки!B10</f>
        <v>5</v>
      </c>
      <c r="R13" s="518" t="str">
        <f>Настройки!C10</f>
        <v>Тревога</v>
      </c>
      <c r="S13" s="10"/>
      <c r="T13" s="10"/>
      <c r="U13" s="10"/>
      <c r="V13" s="10"/>
      <c r="W13" s="10"/>
      <c r="X13" s="10"/>
      <c r="Y13" s="10"/>
      <c r="Z13" s="10"/>
      <c r="AA13" s="10"/>
    </row>
    <row r="14" spans="1:53" ht="15" customHeight="1">
      <c r="A14" s="10"/>
      <c r="B14" s="10"/>
      <c r="C14" s="10"/>
      <c r="D14" s="10"/>
      <c r="E14" s="10"/>
      <c r="F14" s="10"/>
      <c r="P14" s="703" t="str">
        <f>Настройки!A11</f>
        <v>Тушение</v>
      </c>
      <c r="Q14" s="518">
        <f>Настройки!B11</f>
        <v>1</v>
      </c>
      <c r="R14" s="518" t="str">
        <f>Настройки!C11</f>
        <v>Тушение</v>
      </c>
      <c r="S14" s="10"/>
      <c r="T14" s="10"/>
      <c r="U14" s="10"/>
      <c r="V14" s="10"/>
      <c r="W14" s="10"/>
      <c r="X14" s="10"/>
      <c r="Y14" s="10"/>
      <c r="Z14" s="10"/>
      <c r="AA14" s="10"/>
    </row>
    <row r="15" spans="1:53" ht="15" customHeight="1">
      <c r="A15" s="10"/>
      <c r="B15" s="10"/>
      <c r="C15" s="10"/>
      <c r="D15" s="10"/>
      <c r="E15" s="10"/>
      <c r="F15" s="10"/>
      <c r="P15" s="703" t="str">
        <f>Настройки!A12</f>
        <v>Пожар</v>
      </c>
      <c r="Q15" s="518">
        <f>Настройки!B12</f>
        <v>2</v>
      </c>
      <c r="R15" s="518" t="str">
        <f>Настройки!C12</f>
        <v>Пожар</v>
      </c>
      <c r="S15" s="10"/>
      <c r="T15" s="10"/>
      <c r="U15" s="10"/>
      <c r="V15" s="10"/>
      <c r="W15" s="10"/>
      <c r="X15" s="10"/>
      <c r="Y15" s="10"/>
      <c r="Z15" s="10"/>
      <c r="AA15" s="10"/>
    </row>
    <row r="16" spans="1:53" ht="15" customHeight="1">
      <c r="A16" s="10"/>
      <c r="B16" s="10"/>
      <c r="C16" s="10"/>
      <c r="D16" s="10"/>
      <c r="E16" s="10"/>
      <c r="F16" s="10"/>
      <c r="P16" s="703" t="str">
        <f>Настройки!A13</f>
        <v>Порог 2</v>
      </c>
      <c r="Q16" s="518">
        <f>Настройки!B13</f>
        <v>3</v>
      </c>
      <c r="R16" s="518" t="str">
        <f>Настройки!C13</f>
        <v>Порог 2</v>
      </c>
      <c r="S16" s="10"/>
      <c r="T16" s="10"/>
      <c r="U16" s="10"/>
      <c r="V16" s="10"/>
      <c r="W16" s="10"/>
      <c r="X16" s="10"/>
      <c r="Y16" s="10"/>
      <c r="Z16" s="10"/>
      <c r="AA16" s="10"/>
    </row>
    <row r="17" spans="1:27" ht="15" customHeight="1">
      <c r="A17" s="10"/>
      <c r="B17" s="10"/>
      <c r="C17" s="10"/>
      <c r="D17" s="10"/>
      <c r="E17" s="10"/>
      <c r="F17" s="10"/>
      <c r="P17" s="703" t="str">
        <f>Настройки!A14</f>
        <v>Порог 1</v>
      </c>
      <c r="Q17" s="518">
        <f>Настройки!B14</f>
        <v>6</v>
      </c>
      <c r="R17" s="518" t="str">
        <f>Настройки!C14</f>
        <v>Порог 1</v>
      </c>
      <c r="S17" s="10"/>
      <c r="T17" s="10"/>
      <c r="U17" s="10"/>
      <c r="V17" s="10"/>
      <c r="W17" s="10"/>
      <c r="X17" s="10"/>
      <c r="Y17" s="10"/>
      <c r="Z17" s="10"/>
      <c r="AA17" s="10"/>
    </row>
    <row r="18" spans="1:27" ht="15" customHeight="1">
      <c r="A18" s="10"/>
      <c r="B18" s="10"/>
      <c r="C18" s="10"/>
      <c r="D18" s="10"/>
      <c r="E18" s="10"/>
      <c r="F18" s="10"/>
      <c r="P18" s="703" t="str">
        <f>Настройки!A15</f>
        <v>Отключение</v>
      </c>
      <c r="Q18" s="518">
        <f>Настройки!B15</f>
        <v>13</v>
      </c>
      <c r="R18" s="518" t="str">
        <f>Настройки!C15</f>
        <v>Отключение</v>
      </c>
      <c r="S18" s="10"/>
      <c r="T18" s="10"/>
      <c r="U18" s="10"/>
      <c r="V18" s="10"/>
      <c r="W18" s="10"/>
      <c r="X18" s="10"/>
      <c r="Y18" s="10"/>
      <c r="Z18" s="10"/>
      <c r="AA18" s="10"/>
    </row>
    <row r="19" spans="1:27" ht="15" customHeight="1">
      <c r="A19" s="10"/>
      <c r="B19" s="10"/>
      <c r="C19" s="10"/>
      <c r="D19" s="10"/>
      <c r="E19" s="10"/>
      <c r="F19" s="10"/>
      <c r="P19" s="703" t="str">
        <f>Настройки!A16</f>
        <v>Информация</v>
      </c>
      <c r="Q19" s="518">
        <f>Настройки!B16</f>
        <v>22</v>
      </c>
      <c r="R19" s="518" t="str">
        <f>Настройки!C16</f>
        <v>Информация</v>
      </c>
      <c r="S19" s="10"/>
      <c r="T19" s="10"/>
      <c r="U19" s="10"/>
      <c r="V19" s="10"/>
      <c r="W19" s="10"/>
      <c r="X19" s="10"/>
      <c r="Y19" s="10"/>
      <c r="Z19" s="10"/>
      <c r="AA19" s="10"/>
    </row>
    <row r="20" spans="1:27" ht="15" customHeight="1">
      <c r="A20" s="23" t="str">
        <f t="shared" ref="A20:A36" si="0">$R$2</f>
        <v>IMp</v>
      </c>
      <c r="B20" s="24">
        <v>11001</v>
      </c>
      <c r="C20" s="24" t="s">
        <v>0</v>
      </c>
      <c r="D20" s="25" t="str">
        <f>$Q$2&amp;". "</f>
        <v xml:space="preserve">Насос (шаблон Modbus TCP/IP). </v>
      </c>
    </row>
    <row r="21" spans="1:27" ht="15" customHeight="1">
      <c r="A21" s="29" t="str">
        <f t="shared" si="0"/>
        <v>IMp</v>
      </c>
      <c r="B21">
        <v>11156</v>
      </c>
      <c r="C21" t="s">
        <v>0</v>
      </c>
      <c r="D21" s="30" t="str">
        <f>$V$2</f>
        <v>Тестовый экран</v>
      </c>
    </row>
    <row r="22" spans="1:27" ht="15" customHeight="1">
      <c r="A22" s="29" t="str">
        <f t="shared" si="0"/>
        <v>IMp</v>
      </c>
      <c r="B22">
        <v>1</v>
      </c>
      <c r="C22" t="s">
        <v>1</v>
      </c>
      <c r="D22" s="30">
        <v>17</v>
      </c>
    </row>
    <row r="23" spans="1:27">
      <c r="A23" s="29" t="str">
        <f>$R$2</f>
        <v>IMp</v>
      </c>
      <c r="B23" s="1">
        <v>7011</v>
      </c>
      <c r="C23" s="1" t="s">
        <v>2</v>
      </c>
      <c r="D23" s="30" t="s">
        <v>266</v>
      </c>
    </row>
    <row r="24" spans="1:27" ht="15" customHeight="1">
      <c r="A24" s="23" t="str">
        <f t="shared" si="0"/>
        <v>IMp</v>
      </c>
      <c r="B24" s="24">
        <v>13</v>
      </c>
      <c r="C24" s="24" t="s">
        <v>2</v>
      </c>
      <c r="D24" s="25" t="s">
        <v>3</v>
      </c>
      <c r="Q24" s="778" t="s">
        <v>2592</v>
      </c>
    </row>
    <row r="25" spans="1:27" ht="15" customHeight="1">
      <c r="A25" s="29" t="str">
        <f t="shared" si="0"/>
        <v>IMp</v>
      </c>
      <c r="B25">
        <v>3000013</v>
      </c>
      <c r="C25" t="s">
        <v>0</v>
      </c>
      <c r="D25" s="30" t="str">
        <f>$AE$2</f>
        <v>Диагностика.CPU.NOT_LINK.noLink</v>
      </c>
      <c r="Q25" s="780"/>
    </row>
    <row r="26" spans="1:27" ht="15" customHeight="1">
      <c r="A26" s="29" t="str">
        <f t="shared" si="0"/>
        <v>IMp</v>
      </c>
      <c r="B26">
        <v>4000013</v>
      </c>
      <c r="C26" t="s">
        <v>0</v>
      </c>
      <c r="D26" s="30" t="s">
        <v>1775</v>
      </c>
      <c r="Q26" s="780"/>
    </row>
    <row r="27" spans="1:27" ht="15" customHeight="1">
      <c r="A27" s="26" t="str">
        <f t="shared" si="0"/>
        <v>IMp</v>
      </c>
      <c r="B27" s="27">
        <v>7000013</v>
      </c>
      <c r="C27" s="27" t="s">
        <v>6</v>
      </c>
      <c r="D27" s="28">
        <v>2</v>
      </c>
      <c r="Q27" s="779"/>
    </row>
    <row r="28" spans="1:27" ht="15" customHeight="1">
      <c r="A28" s="29" t="str">
        <f t="shared" si="0"/>
        <v>IMp</v>
      </c>
      <c r="B28">
        <v>9207</v>
      </c>
      <c r="C28" t="s">
        <v>2</v>
      </c>
      <c r="D28" s="30" t="s">
        <v>3</v>
      </c>
      <c r="Q28" s="778" t="s">
        <v>139</v>
      </c>
    </row>
    <row r="29" spans="1:27">
      <c r="A29" s="27" t="str">
        <f t="shared" si="0"/>
        <v>IMp</v>
      </c>
      <c r="B29" s="27">
        <v>3009207</v>
      </c>
      <c r="C29" s="27" t="s">
        <v>0</v>
      </c>
      <c r="D29" s="28" t="s">
        <v>2596</v>
      </c>
      <c r="Q29" s="779"/>
    </row>
    <row r="30" spans="1:27">
      <c r="A30" s="266" t="str">
        <f t="shared" si="0"/>
        <v>IMp</v>
      </c>
      <c r="B30" s="267">
        <v>9201</v>
      </c>
      <c r="C30" s="267" t="s">
        <v>2583</v>
      </c>
      <c r="D30" s="268">
        <v>0</v>
      </c>
      <c r="Q30" s="778" t="s">
        <v>2590</v>
      </c>
    </row>
    <row r="31" spans="1:27" ht="15" customHeight="1">
      <c r="A31" s="269" t="str">
        <f t="shared" si="0"/>
        <v>IMp</v>
      </c>
      <c r="B31" s="700">
        <v>4009201</v>
      </c>
      <c r="C31" s="700" t="s">
        <v>0</v>
      </c>
      <c r="D31" s="271" t="s">
        <v>2589</v>
      </c>
      <c r="Q31" s="780"/>
    </row>
    <row r="32" spans="1:27" ht="15" customHeight="1">
      <c r="A32" s="272" t="str">
        <f t="shared" si="0"/>
        <v>IMp</v>
      </c>
      <c r="B32" s="273">
        <v>7009201</v>
      </c>
      <c r="C32" s="273" t="s">
        <v>6</v>
      </c>
      <c r="D32" s="274">
        <v>1</v>
      </c>
      <c r="Q32" s="779"/>
    </row>
    <row r="33" spans="1:18" ht="15" customHeight="1">
      <c r="A33" s="269" t="str">
        <f t="shared" si="0"/>
        <v>IMp</v>
      </c>
      <c r="B33" s="700">
        <v>9202</v>
      </c>
      <c r="C33" s="700" t="s">
        <v>2583</v>
      </c>
      <c r="D33" s="271">
        <v>0</v>
      </c>
      <c r="Q33" s="778" t="s">
        <v>2588</v>
      </c>
    </row>
    <row r="34" spans="1:18">
      <c r="A34" s="269" t="str">
        <f t="shared" si="0"/>
        <v>IMp</v>
      </c>
      <c r="B34" s="700">
        <v>4009202</v>
      </c>
      <c r="C34" s="700" t="s">
        <v>0</v>
      </c>
      <c r="D34" s="271" t="s">
        <v>2587</v>
      </c>
      <c r="Q34" s="780"/>
    </row>
    <row r="35" spans="1:18">
      <c r="A35" s="269" t="str">
        <f t="shared" si="0"/>
        <v>IMp</v>
      </c>
      <c r="B35" s="700">
        <v>7009202</v>
      </c>
      <c r="C35" s="700" t="s">
        <v>6</v>
      </c>
      <c r="D35" s="271">
        <v>1</v>
      </c>
      <c r="Q35" s="779"/>
    </row>
    <row r="36" spans="1:18" ht="15" customHeight="1">
      <c r="A36" s="712" t="str">
        <f t="shared" si="0"/>
        <v>IMp</v>
      </c>
      <c r="B36" s="711">
        <v>9203</v>
      </c>
      <c r="C36" s="711" t="s">
        <v>6</v>
      </c>
      <c r="D36" s="710">
        <v>0</v>
      </c>
      <c r="Q36" s="537" t="s">
        <v>2586</v>
      </c>
    </row>
    <row r="37" spans="1:18" ht="15" customHeight="1">
      <c r="A37" t="str">
        <f t="shared" ref="A37:A46" si="1">$R$2&amp;".Commands"</f>
        <v>IMp.Commands</v>
      </c>
      <c r="B37">
        <v>1</v>
      </c>
      <c r="C37" t="s">
        <v>1</v>
      </c>
      <c r="D37" s="30">
        <v>17</v>
      </c>
    </row>
    <row r="38" spans="1:18">
      <c r="A38" s="29" t="str">
        <f>$R$2&amp;".Commands"</f>
        <v>IMp.Commands</v>
      </c>
      <c r="B38" s="1">
        <v>7011</v>
      </c>
      <c r="C38" s="1" t="s">
        <v>2</v>
      </c>
      <c r="D38" s="30" t="s">
        <v>266</v>
      </c>
    </row>
    <row r="39" spans="1:18">
      <c r="A39" s="23" t="str">
        <f t="shared" si="1"/>
        <v>IMp.Commands</v>
      </c>
      <c r="B39" s="24">
        <v>9208</v>
      </c>
      <c r="C39" s="24" t="s">
        <v>2</v>
      </c>
      <c r="D39" s="25" t="s">
        <v>175</v>
      </c>
      <c r="Q39" s="778" t="s">
        <v>114</v>
      </c>
    </row>
    <row r="40" spans="1:18">
      <c r="A40" s="29" t="str">
        <f t="shared" si="1"/>
        <v>IMp.Commands</v>
      </c>
      <c r="B40">
        <v>4009208</v>
      </c>
      <c r="C40" t="s">
        <v>0</v>
      </c>
      <c r="D40" s="415" t="s">
        <v>2585</v>
      </c>
      <c r="Q40" s="780"/>
    </row>
    <row r="41" spans="1:18">
      <c r="A41" s="29" t="str">
        <f t="shared" si="1"/>
        <v>IMp.Commands</v>
      </c>
      <c r="B41">
        <v>7009208</v>
      </c>
      <c r="C41" t="s">
        <v>6</v>
      </c>
      <c r="D41" s="30">
        <v>1</v>
      </c>
      <c r="Q41" s="779"/>
    </row>
    <row r="42" spans="1:18">
      <c r="A42" s="23" t="str">
        <f t="shared" si="1"/>
        <v>IMp.Commands</v>
      </c>
      <c r="B42" s="24">
        <v>9209</v>
      </c>
      <c r="C42" s="24" t="s">
        <v>2</v>
      </c>
      <c r="D42" s="25" t="s">
        <v>175</v>
      </c>
      <c r="Q42" s="778" t="s">
        <v>116</v>
      </c>
    </row>
    <row r="43" spans="1:18" ht="16.5" customHeight="1">
      <c r="A43" s="29" t="str">
        <f t="shared" si="1"/>
        <v>IMp.Commands</v>
      </c>
      <c r="B43">
        <v>4009209</v>
      </c>
      <c r="C43" t="s">
        <v>0</v>
      </c>
      <c r="D43" s="713" t="s">
        <v>2584</v>
      </c>
      <c r="Q43" s="780"/>
      <c r="R43" s="713"/>
    </row>
    <row r="44" spans="1:18">
      <c r="A44" s="29" t="str">
        <f t="shared" si="1"/>
        <v>IMp.Commands</v>
      </c>
      <c r="B44">
        <v>7009209</v>
      </c>
      <c r="C44" t="s">
        <v>6</v>
      </c>
      <c r="D44" s="30">
        <v>1</v>
      </c>
      <c r="Q44" s="779"/>
    </row>
    <row r="45" spans="1:18">
      <c r="A45" s="712" t="str">
        <f t="shared" si="1"/>
        <v>IMp.Commands</v>
      </c>
      <c r="B45" s="711">
        <v>9210</v>
      </c>
      <c r="C45" s="711" t="s">
        <v>6</v>
      </c>
      <c r="D45" s="710">
        <v>0</v>
      </c>
      <c r="Q45" s="537" t="s">
        <v>192</v>
      </c>
    </row>
    <row r="46" spans="1:18" ht="15" customHeight="1">
      <c r="A46" s="269" t="str">
        <f t="shared" si="1"/>
        <v>IMp.Commands</v>
      </c>
      <c r="B46" s="700">
        <v>9213</v>
      </c>
      <c r="C46" s="700" t="s">
        <v>2583</v>
      </c>
      <c r="D46" s="271">
        <f>$Z$2</f>
        <v>5</v>
      </c>
      <c r="Q46" s="537" t="s">
        <v>128</v>
      </c>
    </row>
    <row r="47" spans="1:18" ht="15" customHeight="1">
      <c r="A47" s="69" t="str">
        <f t="shared" ref="A47:A57" si="2">$R$2&amp;".wLoc"</f>
        <v>IMp.wLoc</v>
      </c>
      <c r="B47" s="70">
        <v>11154</v>
      </c>
      <c r="C47" s="70" t="s">
        <v>4</v>
      </c>
      <c r="D47" s="144">
        <f>$Q$6</f>
        <v>8</v>
      </c>
    </row>
    <row r="48" spans="1:18" ht="15" customHeight="1">
      <c r="A48" s="63" t="str">
        <f t="shared" si="2"/>
        <v>IMp.wLoc</v>
      </c>
      <c r="B48" s="52">
        <v>11150</v>
      </c>
      <c r="C48" s="52" t="s">
        <v>0</v>
      </c>
      <c r="D48" s="65" t="s">
        <v>188</v>
      </c>
    </row>
    <row r="49" spans="1:4" ht="15" customHeight="1">
      <c r="A49" s="63" t="str">
        <f t="shared" si="2"/>
        <v>IMp.wLoc</v>
      </c>
      <c r="B49" s="52">
        <v>11152</v>
      </c>
      <c r="C49" s="52" t="s">
        <v>0</v>
      </c>
      <c r="D49" s="65" t="str">
        <f>$R$6</f>
        <v>Предупреждение</v>
      </c>
    </row>
    <row r="50" spans="1:4" ht="15" customHeight="1">
      <c r="A50" s="63" t="str">
        <f t="shared" si="2"/>
        <v>IMp.wLoc</v>
      </c>
      <c r="B50" s="52">
        <v>11000</v>
      </c>
      <c r="C50" s="52" t="s">
        <v>5</v>
      </c>
      <c r="D50" s="65">
        <v>2147483680</v>
      </c>
    </row>
    <row r="51" spans="1:4" ht="15" customHeight="1">
      <c r="A51" s="29" t="str">
        <f t="shared" si="2"/>
        <v>IMp.wLoc</v>
      </c>
      <c r="B51">
        <v>7014</v>
      </c>
      <c r="C51" t="s">
        <v>278</v>
      </c>
      <c r="D51" s="707" t="str">
        <f>"$0"&amp;DEC2HEX($T$2,3)&amp;DEC2HEX($AN$2,4)&amp;DEC2HEX($S$2,2)&amp;"0000"&amp;"06"</f>
        <v>$0002000700000006</v>
      </c>
    </row>
    <row r="52" spans="1:4" ht="15" customHeight="1">
      <c r="A52" s="29" t="str">
        <f t="shared" si="2"/>
        <v>IMp.wLoc</v>
      </c>
      <c r="B52">
        <v>101</v>
      </c>
      <c r="C52" t="s">
        <v>0</v>
      </c>
      <c r="D52" s="30" t="s">
        <v>236</v>
      </c>
    </row>
    <row r="53" spans="1:4" ht="15" customHeight="1">
      <c r="A53" s="29" t="str">
        <f t="shared" si="2"/>
        <v>IMp.wLoc</v>
      </c>
      <c r="B53">
        <v>3</v>
      </c>
      <c r="C53" t="s">
        <v>1</v>
      </c>
      <c r="D53" s="30">
        <v>192</v>
      </c>
    </row>
    <row r="54" spans="1:4" ht="15" customHeight="1">
      <c r="A54" s="29" t="str">
        <f t="shared" si="2"/>
        <v>IMp.wLoc</v>
      </c>
      <c r="B54">
        <v>2</v>
      </c>
      <c r="C54" t="s">
        <v>2</v>
      </c>
      <c r="D54" s="30" t="s">
        <v>3</v>
      </c>
    </row>
    <row r="55" spans="1:4" ht="15" customHeight="1">
      <c r="A55" s="29" t="str">
        <f t="shared" si="2"/>
        <v>IMp.wLoc</v>
      </c>
      <c r="B55">
        <v>1</v>
      </c>
      <c r="C55" t="s">
        <v>1</v>
      </c>
      <c r="D55" s="30">
        <v>11</v>
      </c>
    </row>
    <row r="56" spans="1:4">
      <c r="A56" s="29" t="str">
        <f t="shared" si="2"/>
        <v>IMp.wLoc</v>
      </c>
      <c r="B56">
        <v>7000000</v>
      </c>
      <c r="C56" t="s">
        <v>6</v>
      </c>
      <c r="D56" s="30">
        <v>1</v>
      </c>
    </row>
    <row r="57" spans="1:4" ht="43.2">
      <c r="A57" s="26" t="str">
        <f t="shared" si="2"/>
        <v>IMp.wLoc</v>
      </c>
      <c r="B57" s="27">
        <v>4000000</v>
      </c>
      <c r="C57" s="27" t="s">
        <v>0</v>
      </c>
      <c r="D57" s="701" t="s">
        <v>2327</v>
      </c>
    </row>
    <row r="58" spans="1:4" ht="15" customHeight="1">
      <c r="A58" s="69" t="str">
        <f t="shared" ref="A58:A66" si="3">$R$2&amp;".wCntLimit"</f>
        <v>IMp.wCntLimit</v>
      </c>
      <c r="B58" s="70">
        <v>11154</v>
      </c>
      <c r="C58" s="70" t="s">
        <v>4</v>
      </c>
      <c r="D58" s="144">
        <f>$Q$6</f>
        <v>8</v>
      </c>
    </row>
    <row r="59" spans="1:4" ht="15" customHeight="1">
      <c r="A59" s="63" t="str">
        <f t="shared" si="3"/>
        <v>IMp.wCntLimit</v>
      </c>
      <c r="B59" s="52">
        <v>11150</v>
      </c>
      <c r="C59" s="52" t="s">
        <v>0</v>
      </c>
      <c r="D59" s="65" t="s">
        <v>158</v>
      </c>
    </row>
    <row r="60" spans="1:4" ht="15" customHeight="1">
      <c r="A60" s="63" t="str">
        <f t="shared" si="3"/>
        <v>IMp.wCntLimit</v>
      </c>
      <c r="B60" s="52">
        <v>11152</v>
      </c>
      <c r="C60" s="52" t="s">
        <v>0</v>
      </c>
      <c r="D60" s="65" t="str">
        <f>$R$6</f>
        <v>Предупреждение</v>
      </c>
    </row>
    <row r="61" spans="1:4" ht="15" customHeight="1">
      <c r="A61" s="63" t="str">
        <f t="shared" si="3"/>
        <v>IMp.wCntLimit</v>
      </c>
      <c r="B61" s="52">
        <v>11000</v>
      </c>
      <c r="C61" s="52" t="s">
        <v>5</v>
      </c>
      <c r="D61" s="65">
        <v>2147483680</v>
      </c>
    </row>
    <row r="62" spans="1:4" ht="15" customHeight="1">
      <c r="A62" s="29" t="str">
        <f t="shared" si="3"/>
        <v>IMp.wCntLimit</v>
      </c>
      <c r="B62">
        <v>101</v>
      </c>
      <c r="C62" t="s">
        <v>0</v>
      </c>
      <c r="D62" s="30" t="s">
        <v>158</v>
      </c>
    </row>
    <row r="63" spans="1:4" ht="15" customHeight="1">
      <c r="A63" s="29" t="str">
        <f t="shared" si="3"/>
        <v>IMp.wCntLimit</v>
      </c>
      <c r="B63">
        <v>3</v>
      </c>
      <c r="C63" t="s">
        <v>1</v>
      </c>
      <c r="D63" s="30">
        <v>192</v>
      </c>
    </row>
    <row r="64" spans="1:4" ht="15" customHeight="1">
      <c r="A64" s="29" t="str">
        <f t="shared" si="3"/>
        <v>IMp.wCntLimit</v>
      </c>
      <c r="B64">
        <v>2</v>
      </c>
      <c r="C64" t="s">
        <v>2</v>
      </c>
      <c r="D64" s="30" t="s">
        <v>3</v>
      </c>
    </row>
    <row r="65" spans="1:4" ht="15" customHeight="1">
      <c r="A65" t="str">
        <f t="shared" si="3"/>
        <v>IMp.wCntLimit</v>
      </c>
      <c r="B65">
        <v>1</v>
      </c>
      <c r="C65" t="s">
        <v>1</v>
      </c>
      <c r="D65" s="30">
        <v>11</v>
      </c>
    </row>
    <row r="66" spans="1:4">
      <c r="A66" s="29" t="str">
        <f t="shared" si="3"/>
        <v>IMp.wCntLimit</v>
      </c>
      <c r="B66" s="27">
        <v>3000000</v>
      </c>
      <c r="C66" s="27" t="s">
        <v>0</v>
      </c>
      <c r="D66" s="28" t="s">
        <v>2328</v>
      </c>
    </row>
    <row r="67" spans="1:4" ht="15" customHeight="1">
      <c r="A67" s="217" t="str">
        <f t="shared" ref="A67:A75" si="4">$R$2&amp;".fFault"</f>
        <v>IMp.fFault</v>
      </c>
      <c r="B67" s="218">
        <v>11154</v>
      </c>
      <c r="C67" s="218" t="s">
        <v>4</v>
      </c>
      <c r="D67" s="219">
        <f>$Q$7</f>
        <v>12</v>
      </c>
    </row>
    <row r="68" spans="1:4" ht="15" customHeight="1">
      <c r="A68" s="211" t="str">
        <f t="shared" si="4"/>
        <v>IMp.fFault</v>
      </c>
      <c r="B68" s="677">
        <v>11150</v>
      </c>
      <c r="C68" s="677" t="s">
        <v>0</v>
      </c>
      <c r="D68" s="213" t="s">
        <v>110</v>
      </c>
    </row>
    <row r="69" spans="1:4" ht="15" customHeight="1">
      <c r="A69" s="211" t="str">
        <f t="shared" si="4"/>
        <v>IMp.fFault</v>
      </c>
      <c r="B69" s="677">
        <v>11152</v>
      </c>
      <c r="C69" s="677" t="s">
        <v>0</v>
      </c>
      <c r="D69" s="213" t="str">
        <f>$R$7</f>
        <v>Неисправность</v>
      </c>
    </row>
    <row r="70" spans="1:4" ht="15" customHeight="1">
      <c r="A70" s="211" t="str">
        <f t="shared" si="4"/>
        <v>IMp.fFault</v>
      </c>
      <c r="B70" s="677">
        <v>11000</v>
      </c>
      <c r="C70" s="677" t="s">
        <v>5</v>
      </c>
      <c r="D70" s="213">
        <v>2147483680</v>
      </c>
    </row>
    <row r="71" spans="1:4" ht="15" customHeight="1">
      <c r="A71" s="29" t="str">
        <f t="shared" si="4"/>
        <v>IMp.fFault</v>
      </c>
      <c r="B71">
        <v>7014</v>
      </c>
      <c r="C71" t="s">
        <v>278</v>
      </c>
      <c r="D71" s="707" t="str">
        <f>"$0"&amp;DEC2HEX($T$2,3)&amp;DEC2HEX($AP$2,4)&amp;DEC2HEX($S$2,2)&amp;"0000"&amp;"06"</f>
        <v>$0002000900000006</v>
      </c>
    </row>
    <row r="72" spans="1:4" ht="15" customHeight="1">
      <c r="A72" s="29" t="str">
        <f t="shared" si="4"/>
        <v>IMp.fFault</v>
      </c>
      <c r="B72">
        <v>101</v>
      </c>
      <c r="C72" t="s">
        <v>0</v>
      </c>
      <c r="D72" s="30" t="s">
        <v>176</v>
      </c>
    </row>
    <row r="73" spans="1:4" ht="15" customHeight="1">
      <c r="A73" s="29" t="str">
        <f t="shared" si="4"/>
        <v>IMp.fFault</v>
      </c>
      <c r="B73">
        <v>3</v>
      </c>
      <c r="C73" t="s">
        <v>1</v>
      </c>
      <c r="D73" s="30">
        <v>192</v>
      </c>
    </row>
    <row r="74" spans="1:4" ht="15" customHeight="1">
      <c r="A74" s="29" t="str">
        <f t="shared" si="4"/>
        <v>IMp.fFault</v>
      </c>
      <c r="B74">
        <v>2</v>
      </c>
      <c r="C74" t="s">
        <v>2</v>
      </c>
      <c r="D74" s="30" t="s">
        <v>3</v>
      </c>
    </row>
    <row r="75" spans="1:4" ht="15" customHeight="1">
      <c r="A75" s="26" t="str">
        <f t="shared" si="4"/>
        <v>IMp.fFault</v>
      </c>
      <c r="B75" s="27">
        <v>1</v>
      </c>
      <c r="C75" s="27" t="s">
        <v>1</v>
      </c>
      <c r="D75" s="28">
        <v>11</v>
      </c>
    </row>
    <row r="76" spans="1:4" ht="15" customHeight="1">
      <c r="A76" s="217" t="str">
        <f t="shared" ref="A76:A83" si="5">$R$2&amp;".wNotOn"</f>
        <v>IMp.wNotOn</v>
      </c>
      <c r="B76" s="218">
        <v>11154</v>
      </c>
      <c r="C76" s="218" t="s">
        <v>4</v>
      </c>
      <c r="D76" s="219">
        <f>$Q$7</f>
        <v>12</v>
      </c>
    </row>
    <row r="77" spans="1:4" ht="15" customHeight="1">
      <c r="A77" s="211" t="str">
        <f t="shared" si="5"/>
        <v>IMp.wNotOn</v>
      </c>
      <c r="B77" s="677">
        <v>11150</v>
      </c>
      <c r="C77" s="677" t="s">
        <v>0</v>
      </c>
      <c r="D77" s="213" t="str">
        <f>"Не  включился"</f>
        <v>Не  включился</v>
      </c>
    </row>
    <row r="78" spans="1:4" ht="15" customHeight="1">
      <c r="A78" s="211" t="str">
        <f t="shared" si="5"/>
        <v>IMp.wNotOn</v>
      </c>
      <c r="B78" s="677">
        <v>11152</v>
      </c>
      <c r="C78" s="677" t="s">
        <v>0</v>
      </c>
      <c r="D78" s="213" t="str">
        <f>$R$7</f>
        <v>Неисправность</v>
      </c>
    </row>
    <row r="79" spans="1:4" ht="15" customHeight="1">
      <c r="A79" s="211" t="str">
        <f t="shared" si="5"/>
        <v>IMp.wNotOn</v>
      </c>
      <c r="B79" s="677">
        <v>11000</v>
      </c>
      <c r="C79" s="677" t="s">
        <v>5</v>
      </c>
      <c r="D79" s="213">
        <v>2147483680</v>
      </c>
    </row>
    <row r="80" spans="1:4" ht="15" customHeight="1">
      <c r="A80" s="29" t="str">
        <f t="shared" si="5"/>
        <v>IMp.wNotOn</v>
      </c>
      <c r="B80">
        <v>101</v>
      </c>
      <c r="C80" t="s">
        <v>0</v>
      </c>
      <c r="D80" s="30" t="str">
        <f>"Не включился"</f>
        <v>Не включился</v>
      </c>
    </row>
    <row r="81" spans="1:4" ht="15" customHeight="1">
      <c r="A81" s="29" t="str">
        <f t="shared" si="5"/>
        <v>IMp.wNotOn</v>
      </c>
      <c r="B81">
        <v>3</v>
      </c>
      <c r="C81" t="s">
        <v>1</v>
      </c>
      <c r="D81" s="30">
        <v>192</v>
      </c>
    </row>
    <row r="82" spans="1:4" ht="15" customHeight="1">
      <c r="A82" s="29" t="str">
        <f t="shared" si="5"/>
        <v>IMp.wNotOn</v>
      </c>
      <c r="B82">
        <v>2</v>
      </c>
      <c r="C82" t="s">
        <v>2</v>
      </c>
      <c r="D82" s="30" t="s">
        <v>3</v>
      </c>
    </row>
    <row r="83" spans="1:4" ht="15" customHeight="1">
      <c r="A83" s="26" t="str">
        <f t="shared" si="5"/>
        <v>IMp.wNotOn</v>
      </c>
      <c r="B83" s="27">
        <v>1</v>
      </c>
      <c r="C83" s="27" t="s">
        <v>1</v>
      </c>
      <c r="D83" s="28">
        <v>11</v>
      </c>
    </row>
    <row r="84" spans="1:4" ht="15" customHeight="1">
      <c r="A84" s="217" t="str">
        <f t="shared" ref="A84:A91" si="6">$R$2&amp;".wNotOff"</f>
        <v>IMp.wNotOff</v>
      </c>
      <c r="B84" s="218">
        <v>11154</v>
      </c>
      <c r="C84" s="218" t="s">
        <v>4</v>
      </c>
      <c r="D84" s="219">
        <f>$Q$7</f>
        <v>12</v>
      </c>
    </row>
    <row r="85" spans="1:4" ht="15" customHeight="1">
      <c r="A85" s="211" t="str">
        <f t="shared" si="6"/>
        <v>IMp.wNotOff</v>
      </c>
      <c r="B85" s="677">
        <v>11150</v>
      </c>
      <c r="C85" s="677" t="s">
        <v>0</v>
      </c>
      <c r="D85" s="213" t="str">
        <f>"Не  отключился"</f>
        <v>Не  отключился</v>
      </c>
    </row>
    <row r="86" spans="1:4" ht="15" customHeight="1">
      <c r="A86" s="211" t="str">
        <f t="shared" si="6"/>
        <v>IMp.wNotOff</v>
      </c>
      <c r="B86" s="677">
        <v>11152</v>
      </c>
      <c r="C86" s="677" t="s">
        <v>0</v>
      </c>
      <c r="D86" s="213" t="str">
        <f>$R$7</f>
        <v>Неисправность</v>
      </c>
    </row>
    <row r="87" spans="1:4" ht="15" customHeight="1">
      <c r="A87" s="211" t="str">
        <f t="shared" si="6"/>
        <v>IMp.wNotOff</v>
      </c>
      <c r="B87" s="677">
        <v>11000</v>
      </c>
      <c r="C87" s="677" t="s">
        <v>5</v>
      </c>
      <c r="D87" s="213">
        <v>2147483680</v>
      </c>
    </row>
    <row r="88" spans="1:4" ht="15" customHeight="1">
      <c r="A88" s="29" t="str">
        <f t="shared" si="6"/>
        <v>IMp.wNotOff</v>
      </c>
      <c r="B88">
        <v>101</v>
      </c>
      <c r="C88" t="s">
        <v>0</v>
      </c>
      <c r="D88" s="30" t="str">
        <f>"Не  отключился"</f>
        <v>Не  отключился</v>
      </c>
    </row>
    <row r="89" spans="1:4" ht="15" customHeight="1">
      <c r="A89" s="29" t="str">
        <f t="shared" si="6"/>
        <v>IMp.wNotOff</v>
      </c>
      <c r="B89">
        <v>3</v>
      </c>
      <c r="C89" t="s">
        <v>1</v>
      </c>
      <c r="D89" s="30">
        <v>192</v>
      </c>
    </row>
    <row r="90" spans="1:4" ht="15" customHeight="1">
      <c r="A90" s="29" t="str">
        <f t="shared" si="6"/>
        <v>IMp.wNotOff</v>
      </c>
      <c r="B90">
        <v>2</v>
      </c>
      <c r="C90" t="s">
        <v>2</v>
      </c>
      <c r="D90" s="30" t="s">
        <v>3</v>
      </c>
    </row>
    <row r="91" spans="1:4" ht="15" customHeight="1">
      <c r="A91" s="26" t="str">
        <f t="shared" si="6"/>
        <v>IMp.wNotOff</v>
      </c>
      <c r="B91" s="27">
        <v>1</v>
      </c>
      <c r="C91" s="27" t="s">
        <v>1</v>
      </c>
      <c r="D91" s="28">
        <v>11</v>
      </c>
    </row>
    <row r="92" spans="1:4" ht="15" customHeight="1">
      <c r="A92" s="217" t="str">
        <f t="shared" ref="A92:A99" si="7">$R$2&amp;".wUnkw"</f>
        <v>IMp.wUnkw</v>
      </c>
      <c r="B92" s="218">
        <v>11154</v>
      </c>
      <c r="C92" s="218" t="s">
        <v>4</v>
      </c>
      <c r="D92" s="219">
        <f>$Q$7</f>
        <v>12</v>
      </c>
    </row>
    <row r="93" spans="1:4" ht="15" customHeight="1">
      <c r="A93" s="211" t="str">
        <f t="shared" si="7"/>
        <v>IMp.wUnkw</v>
      </c>
      <c r="B93" s="677">
        <v>11150</v>
      </c>
      <c r="C93" s="677" t="s">
        <v>0</v>
      </c>
      <c r="D93" s="213" t="s">
        <v>154</v>
      </c>
    </row>
    <row r="94" spans="1:4" ht="15" customHeight="1">
      <c r="A94" s="211" t="str">
        <f t="shared" si="7"/>
        <v>IMp.wUnkw</v>
      </c>
      <c r="B94" s="677">
        <v>11152</v>
      </c>
      <c r="C94" s="677" t="s">
        <v>0</v>
      </c>
      <c r="D94" s="213" t="str">
        <f>$R$7</f>
        <v>Неисправность</v>
      </c>
    </row>
    <row r="95" spans="1:4" ht="15" customHeight="1">
      <c r="A95" s="211" t="str">
        <f t="shared" si="7"/>
        <v>IMp.wUnkw</v>
      </c>
      <c r="B95" s="677">
        <v>11000</v>
      </c>
      <c r="C95" s="677" t="s">
        <v>5</v>
      </c>
      <c r="D95" s="213">
        <v>2147483680</v>
      </c>
    </row>
    <row r="96" spans="1:4" ht="15" customHeight="1">
      <c r="A96" s="29" t="str">
        <f t="shared" si="7"/>
        <v>IMp.wUnkw</v>
      </c>
      <c r="B96">
        <v>101</v>
      </c>
      <c r="C96" t="s">
        <v>0</v>
      </c>
      <c r="D96" s="30" t="s">
        <v>153</v>
      </c>
    </row>
    <row r="97" spans="1:4" ht="15" customHeight="1">
      <c r="A97" s="29" t="str">
        <f t="shared" si="7"/>
        <v>IMp.wUnkw</v>
      </c>
      <c r="B97">
        <v>3</v>
      </c>
      <c r="C97" t="s">
        <v>1</v>
      </c>
      <c r="D97" s="30">
        <v>192</v>
      </c>
    </row>
    <row r="98" spans="1:4" ht="15" customHeight="1">
      <c r="A98" s="29" t="str">
        <f t="shared" si="7"/>
        <v>IMp.wUnkw</v>
      </c>
      <c r="B98">
        <v>2</v>
      </c>
      <c r="C98" t="s">
        <v>2</v>
      </c>
      <c r="D98" s="30" t="s">
        <v>3</v>
      </c>
    </row>
    <row r="99" spans="1:4" ht="15" customHeight="1">
      <c r="A99" s="26" t="str">
        <f t="shared" si="7"/>
        <v>IMp.wUnkw</v>
      </c>
      <c r="B99" s="27">
        <v>1</v>
      </c>
      <c r="C99" s="27" t="s">
        <v>1</v>
      </c>
      <c r="D99" s="28">
        <v>11</v>
      </c>
    </row>
    <row r="100" spans="1:4" ht="15" customHeight="1">
      <c r="A100" s="217" t="str">
        <f t="shared" ref="A100:A107" si="8">$R$2&amp;".wDbl"</f>
        <v>IMp.wDbl</v>
      </c>
      <c r="B100" s="218">
        <v>11154</v>
      </c>
      <c r="C100" s="218" t="s">
        <v>4</v>
      </c>
      <c r="D100" s="219">
        <f>$Q$7</f>
        <v>12</v>
      </c>
    </row>
    <row r="101" spans="1:4" ht="15" customHeight="1">
      <c r="A101" s="211" t="str">
        <f t="shared" si="8"/>
        <v>IMp.wDbl</v>
      </c>
      <c r="B101" s="677">
        <v>11150</v>
      </c>
      <c r="C101" s="677" t="s">
        <v>0</v>
      </c>
      <c r="D101" s="213" t="s">
        <v>161</v>
      </c>
    </row>
    <row r="102" spans="1:4" ht="15" customHeight="1">
      <c r="A102" s="211" t="str">
        <f t="shared" si="8"/>
        <v>IMp.wDbl</v>
      </c>
      <c r="B102" s="677">
        <v>11152</v>
      </c>
      <c r="C102" s="677" t="s">
        <v>0</v>
      </c>
      <c r="D102" s="213" t="str">
        <f>$R$7</f>
        <v>Неисправность</v>
      </c>
    </row>
    <row r="103" spans="1:4" ht="15" customHeight="1">
      <c r="A103" s="211" t="str">
        <f t="shared" si="8"/>
        <v>IMp.wDbl</v>
      </c>
      <c r="B103" s="677">
        <v>11000</v>
      </c>
      <c r="C103" s="677" t="s">
        <v>5</v>
      </c>
      <c r="D103" s="213">
        <v>2147483680</v>
      </c>
    </row>
    <row r="104" spans="1:4" ht="15" customHeight="1">
      <c r="A104" s="29" t="str">
        <f t="shared" si="8"/>
        <v>IMp.wDbl</v>
      </c>
      <c r="B104">
        <v>101</v>
      </c>
      <c r="C104" t="s">
        <v>0</v>
      </c>
      <c r="D104" s="30" t="s">
        <v>161</v>
      </c>
    </row>
    <row r="105" spans="1:4" ht="15" customHeight="1">
      <c r="A105" s="29" t="str">
        <f t="shared" si="8"/>
        <v>IMp.wDbl</v>
      </c>
      <c r="B105">
        <v>3</v>
      </c>
      <c r="C105" t="s">
        <v>1</v>
      </c>
      <c r="D105" s="30">
        <v>192</v>
      </c>
    </row>
    <row r="106" spans="1:4" ht="15" customHeight="1">
      <c r="A106" s="29" t="str">
        <f t="shared" si="8"/>
        <v>IMp.wDbl</v>
      </c>
      <c r="B106">
        <v>2</v>
      </c>
      <c r="C106" t="s">
        <v>2</v>
      </c>
      <c r="D106" s="30" t="s">
        <v>3</v>
      </c>
    </row>
    <row r="107" spans="1:4" ht="15" customHeight="1">
      <c r="A107" s="26" t="str">
        <f t="shared" si="8"/>
        <v>IMp.wDbl</v>
      </c>
      <c r="B107" s="27">
        <v>1</v>
      </c>
      <c r="C107" s="27" t="s">
        <v>1</v>
      </c>
      <c r="D107" s="28">
        <v>11</v>
      </c>
    </row>
    <row r="108" spans="1:4" ht="15" customHeight="1">
      <c r="A108" s="217" t="str">
        <f t="shared" ref="A108:A115" si="9">$R$2&amp;".wCtrlUnkw"</f>
        <v>IMp.wCtrlUnkw</v>
      </c>
      <c r="B108" s="218">
        <v>11154</v>
      </c>
      <c r="C108" s="218" t="s">
        <v>4</v>
      </c>
      <c r="D108" s="219">
        <f>$Q$7</f>
        <v>12</v>
      </c>
    </row>
    <row r="109" spans="1:4" ht="15" customHeight="1">
      <c r="A109" s="211" t="str">
        <f t="shared" si="9"/>
        <v>IMp.wCtrlUnkw</v>
      </c>
      <c r="B109" s="677">
        <v>11150</v>
      </c>
      <c r="C109" s="677" t="s">
        <v>0</v>
      </c>
      <c r="D109" s="213" t="s">
        <v>167</v>
      </c>
    </row>
    <row r="110" spans="1:4" ht="15" customHeight="1">
      <c r="A110" s="211" t="str">
        <f t="shared" si="9"/>
        <v>IMp.wCtrlUnkw</v>
      </c>
      <c r="B110" s="677">
        <v>11152</v>
      </c>
      <c r="C110" s="677" t="s">
        <v>0</v>
      </c>
      <c r="D110" s="213" t="str">
        <f>$R$7</f>
        <v>Неисправность</v>
      </c>
    </row>
    <row r="111" spans="1:4" ht="15" customHeight="1">
      <c r="A111" s="211" t="str">
        <f t="shared" si="9"/>
        <v>IMp.wCtrlUnkw</v>
      </c>
      <c r="B111" s="677">
        <v>11000</v>
      </c>
      <c r="C111" s="677" t="s">
        <v>5</v>
      </c>
      <c r="D111" s="213">
        <v>2147483680</v>
      </c>
    </row>
    <row r="112" spans="1:4" ht="15" customHeight="1">
      <c r="A112" s="29" t="str">
        <f t="shared" si="9"/>
        <v>IMp.wCtrlUnkw</v>
      </c>
      <c r="B112">
        <v>101</v>
      </c>
      <c r="C112" t="s">
        <v>0</v>
      </c>
      <c r="D112" s="30" t="s">
        <v>167</v>
      </c>
    </row>
    <row r="113" spans="1:4" ht="15" customHeight="1">
      <c r="A113" s="29" t="str">
        <f t="shared" si="9"/>
        <v>IMp.wCtrlUnkw</v>
      </c>
      <c r="B113">
        <v>3</v>
      </c>
      <c r="C113" t="s">
        <v>1</v>
      </c>
      <c r="D113" s="30">
        <v>192</v>
      </c>
    </row>
    <row r="114" spans="1:4" ht="15" customHeight="1">
      <c r="A114" s="29" t="str">
        <f t="shared" si="9"/>
        <v>IMp.wCtrlUnkw</v>
      </c>
      <c r="B114">
        <v>2</v>
      </c>
      <c r="C114" t="s">
        <v>2</v>
      </c>
      <c r="D114" s="30" t="s">
        <v>3</v>
      </c>
    </row>
    <row r="115" spans="1:4" ht="15" customHeight="1">
      <c r="A115" s="26" t="str">
        <f t="shared" si="9"/>
        <v>IMp.wCtrlUnkw</v>
      </c>
      <c r="B115" s="27">
        <v>1</v>
      </c>
      <c r="C115" s="27" t="s">
        <v>1</v>
      </c>
      <c r="D115" s="28">
        <v>11</v>
      </c>
    </row>
    <row r="116" spans="1:4" ht="15" customHeight="1">
      <c r="A116" s="217" t="str">
        <f t="shared" ref="A116:A123" si="10">$R$2&amp;".wCtrlDbl"</f>
        <v>IMp.wCtrlDbl</v>
      </c>
      <c r="B116" s="218">
        <v>11154</v>
      </c>
      <c r="C116" s="218" t="s">
        <v>4</v>
      </c>
      <c r="D116" s="219">
        <f>$Q$7</f>
        <v>12</v>
      </c>
    </row>
    <row r="117" spans="1:4" ht="15" customHeight="1">
      <c r="A117" s="211" t="str">
        <f t="shared" si="10"/>
        <v>IMp.wCtrlDbl</v>
      </c>
      <c r="B117" s="677">
        <v>11150</v>
      </c>
      <c r="C117" s="677" t="s">
        <v>0</v>
      </c>
      <c r="D117" s="213" t="s">
        <v>168</v>
      </c>
    </row>
    <row r="118" spans="1:4" ht="15" customHeight="1">
      <c r="A118" s="211" t="str">
        <f t="shared" si="10"/>
        <v>IMp.wCtrlDbl</v>
      </c>
      <c r="B118" s="677">
        <v>11152</v>
      </c>
      <c r="C118" s="677" t="s">
        <v>0</v>
      </c>
      <c r="D118" s="213" t="str">
        <f>$R$7</f>
        <v>Неисправность</v>
      </c>
    </row>
    <row r="119" spans="1:4" ht="15" customHeight="1">
      <c r="A119" s="211" t="str">
        <f t="shared" si="10"/>
        <v>IMp.wCtrlDbl</v>
      </c>
      <c r="B119" s="677">
        <v>11000</v>
      </c>
      <c r="C119" s="677" t="s">
        <v>5</v>
      </c>
      <c r="D119" s="213">
        <v>2147483680</v>
      </c>
    </row>
    <row r="120" spans="1:4" ht="15" customHeight="1">
      <c r="A120" s="29" t="str">
        <f t="shared" si="10"/>
        <v>IMp.wCtrlDbl</v>
      </c>
      <c r="B120">
        <v>101</v>
      </c>
      <c r="C120" t="s">
        <v>0</v>
      </c>
      <c r="D120" s="30" t="s">
        <v>168</v>
      </c>
    </row>
    <row r="121" spans="1:4" ht="15" customHeight="1">
      <c r="A121" s="29" t="str">
        <f t="shared" si="10"/>
        <v>IMp.wCtrlDbl</v>
      </c>
      <c r="B121">
        <v>3</v>
      </c>
      <c r="C121" t="s">
        <v>1</v>
      </c>
      <c r="D121" s="30">
        <v>192</v>
      </c>
    </row>
    <row r="122" spans="1:4" ht="15" customHeight="1">
      <c r="A122" s="29" t="str">
        <f t="shared" si="10"/>
        <v>IMp.wCtrlDbl</v>
      </c>
      <c r="B122">
        <v>2</v>
      </c>
      <c r="C122" t="s">
        <v>2</v>
      </c>
      <c r="D122" s="30" t="s">
        <v>3</v>
      </c>
    </row>
    <row r="123" spans="1:4" ht="15" customHeight="1">
      <c r="A123" s="26" t="str">
        <f t="shared" si="10"/>
        <v>IMp.wCtrlDbl</v>
      </c>
      <c r="B123" s="27">
        <v>1</v>
      </c>
      <c r="C123" s="27" t="s">
        <v>1</v>
      </c>
      <c r="D123" s="28">
        <v>11</v>
      </c>
    </row>
    <row r="124" spans="1:4" ht="15" customHeight="1">
      <c r="A124" s="100" t="str">
        <f t="shared" ref="A124:A132" si="11">$R$2&amp;".wMnlMd"</f>
        <v>IMp.wMnlMd</v>
      </c>
      <c r="B124" s="679">
        <v>11154</v>
      </c>
      <c r="C124" s="679" t="s">
        <v>4</v>
      </c>
      <c r="D124" s="102">
        <f>$Q$8</f>
        <v>18</v>
      </c>
    </row>
    <row r="125" spans="1:4" ht="15" customHeight="1">
      <c r="A125" s="100" t="str">
        <f t="shared" si="11"/>
        <v>IMp.wMnlMd</v>
      </c>
      <c r="B125" s="679">
        <v>11150</v>
      </c>
      <c r="C125" s="679" t="s">
        <v>0</v>
      </c>
      <c r="D125" s="103" t="s">
        <v>134</v>
      </c>
    </row>
    <row r="126" spans="1:4" ht="15" customHeight="1">
      <c r="A126" s="100" t="str">
        <f t="shared" si="11"/>
        <v>IMp.wMnlMd</v>
      </c>
      <c r="B126" s="679">
        <v>11152</v>
      </c>
      <c r="C126" s="679" t="s">
        <v>0</v>
      </c>
      <c r="D126" s="103" t="str">
        <f>$R$8</f>
        <v>Телесигнализация</v>
      </c>
    </row>
    <row r="127" spans="1:4" ht="15" customHeight="1">
      <c r="A127" s="100" t="str">
        <f t="shared" si="11"/>
        <v>IMp.wMnlMd</v>
      </c>
      <c r="B127" s="679">
        <v>11000</v>
      </c>
      <c r="C127" s="679" t="s">
        <v>5</v>
      </c>
      <c r="D127" s="103">
        <v>2147483680</v>
      </c>
    </row>
    <row r="128" spans="1:4" ht="15" customHeight="1">
      <c r="A128" s="29" t="str">
        <f t="shared" si="11"/>
        <v>IMp.wMnlMd</v>
      </c>
      <c r="B128">
        <v>7014</v>
      </c>
      <c r="C128" t="s">
        <v>278</v>
      </c>
      <c r="D128" s="707" t="str">
        <f>"$0"&amp;DEC2HEX($T$2,3)&amp;DEC2HEX($AS$2,4)&amp;DEC2HEX($S$2,2)&amp;"0000"&amp;"06"</f>
        <v>$0002000C00000006</v>
      </c>
    </row>
    <row r="129" spans="1:4" ht="15" customHeight="1">
      <c r="A129" s="29" t="str">
        <f t="shared" si="11"/>
        <v>IMp.wMnlMd</v>
      </c>
      <c r="B129">
        <v>101</v>
      </c>
      <c r="C129" t="s">
        <v>0</v>
      </c>
      <c r="D129" s="30" t="s">
        <v>134</v>
      </c>
    </row>
    <row r="130" spans="1:4" ht="15" customHeight="1">
      <c r="A130" s="29" t="str">
        <f t="shared" si="11"/>
        <v>IMp.wMnlMd</v>
      </c>
      <c r="B130">
        <v>3</v>
      </c>
      <c r="C130" t="s">
        <v>1</v>
      </c>
      <c r="D130" s="30">
        <v>192</v>
      </c>
    </row>
    <row r="131" spans="1:4" ht="15" customHeight="1">
      <c r="A131" s="29" t="str">
        <f t="shared" si="11"/>
        <v>IMp.wMnlMd</v>
      </c>
      <c r="B131">
        <v>2</v>
      </c>
      <c r="C131" t="s">
        <v>2</v>
      </c>
      <c r="D131" s="30" t="s">
        <v>3</v>
      </c>
    </row>
    <row r="132" spans="1:4" ht="15" customHeight="1">
      <c r="A132" s="26" t="str">
        <f t="shared" si="11"/>
        <v>IMp.wMnlMd</v>
      </c>
      <c r="B132" s="27">
        <v>1</v>
      </c>
      <c r="C132" s="27" t="s">
        <v>1</v>
      </c>
      <c r="D132" s="28">
        <v>11</v>
      </c>
    </row>
    <row r="133" spans="1:4" ht="15" customHeight="1">
      <c r="A133" s="159" t="str">
        <f t="shared" ref="A133:A145" si="12">$R$2&amp;".stOn"</f>
        <v>IMp.stOn</v>
      </c>
      <c r="B133" s="160">
        <v>11154</v>
      </c>
      <c r="C133" s="160" t="s">
        <v>4</v>
      </c>
      <c r="D133" s="161">
        <f>$Q$8</f>
        <v>18</v>
      </c>
    </row>
    <row r="134" spans="1:4" ht="15" customHeight="1">
      <c r="A134" s="100" t="str">
        <f t="shared" si="12"/>
        <v>IMp.stOn</v>
      </c>
      <c r="B134" s="679">
        <v>11150</v>
      </c>
      <c r="C134" s="679" t="s">
        <v>0</v>
      </c>
      <c r="D134" s="103" t="s">
        <v>337</v>
      </c>
    </row>
    <row r="135" spans="1:4" ht="15" customHeight="1">
      <c r="A135" s="100" t="str">
        <f t="shared" si="12"/>
        <v>IMp.stOn</v>
      </c>
      <c r="B135" s="679">
        <v>11152</v>
      </c>
      <c r="C135" s="679" t="s">
        <v>0</v>
      </c>
      <c r="D135" s="103" t="str">
        <f>$R$8</f>
        <v>Телесигнализация</v>
      </c>
    </row>
    <row r="136" spans="1:4" ht="15" customHeight="1">
      <c r="A136" s="100" t="str">
        <f t="shared" si="12"/>
        <v>IMp.stOn</v>
      </c>
      <c r="B136" s="679">
        <v>11000</v>
      </c>
      <c r="C136" s="679" t="s">
        <v>5</v>
      </c>
      <c r="D136" s="103">
        <v>2147483680</v>
      </c>
    </row>
    <row r="137" spans="1:4" ht="15" customHeight="1">
      <c r="A137" s="29" t="str">
        <f t="shared" si="12"/>
        <v>IMp.stOn</v>
      </c>
      <c r="B137">
        <v>7014</v>
      </c>
      <c r="C137" t="s">
        <v>278</v>
      </c>
      <c r="D137" s="707" t="str">
        <f>"$0"&amp;DEC2HEX($T$2,3)&amp;DEC2HEX($AL$2,4)&amp;DEC2HEX($S$2,2)&amp;"0000"&amp;"06"</f>
        <v>$0002000500000006</v>
      </c>
    </row>
    <row r="138" spans="1:4" ht="15" customHeight="1">
      <c r="A138" s="29" t="str">
        <f t="shared" si="12"/>
        <v>IMp.stOn</v>
      </c>
      <c r="B138">
        <v>101</v>
      </c>
      <c r="C138" t="s">
        <v>0</v>
      </c>
      <c r="D138" s="30" t="s">
        <v>337</v>
      </c>
    </row>
    <row r="139" spans="1:4" ht="15" customHeight="1">
      <c r="A139" s="29" t="str">
        <f t="shared" si="12"/>
        <v>IMp.stOn</v>
      </c>
      <c r="B139">
        <v>3</v>
      </c>
      <c r="C139" t="s">
        <v>1</v>
      </c>
      <c r="D139" s="30">
        <v>192</v>
      </c>
    </row>
    <row r="140" spans="1:4" ht="15" customHeight="1">
      <c r="A140" s="29" t="str">
        <f t="shared" si="12"/>
        <v>IMp.stOn</v>
      </c>
      <c r="B140">
        <v>2</v>
      </c>
      <c r="C140" t="s">
        <v>2</v>
      </c>
      <c r="D140" s="30" t="s">
        <v>3</v>
      </c>
    </row>
    <row r="141" spans="1:4" ht="15" customHeight="1">
      <c r="A141" t="str">
        <f t="shared" si="12"/>
        <v>IMp.stOn</v>
      </c>
      <c r="B141">
        <v>1</v>
      </c>
      <c r="C141" t="s">
        <v>1</v>
      </c>
      <c r="D141" s="30">
        <v>11</v>
      </c>
    </row>
    <row r="142" spans="1:4">
      <c r="A142" s="29" t="str">
        <f t="shared" si="12"/>
        <v>IMp.stOn</v>
      </c>
      <c r="B142">
        <v>8000000</v>
      </c>
      <c r="C142" t="s">
        <v>6</v>
      </c>
      <c r="D142" s="30">
        <v>1</v>
      </c>
    </row>
    <row r="143" spans="1:4">
      <c r="A143" s="29" t="str">
        <f t="shared" si="12"/>
        <v>IMp.stOn</v>
      </c>
      <c r="B143">
        <v>5000000</v>
      </c>
      <c r="C143" t="s">
        <v>0</v>
      </c>
      <c r="D143" s="30" t="s">
        <v>2582</v>
      </c>
    </row>
    <row r="144" spans="1:4">
      <c r="A144" t="str">
        <f t="shared" si="12"/>
        <v>IMp.stOn</v>
      </c>
      <c r="B144">
        <v>7000000</v>
      </c>
      <c r="C144" t="s">
        <v>6</v>
      </c>
      <c r="D144" s="30">
        <v>1</v>
      </c>
    </row>
    <row r="145" spans="1:4" ht="28.8">
      <c r="A145" s="29" t="str">
        <f t="shared" si="12"/>
        <v>IMp.stOn</v>
      </c>
      <c r="B145" s="27">
        <v>4000000</v>
      </c>
      <c r="C145" s="27" t="s">
        <v>0</v>
      </c>
      <c r="D145" s="415" t="s">
        <v>396</v>
      </c>
    </row>
    <row r="146" spans="1:4" ht="15" customHeight="1">
      <c r="A146" s="159" t="str">
        <f t="shared" ref="A146:A156" si="13">$R$2&amp;".stOff"</f>
        <v>IMp.stOff</v>
      </c>
      <c r="B146" s="160">
        <v>11154</v>
      </c>
      <c r="C146" s="160" t="s">
        <v>4</v>
      </c>
      <c r="D146" s="161">
        <f>$Q$8</f>
        <v>18</v>
      </c>
    </row>
    <row r="147" spans="1:4" ht="15" customHeight="1">
      <c r="A147" s="100" t="str">
        <f t="shared" si="13"/>
        <v>IMp.stOff</v>
      </c>
      <c r="B147" s="679">
        <v>11150</v>
      </c>
      <c r="C147" s="679" t="s">
        <v>0</v>
      </c>
      <c r="D147" s="103" t="s">
        <v>336</v>
      </c>
    </row>
    <row r="148" spans="1:4" ht="15" customHeight="1">
      <c r="A148" s="100" t="str">
        <f t="shared" si="13"/>
        <v>IMp.stOff</v>
      </c>
      <c r="B148" s="679">
        <v>11152</v>
      </c>
      <c r="C148" s="679" t="s">
        <v>0</v>
      </c>
      <c r="D148" s="103" t="str">
        <f>$R$8</f>
        <v>Телесигнализация</v>
      </c>
    </row>
    <row r="149" spans="1:4" ht="15" customHeight="1">
      <c r="A149" s="100" t="str">
        <f t="shared" si="13"/>
        <v>IMp.stOff</v>
      </c>
      <c r="B149" s="679">
        <v>11000</v>
      </c>
      <c r="C149" s="679" t="s">
        <v>5</v>
      </c>
      <c r="D149" s="103">
        <v>2147483680</v>
      </c>
    </row>
    <row r="150" spans="1:4" ht="15" customHeight="1">
      <c r="A150" s="29" t="str">
        <f t="shared" si="13"/>
        <v>IMp.stOff</v>
      </c>
      <c r="B150">
        <v>7014</v>
      </c>
      <c r="C150" t="s">
        <v>278</v>
      </c>
      <c r="D150" s="707" t="str">
        <f>"$0"&amp;DEC2HEX($T$2,3)&amp;DEC2HEX($AM$2,4)&amp;DEC2HEX($S$2,2)&amp;"0000"&amp;"06"</f>
        <v>$0002000600000006</v>
      </c>
    </row>
    <row r="151" spans="1:4" ht="15" customHeight="1">
      <c r="A151" s="29" t="str">
        <f t="shared" si="13"/>
        <v>IMp.stOff</v>
      </c>
      <c r="B151">
        <v>101</v>
      </c>
      <c r="C151" t="s">
        <v>0</v>
      </c>
      <c r="D151" s="30" t="s">
        <v>336</v>
      </c>
    </row>
    <row r="152" spans="1:4" ht="15" customHeight="1">
      <c r="A152" s="29" t="str">
        <f t="shared" si="13"/>
        <v>IMp.stOff</v>
      </c>
      <c r="B152">
        <v>3</v>
      </c>
      <c r="C152" t="s">
        <v>1</v>
      </c>
      <c r="D152" s="30">
        <v>192</v>
      </c>
    </row>
    <row r="153" spans="1:4" ht="15" customHeight="1">
      <c r="A153" s="29" t="str">
        <f t="shared" si="13"/>
        <v>IMp.stOff</v>
      </c>
      <c r="B153">
        <v>2</v>
      </c>
      <c r="C153" t="s">
        <v>2</v>
      </c>
      <c r="D153" s="30" t="s">
        <v>3</v>
      </c>
    </row>
    <row r="154" spans="1:4" ht="15" customHeight="1">
      <c r="A154" t="str">
        <f t="shared" si="13"/>
        <v>IMp.stOff</v>
      </c>
      <c r="B154">
        <v>1</v>
      </c>
      <c r="C154" t="s">
        <v>1</v>
      </c>
      <c r="D154" s="30">
        <v>11</v>
      </c>
    </row>
    <row r="155" spans="1:4">
      <c r="A155" t="str">
        <f t="shared" si="13"/>
        <v>IMp.stOff</v>
      </c>
      <c r="B155">
        <v>7000000</v>
      </c>
      <c r="C155" t="s">
        <v>6</v>
      </c>
      <c r="D155" s="30">
        <v>1</v>
      </c>
    </row>
    <row r="156" spans="1:4" ht="28.8">
      <c r="A156" s="29" t="str">
        <f t="shared" si="13"/>
        <v>IMp.stOff</v>
      </c>
      <c r="B156" s="27">
        <v>4000000</v>
      </c>
      <c r="C156" s="27" t="s">
        <v>0</v>
      </c>
      <c r="D156" s="701" t="s">
        <v>396</v>
      </c>
    </row>
    <row r="157" spans="1:4" ht="15" customHeight="1">
      <c r="A157" s="159" t="str">
        <f t="shared" ref="A157:A167" si="14">$R$2&amp;".wRem"</f>
        <v>IMp.wRem</v>
      </c>
      <c r="B157" s="160">
        <v>11154</v>
      </c>
      <c r="C157" s="160" t="s">
        <v>4</v>
      </c>
      <c r="D157" s="161">
        <f>$Q$8</f>
        <v>18</v>
      </c>
    </row>
    <row r="158" spans="1:4" ht="15" customHeight="1">
      <c r="A158" s="100" t="str">
        <f t="shared" si="14"/>
        <v>IMp.wRem</v>
      </c>
      <c r="B158" s="679">
        <v>11150</v>
      </c>
      <c r="C158" s="679" t="s">
        <v>0</v>
      </c>
      <c r="D158" s="103" t="s">
        <v>136</v>
      </c>
    </row>
    <row r="159" spans="1:4" ht="15" customHeight="1">
      <c r="A159" s="100" t="str">
        <f t="shared" si="14"/>
        <v>IMp.wRem</v>
      </c>
      <c r="B159" s="679">
        <v>11152</v>
      </c>
      <c r="C159" s="679" t="s">
        <v>0</v>
      </c>
      <c r="D159" s="103" t="str">
        <f>$R$8</f>
        <v>Телесигнализация</v>
      </c>
    </row>
    <row r="160" spans="1:4" ht="15" customHeight="1">
      <c r="A160" s="100" t="str">
        <f t="shared" si="14"/>
        <v>IMp.wRem</v>
      </c>
      <c r="B160" s="679">
        <v>11000</v>
      </c>
      <c r="C160" s="679" t="s">
        <v>5</v>
      </c>
      <c r="D160" s="103">
        <v>2147483680</v>
      </c>
    </row>
    <row r="161" spans="1:4" ht="15" customHeight="1">
      <c r="A161" s="29" t="str">
        <f t="shared" si="14"/>
        <v>IMp.wRem</v>
      </c>
      <c r="B161">
        <v>7014</v>
      </c>
      <c r="C161" t="s">
        <v>278</v>
      </c>
      <c r="D161" s="707" t="str">
        <f>"$0"&amp;DEC2HEX($T$2,3)&amp;DEC2HEX($AO$2,4)&amp;DEC2HEX($S$2,2)&amp;"0000"&amp;"06"</f>
        <v>$0002000800000006</v>
      </c>
    </row>
    <row r="162" spans="1:4" ht="15" customHeight="1">
      <c r="A162" s="29" t="str">
        <f t="shared" si="14"/>
        <v>IMp.wRem</v>
      </c>
      <c r="B162">
        <v>101</v>
      </c>
      <c r="C162" t="s">
        <v>0</v>
      </c>
      <c r="D162" s="30" t="s">
        <v>136</v>
      </c>
    </row>
    <row r="163" spans="1:4" ht="15" customHeight="1">
      <c r="A163" s="29" t="str">
        <f t="shared" si="14"/>
        <v>IMp.wRem</v>
      </c>
      <c r="B163">
        <v>3</v>
      </c>
      <c r="C163" t="s">
        <v>1</v>
      </c>
      <c r="D163" s="30">
        <v>192</v>
      </c>
    </row>
    <row r="164" spans="1:4" ht="15" customHeight="1">
      <c r="A164" s="29" t="str">
        <f t="shared" si="14"/>
        <v>IMp.wRem</v>
      </c>
      <c r="B164">
        <v>2</v>
      </c>
      <c r="C164" t="s">
        <v>2</v>
      </c>
      <c r="D164" s="30" t="s">
        <v>3</v>
      </c>
    </row>
    <row r="165" spans="1:4" ht="15" customHeight="1">
      <c r="A165" t="str">
        <f t="shared" si="14"/>
        <v>IMp.wRem</v>
      </c>
      <c r="B165">
        <v>1</v>
      </c>
      <c r="C165" t="s">
        <v>1</v>
      </c>
      <c r="D165" s="30">
        <v>11</v>
      </c>
    </row>
    <row r="166" spans="1:4">
      <c r="A166" t="str">
        <f t="shared" si="14"/>
        <v>IMp.wRem</v>
      </c>
      <c r="B166">
        <v>7000000</v>
      </c>
      <c r="C166" t="s">
        <v>6</v>
      </c>
      <c r="D166" s="30">
        <v>1</v>
      </c>
    </row>
    <row r="167" spans="1:4" ht="43.2">
      <c r="A167" s="26" t="str">
        <f t="shared" si="14"/>
        <v>IMp.wRem</v>
      </c>
      <c r="B167" s="27">
        <v>4000000</v>
      </c>
      <c r="C167" s="27" t="s">
        <v>0</v>
      </c>
      <c r="D167" s="701" t="s">
        <v>2327</v>
      </c>
    </row>
    <row r="168" spans="1:4">
      <c r="A168" s="23" t="str">
        <f>$R$2&amp;".Commands.coOn"</f>
        <v>IMp.Commands.coOn</v>
      </c>
      <c r="B168" s="24">
        <v>101</v>
      </c>
      <c r="C168" s="24" t="s">
        <v>0</v>
      </c>
      <c r="D168" s="25" t="str">
        <f>"Команда оператора Включить"</f>
        <v>Команда оператора Включить</v>
      </c>
    </row>
    <row r="169" spans="1:4">
      <c r="A169" s="29" t="str">
        <f>$R$2&amp;".Commands.coOn"</f>
        <v>IMp.Commands.coOn</v>
      </c>
      <c r="B169">
        <v>7014</v>
      </c>
      <c r="C169" t="s">
        <v>278</v>
      </c>
      <c r="D169" s="707" t="str">
        <f>"$0"&amp;DEC2HEX($T$2,3)&amp;DEC2HEX($AQ$2,4)&amp;DEC2HEX($S$2,2)&amp;"0001"&amp;"06"</f>
        <v>$0002000A00000106</v>
      </c>
    </row>
    <row r="170" spans="1:4">
      <c r="A170" t="str">
        <f>$R$2&amp;".Commands.coOn"</f>
        <v>IMp.Commands.coOn</v>
      </c>
      <c r="B170">
        <v>1</v>
      </c>
      <c r="C170" t="s">
        <v>1</v>
      </c>
      <c r="D170" s="30">
        <v>11</v>
      </c>
    </row>
    <row r="171" spans="1:4">
      <c r="A171" t="str">
        <f>$R$2&amp;".Commands.coOn"</f>
        <v>IMp.Commands.coOn</v>
      </c>
      <c r="B171">
        <v>7000000</v>
      </c>
      <c r="C171" t="s">
        <v>6</v>
      </c>
      <c r="D171" s="30">
        <v>0</v>
      </c>
    </row>
    <row r="172" spans="1:4">
      <c r="A172" s="26" t="str">
        <f>$R$2&amp;".Commands.coOn"</f>
        <v>IMp.Commands.coOn</v>
      </c>
      <c r="B172" s="27">
        <v>4000000</v>
      </c>
      <c r="C172" s="27" t="s">
        <v>0</v>
      </c>
      <c r="D172" s="28" t="s">
        <v>2326</v>
      </c>
    </row>
    <row r="173" spans="1:4">
      <c r="A173" s="23" t="str">
        <f>$R$2&amp;".Commands.coOff"</f>
        <v>IMp.Commands.coOff</v>
      </c>
      <c r="B173" s="24">
        <v>101</v>
      </c>
      <c r="C173" s="24" t="s">
        <v>0</v>
      </c>
      <c r="D173" s="25" t="str">
        <f>"Команда оператора Отключить"</f>
        <v>Команда оператора Отключить</v>
      </c>
    </row>
    <row r="174" spans="1:4">
      <c r="A174" s="29" t="str">
        <f>$R$2&amp;".Commands.coOff"</f>
        <v>IMp.Commands.coOff</v>
      </c>
      <c r="B174">
        <v>7014</v>
      </c>
      <c r="C174" t="s">
        <v>278</v>
      </c>
      <c r="D174" s="707" t="str">
        <f>"$0"&amp;DEC2HEX($T$2,3)&amp;DEC2HEX($AR$2,4)&amp;DEC2HEX($S$2,2)&amp;"0001"&amp;"06"</f>
        <v>$0002000B00000106</v>
      </c>
    </row>
    <row r="175" spans="1:4">
      <c r="A175" t="str">
        <f>$R$2&amp;".Commands.coOff"</f>
        <v>IMp.Commands.coOff</v>
      </c>
      <c r="B175">
        <v>1</v>
      </c>
      <c r="C175" t="s">
        <v>1</v>
      </c>
      <c r="D175" s="30">
        <v>11</v>
      </c>
    </row>
    <row r="176" spans="1:4">
      <c r="A176" t="str">
        <f>$R$2&amp;".Commands.coOff"</f>
        <v>IMp.Commands.coOff</v>
      </c>
      <c r="B176">
        <v>7000000</v>
      </c>
      <c r="C176" t="s">
        <v>6</v>
      </c>
      <c r="D176" s="30">
        <v>0</v>
      </c>
    </row>
    <row r="177" spans="1:4">
      <c r="A177" s="26" t="str">
        <f>$R$2&amp;".Commands.coOff"</f>
        <v>IMp.Commands.coOff</v>
      </c>
      <c r="B177" s="27">
        <v>4000000</v>
      </c>
      <c r="C177" s="27" t="s">
        <v>0</v>
      </c>
      <c r="D177" s="28" t="s">
        <v>2325</v>
      </c>
    </row>
    <row r="178" spans="1:4" ht="15" customHeight="1">
      <c r="A178" s="23" t="str">
        <f>$R$2&amp;".Commands.coMnlMd"</f>
        <v>IMp.Commands.coMnlMd</v>
      </c>
      <c r="B178" s="24">
        <v>101</v>
      </c>
      <c r="C178" s="24" t="s">
        <v>0</v>
      </c>
      <c r="D178" s="25" t="s">
        <v>94</v>
      </c>
    </row>
    <row r="179" spans="1:4" ht="15" customHeight="1">
      <c r="A179" s="29" t="str">
        <f>$R$2&amp;".Commands.coMnlMd"</f>
        <v>IMp.Commands.coMnlMd</v>
      </c>
      <c r="B179">
        <v>7014</v>
      </c>
      <c r="C179" t="s">
        <v>278</v>
      </c>
      <c r="D179" s="707" t="str">
        <f>"$0"&amp;DEC2HEX($T$2,3)&amp;DEC2HEX($AT$2,4)&amp;DEC2HEX($S$2,2)&amp;"0001"&amp;"06"</f>
        <v>$0002000D00000106</v>
      </c>
    </row>
    <row r="180" spans="1:4" ht="15" customHeight="1">
      <c r="A180" s="26" t="str">
        <f>$R$2&amp;".Commands.coMnlMd"</f>
        <v>IMp.Commands.coMnlMd</v>
      </c>
      <c r="B180" s="27">
        <v>1</v>
      </c>
      <c r="C180" s="27" t="s">
        <v>1</v>
      </c>
      <c r="D180" s="28">
        <v>11</v>
      </c>
    </row>
    <row r="181" spans="1:4">
      <c r="A181" s="23" t="str">
        <f t="shared" ref="A181:A191" si="15">$R$2&amp;".Commands.coRepair"</f>
        <v>IMp.Commands.coRepair</v>
      </c>
      <c r="B181" s="24">
        <v>7011</v>
      </c>
      <c r="C181" s="24" t="s">
        <v>2</v>
      </c>
      <c r="D181" s="25" t="s">
        <v>266</v>
      </c>
    </row>
    <row r="182" spans="1:4" ht="15" customHeight="1">
      <c r="A182" s="702" t="str">
        <f t="shared" si="15"/>
        <v>IMp.Commands.coRepair</v>
      </c>
      <c r="B182" s="702">
        <v>11154</v>
      </c>
      <c r="C182" s="702" t="s">
        <v>4</v>
      </c>
      <c r="D182" s="705">
        <f>$Q$11</f>
        <v>14</v>
      </c>
    </row>
    <row r="183" spans="1:4" ht="15" customHeight="1">
      <c r="A183" s="133" t="str">
        <f t="shared" si="15"/>
        <v>IMp.Commands.coRepair</v>
      </c>
      <c r="B183" s="702">
        <v>11150</v>
      </c>
      <c r="C183" s="702" t="s">
        <v>0</v>
      </c>
      <c r="D183" s="135" t="s">
        <v>89</v>
      </c>
    </row>
    <row r="184" spans="1:4" ht="15" customHeight="1">
      <c r="A184" s="133" t="str">
        <f t="shared" si="15"/>
        <v>IMp.Commands.coRepair</v>
      </c>
      <c r="B184" s="702">
        <v>11152</v>
      </c>
      <c r="C184" s="702" t="s">
        <v>0</v>
      </c>
      <c r="D184" s="135" t="str">
        <f>$R$11</f>
        <v>Ремонт</v>
      </c>
    </row>
    <row r="185" spans="1:4" ht="15" customHeight="1">
      <c r="A185" s="133" t="str">
        <f t="shared" si="15"/>
        <v>IMp.Commands.coRepair</v>
      </c>
      <c r="B185" s="702">
        <v>11000</v>
      </c>
      <c r="C185" s="702" t="s">
        <v>5</v>
      </c>
      <c r="D185" s="135">
        <v>2147483680</v>
      </c>
    </row>
    <row r="186" spans="1:4" ht="15" customHeight="1">
      <c r="A186" s="29" t="str">
        <f t="shared" si="15"/>
        <v>IMp.Commands.coRepair</v>
      </c>
      <c r="B186">
        <v>101</v>
      </c>
      <c r="C186" t="s">
        <v>0</v>
      </c>
      <c r="D186" s="30" t="s">
        <v>113</v>
      </c>
    </row>
    <row r="187" spans="1:4" ht="15" customHeight="1">
      <c r="A187" s="29" t="str">
        <f t="shared" si="15"/>
        <v>IMp.Commands.coRepair</v>
      </c>
      <c r="B187">
        <v>3</v>
      </c>
      <c r="C187" t="s">
        <v>1</v>
      </c>
      <c r="D187" s="30">
        <v>192</v>
      </c>
    </row>
    <row r="188" spans="1:4" ht="15" customHeight="1">
      <c r="A188" s="29" t="str">
        <f t="shared" si="15"/>
        <v>IMp.Commands.coRepair</v>
      </c>
      <c r="B188">
        <v>2</v>
      </c>
      <c r="C188" t="s">
        <v>2</v>
      </c>
      <c r="D188" s="30" t="s">
        <v>3</v>
      </c>
    </row>
    <row r="189" spans="1:4" ht="15" customHeight="1">
      <c r="A189" s="29" t="str">
        <f t="shared" si="15"/>
        <v>IMp.Commands.coRepair</v>
      </c>
      <c r="B189">
        <v>1</v>
      </c>
      <c r="C189" t="s">
        <v>1</v>
      </c>
      <c r="D189" s="30">
        <v>11</v>
      </c>
    </row>
    <row r="190" spans="1:4" ht="15" customHeight="1">
      <c r="A190" s="29" t="str">
        <f t="shared" si="15"/>
        <v>IMp.Commands.coRepair</v>
      </c>
      <c r="B190">
        <v>4000000</v>
      </c>
      <c r="C190" t="s">
        <v>0</v>
      </c>
      <c r="D190" s="415" t="s">
        <v>2907</v>
      </c>
    </row>
    <row r="191" spans="1:4" ht="15" customHeight="1">
      <c r="A191" s="26" t="str">
        <f t="shared" si="15"/>
        <v>IMp.Commands.coRepair</v>
      </c>
      <c r="B191" s="27">
        <v>7000000</v>
      </c>
      <c r="C191" s="27" t="s">
        <v>6</v>
      </c>
      <c r="D191" s="28">
        <v>2</v>
      </c>
    </row>
  </sheetData>
  <autoFilter ref="B1:B192" xr:uid="{00000000-0009-0000-0000-000022000000}"/>
  <mergeCells count="6">
    <mergeCell ref="Q42:Q44"/>
    <mergeCell ref="Q24:Q27"/>
    <mergeCell ref="Q28:Q29"/>
    <mergeCell ref="Q33:Q35"/>
    <mergeCell ref="Q30:Q32"/>
    <mergeCell ref="Q39:Q41"/>
  </mergeCell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Лист203">
    <tabColor rgb="FFFFC000"/>
  </sheetPr>
  <dimension ref="A1:BA192"/>
  <sheetViews>
    <sheetView topLeftCell="A4" zoomScale="85" zoomScaleNormal="85" workbookViewId="0">
      <selection activeCell="D2" sqref="D2:D4"/>
    </sheetView>
  </sheetViews>
  <sheetFormatPr defaultRowHeight="14.4"/>
  <cols>
    <col min="1" max="1" width="37.109375" customWidth="1"/>
    <col min="2" max="2" width="9.5546875" customWidth="1"/>
    <col min="4" max="4" width="63.88671875" customWidth="1"/>
    <col min="5" max="15" width="9.109375"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7.33203125" customWidth="1"/>
    <col min="56" max="56" width="10.33203125" customWidth="1"/>
    <col min="57" max="57" width="10" customWidth="1"/>
    <col min="59" max="59" width="7.109375" customWidth="1"/>
    <col min="60" max="60" width="10.88671875" customWidth="1"/>
    <col min="62" max="62" width="65.109375" customWidth="1"/>
  </cols>
  <sheetData>
    <row r="1" spans="1:53" s="258" customFormat="1" ht="204.6" thickBot="1">
      <c r="A1" s="257"/>
      <c r="B1" s="257" t="s">
        <v>84</v>
      </c>
      <c r="C1" s="257"/>
      <c r="D1" s="257"/>
      <c r="E1" s="257"/>
      <c r="F1" s="257"/>
      <c r="P1" s="704" t="str">
        <f>Таблица!D1</f>
        <v>Префикс для TREI
Тэг ОРС для INFINITY</v>
      </c>
      <c r="Q1" s="723" t="str">
        <f>Таблица!E1</f>
        <v>Комментарий для TREI и INFINITY</v>
      </c>
      <c r="R1" s="726" t="str">
        <f>Таблица!F1</f>
        <v>ТЭГ в дереве INFINITY Server</v>
      </c>
      <c r="S1" s="723"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725" t="str">
        <f>Таблица!H1</f>
        <v>OPC путь 
№ маршрута Modbus TCP, Modbus RTU, Modbus over TCP (1-255)
№ КП IEC104 (1-65534)</v>
      </c>
      <c r="U1" s="724" t="str">
        <f>Таблица!I1</f>
        <v>OPC путь</v>
      </c>
      <c r="V1" s="724" t="str">
        <f>Таблица!J1</f>
        <v>Мнемосхема</v>
      </c>
      <c r="W1" s="722"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722"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722" t="str">
        <f>Таблица!M1</f>
        <v>FB_IMt_MON_S, IMt_MON: Только для трансформатора. Цвет нижних обмоток(-ки) при наличии напряжения</v>
      </c>
      <c r="Z1" s="722"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722"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722" t="str">
        <f>Таблица!P1</f>
        <v xml:space="preserve">FB_DI_S, FB_DO_S, DI, DI_DIAG, FB_DO_STB_S: Тип сигнализации (Авария, предупреждение, телесигнализация и тд.)
FB_SHPS_S(SB), FB_BTF_S: Тип сигнализации XFRX
</v>
      </c>
      <c r="AC1" s="722"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722" t="str">
        <f>Таблица!R1</f>
        <v>SEPAM: Тип ячейки (OL,SV,VV,TN)
BMRZ: Тип ячейки (VV,AV)
TOR: Тип ячейки (OL,SV,VV,TN,BK)</v>
      </c>
      <c r="AE1" s="723" t="str">
        <f>Таблица!S1</f>
        <v>Формула для fNoLink.Device</v>
      </c>
      <c r="AF1" s="722">
        <f>Таблица!T1</f>
        <v>0</v>
      </c>
      <c r="AG1" s="722">
        <f>Таблица!U1</f>
        <v>0</v>
      </c>
      <c r="AH1" s="722">
        <f>Таблица!V1</f>
        <v>0</v>
      </c>
      <c r="AI1" s="722">
        <f>Таблица!W1</f>
        <v>0</v>
      </c>
      <c r="AJ1" s="722">
        <f>Таблица!X1</f>
        <v>0</v>
      </c>
      <c r="AK1" s="721" t="str">
        <f>Таблица!Y1</f>
        <v>FB_AI_S, FB_DI_S, FB_QSA_S, FB_DO_S, FB_SHPS_S, FB_SHOP_S, FB_BTF_S: IVXX
FB_KL_UPT_S: ISON
SW_S301, SW_MES3508: Подключение к порту 1
SW_MAYAK: Подключение к порту 1,2 (через "\")
DI_DIAG, DO_DIAG: XVLX</v>
      </c>
      <c r="AL1" s="721"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721"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721" t="str">
        <f>Таблица!AB1</f>
        <v>FB_IMstp_S, FB_IMsp_S, FB_IMs_S, FB_REG_S, FB_IM_ADES_S : ILCX
SW_S301: Подключение к порту 4
SW_MAYAK, SW_MES3508: Подключение к порту 7,8 (через "\")</v>
      </c>
      <c r="AO1" s="721" t="str">
        <f>Таблица!AC1</f>
        <v xml:space="preserve">FB_IMstp_S, FB_IMsp_S, FB_IMs_S, FB_IMp_S, FB_IMv_S, FB_REG_S, FB_IM_ADES_S, FB_DO_S : IRCX
SW_S301, SW_MES3508: Подключение к порту 5
SW_MAYAK: Подключение к порту 9,10 (через "\")
</v>
      </c>
      <c r="AP1" s="721"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721"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721" t="str">
        <f>Таблица!AF1</f>
        <v xml:space="preserve">FB_IMstp_S, FB_IMsp_S, FB_IMs_S, FB_IMp_S, FB_IMv_S, FB_IM_ADES_S, FB_OZK_KD_S, FB_DO_S: OXOF
SW_S301, SW_MES3508: Подключение к порту 8
SW_MAYAK: Подключение к порту 15,16 (через "\")
</v>
      </c>
      <c r="AS1" s="721" t="str">
        <f>Таблица!AG1</f>
        <v xml:space="preserve">FB_IM_ADES_S, FB_IMp_S, FB_IMv_S: OXSP
FB_IMstp_S, FB_IMsp_S, FB_IMsp_MON_S: IPTC
SW_S301, SW_MES3508: Подключение к порту 9
SW_MAYAK: Подключение к порту 17,18 (через "\")
</v>
      </c>
      <c r="AT1" s="721" t="str">
        <f>Таблица!AH1</f>
        <v xml:space="preserve">FB_IMstp_S, FB_IMst_MON_S, FB_IMt_MON_S: ITON
FB_IM_ADES_S: IOLD
SW_S301, SW_MES3508: Подключение к порту 10
SW_MAYAK: Подключение к порту 19,20 (через "\")
</v>
      </c>
      <c r="AU1" s="721" t="str">
        <f>Таблица!AI1</f>
        <v>FB_IMstp_S, FB_IMst_MON_S, FB_IMt_MON_S: ITOF
FB_IM_ADES_S: IRAD
SW_MAYAK: Подключение к порту 21,22 (через "\")</v>
      </c>
      <c r="AV1" s="721" t="str">
        <f>Таблица!AJ1</f>
        <v xml:space="preserve">FB_IMstp_S, FB_IMsp_S, FB_IMsp_MON_S, FB_IM_ADES_S: IPTO
SW_MAYAK: Подключение к порту 23,24 (через "\")
</v>
      </c>
      <c r="AW1" s="720"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720" t="str">
        <f>Таблица!AL1</f>
        <v>Для TREI
FB_IMstp_S, FB_IMs_S, FB_IMp_S, FB_IMv_S, FB_IM_ADES_S: Настройка перехода ручной-/автоматический-(TRUE/FALSE) 
FB_DI_S: Генерировать метки времени (TRUE/FALSE)</v>
      </c>
      <c r="AY1" s="720"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720" t="str">
        <f>Таблица!AN1</f>
        <v>Для TREI
FB_AI_S, FB_QSA_S: Верхний предел датчика
FB_IMp_S, FB_IMv_S, FB_IM_ADES_S, FB_OZK_KD_S: Время перестановки</v>
      </c>
      <c r="BA1" s="720"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row>
    <row r="2" spans="1:53" ht="15" customHeight="1">
      <c r="A2" s="10"/>
      <c r="B2" s="10"/>
      <c r="C2" s="10"/>
      <c r="D2" s="330" t="s">
        <v>2340</v>
      </c>
      <c r="E2" s="10"/>
      <c r="F2" s="10"/>
      <c r="P2" s="2"/>
      <c r="Q2" s="2" t="s">
        <v>2698</v>
      </c>
      <c r="R2" s="2" t="s">
        <v>2332</v>
      </c>
      <c r="S2" s="3">
        <v>1</v>
      </c>
      <c r="T2" s="3" t="s">
        <v>2578</v>
      </c>
      <c r="U2" s="3"/>
      <c r="V2" s="3" t="s">
        <v>569</v>
      </c>
      <c r="W2" s="3"/>
      <c r="X2" s="3"/>
      <c r="Y2" s="3"/>
      <c r="Z2" s="3">
        <v>30</v>
      </c>
      <c r="AA2" s="3"/>
      <c r="AB2" s="2"/>
      <c r="AC2" s="2"/>
      <c r="AD2" s="2"/>
      <c r="AE2" s="2" t="s">
        <v>1414</v>
      </c>
      <c r="AF2" s="2"/>
      <c r="AG2" s="2"/>
      <c r="AH2" s="2"/>
      <c r="AI2" s="2"/>
      <c r="AJ2" s="2"/>
      <c r="AK2" s="2" t="s">
        <v>293</v>
      </c>
      <c r="AL2" s="2" t="s">
        <v>2700</v>
      </c>
      <c r="AM2" s="2" t="s">
        <v>2701</v>
      </c>
      <c r="AN2" s="2" t="s">
        <v>2699</v>
      </c>
      <c r="AO2" s="2" t="s">
        <v>2704</v>
      </c>
      <c r="AP2" s="2" t="s">
        <v>2705</v>
      </c>
      <c r="AQ2" s="2" t="s">
        <v>2706</v>
      </c>
      <c r="AR2" s="2" t="s">
        <v>2707</v>
      </c>
      <c r="AS2" s="2" t="s">
        <v>2708</v>
      </c>
      <c r="AT2" s="2" t="s">
        <v>2709</v>
      </c>
      <c r="AU2" s="2" t="s">
        <v>293</v>
      </c>
      <c r="AV2" s="2" t="s">
        <v>293</v>
      </c>
      <c r="AW2" s="2"/>
      <c r="AX2" s="2"/>
      <c r="AY2" s="2"/>
      <c r="AZ2" s="2"/>
      <c r="BA2" s="2"/>
    </row>
    <row r="3" spans="1:53" ht="15" customHeight="1">
      <c r="A3" s="10"/>
      <c r="B3" s="10"/>
      <c r="C3" s="10"/>
      <c r="D3" s="331"/>
      <c r="E3" s="10"/>
      <c r="F3" s="10"/>
      <c r="P3" s="10"/>
      <c r="Q3" s="10"/>
      <c r="R3" s="10"/>
      <c r="S3" s="10"/>
      <c r="T3" s="10"/>
      <c r="U3" s="10"/>
      <c r="V3" s="10"/>
      <c r="W3" s="10"/>
      <c r="X3" s="10"/>
      <c r="Y3" s="10"/>
      <c r="Z3" s="10"/>
      <c r="AA3" s="10"/>
    </row>
    <row r="4" spans="1:53" ht="15" customHeight="1">
      <c r="A4" s="10"/>
      <c r="B4" s="10"/>
      <c r="C4" s="10"/>
      <c r="D4" s="331"/>
      <c r="E4" s="10"/>
      <c r="F4" s="10"/>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row>
    <row r="5" spans="1:53" ht="15" customHeight="1">
      <c r="A5" s="10"/>
      <c r="B5" s="10"/>
      <c r="C5" s="10"/>
      <c r="D5" s="10"/>
      <c r="E5" s="10"/>
      <c r="F5" s="10"/>
      <c r="P5" s="703" t="str">
        <f>Настройки!A2</f>
        <v>Авария</v>
      </c>
      <c r="Q5" s="518">
        <f>Настройки!B2</f>
        <v>4</v>
      </c>
      <c r="R5" s="708" t="str">
        <f>Настройки!C2</f>
        <v>Авария</v>
      </c>
      <c r="S5" s="10"/>
      <c r="T5" s="456">
        <f>Настройки!M12</f>
        <v>1</v>
      </c>
      <c r="U5" s="10"/>
      <c r="V5" s="10"/>
      <c r="W5" s="10"/>
      <c r="X5" s="10"/>
      <c r="Y5" s="10"/>
      <c r="Z5" s="10"/>
      <c r="AA5" s="10"/>
    </row>
    <row r="6" spans="1:53" ht="15" customHeight="1">
      <c r="A6" s="10"/>
      <c r="B6" s="10"/>
      <c r="C6" s="10"/>
      <c r="D6" s="10"/>
      <c r="E6" s="10"/>
      <c r="F6" s="10"/>
      <c r="P6" s="703" t="str">
        <f>Настройки!A3</f>
        <v>Предупреждение</v>
      </c>
      <c r="Q6" s="518">
        <f>Настройки!B3</f>
        <v>8</v>
      </c>
      <c r="R6" s="708" t="str">
        <f>Настройки!C3</f>
        <v>Предупреждение</v>
      </c>
      <c r="S6" s="10"/>
      <c r="T6" s="608" t="str">
        <f>Настройки!M7</f>
        <v>Отображение Таблицы подлючений в диаг.</v>
      </c>
      <c r="U6" s="10"/>
      <c r="V6" s="10"/>
      <c r="W6" s="10"/>
      <c r="X6" s="10"/>
      <c r="Y6" s="10"/>
      <c r="Z6" s="10"/>
      <c r="AA6" s="10"/>
    </row>
    <row r="7" spans="1:53" ht="15" customHeight="1">
      <c r="A7" s="10"/>
      <c r="B7" s="10"/>
      <c r="C7" s="10"/>
      <c r="D7" s="10"/>
      <c r="E7" s="10"/>
      <c r="F7" s="10"/>
      <c r="P7" s="703" t="str">
        <f>Настройки!A4</f>
        <v>Неисправность</v>
      </c>
      <c r="Q7" s="518">
        <f>Настройки!B4</f>
        <v>12</v>
      </c>
      <c r="R7" s="708" t="str">
        <f>Настройки!C4</f>
        <v>Неисправность</v>
      </c>
      <c r="S7" s="10"/>
      <c r="T7" s="714" t="b">
        <f>Настройки!M8</f>
        <v>0</v>
      </c>
      <c r="U7" s="10"/>
      <c r="V7" s="10"/>
      <c r="W7" s="10"/>
      <c r="X7" s="10"/>
      <c r="Y7" s="10"/>
      <c r="Z7" s="10"/>
      <c r="AA7" s="10"/>
    </row>
    <row r="8" spans="1:53" ht="15" customHeight="1">
      <c r="A8" s="10"/>
      <c r="B8" s="10"/>
      <c r="C8" s="10"/>
      <c r="D8" s="10"/>
      <c r="E8" s="10"/>
      <c r="F8" s="10"/>
      <c r="P8" s="703" t="str">
        <f>Настройки!A5</f>
        <v>Телесигнализация</v>
      </c>
      <c r="Q8" s="518">
        <f>Настройки!B5</f>
        <v>18</v>
      </c>
      <c r="R8" s="708" t="str">
        <f>Настройки!C5</f>
        <v>Телесигнализация</v>
      </c>
      <c r="S8" s="10"/>
      <c r="T8" s="10"/>
      <c r="U8" s="10"/>
      <c r="V8" s="10"/>
      <c r="W8" s="10"/>
      <c r="X8" s="10"/>
      <c r="Y8" s="10"/>
      <c r="Z8" s="10"/>
      <c r="AA8" s="10"/>
    </row>
    <row r="9" spans="1:53" ht="15" customHeight="1">
      <c r="A9" s="10"/>
      <c r="B9" s="10"/>
      <c r="C9" s="10"/>
      <c r="D9" s="10"/>
      <c r="E9" s="10"/>
      <c r="F9" s="10"/>
      <c r="P9" s="703" t="str">
        <f>Настройки!A6</f>
        <v>Недостоверность</v>
      </c>
      <c r="Q9" s="518">
        <f>Настройки!B6</f>
        <v>10</v>
      </c>
      <c r="R9" s="708" t="str">
        <f>Настройки!C6</f>
        <v>Недостоверность</v>
      </c>
      <c r="S9" s="10"/>
      <c r="T9" s="10"/>
      <c r="U9" s="10"/>
      <c r="V9" s="10"/>
      <c r="W9" s="10"/>
      <c r="X9" s="10"/>
      <c r="Y9" s="10"/>
      <c r="Z9" s="10"/>
      <c r="AA9" s="10"/>
    </row>
    <row r="10" spans="1:53" ht="15" customHeight="1">
      <c r="A10" s="10"/>
      <c r="B10" s="10"/>
      <c r="C10" s="10"/>
      <c r="D10" s="10"/>
      <c r="E10" s="10"/>
      <c r="F10" s="10"/>
      <c r="P10" s="703" t="str">
        <f>Настройки!A7</f>
        <v>Имитация</v>
      </c>
      <c r="Q10" s="518">
        <f>Настройки!B7</f>
        <v>16</v>
      </c>
      <c r="R10" s="708" t="str">
        <f>Настройки!C7</f>
        <v>Имитация</v>
      </c>
      <c r="S10" s="10"/>
      <c r="T10" s="10"/>
      <c r="U10" s="10"/>
      <c r="V10" s="10"/>
      <c r="W10" s="10"/>
      <c r="X10" s="10"/>
      <c r="Y10" s="10"/>
      <c r="Z10" s="10"/>
      <c r="AA10" s="10"/>
    </row>
    <row r="11" spans="1:53" ht="15" customHeight="1">
      <c r="A11" s="10"/>
      <c r="B11" s="10"/>
      <c r="C11" s="10"/>
      <c r="D11" s="10"/>
      <c r="E11" s="10"/>
      <c r="F11" s="10"/>
      <c r="P11" s="703" t="str">
        <f>Настройки!A8</f>
        <v>Ремонт</v>
      </c>
      <c r="Q11" s="518">
        <f>Настройки!B8</f>
        <v>14</v>
      </c>
      <c r="R11" s="708" t="str">
        <f>Настройки!C8</f>
        <v>Ремонт</v>
      </c>
      <c r="S11" s="10"/>
      <c r="T11" s="10"/>
      <c r="U11" s="10"/>
      <c r="V11" s="10"/>
      <c r="W11" s="10"/>
      <c r="X11" s="10"/>
      <c r="Y11" s="10"/>
      <c r="Z11" s="10"/>
      <c r="AA11" s="10"/>
    </row>
    <row r="12" spans="1:53" ht="15" customHeight="1">
      <c r="A12" s="10"/>
      <c r="B12" s="10"/>
      <c r="C12" s="10"/>
      <c r="D12" s="10"/>
      <c r="E12" s="10"/>
      <c r="F12" s="10"/>
      <c r="P12" s="703" t="str">
        <f>Настройки!A9</f>
        <v>Команда оператора</v>
      </c>
      <c r="Q12" s="518">
        <f>Настройки!B9</f>
        <v>20</v>
      </c>
      <c r="R12" s="708" t="str">
        <f>Настройки!C9</f>
        <v>Команда оператора</v>
      </c>
      <c r="S12" s="10"/>
      <c r="T12" s="10"/>
      <c r="U12" s="10"/>
      <c r="V12" s="10"/>
      <c r="W12" s="10"/>
      <c r="X12" s="10"/>
      <c r="Y12" s="10"/>
      <c r="Z12" s="10"/>
      <c r="AA12" s="10"/>
    </row>
    <row r="13" spans="1:53" ht="15" customHeight="1">
      <c r="A13" s="10"/>
      <c r="B13" s="10"/>
      <c r="C13" s="10"/>
      <c r="D13" s="10"/>
      <c r="E13" s="10"/>
      <c r="F13" s="10"/>
      <c r="P13" s="703" t="str">
        <f>Настройки!A10</f>
        <v>Тревога</v>
      </c>
      <c r="Q13" s="518">
        <f>Настройки!B10</f>
        <v>5</v>
      </c>
      <c r="R13" s="518" t="str">
        <f>Настройки!C10</f>
        <v>Тревога</v>
      </c>
      <c r="S13" s="10"/>
      <c r="T13" s="10"/>
      <c r="U13" s="10"/>
      <c r="V13" s="10"/>
      <c r="W13" s="10"/>
      <c r="X13" s="10"/>
      <c r="Y13" s="10"/>
      <c r="Z13" s="10"/>
      <c r="AA13" s="10"/>
    </row>
    <row r="14" spans="1:53" ht="15" customHeight="1">
      <c r="A14" s="10"/>
      <c r="B14" s="10"/>
      <c r="C14" s="10"/>
      <c r="D14" s="10"/>
      <c r="E14" s="10"/>
      <c r="F14" s="10"/>
      <c r="P14" s="703" t="str">
        <f>Настройки!A11</f>
        <v>Тушение</v>
      </c>
      <c r="Q14" s="518">
        <f>Настройки!B11</f>
        <v>1</v>
      </c>
      <c r="R14" s="518" t="str">
        <f>Настройки!C11</f>
        <v>Тушение</v>
      </c>
      <c r="S14" s="10"/>
      <c r="T14" s="10"/>
      <c r="U14" s="10"/>
      <c r="V14" s="10"/>
      <c r="W14" s="10"/>
      <c r="X14" s="10"/>
      <c r="Y14" s="10"/>
      <c r="Z14" s="10"/>
      <c r="AA14" s="10"/>
    </row>
    <row r="15" spans="1:53" ht="15" customHeight="1">
      <c r="A15" s="10"/>
      <c r="B15" s="10"/>
      <c r="C15" s="10"/>
      <c r="D15" s="10"/>
      <c r="E15" s="10"/>
      <c r="F15" s="10"/>
      <c r="P15" s="703" t="str">
        <f>Настройки!A12</f>
        <v>Пожар</v>
      </c>
      <c r="Q15" s="518">
        <f>Настройки!B12</f>
        <v>2</v>
      </c>
      <c r="R15" s="518" t="str">
        <f>Настройки!C12</f>
        <v>Пожар</v>
      </c>
      <c r="S15" s="10"/>
      <c r="T15" s="10"/>
      <c r="U15" s="10"/>
      <c r="V15" s="10"/>
      <c r="W15" s="10"/>
      <c r="X15" s="10"/>
      <c r="Y15" s="10"/>
      <c r="Z15" s="10"/>
      <c r="AA15" s="10"/>
    </row>
    <row r="16" spans="1:53" ht="15" customHeight="1">
      <c r="A16" s="10"/>
      <c r="B16" s="10"/>
      <c r="C16" s="10"/>
      <c r="D16" s="10"/>
      <c r="E16" s="10"/>
      <c r="F16" s="10"/>
      <c r="P16" s="703" t="str">
        <f>Настройки!A13</f>
        <v>Порог 2</v>
      </c>
      <c r="Q16" s="518">
        <f>Настройки!B13</f>
        <v>3</v>
      </c>
      <c r="R16" s="518" t="str">
        <f>Настройки!C13</f>
        <v>Порог 2</v>
      </c>
      <c r="S16" s="10"/>
      <c r="T16" s="10"/>
      <c r="U16" s="10"/>
      <c r="V16" s="10"/>
      <c r="W16" s="10"/>
      <c r="X16" s="10"/>
      <c r="Y16" s="10"/>
      <c r="Z16" s="10"/>
      <c r="AA16" s="10"/>
    </row>
    <row r="17" spans="1:27" ht="15" customHeight="1">
      <c r="A17" s="10"/>
      <c r="B17" s="10"/>
      <c r="C17" s="10"/>
      <c r="D17" s="10"/>
      <c r="E17" s="10"/>
      <c r="F17" s="10"/>
      <c r="P17" s="703" t="str">
        <f>Настройки!A14</f>
        <v>Порог 1</v>
      </c>
      <c r="Q17" s="518">
        <f>Настройки!B14</f>
        <v>6</v>
      </c>
      <c r="R17" s="518" t="str">
        <f>Настройки!C14</f>
        <v>Порог 1</v>
      </c>
      <c r="S17" s="10"/>
      <c r="T17" s="10"/>
      <c r="U17" s="10"/>
      <c r="V17" s="10"/>
      <c r="W17" s="10"/>
      <c r="X17" s="10"/>
      <c r="Y17" s="10"/>
      <c r="Z17" s="10"/>
      <c r="AA17" s="10"/>
    </row>
    <row r="18" spans="1:27" ht="15" customHeight="1">
      <c r="A18" s="10"/>
      <c r="B18" s="10"/>
      <c r="C18" s="10"/>
      <c r="D18" s="10"/>
      <c r="E18" s="10"/>
      <c r="F18" s="10"/>
      <c r="P18" s="703" t="str">
        <f>Настройки!A15</f>
        <v>Отключение</v>
      </c>
      <c r="Q18" s="518">
        <f>Настройки!B15</f>
        <v>13</v>
      </c>
      <c r="R18" s="518" t="str">
        <f>Настройки!C15</f>
        <v>Отключение</v>
      </c>
      <c r="S18" s="10"/>
      <c r="T18" s="10"/>
      <c r="U18" s="10"/>
      <c r="V18" s="10"/>
      <c r="W18" s="10"/>
      <c r="X18" s="10"/>
      <c r="Y18" s="10"/>
      <c r="Z18" s="10"/>
      <c r="AA18" s="10"/>
    </row>
    <row r="19" spans="1:27" ht="15" customHeight="1">
      <c r="A19" s="10"/>
      <c r="B19" s="10"/>
      <c r="C19" s="10"/>
      <c r="D19" s="240" t="s">
        <v>2696</v>
      </c>
      <c r="E19" s="10"/>
      <c r="F19" s="10"/>
      <c r="P19" s="703" t="str">
        <f>Настройки!A16</f>
        <v>Информация</v>
      </c>
      <c r="Q19" s="518">
        <f>Настройки!B16</f>
        <v>22</v>
      </c>
      <c r="R19" s="518" t="str">
        <f>Настройки!C16</f>
        <v>Информация</v>
      </c>
      <c r="S19" s="10"/>
      <c r="T19" s="10"/>
      <c r="U19" s="10"/>
      <c r="V19" s="10"/>
      <c r="W19" s="10"/>
      <c r="X19" s="10"/>
      <c r="Y19" s="10"/>
      <c r="Z19" s="10"/>
      <c r="AA19" s="10"/>
    </row>
    <row r="20" spans="1:27">
      <c r="A20" s="23" t="str">
        <f t="shared" ref="A20:A37" si="0">$R$2</f>
        <v>IMv</v>
      </c>
      <c r="B20" s="24">
        <v>7011</v>
      </c>
      <c r="C20" s="24" t="s">
        <v>2</v>
      </c>
      <c r="D20" s="25" t="s">
        <v>266</v>
      </c>
    </row>
    <row r="21" spans="1:27" ht="15" customHeight="1">
      <c r="A21" s="23" t="str">
        <f t="shared" si="0"/>
        <v>IMv</v>
      </c>
      <c r="B21" s="24">
        <v>11001</v>
      </c>
      <c r="C21" s="24" t="s">
        <v>0</v>
      </c>
      <c r="D21" s="25" t="str">
        <f>$Q$2&amp;". "</f>
        <v xml:space="preserve">Задвижка (шаблон Modbus RTU/over TCP). </v>
      </c>
    </row>
    <row r="22" spans="1:27" ht="15" customHeight="1">
      <c r="A22" s="29" t="str">
        <f t="shared" si="0"/>
        <v>IMv</v>
      </c>
      <c r="B22">
        <v>11156</v>
      </c>
      <c r="C22" t="s">
        <v>0</v>
      </c>
      <c r="D22" s="30" t="str">
        <f>$V$2</f>
        <v>Тестовый экран</v>
      </c>
    </row>
    <row r="23" spans="1:27" ht="15" customHeight="1">
      <c r="A23" s="26" t="str">
        <f t="shared" si="0"/>
        <v>IMv</v>
      </c>
      <c r="B23" s="27">
        <v>1</v>
      </c>
      <c r="C23" s="27" t="s">
        <v>1</v>
      </c>
      <c r="D23" s="28">
        <v>17</v>
      </c>
    </row>
    <row r="24" spans="1:27" ht="15" customHeight="1">
      <c r="A24" s="23" t="str">
        <f t="shared" si="0"/>
        <v>IMv</v>
      </c>
      <c r="B24" s="24">
        <v>13</v>
      </c>
      <c r="C24" s="24" t="s">
        <v>2</v>
      </c>
      <c r="D24" s="25" t="s">
        <v>3</v>
      </c>
      <c r="Q24" s="778" t="s">
        <v>2592</v>
      </c>
    </row>
    <row r="25" spans="1:27" ht="15" customHeight="1">
      <c r="A25" s="29" t="str">
        <f t="shared" si="0"/>
        <v>IMv</v>
      </c>
      <c r="B25">
        <v>3000013</v>
      </c>
      <c r="C25" t="s">
        <v>0</v>
      </c>
      <c r="D25" s="30" t="str">
        <f>$AE$2</f>
        <v>Диагностика.CPU.NOT_LINK.noLink</v>
      </c>
      <c r="Q25" s="780"/>
    </row>
    <row r="26" spans="1:27" ht="15" customHeight="1">
      <c r="A26" s="29" t="str">
        <f t="shared" si="0"/>
        <v>IMv</v>
      </c>
      <c r="B26">
        <v>4000013</v>
      </c>
      <c r="C26" t="s">
        <v>0</v>
      </c>
      <c r="D26" s="30" t="s">
        <v>1775</v>
      </c>
      <c r="Q26" s="780"/>
    </row>
    <row r="27" spans="1:27" ht="15" customHeight="1">
      <c r="A27" s="26" t="str">
        <f t="shared" si="0"/>
        <v>IMv</v>
      </c>
      <c r="B27" s="27">
        <v>7000013</v>
      </c>
      <c r="C27" s="27" t="s">
        <v>6</v>
      </c>
      <c r="D27" s="28">
        <v>2</v>
      </c>
      <c r="Q27" s="779"/>
    </row>
    <row r="28" spans="1:27" ht="15" customHeight="1">
      <c r="A28" s="29" t="str">
        <f t="shared" si="0"/>
        <v>IMv</v>
      </c>
      <c r="B28">
        <v>9207</v>
      </c>
      <c r="C28" t="s">
        <v>2</v>
      </c>
      <c r="D28" s="30" t="s">
        <v>3</v>
      </c>
      <c r="Q28" s="778" t="s">
        <v>139</v>
      </c>
    </row>
    <row r="29" spans="1:27">
      <c r="A29" s="27" t="str">
        <f t="shared" si="0"/>
        <v>IMv</v>
      </c>
      <c r="B29" s="27">
        <v>3009207</v>
      </c>
      <c r="C29" s="27" t="s">
        <v>0</v>
      </c>
      <c r="D29" s="28" t="s">
        <v>2596</v>
      </c>
      <c r="Q29" s="779"/>
    </row>
    <row r="30" spans="1:27" ht="15" customHeight="1">
      <c r="A30" s="16" t="str">
        <f t="shared" si="0"/>
        <v>IMv</v>
      </c>
      <c r="B30" s="17">
        <v>9229</v>
      </c>
      <c r="C30" s="17" t="s">
        <v>2</v>
      </c>
      <c r="D30" s="18" t="s">
        <v>3</v>
      </c>
      <c r="Q30" s="778" t="s">
        <v>2684</v>
      </c>
    </row>
    <row r="31" spans="1:27">
      <c r="A31" s="19" t="str">
        <f t="shared" si="0"/>
        <v>IMv</v>
      </c>
      <c r="B31" s="11">
        <v>7009229</v>
      </c>
      <c r="C31" s="11" t="s">
        <v>6</v>
      </c>
      <c r="D31" s="20">
        <v>1</v>
      </c>
      <c r="Q31" s="780"/>
    </row>
    <row r="32" spans="1:27">
      <c r="A32" s="21" t="str">
        <f t="shared" si="0"/>
        <v>IMv</v>
      </c>
      <c r="B32" s="8">
        <v>4009229</v>
      </c>
      <c r="C32" s="8" t="s">
        <v>0</v>
      </c>
      <c r="D32" s="742" t="s">
        <v>2685</v>
      </c>
      <c r="Q32" s="779"/>
    </row>
    <row r="33" spans="1:17" ht="15" customHeight="1">
      <c r="A33" s="19" t="str">
        <f t="shared" si="0"/>
        <v>IMv</v>
      </c>
      <c r="B33" s="11">
        <v>9230</v>
      </c>
      <c r="C33" s="11" t="s">
        <v>2</v>
      </c>
      <c r="D33" s="20" t="s">
        <v>3</v>
      </c>
      <c r="Q33" s="778" t="s">
        <v>2686</v>
      </c>
    </row>
    <row r="34" spans="1:17">
      <c r="A34" s="19" t="str">
        <f t="shared" si="0"/>
        <v>IMv</v>
      </c>
      <c r="B34" s="11">
        <v>7009230</v>
      </c>
      <c r="C34" s="11" t="s">
        <v>6</v>
      </c>
      <c r="D34" s="20">
        <v>1</v>
      </c>
      <c r="Q34" s="780"/>
    </row>
    <row r="35" spans="1:17">
      <c r="A35" s="21" t="str">
        <f t="shared" si="0"/>
        <v>IMv</v>
      </c>
      <c r="B35" s="8">
        <v>4009230</v>
      </c>
      <c r="C35" s="8" t="s">
        <v>0</v>
      </c>
      <c r="D35" s="742" t="s">
        <v>2687</v>
      </c>
      <c r="Q35" s="779"/>
    </row>
    <row r="36" spans="1:17">
      <c r="A36" s="747" t="str">
        <f t="shared" si="0"/>
        <v>IMv</v>
      </c>
      <c r="B36" s="550">
        <v>9204</v>
      </c>
      <c r="C36" s="550" t="s">
        <v>6</v>
      </c>
      <c r="D36" s="748">
        <v>0</v>
      </c>
      <c r="Q36" s="518" t="s">
        <v>2595</v>
      </c>
    </row>
    <row r="37" spans="1:17">
      <c r="A37" s="747" t="str">
        <f t="shared" si="0"/>
        <v>IMv</v>
      </c>
      <c r="B37" s="550">
        <v>9205</v>
      </c>
      <c r="C37" s="550" t="s">
        <v>6</v>
      </c>
      <c r="D37" s="748">
        <v>0</v>
      </c>
      <c r="Q37" s="518" t="s">
        <v>343</v>
      </c>
    </row>
    <row r="38" spans="1:17">
      <c r="A38" s="4" t="str">
        <f>$R$2&amp;".Commands"</f>
        <v>IMv.Commands</v>
      </c>
      <c r="B38" s="17">
        <v>7011</v>
      </c>
      <c r="C38" s="17" t="s">
        <v>2</v>
      </c>
      <c r="D38" s="18" t="s">
        <v>266</v>
      </c>
    </row>
    <row r="39" spans="1:17" ht="15" customHeight="1">
      <c r="A39" s="4" t="str">
        <f t="shared" ref="A39:A47" si="1">$R$2&amp;".Commands"</f>
        <v>IMv.Commands</v>
      </c>
      <c r="B39" s="4">
        <v>1</v>
      </c>
      <c r="C39" s="4" t="s">
        <v>1</v>
      </c>
      <c r="D39" s="20">
        <v>17</v>
      </c>
    </row>
    <row r="40" spans="1:17">
      <c r="A40" s="16" t="str">
        <f t="shared" si="1"/>
        <v>IMv.Commands</v>
      </c>
      <c r="B40" s="17">
        <v>9208</v>
      </c>
      <c r="C40" s="17" t="s">
        <v>2</v>
      </c>
      <c r="D40" s="18" t="s">
        <v>175</v>
      </c>
      <c r="Q40" s="778" t="s">
        <v>114</v>
      </c>
    </row>
    <row r="41" spans="1:17">
      <c r="A41" s="19" t="str">
        <f t="shared" si="1"/>
        <v>IMv.Commands</v>
      </c>
      <c r="B41" s="4">
        <v>4009208</v>
      </c>
      <c r="C41" s="4" t="s">
        <v>0</v>
      </c>
      <c r="D41" s="749" t="s">
        <v>2585</v>
      </c>
      <c r="Q41" s="780"/>
    </row>
    <row r="42" spans="1:17">
      <c r="A42" s="19" t="str">
        <f t="shared" si="1"/>
        <v>IMv.Commands</v>
      </c>
      <c r="B42" s="4">
        <v>7009208</v>
      </c>
      <c r="C42" s="4" t="s">
        <v>6</v>
      </c>
      <c r="D42" s="20">
        <v>1</v>
      </c>
      <c r="Q42" s="779"/>
    </row>
    <row r="43" spans="1:17">
      <c r="A43" s="16" t="str">
        <f t="shared" si="1"/>
        <v>IMv.Commands</v>
      </c>
      <c r="B43" s="17">
        <v>9209</v>
      </c>
      <c r="C43" s="17" t="s">
        <v>2</v>
      </c>
      <c r="D43" s="18" t="s">
        <v>3</v>
      </c>
      <c r="Q43" s="778" t="s">
        <v>116</v>
      </c>
    </row>
    <row r="44" spans="1:17" ht="16.5" customHeight="1">
      <c r="A44" s="19" t="str">
        <f t="shared" si="1"/>
        <v>IMv.Commands</v>
      </c>
      <c r="B44" s="4">
        <v>4009209</v>
      </c>
      <c r="C44" s="4" t="s">
        <v>0</v>
      </c>
      <c r="D44" s="750" t="s">
        <v>2594</v>
      </c>
      <c r="Q44" s="780"/>
    </row>
    <row r="45" spans="1:17">
      <c r="A45" s="19" t="str">
        <f t="shared" si="1"/>
        <v>IMv.Commands</v>
      </c>
      <c r="B45" s="4">
        <v>7009209</v>
      </c>
      <c r="C45" s="4" t="s">
        <v>6</v>
      </c>
      <c r="D45" s="20">
        <v>1</v>
      </c>
      <c r="Q45" s="779"/>
    </row>
    <row r="46" spans="1:17">
      <c r="A46" s="747" t="str">
        <f t="shared" si="1"/>
        <v>IMv.Commands</v>
      </c>
      <c r="B46" s="550">
        <v>9211</v>
      </c>
      <c r="C46" s="550" t="s">
        <v>6</v>
      </c>
      <c r="D46" s="748">
        <v>0</v>
      </c>
      <c r="Q46" s="537" t="s">
        <v>2593</v>
      </c>
    </row>
    <row r="47" spans="1:17" ht="15" customHeight="1">
      <c r="A47" s="19" t="str">
        <f t="shared" si="1"/>
        <v>IMv.Commands</v>
      </c>
      <c r="B47" s="4">
        <v>9213</v>
      </c>
      <c r="C47" s="4" t="s">
        <v>2583</v>
      </c>
      <c r="D47" s="20">
        <f>$Z$2</f>
        <v>30</v>
      </c>
      <c r="Q47" s="537" t="s">
        <v>128</v>
      </c>
    </row>
    <row r="48" spans="1:17" ht="15" customHeight="1">
      <c r="A48" s="63" t="str">
        <f t="shared" ref="A48:A58" si="2">$R$2&amp;".wLoc"</f>
        <v>IMv.wLoc</v>
      </c>
      <c r="B48" s="52">
        <v>11154</v>
      </c>
      <c r="C48" s="52" t="s">
        <v>4</v>
      </c>
      <c r="D48" s="98">
        <v>2</v>
      </c>
    </row>
    <row r="49" spans="1:4" ht="15" customHeight="1">
      <c r="A49" s="63" t="str">
        <f t="shared" si="2"/>
        <v>IMv.wLoc</v>
      </c>
      <c r="B49" s="52">
        <v>11150</v>
      </c>
      <c r="C49" s="52" t="s">
        <v>0</v>
      </c>
      <c r="D49" s="65" t="s">
        <v>188</v>
      </c>
    </row>
    <row r="50" spans="1:4" ht="15" customHeight="1">
      <c r="A50" s="63" t="str">
        <f t="shared" si="2"/>
        <v>IMv.wLoc</v>
      </c>
      <c r="B50" s="52">
        <v>11152</v>
      </c>
      <c r="C50" s="52" t="s">
        <v>0</v>
      </c>
      <c r="D50" s="65" t="str">
        <f>$R$6</f>
        <v>Предупреждение</v>
      </c>
    </row>
    <row r="51" spans="1:4" ht="15" customHeight="1">
      <c r="A51" s="63" t="str">
        <f t="shared" si="2"/>
        <v>IMv.wLoc</v>
      </c>
      <c r="B51" s="52">
        <v>11000</v>
      </c>
      <c r="C51" s="52" t="s">
        <v>5</v>
      </c>
      <c r="D51" s="65">
        <v>2147483680</v>
      </c>
    </row>
    <row r="52" spans="1:4" ht="15" customHeight="1">
      <c r="A52" s="29" t="str">
        <f t="shared" si="2"/>
        <v>IMv.wLoc</v>
      </c>
      <c r="B52">
        <v>8000</v>
      </c>
      <c r="C52" t="s">
        <v>0</v>
      </c>
      <c r="D52" s="205" t="str">
        <f>$S$2&amp;"\"&amp;$T$2&amp;"\3\"&amp;$AN$2&amp;"\16"</f>
        <v>1\2\3\65\16</v>
      </c>
    </row>
    <row r="53" spans="1:4" ht="15" customHeight="1">
      <c r="A53" s="29" t="str">
        <f t="shared" si="2"/>
        <v>IMv.wLoc</v>
      </c>
      <c r="B53">
        <v>101</v>
      </c>
      <c r="C53" t="s">
        <v>0</v>
      </c>
      <c r="D53" s="30" t="s">
        <v>577</v>
      </c>
    </row>
    <row r="54" spans="1:4" ht="15" customHeight="1">
      <c r="A54" s="29" t="str">
        <f t="shared" si="2"/>
        <v>IMv.wLoc</v>
      </c>
      <c r="B54">
        <v>3</v>
      </c>
      <c r="C54" t="s">
        <v>1</v>
      </c>
      <c r="D54" s="30">
        <v>192</v>
      </c>
    </row>
    <row r="55" spans="1:4" ht="15" customHeight="1">
      <c r="A55" s="29" t="str">
        <f t="shared" si="2"/>
        <v>IMv.wLoc</v>
      </c>
      <c r="B55">
        <v>2</v>
      </c>
      <c r="C55" t="s">
        <v>2</v>
      </c>
      <c r="D55" s="30" t="s">
        <v>3</v>
      </c>
    </row>
    <row r="56" spans="1:4" ht="15" customHeight="1">
      <c r="A56" t="str">
        <f t="shared" si="2"/>
        <v>IMv.wLoc</v>
      </c>
      <c r="B56">
        <v>1</v>
      </c>
      <c r="C56" t="s">
        <v>1</v>
      </c>
      <c r="D56" s="30">
        <v>11</v>
      </c>
    </row>
    <row r="57" spans="1:4">
      <c r="A57" s="29" t="str">
        <f t="shared" si="2"/>
        <v>IMv.wLoc</v>
      </c>
      <c r="B57">
        <v>7000000</v>
      </c>
      <c r="C57" t="s">
        <v>6</v>
      </c>
      <c r="D57" s="30">
        <v>1</v>
      </c>
    </row>
    <row r="58" spans="1:4" ht="43.2">
      <c r="A58" s="29" t="str">
        <f t="shared" si="2"/>
        <v>IMv.wLoc</v>
      </c>
      <c r="B58">
        <v>4000000</v>
      </c>
      <c r="C58" t="s">
        <v>0</v>
      </c>
      <c r="D58" s="415" t="s">
        <v>2327</v>
      </c>
    </row>
    <row r="59" spans="1:4" ht="15" customHeight="1">
      <c r="A59" s="69" t="str">
        <f t="shared" ref="A59:A67" si="3">$R$2&amp;".wCntLimit"</f>
        <v>IMv.wCntLimit</v>
      </c>
      <c r="B59" s="70">
        <v>11154</v>
      </c>
      <c r="C59" s="70" t="s">
        <v>4</v>
      </c>
      <c r="D59" s="144">
        <f>$Q$6</f>
        <v>8</v>
      </c>
    </row>
    <row r="60" spans="1:4" ht="15" customHeight="1">
      <c r="A60" s="63" t="str">
        <f t="shared" si="3"/>
        <v>IMv.wCntLimit</v>
      </c>
      <c r="B60" s="52">
        <v>11150</v>
      </c>
      <c r="C60" s="52" t="s">
        <v>0</v>
      </c>
      <c r="D60" s="65" t="s">
        <v>157</v>
      </c>
    </row>
    <row r="61" spans="1:4" ht="15" customHeight="1">
      <c r="A61" s="63" t="str">
        <f t="shared" si="3"/>
        <v>IMv.wCntLimit</v>
      </c>
      <c r="B61" s="52">
        <v>11152</v>
      </c>
      <c r="C61" s="52" t="s">
        <v>0</v>
      </c>
      <c r="D61" s="65" t="str">
        <f>$R$6</f>
        <v>Предупреждение</v>
      </c>
    </row>
    <row r="62" spans="1:4" ht="15" customHeight="1">
      <c r="A62" s="63" t="str">
        <f t="shared" si="3"/>
        <v>IMv.wCntLimit</v>
      </c>
      <c r="B62" s="52">
        <v>11000</v>
      </c>
      <c r="C62" s="52" t="s">
        <v>5</v>
      </c>
      <c r="D62" s="65">
        <v>2147483680</v>
      </c>
    </row>
    <row r="63" spans="1:4" ht="15" customHeight="1">
      <c r="A63" s="29" t="str">
        <f t="shared" si="3"/>
        <v>IMv.wCntLimit</v>
      </c>
      <c r="B63">
        <v>101</v>
      </c>
      <c r="C63" t="s">
        <v>0</v>
      </c>
      <c r="D63" s="30" t="s">
        <v>157</v>
      </c>
    </row>
    <row r="64" spans="1:4" ht="15" customHeight="1">
      <c r="A64" s="29" t="str">
        <f t="shared" si="3"/>
        <v>IMv.wCntLimit</v>
      </c>
      <c r="B64">
        <v>3</v>
      </c>
      <c r="C64" t="s">
        <v>1</v>
      </c>
      <c r="D64" s="30">
        <v>192</v>
      </c>
    </row>
    <row r="65" spans="1:4" ht="15" customHeight="1">
      <c r="A65" s="29" t="str">
        <f t="shared" si="3"/>
        <v>IMv.wCntLimit</v>
      </c>
      <c r="B65">
        <v>2</v>
      </c>
      <c r="C65" t="s">
        <v>2</v>
      </c>
      <c r="D65" s="30" t="s">
        <v>3</v>
      </c>
    </row>
    <row r="66" spans="1:4" ht="15" customHeight="1">
      <c r="A66" t="str">
        <f t="shared" si="3"/>
        <v>IMv.wCntLimit</v>
      </c>
      <c r="B66">
        <v>1</v>
      </c>
      <c r="C66" t="s">
        <v>1</v>
      </c>
      <c r="D66" s="30">
        <v>11</v>
      </c>
    </row>
    <row r="67" spans="1:4">
      <c r="A67" t="str">
        <f t="shared" si="3"/>
        <v>IMv.wCntLimit</v>
      </c>
      <c r="B67" s="27">
        <v>3000000</v>
      </c>
      <c r="C67" s="27" t="s">
        <v>0</v>
      </c>
      <c r="D67" s="28" t="s">
        <v>2330</v>
      </c>
    </row>
    <row r="68" spans="1:4" ht="15" customHeight="1">
      <c r="A68" s="217" t="str">
        <f t="shared" ref="A68:A76" si="4">$R$2&amp;".fFault"</f>
        <v>IMv.fFault</v>
      </c>
      <c r="B68" s="218">
        <v>11154</v>
      </c>
      <c r="C68" s="218" t="s">
        <v>4</v>
      </c>
      <c r="D68" s="219">
        <f>$Q$7</f>
        <v>12</v>
      </c>
    </row>
    <row r="69" spans="1:4" ht="15" customHeight="1">
      <c r="A69" s="211" t="str">
        <f t="shared" si="4"/>
        <v>IMv.fFault</v>
      </c>
      <c r="B69" s="677">
        <v>11150</v>
      </c>
      <c r="C69" s="677" t="s">
        <v>0</v>
      </c>
      <c r="D69" s="213" t="s">
        <v>110</v>
      </c>
    </row>
    <row r="70" spans="1:4" ht="15" customHeight="1">
      <c r="A70" s="211" t="str">
        <f t="shared" si="4"/>
        <v>IMv.fFault</v>
      </c>
      <c r="B70" s="677">
        <v>11152</v>
      </c>
      <c r="C70" s="677" t="s">
        <v>0</v>
      </c>
      <c r="D70" s="213" t="str">
        <f>$R$7</f>
        <v>Неисправность</v>
      </c>
    </row>
    <row r="71" spans="1:4" ht="15" customHeight="1">
      <c r="A71" s="211" t="str">
        <f t="shared" si="4"/>
        <v>IMv.fFault</v>
      </c>
      <c r="B71" s="677">
        <v>11000</v>
      </c>
      <c r="C71" s="677" t="s">
        <v>5</v>
      </c>
      <c r="D71" s="213">
        <v>2147483680</v>
      </c>
    </row>
    <row r="72" spans="1:4" ht="15" customHeight="1">
      <c r="A72" s="29" t="str">
        <f t="shared" si="4"/>
        <v>IMv.fFault</v>
      </c>
      <c r="B72">
        <v>8000</v>
      </c>
      <c r="C72" t="s">
        <v>0</v>
      </c>
      <c r="D72" s="205" t="str">
        <f>$S$2&amp;"\"&amp;$T$2&amp;"\3\"&amp;$AP$2&amp;"\16"</f>
        <v>1\2\3\67\16</v>
      </c>
    </row>
    <row r="73" spans="1:4" ht="15" customHeight="1">
      <c r="A73" s="29" t="str">
        <f t="shared" si="4"/>
        <v>IMv.fFault</v>
      </c>
      <c r="B73">
        <v>101</v>
      </c>
      <c r="C73" t="s">
        <v>0</v>
      </c>
      <c r="D73" s="30" t="s">
        <v>176</v>
      </c>
    </row>
    <row r="74" spans="1:4" ht="15" customHeight="1">
      <c r="A74" s="29" t="str">
        <f t="shared" si="4"/>
        <v>IMv.fFault</v>
      </c>
      <c r="B74">
        <v>3</v>
      </c>
      <c r="C74" t="s">
        <v>1</v>
      </c>
      <c r="D74" s="30">
        <v>192</v>
      </c>
    </row>
    <row r="75" spans="1:4" ht="15" customHeight="1">
      <c r="A75" s="29" t="str">
        <f t="shared" si="4"/>
        <v>IMv.fFault</v>
      </c>
      <c r="B75">
        <v>2</v>
      </c>
      <c r="C75" t="s">
        <v>2</v>
      </c>
      <c r="D75" s="30" t="s">
        <v>3</v>
      </c>
    </row>
    <row r="76" spans="1:4" ht="15" customHeight="1">
      <c r="A76" s="26" t="str">
        <f t="shared" si="4"/>
        <v>IMv.fFault</v>
      </c>
      <c r="B76" s="27">
        <v>1</v>
      </c>
      <c r="C76" s="27" t="s">
        <v>1</v>
      </c>
      <c r="D76" s="28">
        <v>11</v>
      </c>
    </row>
    <row r="77" spans="1:4" ht="15" customHeight="1">
      <c r="A77" s="217" t="str">
        <f t="shared" ref="A77:A84" si="5">$R$2&amp;".wNotOn"</f>
        <v>IMv.wNotOn</v>
      </c>
      <c r="B77" s="218">
        <v>11154</v>
      </c>
      <c r="C77" s="218" t="s">
        <v>4</v>
      </c>
      <c r="D77" s="219">
        <f>$Q$7</f>
        <v>12</v>
      </c>
    </row>
    <row r="78" spans="1:4" ht="15" customHeight="1">
      <c r="A78" s="211" t="str">
        <f t="shared" si="5"/>
        <v>IMv.wNotOn</v>
      </c>
      <c r="B78" s="677">
        <v>11150</v>
      </c>
      <c r="C78" s="677" t="s">
        <v>0</v>
      </c>
      <c r="D78" s="213" t="str">
        <f>"Не  включился"</f>
        <v>Не  включился</v>
      </c>
    </row>
    <row r="79" spans="1:4" ht="15" customHeight="1">
      <c r="A79" s="211" t="str">
        <f t="shared" si="5"/>
        <v>IMv.wNotOn</v>
      </c>
      <c r="B79" s="677">
        <v>11152</v>
      </c>
      <c r="C79" s="677" t="s">
        <v>0</v>
      </c>
      <c r="D79" s="213" t="str">
        <f>$R$7</f>
        <v>Неисправность</v>
      </c>
    </row>
    <row r="80" spans="1:4" ht="15" customHeight="1">
      <c r="A80" s="211" t="str">
        <f t="shared" si="5"/>
        <v>IMv.wNotOn</v>
      </c>
      <c r="B80" s="677">
        <v>11000</v>
      </c>
      <c r="C80" s="677" t="s">
        <v>5</v>
      </c>
      <c r="D80" s="213">
        <v>2147483680</v>
      </c>
    </row>
    <row r="81" spans="1:4" ht="15" customHeight="1">
      <c r="A81" s="29" t="str">
        <f t="shared" si="5"/>
        <v>IMv.wNotOn</v>
      </c>
      <c r="B81">
        <v>101</v>
      </c>
      <c r="C81" t="s">
        <v>0</v>
      </c>
      <c r="D81" s="30" t="str">
        <f>"Не включился"</f>
        <v>Не включился</v>
      </c>
    </row>
    <row r="82" spans="1:4" ht="15" customHeight="1">
      <c r="A82" s="29" t="str">
        <f t="shared" si="5"/>
        <v>IMv.wNotOn</v>
      </c>
      <c r="B82">
        <v>3</v>
      </c>
      <c r="C82" t="s">
        <v>1</v>
      </c>
      <c r="D82" s="30">
        <v>192</v>
      </c>
    </row>
    <row r="83" spans="1:4" ht="15" customHeight="1">
      <c r="A83" s="29" t="str">
        <f t="shared" si="5"/>
        <v>IMv.wNotOn</v>
      </c>
      <c r="B83">
        <v>2</v>
      </c>
      <c r="C83" t="s">
        <v>2</v>
      </c>
      <c r="D83" s="30" t="s">
        <v>3</v>
      </c>
    </row>
    <row r="84" spans="1:4" ht="15" customHeight="1">
      <c r="A84" s="26" t="str">
        <f t="shared" si="5"/>
        <v>IMv.wNotOn</v>
      </c>
      <c r="B84" s="27">
        <v>1</v>
      </c>
      <c r="C84" s="27" t="s">
        <v>1</v>
      </c>
      <c r="D84" s="28">
        <v>11</v>
      </c>
    </row>
    <row r="85" spans="1:4" ht="15" customHeight="1">
      <c r="A85" s="217" t="str">
        <f t="shared" ref="A85:A92" si="6">$R$2&amp;".wNotOff"</f>
        <v>IMv.wNotOff</v>
      </c>
      <c r="B85" s="218">
        <v>11154</v>
      </c>
      <c r="C85" s="218" t="s">
        <v>4</v>
      </c>
      <c r="D85" s="219">
        <f>$Q$7</f>
        <v>12</v>
      </c>
    </row>
    <row r="86" spans="1:4" ht="15" customHeight="1">
      <c r="A86" s="211" t="str">
        <f t="shared" si="6"/>
        <v>IMv.wNotOff</v>
      </c>
      <c r="B86" s="677">
        <v>11150</v>
      </c>
      <c r="C86" s="677" t="s">
        <v>0</v>
      </c>
      <c r="D86" s="213" t="str">
        <f>"Не  отключился"</f>
        <v>Не  отключился</v>
      </c>
    </row>
    <row r="87" spans="1:4" ht="15" customHeight="1">
      <c r="A87" s="211" t="str">
        <f t="shared" si="6"/>
        <v>IMv.wNotOff</v>
      </c>
      <c r="B87" s="677">
        <v>11152</v>
      </c>
      <c r="C87" s="677" t="s">
        <v>0</v>
      </c>
      <c r="D87" s="213" t="str">
        <f>$R$7</f>
        <v>Неисправность</v>
      </c>
    </row>
    <row r="88" spans="1:4" ht="15" customHeight="1">
      <c r="A88" s="211" t="str">
        <f t="shared" si="6"/>
        <v>IMv.wNotOff</v>
      </c>
      <c r="B88" s="677">
        <v>11000</v>
      </c>
      <c r="C88" s="677" t="s">
        <v>5</v>
      </c>
      <c r="D88" s="213">
        <v>2147483680</v>
      </c>
    </row>
    <row r="89" spans="1:4" ht="15" customHeight="1">
      <c r="A89" s="29" t="str">
        <f t="shared" si="6"/>
        <v>IMv.wNotOff</v>
      </c>
      <c r="B89">
        <v>101</v>
      </c>
      <c r="C89" t="s">
        <v>0</v>
      </c>
      <c r="D89" s="30" t="str">
        <f>"Не  отключился"</f>
        <v>Не  отключился</v>
      </c>
    </row>
    <row r="90" spans="1:4" ht="15" customHeight="1">
      <c r="A90" s="29" t="str">
        <f t="shared" si="6"/>
        <v>IMv.wNotOff</v>
      </c>
      <c r="B90">
        <v>3</v>
      </c>
      <c r="C90" t="s">
        <v>1</v>
      </c>
      <c r="D90" s="30">
        <v>192</v>
      </c>
    </row>
    <row r="91" spans="1:4" ht="15" customHeight="1">
      <c r="A91" s="29" t="str">
        <f t="shared" si="6"/>
        <v>IMv.wNotOff</v>
      </c>
      <c r="B91">
        <v>2</v>
      </c>
      <c r="C91" t="s">
        <v>2</v>
      </c>
      <c r="D91" s="30" t="s">
        <v>3</v>
      </c>
    </row>
    <row r="92" spans="1:4" ht="15" customHeight="1">
      <c r="A92" s="26" t="str">
        <f t="shared" si="6"/>
        <v>IMv.wNotOff</v>
      </c>
      <c r="B92" s="27">
        <v>1</v>
      </c>
      <c r="C92" s="27" t="s">
        <v>1</v>
      </c>
      <c r="D92" s="28">
        <v>11</v>
      </c>
    </row>
    <row r="93" spans="1:4" ht="15" customHeight="1">
      <c r="A93" s="217" t="str">
        <f t="shared" ref="A93:A100" si="7">$R$2&amp;".wUnkw"</f>
        <v>IMv.wUnkw</v>
      </c>
      <c r="B93" s="218">
        <v>11154</v>
      </c>
      <c r="C93" s="218" t="s">
        <v>4</v>
      </c>
      <c r="D93" s="219">
        <f>$Q$7</f>
        <v>12</v>
      </c>
    </row>
    <row r="94" spans="1:4" ht="15" customHeight="1">
      <c r="A94" s="211" t="str">
        <f t="shared" si="7"/>
        <v>IMv.wUnkw</v>
      </c>
      <c r="B94" s="677">
        <v>11150</v>
      </c>
      <c r="C94" s="677" t="s">
        <v>0</v>
      </c>
      <c r="D94" s="213" t="s">
        <v>154</v>
      </c>
    </row>
    <row r="95" spans="1:4" ht="15" customHeight="1">
      <c r="A95" s="211" t="str">
        <f t="shared" si="7"/>
        <v>IMv.wUnkw</v>
      </c>
      <c r="B95" s="677">
        <v>11152</v>
      </c>
      <c r="C95" s="677" t="s">
        <v>0</v>
      </c>
      <c r="D95" s="213" t="str">
        <f>$R$7</f>
        <v>Неисправность</v>
      </c>
    </row>
    <row r="96" spans="1:4" ht="15" customHeight="1">
      <c r="A96" s="211" t="str">
        <f t="shared" si="7"/>
        <v>IMv.wUnkw</v>
      </c>
      <c r="B96" s="677">
        <v>11000</v>
      </c>
      <c r="C96" s="677" t="s">
        <v>5</v>
      </c>
      <c r="D96" s="213">
        <v>2147483680</v>
      </c>
    </row>
    <row r="97" spans="1:4" ht="15" customHeight="1">
      <c r="A97" s="29" t="str">
        <f t="shared" si="7"/>
        <v>IMv.wUnkw</v>
      </c>
      <c r="B97">
        <v>101</v>
      </c>
      <c r="C97" t="s">
        <v>0</v>
      </c>
      <c r="D97" s="30" t="s">
        <v>153</v>
      </c>
    </row>
    <row r="98" spans="1:4" ht="15" customHeight="1">
      <c r="A98" s="29" t="str">
        <f t="shared" si="7"/>
        <v>IMv.wUnkw</v>
      </c>
      <c r="B98">
        <v>3</v>
      </c>
      <c r="C98" t="s">
        <v>1</v>
      </c>
      <c r="D98" s="30">
        <v>192</v>
      </c>
    </row>
    <row r="99" spans="1:4" ht="15" customHeight="1">
      <c r="A99" s="29" t="str">
        <f t="shared" si="7"/>
        <v>IMv.wUnkw</v>
      </c>
      <c r="B99">
        <v>2</v>
      </c>
      <c r="C99" t="s">
        <v>2</v>
      </c>
      <c r="D99" s="30" t="s">
        <v>3</v>
      </c>
    </row>
    <row r="100" spans="1:4" ht="15" customHeight="1">
      <c r="A100" s="26" t="str">
        <f t="shared" si="7"/>
        <v>IMv.wUnkw</v>
      </c>
      <c r="B100" s="27">
        <v>1</v>
      </c>
      <c r="C100" s="27" t="s">
        <v>1</v>
      </c>
      <c r="D100" s="28">
        <v>11</v>
      </c>
    </row>
    <row r="101" spans="1:4" ht="15" customHeight="1">
      <c r="A101" s="217" t="str">
        <f t="shared" ref="A101:A108" si="8">$R$2&amp;".wDbl"</f>
        <v>IMv.wDbl</v>
      </c>
      <c r="B101" s="218">
        <v>11154</v>
      </c>
      <c r="C101" s="218" t="s">
        <v>4</v>
      </c>
      <c r="D101" s="219">
        <f>$Q$7</f>
        <v>12</v>
      </c>
    </row>
    <row r="102" spans="1:4" ht="15" customHeight="1">
      <c r="A102" s="211" t="str">
        <f t="shared" si="8"/>
        <v>IMv.wDbl</v>
      </c>
      <c r="B102" s="677">
        <v>11150</v>
      </c>
      <c r="C102" s="677" t="s">
        <v>0</v>
      </c>
      <c r="D102" s="213" t="s">
        <v>161</v>
      </c>
    </row>
    <row r="103" spans="1:4" ht="15" customHeight="1">
      <c r="A103" s="211" t="str">
        <f t="shared" si="8"/>
        <v>IMv.wDbl</v>
      </c>
      <c r="B103" s="677">
        <v>11152</v>
      </c>
      <c r="C103" s="677" t="s">
        <v>0</v>
      </c>
      <c r="D103" s="213" t="str">
        <f>$R$7</f>
        <v>Неисправность</v>
      </c>
    </row>
    <row r="104" spans="1:4" ht="15" customHeight="1">
      <c r="A104" s="211" t="str">
        <f t="shared" si="8"/>
        <v>IMv.wDbl</v>
      </c>
      <c r="B104" s="677">
        <v>11000</v>
      </c>
      <c r="C104" s="677" t="s">
        <v>5</v>
      </c>
      <c r="D104" s="213">
        <v>2147483680</v>
      </c>
    </row>
    <row r="105" spans="1:4" ht="15" customHeight="1">
      <c r="A105" s="29" t="str">
        <f t="shared" si="8"/>
        <v>IMv.wDbl</v>
      </c>
      <c r="B105">
        <v>101</v>
      </c>
      <c r="C105" t="s">
        <v>0</v>
      </c>
      <c r="D105" s="30" t="s">
        <v>161</v>
      </c>
    </row>
    <row r="106" spans="1:4" ht="15" customHeight="1">
      <c r="A106" s="29" t="str">
        <f t="shared" si="8"/>
        <v>IMv.wDbl</v>
      </c>
      <c r="B106">
        <v>3</v>
      </c>
      <c r="C106" t="s">
        <v>1</v>
      </c>
      <c r="D106" s="30">
        <v>192</v>
      </c>
    </row>
    <row r="107" spans="1:4" ht="15" customHeight="1">
      <c r="A107" s="29" t="str">
        <f t="shared" si="8"/>
        <v>IMv.wDbl</v>
      </c>
      <c r="B107">
        <v>2</v>
      </c>
      <c r="C107" t="s">
        <v>2</v>
      </c>
      <c r="D107" s="30" t="s">
        <v>3</v>
      </c>
    </row>
    <row r="108" spans="1:4" ht="15" customHeight="1">
      <c r="A108" s="26" t="str">
        <f t="shared" si="8"/>
        <v>IMv.wDbl</v>
      </c>
      <c r="B108" s="27">
        <v>1</v>
      </c>
      <c r="C108" s="27" t="s">
        <v>1</v>
      </c>
      <c r="D108" s="28">
        <v>11</v>
      </c>
    </row>
    <row r="109" spans="1:4" ht="15" customHeight="1">
      <c r="A109" s="217" t="str">
        <f t="shared" ref="A109:A116" si="9">$R$2&amp;".wCtrlUnkw"</f>
        <v>IMv.wCtrlUnkw</v>
      </c>
      <c r="B109" s="218">
        <v>11154</v>
      </c>
      <c r="C109" s="218" t="s">
        <v>4</v>
      </c>
      <c r="D109" s="219">
        <f>$Q$7</f>
        <v>12</v>
      </c>
    </row>
    <row r="110" spans="1:4" ht="15" customHeight="1">
      <c r="A110" s="211" t="str">
        <f t="shared" si="9"/>
        <v>IMv.wCtrlUnkw</v>
      </c>
      <c r="B110" s="677">
        <v>11150</v>
      </c>
      <c r="C110" s="677" t="s">
        <v>0</v>
      </c>
      <c r="D110" s="213" t="s">
        <v>167</v>
      </c>
    </row>
    <row r="111" spans="1:4" ht="15" customHeight="1">
      <c r="A111" s="211" t="str">
        <f t="shared" si="9"/>
        <v>IMv.wCtrlUnkw</v>
      </c>
      <c r="B111" s="677">
        <v>11152</v>
      </c>
      <c r="C111" s="677" t="s">
        <v>0</v>
      </c>
      <c r="D111" s="213" t="str">
        <f>$R$7</f>
        <v>Неисправность</v>
      </c>
    </row>
    <row r="112" spans="1:4" ht="15" customHeight="1">
      <c r="A112" s="211" t="str">
        <f t="shared" si="9"/>
        <v>IMv.wCtrlUnkw</v>
      </c>
      <c r="B112" s="677">
        <v>11000</v>
      </c>
      <c r="C112" s="677" t="s">
        <v>5</v>
      </c>
      <c r="D112" s="213">
        <v>2147483680</v>
      </c>
    </row>
    <row r="113" spans="1:4" ht="15" customHeight="1">
      <c r="A113" s="29" t="str">
        <f t="shared" si="9"/>
        <v>IMv.wCtrlUnkw</v>
      </c>
      <c r="B113">
        <v>101</v>
      </c>
      <c r="C113" t="s">
        <v>0</v>
      </c>
      <c r="D113" s="30" t="s">
        <v>167</v>
      </c>
    </row>
    <row r="114" spans="1:4" ht="15" customHeight="1">
      <c r="A114" s="29" t="str">
        <f t="shared" si="9"/>
        <v>IMv.wCtrlUnkw</v>
      </c>
      <c r="B114">
        <v>3</v>
      </c>
      <c r="C114" t="s">
        <v>1</v>
      </c>
      <c r="D114" s="30">
        <v>192</v>
      </c>
    </row>
    <row r="115" spans="1:4" ht="15" customHeight="1">
      <c r="A115" s="29" t="str">
        <f t="shared" si="9"/>
        <v>IMv.wCtrlUnkw</v>
      </c>
      <c r="B115">
        <v>2</v>
      </c>
      <c r="C115" t="s">
        <v>2</v>
      </c>
      <c r="D115" s="30" t="s">
        <v>3</v>
      </c>
    </row>
    <row r="116" spans="1:4" ht="15" customHeight="1">
      <c r="A116" s="26" t="str">
        <f t="shared" si="9"/>
        <v>IMv.wCtrlUnkw</v>
      </c>
      <c r="B116" s="27">
        <v>1</v>
      </c>
      <c r="C116" s="27" t="s">
        <v>1</v>
      </c>
      <c r="D116" s="28">
        <v>11</v>
      </c>
    </row>
    <row r="117" spans="1:4" ht="15" customHeight="1">
      <c r="A117" s="217" t="str">
        <f t="shared" ref="A117:A124" si="10">$R$2&amp;".wCtrlDbl"</f>
        <v>IMv.wCtrlDbl</v>
      </c>
      <c r="B117" s="218">
        <v>11154</v>
      </c>
      <c r="C117" s="218" t="s">
        <v>4</v>
      </c>
      <c r="D117" s="219">
        <f>$Q$7</f>
        <v>12</v>
      </c>
    </row>
    <row r="118" spans="1:4" ht="15" customHeight="1">
      <c r="A118" s="211" t="str">
        <f t="shared" si="10"/>
        <v>IMv.wCtrlDbl</v>
      </c>
      <c r="B118" s="677">
        <v>11150</v>
      </c>
      <c r="C118" s="677" t="s">
        <v>0</v>
      </c>
      <c r="D118" s="213" t="s">
        <v>168</v>
      </c>
    </row>
    <row r="119" spans="1:4" ht="15" customHeight="1">
      <c r="A119" s="211" t="str">
        <f t="shared" si="10"/>
        <v>IMv.wCtrlDbl</v>
      </c>
      <c r="B119" s="677">
        <v>11152</v>
      </c>
      <c r="C119" s="677" t="s">
        <v>0</v>
      </c>
      <c r="D119" s="213" t="str">
        <f>$R$7</f>
        <v>Неисправность</v>
      </c>
    </row>
    <row r="120" spans="1:4" ht="15" customHeight="1">
      <c r="A120" s="211" t="str">
        <f t="shared" si="10"/>
        <v>IMv.wCtrlDbl</v>
      </c>
      <c r="B120" s="677">
        <v>11000</v>
      </c>
      <c r="C120" s="677" t="s">
        <v>5</v>
      </c>
      <c r="D120" s="213">
        <v>2147483680</v>
      </c>
    </row>
    <row r="121" spans="1:4" ht="15" customHeight="1">
      <c r="A121" s="29" t="str">
        <f t="shared" si="10"/>
        <v>IMv.wCtrlDbl</v>
      </c>
      <c r="B121">
        <v>101</v>
      </c>
      <c r="C121" t="s">
        <v>0</v>
      </c>
      <c r="D121" s="30" t="s">
        <v>168</v>
      </c>
    </row>
    <row r="122" spans="1:4" ht="15" customHeight="1">
      <c r="A122" s="29" t="str">
        <f t="shared" si="10"/>
        <v>IMv.wCtrlDbl</v>
      </c>
      <c r="B122">
        <v>3</v>
      </c>
      <c r="C122" t="s">
        <v>1</v>
      </c>
      <c r="D122" s="30">
        <v>192</v>
      </c>
    </row>
    <row r="123" spans="1:4" ht="15" customHeight="1">
      <c r="A123" s="29" t="str">
        <f t="shared" si="10"/>
        <v>IMv.wCtrlDbl</v>
      </c>
      <c r="B123">
        <v>2</v>
      </c>
      <c r="C123" t="s">
        <v>2</v>
      </c>
      <c r="D123" s="30" t="s">
        <v>3</v>
      </c>
    </row>
    <row r="124" spans="1:4" ht="15" customHeight="1">
      <c r="A124" s="26" t="str">
        <f t="shared" si="10"/>
        <v>IMv.wCtrlDbl</v>
      </c>
      <c r="B124" s="27">
        <v>1</v>
      </c>
      <c r="C124" s="27" t="s">
        <v>1</v>
      </c>
      <c r="D124" s="28">
        <v>11</v>
      </c>
    </row>
    <row r="125" spans="1:4" ht="15" customHeight="1">
      <c r="A125" s="100" t="str">
        <f t="shared" ref="A125:A133" si="11">$R$2&amp;".wMnlMd"</f>
        <v>IMv.wMnlMd</v>
      </c>
      <c r="B125" s="679">
        <v>11154</v>
      </c>
      <c r="C125" s="679" t="s">
        <v>4</v>
      </c>
      <c r="D125" s="102">
        <f>$Q$8</f>
        <v>18</v>
      </c>
    </row>
    <row r="126" spans="1:4" ht="15" customHeight="1">
      <c r="A126" s="100" t="str">
        <f t="shared" si="11"/>
        <v>IMv.wMnlMd</v>
      </c>
      <c r="B126" s="679">
        <v>11150</v>
      </c>
      <c r="C126" s="679" t="s">
        <v>0</v>
      </c>
      <c r="D126" s="103" t="s">
        <v>134</v>
      </c>
    </row>
    <row r="127" spans="1:4" ht="15" customHeight="1">
      <c r="A127" s="100" t="str">
        <f t="shared" si="11"/>
        <v>IMv.wMnlMd</v>
      </c>
      <c r="B127" s="679">
        <v>11152</v>
      </c>
      <c r="C127" s="679" t="s">
        <v>0</v>
      </c>
      <c r="D127" s="103" t="str">
        <f>$R$8</f>
        <v>Телесигнализация</v>
      </c>
    </row>
    <row r="128" spans="1:4" ht="15" customHeight="1">
      <c r="A128" s="100" t="str">
        <f t="shared" si="11"/>
        <v>IMv.wMnlMd</v>
      </c>
      <c r="B128" s="679">
        <v>11000</v>
      </c>
      <c r="C128" s="679" t="s">
        <v>5</v>
      </c>
      <c r="D128" s="103">
        <v>2147483680</v>
      </c>
    </row>
    <row r="129" spans="1:4" ht="15" customHeight="1">
      <c r="A129" s="29" t="str">
        <f t="shared" si="11"/>
        <v>IMv.wMnlMd</v>
      </c>
      <c r="B129">
        <v>8000</v>
      </c>
      <c r="C129" t="s">
        <v>0</v>
      </c>
      <c r="D129" s="205" t="str">
        <f>$S$2&amp;"\"&amp;$T$2&amp;"\3\"&amp;$AS$2&amp;"\16"</f>
        <v>1\2\3\70\16</v>
      </c>
    </row>
    <row r="130" spans="1:4" ht="15" customHeight="1">
      <c r="A130" s="29" t="str">
        <f t="shared" si="11"/>
        <v>IMv.wMnlMd</v>
      </c>
      <c r="B130">
        <v>101</v>
      </c>
      <c r="C130" t="s">
        <v>0</v>
      </c>
      <c r="D130" s="30" t="s">
        <v>574</v>
      </c>
    </row>
    <row r="131" spans="1:4" ht="15" customHeight="1">
      <c r="A131" s="29" t="str">
        <f t="shared" si="11"/>
        <v>IMv.wMnlMd</v>
      </c>
      <c r="B131">
        <v>3</v>
      </c>
      <c r="C131" t="s">
        <v>1</v>
      </c>
      <c r="D131" s="30">
        <v>192</v>
      </c>
    </row>
    <row r="132" spans="1:4" ht="15" customHeight="1">
      <c r="A132" s="29" t="str">
        <f t="shared" si="11"/>
        <v>IMv.wMnlMd</v>
      </c>
      <c r="B132">
        <v>2</v>
      </c>
      <c r="C132" t="s">
        <v>2</v>
      </c>
      <c r="D132" s="30" t="s">
        <v>3</v>
      </c>
    </row>
    <row r="133" spans="1:4" ht="15" customHeight="1">
      <c r="A133" s="26" t="str">
        <f t="shared" si="11"/>
        <v>IMv.wMnlMd</v>
      </c>
      <c r="B133" s="27">
        <v>1</v>
      </c>
      <c r="C133" s="27" t="s">
        <v>1</v>
      </c>
      <c r="D133" s="28">
        <v>11</v>
      </c>
    </row>
    <row r="134" spans="1:4">
      <c r="A134" s="24" t="str">
        <f t="shared" ref="A134:A145" si="12">$R$2&amp;".stOn"</f>
        <v>IMv.stOn</v>
      </c>
      <c r="B134" s="24">
        <v>7011</v>
      </c>
      <c r="C134" s="24" t="s">
        <v>2</v>
      </c>
      <c r="D134" s="25" t="s">
        <v>266</v>
      </c>
    </row>
    <row r="135" spans="1:4" ht="15" customHeight="1">
      <c r="A135" s="101" t="str">
        <f t="shared" si="12"/>
        <v>IMv.stOn</v>
      </c>
      <c r="B135" s="101">
        <v>11154</v>
      </c>
      <c r="C135" s="101" t="s">
        <v>4</v>
      </c>
      <c r="D135" s="102">
        <f>$Q$8</f>
        <v>18</v>
      </c>
    </row>
    <row r="136" spans="1:4" ht="15" customHeight="1">
      <c r="A136" s="100" t="str">
        <f t="shared" si="12"/>
        <v>IMv.stOn</v>
      </c>
      <c r="B136" s="679">
        <v>11150</v>
      </c>
      <c r="C136" s="679" t="s">
        <v>0</v>
      </c>
      <c r="D136" s="103" t="s">
        <v>685</v>
      </c>
    </row>
    <row r="137" spans="1:4" ht="15" customHeight="1">
      <c r="A137" s="100" t="str">
        <f t="shared" si="12"/>
        <v>IMv.stOn</v>
      </c>
      <c r="B137" s="679">
        <v>11152</v>
      </c>
      <c r="C137" s="679" t="s">
        <v>0</v>
      </c>
      <c r="D137" s="103" t="str">
        <f>$R$8</f>
        <v>Телесигнализация</v>
      </c>
    </row>
    <row r="138" spans="1:4" ht="15" customHeight="1">
      <c r="A138" s="100" t="str">
        <f t="shared" si="12"/>
        <v>IMv.stOn</v>
      </c>
      <c r="B138" s="679">
        <v>11000</v>
      </c>
      <c r="C138" s="679" t="s">
        <v>5</v>
      </c>
      <c r="D138" s="103">
        <v>2147483680</v>
      </c>
    </row>
    <row r="139" spans="1:4" ht="15" customHeight="1">
      <c r="A139" s="29" t="str">
        <f t="shared" si="12"/>
        <v>IMv.stOn</v>
      </c>
      <c r="B139">
        <v>8000</v>
      </c>
      <c r="C139" t="s">
        <v>0</v>
      </c>
      <c r="D139" s="205" t="str">
        <f>$S$2&amp;"\"&amp;$T$2&amp;"\3\"&amp;$AL$2&amp;"\16"</f>
        <v>1\2\3\63\16</v>
      </c>
    </row>
    <row r="140" spans="1:4" ht="15" customHeight="1">
      <c r="A140" s="29" t="str">
        <f t="shared" si="12"/>
        <v>IMv.stOn</v>
      </c>
      <c r="B140">
        <v>101</v>
      </c>
      <c r="C140" t="s">
        <v>0</v>
      </c>
      <c r="D140" s="30" t="str">
        <f>"Выходное значение Открыт"</f>
        <v>Выходное значение Открыт</v>
      </c>
    </row>
    <row r="141" spans="1:4" ht="15" customHeight="1">
      <c r="A141" s="29" t="str">
        <f t="shared" si="12"/>
        <v>IMv.stOn</v>
      </c>
      <c r="B141">
        <v>3</v>
      </c>
      <c r="C141" t="s">
        <v>1</v>
      </c>
      <c r="D141" s="30">
        <v>192</v>
      </c>
    </row>
    <row r="142" spans="1:4" ht="15" customHeight="1">
      <c r="A142" s="29" t="str">
        <f t="shared" si="12"/>
        <v>IMv.stOn</v>
      </c>
      <c r="B142">
        <v>2</v>
      </c>
      <c r="C142" t="s">
        <v>2</v>
      </c>
      <c r="D142" s="30" t="s">
        <v>3</v>
      </c>
    </row>
    <row r="143" spans="1:4" ht="15" customHeight="1">
      <c r="A143" t="str">
        <f t="shared" si="12"/>
        <v>IMv.stOn</v>
      </c>
      <c r="B143">
        <v>1</v>
      </c>
      <c r="C143" t="s">
        <v>1</v>
      </c>
      <c r="D143" s="30">
        <v>11</v>
      </c>
    </row>
    <row r="144" spans="1:4">
      <c r="A144" t="str">
        <f t="shared" si="12"/>
        <v>IMv.stOn</v>
      </c>
      <c r="B144">
        <v>7000000</v>
      </c>
      <c r="C144" t="s">
        <v>6</v>
      </c>
      <c r="D144" s="30">
        <v>1</v>
      </c>
    </row>
    <row r="145" spans="1:4" ht="43.2">
      <c r="A145" s="29" t="str">
        <f t="shared" si="12"/>
        <v>IMv.stOn</v>
      </c>
      <c r="B145" s="27">
        <v>4000000</v>
      </c>
      <c r="C145" s="27" t="s">
        <v>0</v>
      </c>
      <c r="D145" s="415" t="s">
        <v>2688</v>
      </c>
    </row>
    <row r="146" spans="1:4">
      <c r="A146" s="23" t="str">
        <f t="shared" ref="A146:A157" si="13">$R$2&amp;".stOff"</f>
        <v>IMv.stOff</v>
      </c>
      <c r="B146" s="24">
        <v>7011</v>
      </c>
      <c r="C146" s="24" t="s">
        <v>2</v>
      </c>
      <c r="D146" s="25" t="s">
        <v>266</v>
      </c>
    </row>
    <row r="147" spans="1:4" ht="15" customHeight="1">
      <c r="A147" s="101" t="str">
        <f t="shared" si="13"/>
        <v>IMv.stOff</v>
      </c>
      <c r="B147" s="101">
        <v>11154</v>
      </c>
      <c r="C147" s="101" t="s">
        <v>4</v>
      </c>
      <c r="D147" s="102">
        <f>$Q$8</f>
        <v>18</v>
      </c>
    </row>
    <row r="148" spans="1:4" ht="15" customHeight="1">
      <c r="A148" s="100" t="str">
        <f t="shared" si="13"/>
        <v>IMv.stOff</v>
      </c>
      <c r="B148" s="679">
        <v>11150</v>
      </c>
      <c r="C148" s="679" t="s">
        <v>0</v>
      </c>
      <c r="D148" s="103" t="s">
        <v>816</v>
      </c>
    </row>
    <row r="149" spans="1:4" ht="15" customHeight="1">
      <c r="A149" s="100" t="str">
        <f t="shared" si="13"/>
        <v>IMv.stOff</v>
      </c>
      <c r="B149" s="679">
        <v>11152</v>
      </c>
      <c r="C149" s="679" t="s">
        <v>0</v>
      </c>
      <c r="D149" s="103" t="str">
        <f>$R$8</f>
        <v>Телесигнализация</v>
      </c>
    </row>
    <row r="150" spans="1:4" ht="15" customHeight="1">
      <c r="A150" s="100" t="str">
        <f t="shared" si="13"/>
        <v>IMv.stOff</v>
      </c>
      <c r="B150" s="679">
        <v>11000</v>
      </c>
      <c r="C150" s="679" t="s">
        <v>5</v>
      </c>
      <c r="D150" s="103">
        <v>2147483680</v>
      </c>
    </row>
    <row r="151" spans="1:4" ht="15" customHeight="1">
      <c r="A151" s="29" t="str">
        <f t="shared" si="13"/>
        <v>IMv.stOff</v>
      </c>
      <c r="B151">
        <v>8000</v>
      </c>
      <c r="C151" t="s">
        <v>0</v>
      </c>
      <c r="D151" s="205" t="str">
        <f>$S$2&amp;"\"&amp;$T$2&amp;"\3\"&amp;$AM$2&amp;"\16"</f>
        <v>1\2\3\64\16</v>
      </c>
    </row>
    <row r="152" spans="1:4" ht="15" customHeight="1">
      <c r="A152" s="29" t="str">
        <f t="shared" si="13"/>
        <v>IMv.stOff</v>
      </c>
      <c r="B152">
        <v>101</v>
      </c>
      <c r="C152" t="s">
        <v>0</v>
      </c>
      <c r="D152" s="30" t="str">
        <f>"Выходное значение Закрыт"</f>
        <v>Выходное значение Закрыт</v>
      </c>
    </row>
    <row r="153" spans="1:4" ht="15" customHeight="1">
      <c r="A153" s="29" t="str">
        <f t="shared" si="13"/>
        <v>IMv.stOff</v>
      </c>
      <c r="B153">
        <v>3</v>
      </c>
      <c r="C153" t="s">
        <v>1</v>
      </c>
      <c r="D153" s="30">
        <v>192</v>
      </c>
    </row>
    <row r="154" spans="1:4" ht="15" customHeight="1">
      <c r="A154" s="29" t="str">
        <f t="shared" si="13"/>
        <v>IMv.stOff</v>
      </c>
      <c r="B154">
        <v>2</v>
      </c>
      <c r="C154" t="s">
        <v>2</v>
      </c>
      <c r="D154" s="30" t="s">
        <v>3</v>
      </c>
    </row>
    <row r="155" spans="1:4" ht="15" customHeight="1">
      <c r="A155" t="str">
        <f t="shared" si="13"/>
        <v>IMv.stOff</v>
      </c>
      <c r="B155">
        <v>1</v>
      </c>
      <c r="C155" t="s">
        <v>1</v>
      </c>
      <c r="D155" s="30">
        <v>11</v>
      </c>
    </row>
    <row r="156" spans="1:4">
      <c r="A156" s="29" t="str">
        <f t="shared" si="13"/>
        <v>IMv.stOff</v>
      </c>
      <c r="B156">
        <v>7000000</v>
      </c>
      <c r="C156" t="s">
        <v>6</v>
      </c>
      <c r="D156" s="30">
        <v>1</v>
      </c>
    </row>
    <row r="157" spans="1:4" ht="43.2">
      <c r="A157" s="29" t="str">
        <f t="shared" si="13"/>
        <v>IMv.stOff</v>
      </c>
      <c r="B157" s="27">
        <v>4000000</v>
      </c>
      <c r="C157" s="27" t="s">
        <v>0</v>
      </c>
      <c r="D157" s="415" t="s">
        <v>2689</v>
      </c>
    </row>
    <row r="158" spans="1:4" ht="15" customHeight="1">
      <c r="A158" s="159" t="str">
        <f t="shared" ref="A158:A168" si="14">$R$2&amp;".wRem"</f>
        <v>IMv.wRem</v>
      </c>
      <c r="B158" s="160">
        <v>11154</v>
      </c>
      <c r="C158" s="160" t="s">
        <v>4</v>
      </c>
      <c r="D158" s="161">
        <f>$Q$8</f>
        <v>18</v>
      </c>
    </row>
    <row r="159" spans="1:4" ht="15" customHeight="1">
      <c r="A159" s="100" t="str">
        <f t="shared" si="14"/>
        <v>IMv.wRem</v>
      </c>
      <c r="B159" s="679">
        <v>11150</v>
      </c>
      <c r="C159" s="679" t="s">
        <v>0</v>
      </c>
      <c r="D159" s="103" t="s">
        <v>136</v>
      </c>
    </row>
    <row r="160" spans="1:4" ht="15" customHeight="1">
      <c r="A160" s="100" t="str">
        <f t="shared" si="14"/>
        <v>IMv.wRem</v>
      </c>
      <c r="B160" s="679">
        <v>11152</v>
      </c>
      <c r="C160" s="679" t="s">
        <v>0</v>
      </c>
      <c r="D160" s="103" t="str">
        <f>$R$8</f>
        <v>Телесигнализация</v>
      </c>
    </row>
    <row r="161" spans="1:4" ht="15" customHeight="1">
      <c r="A161" s="100" t="str">
        <f t="shared" si="14"/>
        <v>IMv.wRem</v>
      </c>
      <c r="B161" s="679">
        <v>11000</v>
      </c>
      <c r="C161" s="679" t="s">
        <v>5</v>
      </c>
      <c r="D161" s="103">
        <v>2147483680</v>
      </c>
    </row>
    <row r="162" spans="1:4" ht="15" customHeight="1">
      <c r="A162" s="29" t="str">
        <f t="shared" si="14"/>
        <v>IMv.wRem</v>
      </c>
      <c r="B162">
        <v>8000</v>
      </c>
      <c r="C162" t="s">
        <v>0</v>
      </c>
      <c r="D162" s="205" t="str">
        <f>$S$2&amp;"\"&amp;$T$2&amp;"\3\"&amp;$AO$2&amp;"\16"</f>
        <v>1\2\3\66\16</v>
      </c>
    </row>
    <row r="163" spans="1:4" ht="15" customHeight="1">
      <c r="A163" s="29" t="str">
        <f t="shared" si="14"/>
        <v>IMv.wRem</v>
      </c>
      <c r="B163">
        <v>101</v>
      </c>
      <c r="C163" t="s">
        <v>0</v>
      </c>
      <c r="D163" s="30" t="s">
        <v>575</v>
      </c>
    </row>
    <row r="164" spans="1:4" ht="15" customHeight="1">
      <c r="A164" s="29" t="str">
        <f t="shared" si="14"/>
        <v>IMv.wRem</v>
      </c>
      <c r="B164">
        <v>3</v>
      </c>
      <c r="C164" t="s">
        <v>1</v>
      </c>
      <c r="D164" s="30">
        <v>192</v>
      </c>
    </row>
    <row r="165" spans="1:4" ht="15" customHeight="1">
      <c r="A165" s="29" t="str">
        <f t="shared" si="14"/>
        <v>IMv.wRem</v>
      </c>
      <c r="B165">
        <v>2</v>
      </c>
      <c r="C165" t="s">
        <v>2</v>
      </c>
      <c r="D165" s="30" t="s">
        <v>3</v>
      </c>
    </row>
    <row r="166" spans="1:4" ht="15" customHeight="1">
      <c r="A166" t="str">
        <f t="shared" si="14"/>
        <v>IMv.wRem</v>
      </c>
      <c r="B166">
        <v>1</v>
      </c>
      <c r="C166" t="s">
        <v>1</v>
      </c>
      <c r="D166" s="30">
        <v>11</v>
      </c>
    </row>
    <row r="167" spans="1:4">
      <c r="A167" t="str">
        <f t="shared" si="14"/>
        <v>IMv.wRem</v>
      </c>
      <c r="B167">
        <v>7000000</v>
      </c>
      <c r="C167" t="s">
        <v>6</v>
      </c>
      <c r="D167" s="30">
        <v>1</v>
      </c>
    </row>
    <row r="168" spans="1:4" ht="43.2">
      <c r="A168" s="26" t="str">
        <f t="shared" si="14"/>
        <v>IMv.wRem</v>
      </c>
      <c r="B168" s="27">
        <v>4000000</v>
      </c>
      <c r="C168" s="27" t="s">
        <v>0</v>
      </c>
      <c r="D168" s="701" t="s">
        <v>2327</v>
      </c>
    </row>
    <row r="169" spans="1:4">
      <c r="A169" s="23" t="str">
        <f t="shared" ref="A169:A173" si="15">$R$2&amp;".Commands.coOn"</f>
        <v>IMv.Commands.coOn</v>
      </c>
      <c r="B169" s="24">
        <v>101</v>
      </c>
      <c r="C169" s="24" t="s">
        <v>0</v>
      </c>
      <c r="D169" s="25" t="str">
        <f>"Команда оператора Включить"</f>
        <v>Команда оператора Включить</v>
      </c>
    </row>
    <row r="170" spans="1:4">
      <c r="A170" s="29" t="str">
        <f t="shared" si="15"/>
        <v>IMv.Commands.coOn</v>
      </c>
      <c r="B170">
        <v>8000</v>
      </c>
      <c r="C170" t="s">
        <v>0</v>
      </c>
      <c r="D170" s="205" t="str">
        <f>$S$2&amp;"\"&amp;$T$2&amp;"\3\"&amp;$AQ$2&amp;"\16"</f>
        <v>1\2\3\68\16</v>
      </c>
    </row>
    <row r="171" spans="1:4">
      <c r="A171" t="str">
        <f t="shared" si="15"/>
        <v>IMv.Commands.coOn</v>
      </c>
      <c r="B171">
        <v>1</v>
      </c>
      <c r="C171" t="s">
        <v>1</v>
      </c>
      <c r="D171" s="30">
        <v>11</v>
      </c>
    </row>
    <row r="172" spans="1:4">
      <c r="A172" t="str">
        <f t="shared" si="15"/>
        <v>IMv.Commands.coOn</v>
      </c>
      <c r="B172">
        <v>7000000</v>
      </c>
      <c r="C172" t="s">
        <v>6</v>
      </c>
      <c r="D172" s="30">
        <v>0</v>
      </c>
    </row>
    <row r="173" spans="1:4">
      <c r="A173" s="26" t="str">
        <f t="shared" si="15"/>
        <v>IMv.Commands.coOn</v>
      </c>
      <c r="B173" s="27">
        <v>4000000</v>
      </c>
      <c r="C173" s="27" t="s">
        <v>0</v>
      </c>
      <c r="D173" s="28" t="s">
        <v>2326</v>
      </c>
    </row>
    <row r="174" spans="1:4">
      <c r="A174" s="23" t="str">
        <f t="shared" ref="A174:A178" si="16">$R$2&amp;".Commands.coOff"</f>
        <v>IMv.Commands.coOff</v>
      </c>
      <c r="B174" s="24">
        <v>101</v>
      </c>
      <c r="C174" s="24" t="s">
        <v>0</v>
      </c>
      <c r="D174" s="25" t="str">
        <f>"Команда оператора Отключить"</f>
        <v>Команда оператора Отключить</v>
      </c>
    </row>
    <row r="175" spans="1:4">
      <c r="A175" s="29" t="str">
        <f t="shared" si="16"/>
        <v>IMv.Commands.coOff</v>
      </c>
      <c r="B175">
        <v>8000</v>
      </c>
      <c r="C175" t="s">
        <v>0</v>
      </c>
      <c r="D175" s="205" t="str">
        <f>$S$2&amp;"\"&amp;$T$2&amp;"\3\"&amp;$AR$2&amp;"\16"</f>
        <v>1\2\3\69\16</v>
      </c>
    </row>
    <row r="176" spans="1:4">
      <c r="A176" t="str">
        <f t="shared" si="16"/>
        <v>IMv.Commands.coOff</v>
      </c>
      <c r="B176">
        <v>1</v>
      </c>
      <c r="C176" t="s">
        <v>1</v>
      </c>
      <c r="D176" s="30">
        <v>11</v>
      </c>
    </row>
    <row r="177" spans="1:4">
      <c r="A177" t="str">
        <f t="shared" si="16"/>
        <v>IMv.Commands.coOff</v>
      </c>
      <c r="B177">
        <v>7000000</v>
      </c>
      <c r="C177" t="s">
        <v>6</v>
      </c>
      <c r="D177" s="30">
        <v>0</v>
      </c>
    </row>
    <row r="178" spans="1:4">
      <c r="A178" s="26" t="str">
        <f t="shared" si="16"/>
        <v>IMv.Commands.coOff</v>
      </c>
      <c r="B178" s="27">
        <v>4000000</v>
      </c>
      <c r="C178" s="27" t="s">
        <v>0</v>
      </c>
      <c r="D178" s="28" t="s">
        <v>2325</v>
      </c>
    </row>
    <row r="179" spans="1:4" ht="15" customHeight="1">
      <c r="A179" s="23" t="str">
        <f>$R$2&amp;".Commands.coMnlMd"</f>
        <v>IMv.Commands.coMnlMd</v>
      </c>
      <c r="B179" s="24">
        <v>101</v>
      </c>
      <c r="C179" s="24" t="s">
        <v>0</v>
      </c>
      <c r="D179" s="25" t="s">
        <v>94</v>
      </c>
    </row>
    <row r="180" spans="1:4" ht="15" customHeight="1">
      <c r="A180" s="29" t="str">
        <f>$R$2&amp;".Commands.coMnlMd"</f>
        <v>IMv.Commands.coMnlMd</v>
      </c>
      <c r="B180">
        <v>8000</v>
      </c>
      <c r="C180" t="s">
        <v>0</v>
      </c>
      <c r="D180" s="205" t="str">
        <f>$S$2&amp;"\"&amp;$T$2&amp;"\3\"&amp;$AT$2&amp;"\16"</f>
        <v>1\2\3\71\16</v>
      </c>
    </row>
    <row r="181" spans="1:4" ht="15" customHeight="1">
      <c r="A181" t="str">
        <f>$R$2&amp;".Commands.coMnlMd"</f>
        <v>IMv.Commands.coMnlMd</v>
      </c>
      <c r="B181">
        <v>1</v>
      </c>
      <c r="C181" t="s">
        <v>1</v>
      </c>
      <c r="D181" s="30">
        <v>11</v>
      </c>
    </row>
    <row r="182" spans="1:4">
      <c r="A182" s="23" t="str">
        <f t="shared" ref="A182:A192" si="17">$R$2&amp;".Commands.coRepair"</f>
        <v>IMv.Commands.coRepair</v>
      </c>
      <c r="B182" s="24">
        <v>7011</v>
      </c>
      <c r="C182" s="24" t="s">
        <v>2</v>
      </c>
      <c r="D182" s="25" t="s">
        <v>266</v>
      </c>
    </row>
    <row r="183" spans="1:4" ht="15" customHeight="1">
      <c r="A183" s="702" t="str">
        <f t="shared" si="17"/>
        <v>IMv.Commands.coRepair</v>
      </c>
      <c r="B183" s="702">
        <v>11154</v>
      </c>
      <c r="C183" s="702" t="s">
        <v>4</v>
      </c>
      <c r="D183" s="705">
        <f>$Q$11</f>
        <v>14</v>
      </c>
    </row>
    <row r="184" spans="1:4" ht="15" customHeight="1">
      <c r="A184" s="133" t="str">
        <f t="shared" si="17"/>
        <v>IMv.Commands.coRepair</v>
      </c>
      <c r="B184" s="702">
        <v>11150</v>
      </c>
      <c r="C184" s="702" t="s">
        <v>0</v>
      </c>
      <c r="D184" s="135" t="s">
        <v>89</v>
      </c>
    </row>
    <row r="185" spans="1:4" ht="15" customHeight="1">
      <c r="A185" s="133" t="str">
        <f t="shared" si="17"/>
        <v>IMv.Commands.coRepair</v>
      </c>
      <c r="B185" s="702">
        <v>11152</v>
      </c>
      <c r="C185" s="702" t="s">
        <v>0</v>
      </c>
      <c r="D185" s="135" t="str">
        <f>$R$11</f>
        <v>Ремонт</v>
      </c>
    </row>
    <row r="186" spans="1:4" ht="15" customHeight="1">
      <c r="A186" s="133" t="str">
        <f t="shared" si="17"/>
        <v>IMv.Commands.coRepair</v>
      </c>
      <c r="B186" s="702">
        <v>11000</v>
      </c>
      <c r="C186" s="702" t="s">
        <v>5</v>
      </c>
      <c r="D186" s="135">
        <v>2147483680</v>
      </c>
    </row>
    <row r="187" spans="1:4" ht="15" customHeight="1">
      <c r="A187" s="29" t="str">
        <f t="shared" si="17"/>
        <v>IMv.Commands.coRepair</v>
      </c>
      <c r="B187">
        <v>101</v>
      </c>
      <c r="C187" t="s">
        <v>0</v>
      </c>
      <c r="D187" s="30" t="s">
        <v>113</v>
      </c>
    </row>
    <row r="188" spans="1:4" ht="15" customHeight="1">
      <c r="A188" s="29" t="str">
        <f t="shared" si="17"/>
        <v>IMv.Commands.coRepair</v>
      </c>
      <c r="B188">
        <v>3</v>
      </c>
      <c r="C188" t="s">
        <v>1</v>
      </c>
      <c r="D188" s="30">
        <v>192</v>
      </c>
    </row>
    <row r="189" spans="1:4" ht="15" customHeight="1">
      <c r="A189" s="29" t="str">
        <f t="shared" si="17"/>
        <v>IMv.Commands.coRepair</v>
      </c>
      <c r="B189">
        <v>2</v>
      </c>
      <c r="C189" t="s">
        <v>2</v>
      </c>
      <c r="D189" s="30" t="s">
        <v>3</v>
      </c>
    </row>
    <row r="190" spans="1:4" ht="15" customHeight="1">
      <c r="A190" s="29" t="str">
        <f t="shared" si="17"/>
        <v>IMv.Commands.coRepair</v>
      </c>
      <c r="B190">
        <v>1</v>
      </c>
      <c r="C190" t="s">
        <v>1</v>
      </c>
      <c r="D190" s="30">
        <v>11</v>
      </c>
    </row>
    <row r="191" spans="1:4" ht="15" customHeight="1">
      <c r="A191" s="29" t="str">
        <f t="shared" si="17"/>
        <v>IMv.Commands.coRepair</v>
      </c>
      <c r="B191">
        <v>4000000</v>
      </c>
      <c r="C191" t="s">
        <v>0</v>
      </c>
      <c r="D191" s="415" t="s">
        <v>2908</v>
      </c>
    </row>
    <row r="192" spans="1:4" ht="15" customHeight="1">
      <c r="A192" s="26" t="str">
        <f t="shared" si="17"/>
        <v>IMv.Commands.coRepair</v>
      </c>
      <c r="B192" s="27">
        <v>7000000</v>
      </c>
      <c r="C192" s="27" t="s">
        <v>6</v>
      </c>
      <c r="D192" s="28">
        <v>2</v>
      </c>
    </row>
  </sheetData>
  <autoFilter ref="B1:B193" xr:uid="{00000000-0009-0000-0000-000023000000}"/>
  <mergeCells count="6">
    <mergeCell ref="Q40:Q42"/>
    <mergeCell ref="Q43:Q45"/>
    <mergeCell ref="Q24:Q27"/>
    <mergeCell ref="Q28:Q29"/>
    <mergeCell ref="Q30:Q32"/>
    <mergeCell ref="Q33:Q35"/>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Лист199">
    <tabColor rgb="FFFFC000"/>
  </sheetPr>
  <dimension ref="A1:BA114"/>
  <sheetViews>
    <sheetView topLeftCell="A4" zoomScale="85" zoomScaleNormal="85" workbookViewId="0">
      <selection activeCell="D2" sqref="D2:D4"/>
    </sheetView>
  </sheetViews>
  <sheetFormatPr defaultRowHeight="14.4"/>
  <cols>
    <col min="1" max="1" width="39.88671875" bestFit="1" customWidth="1"/>
    <col min="2" max="2" width="8" customWidth="1"/>
    <col min="3" max="3" width="7.6640625" customWidth="1"/>
    <col min="4" max="4" width="83.4414062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53" s="258" customFormat="1" ht="204.6" thickBot="1">
      <c r="A1" s="257"/>
      <c r="B1" s="257" t="s">
        <v>84</v>
      </c>
      <c r="C1" s="257"/>
      <c r="D1" s="257"/>
      <c r="E1" s="257"/>
      <c r="F1" s="257"/>
      <c r="P1" s="730" t="str">
        <f>Таблица!D1</f>
        <v>Префикс для TREI
Тэг ОРС для INFINITY</v>
      </c>
      <c r="Q1" s="730" t="str">
        <f>Таблица!E1</f>
        <v>Комментарий для TREI и INFINITY</v>
      </c>
      <c r="R1" s="733" t="str">
        <f>Таблица!F1</f>
        <v>ТЭГ в дереве INFINITY Server</v>
      </c>
      <c r="S1" s="730"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735" t="str">
        <f>Таблица!H1</f>
        <v>OPC путь 
№ маршрута Modbus TCP, Modbus RTU, Modbus over TCP (1-255)
№ КП IEC104 (1-65534)</v>
      </c>
      <c r="U1" s="731" t="str">
        <f>Таблица!I1</f>
        <v>OPC путь</v>
      </c>
      <c r="V1" s="731" t="str">
        <f>Таблица!J1</f>
        <v>Мнемосхема</v>
      </c>
      <c r="W1" s="729"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729"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729" t="str">
        <f>Таблица!M1</f>
        <v>FB_IMt_MON_S, IMt_MON: Только для трансформатора. Цвет нижних обмоток(-ки) при наличии напряжения</v>
      </c>
      <c r="Z1" s="729"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729"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729" t="str">
        <f>Таблица!P1</f>
        <v xml:space="preserve">FB_DI_S, FB_DO_S, DI, DI_DIAG, FB_DO_STB_S: Тип сигнализации (Авария, предупреждение, телесигнализация и тд.)
FB_SHPS_S(SB), FB_BTF_S: Тип сигнализации XFRX
</v>
      </c>
      <c r="AC1" s="729"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729" t="str">
        <f>Таблица!R1</f>
        <v>SEPAM: Тип ячейки (OL,SV,VV,TN)
BMRZ: Тип ячейки (VV,AV)
TOR: Тип ячейки (OL,SV,VV,TN,BK)</v>
      </c>
      <c r="AE1" s="729" t="str">
        <f>Таблица!S1</f>
        <v>Формула для fNoLink.Device</v>
      </c>
      <c r="AF1" s="729">
        <f>Таблица!T1</f>
        <v>0</v>
      </c>
      <c r="AG1" s="729">
        <f>Таблица!U1</f>
        <v>0</v>
      </c>
      <c r="AH1" s="729">
        <f>Таблица!V1</f>
        <v>0</v>
      </c>
      <c r="AI1" s="729">
        <f>Таблица!W1</f>
        <v>0</v>
      </c>
      <c r="AJ1" s="729">
        <f>Таблица!X1</f>
        <v>0</v>
      </c>
      <c r="AK1" s="728" t="str">
        <f>Таблица!Y1</f>
        <v>FB_AI_S, FB_DI_S, FB_QSA_S, FB_DO_S, FB_SHPS_S, FB_SHOP_S, FB_BTF_S: IVXX
FB_KL_UPT_S: ISON
SW_S301, SW_MES3508: Подключение к порту 1
SW_MAYAK: Подключение к порту 1,2 (через "\")
DI_DIAG, DO_DIAG: XVLX</v>
      </c>
      <c r="AL1" s="728"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728"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728" t="str">
        <f>Таблица!AB1</f>
        <v>FB_IMstp_S, FB_IMsp_S, FB_IMs_S, FB_REG_S, FB_IM_ADES_S : ILCX
SW_S301: Подключение к порту 4
SW_MAYAK, SW_MES3508: Подключение к порту 7,8 (через "\")</v>
      </c>
      <c r="AO1" s="728" t="str">
        <f>Таблица!AC1</f>
        <v xml:space="preserve">FB_IMstp_S, FB_IMsp_S, FB_IMs_S, FB_IMp_S, FB_IMv_S, FB_REG_S, FB_IM_ADES_S, FB_DO_S : IRCX
SW_S301, SW_MES3508: Подключение к порту 5
SW_MAYAK: Подключение к порту 9,10 (через "\")
</v>
      </c>
      <c r="AP1" s="728"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728"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728" t="str">
        <f>Таблица!AF1</f>
        <v xml:space="preserve">FB_IMstp_S, FB_IMsp_S, FB_IMs_S, FB_IMp_S, FB_IMv_S, FB_IM_ADES_S, FB_OZK_KD_S, FB_DO_S: OXOF
SW_S301, SW_MES3508: Подключение к порту 8
SW_MAYAK: Подключение к порту 15,16 (через "\")
</v>
      </c>
      <c r="AS1" s="728" t="str">
        <f>Таблица!AG1</f>
        <v xml:space="preserve">FB_IM_ADES_S, FB_IMp_S, FB_IMv_S: OXSP
FB_IMstp_S, FB_IMsp_S, FB_IMsp_MON_S: IPTC
SW_S301, SW_MES3508: Подключение к порту 9
SW_MAYAK: Подключение к порту 17,18 (через "\")
</v>
      </c>
      <c r="AT1" s="728" t="str">
        <f>Таблица!AH1</f>
        <v xml:space="preserve">FB_IMstp_S, FB_IMst_MON_S, FB_IMt_MON_S: ITON
FB_IM_ADES_S: IOLD
SW_S301, SW_MES3508: Подключение к порту 10
SW_MAYAK: Подключение к порту 19,20 (через "\")
</v>
      </c>
      <c r="AU1" s="728" t="str">
        <f>Таблица!AI1</f>
        <v>FB_IMstp_S, FB_IMst_MON_S, FB_IMt_MON_S: ITOF
FB_IM_ADES_S: IRAD
SW_MAYAK: Подключение к порту 21,22 (через "\")</v>
      </c>
      <c r="AV1" s="728" t="str">
        <f>Таблица!AJ1</f>
        <v xml:space="preserve">FB_IMstp_S, FB_IMsp_S, FB_IMsp_MON_S, FB_IM_ADES_S: IPTO
SW_MAYAK: Подключение к порту 23,24 (через "\")
</v>
      </c>
      <c r="AW1" s="737"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737" t="str">
        <f>Таблица!AL1</f>
        <v>Для TREI
FB_IMstp_S, FB_IMs_S, FB_IMp_S, FB_IMv_S, FB_IM_ADES_S: Настройка перехода ручной-/автоматический-(TRUE/FALSE) 
FB_DI_S: Генерировать метки времени (TRUE/FALSE)</v>
      </c>
      <c r="AY1" s="737"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737" t="str">
        <f>Таблица!AN1</f>
        <v>Для TREI
FB_AI_S, FB_QSA_S: Верхний предел датчика
FB_IMp_S, FB_IMv_S, FB_IM_ADES_S, FB_OZK_KD_S: Время перестановки</v>
      </c>
      <c r="BA1" s="737"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row>
    <row r="2" spans="1:53" ht="15" customHeight="1">
      <c r="A2" s="10"/>
      <c r="B2" s="10"/>
      <c r="C2" s="10"/>
      <c r="D2" s="10"/>
      <c r="E2" s="10"/>
      <c r="F2" s="10"/>
      <c r="P2" s="2"/>
      <c r="Q2" s="2" t="s">
        <v>2715</v>
      </c>
      <c r="R2" s="2" t="s">
        <v>2333</v>
      </c>
      <c r="S2" s="3">
        <v>3</v>
      </c>
      <c r="T2" s="3" t="s">
        <v>1701</v>
      </c>
      <c r="U2" s="3"/>
      <c r="V2" s="3" t="s">
        <v>569</v>
      </c>
      <c r="W2" s="3"/>
      <c r="X2" s="3"/>
      <c r="Y2" s="3"/>
      <c r="Z2" s="3"/>
      <c r="AA2" s="3"/>
      <c r="AB2" s="2"/>
      <c r="AC2" s="2"/>
      <c r="AD2" s="2"/>
      <c r="AE2" s="2" t="s">
        <v>1414</v>
      </c>
      <c r="AF2" s="2"/>
      <c r="AG2" s="2"/>
      <c r="AH2" s="2"/>
      <c r="AI2" s="2"/>
      <c r="AJ2" s="2"/>
      <c r="AK2" s="2"/>
      <c r="AL2" s="2"/>
      <c r="AM2" s="2"/>
      <c r="AN2" s="2"/>
      <c r="AO2" s="2"/>
      <c r="AP2" s="2"/>
      <c r="AQ2" s="2"/>
      <c r="AR2" s="2"/>
      <c r="AS2" s="2"/>
      <c r="AT2" s="2"/>
      <c r="AU2" s="2"/>
      <c r="AV2" s="2"/>
      <c r="AW2" s="2"/>
      <c r="AX2" s="2"/>
      <c r="AY2" s="2"/>
      <c r="AZ2" s="2"/>
      <c r="BA2" s="2"/>
    </row>
    <row r="3" spans="1:53" ht="15" customHeight="1">
      <c r="A3" s="10"/>
      <c r="B3" s="10"/>
      <c r="C3" s="10"/>
      <c r="D3" s="10"/>
      <c r="E3" s="10"/>
      <c r="F3" s="10"/>
      <c r="P3" s="10"/>
      <c r="Q3" s="10"/>
      <c r="R3" s="10"/>
      <c r="S3" s="10"/>
      <c r="T3" s="10"/>
      <c r="U3" s="10"/>
      <c r="V3" s="10"/>
      <c r="W3" s="10"/>
      <c r="X3" s="10"/>
      <c r="Y3" s="10"/>
      <c r="Z3" s="10"/>
      <c r="AA3" s="10"/>
    </row>
    <row r="4" spans="1:53" ht="15" customHeight="1">
      <c r="A4" s="10"/>
      <c r="B4" s="10"/>
      <c r="C4" s="10"/>
      <c r="D4" s="10"/>
      <c r="E4" s="10"/>
      <c r="F4" s="10"/>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row>
    <row r="5" spans="1:53" ht="15" customHeight="1">
      <c r="A5" s="10"/>
      <c r="B5" s="10"/>
      <c r="C5" s="10"/>
      <c r="D5" s="10"/>
      <c r="E5" s="10"/>
      <c r="F5" s="10"/>
      <c r="P5" s="703" t="str">
        <f>Настройки!A2</f>
        <v>Авария</v>
      </c>
      <c r="Q5" s="518">
        <f>Настройки!B2</f>
        <v>4</v>
      </c>
      <c r="R5" s="708" t="str">
        <f>Настройки!C2</f>
        <v>Авария</v>
      </c>
      <c r="S5" s="10"/>
      <c r="T5" s="456">
        <f>Настройки!M12</f>
        <v>1</v>
      </c>
      <c r="U5" s="10"/>
      <c r="V5" s="10"/>
      <c r="W5" s="10"/>
      <c r="X5" s="10"/>
      <c r="Y5" s="10"/>
      <c r="Z5" s="10"/>
      <c r="AA5" s="10"/>
    </row>
    <row r="6" spans="1:53" ht="15" customHeight="1">
      <c r="A6" s="10"/>
      <c r="B6" s="10"/>
      <c r="C6" s="10"/>
      <c r="D6" s="10"/>
      <c r="E6" s="10"/>
      <c r="F6" s="10"/>
      <c r="P6" s="703" t="str">
        <f>Настройки!A3</f>
        <v>Предупреждение</v>
      </c>
      <c r="Q6" s="518">
        <f>Настройки!B3</f>
        <v>8</v>
      </c>
      <c r="R6" s="708" t="str">
        <f>Настройки!C3</f>
        <v>Предупреждение</v>
      </c>
      <c r="S6" s="10"/>
      <c r="T6" s="608" t="str">
        <f>Настройки!M7</f>
        <v>Отображение Таблицы подлючений в диаг.</v>
      </c>
      <c r="U6" s="10"/>
      <c r="V6" s="10"/>
      <c r="W6" s="10"/>
      <c r="X6" s="10"/>
      <c r="Y6" s="10"/>
      <c r="Z6" s="10"/>
      <c r="AA6" s="10"/>
    </row>
    <row r="7" spans="1:53" ht="15" customHeight="1">
      <c r="A7" s="10"/>
      <c r="B7" s="10"/>
      <c r="C7" s="10"/>
      <c r="D7" s="10"/>
      <c r="E7" s="10"/>
      <c r="F7" s="10"/>
      <c r="P7" s="703" t="str">
        <f>Настройки!A4</f>
        <v>Неисправность</v>
      </c>
      <c r="Q7" s="518">
        <f>Настройки!B4</f>
        <v>12</v>
      </c>
      <c r="R7" s="708" t="str">
        <f>Настройки!C4</f>
        <v>Неисправность</v>
      </c>
      <c r="S7" s="10"/>
      <c r="T7" s="714" t="b">
        <f>Настройки!M8</f>
        <v>0</v>
      </c>
      <c r="U7" s="10"/>
      <c r="V7" s="10"/>
      <c r="W7" s="10"/>
      <c r="X7" s="10"/>
      <c r="Y7" s="10"/>
      <c r="Z7" s="10"/>
      <c r="AA7" s="10"/>
    </row>
    <row r="8" spans="1:53" ht="15" customHeight="1">
      <c r="A8" s="10"/>
      <c r="B8" s="10"/>
      <c r="C8" s="10"/>
      <c r="D8" s="10"/>
      <c r="E8" s="10"/>
      <c r="F8" s="10"/>
      <c r="P8" s="703" t="str">
        <f>Настройки!A5</f>
        <v>Телесигнализация</v>
      </c>
      <c r="Q8" s="518">
        <f>Настройки!B5</f>
        <v>18</v>
      </c>
      <c r="R8" s="708" t="str">
        <f>Настройки!C5</f>
        <v>Телесигнализация</v>
      </c>
      <c r="S8" s="10"/>
      <c r="T8" s="10"/>
      <c r="U8" s="10"/>
      <c r="V8" s="10"/>
      <c r="W8" s="10"/>
      <c r="X8" s="10"/>
      <c r="Y8" s="10"/>
      <c r="Z8" s="10"/>
      <c r="AA8" s="10"/>
    </row>
    <row r="9" spans="1:53" ht="15" customHeight="1">
      <c r="A9" s="10"/>
      <c r="B9" s="10"/>
      <c r="C9" s="10"/>
      <c r="D9" s="10"/>
      <c r="E9" s="10"/>
      <c r="F9" s="10"/>
      <c r="P9" s="703" t="str">
        <f>Настройки!A6</f>
        <v>Недостоверность</v>
      </c>
      <c r="Q9" s="518">
        <f>Настройки!B6</f>
        <v>10</v>
      </c>
      <c r="R9" s="708" t="str">
        <f>Настройки!C6</f>
        <v>Недостоверность</v>
      </c>
      <c r="S9" s="10"/>
      <c r="T9" s="10"/>
      <c r="U9" s="10"/>
      <c r="V9" s="10"/>
      <c r="W9" s="10"/>
      <c r="X9" s="10"/>
      <c r="Y9" s="10"/>
      <c r="Z9" s="10"/>
      <c r="AA9" s="10"/>
    </row>
    <row r="10" spans="1:53" ht="15" customHeight="1">
      <c r="A10" s="10"/>
      <c r="B10" s="10"/>
      <c r="C10" s="10"/>
      <c r="D10" s="10"/>
      <c r="E10" s="10"/>
      <c r="F10" s="10"/>
      <c r="P10" s="703" t="str">
        <f>Настройки!A7</f>
        <v>Имитация</v>
      </c>
      <c r="Q10" s="518">
        <f>Настройки!B7</f>
        <v>16</v>
      </c>
      <c r="R10" s="708" t="str">
        <f>Настройки!C7</f>
        <v>Имитация</v>
      </c>
      <c r="S10" s="10"/>
      <c r="T10" s="10"/>
      <c r="U10" s="10"/>
      <c r="V10" s="10"/>
      <c r="W10" s="10"/>
      <c r="X10" s="10"/>
      <c r="Y10" s="10"/>
      <c r="Z10" s="10"/>
      <c r="AA10" s="10"/>
    </row>
    <row r="11" spans="1:53" ht="15" customHeight="1">
      <c r="A11" s="10"/>
      <c r="B11" s="10"/>
      <c r="C11" s="10"/>
      <c r="D11" s="10"/>
      <c r="E11" s="10"/>
      <c r="F11" s="10"/>
      <c r="P11" s="703" t="str">
        <f>Настройки!A8</f>
        <v>Ремонт</v>
      </c>
      <c r="Q11" s="518">
        <f>Настройки!B8</f>
        <v>14</v>
      </c>
      <c r="R11" s="708" t="str">
        <f>Настройки!C8</f>
        <v>Ремонт</v>
      </c>
      <c r="S11" s="10"/>
      <c r="T11" s="10"/>
      <c r="U11" s="10"/>
      <c r="V11" s="10"/>
      <c r="W11" s="10"/>
      <c r="X11" s="10"/>
      <c r="Y11" s="10"/>
      <c r="Z11" s="10"/>
      <c r="AA11" s="10"/>
    </row>
    <row r="12" spans="1:53" ht="15" customHeight="1">
      <c r="A12" s="10"/>
      <c r="B12" s="10"/>
      <c r="C12" s="10"/>
      <c r="D12" s="10"/>
      <c r="E12" s="10"/>
      <c r="F12" s="10"/>
      <c r="P12" s="703" t="str">
        <f>Настройки!A9</f>
        <v>Команда оператора</v>
      </c>
      <c r="Q12" s="518">
        <f>Настройки!B9</f>
        <v>20</v>
      </c>
      <c r="R12" s="708" t="str">
        <f>Настройки!C9</f>
        <v>Команда оператора</v>
      </c>
      <c r="S12" s="10"/>
      <c r="T12" s="10"/>
      <c r="U12" s="10"/>
      <c r="V12" s="10"/>
      <c r="W12" s="10"/>
      <c r="X12" s="10"/>
      <c r="Y12" s="10"/>
      <c r="Z12" s="10"/>
      <c r="AA12" s="10"/>
    </row>
    <row r="13" spans="1:53" ht="15" customHeight="1">
      <c r="A13" s="10"/>
      <c r="B13" s="10"/>
      <c r="C13" s="10"/>
      <c r="D13" s="10"/>
      <c r="E13" s="10"/>
      <c r="F13" s="10"/>
      <c r="P13" s="703" t="str">
        <f>Настройки!A10</f>
        <v>Тревога</v>
      </c>
      <c r="Q13" s="518">
        <f>Настройки!B10</f>
        <v>5</v>
      </c>
      <c r="R13" s="518" t="str">
        <f>Настройки!C10</f>
        <v>Тревога</v>
      </c>
      <c r="S13" s="10"/>
      <c r="T13" s="10"/>
      <c r="U13" s="10"/>
      <c r="V13" s="10"/>
      <c r="W13" s="10"/>
      <c r="X13" s="10"/>
      <c r="Y13" s="10"/>
      <c r="Z13" s="10"/>
      <c r="AA13" s="10"/>
    </row>
    <row r="14" spans="1:53" ht="15" customHeight="1">
      <c r="A14" s="10"/>
      <c r="B14" s="10"/>
      <c r="C14" s="10"/>
      <c r="D14" s="10"/>
      <c r="E14" s="10"/>
      <c r="F14" s="10"/>
      <c r="P14" s="703" t="str">
        <f>Настройки!A11</f>
        <v>Тушение</v>
      </c>
      <c r="Q14" s="518">
        <f>Настройки!B11</f>
        <v>1</v>
      </c>
      <c r="R14" s="518" t="str">
        <f>Настройки!C11</f>
        <v>Тушение</v>
      </c>
      <c r="S14" s="10"/>
      <c r="T14" s="10"/>
      <c r="U14" s="10"/>
      <c r="V14" s="10"/>
      <c r="W14" s="10"/>
      <c r="X14" s="10"/>
      <c r="Y14" s="10"/>
      <c r="Z14" s="10"/>
      <c r="AA14" s="10"/>
    </row>
    <row r="15" spans="1:53" ht="15" customHeight="1">
      <c r="A15" s="10"/>
      <c r="B15" s="10"/>
      <c r="C15" s="10"/>
      <c r="D15" s="10"/>
      <c r="E15" s="10"/>
      <c r="F15" s="10"/>
      <c r="P15" s="703" t="str">
        <f>Настройки!A12</f>
        <v>Пожар</v>
      </c>
      <c r="Q15" s="518">
        <f>Настройки!B12</f>
        <v>2</v>
      </c>
      <c r="R15" s="518" t="str">
        <f>Настройки!C12</f>
        <v>Пожар</v>
      </c>
      <c r="S15" s="10"/>
      <c r="T15" s="10"/>
      <c r="U15" s="10"/>
      <c r="V15" s="10"/>
      <c r="W15" s="10"/>
      <c r="X15" s="10"/>
      <c r="Y15" s="10"/>
      <c r="Z15" s="10"/>
      <c r="AA15" s="10"/>
    </row>
    <row r="16" spans="1:53" ht="15" customHeight="1">
      <c r="A16" s="10"/>
      <c r="B16" s="10"/>
      <c r="C16" s="10"/>
      <c r="D16" s="10"/>
      <c r="E16" s="10"/>
      <c r="F16" s="10"/>
      <c r="P16" s="703" t="str">
        <f>Настройки!A13</f>
        <v>Порог 2</v>
      </c>
      <c r="Q16" s="518">
        <f>Настройки!B13</f>
        <v>3</v>
      </c>
      <c r="R16" s="518" t="str">
        <f>Настройки!C13</f>
        <v>Порог 2</v>
      </c>
      <c r="S16" s="10"/>
      <c r="T16" s="10"/>
      <c r="U16" s="10"/>
      <c r="V16" s="10"/>
      <c r="W16" s="10"/>
      <c r="X16" s="10"/>
      <c r="Y16" s="10"/>
      <c r="Z16" s="10"/>
      <c r="AA16" s="10"/>
    </row>
    <row r="17" spans="1:27" ht="15" customHeight="1">
      <c r="A17" s="10"/>
      <c r="B17" s="10"/>
      <c r="C17" s="10"/>
      <c r="D17" s="10"/>
      <c r="E17" s="10"/>
      <c r="F17" s="10"/>
      <c r="P17" s="703" t="str">
        <f>Настройки!A14</f>
        <v>Порог 1</v>
      </c>
      <c r="Q17" s="518">
        <f>Настройки!B14</f>
        <v>6</v>
      </c>
      <c r="R17" s="518" t="str">
        <f>Настройки!C14</f>
        <v>Порог 1</v>
      </c>
      <c r="S17" s="10"/>
      <c r="T17" s="10"/>
      <c r="U17" s="10"/>
      <c r="V17" s="10"/>
      <c r="W17" s="10"/>
      <c r="X17" s="10"/>
      <c r="Y17" s="10"/>
      <c r="Z17" s="10"/>
      <c r="AA17" s="10"/>
    </row>
    <row r="18" spans="1:27" ht="15" customHeight="1">
      <c r="A18" s="10"/>
      <c r="B18" s="10"/>
      <c r="C18" s="10"/>
      <c r="D18" s="10"/>
      <c r="E18" s="10"/>
      <c r="F18" s="10"/>
      <c r="P18" s="703" t="str">
        <f>Настройки!A15</f>
        <v>Отключение</v>
      </c>
      <c r="Q18" s="518">
        <f>Настройки!B15</f>
        <v>13</v>
      </c>
      <c r="R18" s="518" t="str">
        <f>Настройки!C15</f>
        <v>Отключение</v>
      </c>
      <c r="S18" s="10"/>
      <c r="T18" s="10"/>
      <c r="U18" s="10"/>
      <c r="V18" s="10"/>
      <c r="W18" s="10"/>
      <c r="X18" s="10"/>
      <c r="Y18" s="10"/>
      <c r="Z18" s="10"/>
      <c r="AA18" s="10"/>
    </row>
    <row r="19" spans="1:27" ht="15" customHeight="1">
      <c r="A19" s="10"/>
      <c r="B19" s="10"/>
      <c r="C19" s="10"/>
      <c r="D19" s="10"/>
      <c r="E19" s="10"/>
      <c r="F19" s="10"/>
      <c r="P19" s="703" t="str">
        <f>Настройки!A16</f>
        <v>Информация</v>
      </c>
      <c r="Q19" s="518">
        <f>Настройки!B16</f>
        <v>22</v>
      </c>
      <c r="R19" s="518" t="str">
        <f>Настройки!C16</f>
        <v>Информация</v>
      </c>
      <c r="S19" s="10"/>
      <c r="T19" s="10"/>
      <c r="U19" s="10"/>
      <c r="V19" s="10"/>
      <c r="W19" s="10"/>
      <c r="X19" s="10"/>
      <c r="Y19" s="10"/>
      <c r="Z19" s="10"/>
      <c r="AA19" s="10"/>
    </row>
    <row r="20" spans="1:27">
      <c r="A20" s="23" t="str">
        <f t="shared" ref="A20:A36" si="0">$R$2</f>
        <v>IMp_MON</v>
      </c>
      <c r="B20" s="24">
        <v>1</v>
      </c>
      <c r="C20" s="24" t="s">
        <v>1</v>
      </c>
      <c r="D20" s="25">
        <v>17</v>
      </c>
    </row>
    <row r="21" spans="1:27">
      <c r="A21" s="29" t="str">
        <f>$R$2</f>
        <v>IMp_MON</v>
      </c>
      <c r="B21" s="1">
        <v>7011</v>
      </c>
      <c r="C21" s="1" t="s">
        <v>2</v>
      </c>
      <c r="D21" s="30" t="s">
        <v>266</v>
      </c>
    </row>
    <row r="22" spans="1:27">
      <c r="A22" s="29" t="str">
        <f t="shared" si="0"/>
        <v>IMp_MON</v>
      </c>
      <c r="B22">
        <v>11001</v>
      </c>
      <c r="C22" t="s">
        <v>0</v>
      </c>
      <c r="D22" s="30" t="str">
        <f>$Q$2&amp;". "</f>
        <v xml:space="preserve">Насос без управления (шаблон по OPC). </v>
      </c>
    </row>
    <row r="23" spans="1:27">
      <c r="A23" s="29" t="str">
        <f t="shared" si="0"/>
        <v>IMp_MON</v>
      </c>
      <c r="B23">
        <v>11156</v>
      </c>
      <c r="C23" t="s">
        <v>0</v>
      </c>
      <c r="D23" s="30" t="str">
        <f>$V$2</f>
        <v>Тестовый экран</v>
      </c>
    </row>
    <row r="24" spans="1:27">
      <c r="A24" s="23" t="str">
        <f t="shared" si="0"/>
        <v>IMp_MON</v>
      </c>
      <c r="B24" s="24">
        <v>13</v>
      </c>
      <c r="C24" s="24" t="s">
        <v>2</v>
      </c>
      <c r="D24" s="25" t="s">
        <v>3</v>
      </c>
      <c r="Q24" s="778" t="s">
        <v>2592</v>
      </c>
    </row>
    <row r="25" spans="1:27" ht="15" customHeight="1">
      <c r="A25" s="29" t="str">
        <f t="shared" si="0"/>
        <v>IMp_MON</v>
      </c>
      <c r="B25">
        <v>3000013</v>
      </c>
      <c r="C25" t="s">
        <v>0</v>
      </c>
      <c r="D25" s="30" t="str">
        <f>$AE$2</f>
        <v>Диагностика.CPU.NOT_LINK.noLink</v>
      </c>
      <c r="Q25" s="780"/>
    </row>
    <row r="26" spans="1:27" ht="15" customHeight="1">
      <c r="A26" s="29" t="str">
        <f t="shared" si="0"/>
        <v>IMp_MON</v>
      </c>
      <c r="B26">
        <v>4000013</v>
      </c>
      <c r="C26" t="s">
        <v>0</v>
      </c>
      <c r="D26" s="30" t="s">
        <v>1775</v>
      </c>
      <c r="Q26" s="780"/>
    </row>
    <row r="27" spans="1:27" ht="15" customHeight="1">
      <c r="A27" s="26" t="str">
        <f t="shared" si="0"/>
        <v>IMp_MON</v>
      </c>
      <c r="B27" s="27">
        <v>7000013</v>
      </c>
      <c r="C27" s="27" t="s">
        <v>6</v>
      </c>
      <c r="D27" s="28">
        <v>2</v>
      </c>
      <c r="Q27" s="779"/>
    </row>
    <row r="28" spans="1:27" ht="15" customHeight="1">
      <c r="A28" s="29" t="str">
        <f t="shared" si="0"/>
        <v>IMp_MON</v>
      </c>
      <c r="B28">
        <v>9207</v>
      </c>
      <c r="C28" t="s">
        <v>2</v>
      </c>
      <c r="D28" s="30" t="s">
        <v>3</v>
      </c>
      <c r="Q28" s="778" t="s">
        <v>139</v>
      </c>
    </row>
    <row r="29" spans="1:27">
      <c r="A29" s="27" t="str">
        <f t="shared" si="0"/>
        <v>IMp_MON</v>
      </c>
      <c r="B29" s="27">
        <v>3009207</v>
      </c>
      <c r="C29" s="27" t="s">
        <v>0</v>
      </c>
      <c r="D29" s="28" t="s">
        <v>2606</v>
      </c>
      <c r="Q29" s="779"/>
    </row>
    <row r="30" spans="1:27">
      <c r="A30" s="266" t="str">
        <f t="shared" si="0"/>
        <v>IMp_MON</v>
      </c>
      <c r="B30" s="267">
        <v>9201</v>
      </c>
      <c r="C30" s="267" t="s">
        <v>2583</v>
      </c>
      <c r="D30" s="268">
        <v>0</v>
      </c>
      <c r="Q30" s="778" t="s">
        <v>2590</v>
      </c>
    </row>
    <row r="31" spans="1:27" ht="15" customHeight="1">
      <c r="A31" s="269" t="str">
        <f t="shared" si="0"/>
        <v>IMp_MON</v>
      </c>
      <c r="B31" s="700">
        <v>4009201</v>
      </c>
      <c r="C31" s="700" t="s">
        <v>0</v>
      </c>
      <c r="D31" s="271" t="s">
        <v>2589</v>
      </c>
      <c r="Q31" s="780"/>
    </row>
    <row r="32" spans="1:27" ht="15" customHeight="1">
      <c r="A32" s="272" t="str">
        <f t="shared" si="0"/>
        <v>IMp_MON</v>
      </c>
      <c r="B32" s="273">
        <v>7009201</v>
      </c>
      <c r="C32" s="273" t="s">
        <v>6</v>
      </c>
      <c r="D32" s="274">
        <v>1</v>
      </c>
      <c r="Q32" s="779"/>
    </row>
    <row r="33" spans="1:18" ht="15" customHeight="1">
      <c r="A33" s="269" t="str">
        <f t="shared" si="0"/>
        <v>IMp_MON</v>
      </c>
      <c r="B33" s="700">
        <v>9202</v>
      </c>
      <c r="C33" s="700" t="s">
        <v>2583</v>
      </c>
      <c r="D33" s="271">
        <v>0</v>
      </c>
      <c r="Q33" s="778" t="s">
        <v>2588</v>
      </c>
    </row>
    <row r="34" spans="1:18">
      <c r="A34" s="269" t="str">
        <f t="shared" si="0"/>
        <v>IMp_MON</v>
      </c>
      <c r="B34" s="700">
        <v>4009202</v>
      </c>
      <c r="C34" s="700" t="s">
        <v>0</v>
      </c>
      <c r="D34" s="271" t="s">
        <v>2587</v>
      </c>
      <c r="Q34" s="780"/>
    </row>
    <row r="35" spans="1:18">
      <c r="A35" s="269" t="str">
        <f t="shared" si="0"/>
        <v>IMp_MON</v>
      </c>
      <c r="B35" s="700">
        <v>7009202</v>
      </c>
      <c r="C35" s="700" t="s">
        <v>6</v>
      </c>
      <c r="D35" s="271">
        <v>1</v>
      </c>
      <c r="Q35" s="779"/>
    </row>
    <row r="36" spans="1:18">
      <c r="A36" s="266" t="str">
        <f t="shared" si="0"/>
        <v>IMp_MON</v>
      </c>
      <c r="B36" s="267">
        <v>9203</v>
      </c>
      <c r="C36" s="267" t="s">
        <v>6</v>
      </c>
      <c r="D36" s="268">
        <v>0</v>
      </c>
      <c r="Q36" s="537" t="s">
        <v>2586</v>
      </c>
    </row>
    <row r="37" spans="1:18" ht="15" customHeight="1">
      <c r="A37" s="23" t="str">
        <f t="shared" ref="A37:A42" si="1">$R$2&amp;".Commands"</f>
        <v>IMp_MON.Commands</v>
      </c>
      <c r="B37" s="24">
        <v>1</v>
      </c>
      <c r="C37" s="24" t="s">
        <v>1</v>
      </c>
      <c r="D37" s="25">
        <v>17</v>
      </c>
    </row>
    <row r="38" spans="1:18">
      <c r="A38" s="29" t="str">
        <f t="shared" si="1"/>
        <v>IMp_MON.Commands</v>
      </c>
      <c r="B38" s="1">
        <v>7011</v>
      </c>
      <c r="C38" s="1" t="s">
        <v>2</v>
      </c>
      <c r="D38" s="30" t="s">
        <v>266</v>
      </c>
    </row>
    <row r="39" spans="1:18">
      <c r="A39" s="29" t="str">
        <f t="shared" si="1"/>
        <v>IMp_MON.Commands</v>
      </c>
      <c r="B39" s="1">
        <v>9209</v>
      </c>
      <c r="C39" s="1" t="s">
        <v>2</v>
      </c>
      <c r="D39" s="30" t="s">
        <v>175</v>
      </c>
      <c r="Q39" s="778" t="s">
        <v>116</v>
      </c>
    </row>
    <row r="40" spans="1:18">
      <c r="A40" s="29" t="str">
        <f t="shared" si="1"/>
        <v>IMp_MON.Commands</v>
      </c>
      <c r="B40" s="1">
        <v>4009209</v>
      </c>
      <c r="C40" s="1" t="s">
        <v>0</v>
      </c>
      <c r="D40" s="713" t="s">
        <v>2584</v>
      </c>
      <c r="Q40" s="780"/>
      <c r="R40" s="713"/>
    </row>
    <row r="41" spans="1:18">
      <c r="A41" s="26" t="str">
        <f t="shared" si="1"/>
        <v>IMp_MON.Commands</v>
      </c>
      <c r="B41" s="27">
        <v>7009209</v>
      </c>
      <c r="C41" s="27" t="s">
        <v>6</v>
      </c>
      <c r="D41" s="28">
        <v>1</v>
      </c>
      <c r="Q41" s="779"/>
    </row>
    <row r="42" spans="1:18">
      <c r="A42" s="272" t="str">
        <f t="shared" si="1"/>
        <v>IMp_MON.Commands</v>
      </c>
      <c r="B42" s="273">
        <v>9210</v>
      </c>
      <c r="C42" s="273" t="s">
        <v>6</v>
      </c>
      <c r="D42" s="274">
        <v>0</v>
      </c>
      <c r="Q42" s="537" t="s">
        <v>192</v>
      </c>
    </row>
    <row r="43" spans="1:18">
      <c r="A43" s="69" t="str">
        <f t="shared" ref="A43:A51" si="2">$R$2&amp;".wCntLimit"</f>
        <v>IMp_MON.wCntLimit</v>
      </c>
      <c r="B43" s="70">
        <v>11154</v>
      </c>
      <c r="C43" s="70" t="s">
        <v>4</v>
      </c>
      <c r="D43" s="144">
        <f>$Q$6</f>
        <v>8</v>
      </c>
    </row>
    <row r="44" spans="1:18">
      <c r="A44" s="63" t="str">
        <f t="shared" si="2"/>
        <v>IMp_MON.wCntLimit</v>
      </c>
      <c r="B44" s="52">
        <v>11150</v>
      </c>
      <c r="C44" s="52" t="s">
        <v>0</v>
      </c>
      <c r="D44" s="65" t="s">
        <v>158</v>
      </c>
    </row>
    <row r="45" spans="1:18">
      <c r="A45" s="63" t="str">
        <f t="shared" si="2"/>
        <v>IMp_MON.wCntLimit</v>
      </c>
      <c r="B45" s="52">
        <v>11152</v>
      </c>
      <c r="C45" s="52" t="s">
        <v>0</v>
      </c>
      <c r="D45" s="65" t="str">
        <f>$R$6</f>
        <v>Предупреждение</v>
      </c>
    </row>
    <row r="46" spans="1:18">
      <c r="A46" s="63" t="str">
        <f t="shared" si="2"/>
        <v>IMp_MON.wCntLimit</v>
      </c>
      <c r="B46" s="52">
        <v>11000</v>
      </c>
      <c r="C46" s="52" t="s">
        <v>5</v>
      </c>
      <c r="D46" s="65">
        <v>2147483680</v>
      </c>
    </row>
    <row r="47" spans="1:18">
      <c r="A47" s="29" t="str">
        <f t="shared" si="2"/>
        <v>IMp_MON.wCntLimit</v>
      </c>
      <c r="B47">
        <v>101</v>
      </c>
      <c r="C47" t="s">
        <v>0</v>
      </c>
      <c r="D47" s="30" t="s">
        <v>158</v>
      </c>
    </row>
    <row r="48" spans="1:18">
      <c r="A48" s="29" t="str">
        <f t="shared" si="2"/>
        <v>IMp_MON.wCntLimit</v>
      </c>
      <c r="B48">
        <v>3</v>
      </c>
      <c r="C48" t="s">
        <v>1</v>
      </c>
      <c r="D48" s="30">
        <v>192</v>
      </c>
    </row>
    <row r="49" spans="1:4">
      <c r="A49" s="29" t="str">
        <f t="shared" si="2"/>
        <v>IMp_MON.wCntLimit</v>
      </c>
      <c r="B49">
        <v>2</v>
      </c>
      <c r="C49" t="s">
        <v>2</v>
      </c>
      <c r="D49" s="30" t="s">
        <v>3</v>
      </c>
    </row>
    <row r="50" spans="1:4">
      <c r="A50" t="str">
        <f t="shared" si="2"/>
        <v>IMp_MON.wCntLimit</v>
      </c>
      <c r="B50">
        <v>1</v>
      </c>
      <c r="C50" t="s">
        <v>1</v>
      </c>
      <c r="D50" s="30">
        <v>11</v>
      </c>
    </row>
    <row r="51" spans="1:4">
      <c r="A51" s="29" t="str">
        <f t="shared" si="2"/>
        <v>IMp_MON.wCntLimit</v>
      </c>
      <c r="B51" s="27">
        <v>3000000</v>
      </c>
      <c r="C51" s="27" t="s">
        <v>0</v>
      </c>
      <c r="D51" s="28" t="s">
        <v>2328</v>
      </c>
    </row>
    <row r="52" spans="1:4">
      <c r="A52" s="23" t="str">
        <f t="shared" ref="A52:A61" si="3">$R$2&amp;".fFault"</f>
        <v>IMp_MON.fFault</v>
      </c>
      <c r="B52" s="24">
        <v>1</v>
      </c>
      <c r="C52" s="24" t="s">
        <v>1</v>
      </c>
      <c r="D52" s="25">
        <v>11</v>
      </c>
    </row>
    <row r="53" spans="1:4">
      <c r="A53" s="29" t="str">
        <f t="shared" si="3"/>
        <v>IMp_MON.fFault</v>
      </c>
      <c r="B53">
        <v>2</v>
      </c>
      <c r="C53" t="s">
        <v>2</v>
      </c>
      <c r="D53" s="30" t="s">
        <v>3</v>
      </c>
    </row>
    <row r="54" spans="1:4">
      <c r="A54" s="29" t="str">
        <f t="shared" si="3"/>
        <v>IMp_MON.fFault</v>
      </c>
      <c r="B54">
        <v>3</v>
      </c>
      <c r="C54" t="s">
        <v>1</v>
      </c>
      <c r="D54" s="30">
        <v>192</v>
      </c>
    </row>
    <row r="55" spans="1:4">
      <c r="A55" s="211" t="str">
        <f t="shared" si="3"/>
        <v>IMp_MON.fFault</v>
      </c>
      <c r="B55" s="677">
        <v>11152</v>
      </c>
      <c r="C55" s="677" t="s">
        <v>0</v>
      </c>
      <c r="D55" s="213" t="str">
        <f>$R$7</f>
        <v>Неисправность</v>
      </c>
    </row>
    <row r="56" spans="1:4">
      <c r="A56" s="211" t="str">
        <f t="shared" si="3"/>
        <v>IMp_MON.fFault</v>
      </c>
      <c r="B56" s="677">
        <v>11000</v>
      </c>
      <c r="C56" s="677" t="s">
        <v>5</v>
      </c>
      <c r="D56" s="213">
        <v>2147483680</v>
      </c>
    </row>
    <row r="57" spans="1:4">
      <c r="A57" s="211" t="str">
        <f t="shared" si="3"/>
        <v>IMp_MON.fFault</v>
      </c>
      <c r="B57" s="677">
        <v>11150</v>
      </c>
      <c r="C57" s="677" t="s">
        <v>0</v>
      </c>
      <c r="D57" s="213" t="s">
        <v>110</v>
      </c>
    </row>
    <row r="58" spans="1:4">
      <c r="A58" s="211" t="str">
        <f t="shared" si="3"/>
        <v>IMp_MON.fFault</v>
      </c>
      <c r="B58" s="677">
        <v>11154</v>
      </c>
      <c r="C58" s="677" t="s">
        <v>4</v>
      </c>
      <c r="D58" s="213">
        <f>$Q$7</f>
        <v>12</v>
      </c>
    </row>
    <row r="59" spans="1:4">
      <c r="A59" s="29" t="str">
        <f t="shared" si="3"/>
        <v>IMp_MON.fFault</v>
      </c>
      <c r="B59">
        <v>101</v>
      </c>
      <c r="C59" t="s">
        <v>0</v>
      </c>
      <c r="D59" s="30" t="s">
        <v>176</v>
      </c>
    </row>
    <row r="60" spans="1:4">
      <c r="A60" s="29" t="str">
        <f t="shared" si="3"/>
        <v>IMp_MON.fFault</v>
      </c>
      <c r="B60">
        <v>7998</v>
      </c>
      <c r="C60" t="s">
        <v>6</v>
      </c>
      <c r="D60" s="30">
        <v>1</v>
      </c>
    </row>
    <row r="61" spans="1:4">
      <c r="A61" s="26" t="str">
        <f t="shared" si="3"/>
        <v>IMp_MON.fFault</v>
      </c>
      <c r="B61" s="27">
        <v>7999</v>
      </c>
      <c r="C61" s="27" t="s">
        <v>0</v>
      </c>
      <c r="D61" s="28" t="str">
        <f>"#"&amp;$S$2&amp;"#"&amp;$T$2&amp;"\"&amp;$P$2&amp;"\fFault"</f>
        <v>#3#\\Setup_rza\Modbus.OPCServer\KTP_BMPA\\fFault</v>
      </c>
    </row>
    <row r="62" spans="1:4">
      <c r="A62" s="217" t="str">
        <f t="shared" ref="A62:A69" si="4">$R$2&amp;".wUnkw"</f>
        <v>IMp_MON.wUnkw</v>
      </c>
      <c r="B62" s="218">
        <v>11154</v>
      </c>
      <c r="C62" s="218" t="s">
        <v>4</v>
      </c>
      <c r="D62" s="231">
        <f>$Q$7</f>
        <v>12</v>
      </c>
    </row>
    <row r="63" spans="1:4">
      <c r="A63" s="211" t="str">
        <f t="shared" si="4"/>
        <v>IMp_MON.wUnkw</v>
      </c>
      <c r="B63" s="677">
        <v>11152</v>
      </c>
      <c r="C63" s="677" t="s">
        <v>0</v>
      </c>
      <c r="D63" s="213" t="str">
        <f>$R$7</f>
        <v>Неисправность</v>
      </c>
    </row>
    <row r="64" spans="1:4">
      <c r="A64" s="211" t="str">
        <f t="shared" si="4"/>
        <v>IMp_MON.wUnkw</v>
      </c>
      <c r="B64" s="677">
        <v>11150</v>
      </c>
      <c r="C64" s="677" t="s">
        <v>0</v>
      </c>
      <c r="D64" s="213" t="s">
        <v>154</v>
      </c>
    </row>
    <row r="65" spans="1:4">
      <c r="A65" s="211" t="str">
        <f t="shared" si="4"/>
        <v>IMp_MON.wUnkw</v>
      </c>
      <c r="B65" s="677">
        <v>11000</v>
      </c>
      <c r="C65" s="677" t="s">
        <v>5</v>
      </c>
      <c r="D65" s="213">
        <v>2147483680</v>
      </c>
    </row>
    <row r="66" spans="1:4">
      <c r="A66" s="29" t="str">
        <f t="shared" si="4"/>
        <v>IMp_MON.wUnkw</v>
      </c>
      <c r="B66">
        <v>101</v>
      </c>
      <c r="C66" t="s">
        <v>0</v>
      </c>
      <c r="D66" s="30" t="s">
        <v>154</v>
      </c>
    </row>
    <row r="67" spans="1:4">
      <c r="A67" s="29" t="str">
        <f t="shared" si="4"/>
        <v>IMp_MON.wUnkw</v>
      </c>
      <c r="B67">
        <v>3</v>
      </c>
      <c r="C67" t="s">
        <v>1</v>
      </c>
      <c r="D67" s="30">
        <v>192</v>
      </c>
    </row>
    <row r="68" spans="1:4">
      <c r="A68" s="29" t="str">
        <f t="shared" si="4"/>
        <v>IMp_MON.wUnkw</v>
      </c>
      <c r="B68">
        <v>2</v>
      </c>
      <c r="C68" t="s">
        <v>2</v>
      </c>
      <c r="D68" s="30" t="s">
        <v>3</v>
      </c>
    </row>
    <row r="69" spans="1:4">
      <c r="A69" t="str">
        <f t="shared" si="4"/>
        <v>IMp_MON.wUnkw</v>
      </c>
      <c r="B69">
        <v>1</v>
      </c>
      <c r="C69" t="s">
        <v>1</v>
      </c>
      <c r="D69" s="30">
        <v>11</v>
      </c>
    </row>
    <row r="70" spans="1:4">
      <c r="A70" s="23" t="str">
        <f t="shared" ref="A70:A77" si="5">$R$2&amp;".wDbl"</f>
        <v>IMp_MON.wDbl</v>
      </c>
      <c r="B70" s="24">
        <v>1</v>
      </c>
      <c r="C70" s="24" t="s">
        <v>1</v>
      </c>
      <c r="D70" s="25">
        <v>11</v>
      </c>
    </row>
    <row r="71" spans="1:4">
      <c r="A71" s="29" t="str">
        <f t="shared" si="5"/>
        <v>IMp_MON.wDbl</v>
      </c>
      <c r="B71">
        <v>2</v>
      </c>
      <c r="C71" t="s">
        <v>2</v>
      </c>
      <c r="D71" s="30" t="s">
        <v>3</v>
      </c>
    </row>
    <row r="72" spans="1:4">
      <c r="A72" s="29" t="str">
        <f t="shared" si="5"/>
        <v>IMp_MON.wDbl</v>
      </c>
      <c r="B72">
        <v>3</v>
      </c>
      <c r="C72" t="s">
        <v>1</v>
      </c>
      <c r="D72" s="30">
        <v>192</v>
      </c>
    </row>
    <row r="73" spans="1:4">
      <c r="A73" s="29" t="str">
        <f t="shared" si="5"/>
        <v>IMp_MON.wDbl</v>
      </c>
      <c r="B73">
        <v>101</v>
      </c>
      <c r="C73" t="s">
        <v>0</v>
      </c>
      <c r="D73" s="30" t="s">
        <v>161</v>
      </c>
    </row>
    <row r="74" spans="1:4">
      <c r="A74" s="211" t="str">
        <f t="shared" si="5"/>
        <v>IMp_MON.wDbl</v>
      </c>
      <c r="B74" s="677">
        <v>11000</v>
      </c>
      <c r="C74" s="677" t="s">
        <v>5</v>
      </c>
      <c r="D74" s="213">
        <v>2147483680</v>
      </c>
    </row>
    <row r="75" spans="1:4">
      <c r="A75" s="211" t="str">
        <f t="shared" si="5"/>
        <v>IMp_MON.wDbl</v>
      </c>
      <c r="B75" s="677">
        <v>11150</v>
      </c>
      <c r="C75" s="677" t="s">
        <v>0</v>
      </c>
      <c r="D75" s="213" t="s">
        <v>161</v>
      </c>
    </row>
    <row r="76" spans="1:4">
      <c r="A76" s="211" t="str">
        <f t="shared" si="5"/>
        <v>IMp_MON.wDbl</v>
      </c>
      <c r="B76" s="677">
        <v>11152</v>
      </c>
      <c r="C76" s="677" t="s">
        <v>0</v>
      </c>
      <c r="D76" s="213" t="str">
        <f>$R$7</f>
        <v>Неисправность</v>
      </c>
    </row>
    <row r="77" spans="1:4">
      <c r="A77" s="677" t="str">
        <f t="shared" si="5"/>
        <v>IMp_MON.wDbl</v>
      </c>
      <c r="B77" s="677">
        <v>11154</v>
      </c>
      <c r="C77" s="677" t="s">
        <v>4</v>
      </c>
      <c r="D77" s="213">
        <f>$Q$7</f>
        <v>12</v>
      </c>
    </row>
    <row r="78" spans="1:4">
      <c r="A78" s="23" t="str">
        <f t="shared" ref="A78:A91" si="6">$R$2&amp;".stOn"</f>
        <v>IMp_MON.stOn</v>
      </c>
      <c r="B78" s="24">
        <v>1</v>
      </c>
      <c r="C78" s="24" t="s">
        <v>1</v>
      </c>
      <c r="D78" s="25">
        <v>11</v>
      </c>
    </row>
    <row r="79" spans="1:4">
      <c r="A79" s="29" t="str">
        <f t="shared" si="6"/>
        <v>IMp_MON.stOn</v>
      </c>
      <c r="B79">
        <v>2</v>
      </c>
      <c r="C79" t="s">
        <v>2</v>
      </c>
      <c r="D79" s="30" t="s">
        <v>3</v>
      </c>
    </row>
    <row r="80" spans="1:4">
      <c r="A80" s="29" t="str">
        <f t="shared" si="6"/>
        <v>IMp_MON.stOn</v>
      </c>
      <c r="B80">
        <v>3</v>
      </c>
      <c r="C80" t="s">
        <v>1</v>
      </c>
      <c r="D80" s="30">
        <v>192</v>
      </c>
    </row>
    <row r="81" spans="1:4">
      <c r="A81" s="29" t="str">
        <f t="shared" si="6"/>
        <v>IMp_MON.stOn</v>
      </c>
      <c r="B81">
        <v>101</v>
      </c>
      <c r="C81" t="s">
        <v>0</v>
      </c>
      <c r="D81" s="30" t="s">
        <v>337</v>
      </c>
    </row>
    <row r="82" spans="1:4">
      <c r="A82" s="100" t="str">
        <f t="shared" si="6"/>
        <v>IMp_MON.stOn</v>
      </c>
      <c r="B82" s="679">
        <v>11000</v>
      </c>
      <c r="C82" s="679" t="s">
        <v>5</v>
      </c>
      <c r="D82" s="103">
        <v>2147483680</v>
      </c>
    </row>
    <row r="83" spans="1:4">
      <c r="A83" s="100" t="str">
        <f t="shared" si="6"/>
        <v>IMp_MON.stOn</v>
      </c>
      <c r="B83" s="679">
        <v>11150</v>
      </c>
      <c r="C83" s="679" t="s">
        <v>0</v>
      </c>
      <c r="D83" s="103" t="s">
        <v>337</v>
      </c>
    </row>
    <row r="84" spans="1:4">
      <c r="A84" s="100" t="str">
        <f t="shared" si="6"/>
        <v>IMp_MON.stOn</v>
      </c>
      <c r="B84" s="679">
        <v>11152</v>
      </c>
      <c r="C84" s="679" t="s">
        <v>0</v>
      </c>
      <c r="D84" s="103" t="str">
        <f>$R$8</f>
        <v>Телесигнализация</v>
      </c>
    </row>
    <row r="85" spans="1:4">
      <c r="A85" s="679" t="str">
        <f t="shared" si="6"/>
        <v>IMp_MON.stOn</v>
      </c>
      <c r="B85" s="679">
        <v>11154</v>
      </c>
      <c r="C85" s="679" t="s">
        <v>4</v>
      </c>
      <c r="D85" s="103">
        <f>$Q$8</f>
        <v>18</v>
      </c>
    </row>
    <row r="86" spans="1:4">
      <c r="A86" s="29" t="str">
        <f t="shared" si="6"/>
        <v>IMp_MON.stOn</v>
      </c>
      <c r="B86">
        <v>7998</v>
      </c>
      <c r="C86" t="s">
        <v>6</v>
      </c>
      <c r="D86" s="30">
        <v>1</v>
      </c>
    </row>
    <row r="87" spans="1:4">
      <c r="A87" t="str">
        <f t="shared" si="6"/>
        <v>IMp_MON.stOn</v>
      </c>
      <c r="B87">
        <v>7999</v>
      </c>
      <c r="C87" t="s">
        <v>0</v>
      </c>
      <c r="D87" s="30" t="str">
        <f>"#"&amp;$S$2&amp;"#"&amp;$T$2&amp;"\"&amp;$P$2&amp;"\stOn"</f>
        <v>#3#\\Setup_rza\Modbus.OPCServer\KTP_BMPA\\stOn</v>
      </c>
    </row>
    <row r="88" spans="1:4">
      <c r="A88" s="29" t="str">
        <f t="shared" si="6"/>
        <v>IMp_MON.stOn</v>
      </c>
      <c r="B88">
        <v>8000000</v>
      </c>
      <c r="C88" t="s">
        <v>6</v>
      </c>
      <c r="D88" s="30">
        <v>1</v>
      </c>
    </row>
    <row r="89" spans="1:4">
      <c r="A89" s="29" t="str">
        <f t="shared" si="6"/>
        <v>IMp_MON.stOn</v>
      </c>
      <c r="B89">
        <v>5000000</v>
      </c>
      <c r="C89" t="s">
        <v>0</v>
      </c>
      <c r="D89" s="30" t="s">
        <v>2582</v>
      </c>
    </row>
    <row r="90" spans="1:4">
      <c r="A90" t="str">
        <f t="shared" si="6"/>
        <v>IMp_MON.stOn</v>
      </c>
      <c r="B90">
        <v>7000000</v>
      </c>
      <c r="C90" t="s">
        <v>6</v>
      </c>
      <c r="D90" s="30">
        <v>1</v>
      </c>
    </row>
    <row r="91" spans="1:4" ht="28.8">
      <c r="A91" s="29" t="str">
        <f t="shared" si="6"/>
        <v>IMp_MON.stOn</v>
      </c>
      <c r="B91" s="27">
        <v>4000000</v>
      </c>
      <c r="C91" s="27" t="s">
        <v>0</v>
      </c>
      <c r="D91" s="415" t="s">
        <v>396</v>
      </c>
    </row>
    <row r="92" spans="1:4">
      <c r="A92" s="24" t="str">
        <f t="shared" ref="A92:A103" si="7">$R$2&amp;".stOff"</f>
        <v>IMp_MON.stOff</v>
      </c>
      <c r="B92" s="24">
        <v>1</v>
      </c>
      <c r="C92" s="24" t="s">
        <v>1</v>
      </c>
      <c r="D92" s="25">
        <v>11</v>
      </c>
    </row>
    <row r="93" spans="1:4">
      <c r="A93" t="str">
        <f t="shared" si="7"/>
        <v>IMp_MON.stOff</v>
      </c>
      <c r="B93">
        <v>2</v>
      </c>
      <c r="C93" t="s">
        <v>2</v>
      </c>
      <c r="D93" s="30" t="s">
        <v>3</v>
      </c>
    </row>
    <row r="94" spans="1:4">
      <c r="A94" s="29" t="str">
        <f t="shared" si="7"/>
        <v>IMp_MON.stOff</v>
      </c>
      <c r="B94">
        <v>3</v>
      </c>
      <c r="C94" t="s">
        <v>1</v>
      </c>
      <c r="D94" s="30">
        <v>192</v>
      </c>
    </row>
    <row r="95" spans="1:4">
      <c r="A95" s="29" t="str">
        <f t="shared" si="7"/>
        <v>IMp_MON.stOff</v>
      </c>
      <c r="B95">
        <v>101</v>
      </c>
      <c r="C95" t="s">
        <v>0</v>
      </c>
      <c r="D95" s="30" t="s">
        <v>336</v>
      </c>
    </row>
    <row r="96" spans="1:4">
      <c r="A96" s="100" t="str">
        <f t="shared" si="7"/>
        <v>IMp_MON.stOff</v>
      </c>
      <c r="B96" s="679">
        <v>11000</v>
      </c>
      <c r="C96" s="679" t="s">
        <v>5</v>
      </c>
      <c r="D96" s="103">
        <v>2147483680</v>
      </c>
    </row>
    <row r="97" spans="1:4">
      <c r="A97" s="100" t="str">
        <f t="shared" si="7"/>
        <v>IMp_MON.stOff</v>
      </c>
      <c r="B97" s="679">
        <v>11150</v>
      </c>
      <c r="C97" s="679" t="s">
        <v>0</v>
      </c>
      <c r="D97" s="103" t="s">
        <v>336</v>
      </c>
    </row>
    <row r="98" spans="1:4">
      <c r="A98" s="100" t="str">
        <f t="shared" si="7"/>
        <v>IMp_MON.stOff</v>
      </c>
      <c r="B98" s="679">
        <v>11152</v>
      </c>
      <c r="C98" s="679" t="s">
        <v>0</v>
      </c>
      <c r="D98" s="103" t="str">
        <f>$R$8</f>
        <v>Телесигнализация</v>
      </c>
    </row>
    <row r="99" spans="1:4">
      <c r="A99" s="679" t="str">
        <f t="shared" si="7"/>
        <v>IMp_MON.stOff</v>
      </c>
      <c r="B99" s="679">
        <v>11154</v>
      </c>
      <c r="C99" s="679" t="s">
        <v>4</v>
      </c>
      <c r="D99" s="103">
        <f>$Q$8</f>
        <v>18</v>
      </c>
    </row>
    <row r="100" spans="1:4">
      <c r="A100" s="29" t="str">
        <f t="shared" si="7"/>
        <v>IMp_MON.stOff</v>
      </c>
      <c r="B100">
        <v>7999</v>
      </c>
      <c r="C100" t="s">
        <v>0</v>
      </c>
      <c r="D100" s="30" t="str">
        <f>"#"&amp;$S$2&amp;"#"&amp;$T$2&amp;"\"&amp;$P$2&amp;"\stOff"</f>
        <v>#3#\\Setup_rza\Modbus.OPCServer\KTP_BMPA\\stOff</v>
      </c>
    </row>
    <row r="101" spans="1:4">
      <c r="A101" s="29" t="str">
        <f t="shared" si="7"/>
        <v>IMp_MON.stOff</v>
      </c>
      <c r="B101">
        <v>7998</v>
      </c>
      <c r="C101" t="s">
        <v>6</v>
      </c>
      <c r="D101" s="30">
        <v>1</v>
      </c>
    </row>
    <row r="102" spans="1:4">
      <c r="A102" t="str">
        <f t="shared" si="7"/>
        <v>IMp_MON.stOff</v>
      </c>
      <c r="B102">
        <v>7000000</v>
      </c>
      <c r="C102" t="s">
        <v>6</v>
      </c>
      <c r="D102" s="30">
        <v>1</v>
      </c>
    </row>
    <row r="103" spans="1:4" ht="28.8">
      <c r="A103" s="29" t="str">
        <f t="shared" si="7"/>
        <v>IMp_MON.stOff</v>
      </c>
      <c r="B103" s="27">
        <v>4000000</v>
      </c>
      <c r="C103" s="27" t="s">
        <v>0</v>
      </c>
      <c r="D103" s="701" t="s">
        <v>396</v>
      </c>
    </row>
    <row r="104" spans="1:4">
      <c r="A104" s="23" t="str">
        <f t="shared" ref="A104:A114" si="8">$R$2&amp;".Commands.coRepair"</f>
        <v>IMp_MON.Commands.coRepair</v>
      </c>
      <c r="B104" s="24">
        <v>7011</v>
      </c>
      <c r="C104" s="24" t="s">
        <v>2</v>
      </c>
      <c r="D104" s="25" t="s">
        <v>266</v>
      </c>
    </row>
    <row r="105" spans="1:4">
      <c r="A105" s="736" t="str">
        <f t="shared" si="8"/>
        <v>IMp_MON.Commands.coRepair</v>
      </c>
      <c r="B105" s="736">
        <v>1</v>
      </c>
      <c r="C105" s="736" t="s">
        <v>1</v>
      </c>
      <c r="D105" s="692">
        <v>11</v>
      </c>
    </row>
    <row r="106" spans="1:4">
      <c r="A106" s="736" t="str">
        <f t="shared" si="8"/>
        <v>IMp_MON.Commands.coRepair</v>
      </c>
      <c r="B106" s="736">
        <v>2</v>
      </c>
      <c r="C106" s="736" t="s">
        <v>2</v>
      </c>
      <c r="D106" s="692" t="s">
        <v>3</v>
      </c>
    </row>
    <row r="107" spans="1:4">
      <c r="A107" s="693" t="str">
        <f t="shared" si="8"/>
        <v>IMp_MON.Commands.coRepair</v>
      </c>
      <c r="B107" s="736">
        <v>3</v>
      </c>
      <c r="C107" s="736" t="s">
        <v>1</v>
      </c>
      <c r="D107" s="692">
        <v>192</v>
      </c>
    </row>
    <row r="108" spans="1:4">
      <c r="A108" s="693" t="str">
        <f t="shared" si="8"/>
        <v>IMp_MON.Commands.coRepair</v>
      </c>
      <c r="B108" s="736">
        <v>101</v>
      </c>
      <c r="C108" s="736" t="s">
        <v>0</v>
      </c>
      <c r="D108" s="692" t="s">
        <v>113</v>
      </c>
    </row>
    <row r="109" spans="1:4">
      <c r="A109" s="140" t="str">
        <f t="shared" si="8"/>
        <v>IMp_MON.Commands.coRepair</v>
      </c>
      <c r="B109" s="687">
        <v>11000</v>
      </c>
      <c r="C109" s="687" t="s">
        <v>5</v>
      </c>
      <c r="D109" s="142">
        <v>2147483680</v>
      </c>
    </row>
    <row r="110" spans="1:4">
      <c r="A110" s="140" t="str">
        <f t="shared" si="8"/>
        <v>IMp_MON.Commands.coRepair</v>
      </c>
      <c r="B110" s="687">
        <v>11150</v>
      </c>
      <c r="C110" s="687" t="s">
        <v>0</v>
      </c>
      <c r="D110" s="142" t="s">
        <v>89</v>
      </c>
    </row>
    <row r="111" spans="1:4">
      <c r="A111" s="140" t="str">
        <f t="shared" si="8"/>
        <v>IMp_MON.Commands.coRepair</v>
      </c>
      <c r="B111" s="687">
        <v>11152</v>
      </c>
      <c r="C111" s="687" t="s">
        <v>0</v>
      </c>
      <c r="D111" s="142" t="str">
        <f>$R$11</f>
        <v>Ремонт</v>
      </c>
    </row>
    <row r="112" spans="1:4">
      <c r="A112" s="140" t="str">
        <f t="shared" si="8"/>
        <v>IMp_MON.Commands.coRepair</v>
      </c>
      <c r="B112" s="687">
        <v>11154</v>
      </c>
      <c r="C112" s="687" t="s">
        <v>4</v>
      </c>
      <c r="D112" s="142">
        <f>$Q$11</f>
        <v>14</v>
      </c>
    </row>
    <row r="113" spans="1:4" ht="72">
      <c r="A113" s="693" t="str">
        <f t="shared" si="8"/>
        <v>IMp_MON.Commands.coRepair</v>
      </c>
      <c r="B113" s="736">
        <v>4000000</v>
      </c>
      <c r="C113" s="736" t="s">
        <v>0</v>
      </c>
      <c r="D113" s="694" t="s">
        <v>2909</v>
      </c>
    </row>
    <row r="114" spans="1:4">
      <c r="A114" s="743" t="str">
        <f t="shared" si="8"/>
        <v>IMp_MON.Commands.coRepair</v>
      </c>
      <c r="B114" s="744">
        <v>7000000</v>
      </c>
      <c r="C114" s="744" t="s">
        <v>6</v>
      </c>
      <c r="D114" s="745">
        <v>2</v>
      </c>
    </row>
  </sheetData>
  <autoFilter ref="B1:B131" xr:uid="{00000000-0009-0000-0000-000024000000}"/>
  <mergeCells count="5">
    <mergeCell ref="Q24:Q27"/>
    <mergeCell ref="Q28:Q29"/>
    <mergeCell ref="Q30:Q32"/>
    <mergeCell ref="Q33:Q35"/>
    <mergeCell ref="Q39:Q41"/>
  </mergeCell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Лист201">
    <tabColor rgb="FFFFC000"/>
  </sheetPr>
  <dimension ref="A1:BA115"/>
  <sheetViews>
    <sheetView topLeftCell="A4" workbookViewId="0">
      <selection activeCell="D2" sqref="D2:D4"/>
    </sheetView>
  </sheetViews>
  <sheetFormatPr defaultRowHeight="14.4"/>
  <cols>
    <col min="1" max="1" width="41.88671875" bestFit="1" customWidth="1"/>
    <col min="2" max="2" width="8" customWidth="1"/>
    <col min="3" max="3" width="7.6640625" customWidth="1"/>
    <col min="4" max="4" width="71.4414062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53" s="258" customFormat="1" ht="204.6" thickBot="1">
      <c r="A1" s="257"/>
      <c r="B1" s="257" t="s">
        <v>84</v>
      </c>
      <c r="C1" s="257"/>
      <c r="D1" s="257"/>
      <c r="E1" s="257"/>
      <c r="F1" s="257"/>
      <c r="P1" s="730" t="str">
        <f>Таблица!D1</f>
        <v>Префикс для TREI
Тэг ОРС для INFINITY</v>
      </c>
      <c r="Q1" s="730" t="str">
        <f>Таблица!E1</f>
        <v>Комментарий для TREI и INFINITY</v>
      </c>
      <c r="R1" s="733" t="str">
        <f>Таблица!F1</f>
        <v>ТЭГ в дереве INFINITY Server</v>
      </c>
      <c r="S1" s="730"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735" t="str">
        <f>Таблица!H1</f>
        <v>OPC путь 
№ маршрута Modbus TCP, Modbus RTU, Modbus over TCP (1-255)
№ КП IEC104 (1-65534)</v>
      </c>
      <c r="U1" s="731" t="str">
        <f>Таблица!I1</f>
        <v>OPC путь</v>
      </c>
      <c r="V1" s="731" t="str">
        <f>Таблица!J1</f>
        <v>Мнемосхема</v>
      </c>
      <c r="W1" s="729"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729"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729" t="str">
        <f>Таблица!M1</f>
        <v>FB_IMt_MON_S, IMt_MON: Только для трансформатора. Цвет нижних обмоток(-ки) при наличии напряжения</v>
      </c>
      <c r="Z1" s="729"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729"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729" t="str">
        <f>Таблица!P1</f>
        <v xml:space="preserve">FB_DI_S, FB_DO_S, DI, DI_DIAG, FB_DO_STB_S: Тип сигнализации (Авария, предупреждение, телесигнализация и тд.)
FB_SHPS_S(SB), FB_BTF_S: Тип сигнализации XFRX
</v>
      </c>
      <c r="AC1" s="729"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729" t="str">
        <f>Таблица!R1</f>
        <v>SEPAM: Тип ячейки (OL,SV,VV,TN)
BMRZ: Тип ячейки (VV,AV)
TOR: Тип ячейки (OL,SV,VV,TN,BK)</v>
      </c>
      <c r="AE1" s="729" t="str">
        <f>Таблица!S1</f>
        <v>Формула для fNoLink.Device</v>
      </c>
      <c r="AF1" s="729">
        <f>Таблица!T1</f>
        <v>0</v>
      </c>
      <c r="AG1" s="729">
        <f>Таблица!U1</f>
        <v>0</v>
      </c>
      <c r="AH1" s="729">
        <f>Таблица!V1</f>
        <v>0</v>
      </c>
      <c r="AI1" s="729">
        <f>Таблица!W1</f>
        <v>0</v>
      </c>
      <c r="AJ1" s="729">
        <f>Таблица!X1</f>
        <v>0</v>
      </c>
      <c r="AK1" s="728" t="str">
        <f>Таблица!Y1</f>
        <v>FB_AI_S, FB_DI_S, FB_QSA_S, FB_DO_S, FB_SHPS_S, FB_SHOP_S, FB_BTF_S: IVXX
FB_KL_UPT_S: ISON
SW_S301, SW_MES3508: Подключение к порту 1
SW_MAYAK: Подключение к порту 1,2 (через "\")
DI_DIAG, DO_DIAG: XVLX</v>
      </c>
      <c r="AL1" s="728"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728"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728" t="str">
        <f>Таблица!AB1</f>
        <v>FB_IMstp_S, FB_IMsp_S, FB_IMs_S, FB_REG_S, FB_IM_ADES_S : ILCX
SW_S301: Подключение к порту 4
SW_MAYAK, SW_MES3508: Подключение к порту 7,8 (через "\")</v>
      </c>
      <c r="AO1" s="728" t="str">
        <f>Таблица!AC1</f>
        <v xml:space="preserve">FB_IMstp_S, FB_IMsp_S, FB_IMs_S, FB_IMp_S, FB_IMv_S, FB_REG_S, FB_IM_ADES_S, FB_DO_S : IRCX
SW_S301, SW_MES3508: Подключение к порту 5
SW_MAYAK: Подключение к порту 9,10 (через "\")
</v>
      </c>
      <c r="AP1" s="728"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728"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728" t="str">
        <f>Таблица!AF1</f>
        <v xml:space="preserve">FB_IMstp_S, FB_IMsp_S, FB_IMs_S, FB_IMp_S, FB_IMv_S, FB_IM_ADES_S, FB_OZK_KD_S, FB_DO_S: OXOF
SW_S301, SW_MES3508: Подключение к порту 8
SW_MAYAK: Подключение к порту 15,16 (через "\")
</v>
      </c>
      <c r="AS1" s="728" t="str">
        <f>Таблица!AG1</f>
        <v xml:space="preserve">FB_IM_ADES_S, FB_IMp_S, FB_IMv_S: OXSP
FB_IMstp_S, FB_IMsp_S, FB_IMsp_MON_S: IPTC
SW_S301, SW_MES3508: Подключение к порту 9
SW_MAYAK: Подключение к порту 17,18 (через "\")
</v>
      </c>
      <c r="AT1" s="728" t="str">
        <f>Таблица!AH1</f>
        <v xml:space="preserve">FB_IMstp_S, FB_IMst_MON_S, FB_IMt_MON_S: ITON
FB_IM_ADES_S: IOLD
SW_S301, SW_MES3508: Подключение к порту 10
SW_MAYAK: Подключение к порту 19,20 (через "\")
</v>
      </c>
      <c r="AU1" s="728" t="str">
        <f>Таблица!AI1</f>
        <v>FB_IMstp_S, FB_IMst_MON_S, FB_IMt_MON_S: ITOF
FB_IM_ADES_S: IRAD
SW_MAYAK: Подключение к порту 21,22 (через "\")</v>
      </c>
      <c r="AV1" s="728" t="str">
        <f>Таблица!AJ1</f>
        <v xml:space="preserve">FB_IMstp_S, FB_IMsp_S, FB_IMsp_MON_S, FB_IM_ADES_S: IPTO
SW_MAYAK: Подключение к порту 23,24 (через "\")
</v>
      </c>
      <c r="AW1" s="737"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737" t="str">
        <f>Таблица!AL1</f>
        <v>Для TREI
FB_IMstp_S, FB_IMs_S, FB_IMp_S, FB_IMv_S, FB_IM_ADES_S: Настройка перехода ручной-/автоматический-(TRUE/FALSE) 
FB_DI_S: Генерировать метки времени (TRUE/FALSE)</v>
      </c>
      <c r="AY1" s="737"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737" t="str">
        <f>Таблица!AN1</f>
        <v>Для TREI
FB_AI_S, FB_QSA_S: Верхний предел датчика
FB_IMp_S, FB_IMv_S, FB_IM_ADES_S, FB_OZK_KD_S: Время перестановки</v>
      </c>
      <c r="BA1" s="737"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row>
    <row r="2" spans="1:53" ht="15" customHeight="1">
      <c r="A2" s="10"/>
      <c r="B2" s="10"/>
      <c r="C2" s="10"/>
      <c r="D2" s="10"/>
      <c r="E2" s="10"/>
      <c r="F2" s="10"/>
      <c r="P2" s="2"/>
      <c r="Q2" s="2" t="s">
        <v>2714</v>
      </c>
      <c r="R2" s="2" t="s">
        <v>2334</v>
      </c>
      <c r="S2" s="3">
        <v>3</v>
      </c>
      <c r="T2" s="3" t="s">
        <v>1701</v>
      </c>
      <c r="U2" s="3"/>
      <c r="V2" s="3" t="s">
        <v>569</v>
      </c>
      <c r="W2" s="3"/>
      <c r="X2" s="3"/>
      <c r="Y2" s="3"/>
      <c r="Z2" s="3"/>
      <c r="AA2" s="3"/>
      <c r="AB2" s="2"/>
      <c r="AC2" s="2"/>
      <c r="AD2" s="2"/>
      <c r="AE2" s="2" t="s">
        <v>1414</v>
      </c>
      <c r="AF2" s="2"/>
      <c r="AG2" s="2"/>
      <c r="AH2" s="2"/>
      <c r="AI2" s="2"/>
      <c r="AJ2" s="2"/>
      <c r="AK2" s="2"/>
      <c r="AL2" s="2"/>
      <c r="AM2" s="2"/>
      <c r="AN2" s="2"/>
      <c r="AO2" s="2"/>
      <c r="AP2" s="2"/>
      <c r="AQ2" s="2"/>
      <c r="AR2" s="2"/>
      <c r="AS2" s="2"/>
      <c r="AT2" s="2"/>
      <c r="AU2" s="2"/>
      <c r="AV2" s="2"/>
      <c r="AW2" s="2"/>
      <c r="AX2" s="2"/>
      <c r="AY2" s="2"/>
      <c r="AZ2" s="2"/>
      <c r="BA2" s="2"/>
    </row>
    <row r="3" spans="1:53" ht="15" customHeight="1">
      <c r="A3" s="10"/>
      <c r="B3" s="10"/>
      <c r="C3" s="10"/>
      <c r="D3" s="10"/>
      <c r="E3" s="10"/>
      <c r="F3" s="10"/>
      <c r="P3" s="10"/>
      <c r="Q3" s="10"/>
      <c r="R3" s="10"/>
      <c r="S3" s="10"/>
      <c r="T3" s="10"/>
      <c r="U3" s="10"/>
      <c r="V3" s="10"/>
      <c r="W3" s="10"/>
      <c r="X3" s="10"/>
      <c r="Y3" s="10"/>
      <c r="Z3" s="10"/>
      <c r="AA3" s="10"/>
    </row>
    <row r="4" spans="1:53" ht="15" customHeight="1">
      <c r="A4" s="10"/>
      <c r="B4" s="10"/>
      <c r="C4" s="10"/>
      <c r="D4" s="10"/>
      <c r="E4" s="10"/>
      <c r="F4" s="10"/>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row>
    <row r="5" spans="1:53" ht="15" customHeight="1">
      <c r="A5" s="10"/>
      <c r="B5" s="10"/>
      <c r="C5" s="10"/>
      <c r="D5" s="10"/>
      <c r="E5" s="10"/>
      <c r="F5" s="10"/>
      <c r="P5" s="703" t="str">
        <f>Настройки!A2</f>
        <v>Авария</v>
      </c>
      <c r="Q5" s="518">
        <f>Настройки!B2</f>
        <v>4</v>
      </c>
      <c r="R5" s="708" t="str">
        <f>Настройки!C2</f>
        <v>Авария</v>
      </c>
      <c r="S5" s="10"/>
      <c r="T5" s="456">
        <f>Настройки!M12</f>
        <v>1</v>
      </c>
      <c r="U5" s="10"/>
      <c r="V5" s="10"/>
      <c r="W5" s="10"/>
      <c r="X5" s="10"/>
      <c r="Y5" s="10"/>
      <c r="Z5" s="10"/>
      <c r="AA5" s="10"/>
    </row>
    <row r="6" spans="1:53" ht="15" customHeight="1">
      <c r="A6" s="10"/>
      <c r="B6" s="10"/>
      <c r="C6" s="10"/>
      <c r="D6" s="10"/>
      <c r="E6" s="10"/>
      <c r="F6" s="10"/>
      <c r="P6" s="703" t="str">
        <f>Настройки!A3</f>
        <v>Предупреждение</v>
      </c>
      <c r="Q6" s="518">
        <f>Настройки!B3</f>
        <v>8</v>
      </c>
      <c r="R6" s="708" t="str">
        <f>Настройки!C3</f>
        <v>Предупреждение</v>
      </c>
      <c r="S6" s="10"/>
      <c r="T6" s="608" t="str">
        <f>Настройки!M7</f>
        <v>Отображение Таблицы подлючений в диаг.</v>
      </c>
      <c r="U6" s="10"/>
      <c r="V6" s="10"/>
      <c r="W6" s="10"/>
      <c r="X6" s="10"/>
      <c r="Y6" s="10"/>
      <c r="Z6" s="10"/>
      <c r="AA6" s="10"/>
    </row>
    <row r="7" spans="1:53" ht="15" customHeight="1">
      <c r="A7" s="10"/>
      <c r="B7" s="10"/>
      <c r="C7" s="10"/>
      <c r="D7" s="10"/>
      <c r="E7" s="10"/>
      <c r="F7" s="10"/>
      <c r="P7" s="703" t="str">
        <f>Настройки!A4</f>
        <v>Неисправность</v>
      </c>
      <c r="Q7" s="518">
        <f>Настройки!B4</f>
        <v>12</v>
      </c>
      <c r="R7" s="708" t="str">
        <f>Настройки!C4</f>
        <v>Неисправность</v>
      </c>
      <c r="S7" s="10"/>
      <c r="T7" s="714" t="b">
        <f>Настройки!M8</f>
        <v>0</v>
      </c>
      <c r="U7" s="10"/>
      <c r="V7" s="10"/>
      <c r="W7" s="10"/>
      <c r="X7" s="10"/>
      <c r="Y7" s="10"/>
      <c r="Z7" s="10"/>
      <c r="AA7" s="10"/>
    </row>
    <row r="8" spans="1:53" ht="15" customHeight="1">
      <c r="A8" s="10"/>
      <c r="B8" s="10"/>
      <c r="C8" s="10"/>
      <c r="D8" s="10"/>
      <c r="E8" s="10"/>
      <c r="F8" s="10"/>
      <c r="P8" s="703" t="str">
        <f>Настройки!A5</f>
        <v>Телесигнализация</v>
      </c>
      <c r="Q8" s="518">
        <f>Настройки!B5</f>
        <v>18</v>
      </c>
      <c r="R8" s="708" t="str">
        <f>Настройки!C5</f>
        <v>Телесигнализация</v>
      </c>
      <c r="S8" s="10"/>
      <c r="T8" s="10"/>
      <c r="U8" s="10"/>
      <c r="V8" s="10"/>
      <c r="W8" s="10"/>
      <c r="X8" s="10"/>
      <c r="Y8" s="10"/>
      <c r="Z8" s="10"/>
      <c r="AA8" s="10"/>
    </row>
    <row r="9" spans="1:53" ht="15" customHeight="1">
      <c r="A9" s="10"/>
      <c r="B9" s="10"/>
      <c r="C9" s="10"/>
      <c r="D9" s="10"/>
      <c r="E9" s="10"/>
      <c r="F9" s="10"/>
      <c r="P9" s="703" t="str">
        <f>Настройки!A6</f>
        <v>Недостоверность</v>
      </c>
      <c r="Q9" s="518">
        <f>Настройки!B6</f>
        <v>10</v>
      </c>
      <c r="R9" s="708" t="str">
        <f>Настройки!C6</f>
        <v>Недостоверность</v>
      </c>
      <c r="S9" s="10"/>
      <c r="T9" s="10"/>
      <c r="U9" s="10"/>
      <c r="V9" s="10"/>
      <c r="W9" s="10"/>
      <c r="X9" s="10"/>
      <c r="Y9" s="10"/>
      <c r="Z9" s="10"/>
      <c r="AA9" s="10"/>
    </row>
    <row r="10" spans="1:53" ht="15" customHeight="1">
      <c r="A10" s="10"/>
      <c r="B10" s="10"/>
      <c r="C10" s="10"/>
      <c r="D10" s="10"/>
      <c r="E10" s="10"/>
      <c r="F10" s="10"/>
      <c r="P10" s="703" t="str">
        <f>Настройки!A7</f>
        <v>Имитация</v>
      </c>
      <c r="Q10" s="518">
        <f>Настройки!B7</f>
        <v>16</v>
      </c>
      <c r="R10" s="708" t="str">
        <f>Настройки!C7</f>
        <v>Имитация</v>
      </c>
      <c r="S10" s="10"/>
      <c r="T10" s="10"/>
      <c r="U10" s="10"/>
      <c r="V10" s="10"/>
      <c r="W10" s="10"/>
      <c r="X10" s="10"/>
      <c r="Y10" s="10"/>
      <c r="Z10" s="10"/>
      <c r="AA10" s="10"/>
    </row>
    <row r="11" spans="1:53" ht="15" customHeight="1">
      <c r="A11" s="10"/>
      <c r="B11" s="10"/>
      <c r="C11" s="10"/>
      <c r="D11" s="10"/>
      <c r="E11" s="10"/>
      <c r="F11" s="10"/>
      <c r="P11" s="703" t="str">
        <f>Настройки!A8</f>
        <v>Ремонт</v>
      </c>
      <c r="Q11" s="518">
        <f>Настройки!B8</f>
        <v>14</v>
      </c>
      <c r="R11" s="708" t="str">
        <f>Настройки!C8</f>
        <v>Ремонт</v>
      </c>
      <c r="S11" s="10"/>
      <c r="T11" s="10"/>
      <c r="U11" s="10"/>
      <c r="V11" s="10"/>
      <c r="W11" s="10"/>
      <c r="X11" s="10"/>
      <c r="Y11" s="10"/>
      <c r="Z11" s="10"/>
      <c r="AA11" s="10"/>
    </row>
    <row r="12" spans="1:53" ht="15" customHeight="1">
      <c r="A12" s="10"/>
      <c r="B12" s="10"/>
      <c r="C12" s="10"/>
      <c r="D12" s="10"/>
      <c r="E12" s="10"/>
      <c r="F12" s="10"/>
      <c r="P12" s="703" t="str">
        <f>Настройки!A9</f>
        <v>Команда оператора</v>
      </c>
      <c r="Q12" s="518">
        <f>Настройки!B9</f>
        <v>20</v>
      </c>
      <c r="R12" s="708" t="str">
        <f>Настройки!C9</f>
        <v>Команда оператора</v>
      </c>
      <c r="S12" s="10"/>
      <c r="T12" s="10"/>
      <c r="U12" s="10"/>
      <c r="V12" s="10"/>
      <c r="W12" s="10"/>
      <c r="X12" s="10"/>
      <c r="Y12" s="10"/>
      <c r="Z12" s="10"/>
      <c r="AA12" s="10"/>
    </row>
    <row r="13" spans="1:53" ht="15" customHeight="1">
      <c r="A13" s="10"/>
      <c r="B13" s="10"/>
      <c r="C13" s="10"/>
      <c r="D13" s="10"/>
      <c r="E13" s="10"/>
      <c r="F13" s="10"/>
      <c r="P13" s="703" t="str">
        <f>Настройки!A10</f>
        <v>Тревога</v>
      </c>
      <c r="Q13" s="518">
        <f>Настройки!B10</f>
        <v>5</v>
      </c>
      <c r="R13" s="518" t="str">
        <f>Настройки!C10</f>
        <v>Тревога</v>
      </c>
      <c r="S13" s="10"/>
      <c r="T13" s="10"/>
      <c r="U13" s="10"/>
      <c r="V13" s="10"/>
      <c r="W13" s="10"/>
      <c r="X13" s="10"/>
      <c r="Y13" s="10"/>
      <c r="Z13" s="10"/>
      <c r="AA13" s="10"/>
    </row>
    <row r="14" spans="1:53" ht="15" customHeight="1">
      <c r="A14" s="10"/>
      <c r="B14" s="10"/>
      <c r="C14" s="10"/>
      <c r="D14" s="10"/>
      <c r="E14" s="10"/>
      <c r="F14" s="10"/>
      <c r="P14" s="703" t="str">
        <f>Настройки!A11</f>
        <v>Тушение</v>
      </c>
      <c r="Q14" s="518">
        <f>Настройки!B11</f>
        <v>1</v>
      </c>
      <c r="R14" s="518" t="str">
        <f>Настройки!C11</f>
        <v>Тушение</v>
      </c>
      <c r="S14" s="10"/>
      <c r="T14" s="10"/>
      <c r="U14" s="10"/>
      <c r="V14" s="10"/>
      <c r="W14" s="10"/>
      <c r="X14" s="10"/>
      <c r="Y14" s="10"/>
      <c r="Z14" s="10"/>
      <c r="AA14" s="10"/>
    </row>
    <row r="15" spans="1:53" ht="15" customHeight="1">
      <c r="A15" s="10"/>
      <c r="B15" s="10"/>
      <c r="C15" s="10"/>
      <c r="D15" s="10"/>
      <c r="E15" s="10"/>
      <c r="F15" s="10"/>
      <c r="P15" s="703" t="str">
        <f>Настройки!A12</f>
        <v>Пожар</v>
      </c>
      <c r="Q15" s="518">
        <f>Настройки!B12</f>
        <v>2</v>
      </c>
      <c r="R15" s="518" t="str">
        <f>Настройки!C12</f>
        <v>Пожар</v>
      </c>
      <c r="S15" s="10"/>
      <c r="T15" s="10"/>
      <c r="U15" s="10"/>
      <c r="V15" s="10"/>
      <c r="W15" s="10"/>
      <c r="X15" s="10"/>
      <c r="Y15" s="10"/>
      <c r="Z15" s="10"/>
      <c r="AA15" s="10"/>
    </row>
    <row r="16" spans="1:53" ht="15" customHeight="1">
      <c r="A16" s="10"/>
      <c r="B16" s="10"/>
      <c r="C16" s="10"/>
      <c r="D16" s="10"/>
      <c r="E16" s="10"/>
      <c r="F16" s="10"/>
      <c r="P16" s="703" t="str">
        <f>Настройки!A13</f>
        <v>Порог 2</v>
      </c>
      <c r="Q16" s="518">
        <f>Настройки!B13</f>
        <v>3</v>
      </c>
      <c r="R16" s="518" t="str">
        <f>Настройки!C13</f>
        <v>Порог 2</v>
      </c>
      <c r="S16" s="10"/>
      <c r="T16" s="10"/>
      <c r="U16" s="10"/>
      <c r="V16" s="10"/>
      <c r="W16" s="10"/>
      <c r="X16" s="10"/>
      <c r="Y16" s="10"/>
      <c r="Z16" s="10"/>
      <c r="AA16" s="10"/>
    </row>
    <row r="17" spans="1:27" ht="15" customHeight="1">
      <c r="A17" s="10"/>
      <c r="B17" s="10"/>
      <c r="C17" s="10"/>
      <c r="D17" s="10"/>
      <c r="E17" s="10"/>
      <c r="F17" s="10"/>
      <c r="P17" s="703" t="str">
        <f>Настройки!A14</f>
        <v>Порог 1</v>
      </c>
      <c r="Q17" s="518">
        <f>Настройки!B14</f>
        <v>6</v>
      </c>
      <c r="R17" s="518" t="str">
        <f>Настройки!C14</f>
        <v>Порог 1</v>
      </c>
      <c r="S17" s="10"/>
      <c r="T17" s="10"/>
      <c r="U17" s="10"/>
      <c r="V17" s="10"/>
      <c r="W17" s="10"/>
      <c r="X17" s="10"/>
      <c r="Y17" s="10"/>
      <c r="Z17" s="10"/>
      <c r="AA17" s="10"/>
    </row>
    <row r="18" spans="1:27" ht="15" customHeight="1">
      <c r="A18" s="10"/>
      <c r="B18" s="10"/>
      <c r="C18" s="10"/>
      <c r="D18" s="10"/>
      <c r="E18" s="10"/>
      <c r="F18" s="10"/>
      <c r="P18" s="703" t="str">
        <f>Настройки!A15</f>
        <v>Отключение</v>
      </c>
      <c r="Q18" s="518">
        <f>Настройки!B15</f>
        <v>13</v>
      </c>
      <c r="R18" s="518" t="str">
        <f>Настройки!C15</f>
        <v>Отключение</v>
      </c>
      <c r="S18" s="10"/>
      <c r="T18" s="10"/>
      <c r="U18" s="10"/>
      <c r="V18" s="10"/>
      <c r="W18" s="10"/>
      <c r="X18" s="10"/>
      <c r="Y18" s="10"/>
      <c r="Z18" s="10"/>
      <c r="AA18" s="10"/>
    </row>
    <row r="19" spans="1:27" ht="15" customHeight="1">
      <c r="A19" s="10"/>
      <c r="B19" s="10"/>
      <c r="C19" s="10"/>
      <c r="D19" s="10"/>
      <c r="E19" s="10"/>
      <c r="F19" s="10"/>
      <c r="P19" s="703" t="str">
        <f>Настройки!A16</f>
        <v>Информация</v>
      </c>
      <c r="Q19" s="518">
        <f>Настройки!B16</f>
        <v>22</v>
      </c>
      <c r="R19" s="518" t="str">
        <f>Настройки!C16</f>
        <v>Информация</v>
      </c>
      <c r="S19" s="10"/>
      <c r="T19" s="10"/>
      <c r="U19" s="10"/>
      <c r="V19" s="10"/>
      <c r="W19" s="10"/>
      <c r="X19" s="10"/>
      <c r="Y19" s="10"/>
      <c r="Z19" s="10"/>
      <c r="AA19" s="10"/>
    </row>
    <row r="20" spans="1:27">
      <c r="A20" s="23" t="str">
        <f t="shared" ref="A20:A37" si="0">$R$2</f>
        <v>IMv_MON</v>
      </c>
      <c r="B20" s="24">
        <v>7011</v>
      </c>
      <c r="C20" s="24" t="s">
        <v>2</v>
      </c>
      <c r="D20" s="25" t="s">
        <v>266</v>
      </c>
    </row>
    <row r="21" spans="1:27">
      <c r="A21" s="23" t="str">
        <f t="shared" si="0"/>
        <v>IMv_MON</v>
      </c>
      <c r="B21" s="24">
        <v>1</v>
      </c>
      <c r="C21" s="24" t="s">
        <v>1</v>
      </c>
      <c r="D21" s="25">
        <v>17</v>
      </c>
    </row>
    <row r="22" spans="1:27">
      <c r="A22" s="29" t="str">
        <f t="shared" si="0"/>
        <v>IMv_MON</v>
      </c>
      <c r="B22">
        <v>11001</v>
      </c>
      <c r="C22" t="s">
        <v>0</v>
      </c>
      <c r="D22" s="30" t="str">
        <f>$Q$2&amp;". "</f>
        <v xml:space="preserve">Задвижка без управления (шаблон по OPC). </v>
      </c>
    </row>
    <row r="23" spans="1:27">
      <c r="A23" s="29" t="str">
        <f t="shared" si="0"/>
        <v>IMv_MON</v>
      </c>
      <c r="B23">
        <v>11156</v>
      </c>
      <c r="C23" t="s">
        <v>0</v>
      </c>
      <c r="D23" s="30" t="str">
        <f>$V$2</f>
        <v>Тестовый экран</v>
      </c>
    </row>
    <row r="24" spans="1:27">
      <c r="A24" s="23" t="str">
        <f t="shared" si="0"/>
        <v>IMv_MON</v>
      </c>
      <c r="B24" s="24">
        <v>13</v>
      </c>
      <c r="C24" s="24" t="s">
        <v>2</v>
      </c>
      <c r="D24" s="25" t="s">
        <v>3</v>
      </c>
      <c r="Q24" s="778" t="s">
        <v>2592</v>
      </c>
    </row>
    <row r="25" spans="1:27" ht="15" customHeight="1">
      <c r="A25" s="29" t="str">
        <f t="shared" si="0"/>
        <v>IMv_MON</v>
      </c>
      <c r="B25">
        <v>3000013</v>
      </c>
      <c r="C25" t="s">
        <v>0</v>
      </c>
      <c r="D25" s="30" t="str">
        <f>$AE$2</f>
        <v>Диагностика.CPU.NOT_LINK.noLink</v>
      </c>
      <c r="Q25" s="780"/>
    </row>
    <row r="26" spans="1:27" ht="15" customHeight="1">
      <c r="A26" s="29" t="str">
        <f t="shared" si="0"/>
        <v>IMv_MON</v>
      </c>
      <c r="B26">
        <v>4000013</v>
      </c>
      <c r="C26" t="s">
        <v>0</v>
      </c>
      <c r="D26" s="30" t="s">
        <v>1775</v>
      </c>
      <c r="Q26" s="780"/>
    </row>
    <row r="27" spans="1:27" ht="15" customHeight="1">
      <c r="A27" s="26" t="str">
        <f t="shared" si="0"/>
        <v>IMv_MON</v>
      </c>
      <c r="B27" s="27">
        <v>7000013</v>
      </c>
      <c r="C27" s="27" t="s">
        <v>6</v>
      </c>
      <c r="D27" s="28">
        <v>2</v>
      </c>
      <c r="Q27" s="779"/>
    </row>
    <row r="28" spans="1:27" ht="15" customHeight="1">
      <c r="A28" s="29" t="str">
        <f t="shared" si="0"/>
        <v>IMv_MON</v>
      </c>
      <c r="B28">
        <v>9207</v>
      </c>
      <c r="C28" t="s">
        <v>2</v>
      </c>
      <c r="D28" s="30" t="s">
        <v>3</v>
      </c>
      <c r="Q28" s="778" t="s">
        <v>139</v>
      </c>
    </row>
    <row r="29" spans="1:27">
      <c r="A29" s="27" t="str">
        <f t="shared" si="0"/>
        <v>IMv_MON</v>
      </c>
      <c r="B29" s="27">
        <v>3009207</v>
      </c>
      <c r="C29" s="27" t="s">
        <v>0</v>
      </c>
      <c r="D29" s="28" t="s">
        <v>2606</v>
      </c>
      <c r="Q29" s="779"/>
    </row>
    <row r="30" spans="1:27" ht="15" customHeight="1">
      <c r="A30" s="16" t="str">
        <f t="shared" si="0"/>
        <v>IMv_MON</v>
      </c>
      <c r="B30" s="17">
        <v>9229</v>
      </c>
      <c r="C30" s="17" t="s">
        <v>2</v>
      </c>
      <c r="D30" s="18" t="s">
        <v>3</v>
      </c>
      <c r="Q30" s="778" t="s">
        <v>2684</v>
      </c>
    </row>
    <row r="31" spans="1:27">
      <c r="A31" s="19" t="str">
        <f t="shared" si="0"/>
        <v>IMv_MON</v>
      </c>
      <c r="B31" s="11">
        <v>7009229</v>
      </c>
      <c r="C31" s="11" t="s">
        <v>6</v>
      </c>
      <c r="D31" s="20">
        <v>1</v>
      </c>
      <c r="Q31" s="780"/>
    </row>
    <row r="32" spans="1:27">
      <c r="A32" s="21" t="str">
        <f t="shared" si="0"/>
        <v>IMv_MON</v>
      </c>
      <c r="B32" s="8">
        <v>4009229</v>
      </c>
      <c r="C32" s="8" t="s">
        <v>0</v>
      </c>
      <c r="D32" s="742" t="s">
        <v>2685</v>
      </c>
      <c r="Q32" s="779"/>
    </row>
    <row r="33" spans="1:17" ht="15" customHeight="1">
      <c r="A33" s="19" t="str">
        <f t="shared" si="0"/>
        <v>IMv_MON</v>
      </c>
      <c r="B33" s="11">
        <v>9230</v>
      </c>
      <c r="C33" s="11" t="s">
        <v>2</v>
      </c>
      <c r="D33" s="20" t="s">
        <v>3</v>
      </c>
      <c r="Q33" s="778" t="s">
        <v>2686</v>
      </c>
    </row>
    <row r="34" spans="1:17">
      <c r="A34" s="19" t="str">
        <f t="shared" si="0"/>
        <v>IMv_MON</v>
      </c>
      <c r="B34" s="11">
        <v>7009230</v>
      </c>
      <c r="C34" s="11" t="s">
        <v>6</v>
      </c>
      <c r="D34" s="20">
        <v>1</v>
      </c>
      <c r="Q34" s="780"/>
    </row>
    <row r="35" spans="1:17">
      <c r="A35" s="21" t="str">
        <f t="shared" si="0"/>
        <v>IMv_MON</v>
      </c>
      <c r="B35" s="8">
        <v>4009230</v>
      </c>
      <c r="C35" s="8" t="s">
        <v>0</v>
      </c>
      <c r="D35" s="742" t="s">
        <v>2687</v>
      </c>
      <c r="Q35" s="779"/>
    </row>
    <row r="36" spans="1:17">
      <c r="A36" s="712" t="str">
        <f t="shared" si="0"/>
        <v>IMv_MON</v>
      </c>
      <c r="B36" s="711">
        <v>9204</v>
      </c>
      <c r="C36" s="711" t="s">
        <v>6</v>
      </c>
      <c r="D36" s="710">
        <v>0</v>
      </c>
      <c r="Q36" s="518" t="s">
        <v>2595</v>
      </c>
    </row>
    <row r="37" spans="1:17">
      <c r="A37" s="712" t="str">
        <f t="shared" si="0"/>
        <v>IMv_MON</v>
      </c>
      <c r="B37" s="711">
        <v>9205</v>
      </c>
      <c r="C37" s="711" t="s">
        <v>6</v>
      </c>
      <c r="D37" s="710">
        <v>0</v>
      </c>
      <c r="Q37" s="518" t="s">
        <v>343</v>
      </c>
    </row>
    <row r="38" spans="1:17">
      <c r="A38" t="str">
        <f t="shared" ref="A38:A43" si="1">$R$2&amp;".Commands"</f>
        <v>IMv_MON.Commands</v>
      </c>
      <c r="B38" s="24">
        <v>7011</v>
      </c>
      <c r="C38" s="24" t="s">
        <v>2</v>
      </c>
      <c r="D38" s="25" t="s">
        <v>266</v>
      </c>
    </row>
    <row r="39" spans="1:17" ht="15" customHeight="1">
      <c r="A39" t="str">
        <f t="shared" si="1"/>
        <v>IMv_MON.Commands</v>
      </c>
      <c r="B39">
        <v>1</v>
      </c>
      <c r="C39" t="s">
        <v>1</v>
      </c>
      <c r="D39" s="30">
        <v>17</v>
      </c>
    </row>
    <row r="40" spans="1:17">
      <c r="A40" s="23" t="str">
        <f t="shared" si="1"/>
        <v>IMv_MON.Commands</v>
      </c>
      <c r="B40" s="24">
        <v>9209</v>
      </c>
      <c r="C40" s="24" t="s">
        <v>2</v>
      </c>
      <c r="D40" s="25" t="s">
        <v>3</v>
      </c>
      <c r="Q40" s="778" t="s">
        <v>116</v>
      </c>
    </row>
    <row r="41" spans="1:17">
      <c r="A41" s="29" t="str">
        <f t="shared" si="1"/>
        <v>IMv_MON.Commands</v>
      </c>
      <c r="B41">
        <v>4009209</v>
      </c>
      <c r="C41" t="s">
        <v>0</v>
      </c>
      <c r="D41" s="713" t="s">
        <v>2594</v>
      </c>
      <c r="Q41" s="780"/>
    </row>
    <row r="42" spans="1:17">
      <c r="A42" s="29" t="str">
        <f t="shared" si="1"/>
        <v>IMv_MON.Commands</v>
      </c>
      <c r="B42">
        <v>7009209</v>
      </c>
      <c r="C42" t="s">
        <v>6</v>
      </c>
      <c r="D42" s="30">
        <v>1</v>
      </c>
      <c r="Q42" s="779"/>
    </row>
    <row r="43" spans="1:17">
      <c r="A43" s="712" t="str">
        <f t="shared" si="1"/>
        <v>IMv_MON.Commands</v>
      </c>
      <c r="B43" s="711">
        <v>9211</v>
      </c>
      <c r="C43" s="711" t="s">
        <v>6</v>
      </c>
      <c r="D43" s="710">
        <v>0</v>
      </c>
      <c r="Q43" s="537" t="s">
        <v>2593</v>
      </c>
    </row>
    <row r="44" spans="1:17">
      <c r="A44" s="69" t="str">
        <f t="shared" ref="A44:A52" si="2">$R$2&amp;".wCntLimit"</f>
        <v>IMv_MON.wCntLimit</v>
      </c>
      <c r="B44" s="70">
        <v>11154</v>
      </c>
      <c r="C44" s="70" t="s">
        <v>4</v>
      </c>
      <c r="D44" s="71">
        <f>$Q$6</f>
        <v>8</v>
      </c>
    </row>
    <row r="45" spans="1:17">
      <c r="A45" s="63" t="str">
        <f t="shared" si="2"/>
        <v>IMv_MON.wCntLimit</v>
      </c>
      <c r="B45" s="52">
        <v>11152</v>
      </c>
      <c r="C45" s="52" t="s">
        <v>0</v>
      </c>
      <c r="D45" s="65" t="str">
        <f>$R$6</f>
        <v>Предупреждение</v>
      </c>
    </row>
    <row r="46" spans="1:17">
      <c r="A46" s="63" t="str">
        <f t="shared" si="2"/>
        <v>IMv_MON.wCntLimit</v>
      </c>
      <c r="B46" s="52">
        <v>11150</v>
      </c>
      <c r="C46" s="52" t="s">
        <v>0</v>
      </c>
      <c r="D46" s="65" t="s">
        <v>157</v>
      </c>
    </row>
    <row r="47" spans="1:17">
      <c r="A47" s="63" t="str">
        <f t="shared" si="2"/>
        <v>IMv_MON.wCntLimit</v>
      </c>
      <c r="B47" s="52">
        <v>11000</v>
      </c>
      <c r="C47" s="52" t="s">
        <v>5</v>
      </c>
      <c r="D47" s="65">
        <v>2147483680</v>
      </c>
    </row>
    <row r="48" spans="1:17">
      <c r="A48" s="29" t="str">
        <f t="shared" si="2"/>
        <v>IMv_MON.wCntLimit</v>
      </c>
      <c r="B48">
        <v>101</v>
      </c>
      <c r="C48" t="s">
        <v>0</v>
      </c>
      <c r="D48" s="30" t="s">
        <v>157</v>
      </c>
    </row>
    <row r="49" spans="1:4">
      <c r="A49" s="29" t="str">
        <f t="shared" si="2"/>
        <v>IMv_MON.wCntLimit</v>
      </c>
      <c r="B49">
        <v>3</v>
      </c>
      <c r="C49" t="s">
        <v>1</v>
      </c>
      <c r="D49" s="30">
        <v>192</v>
      </c>
    </row>
    <row r="50" spans="1:4">
      <c r="A50" s="29" t="str">
        <f t="shared" si="2"/>
        <v>IMv_MON.wCntLimit</v>
      </c>
      <c r="B50">
        <v>2</v>
      </c>
      <c r="C50" t="s">
        <v>2</v>
      </c>
      <c r="D50" s="30" t="s">
        <v>3</v>
      </c>
    </row>
    <row r="51" spans="1:4">
      <c r="A51" t="str">
        <f t="shared" si="2"/>
        <v>IMv_MON.wCntLimit</v>
      </c>
      <c r="B51">
        <v>1</v>
      </c>
      <c r="C51" t="s">
        <v>1</v>
      </c>
      <c r="D51" s="30">
        <v>11</v>
      </c>
    </row>
    <row r="52" spans="1:4">
      <c r="A52" t="str">
        <f t="shared" si="2"/>
        <v>IMv_MON.wCntLimit</v>
      </c>
      <c r="B52" s="27">
        <v>3000000</v>
      </c>
      <c r="C52" s="27" t="s">
        <v>0</v>
      </c>
      <c r="D52" s="28" t="s">
        <v>2330</v>
      </c>
    </row>
    <row r="53" spans="1:4">
      <c r="A53" s="23" t="str">
        <f t="shared" ref="A53:A62" si="3">$R$2&amp;".fFault"</f>
        <v>IMv_MON.fFault</v>
      </c>
      <c r="B53" s="24">
        <v>1</v>
      </c>
      <c r="C53" s="24" t="s">
        <v>1</v>
      </c>
      <c r="D53" s="25">
        <v>11</v>
      </c>
    </row>
    <row r="54" spans="1:4">
      <c r="A54" s="29" t="str">
        <f t="shared" si="3"/>
        <v>IMv_MON.fFault</v>
      </c>
      <c r="B54">
        <v>2</v>
      </c>
      <c r="C54" t="s">
        <v>2</v>
      </c>
      <c r="D54" s="30" t="s">
        <v>3</v>
      </c>
    </row>
    <row r="55" spans="1:4">
      <c r="A55" s="29" t="str">
        <f t="shared" si="3"/>
        <v>IMv_MON.fFault</v>
      </c>
      <c r="B55">
        <v>3</v>
      </c>
      <c r="C55" t="s">
        <v>1</v>
      </c>
      <c r="D55" s="30">
        <v>192</v>
      </c>
    </row>
    <row r="56" spans="1:4">
      <c r="A56" s="211" t="str">
        <f t="shared" si="3"/>
        <v>IMv_MON.fFault</v>
      </c>
      <c r="B56" s="677">
        <v>11152</v>
      </c>
      <c r="C56" s="677" t="s">
        <v>0</v>
      </c>
      <c r="D56" s="213" t="str">
        <f>$R$7</f>
        <v>Неисправность</v>
      </c>
    </row>
    <row r="57" spans="1:4">
      <c r="A57" s="211" t="str">
        <f t="shared" si="3"/>
        <v>IMv_MON.fFault</v>
      </c>
      <c r="B57" s="677">
        <v>11000</v>
      </c>
      <c r="C57" s="677" t="s">
        <v>5</v>
      </c>
      <c r="D57" s="213">
        <v>2147483680</v>
      </c>
    </row>
    <row r="58" spans="1:4">
      <c r="A58" s="211" t="str">
        <f t="shared" si="3"/>
        <v>IMv_MON.fFault</v>
      </c>
      <c r="B58" s="677">
        <v>11150</v>
      </c>
      <c r="C58" s="677" t="s">
        <v>0</v>
      </c>
      <c r="D58" s="213" t="s">
        <v>110</v>
      </c>
    </row>
    <row r="59" spans="1:4">
      <c r="A59" s="211" t="str">
        <f t="shared" si="3"/>
        <v>IMv_MON.fFault</v>
      </c>
      <c r="B59" s="677">
        <v>11154</v>
      </c>
      <c r="C59" s="677" t="s">
        <v>4</v>
      </c>
      <c r="D59" s="213">
        <f>$Q$7</f>
        <v>12</v>
      </c>
    </row>
    <row r="60" spans="1:4">
      <c r="A60" s="29" t="str">
        <f t="shared" si="3"/>
        <v>IMv_MON.fFault</v>
      </c>
      <c r="B60">
        <v>101</v>
      </c>
      <c r="C60" t="s">
        <v>0</v>
      </c>
      <c r="D60" s="30" t="s">
        <v>176</v>
      </c>
    </row>
    <row r="61" spans="1:4">
      <c r="A61" s="29" t="str">
        <f t="shared" si="3"/>
        <v>IMv_MON.fFault</v>
      </c>
      <c r="B61">
        <v>7998</v>
      </c>
      <c r="C61" t="s">
        <v>6</v>
      </c>
      <c r="D61" s="30">
        <v>1</v>
      </c>
    </row>
    <row r="62" spans="1:4">
      <c r="A62" s="26" t="str">
        <f t="shared" si="3"/>
        <v>IMv_MON.fFault</v>
      </c>
      <c r="B62" s="27">
        <v>7999</v>
      </c>
      <c r="C62" s="27" t="s">
        <v>0</v>
      </c>
      <c r="D62" s="28" t="str">
        <f>"#"&amp;$S$2&amp;"#"&amp;$T$2&amp;"\"&amp;$P$2&amp;"\fFault"</f>
        <v>#3#\\Setup_rza\Modbus.OPCServer\KTP_BMPA\\fFault</v>
      </c>
    </row>
    <row r="63" spans="1:4">
      <c r="A63" s="217" t="str">
        <f t="shared" ref="A63:A70" si="4">$R$2&amp;".wUnkw"</f>
        <v>IMv_MON.wUnkw</v>
      </c>
      <c r="B63" s="218">
        <v>11154</v>
      </c>
      <c r="C63" s="218" t="s">
        <v>4</v>
      </c>
      <c r="D63" s="231">
        <f>$Q$7</f>
        <v>12</v>
      </c>
    </row>
    <row r="64" spans="1:4">
      <c r="A64" s="211" t="str">
        <f t="shared" si="4"/>
        <v>IMv_MON.wUnkw</v>
      </c>
      <c r="B64" s="677">
        <v>11152</v>
      </c>
      <c r="C64" s="677" t="s">
        <v>0</v>
      </c>
      <c r="D64" s="213" t="str">
        <f>$R$7</f>
        <v>Неисправность</v>
      </c>
    </row>
    <row r="65" spans="1:4">
      <c r="A65" s="211" t="str">
        <f t="shared" si="4"/>
        <v>IMv_MON.wUnkw</v>
      </c>
      <c r="B65" s="677">
        <v>11150</v>
      </c>
      <c r="C65" s="677" t="s">
        <v>0</v>
      </c>
      <c r="D65" s="213" t="s">
        <v>154</v>
      </c>
    </row>
    <row r="66" spans="1:4">
      <c r="A66" s="211" t="str">
        <f t="shared" si="4"/>
        <v>IMv_MON.wUnkw</v>
      </c>
      <c r="B66" s="677">
        <v>11000</v>
      </c>
      <c r="C66" s="677" t="s">
        <v>5</v>
      </c>
      <c r="D66" s="213">
        <v>2147483680</v>
      </c>
    </row>
    <row r="67" spans="1:4">
      <c r="A67" s="29" t="str">
        <f t="shared" si="4"/>
        <v>IMv_MON.wUnkw</v>
      </c>
      <c r="B67">
        <v>101</v>
      </c>
      <c r="C67" t="s">
        <v>0</v>
      </c>
      <c r="D67" s="30" t="s">
        <v>154</v>
      </c>
    </row>
    <row r="68" spans="1:4">
      <c r="A68" s="29" t="str">
        <f t="shared" si="4"/>
        <v>IMv_MON.wUnkw</v>
      </c>
      <c r="B68">
        <v>3</v>
      </c>
      <c r="C68" t="s">
        <v>1</v>
      </c>
      <c r="D68" s="30">
        <v>192</v>
      </c>
    </row>
    <row r="69" spans="1:4">
      <c r="A69" s="29" t="str">
        <f t="shared" si="4"/>
        <v>IMv_MON.wUnkw</v>
      </c>
      <c r="B69">
        <v>2</v>
      </c>
      <c r="C69" t="s">
        <v>2</v>
      </c>
      <c r="D69" s="30" t="s">
        <v>3</v>
      </c>
    </row>
    <row r="70" spans="1:4">
      <c r="A70" t="str">
        <f t="shared" si="4"/>
        <v>IMv_MON.wUnkw</v>
      </c>
      <c r="B70">
        <v>1</v>
      </c>
      <c r="C70" t="s">
        <v>1</v>
      </c>
      <c r="D70" s="30">
        <v>11</v>
      </c>
    </row>
    <row r="71" spans="1:4">
      <c r="A71" s="23" t="str">
        <f t="shared" ref="A71:A78" si="5">$R$2&amp;".wDbl"</f>
        <v>IMv_MON.wDbl</v>
      </c>
      <c r="B71" s="24">
        <v>1</v>
      </c>
      <c r="C71" s="24" t="s">
        <v>1</v>
      </c>
      <c r="D71" s="25">
        <v>11</v>
      </c>
    </row>
    <row r="72" spans="1:4">
      <c r="A72" s="29" t="str">
        <f t="shared" si="5"/>
        <v>IMv_MON.wDbl</v>
      </c>
      <c r="B72">
        <v>2</v>
      </c>
      <c r="C72" t="s">
        <v>2</v>
      </c>
      <c r="D72" s="30" t="s">
        <v>3</v>
      </c>
    </row>
    <row r="73" spans="1:4">
      <c r="A73" s="29" t="str">
        <f t="shared" si="5"/>
        <v>IMv_MON.wDbl</v>
      </c>
      <c r="B73">
        <v>3</v>
      </c>
      <c r="C73" t="s">
        <v>1</v>
      </c>
      <c r="D73" s="30">
        <v>192</v>
      </c>
    </row>
    <row r="74" spans="1:4">
      <c r="A74" s="29" t="str">
        <f t="shared" si="5"/>
        <v>IMv_MON.wDbl</v>
      </c>
      <c r="B74">
        <v>101</v>
      </c>
      <c r="C74" t="s">
        <v>0</v>
      </c>
      <c r="D74" s="30" t="s">
        <v>161</v>
      </c>
    </row>
    <row r="75" spans="1:4">
      <c r="A75" s="211" t="str">
        <f t="shared" si="5"/>
        <v>IMv_MON.wDbl</v>
      </c>
      <c r="B75" s="677">
        <v>11000</v>
      </c>
      <c r="C75" s="677" t="s">
        <v>5</v>
      </c>
      <c r="D75" s="213">
        <v>2147483680</v>
      </c>
    </row>
    <row r="76" spans="1:4">
      <c r="A76" s="211" t="str">
        <f t="shared" si="5"/>
        <v>IMv_MON.wDbl</v>
      </c>
      <c r="B76" s="677">
        <v>11150</v>
      </c>
      <c r="C76" s="677" t="s">
        <v>0</v>
      </c>
      <c r="D76" s="213" t="s">
        <v>161</v>
      </c>
    </row>
    <row r="77" spans="1:4">
      <c r="A77" s="211" t="str">
        <f t="shared" si="5"/>
        <v>IMv_MON.wDbl</v>
      </c>
      <c r="B77" s="677">
        <v>11152</v>
      </c>
      <c r="C77" s="677" t="s">
        <v>0</v>
      </c>
      <c r="D77" s="213" t="str">
        <f>$R$7</f>
        <v>Неисправность</v>
      </c>
    </row>
    <row r="78" spans="1:4">
      <c r="A78" s="677" t="str">
        <f t="shared" si="5"/>
        <v>IMv_MON.wDbl</v>
      </c>
      <c r="B78" s="677">
        <v>11154</v>
      </c>
      <c r="C78" s="677" t="s">
        <v>4</v>
      </c>
      <c r="D78" s="213">
        <f>$Q$7</f>
        <v>12</v>
      </c>
    </row>
    <row r="79" spans="1:4">
      <c r="A79" s="24" t="str">
        <f t="shared" ref="A79:A91" si="6">$R$2&amp;".stOn"</f>
        <v>IMv_MON.stOn</v>
      </c>
      <c r="B79" s="24">
        <v>7011</v>
      </c>
      <c r="C79" s="24" t="s">
        <v>2</v>
      </c>
      <c r="D79" s="25" t="s">
        <v>266</v>
      </c>
    </row>
    <row r="80" spans="1:4">
      <c r="A80" s="1" t="str">
        <f t="shared" si="6"/>
        <v>IMv_MON.stOn</v>
      </c>
      <c r="B80" s="1">
        <v>1</v>
      </c>
      <c r="C80" s="1" t="s">
        <v>1</v>
      </c>
      <c r="D80" s="30">
        <v>11</v>
      </c>
    </row>
    <row r="81" spans="1:4">
      <c r="A81" s="29" t="str">
        <f t="shared" si="6"/>
        <v>IMv_MON.stOn</v>
      </c>
      <c r="B81">
        <v>2</v>
      </c>
      <c r="C81" t="s">
        <v>2</v>
      </c>
      <c r="D81" s="30" t="s">
        <v>3</v>
      </c>
    </row>
    <row r="82" spans="1:4">
      <c r="A82" s="29" t="str">
        <f t="shared" si="6"/>
        <v>IMv_MON.stOn</v>
      </c>
      <c r="B82">
        <v>3</v>
      </c>
      <c r="C82" t="s">
        <v>1</v>
      </c>
      <c r="D82" s="30">
        <v>192</v>
      </c>
    </row>
    <row r="83" spans="1:4">
      <c r="A83" s="29" t="str">
        <f t="shared" si="6"/>
        <v>IMv_MON.stOn</v>
      </c>
      <c r="B83">
        <v>101</v>
      </c>
      <c r="C83" t="s">
        <v>0</v>
      </c>
      <c r="D83" s="30" t="s">
        <v>337</v>
      </c>
    </row>
    <row r="84" spans="1:4">
      <c r="A84" s="100" t="str">
        <f t="shared" si="6"/>
        <v>IMv_MON.stOn</v>
      </c>
      <c r="B84" s="679">
        <v>11000</v>
      </c>
      <c r="C84" s="679" t="s">
        <v>5</v>
      </c>
      <c r="D84" s="103">
        <v>2147483680</v>
      </c>
    </row>
    <row r="85" spans="1:4">
      <c r="A85" s="100" t="str">
        <f t="shared" si="6"/>
        <v>IMv_MON.stOn</v>
      </c>
      <c r="B85" s="679">
        <v>11150</v>
      </c>
      <c r="C85" s="679" t="s">
        <v>0</v>
      </c>
      <c r="D85" s="103" t="s">
        <v>337</v>
      </c>
    </row>
    <row r="86" spans="1:4">
      <c r="A86" s="100" t="str">
        <f t="shared" si="6"/>
        <v>IMv_MON.stOn</v>
      </c>
      <c r="B86" s="679">
        <v>11152</v>
      </c>
      <c r="C86" s="679" t="s">
        <v>0</v>
      </c>
      <c r="D86" s="103" t="str">
        <f>$R$8</f>
        <v>Телесигнализация</v>
      </c>
    </row>
    <row r="87" spans="1:4">
      <c r="A87" s="679" t="str">
        <f t="shared" si="6"/>
        <v>IMv_MON.stOn</v>
      </c>
      <c r="B87" s="679">
        <v>11154</v>
      </c>
      <c r="C87" s="679" t="s">
        <v>4</v>
      </c>
      <c r="D87" s="103">
        <f>$Q$8</f>
        <v>18</v>
      </c>
    </row>
    <row r="88" spans="1:4">
      <c r="A88" s="29" t="str">
        <f t="shared" si="6"/>
        <v>IMv_MON.stOn</v>
      </c>
      <c r="B88">
        <v>7998</v>
      </c>
      <c r="C88" t="s">
        <v>6</v>
      </c>
      <c r="D88" s="30">
        <v>1</v>
      </c>
    </row>
    <row r="89" spans="1:4">
      <c r="A89" t="str">
        <f t="shared" si="6"/>
        <v>IMv_MON.stOn</v>
      </c>
      <c r="B89">
        <v>7999</v>
      </c>
      <c r="C89" t="s">
        <v>0</v>
      </c>
      <c r="D89" s="30" t="str">
        <f>"#"&amp;$S$2&amp;"#"&amp;$T$2&amp;"\"&amp;$P$2&amp;"\stOn"</f>
        <v>#3#\\Setup_rza\Modbus.OPCServer\KTP_BMPA\\stOn</v>
      </c>
    </row>
    <row r="90" spans="1:4">
      <c r="A90" t="str">
        <f t="shared" si="6"/>
        <v>IMv_MON.stOn</v>
      </c>
      <c r="B90">
        <v>7000000</v>
      </c>
      <c r="C90" t="s">
        <v>6</v>
      </c>
      <c r="D90" s="30">
        <v>1</v>
      </c>
    </row>
    <row r="91" spans="1:4" ht="43.2">
      <c r="A91" s="29" t="str">
        <f t="shared" si="6"/>
        <v>IMv_MON.stOn</v>
      </c>
      <c r="B91" s="27">
        <v>4000000</v>
      </c>
      <c r="C91" s="27" t="s">
        <v>0</v>
      </c>
      <c r="D91" s="415" t="s">
        <v>2688</v>
      </c>
    </row>
    <row r="92" spans="1:4">
      <c r="A92" s="24" t="str">
        <f t="shared" ref="A92:A104" si="7">$R$2&amp;".stOff"</f>
        <v>IMv_MON.stOff</v>
      </c>
      <c r="B92" s="24">
        <v>7011</v>
      </c>
      <c r="C92" s="24" t="s">
        <v>2</v>
      </c>
      <c r="D92" s="25" t="s">
        <v>266</v>
      </c>
    </row>
    <row r="93" spans="1:4">
      <c r="A93" s="1" t="str">
        <f t="shared" si="7"/>
        <v>IMv_MON.stOff</v>
      </c>
      <c r="B93" s="1">
        <v>1</v>
      </c>
      <c r="C93" s="1" t="s">
        <v>1</v>
      </c>
      <c r="D93" s="30">
        <v>11</v>
      </c>
    </row>
    <row r="94" spans="1:4">
      <c r="A94" s="29" t="str">
        <f t="shared" si="7"/>
        <v>IMv_MON.stOff</v>
      </c>
      <c r="B94">
        <v>2</v>
      </c>
      <c r="C94" t="s">
        <v>2</v>
      </c>
      <c r="D94" s="30" t="s">
        <v>3</v>
      </c>
    </row>
    <row r="95" spans="1:4">
      <c r="A95" s="29" t="str">
        <f t="shared" si="7"/>
        <v>IMv_MON.stOff</v>
      </c>
      <c r="B95">
        <v>3</v>
      </c>
      <c r="C95" t="s">
        <v>1</v>
      </c>
      <c r="D95" s="30">
        <v>192</v>
      </c>
    </row>
    <row r="96" spans="1:4">
      <c r="A96" s="29" t="str">
        <f t="shared" si="7"/>
        <v>IMv_MON.stOff</v>
      </c>
      <c r="B96">
        <v>101</v>
      </c>
      <c r="C96" t="s">
        <v>0</v>
      </c>
      <c r="D96" s="30" t="s">
        <v>336</v>
      </c>
    </row>
    <row r="97" spans="1:4">
      <c r="A97" s="100" t="str">
        <f t="shared" si="7"/>
        <v>IMv_MON.stOff</v>
      </c>
      <c r="B97" s="679">
        <v>11000</v>
      </c>
      <c r="C97" s="679" t="s">
        <v>5</v>
      </c>
      <c r="D97" s="103">
        <v>2147483680</v>
      </c>
    </row>
    <row r="98" spans="1:4">
      <c r="A98" s="100" t="str">
        <f t="shared" si="7"/>
        <v>IMv_MON.stOff</v>
      </c>
      <c r="B98" s="679">
        <v>11150</v>
      </c>
      <c r="C98" s="679" t="s">
        <v>0</v>
      </c>
      <c r="D98" s="103" t="s">
        <v>336</v>
      </c>
    </row>
    <row r="99" spans="1:4">
      <c r="A99" s="100" t="str">
        <f t="shared" si="7"/>
        <v>IMv_MON.stOff</v>
      </c>
      <c r="B99" s="679">
        <v>11152</v>
      </c>
      <c r="C99" s="679" t="s">
        <v>0</v>
      </c>
      <c r="D99" s="103" t="str">
        <f>$R$8</f>
        <v>Телесигнализация</v>
      </c>
    </row>
    <row r="100" spans="1:4">
      <c r="A100" s="679" t="str">
        <f t="shared" si="7"/>
        <v>IMv_MON.stOff</v>
      </c>
      <c r="B100" s="679">
        <v>11154</v>
      </c>
      <c r="C100" s="679" t="s">
        <v>4</v>
      </c>
      <c r="D100" s="103">
        <f>$Q$8</f>
        <v>18</v>
      </c>
    </row>
    <row r="101" spans="1:4">
      <c r="A101" s="29" t="str">
        <f t="shared" si="7"/>
        <v>IMv_MON.stOff</v>
      </c>
      <c r="B101">
        <v>7999</v>
      </c>
      <c r="C101" t="s">
        <v>0</v>
      </c>
      <c r="D101" s="30" t="str">
        <f>"#"&amp;$S$2&amp;"#"&amp;$T$2&amp;"\"&amp;$P$2&amp;"\stOff"</f>
        <v>#3#\\Setup_rza\Modbus.OPCServer\KTP_BMPA\\stOff</v>
      </c>
    </row>
    <row r="102" spans="1:4">
      <c r="A102" s="29" t="str">
        <f t="shared" si="7"/>
        <v>IMv_MON.stOff</v>
      </c>
      <c r="B102">
        <v>7998</v>
      </c>
      <c r="C102" t="s">
        <v>6</v>
      </c>
      <c r="D102" s="30">
        <v>1</v>
      </c>
    </row>
    <row r="103" spans="1:4">
      <c r="A103" s="29" t="str">
        <f t="shared" si="7"/>
        <v>IMv_MON.stOff</v>
      </c>
      <c r="B103">
        <v>7000000</v>
      </c>
      <c r="C103" t="s">
        <v>6</v>
      </c>
      <c r="D103" s="30">
        <v>1</v>
      </c>
    </row>
    <row r="104" spans="1:4" ht="43.2">
      <c r="A104" s="29" t="str">
        <f t="shared" si="7"/>
        <v>IMv_MON.stOff</v>
      </c>
      <c r="B104" s="27">
        <v>4000000</v>
      </c>
      <c r="C104" s="27" t="s">
        <v>0</v>
      </c>
      <c r="D104" s="415" t="s">
        <v>2689</v>
      </c>
    </row>
    <row r="105" spans="1:4">
      <c r="A105" s="23" t="str">
        <f t="shared" ref="A105:A115" si="8">$R$2&amp;".Commands.coRepair"</f>
        <v>IMv_MON.Commands.coRepair</v>
      </c>
      <c r="B105" s="24">
        <v>7011</v>
      </c>
      <c r="C105" s="24" t="s">
        <v>2</v>
      </c>
      <c r="D105" s="25" t="s">
        <v>266</v>
      </c>
    </row>
    <row r="106" spans="1:4">
      <c r="A106" s="736" t="str">
        <f t="shared" si="8"/>
        <v>IMv_MON.Commands.coRepair</v>
      </c>
      <c r="B106" s="736">
        <v>1</v>
      </c>
      <c r="C106" s="736" t="s">
        <v>1</v>
      </c>
      <c r="D106" s="692">
        <v>11</v>
      </c>
    </row>
    <row r="107" spans="1:4">
      <c r="A107" s="693" t="str">
        <f t="shared" si="8"/>
        <v>IMv_MON.Commands.coRepair</v>
      </c>
      <c r="B107" s="736">
        <v>2</v>
      </c>
      <c r="C107" s="736" t="s">
        <v>2</v>
      </c>
      <c r="D107" s="692" t="s">
        <v>3</v>
      </c>
    </row>
    <row r="108" spans="1:4">
      <c r="A108" s="693" t="str">
        <f t="shared" si="8"/>
        <v>IMv_MON.Commands.coRepair</v>
      </c>
      <c r="B108" s="736">
        <v>3</v>
      </c>
      <c r="C108" s="736" t="s">
        <v>1</v>
      </c>
      <c r="D108" s="692">
        <v>192</v>
      </c>
    </row>
    <row r="109" spans="1:4">
      <c r="A109" s="693" t="str">
        <f t="shared" si="8"/>
        <v>IMv_MON.Commands.coRepair</v>
      </c>
      <c r="B109" s="736">
        <v>101</v>
      </c>
      <c r="C109" s="736" t="s">
        <v>0</v>
      </c>
      <c r="D109" s="692" t="s">
        <v>113</v>
      </c>
    </row>
    <row r="110" spans="1:4">
      <c r="A110" s="140" t="str">
        <f t="shared" si="8"/>
        <v>IMv_MON.Commands.coRepair</v>
      </c>
      <c r="B110" s="687">
        <v>11000</v>
      </c>
      <c r="C110" s="687" t="s">
        <v>5</v>
      </c>
      <c r="D110" s="142">
        <v>2147483680</v>
      </c>
    </row>
    <row r="111" spans="1:4">
      <c r="A111" s="140" t="str">
        <f t="shared" si="8"/>
        <v>IMv_MON.Commands.coRepair</v>
      </c>
      <c r="B111" s="687">
        <v>11150</v>
      </c>
      <c r="C111" s="687" t="s">
        <v>0</v>
      </c>
      <c r="D111" s="142" t="s">
        <v>89</v>
      </c>
    </row>
    <row r="112" spans="1:4">
      <c r="A112" s="140" t="str">
        <f t="shared" si="8"/>
        <v>IMv_MON.Commands.coRepair</v>
      </c>
      <c r="B112" s="687">
        <v>11152</v>
      </c>
      <c r="C112" s="687" t="s">
        <v>0</v>
      </c>
      <c r="D112" s="142" t="str">
        <f>$R$11</f>
        <v>Ремонт</v>
      </c>
    </row>
    <row r="113" spans="1:4">
      <c r="A113" s="140" t="str">
        <f t="shared" si="8"/>
        <v>IMv_MON.Commands.coRepair</v>
      </c>
      <c r="B113" s="687">
        <v>11154</v>
      </c>
      <c r="C113" s="687" t="s">
        <v>4</v>
      </c>
      <c r="D113" s="142">
        <f>$Q$11</f>
        <v>14</v>
      </c>
    </row>
    <row r="114" spans="1:4" ht="72">
      <c r="A114" s="693" t="str">
        <f t="shared" si="8"/>
        <v>IMv_MON.Commands.coRepair</v>
      </c>
      <c r="B114" s="736">
        <v>4000000</v>
      </c>
      <c r="C114" s="736" t="s">
        <v>0</v>
      </c>
      <c r="D114" s="694" t="s">
        <v>2909</v>
      </c>
    </row>
    <row r="115" spans="1:4">
      <c r="A115" s="743" t="str">
        <f t="shared" si="8"/>
        <v>IMv_MON.Commands.coRepair</v>
      </c>
      <c r="B115" s="744">
        <v>7000000</v>
      </c>
      <c r="C115" s="744" t="s">
        <v>6</v>
      </c>
      <c r="D115" s="745">
        <v>2</v>
      </c>
    </row>
  </sheetData>
  <autoFilter ref="B1:B19" xr:uid="{00000000-0009-0000-0000-000025000000}"/>
  <mergeCells count="5">
    <mergeCell ref="Q40:Q42"/>
    <mergeCell ref="Q24:Q27"/>
    <mergeCell ref="Q28:Q29"/>
    <mergeCell ref="Q30:Q32"/>
    <mergeCell ref="Q33:Q35"/>
  </mergeCell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Лист196">
    <tabColor rgb="FFFFC000"/>
  </sheetPr>
  <dimension ref="A1:BA207"/>
  <sheetViews>
    <sheetView topLeftCell="A4" zoomScale="85" zoomScaleNormal="85" workbookViewId="0">
      <selection activeCell="D2" sqref="D2:D4"/>
    </sheetView>
  </sheetViews>
  <sheetFormatPr defaultRowHeight="14.4"/>
  <cols>
    <col min="1" max="1" width="37.109375" customWidth="1"/>
    <col min="2" max="2" width="9.5546875" customWidth="1"/>
    <col min="4" max="4" width="63.88671875" customWidth="1"/>
    <col min="5" max="15" width="9.109375"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7.33203125" customWidth="1"/>
    <col min="56" max="56" width="10.33203125" customWidth="1"/>
    <col min="57" max="57" width="10" customWidth="1"/>
    <col min="59" max="59" width="7.109375" customWidth="1"/>
    <col min="60" max="60" width="10.88671875" customWidth="1"/>
    <col min="62" max="62" width="65.109375" customWidth="1"/>
  </cols>
  <sheetData>
    <row r="1" spans="1:53" s="258" customFormat="1" ht="204.6" thickBot="1">
      <c r="A1" s="257"/>
      <c r="B1" s="257" t="s">
        <v>84</v>
      </c>
      <c r="C1" s="257"/>
      <c r="D1" s="257"/>
      <c r="E1" s="257"/>
      <c r="F1" s="257"/>
      <c r="P1" s="704" t="str">
        <f>Таблица!D1</f>
        <v>Префикс для TREI
Тэг ОРС для INFINITY</v>
      </c>
      <c r="Q1" s="717" t="str">
        <f>Таблица!E1</f>
        <v>Комментарий для TREI и INFINITY</v>
      </c>
      <c r="R1" s="719" t="str">
        <f>Таблица!F1</f>
        <v>ТЭГ в дереве INFINITY Server</v>
      </c>
      <c r="S1" s="717"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738" t="str">
        <f>Таблица!H1</f>
        <v>OPC путь 
№ маршрута Modbus TCP, Modbus RTU, Modbus over TCP (1-255)
№ КП IEC104 (1-65534)</v>
      </c>
      <c r="U1" s="718" t="str">
        <f>Таблица!I1</f>
        <v>OPC путь</v>
      </c>
      <c r="V1" s="718" t="str">
        <f>Таблица!J1</f>
        <v>Мнемосхема</v>
      </c>
      <c r="W1" s="716"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716"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716" t="str">
        <f>Таблица!M1</f>
        <v>FB_IMt_MON_S, IMt_MON: Только для трансформатора. Цвет нижних обмоток(-ки) при наличии напряжения</v>
      </c>
      <c r="Z1" s="716"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716"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716" t="str">
        <f>Таблица!P1</f>
        <v xml:space="preserve">FB_DI_S, FB_DO_S, DI, DI_DIAG, FB_DO_STB_S: Тип сигнализации (Авария, предупреждение, телесигнализация и тд.)
FB_SHPS_S(SB), FB_BTF_S: Тип сигнализации XFRX
</v>
      </c>
      <c r="AC1" s="716"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716" t="str">
        <f>Таблица!R1</f>
        <v>SEPAM: Тип ячейки (OL,SV,VV,TN)
BMRZ: Тип ячейки (VV,AV)
TOR: Тип ячейки (OL,SV,VV,TN,BK)</v>
      </c>
      <c r="AE1" s="717" t="str">
        <f>Таблица!S1</f>
        <v>Формула для fNoLink.Device</v>
      </c>
      <c r="AF1" s="716">
        <f>Таблица!T1</f>
        <v>0</v>
      </c>
      <c r="AG1" s="716">
        <f>Таблица!U1</f>
        <v>0</v>
      </c>
      <c r="AH1" s="716">
        <f>Таблица!V1</f>
        <v>0</v>
      </c>
      <c r="AI1" s="716">
        <f>Таблица!W1</f>
        <v>0</v>
      </c>
      <c r="AJ1" s="716">
        <f>Таблица!X1</f>
        <v>0</v>
      </c>
      <c r="AK1" s="739" t="str">
        <f>Таблица!Y1</f>
        <v>FB_AI_S, FB_DI_S, FB_QSA_S, FB_DO_S, FB_SHPS_S, FB_SHOP_S, FB_BTF_S: IVXX
FB_KL_UPT_S: ISON
SW_S301, SW_MES3508: Подключение к порту 1
SW_MAYAK: Подключение к порту 1,2 (через "\")
DI_DIAG, DO_DIAG: XVLX</v>
      </c>
      <c r="AL1" s="739"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739"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739" t="str">
        <f>Таблица!AB1</f>
        <v>FB_IMstp_S, FB_IMsp_S, FB_IMs_S, FB_REG_S, FB_IM_ADES_S : ILCX
SW_S301: Подключение к порту 4
SW_MAYAK, SW_MES3508: Подключение к порту 7,8 (через "\")</v>
      </c>
      <c r="AO1" s="739" t="str">
        <f>Таблица!AC1</f>
        <v xml:space="preserve">FB_IMstp_S, FB_IMsp_S, FB_IMs_S, FB_IMp_S, FB_IMv_S, FB_REG_S, FB_IM_ADES_S, FB_DO_S : IRCX
SW_S301, SW_MES3508: Подключение к порту 5
SW_MAYAK: Подключение к порту 9,10 (через "\")
</v>
      </c>
      <c r="AP1" s="739"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739"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739" t="str">
        <f>Таблица!AF1</f>
        <v xml:space="preserve">FB_IMstp_S, FB_IMsp_S, FB_IMs_S, FB_IMp_S, FB_IMv_S, FB_IM_ADES_S, FB_OZK_KD_S, FB_DO_S: OXOF
SW_S301, SW_MES3508: Подключение к порту 8
SW_MAYAK: Подключение к порту 15,16 (через "\")
</v>
      </c>
      <c r="AS1" s="739" t="str">
        <f>Таблица!AG1</f>
        <v xml:space="preserve">FB_IM_ADES_S, FB_IMp_S, FB_IMv_S: OXSP
FB_IMstp_S, FB_IMsp_S, FB_IMsp_MON_S: IPTC
SW_S301, SW_MES3508: Подключение к порту 9
SW_MAYAK: Подключение к порту 17,18 (через "\")
</v>
      </c>
      <c r="AT1" s="739" t="str">
        <f>Таблица!AH1</f>
        <v xml:space="preserve">FB_IMstp_S, FB_IMst_MON_S, FB_IMt_MON_S: ITON
FB_IM_ADES_S: IOLD
SW_S301, SW_MES3508: Подключение к порту 10
SW_MAYAK: Подключение к порту 19,20 (через "\")
</v>
      </c>
      <c r="AU1" s="739" t="str">
        <f>Таблица!AI1</f>
        <v>FB_IMstp_S, FB_IMst_MON_S, FB_IMt_MON_S: ITOF
FB_IM_ADES_S: IRAD
SW_MAYAK: Подключение к порту 21,22 (через "\")</v>
      </c>
      <c r="AV1" s="739" t="str">
        <f>Таблица!AJ1</f>
        <v xml:space="preserve">FB_IMstp_S, FB_IMsp_S, FB_IMsp_MON_S, FB_IM_ADES_S: IPTO
SW_MAYAK: Подключение к порту 23,24 (через "\")
</v>
      </c>
      <c r="AW1" s="715"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715" t="str">
        <f>Таблица!AL1</f>
        <v>Для TREI
FB_IMstp_S, FB_IMs_S, FB_IMp_S, FB_IMv_S, FB_IM_ADES_S: Настройка перехода ручной-/автоматический-(TRUE/FALSE) 
FB_DI_S: Генерировать метки времени (TRUE/FALSE)</v>
      </c>
      <c r="AY1" s="715"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715" t="str">
        <f>Таблица!AN1</f>
        <v>Для TREI
FB_AI_S, FB_QSA_S: Верхний предел датчика
FB_IMp_S, FB_IMv_S, FB_IM_ADES_S, FB_OZK_KD_S: Время перестановки</v>
      </c>
      <c r="BA1" s="715"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row>
    <row r="2" spans="1:53" ht="15" customHeight="1">
      <c r="A2" s="10"/>
      <c r="B2" s="10"/>
      <c r="C2" s="10"/>
      <c r="D2" s="10"/>
      <c r="E2" s="10"/>
      <c r="F2" s="10"/>
      <c r="P2" s="2"/>
      <c r="Q2" s="2" t="s">
        <v>2713</v>
      </c>
      <c r="R2" s="2" t="s">
        <v>2614</v>
      </c>
      <c r="S2" s="3">
        <v>3</v>
      </c>
      <c r="T2" s="3" t="s">
        <v>1699</v>
      </c>
      <c r="U2" s="3"/>
      <c r="V2" s="3" t="s">
        <v>569</v>
      </c>
      <c r="W2" s="3"/>
      <c r="X2" s="3"/>
      <c r="Y2" s="3"/>
      <c r="Z2" s="3">
        <v>5</v>
      </c>
      <c r="AA2" s="3"/>
      <c r="AB2" s="2"/>
      <c r="AC2" s="2" t="s">
        <v>307</v>
      </c>
      <c r="AD2" s="2"/>
      <c r="AE2" s="2" t="s">
        <v>1414</v>
      </c>
      <c r="AF2" s="2"/>
      <c r="AG2" s="2"/>
      <c r="AH2" s="2"/>
      <c r="AI2" s="2"/>
      <c r="AJ2" s="2"/>
      <c r="AK2" s="2"/>
      <c r="AL2" s="2"/>
      <c r="AM2" s="2"/>
      <c r="AN2" s="2"/>
      <c r="AO2" s="2"/>
      <c r="AP2" s="2"/>
      <c r="AQ2" s="2"/>
      <c r="AR2" s="2"/>
      <c r="AS2" s="2"/>
      <c r="AT2" s="2"/>
      <c r="AU2" s="2"/>
      <c r="AV2" s="2"/>
      <c r="AW2" s="2"/>
      <c r="AX2" s="2"/>
      <c r="AY2" s="2"/>
      <c r="AZ2" s="2"/>
      <c r="BA2" s="2"/>
    </row>
    <row r="3" spans="1:53" ht="15" customHeight="1">
      <c r="A3" s="10"/>
      <c r="B3" s="10"/>
      <c r="C3" s="10"/>
      <c r="D3" s="10"/>
      <c r="E3" s="10"/>
      <c r="F3" s="10"/>
      <c r="P3" s="10"/>
      <c r="Q3" s="10"/>
      <c r="R3" s="10"/>
      <c r="S3" s="10"/>
      <c r="T3" s="10"/>
      <c r="U3" s="10"/>
      <c r="V3" s="10"/>
      <c r="W3" s="10"/>
      <c r="X3" s="10"/>
      <c r="Y3" s="10"/>
      <c r="Z3" s="10"/>
      <c r="AA3" s="10"/>
    </row>
    <row r="4" spans="1:53" ht="15" customHeight="1">
      <c r="A4" s="10"/>
      <c r="B4" s="10"/>
      <c r="C4" s="10"/>
      <c r="D4" s="10"/>
      <c r="E4" s="10"/>
      <c r="F4" s="10"/>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row>
    <row r="5" spans="1:53" ht="15" customHeight="1">
      <c r="A5" s="10"/>
      <c r="B5" s="10"/>
      <c r="C5" s="10"/>
      <c r="D5" s="10"/>
      <c r="E5" s="10"/>
      <c r="F5" s="10"/>
      <c r="P5" s="703" t="str">
        <f>Настройки!A2</f>
        <v>Авария</v>
      </c>
      <c r="Q5" s="518">
        <f>Настройки!B2</f>
        <v>4</v>
      </c>
      <c r="R5" s="708" t="str">
        <f>Настройки!C2</f>
        <v>Авария</v>
      </c>
      <c r="S5" s="10"/>
      <c r="T5" s="456">
        <f>Настройки!M12</f>
        <v>1</v>
      </c>
      <c r="U5" s="10"/>
      <c r="V5" s="10"/>
      <c r="W5" s="10"/>
      <c r="X5" s="10"/>
      <c r="Y5" s="10"/>
      <c r="Z5" s="10"/>
      <c r="AA5" s="10"/>
    </row>
    <row r="6" spans="1:53" ht="15" customHeight="1">
      <c r="A6" s="10"/>
      <c r="B6" s="10"/>
      <c r="C6" s="10"/>
      <c r="D6" s="10"/>
      <c r="E6" s="10"/>
      <c r="F6" s="10"/>
      <c r="P6" s="703" t="str">
        <f>Настройки!A3</f>
        <v>Предупреждение</v>
      </c>
      <c r="Q6" s="518">
        <f>Настройки!B3</f>
        <v>8</v>
      </c>
      <c r="R6" s="708" t="str">
        <f>Настройки!C3</f>
        <v>Предупреждение</v>
      </c>
      <c r="S6" s="10"/>
      <c r="T6" s="608" t="str">
        <f>Настройки!M7</f>
        <v>Отображение Таблицы подлючений в диаг.</v>
      </c>
      <c r="U6" s="10"/>
      <c r="V6" s="10"/>
      <c r="W6" s="10"/>
      <c r="X6" s="10"/>
      <c r="Y6" s="10"/>
      <c r="Z6" s="10"/>
      <c r="AA6" s="10"/>
    </row>
    <row r="7" spans="1:53" ht="15" customHeight="1">
      <c r="A7" s="10"/>
      <c r="B7" s="10"/>
      <c r="C7" s="10"/>
      <c r="D7" s="10"/>
      <c r="E7" s="10"/>
      <c r="F7" s="10"/>
      <c r="P7" s="703" t="str">
        <f>Настройки!A4</f>
        <v>Неисправность</v>
      </c>
      <c r="Q7" s="518">
        <f>Настройки!B4</f>
        <v>12</v>
      </c>
      <c r="R7" s="708" t="str">
        <f>Настройки!C4</f>
        <v>Неисправность</v>
      </c>
      <c r="S7" s="10"/>
      <c r="T7" s="714" t="b">
        <f>Настройки!M8</f>
        <v>0</v>
      </c>
      <c r="U7" s="10"/>
      <c r="V7" s="10"/>
      <c r="W7" s="10"/>
      <c r="X7" s="10"/>
      <c r="Y7" s="10"/>
      <c r="Z7" s="10"/>
      <c r="AA7" s="10"/>
    </row>
    <row r="8" spans="1:53" ht="15" customHeight="1">
      <c r="A8" s="10"/>
      <c r="B8" s="10"/>
      <c r="C8" s="10"/>
      <c r="D8" s="10"/>
      <c r="E8" s="10"/>
      <c r="F8" s="10"/>
      <c r="P8" s="703" t="str">
        <f>Настройки!A5</f>
        <v>Телесигнализация</v>
      </c>
      <c r="Q8" s="518">
        <f>Настройки!B5</f>
        <v>18</v>
      </c>
      <c r="R8" s="708" t="str">
        <f>Настройки!C5</f>
        <v>Телесигнализация</v>
      </c>
      <c r="S8" s="10"/>
      <c r="T8" s="10"/>
      <c r="U8" s="10"/>
      <c r="V8" s="10"/>
      <c r="W8" s="10"/>
      <c r="X8" s="10"/>
      <c r="Y8" s="10"/>
      <c r="Z8" s="10"/>
      <c r="AA8" s="10"/>
    </row>
    <row r="9" spans="1:53" ht="15" customHeight="1">
      <c r="A9" s="10"/>
      <c r="B9" s="10"/>
      <c r="C9" s="10"/>
      <c r="D9" s="10"/>
      <c r="E9" s="10"/>
      <c r="F9" s="10"/>
      <c r="P9" s="703" t="str">
        <f>Настройки!A6</f>
        <v>Недостоверность</v>
      </c>
      <c r="Q9" s="518">
        <f>Настройки!B6</f>
        <v>10</v>
      </c>
      <c r="R9" s="708" t="str">
        <f>Настройки!C6</f>
        <v>Недостоверность</v>
      </c>
      <c r="S9" s="10"/>
      <c r="T9" s="10"/>
      <c r="U9" s="10"/>
      <c r="V9" s="10"/>
      <c r="W9" s="10"/>
      <c r="X9" s="10"/>
      <c r="Y9" s="10"/>
      <c r="Z9" s="10"/>
      <c r="AA9" s="10"/>
    </row>
    <row r="10" spans="1:53" ht="15" customHeight="1">
      <c r="A10" s="10"/>
      <c r="B10" s="10"/>
      <c r="C10" s="10"/>
      <c r="D10" s="10"/>
      <c r="E10" s="10"/>
      <c r="F10" s="10"/>
      <c r="P10" s="703" t="str">
        <f>Настройки!A7</f>
        <v>Имитация</v>
      </c>
      <c r="Q10" s="518">
        <f>Настройки!B7</f>
        <v>16</v>
      </c>
      <c r="R10" s="708" t="str">
        <f>Настройки!C7</f>
        <v>Имитация</v>
      </c>
      <c r="S10" s="10"/>
      <c r="T10" s="10"/>
      <c r="U10" s="10"/>
      <c r="V10" s="10"/>
      <c r="W10" s="10"/>
      <c r="X10" s="10"/>
      <c r="Y10" s="10"/>
      <c r="Z10" s="10"/>
      <c r="AA10" s="10"/>
    </row>
    <row r="11" spans="1:53" ht="15" customHeight="1">
      <c r="A11" s="10"/>
      <c r="B11" s="10"/>
      <c r="C11" s="10"/>
      <c r="D11" s="10"/>
      <c r="E11" s="10"/>
      <c r="F11" s="10"/>
      <c r="P11" s="703" t="str">
        <f>Настройки!A8</f>
        <v>Ремонт</v>
      </c>
      <c r="Q11" s="518">
        <f>Настройки!B8</f>
        <v>14</v>
      </c>
      <c r="R11" s="708" t="str">
        <f>Настройки!C8</f>
        <v>Ремонт</v>
      </c>
      <c r="S11" s="10"/>
      <c r="T11" s="10"/>
      <c r="U11" s="10"/>
      <c r="V11" s="10"/>
      <c r="W11" s="10"/>
      <c r="X11" s="10"/>
      <c r="Y11" s="10"/>
      <c r="Z11" s="10"/>
      <c r="AA11" s="10"/>
    </row>
    <row r="12" spans="1:53" ht="15" customHeight="1">
      <c r="A12" s="10"/>
      <c r="B12" s="10"/>
      <c r="C12" s="10"/>
      <c r="D12" s="10"/>
      <c r="E12" s="10"/>
      <c r="F12" s="10"/>
      <c r="P12" s="703" t="str">
        <f>Настройки!A9</f>
        <v>Команда оператора</v>
      </c>
      <c r="Q12" s="518">
        <f>Настройки!B9</f>
        <v>20</v>
      </c>
      <c r="R12" s="708" t="str">
        <f>Настройки!C9</f>
        <v>Команда оператора</v>
      </c>
      <c r="S12" s="10"/>
      <c r="T12" s="10"/>
      <c r="U12" s="10"/>
      <c r="V12" s="10"/>
      <c r="W12" s="10"/>
      <c r="X12" s="10"/>
      <c r="Y12" s="10"/>
      <c r="Z12" s="10"/>
      <c r="AA12" s="10"/>
    </row>
    <row r="13" spans="1:53" ht="15" customHeight="1">
      <c r="A13" s="10"/>
      <c r="B13" s="10"/>
      <c r="C13" s="10"/>
      <c r="D13" s="10"/>
      <c r="E13" s="10"/>
      <c r="F13" s="10"/>
      <c r="P13" s="703" t="str">
        <f>Настройки!A10</f>
        <v>Тревога</v>
      </c>
      <c r="Q13" s="518">
        <f>Настройки!B10</f>
        <v>5</v>
      </c>
      <c r="R13" s="518" t="str">
        <f>Настройки!C10</f>
        <v>Тревога</v>
      </c>
      <c r="S13" s="10"/>
      <c r="T13" s="10"/>
      <c r="U13" s="10"/>
      <c r="V13" s="10"/>
      <c r="W13" s="10"/>
      <c r="X13" s="10"/>
      <c r="Y13" s="10"/>
      <c r="Z13" s="10"/>
      <c r="AA13" s="10"/>
    </row>
    <row r="14" spans="1:53" ht="15" customHeight="1">
      <c r="A14" s="10"/>
      <c r="B14" s="10"/>
      <c r="C14" s="10"/>
      <c r="D14" s="10"/>
      <c r="E14" s="10"/>
      <c r="F14" s="10"/>
      <c r="P14" s="703" t="str">
        <f>Настройки!A11</f>
        <v>Тушение</v>
      </c>
      <c r="Q14" s="518">
        <f>Настройки!B11</f>
        <v>1</v>
      </c>
      <c r="R14" s="518" t="str">
        <f>Настройки!C11</f>
        <v>Тушение</v>
      </c>
      <c r="S14" s="10"/>
      <c r="T14" s="10"/>
      <c r="U14" s="10"/>
      <c r="V14" s="10"/>
      <c r="W14" s="10"/>
      <c r="X14" s="10"/>
      <c r="Y14" s="10"/>
      <c r="Z14" s="10"/>
      <c r="AA14" s="10"/>
    </row>
    <row r="15" spans="1:53" ht="15" customHeight="1">
      <c r="A15" s="10"/>
      <c r="B15" s="10"/>
      <c r="C15" s="10"/>
      <c r="D15" s="10"/>
      <c r="E15" s="10"/>
      <c r="F15" s="10"/>
      <c r="P15" s="703" t="str">
        <f>Настройки!A12</f>
        <v>Пожар</v>
      </c>
      <c r="Q15" s="518">
        <f>Настройки!B12</f>
        <v>2</v>
      </c>
      <c r="R15" s="518" t="str">
        <f>Настройки!C12</f>
        <v>Пожар</v>
      </c>
      <c r="S15" s="10"/>
      <c r="T15" s="10"/>
      <c r="U15" s="10"/>
      <c r="V15" s="10"/>
      <c r="W15" s="10"/>
      <c r="X15" s="10"/>
      <c r="Y15" s="10"/>
      <c r="Z15" s="10"/>
      <c r="AA15" s="10"/>
    </row>
    <row r="16" spans="1:53" ht="15" customHeight="1">
      <c r="A16" s="10"/>
      <c r="B16" s="10"/>
      <c r="C16" s="10"/>
      <c r="D16" s="10"/>
      <c r="E16" s="10"/>
      <c r="F16" s="10"/>
      <c r="P16" s="703" t="str">
        <f>Настройки!A13</f>
        <v>Порог 2</v>
      </c>
      <c r="Q16" s="518">
        <f>Настройки!B13</f>
        <v>3</v>
      </c>
      <c r="R16" s="518" t="str">
        <f>Настройки!C13</f>
        <v>Порог 2</v>
      </c>
      <c r="S16" s="10"/>
      <c r="T16" s="10"/>
      <c r="U16" s="10"/>
      <c r="V16" s="10"/>
      <c r="W16" s="10"/>
      <c r="X16" s="10"/>
      <c r="Y16" s="10"/>
      <c r="Z16" s="10"/>
      <c r="AA16" s="10"/>
    </row>
    <row r="17" spans="1:27" ht="15" customHeight="1">
      <c r="A17" s="10"/>
      <c r="B17" s="10"/>
      <c r="C17" s="10"/>
      <c r="D17" s="10"/>
      <c r="E17" s="10"/>
      <c r="F17" s="10"/>
      <c r="P17" s="703" t="str">
        <f>Настройки!A14</f>
        <v>Порог 1</v>
      </c>
      <c r="Q17" s="518">
        <f>Настройки!B14</f>
        <v>6</v>
      </c>
      <c r="R17" s="518" t="str">
        <f>Настройки!C14</f>
        <v>Порог 1</v>
      </c>
      <c r="S17" s="10"/>
      <c r="T17" s="10"/>
      <c r="U17" s="10"/>
      <c r="V17" s="10"/>
      <c r="W17" s="10"/>
      <c r="X17" s="10"/>
      <c r="Y17" s="10"/>
      <c r="Z17" s="10"/>
      <c r="AA17" s="10"/>
    </row>
    <row r="18" spans="1:27" ht="15" customHeight="1">
      <c r="A18" s="10"/>
      <c r="B18" s="10"/>
      <c r="C18" s="10"/>
      <c r="D18" s="10"/>
      <c r="E18" s="10"/>
      <c r="F18" s="10"/>
      <c r="P18" s="703" t="str">
        <f>Настройки!A15</f>
        <v>Отключение</v>
      </c>
      <c r="Q18" s="518">
        <f>Настройки!B15</f>
        <v>13</v>
      </c>
      <c r="R18" s="518" t="str">
        <f>Настройки!C15</f>
        <v>Отключение</v>
      </c>
      <c r="S18" s="10"/>
      <c r="T18" s="10"/>
      <c r="U18" s="10"/>
      <c r="V18" s="10"/>
      <c r="W18" s="10"/>
      <c r="X18" s="10"/>
      <c r="Y18" s="10"/>
      <c r="Z18" s="10"/>
      <c r="AA18" s="10"/>
    </row>
    <row r="19" spans="1:27" ht="15" customHeight="1">
      <c r="A19" s="10"/>
      <c r="B19" s="10"/>
      <c r="C19" s="10"/>
      <c r="D19" s="10"/>
      <c r="E19" s="10"/>
      <c r="F19" s="10"/>
      <c r="P19" s="703" t="str">
        <f>Настройки!A16</f>
        <v>Информация</v>
      </c>
      <c r="Q19" s="518">
        <f>Настройки!B16</f>
        <v>22</v>
      </c>
      <c r="R19" s="518" t="str">
        <f>Настройки!C16</f>
        <v>Информация</v>
      </c>
      <c r="S19" s="10"/>
      <c r="T19" s="10"/>
      <c r="U19" s="10"/>
      <c r="V19" s="10"/>
      <c r="W19" s="10"/>
      <c r="X19" s="10"/>
      <c r="Y19" s="10"/>
      <c r="Z19" s="10"/>
      <c r="AA19" s="10"/>
    </row>
    <row r="20" spans="1:27" ht="15" customHeight="1">
      <c r="A20" s="23" t="str">
        <f t="shared" ref="A20:A37" si="0">$R$2</f>
        <v>АСУЭ.IM_ADES</v>
      </c>
      <c r="B20" s="24">
        <v>11001</v>
      </c>
      <c r="C20" s="24" t="s">
        <v>0</v>
      </c>
      <c r="D20" s="25" t="str">
        <f>$Q$2&amp;". "</f>
        <v xml:space="preserve">АДЭС (шаблон по OPC). </v>
      </c>
    </row>
    <row r="21" spans="1:27" ht="15" customHeight="1">
      <c r="A21" s="29" t="str">
        <f t="shared" si="0"/>
        <v>АСУЭ.IM_ADES</v>
      </c>
      <c r="B21">
        <v>11156</v>
      </c>
      <c r="C21" t="s">
        <v>0</v>
      </c>
      <c r="D21" s="30" t="str">
        <f>$V$2</f>
        <v>Тестовый экран</v>
      </c>
    </row>
    <row r="22" spans="1:27" ht="15" customHeight="1">
      <c r="A22" s="29" t="str">
        <f t="shared" si="0"/>
        <v>АСУЭ.IM_ADES</v>
      </c>
      <c r="B22">
        <v>1</v>
      </c>
      <c r="C22" t="s">
        <v>1</v>
      </c>
      <c r="D22" s="30">
        <v>17</v>
      </c>
    </row>
    <row r="23" spans="1:27">
      <c r="A23" s="29" t="str">
        <f>$R$2</f>
        <v>АСУЭ.IM_ADES</v>
      </c>
      <c r="B23" s="1">
        <v>7011</v>
      </c>
      <c r="C23" s="1" t="s">
        <v>2</v>
      </c>
      <c r="D23" s="30" t="s">
        <v>266</v>
      </c>
    </row>
    <row r="24" spans="1:27" ht="15" customHeight="1">
      <c r="A24" s="449" t="str">
        <f t="shared" si="0"/>
        <v>АСУЭ.IM_ADES</v>
      </c>
      <c r="B24" s="551">
        <v>11128</v>
      </c>
      <c r="C24" s="551" t="s">
        <v>0</v>
      </c>
      <c r="D24" s="552" t="str">
        <f>$AC$2</f>
        <v>Синий</v>
      </c>
    </row>
    <row r="25" spans="1:27" ht="15" customHeight="1">
      <c r="A25" s="23" t="str">
        <f t="shared" si="0"/>
        <v>АСУЭ.IM_ADES</v>
      </c>
      <c r="B25" s="24">
        <v>13</v>
      </c>
      <c r="C25" s="24" t="s">
        <v>2</v>
      </c>
      <c r="D25" s="25" t="s">
        <v>3</v>
      </c>
      <c r="Q25" s="778" t="s">
        <v>2592</v>
      </c>
    </row>
    <row r="26" spans="1:27" ht="15" customHeight="1">
      <c r="A26" s="29" t="str">
        <f t="shared" si="0"/>
        <v>АСУЭ.IM_ADES</v>
      </c>
      <c r="B26">
        <v>3000013</v>
      </c>
      <c r="C26" t="s">
        <v>0</v>
      </c>
      <c r="D26" s="30" t="str">
        <f>$AE$2</f>
        <v>Диагностика.CPU.NOT_LINK.noLink</v>
      </c>
      <c r="Q26" s="780"/>
    </row>
    <row r="27" spans="1:27" ht="15" customHeight="1">
      <c r="A27" s="29" t="str">
        <f t="shared" si="0"/>
        <v>АСУЭ.IM_ADES</v>
      </c>
      <c r="B27">
        <v>4000013</v>
      </c>
      <c r="C27" t="s">
        <v>0</v>
      </c>
      <c r="D27" s="30" t="s">
        <v>1775</v>
      </c>
      <c r="Q27" s="780"/>
    </row>
    <row r="28" spans="1:27" ht="15" customHeight="1">
      <c r="A28" s="26" t="str">
        <f t="shared" si="0"/>
        <v>АСУЭ.IM_ADES</v>
      </c>
      <c r="B28" s="27">
        <v>7000013</v>
      </c>
      <c r="C28" s="27" t="s">
        <v>6</v>
      </c>
      <c r="D28" s="28">
        <v>2</v>
      </c>
      <c r="Q28" s="779"/>
    </row>
    <row r="29" spans="1:27" ht="15" customHeight="1">
      <c r="A29" s="29" t="str">
        <f t="shared" si="0"/>
        <v>АСУЭ.IM_ADES</v>
      </c>
      <c r="B29">
        <v>9207</v>
      </c>
      <c r="C29" t="s">
        <v>2</v>
      </c>
      <c r="D29" s="30" t="s">
        <v>3</v>
      </c>
      <c r="Q29" s="778" t="s">
        <v>139</v>
      </c>
    </row>
    <row r="30" spans="1:27">
      <c r="A30" s="27" t="str">
        <f t="shared" si="0"/>
        <v>АСУЭ.IM_ADES</v>
      </c>
      <c r="B30" s="27">
        <v>3009207</v>
      </c>
      <c r="C30" s="27" t="s">
        <v>0</v>
      </c>
      <c r="D30" s="28" t="s">
        <v>2591</v>
      </c>
      <c r="Q30" s="779"/>
    </row>
    <row r="31" spans="1:27">
      <c r="A31" s="266" t="str">
        <f t="shared" si="0"/>
        <v>АСУЭ.IM_ADES</v>
      </c>
      <c r="B31" s="267">
        <v>9201</v>
      </c>
      <c r="C31" s="267" t="s">
        <v>2583</v>
      </c>
      <c r="D31" s="268">
        <v>0</v>
      </c>
      <c r="Q31" s="778" t="s">
        <v>2590</v>
      </c>
    </row>
    <row r="32" spans="1:27" ht="15" customHeight="1">
      <c r="A32" s="269" t="str">
        <f t="shared" si="0"/>
        <v>АСУЭ.IM_ADES</v>
      </c>
      <c r="B32" s="700">
        <v>4009201</v>
      </c>
      <c r="C32" s="700" t="s">
        <v>0</v>
      </c>
      <c r="D32" s="271" t="s">
        <v>2589</v>
      </c>
      <c r="Q32" s="780"/>
    </row>
    <row r="33" spans="1:18" ht="15" customHeight="1">
      <c r="A33" s="272" t="str">
        <f t="shared" si="0"/>
        <v>АСУЭ.IM_ADES</v>
      </c>
      <c r="B33" s="273">
        <v>7009201</v>
      </c>
      <c r="C33" s="273" t="s">
        <v>6</v>
      </c>
      <c r="D33" s="274">
        <v>1</v>
      </c>
      <c r="Q33" s="779"/>
    </row>
    <row r="34" spans="1:18" ht="15" customHeight="1">
      <c r="A34" s="269" t="str">
        <f t="shared" si="0"/>
        <v>АСУЭ.IM_ADES</v>
      </c>
      <c r="B34" s="700">
        <v>9202</v>
      </c>
      <c r="C34" s="700" t="s">
        <v>2583</v>
      </c>
      <c r="D34" s="271">
        <v>0</v>
      </c>
      <c r="Q34" s="778" t="s">
        <v>2588</v>
      </c>
    </row>
    <row r="35" spans="1:18">
      <c r="A35" s="269" t="str">
        <f t="shared" si="0"/>
        <v>АСУЭ.IM_ADES</v>
      </c>
      <c r="B35" s="700">
        <v>4009202</v>
      </c>
      <c r="C35" s="700" t="s">
        <v>0</v>
      </c>
      <c r="D35" s="271" t="s">
        <v>2587</v>
      </c>
      <c r="Q35" s="780"/>
    </row>
    <row r="36" spans="1:18">
      <c r="A36" s="269" t="str">
        <f t="shared" si="0"/>
        <v>АСУЭ.IM_ADES</v>
      </c>
      <c r="B36" s="700">
        <v>7009202</v>
      </c>
      <c r="C36" s="700" t="s">
        <v>6</v>
      </c>
      <c r="D36" s="271">
        <v>1</v>
      </c>
      <c r="Q36" s="779"/>
    </row>
    <row r="37" spans="1:18" ht="15" customHeight="1">
      <c r="A37" s="712" t="str">
        <f t="shared" si="0"/>
        <v>АСУЭ.IM_ADES</v>
      </c>
      <c r="B37" s="711">
        <v>9203</v>
      </c>
      <c r="C37" s="711" t="s">
        <v>6</v>
      </c>
      <c r="D37" s="710">
        <v>0</v>
      </c>
      <c r="Q37" s="537" t="s">
        <v>2586</v>
      </c>
    </row>
    <row r="38" spans="1:18" ht="15" customHeight="1">
      <c r="A38" t="str">
        <f t="shared" ref="A38:A47" si="1">$R$2&amp;".Commands"</f>
        <v>АСУЭ.IM_ADES.Commands</v>
      </c>
      <c r="B38">
        <v>1</v>
      </c>
      <c r="C38" t="s">
        <v>1</v>
      </c>
      <c r="D38" s="30">
        <v>17</v>
      </c>
    </row>
    <row r="39" spans="1:18">
      <c r="A39" s="29" t="str">
        <f t="shared" si="1"/>
        <v>АСУЭ.IM_ADES.Commands</v>
      </c>
      <c r="B39" s="1">
        <v>7011</v>
      </c>
      <c r="C39" s="1" t="s">
        <v>2</v>
      </c>
      <c r="D39" s="30" t="s">
        <v>266</v>
      </c>
    </row>
    <row r="40" spans="1:18">
      <c r="A40" s="23" t="str">
        <f t="shared" si="1"/>
        <v>АСУЭ.IM_ADES.Commands</v>
      </c>
      <c r="B40" s="24">
        <v>9208</v>
      </c>
      <c r="C40" s="24" t="s">
        <v>2</v>
      </c>
      <c r="D40" s="25" t="s">
        <v>175</v>
      </c>
      <c r="Q40" s="778" t="s">
        <v>114</v>
      </c>
    </row>
    <row r="41" spans="1:18">
      <c r="A41" s="29" t="str">
        <f t="shared" si="1"/>
        <v>АСУЭ.IM_ADES.Commands</v>
      </c>
      <c r="B41">
        <v>4009208</v>
      </c>
      <c r="C41" t="s">
        <v>0</v>
      </c>
      <c r="D41" s="415" t="s">
        <v>2585</v>
      </c>
      <c r="Q41" s="780"/>
    </row>
    <row r="42" spans="1:18">
      <c r="A42" s="29" t="str">
        <f t="shared" si="1"/>
        <v>АСУЭ.IM_ADES.Commands</v>
      </c>
      <c r="B42">
        <v>7009208</v>
      </c>
      <c r="C42" t="s">
        <v>6</v>
      </c>
      <c r="D42" s="30">
        <v>1</v>
      </c>
      <c r="Q42" s="779"/>
    </row>
    <row r="43" spans="1:18">
      <c r="A43" s="23" t="str">
        <f t="shared" si="1"/>
        <v>АСУЭ.IM_ADES.Commands</v>
      </c>
      <c r="B43" s="24">
        <v>9209</v>
      </c>
      <c r="C43" s="24" t="s">
        <v>2</v>
      </c>
      <c r="D43" s="25" t="s">
        <v>175</v>
      </c>
      <c r="Q43" s="778" t="s">
        <v>116</v>
      </c>
    </row>
    <row r="44" spans="1:18" ht="16.5" customHeight="1">
      <c r="A44" s="29" t="str">
        <f t="shared" si="1"/>
        <v>АСУЭ.IM_ADES.Commands</v>
      </c>
      <c r="B44">
        <v>4009209</v>
      </c>
      <c r="C44" t="s">
        <v>0</v>
      </c>
      <c r="D44" s="713" t="s">
        <v>2584</v>
      </c>
      <c r="Q44" s="780"/>
      <c r="R44" s="713"/>
    </row>
    <row r="45" spans="1:18">
      <c r="A45" s="29" t="str">
        <f t="shared" si="1"/>
        <v>АСУЭ.IM_ADES.Commands</v>
      </c>
      <c r="B45">
        <v>7009209</v>
      </c>
      <c r="C45" t="s">
        <v>6</v>
      </c>
      <c r="D45" s="30">
        <v>1</v>
      </c>
      <c r="Q45" s="779"/>
    </row>
    <row r="46" spans="1:18">
      <c r="A46" s="712" t="str">
        <f t="shared" si="1"/>
        <v>АСУЭ.IM_ADES.Commands</v>
      </c>
      <c r="B46" s="711">
        <v>9210</v>
      </c>
      <c r="C46" s="711" t="s">
        <v>6</v>
      </c>
      <c r="D46" s="710">
        <v>0</v>
      </c>
      <c r="Q46" s="537" t="s">
        <v>192</v>
      </c>
    </row>
    <row r="47" spans="1:18" ht="15" customHeight="1">
      <c r="A47" s="269" t="str">
        <f t="shared" si="1"/>
        <v>АСУЭ.IM_ADES.Commands</v>
      </c>
      <c r="B47" s="700">
        <v>9213</v>
      </c>
      <c r="C47" s="700" t="s">
        <v>2583</v>
      </c>
      <c r="D47" s="271">
        <f>$Z$2</f>
        <v>5</v>
      </c>
      <c r="Q47" s="537" t="s">
        <v>128</v>
      </c>
    </row>
    <row r="48" spans="1:18" ht="15" customHeight="1">
      <c r="A48" s="69" t="str">
        <f t="shared" ref="A48:A59" si="2">$R$2&amp;".wLoc"</f>
        <v>АСУЭ.IM_ADES.wLoc</v>
      </c>
      <c r="B48" s="70">
        <v>11154</v>
      </c>
      <c r="C48" s="70" t="s">
        <v>4</v>
      </c>
      <c r="D48" s="144">
        <f>$Q$6</f>
        <v>8</v>
      </c>
    </row>
    <row r="49" spans="1:4" ht="15" customHeight="1">
      <c r="A49" s="63" t="str">
        <f t="shared" si="2"/>
        <v>АСУЭ.IM_ADES.wLoc</v>
      </c>
      <c r="B49" s="52">
        <v>11150</v>
      </c>
      <c r="C49" s="52" t="s">
        <v>0</v>
      </c>
      <c r="D49" s="65" t="s">
        <v>188</v>
      </c>
    </row>
    <row r="50" spans="1:4" ht="15" customHeight="1">
      <c r="A50" s="63" t="str">
        <f t="shared" si="2"/>
        <v>АСУЭ.IM_ADES.wLoc</v>
      </c>
      <c r="B50" s="52">
        <v>11152</v>
      </c>
      <c r="C50" s="52" t="s">
        <v>0</v>
      </c>
      <c r="D50" s="65" t="str">
        <f>$R$6</f>
        <v>Предупреждение</v>
      </c>
    </row>
    <row r="51" spans="1:4" ht="15" customHeight="1">
      <c r="A51" s="63" t="str">
        <f t="shared" si="2"/>
        <v>АСУЭ.IM_ADES.wLoc</v>
      </c>
      <c r="B51" s="52">
        <v>11000</v>
      </c>
      <c r="C51" s="52" t="s">
        <v>5</v>
      </c>
      <c r="D51" s="65">
        <v>2147483680</v>
      </c>
    </row>
    <row r="52" spans="1:4" ht="15" customHeight="1">
      <c r="A52" s="29" t="str">
        <f t="shared" si="2"/>
        <v>АСУЭ.IM_ADES.wLoc</v>
      </c>
      <c r="B52">
        <v>7999</v>
      </c>
      <c r="C52" t="s">
        <v>0</v>
      </c>
      <c r="D52" s="30" t="str">
        <f>"#"&amp;$S$2&amp;"#"&amp;$T$2&amp;"\"&amp;$P$2&amp;"\wLoc"</f>
        <v>#3#\\Setup_rza\Modbus.OPCServer\ZRU_Sepam\\wLoc</v>
      </c>
    </row>
    <row r="53" spans="1:4" ht="15" customHeight="1">
      <c r="A53" s="29" t="str">
        <f t="shared" si="2"/>
        <v>АСУЭ.IM_ADES.wLoc</v>
      </c>
      <c r="B53">
        <v>7998</v>
      </c>
      <c r="C53" t="s">
        <v>6</v>
      </c>
      <c r="D53" s="30">
        <v>1</v>
      </c>
    </row>
    <row r="54" spans="1:4" ht="15" customHeight="1">
      <c r="A54" s="29" t="str">
        <f t="shared" si="2"/>
        <v>АСУЭ.IM_ADES.wLoc</v>
      </c>
      <c r="B54">
        <v>101</v>
      </c>
      <c r="C54" t="s">
        <v>0</v>
      </c>
      <c r="D54" s="30" t="s">
        <v>236</v>
      </c>
    </row>
    <row r="55" spans="1:4" ht="15" customHeight="1">
      <c r="A55" s="29" t="str">
        <f t="shared" si="2"/>
        <v>АСУЭ.IM_ADES.wLoc</v>
      </c>
      <c r="B55">
        <v>3</v>
      </c>
      <c r="C55" t="s">
        <v>1</v>
      </c>
      <c r="D55" s="30">
        <v>192</v>
      </c>
    </row>
    <row r="56" spans="1:4" ht="15" customHeight="1">
      <c r="A56" s="29" t="str">
        <f t="shared" si="2"/>
        <v>АСУЭ.IM_ADES.wLoc</v>
      </c>
      <c r="B56">
        <v>2</v>
      </c>
      <c r="C56" t="s">
        <v>2</v>
      </c>
      <c r="D56" s="30" t="s">
        <v>3</v>
      </c>
    </row>
    <row r="57" spans="1:4" ht="15" customHeight="1">
      <c r="A57" s="29" t="str">
        <f t="shared" si="2"/>
        <v>АСУЭ.IM_ADES.wLoc</v>
      </c>
      <c r="B57">
        <v>1</v>
      </c>
      <c r="C57" t="s">
        <v>1</v>
      </c>
      <c r="D57" s="30">
        <v>11</v>
      </c>
    </row>
    <row r="58" spans="1:4">
      <c r="A58" s="29" t="str">
        <f t="shared" si="2"/>
        <v>АСУЭ.IM_ADES.wLoc</v>
      </c>
      <c r="B58">
        <v>7000000</v>
      </c>
      <c r="C58" t="s">
        <v>6</v>
      </c>
      <c r="D58" s="30">
        <v>1</v>
      </c>
    </row>
    <row r="59" spans="1:4" ht="43.2">
      <c r="A59" s="26" t="str">
        <f t="shared" si="2"/>
        <v>АСУЭ.IM_ADES.wLoc</v>
      </c>
      <c r="B59" s="27">
        <v>4000000</v>
      </c>
      <c r="C59" s="27" t="s">
        <v>0</v>
      </c>
      <c r="D59" s="701" t="s">
        <v>2327</v>
      </c>
    </row>
    <row r="60" spans="1:4" ht="15" customHeight="1">
      <c r="A60" s="69" t="str">
        <f t="shared" ref="A60:A68" si="3">$R$2&amp;".wCntLimit"</f>
        <v>АСУЭ.IM_ADES.wCntLimit</v>
      </c>
      <c r="B60" s="70">
        <v>11154</v>
      </c>
      <c r="C60" s="70" t="s">
        <v>4</v>
      </c>
      <c r="D60" s="144">
        <f>$Q$6</f>
        <v>8</v>
      </c>
    </row>
    <row r="61" spans="1:4" ht="15" customHeight="1">
      <c r="A61" s="63" t="str">
        <f t="shared" si="3"/>
        <v>АСУЭ.IM_ADES.wCntLimit</v>
      </c>
      <c r="B61" s="52">
        <v>11150</v>
      </c>
      <c r="C61" s="52" t="s">
        <v>0</v>
      </c>
      <c r="D61" s="65" t="s">
        <v>158</v>
      </c>
    </row>
    <row r="62" spans="1:4" ht="15" customHeight="1">
      <c r="A62" s="63" t="str">
        <f t="shared" si="3"/>
        <v>АСУЭ.IM_ADES.wCntLimit</v>
      </c>
      <c r="B62" s="52">
        <v>11152</v>
      </c>
      <c r="C62" s="52" t="s">
        <v>0</v>
      </c>
      <c r="D62" s="65" t="str">
        <f>$R$6</f>
        <v>Предупреждение</v>
      </c>
    </row>
    <row r="63" spans="1:4" ht="15" customHeight="1">
      <c r="A63" s="63" t="str">
        <f t="shared" si="3"/>
        <v>АСУЭ.IM_ADES.wCntLimit</v>
      </c>
      <c r="B63" s="52">
        <v>11000</v>
      </c>
      <c r="C63" s="52" t="s">
        <v>5</v>
      </c>
      <c r="D63" s="65">
        <v>2147483680</v>
      </c>
    </row>
    <row r="64" spans="1:4" ht="15" customHeight="1">
      <c r="A64" s="29" t="str">
        <f t="shared" si="3"/>
        <v>АСУЭ.IM_ADES.wCntLimit</v>
      </c>
      <c r="B64">
        <v>101</v>
      </c>
      <c r="C64" t="s">
        <v>0</v>
      </c>
      <c r="D64" s="30" t="s">
        <v>158</v>
      </c>
    </row>
    <row r="65" spans="1:4" ht="15" customHeight="1">
      <c r="A65" s="29" t="str">
        <f t="shared" si="3"/>
        <v>АСУЭ.IM_ADES.wCntLimit</v>
      </c>
      <c r="B65">
        <v>3</v>
      </c>
      <c r="C65" t="s">
        <v>1</v>
      </c>
      <c r="D65" s="30">
        <v>192</v>
      </c>
    </row>
    <row r="66" spans="1:4" ht="15" customHeight="1">
      <c r="A66" s="29" t="str">
        <f t="shared" si="3"/>
        <v>АСУЭ.IM_ADES.wCntLimit</v>
      </c>
      <c r="B66">
        <v>2</v>
      </c>
      <c r="C66" t="s">
        <v>2</v>
      </c>
      <c r="D66" s="30" t="s">
        <v>3</v>
      </c>
    </row>
    <row r="67" spans="1:4" ht="15" customHeight="1">
      <c r="A67" t="str">
        <f t="shared" si="3"/>
        <v>АСУЭ.IM_ADES.wCntLimit</v>
      </c>
      <c r="B67">
        <v>1</v>
      </c>
      <c r="C67" t="s">
        <v>1</v>
      </c>
      <c r="D67" s="30">
        <v>11</v>
      </c>
    </row>
    <row r="68" spans="1:4">
      <c r="A68" s="29" t="str">
        <f t="shared" si="3"/>
        <v>АСУЭ.IM_ADES.wCntLimit</v>
      </c>
      <c r="B68" s="27">
        <v>3000000</v>
      </c>
      <c r="C68" s="27" t="s">
        <v>0</v>
      </c>
      <c r="D68" s="28" t="s">
        <v>2328</v>
      </c>
    </row>
    <row r="69" spans="1:4" ht="15" customHeight="1">
      <c r="A69" s="217" t="str">
        <f t="shared" ref="A69:A78" si="4">$R$2&amp;".fFault"</f>
        <v>АСУЭ.IM_ADES.fFault</v>
      </c>
      <c r="B69" s="218">
        <v>11154</v>
      </c>
      <c r="C69" s="218" t="s">
        <v>4</v>
      </c>
      <c r="D69" s="219">
        <f>$Q$7</f>
        <v>12</v>
      </c>
    </row>
    <row r="70" spans="1:4" ht="15" customHeight="1">
      <c r="A70" s="211" t="str">
        <f t="shared" si="4"/>
        <v>АСУЭ.IM_ADES.fFault</v>
      </c>
      <c r="B70" s="677">
        <v>11150</v>
      </c>
      <c r="C70" s="677" t="s">
        <v>0</v>
      </c>
      <c r="D70" s="213" t="s">
        <v>110</v>
      </c>
    </row>
    <row r="71" spans="1:4" ht="15" customHeight="1">
      <c r="A71" s="211" t="str">
        <f t="shared" si="4"/>
        <v>АСУЭ.IM_ADES.fFault</v>
      </c>
      <c r="B71" s="677">
        <v>11152</v>
      </c>
      <c r="C71" s="677" t="s">
        <v>0</v>
      </c>
      <c r="D71" s="213" t="str">
        <f>$R$7</f>
        <v>Неисправность</v>
      </c>
    </row>
    <row r="72" spans="1:4" ht="15" customHeight="1">
      <c r="A72" s="211" t="str">
        <f t="shared" si="4"/>
        <v>АСУЭ.IM_ADES.fFault</v>
      </c>
      <c r="B72" s="677">
        <v>11000</v>
      </c>
      <c r="C72" s="677" t="s">
        <v>5</v>
      </c>
      <c r="D72" s="213">
        <v>2147483680</v>
      </c>
    </row>
    <row r="73" spans="1:4" ht="15" customHeight="1">
      <c r="A73" s="29" t="str">
        <f t="shared" si="4"/>
        <v>АСУЭ.IM_ADES.fFault</v>
      </c>
      <c r="B73">
        <v>7999</v>
      </c>
      <c r="C73" t="s">
        <v>0</v>
      </c>
      <c r="D73" s="30" t="str">
        <f>"#"&amp;$S$2&amp;"#"&amp;$T$2&amp;"\"&amp;$P$2&amp;"\wLoc"</f>
        <v>#3#\\Setup_rza\Modbus.OPCServer\ZRU_Sepam\\wLoc</v>
      </c>
    </row>
    <row r="74" spans="1:4" ht="15" customHeight="1">
      <c r="A74" s="29" t="str">
        <f t="shared" si="4"/>
        <v>АСУЭ.IM_ADES.fFault</v>
      </c>
      <c r="B74">
        <v>7998</v>
      </c>
      <c r="C74" t="s">
        <v>6</v>
      </c>
      <c r="D74" s="30">
        <v>1</v>
      </c>
    </row>
    <row r="75" spans="1:4" ht="15" customHeight="1">
      <c r="A75" s="29" t="str">
        <f t="shared" si="4"/>
        <v>АСУЭ.IM_ADES.fFault</v>
      </c>
      <c r="B75">
        <v>101</v>
      </c>
      <c r="C75" t="s">
        <v>0</v>
      </c>
      <c r="D75" s="30" t="s">
        <v>176</v>
      </c>
    </row>
    <row r="76" spans="1:4" ht="15" customHeight="1">
      <c r="A76" s="29" t="str">
        <f t="shared" si="4"/>
        <v>АСУЭ.IM_ADES.fFault</v>
      </c>
      <c r="B76">
        <v>3</v>
      </c>
      <c r="C76" t="s">
        <v>1</v>
      </c>
      <c r="D76" s="30">
        <v>192</v>
      </c>
    </row>
    <row r="77" spans="1:4" ht="15" customHeight="1">
      <c r="A77" s="29" t="str">
        <f t="shared" si="4"/>
        <v>АСУЭ.IM_ADES.fFault</v>
      </c>
      <c r="B77">
        <v>2</v>
      </c>
      <c r="C77" t="s">
        <v>2</v>
      </c>
      <c r="D77" s="30" t="s">
        <v>3</v>
      </c>
    </row>
    <row r="78" spans="1:4" ht="15" customHeight="1">
      <c r="A78" s="26" t="str">
        <f t="shared" si="4"/>
        <v>АСУЭ.IM_ADES.fFault</v>
      </c>
      <c r="B78" s="27">
        <v>1</v>
      </c>
      <c r="C78" s="27" t="s">
        <v>1</v>
      </c>
      <c r="D78" s="28">
        <v>11</v>
      </c>
    </row>
    <row r="79" spans="1:4" ht="15" customHeight="1">
      <c r="A79" s="217" t="str">
        <f t="shared" ref="A79:A88" si="5">$R$2&amp;".fOverload"</f>
        <v>АСУЭ.IM_ADES.fOverload</v>
      </c>
      <c r="B79" s="218">
        <v>11154</v>
      </c>
      <c r="C79" s="218" t="s">
        <v>4</v>
      </c>
      <c r="D79" s="219">
        <f>$Q$7</f>
        <v>12</v>
      </c>
    </row>
    <row r="80" spans="1:4" ht="15" customHeight="1">
      <c r="A80" s="211" t="str">
        <f t="shared" si="5"/>
        <v>АСУЭ.IM_ADES.fOverload</v>
      </c>
      <c r="B80" s="677">
        <v>11150</v>
      </c>
      <c r="C80" s="677" t="s">
        <v>0</v>
      </c>
      <c r="D80" s="213" t="s">
        <v>509</v>
      </c>
    </row>
    <row r="81" spans="1:4" ht="15" customHeight="1">
      <c r="A81" s="211" t="str">
        <f t="shared" si="5"/>
        <v>АСУЭ.IM_ADES.fOverload</v>
      </c>
      <c r="B81" s="677">
        <v>11152</v>
      </c>
      <c r="C81" s="677" t="s">
        <v>0</v>
      </c>
      <c r="D81" s="213" t="str">
        <f>$R$7</f>
        <v>Неисправность</v>
      </c>
    </row>
    <row r="82" spans="1:4" ht="15" customHeight="1">
      <c r="A82" s="211" t="str">
        <f t="shared" si="5"/>
        <v>АСУЭ.IM_ADES.fOverload</v>
      </c>
      <c r="B82" s="677">
        <v>11000</v>
      </c>
      <c r="C82" s="677" t="s">
        <v>5</v>
      </c>
      <c r="D82" s="213">
        <v>2147483680</v>
      </c>
    </row>
    <row r="83" spans="1:4" ht="15" customHeight="1">
      <c r="A83" s="29" t="str">
        <f t="shared" si="5"/>
        <v>АСУЭ.IM_ADES.fOverload</v>
      </c>
      <c r="B83">
        <v>7999</v>
      </c>
      <c r="C83" t="s">
        <v>0</v>
      </c>
      <c r="D83" s="30" t="str">
        <f>"#"&amp;$S$2&amp;"#"&amp;$T$2&amp;"\"&amp;$P$2&amp;"\wLoc"</f>
        <v>#3#\\Setup_rza\Modbus.OPCServer\ZRU_Sepam\\wLoc</v>
      </c>
    </row>
    <row r="84" spans="1:4" ht="15" customHeight="1">
      <c r="A84" s="29" t="str">
        <f t="shared" si="5"/>
        <v>АСУЭ.IM_ADES.fOverload</v>
      </c>
      <c r="B84">
        <v>7998</v>
      </c>
      <c r="C84" t="s">
        <v>6</v>
      </c>
      <c r="D84" s="30">
        <v>1</v>
      </c>
    </row>
    <row r="85" spans="1:4" ht="15" customHeight="1">
      <c r="A85" s="29" t="str">
        <f t="shared" si="5"/>
        <v>АСУЭ.IM_ADES.fOverload</v>
      </c>
      <c r="B85">
        <v>101</v>
      </c>
      <c r="C85" t="s">
        <v>0</v>
      </c>
      <c r="D85" s="30" t="s">
        <v>508</v>
      </c>
    </row>
    <row r="86" spans="1:4" ht="15" customHeight="1">
      <c r="A86" s="29" t="str">
        <f t="shared" si="5"/>
        <v>АСУЭ.IM_ADES.fOverload</v>
      </c>
      <c r="B86">
        <v>3</v>
      </c>
      <c r="C86" t="s">
        <v>1</v>
      </c>
      <c r="D86" s="30">
        <v>192</v>
      </c>
    </row>
    <row r="87" spans="1:4" ht="15" customHeight="1">
      <c r="A87" s="29" t="str">
        <f t="shared" si="5"/>
        <v>АСУЭ.IM_ADES.fOverload</v>
      </c>
      <c r="B87">
        <v>2</v>
      </c>
      <c r="C87" t="s">
        <v>2</v>
      </c>
      <c r="D87" s="30" t="s">
        <v>3</v>
      </c>
    </row>
    <row r="88" spans="1:4" ht="15" customHeight="1">
      <c r="A88" s="26" t="str">
        <f t="shared" si="5"/>
        <v>АСУЭ.IM_ADES.fOverload</v>
      </c>
      <c r="B88" s="27">
        <v>1</v>
      </c>
      <c r="C88" s="27" t="s">
        <v>1</v>
      </c>
      <c r="D88" s="28">
        <v>11</v>
      </c>
    </row>
    <row r="89" spans="1:4" ht="15" customHeight="1">
      <c r="A89" s="217" t="str">
        <f t="shared" ref="A89:A96" si="6">$R$2&amp;".wNotOn"</f>
        <v>АСУЭ.IM_ADES.wNotOn</v>
      </c>
      <c r="B89" s="218">
        <v>11154</v>
      </c>
      <c r="C89" s="218" t="s">
        <v>4</v>
      </c>
      <c r="D89" s="219">
        <f>$Q$7</f>
        <v>12</v>
      </c>
    </row>
    <row r="90" spans="1:4" ht="15" customHeight="1">
      <c r="A90" s="211" t="str">
        <f t="shared" si="6"/>
        <v>АСУЭ.IM_ADES.wNotOn</v>
      </c>
      <c r="B90" s="677">
        <v>11150</v>
      </c>
      <c r="C90" s="677" t="s">
        <v>0</v>
      </c>
      <c r="D90" s="213" t="str">
        <f>"Не  включился"</f>
        <v>Не  включился</v>
      </c>
    </row>
    <row r="91" spans="1:4" ht="15" customHeight="1">
      <c r="A91" s="211" t="str">
        <f t="shared" si="6"/>
        <v>АСУЭ.IM_ADES.wNotOn</v>
      </c>
      <c r="B91" s="677">
        <v>11152</v>
      </c>
      <c r="C91" s="677" t="s">
        <v>0</v>
      </c>
      <c r="D91" s="213" t="str">
        <f>$R$7</f>
        <v>Неисправность</v>
      </c>
    </row>
    <row r="92" spans="1:4" ht="15" customHeight="1">
      <c r="A92" s="211" t="str">
        <f t="shared" si="6"/>
        <v>АСУЭ.IM_ADES.wNotOn</v>
      </c>
      <c r="B92" s="677">
        <v>11000</v>
      </c>
      <c r="C92" s="677" t="s">
        <v>5</v>
      </c>
      <c r="D92" s="213">
        <v>2147483680</v>
      </c>
    </row>
    <row r="93" spans="1:4" ht="15" customHeight="1">
      <c r="A93" s="29" t="str">
        <f t="shared" si="6"/>
        <v>АСУЭ.IM_ADES.wNotOn</v>
      </c>
      <c r="B93">
        <v>101</v>
      </c>
      <c r="C93" t="s">
        <v>0</v>
      </c>
      <c r="D93" s="30" t="str">
        <f>"Не включился"</f>
        <v>Не включился</v>
      </c>
    </row>
    <row r="94" spans="1:4" ht="15" customHeight="1">
      <c r="A94" s="29" t="str">
        <f t="shared" si="6"/>
        <v>АСУЭ.IM_ADES.wNotOn</v>
      </c>
      <c r="B94">
        <v>3</v>
      </c>
      <c r="C94" t="s">
        <v>1</v>
      </c>
      <c r="D94" s="30">
        <v>192</v>
      </c>
    </row>
    <row r="95" spans="1:4" ht="15" customHeight="1">
      <c r="A95" s="29" t="str">
        <f t="shared" si="6"/>
        <v>АСУЭ.IM_ADES.wNotOn</v>
      </c>
      <c r="B95">
        <v>2</v>
      </c>
      <c r="C95" t="s">
        <v>2</v>
      </c>
      <c r="D95" s="30" t="s">
        <v>3</v>
      </c>
    </row>
    <row r="96" spans="1:4" ht="15" customHeight="1">
      <c r="A96" s="26" t="str">
        <f t="shared" si="6"/>
        <v>АСУЭ.IM_ADES.wNotOn</v>
      </c>
      <c r="B96" s="27">
        <v>1</v>
      </c>
      <c r="C96" s="27" t="s">
        <v>1</v>
      </c>
      <c r="D96" s="28">
        <v>11</v>
      </c>
    </row>
    <row r="97" spans="1:4" ht="15" customHeight="1">
      <c r="A97" s="217" t="str">
        <f t="shared" ref="A97:A104" si="7">$R$2&amp;".wNotOff"</f>
        <v>АСУЭ.IM_ADES.wNotOff</v>
      </c>
      <c r="B97" s="218">
        <v>11154</v>
      </c>
      <c r="C97" s="218" t="s">
        <v>4</v>
      </c>
      <c r="D97" s="219">
        <f>$Q$7</f>
        <v>12</v>
      </c>
    </row>
    <row r="98" spans="1:4" ht="15" customHeight="1">
      <c r="A98" s="211" t="str">
        <f t="shared" si="7"/>
        <v>АСУЭ.IM_ADES.wNotOff</v>
      </c>
      <c r="B98" s="677">
        <v>11150</v>
      </c>
      <c r="C98" s="677" t="s">
        <v>0</v>
      </c>
      <c r="D98" s="213" t="str">
        <f>"Не  отключился"</f>
        <v>Не  отключился</v>
      </c>
    </row>
    <row r="99" spans="1:4" ht="15" customHeight="1">
      <c r="A99" s="211" t="str">
        <f t="shared" si="7"/>
        <v>АСУЭ.IM_ADES.wNotOff</v>
      </c>
      <c r="B99" s="677">
        <v>11152</v>
      </c>
      <c r="C99" s="677" t="s">
        <v>0</v>
      </c>
      <c r="D99" s="213" t="str">
        <f>$R$7</f>
        <v>Неисправность</v>
      </c>
    </row>
    <row r="100" spans="1:4" ht="15" customHeight="1">
      <c r="A100" s="211" t="str">
        <f t="shared" si="7"/>
        <v>АСУЭ.IM_ADES.wNotOff</v>
      </c>
      <c r="B100" s="677">
        <v>11000</v>
      </c>
      <c r="C100" s="677" t="s">
        <v>5</v>
      </c>
      <c r="D100" s="213">
        <v>2147483680</v>
      </c>
    </row>
    <row r="101" spans="1:4" ht="15" customHeight="1">
      <c r="A101" s="29" t="str">
        <f t="shared" si="7"/>
        <v>АСУЭ.IM_ADES.wNotOff</v>
      </c>
      <c r="B101">
        <v>101</v>
      </c>
      <c r="C101" t="s">
        <v>0</v>
      </c>
      <c r="D101" s="30" t="str">
        <f>"Не  отключился"</f>
        <v>Не  отключился</v>
      </c>
    </row>
    <row r="102" spans="1:4" ht="15" customHeight="1">
      <c r="A102" s="29" t="str">
        <f t="shared" si="7"/>
        <v>АСУЭ.IM_ADES.wNotOff</v>
      </c>
      <c r="B102">
        <v>3</v>
      </c>
      <c r="C102" t="s">
        <v>1</v>
      </c>
      <c r="D102" s="30">
        <v>192</v>
      </c>
    </row>
    <row r="103" spans="1:4" ht="15" customHeight="1">
      <c r="A103" s="29" t="str">
        <f t="shared" si="7"/>
        <v>АСУЭ.IM_ADES.wNotOff</v>
      </c>
      <c r="B103">
        <v>2</v>
      </c>
      <c r="C103" t="s">
        <v>2</v>
      </c>
      <c r="D103" s="30" t="s">
        <v>3</v>
      </c>
    </row>
    <row r="104" spans="1:4" ht="15" customHeight="1">
      <c r="A104" s="26" t="str">
        <f t="shared" si="7"/>
        <v>АСУЭ.IM_ADES.wNotOff</v>
      </c>
      <c r="B104" s="27">
        <v>1</v>
      </c>
      <c r="C104" s="27" t="s">
        <v>1</v>
      </c>
      <c r="D104" s="28">
        <v>11</v>
      </c>
    </row>
    <row r="105" spans="1:4" ht="15" customHeight="1">
      <c r="A105" s="217" t="str">
        <f t="shared" ref="A105:A112" si="8">$R$2&amp;".wUnkw"</f>
        <v>АСУЭ.IM_ADES.wUnkw</v>
      </c>
      <c r="B105" s="218">
        <v>11154</v>
      </c>
      <c r="C105" s="218" t="s">
        <v>4</v>
      </c>
      <c r="D105" s="219">
        <f>$Q$7</f>
        <v>12</v>
      </c>
    </row>
    <row r="106" spans="1:4" ht="15" customHeight="1">
      <c r="A106" s="211" t="str">
        <f t="shared" si="8"/>
        <v>АСУЭ.IM_ADES.wUnkw</v>
      </c>
      <c r="B106" s="677">
        <v>11150</v>
      </c>
      <c r="C106" s="677" t="s">
        <v>0</v>
      </c>
      <c r="D106" s="213" t="s">
        <v>154</v>
      </c>
    </row>
    <row r="107" spans="1:4" ht="15" customHeight="1">
      <c r="A107" s="211" t="str">
        <f t="shared" si="8"/>
        <v>АСУЭ.IM_ADES.wUnkw</v>
      </c>
      <c r="B107" s="677">
        <v>11152</v>
      </c>
      <c r="C107" s="677" t="s">
        <v>0</v>
      </c>
      <c r="D107" s="213" t="str">
        <f>$R$7</f>
        <v>Неисправность</v>
      </c>
    </row>
    <row r="108" spans="1:4" ht="15" customHeight="1">
      <c r="A108" s="211" t="str">
        <f t="shared" si="8"/>
        <v>АСУЭ.IM_ADES.wUnkw</v>
      </c>
      <c r="B108" s="677">
        <v>11000</v>
      </c>
      <c r="C108" s="677" t="s">
        <v>5</v>
      </c>
      <c r="D108" s="213">
        <v>2147483680</v>
      </c>
    </row>
    <row r="109" spans="1:4" ht="15" customHeight="1">
      <c r="A109" s="29" t="str">
        <f t="shared" si="8"/>
        <v>АСУЭ.IM_ADES.wUnkw</v>
      </c>
      <c r="B109">
        <v>101</v>
      </c>
      <c r="C109" t="s">
        <v>0</v>
      </c>
      <c r="D109" s="30" t="s">
        <v>153</v>
      </c>
    </row>
    <row r="110" spans="1:4" ht="15" customHeight="1">
      <c r="A110" s="29" t="str">
        <f t="shared" si="8"/>
        <v>АСУЭ.IM_ADES.wUnkw</v>
      </c>
      <c r="B110">
        <v>3</v>
      </c>
      <c r="C110" t="s">
        <v>1</v>
      </c>
      <c r="D110" s="30">
        <v>192</v>
      </c>
    </row>
    <row r="111" spans="1:4" ht="15" customHeight="1">
      <c r="A111" s="29" t="str">
        <f t="shared" si="8"/>
        <v>АСУЭ.IM_ADES.wUnkw</v>
      </c>
      <c r="B111">
        <v>2</v>
      </c>
      <c r="C111" t="s">
        <v>2</v>
      </c>
      <c r="D111" s="30" t="s">
        <v>3</v>
      </c>
    </row>
    <row r="112" spans="1:4" ht="15" customHeight="1">
      <c r="A112" s="26" t="str">
        <f t="shared" si="8"/>
        <v>АСУЭ.IM_ADES.wUnkw</v>
      </c>
      <c r="B112" s="27">
        <v>1</v>
      </c>
      <c r="C112" s="27" t="s">
        <v>1</v>
      </c>
      <c r="D112" s="28">
        <v>11</v>
      </c>
    </row>
    <row r="113" spans="1:4" ht="15" customHeight="1">
      <c r="A113" s="217" t="str">
        <f t="shared" ref="A113:A120" si="9">$R$2&amp;".wDbl"</f>
        <v>АСУЭ.IM_ADES.wDbl</v>
      </c>
      <c r="B113" s="218">
        <v>11154</v>
      </c>
      <c r="C113" s="218" t="s">
        <v>4</v>
      </c>
      <c r="D113" s="219">
        <f>$Q$7</f>
        <v>12</v>
      </c>
    </row>
    <row r="114" spans="1:4" ht="15" customHeight="1">
      <c r="A114" s="211" t="str">
        <f t="shared" si="9"/>
        <v>АСУЭ.IM_ADES.wDbl</v>
      </c>
      <c r="B114" s="677">
        <v>11150</v>
      </c>
      <c r="C114" s="677" t="s">
        <v>0</v>
      </c>
      <c r="D114" s="213" t="s">
        <v>161</v>
      </c>
    </row>
    <row r="115" spans="1:4" ht="15" customHeight="1">
      <c r="A115" s="211" t="str">
        <f t="shared" si="9"/>
        <v>АСУЭ.IM_ADES.wDbl</v>
      </c>
      <c r="B115" s="677">
        <v>11152</v>
      </c>
      <c r="C115" s="677" t="s">
        <v>0</v>
      </c>
      <c r="D115" s="213" t="str">
        <f>$R$7</f>
        <v>Неисправность</v>
      </c>
    </row>
    <row r="116" spans="1:4" ht="15" customHeight="1">
      <c r="A116" s="211" t="str">
        <f t="shared" si="9"/>
        <v>АСУЭ.IM_ADES.wDbl</v>
      </c>
      <c r="B116" s="677">
        <v>11000</v>
      </c>
      <c r="C116" s="677" t="s">
        <v>5</v>
      </c>
      <c r="D116" s="213">
        <v>2147483680</v>
      </c>
    </row>
    <row r="117" spans="1:4" ht="15" customHeight="1">
      <c r="A117" s="29" t="str">
        <f t="shared" si="9"/>
        <v>АСУЭ.IM_ADES.wDbl</v>
      </c>
      <c r="B117">
        <v>101</v>
      </c>
      <c r="C117" t="s">
        <v>0</v>
      </c>
      <c r="D117" s="30" t="s">
        <v>161</v>
      </c>
    </row>
    <row r="118" spans="1:4" ht="15" customHeight="1">
      <c r="A118" s="29" t="str">
        <f t="shared" si="9"/>
        <v>АСУЭ.IM_ADES.wDbl</v>
      </c>
      <c r="B118">
        <v>3</v>
      </c>
      <c r="C118" t="s">
        <v>1</v>
      </c>
      <c r="D118" s="30">
        <v>192</v>
      </c>
    </row>
    <row r="119" spans="1:4" ht="15" customHeight="1">
      <c r="A119" s="29" t="str">
        <f t="shared" si="9"/>
        <v>АСУЭ.IM_ADES.wDbl</v>
      </c>
      <c r="B119">
        <v>2</v>
      </c>
      <c r="C119" t="s">
        <v>2</v>
      </c>
      <c r="D119" s="30" t="s">
        <v>3</v>
      </c>
    </row>
    <row r="120" spans="1:4" ht="15" customHeight="1">
      <c r="A120" s="26" t="str">
        <f t="shared" si="9"/>
        <v>АСУЭ.IM_ADES.wDbl</v>
      </c>
      <c r="B120" s="27">
        <v>1</v>
      </c>
      <c r="C120" s="27" t="s">
        <v>1</v>
      </c>
      <c r="D120" s="28">
        <v>11</v>
      </c>
    </row>
    <row r="121" spans="1:4" ht="15" customHeight="1">
      <c r="A121" s="217" t="str">
        <f t="shared" ref="A121:A128" si="10">$R$2&amp;".wCtrlUnkw"</f>
        <v>АСУЭ.IM_ADES.wCtrlUnkw</v>
      </c>
      <c r="B121" s="218">
        <v>11154</v>
      </c>
      <c r="C121" s="218" t="s">
        <v>4</v>
      </c>
      <c r="D121" s="219">
        <f>$Q$7</f>
        <v>12</v>
      </c>
    </row>
    <row r="122" spans="1:4" ht="15" customHeight="1">
      <c r="A122" s="211" t="str">
        <f t="shared" si="10"/>
        <v>АСУЭ.IM_ADES.wCtrlUnkw</v>
      </c>
      <c r="B122" s="677">
        <v>11150</v>
      </c>
      <c r="C122" s="677" t="s">
        <v>0</v>
      </c>
      <c r="D122" s="213" t="s">
        <v>167</v>
      </c>
    </row>
    <row r="123" spans="1:4" ht="15" customHeight="1">
      <c r="A123" s="211" t="str">
        <f t="shared" si="10"/>
        <v>АСУЭ.IM_ADES.wCtrlUnkw</v>
      </c>
      <c r="B123" s="677">
        <v>11152</v>
      </c>
      <c r="C123" s="677" t="s">
        <v>0</v>
      </c>
      <c r="D123" s="213" t="str">
        <f>$R$7</f>
        <v>Неисправность</v>
      </c>
    </row>
    <row r="124" spans="1:4" ht="15" customHeight="1">
      <c r="A124" s="211" t="str">
        <f t="shared" si="10"/>
        <v>АСУЭ.IM_ADES.wCtrlUnkw</v>
      </c>
      <c r="B124" s="677">
        <v>11000</v>
      </c>
      <c r="C124" s="677" t="s">
        <v>5</v>
      </c>
      <c r="D124" s="213">
        <v>2147483680</v>
      </c>
    </row>
    <row r="125" spans="1:4" ht="15" customHeight="1">
      <c r="A125" s="29" t="str">
        <f t="shared" si="10"/>
        <v>АСУЭ.IM_ADES.wCtrlUnkw</v>
      </c>
      <c r="B125">
        <v>101</v>
      </c>
      <c r="C125" t="s">
        <v>0</v>
      </c>
      <c r="D125" s="30" t="s">
        <v>167</v>
      </c>
    </row>
    <row r="126" spans="1:4" ht="15" customHeight="1">
      <c r="A126" s="29" t="str">
        <f t="shared" si="10"/>
        <v>АСУЭ.IM_ADES.wCtrlUnkw</v>
      </c>
      <c r="B126">
        <v>3</v>
      </c>
      <c r="C126" t="s">
        <v>1</v>
      </c>
      <c r="D126" s="30">
        <v>192</v>
      </c>
    </row>
    <row r="127" spans="1:4" ht="15" customHeight="1">
      <c r="A127" s="29" t="str">
        <f t="shared" si="10"/>
        <v>АСУЭ.IM_ADES.wCtrlUnkw</v>
      </c>
      <c r="B127">
        <v>2</v>
      </c>
      <c r="C127" t="s">
        <v>2</v>
      </c>
      <c r="D127" s="30" t="s">
        <v>3</v>
      </c>
    </row>
    <row r="128" spans="1:4" ht="15" customHeight="1">
      <c r="A128" s="26" t="str">
        <f t="shared" si="10"/>
        <v>АСУЭ.IM_ADES.wCtrlUnkw</v>
      </c>
      <c r="B128" s="27">
        <v>1</v>
      </c>
      <c r="C128" s="27" t="s">
        <v>1</v>
      </c>
      <c r="D128" s="28">
        <v>11</v>
      </c>
    </row>
    <row r="129" spans="1:4" ht="15" customHeight="1">
      <c r="A129" s="217" t="str">
        <f t="shared" ref="A129:A136" si="11">$R$2&amp;".wCtrlDbl"</f>
        <v>АСУЭ.IM_ADES.wCtrlDbl</v>
      </c>
      <c r="B129" s="218">
        <v>11154</v>
      </c>
      <c r="C129" s="218" t="s">
        <v>4</v>
      </c>
      <c r="D129" s="219">
        <f>$Q$7</f>
        <v>12</v>
      </c>
    </row>
    <row r="130" spans="1:4" ht="15" customHeight="1">
      <c r="A130" s="211" t="str">
        <f t="shared" si="11"/>
        <v>АСУЭ.IM_ADES.wCtrlDbl</v>
      </c>
      <c r="B130" s="677">
        <v>11150</v>
      </c>
      <c r="C130" s="677" t="s">
        <v>0</v>
      </c>
      <c r="D130" s="213" t="s">
        <v>168</v>
      </c>
    </row>
    <row r="131" spans="1:4" ht="15" customHeight="1">
      <c r="A131" s="211" t="str">
        <f t="shared" si="11"/>
        <v>АСУЭ.IM_ADES.wCtrlDbl</v>
      </c>
      <c r="B131" s="677">
        <v>11152</v>
      </c>
      <c r="C131" s="677" t="s">
        <v>0</v>
      </c>
      <c r="D131" s="213" t="str">
        <f>$R$7</f>
        <v>Неисправность</v>
      </c>
    </row>
    <row r="132" spans="1:4" ht="15" customHeight="1">
      <c r="A132" s="211" t="str">
        <f t="shared" si="11"/>
        <v>АСУЭ.IM_ADES.wCtrlDbl</v>
      </c>
      <c r="B132" s="677">
        <v>11000</v>
      </c>
      <c r="C132" s="677" t="s">
        <v>5</v>
      </c>
      <c r="D132" s="213">
        <v>2147483680</v>
      </c>
    </row>
    <row r="133" spans="1:4" ht="15" customHeight="1">
      <c r="A133" s="29" t="str">
        <f t="shared" si="11"/>
        <v>АСУЭ.IM_ADES.wCtrlDbl</v>
      </c>
      <c r="B133">
        <v>101</v>
      </c>
      <c r="C133" t="s">
        <v>0</v>
      </c>
      <c r="D133" s="30" t="s">
        <v>168</v>
      </c>
    </row>
    <row r="134" spans="1:4" ht="15" customHeight="1">
      <c r="A134" s="29" t="str">
        <f t="shared" si="11"/>
        <v>АСУЭ.IM_ADES.wCtrlDbl</v>
      </c>
      <c r="B134">
        <v>3</v>
      </c>
      <c r="C134" t="s">
        <v>1</v>
      </c>
      <c r="D134" s="30">
        <v>192</v>
      </c>
    </row>
    <row r="135" spans="1:4" ht="15" customHeight="1">
      <c r="A135" s="29" t="str">
        <f t="shared" si="11"/>
        <v>АСУЭ.IM_ADES.wCtrlDbl</v>
      </c>
      <c r="B135">
        <v>2</v>
      </c>
      <c r="C135" t="s">
        <v>2</v>
      </c>
      <c r="D135" s="30" t="s">
        <v>3</v>
      </c>
    </row>
    <row r="136" spans="1:4" ht="15" customHeight="1">
      <c r="A136" s="26" t="str">
        <f t="shared" si="11"/>
        <v>АСУЭ.IM_ADES.wCtrlDbl</v>
      </c>
      <c r="B136" s="27">
        <v>1</v>
      </c>
      <c r="C136" s="27" t="s">
        <v>1</v>
      </c>
      <c r="D136" s="28">
        <v>11</v>
      </c>
    </row>
    <row r="137" spans="1:4" ht="15" customHeight="1">
      <c r="A137" s="159" t="str">
        <f t="shared" ref="A137:A150" si="12">$R$2&amp;".stOn"</f>
        <v>АСУЭ.IM_ADES.stOn</v>
      </c>
      <c r="B137" s="160">
        <v>11154</v>
      </c>
      <c r="C137" s="160" t="s">
        <v>4</v>
      </c>
      <c r="D137" s="161">
        <f>$Q$8</f>
        <v>18</v>
      </c>
    </row>
    <row r="138" spans="1:4" ht="15" customHeight="1">
      <c r="A138" s="100" t="str">
        <f t="shared" si="12"/>
        <v>АСУЭ.IM_ADES.stOn</v>
      </c>
      <c r="B138" s="679">
        <v>11150</v>
      </c>
      <c r="C138" s="679" t="s">
        <v>0</v>
      </c>
      <c r="D138" s="103" t="s">
        <v>337</v>
      </c>
    </row>
    <row r="139" spans="1:4" ht="15" customHeight="1">
      <c r="A139" s="100" t="str">
        <f t="shared" si="12"/>
        <v>АСУЭ.IM_ADES.stOn</v>
      </c>
      <c r="B139" s="679">
        <v>11152</v>
      </c>
      <c r="C139" s="679" t="s">
        <v>0</v>
      </c>
      <c r="D139" s="103" t="str">
        <f>$R$8</f>
        <v>Телесигнализация</v>
      </c>
    </row>
    <row r="140" spans="1:4" ht="15" customHeight="1">
      <c r="A140" s="100" t="str">
        <f t="shared" si="12"/>
        <v>АСУЭ.IM_ADES.stOn</v>
      </c>
      <c r="B140" s="679">
        <v>11000</v>
      </c>
      <c r="C140" s="679" t="s">
        <v>5</v>
      </c>
      <c r="D140" s="103">
        <v>2147483680</v>
      </c>
    </row>
    <row r="141" spans="1:4" ht="15" customHeight="1">
      <c r="A141" s="29" t="str">
        <f t="shared" si="12"/>
        <v>АСУЭ.IM_ADES.stOn</v>
      </c>
      <c r="B141">
        <v>7999</v>
      </c>
      <c r="C141" t="s">
        <v>0</v>
      </c>
      <c r="D141" s="30" t="str">
        <f>"#"&amp;$S$2&amp;"#"&amp;$T$2&amp;"\"&amp;$P$2&amp;"\wLoc"</f>
        <v>#3#\\Setup_rza\Modbus.OPCServer\ZRU_Sepam\\wLoc</v>
      </c>
    </row>
    <row r="142" spans="1:4" ht="15" customHeight="1">
      <c r="A142" s="29" t="str">
        <f t="shared" si="12"/>
        <v>АСУЭ.IM_ADES.stOn</v>
      </c>
      <c r="B142">
        <v>7998</v>
      </c>
      <c r="C142" t="s">
        <v>6</v>
      </c>
      <c r="D142" s="30">
        <v>1</v>
      </c>
    </row>
    <row r="143" spans="1:4" ht="15" customHeight="1">
      <c r="A143" s="29" t="str">
        <f t="shared" si="12"/>
        <v>АСУЭ.IM_ADES.stOn</v>
      </c>
      <c r="B143">
        <v>101</v>
      </c>
      <c r="C143" t="s">
        <v>0</v>
      </c>
      <c r="D143" s="30" t="s">
        <v>337</v>
      </c>
    </row>
    <row r="144" spans="1:4" ht="15" customHeight="1">
      <c r="A144" s="29" t="str">
        <f t="shared" si="12"/>
        <v>АСУЭ.IM_ADES.stOn</v>
      </c>
      <c r="B144">
        <v>3</v>
      </c>
      <c r="C144" t="s">
        <v>1</v>
      </c>
      <c r="D144" s="30">
        <v>192</v>
      </c>
    </row>
    <row r="145" spans="1:4" ht="15" customHeight="1">
      <c r="A145" s="29" t="str">
        <f t="shared" si="12"/>
        <v>АСУЭ.IM_ADES.stOn</v>
      </c>
      <c r="B145">
        <v>2</v>
      </c>
      <c r="C145" t="s">
        <v>2</v>
      </c>
      <c r="D145" s="30" t="s">
        <v>3</v>
      </c>
    </row>
    <row r="146" spans="1:4" ht="15" customHeight="1">
      <c r="A146" t="str">
        <f t="shared" si="12"/>
        <v>АСУЭ.IM_ADES.stOn</v>
      </c>
      <c r="B146">
        <v>1</v>
      </c>
      <c r="C146" t="s">
        <v>1</v>
      </c>
      <c r="D146" s="30">
        <v>11</v>
      </c>
    </row>
    <row r="147" spans="1:4">
      <c r="A147" s="29" t="str">
        <f t="shared" si="12"/>
        <v>АСУЭ.IM_ADES.stOn</v>
      </c>
      <c r="B147">
        <v>8000000</v>
      </c>
      <c r="C147" t="s">
        <v>6</v>
      </c>
      <c r="D147" s="30">
        <v>1</v>
      </c>
    </row>
    <row r="148" spans="1:4">
      <c r="A148" s="29" t="str">
        <f t="shared" si="12"/>
        <v>АСУЭ.IM_ADES.stOn</v>
      </c>
      <c r="B148">
        <v>5000000</v>
      </c>
      <c r="C148" t="s">
        <v>0</v>
      </c>
      <c r="D148" s="30" t="s">
        <v>2582</v>
      </c>
    </row>
    <row r="149" spans="1:4">
      <c r="A149" t="str">
        <f t="shared" si="12"/>
        <v>АСУЭ.IM_ADES.stOn</v>
      </c>
      <c r="B149">
        <v>7000000</v>
      </c>
      <c r="C149" t="s">
        <v>6</v>
      </c>
      <c r="D149" s="30">
        <v>1</v>
      </c>
    </row>
    <row r="150" spans="1:4" ht="28.8">
      <c r="A150" s="29" t="str">
        <f t="shared" si="12"/>
        <v>АСУЭ.IM_ADES.stOn</v>
      </c>
      <c r="B150" s="27">
        <v>4000000</v>
      </c>
      <c r="C150" s="27" t="s">
        <v>0</v>
      </c>
      <c r="D150" s="415" t="s">
        <v>396</v>
      </c>
    </row>
    <row r="151" spans="1:4" ht="15" customHeight="1">
      <c r="A151" s="159" t="str">
        <f t="shared" ref="A151:A162" si="13">$R$2&amp;".stOff"</f>
        <v>АСУЭ.IM_ADES.stOff</v>
      </c>
      <c r="B151" s="160">
        <v>11154</v>
      </c>
      <c r="C151" s="160" t="s">
        <v>4</v>
      </c>
      <c r="D151" s="161">
        <f>$Q$8</f>
        <v>18</v>
      </c>
    </row>
    <row r="152" spans="1:4" ht="15" customHeight="1">
      <c r="A152" s="100" t="str">
        <f t="shared" si="13"/>
        <v>АСУЭ.IM_ADES.stOff</v>
      </c>
      <c r="B152" s="679">
        <v>11150</v>
      </c>
      <c r="C152" s="679" t="s">
        <v>0</v>
      </c>
      <c r="D152" s="103" t="s">
        <v>336</v>
      </c>
    </row>
    <row r="153" spans="1:4" ht="15" customHeight="1">
      <c r="A153" s="100" t="str">
        <f t="shared" si="13"/>
        <v>АСУЭ.IM_ADES.stOff</v>
      </c>
      <c r="B153" s="679">
        <v>11152</v>
      </c>
      <c r="C153" s="679" t="s">
        <v>0</v>
      </c>
      <c r="D153" s="103" t="str">
        <f>$R$8</f>
        <v>Телесигнализация</v>
      </c>
    </row>
    <row r="154" spans="1:4" ht="15" customHeight="1">
      <c r="A154" s="100" t="str">
        <f t="shared" si="13"/>
        <v>АСУЭ.IM_ADES.stOff</v>
      </c>
      <c r="B154" s="679">
        <v>11000</v>
      </c>
      <c r="C154" s="679" t="s">
        <v>5</v>
      </c>
      <c r="D154" s="103">
        <v>2147483680</v>
      </c>
    </row>
    <row r="155" spans="1:4" ht="15" customHeight="1">
      <c r="A155" s="29" t="str">
        <f t="shared" si="13"/>
        <v>АСУЭ.IM_ADES.stOff</v>
      </c>
      <c r="B155">
        <v>7999</v>
      </c>
      <c r="C155" t="s">
        <v>0</v>
      </c>
      <c r="D155" s="30" t="str">
        <f>"#"&amp;$S$2&amp;"#"&amp;$T$2&amp;"\"&amp;$P$2&amp;"\wLoc"</f>
        <v>#3#\\Setup_rza\Modbus.OPCServer\ZRU_Sepam\\wLoc</v>
      </c>
    </row>
    <row r="156" spans="1:4" ht="15" customHeight="1">
      <c r="A156" s="29" t="str">
        <f t="shared" si="13"/>
        <v>АСУЭ.IM_ADES.stOff</v>
      </c>
      <c r="B156">
        <v>7998</v>
      </c>
      <c r="C156" t="s">
        <v>6</v>
      </c>
      <c r="D156" s="30">
        <v>1</v>
      </c>
    </row>
    <row r="157" spans="1:4" ht="15" customHeight="1">
      <c r="A157" s="29" t="str">
        <f t="shared" si="13"/>
        <v>АСУЭ.IM_ADES.stOff</v>
      </c>
      <c r="B157">
        <v>101</v>
      </c>
      <c r="C157" t="s">
        <v>0</v>
      </c>
      <c r="D157" s="30" t="s">
        <v>336</v>
      </c>
    </row>
    <row r="158" spans="1:4" ht="15" customHeight="1">
      <c r="A158" s="29" t="str">
        <f t="shared" si="13"/>
        <v>АСУЭ.IM_ADES.stOff</v>
      </c>
      <c r="B158">
        <v>3</v>
      </c>
      <c r="C158" t="s">
        <v>1</v>
      </c>
      <c r="D158" s="30">
        <v>192</v>
      </c>
    </row>
    <row r="159" spans="1:4" ht="15" customHeight="1">
      <c r="A159" s="29" t="str">
        <f t="shared" si="13"/>
        <v>АСУЭ.IM_ADES.stOff</v>
      </c>
      <c r="B159">
        <v>2</v>
      </c>
      <c r="C159" t="s">
        <v>2</v>
      </c>
      <c r="D159" s="30" t="s">
        <v>3</v>
      </c>
    </row>
    <row r="160" spans="1:4" ht="15" customHeight="1">
      <c r="A160" t="str">
        <f t="shared" si="13"/>
        <v>АСУЭ.IM_ADES.stOff</v>
      </c>
      <c r="B160">
        <v>1</v>
      </c>
      <c r="C160" t="s">
        <v>1</v>
      </c>
      <c r="D160" s="30">
        <v>11</v>
      </c>
    </row>
    <row r="161" spans="1:4">
      <c r="A161" t="str">
        <f t="shared" si="13"/>
        <v>АСУЭ.IM_ADES.stOff</v>
      </c>
      <c r="B161">
        <v>7000000</v>
      </c>
      <c r="C161" t="s">
        <v>6</v>
      </c>
      <c r="D161" s="30">
        <v>1</v>
      </c>
    </row>
    <row r="162" spans="1:4" ht="28.8">
      <c r="A162" s="29" t="str">
        <f t="shared" si="13"/>
        <v>АСУЭ.IM_ADES.stOff</v>
      </c>
      <c r="B162" s="27">
        <v>4000000</v>
      </c>
      <c r="C162" s="27" t="s">
        <v>0</v>
      </c>
      <c r="D162" s="701" t="s">
        <v>396</v>
      </c>
    </row>
    <row r="163" spans="1:4" ht="15" customHeight="1">
      <c r="A163" s="159" t="str">
        <f t="shared" ref="A163:A174" si="14">$R$2&amp;".wRem"</f>
        <v>АСУЭ.IM_ADES.wRem</v>
      </c>
      <c r="B163" s="160">
        <v>11154</v>
      </c>
      <c r="C163" s="160" t="s">
        <v>4</v>
      </c>
      <c r="D163" s="161">
        <f>$Q$8</f>
        <v>18</v>
      </c>
    </row>
    <row r="164" spans="1:4" ht="15" customHeight="1">
      <c r="A164" s="100" t="str">
        <f t="shared" si="14"/>
        <v>АСУЭ.IM_ADES.wRem</v>
      </c>
      <c r="B164" s="679">
        <v>11150</v>
      </c>
      <c r="C164" s="679" t="s">
        <v>0</v>
      </c>
      <c r="D164" s="103" t="s">
        <v>136</v>
      </c>
    </row>
    <row r="165" spans="1:4" ht="15" customHeight="1">
      <c r="A165" s="100" t="str">
        <f t="shared" si="14"/>
        <v>АСУЭ.IM_ADES.wRem</v>
      </c>
      <c r="B165" s="679">
        <v>11152</v>
      </c>
      <c r="C165" s="679" t="s">
        <v>0</v>
      </c>
      <c r="D165" s="103" t="str">
        <f>$R$8</f>
        <v>Телесигнализация</v>
      </c>
    </row>
    <row r="166" spans="1:4" ht="15" customHeight="1">
      <c r="A166" s="100" t="str">
        <f t="shared" si="14"/>
        <v>АСУЭ.IM_ADES.wRem</v>
      </c>
      <c r="B166" s="679">
        <v>11000</v>
      </c>
      <c r="C166" s="679" t="s">
        <v>5</v>
      </c>
      <c r="D166" s="103">
        <v>2147483680</v>
      </c>
    </row>
    <row r="167" spans="1:4" ht="15" customHeight="1">
      <c r="A167" s="29" t="str">
        <f t="shared" si="14"/>
        <v>АСУЭ.IM_ADES.wRem</v>
      </c>
      <c r="B167">
        <v>7999</v>
      </c>
      <c r="C167" t="s">
        <v>0</v>
      </c>
      <c r="D167" s="30" t="str">
        <f>"#"&amp;$S$2&amp;"#"&amp;$T$2&amp;"\"&amp;$P$2&amp;"\wLoc"</f>
        <v>#3#\\Setup_rza\Modbus.OPCServer\ZRU_Sepam\\wLoc</v>
      </c>
    </row>
    <row r="168" spans="1:4" ht="15" customHeight="1">
      <c r="A168" s="29" t="str">
        <f t="shared" si="14"/>
        <v>АСУЭ.IM_ADES.wRem</v>
      </c>
      <c r="B168">
        <v>7998</v>
      </c>
      <c r="C168" t="s">
        <v>6</v>
      </c>
      <c r="D168" s="30">
        <v>1</v>
      </c>
    </row>
    <row r="169" spans="1:4" ht="15" customHeight="1">
      <c r="A169" s="29" t="str">
        <f t="shared" si="14"/>
        <v>АСУЭ.IM_ADES.wRem</v>
      </c>
      <c r="B169">
        <v>101</v>
      </c>
      <c r="C169" t="s">
        <v>0</v>
      </c>
      <c r="D169" s="30" t="s">
        <v>136</v>
      </c>
    </row>
    <row r="170" spans="1:4" ht="15" customHeight="1">
      <c r="A170" s="29" t="str">
        <f t="shared" si="14"/>
        <v>АСУЭ.IM_ADES.wRem</v>
      </c>
      <c r="B170">
        <v>3</v>
      </c>
      <c r="C170" t="s">
        <v>1</v>
      </c>
      <c r="D170" s="30">
        <v>192</v>
      </c>
    </row>
    <row r="171" spans="1:4" ht="15" customHeight="1">
      <c r="A171" s="29" t="str">
        <f t="shared" si="14"/>
        <v>АСУЭ.IM_ADES.wRem</v>
      </c>
      <c r="B171">
        <v>2</v>
      </c>
      <c r="C171" t="s">
        <v>2</v>
      </c>
      <c r="D171" s="30" t="s">
        <v>3</v>
      </c>
    </row>
    <row r="172" spans="1:4" ht="15" customHeight="1">
      <c r="A172" t="str">
        <f t="shared" si="14"/>
        <v>АСУЭ.IM_ADES.wRem</v>
      </c>
      <c r="B172">
        <v>1</v>
      </c>
      <c r="C172" t="s">
        <v>1</v>
      </c>
      <c r="D172" s="30">
        <v>11</v>
      </c>
    </row>
    <row r="173" spans="1:4">
      <c r="A173" t="str">
        <f t="shared" si="14"/>
        <v>АСУЭ.IM_ADES.wRem</v>
      </c>
      <c r="B173">
        <v>7000000</v>
      </c>
      <c r="C173" t="s">
        <v>6</v>
      </c>
      <c r="D173" s="30">
        <v>1</v>
      </c>
    </row>
    <row r="174" spans="1:4" ht="43.2">
      <c r="A174" s="26" t="str">
        <f t="shared" si="14"/>
        <v>АСУЭ.IM_ADES.wRem</v>
      </c>
      <c r="B174" s="27">
        <v>4000000</v>
      </c>
      <c r="C174" s="27" t="s">
        <v>0</v>
      </c>
      <c r="D174" s="701" t="s">
        <v>2327</v>
      </c>
    </row>
    <row r="175" spans="1:4" ht="15" customHeight="1">
      <c r="A175" s="159" t="str">
        <f t="shared" ref="A175:A184" si="15">$R$2&amp;".wReady"</f>
        <v>АСУЭ.IM_ADES.wReady</v>
      </c>
      <c r="B175" s="160">
        <v>11154</v>
      </c>
      <c r="C175" s="160" t="s">
        <v>4</v>
      </c>
      <c r="D175" s="161">
        <f>$Q$8</f>
        <v>18</v>
      </c>
    </row>
    <row r="176" spans="1:4" ht="15" customHeight="1">
      <c r="A176" s="100" t="str">
        <f t="shared" si="15"/>
        <v>АСУЭ.IM_ADES.wReady</v>
      </c>
      <c r="B176" s="679">
        <v>11150</v>
      </c>
      <c r="C176" s="679" t="s">
        <v>0</v>
      </c>
      <c r="D176" s="103" t="s">
        <v>510</v>
      </c>
    </row>
    <row r="177" spans="1:4" ht="15" customHeight="1">
      <c r="A177" s="100" t="str">
        <f t="shared" si="15"/>
        <v>АСУЭ.IM_ADES.wReady</v>
      </c>
      <c r="B177" s="679">
        <v>11152</v>
      </c>
      <c r="C177" s="679" t="s">
        <v>0</v>
      </c>
      <c r="D177" s="103" t="str">
        <f>$R$8</f>
        <v>Телесигнализация</v>
      </c>
    </row>
    <row r="178" spans="1:4" ht="15" customHeight="1">
      <c r="A178" s="100" t="str">
        <f t="shared" si="15"/>
        <v>АСУЭ.IM_ADES.wReady</v>
      </c>
      <c r="B178" s="679">
        <v>11000</v>
      </c>
      <c r="C178" s="679" t="s">
        <v>5</v>
      </c>
      <c r="D178" s="103">
        <v>2147483680</v>
      </c>
    </row>
    <row r="179" spans="1:4" ht="15" customHeight="1">
      <c r="A179" s="29" t="str">
        <f t="shared" si="15"/>
        <v>АСУЭ.IM_ADES.wReady</v>
      </c>
      <c r="B179">
        <v>7999</v>
      </c>
      <c r="C179" t="s">
        <v>0</v>
      </c>
      <c r="D179" s="30" t="str">
        <f>"#"&amp;$S$2&amp;"#"&amp;$T$2&amp;"\"&amp;$P$2&amp;"\wLoc"</f>
        <v>#3#\\Setup_rza\Modbus.OPCServer\ZRU_Sepam\\wLoc</v>
      </c>
    </row>
    <row r="180" spans="1:4" ht="15" customHeight="1">
      <c r="A180" s="29" t="str">
        <f t="shared" si="15"/>
        <v>АСУЭ.IM_ADES.wReady</v>
      </c>
      <c r="B180">
        <v>7998</v>
      </c>
      <c r="C180" t="s">
        <v>6</v>
      </c>
      <c r="D180" s="30">
        <v>1</v>
      </c>
    </row>
    <row r="181" spans="1:4" ht="15" customHeight="1">
      <c r="A181" s="29" t="str">
        <f t="shared" si="15"/>
        <v>АСУЭ.IM_ADES.wReady</v>
      </c>
      <c r="B181">
        <v>101</v>
      </c>
      <c r="C181" t="s">
        <v>0</v>
      </c>
      <c r="D181" s="30" t="s">
        <v>510</v>
      </c>
    </row>
    <row r="182" spans="1:4" ht="15" customHeight="1">
      <c r="A182" s="29" t="str">
        <f t="shared" si="15"/>
        <v>АСУЭ.IM_ADES.wReady</v>
      </c>
      <c r="B182">
        <v>3</v>
      </c>
      <c r="C182" t="s">
        <v>1</v>
      </c>
      <c r="D182" s="30">
        <v>192</v>
      </c>
    </row>
    <row r="183" spans="1:4" ht="15" customHeight="1">
      <c r="A183" s="29" t="str">
        <f t="shared" si="15"/>
        <v>АСУЭ.IM_ADES.wReady</v>
      </c>
      <c r="B183">
        <v>2</v>
      </c>
      <c r="C183" t="s">
        <v>2</v>
      </c>
      <c r="D183" s="30" t="s">
        <v>3</v>
      </c>
    </row>
    <row r="184" spans="1:4" ht="15" customHeight="1">
      <c r="A184" t="str">
        <f t="shared" si="15"/>
        <v>АСУЭ.IM_ADES.wReady</v>
      </c>
      <c r="B184">
        <v>1</v>
      </c>
      <c r="C184" t="s">
        <v>1</v>
      </c>
      <c r="D184" s="30">
        <v>11</v>
      </c>
    </row>
    <row r="185" spans="1:4">
      <c r="A185" s="23" t="str">
        <f t="shared" ref="A185:A190" si="16">$R$2&amp;".Commands.coOn"</f>
        <v>АСУЭ.IM_ADES.Commands.coOn</v>
      </c>
      <c r="B185" s="24">
        <v>101</v>
      </c>
      <c r="C185" s="24" t="s">
        <v>0</v>
      </c>
      <c r="D185" s="25" t="str">
        <f>"Команда оператора Включить"</f>
        <v>Команда оператора Включить</v>
      </c>
    </row>
    <row r="186" spans="1:4" ht="15" customHeight="1">
      <c r="A186" t="str">
        <f t="shared" si="16"/>
        <v>АСУЭ.IM_ADES.Commands.coOn</v>
      </c>
      <c r="B186">
        <v>7999</v>
      </c>
      <c r="C186" t="s">
        <v>0</v>
      </c>
      <c r="D186" s="30" t="str">
        <f>"#"&amp;$S$2&amp;"#"&amp;$T$2&amp;"\"&amp;$P$2&amp;"\wLoc"</f>
        <v>#3#\\Setup_rza\Modbus.OPCServer\ZRU_Sepam\\wLoc</v>
      </c>
    </row>
    <row r="187" spans="1:4" ht="15" customHeight="1">
      <c r="A187" t="str">
        <f t="shared" si="16"/>
        <v>АСУЭ.IM_ADES.Commands.coOn</v>
      </c>
      <c r="B187">
        <v>7998</v>
      </c>
      <c r="C187" t="s">
        <v>6</v>
      </c>
      <c r="D187" s="30">
        <v>1</v>
      </c>
    </row>
    <row r="188" spans="1:4">
      <c r="A188" t="str">
        <f t="shared" si="16"/>
        <v>АСУЭ.IM_ADES.Commands.coOn</v>
      </c>
      <c r="B188">
        <v>1</v>
      </c>
      <c r="C188" t="s">
        <v>1</v>
      </c>
      <c r="D188" s="30">
        <v>11</v>
      </c>
    </row>
    <row r="189" spans="1:4">
      <c r="A189" t="str">
        <f t="shared" si="16"/>
        <v>АСУЭ.IM_ADES.Commands.coOn</v>
      </c>
      <c r="B189">
        <v>7000000</v>
      </c>
      <c r="C189" t="s">
        <v>6</v>
      </c>
      <c r="D189" s="30">
        <v>0</v>
      </c>
    </row>
    <row r="190" spans="1:4">
      <c r="A190" s="26" t="str">
        <f t="shared" si="16"/>
        <v>АСУЭ.IM_ADES.Commands.coOn</v>
      </c>
      <c r="B190" s="27">
        <v>4000000</v>
      </c>
      <c r="C190" s="27" t="s">
        <v>0</v>
      </c>
      <c r="D190" s="28" t="s">
        <v>2326</v>
      </c>
    </row>
    <row r="191" spans="1:4">
      <c r="A191" s="23" t="str">
        <f t="shared" ref="A191:A196" si="17">$R$2&amp;".Commands.coOff"</f>
        <v>АСУЭ.IM_ADES.Commands.coOff</v>
      </c>
      <c r="B191" s="24">
        <v>101</v>
      </c>
      <c r="C191" s="24" t="s">
        <v>0</v>
      </c>
      <c r="D191" s="25" t="str">
        <f>"Команда оператора Отключить"</f>
        <v>Команда оператора Отключить</v>
      </c>
    </row>
    <row r="192" spans="1:4" ht="15" customHeight="1">
      <c r="A192" t="str">
        <f t="shared" si="17"/>
        <v>АСУЭ.IM_ADES.Commands.coOff</v>
      </c>
      <c r="B192">
        <v>7999</v>
      </c>
      <c r="C192" t="s">
        <v>0</v>
      </c>
      <c r="D192" s="30" t="str">
        <f>"#"&amp;$S$2&amp;"#"&amp;$T$2&amp;"\"&amp;$P$2&amp;"\wLoc"</f>
        <v>#3#\\Setup_rza\Modbus.OPCServer\ZRU_Sepam\\wLoc</v>
      </c>
    </row>
    <row r="193" spans="1:4" ht="15" customHeight="1">
      <c r="A193" t="str">
        <f t="shared" si="17"/>
        <v>АСУЭ.IM_ADES.Commands.coOff</v>
      </c>
      <c r="B193">
        <v>7998</v>
      </c>
      <c r="C193" t="s">
        <v>6</v>
      </c>
      <c r="D193" s="30">
        <v>1</v>
      </c>
    </row>
    <row r="194" spans="1:4">
      <c r="A194" t="str">
        <f t="shared" si="17"/>
        <v>АСУЭ.IM_ADES.Commands.coOff</v>
      </c>
      <c r="B194">
        <v>1</v>
      </c>
      <c r="C194" t="s">
        <v>1</v>
      </c>
      <c r="D194" s="30">
        <v>11</v>
      </c>
    </row>
    <row r="195" spans="1:4">
      <c r="A195" t="str">
        <f t="shared" si="17"/>
        <v>АСУЭ.IM_ADES.Commands.coOff</v>
      </c>
      <c r="B195">
        <v>7000000</v>
      </c>
      <c r="C195" t="s">
        <v>6</v>
      </c>
      <c r="D195" s="30">
        <v>0</v>
      </c>
    </row>
    <row r="196" spans="1:4">
      <c r="A196" s="26" t="str">
        <f t="shared" si="17"/>
        <v>АСУЭ.IM_ADES.Commands.coOff</v>
      </c>
      <c r="B196" s="27">
        <v>4000000</v>
      </c>
      <c r="C196" s="27" t="s">
        <v>0</v>
      </c>
      <c r="D196" s="28" t="s">
        <v>2325</v>
      </c>
    </row>
    <row r="197" spans="1:4">
      <c r="A197" s="23" t="str">
        <f t="shared" ref="A197:A207" si="18">$R$2&amp;".Commands.coRepair"</f>
        <v>АСУЭ.IM_ADES.Commands.coRepair</v>
      </c>
      <c r="B197" s="24">
        <v>7011</v>
      </c>
      <c r="C197" s="24" t="s">
        <v>2</v>
      </c>
      <c r="D197" s="25" t="s">
        <v>266</v>
      </c>
    </row>
    <row r="198" spans="1:4" ht="15" customHeight="1">
      <c r="A198" s="702" t="str">
        <f t="shared" si="18"/>
        <v>АСУЭ.IM_ADES.Commands.coRepair</v>
      </c>
      <c r="B198" s="702">
        <v>11154</v>
      </c>
      <c r="C198" s="702" t="s">
        <v>4</v>
      </c>
      <c r="D198" s="705">
        <f>$Q$11</f>
        <v>14</v>
      </c>
    </row>
    <row r="199" spans="1:4" ht="15" customHeight="1">
      <c r="A199" s="133" t="str">
        <f t="shared" si="18"/>
        <v>АСУЭ.IM_ADES.Commands.coRepair</v>
      </c>
      <c r="B199" s="702">
        <v>11150</v>
      </c>
      <c r="C199" s="702" t="s">
        <v>0</v>
      </c>
      <c r="D199" s="135" t="s">
        <v>89</v>
      </c>
    </row>
    <row r="200" spans="1:4" ht="15" customHeight="1">
      <c r="A200" s="133" t="str">
        <f t="shared" si="18"/>
        <v>АСУЭ.IM_ADES.Commands.coRepair</v>
      </c>
      <c r="B200" s="702">
        <v>11152</v>
      </c>
      <c r="C200" s="702" t="s">
        <v>0</v>
      </c>
      <c r="D200" s="135" t="str">
        <f>$R$11</f>
        <v>Ремонт</v>
      </c>
    </row>
    <row r="201" spans="1:4" ht="15" customHeight="1">
      <c r="A201" s="133" t="str">
        <f t="shared" si="18"/>
        <v>АСУЭ.IM_ADES.Commands.coRepair</v>
      </c>
      <c r="B201" s="702">
        <v>11000</v>
      </c>
      <c r="C201" s="702" t="s">
        <v>5</v>
      </c>
      <c r="D201" s="135">
        <v>2147483680</v>
      </c>
    </row>
    <row r="202" spans="1:4" ht="15" customHeight="1">
      <c r="A202" s="29" t="str">
        <f t="shared" si="18"/>
        <v>АСУЭ.IM_ADES.Commands.coRepair</v>
      </c>
      <c r="B202">
        <v>101</v>
      </c>
      <c r="C202" t="s">
        <v>0</v>
      </c>
      <c r="D202" s="30" t="s">
        <v>113</v>
      </c>
    </row>
    <row r="203" spans="1:4" ht="15" customHeight="1">
      <c r="A203" s="29" t="str">
        <f t="shared" si="18"/>
        <v>АСУЭ.IM_ADES.Commands.coRepair</v>
      </c>
      <c r="B203">
        <v>3</v>
      </c>
      <c r="C203" t="s">
        <v>1</v>
      </c>
      <c r="D203" s="30">
        <v>192</v>
      </c>
    </row>
    <row r="204" spans="1:4" ht="15" customHeight="1">
      <c r="A204" s="29" t="str">
        <f t="shared" si="18"/>
        <v>АСУЭ.IM_ADES.Commands.coRepair</v>
      </c>
      <c r="B204">
        <v>2</v>
      </c>
      <c r="C204" t="s">
        <v>2</v>
      </c>
      <c r="D204" s="30" t="s">
        <v>3</v>
      </c>
    </row>
    <row r="205" spans="1:4" ht="15" customHeight="1">
      <c r="A205" s="29" t="str">
        <f t="shared" si="18"/>
        <v>АСУЭ.IM_ADES.Commands.coRepair</v>
      </c>
      <c r="B205">
        <v>1</v>
      </c>
      <c r="C205" t="s">
        <v>1</v>
      </c>
      <c r="D205" s="30">
        <v>11</v>
      </c>
    </row>
    <row r="206" spans="1:4" ht="15" customHeight="1">
      <c r="A206" s="29" t="str">
        <f t="shared" si="18"/>
        <v>АСУЭ.IM_ADES.Commands.coRepair</v>
      </c>
      <c r="B206">
        <v>4000000</v>
      </c>
      <c r="C206" t="s">
        <v>0</v>
      </c>
      <c r="D206" s="415" t="s">
        <v>2916</v>
      </c>
    </row>
    <row r="207" spans="1:4" ht="15" customHeight="1">
      <c r="A207" s="26" t="str">
        <f t="shared" si="18"/>
        <v>АСУЭ.IM_ADES.Commands.coRepair</v>
      </c>
      <c r="B207" s="27">
        <v>7000000</v>
      </c>
      <c r="C207" s="27" t="s">
        <v>6</v>
      </c>
      <c r="D207" s="28">
        <v>2</v>
      </c>
    </row>
  </sheetData>
  <autoFilter ref="B1:B19" xr:uid="{00000000-0009-0000-0000-000026000000}"/>
  <mergeCells count="6">
    <mergeCell ref="Q43:Q45"/>
    <mergeCell ref="Q25:Q28"/>
    <mergeCell ref="Q29:Q30"/>
    <mergeCell ref="Q31:Q33"/>
    <mergeCell ref="Q34:Q36"/>
    <mergeCell ref="Q40:Q42"/>
  </mergeCell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Лист205">
    <tabColor rgb="FFFFC000"/>
  </sheetPr>
  <dimension ref="A1:BA264"/>
  <sheetViews>
    <sheetView topLeftCell="A4" zoomScale="85" zoomScaleNormal="85"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53" s="258" customFormat="1" ht="204.6" thickBot="1">
      <c r="A1" s="257"/>
      <c r="B1" s="262" t="s">
        <v>84</v>
      </c>
      <c r="C1" s="257"/>
      <c r="D1" s="257"/>
      <c r="E1" s="257"/>
      <c r="F1" s="257"/>
      <c r="P1" s="730" t="str">
        <f>Таблица!D1</f>
        <v>Префикс для TREI
Тэг ОРС для INFINITY</v>
      </c>
      <c r="Q1" s="730" t="str">
        <f>Таблица!E1</f>
        <v>Комментарий для TREI и INFINITY</v>
      </c>
      <c r="R1" s="733" t="str">
        <f>Таблица!F1</f>
        <v>ТЭГ в дереве INFINITY Server</v>
      </c>
      <c r="S1" s="730"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735" t="str">
        <f>Таблица!H1</f>
        <v>OPC путь 
№ маршрута Modbus TCP, Modbus RTU, Modbus over TCP (1-255)
№ КП IEC104 (1-65534)</v>
      </c>
      <c r="U1" s="731" t="str">
        <f>Таблица!I1</f>
        <v>OPC путь</v>
      </c>
      <c r="V1" s="731" t="str">
        <f>Таблица!J1</f>
        <v>Мнемосхема</v>
      </c>
      <c r="W1" s="729"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729"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729" t="str">
        <f>Таблица!M1</f>
        <v>FB_IMt_MON_S, IMt_MON: Только для трансформатора. Цвет нижних обмоток(-ки) при наличии напряжения</v>
      </c>
      <c r="Z1" s="729"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729"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729" t="str">
        <f>Таблица!P1</f>
        <v xml:space="preserve">FB_DI_S, FB_DO_S, DI, DI_DIAG, FB_DO_STB_S: Тип сигнализации (Авария, предупреждение, телесигнализация и тд.)
FB_SHPS_S(SB), FB_BTF_S: Тип сигнализации XFRX
</v>
      </c>
      <c r="AC1" s="729"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729" t="str">
        <f>Таблица!R1</f>
        <v>SEPAM: Тип ячейки (OL,SV,VV,TN)
BMRZ: Тип ячейки (VV,AV)
TOR: Тип ячейки (OL,SV,VV,TN,BK)</v>
      </c>
      <c r="AE1" s="730" t="str">
        <f>Таблица!S1</f>
        <v>Формула для fNoLink.Device</v>
      </c>
      <c r="AF1" s="729">
        <f>Таблица!T1</f>
        <v>0</v>
      </c>
      <c r="AG1" s="729">
        <f>Таблица!U1</f>
        <v>0</v>
      </c>
      <c r="AH1" s="729">
        <f>Таблица!V1</f>
        <v>0</v>
      </c>
      <c r="AI1" s="729">
        <f>Таблица!W1</f>
        <v>0</v>
      </c>
      <c r="AJ1" s="729">
        <f>Таблица!X1</f>
        <v>0</v>
      </c>
      <c r="AK1" s="728" t="str">
        <f>Таблица!Y1</f>
        <v>FB_AI_S, FB_DI_S, FB_QSA_S, FB_DO_S, FB_SHPS_S, FB_SHOP_S, FB_BTF_S: IVXX
FB_KL_UPT_S: ISON
SW_S301, SW_MES3508: Подключение к порту 1
SW_MAYAK: Подключение к порту 1,2 (через "\")
DI_DIAG, DO_DIAG: XVLX</v>
      </c>
      <c r="AL1" s="728"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728"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728" t="str">
        <f>Таблица!AB1</f>
        <v>FB_IMstp_S, FB_IMsp_S, FB_IMs_S, FB_REG_S, FB_IM_ADES_S : ILCX
SW_S301: Подключение к порту 4
SW_MAYAK, SW_MES3508: Подключение к порту 7,8 (через "\")</v>
      </c>
      <c r="AO1" s="728" t="str">
        <f>Таблица!AC1</f>
        <v xml:space="preserve">FB_IMstp_S, FB_IMsp_S, FB_IMs_S, FB_IMp_S, FB_IMv_S, FB_REG_S, FB_IM_ADES_S, FB_DO_S : IRCX
SW_S301, SW_MES3508: Подключение к порту 5
SW_MAYAK: Подключение к порту 9,10 (через "\")
</v>
      </c>
      <c r="AP1" s="728"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728"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728" t="str">
        <f>Таблица!AF1</f>
        <v xml:space="preserve">FB_IMstp_S, FB_IMsp_S, FB_IMs_S, FB_IMp_S, FB_IMv_S, FB_IM_ADES_S, FB_OZK_KD_S, FB_DO_S: OXOF
SW_S301, SW_MES3508: Подключение к порту 8
SW_MAYAK: Подключение к порту 15,16 (через "\")
</v>
      </c>
      <c r="AS1" s="728" t="str">
        <f>Таблица!AG1</f>
        <v xml:space="preserve">FB_IM_ADES_S, FB_IMp_S, FB_IMv_S: OXSP
FB_IMstp_S, FB_IMsp_S, FB_IMsp_MON_S: IPTC
SW_S301, SW_MES3508: Подключение к порту 9
SW_MAYAK: Подключение к порту 17,18 (через "\")
</v>
      </c>
      <c r="AT1" s="728" t="str">
        <f>Таблица!AH1</f>
        <v xml:space="preserve">FB_IMstp_S, FB_IMst_MON_S, FB_IMt_MON_S: ITON
FB_IM_ADES_S: IOLD
SW_S301, SW_MES3508: Подключение к порту 10
SW_MAYAK: Подключение к порту 19,20 (через "\")
</v>
      </c>
      <c r="AU1" s="728" t="str">
        <f>Таблица!AI1</f>
        <v>FB_IMstp_S, FB_IMst_MON_S, FB_IMt_MON_S: ITOF
FB_IM_ADES_S: IRAD
SW_MAYAK: Подключение к порту 21,22 (через "\")</v>
      </c>
      <c r="AV1" s="728" t="str">
        <f>Таблица!AJ1</f>
        <v xml:space="preserve">FB_IMstp_S, FB_IMsp_S, FB_IMsp_MON_S, FB_IM_ADES_S: IPTO
SW_MAYAK: Подключение к порту 23,24 (через "\")
</v>
      </c>
      <c r="AW1" s="727"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727" t="str">
        <f>Таблица!AL1</f>
        <v>Для TREI
FB_IMstp_S, FB_IMs_S, FB_IMp_S, FB_IMv_S, FB_IM_ADES_S: Настройка перехода ручной-/автоматический-(TRUE/FALSE) 
FB_DI_S: Генерировать метки времени (TRUE/FALSE)</v>
      </c>
      <c r="AY1" s="727"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727" t="str">
        <f>Таблица!AN1</f>
        <v>Для TREI
FB_AI_S, FB_QSA_S: Верхний предел датчика
FB_IMp_S, FB_IMv_S, FB_IM_ADES_S, FB_OZK_KD_S: Время перестановки</v>
      </c>
      <c r="BA1" s="727"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row>
    <row r="2" spans="1:53" ht="15" customHeight="1">
      <c r="A2" s="10"/>
      <c r="B2" s="10"/>
      <c r="C2" s="10"/>
      <c r="D2" s="10"/>
      <c r="E2" s="10"/>
      <c r="F2" s="10"/>
      <c r="P2" s="2"/>
      <c r="Q2" s="2" t="s">
        <v>2710</v>
      </c>
      <c r="R2" s="2" t="s">
        <v>2615</v>
      </c>
      <c r="S2" s="3">
        <v>3</v>
      </c>
      <c r="T2" s="3" t="s">
        <v>1699</v>
      </c>
      <c r="U2" s="3"/>
      <c r="V2" s="3" t="s">
        <v>569</v>
      </c>
      <c r="W2" s="3" t="s">
        <v>326</v>
      </c>
      <c r="X2" s="3" t="s">
        <v>327</v>
      </c>
      <c r="Y2" s="3"/>
      <c r="Z2" s="3">
        <v>2</v>
      </c>
      <c r="AA2" s="3"/>
      <c r="AB2" s="2"/>
      <c r="AC2" s="2" t="s">
        <v>307</v>
      </c>
      <c r="AD2" s="2"/>
      <c r="AE2" s="2" t="s">
        <v>1414</v>
      </c>
      <c r="AF2" s="2"/>
      <c r="AG2" s="2"/>
      <c r="AH2" s="2"/>
      <c r="AI2" s="2"/>
      <c r="AJ2" s="2"/>
      <c r="AK2" s="2"/>
      <c r="AL2" s="2"/>
      <c r="AM2" s="2"/>
      <c r="AN2" s="2"/>
      <c r="AO2" s="2"/>
      <c r="AP2" s="2"/>
      <c r="AQ2" s="2"/>
      <c r="AR2" s="2"/>
      <c r="AS2" s="2"/>
      <c r="AT2" s="2"/>
      <c r="AU2" s="2"/>
      <c r="AV2" s="2"/>
      <c r="AW2" s="2"/>
      <c r="AX2" s="2"/>
      <c r="AY2" s="2"/>
      <c r="AZ2" s="2"/>
      <c r="BA2" s="2"/>
    </row>
    <row r="3" spans="1:53" ht="15" customHeight="1">
      <c r="A3" s="10"/>
      <c r="B3" s="10"/>
      <c r="C3" s="10"/>
      <c r="D3" s="10"/>
      <c r="E3" s="10"/>
      <c r="F3" s="10"/>
      <c r="P3" s="10"/>
      <c r="Q3" s="10"/>
      <c r="R3" s="10"/>
      <c r="S3" s="10"/>
      <c r="T3" s="10"/>
      <c r="U3" s="10"/>
      <c r="V3" s="10"/>
      <c r="W3" s="10"/>
      <c r="X3" s="10"/>
      <c r="Y3" s="10"/>
      <c r="Z3" s="10"/>
      <c r="AA3" s="10"/>
      <c r="AB3" s="10"/>
      <c r="AC3" s="10"/>
    </row>
    <row r="4" spans="1:53" ht="15" customHeight="1">
      <c r="A4" s="10"/>
      <c r="B4" s="10"/>
      <c r="C4" s="10"/>
      <c r="D4" s="10"/>
      <c r="E4" s="10"/>
      <c r="F4" s="10"/>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AB4" s="10"/>
      <c r="AC4" s="10"/>
    </row>
    <row r="5" spans="1:53" ht="15" customHeight="1">
      <c r="A5" s="10"/>
      <c r="B5" s="10"/>
      <c r="C5" s="10"/>
      <c r="D5" s="10"/>
      <c r="E5" s="10"/>
      <c r="F5" s="10"/>
      <c r="P5" s="703" t="str">
        <f>Настройки!A2</f>
        <v>Авария</v>
      </c>
      <c r="Q5" s="518">
        <f>Настройки!B2</f>
        <v>4</v>
      </c>
      <c r="R5" s="708" t="str">
        <f>Настройки!C2</f>
        <v>Авария</v>
      </c>
      <c r="S5" s="10"/>
      <c r="T5" s="456">
        <f>Настройки!M12</f>
        <v>1</v>
      </c>
      <c r="U5" s="10"/>
      <c r="V5" s="10"/>
      <c r="W5" s="10"/>
      <c r="X5" s="10"/>
      <c r="Y5" s="10"/>
      <c r="Z5" s="10"/>
      <c r="AA5" s="10"/>
      <c r="AB5" s="10"/>
      <c r="AC5" s="10"/>
    </row>
    <row r="6" spans="1:53" ht="15" customHeight="1">
      <c r="A6" s="10"/>
      <c r="B6" s="10"/>
      <c r="C6" s="10"/>
      <c r="D6" s="10"/>
      <c r="E6" s="10"/>
      <c r="F6" s="10"/>
      <c r="P6" s="703" t="str">
        <f>Настройки!A3</f>
        <v>Предупреждение</v>
      </c>
      <c r="Q6" s="518">
        <f>Настройки!B3</f>
        <v>8</v>
      </c>
      <c r="R6" s="708" t="str">
        <f>Настройки!C3</f>
        <v>Предупреждение</v>
      </c>
      <c r="S6" s="10"/>
      <c r="T6" s="608" t="str">
        <f>Настройки!M7</f>
        <v>Отображение Таблицы подлючений в диаг.</v>
      </c>
      <c r="U6" s="10"/>
      <c r="V6" s="10"/>
      <c r="W6" s="10"/>
      <c r="X6" s="10"/>
      <c r="Y6" s="10"/>
      <c r="Z6" s="10"/>
      <c r="AA6" s="10"/>
      <c r="AB6" s="10"/>
      <c r="AC6" s="10"/>
    </row>
    <row r="7" spans="1:53" ht="15" customHeight="1">
      <c r="A7" s="10"/>
      <c r="B7" s="10"/>
      <c r="C7" s="10"/>
      <c r="D7" s="10"/>
      <c r="E7" s="10"/>
      <c r="F7" s="10"/>
      <c r="P7" s="703" t="str">
        <f>Настройки!A4</f>
        <v>Неисправность</v>
      </c>
      <c r="Q7" s="518">
        <f>Настройки!B4</f>
        <v>12</v>
      </c>
      <c r="R7" s="708" t="str">
        <f>Настройки!C4</f>
        <v>Неисправность</v>
      </c>
      <c r="S7" s="10"/>
      <c r="T7" s="714" t="b">
        <f>Настройки!M8</f>
        <v>0</v>
      </c>
      <c r="U7" s="10"/>
      <c r="V7" s="10"/>
      <c r="W7" s="10"/>
      <c r="X7" s="10"/>
      <c r="Y7" s="10"/>
      <c r="Z7" s="10"/>
      <c r="AA7" s="10"/>
      <c r="AB7" s="10"/>
      <c r="AC7" s="10"/>
    </row>
    <row r="8" spans="1:53" ht="15" customHeight="1">
      <c r="A8" s="10"/>
      <c r="B8" s="10"/>
      <c r="C8" s="10"/>
      <c r="D8" s="10"/>
      <c r="E8" s="10"/>
      <c r="F8" s="10"/>
      <c r="P8" s="703" t="str">
        <f>Настройки!A5</f>
        <v>Телесигнализация</v>
      </c>
      <c r="Q8" s="518">
        <f>Настройки!B5</f>
        <v>18</v>
      </c>
      <c r="R8" s="708" t="str">
        <f>Настройки!C5</f>
        <v>Телесигнализация</v>
      </c>
      <c r="S8" s="10"/>
      <c r="T8" s="10"/>
      <c r="U8" s="10"/>
      <c r="V8" s="10"/>
      <c r="W8" s="10"/>
      <c r="X8" s="10"/>
      <c r="Y8" s="10"/>
      <c r="Z8" s="10"/>
      <c r="AA8" s="10"/>
      <c r="AB8" s="10"/>
      <c r="AC8" s="10"/>
    </row>
    <row r="9" spans="1:53" ht="15" customHeight="1">
      <c r="A9" s="10"/>
      <c r="B9" s="10"/>
      <c r="C9" s="10"/>
      <c r="D9" s="10"/>
      <c r="E9" s="10"/>
      <c r="F9" s="10"/>
      <c r="P9" s="703" t="str">
        <f>Настройки!A6</f>
        <v>Недостоверность</v>
      </c>
      <c r="Q9" s="518">
        <f>Настройки!B6</f>
        <v>10</v>
      </c>
      <c r="R9" s="708" t="str">
        <f>Настройки!C6</f>
        <v>Недостоверность</v>
      </c>
      <c r="S9" s="10"/>
      <c r="T9" s="10"/>
      <c r="U9" s="10"/>
      <c r="V9" s="10"/>
      <c r="W9" s="10"/>
      <c r="X9" s="10"/>
      <c r="Y9" s="10"/>
      <c r="Z9" s="10"/>
      <c r="AA9" s="10"/>
      <c r="AB9" s="10"/>
      <c r="AC9" s="10"/>
    </row>
    <row r="10" spans="1:53" ht="15" customHeight="1">
      <c r="A10" s="10"/>
      <c r="B10" s="10"/>
      <c r="C10" s="10"/>
      <c r="D10" s="10"/>
      <c r="E10" s="10"/>
      <c r="F10" s="10"/>
      <c r="P10" s="703" t="str">
        <f>Настройки!A7</f>
        <v>Имитация</v>
      </c>
      <c r="Q10" s="518">
        <f>Настройки!B7</f>
        <v>16</v>
      </c>
      <c r="R10" s="708" t="str">
        <f>Настройки!C7</f>
        <v>Имитация</v>
      </c>
      <c r="S10" s="10"/>
      <c r="T10" s="10"/>
      <c r="U10" s="10"/>
      <c r="V10" s="10"/>
      <c r="W10" s="10"/>
      <c r="X10" s="10"/>
      <c r="Y10" s="10"/>
      <c r="Z10" s="10"/>
      <c r="AA10" s="10"/>
      <c r="AB10" s="10"/>
      <c r="AC10" s="10"/>
    </row>
    <row r="11" spans="1:53" ht="15" customHeight="1">
      <c r="A11" s="10"/>
      <c r="B11" s="10"/>
      <c r="C11" s="10"/>
      <c r="D11" s="10"/>
      <c r="E11" s="10"/>
      <c r="F11" s="10"/>
      <c r="P11" s="703" t="str">
        <f>Настройки!A8</f>
        <v>Ремонт</v>
      </c>
      <c r="Q11" s="518">
        <f>Настройки!B8</f>
        <v>14</v>
      </c>
      <c r="R11" s="708" t="str">
        <f>Настройки!C8</f>
        <v>Ремонт</v>
      </c>
      <c r="S11" s="10"/>
      <c r="T11" s="10"/>
      <c r="U11" s="10"/>
      <c r="V11" s="10"/>
      <c r="W11" s="10"/>
      <c r="X11" s="10"/>
      <c r="Y11" s="10"/>
      <c r="Z11" s="10"/>
      <c r="AA11" s="10"/>
      <c r="AB11" s="10"/>
      <c r="AC11" s="10"/>
    </row>
    <row r="12" spans="1:53" ht="15" customHeight="1">
      <c r="A12" s="10"/>
      <c r="B12" s="10"/>
      <c r="C12" s="10"/>
      <c r="D12" s="10"/>
      <c r="E12" s="10"/>
      <c r="F12" s="10"/>
      <c r="P12" s="703" t="str">
        <f>Настройки!A9</f>
        <v>Команда оператора</v>
      </c>
      <c r="Q12" s="518">
        <f>Настройки!B9</f>
        <v>20</v>
      </c>
      <c r="R12" s="708" t="str">
        <f>Настройки!C9</f>
        <v>Команда оператора</v>
      </c>
      <c r="S12" s="10"/>
      <c r="T12" s="10"/>
      <c r="U12" s="10"/>
      <c r="V12" s="10"/>
      <c r="W12" s="10"/>
      <c r="X12" s="10"/>
      <c r="Y12" s="10"/>
      <c r="Z12" s="10"/>
      <c r="AA12" s="10"/>
      <c r="AB12" s="10"/>
      <c r="AC12" s="10"/>
    </row>
    <row r="13" spans="1:53" ht="15" customHeight="1">
      <c r="A13" s="10"/>
      <c r="B13" s="10"/>
      <c r="C13" s="10"/>
      <c r="D13" s="10"/>
      <c r="E13" s="10"/>
      <c r="F13" s="10"/>
      <c r="P13" s="703" t="str">
        <f>Настройки!A10</f>
        <v>Тревога</v>
      </c>
      <c r="Q13" s="518">
        <f>Настройки!B10</f>
        <v>5</v>
      </c>
      <c r="R13" s="518" t="str">
        <f>Настройки!C10</f>
        <v>Тревога</v>
      </c>
      <c r="S13" s="10"/>
      <c r="T13" s="10"/>
      <c r="U13" s="10"/>
      <c r="V13" s="10"/>
      <c r="W13" s="10"/>
      <c r="X13" s="10"/>
      <c r="Y13" s="10"/>
      <c r="Z13" s="10"/>
      <c r="AA13" s="10"/>
      <c r="AB13" s="10"/>
      <c r="AC13" s="10"/>
    </row>
    <row r="14" spans="1:53" ht="15" customHeight="1">
      <c r="A14" s="10"/>
      <c r="B14" s="10"/>
      <c r="C14" s="10"/>
      <c r="D14" s="10"/>
      <c r="E14" s="10"/>
      <c r="F14" s="10"/>
      <c r="P14" s="703" t="str">
        <f>Настройки!A11</f>
        <v>Тушение</v>
      </c>
      <c r="Q14" s="518">
        <f>Настройки!B11</f>
        <v>1</v>
      </c>
      <c r="R14" s="518" t="str">
        <f>Настройки!C11</f>
        <v>Тушение</v>
      </c>
      <c r="S14" s="10"/>
      <c r="T14" s="10"/>
      <c r="U14" s="10"/>
      <c r="V14" s="10"/>
      <c r="W14" s="10"/>
      <c r="X14" s="10"/>
      <c r="Y14" s="10"/>
      <c r="Z14" s="10"/>
      <c r="AA14" s="10"/>
      <c r="AB14" s="10"/>
      <c r="AC14" s="10"/>
    </row>
    <row r="15" spans="1:53" ht="15" customHeight="1">
      <c r="A15" s="10"/>
      <c r="B15" s="10"/>
      <c r="C15" s="10"/>
      <c r="D15" s="10"/>
      <c r="E15" s="10"/>
      <c r="F15" s="10"/>
      <c r="P15" s="703" t="str">
        <f>Настройки!A12</f>
        <v>Пожар</v>
      </c>
      <c r="Q15" s="518">
        <f>Настройки!B12</f>
        <v>2</v>
      </c>
      <c r="R15" s="518" t="str">
        <f>Настройки!C12</f>
        <v>Пожар</v>
      </c>
      <c r="S15" s="10"/>
      <c r="T15" s="10"/>
      <c r="U15" s="10"/>
      <c r="V15" s="10"/>
      <c r="W15" s="10"/>
      <c r="X15" s="10"/>
      <c r="Y15" s="10"/>
      <c r="Z15" s="10"/>
      <c r="AA15" s="10"/>
      <c r="AB15" s="10"/>
      <c r="AC15" s="10"/>
    </row>
    <row r="16" spans="1:53" ht="15" customHeight="1">
      <c r="A16" s="10"/>
      <c r="B16" s="10"/>
      <c r="C16" s="10"/>
      <c r="D16" s="10"/>
      <c r="E16" s="10"/>
      <c r="F16" s="10"/>
      <c r="P16" s="703" t="str">
        <f>Настройки!A13</f>
        <v>Порог 2</v>
      </c>
      <c r="Q16" s="518">
        <f>Настройки!B13</f>
        <v>3</v>
      </c>
      <c r="R16" s="518" t="str">
        <f>Настройки!C13</f>
        <v>Порог 2</v>
      </c>
      <c r="S16" s="10"/>
      <c r="T16" s="10"/>
      <c r="U16" s="10"/>
      <c r="V16" s="10"/>
      <c r="W16" s="10"/>
      <c r="X16" s="10"/>
      <c r="Y16" s="10"/>
      <c r="Z16" s="10"/>
      <c r="AA16" s="10"/>
      <c r="AB16" s="10"/>
      <c r="AC16" s="10"/>
    </row>
    <row r="17" spans="1:29" ht="15" customHeight="1">
      <c r="A17" s="10"/>
      <c r="B17" s="10"/>
      <c r="C17" s="10"/>
      <c r="D17" s="10"/>
      <c r="E17" s="10"/>
      <c r="F17" s="10"/>
      <c r="P17" s="703" t="str">
        <f>Настройки!A14</f>
        <v>Порог 1</v>
      </c>
      <c r="Q17" s="518">
        <f>Настройки!B14</f>
        <v>6</v>
      </c>
      <c r="R17" s="518" t="str">
        <f>Настройки!C14</f>
        <v>Порог 1</v>
      </c>
      <c r="S17" s="10"/>
      <c r="T17" s="10"/>
      <c r="U17" s="10"/>
      <c r="V17" s="10"/>
      <c r="W17" s="10"/>
      <c r="X17" s="10"/>
      <c r="Y17" s="10"/>
      <c r="Z17" s="10"/>
      <c r="AA17" s="10"/>
      <c r="AB17" s="10"/>
      <c r="AC17" s="10"/>
    </row>
    <row r="18" spans="1:29" ht="15" customHeight="1">
      <c r="A18" s="10"/>
      <c r="B18" s="10"/>
      <c r="C18" s="10"/>
      <c r="D18" s="10"/>
      <c r="E18" s="10"/>
      <c r="F18" s="10"/>
      <c r="P18" s="703" t="str">
        <f>Настройки!A15</f>
        <v>Отключение</v>
      </c>
      <c r="Q18" s="518">
        <f>Настройки!B15</f>
        <v>13</v>
      </c>
      <c r="R18" s="518" t="str">
        <f>Настройки!C15</f>
        <v>Отключение</v>
      </c>
      <c r="S18" s="10"/>
      <c r="T18" s="10"/>
      <c r="U18" s="10"/>
      <c r="V18" s="10"/>
      <c r="W18" s="10"/>
      <c r="X18" s="10"/>
      <c r="Y18" s="10"/>
      <c r="Z18" s="10"/>
      <c r="AA18" s="10"/>
      <c r="AB18" s="10"/>
      <c r="AC18" s="10"/>
    </row>
    <row r="19" spans="1:29" ht="15" customHeight="1">
      <c r="A19" s="10"/>
      <c r="B19" s="10"/>
      <c r="C19" s="10"/>
      <c r="D19" s="10"/>
      <c r="E19" s="10"/>
      <c r="F19" s="10"/>
      <c r="P19" s="703" t="str">
        <f>Настройки!A16</f>
        <v>Информация</v>
      </c>
      <c r="Q19" s="518">
        <f>Настройки!B16</f>
        <v>22</v>
      </c>
      <c r="R19" s="518" t="str">
        <f>Настройки!C16</f>
        <v>Информация</v>
      </c>
      <c r="S19" s="10"/>
      <c r="T19" s="10"/>
      <c r="U19" s="10"/>
      <c r="V19" s="10"/>
      <c r="W19" s="10"/>
      <c r="X19" s="10"/>
      <c r="Y19" s="10"/>
      <c r="Z19" s="10"/>
      <c r="AA19" s="10"/>
      <c r="AB19" s="10"/>
      <c r="AC19" s="10"/>
    </row>
    <row r="20" spans="1:29">
      <c r="A20" s="23" t="str">
        <f t="shared" ref="A20:A47" si="0">$R$2</f>
        <v>АСУЭ.IMstp</v>
      </c>
      <c r="B20" s="24">
        <v>7011</v>
      </c>
      <c r="C20" s="24" t="s">
        <v>2</v>
      </c>
      <c r="D20" s="25" t="s">
        <v>266</v>
      </c>
    </row>
    <row r="21" spans="1:29">
      <c r="A21" s="29" t="str">
        <f t="shared" si="0"/>
        <v>АСУЭ.IMstp</v>
      </c>
      <c r="B21">
        <v>1</v>
      </c>
      <c r="C21" t="s">
        <v>1</v>
      </c>
      <c r="D21" s="30">
        <v>17</v>
      </c>
    </row>
    <row r="22" spans="1:29">
      <c r="A22" t="str">
        <f t="shared" si="0"/>
        <v>АСУЭ.IMstp</v>
      </c>
      <c r="B22">
        <v>11001</v>
      </c>
      <c r="C22" t="s">
        <v>0</v>
      </c>
      <c r="D22" s="30" t="str">
        <f>$Q$2&amp;". "</f>
        <v xml:space="preserve">Выключатель электрический (шаблон по OPC). </v>
      </c>
    </row>
    <row r="23" spans="1:29">
      <c r="A23" s="29" t="str">
        <f t="shared" si="0"/>
        <v>АСУЭ.IMstp</v>
      </c>
      <c r="B23">
        <v>11156</v>
      </c>
      <c r="C23" t="s">
        <v>0</v>
      </c>
      <c r="D23" s="30" t="str">
        <f>$V$2</f>
        <v>Тестовый экран</v>
      </c>
    </row>
    <row r="24" spans="1:29">
      <c r="A24" s="23" t="str">
        <f t="shared" si="0"/>
        <v>АСУЭ.IMstp</v>
      </c>
      <c r="B24" s="24">
        <v>11120</v>
      </c>
      <c r="C24" s="24" t="s">
        <v>0</v>
      </c>
      <c r="D24" s="25" t="str">
        <f>$AC$2</f>
        <v>Синий</v>
      </c>
    </row>
    <row r="25" spans="1:29" ht="15" customHeight="1">
      <c r="A25" s="23" t="str">
        <f t="shared" si="0"/>
        <v>АСУЭ.IMstp</v>
      </c>
      <c r="B25" s="24">
        <v>13</v>
      </c>
      <c r="C25" s="24" t="s">
        <v>2</v>
      </c>
      <c r="D25" s="25" t="s">
        <v>3</v>
      </c>
      <c r="Q25" s="778" t="s">
        <v>2592</v>
      </c>
    </row>
    <row r="26" spans="1:29" ht="15" customHeight="1">
      <c r="A26" s="29" t="str">
        <f t="shared" si="0"/>
        <v>АСУЭ.IMstp</v>
      </c>
      <c r="B26">
        <v>3000013</v>
      </c>
      <c r="C26" t="s">
        <v>0</v>
      </c>
      <c r="D26" s="30" t="str">
        <f>$AE$2</f>
        <v>Диагностика.CPU.NOT_LINK.noLink</v>
      </c>
      <c r="Q26" s="780"/>
    </row>
    <row r="27" spans="1:29" ht="15" customHeight="1">
      <c r="A27" s="29" t="str">
        <f t="shared" si="0"/>
        <v>АСУЭ.IMstp</v>
      </c>
      <c r="B27">
        <v>4000013</v>
      </c>
      <c r="C27" t="s">
        <v>0</v>
      </c>
      <c r="D27" s="30" t="s">
        <v>1775</v>
      </c>
      <c r="Q27" s="780"/>
    </row>
    <row r="28" spans="1:29" ht="15" customHeight="1">
      <c r="A28" s="26" t="str">
        <f t="shared" si="0"/>
        <v>АСУЭ.IMstp</v>
      </c>
      <c r="B28" s="27">
        <v>7000013</v>
      </c>
      <c r="C28" s="27" t="s">
        <v>6</v>
      </c>
      <c r="D28" s="28">
        <v>2</v>
      </c>
      <c r="Q28" s="779"/>
    </row>
    <row r="29" spans="1:29" ht="15" customHeight="1">
      <c r="A29" s="29" t="str">
        <f t="shared" si="0"/>
        <v>АСУЭ.IMstp</v>
      </c>
      <c r="B29">
        <v>9207</v>
      </c>
      <c r="C29" t="s">
        <v>2</v>
      </c>
      <c r="D29" s="30" t="s">
        <v>3</v>
      </c>
      <c r="Q29" s="778" t="s">
        <v>139</v>
      </c>
    </row>
    <row r="30" spans="1:29">
      <c r="A30" s="27" t="str">
        <f t="shared" si="0"/>
        <v>АСУЭ.IMstp</v>
      </c>
      <c r="B30" s="27">
        <v>3009207</v>
      </c>
      <c r="C30" s="27" t="s">
        <v>0</v>
      </c>
      <c r="D30" s="28" t="s">
        <v>2611</v>
      </c>
      <c r="Q30" s="779"/>
    </row>
    <row r="31" spans="1:29" ht="15" customHeight="1">
      <c r="A31" s="16" t="str">
        <f t="shared" si="0"/>
        <v>АСУЭ.IMstp</v>
      </c>
      <c r="B31" s="17">
        <v>9229</v>
      </c>
      <c r="C31" s="17" t="s">
        <v>2</v>
      </c>
      <c r="D31" s="18" t="s">
        <v>3</v>
      </c>
      <c r="Q31" s="778" t="s">
        <v>2684</v>
      </c>
    </row>
    <row r="32" spans="1:29">
      <c r="A32" s="19" t="str">
        <f t="shared" si="0"/>
        <v>АСУЭ.IMstp</v>
      </c>
      <c r="B32" s="11">
        <v>7009229</v>
      </c>
      <c r="C32" s="11" t="s">
        <v>6</v>
      </c>
      <c r="D32" s="20">
        <v>1</v>
      </c>
      <c r="Q32" s="780"/>
    </row>
    <row r="33" spans="1:17">
      <c r="A33" s="21" t="str">
        <f t="shared" si="0"/>
        <v>АСУЭ.IMstp</v>
      </c>
      <c r="B33" s="8">
        <v>4009229</v>
      </c>
      <c r="C33" s="8" t="s">
        <v>0</v>
      </c>
      <c r="D33" s="742" t="s">
        <v>2685</v>
      </c>
      <c r="Q33" s="779"/>
    </row>
    <row r="34" spans="1:17" ht="15" customHeight="1">
      <c r="A34" s="19" t="str">
        <f t="shared" si="0"/>
        <v>АСУЭ.IMstp</v>
      </c>
      <c r="B34" s="11">
        <v>9230</v>
      </c>
      <c r="C34" s="11" t="s">
        <v>2</v>
      </c>
      <c r="D34" s="20" t="s">
        <v>3</v>
      </c>
      <c r="Q34" s="778" t="s">
        <v>2686</v>
      </c>
    </row>
    <row r="35" spans="1:17">
      <c r="A35" s="19" t="str">
        <f t="shared" si="0"/>
        <v>АСУЭ.IMstp</v>
      </c>
      <c r="B35" s="11">
        <v>7009230</v>
      </c>
      <c r="C35" s="11" t="s">
        <v>6</v>
      </c>
      <c r="D35" s="20">
        <v>1</v>
      </c>
      <c r="Q35" s="780"/>
    </row>
    <row r="36" spans="1:17">
      <c r="A36" s="21" t="str">
        <f t="shared" si="0"/>
        <v>АСУЭ.IMstp</v>
      </c>
      <c r="B36" s="8">
        <v>4009230</v>
      </c>
      <c r="C36" s="8" t="s">
        <v>0</v>
      </c>
      <c r="D36" s="742" t="s">
        <v>2687</v>
      </c>
      <c r="Q36" s="779"/>
    </row>
    <row r="37" spans="1:17" ht="15" customHeight="1">
      <c r="A37" s="19" t="str">
        <f t="shared" si="0"/>
        <v>АСУЭ.IMstp</v>
      </c>
      <c r="B37" s="11">
        <v>9231</v>
      </c>
      <c r="C37" s="11" t="s">
        <v>2</v>
      </c>
      <c r="D37" s="20" t="s">
        <v>3</v>
      </c>
      <c r="Q37" s="778" t="s">
        <v>2690</v>
      </c>
    </row>
    <row r="38" spans="1:17">
      <c r="A38" s="19" t="str">
        <f t="shared" si="0"/>
        <v>АСУЭ.IMstp</v>
      </c>
      <c r="B38" s="11">
        <v>7009231</v>
      </c>
      <c r="C38" s="11" t="s">
        <v>6</v>
      </c>
      <c r="D38" s="20">
        <v>1</v>
      </c>
      <c r="Q38" s="780"/>
    </row>
    <row r="39" spans="1:17">
      <c r="A39" s="21" t="str">
        <f t="shared" si="0"/>
        <v>АСУЭ.IMstp</v>
      </c>
      <c r="B39" s="8">
        <v>4009231</v>
      </c>
      <c r="C39" s="8" t="s">
        <v>0</v>
      </c>
      <c r="D39" s="742" t="s">
        <v>2691</v>
      </c>
      <c r="Q39" s="779"/>
    </row>
    <row r="40" spans="1:17">
      <c r="A40" s="712" t="str">
        <f t="shared" si="0"/>
        <v>АСУЭ.IMstp</v>
      </c>
      <c r="B40" s="711">
        <v>9204</v>
      </c>
      <c r="C40" s="711" t="s">
        <v>6</v>
      </c>
      <c r="D40" s="710">
        <v>0</v>
      </c>
      <c r="Q40" s="518" t="s">
        <v>2595</v>
      </c>
    </row>
    <row r="41" spans="1:17">
      <c r="A41" s="712" t="str">
        <f t="shared" si="0"/>
        <v>АСУЭ.IMstp</v>
      </c>
      <c r="B41" s="711">
        <v>9205</v>
      </c>
      <c r="C41" s="711" t="s">
        <v>6</v>
      </c>
      <c r="D41" s="710">
        <v>0</v>
      </c>
      <c r="Q41" s="518" t="s">
        <v>343</v>
      </c>
    </row>
    <row r="42" spans="1:17">
      <c r="A42" s="712" t="str">
        <f t="shared" si="0"/>
        <v>АСУЭ.IMstp</v>
      </c>
      <c r="B42" s="711">
        <v>9206</v>
      </c>
      <c r="C42" s="711" t="s">
        <v>6</v>
      </c>
      <c r="D42" s="710">
        <v>0</v>
      </c>
      <c r="Q42" s="518" t="s">
        <v>2604</v>
      </c>
    </row>
    <row r="43" spans="1:17">
      <c r="A43" s="29" t="str">
        <f t="shared" si="0"/>
        <v>АСУЭ.IMstp</v>
      </c>
      <c r="B43">
        <v>9219</v>
      </c>
      <c r="C43" t="s">
        <v>2</v>
      </c>
      <c r="D43" s="30" t="s">
        <v>3</v>
      </c>
      <c r="Q43" s="778" t="s">
        <v>224</v>
      </c>
    </row>
    <row r="44" spans="1:17">
      <c r="A44" s="29" t="str">
        <f t="shared" si="0"/>
        <v>АСУЭ.IMstp</v>
      </c>
      <c r="B44" s="27">
        <v>3009219</v>
      </c>
      <c r="C44" s="27" t="s">
        <v>0</v>
      </c>
      <c r="D44" s="28" t="str">
        <f>$X$2</f>
        <v>!АСУЭ.ЗРУиКТП.DI_1.XVLX.value &amp;&amp; АСУЭ.ЗРУиКТП.IMstp_1.XONX.value &amp;&amp; АСУЭ.ЗРУиКТП.IMstp_1.XTON.value</v>
      </c>
      <c r="Q44" s="779"/>
    </row>
    <row r="45" spans="1:17">
      <c r="A45" s="23" t="str">
        <f t="shared" si="0"/>
        <v>АСУЭ.IMstp</v>
      </c>
      <c r="B45">
        <v>9220</v>
      </c>
      <c r="C45" t="s">
        <v>2</v>
      </c>
      <c r="D45" s="30" t="s">
        <v>3</v>
      </c>
      <c r="Q45" s="778" t="s">
        <v>223</v>
      </c>
    </row>
    <row r="46" spans="1:17">
      <c r="A46" s="29" t="str">
        <f t="shared" si="0"/>
        <v>АСУЭ.IMstp</v>
      </c>
      <c r="B46" s="27">
        <v>3009220</v>
      </c>
      <c r="C46" s="27" t="s">
        <v>0</v>
      </c>
      <c r="D46" s="28" t="str">
        <f>$W$2</f>
        <v>!АСУЭ.ЗРУиКТП.DI_1.XVLX.value &amp;&amp; АСУЭ.ЗРУиКТП.IMstp_1.XTON.value</v>
      </c>
      <c r="Q46" s="779"/>
    </row>
    <row r="47" spans="1:17">
      <c r="A47" s="449" t="str">
        <f t="shared" si="0"/>
        <v>АСУЭ.IMstp</v>
      </c>
      <c r="B47" s="551">
        <v>9218</v>
      </c>
      <c r="C47" s="551" t="s">
        <v>2</v>
      </c>
      <c r="D47" s="552" t="s">
        <v>3</v>
      </c>
      <c r="Q47" s="518" t="s">
        <v>2603</v>
      </c>
    </row>
    <row r="48" spans="1:17">
      <c r="A48" t="str">
        <f>$R$2&amp;".Commands"</f>
        <v>АСУЭ.IMstp.Commands</v>
      </c>
      <c r="B48" s="24">
        <v>7011</v>
      </c>
      <c r="C48" s="24" t="s">
        <v>2</v>
      </c>
      <c r="D48" s="25" t="s">
        <v>266</v>
      </c>
    </row>
    <row r="49" spans="1:17" ht="15" customHeight="1">
      <c r="A49" t="str">
        <f t="shared" ref="A49:A62" si="1">$R$2&amp;".Commands"</f>
        <v>АСУЭ.IMstp.Commands</v>
      </c>
      <c r="B49">
        <v>1</v>
      </c>
      <c r="C49" t="s">
        <v>1</v>
      </c>
      <c r="D49" s="30">
        <v>17</v>
      </c>
    </row>
    <row r="50" spans="1:17">
      <c r="A50" s="23" t="str">
        <f t="shared" si="1"/>
        <v>АСУЭ.IMstp.Commands</v>
      </c>
      <c r="B50" s="24">
        <v>9208</v>
      </c>
      <c r="C50" s="24" t="s">
        <v>2</v>
      </c>
      <c r="D50" s="25" t="s">
        <v>3</v>
      </c>
      <c r="Q50" s="778" t="s">
        <v>114</v>
      </c>
    </row>
    <row r="51" spans="1:17">
      <c r="A51" t="str">
        <f t="shared" si="1"/>
        <v>АСУЭ.IMstp.Commands</v>
      </c>
      <c r="B51">
        <v>4009208</v>
      </c>
      <c r="C51" t="s">
        <v>0</v>
      </c>
      <c r="D51" s="415" t="s">
        <v>2585</v>
      </c>
      <c r="Q51" s="780"/>
    </row>
    <row r="52" spans="1:17">
      <c r="A52" s="29" t="str">
        <f t="shared" si="1"/>
        <v>АСУЭ.IMstp.Commands</v>
      </c>
      <c r="B52">
        <v>7009208</v>
      </c>
      <c r="C52" t="s">
        <v>6</v>
      </c>
      <c r="D52" s="30">
        <v>1</v>
      </c>
      <c r="Q52" s="779"/>
    </row>
    <row r="53" spans="1:17">
      <c r="A53" s="23" t="str">
        <f t="shared" si="1"/>
        <v>АСУЭ.IMstp.Commands</v>
      </c>
      <c r="B53" s="24">
        <v>9209</v>
      </c>
      <c r="C53" s="24" t="s">
        <v>2</v>
      </c>
      <c r="D53" s="25" t="s">
        <v>3</v>
      </c>
      <c r="Q53" s="778" t="s">
        <v>116</v>
      </c>
    </row>
    <row r="54" spans="1:17" ht="16.5" customHeight="1">
      <c r="A54" s="29" t="str">
        <f t="shared" si="1"/>
        <v>АСУЭ.IMstp.Commands</v>
      </c>
      <c r="B54">
        <v>4009209</v>
      </c>
      <c r="C54" t="s">
        <v>0</v>
      </c>
      <c r="D54" s="713" t="s">
        <v>2602</v>
      </c>
      <c r="Q54" s="780"/>
    </row>
    <row r="55" spans="1:17">
      <c r="A55" s="29" t="str">
        <f t="shared" si="1"/>
        <v>АСУЭ.IMstp.Commands</v>
      </c>
      <c r="B55">
        <v>7009209</v>
      </c>
      <c r="C55" t="s">
        <v>6</v>
      </c>
      <c r="D55" s="30">
        <v>1</v>
      </c>
      <c r="Q55" s="779"/>
    </row>
    <row r="56" spans="1:17">
      <c r="A56" s="712" t="str">
        <f t="shared" si="1"/>
        <v>АСУЭ.IMstp.Commands</v>
      </c>
      <c r="B56" s="711">
        <v>9211</v>
      </c>
      <c r="C56" s="711" t="s">
        <v>6</v>
      </c>
      <c r="D56" s="710">
        <v>0</v>
      </c>
      <c r="Q56" s="537" t="s">
        <v>2593</v>
      </c>
    </row>
    <row r="57" spans="1:17">
      <c r="A57" s="712" t="str">
        <f t="shared" si="1"/>
        <v>АСУЭ.IMstp.Commands</v>
      </c>
      <c r="B57" s="711">
        <v>9212</v>
      </c>
      <c r="C57" s="711" t="s">
        <v>6</v>
      </c>
      <c r="D57" s="710">
        <v>0</v>
      </c>
      <c r="Q57" s="537" t="s">
        <v>2601</v>
      </c>
    </row>
    <row r="58" spans="1:17" ht="15" customHeight="1">
      <c r="A58" s="269" t="str">
        <f t="shared" si="1"/>
        <v>АСУЭ.IMstp.Commands</v>
      </c>
      <c r="B58" s="700">
        <v>9213</v>
      </c>
      <c r="C58" s="700" t="s">
        <v>2583</v>
      </c>
      <c r="D58" s="271">
        <f>$Z$2</f>
        <v>2</v>
      </c>
      <c r="Q58" s="537" t="s">
        <v>128</v>
      </c>
    </row>
    <row r="59" spans="1:17">
      <c r="A59" s="26" t="str">
        <f t="shared" si="1"/>
        <v>АСУЭ.IMstp.Commands</v>
      </c>
      <c r="B59" s="27">
        <v>9214</v>
      </c>
      <c r="C59" s="24" t="s">
        <v>2</v>
      </c>
      <c r="D59" s="25" t="s">
        <v>3</v>
      </c>
      <c r="Q59" s="537" t="s">
        <v>2600</v>
      </c>
    </row>
    <row r="60" spans="1:17">
      <c r="A60" s="26" t="str">
        <f t="shared" si="1"/>
        <v>АСУЭ.IMstp.Commands</v>
      </c>
      <c r="B60" s="27">
        <v>9215</v>
      </c>
      <c r="C60" s="24" t="s">
        <v>2</v>
      </c>
      <c r="D60" s="25" t="s">
        <v>3</v>
      </c>
      <c r="Q60" s="537" t="s">
        <v>2599</v>
      </c>
    </row>
    <row r="61" spans="1:17">
      <c r="A61" s="26" t="str">
        <f t="shared" si="1"/>
        <v>АСУЭ.IMstp.Commands</v>
      </c>
      <c r="B61" s="27">
        <v>9216</v>
      </c>
      <c r="C61" s="24" t="s">
        <v>2</v>
      </c>
      <c r="D61" s="25" t="s">
        <v>3</v>
      </c>
      <c r="Q61" s="537" t="s">
        <v>2598</v>
      </c>
    </row>
    <row r="62" spans="1:17">
      <c r="A62" s="26" t="str">
        <f t="shared" si="1"/>
        <v>АСУЭ.IMstp.Commands</v>
      </c>
      <c r="B62" s="27">
        <v>9217</v>
      </c>
      <c r="C62" s="24" t="s">
        <v>2</v>
      </c>
      <c r="D62" s="25" t="s">
        <v>3</v>
      </c>
      <c r="Q62" s="537" t="s">
        <v>2597</v>
      </c>
    </row>
    <row r="63" spans="1:17">
      <c r="A63" s="1" t="str">
        <f t="shared" ref="A63:A75" si="2">$R$2&amp;".aPrt"</f>
        <v>АСУЭ.IMstp.aPrt</v>
      </c>
      <c r="B63" s="24">
        <v>7011</v>
      </c>
      <c r="C63" s="24" t="s">
        <v>2</v>
      </c>
      <c r="D63" s="25" t="s">
        <v>266</v>
      </c>
    </row>
    <row r="64" spans="1:17">
      <c r="A64" s="1" t="str">
        <f t="shared" si="2"/>
        <v>АСУЭ.IMstp.aPrt</v>
      </c>
      <c r="B64" s="1">
        <v>3</v>
      </c>
      <c r="C64" s="1" t="s">
        <v>1</v>
      </c>
      <c r="D64" s="30">
        <v>192</v>
      </c>
    </row>
    <row r="65" spans="1:4">
      <c r="A65" s="29" t="str">
        <f t="shared" si="2"/>
        <v>АСУЭ.IMstp.aPrt</v>
      </c>
      <c r="B65">
        <v>2</v>
      </c>
      <c r="C65" t="s">
        <v>2</v>
      </c>
      <c r="D65" s="30" t="s">
        <v>3</v>
      </c>
    </row>
    <row r="66" spans="1:4">
      <c r="A66" s="29" t="str">
        <f t="shared" si="2"/>
        <v>АСУЭ.IMstp.aPrt</v>
      </c>
      <c r="B66">
        <v>1</v>
      </c>
      <c r="C66" t="s">
        <v>1</v>
      </c>
      <c r="D66" s="30">
        <v>11</v>
      </c>
    </row>
    <row r="67" spans="1:4">
      <c r="A67" s="29" t="str">
        <f t="shared" si="2"/>
        <v>АСУЭ.IMstp.aPrt</v>
      </c>
      <c r="B67">
        <v>101</v>
      </c>
      <c r="C67" t="s">
        <v>0</v>
      </c>
      <c r="D67" s="30" t="s">
        <v>140</v>
      </c>
    </row>
    <row r="68" spans="1:4">
      <c r="A68" s="29" t="str">
        <f t="shared" si="2"/>
        <v>АСУЭ.IMstp.aPrt</v>
      </c>
      <c r="B68">
        <v>7998</v>
      </c>
      <c r="C68" t="s">
        <v>6</v>
      </c>
      <c r="D68" s="30">
        <v>1</v>
      </c>
    </row>
    <row r="69" spans="1:4">
      <c r="A69" s="29" t="str">
        <f t="shared" si="2"/>
        <v>АСУЭ.IMstp.aPrt</v>
      </c>
      <c r="B69">
        <v>7999</v>
      </c>
      <c r="C69" t="s">
        <v>0</v>
      </c>
      <c r="D69" s="30" t="str">
        <f>"#"&amp;$S$2&amp;"#"&amp;$T$2&amp;"\"&amp;$P$2&amp;"\aPrt"</f>
        <v>#3#\\Setup_rza\Modbus.OPCServer\ZRU_Sepam\\aPrt</v>
      </c>
    </row>
    <row r="70" spans="1:4">
      <c r="A70" s="148" t="str">
        <f t="shared" si="2"/>
        <v>АСУЭ.IMstp.aPrt</v>
      </c>
      <c r="B70" s="683">
        <v>11154</v>
      </c>
      <c r="C70" s="683" t="s">
        <v>4</v>
      </c>
      <c r="D70" s="125">
        <f>$Q$5</f>
        <v>4</v>
      </c>
    </row>
    <row r="71" spans="1:4">
      <c r="A71" s="148" t="str">
        <f t="shared" si="2"/>
        <v>АСУЭ.IMstp.aPrt</v>
      </c>
      <c r="B71" s="683">
        <v>11152</v>
      </c>
      <c r="C71" s="683" t="s">
        <v>0</v>
      </c>
      <c r="D71" s="125" t="str">
        <f>$R$5</f>
        <v>Авария</v>
      </c>
    </row>
    <row r="72" spans="1:4">
      <c r="A72" s="148" t="str">
        <f t="shared" si="2"/>
        <v>АСУЭ.IMstp.aPrt</v>
      </c>
      <c r="B72" s="683">
        <v>11150</v>
      </c>
      <c r="C72" s="683" t="s">
        <v>0</v>
      </c>
      <c r="D72" s="125" t="s">
        <v>141</v>
      </c>
    </row>
    <row r="73" spans="1:4">
      <c r="A73" s="683" t="str">
        <f t="shared" si="2"/>
        <v>АСУЭ.IMstp.aPrt</v>
      </c>
      <c r="B73" s="683">
        <v>11000</v>
      </c>
      <c r="C73" s="683" t="s">
        <v>5</v>
      </c>
      <c r="D73" s="125">
        <v>2147483680</v>
      </c>
    </row>
    <row r="74" spans="1:4">
      <c r="A74" s="29" t="str">
        <f t="shared" si="2"/>
        <v>АСУЭ.IMstp.aPrt</v>
      </c>
      <c r="B74">
        <v>7000000</v>
      </c>
      <c r="C74" t="s">
        <v>6</v>
      </c>
      <c r="D74" s="30">
        <v>1</v>
      </c>
    </row>
    <row r="75" spans="1:4">
      <c r="A75" s="26" t="str">
        <f t="shared" si="2"/>
        <v>АСУЭ.IMstp.aPrt</v>
      </c>
      <c r="B75" s="27">
        <v>4000000</v>
      </c>
      <c r="C75" s="27" t="s">
        <v>0</v>
      </c>
      <c r="D75" s="701" t="s">
        <v>2692</v>
      </c>
    </row>
    <row r="76" spans="1:4">
      <c r="A76" s="23" t="str">
        <f t="shared" ref="A76:A84" si="3">$R$2&amp;".wCntLimit"</f>
        <v>АСУЭ.IMstp.wCntLimit</v>
      </c>
      <c r="B76" s="24">
        <v>101</v>
      </c>
      <c r="C76" s="24" t="s">
        <v>0</v>
      </c>
      <c r="D76" s="25" t="s">
        <v>157</v>
      </c>
    </row>
    <row r="77" spans="1:4">
      <c r="A77" s="29" t="str">
        <f t="shared" si="3"/>
        <v>АСУЭ.IMstp.wCntLimit</v>
      </c>
      <c r="B77">
        <v>1</v>
      </c>
      <c r="C77" t="s">
        <v>1</v>
      </c>
      <c r="D77" s="30">
        <v>11</v>
      </c>
    </row>
    <row r="78" spans="1:4">
      <c r="A78" s="29" t="str">
        <f t="shared" si="3"/>
        <v>АСУЭ.IMstp.wCntLimit</v>
      </c>
      <c r="B78">
        <v>2</v>
      </c>
      <c r="C78" t="s">
        <v>2</v>
      </c>
      <c r="D78" s="30" t="s">
        <v>3</v>
      </c>
    </row>
    <row r="79" spans="1:4">
      <c r="A79" s="29" t="str">
        <f t="shared" si="3"/>
        <v>АСУЭ.IMstp.wCntLimit</v>
      </c>
      <c r="B79">
        <v>3</v>
      </c>
      <c r="C79" t="s">
        <v>1</v>
      </c>
      <c r="D79" s="30">
        <v>192</v>
      </c>
    </row>
    <row r="80" spans="1:4">
      <c r="A80" s="63" t="str">
        <f t="shared" si="3"/>
        <v>АСУЭ.IMstp.wCntLimit</v>
      </c>
      <c r="B80" s="52">
        <v>11154</v>
      </c>
      <c r="C80" s="52" t="s">
        <v>4</v>
      </c>
      <c r="D80" s="65">
        <f>$Q$6</f>
        <v>8</v>
      </c>
    </row>
    <row r="81" spans="1:4">
      <c r="A81" s="63" t="str">
        <f t="shared" si="3"/>
        <v>АСУЭ.IMstp.wCntLimit</v>
      </c>
      <c r="B81" s="52">
        <v>11152</v>
      </c>
      <c r="C81" s="52" t="s">
        <v>0</v>
      </c>
      <c r="D81" s="65" t="str">
        <f>$R$6</f>
        <v>Предупреждение</v>
      </c>
    </row>
    <row r="82" spans="1:4">
      <c r="A82" s="63" t="str">
        <f t="shared" si="3"/>
        <v>АСУЭ.IMstp.wCntLimit</v>
      </c>
      <c r="B82" s="52">
        <v>11150</v>
      </c>
      <c r="C82" s="52" t="s">
        <v>0</v>
      </c>
      <c r="D82" s="65" t="s">
        <v>157</v>
      </c>
    </row>
    <row r="83" spans="1:4">
      <c r="A83" s="52" t="str">
        <f t="shared" si="3"/>
        <v>АСУЭ.IMstp.wCntLimit</v>
      </c>
      <c r="B83" s="52">
        <v>11000</v>
      </c>
      <c r="C83" s="52" t="s">
        <v>5</v>
      </c>
      <c r="D83" s="65">
        <v>2147483680</v>
      </c>
    </row>
    <row r="84" spans="1:4">
      <c r="A84" t="str">
        <f t="shared" si="3"/>
        <v>АСУЭ.IMstp.wCntLimit</v>
      </c>
      <c r="B84" s="27">
        <v>3000000</v>
      </c>
      <c r="C84" s="27" t="s">
        <v>0</v>
      </c>
      <c r="D84" s="28" t="s">
        <v>2330</v>
      </c>
    </row>
    <row r="85" spans="1:4">
      <c r="A85" s="23" t="str">
        <f t="shared" ref="A85:A93" si="4">$R$2&amp;".wCntLimitPrt"</f>
        <v>АСУЭ.IMstp.wCntLimitPrt</v>
      </c>
      <c r="B85" s="24">
        <v>101</v>
      </c>
      <c r="C85" s="24" t="s">
        <v>0</v>
      </c>
      <c r="D85" s="25" t="s">
        <v>177</v>
      </c>
    </row>
    <row r="86" spans="1:4">
      <c r="A86" s="29" t="str">
        <f t="shared" si="4"/>
        <v>АСУЭ.IMstp.wCntLimitPrt</v>
      </c>
      <c r="B86">
        <v>1</v>
      </c>
      <c r="C86" t="s">
        <v>1</v>
      </c>
      <c r="D86" s="30">
        <v>11</v>
      </c>
    </row>
    <row r="87" spans="1:4">
      <c r="A87" s="29" t="str">
        <f t="shared" si="4"/>
        <v>АСУЭ.IMstp.wCntLimitPrt</v>
      </c>
      <c r="B87">
        <v>2</v>
      </c>
      <c r="C87" t="s">
        <v>2</v>
      </c>
      <c r="D87" s="30" t="s">
        <v>3</v>
      </c>
    </row>
    <row r="88" spans="1:4">
      <c r="A88" s="29" t="str">
        <f t="shared" si="4"/>
        <v>АСУЭ.IMstp.wCntLimitPrt</v>
      </c>
      <c r="B88">
        <v>3</v>
      </c>
      <c r="C88" t="s">
        <v>1</v>
      </c>
      <c r="D88" s="30">
        <v>192</v>
      </c>
    </row>
    <row r="89" spans="1:4">
      <c r="A89" s="63" t="str">
        <f t="shared" si="4"/>
        <v>АСУЭ.IMstp.wCntLimitPrt</v>
      </c>
      <c r="B89" s="52">
        <v>11154</v>
      </c>
      <c r="C89" s="52" t="s">
        <v>4</v>
      </c>
      <c r="D89" s="65">
        <f>$Q$6</f>
        <v>8</v>
      </c>
    </row>
    <row r="90" spans="1:4">
      <c r="A90" s="63" t="str">
        <f t="shared" si="4"/>
        <v>АСУЭ.IMstp.wCntLimitPrt</v>
      </c>
      <c r="B90" s="52">
        <v>11152</v>
      </c>
      <c r="C90" s="52" t="s">
        <v>0</v>
      </c>
      <c r="D90" s="65" t="str">
        <f>$R$6</f>
        <v>Предупреждение</v>
      </c>
    </row>
    <row r="91" spans="1:4">
      <c r="A91" s="63" t="str">
        <f t="shared" si="4"/>
        <v>АСУЭ.IMstp.wCntLimitPrt</v>
      </c>
      <c r="B91" s="52">
        <v>11150</v>
      </c>
      <c r="C91" s="52" t="s">
        <v>0</v>
      </c>
      <c r="D91" s="65" t="s">
        <v>177</v>
      </c>
    </row>
    <row r="92" spans="1:4">
      <c r="A92" s="52" t="str">
        <f t="shared" si="4"/>
        <v>АСУЭ.IMstp.wCntLimitPrt</v>
      </c>
      <c r="B92" s="52">
        <v>11000</v>
      </c>
      <c r="C92" s="52" t="s">
        <v>5</v>
      </c>
      <c r="D92" s="65">
        <v>2147483680</v>
      </c>
    </row>
    <row r="93" spans="1:4">
      <c r="A93" t="str">
        <f t="shared" si="4"/>
        <v>АСУЭ.IMstp.wCntLimitPrt</v>
      </c>
      <c r="B93">
        <v>3000000</v>
      </c>
      <c r="C93" t="s">
        <v>0</v>
      </c>
      <c r="D93" s="30" t="s">
        <v>2329</v>
      </c>
    </row>
    <row r="94" spans="1:4">
      <c r="A94" s="23" t="str">
        <f t="shared" ref="A94:A103" si="5">$R$2&amp;".fFault"</f>
        <v>АСУЭ.IMstp.fFault</v>
      </c>
      <c r="B94" s="24">
        <v>3</v>
      </c>
      <c r="C94" s="24" t="s">
        <v>1</v>
      </c>
      <c r="D94" s="25">
        <v>192</v>
      </c>
    </row>
    <row r="95" spans="1:4">
      <c r="A95" s="29" t="str">
        <f t="shared" si="5"/>
        <v>АСУЭ.IMstp.fFault</v>
      </c>
      <c r="B95">
        <v>2</v>
      </c>
      <c r="C95" t="s">
        <v>2</v>
      </c>
      <c r="D95" s="30" t="s">
        <v>3</v>
      </c>
    </row>
    <row r="96" spans="1:4">
      <c r="A96" s="29" t="str">
        <f t="shared" si="5"/>
        <v>АСУЭ.IMstp.fFault</v>
      </c>
      <c r="B96">
        <v>1</v>
      </c>
      <c r="C96" t="s">
        <v>1</v>
      </c>
      <c r="D96" s="30">
        <v>11</v>
      </c>
    </row>
    <row r="97" spans="1:4">
      <c r="A97" s="29" t="str">
        <f t="shared" si="5"/>
        <v>АСУЭ.IMstp.fFault</v>
      </c>
      <c r="B97">
        <v>101</v>
      </c>
      <c r="C97" t="s">
        <v>0</v>
      </c>
      <c r="D97" s="30" t="s">
        <v>176</v>
      </c>
    </row>
    <row r="98" spans="1:4">
      <c r="A98" s="29" t="str">
        <f t="shared" si="5"/>
        <v>АСУЭ.IMstp.fFault</v>
      </c>
      <c r="B98">
        <v>7998</v>
      </c>
      <c r="C98" t="s">
        <v>6</v>
      </c>
      <c r="D98" s="30">
        <v>1</v>
      </c>
    </row>
    <row r="99" spans="1:4">
      <c r="A99" s="29" t="str">
        <f t="shared" si="5"/>
        <v>АСУЭ.IMstp.fFault</v>
      </c>
      <c r="B99">
        <v>7999</v>
      </c>
      <c r="C99" t="s">
        <v>0</v>
      </c>
      <c r="D99" s="30" t="str">
        <f>"#"&amp;$S$2&amp;"#"&amp;$T$2&amp;"\"&amp;$P$2&amp;"\fFault"</f>
        <v>#3#\\Setup_rza\Modbus.OPCServer\ZRU_Sepam\\fFault</v>
      </c>
    </row>
    <row r="100" spans="1:4">
      <c r="A100" s="211" t="str">
        <f t="shared" si="5"/>
        <v>АСУЭ.IMstp.fFault</v>
      </c>
      <c r="B100" s="677">
        <v>11154</v>
      </c>
      <c r="C100" s="677" t="s">
        <v>4</v>
      </c>
      <c r="D100" s="213">
        <f>$Q$7</f>
        <v>12</v>
      </c>
    </row>
    <row r="101" spans="1:4">
      <c r="A101" s="211" t="str">
        <f t="shared" si="5"/>
        <v>АСУЭ.IMstp.fFault</v>
      </c>
      <c r="B101" s="677">
        <v>11150</v>
      </c>
      <c r="C101" s="677" t="s">
        <v>0</v>
      </c>
      <c r="D101" s="213" t="s">
        <v>110</v>
      </c>
    </row>
    <row r="102" spans="1:4">
      <c r="A102" s="211" t="str">
        <f t="shared" si="5"/>
        <v>АСУЭ.IMstp.fFault</v>
      </c>
      <c r="B102" s="677">
        <v>11000</v>
      </c>
      <c r="C102" s="677" t="s">
        <v>5</v>
      </c>
      <c r="D102" s="213">
        <v>2147483680</v>
      </c>
    </row>
    <row r="103" spans="1:4">
      <c r="A103" s="214" t="str">
        <f t="shared" si="5"/>
        <v>АСУЭ.IMstp.fFault</v>
      </c>
      <c r="B103" s="215">
        <v>11152</v>
      </c>
      <c r="C103" s="215" t="s">
        <v>0</v>
      </c>
      <c r="D103" s="216" t="str">
        <f>$R$7</f>
        <v>Неисправность</v>
      </c>
    </row>
    <row r="104" spans="1:4">
      <c r="A104" s="23" t="str">
        <f t="shared" ref="A104:A111" si="6">$R$2&amp;".wNotOff"</f>
        <v>АСУЭ.IMstp.wNotOff</v>
      </c>
      <c r="B104" s="24">
        <v>3</v>
      </c>
      <c r="C104" s="24" t="s">
        <v>1</v>
      </c>
      <c r="D104" s="25">
        <v>192</v>
      </c>
    </row>
    <row r="105" spans="1:4">
      <c r="A105" s="29" t="str">
        <f t="shared" si="6"/>
        <v>АСУЭ.IMstp.wNotOff</v>
      </c>
      <c r="B105">
        <v>2</v>
      </c>
      <c r="C105" t="s">
        <v>2</v>
      </c>
      <c r="D105" s="30" t="s">
        <v>3</v>
      </c>
    </row>
    <row r="106" spans="1:4">
      <c r="A106" s="29" t="str">
        <f t="shared" si="6"/>
        <v>АСУЭ.IMstp.wNotOff</v>
      </c>
      <c r="B106">
        <v>1</v>
      </c>
      <c r="C106" t="s">
        <v>1</v>
      </c>
      <c r="D106" s="30">
        <v>11</v>
      </c>
    </row>
    <row r="107" spans="1:4">
      <c r="A107" s="29" t="str">
        <f t="shared" si="6"/>
        <v>АСУЭ.IMstp.wNotOff</v>
      </c>
      <c r="B107">
        <v>101</v>
      </c>
      <c r="C107" t="s">
        <v>0</v>
      </c>
      <c r="D107" s="30" t="s">
        <v>150</v>
      </c>
    </row>
    <row r="108" spans="1:4">
      <c r="A108" s="211" t="str">
        <f t="shared" si="6"/>
        <v>АСУЭ.IMstp.wNotOff</v>
      </c>
      <c r="B108" s="677">
        <v>11154</v>
      </c>
      <c r="C108" s="677" t="s">
        <v>4</v>
      </c>
      <c r="D108" s="213">
        <f>$Q$7</f>
        <v>12</v>
      </c>
    </row>
    <row r="109" spans="1:4">
      <c r="A109" s="211" t="str">
        <f t="shared" si="6"/>
        <v>АСУЭ.IMstp.wNotOff</v>
      </c>
      <c r="B109" s="677">
        <v>11152</v>
      </c>
      <c r="C109" s="677" t="s">
        <v>0</v>
      </c>
      <c r="D109" s="213" t="str">
        <f>$R$7</f>
        <v>Неисправность</v>
      </c>
    </row>
    <row r="110" spans="1:4">
      <c r="A110" s="211" t="str">
        <f t="shared" si="6"/>
        <v>АСУЭ.IMstp.wNotOff</v>
      </c>
      <c r="B110" s="677">
        <v>11150</v>
      </c>
      <c r="C110" s="677" t="s">
        <v>0</v>
      </c>
      <c r="D110" s="213" t="s">
        <v>150</v>
      </c>
    </row>
    <row r="111" spans="1:4">
      <c r="A111" s="214" t="str">
        <f t="shared" si="6"/>
        <v>АСУЭ.IMstp.wNotOff</v>
      </c>
      <c r="B111" s="215">
        <v>11000</v>
      </c>
      <c r="C111" s="215" t="s">
        <v>5</v>
      </c>
      <c r="D111" s="216">
        <v>2147483680</v>
      </c>
    </row>
    <row r="112" spans="1:4">
      <c r="A112" s="23" t="str">
        <f t="shared" ref="A112:A119" si="7">$R$2&amp;".wNotOn"</f>
        <v>АСУЭ.IMstp.wNotOn</v>
      </c>
      <c r="B112" s="24">
        <v>3</v>
      </c>
      <c r="C112" s="24" t="s">
        <v>1</v>
      </c>
      <c r="D112" s="25">
        <v>192</v>
      </c>
    </row>
    <row r="113" spans="1:4">
      <c r="A113" s="29" t="str">
        <f t="shared" si="7"/>
        <v>АСУЭ.IMstp.wNotOn</v>
      </c>
      <c r="B113">
        <v>2</v>
      </c>
      <c r="C113" t="s">
        <v>2</v>
      </c>
      <c r="D113" s="30" t="s">
        <v>3</v>
      </c>
    </row>
    <row r="114" spans="1:4">
      <c r="A114" s="29" t="str">
        <f t="shared" si="7"/>
        <v>АСУЭ.IMstp.wNotOn</v>
      </c>
      <c r="B114">
        <v>1</v>
      </c>
      <c r="C114" t="s">
        <v>1</v>
      </c>
      <c r="D114" s="30">
        <v>11</v>
      </c>
    </row>
    <row r="115" spans="1:4">
      <c r="A115" s="29" t="str">
        <f t="shared" si="7"/>
        <v>АСУЭ.IMstp.wNotOn</v>
      </c>
      <c r="B115">
        <v>101</v>
      </c>
      <c r="C115" t="s">
        <v>0</v>
      </c>
      <c r="D115" s="30" t="s">
        <v>163</v>
      </c>
    </row>
    <row r="116" spans="1:4">
      <c r="A116" s="211" t="str">
        <f t="shared" si="7"/>
        <v>АСУЭ.IMstp.wNotOn</v>
      </c>
      <c r="B116" s="677">
        <v>11154</v>
      </c>
      <c r="C116" s="677" t="s">
        <v>4</v>
      </c>
      <c r="D116" s="213">
        <f>$Q$7</f>
        <v>12</v>
      </c>
    </row>
    <row r="117" spans="1:4">
      <c r="A117" s="211" t="str">
        <f t="shared" si="7"/>
        <v>АСУЭ.IMstp.wNotOn</v>
      </c>
      <c r="B117" s="677">
        <v>11152</v>
      </c>
      <c r="C117" s="677" t="s">
        <v>0</v>
      </c>
      <c r="D117" s="213" t="str">
        <f>$R$7</f>
        <v>Неисправность</v>
      </c>
    </row>
    <row r="118" spans="1:4">
      <c r="A118" s="211" t="str">
        <f t="shared" si="7"/>
        <v>АСУЭ.IMstp.wNotOn</v>
      </c>
      <c r="B118" s="677">
        <v>11150</v>
      </c>
      <c r="C118" s="677" t="s">
        <v>0</v>
      </c>
      <c r="D118" s="213" t="s">
        <v>163</v>
      </c>
    </row>
    <row r="119" spans="1:4">
      <c r="A119" s="214" t="str">
        <f t="shared" si="7"/>
        <v>АСУЭ.IMstp.wNotOn</v>
      </c>
      <c r="B119" s="215">
        <v>11000</v>
      </c>
      <c r="C119" s="215" t="s">
        <v>5</v>
      </c>
      <c r="D119" s="216">
        <v>2147483680</v>
      </c>
    </row>
    <row r="120" spans="1:4">
      <c r="A120" s="23" t="str">
        <f t="shared" ref="A120:A127" si="8">$R$2&amp;".wTUnkw"</f>
        <v>АСУЭ.IMstp.wTUnkw</v>
      </c>
      <c r="B120" s="24">
        <v>3</v>
      </c>
      <c r="C120" s="24" t="s">
        <v>1</v>
      </c>
      <c r="D120" s="25">
        <v>192</v>
      </c>
    </row>
    <row r="121" spans="1:4">
      <c r="A121" s="29" t="str">
        <f t="shared" si="8"/>
        <v>АСУЭ.IMstp.wTUnkw</v>
      </c>
      <c r="B121">
        <v>2</v>
      </c>
      <c r="C121" t="s">
        <v>2</v>
      </c>
      <c r="D121" s="30" t="s">
        <v>3</v>
      </c>
    </row>
    <row r="122" spans="1:4">
      <c r="A122" s="29" t="str">
        <f t="shared" si="8"/>
        <v>АСУЭ.IMstp.wTUnkw</v>
      </c>
      <c r="B122">
        <v>1</v>
      </c>
      <c r="C122" t="s">
        <v>1</v>
      </c>
      <c r="D122" s="30">
        <v>11</v>
      </c>
    </row>
    <row r="123" spans="1:4">
      <c r="A123" s="29" t="str">
        <f t="shared" si="8"/>
        <v>АСУЭ.IMstp.wTUnkw</v>
      </c>
      <c r="B123">
        <v>101</v>
      </c>
      <c r="C123" t="s">
        <v>0</v>
      </c>
      <c r="D123" s="30" t="s">
        <v>151</v>
      </c>
    </row>
    <row r="124" spans="1:4">
      <c r="A124" s="211" t="str">
        <f t="shared" si="8"/>
        <v>АСУЭ.IMstp.wTUnkw</v>
      </c>
      <c r="B124" s="677">
        <v>11154</v>
      </c>
      <c r="C124" s="677" t="s">
        <v>4</v>
      </c>
      <c r="D124" s="213">
        <f>$Q$7</f>
        <v>12</v>
      </c>
    </row>
    <row r="125" spans="1:4">
      <c r="A125" s="211" t="str">
        <f t="shared" si="8"/>
        <v>АСУЭ.IMstp.wTUnkw</v>
      </c>
      <c r="B125" s="677">
        <v>11152</v>
      </c>
      <c r="C125" s="677" t="s">
        <v>0</v>
      </c>
      <c r="D125" s="213" t="str">
        <f>$R$7</f>
        <v>Неисправность</v>
      </c>
    </row>
    <row r="126" spans="1:4">
      <c r="A126" s="211" t="str">
        <f t="shared" si="8"/>
        <v>АСУЭ.IMstp.wTUnkw</v>
      </c>
      <c r="B126" s="677">
        <v>11150</v>
      </c>
      <c r="C126" s="677" t="s">
        <v>0</v>
      </c>
      <c r="D126" s="213" t="s">
        <v>152</v>
      </c>
    </row>
    <row r="127" spans="1:4">
      <c r="A127" s="214" t="str">
        <f t="shared" si="8"/>
        <v>АСУЭ.IMstp.wTUnkw</v>
      </c>
      <c r="B127" s="215">
        <v>11000</v>
      </c>
      <c r="C127" s="215" t="s">
        <v>5</v>
      </c>
      <c r="D127" s="216">
        <v>2147483680</v>
      </c>
    </row>
    <row r="128" spans="1:4">
      <c r="A128" s="23" t="str">
        <f t="shared" ref="A128:A135" si="9">$R$2&amp;".wTDbl"</f>
        <v>АСУЭ.IMstp.wTDbl</v>
      </c>
      <c r="B128" s="24">
        <v>3</v>
      </c>
      <c r="C128" s="24" t="s">
        <v>1</v>
      </c>
      <c r="D128" s="25">
        <v>192</v>
      </c>
    </row>
    <row r="129" spans="1:4">
      <c r="A129" s="29" t="str">
        <f t="shared" si="9"/>
        <v>АСУЭ.IMstp.wTDbl</v>
      </c>
      <c r="B129">
        <v>2</v>
      </c>
      <c r="C129" t="s">
        <v>2</v>
      </c>
      <c r="D129" s="30" t="s">
        <v>3</v>
      </c>
    </row>
    <row r="130" spans="1:4">
      <c r="A130" s="29" t="str">
        <f t="shared" si="9"/>
        <v>АСУЭ.IMstp.wTDbl</v>
      </c>
      <c r="B130">
        <v>1</v>
      </c>
      <c r="C130" t="s">
        <v>1</v>
      </c>
      <c r="D130" s="30">
        <v>11</v>
      </c>
    </row>
    <row r="131" spans="1:4">
      <c r="A131" s="29" t="str">
        <f t="shared" si="9"/>
        <v>АСУЭ.IMstp.wTDbl</v>
      </c>
      <c r="B131">
        <v>101</v>
      </c>
      <c r="C131" t="s">
        <v>0</v>
      </c>
      <c r="D131" s="30" t="s">
        <v>160</v>
      </c>
    </row>
    <row r="132" spans="1:4">
      <c r="A132" s="211" t="str">
        <f t="shared" si="9"/>
        <v>АСУЭ.IMstp.wTDbl</v>
      </c>
      <c r="B132" s="677">
        <v>11154</v>
      </c>
      <c r="C132" s="677" t="s">
        <v>4</v>
      </c>
      <c r="D132" s="213">
        <f>$Q$7</f>
        <v>12</v>
      </c>
    </row>
    <row r="133" spans="1:4">
      <c r="A133" s="211" t="str">
        <f t="shared" si="9"/>
        <v>АСУЭ.IMstp.wTDbl</v>
      </c>
      <c r="B133" s="677">
        <v>11152</v>
      </c>
      <c r="C133" s="677" t="s">
        <v>0</v>
      </c>
      <c r="D133" s="213" t="str">
        <f>$R$7</f>
        <v>Неисправность</v>
      </c>
    </row>
    <row r="134" spans="1:4">
      <c r="A134" s="211" t="str">
        <f t="shared" si="9"/>
        <v>АСУЭ.IMstp.wTDbl</v>
      </c>
      <c r="B134" s="677">
        <v>11150</v>
      </c>
      <c r="C134" s="677" t="s">
        <v>0</v>
      </c>
      <c r="D134" s="213" t="s">
        <v>160</v>
      </c>
    </row>
    <row r="135" spans="1:4">
      <c r="A135" s="214" t="str">
        <f t="shared" si="9"/>
        <v>АСУЭ.IMstp.wTDbl</v>
      </c>
      <c r="B135" s="215">
        <v>11000</v>
      </c>
      <c r="C135" s="215" t="s">
        <v>5</v>
      </c>
      <c r="D135" s="216">
        <v>2147483680</v>
      </c>
    </row>
    <row r="136" spans="1:4">
      <c r="A136" s="23" t="str">
        <f t="shared" ref="A136:A143" si="10">$R$2&amp;".wUnkw"</f>
        <v>АСУЭ.IMstp.wUnkw</v>
      </c>
      <c r="B136" s="24">
        <v>3</v>
      </c>
      <c r="C136" s="24" t="s">
        <v>1</v>
      </c>
      <c r="D136" s="25">
        <v>192</v>
      </c>
    </row>
    <row r="137" spans="1:4">
      <c r="A137" s="29" t="str">
        <f t="shared" si="10"/>
        <v>АСУЭ.IMstp.wUnkw</v>
      </c>
      <c r="B137">
        <v>2</v>
      </c>
      <c r="C137" t="s">
        <v>2</v>
      </c>
      <c r="D137" s="30" t="s">
        <v>3</v>
      </c>
    </row>
    <row r="138" spans="1:4">
      <c r="A138" s="29" t="str">
        <f t="shared" si="10"/>
        <v>АСУЭ.IMstp.wUnkw</v>
      </c>
      <c r="B138">
        <v>1</v>
      </c>
      <c r="C138" t="s">
        <v>1</v>
      </c>
      <c r="D138" s="30">
        <v>11</v>
      </c>
    </row>
    <row r="139" spans="1:4">
      <c r="A139" s="29" t="str">
        <f t="shared" si="10"/>
        <v>АСУЭ.IMstp.wUnkw</v>
      </c>
      <c r="B139">
        <v>101</v>
      </c>
      <c r="C139" t="s">
        <v>0</v>
      </c>
      <c r="D139" s="30" t="s">
        <v>1854</v>
      </c>
    </row>
    <row r="140" spans="1:4">
      <c r="A140" s="211" t="str">
        <f t="shared" si="10"/>
        <v>АСУЭ.IMstp.wUnkw</v>
      </c>
      <c r="B140" s="677">
        <v>11154</v>
      </c>
      <c r="C140" s="677" t="s">
        <v>4</v>
      </c>
      <c r="D140" s="213">
        <f>$Q$7</f>
        <v>12</v>
      </c>
    </row>
    <row r="141" spans="1:4">
      <c r="A141" s="211" t="str">
        <f t="shared" si="10"/>
        <v>АСУЭ.IMstp.wUnkw</v>
      </c>
      <c r="B141" s="677">
        <v>11152</v>
      </c>
      <c r="C141" s="677" t="s">
        <v>0</v>
      </c>
      <c r="D141" s="213" t="str">
        <f>$R$7</f>
        <v>Неисправность</v>
      </c>
    </row>
    <row r="142" spans="1:4">
      <c r="A142" s="211" t="str">
        <f t="shared" si="10"/>
        <v>АСУЭ.IMstp.wUnkw</v>
      </c>
      <c r="B142" s="677">
        <v>11150</v>
      </c>
      <c r="C142" s="677" t="s">
        <v>0</v>
      </c>
      <c r="D142" s="213" t="s">
        <v>1854</v>
      </c>
    </row>
    <row r="143" spans="1:4">
      <c r="A143" s="214" t="str">
        <f t="shared" si="10"/>
        <v>АСУЭ.IMstp.wUnkw</v>
      </c>
      <c r="B143" s="215">
        <v>11000</v>
      </c>
      <c r="C143" s="215" t="s">
        <v>5</v>
      </c>
      <c r="D143" s="216">
        <v>2147483680</v>
      </c>
    </row>
    <row r="144" spans="1:4">
      <c r="A144" s="23" t="str">
        <f t="shared" ref="A144:A151" si="11">$R$2&amp;".wDbl"</f>
        <v>АСУЭ.IMstp.wDbl</v>
      </c>
      <c r="B144" s="24">
        <v>3</v>
      </c>
      <c r="C144" s="24" t="s">
        <v>1</v>
      </c>
      <c r="D144" s="25">
        <v>192</v>
      </c>
    </row>
    <row r="145" spans="1:4">
      <c r="A145" s="29" t="str">
        <f t="shared" si="11"/>
        <v>АСУЭ.IMstp.wDbl</v>
      </c>
      <c r="B145">
        <v>2</v>
      </c>
      <c r="C145" t="s">
        <v>2</v>
      </c>
      <c r="D145" s="30" t="s">
        <v>3</v>
      </c>
    </row>
    <row r="146" spans="1:4">
      <c r="A146" s="29" t="str">
        <f t="shared" si="11"/>
        <v>АСУЭ.IMstp.wDbl</v>
      </c>
      <c r="B146">
        <v>1</v>
      </c>
      <c r="C146" t="s">
        <v>1</v>
      </c>
      <c r="D146" s="30">
        <v>11</v>
      </c>
    </row>
    <row r="147" spans="1:4">
      <c r="A147" s="29" t="str">
        <f t="shared" si="11"/>
        <v>АСУЭ.IMstp.wDbl</v>
      </c>
      <c r="B147">
        <v>101</v>
      </c>
      <c r="C147" t="s">
        <v>0</v>
      </c>
      <c r="D147" s="30" t="s">
        <v>1855</v>
      </c>
    </row>
    <row r="148" spans="1:4">
      <c r="A148" s="211" t="str">
        <f t="shared" si="11"/>
        <v>АСУЭ.IMstp.wDbl</v>
      </c>
      <c r="B148" s="677">
        <v>11154</v>
      </c>
      <c r="C148" s="677" t="s">
        <v>4</v>
      </c>
      <c r="D148" s="213">
        <f>$Q$7</f>
        <v>12</v>
      </c>
    </row>
    <row r="149" spans="1:4">
      <c r="A149" s="211" t="str">
        <f t="shared" si="11"/>
        <v>АСУЭ.IMstp.wDbl</v>
      </c>
      <c r="B149" s="677">
        <v>11152</v>
      </c>
      <c r="C149" s="677" t="s">
        <v>0</v>
      </c>
      <c r="D149" s="213" t="str">
        <f>$R$7</f>
        <v>Неисправность</v>
      </c>
    </row>
    <row r="150" spans="1:4">
      <c r="A150" s="211" t="str">
        <f t="shared" si="11"/>
        <v>АСУЭ.IMstp.wDbl</v>
      </c>
      <c r="B150" s="677">
        <v>11150</v>
      </c>
      <c r="C150" s="677" t="s">
        <v>0</v>
      </c>
      <c r="D150" s="213" t="s">
        <v>1855</v>
      </c>
    </row>
    <row r="151" spans="1:4">
      <c r="A151" s="214" t="str">
        <f t="shared" si="11"/>
        <v>АСУЭ.IMstp.wDbl</v>
      </c>
      <c r="B151" s="215">
        <v>11000</v>
      </c>
      <c r="C151" s="215" t="s">
        <v>5</v>
      </c>
      <c r="D151" s="216">
        <v>2147483680</v>
      </c>
    </row>
    <row r="152" spans="1:4">
      <c r="A152" s="23" t="str">
        <f t="shared" ref="A152:A159" si="12">$R$2&amp;".wCtrlUnkw"</f>
        <v>АСУЭ.IMstp.wCtrlUnkw</v>
      </c>
      <c r="B152" s="24">
        <v>101</v>
      </c>
      <c r="C152" s="24" t="s">
        <v>0</v>
      </c>
      <c r="D152" s="25" t="s">
        <v>167</v>
      </c>
    </row>
    <row r="153" spans="1:4">
      <c r="A153" s="29" t="str">
        <f t="shared" si="12"/>
        <v>АСУЭ.IMstp.wCtrlUnkw</v>
      </c>
      <c r="B153">
        <v>1</v>
      </c>
      <c r="C153" t="s">
        <v>1</v>
      </c>
      <c r="D153" s="30">
        <v>11</v>
      </c>
    </row>
    <row r="154" spans="1:4">
      <c r="A154" s="29" t="str">
        <f t="shared" si="12"/>
        <v>АСУЭ.IMstp.wCtrlUnkw</v>
      </c>
      <c r="B154">
        <v>2</v>
      </c>
      <c r="C154" t="s">
        <v>2</v>
      </c>
      <c r="D154" s="30" t="s">
        <v>3</v>
      </c>
    </row>
    <row r="155" spans="1:4">
      <c r="A155" s="29" t="str">
        <f t="shared" si="12"/>
        <v>АСУЭ.IMstp.wCtrlUnkw</v>
      </c>
      <c r="B155">
        <v>3</v>
      </c>
      <c r="C155" t="s">
        <v>1</v>
      </c>
      <c r="D155" s="30">
        <v>192</v>
      </c>
    </row>
    <row r="156" spans="1:4">
      <c r="A156" s="211" t="str">
        <f t="shared" si="12"/>
        <v>АСУЭ.IMstp.wCtrlUnkw</v>
      </c>
      <c r="B156" s="677">
        <v>11154</v>
      </c>
      <c r="C156" s="677" t="s">
        <v>4</v>
      </c>
      <c r="D156" s="213">
        <f>$Q$7</f>
        <v>12</v>
      </c>
    </row>
    <row r="157" spans="1:4">
      <c r="A157" s="211" t="str">
        <f t="shared" si="12"/>
        <v>АСУЭ.IMstp.wCtrlUnkw</v>
      </c>
      <c r="B157" s="677">
        <v>11152</v>
      </c>
      <c r="C157" s="677" t="s">
        <v>0</v>
      </c>
      <c r="D157" s="213" t="str">
        <f>$R$7</f>
        <v>Неисправность</v>
      </c>
    </row>
    <row r="158" spans="1:4">
      <c r="A158" s="211" t="str">
        <f t="shared" si="12"/>
        <v>АСУЭ.IMstp.wCtrlUnkw</v>
      </c>
      <c r="B158" s="677">
        <v>11150</v>
      </c>
      <c r="C158" s="677" t="s">
        <v>0</v>
      </c>
      <c r="D158" s="213" t="s">
        <v>167</v>
      </c>
    </row>
    <row r="159" spans="1:4">
      <c r="A159" s="214" t="str">
        <f t="shared" si="12"/>
        <v>АСУЭ.IMstp.wCtrlUnkw</v>
      </c>
      <c r="B159" s="215">
        <v>11000</v>
      </c>
      <c r="C159" s="215" t="s">
        <v>5</v>
      </c>
      <c r="D159" s="216">
        <v>2147483680</v>
      </c>
    </row>
    <row r="160" spans="1:4">
      <c r="A160" s="23" t="str">
        <f t="shared" ref="A160:A167" si="13">$R$2&amp;".wCtrlDbl"</f>
        <v>АСУЭ.IMstp.wCtrlDbl</v>
      </c>
      <c r="B160" s="24">
        <v>101</v>
      </c>
      <c r="C160" s="24" t="s">
        <v>0</v>
      </c>
      <c r="D160" s="25" t="s">
        <v>168</v>
      </c>
    </row>
    <row r="161" spans="1:4">
      <c r="A161" s="29" t="str">
        <f t="shared" si="13"/>
        <v>АСУЭ.IMstp.wCtrlDbl</v>
      </c>
      <c r="B161">
        <v>1</v>
      </c>
      <c r="C161" t="s">
        <v>1</v>
      </c>
      <c r="D161" s="30">
        <v>11</v>
      </c>
    </row>
    <row r="162" spans="1:4">
      <c r="A162" s="29" t="str">
        <f t="shared" si="13"/>
        <v>АСУЭ.IMstp.wCtrlDbl</v>
      </c>
      <c r="B162">
        <v>2</v>
      </c>
      <c r="C162" t="s">
        <v>2</v>
      </c>
      <c r="D162" s="30" t="s">
        <v>3</v>
      </c>
    </row>
    <row r="163" spans="1:4">
      <c r="A163" s="29" t="str">
        <f t="shared" si="13"/>
        <v>АСУЭ.IMstp.wCtrlDbl</v>
      </c>
      <c r="B163">
        <v>3</v>
      </c>
      <c r="C163" t="s">
        <v>1</v>
      </c>
      <c r="D163" s="30">
        <v>192</v>
      </c>
    </row>
    <row r="164" spans="1:4">
      <c r="A164" s="211" t="str">
        <f t="shared" si="13"/>
        <v>АСУЭ.IMstp.wCtrlDbl</v>
      </c>
      <c r="B164" s="677">
        <v>11154</v>
      </c>
      <c r="C164" s="677" t="s">
        <v>4</v>
      </c>
      <c r="D164" s="213">
        <f>$Q$7</f>
        <v>12</v>
      </c>
    </row>
    <row r="165" spans="1:4">
      <c r="A165" s="211" t="str">
        <f t="shared" si="13"/>
        <v>АСУЭ.IMstp.wCtrlDbl</v>
      </c>
      <c r="B165" s="677">
        <v>11152</v>
      </c>
      <c r="C165" s="677" t="s">
        <v>0</v>
      </c>
      <c r="D165" s="213" t="str">
        <f>$R$7</f>
        <v>Неисправность</v>
      </c>
    </row>
    <row r="166" spans="1:4">
      <c r="A166" s="211" t="str">
        <f t="shared" si="13"/>
        <v>АСУЭ.IMstp.wCtrlDbl</v>
      </c>
      <c r="B166" s="677">
        <v>11150</v>
      </c>
      <c r="C166" s="677" t="s">
        <v>0</v>
      </c>
      <c r="D166" s="213" t="s">
        <v>168</v>
      </c>
    </row>
    <row r="167" spans="1:4">
      <c r="A167" s="211" t="str">
        <f t="shared" si="13"/>
        <v>АСУЭ.IMstp.wCtrlDbl</v>
      </c>
      <c r="B167" s="677">
        <v>11000</v>
      </c>
      <c r="C167" s="677" t="s">
        <v>5</v>
      </c>
      <c r="D167" s="213">
        <v>2147483680</v>
      </c>
    </row>
    <row r="168" spans="1:4">
      <c r="A168" s="23" t="str">
        <f t="shared" ref="A168:A179" si="14">$R$2&amp;".stTOn"</f>
        <v>АСУЭ.IMstp.stTOn</v>
      </c>
      <c r="B168" s="24">
        <v>3</v>
      </c>
      <c r="C168" s="24" t="s">
        <v>1</v>
      </c>
      <c r="D168" s="25">
        <v>192</v>
      </c>
    </row>
    <row r="169" spans="1:4">
      <c r="A169" s="29" t="str">
        <f t="shared" si="14"/>
        <v>АСУЭ.IMstp.stTOn</v>
      </c>
      <c r="B169">
        <v>2</v>
      </c>
      <c r="C169" t="s">
        <v>2</v>
      </c>
      <c r="D169" s="30" t="s">
        <v>3</v>
      </c>
    </row>
    <row r="170" spans="1:4">
      <c r="A170" s="29" t="str">
        <f t="shared" si="14"/>
        <v>АСУЭ.IMstp.stTOn</v>
      </c>
      <c r="B170">
        <v>1</v>
      </c>
      <c r="C170" t="s">
        <v>1</v>
      </c>
      <c r="D170" s="30">
        <v>11</v>
      </c>
    </row>
    <row r="171" spans="1:4">
      <c r="A171" s="29" t="str">
        <f t="shared" si="14"/>
        <v>АСУЭ.IMstp.stTOn</v>
      </c>
      <c r="B171">
        <v>101</v>
      </c>
      <c r="C171" t="s">
        <v>0</v>
      </c>
      <c r="D171" s="30" t="s">
        <v>1850</v>
      </c>
    </row>
    <row r="172" spans="1:4">
      <c r="A172" t="str">
        <f t="shared" si="14"/>
        <v>АСУЭ.IMstp.stTOn</v>
      </c>
      <c r="B172">
        <v>7998</v>
      </c>
      <c r="C172" t="s">
        <v>6</v>
      </c>
      <c r="D172" s="30">
        <v>1</v>
      </c>
    </row>
    <row r="173" spans="1:4">
      <c r="A173" s="29" t="str">
        <f t="shared" si="14"/>
        <v>АСУЭ.IMstp.stTOn</v>
      </c>
      <c r="B173">
        <v>7999</v>
      </c>
      <c r="C173" t="s">
        <v>0</v>
      </c>
      <c r="D173" s="30" t="str">
        <f>"#"&amp;$S$2&amp;"#"&amp;$T$2&amp;"\"&amp;$P$2&amp;"\stTOn"</f>
        <v>#3#\\Setup_rza\Modbus.OPCServer\ZRU_Sepam\\stTOn</v>
      </c>
    </row>
    <row r="174" spans="1:4">
      <c r="A174" s="100" t="str">
        <f t="shared" si="14"/>
        <v>АСУЭ.IMstp.stTOn</v>
      </c>
      <c r="B174" s="679">
        <v>11154</v>
      </c>
      <c r="C174" s="679" t="s">
        <v>4</v>
      </c>
      <c r="D174" s="103">
        <f>$Q$8</f>
        <v>18</v>
      </c>
    </row>
    <row r="175" spans="1:4">
      <c r="A175" s="100" t="str">
        <f t="shared" si="14"/>
        <v>АСУЭ.IMstp.stTOn</v>
      </c>
      <c r="B175" s="679">
        <v>11152</v>
      </c>
      <c r="C175" s="679" t="s">
        <v>0</v>
      </c>
      <c r="D175" s="103" t="str">
        <f>$R$8</f>
        <v>Телесигнализация</v>
      </c>
    </row>
    <row r="176" spans="1:4">
      <c r="A176" s="100" t="str">
        <f t="shared" si="14"/>
        <v>АСУЭ.IMstp.stTOn</v>
      </c>
      <c r="B176" s="679">
        <v>11150</v>
      </c>
      <c r="C176" s="679" t="s">
        <v>0</v>
      </c>
      <c r="D176" s="103" t="s">
        <v>1850</v>
      </c>
    </row>
    <row r="177" spans="1:4">
      <c r="A177" s="100" t="str">
        <f t="shared" si="14"/>
        <v>АСУЭ.IMstp.stTOn</v>
      </c>
      <c r="B177" s="679">
        <v>11000</v>
      </c>
      <c r="C177" s="679" t="s">
        <v>5</v>
      </c>
      <c r="D177" s="103">
        <v>2147483680</v>
      </c>
    </row>
    <row r="178" spans="1:4">
      <c r="A178" t="str">
        <f t="shared" si="14"/>
        <v>АСУЭ.IMstp.stTOn</v>
      </c>
      <c r="B178">
        <v>7000000</v>
      </c>
      <c r="C178" t="s">
        <v>6</v>
      </c>
      <c r="D178" s="30">
        <v>1</v>
      </c>
    </row>
    <row r="179" spans="1:4" ht="28.8">
      <c r="A179" s="27" t="str">
        <f t="shared" si="14"/>
        <v>АСУЭ.IMstp.stTOn</v>
      </c>
      <c r="B179" s="27">
        <v>4000000</v>
      </c>
      <c r="C179" s="27" t="s">
        <v>0</v>
      </c>
      <c r="D179" s="701" t="s">
        <v>2610</v>
      </c>
    </row>
    <row r="180" spans="1:4">
      <c r="A180" s="29" t="str">
        <f t="shared" ref="A180:A191" si="15">$R$2&amp;".stTOff"</f>
        <v>АСУЭ.IMstp.stTOff</v>
      </c>
      <c r="B180">
        <v>3</v>
      </c>
      <c r="C180" t="s">
        <v>1</v>
      </c>
      <c r="D180" s="30">
        <v>192</v>
      </c>
    </row>
    <row r="181" spans="1:4">
      <c r="A181" s="29" t="str">
        <f t="shared" si="15"/>
        <v>АСУЭ.IMstp.stTOff</v>
      </c>
      <c r="B181">
        <v>2</v>
      </c>
      <c r="C181" t="s">
        <v>2</v>
      </c>
      <c r="D181" s="30" t="s">
        <v>3</v>
      </c>
    </row>
    <row r="182" spans="1:4">
      <c r="A182" s="29" t="str">
        <f t="shared" si="15"/>
        <v>АСУЭ.IMstp.stTOff</v>
      </c>
      <c r="B182">
        <v>1</v>
      </c>
      <c r="C182" t="s">
        <v>1</v>
      </c>
      <c r="D182" s="30">
        <v>11</v>
      </c>
    </row>
    <row r="183" spans="1:4">
      <c r="A183" s="29" t="str">
        <f t="shared" si="15"/>
        <v>АСУЭ.IMstp.stTOff</v>
      </c>
      <c r="B183">
        <v>101</v>
      </c>
      <c r="C183" t="s">
        <v>0</v>
      </c>
      <c r="D183" s="30" t="s">
        <v>1851</v>
      </c>
    </row>
    <row r="184" spans="1:4">
      <c r="A184" t="str">
        <f t="shared" si="15"/>
        <v>АСУЭ.IMstp.stTOff</v>
      </c>
      <c r="B184">
        <v>7998</v>
      </c>
      <c r="C184" t="s">
        <v>6</v>
      </c>
      <c r="D184" s="30">
        <v>1</v>
      </c>
    </row>
    <row r="185" spans="1:4">
      <c r="A185" s="29" t="str">
        <f t="shared" si="15"/>
        <v>АСУЭ.IMstp.stTOff</v>
      </c>
      <c r="B185">
        <v>7999</v>
      </c>
      <c r="C185" t="s">
        <v>0</v>
      </c>
      <c r="D185" s="30" t="str">
        <f>"#"&amp;$S$2&amp;"#"&amp;$T$2&amp;"\"&amp;$P$2&amp;"\stTOff"</f>
        <v>#3#\\Setup_rza\Modbus.OPCServer\ZRU_Sepam\\stTOff</v>
      </c>
    </row>
    <row r="186" spans="1:4">
      <c r="A186" s="100" t="str">
        <f t="shared" si="15"/>
        <v>АСУЭ.IMstp.stTOff</v>
      </c>
      <c r="B186" s="679">
        <v>11154</v>
      </c>
      <c r="C186" s="679" t="s">
        <v>4</v>
      </c>
      <c r="D186" s="103">
        <f>$Q$8</f>
        <v>18</v>
      </c>
    </row>
    <row r="187" spans="1:4">
      <c r="A187" s="100" t="str">
        <f t="shared" si="15"/>
        <v>АСУЭ.IMstp.stTOff</v>
      </c>
      <c r="B187" s="679">
        <v>11152</v>
      </c>
      <c r="C187" s="679" t="s">
        <v>0</v>
      </c>
      <c r="D187" s="103" t="str">
        <f>$R$8</f>
        <v>Телесигнализация</v>
      </c>
    </row>
    <row r="188" spans="1:4">
      <c r="A188" s="100" t="str">
        <f t="shared" si="15"/>
        <v>АСУЭ.IMstp.stTOff</v>
      </c>
      <c r="B188" s="679">
        <v>11150</v>
      </c>
      <c r="C188" s="679" t="s">
        <v>0</v>
      </c>
      <c r="D188" s="103" t="s">
        <v>1851</v>
      </c>
    </row>
    <row r="189" spans="1:4">
      <c r="A189" s="100" t="str">
        <f t="shared" si="15"/>
        <v>АСУЭ.IMstp.stTOff</v>
      </c>
      <c r="B189" s="679">
        <v>11000</v>
      </c>
      <c r="C189" s="679" t="s">
        <v>5</v>
      </c>
      <c r="D189" s="103">
        <v>2147483680</v>
      </c>
    </row>
    <row r="190" spans="1:4">
      <c r="A190" t="str">
        <f t="shared" si="15"/>
        <v>АСУЭ.IMstp.stTOff</v>
      </c>
      <c r="B190">
        <v>7000000</v>
      </c>
      <c r="C190" t="s">
        <v>6</v>
      </c>
      <c r="D190" s="30">
        <v>1</v>
      </c>
    </row>
    <row r="191" spans="1:4" ht="28.8">
      <c r="A191" t="str">
        <f t="shared" si="15"/>
        <v>АСУЭ.IMstp.stTOff</v>
      </c>
      <c r="B191" s="27">
        <v>4000000</v>
      </c>
      <c r="C191" s="27" t="s">
        <v>0</v>
      </c>
      <c r="D191" s="701" t="s">
        <v>2610</v>
      </c>
    </row>
    <row r="192" spans="1:4">
      <c r="A192" s="24" t="str">
        <f t="shared" ref="A192:A204" si="16">$R$2&amp;".stOn"</f>
        <v>АСУЭ.IMstp.stOn</v>
      </c>
      <c r="B192" s="24">
        <v>7011</v>
      </c>
      <c r="C192" s="24" t="s">
        <v>2</v>
      </c>
      <c r="D192" s="25" t="s">
        <v>266</v>
      </c>
    </row>
    <row r="193" spans="1:4">
      <c r="A193" s="1" t="str">
        <f t="shared" si="16"/>
        <v>АСУЭ.IMstp.stOn</v>
      </c>
      <c r="B193" s="1">
        <v>3</v>
      </c>
      <c r="C193" s="1" t="s">
        <v>1</v>
      </c>
      <c r="D193" s="30">
        <v>192</v>
      </c>
    </row>
    <row r="194" spans="1:4">
      <c r="A194" s="29" t="str">
        <f t="shared" si="16"/>
        <v>АСУЭ.IMstp.stOn</v>
      </c>
      <c r="B194">
        <v>2</v>
      </c>
      <c r="C194" t="s">
        <v>2</v>
      </c>
      <c r="D194" s="30" t="s">
        <v>3</v>
      </c>
    </row>
    <row r="195" spans="1:4">
      <c r="A195" s="29" t="str">
        <f t="shared" si="16"/>
        <v>АСУЭ.IMstp.stOn</v>
      </c>
      <c r="B195">
        <v>1</v>
      </c>
      <c r="C195" t="s">
        <v>1</v>
      </c>
      <c r="D195" s="30">
        <v>11</v>
      </c>
    </row>
    <row r="196" spans="1:4">
      <c r="A196" s="29" t="str">
        <f t="shared" si="16"/>
        <v>АСУЭ.IMstp.stOn</v>
      </c>
      <c r="B196">
        <v>101</v>
      </c>
      <c r="C196" t="s">
        <v>0</v>
      </c>
      <c r="D196" s="30" t="s">
        <v>337</v>
      </c>
    </row>
    <row r="197" spans="1:4">
      <c r="A197" s="29" t="str">
        <f t="shared" si="16"/>
        <v>АСУЭ.IMstp.stOn</v>
      </c>
      <c r="B197">
        <v>7998</v>
      </c>
      <c r="C197" t="s">
        <v>6</v>
      </c>
      <c r="D197" s="30">
        <v>1</v>
      </c>
    </row>
    <row r="198" spans="1:4">
      <c r="A198" s="29" t="str">
        <f t="shared" si="16"/>
        <v>АСУЭ.IMstp.stOn</v>
      </c>
      <c r="B198">
        <v>7999</v>
      </c>
      <c r="C198" t="s">
        <v>0</v>
      </c>
      <c r="D198" s="30" t="str">
        <f>"#"&amp;$S$2&amp;"#"&amp;$T$2&amp;"\"&amp;$P$2&amp;"\stOn"</f>
        <v>#3#\\Setup_rza\Modbus.OPCServer\ZRU_Sepam\\stOn</v>
      </c>
    </row>
    <row r="199" spans="1:4">
      <c r="A199" s="100" t="str">
        <f t="shared" si="16"/>
        <v>АСУЭ.IMstp.stOn</v>
      </c>
      <c r="B199" s="679">
        <v>11154</v>
      </c>
      <c r="C199" s="679" t="s">
        <v>4</v>
      </c>
      <c r="D199" s="103">
        <f>$Q$8</f>
        <v>18</v>
      </c>
    </row>
    <row r="200" spans="1:4">
      <c r="A200" s="100" t="str">
        <f t="shared" si="16"/>
        <v>АСУЭ.IMstp.stOn</v>
      </c>
      <c r="B200" s="679">
        <v>11152</v>
      </c>
      <c r="C200" s="679" t="s">
        <v>0</v>
      </c>
      <c r="D200" s="103" t="str">
        <f>$R$8</f>
        <v>Телесигнализация</v>
      </c>
    </row>
    <row r="201" spans="1:4">
      <c r="A201" s="100" t="str">
        <f t="shared" si="16"/>
        <v>АСУЭ.IMstp.stOn</v>
      </c>
      <c r="B201" s="679">
        <v>11150</v>
      </c>
      <c r="C201" s="679" t="s">
        <v>0</v>
      </c>
      <c r="D201" s="103" t="s">
        <v>337</v>
      </c>
    </row>
    <row r="202" spans="1:4">
      <c r="A202" s="100" t="str">
        <f t="shared" si="16"/>
        <v>АСУЭ.IMstp.stOn</v>
      </c>
      <c r="B202" s="679">
        <v>11000</v>
      </c>
      <c r="C202" s="679" t="s">
        <v>5</v>
      </c>
      <c r="D202" s="103">
        <v>2147483680</v>
      </c>
    </row>
    <row r="203" spans="1:4">
      <c r="A203" t="str">
        <f t="shared" si="16"/>
        <v>АСУЭ.IMstp.stOn</v>
      </c>
      <c r="B203">
        <v>7000000</v>
      </c>
      <c r="C203" t="s">
        <v>6</v>
      </c>
      <c r="D203" s="30">
        <v>1</v>
      </c>
    </row>
    <row r="204" spans="1:4" ht="43.2">
      <c r="A204" s="29" t="str">
        <f t="shared" si="16"/>
        <v>АСУЭ.IMstp.stOn</v>
      </c>
      <c r="B204">
        <v>4000000</v>
      </c>
      <c r="C204" t="s">
        <v>0</v>
      </c>
      <c r="D204" s="415" t="s">
        <v>2688</v>
      </c>
    </row>
    <row r="205" spans="1:4">
      <c r="A205" s="23" t="str">
        <f t="shared" ref="A205:A217" si="17">$R$2&amp;".stOff"</f>
        <v>АСУЭ.IMstp.stOff</v>
      </c>
      <c r="B205" s="24">
        <v>7011</v>
      </c>
      <c r="C205" s="24" t="s">
        <v>2</v>
      </c>
      <c r="D205" s="25" t="s">
        <v>266</v>
      </c>
    </row>
    <row r="206" spans="1:4">
      <c r="A206" s="1" t="str">
        <f t="shared" si="17"/>
        <v>АСУЭ.IMstp.stOff</v>
      </c>
      <c r="B206" s="1">
        <v>3</v>
      </c>
      <c r="C206" s="1" t="s">
        <v>1</v>
      </c>
      <c r="D206" s="30">
        <v>192</v>
      </c>
    </row>
    <row r="207" spans="1:4">
      <c r="A207" s="29" t="str">
        <f t="shared" si="17"/>
        <v>АСУЭ.IMstp.stOff</v>
      </c>
      <c r="B207">
        <v>2</v>
      </c>
      <c r="C207" t="s">
        <v>2</v>
      </c>
      <c r="D207" s="30" t="s">
        <v>3</v>
      </c>
    </row>
    <row r="208" spans="1:4">
      <c r="A208" s="29" t="str">
        <f t="shared" si="17"/>
        <v>АСУЭ.IMstp.stOff</v>
      </c>
      <c r="B208">
        <v>1</v>
      </c>
      <c r="C208" t="s">
        <v>1</v>
      </c>
      <c r="D208" s="30">
        <v>11</v>
      </c>
    </row>
    <row r="209" spans="1:4">
      <c r="A209" s="29" t="str">
        <f t="shared" si="17"/>
        <v>АСУЭ.IMstp.stOff</v>
      </c>
      <c r="B209">
        <v>101</v>
      </c>
      <c r="C209" t="s">
        <v>0</v>
      </c>
      <c r="D209" s="30" t="s">
        <v>336</v>
      </c>
    </row>
    <row r="210" spans="1:4">
      <c r="A210" s="29" t="str">
        <f t="shared" si="17"/>
        <v>АСУЭ.IMstp.stOff</v>
      </c>
      <c r="B210">
        <v>7998</v>
      </c>
      <c r="C210" t="s">
        <v>6</v>
      </c>
      <c r="D210" s="30">
        <v>1</v>
      </c>
    </row>
    <row r="211" spans="1:4">
      <c r="A211" s="29" t="str">
        <f t="shared" si="17"/>
        <v>АСУЭ.IMstp.stOff</v>
      </c>
      <c r="B211">
        <v>7999</v>
      </c>
      <c r="C211" t="s">
        <v>0</v>
      </c>
      <c r="D211" s="30" t="str">
        <f>"#"&amp;$S$2&amp;"#"&amp;$T$2&amp;"\"&amp;$P$2&amp;"\stOff"</f>
        <v>#3#\\Setup_rza\Modbus.OPCServer\ZRU_Sepam\\stOff</v>
      </c>
    </row>
    <row r="212" spans="1:4">
      <c r="A212" s="100" t="str">
        <f t="shared" si="17"/>
        <v>АСУЭ.IMstp.stOff</v>
      </c>
      <c r="B212" s="679">
        <v>11154</v>
      </c>
      <c r="C212" s="679" t="s">
        <v>4</v>
      </c>
      <c r="D212" s="103">
        <f>$Q$8</f>
        <v>18</v>
      </c>
    </row>
    <row r="213" spans="1:4">
      <c r="A213" s="100" t="str">
        <f t="shared" si="17"/>
        <v>АСУЭ.IMstp.stOff</v>
      </c>
      <c r="B213" s="679">
        <v>11152</v>
      </c>
      <c r="C213" s="679" t="s">
        <v>0</v>
      </c>
      <c r="D213" s="103" t="str">
        <f>$R$8</f>
        <v>Телесигнализация</v>
      </c>
    </row>
    <row r="214" spans="1:4">
      <c r="A214" s="100" t="str">
        <f t="shared" si="17"/>
        <v>АСУЭ.IMstp.stOff</v>
      </c>
      <c r="B214" s="679">
        <v>11150</v>
      </c>
      <c r="C214" s="679" t="s">
        <v>0</v>
      </c>
      <c r="D214" s="103" t="s">
        <v>336</v>
      </c>
    </row>
    <row r="215" spans="1:4">
      <c r="A215" s="100" t="str">
        <f t="shared" si="17"/>
        <v>АСУЭ.IMstp.stOff</v>
      </c>
      <c r="B215" s="679">
        <v>11000</v>
      </c>
      <c r="C215" s="679" t="s">
        <v>5</v>
      </c>
      <c r="D215" s="103">
        <v>2147483680</v>
      </c>
    </row>
    <row r="216" spans="1:4">
      <c r="A216" t="str">
        <f t="shared" si="17"/>
        <v>АСУЭ.IMstp.stOff</v>
      </c>
      <c r="B216">
        <v>7000000</v>
      </c>
      <c r="C216" t="s">
        <v>6</v>
      </c>
      <c r="D216" s="30">
        <v>1</v>
      </c>
    </row>
    <row r="217" spans="1:4" ht="43.2">
      <c r="A217" s="26" t="str">
        <f t="shared" si="17"/>
        <v>АСУЭ.IMstp.stOff</v>
      </c>
      <c r="B217" s="27">
        <v>4000000</v>
      </c>
      <c r="C217" s="27" t="s">
        <v>0</v>
      </c>
      <c r="D217" s="701" t="s">
        <v>2689</v>
      </c>
    </row>
    <row r="218" spans="1:4">
      <c r="A218" s="23" t="str">
        <f t="shared" ref="A218:A229" si="18">$R$2&amp;".wLoc"</f>
        <v>АСУЭ.IMstp.wLoc</v>
      </c>
      <c r="B218" s="24">
        <v>101</v>
      </c>
      <c r="C218" s="24" t="s">
        <v>0</v>
      </c>
      <c r="D218" s="25" t="s">
        <v>577</v>
      </c>
    </row>
    <row r="219" spans="1:4">
      <c r="A219" s="29" t="str">
        <f t="shared" si="18"/>
        <v>АСУЭ.IMstp.wLoc</v>
      </c>
      <c r="B219">
        <v>1</v>
      </c>
      <c r="C219" t="s">
        <v>1</v>
      </c>
      <c r="D219" s="30">
        <v>11</v>
      </c>
    </row>
    <row r="220" spans="1:4">
      <c r="A220" s="29" t="str">
        <f t="shared" si="18"/>
        <v>АСУЭ.IMstp.wLoc</v>
      </c>
      <c r="B220">
        <v>2</v>
      </c>
      <c r="C220" t="s">
        <v>2</v>
      </c>
      <c r="D220" s="30" t="s">
        <v>3</v>
      </c>
    </row>
    <row r="221" spans="1:4">
      <c r="A221" s="29" t="str">
        <f t="shared" si="18"/>
        <v>АСУЭ.IMstp.wLoc</v>
      </c>
      <c r="B221">
        <v>3</v>
      </c>
      <c r="C221" t="s">
        <v>1</v>
      </c>
      <c r="D221" s="30">
        <v>192</v>
      </c>
    </row>
    <row r="222" spans="1:4">
      <c r="A222" s="29" t="str">
        <f t="shared" si="18"/>
        <v>АСУЭ.IMstp.wLoc</v>
      </c>
      <c r="B222">
        <v>7998</v>
      </c>
      <c r="C222" t="s">
        <v>6</v>
      </c>
      <c r="D222" s="30">
        <v>1</v>
      </c>
    </row>
    <row r="223" spans="1:4">
      <c r="A223" s="29" t="str">
        <f t="shared" si="18"/>
        <v>АСУЭ.IMstp.wLoc</v>
      </c>
      <c r="B223">
        <v>7999</v>
      </c>
      <c r="C223" t="s">
        <v>0</v>
      </c>
      <c r="D223" s="30" t="str">
        <f>"#"&amp;$S$2&amp;"#"&amp;$T$2&amp;"\"&amp;$P$2&amp;"\wLoc"</f>
        <v>#3#\\Setup_rza\Modbus.OPCServer\ZRU_Sepam\\wLoc</v>
      </c>
    </row>
    <row r="224" spans="1:4">
      <c r="A224" s="63" t="str">
        <f t="shared" si="18"/>
        <v>АСУЭ.IMstp.wLoc</v>
      </c>
      <c r="B224" s="52">
        <v>11154</v>
      </c>
      <c r="C224" s="52" t="s">
        <v>4</v>
      </c>
      <c r="D224" s="65">
        <f>$Q$6</f>
        <v>8</v>
      </c>
    </row>
    <row r="225" spans="1:4">
      <c r="A225" s="63" t="str">
        <f t="shared" si="18"/>
        <v>АСУЭ.IMstp.wLoc</v>
      </c>
      <c r="B225" s="52">
        <v>11150</v>
      </c>
      <c r="C225" s="52" t="s">
        <v>0</v>
      </c>
      <c r="D225" s="65" t="s">
        <v>169</v>
      </c>
    </row>
    <row r="226" spans="1:4">
      <c r="A226" s="63" t="str">
        <f t="shared" si="18"/>
        <v>АСУЭ.IMstp.wLoc</v>
      </c>
      <c r="B226" s="52">
        <v>11000</v>
      </c>
      <c r="C226" s="52" t="s">
        <v>5</v>
      </c>
      <c r="D226" s="65">
        <v>2147483680</v>
      </c>
    </row>
    <row r="227" spans="1:4">
      <c r="A227" s="52" t="str">
        <f t="shared" si="18"/>
        <v>АСУЭ.IMstp.wLoc</v>
      </c>
      <c r="B227" s="52">
        <v>11152</v>
      </c>
      <c r="C227" s="52" t="s">
        <v>0</v>
      </c>
      <c r="D227" s="65" t="str">
        <f>$R$6</f>
        <v>Предупреждение</v>
      </c>
    </row>
    <row r="228" spans="1:4">
      <c r="A228" s="29" t="str">
        <f t="shared" si="18"/>
        <v>АСУЭ.IMstp.wLoc</v>
      </c>
      <c r="B228">
        <v>7000000</v>
      </c>
      <c r="C228" t="s">
        <v>6</v>
      </c>
      <c r="D228" s="30">
        <v>1</v>
      </c>
    </row>
    <row r="229" spans="1:4" ht="43.2">
      <c r="A229" s="29" t="str">
        <f t="shared" si="18"/>
        <v>АСУЭ.IMstp.wLoc</v>
      </c>
      <c r="B229">
        <v>4000000</v>
      </c>
      <c r="C229" t="s">
        <v>0</v>
      </c>
      <c r="D229" s="415" t="s">
        <v>2327</v>
      </c>
    </row>
    <row r="230" spans="1:4">
      <c r="A230" s="23" t="str">
        <f t="shared" ref="A230:A241" si="19">$R$2&amp;".wRem"</f>
        <v>АСУЭ.IMstp.wRem</v>
      </c>
      <c r="B230" s="24">
        <v>3</v>
      </c>
      <c r="C230" s="24" t="s">
        <v>1</v>
      </c>
      <c r="D230" s="25">
        <v>192</v>
      </c>
    </row>
    <row r="231" spans="1:4">
      <c r="A231" s="29" t="str">
        <f t="shared" si="19"/>
        <v>АСУЭ.IMstp.wRem</v>
      </c>
      <c r="B231">
        <v>2</v>
      </c>
      <c r="C231" t="s">
        <v>2</v>
      </c>
      <c r="D231" s="30" t="s">
        <v>3</v>
      </c>
    </row>
    <row r="232" spans="1:4">
      <c r="A232" s="29" t="str">
        <f t="shared" si="19"/>
        <v>АСУЭ.IMstp.wRem</v>
      </c>
      <c r="B232">
        <v>1</v>
      </c>
      <c r="C232" t="s">
        <v>1</v>
      </c>
      <c r="D232" s="30">
        <v>11</v>
      </c>
    </row>
    <row r="233" spans="1:4">
      <c r="A233" s="29" t="str">
        <f t="shared" si="19"/>
        <v>АСУЭ.IMstp.wRem</v>
      </c>
      <c r="B233">
        <v>101</v>
      </c>
      <c r="C233" t="s">
        <v>0</v>
      </c>
      <c r="D233" s="30" t="s">
        <v>575</v>
      </c>
    </row>
    <row r="234" spans="1:4">
      <c r="A234" s="29" t="str">
        <f t="shared" si="19"/>
        <v>АСУЭ.IMstp.wRem</v>
      </c>
      <c r="B234">
        <v>7998</v>
      </c>
      <c r="C234" t="s">
        <v>6</v>
      </c>
      <c r="D234" s="30">
        <v>1</v>
      </c>
    </row>
    <row r="235" spans="1:4">
      <c r="A235" s="29" t="str">
        <f t="shared" si="19"/>
        <v>АСУЭ.IMstp.wRem</v>
      </c>
      <c r="B235">
        <v>7999</v>
      </c>
      <c r="C235" t="s">
        <v>0</v>
      </c>
      <c r="D235" s="30" t="str">
        <f>"#"&amp;$S$2&amp;"#"&amp;$T$2&amp;"\"&amp;$P$2&amp;"\wRem"</f>
        <v>#3#\\Setup_rza\Modbus.OPCServer\ZRU_Sepam\\wRem</v>
      </c>
    </row>
    <row r="236" spans="1:4">
      <c r="A236" s="100" t="str">
        <f t="shared" si="19"/>
        <v>АСУЭ.IMstp.wRem</v>
      </c>
      <c r="B236" s="679">
        <v>11154</v>
      </c>
      <c r="C236" s="679" t="s">
        <v>4</v>
      </c>
      <c r="D236" s="103">
        <f>$Q$8</f>
        <v>18</v>
      </c>
    </row>
    <row r="237" spans="1:4">
      <c r="A237" s="100" t="str">
        <f t="shared" si="19"/>
        <v>АСУЭ.IMstp.wRem</v>
      </c>
      <c r="B237" s="679">
        <v>11152</v>
      </c>
      <c r="C237" s="679" t="s">
        <v>0</v>
      </c>
      <c r="D237" s="103" t="str">
        <f>$R$8</f>
        <v>Телесигнализация</v>
      </c>
    </row>
    <row r="238" spans="1:4">
      <c r="A238" s="100" t="str">
        <f t="shared" si="19"/>
        <v>АСУЭ.IMstp.wRem</v>
      </c>
      <c r="B238" s="679">
        <v>11150</v>
      </c>
      <c r="C238" s="679" t="s">
        <v>0</v>
      </c>
      <c r="D238" s="103" t="s">
        <v>136</v>
      </c>
    </row>
    <row r="239" spans="1:4">
      <c r="A239" s="100" t="str">
        <f t="shared" si="19"/>
        <v>АСУЭ.IMstp.wRem</v>
      </c>
      <c r="B239" s="679">
        <v>11000</v>
      </c>
      <c r="C239" s="679" t="s">
        <v>5</v>
      </c>
      <c r="D239" s="103">
        <v>2147483680</v>
      </c>
    </row>
    <row r="240" spans="1:4">
      <c r="A240" s="29" t="str">
        <f t="shared" si="19"/>
        <v>АСУЭ.IMstp.wRem</v>
      </c>
      <c r="B240">
        <v>7000000</v>
      </c>
      <c r="C240" t="s">
        <v>6</v>
      </c>
      <c r="D240" s="30">
        <v>1</v>
      </c>
    </row>
    <row r="241" spans="1:4" ht="43.2">
      <c r="A241" s="29" t="str">
        <f t="shared" si="19"/>
        <v>АСУЭ.IMstp.wRem</v>
      </c>
      <c r="B241">
        <v>4000000</v>
      </c>
      <c r="C241" t="s">
        <v>0</v>
      </c>
      <c r="D241" s="415" t="s">
        <v>2327</v>
      </c>
    </row>
    <row r="242" spans="1:4">
      <c r="A242" s="23" t="str">
        <f t="shared" ref="A242:A247" si="20">$R$2&amp;".Commands.coOn"</f>
        <v>АСУЭ.IMstp.Commands.coOn</v>
      </c>
      <c r="B242" s="24">
        <v>7999</v>
      </c>
      <c r="C242" s="24" t="s">
        <v>0</v>
      </c>
      <c r="D242" s="25" t="str">
        <f>"#"&amp;$T$5&amp;"#"&amp;$T$2&amp;"\"&amp;$P$2&amp;"\coOn"</f>
        <v>#1#\\Setup_rza\Modbus.OPCServer\ZRU_Sepam\\coOn</v>
      </c>
    </row>
    <row r="243" spans="1:4">
      <c r="A243" s="29" t="str">
        <f t="shared" si="20"/>
        <v>АСУЭ.IMstp.Commands.coOn</v>
      </c>
      <c r="B243">
        <v>7998</v>
      </c>
      <c r="C243" t="s">
        <v>6</v>
      </c>
      <c r="D243" s="30">
        <v>2</v>
      </c>
    </row>
    <row r="244" spans="1:4">
      <c r="A244" s="29" t="str">
        <f t="shared" si="20"/>
        <v>АСУЭ.IMstp.Commands.coOn</v>
      </c>
      <c r="B244">
        <v>1</v>
      </c>
      <c r="C244" t="s">
        <v>1</v>
      </c>
      <c r="D244" s="30">
        <v>11</v>
      </c>
    </row>
    <row r="245" spans="1:4">
      <c r="A245" t="str">
        <f t="shared" si="20"/>
        <v>АСУЭ.IMstp.Commands.coOn</v>
      </c>
      <c r="B245">
        <v>101</v>
      </c>
      <c r="C245" t="s">
        <v>0</v>
      </c>
      <c r="D245" s="30" t="s">
        <v>112</v>
      </c>
    </row>
    <row r="246" spans="1:4">
      <c r="A246" s="29" t="str">
        <f t="shared" si="20"/>
        <v>АСУЭ.IMstp.Commands.coOn</v>
      </c>
      <c r="B246">
        <v>7000000</v>
      </c>
      <c r="C246" t="s">
        <v>6</v>
      </c>
      <c r="D246" s="30">
        <v>0</v>
      </c>
    </row>
    <row r="247" spans="1:4">
      <c r="A247" s="29" t="str">
        <f t="shared" si="20"/>
        <v>АСУЭ.IMstp.Commands.coOn</v>
      </c>
      <c r="B247">
        <v>4000000</v>
      </c>
      <c r="C247" t="s">
        <v>0</v>
      </c>
      <c r="D247" s="30" t="s">
        <v>2326</v>
      </c>
    </row>
    <row r="248" spans="1:4">
      <c r="A248" s="23" t="str">
        <f t="shared" ref="A248:A253" si="21">$R$2&amp;".Commands.coOff"</f>
        <v>АСУЭ.IMstp.Commands.coOff</v>
      </c>
      <c r="B248" s="24">
        <v>7999</v>
      </c>
      <c r="C248" s="24" t="s">
        <v>0</v>
      </c>
      <c r="D248" s="25" t="str">
        <f>"#"&amp;$T$5&amp;"#"&amp;$T$2&amp;"\"&amp;$P$2&amp;"\coOff"</f>
        <v>#1#\\Setup_rza\Modbus.OPCServer\ZRU_Sepam\\coOff</v>
      </c>
    </row>
    <row r="249" spans="1:4">
      <c r="A249" s="29" t="str">
        <f t="shared" si="21"/>
        <v>АСУЭ.IMstp.Commands.coOff</v>
      </c>
      <c r="B249">
        <v>7998</v>
      </c>
      <c r="C249" t="s">
        <v>6</v>
      </c>
      <c r="D249" s="30">
        <v>2</v>
      </c>
    </row>
    <row r="250" spans="1:4">
      <c r="A250" s="29" t="str">
        <f t="shared" si="21"/>
        <v>АСУЭ.IMstp.Commands.coOff</v>
      </c>
      <c r="B250">
        <v>1</v>
      </c>
      <c r="C250" t="s">
        <v>1</v>
      </c>
      <c r="D250" s="30">
        <v>11</v>
      </c>
    </row>
    <row r="251" spans="1:4">
      <c r="A251" s="29" t="str">
        <f t="shared" si="21"/>
        <v>АСУЭ.IMstp.Commands.coOff</v>
      </c>
      <c r="B251">
        <v>101</v>
      </c>
      <c r="C251" t="s">
        <v>0</v>
      </c>
      <c r="D251" s="30" t="s">
        <v>124</v>
      </c>
    </row>
    <row r="252" spans="1:4">
      <c r="A252" t="str">
        <f t="shared" si="21"/>
        <v>АСУЭ.IMstp.Commands.coOff</v>
      </c>
      <c r="B252">
        <v>7000000</v>
      </c>
      <c r="C252" t="s">
        <v>6</v>
      </c>
      <c r="D252" s="30">
        <v>0</v>
      </c>
    </row>
    <row r="253" spans="1:4">
      <c r="A253" s="26" t="str">
        <f t="shared" si="21"/>
        <v>АСУЭ.IMstp.Commands.coOff</v>
      </c>
      <c r="B253" s="27">
        <v>4000000</v>
      </c>
      <c r="C253" s="27" t="s">
        <v>0</v>
      </c>
      <c r="D253" s="28" t="s">
        <v>2325</v>
      </c>
    </row>
    <row r="254" spans="1:4">
      <c r="A254" s="29" t="str">
        <f t="shared" ref="A254:A264" si="22">$R$2&amp;".Commands.coRepair"</f>
        <v>АСУЭ.IMstp.Commands.coRepair</v>
      </c>
      <c r="B254" s="24">
        <v>7011</v>
      </c>
      <c r="C254" s="24" t="s">
        <v>2</v>
      </c>
      <c r="D254" s="25" t="s">
        <v>266</v>
      </c>
    </row>
    <row r="255" spans="1:4">
      <c r="A255" t="str">
        <f t="shared" si="22"/>
        <v>АСУЭ.IMstp.Commands.coRepair</v>
      </c>
      <c r="B255">
        <v>3</v>
      </c>
      <c r="C255" t="s">
        <v>1</v>
      </c>
      <c r="D255" s="30">
        <v>192</v>
      </c>
    </row>
    <row r="256" spans="1:4">
      <c r="A256" s="29" t="str">
        <f t="shared" si="22"/>
        <v>АСУЭ.IMstp.Commands.coRepair</v>
      </c>
      <c r="B256">
        <v>2</v>
      </c>
      <c r="C256" t="s">
        <v>2</v>
      </c>
      <c r="D256" s="30" t="s">
        <v>3</v>
      </c>
    </row>
    <row r="257" spans="1:4">
      <c r="A257" s="29" t="str">
        <f t="shared" si="22"/>
        <v>АСУЭ.IMstp.Commands.coRepair</v>
      </c>
      <c r="B257">
        <v>1</v>
      </c>
      <c r="C257" t="s">
        <v>1</v>
      </c>
      <c r="D257" s="30">
        <v>11</v>
      </c>
    </row>
    <row r="258" spans="1:4">
      <c r="A258" s="29" t="str">
        <f t="shared" si="22"/>
        <v>АСУЭ.IMstp.Commands.coRepair</v>
      </c>
      <c r="B258">
        <v>101</v>
      </c>
      <c r="C258" t="s">
        <v>0</v>
      </c>
      <c r="D258" s="30" t="s">
        <v>113</v>
      </c>
    </row>
    <row r="259" spans="1:4">
      <c r="A259" s="140" t="str">
        <f t="shared" si="22"/>
        <v>АСУЭ.IMstp.Commands.coRepair</v>
      </c>
      <c r="B259" s="687">
        <v>11154</v>
      </c>
      <c r="C259" s="687" t="s">
        <v>4</v>
      </c>
      <c r="D259" s="142">
        <f>$Q$11</f>
        <v>14</v>
      </c>
    </row>
    <row r="260" spans="1:4">
      <c r="A260" s="140" t="str">
        <f t="shared" si="22"/>
        <v>АСУЭ.IMstp.Commands.coRepair</v>
      </c>
      <c r="B260" s="687">
        <v>11152</v>
      </c>
      <c r="C260" s="687" t="s">
        <v>0</v>
      </c>
      <c r="D260" s="142" t="str">
        <f>$R$11</f>
        <v>Ремонт</v>
      </c>
    </row>
    <row r="261" spans="1:4">
      <c r="A261" s="140" t="str">
        <f t="shared" si="22"/>
        <v>АСУЭ.IMstp.Commands.coRepair</v>
      </c>
      <c r="B261" s="687">
        <v>11150</v>
      </c>
      <c r="C261" s="687" t="s">
        <v>0</v>
      </c>
      <c r="D261" s="142" t="s">
        <v>89</v>
      </c>
    </row>
    <row r="262" spans="1:4">
      <c r="A262" s="140" t="str">
        <f t="shared" si="22"/>
        <v>АСУЭ.IMstp.Commands.coRepair</v>
      </c>
      <c r="B262" s="687">
        <v>11000</v>
      </c>
      <c r="C262" s="687" t="s">
        <v>5</v>
      </c>
      <c r="D262" s="142">
        <v>2147483680</v>
      </c>
    </row>
    <row r="263" spans="1:4" ht="15" customHeight="1">
      <c r="A263" s="29" t="str">
        <f t="shared" si="22"/>
        <v>АСУЭ.IMstp.Commands.coRepair</v>
      </c>
      <c r="B263">
        <v>4000000</v>
      </c>
      <c r="C263" t="s">
        <v>0</v>
      </c>
      <c r="D263" s="713" t="s">
        <v>2910</v>
      </c>
    </row>
    <row r="264" spans="1:4">
      <c r="A264" s="26" t="str">
        <f t="shared" si="22"/>
        <v>АСУЭ.IMstp.Commands.coRepair</v>
      </c>
      <c r="B264" s="27">
        <v>7000000</v>
      </c>
      <c r="C264" s="27" t="s">
        <v>6</v>
      </c>
      <c r="D264" s="28">
        <v>2</v>
      </c>
    </row>
  </sheetData>
  <autoFilter ref="B1:B19" xr:uid="{00000000-0009-0000-0000-000027000000}"/>
  <mergeCells count="9">
    <mergeCell ref="Q45:Q46"/>
    <mergeCell ref="Q50:Q52"/>
    <mergeCell ref="Q53:Q55"/>
    <mergeCell ref="Q25:Q28"/>
    <mergeCell ref="Q29:Q30"/>
    <mergeCell ref="Q31:Q33"/>
    <mergeCell ref="Q34:Q36"/>
    <mergeCell ref="Q37:Q39"/>
    <mergeCell ref="Q43:Q44"/>
  </mergeCell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Лист198">
    <tabColor rgb="FFFFC000"/>
  </sheetPr>
  <dimension ref="A1:BA212"/>
  <sheetViews>
    <sheetView topLeftCell="A4" zoomScale="85" zoomScaleNormal="85"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53" s="258" customFormat="1" ht="204.6" thickBot="1">
      <c r="A1" s="257"/>
      <c r="B1" s="262" t="s">
        <v>84</v>
      </c>
      <c r="C1" s="257"/>
      <c r="D1" s="257"/>
      <c r="E1" s="257"/>
      <c r="F1" s="257"/>
      <c r="P1" s="730" t="str">
        <f>Таблица!D1</f>
        <v>Префикс для TREI
Тэг ОРС для INFINITY</v>
      </c>
      <c r="Q1" s="730" t="str">
        <f>Таблица!E1</f>
        <v>Комментарий для TREI и INFINITY</v>
      </c>
      <c r="R1" s="733" t="str">
        <f>Таблица!F1</f>
        <v>ТЭГ в дереве INFINITY Server</v>
      </c>
      <c r="S1" s="730"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735" t="str">
        <f>Таблица!H1</f>
        <v>OPC путь 
№ маршрута Modbus TCP, Modbus RTU, Modbus over TCP (1-255)
№ КП IEC104 (1-65534)</v>
      </c>
      <c r="U1" s="731" t="str">
        <f>Таблица!I1</f>
        <v>OPC путь</v>
      </c>
      <c r="V1" s="731" t="str">
        <f>Таблица!J1</f>
        <v>Мнемосхема</v>
      </c>
      <c r="W1" s="729"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729"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729" t="str">
        <f>Таблица!M1</f>
        <v>FB_IMt_MON_S, IMt_MON: Только для трансформатора. Цвет нижних обмоток(-ки) при наличии напряжения</v>
      </c>
      <c r="Z1" s="729"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729"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729" t="str">
        <f>Таблица!P1</f>
        <v xml:space="preserve">FB_DI_S, FB_DO_S, DI, DI_DIAG, FB_DO_STB_S: Тип сигнализации (Авария, предупреждение, телесигнализация и тд.)
FB_SHPS_S(SB), FB_BTF_S: Тип сигнализации XFRX
</v>
      </c>
      <c r="AC1" s="729"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729" t="str">
        <f>Таблица!R1</f>
        <v>SEPAM: Тип ячейки (OL,SV,VV,TN)
BMRZ: Тип ячейки (VV,AV)
TOR: Тип ячейки (OL,SV,VV,TN,BK)</v>
      </c>
      <c r="AE1" s="730" t="str">
        <f>Таблица!S1</f>
        <v>Формула для fNoLink.Device</v>
      </c>
      <c r="AF1" s="729">
        <f>Таблица!T1</f>
        <v>0</v>
      </c>
      <c r="AG1" s="729">
        <f>Таблица!U1</f>
        <v>0</v>
      </c>
      <c r="AH1" s="729">
        <f>Таблица!V1</f>
        <v>0</v>
      </c>
      <c r="AI1" s="729">
        <f>Таблица!W1</f>
        <v>0</v>
      </c>
      <c r="AJ1" s="729">
        <f>Таблица!X1</f>
        <v>0</v>
      </c>
      <c r="AK1" s="728" t="str">
        <f>Таблица!Y1</f>
        <v>FB_AI_S, FB_DI_S, FB_QSA_S, FB_DO_S, FB_SHPS_S, FB_SHOP_S, FB_BTF_S: IVXX
FB_KL_UPT_S: ISON
SW_S301, SW_MES3508: Подключение к порту 1
SW_MAYAK: Подключение к порту 1,2 (через "\")
DI_DIAG, DO_DIAG: XVLX</v>
      </c>
      <c r="AL1" s="728"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728"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728" t="str">
        <f>Таблица!AB1</f>
        <v>FB_IMstp_S, FB_IMsp_S, FB_IMs_S, FB_REG_S, FB_IM_ADES_S : ILCX
SW_S301: Подключение к порту 4
SW_MAYAK, SW_MES3508: Подключение к порту 7,8 (через "\")</v>
      </c>
      <c r="AO1" s="728" t="str">
        <f>Таблица!AC1</f>
        <v xml:space="preserve">FB_IMstp_S, FB_IMsp_S, FB_IMs_S, FB_IMp_S, FB_IMv_S, FB_REG_S, FB_IM_ADES_S, FB_DO_S : IRCX
SW_S301, SW_MES3508: Подключение к порту 5
SW_MAYAK: Подключение к порту 9,10 (через "\")
</v>
      </c>
      <c r="AP1" s="728"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728"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728" t="str">
        <f>Таблица!AF1</f>
        <v xml:space="preserve">FB_IMstp_S, FB_IMsp_S, FB_IMs_S, FB_IMp_S, FB_IMv_S, FB_IM_ADES_S, FB_OZK_KD_S, FB_DO_S: OXOF
SW_S301, SW_MES3508: Подключение к порту 8
SW_MAYAK: Подключение к порту 15,16 (через "\")
</v>
      </c>
      <c r="AS1" s="728" t="str">
        <f>Таблица!AG1</f>
        <v xml:space="preserve">FB_IM_ADES_S, FB_IMp_S, FB_IMv_S: OXSP
FB_IMstp_S, FB_IMsp_S, FB_IMsp_MON_S: IPTC
SW_S301, SW_MES3508: Подключение к порту 9
SW_MAYAK: Подключение к порту 17,18 (через "\")
</v>
      </c>
      <c r="AT1" s="728" t="str">
        <f>Таблица!AH1</f>
        <v xml:space="preserve">FB_IMstp_S, FB_IMst_MON_S, FB_IMt_MON_S: ITON
FB_IM_ADES_S: IOLD
SW_S301, SW_MES3508: Подключение к порту 10
SW_MAYAK: Подключение к порту 19,20 (через "\")
</v>
      </c>
      <c r="AU1" s="728" t="str">
        <f>Таблица!AI1</f>
        <v>FB_IMstp_S, FB_IMst_MON_S, FB_IMt_MON_S: ITOF
FB_IM_ADES_S: IRAD
SW_MAYAK: Подключение к порту 21,22 (через "\")</v>
      </c>
      <c r="AV1" s="728" t="str">
        <f>Таблица!AJ1</f>
        <v xml:space="preserve">FB_IMstp_S, FB_IMsp_S, FB_IMsp_MON_S, FB_IM_ADES_S: IPTO
SW_MAYAK: Подключение к порту 23,24 (через "\")
</v>
      </c>
      <c r="AW1" s="727"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727" t="str">
        <f>Таблица!AL1</f>
        <v>Для TREI
FB_IMstp_S, FB_IMs_S, FB_IMp_S, FB_IMv_S, FB_IM_ADES_S: Настройка перехода ручной-/автоматический-(TRUE/FALSE) 
FB_DI_S: Генерировать метки времени (TRUE/FALSE)</v>
      </c>
      <c r="AY1" s="727"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727" t="str">
        <f>Таблица!AN1</f>
        <v>Для TREI
FB_AI_S, FB_QSA_S: Верхний предел датчика
FB_IMp_S, FB_IMv_S, FB_IM_ADES_S, FB_OZK_KD_S: Время перестановки</v>
      </c>
      <c r="BA1" s="727"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row>
    <row r="2" spans="1:53" ht="15" customHeight="1">
      <c r="A2" s="10"/>
      <c r="B2" s="10"/>
      <c r="C2" s="10"/>
      <c r="D2" s="10"/>
      <c r="E2" s="10"/>
      <c r="F2" s="10"/>
      <c r="P2" s="2"/>
      <c r="Q2" s="2" t="s">
        <v>2703</v>
      </c>
      <c r="R2" s="2" t="s">
        <v>2341</v>
      </c>
      <c r="S2" s="3">
        <v>2</v>
      </c>
      <c r="T2" s="3" t="s">
        <v>2568</v>
      </c>
      <c r="U2" s="3"/>
      <c r="V2" s="3" t="s">
        <v>569</v>
      </c>
      <c r="W2" s="3"/>
      <c r="X2" s="3" t="s">
        <v>327</v>
      </c>
      <c r="Y2" s="3"/>
      <c r="Z2" s="3">
        <v>2</v>
      </c>
      <c r="AA2" s="3"/>
      <c r="AB2" s="2"/>
      <c r="AC2" s="2"/>
      <c r="AD2" s="2"/>
      <c r="AE2" s="2" t="s">
        <v>1414</v>
      </c>
      <c r="AF2" s="2"/>
      <c r="AG2" s="2"/>
      <c r="AH2" s="2"/>
      <c r="AI2" s="2"/>
      <c r="AJ2" s="2"/>
      <c r="AK2" s="2" t="s">
        <v>293</v>
      </c>
      <c r="AL2" s="2" t="s">
        <v>2568</v>
      </c>
      <c r="AM2" s="2" t="s">
        <v>2578</v>
      </c>
      <c r="AN2" s="2" t="s">
        <v>2579</v>
      </c>
      <c r="AO2" s="2" t="s">
        <v>2580</v>
      </c>
      <c r="AP2" s="2" t="s">
        <v>2569</v>
      </c>
      <c r="AQ2" s="2" t="s">
        <v>2570</v>
      </c>
      <c r="AR2" s="2" t="s">
        <v>2571</v>
      </c>
      <c r="AS2" s="2" t="s">
        <v>293</v>
      </c>
      <c r="AT2" s="2" t="s">
        <v>293</v>
      </c>
      <c r="AU2" s="2" t="s">
        <v>293</v>
      </c>
      <c r="AV2" s="2" t="s">
        <v>293</v>
      </c>
      <c r="AW2" s="2"/>
      <c r="AX2" s="2"/>
      <c r="AY2" s="2"/>
      <c r="AZ2" s="2"/>
      <c r="BA2" s="2"/>
    </row>
    <row r="3" spans="1:53" ht="15" customHeight="1">
      <c r="A3" s="10"/>
      <c r="B3" s="10"/>
      <c r="C3" s="10"/>
      <c r="D3" s="10"/>
      <c r="E3" s="10"/>
      <c r="F3" s="10"/>
      <c r="P3" s="10"/>
      <c r="Q3" s="10"/>
      <c r="R3" s="10"/>
      <c r="S3" s="10"/>
      <c r="T3" s="10"/>
      <c r="U3" s="10"/>
      <c r="V3" s="10"/>
      <c r="W3" s="10"/>
      <c r="X3" s="10"/>
      <c r="Y3" s="10"/>
      <c r="Z3" s="10"/>
      <c r="AA3" s="10"/>
      <c r="AB3" s="10"/>
      <c r="AC3" s="10"/>
    </row>
    <row r="4" spans="1:53" ht="15" customHeight="1">
      <c r="A4" s="10"/>
      <c r="B4" s="10"/>
      <c r="C4" s="10"/>
      <c r="D4" s="10"/>
      <c r="E4" s="10"/>
      <c r="F4" s="10"/>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AB4" s="10"/>
      <c r="AC4" s="10"/>
    </row>
    <row r="5" spans="1:53" ht="15" customHeight="1">
      <c r="A5" s="10"/>
      <c r="B5" s="10"/>
      <c r="C5" s="10"/>
      <c r="D5" s="10"/>
      <c r="E5" s="10"/>
      <c r="F5" s="10"/>
      <c r="P5" s="703" t="str">
        <f>Настройки!A2</f>
        <v>Авария</v>
      </c>
      <c r="Q5" s="518">
        <f>Настройки!B2</f>
        <v>4</v>
      </c>
      <c r="R5" s="708" t="str">
        <f>Настройки!C2</f>
        <v>Авария</v>
      </c>
      <c r="S5" s="10"/>
      <c r="T5" s="456">
        <f>Настройки!M12</f>
        <v>1</v>
      </c>
      <c r="U5" s="10"/>
      <c r="V5" s="10"/>
      <c r="W5" s="10"/>
      <c r="X5" s="10"/>
      <c r="Y5" s="10"/>
      <c r="Z5" s="10"/>
      <c r="AA5" s="10"/>
      <c r="AB5" s="10"/>
      <c r="AC5" s="10"/>
    </row>
    <row r="6" spans="1:53" ht="15" customHeight="1">
      <c r="A6" s="10"/>
      <c r="B6" s="10"/>
      <c r="C6" s="10"/>
      <c r="D6" s="10"/>
      <c r="E6" s="10"/>
      <c r="F6" s="10"/>
      <c r="P6" s="703" t="str">
        <f>Настройки!A3</f>
        <v>Предупреждение</v>
      </c>
      <c r="Q6" s="518">
        <f>Настройки!B3</f>
        <v>8</v>
      </c>
      <c r="R6" s="708" t="str">
        <f>Настройки!C3</f>
        <v>Предупреждение</v>
      </c>
      <c r="S6" s="10"/>
      <c r="T6" s="608" t="str">
        <f>Настройки!M7</f>
        <v>Отображение Таблицы подлючений в диаг.</v>
      </c>
      <c r="U6" s="10"/>
      <c r="V6" s="10"/>
      <c r="W6" s="10"/>
      <c r="X6" s="10"/>
      <c r="Y6" s="10"/>
      <c r="Z6" s="10"/>
      <c r="AA6" s="10"/>
      <c r="AB6" s="10"/>
      <c r="AC6" s="10"/>
    </row>
    <row r="7" spans="1:53" ht="15" customHeight="1">
      <c r="A7" s="10"/>
      <c r="B7" s="10"/>
      <c r="C7" s="10"/>
      <c r="D7" s="10"/>
      <c r="E7" s="10"/>
      <c r="F7" s="10"/>
      <c r="P7" s="703" t="str">
        <f>Настройки!A4</f>
        <v>Неисправность</v>
      </c>
      <c r="Q7" s="518">
        <f>Настройки!B4</f>
        <v>12</v>
      </c>
      <c r="R7" s="708" t="str">
        <f>Настройки!C4</f>
        <v>Неисправность</v>
      </c>
      <c r="S7" s="10"/>
      <c r="T7" s="714" t="b">
        <f>Настройки!M8</f>
        <v>0</v>
      </c>
      <c r="U7" s="10"/>
      <c r="V7" s="10"/>
      <c r="W7" s="10"/>
      <c r="X7" s="10"/>
      <c r="Y7" s="10"/>
      <c r="Z7" s="10"/>
      <c r="AA7" s="10"/>
      <c r="AB7" s="10"/>
      <c r="AC7" s="10"/>
    </row>
    <row r="8" spans="1:53" ht="15" customHeight="1">
      <c r="A8" s="10"/>
      <c r="B8" s="10"/>
      <c r="C8" s="10"/>
      <c r="D8" s="10"/>
      <c r="E8" s="10"/>
      <c r="F8" s="10"/>
      <c r="P8" s="703" t="str">
        <f>Настройки!A5</f>
        <v>Телесигнализация</v>
      </c>
      <c r="Q8" s="518">
        <f>Настройки!B5</f>
        <v>18</v>
      </c>
      <c r="R8" s="708" t="str">
        <f>Настройки!C5</f>
        <v>Телесигнализация</v>
      </c>
      <c r="S8" s="10"/>
      <c r="T8" s="10"/>
      <c r="U8" s="10"/>
      <c r="V8" s="10"/>
      <c r="W8" s="10"/>
      <c r="X8" s="10"/>
      <c r="Y8" s="10"/>
      <c r="Z8" s="10"/>
      <c r="AA8" s="10"/>
      <c r="AB8" s="10"/>
      <c r="AC8" s="10"/>
    </row>
    <row r="9" spans="1:53" ht="15" customHeight="1">
      <c r="A9" s="10"/>
      <c r="B9" s="10"/>
      <c r="C9" s="10"/>
      <c r="D9" s="10"/>
      <c r="E9" s="10"/>
      <c r="F9" s="10"/>
      <c r="P9" s="703" t="str">
        <f>Настройки!A6</f>
        <v>Недостоверность</v>
      </c>
      <c r="Q9" s="518">
        <f>Настройки!B6</f>
        <v>10</v>
      </c>
      <c r="R9" s="708" t="str">
        <f>Настройки!C6</f>
        <v>Недостоверность</v>
      </c>
      <c r="S9" s="10"/>
      <c r="T9" s="10"/>
      <c r="U9" s="10"/>
      <c r="V9" s="10"/>
      <c r="W9" s="10"/>
      <c r="X9" s="10"/>
      <c r="Y9" s="10"/>
      <c r="Z9" s="10"/>
      <c r="AA9" s="10"/>
      <c r="AB9" s="10"/>
      <c r="AC9" s="10"/>
    </row>
    <row r="10" spans="1:53" ht="15" customHeight="1">
      <c r="A10" s="10"/>
      <c r="B10" s="10"/>
      <c r="C10" s="10"/>
      <c r="D10" s="10"/>
      <c r="E10" s="10"/>
      <c r="F10" s="10"/>
      <c r="P10" s="703" t="str">
        <f>Настройки!A7</f>
        <v>Имитация</v>
      </c>
      <c r="Q10" s="518">
        <f>Настройки!B7</f>
        <v>16</v>
      </c>
      <c r="R10" s="708" t="str">
        <f>Настройки!C7</f>
        <v>Имитация</v>
      </c>
      <c r="S10" s="10"/>
      <c r="T10" s="10"/>
      <c r="U10" s="10"/>
      <c r="V10" s="10"/>
      <c r="W10" s="10"/>
      <c r="X10" s="10"/>
      <c r="Y10" s="10"/>
      <c r="Z10" s="10"/>
      <c r="AA10" s="10"/>
      <c r="AB10" s="10"/>
      <c r="AC10" s="10"/>
    </row>
    <row r="11" spans="1:53" ht="15" customHeight="1">
      <c r="A11" s="10"/>
      <c r="B11" s="10"/>
      <c r="C11" s="10"/>
      <c r="D11" s="10"/>
      <c r="E11" s="10"/>
      <c r="F11" s="10"/>
      <c r="P11" s="703" t="str">
        <f>Настройки!A8</f>
        <v>Ремонт</v>
      </c>
      <c r="Q11" s="518">
        <f>Настройки!B8</f>
        <v>14</v>
      </c>
      <c r="R11" s="708" t="str">
        <f>Настройки!C8</f>
        <v>Ремонт</v>
      </c>
      <c r="S11" s="10"/>
      <c r="T11" s="10"/>
      <c r="U11" s="10"/>
      <c r="V11" s="10"/>
      <c r="W11" s="10"/>
      <c r="X11" s="10"/>
      <c r="Y11" s="10"/>
      <c r="Z11" s="10"/>
      <c r="AA11" s="10"/>
      <c r="AB11" s="10"/>
      <c r="AC11" s="10"/>
    </row>
    <row r="12" spans="1:53" ht="15" customHeight="1">
      <c r="A12" s="10"/>
      <c r="B12" s="10"/>
      <c r="C12" s="10"/>
      <c r="D12" s="10"/>
      <c r="E12" s="10"/>
      <c r="F12" s="10"/>
      <c r="P12" s="703" t="str">
        <f>Настройки!A9</f>
        <v>Команда оператора</v>
      </c>
      <c r="Q12" s="518">
        <f>Настройки!B9</f>
        <v>20</v>
      </c>
      <c r="R12" s="708" t="str">
        <f>Настройки!C9</f>
        <v>Команда оператора</v>
      </c>
      <c r="S12" s="10"/>
      <c r="T12" s="10"/>
      <c r="U12" s="10"/>
      <c r="V12" s="10"/>
      <c r="W12" s="10"/>
      <c r="X12" s="10"/>
      <c r="Y12" s="10"/>
      <c r="Z12" s="10"/>
      <c r="AA12" s="10"/>
      <c r="AB12" s="10"/>
      <c r="AC12" s="10"/>
    </row>
    <row r="13" spans="1:53" ht="15" customHeight="1">
      <c r="A13" s="10"/>
      <c r="B13" s="10"/>
      <c r="C13" s="10"/>
      <c r="D13" s="10"/>
      <c r="E13" s="10"/>
      <c r="F13" s="10"/>
      <c r="P13" s="703" t="str">
        <f>Настройки!A10</f>
        <v>Тревога</v>
      </c>
      <c r="Q13" s="518">
        <f>Настройки!B10</f>
        <v>5</v>
      </c>
      <c r="R13" s="518" t="str">
        <f>Настройки!C10</f>
        <v>Тревога</v>
      </c>
      <c r="S13" s="10"/>
      <c r="T13" s="10"/>
      <c r="U13" s="10"/>
      <c r="V13" s="10"/>
      <c r="W13" s="10"/>
      <c r="X13" s="10"/>
      <c r="Y13" s="10"/>
      <c r="Z13" s="10"/>
      <c r="AA13" s="10"/>
      <c r="AB13" s="10"/>
      <c r="AC13" s="10"/>
    </row>
    <row r="14" spans="1:53" ht="15" customHeight="1">
      <c r="A14" s="10"/>
      <c r="B14" s="10"/>
      <c r="C14" s="10"/>
      <c r="D14" s="10"/>
      <c r="E14" s="10"/>
      <c r="F14" s="10"/>
      <c r="P14" s="703" t="str">
        <f>Настройки!A11</f>
        <v>Тушение</v>
      </c>
      <c r="Q14" s="518">
        <f>Настройки!B11</f>
        <v>1</v>
      </c>
      <c r="R14" s="518" t="str">
        <f>Настройки!C11</f>
        <v>Тушение</v>
      </c>
      <c r="S14" s="10"/>
      <c r="T14" s="10"/>
      <c r="U14" s="10"/>
      <c r="V14" s="10"/>
      <c r="W14" s="10"/>
      <c r="X14" s="10"/>
      <c r="Y14" s="10"/>
      <c r="Z14" s="10"/>
      <c r="AA14" s="10"/>
      <c r="AB14" s="10"/>
      <c r="AC14" s="10"/>
    </row>
    <row r="15" spans="1:53" ht="15" customHeight="1">
      <c r="A15" s="10"/>
      <c r="B15" s="10"/>
      <c r="C15" s="10"/>
      <c r="D15" s="10"/>
      <c r="E15" s="10"/>
      <c r="F15" s="10"/>
      <c r="P15" s="703" t="str">
        <f>Настройки!A12</f>
        <v>Пожар</v>
      </c>
      <c r="Q15" s="518">
        <f>Настройки!B12</f>
        <v>2</v>
      </c>
      <c r="R15" s="518" t="str">
        <f>Настройки!C12</f>
        <v>Пожар</v>
      </c>
      <c r="S15" s="10"/>
      <c r="T15" s="10"/>
      <c r="U15" s="10"/>
      <c r="V15" s="10"/>
      <c r="W15" s="10"/>
      <c r="X15" s="10"/>
      <c r="Y15" s="10"/>
      <c r="Z15" s="10"/>
      <c r="AA15" s="10"/>
      <c r="AB15" s="10"/>
      <c r="AC15" s="10"/>
    </row>
    <row r="16" spans="1:53" ht="15" customHeight="1">
      <c r="A16" s="10"/>
      <c r="B16" s="10"/>
      <c r="C16" s="10"/>
      <c r="D16" s="10"/>
      <c r="E16" s="10"/>
      <c r="F16" s="10"/>
      <c r="P16" s="703" t="str">
        <f>Настройки!A13</f>
        <v>Порог 2</v>
      </c>
      <c r="Q16" s="518">
        <f>Настройки!B13</f>
        <v>3</v>
      </c>
      <c r="R16" s="518" t="str">
        <f>Настройки!C13</f>
        <v>Порог 2</v>
      </c>
      <c r="S16" s="10"/>
      <c r="T16" s="10"/>
      <c r="U16" s="10"/>
      <c r="V16" s="10"/>
      <c r="W16" s="10"/>
      <c r="X16" s="10"/>
      <c r="Y16" s="10"/>
      <c r="Z16" s="10"/>
      <c r="AA16" s="10"/>
      <c r="AB16" s="10"/>
      <c r="AC16" s="10"/>
    </row>
    <row r="17" spans="1:29" ht="15" customHeight="1">
      <c r="A17" s="10"/>
      <c r="B17" s="10"/>
      <c r="C17" s="10"/>
      <c r="D17" s="10"/>
      <c r="E17" s="10"/>
      <c r="F17" s="10"/>
      <c r="P17" s="703" t="str">
        <f>Настройки!A14</f>
        <v>Порог 1</v>
      </c>
      <c r="Q17" s="518">
        <f>Настройки!B14</f>
        <v>6</v>
      </c>
      <c r="R17" s="518" t="str">
        <f>Настройки!C14</f>
        <v>Порог 1</v>
      </c>
      <c r="S17" s="10"/>
      <c r="T17" s="10"/>
      <c r="U17" s="10"/>
      <c r="V17" s="10"/>
      <c r="W17" s="10"/>
      <c r="X17" s="10"/>
      <c r="Y17" s="10"/>
      <c r="Z17" s="10"/>
      <c r="AA17" s="10"/>
      <c r="AB17" s="10"/>
      <c r="AC17" s="10"/>
    </row>
    <row r="18" spans="1:29" ht="15" customHeight="1">
      <c r="A18" s="10"/>
      <c r="B18" s="10"/>
      <c r="C18" s="10"/>
      <c r="D18" s="10"/>
      <c r="E18" s="10"/>
      <c r="F18" s="10"/>
      <c r="P18" s="703" t="str">
        <f>Настройки!A15</f>
        <v>Отключение</v>
      </c>
      <c r="Q18" s="518">
        <f>Настройки!B15</f>
        <v>13</v>
      </c>
      <c r="R18" s="518" t="str">
        <f>Настройки!C15</f>
        <v>Отключение</v>
      </c>
      <c r="S18" s="10"/>
      <c r="T18" s="10"/>
      <c r="U18" s="10"/>
      <c r="V18" s="10"/>
      <c r="W18" s="10"/>
      <c r="X18" s="10"/>
      <c r="Y18" s="10"/>
      <c r="Z18" s="10"/>
      <c r="AA18" s="10"/>
      <c r="AB18" s="10"/>
      <c r="AC18" s="10"/>
    </row>
    <row r="19" spans="1:29" ht="15" customHeight="1">
      <c r="A19" s="10"/>
      <c r="B19" s="10"/>
      <c r="C19" s="10"/>
      <c r="D19" s="10"/>
      <c r="E19" s="10"/>
      <c r="F19" s="10"/>
      <c r="P19" s="703" t="str">
        <f>Настройки!A16</f>
        <v>Информация</v>
      </c>
      <c r="Q19" s="518">
        <f>Настройки!B16</f>
        <v>22</v>
      </c>
      <c r="R19" s="518" t="str">
        <f>Настройки!C16</f>
        <v>Информация</v>
      </c>
      <c r="S19" s="10"/>
      <c r="T19" s="10"/>
      <c r="U19" s="10"/>
      <c r="V19" s="10"/>
      <c r="W19" s="10"/>
      <c r="X19" s="10"/>
      <c r="Y19" s="10"/>
      <c r="Z19" s="10"/>
      <c r="AA19" s="10"/>
      <c r="AB19" s="10"/>
      <c r="AC19" s="10"/>
    </row>
    <row r="20" spans="1:29">
      <c r="A20" s="23" t="str">
        <f t="shared" ref="A20:A43" si="0">$R$2</f>
        <v>АСУЭ.IMsp</v>
      </c>
      <c r="B20" s="24">
        <v>7011</v>
      </c>
      <c r="C20" s="24" t="s">
        <v>2</v>
      </c>
      <c r="D20" s="25" t="s">
        <v>266</v>
      </c>
    </row>
    <row r="21" spans="1:29">
      <c r="A21" s="23" t="str">
        <f t="shared" si="0"/>
        <v>АСУЭ.IMsp</v>
      </c>
      <c r="B21" s="24">
        <v>11001</v>
      </c>
      <c r="C21" s="24" t="s">
        <v>0</v>
      </c>
      <c r="D21" s="25" t="str">
        <f>$Q$2&amp;". "</f>
        <v xml:space="preserve">Выключатель электрический без тележки (шаблон IEC 104). </v>
      </c>
    </row>
    <row r="22" spans="1:29">
      <c r="A22" s="29" t="str">
        <f t="shared" si="0"/>
        <v>АСУЭ.IMsp</v>
      </c>
      <c r="B22">
        <v>1</v>
      </c>
      <c r="C22" t="s">
        <v>1</v>
      </c>
      <c r="D22" s="30">
        <v>17</v>
      </c>
    </row>
    <row r="23" spans="1:29">
      <c r="A23" s="29" t="str">
        <f t="shared" si="0"/>
        <v>АСУЭ.IMsp</v>
      </c>
      <c r="B23">
        <v>11156</v>
      </c>
      <c r="C23" t="s">
        <v>0</v>
      </c>
      <c r="D23" s="30" t="str">
        <f>$V$2</f>
        <v>Тестовый экран</v>
      </c>
    </row>
    <row r="24" spans="1:29">
      <c r="A24" s="29" t="str">
        <f t="shared" si="0"/>
        <v>АСУЭ.IMsp</v>
      </c>
      <c r="B24">
        <v>11120</v>
      </c>
      <c r="C24" t="s">
        <v>0</v>
      </c>
      <c r="D24" s="30">
        <f>$AC$2</f>
        <v>0</v>
      </c>
    </row>
    <row r="25" spans="1:29">
      <c r="A25" s="23" t="str">
        <f t="shared" si="0"/>
        <v>АСУЭ.IMsp</v>
      </c>
      <c r="B25" s="24">
        <v>13</v>
      </c>
      <c r="C25" s="24" t="s">
        <v>2</v>
      </c>
      <c r="D25" s="25" t="s">
        <v>3</v>
      </c>
      <c r="Q25" s="778" t="s">
        <v>2592</v>
      </c>
    </row>
    <row r="26" spans="1:29" ht="15" customHeight="1">
      <c r="A26" s="29" t="str">
        <f t="shared" si="0"/>
        <v>АСУЭ.IMsp</v>
      </c>
      <c r="B26">
        <v>3000013</v>
      </c>
      <c r="C26" t="s">
        <v>0</v>
      </c>
      <c r="D26" s="30" t="str">
        <f>$AE$2</f>
        <v>Диагностика.CPU.NOT_LINK.noLink</v>
      </c>
      <c r="Q26" s="780"/>
    </row>
    <row r="27" spans="1:29" ht="15" customHeight="1">
      <c r="A27" s="29" t="str">
        <f t="shared" si="0"/>
        <v>АСУЭ.IMsp</v>
      </c>
      <c r="B27">
        <v>4000013</v>
      </c>
      <c r="C27" t="s">
        <v>0</v>
      </c>
      <c r="D27" s="30" t="s">
        <v>1775</v>
      </c>
      <c r="Q27" s="780"/>
    </row>
    <row r="28" spans="1:29" ht="15" customHeight="1">
      <c r="A28" s="26" t="str">
        <f t="shared" si="0"/>
        <v>АСУЭ.IMsp</v>
      </c>
      <c r="B28" s="27">
        <v>7000013</v>
      </c>
      <c r="C28" s="27" t="s">
        <v>6</v>
      </c>
      <c r="D28" s="28">
        <v>2</v>
      </c>
      <c r="Q28" s="779"/>
    </row>
    <row r="29" spans="1:29" ht="15" customHeight="1">
      <c r="A29" s="29" t="str">
        <f t="shared" si="0"/>
        <v>АСУЭ.IMsp</v>
      </c>
      <c r="B29">
        <v>9207</v>
      </c>
      <c r="C29" t="s">
        <v>2</v>
      </c>
      <c r="D29" s="30" t="s">
        <v>3</v>
      </c>
      <c r="Q29" s="778" t="s">
        <v>139</v>
      </c>
    </row>
    <row r="30" spans="1:29">
      <c r="A30" s="27" t="str">
        <f t="shared" si="0"/>
        <v>АСУЭ.IMsp</v>
      </c>
      <c r="B30" s="27">
        <v>3009207</v>
      </c>
      <c r="C30" s="27" t="s">
        <v>0</v>
      </c>
      <c r="D30" s="28" t="s">
        <v>2605</v>
      </c>
      <c r="Q30" s="779"/>
    </row>
    <row r="31" spans="1:29" ht="15" customHeight="1">
      <c r="A31" s="16" t="str">
        <f t="shared" si="0"/>
        <v>АСУЭ.IMsp</v>
      </c>
      <c r="B31" s="17">
        <v>9229</v>
      </c>
      <c r="C31" s="17" t="s">
        <v>2</v>
      </c>
      <c r="D31" s="18" t="s">
        <v>3</v>
      </c>
      <c r="Q31" s="778" t="s">
        <v>2684</v>
      </c>
    </row>
    <row r="32" spans="1:29">
      <c r="A32" s="19" t="str">
        <f t="shared" si="0"/>
        <v>АСУЭ.IMsp</v>
      </c>
      <c r="B32" s="11">
        <v>7009229</v>
      </c>
      <c r="C32" s="11" t="s">
        <v>6</v>
      </c>
      <c r="D32" s="20">
        <v>1</v>
      </c>
      <c r="Q32" s="780"/>
    </row>
    <row r="33" spans="1:17">
      <c r="A33" s="21" t="str">
        <f t="shared" si="0"/>
        <v>АСУЭ.IMsp</v>
      </c>
      <c r="B33" s="8">
        <v>4009229</v>
      </c>
      <c r="C33" s="8" t="s">
        <v>0</v>
      </c>
      <c r="D33" s="742" t="s">
        <v>2685</v>
      </c>
      <c r="Q33" s="779"/>
    </row>
    <row r="34" spans="1:17" ht="15" customHeight="1">
      <c r="A34" s="19" t="str">
        <f t="shared" si="0"/>
        <v>АСУЭ.IMsp</v>
      </c>
      <c r="B34" s="11">
        <v>9230</v>
      </c>
      <c r="C34" s="11" t="s">
        <v>2</v>
      </c>
      <c r="D34" s="20" t="s">
        <v>3</v>
      </c>
      <c r="Q34" s="778" t="s">
        <v>2686</v>
      </c>
    </row>
    <row r="35" spans="1:17">
      <c r="A35" s="19" t="str">
        <f t="shared" si="0"/>
        <v>АСУЭ.IMsp</v>
      </c>
      <c r="B35" s="11">
        <v>7009230</v>
      </c>
      <c r="C35" s="11" t="s">
        <v>6</v>
      </c>
      <c r="D35" s="20">
        <v>1</v>
      </c>
      <c r="Q35" s="780"/>
    </row>
    <row r="36" spans="1:17">
      <c r="A36" s="21" t="str">
        <f t="shared" si="0"/>
        <v>АСУЭ.IMsp</v>
      </c>
      <c r="B36" s="8">
        <v>4009230</v>
      </c>
      <c r="C36" s="8" t="s">
        <v>0</v>
      </c>
      <c r="D36" s="742" t="s">
        <v>2687</v>
      </c>
      <c r="Q36" s="779"/>
    </row>
    <row r="37" spans="1:17" ht="15" customHeight="1">
      <c r="A37" s="19" t="str">
        <f t="shared" si="0"/>
        <v>АСУЭ.IMsp</v>
      </c>
      <c r="B37" s="11">
        <v>9231</v>
      </c>
      <c r="C37" s="11" t="s">
        <v>2</v>
      </c>
      <c r="D37" s="20" t="s">
        <v>3</v>
      </c>
      <c r="Q37" s="778" t="s">
        <v>2690</v>
      </c>
    </row>
    <row r="38" spans="1:17">
      <c r="A38" s="19" t="str">
        <f t="shared" si="0"/>
        <v>АСУЭ.IMsp</v>
      </c>
      <c r="B38" s="11">
        <v>7009231</v>
      </c>
      <c r="C38" s="11" t="s">
        <v>6</v>
      </c>
      <c r="D38" s="20">
        <v>1</v>
      </c>
      <c r="Q38" s="780"/>
    </row>
    <row r="39" spans="1:17">
      <c r="A39" s="21" t="str">
        <f t="shared" si="0"/>
        <v>АСУЭ.IMsp</v>
      </c>
      <c r="B39" s="8">
        <v>4009231</v>
      </c>
      <c r="C39" s="8" t="s">
        <v>0</v>
      </c>
      <c r="D39" s="742" t="s">
        <v>2691</v>
      </c>
      <c r="Q39" s="779"/>
    </row>
    <row r="40" spans="1:17">
      <c r="A40" s="712" t="str">
        <f t="shared" si="0"/>
        <v>АСУЭ.IMsp</v>
      </c>
      <c r="B40" s="711">
        <v>9204</v>
      </c>
      <c r="C40" s="711" t="s">
        <v>6</v>
      </c>
      <c r="D40" s="710">
        <v>0</v>
      </c>
      <c r="Q40" s="518" t="s">
        <v>2595</v>
      </c>
    </row>
    <row r="41" spans="1:17">
      <c r="A41" s="712" t="str">
        <f t="shared" si="0"/>
        <v>АСУЭ.IMsp</v>
      </c>
      <c r="B41" s="711">
        <v>9205</v>
      </c>
      <c r="C41" s="711" t="s">
        <v>6</v>
      </c>
      <c r="D41" s="710">
        <v>0</v>
      </c>
      <c r="Q41" s="518" t="s">
        <v>343</v>
      </c>
    </row>
    <row r="42" spans="1:17">
      <c r="A42" s="712" t="str">
        <f t="shared" si="0"/>
        <v>АСУЭ.IMsp</v>
      </c>
      <c r="B42" s="711">
        <v>9206</v>
      </c>
      <c r="C42" s="711" t="s">
        <v>6</v>
      </c>
      <c r="D42" s="710">
        <v>0</v>
      </c>
      <c r="Q42" s="518" t="s">
        <v>2604</v>
      </c>
    </row>
    <row r="43" spans="1:17">
      <c r="A43" s="449" t="str">
        <f t="shared" si="0"/>
        <v>АСУЭ.IMsp</v>
      </c>
      <c r="B43" s="551">
        <v>9218</v>
      </c>
      <c r="C43" s="551" t="s">
        <v>2</v>
      </c>
      <c r="D43" s="552" t="s">
        <v>3</v>
      </c>
      <c r="Q43" s="518" t="s">
        <v>2603</v>
      </c>
    </row>
    <row r="44" spans="1:17">
      <c r="A44" t="str">
        <f>$R$2&amp;".Commands"</f>
        <v>АСУЭ.IMsp.Commands</v>
      </c>
      <c r="B44" s="24">
        <v>7011</v>
      </c>
      <c r="C44" s="24" t="s">
        <v>2</v>
      </c>
      <c r="D44" s="25" t="s">
        <v>266</v>
      </c>
    </row>
    <row r="45" spans="1:17" ht="15" customHeight="1">
      <c r="A45" t="str">
        <f t="shared" ref="A45:A58" si="1">$R$2&amp;".Commands"</f>
        <v>АСУЭ.IMsp.Commands</v>
      </c>
      <c r="B45">
        <v>1</v>
      </c>
      <c r="C45" t="s">
        <v>1</v>
      </c>
      <c r="D45" s="30">
        <v>17</v>
      </c>
    </row>
    <row r="46" spans="1:17">
      <c r="A46" s="23" t="str">
        <f t="shared" si="1"/>
        <v>АСУЭ.IMsp.Commands</v>
      </c>
      <c r="B46" s="24">
        <v>9208</v>
      </c>
      <c r="C46" s="24" t="s">
        <v>2</v>
      </c>
      <c r="D46" s="25" t="s">
        <v>3</v>
      </c>
      <c r="Q46" s="778" t="s">
        <v>114</v>
      </c>
    </row>
    <row r="47" spans="1:17">
      <c r="A47" t="str">
        <f t="shared" si="1"/>
        <v>АСУЭ.IMsp.Commands</v>
      </c>
      <c r="B47">
        <v>4009208</v>
      </c>
      <c r="C47" t="s">
        <v>0</v>
      </c>
      <c r="D47" s="415" t="s">
        <v>2585</v>
      </c>
      <c r="Q47" s="780"/>
    </row>
    <row r="48" spans="1:17">
      <c r="A48" s="29" t="str">
        <f t="shared" si="1"/>
        <v>АСУЭ.IMsp.Commands</v>
      </c>
      <c r="B48">
        <v>7009208</v>
      </c>
      <c r="C48" t="s">
        <v>6</v>
      </c>
      <c r="D48" s="30">
        <v>1</v>
      </c>
      <c r="Q48" s="779"/>
    </row>
    <row r="49" spans="1:17">
      <c r="A49" s="23" t="str">
        <f t="shared" si="1"/>
        <v>АСУЭ.IMsp.Commands</v>
      </c>
      <c r="B49" s="24">
        <v>9209</v>
      </c>
      <c r="C49" s="24" t="s">
        <v>2</v>
      </c>
      <c r="D49" s="25" t="s">
        <v>3</v>
      </c>
      <c r="Q49" s="778" t="s">
        <v>116</v>
      </c>
    </row>
    <row r="50" spans="1:17" ht="16.5" customHeight="1">
      <c r="A50" s="29" t="str">
        <f t="shared" si="1"/>
        <v>АСУЭ.IMsp.Commands</v>
      </c>
      <c r="B50">
        <v>4009209</v>
      </c>
      <c r="C50" t="s">
        <v>0</v>
      </c>
      <c r="D50" s="713" t="s">
        <v>2602</v>
      </c>
      <c r="Q50" s="780"/>
    </row>
    <row r="51" spans="1:17">
      <c r="A51" s="29" t="str">
        <f t="shared" si="1"/>
        <v>АСУЭ.IMsp.Commands</v>
      </c>
      <c r="B51">
        <v>7009209</v>
      </c>
      <c r="C51" t="s">
        <v>6</v>
      </c>
      <c r="D51" s="30">
        <v>1</v>
      </c>
      <c r="Q51" s="779"/>
    </row>
    <row r="52" spans="1:17">
      <c r="A52" s="712" t="str">
        <f t="shared" si="1"/>
        <v>АСУЭ.IMsp.Commands</v>
      </c>
      <c r="B52" s="711">
        <v>9211</v>
      </c>
      <c r="C52" s="711" t="s">
        <v>6</v>
      </c>
      <c r="D52" s="710">
        <v>0</v>
      </c>
      <c r="Q52" s="537" t="s">
        <v>2593</v>
      </c>
    </row>
    <row r="53" spans="1:17">
      <c r="A53" s="712" t="str">
        <f t="shared" si="1"/>
        <v>АСУЭ.IMsp.Commands</v>
      </c>
      <c r="B53" s="711">
        <v>9212</v>
      </c>
      <c r="C53" s="711" t="s">
        <v>6</v>
      </c>
      <c r="D53" s="710">
        <v>0</v>
      </c>
      <c r="Q53" s="537" t="s">
        <v>2601</v>
      </c>
    </row>
    <row r="54" spans="1:17" ht="15" customHeight="1">
      <c r="A54" s="269" t="str">
        <f t="shared" si="1"/>
        <v>АСУЭ.IMsp.Commands</v>
      </c>
      <c r="B54" s="700">
        <v>9213</v>
      </c>
      <c r="C54" s="700" t="s">
        <v>2583</v>
      </c>
      <c r="D54" s="271">
        <f>$Z$2</f>
        <v>2</v>
      </c>
      <c r="Q54" s="537" t="s">
        <v>128</v>
      </c>
    </row>
    <row r="55" spans="1:17">
      <c r="A55" s="26" t="str">
        <f t="shared" si="1"/>
        <v>АСУЭ.IMsp.Commands</v>
      </c>
      <c r="B55" s="27">
        <v>9214</v>
      </c>
      <c r="C55" s="24" t="s">
        <v>2</v>
      </c>
      <c r="D55" s="25" t="s">
        <v>3</v>
      </c>
      <c r="Q55" s="537" t="s">
        <v>2600</v>
      </c>
    </row>
    <row r="56" spans="1:17">
      <c r="A56" s="26" t="str">
        <f t="shared" si="1"/>
        <v>АСУЭ.IMsp.Commands</v>
      </c>
      <c r="B56" s="27">
        <v>9215</v>
      </c>
      <c r="C56" s="24" t="s">
        <v>2</v>
      </c>
      <c r="D56" s="25" t="s">
        <v>3</v>
      </c>
      <c r="Q56" s="537" t="s">
        <v>2599</v>
      </c>
    </row>
    <row r="57" spans="1:17">
      <c r="A57" s="26" t="str">
        <f t="shared" si="1"/>
        <v>АСУЭ.IMsp.Commands</v>
      </c>
      <c r="B57" s="27">
        <v>9216</v>
      </c>
      <c r="C57" s="24" t="s">
        <v>2</v>
      </c>
      <c r="D57" s="25" t="s">
        <v>3</v>
      </c>
      <c r="Q57" s="537" t="s">
        <v>2598</v>
      </c>
    </row>
    <row r="58" spans="1:17">
      <c r="A58" s="26" t="str">
        <f t="shared" si="1"/>
        <v>АСУЭ.IMsp.Commands</v>
      </c>
      <c r="B58" s="27">
        <v>9217</v>
      </c>
      <c r="C58" s="24" t="s">
        <v>2</v>
      </c>
      <c r="D58" s="25" t="s">
        <v>3</v>
      </c>
      <c r="Q58" s="537" t="s">
        <v>2597</v>
      </c>
    </row>
    <row r="59" spans="1:17">
      <c r="A59" s="1" t="str">
        <f t="shared" ref="A59:A70" si="2">$R$2&amp;".aPrt"</f>
        <v>АСУЭ.IMsp.aPrt</v>
      </c>
      <c r="B59" s="24">
        <v>7011</v>
      </c>
      <c r="C59" s="24" t="s">
        <v>2</v>
      </c>
      <c r="D59" s="25" t="s">
        <v>266</v>
      </c>
    </row>
    <row r="60" spans="1:17">
      <c r="A60" s="1" t="str">
        <f t="shared" si="2"/>
        <v>АСУЭ.IMsp.aPrt</v>
      </c>
      <c r="B60" s="1">
        <v>3</v>
      </c>
      <c r="C60" s="1" t="s">
        <v>1</v>
      </c>
      <c r="D60" s="30">
        <v>192</v>
      </c>
    </row>
    <row r="61" spans="1:17">
      <c r="A61" s="29" t="str">
        <f t="shared" si="2"/>
        <v>АСУЭ.IMsp.aPrt</v>
      </c>
      <c r="B61">
        <v>2</v>
      </c>
      <c r="C61" t="s">
        <v>2</v>
      </c>
      <c r="D61" s="30" t="s">
        <v>3</v>
      </c>
    </row>
    <row r="62" spans="1:17">
      <c r="A62" s="29" t="str">
        <f t="shared" si="2"/>
        <v>АСУЭ.IMsp.aPrt</v>
      </c>
      <c r="B62">
        <v>1</v>
      </c>
      <c r="C62" t="s">
        <v>1</v>
      </c>
      <c r="D62" s="30">
        <v>11</v>
      </c>
    </row>
    <row r="63" spans="1:17">
      <c r="A63" s="29" t="str">
        <f t="shared" si="2"/>
        <v>АСУЭ.IMsp.aPrt</v>
      </c>
      <c r="B63">
        <v>101</v>
      </c>
      <c r="C63" t="s">
        <v>0</v>
      </c>
      <c r="D63" s="30" t="s">
        <v>140</v>
      </c>
    </row>
    <row r="64" spans="1:17">
      <c r="A64" s="29" t="str">
        <f t="shared" si="2"/>
        <v>АСУЭ.IMsp.aPrt</v>
      </c>
      <c r="B64">
        <v>7050</v>
      </c>
      <c r="C64" t="s">
        <v>0</v>
      </c>
      <c r="D64" s="205" t="str">
        <f>"&lt;Addr AnswerSignalType=©0© Protocol=©IEC4Std© Type=©Protocol© ProtocolType=©30© Address=©" &amp; $AS$2 &amp; "© ModuleNo=©" &amp; $S$2 &amp; "© Role=©Master© Station=©" &amp; $T$2 &amp; "©  /&gt;"</f>
        <v>&lt;Addr AnswerSignalType=©0© Protocol=©IEC4Std© Type=©Protocol© ProtocolType=©30© Address=©-© ModuleNo=©2© Role=©Master© Station=©1©  /&gt;</v>
      </c>
    </row>
    <row r="65" spans="1:4">
      <c r="A65" s="148" t="str">
        <f t="shared" si="2"/>
        <v>АСУЭ.IMsp.aPrt</v>
      </c>
      <c r="B65" s="683">
        <v>11154</v>
      </c>
      <c r="C65" s="683" t="s">
        <v>4</v>
      </c>
      <c r="D65" s="125">
        <f>$Q$5</f>
        <v>4</v>
      </c>
    </row>
    <row r="66" spans="1:4">
      <c r="A66" s="148" t="str">
        <f t="shared" si="2"/>
        <v>АСУЭ.IMsp.aPrt</v>
      </c>
      <c r="B66" s="683">
        <v>11152</v>
      </c>
      <c r="C66" s="683" t="s">
        <v>0</v>
      </c>
      <c r="D66" s="125" t="str">
        <f>$R$5</f>
        <v>Авария</v>
      </c>
    </row>
    <row r="67" spans="1:4">
      <c r="A67" s="148" t="str">
        <f t="shared" si="2"/>
        <v>АСУЭ.IMsp.aPrt</v>
      </c>
      <c r="B67" s="683">
        <v>11150</v>
      </c>
      <c r="C67" s="683" t="s">
        <v>0</v>
      </c>
      <c r="D67" s="125" t="s">
        <v>141</v>
      </c>
    </row>
    <row r="68" spans="1:4">
      <c r="A68" s="148" t="str">
        <f t="shared" si="2"/>
        <v>АСУЭ.IMsp.aPrt</v>
      </c>
      <c r="B68" s="683">
        <v>11000</v>
      </c>
      <c r="C68" s="683" t="s">
        <v>5</v>
      </c>
      <c r="D68" s="125">
        <v>2147483680</v>
      </c>
    </row>
    <row r="69" spans="1:4">
      <c r="A69" s="29" t="str">
        <f t="shared" si="2"/>
        <v>АСУЭ.IMsp.aPrt</v>
      </c>
      <c r="B69">
        <v>7000000</v>
      </c>
      <c r="C69" t="s">
        <v>6</v>
      </c>
      <c r="D69" s="30">
        <v>1</v>
      </c>
    </row>
    <row r="70" spans="1:4">
      <c r="A70" s="26" t="str">
        <f t="shared" si="2"/>
        <v>АСУЭ.IMsp.aPrt</v>
      </c>
      <c r="B70" s="27">
        <v>4000000</v>
      </c>
      <c r="C70" s="27" t="s">
        <v>0</v>
      </c>
      <c r="D70" s="701" t="s">
        <v>2692</v>
      </c>
    </row>
    <row r="71" spans="1:4">
      <c r="A71" t="str">
        <f t="shared" ref="A71:A79" si="3">$R$2&amp;".wCntLimit"</f>
        <v>АСУЭ.IMsp.wCntLimit</v>
      </c>
      <c r="B71">
        <v>101</v>
      </c>
      <c r="C71" t="s">
        <v>0</v>
      </c>
      <c r="D71" s="30" t="s">
        <v>157</v>
      </c>
    </row>
    <row r="72" spans="1:4">
      <c r="A72" t="str">
        <f t="shared" si="3"/>
        <v>АСУЭ.IMsp.wCntLimit</v>
      </c>
      <c r="B72">
        <v>1</v>
      </c>
      <c r="C72" t="s">
        <v>1</v>
      </c>
      <c r="D72" s="30">
        <v>11</v>
      </c>
    </row>
    <row r="73" spans="1:4">
      <c r="A73" t="str">
        <f t="shared" si="3"/>
        <v>АСУЭ.IMsp.wCntLimit</v>
      </c>
      <c r="B73">
        <v>2</v>
      </c>
      <c r="C73" t="s">
        <v>2</v>
      </c>
      <c r="D73" s="30" t="s">
        <v>3</v>
      </c>
    </row>
    <row r="74" spans="1:4">
      <c r="A74" t="str">
        <f t="shared" si="3"/>
        <v>АСУЭ.IMsp.wCntLimit</v>
      </c>
      <c r="B74">
        <v>3</v>
      </c>
      <c r="C74" t="s">
        <v>1</v>
      </c>
      <c r="D74" s="30">
        <v>192</v>
      </c>
    </row>
    <row r="75" spans="1:4">
      <c r="A75" s="52" t="str">
        <f t="shared" si="3"/>
        <v>АСУЭ.IMsp.wCntLimit</v>
      </c>
      <c r="B75" s="52">
        <v>11154</v>
      </c>
      <c r="C75" s="52" t="s">
        <v>4</v>
      </c>
      <c r="D75" s="65">
        <f>$Q$6</f>
        <v>8</v>
      </c>
    </row>
    <row r="76" spans="1:4">
      <c r="A76" s="52" t="str">
        <f t="shared" si="3"/>
        <v>АСУЭ.IMsp.wCntLimit</v>
      </c>
      <c r="B76" s="52">
        <v>11152</v>
      </c>
      <c r="C76" s="52" t="s">
        <v>0</v>
      </c>
      <c r="D76" s="65" t="str">
        <f>$R$6</f>
        <v>Предупреждение</v>
      </c>
    </row>
    <row r="77" spans="1:4">
      <c r="A77" s="52" t="str">
        <f t="shared" si="3"/>
        <v>АСУЭ.IMsp.wCntLimit</v>
      </c>
      <c r="B77" s="52">
        <v>11150</v>
      </c>
      <c r="C77" s="52" t="s">
        <v>0</v>
      </c>
      <c r="D77" s="65" t="s">
        <v>157</v>
      </c>
    </row>
    <row r="78" spans="1:4">
      <c r="A78" s="52" t="str">
        <f t="shared" si="3"/>
        <v>АСУЭ.IMsp.wCntLimit</v>
      </c>
      <c r="B78" s="52">
        <v>11000</v>
      </c>
      <c r="C78" s="52" t="s">
        <v>5</v>
      </c>
      <c r="D78" s="65">
        <v>2147483680</v>
      </c>
    </row>
    <row r="79" spans="1:4">
      <c r="A79" t="str">
        <f t="shared" si="3"/>
        <v>АСУЭ.IMsp.wCntLimit</v>
      </c>
      <c r="B79" s="27">
        <v>3000000</v>
      </c>
      <c r="C79" s="27" t="s">
        <v>0</v>
      </c>
      <c r="D79" s="28" t="s">
        <v>2330</v>
      </c>
    </row>
    <row r="80" spans="1:4">
      <c r="A80" s="24" t="str">
        <f t="shared" ref="A80:A88" si="4">$R$2&amp;".wCntLimitPrt"</f>
        <v>АСУЭ.IMsp.wCntLimitPrt</v>
      </c>
      <c r="B80" s="24">
        <v>101</v>
      </c>
      <c r="C80" s="24" t="s">
        <v>0</v>
      </c>
      <c r="D80" s="25" t="s">
        <v>177</v>
      </c>
    </row>
    <row r="81" spans="1:4">
      <c r="A81" t="str">
        <f t="shared" si="4"/>
        <v>АСУЭ.IMsp.wCntLimitPrt</v>
      </c>
      <c r="B81">
        <v>1</v>
      </c>
      <c r="C81" t="s">
        <v>1</v>
      </c>
      <c r="D81" s="30">
        <v>11</v>
      </c>
    </row>
    <row r="82" spans="1:4">
      <c r="A82" t="str">
        <f t="shared" si="4"/>
        <v>АСУЭ.IMsp.wCntLimitPrt</v>
      </c>
      <c r="B82">
        <v>2</v>
      </c>
      <c r="C82" t="s">
        <v>2</v>
      </c>
      <c r="D82" s="30" t="s">
        <v>3</v>
      </c>
    </row>
    <row r="83" spans="1:4">
      <c r="A83" t="str">
        <f t="shared" si="4"/>
        <v>АСУЭ.IMsp.wCntLimitPrt</v>
      </c>
      <c r="B83">
        <v>3</v>
      </c>
      <c r="C83" t="s">
        <v>1</v>
      </c>
      <c r="D83" s="30">
        <v>192</v>
      </c>
    </row>
    <row r="84" spans="1:4">
      <c r="A84" s="52" t="str">
        <f t="shared" si="4"/>
        <v>АСУЭ.IMsp.wCntLimitPrt</v>
      </c>
      <c r="B84" s="52">
        <v>11154</v>
      </c>
      <c r="C84" s="52" t="s">
        <v>4</v>
      </c>
      <c r="D84" s="65">
        <f>$Q$6</f>
        <v>8</v>
      </c>
    </row>
    <row r="85" spans="1:4">
      <c r="A85" s="52" t="str">
        <f t="shared" si="4"/>
        <v>АСУЭ.IMsp.wCntLimitPrt</v>
      </c>
      <c r="B85" s="52">
        <v>11152</v>
      </c>
      <c r="C85" s="52" t="s">
        <v>0</v>
      </c>
      <c r="D85" s="65" t="str">
        <f>$R$6</f>
        <v>Предупреждение</v>
      </c>
    </row>
    <row r="86" spans="1:4">
      <c r="A86" s="52" t="str">
        <f t="shared" si="4"/>
        <v>АСУЭ.IMsp.wCntLimitPrt</v>
      </c>
      <c r="B86" s="52">
        <v>11150</v>
      </c>
      <c r="C86" s="52" t="s">
        <v>0</v>
      </c>
      <c r="D86" s="65" t="s">
        <v>177</v>
      </c>
    </row>
    <row r="87" spans="1:4">
      <c r="A87" s="52" t="str">
        <f t="shared" si="4"/>
        <v>АСУЭ.IMsp.wCntLimitPrt</v>
      </c>
      <c r="B87" s="52">
        <v>11000</v>
      </c>
      <c r="C87" s="52" t="s">
        <v>5</v>
      </c>
      <c r="D87" s="65">
        <v>2147483680</v>
      </c>
    </row>
    <row r="88" spans="1:4">
      <c r="A88" t="str">
        <f t="shared" si="4"/>
        <v>АСУЭ.IMsp.wCntLimitPrt</v>
      </c>
      <c r="B88">
        <v>3000000</v>
      </c>
      <c r="C88" t="s">
        <v>0</v>
      </c>
      <c r="D88" s="30" t="s">
        <v>2329</v>
      </c>
    </row>
    <row r="89" spans="1:4">
      <c r="A89" s="23" t="str">
        <f t="shared" ref="A89:A97" si="5">$R$2&amp;".fFault"</f>
        <v>АСУЭ.IMsp.fFault</v>
      </c>
      <c r="B89" s="24">
        <v>3</v>
      </c>
      <c r="C89" s="24" t="s">
        <v>1</v>
      </c>
      <c r="D89" s="25">
        <v>192</v>
      </c>
    </row>
    <row r="90" spans="1:4">
      <c r="A90" s="29" t="str">
        <f t="shared" si="5"/>
        <v>АСУЭ.IMsp.fFault</v>
      </c>
      <c r="B90">
        <v>2</v>
      </c>
      <c r="C90" t="s">
        <v>2</v>
      </c>
      <c r="D90" s="30" t="s">
        <v>3</v>
      </c>
    </row>
    <row r="91" spans="1:4">
      <c r="A91" s="29" t="str">
        <f t="shared" si="5"/>
        <v>АСУЭ.IMsp.fFault</v>
      </c>
      <c r="B91">
        <v>1</v>
      </c>
      <c r="C91" t="s">
        <v>1</v>
      </c>
      <c r="D91" s="30">
        <v>11</v>
      </c>
    </row>
    <row r="92" spans="1:4">
      <c r="A92" s="29" t="str">
        <f t="shared" si="5"/>
        <v>АСУЭ.IMsp.fFault</v>
      </c>
      <c r="B92">
        <v>101</v>
      </c>
      <c r="C92" t="s">
        <v>0</v>
      </c>
      <c r="D92" s="30" t="s">
        <v>176</v>
      </c>
    </row>
    <row r="93" spans="1:4">
      <c r="A93" s="29" t="str">
        <f t="shared" si="5"/>
        <v>АСУЭ.IMsp.fFault</v>
      </c>
      <c r="B93">
        <v>7050</v>
      </c>
      <c r="C93" t="s">
        <v>0</v>
      </c>
      <c r="D93" s="205" t="str">
        <f>"&lt;Addr AnswerSignalType=©0© Protocol=©IEC4Std© Type=©Protocol© ProtocolType=©30© Address=©" &amp; $AP$2 &amp; "© ModuleNo=©" &amp; $S$2 &amp; "© Role=©Master© Station=©" &amp; $T$2 &amp; "©  /&gt;"</f>
        <v>&lt;Addr AnswerSignalType=©0© Protocol=©IEC4Std© Type=©Protocol© ProtocolType=©30© Address=©5© ModuleNo=©2© Role=©Master© Station=©1©  /&gt;</v>
      </c>
    </row>
    <row r="94" spans="1:4">
      <c r="A94" s="211" t="str">
        <f t="shared" si="5"/>
        <v>АСУЭ.IMsp.fFault</v>
      </c>
      <c r="B94" s="677">
        <v>11154</v>
      </c>
      <c r="C94" s="677" t="s">
        <v>4</v>
      </c>
      <c r="D94" s="213">
        <f>$Q$7</f>
        <v>12</v>
      </c>
    </row>
    <row r="95" spans="1:4">
      <c r="A95" s="211" t="str">
        <f t="shared" si="5"/>
        <v>АСУЭ.IMsp.fFault</v>
      </c>
      <c r="B95" s="677">
        <v>11150</v>
      </c>
      <c r="C95" s="677" t="s">
        <v>0</v>
      </c>
      <c r="D95" s="213" t="s">
        <v>110</v>
      </c>
    </row>
    <row r="96" spans="1:4">
      <c r="A96" s="211" t="str">
        <f t="shared" si="5"/>
        <v>АСУЭ.IMsp.fFault</v>
      </c>
      <c r="B96" s="677">
        <v>11000</v>
      </c>
      <c r="C96" s="677" t="s">
        <v>5</v>
      </c>
      <c r="D96" s="213">
        <v>2147483680</v>
      </c>
    </row>
    <row r="97" spans="1:4">
      <c r="A97" s="214" t="str">
        <f t="shared" si="5"/>
        <v>АСУЭ.IMsp.fFault</v>
      </c>
      <c r="B97" s="215">
        <v>11152</v>
      </c>
      <c r="C97" s="215" t="s">
        <v>0</v>
      </c>
      <c r="D97" s="216" t="str">
        <f>$R$7</f>
        <v>Неисправность</v>
      </c>
    </row>
    <row r="98" spans="1:4">
      <c r="A98" s="29" t="str">
        <f t="shared" ref="A98:A105" si="6">$R$2&amp;".wNotOff"</f>
        <v>АСУЭ.IMsp.wNotOff</v>
      </c>
      <c r="B98">
        <v>3</v>
      </c>
      <c r="C98" t="s">
        <v>1</v>
      </c>
      <c r="D98" s="30">
        <v>192</v>
      </c>
    </row>
    <row r="99" spans="1:4">
      <c r="A99" s="29" t="str">
        <f t="shared" si="6"/>
        <v>АСУЭ.IMsp.wNotOff</v>
      </c>
      <c r="B99">
        <v>2</v>
      </c>
      <c r="C99" t="s">
        <v>2</v>
      </c>
      <c r="D99" s="30" t="s">
        <v>3</v>
      </c>
    </row>
    <row r="100" spans="1:4">
      <c r="A100" s="29" t="str">
        <f t="shared" si="6"/>
        <v>АСУЭ.IMsp.wNotOff</v>
      </c>
      <c r="B100">
        <v>1</v>
      </c>
      <c r="C100" t="s">
        <v>1</v>
      </c>
      <c r="D100" s="30">
        <v>11</v>
      </c>
    </row>
    <row r="101" spans="1:4">
      <c r="A101" s="29" t="str">
        <f t="shared" si="6"/>
        <v>АСУЭ.IMsp.wNotOff</v>
      </c>
      <c r="B101">
        <v>101</v>
      </c>
      <c r="C101" t="s">
        <v>0</v>
      </c>
      <c r="D101" s="30" t="s">
        <v>150</v>
      </c>
    </row>
    <row r="102" spans="1:4">
      <c r="A102" s="211" t="str">
        <f t="shared" si="6"/>
        <v>АСУЭ.IMsp.wNotOff</v>
      </c>
      <c r="B102" s="677">
        <v>11154</v>
      </c>
      <c r="C102" s="677" t="s">
        <v>4</v>
      </c>
      <c r="D102" s="213">
        <f>$Q$7</f>
        <v>12</v>
      </c>
    </row>
    <row r="103" spans="1:4">
      <c r="A103" s="211" t="str">
        <f t="shared" si="6"/>
        <v>АСУЭ.IMsp.wNotOff</v>
      </c>
      <c r="B103" s="677">
        <v>11152</v>
      </c>
      <c r="C103" s="677" t="s">
        <v>0</v>
      </c>
      <c r="D103" s="213" t="str">
        <f>$R$7</f>
        <v>Неисправность</v>
      </c>
    </row>
    <row r="104" spans="1:4">
      <c r="A104" s="211" t="str">
        <f t="shared" si="6"/>
        <v>АСУЭ.IMsp.wNotOff</v>
      </c>
      <c r="B104" s="677">
        <v>11150</v>
      </c>
      <c r="C104" s="677" t="s">
        <v>0</v>
      </c>
      <c r="D104" s="213" t="s">
        <v>150</v>
      </c>
    </row>
    <row r="105" spans="1:4">
      <c r="A105" s="214" t="str">
        <f t="shared" si="6"/>
        <v>АСУЭ.IMsp.wNotOff</v>
      </c>
      <c r="B105" s="215">
        <v>11000</v>
      </c>
      <c r="C105" s="215" t="s">
        <v>5</v>
      </c>
      <c r="D105" s="216">
        <v>2147483680</v>
      </c>
    </row>
    <row r="106" spans="1:4">
      <c r="A106" s="23" t="str">
        <f t="shared" ref="A106:A113" si="7">$R$2&amp;".wNotOn"</f>
        <v>АСУЭ.IMsp.wNotOn</v>
      </c>
      <c r="B106" s="24">
        <v>3</v>
      </c>
      <c r="C106" s="24" t="s">
        <v>1</v>
      </c>
      <c r="D106" s="25">
        <v>192</v>
      </c>
    </row>
    <row r="107" spans="1:4">
      <c r="A107" s="29" t="str">
        <f t="shared" si="7"/>
        <v>АСУЭ.IMsp.wNotOn</v>
      </c>
      <c r="B107">
        <v>2</v>
      </c>
      <c r="C107" t="s">
        <v>2</v>
      </c>
      <c r="D107" s="30" t="s">
        <v>3</v>
      </c>
    </row>
    <row r="108" spans="1:4">
      <c r="A108" s="29" t="str">
        <f t="shared" si="7"/>
        <v>АСУЭ.IMsp.wNotOn</v>
      </c>
      <c r="B108">
        <v>1</v>
      </c>
      <c r="C108" t="s">
        <v>1</v>
      </c>
      <c r="D108" s="30">
        <v>11</v>
      </c>
    </row>
    <row r="109" spans="1:4">
      <c r="A109" s="29" t="str">
        <f t="shared" si="7"/>
        <v>АСУЭ.IMsp.wNotOn</v>
      </c>
      <c r="B109">
        <v>101</v>
      </c>
      <c r="C109" t="s">
        <v>0</v>
      </c>
      <c r="D109" s="30" t="s">
        <v>163</v>
      </c>
    </row>
    <row r="110" spans="1:4">
      <c r="A110" s="211" t="str">
        <f t="shared" si="7"/>
        <v>АСУЭ.IMsp.wNotOn</v>
      </c>
      <c r="B110" s="677">
        <v>11154</v>
      </c>
      <c r="C110" s="677" t="s">
        <v>4</v>
      </c>
      <c r="D110" s="213">
        <f>$Q$7</f>
        <v>12</v>
      </c>
    </row>
    <row r="111" spans="1:4">
      <c r="A111" s="211" t="str">
        <f t="shared" si="7"/>
        <v>АСУЭ.IMsp.wNotOn</v>
      </c>
      <c r="B111" s="677">
        <v>11152</v>
      </c>
      <c r="C111" s="677" t="s">
        <v>0</v>
      </c>
      <c r="D111" s="213" t="str">
        <f>$R$7</f>
        <v>Неисправность</v>
      </c>
    </row>
    <row r="112" spans="1:4">
      <c r="A112" s="211" t="str">
        <f t="shared" si="7"/>
        <v>АСУЭ.IMsp.wNotOn</v>
      </c>
      <c r="B112" s="677">
        <v>11150</v>
      </c>
      <c r="C112" s="677" t="s">
        <v>0</v>
      </c>
      <c r="D112" s="213" t="s">
        <v>163</v>
      </c>
    </row>
    <row r="113" spans="1:4">
      <c r="A113" s="214" t="str">
        <f t="shared" si="7"/>
        <v>АСУЭ.IMsp.wNotOn</v>
      </c>
      <c r="B113" s="215">
        <v>11000</v>
      </c>
      <c r="C113" s="215" t="s">
        <v>5</v>
      </c>
      <c r="D113" s="216">
        <v>2147483680</v>
      </c>
    </row>
    <row r="114" spans="1:4">
      <c r="A114" s="23" t="str">
        <f t="shared" ref="A114:A121" si="8">$R$2&amp;".wUnkw"</f>
        <v>АСУЭ.IMsp.wUnkw</v>
      </c>
      <c r="B114" s="24">
        <v>3</v>
      </c>
      <c r="C114" s="24" t="s">
        <v>1</v>
      </c>
      <c r="D114" s="25">
        <v>192</v>
      </c>
    </row>
    <row r="115" spans="1:4">
      <c r="A115" s="29" t="str">
        <f t="shared" si="8"/>
        <v>АСУЭ.IMsp.wUnkw</v>
      </c>
      <c r="B115">
        <v>2</v>
      </c>
      <c r="C115" t="s">
        <v>2</v>
      </c>
      <c r="D115" s="30" t="s">
        <v>3</v>
      </c>
    </row>
    <row r="116" spans="1:4">
      <c r="A116" s="29" t="str">
        <f t="shared" si="8"/>
        <v>АСУЭ.IMsp.wUnkw</v>
      </c>
      <c r="B116">
        <v>1</v>
      </c>
      <c r="C116" t="s">
        <v>1</v>
      </c>
      <c r="D116" s="30">
        <v>11</v>
      </c>
    </row>
    <row r="117" spans="1:4">
      <c r="A117" s="29" t="str">
        <f t="shared" si="8"/>
        <v>АСУЭ.IMsp.wUnkw</v>
      </c>
      <c r="B117">
        <v>101</v>
      </c>
      <c r="C117" t="s">
        <v>0</v>
      </c>
      <c r="D117" s="30" t="s">
        <v>1854</v>
      </c>
    </row>
    <row r="118" spans="1:4">
      <c r="A118" s="211" t="str">
        <f t="shared" si="8"/>
        <v>АСУЭ.IMsp.wUnkw</v>
      </c>
      <c r="B118" s="677">
        <v>11154</v>
      </c>
      <c r="C118" s="677" t="s">
        <v>4</v>
      </c>
      <c r="D118" s="213">
        <f>$Q$7</f>
        <v>12</v>
      </c>
    </row>
    <row r="119" spans="1:4">
      <c r="A119" s="211" t="str">
        <f t="shared" si="8"/>
        <v>АСУЭ.IMsp.wUnkw</v>
      </c>
      <c r="B119" s="677">
        <v>11152</v>
      </c>
      <c r="C119" s="677" t="s">
        <v>0</v>
      </c>
      <c r="D119" s="213" t="str">
        <f>$R$7</f>
        <v>Неисправность</v>
      </c>
    </row>
    <row r="120" spans="1:4">
      <c r="A120" s="211" t="str">
        <f t="shared" si="8"/>
        <v>АСУЭ.IMsp.wUnkw</v>
      </c>
      <c r="B120" s="677">
        <v>11150</v>
      </c>
      <c r="C120" s="677" t="s">
        <v>0</v>
      </c>
      <c r="D120" s="213" t="s">
        <v>1854</v>
      </c>
    </row>
    <row r="121" spans="1:4">
      <c r="A121" s="677" t="str">
        <f t="shared" si="8"/>
        <v>АСУЭ.IMsp.wUnkw</v>
      </c>
      <c r="B121" s="677">
        <v>11000</v>
      </c>
      <c r="C121" s="677" t="s">
        <v>5</v>
      </c>
      <c r="D121" s="213">
        <v>2147483680</v>
      </c>
    </row>
    <row r="122" spans="1:4">
      <c r="A122" s="23" t="str">
        <f t="shared" ref="A122:A129" si="9">$R$2&amp;".wDbl"</f>
        <v>АСУЭ.IMsp.wDbl</v>
      </c>
      <c r="B122" s="24">
        <v>3</v>
      </c>
      <c r="C122" s="24" t="s">
        <v>1</v>
      </c>
      <c r="D122" s="25">
        <v>192</v>
      </c>
    </row>
    <row r="123" spans="1:4">
      <c r="A123" s="29" t="str">
        <f t="shared" si="9"/>
        <v>АСУЭ.IMsp.wDbl</v>
      </c>
      <c r="B123">
        <v>2</v>
      </c>
      <c r="C123" t="s">
        <v>2</v>
      </c>
      <c r="D123" s="30" t="s">
        <v>3</v>
      </c>
    </row>
    <row r="124" spans="1:4">
      <c r="A124" s="29" t="str">
        <f t="shared" si="9"/>
        <v>АСУЭ.IMsp.wDbl</v>
      </c>
      <c r="B124">
        <v>1</v>
      </c>
      <c r="C124" t="s">
        <v>1</v>
      </c>
      <c r="D124" s="30">
        <v>11</v>
      </c>
    </row>
    <row r="125" spans="1:4">
      <c r="A125" s="29" t="str">
        <f t="shared" si="9"/>
        <v>АСУЭ.IMsp.wDbl</v>
      </c>
      <c r="B125">
        <v>101</v>
      </c>
      <c r="C125" t="s">
        <v>0</v>
      </c>
      <c r="D125" s="30" t="s">
        <v>1855</v>
      </c>
    </row>
    <row r="126" spans="1:4">
      <c r="A126" s="211" t="str">
        <f t="shared" si="9"/>
        <v>АСУЭ.IMsp.wDbl</v>
      </c>
      <c r="B126" s="677">
        <v>11154</v>
      </c>
      <c r="C126" s="677" t="s">
        <v>4</v>
      </c>
      <c r="D126" s="213">
        <f>$Q$7</f>
        <v>12</v>
      </c>
    </row>
    <row r="127" spans="1:4">
      <c r="A127" s="211" t="str">
        <f t="shared" si="9"/>
        <v>АСУЭ.IMsp.wDbl</v>
      </c>
      <c r="B127" s="677">
        <v>11152</v>
      </c>
      <c r="C127" s="677" t="s">
        <v>0</v>
      </c>
      <c r="D127" s="213" t="str">
        <f>$R$7</f>
        <v>Неисправность</v>
      </c>
    </row>
    <row r="128" spans="1:4">
      <c r="A128" s="211" t="str">
        <f t="shared" si="9"/>
        <v>АСУЭ.IMsp.wDbl</v>
      </c>
      <c r="B128" s="677">
        <v>11150</v>
      </c>
      <c r="C128" s="677" t="s">
        <v>0</v>
      </c>
      <c r="D128" s="213" t="s">
        <v>1855</v>
      </c>
    </row>
    <row r="129" spans="1:4">
      <c r="A129" s="215" t="str">
        <f t="shared" si="9"/>
        <v>АСУЭ.IMsp.wDbl</v>
      </c>
      <c r="B129" s="677">
        <v>11000</v>
      </c>
      <c r="C129" s="677" t="s">
        <v>5</v>
      </c>
      <c r="D129" s="213">
        <v>2147483680</v>
      </c>
    </row>
    <row r="130" spans="1:4">
      <c r="A130" s="29" t="str">
        <f t="shared" ref="A130:A137" si="10">$R$2&amp;".wCtrlUnkw"</f>
        <v>АСУЭ.IMsp.wCtrlUnkw</v>
      </c>
      <c r="B130" s="24">
        <v>101</v>
      </c>
      <c r="C130" s="24" t="s">
        <v>0</v>
      </c>
      <c r="D130" s="25" t="s">
        <v>167</v>
      </c>
    </row>
    <row r="131" spans="1:4">
      <c r="A131" s="29" t="str">
        <f t="shared" si="10"/>
        <v>АСУЭ.IMsp.wCtrlUnkw</v>
      </c>
      <c r="B131">
        <v>1</v>
      </c>
      <c r="C131" t="s">
        <v>1</v>
      </c>
      <c r="D131" s="30">
        <v>11</v>
      </c>
    </row>
    <row r="132" spans="1:4">
      <c r="A132" s="29" t="str">
        <f t="shared" si="10"/>
        <v>АСУЭ.IMsp.wCtrlUnkw</v>
      </c>
      <c r="B132">
        <v>2</v>
      </c>
      <c r="C132" t="s">
        <v>2</v>
      </c>
      <c r="D132" s="30" t="s">
        <v>3</v>
      </c>
    </row>
    <row r="133" spans="1:4">
      <c r="A133" s="29" t="str">
        <f t="shared" si="10"/>
        <v>АСУЭ.IMsp.wCtrlUnkw</v>
      </c>
      <c r="B133">
        <v>3</v>
      </c>
      <c r="C133" t="s">
        <v>1</v>
      </c>
      <c r="D133" s="30">
        <v>192</v>
      </c>
    </row>
    <row r="134" spans="1:4">
      <c r="A134" s="211" t="str">
        <f t="shared" si="10"/>
        <v>АСУЭ.IMsp.wCtrlUnkw</v>
      </c>
      <c r="B134" s="677">
        <v>11154</v>
      </c>
      <c r="C134" s="677" t="s">
        <v>4</v>
      </c>
      <c r="D134" s="213">
        <f>$Q$7</f>
        <v>12</v>
      </c>
    </row>
    <row r="135" spans="1:4">
      <c r="A135" s="211" t="str">
        <f t="shared" si="10"/>
        <v>АСУЭ.IMsp.wCtrlUnkw</v>
      </c>
      <c r="B135" s="677">
        <v>11152</v>
      </c>
      <c r="C135" s="677" t="s">
        <v>0</v>
      </c>
      <c r="D135" s="213" t="str">
        <f>$R$7</f>
        <v>Неисправность</v>
      </c>
    </row>
    <row r="136" spans="1:4">
      <c r="A136" s="211" t="str">
        <f t="shared" si="10"/>
        <v>АСУЭ.IMsp.wCtrlUnkw</v>
      </c>
      <c r="B136" s="677">
        <v>11150</v>
      </c>
      <c r="C136" s="677" t="s">
        <v>0</v>
      </c>
      <c r="D136" s="213" t="s">
        <v>167</v>
      </c>
    </row>
    <row r="137" spans="1:4">
      <c r="A137" s="211" t="str">
        <f t="shared" si="10"/>
        <v>АСУЭ.IMsp.wCtrlUnkw</v>
      </c>
      <c r="B137" s="677">
        <v>11000</v>
      </c>
      <c r="C137" s="677" t="s">
        <v>5</v>
      </c>
      <c r="D137" s="213">
        <v>2147483680</v>
      </c>
    </row>
    <row r="138" spans="1:4">
      <c r="A138" s="23" t="str">
        <f t="shared" ref="A138:A145" si="11">$R$2&amp;".wCtrlDbl"</f>
        <v>АСУЭ.IMsp.wCtrlDbl</v>
      </c>
      <c r="B138" s="24">
        <v>101</v>
      </c>
      <c r="C138" s="24" t="s">
        <v>0</v>
      </c>
      <c r="D138" s="25" t="s">
        <v>168</v>
      </c>
    </row>
    <row r="139" spans="1:4">
      <c r="A139" s="29" t="str">
        <f t="shared" si="11"/>
        <v>АСУЭ.IMsp.wCtrlDbl</v>
      </c>
      <c r="B139">
        <v>1</v>
      </c>
      <c r="C139" t="s">
        <v>1</v>
      </c>
      <c r="D139" s="30">
        <v>11</v>
      </c>
    </row>
    <row r="140" spans="1:4">
      <c r="A140" s="29" t="str">
        <f t="shared" si="11"/>
        <v>АСУЭ.IMsp.wCtrlDbl</v>
      </c>
      <c r="B140">
        <v>2</v>
      </c>
      <c r="C140" t="s">
        <v>2</v>
      </c>
      <c r="D140" s="30" t="s">
        <v>3</v>
      </c>
    </row>
    <row r="141" spans="1:4">
      <c r="A141" s="29" t="str">
        <f t="shared" si="11"/>
        <v>АСУЭ.IMsp.wCtrlDbl</v>
      </c>
      <c r="B141">
        <v>3</v>
      </c>
      <c r="C141" t="s">
        <v>1</v>
      </c>
      <c r="D141" s="30">
        <v>192</v>
      </c>
    </row>
    <row r="142" spans="1:4">
      <c r="A142" s="211" t="str">
        <f t="shared" si="11"/>
        <v>АСУЭ.IMsp.wCtrlDbl</v>
      </c>
      <c r="B142" s="677">
        <v>11154</v>
      </c>
      <c r="C142" s="677" t="s">
        <v>4</v>
      </c>
      <c r="D142" s="213">
        <f>$Q$7</f>
        <v>12</v>
      </c>
    </row>
    <row r="143" spans="1:4">
      <c r="A143" s="211" t="str">
        <f t="shared" si="11"/>
        <v>АСУЭ.IMsp.wCtrlDbl</v>
      </c>
      <c r="B143" s="677">
        <v>11152</v>
      </c>
      <c r="C143" s="677" t="s">
        <v>0</v>
      </c>
      <c r="D143" s="213" t="str">
        <f>$R$7</f>
        <v>Неисправность</v>
      </c>
    </row>
    <row r="144" spans="1:4">
      <c r="A144" s="211" t="str">
        <f t="shared" si="11"/>
        <v>АСУЭ.IMsp.wCtrlDbl</v>
      </c>
      <c r="B144" s="677">
        <v>11150</v>
      </c>
      <c r="C144" s="677" t="s">
        <v>0</v>
      </c>
      <c r="D144" s="213" t="s">
        <v>168</v>
      </c>
    </row>
    <row r="145" spans="1:4">
      <c r="A145" s="677" t="str">
        <f t="shared" si="11"/>
        <v>АСУЭ.IMsp.wCtrlDbl</v>
      </c>
      <c r="B145" s="677">
        <v>11000</v>
      </c>
      <c r="C145" s="677" t="s">
        <v>5</v>
      </c>
      <c r="D145" s="213">
        <v>2147483680</v>
      </c>
    </row>
    <row r="146" spans="1:4">
      <c r="A146" s="24" t="str">
        <f t="shared" ref="A146:A157" si="12">$R$2&amp;".stOn"</f>
        <v>АСУЭ.IMsp.stOn</v>
      </c>
      <c r="B146" s="24">
        <v>7011</v>
      </c>
      <c r="C146" s="24" t="s">
        <v>2</v>
      </c>
      <c r="D146" s="25" t="s">
        <v>266</v>
      </c>
    </row>
    <row r="147" spans="1:4">
      <c r="A147" s="1" t="str">
        <f t="shared" si="12"/>
        <v>АСУЭ.IMsp.stOn</v>
      </c>
      <c r="B147" s="1">
        <v>3</v>
      </c>
      <c r="C147" s="1" t="s">
        <v>1</v>
      </c>
      <c r="D147" s="30">
        <v>192</v>
      </c>
    </row>
    <row r="148" spans="1:4">
      <c r="A148" s="29" t="str">
        <f t="shared" si="12"/>
        <v>АСУЭ.IMsp.stOn</v>
      </c>
      <c r="B148">
        <v>2</v>
      </c>
      <c r="C148" t="s">
        <v>2</v>
      </c>
      <c r="D148" s="30" t="s">
        <v>3</v>
      </c>
    </row>
    <row r="149" spans="1:4">
      <c r="A149" s="29" t="str">
        <f t="shared" si="12"/>
        <v>АСУЭ.IMsp.stOn</v>
      </c>
      <c r="B149">
        <v>1</v>
      </c>
      <c r="C149" t="s">
        <v>1</v>
      </c>
      <c r="D149" s="30">
        <v>11</v>
      </c>
    </row>
    <row r="150" spans="1:4">
      <c r="A150" s="29" t="str">
        <f t="shared" si="12"/>
        <v>АСУЭ.IMsp.stOn</v>
      </c>
      <c r="B150">
        <v>101</v>
      </c>
      <c r="C150" t="s">
        <v>0</v>
      </c>
      <c r="D150" s="30" t="s">
        <v>337</v>
      </c>
    </row>
    <row r="151" spans="1:4">
      <c r="A151" s="29" t="str">
        <f t="shared" si="12"/>
        <v>АСУЭ.IMsp.stOn</v>
      </c>
      <c r="B151">
        <v>7050</v>
      </c>
      <c r="C151" t="s">
        <v>0</v>
      </c>
      <c r="D151" s="205" t="str">
        <f>"&lt;Addr AnswerSignalType=©0© Protocol=©IEC4Std© Type=©Protocol© ProtocolType=©30© Address=©" &amp; $AL$2 &amp; "© ModuleNo=©" &amp; $S$2 &amp; "© Role=©Master© Station=©" &amp; $T$2 &amp; "©  /&gt;"</f>
        <v>&lt;Addr AnswerSignalType=©0© Protocol=©IEC4Std© Type=©Protocol© ProtocolType=©30© Address=©1© ModuleNo=©2© Role=©Master© Station=©1©  /&gt;</v>
      </c>
    </row>
    <row r="152" spans="1:4">
      <c r="A152" s="100" t="str">
        <f t="shared" si="12"/>
        <v>АСУЭ.IMsp.stOn</v>
      </c>
      <c r="B152" s="679">
        <v>11154</v>
      </c>
      <c r="C152" s="679" t="s">
        <v>4</v>
      </c>
      <c r="D152" s="103">
        <f>$Q$8</f>
        <v>18</v>
      </c>
    </row>
    <row r="153" spans="1:4">
      <c r="A153" s="100" t="str">
        <f t="shared" si="12"/>
        <v>АСУЭ.IMsp.stOn</v>
      </c>
      <c r="B153" s="679">
        <v>11152</v>
      </c>
      <c r="C153" s="679" t="s">
        <v>0</v>
      </c>
      <c r="D153" s="103" t="str">
        <f>$R$8</f>
        <v>Телесигнализация</v>
      </c>
    </row>
    <row r="154" spans="1:4">
      <c r="A154" s="100" t="str">
        <f t="shared" si="12"/>
        <v>АСУЭ.IMsp.stOn</v>
      </c>
      <c r="B154" s="679">
        <v>11150</v>
      </c>
      <c r="C154" s="679" t="s">
        <v>0</v>
      </c>
      <c r="D154" s="103" t="s">
        <v>337</v>
      </c>
    </row>
    <row r="155" spans="1:4">
      <c r="A155" s="100" t="str">
        <f t="shared" si="12"/>
        <v>АСУЭ.IMsp.stOn</v>
      </c>
      <c r="B155" s="679">
        <v>11000</v>
      </c>
      <c r="C155" s="679" t="s">
        <v>5</v>
      </c>
      <c r="D155" s="103">
        <v>2147483680</v>
      </c>
    </row>
    <row r="156" spans="1:4">
      <c r="A156" t="str">
        <f t="shared" si="12"/>
        <v>АСУЭ.IMsp.stOn</v>
      </c>
      <c r="B156">
        <v>7000000</v>
      </c>
      <c r="C156" t="s">
        <v>6</v>
      </c>
      <c r="D156" s="30">
        <v>1</v>
      </c>
    </row>
    <row r="157" spans="1:4" ht="43.2">
      <c r="A157" s="29" t="str">
        <f t="shared" si="12"/>
        <v>АСУЭ.IMsp.stOn</v>
      </c>
      <c r="B157">
        <v>4000000</v>
      </c>
      <c r="C157" t="s">
        <v>0</v>
      </c>
      <c r="D157" s="415" t="s">
        <v>2688</v>
      </c>
    </row>
    <row r="158" spans="1:4">
      <c r="A158" s="23" t="str">
        <f t="shared" ref="A158:A169" si="13">$R$2&amp;".stOff"</f>
        <v>АСУЭ.IMsp.stOff</v>
      </c>
      <c r="B158" s="24">
        <v>7011</v>
      </c>
      <c r="C158" s="24" t="s">
        <v>2</v>
      </c>
      <c r="D158" s="25" t="s">
        <v>266</v>
      </c>
    </row>
    <row r="159" spans="1:4">
      <c r="A159" s="1" t="str">
        <f t="shared" si="13"/>
        <v>АСУЭ.IMsp.stOff</v>
      </c>
      <c r="B159" s="1">
        <v>3</v>
      </c>
      <c r="C159" s="1" t="s">
        <v>1</v>
      </c>
      <c r="D159" s="30">
        <v>192</v>
      </c>
    </row>
    <row r="160" spans="1:4">
      <c r="A160" s="29" t="str">
        <f t="shared" si="13"/>
        <v>АСУЭ.IMsp.stOff</v>
      </c>
      <c r="B160">
        <v>2</v>
      </c>
      <c r="C160" t="s">
        <v>2</v>
      </c>
      <c r="D160" s="30" t="s">
        <v>3</v>
      </c>
    </row>
    <row r="161" spans="1:4">
      <c r="A161" s="29" t="str">
        <f t="shared" si="13"/>
        <v>АСУЭ.IMsp.stOff</v>
      </c>
      <c r="B161">
        <v>1</v>
      </c>
      <c r="C161" t="s">
        <v>1</v>
      </c>
      <c r="D161" s="30">
        <v>11</v>
      </c>
    </row>
    <row r="162" spans="1:4">
      <c r="A162" s="29" t="str">
        <f t="shared" si="13"/>
        <v>АСУЭ.IMsp.stOff</v>
      </c>
      <c r="B162">
        <v>101</v>
      </c>
      <c r="C162" t="s">
        <v>0</v>
      </c>
      <c r="D162" s="30" t="s">
        <v>336</v>
      </c>
    </row>
    <row r="163" spans="1:4">
      <c r="A163" s="29" t="str">
        <f t="shared" si="13"/>
        <v>АСУЭ.IMsp.stOff</v>
      </c>
      <c r="B163">
        <v>7050</v>
      </c>
      <c r="C163" t="s">
        <v>0</v>
      </c>
      <c r="D163" s="205" t="str">
        <f>"&lt;Addr AnswerSignalType=©0© Protocol=©IEC4Std© Type=©Protocol© ProtocolType=©30© Address=©" &amp; $AM$2 &amp; "© ModuleNo=©" &amp; $S$2 &amp; "© Role=©Master© Station=©" &amp; $T$2 &amp; "©  /&gt;"</f>
        <v>&lt;Addr AnswerSignalType=©0© Protocol=©IEC4Std© Type=©Protocol© ProtocolType=©30© Address=©2© ModuleNo=©2© Role=©Master© Station=©1©  /&gt;</v>
      </c>
    </row>
    <row r="164" spans="1:4">
      <c r="A164" s="100" t="str">
        <f t="shared" si="13"/>
        <v>АСУЭ.IMsp.stOff</v>
      </c>
      <c r="B164" s="679">
        <v>11154</v>
      </c>
      <c r="C164" s="679" t="s">
        <v>4</v>
      </c>
      <c r="D164" s="103">
        <f>$Q$8</f>
        <v>18</v>
      </c>
    </row>
    <row r="165" spans="1:4">
      <c r="A165" s="100" t="str">
        <f t="shared" si="13"/>
        <v>АСУЭ.IMsp.stOff</v>
      </c>
      <c r="B165" s="679">
        <v>11152</v>
      </c>
      <c r="C165" s="679" t="s">
        <v>0</v>
      </c>
      <c r="D165" s="103" t="str">
        <f>$R$8</f>
        <v>Телесигнализация</v>
      </c>
    </row>
    <row r="166" spans="1:4">
      <c r="A166" s="100" t="str">
        <f t="shared" si="13"/>
        <v>АСУЭ.IMsp.stOff</v>
      </c>
      <c r="B166" s="679">
        <v>11150</v>
      </c>
      <c r="C166" s="679" t="s">
        <v>0</v>
      </c>
      <c r="D166" s="103" t="s">
        <v>336</v>
      </c>
    </row>
    <row r="167" spans="1:4">
      <c r="A167" s="100" t="str">
        <f t="shared" si="13"/>
        <v>АСУЭ.IMsp.stOff</v>
      </c>
      <c r="B167" s="679">
        <v>11000</v>
      </c>
      <c r="C167" s="679" t="s">
        <v>5</v>
      </c>
      <c r="D167" s="103">
        <v>2147483680</v>
      </c>
    </row>
    <row r="168" spans="1:4">
      <c r="A168" s="1" t="str">
        <f t="shared" si="13"/>
        <v>АСУЭ.IMsp.stOff</v>
      </c>
      <c r="B168">
        <v>7000000</v>
      </c>
      <c r="C168" t="s">
        <v>6</v>
      </c>
      <c r="D168" s="30">
        <v>1</v>
      </c>
    </row>
    <row r="169" spans="1:4" ht="43.2">
      <c r="A169" s="26" t="str">
        <f t="shared" si="13"/>
        <v>АСУЭ.IMsp.stOff</v>
      </c>
      <c r="B169" s="27">
        <v>4000000</v>
      </c>
      <c r="C169" s="27" t="s">
        <v>0</v>
      </c>
      <c r="D169" s="701" t="s">
        <v>2689</v>
      </c>
    </row>
    <row r="170" spans="1:4">
      <c r="A170" s="23" t="str">
        <f t="shared" ref="A170:A180" si="14">$R$2&amp;".wRem"</f>
        <v>АСУЭ.IMsp.wRem</v>
      </c>
      <c r="B170" s="24">
        <v>3</v>
      </c>
      <c r="C170" s="24" t="s">
        <v>1</v>
      </c>
      <c r="D170" s="25">
        <v>192</v>
      </c>
    </row>
    <row r="171" spans="1:4">
      <c r="A171" s="29" t="str">
        <f t="shared" si="14"/>
        <v>АСУЭ.IMsp.wRem</v>
      </c>
      <c r="B171">
        <v>2</v>
      </c>
      <c r="C171" t="s">
        <v>2</v>
      </c>
      <c r="D171" s="30" t="s">
        <v>3</v>
      </c>
    </row>
    <row r="172" spans="1:4">
      <c r="A172" s="29" t="str">
        <f t="shared" si="14"/>
        <v>АСУЭ.IMsp.wRem</v>
      </c>
      <c r="B172">
        <v>1</v>
      </c>
      <c r="C172" t="s">
        <v>1</v>
      </c>
      <c r="D172" s="30">
        <v>11</v>
      </c>
    </row>
    <row r="173" spans="1:4">
      <c r="A173" s="29" t="str">
        <f t="shared" si="14"/>
        <v>АСУЭ.IMsp.wRem</v>
      </c>
      <c r="B173">
        <v>101</v>
      </c>
      <c r="C173" t="s">
        <v>0</v>
      </c>
      <c r="D173" s="30" t="s">
        <v>580</v>
      </c>
    </row>
    <row r="174" spans="1:4">
      <c r="A174" s="29" t="str">
        <f t="shared" si="14"/>
        <v>АСУЭ.IMsp.wRem</v>
      </c>
      <c r="B174">
        <v>7050</v>
      </c>
      <c r="C174" t="s">
        <v>0</v>
      </c>
      <c r="D174" s="205" t="str">
        <f>"&lt;Addr AnswerSignalType=©0© Protocol=©IEC4Std© Type=©Protocol© ProtocolType=©30© Address=©" &amp; $AO$2 &amp; "© ModuleNo=©" &amp; $S$2 &amp; "© Role=©Master© Station=©" &amp; $T$2 &amp; "©  /&gt;"</f>
        <v>&lt;Addr AnswerSignalType=©0© Protocol=©IEC4Std© Type=©Protocol© ProtocolType=©30© Address=©4© ModuleNo=©2© Role=©Master© Station=©1©  /&gt;</v>
      </c>
    </row>
    <row r="175" spans="1:4">
      <c r="A175" s="100" t="str">
        <f t="shared" si="14"/>
        <v>АСУЭ.IMsp.wRem</v>
      </c>
      <c r="B175" s="679">
        <v>11154</v>
      </c>
      <c r="C175" s="679" t="s">
        <v>4</v>
      </c>
      <c r="D175" s="103">
        <f>$Q$8</f>
        <v>18</v>
      </c>
    </row>
    <row r="176" spans="1:4">
      <c r="A176" s="100" t="str">
        <f t="shared" si="14"/>
        <v>АСУЭ.IMsp.wRem</v>
      </c>
      <c r="B176" s="679">
        <v>11152</v>
      </c>
      <c r="C176" s="679" t="s">
        <v>0</v>
      </c>
      <c r="D176" s="103" t="str">
        <f>$R$8</f>
        <v>Телесигнализация</v>
      </c>
    </row>
    <row r="177" spans="1:16">
      <c r="A177" s="100" t="str">
        <f t="shared" si="14"/>
        <v>АСУЭ.IMsp.wRem</v>
      </c>
      <c r="B177" s="679">
        <v>11150</v>
      </c>
      <c r="C177" s="679" t="s">
        <v>0</v>
      </c>
      <c r="D177" s="103" t="s">
        <v>136</v>
      </c>
    </row>
    <row r="178" spans="1:16">
      <c r="A178" s="100" t="str">
        <f t="shared" si="14"/>
        <v>АСУЭ.IMsp.wRem</v>
      </c>
      <c r="B178" s="679">
        <v>11000</v>
      </c>
      <c r="C178" s="679" t="s">
        <v>5</v>
      </c>
      <c r="D178" s="103">
        <v>2147483680</v>
      </c>
    </row>
    <row r="179" spans="1:16">
      <c r="A179" s="26" t="str">
        <f t="shared" si="14"/>
        <v>АСУЭ.IMsp.wRem</v>
      </c>
      <c r="B179">
        <v>7000000</v>
      </c>
      <c r="C179" t="s">
        <v>6</v>
      </c>
      <c r="D179" s="30">
        <v>1</v>
      </c>
    </row>
    <row r="180" spans="1:16" ht="43.2">
      <c r="A180" s="26" t="str">
        <f t="shared" si="14"/>
        <v>АСУЭ.IMsp.wRem</v>
      </c>
      <c r="B180" s="27">
        <v>4000000</v>
      </c>
      <c r="C180" s="27" t="s">
        <v>0</v>
      </c>
      <c r="D180" s="701" t="s">
        <v>2327</v>
      </c>
    </row>
    <row r="181" spans="1:16">
      <c r="A181" s="29" t="str">
        <f t="shared" ref="A181:A191" si="15">$R$2&amp;".wLoc"</f>
        <v>АСУЭ.IMsp.wLoc</v>
      </c>
      <c r="B181">
        <v>101</v>
      </c>
      <c r="C181" t="s">
        <v>0</v>
      </c>
      <c r="D181" s="30" t="s">
        <v>577</v>
      </c>
    </row>
    <row r="182" spans="1:16">
      <c r="A182" s="29" t="str">
        <f t="shared" si="15"/>
        <v>АСУЭ.IMsp.wLoc</v>
      </c>
      <c r="B182">
        <v>1</v>
      </c>
      <c r="C182" t="s">
        <v>1</v>
      </c>
      <c r="D182" s="30">
        <v>11</v>
      </c>
    </row>
    <row r="183" spans="1:16">
      <c r="A183" s="29" t="str">
        <f t="shared" si="15"/>
        <v>АСУЭ.IMsp.wLoc</v>
      </c>
      <c r="B183">
        <v>2</v>
      </c>
      <c r="C183" t="s">
        <v>2</v>
      </c>
      <c r="D183" s="30" t="s">
        <v>3</v>
      </c>
    </row>
    <row r="184" spans="1:16">
      <c r="A184" s="29" t="str">
        <f t="shared" si="15"/>
        <v>АСУЭ.IMsp.wLoc</v>
      </c>
      <c r="B184">
        <v>3</v>
      </c>
      <c r="C184" t="s">
        <v>1</v>
      </c>
      <c r="D184" s="30">
        <v>192</v>
      </c>
    </row>
    <row r="185" spans="1:16">
      <c r="A185" s="29" t="str">
        <f t="shared" si="15"/>
        <v>АСУЭ.IMsp.wLoc</v>
      </c>
      <c r="B185">
        <v>7050</v>
      </c>
      <c r="C185" t="s">
        <v>0</v>
      </c>
      <c r="D185" s="205" t="str">
        <f>"&lt;Addr AnswerSignalType=©0© Protocol=©IEC4Std© Type=©Protocol© ProtocolType=©30© Address=©" &amp; $AN$2 &amp; "© ModuleNo=©" &amp; $S$2 &amp; "© Role=©Master© Station=©" &amp; $T$2 &amp; "©  /&gt;"</f>
        <v>&lt;Addr AnswerSignalType=©0© Protocol=©IEC4Std© Type=©Protocol© ProtocolType=©30© Address=©3© ModuleNo=©2© Role=©Master© Station=©1©  /&gt;</v>
      </c>
    </row>
    <row r="186" spans="1:16">
      <c r="A186" s="63" t="str">
        <f t="shared" si="15"/>
        <v>АСУЭ.IMsp.wLoc</v>
      </c>
      <c r="B186" s="52">
        <v>11154</v>
      </c>
      <c r="C186" s="52" t="s">
        <v>4</v>
      </c>
      <c r="D186" s="65">
        <f>$Q$6</f>
        <v>8</v>
      </c>
    </row>
    <row r="187" spans="1:16">
      <c r="A187" s="63" t="str">
        <f t="shared" si="15"/>
        <v>АСУЭ.IMsp.wLoc</v>
      </c>
      <c r="B187" s="52">
        <v>11150</v>
      </c>
      <c r="C187" s="52" t="s">
        <v>0</v>
      </c>
      <c r="D187" s="65" t="s">
        <v>169</v>
      </c>
    </row>
    <row r="188" spans="1:16">
      <c r="A188" s="63" t="str">
        <f t="shared" si="15"/>
        <v>АСУЭ.IMsp.wLoc</v>
      </c>
      <c r="B188" s="52">
        <v>11000</v>
      </c>
      <c r="C188" s="52" t="s">
        <v>5</v>
      </c>
      <c r="D188" s="65">
        <v>2147483680</v>
      </c>
    </row>
    <row r="189" spans="1:16">
      <c r="A189" s="63" t="str">
        <f t="shared" si="15"/>
        <v>АСУЭ.IMsp.wLoc</v>
      </c>
      <c r="B189" s="52">
        <v>11152</v>
      </c>
      <c r="C189" s="52" t="s">
        <v>0</v>
      </c>
      <c r="D189" s="65" t="str">
        <f>$R$6</f>
        <v>Предупреждение</v>
      </c>
    </row>
    <row r="190" spans="1:16">
      <c r="A190" s="29" t="str">
        <f t="shared" si="15"/>
        <v>АСУЭ.IMsp.wLoc</v>
      </c>
      <c r="B190">
        <v>7000000</v>
      </c>
      <c r="C190" t="s">
        <v>6</v>
      </c>
      <c r="D190" s="30">
        <v>1</v>
      </c>
    </row>
    <row r="191" spans="1:16" ht="43.2">
      <c r="A191" s="29" t="str">
        <f t="shared" si="15"/>
        <v>АСУЭ.IMsp.wLoc</v>
      </c>
      <c r="B191">
        <v>4000000</v>
      </c>
      <c r="C191" t="s">
        <v>0</v>
      </c>
      <c r="D191" s="415" t="s">
        <v>2327</v>
      </c>
    </row>
    <row r="192" spans="1:16">
      <c r="A192" s="23" t="str">
        <f>$R$2&amp;".Commands.coOn"</f>
        <v>АСУЭ.IMsp.Commands.coOn</v>
      </c>
      <c r="B192" s="24">
        <v>7050</v>
      </c>
      <c r="C192" s="24" t="s">
        <v>0</v>
      </c>
      <c r="D192" s="367" t="str">
        <f>"&lt;Addr AnswerSignalType=©0© Protocol=©IEC4Std© Type=©Protocol© ProtocolType=©58© Address=©" &amp; $AQ$2 &amp; "© ModuleNo=©" &amp; $S$2 &amp; "© Role=©Master© Station=©" &amp; $T$2 &amp; "©  /&gt;"</f>
        <v>&lt;Addr AnswerSignalType=©0© Protocol=©IEC4Std© Type=©Protocol© ProtocolType=©58© Address=©6© ModuleNo=©2© Role=©Master© Station=©1©  /&gt;</v>
      </c>
      <c r="P192" s="734"/>
    </row>
    <row r="193" spans="1:4">
      <c r="A193" s="29" t="str">
        <f>$R$2&amp;".Commands.coOn"</f>
        <v>АСУЭ.IMsp.Commands.coOn</v>
      </c>
      <c r="B193">
        <v>1</v>
      </c>
      <c r="C193" t="s">
        <v>1</v>
      </c>
      <c r="D193" s="205">
        <v>16</v>
      </c>
    </row>
    <row r="194" spans="1:4">
      <c r="A194" s="29" t="str">
        <f>$R$2&amp;".Commands.coOn"</f>
        <v>АСУЭ.IMsp.Commands.coOn</v>
      </c>
      <c r="B194">
        <v>101</v>
      </c>
      <c r="C194" t="s">
        <v>0</v>
      </c>
      <c r="D194" s="30" t="s">
        <v>408</v>
      </c>
    </row>
    <row r="195" spans="1:4">
      <c r="A195" s="29" t="str">
        <f>$R$2&amp;".Commands.coOn"</f>
        <v>АСУЭ.IMsp.Commands.coOn</v>
      </c>
      <c r="B195">
        <v>7000000</v>
      </c>
      <c r="C195" t="s">
        <v>6</v>
      </c>
      <c r="D195" s="30">
        <v>0</v>
      </c>
    </row>
    <row r="196" spans="1:4">
      <c r="A196" s="29" t="str">
        <f>$R$2&amp;".Commands.coOn"</f>
        <v>АСУЭ.IMsp.Commands.coOn</v>
      </c>
      <c r="B196">
        <v>4000000</v>
      </c>
      <c r="C196" t="s">
        <v>0</v>
      </c>
      <c r="D196" s="30" t="s">
        <v>2326</v>
      </c>
    </row>
    <row r="197" spans="1:4">
      <c r="A197" s="23" t="str">
        <f>$R$2&amp;".Commands.coOff"</f>
        <v>АСУЭ.IMsp.Commands.coOff</v>
      </c>
      <c r="B197" s="24">
        <v>7050</v>
      </c>
      <c r="C197" s="24" t="s">
        <v>0</v>
      </c>
      <c r="D197" s="367" t="str">
        <f>"&lt;Addr AnswerSignalType=©0© Protocol=©IEC4Std© Type=©Protocol© ProtocolType=©58© Address=©" &amp; $AR$2 &amp; "© ModuleNo=©" &amp; $S$2 &amp; "© Role=©Master© Station=©" &amp; $T$2 &amp; "©  /&gt;"</f>
        <v>&lt;Addr AnswerSignalType=©0© Protocol=©IEC4Std© Type=©Protocol© ProtocolType=©58© Address=©7© ModuleNo=©2© Role=©Master© Station=©1©  /&gt;</v>
      </c>
    </row>
    <row r="198" spans="1:4">
      <c r="A198" s="29" t="str">
        <f>$R$2&amp;".Commands.coOff"</f>
        <v>АСУЭ.IMsp.Commands.coOff</v>
      </c>
      <c r="B198">
        <v>1</v>
      </c>
      <c r="C198" t="s">
        <v>1</v>
      </c>
      <c r="D198" s="205">
        <v>16</v>
      </c>
    </row>
    <row r="199" spans="1:4">
      <c r="A199" s="29" t="str">
        <f>$R$2&amp;".Commands.coOff"</f>
        <v>АСУЭ.IMsp.Commands.coOff</v>
      </c>
      <c r="B199">
        <v>101</v>
      </c>
      <c r="C199" t="s">
        <v>0</v>
      </c>
      <c r="D199" s="30" t="s">
        <v>409</v>
      </c>
    </row>
    <row r="200" spans="1:4">
      <c r="A200" s="29" t="str">
        <f>$R$2&amp;".Commands.coOff"</f>
        <v>АСУЭ.IMsp.Commands.coOff</v>
      </c>
      <c r="B200">
        <v>7000000</v>
      </c>
      <c r="C200" t="s">
        <v>6</v>
      </c>
      <c r="D200" s="30">
        <v>0</v>
      </c>
    </row>
    <row r="201" spans="1:4">
      <c r="A201" s="26" t="str">
        <f>$R$2&amp;".Commands.coOff"</f>
        <v>АСУЭ.IMsp.Commands.coOff</v>
      </c>
      <c r="B201" s="27">
        <v>4000000</v>
      </c>
      <c r="C201" s="27" t="s">
        <v>0</v>
      </c>
      <c r="D201" s="28" t="s">
        <v>2325</v>
      </c>
    </row>
    <row r="202" spans="1:4">
      <c r="A202" s="23" t="str">
        <f t="shared" ref="A202:A212" si="16">$R$2&amp;".Commands.coRepair"</f>
        <v>АСУЭ.IMsp.Commands.coRepair</v>
      </c>
      <c r="B202" s="24">
        <v>7011</v>
      </c>
      <c r="C202" s="24" t="s">
        <v>2</v>
      </c>
      <c r="D202" s="25" t="s">
        <v>266</v>
      </c>
    </row>
    <row r="203" spans="1:4">
      <c r="A203" t="str">
        <f t="shared" si="16"/>
        <v>АСУЭ.IMsp.Commands.coRepair</v>
      </c>
      <c r="B203">
        <v>3</v>
      </c>
      <c r="C203" t="s">
        <v>1</v>
      </c>
      <c r="D203" s="30">
        <v>192</v>
      </c>
    </row>
    <row r="204" spans="1:4">
      <c r="A204" s="29" t="str">
        <f t="shared" si="16"/>
        <v>АСУЭ.IMsp.Commands.coRepair</v>
      </c>
      <c r="B204">
        <v>2</v>
      </c>
      <c r="C204" t="s">
        <v>2</v>
      </c>
      <c r="D204" s="30" t="s">
        <v>3</v>
      </c>
    </row>
    <row r="205" spans="1:4">
      <c r="A205" s="29" t="str">
        <f t="shared" si="16"/>
        <v>АСУЭ.IMsp.Commands.coRepair</v>
      </c>
      <c r="B205">
        <v>1</v>
      </c>
      <c r="C205" t="s">
        <v>1</v>
      </c>
      <c r="D205" s="30">
        <v>11</v>
      </c>
    </row>
    <row r="206" spans="1:4">
      <c r="A206" s="29" t="str">
        <f t="shared" si="16"/>
        <v>АСУЭ.IMsp.Commands.coRepair</v>
      </c>
      <c r="B206">
        <v>101</v>
      </c>
      <c r="C206" t="s">
        <v>0</v>
      </c>
      <c r="D206" s="30" t="s">
        <v>113</v>
      </c>
    </row>
    <row r="207" spans="1:4">
      <c r="A207" s="140" t="str">
        <f t="shared" si="16"/>
        <v>АСУЭ.IMsp.Commands.coRepair</v>
      </c>
      <c r="B207" s="687">
        <v>11154</v>
      </c>
      <c r="C207" s="687" t="s">
        <v>4</v>
      </c>
      <c r="D207" s="142">
        <f>$Q$11</f>
        <v>14</v>
      </c>
    </row>
    <row r="208" spans="1:4">
      <c r="A208" s="140" t="str">
        <f t="shared" si="16"/>
        <v>АСУЭ.IMsp.Commands.coRepair</v>
      </c>
      <c r="B208" s="687">
        <v>11152</v>
      </c>
      <c r="C208" s="687" t="s">
        <v>0</v>
      </c>
      <c r="D208" s="142" t="str">
        <f>$R$11</f>
        <v>Ремонт</v>
      </c>
    </row>
    <row r="209" spans="1:4">
      <c r="A209" s="140" t="str">
        <f t="shared" si="16"/>
        <v>АСУЭ.IMsp.Commands.coRepair</v>
      </c>
      <c r="B209" s="687">
        <v>11150</v>
      </c>
      <c r="C209" s="687" t="s">
        <v>0</v>
      </c>
      <c r="D209" s="142" t="s">
        <v>89</v>
      </c>
    </row>
    <row r="210" spans="1:4">
      <c r="A210" s="140" t="str">
        <f t="shared" si="16"/>
        <v>АСУЭ.IMsp.Commands.coRepair</v>
      </c>
      <c r="B210" s="687">
        <v>11000</v>
      </c>
      <c r="C210" s="687" t="s">
        <v>5</v>
      </c>
      <c r="D210" s="142">
        <v>2147483680</v>
      </c>
    </row>
    <row r="211" spans="1:4" ht="13.5" customHeight="1">
      <c r="A211" s="29" t="str">
        <f t="shared" si="16"/>
        <v>АСУЭ.IMsp.Commands.coRepair</v>
      </c>
      <c r="B211">
        <v>4000000</v>
      </c>
      <c r="C211" t="s">
        <v>0</v>
      </c>
      <c r="D211" s="415" t="s">
        <v>2917</v>
      </c>
    </row>
    <row r="212" spans="1:4">
      <c r="A212" s="26" t="str">
        <f t="shared" si="16"/>
        <v>АСУЭ.IMsp.Commands.coRepair</v>
      </c>
      <c r="B212" s="27">
        <v>7000000</v>
      </c>
      <c r="C212" s="27" t="s">
        <v>6</v>
      </c>
      <c r="D212" s="28">
        <v>2</v>
      </c>
    </row>
  </sheetData>
  <autoFilter ref="B1:B216" xr:uid="{00000000-0009-0000-0000-000028000000}"/>
  <mergeCells count="7">
    <mergeCell ref="Q46:Q48"/>
    <mergeCell ref="Q49:Q51"/>
    <mergeCell ref="Q25:Q28"/>
    <mergeCell ref="Q29:Q30"/>
    <mergeCell ref="Q31:Q33"/>
    <mergeCell ref="Q34:Q36"/>
    <mergeCell ref="Q37:Q39"/>
  </mergeCell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Лист200">
    <tabColor rgb="FFFFC000"/>
  </sheetPr>
  <dimension ref="A1:BA115"/>
  <sheetViews>
    <sheetView topLeftCell="A4" zoomScaleNormal="100" workbookViewId="0">
      <selection activeCell="D2" sqref="D2:D4"/>
    </sheetView>
  </sheetViews>
  <sheetFormatPr defaultRowHeight="14.4"/>
  <cols>
    <col min="1" max="1" width="36.6640625" bestFit="1" customWidth="1"/>
    <col min="2" max="2" width="8" customWidth="1"/>
    <col min="3" max="3" width="7.6640625" customWidth="1"/>
    <col min="4" max="4" width="71.4414062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53" s="258" customFormat="1" ht="204.6" thickBot="1">
      <c r="A1" s="257"/>
      <c r="B1" s="257" t="s">
        <v>84</v>
      </c>
      <c r="C1" s="257"/>
      <c r="D1" s="257"/>
      <c r="E1" s="257"/>
      <c r="F1" s="257"/>
      <c r="P1" s="730" t="str">
        <f>Таблица!D1</f>
        <v>Префикс для TREI
Тэг ОРС для INFINITY</v>
      </c>
      <c r="Q1" s="730" t="str">
        <f>Таблица!E1</f>
        <v>Комментарий для TREI и INFINITY</v>
      </c>
      <c r="R1" s="733" t="str">
        <f>Таблица!F1</f>
        <v>ТЭГ в дереве INFINITY Server</v>
      </c>
      <c r="S1" s="730"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735" t="str">
        <f>Таблица!H1</f>
        <v>OPC путь 
№ маршрута Modbus TCP, Modbus RTU, Modbus over TCP (1-255)
№ КП IEC104 (1-65534)</v>
      </c>
      <c r="U1" s="731" t="str">
        <f>Таблица!I1</f>
        <v>OPC путь</v>
      </c>
      <c r="V1" s="731" t="str">
        <f>Таблица!J1</f>
        <v>Мнемосхема</v>
      </c>
      <c r="W1" s="729"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729"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729" t="str">
        <f>Таблица!M1</f>
        <v>FB_IMt_MON_S, IMt_MON: Только для трансформатора. Цвет нижних обмоток(-ки) при наличии напряжения</v>
      </c>
      <c r="Z1" s="729"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729"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729" t="str">
        <f>Таблица!P1</f>
        <v xml:space="preserve">FB_DI_S, FB_DO_S, DI, DI_DIAG, FB_DO_STB_S: Тип сигнализации (Авария, предупреждение, телесигнализация и тд.)
FB_SHPS_S(SB), FB_BTF_S: Тип сигнализации XFRX
</v>
      </c>
      <c r="AC1" s="729"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729" t="str">
        <f>Таблица!R1</f>
        <v>SEPAM: Тип ячейки (OL,SV,VV,TN)
BMRZ: Тип ячейки (VV,AV)
TOR: Тип ячейки (OL,SV,VV,TN,BK)</v>
      </c>
      <c r="AE1" s="729" t="str">
        <f>Таблица!S1</f>
        <v>Формула для fNoLink.Device</v>
      </c>
      <c r="AF1" s="729">
        <f>Таблица!T1</f>
        <v>0</v>
      </c>
      <c r="AG1" s="729">
        <f>Таблица!U1</f>
        <v>0</v>
      </c>
      <c r="AH1" s="729">
        <f>Таблица!V1</f>
        <v>0</v>
      </c>
      <c r="AI1" s="729">
        <f>Таблица!W1</f>
        <v>0</v>
      </c>
      <c r="AJ1" s="729">
        <f>Таблица!X1</f>
        <v>0</v>
      </c>
      <c r="AK1" s="728" t="str">
        <f>Таблица!Y1</f>
        <v>FB_AI_S, FB_DI_S, FB_QSA_S, FB_DO_S, FB_SHPS_S, FB_SHOP_S, FB_BTF_S: IVXX
FB_KL_UPT_S: ISON
SW_S301, SW_MES3508: Подключение к порту 1
SW_MAYAK: Подключение к порту 1,2 (через "\")
DI_DIAG, DO_DIAG: XVLX</v>
      </c>
      <c r="AL1" s="728"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728"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728" t="str">
        <f>Таблица!AB1</f>
        <v>FB_IMstp_S, FB_IMsp_S, FB_IMs_S, FB_REG_S, FB_IM_ADES_S : ILCX
SW_S301: Подключение к порту 4
SW_MAYAK, SW_MES3508: Подключение к порту 7,8 (через "\")</v>
      </c>
      <c r="AO1" s="728" t="str">
        <f>Таблица!AC1</f>
        <v xml:space="preserve">FB_IMstp_S, FB_IMsp_S, FB_IMs_S, FB_IMp_S, FB_IMv_S, FB_REG_S, FB_IM_ADES_S, FB_DO_S : IRCX
SW_S301, SW_MES3508: Подключение к порту 5
SW_MAYAK: Подключение к порту 9,10 (через "\")
</v>
      </c>
      <c r="AP1" s="728"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728"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728" t="str">
        <f>Таблица!AF1</f>
        <v xml:space="preserve">FB_IMstp_S, FB_IMsp_S, FB_IMs_S, FB_IMp_S, FB_IMv_S, FB_IM_ADES_S, FB_OZK_KD_S, FB_DO_S: OXOF
SW_S301, SW_MES3508: Подключение к порту 8
SW_MAYAK: Подключение к порту 15,16 (через "\")
</v>
      </c>
      <c r="AS1" s="728" t="str">
        <f>Таблица!AG1</f>
        <v xml:space="preserve">FB_IM_ADES_S, FB_IMp_S, FB_IMv_S: OXSP
FB_IMstp_S, FB_IMsp_S, FB_IMsp_MON_S: IPTC
SW_S301, SW_MES3508: Подключение к порту 9
SW_MAYAK: Подключение к порту 17,18 (через "\")
</v>
      </c>
      <c r="AT1" s="728" t="str">
        <f>Таблица!AH1</f>
        <v xml:space="preserve">FB_IMstp_S, FB_IMst_MON_S, FB_IMt_MON_S: ITON
FB_IM_ADES_S: IOLD
SW_S301, SW_MES3508: Подключение к порту 10
SW_MAYAK: Подключение к порту 19,20 (через "\")
</v>
      </c>
      <c r="AU1" s="728" t="str">
        <f>Таблица!AI1</f>
        <v>FB_IMstp_S, FB_IMst_MON_S, FB_IMt_MON_S: ITOF
FB_IM_ADES_S: IRAD
SW_MAYAK: Подключение к порту 21,22 (через "\")</v>
      </c>
      <c r="AV1" s="728" t="str">
        <f>Таблица!AJ1</f>
        <v xml:space="preserve">FB_IMstp_S, FB_IMsp_S, FB_IMsp_MON_S, FB_IM_ADES_S: IPTO
SW_MAYAK: Подключение к порту 23,24 (через "\")
</v>
      </c>
      <c r="AW1" s="737"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737" t="str">
        <f>Таблица!AL1</f>
        <v>Для TREI
FB_IMstp_S, FB_IMs_S, FB_IMp_S, FB_IMv_S, FB_IM_ADES_S: Настройка перехода ручной-/автоматический-(TRUE/FALSE) 
FB_DI_S: Генерировать метки времени (TRUE/FALSE)</v>
      </c>
      <c r="AY1" s="737"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737" t="str">
        <f>Таблица!AN1</f>
        <v>Для TREI
FB_AI_S, FB_QSA_S: Верхний предел датчика
FB_IMp_S, FB_IMv_S, FB_IM_ADES_S, FB_OZK_KD_S: Время перестановки</v>
      </c>
      <c r="BA1" s="737"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row>
    <row r="2" spans="1:53" ht="15" customHeight="1">
      <c r="A2" s="10"/>
      <c r="B2" s="10"/>
      <c r="C2" s="10"/>
      <c r="D2" s="10"/>
      <c r="E2" s="10"/>
      <c r="F2" s="10"/>
      <c r="P2" s="2"/>
      <c r="Q2" s="2" t="s">
        <v>2741</v>
      </c>
      <c r="R2" s="2" t="s">
        <v>2342</v>
      </c>
      <c r="S2" s="3">
        <v>3</v>
      </c>
      <c r="T2" s="3" t="s">
        <v>1699</v>
      </c>
      <c r="U2" s="3"/>
      <c r="V2" s="3" t="s">
        <v>569</v>
      </c>
      <c r="W2" s="3"/>
      <c r="X2" s="3"/>
      <c r="Y2" s="3"/>
      <c r="Z2" s="3"/>
      <c r="AA2" s="3"/>
      <c r="AB2" s="2"/>
      <c r="AC2" s="2" t="s">
        <v>307</v>
      </c>
      <c r="AD2" s="2"/>
      <c r="AE2" s="2" t="s">
        <v>1414</v>
      </c>
      <c r="AF2" s="2"/>
      <c r="AG2" s="2"/>
      <c r="AH2" s="2"/>
      <c r="AI2" s="2"/>
      <c r="AJ2" s="2"/>
      <c r="AK2" s="2"/>
      <c r="AL2" s="2" t="s">
        <v>2738</v>
      </c>
      <c r="AM2" s="2" t="s">
        <v>2739</v>
      </c>
      <c r="AN2" s="2"/>
      <c r="AO2" s="2"/>
      <c r="AP2" s="2" t="s">
        <v>2740</v>
      </c>
      <c r="AQ2" s="2"/>
      <c r="AR2" s="2"/>
      <c r="AS2" s="2"/>
      <c r="AT2" s="2"/>
      <c r="AU2" s="2"/>
      <c r="AV2" s="2"/>
      <c r="AW2" s="2"/>
      <c r="AX2" s="2"/>
      <c r="AY2" s="2"/>
      <c r="AZ2" s="2"/>
      <c r="BA2" s="2"/>
    </row>
    <row r="3" spans="1:53" ht="15" customHeight="1">
      <c r="A3" s="10"/>
      <c r="B3" s="10"/>
      <c r="C3" s="10"/>
      <c r="D3" s="10"/>
      <c r="E3" s="10"/>
      <c r="F3" s="10"/>
      <c r="P3" s="10"/>
      <c r="Q3" s="10"/>
      <c r="R3" s="10"/>
      <c r="S3" s="10"/>
      <c r="T3" s="10"/>
      <c r="U3" s="10"/>
      <c r="V3" s="10"/>
      <c r="W3" s="10"/>
      <c r="X3" s="10"/>
      <c r="Y3" s="10"/>
      <c r="Z3" s="10"/>
      <c r="AA3" s="10"/>
    </row>
    <row r="4" spans="1:53" ht="15" customHeight="1">
      <c r="A4" s="10"/>
      <c r="B4" s="10"/>
      <c r="C4" s="10"/>
      <c r="D4" s="10"/>
      <c r="E4" s="10"/>
      <c r="F4" s="10"/>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row>
    <row r="5" spans="1:53" ht="15" customHeight="1">
      <c r="A5" s="10"/>
      <c r="B5" s="10"/>
      <c r="C5" s="10"/>
      <c r="D5" s="10"/>
      <c r="E5" s="10"/>
      <c r="F5" s="10"/>
      <c r="P5" s="703" t="str">
        <f>Настройки!A2</f>
        <v>Авария</v>
      </c>
      <c r="Q5" s="518">
        <f>Настройки!B2</f>
        <v>4</v>
      </c>
      <c r="R5" s="708" t="str">
        <f>Настройки!C2</f>
        <v>Авария</v>
      </c>
      <c r="S5" s="10"/>
      <c r="T5" s="456">
        <f>Настройки!M12</f>
        <v>1</v>
      </c>
      <c r="U5" s="10"/>
      <c r="V5" s="10"/>
      <c r="W5" s="10"/>
      <c r="X5" s="10"/>
      <c r="Y5" s="10"/>
      <c r="Z5" s="10"/>
      <c r="AA5" s="10"/>
    </row>
    <row r="6" spans="1:53" ht="15" customHeight="1">
      <c r="A6" s="10"/>
      <c r="B6" s="10"/>
      <c r="C6" s="10"/>
      <c r="D6" s="10"/>
      <c r="E6" s="10"/>
      <c r="F6" s="10"/>
      <c r="P6" s="703" t="str">
        <f>Настройки!A3</f>
        <v>Предупреждение</v>
      </c>
      <c r="Q6" s="518">
        <f>Настройки!B3</f>
        <v>8</v>
      </c>
      <c r="R6" s="708" t="str">
        <f>Настройки!C3</f>
        <v>Предупреждение</v>
      </c>
      <c r="S6" s="10"/>
      <c r="T6" s="608" t="str">
        <f>Настройки!M7</f>
        <v>Отображение Таблицы подлючений в диаг.</v>
      </c>
      <c r="U6" s="10"/>
      <c r="V6" s="10"/>
      <c r="W6" s="10"/>
      <c r="X6" s="10"/>
      <c r="Y6" s="10"/>
      <c r="Z6" s="10"/>
      <c r="AA6" s="10"/>
    </row>
    <row r="7" spans="1:53" ht="15" customHeight="1">
      <c r="A7" s="10"/>
      <c r="B7" s="10"/>
      <c r="C7" s="10"/>
      <c r="D7" s="10"/>
      <c r="E7" s="10"/>
      <c r="F7" s="10"/>
      <c r="P7" s="703" t="str">
        <f>Настройки!A4</f>
        <v>Неисправность</v>
      </c>
      <c r="Q7" s="518">
        <f>Настройки!B4</f>
        <v>12</v>
      </c>
      <c r="R7" s="708" t="str">
        <f>Настройки!C4</f>
        <v>Неисправность</v>
      </c>
      <c r="S7" s="10"/>
      <c r="T7" s="714" t="b">
        <f>Настройки!M8</f>
        <v>0</v>
      </c>
      <c r="U7" s="10"/>
      <c r="V7" s="10"/>
      <c r="W7" s="10"/>
      <c r="X7" s="10"/>
      <c r="Y7" s="10"/>
      <c r="Z7" s="10"/>
      <c r="AA7" s="10"/>
    </row>
    <row r="8" spans="1:53" ht="15" customHeight="1">
      <c r="A8" s="10"/>
      <c r="B8" s="10"/>
      <c r="C8" s="10"/>
      <c r="D8" s="10"/>
      <c r="E8" s="10"/>
      <c r="F8" s="10"/>
      <c r="P8" s="703" t="str">
        <f>Настройки!A5</f>
        <v>Телесигнализация</v>
      </c>
      <c r="Q8" s="518">
        <f>Настройки!B5</f>
        <v>18</v>
      </c>
      <c r="R8" s="708" t="str">
        <f>Настройки!C5</f>
        <v>Телесигнализация</v>
      </c>
      <c r="S8" s="10"/>
      <c r="T8" s="10"/>
      <c r="U8" s="10"/>
      <c r="V8" s="10"/>
      <c r="W8" s="10"/>
      <c r="X8" s="10"/>
      <c r="Y8" s="10"/>
      <c r="Z8" s="10"/>
      <c r="AA8" s="10"/>
    </row>
    <row r="9" spans="1:53" ht="15" customHeight="1">
      <c r="A9" s="10"/>
      <c r="B9" s="10"/>
      <c r="C9" s="10"/>
      <c r="D9" s="10"/>
      <c r="E9" s="10"/>
      <c r="F9" s="10"/>
      <c r="P9" s="703" t="str">
        <f>Настройки!A6</f>
        <v>Недостоверность</v>
      </c>
      <c r="Q9" s="518">
        <f>Настройки!B6</f>
        <v>10</v>
      </c>
      <c r="R9" s="708" t="str">
        <f>Настройки!C6</f>
        <v>Недостоверность</v>
      </c>
      <c r="S9" s="10"/>
      <c r="T9" s="10"/>
      <c r="U9" s="10"/>
      <c r="V9" s="10"/>
      <c r="W9" s="10"/>
      <c r="X9" s="10"/>
      <c r="Y9" s="10"/>
      <c r="Z9" s="10"/>
      <c r="AA9" s="10"/>
    </row>
    <row r="10" spans="1:53" ht="15" customHeight="1">
      <c r="A10" s="10"/>
      <c r="B10" s="10"/>
      <c r="C10" s="10"/>
      <c r="D10" s="10"/>
      <c r="E10" s="10"/>
      <c r="F10" s="10"/>
      <c r="P10" s="703" t="str">
        <f>Настройки!A7</f>
        <v>Имитация</v>
      </c>
      <c r="Q10" s="518">
        <f>Настройки!B7</f>
        <v>16</v>
      </c>
      <c r="R10" s="708" t="str">
        <f>Настройки!C7</f>
        <v>Имитация</v>
      </c>
      <c r="S10" s="10"/>
      <c r="T10" s="10"/>
      <c r="U10" s="10"/>
      <c r="V10" s="10"/>
      <c r="W10" s="10"/>
      <c r="X10" s="10"/>
      <c r="Y10" s="10"/>
      <c r="Z10" s="10"/>
      <c r="AA10" s="10"/>
    </row>
    <row r="11" spans="1:53" ht="15" customHeight="1">
      <c r="A11" s="10"/>
      <c r="B11" s="10"/>
      <c r="C11" s="10"/>
      <c r="D11" s="10"/>
      <c r="E11" s="10"/>
      <c r="F11" s="10"/>
      <c r="P11" s="703" t="str">
        <f>Настройки!A8</f>
        <v>Ремонт</v>
      </c>
      <c r="Q11" s="518">
        <f>Настройки!B8</f>
        <v>14</v>
      </c>
      <c r="R11" s="708" t="str">
        <f>Настройки!C8</f>
        <v>Ремонт</v>
      </c>
      <c r="S11" s="10"/>
      <c r="T11" s="10"/>
      <c r="U11" s="10"/>
      <c r="V11" s="10"/>
      <c r="W11" s="10"/>
      <c r="X11" s="10"/>
      <c r="Y11" s="10"/>
      <c r="Z11" s="10"/>
      <c r="AA11" s="10"/>
    </row>
    <row r="12" spans="1:53" ht="15" customHeight="1">
      <c r="A12" s="10"/>
      <c r="B12" s="10"/>
      <c r="C12" s="10"/>
      <c r="D12" s="10"/>
      <c r="E12" s="10"/>
      <c r="F12" s="10"/>
      <c r="P12" s="703" t="str">
        <f>Настройки!A9</f>
        <v>Команда оператора</v>
      </c>
      <c r="Q12" s="518">
        <f>Настройки!B9</f>
        <v>20</v>
      </c>
      <c r="R12" s="708" t="str">
        <f>Настройки!C9</f>
        <v>Команда оператора</v>
      </c>
      <c r="S12" s="10"/>
      <c r="T12" s="10"/>
      <c r="U12" s="10"/>
      <c r="V12" s="10"/>
      <c r="W12" s="10"/>
      <c r="X12" s="10"/>
      <c r="Y12" s="10"/>
      <c r="Z12" s="10"/>
      <c r="AA12" s="10"/>
    </row>
    <row r="13" spans="1:53" ht="15" customHeight="1">
      <c r="A13" s="10"/>
      <c r="B13" s="10"/>
      <c r="C13" s="10"/>
      <c r="D13" s="10"/>
      <c r="E13" s="10"/>
      <c r="F13" s="10"/>
      <c r="P13" s="703" t="str">
        <f>Настройки!A10</f>
        <v>Тревога</v>
      </c>
      <c r="Q13" s="518">
        <f>Настройки!B10</f>
        <v>5</v>
      </c>
      <c r="R13" s="518" t="str">
        <f>Настройки!C10</f>
        <v>Тревога</v>
      </c>
      <c r="S13" s="10"/>
      <c r="T13" s="10"/>
      <c r="U13" s="10"/>
      <c r="V13" s="10"/>
      <c r="W13" s="10"/>
      <c r="X13" s="10"/>
      <c r="Y13" s="10"/>
      <c r="Z13" s="10"/>
      <c r="AA13" s="10"/>
    </row>
    <row r="14" spans="1:53" ht="15" customHeight="1">
      <c r="A14" s="10"/>
      <c r="B14" s="10"/>
      <c r="C14" s="10"/>
      <c r="D14" s="10"/>
      <c r="E14" s="10"/>
      <c r="F14" s="10"/>
      <c r="P14" s="703" t="str">
        <f>Настройки!A11</f>
        <v>Тушение</v>
      </c>
      <c r="Q14" s="518">
        <f>Настройки!B11</f>
        <v>1</v>
      </c>
      <c r="R14" s="518" t="str">
        <f>Настройки!C11</f>
        <v>Тушение</v>
      </c>
      <c r="S14" s="10"/>
      <c r="T14" s="10"/>
      <c r="U14" s="10"/>
      <c r="V14" s="10"/>
      <c r="W14" s="10"/>
      <c r="X14" s="10"/>
      <c r="Y14" s="10"/>
      <c r="Z14" s="10"/>
      <c r="AA14" s="10"/>
    </row>
    <row r="15" spans="1:53" ht="15" customHeight="1">
      <c r="A15" s="10"/>
      <c r="B15" s="10"/>
      <c r="C15" s="10"/>
      <c r="D15" s="10"/>
      <c r="E15" s="10"/>
      <c r="F15" s="10"/>
      <c r="P15" s="703" t="str">
        <f>Настройки!A12</f>
        <v>Пожар</v>
      </c>
      <c r="Q15" s="518">
        <f>Настройки!B12</f>
        <v>2</v>
      </c>
      <c r="R15" s="518" t="str">
        <f>Настройки!C12</f>
        <v>Пожар</v>
      </c>
      <c r="S15" s="10"/>
      <c r="T15" s="10"/>
      <c r="U15" s="10"/>
      <c r="V15" s="10"/>
      <c r="W15" s="10"/>
      <c r="X15" s="10"/>
      <c r="Y15" s="10"/>
      <c r="Z15" s="10"/>
      <c r="AA15" s="10"/>
    </row>
    <row r="16" spans="1:53" ht="15" customHeight="1">
      <c r="A16" s="10"/>
      <c r="B16" s="10"/>
      <c r="C16" s="10"/>
      <c r="D16" s="10"/>
      <c r="E16" s="10"/>
      <c r="F16" s="10"/>
      <c r="P16" s="703" t="str">
        <f>Настройки!A13</f>
        <v>Порог 2</v>
      </c>
      <c r="Q16" s="518">
        <f>Настройки!B13</f>
        <v>3</v>
      </c>
      <c r="R16" s="518" t="str">
        <f>Настройки!C13</f>
        <v>Порог 2</v>
      </c>
      <c r="S16" s="10"/>
      <c r="T16" s="10"/>
      <c r="U16" s="10"/>
      <c r="V16" s="10"/>
      <c r="W16" s="10"/>
      <c r="X16" s="10"/>
      <c r="Y16" s="10"/>
      <c r="Z16" s="10"/>
      <c r="AA16" s="10"/>
    </row>
    <row r="17" spans="1:27" ht="15" customHeight="1">
      <c r="A17" s="10"/>
      <c r="B17" s="10"/>
      <c r="C17" s="10"/>
      <c r="D17" s="10"/>
      <c r="E17" s="10"/>
      <c r="F17" s="10"/>
      <c r="P17" s="703" t="str">
        <f>Настройки!A14</f>
        <v>Порог 1</v>
      </c>
      <c r="Q17" s="518">
        <f>Настройки!B14</f>
        <v>6</v>
      </c>
      <c r="R17" s="518" t="str">
        <f>Настройки!C14</f>
        <v>Порог 1</v>
      </c>
      <c r="S17" s="10"/>
      <c r="T17" s="10"/>
      <c r="U17" s="10"/>
      <c r="V17" s="10"/>
      <c r="W17" s="10"/>
      <c r="X17" s="10"/>
      <c r="Y17" s="10"/>
      <c r="Z17" s="10"/>
      <c r="AA17" s="10"/>
    </row>
    <row r="18" spans="1:27" ht="15" customHeight="1">
      <c r="A18" s="10"/>
      <c r="B18" s="10"/>
      <c r="C18" s="10"/>
      <c r="D18" s="10"/>
      <c r="E18" s="10"/>
      <c r="F18" s="10"/>
      <c r="P18" s="703" t="str">
        <f>Настройки!A15</f>
        <v>Отключение</v>
      </c>
      <c r="Q18" s="518">
        <f>Настройки!B15</f>
        <v>13</v>
      </c>
      <c r="R18" s="518" t="str">
        <f>Настройки!C15</f>
        <v>Отключение</v>
      </c>
      <c r="S18" s="10"/>
      <c r="T18" s="10"/>
      <c r="U18" s="10"/>
      <c r="V18" s="10"/>
      <c r="W18" s="10"/>
      <c r="X18" s="10"/>
      <c r="Y18" s="10"/>
      <c r="Z18" s="10"/>
      <c r="AA18" s="10"/>
    </row>
    <row r="19" spans="1:27" ht="15" customHeight="1">
      <c r="A19" s="10"/>
      <c r="B19" s="10"/>
      <c r="C19" s="10"/>
      <c r="D19" s="10"/>
      <c r="E19" s="10"/>
      <c r="F19" s="10"/>
      <c r="P19" s="703" t="str">
        <f>Настройки!A16</f>
        <v>Информация</v>
      </c>
      <c r="Q19" s="518">
        <f>Настройки!B16</f>
        <v>22</v>
      </c>
      <c r="R19" s="518" t="str">
        <f>Настройки!C16</f>
        <v>Информация</v>
      </c>
      <c r="S19" s="10"/>
      <c r="T19" s="10"/>
      <c r="U19" s="10"/>
      <c r="V19" s="10"/>
      <c r="W19" s="10"/>
      <c r="X19" s="10"/>
      <c r="Y19" s="10"/>
      <c r="Z19" s="10"/>
      <c r="AA19" s="10"/>
    </row>
    <row r="20" spans="1:27">
      <c r="A20" s="23" t="str">
        <f t="shared" ref="A20:A37" si="0">$R$2</f>
        <v>АСУЭ.IMs_MON</v>
      </c>
      <c r="B20" s="24">
        <v>7011</v>
      </c>
      <c r="C20" s="24" t="s">
        <v>2</v>
      </c>
      <c r="D20" s="25" t="s">
        <v>266</v>
      </c>
    </row>
    <row r="21" spans="1:27">
      <c r="A21" s="23" t="str">
        <f t="shared" si="0"/>
        <v>АСУЭ.IMs_MON</v>
      </c>
      <c r="B21" s="24">
        <v>1</v>
      </c>
      <c r="C21" s="24" t="s">
        <v>1</v>
      </c>
      <c r="D21" s="25">
        <v>17</v>
      </c>
    </row>
    <row r="22" spans="1:27">
      <c r="A22" s="29" t="str">
        <f t="shared" si="0"/>
        <v>АСУЭ.IMs_MON</v>
      </c>
      <c r="B22">
        <v>11001</v>
      </c>
      <c r="C22" t="s">
        <v>0</v>
      </c>
      <c r="D22" s="30" t="str">
        <f>$Q$2&amp;". "</f>
        <v xml:space="preserve">Выключатель электрический без тележки и защит (шаблон по SNMP). </v>
      </c>
    </row>
    <row r="23" spans="1:27">
      <c r="A23" s="29" t="str">
        <f t="shared" si="0"/>
        <v>АСУЭ.IMs_MON</v>
      </c>
      <c r="B23">
        <v>11156</v>
      </c>
      <c r="C23" t="s">
        <v>0</v>
      </c>
      <c r="D23" s="30" t="str">
        <f>$V$2</f>
        <v>Тестовый экран</v>
      </c>
    </row>
    <row r="24" spans="1:27">
      <c r="A24" s="23" t="str">
        <f t="shared" si="0"/>
        <v>АСУЭ.IMs_MON</v>
      </c>
      <c r="B24" s="24">
        <v>13</v>
      </c>
      <c r="C24" s="24" t="s">
        <v>2</v>
      </c>
      <c r="D24" s="25" t="s">
        <v>3</v>
      </c>
      <c r="Q24" s="778" t="s">
        <v>2592</v>
      </c>
    </row>
    <row r="25" spans="1:27" ht="15" customHeight="1">
      <c r="A25" s="29" t="str">
        <f t="shared" si="0"/>
        <v>АСУЭ.IMs_MON</v>
      </c>
      <c r="B25">
        <v>3000013</v>
      </c>
      <c r="C25" t="s">
        <v>0</v>
      </c>
      <c r="D25" s="30" t="str">
        <f>$AE$2</f>
        <v>Диагностика.CPU.NOT_LINK.noLink</v>
      </c>
      <c r="Q25" s="780"/>
    </row>
    <row r="26" spans="1:27" ht="15" customHeight="1">
      <c r="A26" s="29" t="str">
        <f t="shared" si="0"/>
        <v>АСУЭ.IMs_MON</v>
      </c>
      <c r="B26">
        <v>4000013</v>
      </c>
      <c r="C26" t="s">
        <v>0</v>
      </c>
      <c r="D26" s="30" t="s">
        <v>1775</v>
      </c>
      <c r="Q26" s="780"/>
    </row>
    <row r="27" spans="1:27" ht="15" customHeight="1">
      <c r="A27" s="26" t="str">
        <f t="shared" si="0"/>
        <v>АСУЭ.IMs_MON</v>
      </c>
      <c r="B27" s="27">
        <v>7000013</v>
      </c>
      <c r="C27" s="27" t="s">
        <v>6</v>
      </c>
      <c r="D27" s="28">
        <v>2</v>
      </c>
      <c r="Q27" s="779"/>
    </row>
    <row r="28" spans="1:27" ht="15" customHeight="1">
      <c r="A28" s="29" t="str">
        <f t="shared" si="0"/>
        <v>АСУЭ.IMs_MON</v>
      </c>
      <c r="B28">
        <v>9207</v>
      </c>
      <c r="C28" t="s">
        <v>2</v>
      </c>
      <c r="D28" s="30" t="s">
        <v>3</v>
      </c>
      <c r="Q28" s="778" t="s">
        <v>139</v>
      </c>
    </row>
    <row r="29" spans="1:27">
      <c r="A29" s="27" t="str">
        <f t="shared" si="0"/>
        <v>АСУЭ.IMs_MON</v>
      </c>
      <c r="B29" s="27">
        <v>3009207</v>
      </c>
      <c r="C29" s="27" t="s">
        <v>0</v>
      </c>
      <c r="D29" s="28" t="s">
        <v>2606</v>
      </c>
      <c r="Q29" s="780"/>
    </row>
    <row r="30" spans="1:27" ht="15" customHeight="1">
      <c r="A30" s="16" t="str">
        <f t="shared" si="0"/>
        <v>АСУЭ.IMs_MON</v>
      </c>
      <c r="B30" s="17">
        <v>9229</v>
      </c>
      <c r="C30" s="17" t="s">
        <v>2</v>
      </c>
      <c r="D30" s="18" t="s">
        <v>3</v>
      </c>
      <c r="Q30" s="778" t="s">
        <v>2684</v>
      </c>
    </row>
    <row r="31" spans="1:27">
      <c r="A31" s="19" t="str">
        <f t="shared" si="0"/>
        <v>АСУЭ.IMs_MON</v>
      </c>
      <c r="B31" s="11">
        <v>7009229</v>
      </c>
      <c r="C31" s="11" t="s">
        <v>6</v>
      </c>
      <c r="D31" s="20">
        <v>1</v>
      </c>
      <c r="Q31" s="780"/>
    </row>
    <row r="32" spans="1:27">
      <c r="A32" s="21" t="str">
        <f t="shared" si="0"/>
        <v>АСУЭ.IMs_MON</v>
      </c>
      <c r="B32" s="8">
        <v>4009229</v>
      </c>
      <c r="C32" s="8" t="s">
        <v>0</v>
      </c>
      <c r="D32" s="742" t="s">
        <v>2685</v>
      </c>
      <c r="Q32" s="779"/>
    </row>
    <row r="33" spans="1:17" ht="15" customHeight="1">
      <c r="A33" s="19" t="str">
        <f t="shared" si="0"/>
        <v>АСУЭ.IMs_MON</v>
      </c>
      <c r="B33" s="11">
        <v>9230</v>
      </c>
      <c r="C33" s="11" t="s">
        <v>2</v>
      </c>
      <c r="D33" s="20" t="s">
        <v>3</v>
      </c>
      <c r="Q33" s="778" t="s">
        <v>2686</v>
      </c>
    </row>
    <row r="34" spans="1:17">
      <c r="A34" s="19" t="str">
        <f t="shared" si="0"/>
        <v>АСУЭ.IMs_MON</v>
      </c>
      <c r="B34" s="11">
        <v>7009230</v>
      </c>
      <c r="C34" s="11" t="s">
        <v>6</v>
      </c>
      <c r="D34" s="20">
        <v>1</v>
      </c>
      <c r="Q34" s="780"/>
    </row>
    <row r="35" spans="1:17">
      <c r="A35" s="21" t="str">
        <f t="shared" si="0"/>
        <v>АСУЭ.IMs_MON</v>
      </c>
      <c r="B35" s="8">
        <v>4009230</v>
      </c>
      <c r="C35" s="8" t="s">
        <v>0</v>
      </c>
      <c r="D35" s="742" t="s">
        <v>2687</v>
      </c>
      <c r="Q35" s="779"/>
    </row>
    <row r="36" spans="1:17">
      <c r="A36" s="712" t="str">
        <f t="shared" si="0"/>
        <v>АСУЭ.IMs_MON</v>
      </c>
      <c r="B36" s="711">
        <v>9204</v>
      </c>
      <c r="C36" s="711" t="s">
        <v>6</v>
      </c>
      <c r="D36" s="710">
        <v>0</v>
      </c>
      <c r="Q36" s="746" t="s">
        <v>2595</v>
      </c>
    </row>
    <row r="37" spans="1:17">
      <c r="A37" s="712" t="str">
        <f t="shared" si="0"/>
        <v>АСУЭ.IMs_MON</v>
      </c>
      <c r="B37" s="711">
        <v>9205</v>
      </c>
      <c r="C37" s="711" t="s">
        <v>6</v>
      </c>
      <c r="D37" s="710">
        <v>0</v>
      </c>
      <c r="Q37" s="518" t="s">
        <v>343</v>
      </c>
    </row>
    <row r="38" spans="1:17">
      <c r="A38" t="str">
        <f t="shared" ref="A38:A43" si="1">$R$2&amp;".Commands"</f>
        <v>АСУЭ.IMs_MON.Commands</v>
      </c>
      <c r="B38" s="24">
        <v>7011</v>
      </c>
      <c r="C38" s="24" t="s">
        <v>2</v>
      </c>
      <c r="D38" s="25" t="s">
        <v>266</v>
      </c>
    </row>
    <row r="39" spans="1:17" ht="15" customHeight="1">
      <c r="A39" t="str">
        <f t="shared" si="1"/>
        <v>АСУЭ.IMs_MON.Commands</v>
      </c>
      <c r="B39">
        <v>1</v>
      </c>
      <c r="C39" t="s">
        <v>1</v>
      </c>
      <c r="D39" s="30">
        <v>17</v>
      </c>
    </row>
    <row r="40" spans="1:17">
      <c r="A40" s="23" t="str">
        <f t="shared" si="1"/>
        <v>АСУЭ.IMs_MON.Commands</v>
      </c>
      <c r="B40" s="24">
        <v>9209</v>
      </c>
      <c r="C40" s="24" t="s">
        <v>2</v>
      </c>
      <c r="D40" s="25" t="s">
        <v>3</v>
      </c>
      <c r="Q40" s="778" t="s">
        <v>116</v>
      </c>
    </row>
    <row r="41" spans="1:17">
      <c r="A41" s="29" t="str">
        <f t="shared" si="1"/>
        <v>АСУЭ.IMs_MON.Commands</v>
      </c>
      <c r="B41">
        <v>4009209</v>
      </c>
      <c r="C41" t="s">
        <v>0</v>
      </c>
      <c r="D41" s="713" t="s">
        <v>2594</v>
      </c>
      <c r="Q41" s="780"/>
    </row>
    <row r="42" spans="1:17">
      <c r="A42" s="29" t="str">
        <f t="shared" si="1"/>
        <v>АСУЭ.IMs_MON.Commands</v>
      </c>
      <c r="B42">
        <v>7009209</v>
      </c>
      <c r="C42" t="s">
        <v>6</v>
      </c>
      <c r="D42" s="30">
        <v>1</v>
      </c>
      <c r="Q42" s="779"/>
    </row>
    <row r="43" spans="1:17">
      <c r="A43" s="712" t="str">
        <f t="shared" si="1"/>
        <v>АСУЭ.IMs_MON.Commands</v>
      </c>
      <c r="B43" s="711">
        <v>9211</v>
      </c>
      <c r="C43" s="711" t="s">
        <v>6</v>
      </c>
      <c r="D43" s="710">
        <v>0</v>
      </c>
      <c r="Q43" s="537" t="s">
        <v>2593</v>
      </c>
    </row>
    <row r="44" spans="1:17">
      <c r="A44" s="69" t="str">
        <f t="shared" ref="A44:A52" si="2">$R$2&amp;".wCntLimit"</f>
        <v>АСУЭ.IMs_MON.wCntLimit</v>
      </c>
      <c r="B44" s="70">
        <v>11154</v>
      </c>
      <c r="C44" s="70" t="s">
        <v>4</v>
      </c>
      <c r="D44" s="71">
        <f>$Q$6</f>
        <v>8</v>
      </c>
    </row>
    <row r="45" spans="1:17">
      <c r="A45" s="52" t="str">
        <f t="shared" si="2"/>
        <v>АСУЭ.IMs_MON.wCntLimit</v>
      </c>
      <c r="B45" s="52">
        <v>11152</v>
      </c>
      <c r="C45" s="52" t="s">
        <v>0</v>
      </c>
      <c r="D45" s="65" t="str">
        <f>$R$6</f>
        <v>Предупреждение</v>
      </c>
    </row>
    <row r="46" spans="1:17">
      <c r="A46" s="52" t="str">
        <f t="shared" si="2"/>
        <v>АСУЭ.IMs_MON.wCntLimit</v>
      </c>
      <c r="B46" s="52">
        <v>11150</v>
      </c>
      <c r="C46" s="52" t="s">
        <v>0</v>
      </c>
      <c r="D46" s="65" t="s">
        <v>157</v>
      </c>
    </row>
    <row r="47" spans="1:17">
      <c r="A47" s="52" t="str">
        <f t="shared" si="2"/>
        <v>АСУЭ.IMs_MON.wCntLimit</v>
      </c>
      <c r="B47" s="52">
        <v>11000</v>
      </c>
      <c r="C47" s="52" t="s">
        <v>5</v>
      </c>
      <c r="D47" s="65">
        <v>2147483680</v>
      </c>
    </row>
    <row r="48" spans="1:17">
      <c r="A48" s="29" t="str">
        <f t="shared" si="2"/>
        <v>АСУЭ.IMs_MON.wCntLimit</v>
      </c>
      <c r="B48">
        <v>101</v>
      </c>
      <c r="C48" t="s">
        <v>0</v>
      </c>
      <c r="D48" s="30" t="s">
        <v>157</v>
      </c>
    </row>
    <row r="49" spans="1:4">
      <c r="A49" s="29" t="str">
        <f t="shared" si="2"/>
        <v>АСУЭ.IMs_MON.wCntLimit</v>
      </c>
      <c r="B49">
        <v>3</v>
      </c>
      <c r="C49" t="s">
        <v>1</v>
      </c>
      <c r="D49" s="30">
        <v>192</v>
      </c>
    </row>
    <row r="50" spans="1:4">
      <c r="A50" s="29" t="str">
        <f t="shared" si="2"/>
        <v>АСУЭ.IMs_MON.wCntLimit</v>
      </c>
      <c r="B50">
        <v>2</v>
      </c>
      <c r="C50" t="s">
        <v>2</v>
      </c>
      <c r="D50" s="30" t="s">
        <v>3</v>
      </c>
    </row>
    <row r="51" spans="1:4">
      <c r="A51" t="str">
        <f t="shared" si="2"/>
        <v>АСУЭ.IMs_MON.wCntLimit</v>
      </c>
      <c r="B51">
        <v>1</v>
      </c>
      <c r="C51" t="s">
        <v>1</v>
      </c>
      <c r="D51" s="30">
        <v>11</v>
      </c>
    </row>
    <row r="52" spans="1:4">
      <c r="A52" t="str">
        <f t="shared" si="2"/>
        <v>АСУЭ.IMs_MON.wCntLimit</v>
      </c>
      <c r="B52" s="1">
        <v>3000000</v>
      </c>
      <c r="C52" s="1" t="s">
        <v>0</v>
      </c>
      <c r="D52" s="30" t="s">
        <v>2330</v>
      </c>
    </row>
    <row r="53" spans="1:4">
      <c r="A53" s="23" t="str">
        <f t="shared" ref="A53:A62" si="3">$R$2&amp;".fFault"</f>
        <v>АСУЭ.IMs_MON.fFault</v>
      </c>
      <c r="B53" s="24">
        <v>1</v>
      </c>
      <c r="C53" s="24" t="s">
        <v>1</v>
      </c>
      <c r="D53" s="25">
        <v>11</v>
      </c>
    </row>
    <row r="54" spans="1:4">
      <c r="A54" s="29" t="str">
        <f t="shared" si="3"/>
        <v>АСУЭ.IMs_MON.fFault</v>
      </c>
      <c r="B54" s="1">
        <v>2</v>
      </c>
      <c r="C54" s="1" t="s">
        <v>2</v>
      </c>
      <c r="D54" s="30" t="s">
        <v>3</v>
      </c>
    </row>
    <row r="55" spans="1:4">
      <c r="A55" s="29" t="str">
        <f t="shared" si="3"/>
        <v>АСУЭ.IMs_MON.fFault</v>
      </c>
      <c r="B55" s="1">
        <v>3</v>
      </c>
      <c r="C55" s="1" t="s">
        <v>1</v>
      </c>
      <c r="D55" s="30">
        <v>192</v>
      </c>
    </row>
    <row r="56" spans="1:4">
      <c r="A56" s="211" t="str">
        <f t="shared" si="3"/>
        <v>АСУЭ.IMs_MON.fFault</v>
      </c>
      <c r="B56" s="212">
        <v>11152</v>
      </c>
      <c r="C56" s="212" t="s">
        <v>0</v>
      </c>
      <c r="D56" s="213" t="str">
        <f>$R$7</f>
        <v>Неисправность</v>
      </c>
    </row>
    <row r="57" spans="1:4">
      <c r="A57" s="211" t="str">
        <f t="shared" si="3"/>
        <v>АСУЭ.IMs_MON.fFault</v>
      </c>
      <c r="B57" s="212">
        <v>11000</v>
      </c>
      <c r="C57" s="212" t="s">
        <v>5</v>
      </c>
      <c r="D57" s="213">
        <v>2147483680</v>
      </c>
    </row>
    <row r="58" spans="1:4">
      <c r="A58" s="211" t="str">
        <f t="shared" si="3"/>
        <v>АСУЭ.IMs_MON.fFault</v>
      </c>
      <c r="B58" s="212">
        <v>11150</v>
      </c>
      <c r="C58" s="212" t="s">
        <v>0</v>
      </c>
      <c r="D58" s="213" t="s">
        <v>110</v>
      </c>
    </row>
    <row r="59" spans="1:4">
      <c r="A59" s="211" t="str">
        <f t="shared" si="3"/>
        <v>АСУЭ.IMs_MON.fFault</v>
      </c>
      <c r="B59" s="212">
        <v>11154</v>
      </c>
      <c r="C59" s="212" t="s">
        <v>4</v>
      </c>
      <c r="D59" s="213">
        <f>$Q$7</f>
        <v>12</v>
      </c>
    </row>
    <row r="60" spans="1:4">
      <c r="A60" s="29" t="str">
        <f t="shared" si="3"/>
        <v>АСУЭ.IMs_MON.fFault</v>
      </c>
      <c r="B60" s="1">
        <v>101</v>
      </c>
      <c r="C60" s="1" t="s">
        <v>0</v>
      </c>
      <c r="D60" s="30" t="s">
        <v>176</v>
      </c>
    </row>
    <row r="61" spans="1:4">
      <c r="A61" s="29" t="str">
        <f t="shared" si="3"/>
        <v>АСУЭ.IMs_MON.fFault</v>
      </c>
      <c r="B61" s="1">
        <v>7014</v>
      </c>
      <c r="C61" s="1" t="s">
        <v>278</v>
      </c>
      <c r="D61" s="751" t="str">
        <f>"$"&amp;DEC2HEX($S$2,4)&amp;DEC2HEX($W$2,6)&amp;"000209"</f>
        <v>$0003000000000209</v>
      </c>
    </row>
    <row r="62" spans="1:4">
      <c r="A62" s="26" t="str">
        <f t="shared" si="3"/>
        <v>АСУЭ.IMs_MON.fFault</v>
      </c>
      <c r="B62" s="27">
        <v>10015</v>
      </c>
      <c r="C62" s="27" t="s">
        <v>0</v>
      </c>
      <c r="D62" s="210" t="str">
        <f>$AP$2&amp;";1.3.6.1.4.1.77.3.1.1"</f>
        <v>iso.org.dod.internet.private.enterprises.tsw.portStatusTab.port1.port3Link;1.3.6.1.4.1.77.3.1.1</v>
      </c>
    </row>
    <row r="63" spans="1:4">
      <c r="A63" s="211" t="str">
        <f t="shared" ref="A63:A70" si="4">$R$2&amp;".wUnkw"</f>
        <v>АСУЭ.IMs_MON.wUnkw</v>
      </c>
      <c r="B63" s="212">
        <v>11154</v>
      </c>
      <c r="C63" s="212" t="s">
        <v>4</v>
      </c>
      <c r="D63" s="213">
        <f>$Q$7</f>
        <v>12</v>
      </c>
    </row>
    <row r="64" spans="1:4">
      <c r="A64" s="211" t="str">
        <f t="shared" si="4"/>
        <v>АСУЭ.IMs_MON.wUnkw</v>
      </c>
      <c r="B64" s="677">
        <v>11152</v>
      </c>
      <c r="C64" s="677" t="s">
        <v>0</v>
      </c>
      <c r="D64" s="213" t="str">
        <f>$R$7</f>
        <v>Неисправность</v>
      </c>
    </row>
    <row r="65" spans="1:4">
      <c r="A65" s="211" t="str">
        <f t="shared" si="4"/>
        <v>АСУЭ.IMs_MON.wUnkw</v>
      </c>
      <c r="B65" s="677">
        <v>11150</v>
      </c>
      <c r="C65" s="677" t="s">
        <v>0</v>
      </c>
      <c r="D65" s="213" t="s">
        <v>1854</v>
      </c>
    </row>
    <row r="66" spans="1:4">
      <c r="A66" s="211" t="str">
        <f t="shared" si="4"/>
        <v>АСУЭ.IMs_MON.wUnkw</v>
      </c>
      <c r="B66" s="677">
        <v>11000</v>
      </c>
      <c r="C66" s="677" t="s">
        <v>5</v>
      </c>
      <c r="D66" s="213">
        <v>2147483680</v>
      </c>
    </row>
    <row r="67" spans="1:4">
      <c r="A67" s="29" t="str">
        <f t="shared" si="4"/>
        <v>АСУЭ.IMs_MON.wUnkw</v>
      </c>
      <c r="B67">
        <v>101</v>
      </c>
      <c r="C67" t="s">
        <v>0</v>
      </c>
      <c r="D67" s="30" t="s">
        <v>1854</v>
      </c>
    </row>
    <row r="68" spans="1:4">
      <c r="A68" s="29" t="str">
        <f t="shared" si="4"/>
        <v>АСУЭ.IMs_MON.wUnkw</v>
      </c>
      <c r="B68">
        <v>3</v>
      </c>
      <c r="C68" t="s">
        <v>1</v>
      </c>
      <c r="D68" s="30">
        <v>192</v>
      </c>
    </row>
    <row r="69" spans="1:4">
      <c r="A69" s="29" t="str">
        <f t="shared" si="4"/>
        <v>АСУЭ.IMs_MON.wUnkw</v>
      </c>
      <c r="B69">
        <v>2</v>
      </c>
      <c r="C69" t="s">
        <v>2</v>
      </c>
      <c r="D69" s="30" t="s">
        <v>3</v>
      </c>
    </row>
    <row r="70" spans="1:4">
      <c r="A70" t="str">
        <f t="shared" si="4"/>
        <v>АСУЭ.IMs_MON.wUnkw</v>
      </c>
      <c r="B70">
        <v>1</v>
      </c>
      <c r="C70" t="s">
        <v>1</v>
      </c>
      <c r="D70" s="30">
        <v>11</v>
      </c>
    </row>
    <row r="71" spans="1:4">
      <c r="A71" s="23" t="str">
        <f t="shared" ref="A71:A78" si="5">$R$2&amp;".wDbl"</f>
        <v>АСУЭ.IMs_MON.wDbl</v>
      </c>
      <c r="B71" s="24">
        <v>1</v>
      </c>
      <c r="C71" s="24" t="s">
        <v>1</v>
      </c>
      <c r="D71" s="25">
        <v>11</v>
      </c>
    </row>
    <row r="72" spans="1:4">
      <c r="A72" s="29" t="str">
        <f t="shared" si="5"/>
        <v>АСУЭ.IMs_MON.wDbl</v>
      </c>
      <c r="B72">
        <v>2</v>
      </c>
      <c r="C72" t="s">
        <v>2</v>
      </c>
      <c r="D72" s="30" t="s">
        <v>3</v>
      </c>
    </row>
    <row r="73" spans="1:4">
      <c r="A73" s="29" t="str">
        <f t="shared" si="5"/>
        <v>АСУЭ.IMs_MON.wDbl</v>
      </c>
      <c r="B73">
        <v>3</v>
      </c>
      <c r="C73" t="s">
        <v>1</v>
      </c>
      <c r="D73" s="30">
        <v>192</v>
      </c>
    </row>
    <row r="74" spans="1:4">
      <c r="A74" s="29" t="str">
        <f t="shared" si="5"/>
        <v>АСУЭ.IMs_MON.wDbl</v>
      </c>
      <c r="B74">
        <v>101</v>
      </c>
      <c r="C74" t="s">
        <v>0</v>
      </c>
      <c r="D74" s="30" t="s">
        <v>1855</v>
      </c>
    </row>
    <row r="75" spans="1:4">
      <c r="A75" s="211" t="str">
        <f t="shared" si="5"/>
        <v>АСУЭ.IMs_MON.wDbl</v>
      </c>
      <c r="B75" s="677">
        <v>11000</v>
      </c>
      <c r="C75" s="677" t="s">
        <v>5</v>
      </c>
      <c r="D75" s="213">
        <v>2147483680</v>
      </c>
    </row>
    <row r="76" spans="1:4">
      <c r="A76" s="211" t="str">
        <f t="shared" si="5"/>
        <v>АСУЭ.IMs_MON.wDbl</v>
      </c>
      <c r="B76" s="677">
        <v>11150</v>
      </c>
      <c r="C76" s="677" t="s">
        <v>0</v>
      </c>
      <c r="D76" s="213" t="s">
        <v>1855</v>
      </c>
    </row>
    <row r="77" spans="1:4">
      <c r="A77" s="211" t="str">
        <f t="shared" si="5"/>
        <v>АСУЭ.IMs_MON.wDbl</v>
      </c>
      <c r="B77" s="677">
        <v>11152</v>
      </c>
      <c r="C77" s="677" t="s">
        <v>0</v>
      </c>
      <c r="D77" s="213" t="str">
        <f>$R$7</f>
        <v>Неисправность</v>
      </c>
    </row>
    <row r="78" spans="1:4">
      <c r="A78" s="677" t="str">
        <f t="shared" si="5"/>
        <v>АСУЭ.IMs_MON.wDbl</v>
      </c>
      <c r="B78" s="677">
        <v>11154</v>
      </c>
      <c r="C78" s="677" t="s">
        <v>4</v>
      </c>
      <c r="D78" s="213">
        <f>$Q$7</f>
        <v>12</v>
      </c>
    </row>
    <row r="79" spans="1:4">
      <c r="A79" s="23" t="str">
        <f t="shared" ref="A79:A91" si="6">$R$2&amp;".stOn"</f>
        <v>АСУЭ.IMs_MON.stOn</v>
      </c>
      <c r="B79" s="24">
        <v>7011</v>
      </c>
      <c r="C79" s="24" t="s">
        <v>2</v>
      </c>
      <c r="D79" s="25" t="s">
        <v>266</v>
      </c>
    </row>
    <row r="80" spans="1:4">
      <c r="A80" s="29" t="str">
        <f t="shared" si="6"/>
        <v>АСУЭ.IMs_MON.stOn</v>
      </c>
      <c r="B80" s="1">
        <v>1</v>
      </c>
      <c r="C80" s="1" t="s">
        <v>1</v>
      </c>
      <c r="D80" s="30">
        <v>11</v>
      </c>
    </row>
    <row r="81" spans="1:4">
      <c r="A81" s="29" t="str">
        <f t="shared" si="6"/>
        <v>АСУЭ.IMs_MON.stOn</v>
      </c>
      <c r="B81" s="1">
        <v>2</v>
      </c>
      <c r="C81" s="1" t="s">
        <v>2</v>
      </c>
      <c r="D81" s="30" t="s">
        <v>3</v>
      </c>
    </row>
    <row r="82" spans="1:4">
      <c r="A82" s="29" t="str">
        <f t="shared" si="6"/>
        <v>АСУЭ.IMs_MON.stOn</v>
      </c>
      <c r="B82" s="1">
        <v>3</v>
      </c>
      <c r="C82" s="1" t="s">
        <v>1</v>
      </c>
      <c r="D82" s="30">
        <v>192</v>
      </c>
    </row>
    <row r="83" spans="1:4">
      <c r="A83" s="29" t="str">
        <f t="shared" si="6"/>
        <v>АСУЭ.IMs_MON.stOn</v>
      </c>
      <c r="B83" s="1">
        <v>101</v>
      </c>
      <c r="C83" s="1" t="s">
        <v>0</v>
      </c>
      <c r="D83" s="30" t="s">
        <v>337</v>
      </c>
    </row>
    <row r="84" spans="1:4">
      <c r="A84" s="100" t="str">
        <f t="shared" si="6"/>
        <v>АСУЭ.IMs_MON.stOn</v>
      </c>
      <c r="B84" s="101">
        <v>11000</v>
      </c>
      <c r="C84" s="101" t="s">
        <v>5</v>
      </c>
      <c r="D84" s="103">
        <v>2147483680</v>
      </c>
    </row>
    <row r="85" spans="1:4">
      <c r="A85" s="100" t="str">
        <f t="shared" si="6"/>
        <v>АСУЭ.IMs_MON.stOn</v>
      </c>
      <c r="B85" s="101">
        <v>11150</v>
      </c>
      <c r="C85" s="101" t="s">
        <v>0</v>
      </c>
      <c r="D85" s="103" t="s">
        <v>337</v>
      </c>
    </row>
    <row r="86" spans="1:4">
      <c r="A86" s="100" t="str">
        <f t="shared" si="6"/>
        <v>АСУЭ.IMs_MON.stOn</v>
      </c>
      <c r="B86" s="101">
        <v>11152</v>
      </c>
      <c r="C86" s="101" t="s">
        <v>0</v>
      </c>
      <c r="D86" s="103" t="str">
        <f>$R$8</f>
        <v>Телесигнализация</v>
      </c>
    </row>
    <row r="87" spans="1:4">
      <c r="A87" s="100" t="str">
        <f t="shared" si="6"/>
        <v>АСУЭ.IMs_MON.stOn</v>
      </c>
      <c r="B87" s="101">
        <v>11154</v>
      </c>
      <c r="C87" s="101" t="s">
        <v>4</v>
      </c>
      <c r="D87" s="103">
        <f>$Q$8</f>
        <v>18</v>
      </c>
    </row>
    <row r="88" spans="1:4">
      <c r="A88" s="29" t="str">
        <f t="shared" si="6"/>
        <v>АСУЭ.IMs_MON.stOn</v>
      </c>
      <c r="B88" s="1">
        <v>7000000</v>
      </c>
      <c r="C88" s="1" t="s">
        <v>6</v>
      </c>
      <c r="D88" s="30">
        <v>1</v>
      </c>
    </row>
    <row r="89" spans="1:4" ht="43.2">
      <c r="A89" s="29" t="str">
        <f t="shared" si="6"/>
        <v>АСУЭ.IMs_MON.stOn</v>
      </c>
      <c r="B89" s="1">
        <v>4000000</v>
      </c>
      <c r="C89" s="1" t="s">
        <v>0</v>
      </c>
      <c r="D89" s="415" t="s">
        <v>2688</v>
      </c>
    </row>
    <row r="90" spans="1:4">
      <c r="A90" s="29" t="str">
        <f t="shared" si="6"/>
        <v>АСУЭ.IMs_MON.stOn</v>
      </c>
      <c r="B90" s="1">
        <v>7014</v>
      </c>
      <c r="C90" s="1" t="s">
        <v>278</v>
      </c>
      <c r="D90" s="751" t="str">
        <f>"$"&amp;DEC2HEX($S$2,4)&amp;DEC2HEX($W$2,6)&amp;"000209"</f>
        <v>$0003000000000209</v>
      </c>
    </row>
    <row r="91" spans="1:4">
      <c r="A91" s="29" t="str">
        <f t="shared" si="6"/>
        <v>АСУЭ.IMs_MON.stOn</v>
      </c>
      <c r="B91" s="1">
        <v>10015</v>
      </c>
      <c r="C91" s="1" t="s">
        <v>0</v>
      </c>
      <c r="D91" s="205" t="str">
        <f>$AL$2&amp;";1.3.6.1.4.1.77.3.1.1"</f>
        <v>iso.org.dod.internet.private.enterprises.tsw.portStatusTab.port1.port1Link;1.3.6.1.4.1.77.3.1.1</v>
      </c>
    </row>
    <row r="92" spans="1:4">
      <c r="A92" s="23" t="str">
        <f t="shared" ref="A92:A104" si="7">$R$2&amp;".stOff"</f>
        <v>АСУЭ.IMs_MON.stOff</v>
      </c>
      <c r="B92" s="24">
        <v>7011</v>
      </c>
      <c r="C92" s="24" t="s">
        <v>2</v>
      </c>
      <c r="D92" s="25" t="s">
        <v>266</v>
      </c>
    </row>
    <row r="93" spans="1:4">
      <c r="A93" s="29" t="str">
        <f t="shared" si="7"/>
        <v>АСУЭ.IMs_MON.stOff</v>
      </c>
      <c r="B93" s="1">
        <v>1</v>
      </c>
      <c r="C93" s="1" t="s">
        <v>1</v>
      </c>
      <c r="D93" s="30">
        <v>11</v>
      </c>
    </row>
    <row r="94" spans="1:4">
      <c r="A94" s="29" t="str">
        <f t="shared" si="7"/>
        <v>АСУЭ.IMs_MON.stOff</v>
      </c>
      <c r="B94" s="1">
        <v>2</v>
      </c>
      <c r="C94" s="1" t="s">
        <v>2</v>
      </c>
      <c r="D94" s="30" t="s">
        <v>3</v>
      </c>
    </row>
    <row r="95" spans="1:4">
      <c r="A95" s="29" t="str">
        <f t="shared" si="7"/>
        <v>АСУЭ.IMs_MON.stOff</v>
      </c>
      <c r="B95" s="1">
        <v>3</v>
      </c>
      <c r="C95" s="1" t="s">
        <v>1</v>
      </c>
      <c r="D95" s="30">
        <v>192</v>
      </c>
    </row>
    <row r="96" spans="1:4">
      <c r="A96" s="29" t="str">
        <f t="shared" si="7"/>
        <v>АСУЭ.IMs_MON.stOff</v>
      </c>
      <c r="B96" s="1">
        <v>101</v>
      </c>
      <c r="C96" s="1" t="s">
        <v>0</v>
      </c>
      <c r="D96" s="30" t="s">
        <v>336</v>
      </c>
    </row>
    <row r="97" spans="1:4">
      <c r="A97" s="100" t="str">
        <f t="shared" si="7"/>
        <v>АСУЭ.IMs_MON.stOff</v>
      </c>
      <c r="B97" s="101">
        <v>11000</v>
      </c>
      <c r="C97" s="101" t="s">
        <v>5</v>
      </c>
      <c r="D97" s="103">
        <v>2147483680</v>
      </c>
    </row>
    <row r="98" spans="1:4">
      <c r="A98" s="100" t="str">
        <f t="shared" si="7"/>
        <v>АСУЭ.IMs_MON.stOff</v>
      </c>
      <c r="B98" s="101">
        <v>11150</v>
      </c>
      <c r="C98" s="101" t="s">
        <v>0</v>
      </c>
      <c r="D98" s="103" t="s">
        <v>336</v>
      </c>
    </row>
    <row r="99" spans="1:4">
      <c r="A99" s="100" t="str">
        <f t="shared" si="7"/>
        <v>АСУЭ.IMs_MON.stOff</v>
      </c>
      <c r="B99" s="101">
        <v>11152</v>
      </c>
      <c r="C99" s="101" t="s">
        <v>0</v>
      </c>
      <c r="D99" s="103" t="str">
        <f>$R$8</f>
        <v>Телесигнализация</v>
      </c>
    </row>
    <row r="100" spans="1:4">
      <c r="A100" s="100" t="str">
        <f t="shared" si="7"/>
        <v>АСУЭ.IMs_MON.stOff</v>
      </c>
      <c r="B100" s="101">
        <v>11154</v>
      </c>
      <c r="C100" s="101" t="s">
        <v>4</v>
      </c>
      <c r="D100" s="103">
        <f>$Q$8</f>
        <v>18</v>
      </c>
    </row>
    <row r="101" spans="1:4">
      <c r="A101" s="29" t="str">
        <f t="shared" si="7"/>
        <v>АСУЭ.IMs_MON.stOff</v>
      </c>
      <c r="B101" s="1">
        <v>7014</v>
      </c>
      <c r="C101" s="1" t="s">
        <v>278</v>
      </c>
      <c r="D101" s="751" t="str">
        <f>"$"&amp;DEC2HEX($S$2,4)&amp;DEC2HEX($W$2,6)&amp;"000209"</f>
        <v>$0003000000000209</v>
      </c>
    </row>
    <row r="102" spans="1:4">
      <c r="A102" s="29" t="str">
        <f t="shared" si="7"/>
        <v>АСУЭ.IMs_MON.stOff</v>
      </c>
      <c r="B102" s="1">
        <v>10015</v>
      </c>
      <c r="C102" s="1" t="s">
        <v>0</v>
      </c>
      <c r="D102" s="205" t="str">
        <f>$AM$2&amp;";1.3.6.1.4.1.77.3.1.1"</f>
        <v>iso.org.dod.internet.private.enterprises.tsw.portStatusTab.port1.port2Link;1.3.6.1.4.1.77.3.1.1</v>
      </c>
    </row>
    <row r="103" spans="1:4">
      <c r="A103" s="29" t="str">
        <f t="shared" si="7"/>
        <v>АСУЭ.IMs_MON.stOff</v>
      </c>
      <c r="B103" s="1">
        <v>7000000</v>
      </c>
      <c r="C103" s="1" t="s">
        <v>6</v>
      </c>
      <c r="D103" s="30">
        <v>1</v>
      </c>
    </row>
    <row r="104" spans="1:4" ht="43.2">
      <c r="A104" s="26" t="str">
        <f t="shared" si="7"/>
        <v>АСУЭ.IMs_MON.stOff</v>
      </c>
      <c r="B104" s="27">
        <v>4000000</v>
      </c>
      <c r="C104" s="27" t="s">
        <v>0</v>
      </c>
      <c r="D104" s="701" t="s">
        <v>2689</v>
      </c>
    </row>
    <row r="105" spans="1:4">
      <c r="A105" s="29" t="str">
        <f t="shared" ref="A105:A115" si="8">$R$2&amp;".Commands.coRepair"</f>
        <v>АСУЭ.IMs_MON.Commands.coRepair</v>
      </c>
      <c r="B105" s="1">
        <v>7011</v>
      </c>
      <c r="C105" s="1" t="s">
        <v>2</v>
      </c>
      <c r="D105" s="30" t="s">
        <v>266</v>
      </c>
    </row>
    <row r="106" spans="1:4">
      <c r="A106" t="str">
        <f t="shared" si="8"/>
        <v>АСУЭ.IMs_MON.Commands.coRepair</v>
      </c>
      <c r="B106">
        <v>1</v>
      </c>
      <c r="C106" t="s">
        <v>1</v>
      </c>
      <c r="D106" s="30">
        <v>11</v>
      </c>
    </row>
    <row r="107" spans="1:4">
      <c r="A107" s="29" t="str">
        <f t="shared" si="8"/>
        <v>АСУЭ.IMs_MON.Commands.coRepair</v>
      </c>
      <c r="B107">
        <v>2</v>
      </c>
      <c r="C107" t="s">
        <v>2</v>
      </c>
      <c r="D107" s="30" t="s">
        <v>3</v>
      </c>
    </row>
    <row r="108" spans="1:4">
      <c r="A108" s="29" t="str">
        <f t="shared" si="8"/>
        <v>АСУЭ.IMs_MON.Commands.coRepair</v>
      </c>
      <c r="B108">
        <v>3</v>
      </c>
      <c r="C108" t="s">
        <v>1</v>
      </c>
      <c r="D108" s="30">
        <v>192</v>
      </c>
    </row>
    <row r="109" spans="1:4">
      <c r="A109" s="29" t="str">
        <f t="shared" si="8"/>
        <v>АСУЭ.IMs_MON.Commands.coRepair</v>
      </c>
      <c r="B109">
        <v>101</v>
      </c>
      <c r="C109" t="s">
        <v>0</v>
      </c>
      <c r="D109" s="30" t="s">
        <v>235</v>
      </c>
    </row>
    <row r="110" spans="1:4">
      <c r="A110" s="140" t="str">
        <f t="shared" si="8"/>
        <v>АСУЭ.IMs_MON.Commands.coRepair</v>
      </c>
      <c r="B110" s="687">
        <v>11000</v>
      </c>
      <c r="C110" s="687" t="s">
        <v>5</v>
      </c>
      <c r="D110" s="142">
        <v>2147483680</v>
      </c>
    </row>
    <row r="111" spans="1:4">
      <c r="A111" s="140" t="str">
        <f t="shared" si="8"/>
        <v>АСУЭ.IMs_MON.Commands.coRepair</v>
      </c>
      <c r="B111" s="687">
        <v>11150</v>
      </c>
      <c r="C111" s="687" t="s">
        <v>0</v>
      </c>
      <c r="D111" s="142" t="s">
        <v>89</v>
      </c>
    </row>
    <row r="112" spans="1:4">
      <c r="A112" s="140" t="str">
        <f t="shared" si="8"/>
        <v>АСУЭ.IMs_MON.Commands.coRepair</v>
      </c>
      <c r="B112" s="687">
        <v>11152</v>
      </c>
      <c r="C112" s="687" t="s">
        <v>0</v>
      </c>
      <c r="D112" s="142" t="str">
        <f>$R$11</f>
        <v>Ремонт</v>
      </c>
    </row>
    <row r="113" spans="1:4">
      <c r="A113" s="140" t="str">
        <f t="shared" si="8"/>
        <v>АСУЭ.IMs_MON.Commands.coRepair</v>
      </c>
      <c r="B113" s="687">
        <v>11154</v>
      </c>
      <c r="C113" s="687" t="s">
        <v>4</v>
      </c>
      <c r="D113" s="142">
        <f>$Q$11</f>
        <v>14</v>
      </c>
    </row>
    <row r="114" spans="1:4" ht="72">
      <c r="A114" s="29" t="str">
        <f t="shared" si="8"/>
        <v>АСУЭ.IMs_MON.Commands.coRepair</v>
      </c>
      <c r="B114">
        <v>4000000</v>
      </c>
      <c r="C114" t="s">
        <v>0</v>
      </c>
      <c r="D114" s="415" t="s">
        <v>2909</v>
      </c>
    </row>
    <row r="115" spans="1:4" ht="15" customHeight="1">
      <c r="A115" s="26" t="str">
        <f t="shared" si="8"/>
        <v>АСУЭ.IMs_MON.Commands.coRepair</v>
      </c>
      <c r="B115" s="27">
        <v>7000000</v>
      </c>
      <c r="C115" s="27" t="s">
        <v>6</v>
      </c>
      <c r="D115" s="28">
        <v>2</v>
      </c>
    </row>
  </sheetData>
  <autoFilter ref="B1:B115" xr:uid="{00000000-0009-0000-0000-000029000000}"/>
  <mergeCells count="5">
    <mergeCell ref="Q40:Q42"/>
    <mergeCell ref="Q24:Q27"/>
    <mergeCell ref="Q28:Q29"/>
    <mergeCell ref="Q30:Q32"/>
    <mergeCell ref="Q33:Q35"/>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Лист202">
    <tabColor rgb="FFFFC000"/>
  </sheetPr>
  <dimension ref="A1:BA142"/>
  <sheetViews>
    <sheetView topLeftCell="A4" zoomScale="80" zoomScaleNormal="80" workbookViewId="0">
      <selection activeCell="D2" sqref="D2:D4"/>
    </sheetView>
  </sheetViews>
  <sheetFormatPr defaultRowHeight="14.4"/>
  <cols>
    <col min="1" max="1" width="51.44140625" bestFit="1" customWidth="1"/>
    <col min="3" max="3" width="7.6640625" customWidth="1"/>
    <col min="4" max="4" width="71.4414062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53" s="258" customFormat="1" ht="204.6" thickBot="1">
      <c r="A1" s="257"/>
      <c r="B1" s="257" t="s">
        <v>84</v>
      </c>
      <c r="C1" s="257"/>
      <c r="D1" s="257"/>
      <c r="E1" s="257"/>
      <c r="F1" s="257"/>
      <c r="P1" s="730" t="str">
        <f>Таблица!D1</f>
        <v>Префикс для TREI
Тэг ОРС для INFINITY</v>
      </c>
      <c r="Q1" s="730" t="str">
        <f>Таблица!E1</f>
        <v>Комментарий для TREI и INFINITY</v>
      </c>
      <c r="R1" s="733" t="str">
        <f>Таблица!F1</f>
        <v>ТЭГ в дереве INFINITY Server</v>
      </c>
      <c r="S1" s="730"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735" t="str">
        <f>Таблица!H1</f>
        <v>OPC путь 
№ маршрута Modbus TCP, Modbus RTU, Modbus over TCP (1-255)
№ КП IEC104 (1-65534)</v>
      </c>
      <c r="U1" s="731" t="str">
        <f>Таблица!I1</f>
        <v>OPC путь</v>
      </c>
      <c r="V1" s="731" t="str">
        <f>Таблица!J1</f>
        <v>Мнемосхема</v>
      </c>
      <c r="W1" s="729"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729"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729" t="str">
        <f>Таблица!M1</f>
        <v>FB_IMt_MON_S, IMt_MON: Только для трансформатора. Цвет нижних обмоток(-ки) при наличии напряжения</v>
      </c>
      <c r="Z1" s="729"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729"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729" t="str">
        <f>Таблица!P1</f>
        <v xml:space="preserve">FB_DI_S, FB_DO_S, DI, DI_DIAG, FB_DO_STB_S: Тип сигнализации (Авария, предупреждение, телесигнализация и тд.)
FB_SHPS_S(SB), FB_BTF_S: Тип сигнализации XFRX
</v>
      </c>
      <c r="AC1" s="729"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729" t="str">
        <f>Таблица!R1</f>
        <v>SEPAM: Тип ячейки (OL,SV,VV,TN)
BMRZ: Тип ячейки (VV,AV)
TOR: Тип ячейки (OL,SV,VV,TN,BK)</v>
      </c>
      <c r="AE1" s="730" t="str">
        <f>Таблица!S1</f>
        <v>Формула для fNoLink.Device</v>
      </c>
      <c r="AF1" s="729">
        <f>Таблица!T1</f>
        <v>0</v>
      </c>
      <c r="AG1" s="729">
        <f>Таблица!U1</f>
        <v>0</v>
      </c>
      <c r="AH1" s="729">
        <f>Таблица!V1</f>
        <v>0</v>
      </c>
      <c r="AI1" s="729">
        <f>Таблица!W1</f>
        <v>0</v>
      </c>
      <c r="AJ1" s="729">
        <f>Таблица!X1</f>
        <v>0</v>
      </c>
      <c r="AK1" s="728" t="str">
        <f>Таблица!Y1</f>
        <v>FB_AI_S, FB_DI_S, FB_QSA_S, FB_DO_S, FB_SHPS_S, FB_SHOP_S, FB_BTF_S: IVXX
FB_KL_UPT_S: ISON
SW_S301, SW_MES3508: Подключение к порту 1
SW_MAYAK: Подключение к порту 1,2 (через "\")
DI_DIAG, DO_DIAG: XVLX</v>
      </c>
      <c r="AL1" s="728"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728"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728" t="str">
        <f>Таблица!AB1</f>
        <v>FB_IMstp_S, FB_IMsp_S, FB_IMs_S, FB_REG_S, FB_IM_ADES_S : ILCX
SW_S301: Подключение к порту 4
SW_MAYAK, SW_MES3508: Подключение к порту 7,8 (через "\")</v>
      </c>
      <c r="AO1" s="728" t="str">
        <f>Таблица!AC1</f>
        <v xml:space="preserve">FB_IMstp_S, FB_IMsp_S, FB_IMs_S, FB_IMp_S, FB_IMv_S, FB_REG_S, FB_IM_ADES_S, FB_DO_S : IRCX
SW_S301, SW_MES3508: Подключение к порту 5
SW_MAYAK: Подключение к порту 9,10 (через "\")
</v>
      </c>
      <c r="AP1" s="728"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728"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728" t="str">
        <f>Таблица!AF1</f>
        <v xml:space="preserve">FB_IMstp_S, FB_IMsp_S, FB_IMs_S, FB_IMp_S, FB_IMv_S, FB_IM_ADES_S, FB_OZK_KD_S, FB_DO_S: OXOF
SW_S301, SW_MES3508: Подключение к порту 8
SW_MAYAK: Подключение к порту 15,16 (через "\")
</v>
      </c>
      <c r="AS1" s="728" t="str">
        <f>Таблица!AG1</f>
        <v xml:space="preserve">FB_IM_ADES_S, FB_IMp_S, FB_IMv_S: OXSP
FB_IMstp_S, FB_IMsp_S, FB_IMsp_MON_S: IPTC
SW_S301, SW_MES3508: Подключение к порту 9
SW_MAYAK: Подключение к порту 17,18 (через "\")
</v>
      </c>
      <c r="AT1" s="728" t="str">
        <f>Таблица!AH1</f>
        <v xml:space="preserve">FB_IMstp_S, FB_IMst_MON_S, FB_IMt_MON_S: ITON
FB_IM_ADES_S: IOLD
SW_S301, SW_MES3508: Подключение к порту 10
SW_MAYAK: Подключение к порту 19,20 (через "\")
</v>
      </c>
      <c r="AU1" s="728" t="str">
        <f>Таблица!AI1</f>
        <v>FB_IMstp_S, FB_IMst_MON_S, FB_IMt_MON_S: ITOF
FB_IM_ADES_S: IRAD
SW_MAYAK: Подключение к порту 21,22 (через "\")</v>
      </c>
      <c r="AV1" s="728" t="str">
        <f>Таблица!AJ1</f>
        <v xml:space="preserve">FB_IMstp_S, FB_IMsp_S, FB_IMsp_MON_S, FB_IM_ADES_S: IPTO
SW_MAYAK: Подключение к порту 23,24 (через "\")
</v>
      </c>
      <c r="AW1" s="727"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727" t="str">
        <f>Таблица!AL1</f>
        <v>Для TREI
FB_IMstp_S, FB_IMs_S, FB_IMp_S, FB_IMv_S, FB_IM_ADES_S: Настройка перехода ручной-/автоматический-(TRUE/FALSE) 
FB_DI_S: Генерировать метки времени (TRUE/FALSE)</v>
      </c>
      <c r="AY1" s="727"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727" t="str">
        <f>Таблица!AN1</f>
        <v>Для TREI
FB_AI_S, FB_QSA_S: Верхний предел датчика
FB_IMp_S, FB_IMv_S, FB_IM_ADES_S, FB_OZK_KD_S: Время перестановки</v>
      </c>
      <c r="BA1" s="727"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row>
    <row r="2" spans="1:53" ht="15" customHeight="1">
      <c r="A2" s="10"/>
      <c r="B2" s="10"/>
      <c r="C2" s="10"/>
      <c r="D2" s="10"/>
      <c r="E2" s="10"/>
      <c r="F2" s="10"/>
      <c r="P2" s="2"/>
      <c r="Q2" s="2" t="s">
        <v>2712</v>
      </c>
      <c r="R2" s="2" t="s">
        <v>2344</v>
      </c>
      <c r="S2" s="3">
        <v>3</v>
      </c>
      <c r="T2" s="3" t="s">
        <v>1699</v>
      </c>
      <c r="U2" s="3"/>
      <c r="V2" s="3" t="s">
        <v>569</v>
      </c>
      <c r="W2" s="3"/>
      <c r="X2" s="3"/>
      <c r="Y2" s="3"/>
      <c r="Z2" s="3"/>
      <c r="AA2" s="3"/>
      <c r="AB2" s="2"/>
      <c r="AC2" s="2"/>
      <c r="AD2" s="2"/>
      <c r="AE2" s="2" t="s">
        <v>1414</v>
      </c>
      <c r="AF2" s="2"/>
      <c r="AG2" s="2"/>
      <c r="AH2" s="2"/>
      <c r="AI2" s="2"/>
      <c r="AJ2" s="2"/>
      <c r="AK2" s="2"/>
      <c r="AL2" s="2"/>
      <c r="AM2" s="2"/>
      <c r="AN2" s="2"/>
      <c r="AO2" s="2"/>
      <c r="AP2" s="2"/>
      <c r="AQ2" s="2"/>
      <c r="AR2" s="2"/>
      <c r="AS2" s="2"/>
      <c r="AT2" s="2"/>
      <c r="AU2" s="2"/>
      <c r="AV2" s="2"/>
      <c r="AW2" s="2"/>
      <c r="AX2" s="2"/>
      <c r="AY2" s="2"/>
      <c r="AZ2" s="2"/>
      <c r="BA2" s="2"/>
    </row>
    <row r="3" spans="1:53" ht="15" customHeight="1">
      <c r="A3" s="10"/>
      <c r="B3" s="10"/>
      <c r="C3" s="10"/>
      <c r="D3" s="10"/>
      <c r="E3" s="10"/>
      <c r="F3" s="10"/>
      <c r="P3" s="10"/>
      <c r="Q3" s="10"/>
      <c r="R3" s="10"/>
      <c r="S3" s="10"/>
      <c r="T3" s="10"/>
      <c r="U3" s="10"/>
      <c r="V3" s="10"/>
      <c r="W3" s="10"/>
      <c r="X3" s="10"/>
      <c r="Y3" s="10"/>
      <c r="Z3" s="10"/>
      <c r="AA3" s="10"/>
    </row>
    <row r="4" spans="1:53" ht="15" customHeight="1">
      <c r="A4" s="10"/>
      <c r="B4" s="10"/>
      <c r="C4" s="10"/>
      <c r="D4" s="10"/>
      <c r="E4" s="10"/>
      <c r="F4" s="10"/>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row>
    <row r="5" spans="1:53" ht="15" customHeight="1">
      <c r="A5" s="10"/>
      <c r="B5" s="10"/>
      <c r="C5" s="10"/>
      <c r="D5" s="10"/>
      <c r="E5" s="10"/>
      <c r="F5" s="10"/>
      <c r="P5" s="703" t="str">
        <f>Настройки!A2</f>
        <v>Авария</v>
      </c>
      <c r="Q5" s="518">
        <f>Настройки!B2</f>
        <v>4</v>
      </c>
      <c r="R5" s="708" t="str">
        <f>Настройки!C2</f>
        <v>Авария</v>
      </c>
      <c r="S5" s="10"/>
      <c r="T5" s="456">
        <f>Настройки!M12</f>
        <v>1</v>
      </c>
      <c r="U5" s="10"/>
      <c r="V5" s="10"/>
      <c r="W5" s="10"/>
      <c r="X5" s="10"/>
      <c r="Y5" s="10"/>
      <c r="Z5" s="10"/>
      <c r="AA5" s="10"/>
    </row>
    <row r="6" spans="1:53" ht="15" customHeight="1">
      <c r="A6" s="10"/>
      <c r="B6" s="10"/>
      <c r="C6" s="10"/>
      <c r="D6" s="10"/>
      <c r="E6" s="10"/>
      <c r="F6" s="10"/>
      <c r="P6" s="703" t="str">
        <f>Настройки!A3</f>
        <v>Предупреждение</v>
      </c>
      <c r="Q6" s="518">
        <f>Настройки!B3</f>
        <v>8</v>
      </c>
      <c r="R6" s="708" t="str">
        <f>Настройки!C3</f>
        <v>Предупреждение</v>
      </c>
      <c r="S6" s="10"/>
      <c r="T6" s="608" t="str">
        <f>Настройки!M7</f>
        <v>Отображение Таблицы подлючений в диаг.</v>
      </c>
      <c r="U6" s="10"/>
      <c r="V6" s="10"/>
      <c r="W6" s="10"/>
      <c r="X6" s="10"/>
      <c r="Y6" s="10"/>
      <c r="Z6" s="10"/>
      <c r="AA6" s="10"/>
    </row>
    <row r="7" spans="1:53" ht="15" customHeight="1">
      <c r="A7" s="10"/>
      <c r="B7" s="10"/>
      <c r="C7" s="10"/>
      <c r="D7" s="10"/>
      <c r="E7" s="10"/>
      <c r="F7" s="10"/>
      <c r="P7" s="703" t="str">
        <f>Настройки!A4</f>
        <v>Неисправность</v>
      </c>
      <c r="Q7" s="518">
        <f>Настройки!B4</f>
        <v>12</v>
      </c>
      <c r="R7" s="708" t="str">
        <f>Настройки!C4</f>
        <v>Неисправность</v>
      </c>
      <c r="S7" s="10"/>
      <c r="T7" s="714" t="b">
        <f>Настройки!M8</f>
        <v>0</v>
      </c>
      <c r="U7" s="10"/>
      <c r="V7" s="10"/>
      <c r="W7" s="10"/>
      <c r="X7" s="10"/>
      <c r="Y7" s="10"/>
      <c r="Z7" s="10"/>
      <c r="AA7" s="10"/>
    </row>
    <row r="8" spans="1:53" ht="15" customHeight="1">
      <c r="A8" s="10"/>
      <c r="B8" s="10"/>
      <c r="C8" s="10"/>
      <c r="D8" s="10"/>
      <c r="E8" s="10"/>
      <c r="F8" s="10"/>
      <c r="P8" s="703" t="str">
        <f>Настройки!A5</f>
        <v>Телесигнализация</v>
      </c>
      <c r="Q8" s="518">
        <f>Настройки!B5</f>
        <v>18</v>
      </c>
      <c r="R8" s="708" t="str">
        <f>Настройки!C5</f>
        <v>Телесигнализация</v>
      </c>
      <c r="S8" s="10"/>
      <c r="T8" s="10"/>
      <c r="U8" s="10"/>
      <c r="V8" s="10"/>
      <c r="W8" s="10"/>
      <c r="X8" s="10"/>
      <c r="Y8" s="10"/>
      <c r="Z8" s="10"/>
      <c r="AA8" s="10"/>
    </row>
    <row r="9" spans="1:53" ht="15" customHeight="1">
      <c r="A9" s="10"/>
      <c r="B9" s="10"/>
      <c r="C9" s="10"/>
      <c r="D9" s="10"/>
      <c r="E9" s="10"/>
      <c r="F9" s="10"/>
      <c r="P9" s="703" t="str">
        <f>Настройки!A6</f>
        <v>Недостоверность</v>
      </c>
      <c r="Q9" s="518">
        <f>Настройки!B6</f>
        <v>10</v>
      </c>
      <c r="R9" s="708" t="str">
        <f>Настройки!C6</f>
        <v>Недостоверность</v>
      </c>
      <c r="S9" s="10"/>
      <c r="T9" s="10"/>
      <c r="U9" s="10"/>
      <c r="V9" s="10"/>
      <c r="W9" s="10"/>
      <c r="X9" s="10"/>
      <c r="Y9" s="10"/>
      <c r="Z9" s="10"/>
      <c r="AA9" s="10"/>
    </row>
    <row r="10" spans="1:53" ht="15" customHeight="1">
      <c r="A10" s="10"/>
      <c r="B10" s="10"/>
      <c r="C10" s="10"/>
      <c r="D10" s="10"/>
      <c r="E10" s="10"/>
      <c r="F10" s="10"/>
      <c r="P10" s="703" t="str">
        <f>Настройки!A7</f>
        <v>Имитация</v>
      </c>
      <c r="Q10" s="518">
        <f>Настройки!B7</f>
        <v>16</v>
      </c>
      <c r="R10" s="708" t="str">
        <f>Настройки!C7</f>
        <v>Имитация</v>
      </c>
      <c r="S10" s="10"/>
      <c r="T10" s="10"/>
      <c r="U10" s="10"/>
      <c r="V10" s="10"/>
      <c r="W10" s="10"/>
      <c r="X10" s="10"/>
      <c r="Y10" s="10"/>
      <c r="Z10" s="10"/>
      <c r="AA10" s="10"/>
    </row>
    <row r="11" spans="1:53" ht="15" customHeight="1">
      <c r="A11" s="10"/>
      <c r="B11" s="10"/>
      <c r="C11" s="10"/>
      <c r="D11" s="10"/>
      <c r="E11" s="10"/>
      <c r="F11" s="10"/>
      <c r="P11" s="703" t="str">
        <f>Настройки!A8</f>
        <v>Ремонт</v>
      </c>
      <c r="Q11" s="518">
        <f>Настройки!B8</f>
        <v>14</v>
      </c>
      <c r="R11" s="708" t="str">
        <f>Настройки!C8</f>
        <v>Ремонт</v>
      </c>
      <c r="S11" s="10"/>
      <c r="T11" s="10"/>
      <c r="U11" s="10"/>
      <c r="V11" s="10"/>
      <c r="W11" s="10"/>
      <c r="X11" s="10"/>
      <c r="Y11" s="10"/>
      <c r="Z11" s="10"/>
      <c r="AA11" s="10"/>
    </row>
    <row r="12" spans="1:53" ht="15" customHeight="1">
      <c r="A12" s="10"/>
      <c r="B12" s="10"/>
      <c r="C12" s="10"/>
      <c r="D12" s="10"/>
      <c r="E12" s="10"/>
      <c r="F12" s="10"/>
      <c r="P12" s="703" t="str">
        <f>Настройки!A9</f>
        <v>Команда оператора</v>
      </c>
      <c r="Q12" s="518">
        <f>Настройки!B9</f>
        <v>20</v>
      </c>
      <c r="R12" s="708" t="str">
        <f>Настройки!C9</f>
        <v>Команда оператора</v>
      </c>
      <c r="S12" s="10"/>
      <c r="T12" s="10"/>
      <c r="U12" s="10"/>
      <c r="V12" s="10"/>
      <c r="W12" s="10"/>
      <c r="X12" s="10"/>
      <c r="Y12" s="10"/>
      <c r="Z12" s="10"/>
      <c r="AA12" s="10"/>
    </row>
    <row r="13" spans="1:53" ht="15" customHeight="1">
      <c r="A13" s="10"/>
      <c r="B13" s="10"/>
      <c r="C13" s="10"/>
      <c r="D13" s="10"/>
      <c r="E13" s="10"/>
      <c r="F13" s="10"/>
      <c r="P13" s="703" t="str">
        <f>Настройки!A10</f>
        <v>Тревога</v>
      </c>
      <c r="Q13" s="518">
        <f>Настройки!B10</f>
        <v>5</v>
      </c>
      <c r="R13" s="518" t="str">
        <f>Настройки!C10</f>
        <v>Тревога</v>
      </c>
      <c r="S13" s="10"/>
      <c r="T13" s="10"/>
      <c r="U13" s="10"/>
      <c r="V13" s="10"/>
      <c r="W13" s="10"/>
      <c r="X13" s="10"/>
      <c r="Y13" s="10"/>
      <c r="Z13" s="10"/>
      <c r="AA13" s="10"/>
    </row>
    <row r="14" spans="1:53" ht="15" customHeight="1">
      <c r="A14" s="10"/>
      <c r="B14" s="10"/>
      <c r="C14" s="10"/>
      <c r="D14" s="10"/>
      <c r="E14" s="10"/>
      <c r="F14" s="10"/>
      <c r="P14" s="703" t="str">
        <f>Настройки!A11</f>
        <v>Тушение</v>
      </c>
      <c r="Q14" s="518">
        <f>Настройки!B11</f>
        <v>1</v>
      </c>
      <c r="R14" s="518" t="str">
        <f>Настройки!C11</f>
        <v>Тушение</v>
      </c>
      <c r="S14" s="10"/>
      <c r="T14" s="10"/>
      <c r="U14" s="10"/>
      <c r="V14" s="10"/>
      <c r="W14" s="10"/>
      <c r="X14" s="10"/>
      <c r="Y14" s="10"/>
      <c r="Z14" s="10"/>
      <c r="AA14" s="10"/>
    </row>
    <row r="15" spans="1:53" ht="15" customHeight="1">
      <c r="A15" s="10"/>
      <c r="B15" s="10"/>
      <c r="C15" s="10"/>
      <c r="D15" s="10"/>
      <c r="E15" s="10"/>
      <c r="F15" s="10"/>
      <c r="P15" s="703" t="str">
        <f>Настройки!A12</f>
        <v>Пожар</v>
      </c>
      <c r="Q15" s="518">
        <f>Настройки!B12</f>
        <v>2</v>
      </c>
      <c r="R15" s="518" t="str">
        <f>Настройки!C12</f>
        <v>Пожар</v>
      </c>
      <c r="S15" s="10"/>
      <c r="T15" s="10"/>
      <c r="U15" s="10"/>
      <c r="V15" s="10"/>
      <c r="W15" s="10"/>
      <c r="X15" s="10"/>
      <c r="Y15" s="10"/>
      <c r="Z15" s="10"/>
      <c r="AA15" s="10"/>
    </row>
    <row r="16" spans="1:53" ht="15" customHeight="1">
      <c r="A16" s="10"/>
      <c r="B16" s="10"/>
      <c r="C16" s="10"/>
      <c r="D16" s="10"/>
      <c r="E16" s="10"/>
      <c r="F16" s="10"/>
      <c r="P16" s="703" t="str">
        <f>Настройки!A13</f>
        <v>Порог 2</v>
      </c>
      <c r="Q16" s="518">
        <f>Настройки!B13</f>
        <v>3</v>
      </c>
      <c r="R16" s="518" t="str">
        <f>Настройки!C13</f>
        <v>Порог 2</v>
      </c>
      <c r="S16" s="10"/>
      <c r="T16" s="10"/>
      <c r="U16" s="10"/>
      <c r="V16" s="10"/>
      <c r="W16" s="10"/>
      <c r="X16" s="10"/>
      <c r="Y16" s="10"/>
      <c r="Z16" s="10"/>
      <c r="AA16" s="10"/>
    </row>
    <row r="17" spans="1:27" ht="15" customHeight="1">
      <c r="A17" s="10"/>
      <c r="B17" s="10"/>
      <c r="C17" s="10"/>
      <c r="D17" s="10"/>
      <c r="E17" s="10"/>
      <c r="F17" s="10"/>
      <c r="P17" s="703" t="str">
        <f>Настройки!A14</f>
        <v>Порог 1</v>
      </c>
      <c r="Q17" s="518">
        <f>Настройки!B14</f>
        <v>6</v>
      </c>
      <c r="R17" s="518" t="str">
        <f>Настройки!C14</f>
        <v>Порог 1</v>
      </c>
      <c r="S17" s="10"/>
      <c r="T17" s="10"/>
      <c r="U17" s="10"/>
      <c r="V17" s="10"/>
      <c r="W17" s="10"/>
      <c r="X17" s="10"/>
      <c r="Y17" s="10"/>
      <c r="Z17" s="10"/>
      <c r="AA17" s="10"/>
    </row>
    <row r="18" spans="1:27" ht="15" customHeight="1">
      <c r="A18" s="10"/>
      <c r="B18" s="10"/>
      <c r="C18" s="10"/>
      <c r="D18" s="10"/>
      <c r="E18" s="10"/>
      <c r="F18" s="10"/>
      <c r="P18" s="703" t="str">
        <f>Настройки!A15</f>
        <v>Отключение</v>
      </c>
      <c r="Q18" s="518">
        <f>Настройки!B15</f>
        <v>13</v>
      </c>
      <c r="R18" s="518" t="str">
        <f>Настройки!C15</f>
        <v>Отключение</v>
      </c>
      <c r="S18" s="10"/>
      <c r="T18" s="10"/>
      <c r="U18" s="10"/>
      <c r="V18" s="10"/>
      <c r="W18" s="10"/>
      <c r="X18" s="10"/>
      <c r="Y18" s="10"/>
      <c r="Z18" s="10"/>
      <c r="AA18" s="10"/>
    </row>
    <row r="19" spans="1:27" ht="15" customHeight="1">
      <c r="A19" s="10"/>
      <c r="B19" s="10"/>
      <c r="C19" s="10"/>
      <c r="D19" s="10"/>
      <c r="E19" s="10"/>
      <c r="F19" s="10"/>
      <c r="P19" s="703" t="str">
        <f>Настройки!A16</f>
        <v>Информация</v>
      </c>
      <c r="Q19" s="518">
        <f>Настройки!B16</f>
        <v>22</v>
      </c>
      <c r="R19" s="518" t="str">
        <f>Настройки!C16</f>
        <v>Информация</v>
      </c>
      <c r="S19" s="10"/>
      <c r="T19" s="10"/>
      <c r="U19" s="10"/>
      <c r="V19" s="10"/>
      <c r="W19" s="10"/>
      <c r="X19" s="10"/>
      <c r="Y19" s="10"/>
      <c r="Z19" s="10"/>
      <c r="AA19" s="10"/>
    </row>
    <row r="20" spans="1:27">
      <c r="A20" s="23" t="str">
        <f t="shared" ref="A20:A41" si="0">$R$2</f>
        <v>АСУЭ.IMsp_MON</v>
      </c>
      <c r="B20" s="24">
        <v>7011</v>
      </c>
      <c r="C20" s="24" t="s">
        <v>2</v>
      </c>
      <c r="D20" s="25" t="s">
        <v>266</v>
      </c>
    </row>
    <row r="21" spans="1:27">
      <c r="A21" s="23" t="str">
        <f t="shared" si="0"/>
        <v>АСУЭ.IMsp_MON</v>
      </c>
      <c r="B21" s="24">
        <v>1</v>
      </c>
      <c r="C21" s="24" t="s">
        <v>1</v>
      </c>
      <c r="D21" s="25">
        <v>17</v>
      </c>
    </row>
    <row r="22" spans="1:27">
      <c r="A22" s="29" t="str">
        <f t="shared" si="0"/>
        <v>АСУЭ.IMsp_MON</v>
      </c>
      <c r="B22">
        <v>11001</v>
      </c>
      <c r="C22" t="s">
        <v>0</v>
      </c>
      <c r="D22" s="30" t="str">
        <f>$Q$2&amp;". "</f>
        <v xml:space="preserve">Выключатель с защитой без управления и без тележки (шаблон по OPC). </v>
      </c>
    </row>
    <row r="23" spans="1:27">
      <c r="A23" s="29" t="str">
        <f t="shared" si="0"/>
        <v>АСУЭ.IMsp_MON</v>
      </c>
      <c r="B23">
        <v>11156</v>
      </c>
      <c r="C23" t="s">
        <v>0</v>
      </c>
      <c r="D23" s="30" t="str">
        <f>$V$2</f>
        <v>Тестовый экран</v>
      </c>
    </row>
    <row r="24" spans="1:27">
      <c r="A24" s="23" t="str">
        <f t="shared" si="0"/>
        <v>АСУЭ.IMsp_MON</v>
      </c>
      <c r="B24" s="24">
        <v>13</v>
      </c>
      <c r="C24" s="24" t="s">
        <v>2</v>
      </c>
      <c r="D24" s="25" t="s">
        <v>3</v>
      </c>
      <c r="Q24" s="778" t="s">
        <v>2592</v>
      </c>
    </row>
    <row r="25" spans="1:27" ht="15" customHeight="1">
      <c r="A25" s="29" t="str">
        <f t="shared" si="0"/>
        <v>АСУЭ.IMsp_MON</v>
      </c>
      <c r="B25">
        <v>3000013</v>
      </c>
      <c r="C25" t="s">
        <v>0</v>
      </c>
      <c r="D25" s="30" t="str">
        <f>$AE$2</f>
        <v>Диагностика.CPU.NOT_LINK.noLink</v>
      </c>
      <c r="Q25" s="780"/>
    </row>
    <row r="26" spans="1:27" ht="15" customHeight="1">
      <c r="A26" s="29" t="str">
        <f t="shared" si="0"/>
        <v>АСУЭ.IMsp_MON</v>
      </c>
      <c r="B26">
        <v>4000013</v>
      </c>
      <c r="C26" t="s">
        <v>0</v>
      </c>
      <c r="D26" s="30" t="s">
        <v>1775</v>
      </c>
      <c r="Q26" s="780"/>
    </row>
    <row r="27" spans="1:27" ht="15" customHeight="1">
      <c r="A27" s="26" t="str">
        <f t="shared" si="0"/>
        <v>АСУЭ.IMsp_MON</v>
      </c>
      <c r="B27" s="27">
        <v>7000013</v>
      </c>
      <c r="C27" s="27" t="s">
        <v>6</v>
      </c>
      <c r="D27" s="28">
        <v>2</v>
      </c>
      <c r="Q27" s="779"/>
    </row>
    <row r="28" spans="1:27" ht="15" customHeight="1">
      <c r="A28" s="29" t="str">
        <f t="shared" si="0"/>
        <v>АСУЭ.IMsp_MON</v>
      </c>
      <c r="B28">
        <v>9207</v>
      </c>
      <c r="C28" t="s">
        <v>2</v>
      </c>
      <c r="D28" s="30" t="s">
        <v>3</v>
      </c>
      <c r="Q28" s="778" t="s">
        <v>139</v>
      </c>
    </row>
    <row r="29" spans="1:27">
      <c r="A29" s="27" t="str">
        <f t="shared" si="0"/>
        <v>АСУЭ.IMsp_MON</v>
      </c>
      <c r="B29" s="27">
        <v>3009207</v>
      </c>
      <c r="C29" s="27" t="s">
        <v>0</v>
      </c>
      <c r="D29" s="28" t="s">
        <v>2607</v>
      </c>
      <c r="Q29" s="779"/>
    </row>
    <row r="30" spans="1:27" ht="15" customHeight="1">
      <c r="A30" s="16" t="str">
        <f t="shared" si="0"/>
        <v>АСУЭ.IMsp_MON</v>
      </c>
      <c r="B30" s="17">
        <v>9229</v>
      </c>
      <c r="C30" s="17" t="s">
        <v>2</v>
      </c>
      <c r="D30" s="18" t="s">
        <v>3</v>
      </c>
      <c r="Q30" s="778" t="s">
        <v>2684</v>
      </c>
    </row>
    <row r="31" spans="1:27">
      <c r="A31" s="19" t="str">
        <f t="shared" si="0"/>
        <v>АСУЭ.IMsp_MON</v>
      </c>
      <c r="B31" s="11">
        <v>7009229</v>
      </c>
      <c r="C31" s="11" t="s">
        <v>6</v>
      </c>
      <c r="D31" s="20">
        <v>1</v>
      </c>
      <c r="Q31" s="780"/>
    </row>
    <row r="32" spans="1:27">
      <c r="A32" s="21" t="str">
        <f t="shared" si="0"/>
        <v>АСУЭ.IMsp_MON</v>
      </c>
      <c r="B32" s="8">
        <v>4009229</v>
      </c>
      <c r="C32" s="8" t="s">
        <v>0</v>
      </c>
      <c r="D32" s="742" t="s">
        <v>2685</v>
      </c>
      <c r="Q32" s="779"/>
    </row>
    <row r="33" spans="1:17" ht="15" customHeight="1">
      <c r="A33" s="19" t="str">
        <f t="shared" si="0"/>
        <v>АСУЭ.IMsp_MON</v>
      </c>
      <c r="B33" s="11">
        <v>9230</v>
      </c>
      <c r="C33" s="11" t="s">
        <v>2</v>
      </c>
      <c r="D33" s="20" t="s">
        <v>3</v>
      </c>
      <c r="Q33" s="778" t="s">
        <v>2686</v>
      </c>
    </row>
    <row r="34" spans="1:17">
      <c r="A34" s="19" t="str">
        <f t="shared" si="0"/>
        <v>АСУЭ.IMsp_MON</v>
      </c>
      <c r="B34" s="11">
        <v>7009230</v>
      </c>
      <c r="C34" s="11" t="s">
        <v>6</v>
      </c>
      <c r="D34" s="20">
        <v>1</v>
      </c>
      <c r="Q34" s="780"/>
    </row>
    <row r="35" spans="1:17">
      <c r="A35" s="21" t="str">
        <f t="shared" si="0"/>
        <v>АСУЭ.IMsp_MON</v>
      </c>
      <c r="B35" s="8">
        <v>4009230</v>
      </c>
      <c r="C35" s="8" t="s">
        <v>0</v>
      </c>
      <c r="D35" s="742" t="s">
        <v>2687</v>
      </c>
      <c r="Q35" s="779"/>
    </row>
    <row r="36" spans="1:17" ht="15" customHeight="1">
      <c r="A36" s="19" t="str">
        <f t="shared" si="0"/>
        <v>АСУЭ.IMsp_MON</v>
      </c>
      <c r="B36" s="11">
        <v>9231</v>
      </c>
      <c r="C36" s="11" t="s">
        <v>2</v>
      </c>
      <c r="D36" s="20" t="s">
        <v>3</v>
      </c>
      <c r="Q36" s="778" t="s">
        <v>2690</v>
      </c>
    </row>
    <row r="37" spans="1:17">
      <c r="A37" s="19" t="str">
        <f t="shared" si="0"/>
        <v>АСУЭ.IMsp_MON</v>
      </c>
      <c r="B37" s="11">
        <v>7009231</v>
      </c>
      <c r="C37" s="11" t="s">
        <v>6</v>
      </c>
      <c r="D37" s="20">
        <v>1</v>
      </c>
      <c r="Q37" s="780"/>
    </row>
    <row r="38" spans="1:17">
      <c r="A38" s="21" t="str">
        <f t="shared" si="0"/>
        <v>АСУЭ.IMsp_MON</v>
      </c>
      <c r="B38" s="8">
        <v>4009231</v>
      </c>
      <c r="C38" s="8" t="s">
        <v>0</v>
      </c>
      <c r="D38" s="742" t="s">
        <v>2691</v>
      </c>
      <c r="Q38" s="779"/>
    </row>
    <row r="39" spans="1:17">
      <c r="A39" s="712" t="str">
        <f t="shared" si="0"/>
        <v>АСУЭ.IMsp_MON</v>
      </c>
      <c r="B39" s="711">
        <v>9204</v>
      </c>
      <c r="C39" s="711" t="s">
        <v>6</v>
      </c>
      <c r="D39" s="710">
        <v>0</v>
      </c>
      <c r="Q39" s="518" t="s">
        <v>2595</v>
      </c>
    </row>
    <row r="40" spans="1:17">
      <c r="A40" s="712" t="str">
        <f t="shared" si="0"/>
        <v>АСУЭ.IMsp_MON</v>
      </c>
      <c r="B40" s="711">
        <v>9205</v>
      </c>
      <c r="C40" s="711" t="s">
        <v>6</v>
      </c>
      <c r="D40" s="710">
        <v>0</v>
      </c>
      <c r="Q40" s="518" t="s">
        <v>343</v>
      </c>
    </row>
    <row r="41" spans="1:17">
      <c r="A41" s="712" t="str">
        <f t="shared" si="0"/>
        <v>АСУЭ.IMsp_MON</v>
      </c>
      <c r="B41" s="711">
        <v>9206</v>
      </c>
      <c r="C41" s="711" t="s">
        <v>6</v>
      </c>
      <c r="D41" s="710">
        <v>0</v>
      </c>
      <c r="Q41" s="518" t="s">
        <v>2604</v>
      </c>
    </row>
    <row r="42" spans="1:17">
      <c r="A42" t="str">
        <f>$R$2&amp;".Commands"</f>
        <v>АСУЭ.IMsp_MON.Commands</v>
      </c>
      <c r="B42" s="24">
        <v>7011</v>
      </c>
      <c r="C42" s="24" t="s">
        <v>2</v>
      </c>
      <c r="D42" s="25" t="s">
        <v>266</v>
      </c>
    </row>
    <row r="43" spans="1:17" ht="15" customHeight="1">
      <c r="A43" t="str">
        <f t="shared" ref="A43:A48" si="1">$R$2&amp;".Commands"</f>
        <v>АСУЭ.IMsp_MON.Commands</v>
      </c>
      <c r="B43">
        <v>1</v>
      </c>
      <c r="C43" t="s">
        <v>1</v>
      </c>
      <c r="D43" s="30">
        <v>17</v>
      </c>
    </row>
    <row r="44" spans="1:17">
      <c r="A44" s="23" t="str">
        <f t="shared" si="1"/>
        <v>АСУЭ.IMsp_MON.Commands</v>
      </c>
      <c r="B44" s="24">
        <v>9209</v>
      </c>
      <c r="C44" s="24" t="s">
        <v>2</v>
      </c>
      <c r="D44" s="25" t="s">
        <v>3</v>
      </c>
      <c r="Q44" s="778" t="s">
        <v>116</v>
      </c>
    </row>
    <row r="45" spans="1:17" ht="28.8">
      <c r="A45" s="29" t="str">
        <f t="shared" si="1"/>
        <v>АСУЭ.IMsp_MON.Commands</v>
      </c>
      <c r="B45">
        <v>4009209</v>
      </c>
      <c r="C45" t="s">
        <v>0</v>
      </c>
      <c r="D45" s="713" t="s">
        <v>2602</v>
      </c>
      <c r="Q45" s="780"/>
    </row>
    <row r="46" spans="1:17">
      <c r="A46" s="29" t="str">
        <f t="shared" si="1"/>
        <v>АСУЭ.IMsp_MON.Commands</v>
      </c>
      <c r="B46">
        <v>7009209</v>
      </c>
      <c r="C46" t="s">
        <v>6</v>
      </c>
      <c r="D46" s="30">
        <v>1</v>
      </c>
      <c r="Q46" s="779"/>
    </row>
    <row r="47" spans="1:17">
      <c r="A47" s="712" t="str">
        <f t="shared" si="1"/>
        <v>АСУЭ.IMsp_MON.Commands</v>
      </c>
      <c r="B47" s="711">
        <v>9211</v>
      </c>
      <c r="C47" s="711" t="s">
        <v>6</v>
      </c>
      <c r="D47" s="710">
        <v>0</v>
      </c>
      <c r="Q47" s="537" t="s">
        <v>2593</v>
      </c>
    </row>
    <row r="48" spans="1:17">
      <c r="A48" s="712" t="str">
        <f t="shared" si="1"/>
        <v>АСУЭ.IMsp_MON.Commands</v>
      </c>
      <c r="B48" s="711">
        <v>9212</v>
      </c>
      <c r="C48" s="711" t="s">
        <v>6</v>
      </c>
      <c r="D48" s="710">
        <v>0</v>
      </c>
      <c r="Q48" s="537" t="s">
        <v>2601</v>
      </c>
    </row>
    <row r="49" spans="1:4">
      <c r="A49" s="1" t="str">
        <f t="shared" ref="A49:A61" si="2">$R$2&amp;".aPrt"</f>
        <v>АСУЭ.IMsp_MON.aPrt</v>
      </c>
      <c r="B49" s="24">
        <v>7011</v>
      </c>
      <c r="C49" s="24" t="s">
        <v>2</v>
      </c>
      <c r="D49" s="25" t="s">
        <v>266</v>
      </c>
    </row>
    <row r="50" spans="1:4">
      <c r="A50" s="1" t="str">
        <f t="shared" si="2"/>
        <v>АСУЭ.IMsp_MON.aPrt</v>
      </c>
      <c r="B50" s="1">
        <v>3</v>
      </c>
      <c r="C50" s="1" t="s">
        <v>1</v>
      </c>
      <c r="D50" s="30">
        <v>192</v>
      </c>
    </row>
    <row r="51" spans="1:4">
      <c r="A51" s="29" t="str">
        <f t="shared" si="2"/>
        <v>АСУЭ.IMsp_MON.aPrt</v>
      </c>
      <c r="B51">
        <v>2</v>
      </c>
      <c r="C51" t="s">
        <v>2</v>
      </c>
      <c r="D51" s="30" t="s">
        <v>3</v>
      </c>
    </row>
    <row r="52" spans="1:4">
      <c r="A52" s="29" t="str">
        <f t="shared" si="2"/>
        <v>АСУЭ.IMsp_MON.aPrt</v>
      </c>
      <c r="B52">
        <v>1</v>
      </c>
      <c r="C52" t="s">
        <v>1</v>
      </c>
      <c r="D52" s="30">
        <v>11</v>
      </c>
    </row>
    <row r="53" spans="1:4">
      <c r="A53" s="29" t="str">
        <f t="shared" si="2"/>
        <v>АСУЭ.IMsp_MON.aPrt</v>
      </c>
      <c r="B53">
        <v>101</v>
      </c>
      <c r="C53" t="s">
        <v>0</v>
      </c>
      <c r="D53" s="30" t="s">
        <v>140</v>
      </c>
    </row>
    <row r="54" spans="1:4">
      <c r="A54" s="29" t="str">
        <f t="shared" si="2"/>
        <v>АСУЭ.IMsp_MON.aPrt</v>
      </c>
      <c r="B54">
        <v>7998</v>
      </c>
      <c r="C54" t="s">
        <v>6</v>
      </c>
      <c r="D54" s="30">
        <v>1</v>
      </c>
    </row>
    <row r="55" spans="1:4">
      <c r="A55" s="29" t="str">
        <f t="shared" si="2"/>
        <v>АСУЭ.IMsp_MON.aPrt</v>
      </c>
      <c r="B55">
        <v>7999</v>
      </c>
      <c r="C55" t="s">
        <v>0</v>
      </c>
      <c r="D55" s="30" t="str">
        <f>"#"&amp;$S$2&amp;"#"&amp;$T$2&amp;"\"&amp;$P$2&amp;"\aPrt"</f>
        <v>#3#\\Setup_rza\Modbus.OPCServer\ZRU_Sepam\\aPrt</v>
      </c>
    </row>
    <row r="56" spans="1:4">
      <c r="A56" s="148" t="str">
        <f t="shared" si="2"/>
        <v>АСУЭ.IMsp_MON.aPrt</v>
      </c>
      <c r="B56" s="683">
        <v>11154</v>
      </c>
      <c r="C56" s="683" t="s">
        <v>4</v>
      </c>
      <c r="D56" s="125">
        <f>$Q$5</f>
        <v>4</v>
      </c>
    </row>
    <row r="57" spans="1:4">
      <c r="A57" s="148" t="str">
        <f t="shared" si="2"/>
        <v>АСУЭ.IMsp_MON.aPrt</v>
      </c>
      <c r="B57" s="683">
        <v>11152</v>
      </c>
      <c r="C57" s="683" t="s">
        <v>0</v>
      </c>
      <c r="D57" s="125" t="str">
        <f>$R$5</f>
        <v>Авария</v>
      </c>
    </row>
    <row r="58" spans="1:4">
      <c r="A58" s="148" t="str">
        <f t="shared" si="2"/>
        <v>АСУЭ.IMsp_MON.aPrt</v>
      </c>
      <c r="B58" s="683">
        <v>11150</v>
      </c>
      <c r="C58" s="683" t="s">
        <v>0</v>
      </c>
      <c r="D58" s="125" t="s">
        <v>141</v>
      </c>
    </row>
    <row r="59" spans="1:4">
      <c r="A59" s="683" t="str">
        <f t="shared" si="2"/>
        <v>АСУЭ.IMsp_MON.aPrt</v>
      </c>
      <c r="B59" s="683">
        <v>11000</v>
      </c>
      <c r="C59" s="683" t="s">
        <v>5</v>
      </c>
      <c r="D59" s="125">
        <v>2147483680</v>
      </c>
    </row>
    <row r="60" spans="1:4">
      <c r="A60" s="29" t="str">
        <f t="shared" si="2"/>
        <v>АСУЭ.IMsp_MON.aPrt</v>
      </c>
      <c r="B60">
        <v>7000000</v>
      </c>
      <c r="C60" t="s">
        <v>6</v>
      </c>
      <c r="D60" s="30">
        <v>1</v>
      </c>
    </row>
    <row r="61" spans="1:4">
      <c r="A61" s="26" t="str">
        <f t="shared" si="2"/>
        <v>АСУЭ.IMsp_MON.aPrt</v>
      </c>
      <c r="B61">
        <v>4000000</v>
      </c>
      <c r="C61" t="s">
        <v>0</v>
      </c>
      <c r="D61" s="701" t="s">
        <v>2692</v>
      </c>
    </row>
    <row r="62" spans="1:4">
      <c r="A62" s="69" t="str">
        <f t="shared" ref="A62:A70" si="3">$R$2&amp;".wCntLimit"</f>
        <v>АСУЭ.IMsp_MON.wCntLimit</v>
      </c>
      <c r="B62" s="70">
        <v>11154</v>
      </c>
      <c r="C62" s="70" t="s">
        <v>4</v>
      </c>
      <c r="D62" s="71">
        <f>$Q$6</f>
        <v>8</v>
      </c>
    </row>
    <row r="63" spans="1:4">
      <c r="A63" s="52" t="str">
        <f t="shared" si="3"/>
        <v>АСУЭ.IMsp_MON.wCntLimit</v>
      </c>
      <c r="B63" s="52">
        <v>11152</v>
      </c>
      <c r="C63" s="52" t="s">
        <v>0</v>
      </c>
      <c r="D63" s="65" t="str">
        <f>$R$6</f>
        <v>Предупреждение</v>
      </c>
    </row>
    <row r="64" spans="1:4">
      <c r="A64" s="52" t="str">
        <f t="shared" si="3"/>
        <v>АСУЭ.IMsp_MON.wCntLimit</v>
      </c>
      <c r="B64" s="52">
        <v>11150</v>
      </c>
      <c r="C64" s="52" t="s">
        <v>0</v>
      </c>
      <c r="D64" s="65" t="s">
        <v>157</v>
      </c>
    </row>
    <row r="65" spans="1:4">
      <c r="A65" s="52" t="str">
        <f t="shared" si="3"/>
        <v>АСУЭ.IMsp_MON.wCntLimit</v>
      </c>
      <c r="B65" s="52">
        <v>11000</v>
      </c>
      <c r="C65" s="52" t="s">
        <v>5</v>
      </c>
      <c r="D65" s="65">
        <v>2147483680</v>
      </c>
    </row>
    <row r="66" spans="1:4">
      <c r="A66" s="29" t="str">
        <f t="shared" si="3"/>
        <v>АСУЭ.IMsp_MON.wCntLimit</v>
      </c>
      <c r="B66">
        <v>101</v>
      </c>
      <c r="C66" t="s">
        <v>0</v>
      </c>
      <c r="D66" s="30" t="s">
        <v>157</v>
      </c>
    </row>
    <row r="67" spans="1:4">
      <c r="A67" s="29" t="str">
        <f t="shared" si="3"/>
        <v>АСУЭ.IMsp_MON.wCntLimit</v>
      </c>
      <c r="B67">
        <v>3</v>
      </c>
      <c r="C67" t="s">
        <v>1</v>
      </c>
      <c r="D67" s="30">
        <v>192</v>
      </c>
    </row>
    <row r="68" spans="1:4">
      <c r="A68" s="29" t="str">
        <f t="shared" si="3"/>
        <v>АСУЭ.IMsp_MON.wCntLimit</v>
      </c>
      <c r="B68">
        <v>2</v>
      </c>
      <c r="C68" t="s">
        <v>2</v>
      </c>
      <c r="D68" s="30" t="s">
        <v>3</v>
      </c>
    </row>
    <row r="69" spans="1:4">
      <c r="A69" t="str">
        <f t="shared" si="3"/>
        <v>АСУЭ.IMsp_MON.wCntLimit</v>
      </c>
      <c r="B69">
        <v>1</v>
      </c>
      <c r="C69" t="s">
        <v>1</v>
      </c>
      <c r="D69" s="30">
        <v>11</v>
      </c>
    </row>
    <row r="70" spans="1:4">
      <c r="A70" t="str">
        <f t="shared" si="3"/>
        <v>АСУЭ.IMsp_MON.wCntLimit</v>
      </c>
      <c r="B70" s="27">
        <v>3000000</v>
      </c>
      <c r="C70" s="27" t="s">
        <v>0</v>
      </c>
      <c r="D70" s="28" t="s">
        <v>2330</v>
      </c>
    </row>
    <row r="71" spans="1:4">
      <c r="A71" s="24" t="str">
        <f t="shared" ref="A71:A79" si="4">$R$2&amp;".wCntLimitPrt"</f>
        <v>АСУЭ.IMsp_MON.wCntLimitPrt</v>
      </c>
      <c r="B71" s="24">
        <v>101</v>
      </c>
      <c r="C71" s="24" t="s">
        <v>0</v>
      </c>
      <c r="D71" s="25" t="s">
        <v>177</v>
      </c>
    </row>
    <row r="72" spans="1:4">
      <c r="A72" t="str">
        <f t="shared" si="4"/>
        <v>АСУЭ.IMsp_MON.wCntLimitPrt</v>
      </c>
      <c r="B72">
        <v>1</v>
      </c>
      <c r="C72" t="s">
        <v>1</v>
      </c>
      <c r="D72" s="30">
        <v>11</v>
      </c>
    </row>
    <row r="73" spans="1:4">
      <c r="A73" t="str">
        <f t="shared" si="4"/>
        <v>АСУЭ.IMsp_MON.wCntLimitPrt</v>
      </c>
      <c r="B73">
        <v>2</v>
      </c>
      <c r="C73" t="s">
        <v>2</v>
      </c>
      <c r="D73" s="30" t="s">
        <v>3</v>
      </c>
    </row>
    <row r="74" spans="1:4">
      <c r="A74" t="str">
        <f t="shared" si="4"/>
        <v>АСУЭ.IMsp_MON.wCntLimitPrt</v>
      </c>
      <c r="B74">
        <v>3</v>
      </c>
      <c r="C74" t="s">
        <v>1</v>
      </c>
      <c r="D74" s="30">
        <v>192</v>
      </c>
    </row>
    <row r="75" spans="1:4">
      <c r="A75" s="52" t="str">
        <f t="shared" si="4"/>
        <v>АСУЭ.IMsp_MON.wCntLimitPrt</v>
      </c>
      <c r="B75" s="52">
        <v>11154</v>
      </c>
      <c r="C75" s="52" t="s">
        <v>4</v>
      </c>
      <c r="D75" s="65">
        <f>$Q$6</f>
        <v>8</v>
      </c>
    </row>
    <row r="76" spans="1:4">
      <c r="A76" s="52" t="str">
        <f t="shared" si="4"/>
        <v>АСУЭ.IMsp_MON.wCntLimitPrt</v>
      </c>
      <c r="B76" s="52">
        <v>11152</v>
      </c>
      <c r="C76" s="52" t="s">
        <v>0</v>
      </c>
      <c r="D76" s="65" t="str">
        <f>$R$6</f>
        <v>Предупреждение</v>
      </c>
    </row>
    <row r="77" spans="1:4">
      <c r="A77" s="52" t="str">
        <f t="shared" si="4"/>
        <v>АСУЭ.IMsp_MON.wCntLimitPrt</v>
      </c>
      <c r="B77" s="52">
        <v>11150</v>
      </c>
      <c r="C77" s="52" t="s">
        <v>0</v>
      </c>
      <c r="D77" s="65" t="s">
        <v>177</v>
      </c>
    </row>
    <row r="78" spans="1:4">
      <c r="A78" s="52" t="str">
        <f t="shared" si="4"/>
        <v>АСУЭ.IMsp_MON.wCntLimitPrt</v>
      </c>
      <c r="B78" s="52">
        <v>11000</v>
      </c>
      <c r="C78" s="52" t="s">
        <v>5</v>
      </c>
      <c r="D78" s="65">
        <v>2147483680</v>
      </c>
    </row>
    <row r="79" spans="1:4">
      <c r="A79" t="str">
        <f t="shared" si="4"/>
        <v>АСУЭ.IMsp_MON.wCntLimitPrt</v>
      </c>
      <c r="B79" s="27">
        <v>3000000</v>
      </c>
      <c r="C79" s="27" t="s">
        <v>0</v>
      </c>
      <c r="D79" s="28" t="s">
        <v>2329</v>
      </c>
    </row>
    <row r="80" spans="1:4">
      <c r="A80" s="23" t="str">
        <f t="shared" ref="A80:A89" si="5">$R$2&amp;".fFault"</f>
        <v>АСУЭ.IMsp_MON.fFault</v>
      </c>
      <c r="B80" s="24">
        <v>1</v>
      </c>
      <c r="C80" s="24" t="s">
        <v>1</v>
      </c>
      <c r="D80" s="25">
        <v>11</v>
      </c>
    </row>
    <row r="81" spans="1:4">
      <c r="A81" s="29" t="str">
        <f t="shared" si="5"/>
        <v>АСУЭ.IMsp_MON.fFault</v>
      </c>
      <c r="B81">
        <v>2</v>
      </c>
      <c r="C81" t="s">
        <v>2</v>
      </c>
      <c r="D81" s="30" t="s">
        <v>3</v>
      </c>
    </row>
    <row r="82" spans="1:4">
      <c r="A82" s="29" t="str">
        <f t="shared" si="5"/>
        <v>АСУЭ.IMsp_MON.fFault</v>
      </c>
      <c r="B82">
        <v>3</v>
      </c>
      <c r="C82" t="s">
        <v>1</v>
      </c>
      <c r="D82" s="30">
        <v>192</v>
      </c>
    </row>
    <row r="83" spans="1:4">
      <c r="A83" s="211" t="str">
        <f t="shared" si="5"/>
        <v>АСУЭ.IMsp_MON.fFault</v>
      </c>
      <c r="B83" s="677">
        <v>11152</v>
      </c>
      <c r="C83" s="677" t="s">
        <v>0</v>
      </c>
      <c r="D83" s="213" t="str">
        <f>$R$7</f>
        <v>Неисправность</v>
      </c>
    </row>
    <row r="84" spans="1:4">
      <c r="A84" s="211" t="str">
        <f t="shared" si="5"/>
        <v>АСУЭ.IMsp_MON.fFault</v>
      </c>
      <c r="B84" s="677">
        <v>11000</v>
      </c>
      <c r="C84" s="677" t="s">
        <v>5</v>
      </c>
      <c r="D84" s="213">
        <v>2147483680</v>
      </c>
    </row>
    <row r="85" spans="1:4">
      <c r="A85" s="211" t="str">
        <f t="shared" si="5"/>
        <v>АСУЭ.IMsp_MON.fFault</v>
      </c>
      <c r="B85" s="677">
        <v>11150</v>
      </c>
      <c r="C85" s="677" t="s">
        <v>0</v>
      </c>
      <c r="D85" s="213" t="s">
        <v>110</v>
      </c>
    </row>
    <row r="86" spans="1:4">
      <c r="A86" s="211" t="str">
        <f t="shared" si="5"/>
        <v>АСУЭ.IMsp_MON.fFault</v>
      </c>
      <c r="B86" s="677">
        <v>11154</v>
      </c>
      <c r="C86" s="677" t="s">
        <v>4</v>
      </c>
      <c r="D86" s="213">
        <f>$Q$7</f>
        <v>12</v>
      </c>
    </row>
    <row r="87" spans="1:4">
      <c r="A87" s="29" t="str">
        <f t="shared" si="5"/>
        <v>АСУЭ.IMsp_MON.fFault</v>
      </c>
      <c r="B87">
        <v>101</v>
      </c>
      <c r="C87" t="s">
        <v>0</v>
      </c>
      <c r="D87" s="30" t="s">
        <v>176</v>
      </c>
    </row>
    <row r="88" spans="1:4">
      <c r="A88" s="29" t="str">
        <f t="shared" si="5"/>
        <v>АСУЭ.IMsp_MON.fFault</v>
      </c>
      <c r="B88">
        <v>7998</v>
      </c>
      <c r="C88" t="s">
        <v>6</v>
      </c>
      <c r="D88" s="30">
        <v>1</v>
      </c>
    </row>
    <row r="89" spans="1:4">
      <c r="A89" s="26" t="str">
        <f t="shared" si="5"/>
        <v>АСУЭ.IMsp_MON.fFault</v>
      </c>
      <c r="B89" s="27">
        <v>7999</v>
      </c>
      <c r="C89" s="27" t="s">
        <v>0</v>
      </c>
      <c r="D89" s="28" t="str">
        <f>"#"&amp;$S$2&amp;"#"&amp;$T$2&amp;"\"&amp;$P$2&amp;"\fFault"</f>
        <v>#3#\\Setup_rza\Modbus.OPCServer\ZRU_Sepam\\fFault</v>
      </c>
    </row>
    <row r="90" spans="1:4">
      <c r="A90" s="217" t="str">
        <f t="shared" ref="A90:A97" si="6">$R$2&amp;".wUnkw"</f>
        <v>АСУЭ.IMsp_MON.wUnkw</v>
      </c>
      <c r="B90" s="218">
        <v>11154</v>
      </c>
      <c r="C90" s="218" t="s">
        <v>4</v>
      </c>
      <c r="D90" s="231">
        <f>$Q$7</f>
        <v>12</v>
      </c>
    </row>
    <row r="91" spans="1:4">
      <c r="A91" s="211" t="str">
        <f t="shared" si="6"/>
        <v>АСУЭ.IMsp_MON.wUnkw</v>
      </c>
      <c r="B91" s="677">
        <v>11152</v>
      </c>
      <c r="C91" s="677" t="s">
        <v>0</v>
      </c>
      <c r="D91" s="213" t="str">
        <f>$R$7</f>
        <v>Неисправность</v>
      </c>
    </row>
    <row r="92" spans="1:4">
      <c r="A92" s="211" t="str">
        <f t="shared" si="6"/>
        <v>АСУЭ.IMsp_MON.wUnkw</v>
      </c>
      <c r="B92" s="677">
        <v>11150</v>
      </c>
      <c r="C92" s="677" t="s">
        <v>0</v>
      </c>
      <c r="D92" s="213" t="s">
        <v>1854</v>
      </c>
    </row>
    <row r="93" spans="1:4">
      <c r="A93" s="211" t="str">
        <f t="shared" si="6"/>
        <v>АСУЭ.IMsp_MON.wUnkw</v>
      </c>
      <c r="B93" s="677">
        <v>11000</v>
      </c>
      <c r="C93" s="677" t="s">
        <v>5</v>
      </c>
      <c r="D93" s="213">
        <v>2147483680</v>
      </c>
    </row>
    <row r="94" spans="1:4">
      <c r="A94" s="29" t="str">
        <f t="shared" si="6"/>
        <v>АСУЭ.IMsp_MON.wUnkw</v>
      </c>
      <c r="B94">
        <v>101</v>
      </c>
      <c r="C94" t="s">
        <v>0</v>
      </c>
      <c r="D94" s="30" t="s">
        <v>1854</v>
      </c>
    </row>
    <row r="95" spans="1:4">
      <c r="A95" s="29" t="str">
        <f t="shared" si="6"/>
        <v>АСУЭ.IMsp_MON.wUnkw</v>
      </c>
      <c r="B95">
        <v>3</v>
      </c>
      <c r="C95" t="s">
        <v>1</v>
      </c>
      <c r="D95" s="30">
        <v>192</v>
      </c>
    </row>
    <row r="96" spans="1:4">
      <c r="A96" s="29" t="str">
        <f t="shared" si="6"/>
        <v>АСУЭ.IMsp_MON.wUnkw</v>
      </c>
      <c r="B96">
        <v>2</v>
      </c>
      <c r="C96" t="s">
        <v>2</v>
      </c>
      <c r="D96" s="30" t="s">
        <v>3</v>
      </c>
    </row>
    <row r="97" spans="1:4">
      <c r="A97" t="str">
        <f t="shared" si="6"/>
        <v>АСУЭ.IMsp_MON.wUnkw</v>
      </c>
      <c r="B97">
        <v>1</v>
      </c>
      <c r="C97" t="s">
        <v>1</v>
      </c>
      <c r="D97" s="30">
        <v>11</v>
      </c>
    </row>
    <row r="98" spans="1:4">
      <c r="A98" s="23" t="str">
        <f t="shared" ref="A98:A105" si="7">$R$2&amp;".wDbl"</f>
        <v>АСУЭ.IMsp_MON.wDbl</v>
      </c>
      <c r="B98" s="24">
        <v>1</v>
      </c>
      <c r="C98" s="24" t="s">
        <v>1</v>
      </c>
      <c r="D98" s="25">
        <v>11</v>
      </c>
    </row>
    <row r="99" spans="1:4">
      <c r="A99" s="29" t="str">
        <f t="shared" si="7"/>
        <v>АСУЭ.IMsp_MON.wDbl</v>
      </c>
      <c r="B99">
        <v>2</v>
      </c>
      <c r="C99" t="s">
        <v>2</v>
      </c>
      <c r="D99" s="30" t="s">
        <v>3</v>
      </c>
    </row>
    <row r="100" spans="1:4">
      <c r="A100" s="29" t="str">
        <f t="shared" si="7"/>
        <v>АСУЭ.IMsp_MON.wDbl</v>
      </c>
      <c r="B100">
        <v>3</v>
      </c>
      <c r="C100" t="s">
        <v>1</v>
      </c>
      <c r="D100" s="30">
        <v>192</v>
      </c>
    </row>
    <row r="101" spans="1:4">
      <c r="A101" s="29" t="str">
        <f t="shared" si="7"/>
        <v>АСУЭ.IMsp_MON.wDbl</v>
      </c>
      <c r="B101">
        <v>101</v>
      </c>
      <c r="C101" t="s">
        <v>0</v>
      </c>
      <c r="D101" s="30" t="s">
        <v>1855</v>
      </c>
    </row>
    <row r="102" spans="1:4">
      <c r="A102" s="211" t="str">
        <f t="shared" si="7"/>
        <v>АСУЭ.IMsp_MON.wDbl</v>
      </c>
      <c r="B102" s="677">
        <v>11000</v>
      </c>
      <c r="C102" s="677" t="s">
        <v>5</v>
      </c>
      <c r="D102" s="213">
        <v>2147483680</v>
      </c>
    </row>
    <row r="103" spans="1:4">
      <c r="A103" s="211" t="str">
        <f t="shared" si="7"/>
        <v>АСУЭ.IMsp_MON.wDbl</v>
      </c>
      <c r="B103" s="677">
        <v>11150</v>
      </c>
      <c r="C103" s="677" t="s">
        <v>0</v>
      </c>
      <c r="D103" s="213" t="s">
        <v>1855</v>
      </c>
    </row>
    <row r="104" spans="1:4">
      <c r="A104" s="211" t="str">
        <f t="shared" si="7"/>
        <v>АСУЭ.IMsp_MON.wDbl</v>
      </c>
      <c r="B104" s="677">
        <v>11152</v>
      </c>
      <c r="C104" s="677" t="s">
        <v>0</v>
      </c>
      <c r="D104" s="213" t="str">
        <f>$R$7</f>
        <v>Неисправность</v>
      </c>
    </row>
    <row r="105" spans="1:4">
      <c r="A105" s="677" t="str">
        <f t="shared" si="7"/>
        <v>АСУЭ.IMsp_MON.wDbl</v>
      </c>
      <c r="B105" s="677">
        <v>11154</v>
      </c>
      <c r="C105" s="677" t="s">
        <v>4</v>
      </c>
      <c r="D105" s="213">
        <f>$Q$7</f>
        <v>12</v>
      </c>
    </row>
    <row r="106" spans="1:4">
      <c r="A106" s="24" t="str">
        <f t="shared" ref="A106:A118" si="8">$R$2&amp;".stOn"</f>
        <v>АСУЭ.IMsp_MON.stOn</v>
      </c>
      <c r="B106" s="24">
        <v>7011</v>
      </c>
      <c r="C106" s="24" t="s">
        <v>2</v>
      </c>
      <c r="D106" s="25" t="s">
        <v>266</v>
      </c>
    </row>
    <row r="107" spans="1:4">
      <c r="A107" s="1" t="str">
        <f t="shared" si="8"/>
        <v>АСУЭ.IMsp_MON.stOn</v>
      </c>
      <c r="B107" s="1">
        <v>1</v>
      </c>
      <c r="C107" s="1" t="s">
        <v>1</v>
      </c>
      <c r="D107" s="30">
        <v>11</v>
      </c>
    </row>
    <row r="108" spans="1:4">
      <c r="A108" s="29" t="str">
        <f t="shared" si="8"/>
        <v>АСУЭ.IMsp_MON.stOn</v>
      </c>
      <c r="B108">
        <v>2</v>
      </c>
      <c r="C108" t="s">
        <v>2</v>
      </c>
      <c r="D108" s="30" t="s">
        <v>3</v>
      </c>
    </row>
    <row r="109" spans="1:4">
      <c r="A109" s="29" t="str">
        <f t="shared" si="8"/>
        <v>АСУЭ.IMsp_MON.stOn</v>
      </c>
      <c r="B109">
        <v>3</v>
      </c>
      <c r="C109" t="s">
        <v>1</v>
      </c>
      <c r="D109" s="30">
        <v>192</v>
      </c>
    </row>
    <row r="110" spans="1:4">
      <c r="A110" s="29" t="str">
        <f t="shared" si="8"/>
        <v>АСУЭ.IMsp_MON.stOn</v>
      </c>
      <c r="B110">
        <v>101</v>
      </c>
      <c r="C110" t="s">
        <v>0</v>
      </c>
      <c r="D110" s="30" t="s">
        <v>337</v>
      </c>
    </row>
    <row r="111" spans="1:4">
      <c r="A111" s="100" t="str">
        <f t="shared" si="8"/>
        <v>АСУЭ.IMsp_MON.stOn</v>
      </c>
      <c r="B111" s="679">
        <v>11000</v>
      </c>
      <c r="C111" s="679" t="s">
        <v>5</v>
      </c>
      <c r="D111" s="103">
        <v>2147483680</v>
      </c>
    </row>
    <row r="112" spans="1:4">
      <c r="A112" s="100" t="str">
        <f t="shared" si="8"/>
        <v>АСУЭ.IMsp_MON.stOn</v>
      </c>
      <c r="B112" s="679">
        <v>11150</v>
      </c>
      <c r="C112" s="679" t="s">
        <v>0</v>
      </c>
      <c r="D112" s="103" t="s">
        <v>337</v>
      </c>
    </row>
    <row r="113" spans="1:4">
      <c r="A113" s="100" t="str">
        <f t="shared" si="8"/>
        <v>АСУЭ.IMsp_MON.stOn</v>
      </c>
      <c r="B113" s="679">
        <v>11152</v>
      </c>
      <c r="C113" s="679" t="s">
        <v>0</v>
      </c>
      <c r="D113" s="103" t="str">
        <f>$R$8</f>
        <v>Телесигнализация</v>
      </c>
    </row>
    <row r="114" spans="1:4">
      <c r="A114" s="100" t="str">
        <f t="shared" si="8"/>
        <v>АСУЭ.IMsp_MON.stOn</v>
      </c>
      <c r="B114" s="679">
        <v>11154</v>
      </c>
      <c r="C114" s="679" t="s">
        <v>4</v>
      </c>
      <c r="D114" s="103">
        <f>$Q$8</f>
        <v>18</v>
      </c>
    </row>
    <row r="115" spans="1:4">
      <c r="A115" t="str">
        <f t="shared" si="8"/>
        <v>АСУЭ.IMsp_MON.stOn</v>
      </c>
      <c r="B115">
        <v>7000000</v>
      </c>
      <c r="C115" t="s">
        <v>6</v>
      </c>
      <c r="D115" s="30">
        <v>1</v>
      </c>
    </row>
    <row r="116" spans="1:4" ht="43.2">
      <c r="A116" s="29" t="str">
        <f t="shared" si="8"/>
        <v>АСУЭ.IMsp_MON.stOn</v>
      </c>
      <c r="B116">
        <v>4000000</v>
      </c>
      <c r="C116" t="s">
        <v>0</v>
      </c>
      <c r="D116" s="415" t="s">
        <v>2688</v>
      </c>
    </row>
    <row r="117" spans="1:4">
      <c r="A117" s="29" t="str">
        <f t="shared" si="8"/>
        <v>АСУЭ.IMsp_MON.stOn</v>
      </c>
      <c r="B117">
        <v>7998</v>
      </c>
      <c r="C117" t="s">
        <v>6</v>
      </c>
      <c r="D117" s="30">
        <v>1</v>
      </c>
    </row>
    <row r="118" spans="1:4">
      <c r="A118" s="29" t="str">
        <f t="shared" si="8"/>
        <v>АСУЭ.IMsp_MON.stOn</v>
      </c>
      <c r="B118">
        <v>7999</v>
      </c>
      <c r="C118" t="s">
        <v>0</v>
      </c>
      <c r="D118" s="30" t="str">
        <f>"#"&amp;$S$2&amp;"#"&amp;$T$2&amp;"\"&amp;$P$2&amp;"\stOn"</f>
        <v>#3#\\Setup_rza\Modbus.OPCServer\ZRU_Sepam\\stOn</v>
      </c>
    </row>
    <row r="119" spans="1:4">
      <c r="A119" s="23" t="str">
        <f t="shared" ref="A119:A131" si="9">$R$2&amp;".stOff"</f>
        <v>АСУЭ.IMsp_MON.stOff</v>
      </c>
      <c r="B119" s="24">
        <v>7011</v>
      </c>
      <c r="C119" s="24" t="s">
        <v>2</v>
      </c>
      <c r="D119" s="25" t="s">
        <v>266</v>
      </c>
    </row>
    <row r="120" spans="1:4">
      <c r="A120" s="1" t="str">
        <f t="shared" si="9"/>
        <v>АСУЭ.IMsp_MON.stOff</v>
      </c>
      <c r="B120" s="1">
        <v>1</v>
      </c>
      <c r="C120" s="1" t="s">
        <v>1</v>
      </c>
      <c r="D120" s="30">
        <v>11</v>
      </c>
    </row>
    <row r="121" spans="1:4">
      <c r="A121" s="29" t="str">
        <f t="shared" si="9"/>
        <v>АСУЭ.IMsp_MON.stOff</v>
      </c>
      <c r="B121">
        <v>2</v>
      </c>
      <c r="C121" t="s">
        <v>2</v>
      </c>
      <c r="D121" s="30" t="s">
        <v>3</v>
      </c>
    </row>
    <row r="122" spans="1:4">
      <c r="A122" s="29" t="str">
        <f t="shared" si="9"/>
        <v>АСУЭ.IMsp_MON.stOff</v>
      </c>
      <c r="B122">
        <v>3</v>
      </c>
      <c r="C122" t="s">
        <v>1</v>
      </c>
      <c r="D122" s="30">
        <v>192</v>
      </c>
    </row>
    <row r="123" spans="1:4">
      <c r="A123" s="29" t="str">
        <f t="shared" si="9"/>
        <v>АСУЭ.IMsp_MON.stOff</v>
      </c>
      <c r="B123">
        <v>101</v>
      </c>
      <c r="C123" t="s">
        <v>0</v>
      </c>
      <c r="D123" s="30" t="s">
        <v>336</v>
      </c>
    </row>
    <row r="124" spans="1:4">
      <c r="A124" s="100" t="str">
        <f t="shared" si="9"/>
        <v>АСУЭ.IMsp_MON.stOff</v>
      </c>
      <c r="B124" s="679">
        <v>11000</v>
      </c>
      <c r="C124" s="679" t="s">
        <v>5</v>
      </c>
      <c r="D124" s="103">
        <v>2147483680</v>
      </c>
    </row>
    <row r="125" spans="1:4">
      <c r="A125" s="100" t="str">
        <f t="shared" si="9"/>
        <v>АСУЭ.IMsp_MON.stOff</v>
      </c>
      <c r="B125" s="679">
        <v>11150</v>
      </c>
      <c r="C125" s="679" t="s">
        <v>0</v>
      </c>
      <c r="D125" s="103" t="s">
        <v>336</v>
      </c>
    </row>
    <row r="126" spans="1:4">
      <c r="A126" s="100" t="str">
        <f t="shared" si="9"/>
        <v>АСУЭ.IMsp_MON.stOff</v>
      </c>
      <c r="B126" s="679">
        <v>11152</v>
      </c>
      <c r="C126" s="679" t="s">
        <v>0</v>
      </c>
      <c r="D126" s="103" t="str">
        <f>$R$8</f>
        <v>Телесигнализация</v>
      </c>
    </row>
    <row r="127" spans="1:4">
      <c r="A127" s="100" t="str">
        <f t="shared" si="9"/>
        <v>АСУЭ.IMsp_MON.stOff</v>
      </c>
      <c r="B127" s="679">
        <v>11154</v>
      </c>
      <c r="C127" s="679" t="s">
        <v>4</v>
      </c>
      <c r="D127" s="103">
        <f>$Q$8</f>
        <v>18</v>
      </c>
    </row>
    <row r="128" spans="1:4">
      <c r="A128" s="29" t="str">
        <f t="shared" si="9"/>
        <v>АСУЭ.IMsp_MON.stOff</v>
      </c>
      <c r="B128">
        <v>7998</v>
      </c>
      <c r="C128" t="s">
        <v>6</v>
      </c>
      <c r="D128" s="30">
        <v>1</v>
      </c>
    </row>
    <row r="129" spans="1:4">
      <c r="A129" s="29" t="str">
        <f t="shared" si="9"/>
        <v>АСУЭ.IMsp_MON.stOff</v>
      </c>
      <c r="B129">
        <v>7999</v>
      </c>
      <c r="C129" t="s">
        <v>0</v>
      </c>
      <c r="D129" s="30" t="str">
        <f>"#"&amp;$S$2&amp;"#"&amp;$T$2&amp;"\"&amp;$P$2&amp;"\stOff"</f>
        <v>#3#\\Setup_rza\Modbus.OPCServer\ZRU_Sepam\\stOff</v>
      </c>
    </row>
    <row r="130" spans="1:4">
      <c r="A130" s="29" t="str">
        <f t="shared" si="9"/>
        <v>АСУЭ.IMsp_MON.stOff</v>
      </c>
      <c r="B130">
        <v>7000000</v>
      </c>
      <c r="C130" t="s">
        <v>6</v>
      </c>
      <c r="D130" s="30">
        <v>1</v>
      </c>
    </row>
    <row r="131" spans="1:4" ht="43.2">
      <c r="A131" s="26" t="str">
        <f t="shared" si="9"/>
        <v>АСУЭ.IMsp_MON.stOff</v>
      </c>
      <c r="B131" s="27">
        <v>4000000</v>
      </c>
      <c r="C131" s="27" t="s">
        <v>0</v>
      </c>
      <c r="D131" s="701" t="s">
        <v>2689</v>
      </c>
    </row>
    <row r="132" spans="1:4">
      <c r="A132" s="23" t="str">
        <f t="shared" ref="A132:A142" si="10">$R$2&amp;".Commands.coRepair"</f>
        <v>АСУЭ.IMsp_MON.Commands.coRepair</v>
      </c>
      <c r="B132" s="24">
        <v>7011</v>
      </c>
      <c r="C132" s="24" t="s">
        <v>2</v>
      </c>
      <c r="D132" s="25" t="s">
        <v>266</v>
      </c>
    </row>
    <row r="133" spans="1:4">
      <c r="A133" t="str">
        <f t="shared" si="10"/>
        <v>АСУЭ.IMsp_MON.Commands.coRepair</v>
      </c>
      <c r="B133">
        <v>1</v>
      </c>
      <c r="C133" t="s">
        <v>1</v>
      </c>
      <c r="D133" s="30">
        <v>11</v>
      </c>
    </row>
    <row r="134" spans="1:4">
      <c r="A134" s="29" t="str">
        <f t="shared" si="10"/>
        <v>АСУЭ.IMsp_MON.Commands.coRepair</v>
      </c>
      <c r="B134">
        <v>2</v>
      </c>
      <c r="C134" t="s">
        <v>2</v>
      </c>
      <c r="D134" s="30" t="s">
        <v>3</v>
      </c>
    </row>
    <row r="135" spans="1:4">
      <c r="A135" s="29" t="str">
        <f t="shared" si="10"/>
        <v>АСУЭ.IMsp_MON.Commands.coRepair</v>
      </c>
      <c r="B135">
        <v>3</v>
      </c>
      <c r="C135" t="s">
        <v>1</v>
      </c>
      <c r="D135" s="30">
        <v>192</v>
      </c>
    </row>
    <row r="136" spans="1:4">
      <c r="A136" s="29" t="str">
        <f t="shared" si="10"/>
        <v>АСУЭ.IMsp_MON.Commands.coRepair</v>
      </c>
      <c r="B136">
        <v>101</v>
      </c>
      <c r="C136" t="s">
        <v>0</v>
      </c>
      <c r="D136" s="30" t="s">
        <v>235</v>
      </c>
    </row>
    <row r="137" spans="1:4">
      <c r="A137" s="140" t="str">
        <f t="shared" si="10"/>
        <v>АСУЭ.IMsp_MON.Commands.coRepair</v>
      </c>
      <c r="B137" s="687">
        <v>11000</v>
      </c>
      <c r="C137" s="687" t="s">
        <v>5</v>
      </c>
      <c r="D137" s="142">
        <v>2147483680</v>
      </c>
    </row>
    <row r="138" spans="1:4">
      <c r="A138" s="140" t="str">
        <f t="shared" si="10"/>
        <v>АСУЭ.IMsp_MON.Commands.coRepair</v>
      </c>
      <c r="B138" s="687">
        <v>11150</v>
      </c>
      <c r="C138" s="687" t="s">
        <v>0</v>
      </c>
      <c r="D138" s="142" t="s">
        <v>89</v>
      </c>
    </row>
    <row r="139" spans="1:4">
      <c r="A139" s="140" t="str">
        <f t="shared" si="10"/>
        <v>АСУЭ.IMsp_MON.Commands.coRepair</v>
      </c>
      <c r="B139" s="687">
        <v>11152</v>
      </c>
      <c r="C139" s="687" t="s">
        <v>0</v>
      </c>
      <c r="D139" s="142" t="str">
        <f>$R$11</f>
        <v>Ремонт</v>
      </c>
    </row>
    <row r="140" spans="1:4">
      <c r="A140" s="140" t="str">
        <f t="shared" si="10"/>
        <v>АСУЭ.IMsp_MON.Commands.coRepair</v>
      </c>
      <c r="B140" s="687">
        <v>11154</v>
      </c>
      <c r="C140" s="687" t="s">
        <v>4</v>
      </c>
      <c r="D140" s="142">
        <f>$Q$11</f>
        <v>14</v>
      </c>
    </row>
    <row r="141" spans="1:4" ht="100.8">
      <c r="A141" s="29" t="str">
        <f t="shared" si="10"/>
        <v>АСУЭ.IMsp_MON.Commands.coRepair</v>
      </c>
      <c r="B141">
        <v>4000000</v>
      </c>
      <c r="C141" t="s">
        <v>0</v>
      </c>
      <c r="D141" s="415" t="s">
        <v>2911</v>
      </c>
    </row>
    <row r="142" spans="1:4" ht="15" customHeight="1">
      <c r="A142" s="26" t="str">
        <f t="shared" si="10"/>
        <v>АСУЭ.IMsp_MON.Commands.coRepair</v>
      </c>
      <c r="B142" s="27">
        <v>7000000</v>
      </c>
      <c r="C142" s="27" t="s">
        <v>6</v>
      </c>
      <c r="D142" s="28">
        <v>2</v>
      </c>
    </row>
  </sheetData>
  <autoFilter ref="B1:B19" xr:uid="{00000000-0009-0000-0000-00002A000000}"/>
  <mergeCells count="6">
    <mergeCell ref="Q36:Q38"/>
    <mergeCell ref="Q44:Q46"/>
    <mergeCell ref="Q33:Q35"/>
    <mergeCell ref="Q24:Q27"/>
    <mergeCell ref="Q28:Q29"/>
    <mergeCell ref="Q30:Q32"/>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Лист204">
    <tabColor rgb="FFFFC000"/>
  </sheetPr>
  <dimension ref="A1:BA121"/>
  <sheetViews>
    <sheetView topLeftCell="A4" zoomScale="85" zoomScaleNormal="85" workbookViewId="0">
      <selection activeCell="D2" sqref="D2:D4"/>
    </sheetView>
  </sheetViews>
  <sheetFormatPr defaultRowHeight="14.4"/>
  <cols>
    <col min="1" max="1" width="30.44140625" customWidth="1"/>
    <col min="2" max="2" width="11.6640625" customWidth="1"/>
    <col min="3" max="3" width="7.6640625" customWidth="1"/>
    <col min="4" max="4" width="71.4414062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53" s="258" customFormat="1" ht="204.6" thickBot="1">
      <c r="A1" s="257"/>
      <c r="B1" s="257" t="s">
        <v>84</v>
      </c>
      <c r="C1" s="257"/>
      <c r="D1" s="257"/>
      <c r="E1" s="257"/>
      <c r="F1" s="257"/>
      <c r="P1" s="730" t="str">
        <f>Таблица!D1</f>
        <v>Префикс для TREI
Тэг ОРС для INFINITY</v>
      </c>
      <c r="Q1" s="730" t="str">
        <f>Таблица!E1</f>
        <v>Комментарий для TREI и INFINITY</v>
      </c>
      <c r="R1" s="733" t="str">
        <f>Таблица!F1</f>
        <v>ТЭГ в дереве INFINITY Server</v>
      </c>
      <c r="S1" s="730"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735" t="str">
        <f>Таблица!H1</f>
        <v>OPC путь 
№ маршрута Modbus TCP, Modbus RTU, Modbus over TCP (1-255)
№ КП IEC104 (1-65534)</v>
      </c>
      <c r="U1" s="731" t="str">
        <f>Таблица!I1</f>
        <v>OPC путь</v>
      </c>
      <c r="V1" s="731" t="str">
        <f>Таблица!J1</f>
        <v>Мнемосхема</v>
      </c>
      <c r="W1" s="729"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729"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729" t="str">
        <f>Таблица!M1</f>
        <v>FB_IMt_MON_S, IMt_MON: Только для трансформатора. Цвет нижних обмоток(-ки) при наличии напряжения</v>
      </c>
      <c r="Z1" s="729"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729"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729" t="str">
        <f>Таблица!P1</f>
        <v xml:space="preserve">FB_DI_S, FB_DO_S, DI, DI_DIAG, FB_DO_STB_S: Тип сигнализации (Авария, предупреждение, телесигнализация и тд.)
FB_SHPS_S(SB), FB_BTF_S: Тип сигнализации XFRX
</v>
      </c>
      <c r="AC1" s="729"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729" t="str">
        <f>Таблица!R1</f>
        <v>SEPAM: Тип ячейки (OL,SV,VV,TN)
BMRZ: Тип ячейки (VV,AV)
TOR: Тип ячейки (OL,SV,VV,TN,BK)</v>
      </c>
      <c r="AE1" s="729" t="str">
        <f>Таблица!S1</f>
        <v>Формула для fNoLink.Device</v>
      </c>
      <c r="AF1" s="729">
        <f>Таблица!T1</f>
        <v>0</v>
      </c>
      <c r="AG1" s="729">
        <f>Таблица!U1</f>
        <v>0</v>
      </c>
      <c r="AH1" s="729">
        <f>Таблица!V1</f>
        <v>0</v>
      </c>
      <c r="AI1" s="729">
        <f>Таблица!W1</f>
        <v>0</v>
      </c>
      <c r="AJ1" s="729">
        <f>Таблица!X1</f>
        <v>0</v>
      </c>
      <c r="AK1" s="728" t="str">
        <f>Таблица!Y1</f>
        <v>FB_AI_S, FB_DI_S, FB_QSA_S, FB_DO_S, FB_SHPS_S, FB_SHOP_S, FB_BTF_S: IVXX
FB_KL_UPT_S: ISON
SW_S301, SW_MES3508: Подключение к порту 1
SW_MAYAK: Подключение к порту 1,2 (через "\")
DI_DIAG, DO_DIAG: XVLX</v>
      </c>
      <c r="AL1" s="728"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728"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728" t="str">
        <f>Таблица!AB1</f>
        <v>FB_IMstp_S, FB_IMsp_S, FB_IMs_S, FB_REG_S, FB_IM_ADES_S : ILCX
SW_S301: Подключение к порту 4
SW_MAYAK, SW_MES3508: Подключение к порту 7,8 (через "\")</v>
      </c>
      <c r="AO1" s="728" t="str">
        <f>Таблица!AC1</f>
        <v xml:space="preserve">FB_IMstp_S, FB_IMsp_S, FB_IMs_S, FB_IMp_S, FB_IMv_S, FB_REG_S, FB_IM_ADES_S, FB_DO_S : IRCX
SW_S301, SW_MES3508: Подключение к порту 5
SW_MAYAK: Подключение к порту 9,10 (через "\")
</v>
      </c>
      <c r="AP1" s="728"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728"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728" t="str">
        <f>Таблица!AF1</f>
        <v xml:space="preserve">FB_IMstp_S, FB_IMsp_S, FB_IMs_S, FB_IMp_S, FB_IMv_S, FB_IM_ADES_S, FB_OZK_KD_S, FB_DO_S: OXOF
SW_S301, SW_MES3508: Подключение к порту 8
SW_MAYAK: Подключение к порту 15,16 (через "\")
</v>
      </c>
      <c r="AS1" s="728" t="str">
        <f>Таблица!AG1</f>
        <v xml:space="preserve">FB_IM_ADES_S, FB_IMp_S, FB_IMv_S: OXSP
FB_IMstp_S, FB_IMsp_S, FB_IMsp_MON_S: IPTC
SW_S301, SW_MES3508: Подключение к порту 9
SW_MAYAK: Подключение к порту 17,18 (через "\")
</v>
      </c>
      <c r="AT1" s="728" t="str">
        <f>Таблица!AH1</f>
        <v xml:space="preserve">FB_IMstp_S, FB_IMst_MON_S, FB_IMt_MON_S: ITON
FB_IM_ADES_S: IOLD
SW_S301, SW_MES3508: Подключение к порту 10
SW_MAYAK: Подключение к порту 19,20 (через "\")
</v>
      </c>
      <c r="AU1" s="728" t="str">
        <f>Таблица!AI1</f>
        <v>FB_IMstp_S, FB_IMst_MON_S, FB_IMt_MON_S: ITOF
FB_IM_ADES_S: IRAD
SW_MAYAK: Подключение к порту 21,22 (через "\")</v>
      </c>
      <c r="AV1" s="728" t="str">
        <f>Таблица!AJ1</f>
        <v xml:space="preserve">FB_IMstp_S, FB_IMsp_S, FB_IMsp_MON_S, FB_IM_ADES_S: IPTO
SW_MAYAK: Подключение к порту 23,24 (через "\")
</v>
      </c>
      <c r="AW1" s="737"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737" t="str">
        <f>Таблица!AL1</f>
        <v>Для TREI
FB_IMstp_S, FB_IMs_S, FB_IMp_S, FB_IMv_S, FB_IM_ADES_S: Настройка перехода ручной-/автоматический-(TRUE/FALSE) 
FB_DI_S: Генерировать метки времени (TRUE/FALSE)</v>
      </c>
      <c r="AY1" s="737"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737" t="str">
        <f>Таблица!AN1</f>
        <v>Для TREI
FB_AI_S, FB_QSA_S: Верхний предел датчика
FB_IMp_S, FB_IMv_S, FB_IM_ADES_S, FB_OZK_KD_S: Время перестановки</v>
      </c>
      <c r="BA1" s="737"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row>
    <row r="2" spans="1:53" ht="15" customHeight="1">
      <c r="A2" s="10"/>
      <c r="B2" s="10"/>
      <c r="C2" s="10"/>
      <c r="D2" s="10"/>
      <c r="E2" s="10"/>
      <c r="F2" s="10"/>
      <c r="P2" s="2"/>
      <c r="Q2" s="2" t="s">
        <v>2711</v>
      </c>
      <c r="R2" s="2" t="s">
        <v>2343</v>
      </c>
      <c r="S2" s="3">
        <v>3</v>
      </c>
      <c r="T2" s="3" t="s">
        <v>1699</v>
      </c>
      <c r="U2" s="3"/>
      <c r="V2" s="3" t="s">
        <v>569</v>
      </c>
      <c r="W2" s="3" t="s">
        <v>2345</v>
      </c>
      <c r="X2" s="3" t="s">
        <v>2346</v>
      </c>
      <c r="Y2" s="3" t="s">
        <v>309</v>
      </c>
      <c r="Z2" s="3"/>
      <c r="AA2" s="3"/>
      <c r="AB2" s="2"/>
      <c r="AC2" s="2" t="s">
        <v>307</v>
      </c>
      <c r="AD2" s="2"/>
      <c r="AE2" s="2" t="s">
        <v>1414</v>
      </c>
      <c r="AF2" s="2"/>
      <c r="AG2" s="2"/>
      <c r="AH2" s="2"/>
      <c r="AI2" s="2"/>
      <c r="AJ2" s="2"/>
      <c r="AK2" s="2"/>
      <c r="AL2" s="2"/>
      <c r="AM2" s="2"/>
      <c r="AN2" s="2"/>
      <c r="AO2" s="2"/>
      <c r="AP2" s="2"/>
      <c r="AQ2" s="2"/>
      <c r="AR2" s="2"/>
      <c r="AS2" s="2"/>
      <c r="AT2" s="2"/>
      <c r="AU2" s="2"/>
      <c r="AV2" s="2"/>
      <c r="AW2" s="2"/>
      <c r="AX2" s="2"/>
      <c r="AY2" s="2"/>
      <c r="AZ2" s="2"/>
      <c r="BA2" s="2"/>
    </row>
    <row r="3" spans="1:53" ht="15" customHeight="1">
      <c r="A3" s="10"/>
      <c r="B3" s="10"/>
      <c r="C3" s="10"/>
      <c r="D3" s="10"/>
      <c r="E3" s="10"/>
      <c r="F3" s="10"/>
      <c r="P3" s="10"/>
      <c r="Q3" s="10"/>
      <c r="R3" s="10"/>
      <c r="S3" s="10"/>
      <c r="T3" s="10"/>
      <c r="U3" s="10"/>
      <c r="V3" s="10"/>
      <c r="W3" s="10"/>
      <c r="X3" s="10"/>
      <c r="Y3" s="10"/>
      <c r="Z3" s="10"/>
      <c r="AA3" s="10"/>
    </row>
    <row r="4" spans="1:53" ht="15" customHeight="1">
      <c r="A4" s="10"/>
      <c r="B4" s="10"/>
      <c r="C4" s="10"/>
      <c r="D4" s="10"/>
      <c r="E4" s="10"/>
      <c r="F4" s="10"/>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row>
    <row r="5" spans="1:53" ht="15" customHeight="1">
      <c r="A5" s="10"/>
      <c r="B5" s="10"/>
      <c r="C5" s="10"/>
      <c r="D5" s="10"/>
      <c r="E5" s="10"/>
      <c r="F5" s="10"/>
      <c r="P5" s="703" t="str">
        <f>Настройки!A2</f>
        <v>Авария</v>
      </c>
      <c r="Q5" s="518">
        <f>Настройки!B2</f>
        <v>4</v>
      </c>
      <c r="R5" s="708" t="str">
        <f>Настройки!C2</f>
        <v>Авария</v>
      </c>
      <c r="S5" s="10"/>
      <c r="T5" s="456">
        <f>Настройки!M12</f>
        <v>1</v>
      </c>
      <c r="U5" s="10"/>
      <c r="V5" s="10"/>
      <c r="W5" s="10"/>
      <c r="X5" s="10"/>
      <c r="Y5" s="10"/>
      <c r="Z5" s="10"/>
      <c r="AA5" s="10"/>
    </row>
    <row r="6" spans="1:53" ht="15" customHeight="1">
      <c r="A6" s="10"/>
      <c r="B6" s="10"/>
      <c r="C6" s="10"/>
      <c r="D6" s="10"/>
      <c r="E6" s="10"/>
      <c r="F6" s="10"/>
      <c r="P6" s="703" t="str">
        <f>Настройки!A3</f>
        <v>Предупреждение</v>
      </c>
      <c r="Q6" s="518">
        <f>Настройки!B3</f>
        <v>8</v>
      </c>
      <c r="R6" s="708" t="str">
        <f>Настройки!C3</f>
        <v>Предупреждение</v>
      </c>
      <c r="S6" s="10"/>
      <c r="T6" s="608" t="str">
        <f>Настройки!M7</f>
        <v>Отображение Таблицы подлючений в диаг.</v>
      </c>
      <c r="U6" s="10"/>
      <c r="V6" s="10"/>
      <c r="W6" s="10"/>
      <c r="X6" s="10"/>
      <c r="Y6" s="10"/>
      <c r="Z6" s="10"/>
      <c r="AA6" s="10"/>
    </row>
    <row r="7" spans="1:53" ht="15" customHeight="1">
      <c r="A7" s="10"/>
      <c r="B7" s="10"/>
      <c r="C7" s="10"/>
      <c r="D7" s="10"/>
      <c r="E7" s="10"/>
      <c r="F7" s="10"/>
      <c r="P7" s="703" t="str">
        <f>Настройки!A4</f>
        <v>Неисправность</v>
      </c>
      <c r="Q7" s="518">
        <f>Настройки!B4</f>
        <v>12</v>
      </c>
      <c r="R7" s="708" t="str">
        <f>Настройки!C4</f>
        <v>Неисправность</v>
      </c>
      <c r="S7" s="10"/>
      <c r="T7" s="714" t="b">
        <f>Настройки!M8</f>
        <v>0</v>
      </c>
      <c r="U7" s="10"/>
      <c r="V7" s="10"/>
      <c r="W7" s="10"/>
      <c r="X7" s="10"/>
      <c r="Y7" s="10"/>
      <c r="Z7" s="10"/>
      <c r="AA7" s="10"/>
    </row>
    <row r="8" spans="1:53" ht="15" customHeight="1">
      <c r="A8" s="10"/>
      <c r="B8" s="10"/>
      <c r="C8" s="10"/>
      <c r="D8" s="10"/>
      <c r="E8" s="10"/>
      <c r="F8" s="10"/>
      <c r="P8" s="703" t="str">
        <f>Настройки!A5</f>
        <v>Телесигнализация</v>
      </c>
      <c r="Q8" s="518">
        <f>Настройки!B5</f>
        <v>18</v>
      </c>
      <c r="R8" s="708" t="str">
        <f>Настройки!C5</f>
        <v>Телесигнализация</v>
      </c>
      <c r="S8" s="10"/>
      <c r="T8" s="10"/>
      <c r="U8" s="10"/>
      <c r="V8" s="10"/>
      <c r="W8" s="10"/>
      <c r="X8" s="10"/>
      <c r="Y8" s="10"/>
      <c r="Z8" s="10"/>
      <c r="AA8" s="10"/>
    </row>
    <row r="9" spans="1:53" ht="15" customHeight="1">
      <c r="A9" s="10"/>
      <c r="B9" s="10"/>
      <c r="C9" s="10"/>
      <c r="D9" s="10"/>
      <c r="E9" s="10"/>
      <c r="F9" s="10"/>
      <c r="P9" s="703" t="str">
        <f>Настройки!A6</f>
        <v>Недостоверность</v>
      </c>
      <c r="Q9" s="518">
        <f>Настройки!B6</f>
        <v>10</v>
      </c>
      <c r="R9" s="708" t="str">
        <f>Настройки!C6</f>
        <v>Недостоверность</v>
      </c>
      <c r="S9" s="10"/>
      <c r="T9" s="10"/>
      <c r="U9" s="10"/>
      <c r="V9" s="10"/>
      <c r="W9" s="10"/>
      <c r="X9" s="10"/>
      <c r="Y9" s="10"/>
      <c r="Z9" s="10"/>
      <c r="AA9" s="10"/>
    </row>
    <row r="10" spans="1:53" ht="15" customHeight="1">
      <c r="A10" s="10"/>
      <c r="B10" s="10"/>
      <c r="C10" s="10"/>
      <c r="D10" s="10"/>
      <c r="E10" s="10"/>
      <c r="F10" s="10"/>
      <c r="P10" s="703" t="str">
        <f>Настройки!A7</f>
        <v>Имитация</v>
      </c>
      <c r="Q10" s="518">
        <f>Настройки!B7</f>
        <v>16</v>
      </c>
      <c r="R10" s="708" t="str">
        <f>Настройки!C7</f>
        <v>Имитация</v>
      </c>
      <c r="S10" s="10"/>
      <c r="T10" s="10"/>
      <c r="U10" s="10"/>
      <c r="V10" s="10"/>
      <c r="W10" s="10"/>
      <c r="X10" s="10"/>
      <c r="Y10" s="10"/>
      <c r="Z10" s="10"/>
      <c r="AA10" s="10"/>
    </row>
    <row r="11" spans="1:53" ht="15" customHeight="1">
      <c r="A11" s="10"/>
      <c r="B11" s="10"/>
      <c r="C11" s="10"/>
      <c r="D11" s="10"/>
      <c r="E11" s="10"/>
      <c r="F11" s="10"/>
      <c r="P11" s="703" t="str">
        <f>Настройки!A8</f>
        <v>Ремонт</v>
      </c>
      <c r="Q11" s="518">
        <f>Настройки!B8</f>
        <v>14</v>
      </c>
      <c r="R11" s="708" t="str">
        <f>Настройки!C8</f>
        <v>Ремонт</v>
      </c>
      <c r="S11" s="10"/>
      <c r="T11" s="10"/>
      <c r="U11" s="10"/>
      <c r="V11" s="10"/>
      <c r="W11" s="10"/>
      <c r="X11" s="10"/>
      <c r="Y11" s="10"/>
      <c r="Z11" s="10"/>
      <c r="AA11" s="10"/>
    </row>
    <row r="12" spans="1:53" ht="15" customHeight="1">
      <c r="A12" s="10"/>
      <c r="B12" s="10"/>
      <c r="C12" s="10"/>
      <c r="D12" s="10"/>
      <c r="E12" s="10"/>
      <c r="F12" s="10"/>
      <c r="P12" s="703" t="str">
        <f>Настройки!A9</f>
        <v>Команда оператора</v>
      </c>
      <c r="Q12" s="518">
        <f>Настройки!B9</f>
        <v>20</v>
      </c>
      <c r="R12" s="708" t="str">
        <f>Настройки!C9</f>
        <v>Команда оператора</v>
      </c>
      <c r="S12" s="10"/>
      <c r="T12" s="10"/>
      <c r="U12" s="10"/>
      <c r="V12" s="10"/>
      <c r="W12" s="10"/>
      <c r="X12" s="10"/>
      <c r="Y12" s="10"/>
      <c r="Z12" s="10"/>
      <c r="AA12" s="10"/>
    </row>
    <row r="13" spans="1:53" ht="15" customHeight="1">
      <c r="A13" s="10"/>
      <c r="B13" s="10"/>
      <c r="C13" s="10"/>
      <c r="D13" s="10"/>
      <c r="E13" s="10"/>
      <c r="F13" s="10"/>
      <c r="P13" s="703" t="str">
        <f>Настройки!A10</f>
        <v>Тревога</v>
      </c>
      <c r="Q13" s="518">
        <f>Настройки!B10</f>
        <v>5</v>
      </c>
      <c r="R13" s="518" t="str">
        <f>Настройки!C10</f>
        <v>Тревога</v>
      </c>
      <c r="S13" s="10"/>
      <c r="T13" s="10"/>
      <c r="U13" s="10"/>
      <c r="V13" s="10"/>
      <c r="W13" s="10"/>
      <c r="X13" s="10"/>
      <c r="Y13" s="10"/>
      <c r="Z13" s="10"/>
      <c r="AA13" s="10"/>
    </row>
    <row r="14" spans="1:53" ht="15" customHeight="1">
      <c r="A14" s="10"/>
      <c r="B14" s="10"/>
      <c r="C14" s="10"/>
      <c r="D14" s="10"/>
      <c r="E14" s="10"/>
      <c r="F14" s="10"/>
      <c r="P14" s="703" t="str">
        <f>Настройки!A11</f>
        <v>Тушение</v>
      </c>
      <c r="Q14" s="518">
        <f>Настройки!B11</f>
        <v>1</v>
      </c>
      <c r="R14" s="518" t="str">
        <f>Настройки!C11</f>
        <v>Тушение</v>
      </c>
      <c r="S14" s="10"/>
      <c r="T14" s="10"/>
      <c r="U14" s="10"/>
      <c r="V14" s="10"/>
      <c r="W14" s="10"/>
      <c r="X14" s="10"/>
      <c r="Y14" s="10"/>
      <c r="Z14" s="10"/>
      <c r="AA14" s="10"/>
    </row>
    <row r="15" spans="1:53" ht="15" customHeight="1">
      <c r="A15" s="10"/>
      <c r="B15" s="10"/>
      <c r="C15" s="10"/>
      <c r="D15" s="10"/>
      <c r="E15" s="10"/>
      <c r="F15" s="10"/>
      <c r="P15" s="703" t="str">
        <f>Настройки!A12</f>
        <v>Пожар</v>
      </c>
      <c r="Q15" s="518">
        <f>Настройки!B12</f>
        <v>2</v>
      </c>
      <c r="R15" s="518" t="str">
        <f>Настройки!C12</f>
        <v>Пожар</v>
      </c>
      <c r="S15" s="10"/>
      <c r="T15" s="10"/>
      <c r="U15" s="10"/>
      <c r="V15" s="10"/>
      <c r="W15" s="10"/>
      <c r="X15" s="10"/>
      <c r="Y15" s="10"/>
      <c r="Z15" s="10"/>
      <c r="AA15" s="10"/>
    </row>
    <row r="16" spans="1:53" ht="15" customHeight="1">
      <c r="A16" s="10"/>
      <c r="B16" s="10"/>
      <c r="C16" s="10"/>
      <c r="D16" s="10"/>
      <c r="E16" s="10"/>
      <c r="F16" s="10"/>
      <c r="P16" s="703" t="str">
        <f>Настройки!A13</f>
        <v>Порог 2</v>
      </c>
      <c r="Q16" s="518">
        <f>Настройки!B13</f>
        <v>3</v>
      </c>
      <c r="R16" s="518" t="str">
        <f>Настройки!C13</f>
        <v>Порог 2</v>
      </c>
      <c r="S16" s="10"/>
      <c r="T16" s="10"/>
      <c r="U16" s="10"/>
      <c r="V16" s="10"/>
      <c r="W16" s="10"/>
      <c r="X16" s="10"/>
      <c r="Y16" s="10"/>
      <c r="Z16" s="10"/>
      <c r="AA16" s="10"/>
    </row>
    <row r="17" spans="1:27" ht="15" customHeight="1">
      <c r="A17" s="10"/>
      <c r="B17" s="10"/>
      <c r="C17" s="10"/>
      <c r="D17" s="10"/>
      <c r="E17" s="10"/>
      <c r="F17" s="10"/>
      <c r="P17" s="703" t="str">
        <f>Настройки!A14</f>
        <v>Порог 1</v>
      </c>
      <c r="Q17" s="518">
        <f>Настройки!B14</f>
        <v>6</v>
      </c>
      <c r="R17" s="518" t="str">
        <f>Настройки!C14</f>
        <v>Порог 1</v>
      </c>
      <c r="S17" s="10"/>
      <c r="T17" s="10"/>
      <c r="U17" s="10"/>
      <c r="V17" s="10"/>
      <c r="W17" s="10"/>
      <c r="X17" s="10"/>
      <c r="Y17" s="10"/>
      <c r="Z17" s="10"/>
      <c r="AA17" s="10"/>
    </row>
    <row r="18" spans="1:27" ht="15" customHeight="1">
      <c r="A18" s="10"/>
      <c r="B18" s="10"/>
      <c r="C18" s="10"/>
      <c r="D18" s="10"/>
      <c r="E18" s="10"/>
      <c r="F18" s="10"/>
      <c r="P18" s="703" t="str">
        <f>Настройки!A15</f>
        <v>Отключение</v>
      </c>
      <c r="Q18" s="518">
        <f>Настройки!B15</f>
        <v>13</v>
      </c>
      <c r="R18" s="518" t="str">
        <f>Настройки!C15</f>
        <v>Отключение</v>
      </c>
      <c r="S18" s="10"/>
      <c r="T18" s="10"/>
      <c r="U18" s="10"/>
      <c r="V18" s="10"/>
      <c r="W18" s="10"/>
      <c r="X18" s="10"/>
      <c r="Y18" s="10"/>
      <c r="Z18" s="10"/>
      <c r="AA18" s="10"/>
    </row>
    <row r="19" spans="1:27" ht="15" customHeight="1">
      <c r="A19" s="10"/>
      <c r="B19" s="10"/>
      <c r="C19" s="10"/>
      <c r="D19" s="10"/>
      <c r="E19" s="10"/>
      <c r="F19" s="10"/>
      <c r="P19" s="703" t="str">
        <f>Настройки!A16</f>
        <v>Информация</v>
      </c>
      <c r="Q19" s="518">
        <f>Настройки!B16</f>
        <v>22</v>
      </c>
      <c r="R19" s="518" t="str">
        <f>Настройки!C16</f>
        <v>Информация</v>
      </c>
      <c r="S19" s="10"/>
      <c r="T19" s="10"/>
      <c r="U19" s="10"/>
      <c r="V19" s="10"/>
      <c r="W19" s="10"/>
      <c r="X19" s="10"/>
      <c r="Y19" s="10"/>
      <c r="Z19" s="10"/>
      <c r="AA19" s="10"/>
    </row>
    <row r="20" spans="1:27">
      <c r="A20" s="23" t="str">
        <f t="shared" ref="A20:A43" si="0">$R$2</f>
        <v>АСУЭ.IMt_MON</v>
      </c>
      <c r="B20" s="24">
        <v>7011</v>
      </c>
      <c r="C20" s="24" t="s">
        <v>2</v>
      </c>
      <c r="D20" s="25" t="s">
        <v>266</v>
      </c>
    </row>
    <row r="21" spans="1:27">
      <c r="A21" s="23" t="str">
        <f t="shared" si="0"/>
        <v>АСУЭ.IMt_MON</v>
      </c>
      <c r="B21" s="24">
        <v>1</v>
      </c>
      <c r="C21" s="24" t="s">
        <v>1</v>
      </c>
      <c r="D21" s="25">
        <v>17</v>
      </c>
    </row>
    <row r="22" spans="1:27">
      <c r="A22" s="29" t="str">
        <f t="shared" si="0"/>
        <v>АСУЭ.IMt_MON</v>
      </c>
      <c r="B22">
        <v>11001</v>
      </c>
      <c r="C22" t="s">
        <v>0</v>
      </c>
      <c r="D22" s="30" t="str">
        <f>$Q$2&amp;". "</f>
        <v xml:space="preserve">Секционный разъединитель, тележка (шаблон по OPC). </v>
      </c>
    </row>
    <row r="23" spans="1:27">
      <c r="A23" s="29" t="str">
        <f t="shared" si="0"/>
        <v>АСУЭ.IMt_MON</v>
      </c>
      <c r="B23">
        <v>11156</v>
      </c>
      <c r="C23" t="s">
        <v>0</v>
      </c>
      <c r="D23" s="30" t="str">
        <f>$V$2</f>
        <v>Тестовый экран</v>
      </c>
    </row>
    <row r="24" spans="1:27">
      <c r="A24" s="23" t="str">
        <f t="shared" si="0"/>
        <v>АСУЭ.IMt_MON</v>
      </c>
      <c r="B24" s="24">
        <v>11126</v>
      </c>
      <c r="C24" s="24" t="s">
        <v>0</v>
      </c>
      <c r="D24" s="25" t="str">
        <f>$AC$2</f>
        <v>Синий</v>
      </c>
    </row>
    <row r="25" spans="1:27">
      <c r="A25" s="26" t="str">
        <f t="shared" si="0"/>
        <v>АСУЭ.IMt_MON</v>
      </c>
      <c r="B25" s="27">
        <v>11128</v>
      </c>
      <c r="C25" s="27" t="s">
        <v>0</v>
      </c>
      <c r="D25" s="28" t="str">
        <f>$Y$2</f>
        <v>Темно-зеленый</v>
      </c>
    </row>
    <row r="26" spans="1:27">
      <c r="A26" s="23" t="str">
        <f t="shared" si="0"/>
        <v>АСУЭ.IMt_MON</v>
      </c>
      <c r="B26" s="24">
        <v>13</v>
      </c>
      <c r="C26" s="24" t="s">
        <v>2</v>
      </c>
      <c r="D26" s="25" t="s">
        <v>3</v>
      </c>
      <c r="Q26" s="778" t="s">
        <v>2592</v>
      </c>
    </row>
    <row r="27" spans="1:27" ht="15" customHeight="1">
      <c r="A27" s="29" t="str">
        <f t="shared" si="0"/>
        <v>АСУЭ.IMt_MON</v>
      </c>
      <c r="B27">
        <v>3000013</v>
      </c>
      <c r="C27" t="s">
        <v>0</v>
      </c>
      <c r="D27" s="30" t="str">
        <f>$AE$2</f>
        <v>Диагностика.CPU.NOT_LINK.noLink</v>
      </c>
      <c r="Q27" s="780"/>
    </row>
    <row r="28" spans="1:27" ht="15" customHeight="1">
      <c r="A28" s="29" t="str">
        <f t="shared" si="0"/>
        <v>АСУЭ.IMt_MON</v>
      </c>
      <c r="B28">
        <v>4000013</v>
      </c>
      <c r="C28" t="s">
        <v>0</v>
      </c>
      <c r="D28" s="30" t="s">
        <v>2609</v>
      </c>
      <c r="Q28" s="780"/>
    </row>
    <row r="29" spans="1:27" ht="15" customHeight="1">
      <c r="A29" s="26" t="str">
        <f t="shared" si="0"/>
        <v>АСУЭ.IMt_MON</v>
      </c>
      <c r="B29" s="27">
        <v>7000013</v>
      </c>
      <c r="C29" s="27" t="s">
        <v>6</v>
      </c>
      <c r="D29" s="28">
        <v>2</v>
      </c>
      <c r="Q29" s="779"/>
    </row>
    <row r="30" spans="1:27" ht="15" customHeight="1">
      <c r="A30" s="29" t="str">
        <f t="shared" si="0"/>
        <v>АСУЭ.IMt_MON</v>
      </c>
      <c r="B30">
        <v>9207</v>
      </c>
      <c r="C30" t="s">
        <v>2</v>
      </c>
      <c r="D30" s="30" t="s">
        <v>3</v>
      </c>
      <c r="Q30" s="778" t="s">
        <v>139</v>
      </c>
    </row>
    <row r="31" spans="1:27" ht="13.95" customHeight="1">
      <c r="A31" s="27" t="str">
        <f t="shared" si="0"/>
        <v>АСУЭ.IMt_MON</v>
      </c>
      <c r="B31" s="27">
        <v>3009207</v>
      </c>
      <c r="C31" s="27" t="s">
        <v>0</v>
      </c>
      <c r="D31" s="28" t="s">
        <v>2608</v>
      </c>
      <c r="Q31" s="779"/>
    </row>
    <row r="32" spans="1:27" ht="15" customHeight="1">
      <c r="A32" s="16" t="str">
        <f t="shared" si="0"/>
        <v>АСУЭ.IMt_MON</v>
      </c>
      <c r="B32" s="17">
        <v>9229</v>
      </c>
      <c r="C32" s="17" t="s">
        <v>2</v>
      </c>
      <c r="D32" s="18" t="s">
        <v>3</v>
      </c>
      <c r="Q32" s="778" t="s">
        <v>2684</v>
      </c>
    </row>
    <row r="33" spans="1:18">
      <c r="A33" s="19" t="str">
        <f t="shared" si="0"/>
        <v>АСУЭ.IMt_MON</v>
      </c>
      <c r="B33" s="11">
        <v>7009229</v>
      </c>
      <c r="C33" s="11" t="s">
        <v>6</v>
      </c>
      <c r="D33" s="20">
        <v>1</v>
      </c>
      <c r="Q33" s="780"/>
    </row>
    <row r="34" spans="1:18">
      <c r="A34" s="21" t="str">
        <f t="shared" si="0"/>
        <v>АСУЭ.IMt_MON</v>
      </c>
      <c r="B34" s="8">
        <v>4009229</v>
      </c>
      <c r="C34" s="8" t="s">
        <v>0</v>
      </c>
      <c r="D34" s="742" t="s">
        <v>2685</v>
      </c>
      <c r="Q34" s="779"/>
    </row>
    <row r="35" spans="1:18" ht="15" customHeight="1">
      <c r="A35" s="19" t="str">
        <f t="shared" si="0"/>
        <v>АСУЭ.IMt_MON</v>
      </c>
      <c r="B35" s="11">
        <v>9230</v>
      </c>
      <c r="C35" s="11" t="s">
        <v>2</v>
      </c>
      <c r="D35" s="20" t="s">
        <v>3</v>
      </c>
      <c r="Q35" s="778" t="s">
        <v>2686</v>
      </c>
    </row>
    <row r="36" spans="1:18">
      <c r="A36" s="19" t="str">
        <f t="shared" si="0"/>
        <v>АСУЭ.IMt_MON</v>
      </c>
      <c r="B36" s="11">
        <v>7009230</v>
      </c>
      <c r="C36" s="11" t="s">
        <v>6</v>
      </c>
      <c r="D36" s="20">
        <v>1</v>
      </c>
      <c r="Q36" s="780"/>
    </row>
    <row r="37" spans="1:18">
      <c r="A37" s="21" t="str">
        <f t="shared" si="0"/>
        <v>АСУЭ.IMt_MON</v>
      </c>
      <c r="B37" s="8">
        <v>4009230</v>
      </c>
      <c r="C37" s="8" t="s">
        <v>0</v>
      </c>
      <c r="D37" s="742" t="s">
        <v>2687</v>
      </c>
      <c r="Q37" s="779"/>
    </row>
    <row r="38" spans="1:18">
      <c r="A38" s="712" t="str">
        <f t="shared" si="0"/>
        <v>АСУЭ.IMt_MON</v>
      </c>
      <c r="B38" s="711">
        <v>9204</v>
      </c>
      <c r="C38" s="711" t="s">
        <v>6</v>
      </c>
      <c r="D38" s="710">
        <v>0</v>
      </c>
      <c r="Q38" s="518" t="s">
        <v>2595</v>
      </c>
    </row>
    <row r="39" spans="1:18">
      <c r="A39" s="712" t="str">
        <f t="shared" si="0"/>
        <v>АСУЭ.IMt_MON</v>
      </c>
      <c r="B39" s="711">
        <v>9205</v>
      </c>
      <c r="C39" s="711" t="s">
        <v>6</v>
      </c>
      <c r="D39" s="710">
        <v>0</v>
      </c>
      <c r="Q39" s="518" t="s">
        <v>343</v>
      </c>
    </row>
    <row r="40" spans="1:18">
      <c r="A40" s="29" t="str">
        <f t="shared" si="0"/>
        <v>АСУЭ.IMt_MON</v>
      </c>
      <c r="B40">
        <v>9219</v>
      </c>
      <c r="C40" t="s">
        <v>2</v>
      </c>
      <c r="D40" s="30" t="s">
        <v>3</v>
      </c>
      <c r="Q40" s="778" t="s">
        <v>224</v>
      </c>
      <c r="R40" t="s">
        <v>1606</v>
      </c>
    </row>
    <row r="41" spans="1:18">
      <c r="A41" s="29" t="str">
        <f t="shared" si="0"/>
        <v>АСУЭ.IMt_MON</v>
      </c>
      <c r="B41" s="27">
        <v>3009219</v>
      </c>
      <c r="C41" s="27" t="s">
        <v>0</v>
      </c>
      <c r="D41" s="28" t="str">
        <f>$X$2</f>
        <v>!АСУЭ.ЗРУиКТП.DI_1.Value &amp;&amp;</v>
      </c>
      <c r="Q41" s="779"/>
    </row>
    <row r="42" spans="1:18">
      <c r="A42" s="23" t="str">
        <f t="shared" si="0"/>
        <v>АСУЭ.IMt_MON</v>
      </c>
      <c r="B42">
        <v>9220</v>
      </c>
      <c r="C42" t="s">
        <v>2</v>
      </c>
      <c r="D42" s="30" t="s">
        <v>3</v>
      </c>
      <c r="Q42" s="778" t="s">
        <v>223</v>
      </c>
    </row>
    <row r="43" spans="1:18">
      <c r="A43" s="26" t="str">
        <f t="shared" si="0"/>
        <v>АСУЭ.IMt_MON</v>
      </c>
      <c r="B43" s="27">
        <v>3009220</v>
      </c>
      <c r="C43" s="27" t="s">
        <v>0</v>
      </c>
      <c r="D43" s="28" t="str">
        <f>$W$2</f>
        <v>!АСУЭ.ЗРУиКТП.DI_1.Value &amp;&amp; АСУЭ.ЗРУиКТП.IMstp_1.Value</v>
      </c>
      <c r="Q43" s="779"/>
    </row>
    <row r="44" spans="1:18">
      <c r="A44" t="str">
        <f t="shared" ref="A44:A49" si="1">$R$2&amp;".Commands"</f>
        <v>АСУЭ.IMt_MON.Commands</v>
      </c>
      <c r="B44" s="24">
        <v>7011</v>
      </c>
      <c r="C44" s="24" t="s">
        <v>2</v>
      </c>
      <c r="D44" s="25" t="s">
        <v>266</v>
      </c>
    </row>
    <row r="45" spans="1:18" ht="15" customHeight="1">
      <c r="A45" t="str">
        <f t="shared" si="1"/>
        <v>АСУЭ.IMt_MON.Commands</v>
      </c>
      <c r="B45">
        <v>1</v>
      </c>
      <c r="C45" t="s">
        <v>1</v>
      </c>
      <c r="D45" s="30">
        <v>17</v>
      </c>
    </row>
    <row r="46" spans="1:18">
      <c r="A46" s="23" t="str">
        <f t="shared" si="1"/>
        <v>АСУЭ.IMt_MON.Commands</v>
      </c>
      <c r="B46" s="24">
        <v>9209</v>
      </c>
      <c r="C46" s="24" t="s">
        <v>2</v>
      </c>
      <c r="D46" s="25" t="s">
        <v>3</v>
      </c>
      <c r="Q46" s="778" t="s">
        <v>116</v>
      </c>
    </row>
    <row r="47" spans="1:18">
      <c r="A47" s="29" t="str">
        <f t="shared" si="1"/>
        <v>АСУЭ.IMt_MON.Commands</v>
      </c>
      <c r="B47">
        <v>4009209</v>
      </c>
      <c r="C47" t="s">
        <v>0</v>
      </c>
      <c r="D47" s="713" t="s">
        <v>2594</v>
      </c>
      <c r="Q47" s="780"/>
    </row>
    <row r="48" spans="1:18">
      <c r="A48" s="29" t="str">
        <f t="shared" si="1"/>
        <v>АСУЭ.IMt_MON.Commands</v>
      </c>
      <c r="B48">
        <v>7009209</v>
      </c>
      <c r="C48" t="s">
        <v>6</v>
      </c>
      <c r="D48" s="30">
        <v>1</v>
      </c>
      <c r="Q48" s="779"/>
    </row>
    <row r="49" spans="1:17">
      <c r="A49" s="712" t="str">
        <f t="shared" si="1"/>
        <v>АСУЭ.IMt_MON.Commands</v>
      </c>
      <c r="B49" s="711">
        <v>9211</v>
      </c>
      <c r="C49" s="711" t="s">
        <v>6</v>
      </c>
      <c r="D49" s="710">
        <v>0</v>
      </c>
      <c r="Q49" s="537" t="s">
        <v>2593</v>
      </c>
    </row>
    <row r="50" spans="1:17">
      <c r="A50" s="69" t="str">
        <f t="shared" ref="A50:A58" si="2">$R$2&amp;".wCntLimit"</f>
        <v>АСУЭ.IMt_MON.wCntLimit</v>
      </c>
      <c r="B50" s="70">
        <v>11154</v>
      </c>
      <c r="C50" s="70" t="s">
        <v>4</v>
      </c>
      <c r="D50" s="71">
        <f>$Q$6</f>
        <v>8</v>
      </c>
    </row>
    <row r="51" spans="1:17">
      <c r="A51" s="63" t="str">
        <f t="shared" si="2"/>
        <v>АСУЭ.IMt_MON.wCntLimit</v>
      </c>
      <c r="B51" s="52">
        <v>11152</v>
      </c>
      <c r="C51" s="52" t="s">
        <v>0</v>
      </c>
      <c r="D51" s="65" t="str">
        <f>$R$6</f>
        <v>Предупреждение</v>
      </c>
    </row>
    <row r="52" spans="1:17">
      <c r="A52" s="63" t="str">
        <f t="shared" si="2"/>
        <v>АСУЭ.IMt_MON.wCntLimit</v>
      </c>
      <c r="B52" s="52">
        <v>11150</v>
      </c>
      <c r="C52" s="52" t="s">
        <v>0</v>
      </c>
      <c r="D52" s="65" t="s">
        <v>157</v>
      </c>
    </row>
    <row r="53" spans="1:17">
      <c r="A53" s="63" t="str">
        <f t="shared" si="2"/>
        <v>АСУЭ.IMt_MON.wCntLimit</v>
      </c>
      <c r="B53" s="52">
        <v>11000</v>
      </c>
      <c r="C53" s="52" t="s">
        <v>5</v>
      </c>
      <c r="D53" s="65">
        <v>2147483680</v>
      </c>
    </row>
    <row r="54" spans="1:17">
      <c r="A54" s="29" t="str">
        <f t="shared" si="2"/>
        <v>АСУЭ.IMt_MON.wCntLimit</v>
      </c>
      <c r="B54">
        <v>101</v>
      </c>
      <c r="C54" t="s">
        <v>0</v>
      </c>
      <c r="D54" s="30" t="s">
        <v>157</v>
      </c>
    </row>
    <row r="55" spans="1:17">
      <c r="A55" s="29" t="str">
        <f t="shared" si="2"/>
        <v>АСУЭ.IMt_MON.wCntLimit</v>
      </c>
      <c r="B55">
        <v>3</v>
      </c>
      <c r="C55" t="s">
        <v>1</v>
      </c>
      <c r="D55" s="30">
        <v>192</v>
      </c>
    </row>
    <row r="56" spans="1:17">
      <c r="A56" s="29" t="str">
        <f t="shared" si="2"/>
        <v>АСУЭ.IMt_MON.wCntLimit</v>
      </c>
      <c r="B56">
        <v>2</v>
      </c>
      <c r="C56" t="s">
        <v>2</v>
      </c>
      <c r="D56" s="30" t="s">
        <v>3</v>
      </c>
    </row>
    <row r="57" spans="1:17">
      <c r="A57" s="29" t="str">
        <f t="shared" si="2"/>
        <v>АСУЭ.IMt_MON.wCntLimit</v>
      </c>
      <c r="B57">
        <v>3000000</v>
      </c>
      <c r="C57" t="s">
        <v>0</v>
      </c>
      <c r="D57" s="30" t="s">
        <v>2330</v>
      </c>
    </row>
    <row r="58" spans="1:17">
      <c r="A58" s="26" t="str">
        <f t="shared" si="2"/>
        <v>АСУЭ.IMt_MON.wCntLimit</v>
      </c>
      <c r="B58" s="27">
        <v>1</v>
      </c>
      <c r="C58" s="27" t="s">
        <v>1</v>
      </c>
      <c r="D58" s="28">
        <v>11</v>
      </c>
    </row>
    <row r="59" spans="1:17">
      <c r="A59" s="23" t="str">
        <f t="shared" ref="A59:A68" si="3">$R$2&amp;".fFault"</f>
        <v>АСУЭ.IMt_MON.fFault</v>
      </c>
      <c r="B59" s="24">
        <v>1</v>
      </c>
      <c r="C59" s="24" t="s">
        <v>1</v>
      </c>
      <c r="D59" s="25">
        <v>11</v>
      </c>
    </row>
    <row r="60" spans="1:17">
      <c r="A60" s="29" t="str">
        <f t="shared" si="3"/>
        <v>АСУЭ.IMt_MON.fFault</v>
      </c>
      <c r="B60">
        <v>2</v>
      </c>
      <c r="C60" t="s">
        <v>2</v>
      </c>
      <c r="D60" s="30" t="s">
        <v>3</v>
      </c>
    </row>
    <row r="61" spans="1:17">
      <c r="A61" s="29" t="str">
        <f t="shared" si="3"/>
        <v>АСУЭ.IMt_MON.fFault</v>
      </c>
      <c r="B61">
        <v>3</v>
      </c>
      <c r="C61" t="s">
        <v>1</v>
      </c>
      <c r="D61" s="30">
        <v>192</v>
      </c>
    </row>
    <row r="62" spans="1:17">
      <c r="A62" s="211" t="str">
        <f t="shared" si="3"/>
        <v>АСУЭ.IMt_MON.fFault</v>
      </c>
      <c r="B62" s="677">
        <v>11152</v>
      </c>
      <c r="C62" s="677" t="s">
        <v>0</v>
      </c>
      <c r="D62" s="213" t="str">
        <f>$R$7</f>
        <v>Неисправность</v>
      </c>
    </row>
    <row r="63" spans="1:17">
      <c r="A63" s="211" t="str">
        <f t="shared" si="3"/>
        <v>АСУЭ.IMt_MON.fFault</v>
      </c>
      <c r="B63" s="677">
        <v>11000</v>
      </c>
      <c r="C63" s="677" t="s">
        <v>5</v>
      </c>
      <c r="D63" s="213">
        <v>2147483680</v>
      </c>
    </row>
    <row r="64" spans="1:17">
      <c r="A64" s="211" t="str">
        <f t="shared" si="3"/>
        <v>АСУЭ.IMt_MON.fFault</v>
      </c>
      <c r="B64" s="677">
        <v>11150</v>
      </c>
      <c r="C64" s="677" t="s">
        <v>0</v>
      </c>
      <c r="D64" s="213" t="s">
        <v>110</v>
      </c>
    </row>
    <row r="65" spans="1:4">
      <c r="A65" s="211" t="str">
        <f t="shared" si="3"/>
        <v>АСУЭ.IMt_MON.fFault</v>
      </c>
      <c r="B65" s="677">
        <v>11154</v>
      </c>
      <c r="C65" s="677" t="s">
        <v>4</v>
      </c>
      <c r="D65" s="213">
        <f>$Q$7</f>
        <v>12</v>
      </c>
    </row>
    <row r="66" spans="1:4">
      <c r="A66" s="29" t="str">
        <f t="shared" si="3"/>
        <v>АСУЭ.IMt_MON.fFault</v>
      </c>
      <c r="B66">
        <v>101</v>
      </c>
      <c r="C66" t="s">
        <v>0</v>
      </c>
      <c r="D66" s="30" t="s">
        <v>176</v>
      </c>
    </row>
    <row r="67" spans="1:4">
      <c r="A67" s="29" t="str">
        <f t="shared" si="3"/>
        <v>АСУЭ.IMt_MON.fFault</v>
      </c>
      <c r="B67">
        <v>7998</v>
      </c>
      <c r="C67" t="s">
        <v>6</v>
      </c>
      <c r="D67" s="30">
        <v>1</v>
      </c>
    </row>
    <row r="68" spans="1:4">
      <c r="A68" s="26" t="str">
        <f t="shared" si="3"/>
        <v>АСУЭ.IMt_MON.fFault</v>
      </c>
      <c r="B68" s="27">
        <v>7999</v>
      </c>
      <c r="C68" s="27" t="s">
        <v>0</v>
      </c>
      <c r="D68" s="28" t="str">
        <f>"#"&amp;$S$2&amp;"#"&amp;$T$2&amp;"\"&amp;$P$2&amp;"\fFault"</f>
        <v>#3#\\Setup_rza\Modbus.OPCServer\ZRU_Sepam\\fFault</v>
      </c>
    </row>
    <row r="69" spans="1:4">
      <c r="A69" s="217" t="str">
        <f t="shared" ref="A69:A76" si="4">$R$2&amp;".wTUnkw"</f>
        <v>АСУЭ.IMt_MON.wTUnkw</v>
      </c>
      <c r="B69" s="218">
        <v>11154</v>
      </c>
      <c r="C69" s="218" t="s">
        <v>4</v>
      </c>
      <c r="D69" s="231">
        <f>$Q$7</f>
        <v>12</v>
      </c>
    </row>
    <row r="70" spans="1:4">
      <c r="A70" s="211" t="str">
        <f t="shared" si="4"/>
        <v>АСУЭ.IMt_MON.wTUnkw</v>
      </c>
      <c r="B70" s="677">
        <v>11152</v>
      </c>
      <c r="C70" s="677" t="s">
        <v>0</v>
      </c>
      <c r="D70" s="213" t="str">
        <f>$R$7</f>
        <v>Неисправность</v>
      </c>
    </row>
    <row r="71" spans="1:4">
      <c r="A71" s="211" t="str">
        <f t="shared" si="4"/>
        <v>АСУЭ.IMt_MON.wTUnkw</v>
      </c>
      <c r="B71" s="677">
        <v>11150</v>
      </c>
      <c r="C71" s="677" t="s">
        <v>0</v>
      </c>
      <c r="D71" s="213" t="s">
        <v>258</v>
      </c>
    </row>
    <row r="72" spans="1:4">
      <c r="A72" s="211" t="str">
        <f t="shared" si="4"/>
        <v>АСУЭ.IMt_MON.wTUnkw</v>
      </c>
      <c r="B72" s="677">
        <v>11000</v>
      </c>
      <c r="C72" s="677" t="s">
        <v>5</v>
      </c>
      <c r="D72" s="213">
        <v>2147483680</v>
      </c>
    </row>
    <row r="73" spans="1:4">
      <c r="A73" s="29" t="str">
        <f t="shared" si="4"/>
        <v>АСУЭ.IMt_MON.wTUnkw</v>
      </c>
      <c r="B73">
        <v>101</v>
      </c>
      <c r="C73" t="s">
        <v>0</v>
      </c>
      <c r="D73" s="30" t="s">
        <v>258</v>
      </c>
    </row>
    <row r="74" spans="1:4">
      <c r="A74" s="29" t="str">
        <f t="shared" si="4"/>
        <v>АСУЭ.IMt_MON.wTUnkw</v>
      </c>
      <c r="B74">
        <v>3</v>
      </c>
      <c r="C74" t="s">
        <v>1</v>
      </c>
      <c r="D74" s="30">
        <v>192</v>
      </c>
    </row>
    <row r="75" spans="1:4">
      <c r="A75" s="29" t="str">
        <f t="shared" si="4"/>
        <v>АСУЭ.IMt_MON.wTUnkw</v>
      </c>
      <c r="B75">
        <v>2</v>
      </c>
      <c r="C75" t="s">
        <v>2</v>
      </c>
      <c r="D75" s="30" t="s">
        <v>3</v>
      </c>
    </row>
    <row r="76" spans="1:4">
      <c r="A76" s="26" t="str">
        <f t="shared" si="4"/>
        <v>АСУЭ.IMt_MON.wTUnkw</v>
      </c>
      <c r="B76" s="27">
        <v>1</v>
      </c>
      <c r="C76" s="27" t="s">
        <v>1</v>
      </c>
      <c r="D76" s="28">
        <v>11</v>
      </c>
    </row>
    <row r="77" spans="1:4">
      <c r="A77" s="23" t="str">
        <f t="shared" ref="A77:A84" si="5">$R$2&amp;".wTDbl"</f>
        <v>АСУЭ.IMt_MON.wTDbl</v>
      </c>
      <c r="B77" s="24">
        <v>1</v>
      </c>
      <c r="C77" s="24" t="s">
        <v>1</v>
      </c>
      <c r="D77" s="25">
        <v>11</v>
      </c>
    </row>
    <row r="78" spans="1:4">
      <c r="A78" s="29" t="str">
        <f t="shared" si="5"/>
        <v>АСУЭ.IMt_MON.wTDbl</v>
      </c>
      <c r="B78">
        <v>2</v>
      </c>
      <c r="C78" t="s">
        <v>2</v>
      </c>
      <c r="D78" s="30" t="s">
        <v>3</v>
      </c>
    </row>
    <row r="79" spans="1:4">
      <c r="A79" s="29" t="str">
        <f t="shared" si="5"/>
        <v>АСУЭ.IMt_MON.wTDbl</v>
      </c>
      <c r="B79">
        <v>3</v>
      </c>
      <c r="C79" t="s">
        <v>1</v>
      </c>
      <c r="D79" s="30">
        <v>192</v>
      </c>
    </row>
    <row r="80" spans="1:4">
      <c r="A80" s="29" t="str">
        <f t="shared" si="5"/>
        <v>АСУЭ.IMt_MON.wTDbl</v>
      </c>
      <c r="B80">
        <v>101</v>
      </c>
      <c r="C80" t="s">
        <v>0</v>
      </c>
      <c r="D80" s="30" t="s">
        <v>259</v>
      </c>
    </row>
    <row r="81" spans="1:4">
      <c r="A81" s="211" t="str">
        <f t="shared" si="5"/>
        <v>АСУЭ.IMt_MON.wTDbl</v>
      </c>
      <c r="B81" s="677">
        <v>11000</v>
      </c>
      <c r="C81" s="677" t="s">
        <v>5</v>
      </c>
      <c r="D81" s="213">
        <v>2147483680</v>
      </c>
    </row>
    <row r="82" spans="1:4">
      <c r="A82" s="211" t="str">
        <f t="shared" si="5"/>
        <v>АСУЭ.IMt_MON.wTDbl</v>
      </c>
      <c r="B82" s="677">
        <v>11150</v>
      </c>
      <c r="C82" s="677" t="s">
        <v>0</v>
      </c>
      <c r="D82" s="213" t="s">
        <v>259</v>
      </c>
    </row>
    <row r="83" spans="1:4">
      <c r="A83" s="211" t="str">
        <f t="shared" si="5"/>
        <v>АСУЭ.IMt_MON.wTDbl</v>
      </c>
      <c r="B83" s="677">
        <v>11152</v>
      </c>
      <c r="C83" s="677" t="s">
        <v>0</v>
      </c>
      <c r="D83" s="213" t="str">
        <f>$R$7</f>
        <v>Неисправность</v>
      </c>
    </row>
    <row r="84" spans="1:4">
      <c r="A84" s="214" t="str">
        <f t="shared" si="5"/>
        <v>АСУЭ.IMt_MON.wTDbl</v>
      </c>
      <c r="B84" s="215">
        <v>11154</v>
      </c>
      <c r="C84" s="215" t="s">
        <v>4</v>
      </c>
      <c r="D84" s="216">
        <f>$Q$7</f>
        <v>12</v>
      </c>
    </row>
    <row r="85" spans="1:4">
      <c r="A85" s="29" t="str">
        <f t="shared" ref="A85:A97" si="6">$R$2&amp;".stTOn"</f>
        <v>АСУЭ.IMt_MON.stTOn</v>
      </c>
      <c r="B85" s="24">
        <v>7011</v>
      </c>
      <c r="C85" s="24" t="s">
        <v>2</v>
      </c>
      <c r="D85" s="25" t="s">
        <v>266</v>
      </c>
    </row>
    <row r="86" spans="1:4">
      <c r="A86" s="29" t="str">
        <f t="shared" si="6"/>
        <v>АСУЭ.IMt_MON.stTOn</v>
      </c>
      <c r="B86">
        <v>1</v>
      </c>
      <c r="C86" t="s">
        <v>1</v>
      </c>
      <c r="D86" s="30">
        <v>11</v>
      </c>
    </row>
    <row r="87" spans="1:4">
      <c r="A87" s="29" t="str">
        <f t="shared" si="6"/>
        <v>АСУЭ.IMt_MON.stTOn</v>
      </c>
      <c r="B87">
        <v>2</v>
      </c>
      <c r="C87" t="s">
        <v>2</v>
      </c>
      <c r="D87" s="30" t="s">
        <v>3</v>
      </c>
    </row>
    <row r="88" spans="1:4">
      <c r="A88" s="29" t="str">
        <f t="shared" si="6"/>
        <v>АСУЭ.IMt_MON.stTOn</v>
      </c>
      <c r="B88">
        <v>3</v>
      </c>
      <c r="C88" t="s">
        <v>1</v>
      </c>
      <c r="D88" s="30">
        <v>192</v>
      </c>
    </row>
    <row r="89" spans="1:4">
      <c r="A89" s="29" t="str">
        <f t="shared" si="6"/>
        <v>АСУЭ.IMt_MON.stTOn</v>
      </c>
      <c r="B89">
        <v>101</v>
      </c>
      <c r="C89" t="s">
        <v>0</v>
      </c>
      <c r="D89" s="30" t="s">
        <v>1856</v>
      </c>
    </row>
    <row r="90" spans="1:4">
      <c r="A90" s="29" t="str">
        <f t="shared" si="6"/>
        <v>АСУЭ.IMt_MON.stTOn</v>
      </c>
      <c r="B90">
        <v>7999</v>
      </c>
      <c r="C90" t="s">
        <v>0</v>
      </c>
      <c r="D90" s="30" t="str">
        <f>"#"&amp;$S$2&amp;"#"&amp;$T$2&amp;"\"&amp;$P$2&amp;"\stTOn"</f>
        <v>#3#\\Setup_rza\Modbus.OPCServer\ZRU_Sepam\\stTOn</v>
      </c>
    </row>
    <row r="91" spans="1:4">
      <c r="A91" s="29" t="str">
        <f t="shared" si="6"/>
        <v>АСУЭ.IMt_MON.stTOn</v>
      </c>
      <c r="B91">
        <v>7998</v>
      </c>
      <c r="C91" t="s">
        <v>6</v>
      </c>
      <c r="D91" s="30">
        <v>1</v>
      </c>
    </row>
    <row r="92" spans="1:4">
      <c r="A92" t="str">
        <f t="shared" si="6"/>
        <v>АСУЭ.IMt_MON.stTOn</v>
      </c>
      <c r="B92">
        <v>7000000</v>
      </c>
      <c r="C92" t="s">
        <v>6</v>
      </c>
      <c r="D92" s="30">
        <v>1</v>
      </c>
    </row>
    <row r="93" spans="1:4" ht="43.2">
      <c r="A93" s="29" t="str">
        <f t="shared" si="6"/>
        <v>АСУЭ.IMt_MON.stTOn</v>
      </c>
      <c r="B93">
        <v>4000000</v>
      </c>
      <c r="C93" t="s">
        <v>0</v>
      </c>
      <c r="D93" s="415" t="s">
        <v>2693</v>
      </c>
    </row>
    <row r="94" spans="1:4">
      <c r="A94" s="100" t="str">
        <f t="shared" si="6"/>
        <v>АСУЭ.IMt_MON.stTOn</v>
      </c>
      <c r="B94" s="679">
        <v>11000</v>
      </c>
      <c r="C94" s="679" t="s">
        <v>5</v>
      </c>
      <c r="D94" s="103">
        <v>2147483680</v>
      </c>
    </row>
    <row r="95" spans="1:4">
      <c r="A95" s="100" t="str">
        <f t="shared" si="6"/>
        <v>АСУЭ.IMt_MON.stTOn</v>
      </c>
      <c r="B95" s="679">
        <v>11150</v>
      </c>
      <c r="C95" s="679" t="s">
        <v>0</v>
      </c>
      <c r="D95" s="103" t="s">
        <v>1856</v>
      </c>
    </row>
    <row r="96" spans="1:4">
      <c r="A96" s="100" t="str">
        <f t="shared" si="6"/>
        <v>АСУЭ.IMt_MON.stTOn</v>
      </c>
      <c r="B96" s="679">
        <v>11152</v>
      </c>
      <c r="C96" s="679" t="s">
        <v>0</v>
      </c>
      <c r="D96" s="103" t="str">
        <f>$R$8</f>
        <v>Телесигнализация</v>
      </c>
    </row>
    <row r="97" spans="1:4">
      <c r="A97" s="170" t="str">
        <f t="shared" si="6"/>
        <v>АСУЭ.IMt_MON.stTOn</v>
      </c>
      <c r="B97" s="171">
        <v>11154</v>
      </c>
      <c r="C97" s="171" t="s">
        <v>4</v>
      </c>
      <c r="D97" s="172">
        <f>$Q$8</f>
        <v>18</v>
      </c>
    </row>
    <row r="98" spans="1:4">
      <c r="A98" s="29" t="str">
        <f t="shared" ref="A98:A110" si="7">$R$2&amp;".stTOff"</f>
        <v>АСУЭ.IMt_MON.stTOff</v>
      </c>
      <c r="B98" s="24">
        <v>7011</v>
      </c>
      <c r="C98" s="24" t="s">
        <v>2</v>
      </c>
      <c r="D98" s="25" t="s">
        <v>266</v>
      </c>
    </row>
    <row r="99" spans="1:4">
      <c r="A99" s="1" t="str">
        <f t="shared" si="7"/>
        <v>АСУЭ.IMt_MON.stTOff</v>
      </c>
      <c r="B99" s="1">
        <v>1</v>
      </c>
      <c r="C99" s="1" t="s">
        <v>1</v>
      </c>
      <c r="D99" s="30">
        <v>11</v>
      </c>
    </row>
    <row r="100" spans="1:4">
      <c r="A100" s="29" t="str">
        <f t="shared" si="7"/>
        <v>АСУЭ.IMt_MON.stTOff</v>
      </c>
      <c r="B100">
        <v>2</v>
      </c>
      <c r="C100" t="s">
        <v>2</v>
      </c>
      <c r="D100" s="30" t="s">
        <v>3</v>
      </c>
    </row>
    <row r="101" spans="1:4">
      <c r="A101" s="29" t="str">
        <f t="shared" si="7"/>
        <v>АСУЭ.IMt_MON.stTOff</v>
      </c>
      <c r="B101">
        <v>3</v>
      </c>
      <c r="C101" t="s">
        <v>1</v>
      </c>
      <c r="D101" s="30">
        <v>192</v>
      </c>
    </row>
    <row r="102" spans="1:4">
      <c r="A102" s="29" t="str">
        <f t="shared" si="7"/>
        <v>АСУЭ.IMt_MON.stTOff</v>
      </c>
      <c r="B102">
        <v>101</v>
      </c>
      <c r="C102" t="s">
        <v>0</v>
      </c>
      <c r="D102" s="30" t="s">
        <v>1857</v>
      </c>
    </row>
    <row r="103" spans="1:4">
      <c r="A103" s="29" t="str">
        <f t="shared" si="7"/>
        <v>АСУЭ.IMt_MON.stTOff</v>
      </c>
      <c r="B103">
        <v>7999</v>
      </c>
      <c r="C103" t="s">
        <v>0</v>
      </c>
      <c r="D103" s="30" t="str">
        <f>"#"&amp;$S$2&amp;"#"&amp;$T$2&amp;"\"&amp;$P$2&amp;"\stTOff"</f>
        <v>#3#\\Setup_rza\Modbus.OPCServer\ZRU_Sepam\\stTOff</v>
      </c>
    </row>
    <row r="104" spans="1:4">
      <c r="A104" s="29" t="str">
        <f t="shared" si="7"/>
        <v>АСУЭ.IMt_MON.stTOff</v>
      </c>
      <c r="B104">
        <v>7998</v>
      </c>
      <c r="C104" t="s">
        <v>6</v>
      </c>
      <c r="D104" s="30">
        <v>1</v>
      </c>
    </row>
    <row r="105" spans="1:4">
      <c r="A105" s="29" t="str">
        <f t="shared" si="7"/>
        <v>АСУЭ.IMt_MON.stTOff</v>
      </c>
      <c r="B105">
        <v>7000000</v>
      </c>
      <c r="C105" t="s">
        <v>6</v>
      </c>
      <c r="D105" s="30">
        <v>1</v>
      </c>
    </row>
    <row r="106" spans="1:4" ht="43.2">
      <c r="A106" s="29" t="str">
        <f t="shared" si="7"/>
        <v>АСУЭ.IMt_MON.stTOff</v>
      </c>
      <c r="B106">
        <v>4000000</v>
      </c>
      <c r="C106" t="s">
        <v>0</v>
      </c>
      <c r="D106" s="415" t="s">
        <v>2694</v>
      </c>
    </row>
    <row r="107" spans="1:4">
      <c r="A107" s="100" t="str">
        <f t="shared" si="7"/>
        <v>АСУЭ.IMt_MON.stTOff</v>
      </c>
      <c r="B107" s="679">
        <v>11000</v>
      </c>
      <c r="C107" s="679" t="s">
        <v>5</v>
      </c>
      <c r="D107" s="103">
        <v>2147483680</v>
      </c>
    </row>
    <row r="108" spans="1:4">
      <c r="A108" s="100" t="str">
        <f t="shared" si="7"/>
        <v>АСУЭ.IMt_MON.stTOff</v>
      </c>
      <c r="B108" s="679">
        <v>11150</v>
      </c>
      <c r="C108" s="679" t="s">
        <v>0</v>
      </c>
      <c r="D108" s="103" t="s">
        <v>1857</v>
      </c>
    </row>
    <row r="109" spans="1:4">
      <c r="A109" s="100" t="str">
        <f t="shared" si="7"/>
        <v>АСУЭ.IMt_MON.stTOff</v>
      </c>
      <c r="B109" s="679">
        <v>11152</v>
      </c>
      <c r="C109" s="679" t="s">
        <v>0</v>
      </c>
      <c r="D109" s="103" t="str">
        <f>$R$8</f>
        <v>Телесигнализация</v>
      </c>
    </row>
    <row r="110" spans="1:4">
      <c r="A110" s="170" t="str">
        <f t="shared" si="7"/>
        <v>АСУЭ.IMt_MON.stTOff</v>
      </c>
      <c r="B110" s="171">
        <v>11154</v>
      </c>
      <c r="C110" s="171" t="s">
        <v>4</v>
      </c>
      <c r="D110" s="172">
        <f>$Q$8</f>
        <v>18</v>
      </c>
    </row>
    <row r="111" spans="1:4">
      <c r="A111" s="23" t="str">
        <f t="shared" ref="A111:A121" si="8">$R$2&amp;".Commands.coRepair"</f>
        <v>АСУЭ.IMt_MON.Commands.coRepair</v>
      </c>
      <c r="B111" s="24">
        <v>7011</v>
      </c>
      <c r="C111" s="24" t="s">
        <v>2</v>
      </c>
      <c r="D111" s="25" t="s">
        <v>266</v>
      </c>
    </row>
    <row r="112" spans="1:4">
      <c r="A112" t="str">
        <f t="shared" si="8"/>
        <v>АСУЭ.IMt_MON.Commands.coRepair</v>
      </c>
      <c r="B112">
        <v>1</v>
      </c>
      <c r="C112" t="s">
        <v>1</v>
      </c>
      <c r="D112" s="30">
        <v>11</v>
      </c>
    </row>
    <row r="113" spans="1:4">
      <c r="A113" s="29" t="str">
        <f t="shared" si="8"/>
        <v>АСУЭ.IMt_MON.Commands.coRepair</v>
      </c>
      <c r="B113">
        <v>2</v>
      </c>
      <c r="C113" t="s">
        <v>2</v>
      </c>
      <c r="D113" s="30" t="s">
        <v>3</v>
      </c>
    </row>
    <row r="114" spans="1:4">
      <c r="A114" s="29" t="str">
        <f t="shared" si="8"/>
        <v>АСУЭ.IMt_MON.Commands.coRepair</v>
      </c>
      <c r="B114">
        <v>3</v>
      </c>
      <c r="C114" t="s">
        <v>1</v>
      </c>
      <c r="D114" s="30">
        <v>192</v>
      </c>
    </row>
    <row r="115" spans="1:4">
      <c r="A115" s="29" t="str">
        <f t="shared" si="8"/>
        <v>АСУЭ.IMt_MON.Commands.coRepair</v>
      </c>
      <c r="B115">
        <v>101</v>
      </c>
      <c r="C115" t="s">
        <v>0</v>
      </c>
      <c r="D115" s="30" t="s">
        <v>235</v>
      </c>
    </row>
    <row r="116" spans="1:4">
      <c r="A116" s="140" t="str">
        <f t="shared" si="8"/>
        <v>АСУЭ.IMt_MON.Commands.coRepair</v>
      </c>
      <c r="B116" s="687">
        <v>11000</v>
      </c>
      <c r="C116" s="687" t="s">
        <v>5</v>
      </c>
      <c r="D116" s="142">
        <v>2147483680</v>
      </c>
    </row>
    <row r="117" spans="1:4">
      <c r="A117" s="140" t="str">
        <f t="shared" si="8"/>
        <v>АСУЭ.IMt_MON.Commands.coRepair</v>
      </c>
      <c r="B117" s="687">
        <v>11150</v>
      </c>
      <c r="C117" s="687" t="s">
        <v>0</v>
      </c>
      <c r="D117" s="142" t="s">
        <v>89</v>
      </c>
    </row>
    <row r="118" spans="1:4">
      <c r="A118" s="140" t="str">
        <f t="shared" si="8"/>
        <v>АСУЭ.IMt_MON.Commands.coRepair</v>
      </c>
      <c r="B118" s="687">
        <v>11152</v>
      </c>
      <c r="C118" s="687" t="s">
        <v>0</v>
      </c>
      <c r="D118" s="142" t="str">
        <f>$R$11</f>
        <v>Ремонт</v>
      </c>
    </row>
    <row r="119" spans="1:4">
      <c r="A119" s="140" t="str">
        <f t="shared" si="8"/>
        <v>АСУЭ.IMt_MON.Commands.coRepair</v>
      </c>
      <c r="B119" s="687">
        <v>11154</v>
      </c>
      <c r="C119" s="687" t="s">
        <v>4</v>
      </c>
      <c r="D119" s="142">
        <f>$Q$11</f>
        <v>14</v>
      </c>
    </row>
    <row r="120" spans="1:4" ht="86.4">
      <c r="A120" s="29" t="str">
        <f t="shared" si="8"/>
        <v>АСУЭ.IMt_MON.Commands.coRepair</v>
      </c>
      <c r="B120">
        <v>4000000</v>
      </c>
      <c r="C120" t="s">
        <v>0</v>
      </c>
      <c r="D120" s="415" t="s">
        <v>2912</v>
      </c>
    </row>
    <row r="121" spans="1:4">
      <c r="A121" s="26" t="str">
        <f t="shared" si="8"/>
        <v>АСУЭ.IMt_MON.Commands.coRepair</v>
      </c>
      <c r="B121" s="27">
        <v>7000000</v>
      </c>
      <c r="C121" s="27" t="s">
        <v>6</v>
      </c>
      <c r="D121" s="28">
        <v>2</v>
      </c>
    </row>
  </sheetData>
  <autoFilter ref="B1:B19" xr:uid="{00000000-0009-0000-0000-00002B000000}"/>
  <mergeCells count="7">
    <mergeCell ref="Q42:Q43"/>
    <mergeCell ref="Q46:Q48"/>
    <mergeCell ref="Q26:Q29"/>
    <mergeCell ref="Q30:Q31"/>
    <mergeCell ref="Q32:Q34"/>
    <mergeCell ref="Q35:Q37"/>
    <mergeCell ref="Q40:Q41"/>
  </mergeCell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Лист136">
    <tabColor rgb="FFFFC000"/>
  </sheetPr>
  <dimension ref="A1:BP818"/>
  <sheetViews>
    <sheetView topLeftCell="A4" zoomScale="70" zoomScaleNormal="70" workbookViewId="0">
      <selection activeCell="D2" sqref="D2:D4"/>
    </sheetView>
  </sheetViews>
  <sheetFormatPr defaultRowHeight="14.4"/>
  <cols>
    <col min="1" max="1" width="66.4414062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1" s="258" customFormat="1" ht="204.6" thickBot="1">
      <c r="A1" s="257"/>
      <c r="B1" s="260" t="s">
        <v>84</v>
      </c>
      <c r="C1" s="257"/>
      <c r="D1" s="257"/>
      <c r="E1" s="257"/>
      <c r="F1" s="257"/>
      <c r="P1" s="263" t="str">
        <f>Таблица!D1</f>
        <v>Префикс для TREI
Тэг ОРС для INFINITY</v>
      </c>
      <c r="Q1" s="263" t="str">
        <f>Таблица!E1</f>
        <v>Комментарий для TREI и INFINITY</v>
      </c>
      <c r="R1" s="263" t="str">
        <f>Таблица!F1</f>
        <v>ТЭГ в дереве INFINITY Server</v>
      </c>
      <c r="S1" s="263"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540" t="str">
        <f>Таблица!H1</f>
        <v>OPC путь 
№ маршрута Modbus TCP, Modbus RTU, Modbus over TCP (1-255)
№ КП IEC104 (1-65534)</v>
      </c>
      <c r="U1" s="263" t="str">
        <f>Таблица!I1</f>
        <v>OPC путь</v>
      </c>
      <c r="V1" s="263" t="str">
        <f>Таблица!J1</f>
        <v>Мнемосхема</v>
      </c>
      <c r="W1" s="263"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63"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63" t="str">
        <f>Таблица!M1</f>
        <v>FB_IMt_MON_S, IMt_MON: Только для трансформатора. Цвет нижних обмоток(-ки) при наличии напряжения</v>
      </c>
      <c r="Z1" s="263"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63"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63" t="str">
        <f>Таблица!P1</f>
        <v xml:space="preserve">FB_DI_S, FB_DO_S, DI, DI_DIAG, FB_DO_STB_S: Тип сигнализации (Авария, предупреждение, телесигнализация и тд.)
FB_SHPS_S(SB), FB_BTF_S: Тип сигнализации XFRX
</v>
      </c>
      <c r="AC1" s="263"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63" t="str">
        <f>Таблица!R1</f>
        <v>SEPAM: Тип ячейки (OL,SV,VV,TN)
BMRZ: Тип ячейки (VV,AV)
TOR: Тип ячейки (OL,SV,VV,TN,BK)</v>
      </c>
      <c r="AE1" s="263" t="str">
        <f>Таблица!S1</f>
        <v>Формула для fNoLink.Device</v>
      </c>
      <c r="AF1" s="263">
        <f>Таблица!T1</f>
        <v>0</v>
      </c>
      <c r="AG1" s="263">
        <f>Таблица!U1</f>
        <v>0</v>
      </c>
      <c r="AH1" s="263">
        <f>Таблица!V1</f>
        <v>0</v>
      </c>
      <c r="AI1" s="263">
        <f>Таблица!W1</f>
        <v>0</v>
      </c>
      <c r="AJ1" s="263">
        <f>Таблица!X1</f>
        <v>0</v>
      </c>
      <c r="AK1" s="541" t="str">
        <f>Таблица!Y1</f>
        <v>FB_AI_S, FB_DI_S, FB_QSA_S, FB_DO_S, FB_SHPS_S, FB_SHOP_S, FB_BTF_S: IVXX
FB_KL_UPT_S: ISON
SW_S301, SW_MES3508: Подключение к порту 1
SW_MAYAK: Подключение к порту 1,2 (через "\")
DI_DIAG, DO_DIAG: XVLX</v>
      </c>
      <c r="AL1" s="541"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541"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541" t="str">
        <f>Таблица!AB1</f>
        <v>FB_IMstp_S, FB_IMsp_S, FB_IMs_S, FB_REG_S, FB_IM_ADES_S : ILCX
SW_S301: Подключение к порту 4
SW_MAYAK, SW_MES3508: Подключение к порту 7,8 (через "\")</v>
      </c>
      <c r="AO1" s="542" t="str">
        <f>Таблица!AC1</f>
        <v xml:space="preserve">FB_IMstp_S, FB_IMsp_S, FB_IMs_S, FB_IMp_S, FB_IMv_S, FB_REG_S, FB_IM_ADES_S, FB_DO_S : IRCX
SW_S301, SW_MES3508: Подключение к порту 5
SW_MAYAK: Подключение к порту 9,10 (через "\")
</v>
      </c>
      <c r="AP1" s="542"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542"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542" t="str">
        <f>Таблица!AF1</f>
        <v xml:space="preserve">FB_IMstp_S, FB_IMsp_S, FB_IMs_S, FB_IMp_S, FB_IMv_S, FB_IM_ADES_S, FB_OZK_KD_S, FB_DO_S: OXOF
SW_S301, SW_MES3508: Подключение к порту 8
SW_MAYAK: Подключение к порту 15,16 (через "\")
</v>
      </c>
      <c r="AS1" s="542" t="str">
        <f>Таблица!AG1</f>
        <v xml:space="preserve">FB_IM_ADES_S, FB_IMp_S, FB_IMv_S: OXSP
FB_IMstp_S, FB_IMsp_S, FB_IMsp_MON_S: IPTC
SW_S301, SW_MES3508: Подключение к порту 9
SW_MAYAK: Подключение к порту 17,18 (через "\")
</v>
      </c>
      <c r="AT1" s="542" t="str">
        <f>Таблица!AH1</f>
        <v xml:space="preserve">FB_IMstp_S, FB_IMst_MON_S, FB_IMt_MON_S: ITON
FB_IM_ADES_S: IOLD
SW_S301, SW_MES3508: Подключение к порту 10
SW_MAYAK: Подключение к порту 19,20 (через "\")
</v>
      </c>
      <c r="AU1" s="542" t="str">
        <f>Таблица!AI1</f>
        <v>FB_IMstp_S, FB_IMst_MON_S, FB_IMt_MON_S: ITOF
FB_IM_ADES_S: IRAD
SW_MAYAK: Подключение к порту 21,22 (через "\")</v>
      </c>
      <c r="AV1" s="542" t="str">
        <f>Таблица!AJ1</f>
        <v xml:space="preserve">FB_IMstp_S, FB_IMsp_S, FB_IMsp_MON_S, FB_IM_ADES_S: IPTO
SW_MAYAK: Подключение к порту 23,24 (через "\")
</v>
      </c>
      <c r="AW1" s="261"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61" t="str">
        <f>Таблица!AL1</f>
        <v>Для TREI
FB_IMstp_S, FB_IMs_S, FB_IMp_S, FB_IMv_S, FB_IM_ADES_S: Настройка перехода ручной-/автоматический-(TRUE/FALSE) 
FB_DI_S: Генерировать метки времени (TRUE/FALSE)</v>
      </c>
      <c r="AY1" s="261"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61" t="str">
        <f>Таблица!AN1</f>
        <v>Для TREI
FB_AI_S, FB_QSA_S: Верхний предел датчика
FB_IMp_S, FB_IMv_S, FB_IM_ADES_S, FB_OZK_KD_S: Время перестановки</v>
      </c>
      <c r="BA1" s="261"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F1" s="259"/>
      <c r="BG1" s="259"/>
      <c r="BH1" s="259"/>
      <c r="BI1" s="259"/>
    </row>
    <row r="2" spans="1:61" ht="15" customHeight="1">
      <c r="A2" s="9"/>
      <c r="B2" s="9"/>
      <c r="C2" s="9"/>
      <c r="D2" s="9"/>
      <c r="E2" s="9"/>
      <c r="F2" s="9"/>
      <c r="P2" s="2" t="s">
        <v>502</v>
      </c>
      <c r="Q2" s="2" t="s">
        <v>331</v>
      </c>
      <c r="R2" s="2" t="s">
        <v>747</v>
      </c>
      <c r="S2" s="3">
        <v>3</v>
      </c>
      <c r="T2" s="3" t="s">
        <v>1699</v>
      </c>
      <c r="U2" s="3"/>
      <c r="V2" s="3" t="s">
        <v>569</v>
      </c>
      <c r="W2" s="12"/>
      <c r="X2" s="12"/>
      <c r="Y2" s="12"/>
      <c r="Z2" s="12"/>
      <c r="AA2" s="12"/>
      <c r="AB2" s="2"/>
      <c r="AC2" s="2"/>
      <c r="AD2" s="2" t="s">
        <v>1473</v>
      </c>
      <c r="AE2" s="2" t="s">
        <v>1414</v>
      </c>
      <c r="AF2" s="2"/>
      <c r="AG2" s="2"/>
      <c r="AH2" s="2"/>
      <c r="AI2" s="2"/>
      <c r="AJ2" s="2"/>
      <c r="AK2" s="2"/>
      <c r="AL2" s="2"/>
      <c r="AM2" s="2"/>
      <c r="AN2" s="2"/>
      <c r="AO2" s="2"/>
      <c r="AP2" s="2"/>
      <c r="AQ2" s="2"/>
      <c r="AR2" s="2"/>
      <c r="AS2" s="2"/>
      <c r="AT2" s="2"/>
      <c r="AU2" s="2"/>
      <c r="AV2" s="2"/>
      <c r="AW2" s="2"/>
      <c r="AX2" s="2"/>
      <c r="AY2" s="2"/>
      <c r="AZ2" s="2"/>
      <c r="BA2" s="2"/>
      <c r="BF2" s="4"/>
      <c r="BG2" s="4"/>
      <c r="BH2" s="4"/>
      <c r="BI2" s="4"/>
    </row>
    <row r="3" spans="1:61" ht="15" customHeight="1">
      <c r="A3" s="9"/>
      <c r="B3" s="9"/>
      <c r="C3" s="9"/>
      <c r="D3" s="9"/>
      <c r="E3" s="9"/>
      <c r="F3" s="9"/>
      <c r="P3" s="10"/>
      <c r="Q3" s="10"/>
      <c r="R3" s="10"/>
      <c r="S3" s="10"/>
      <c r="T3" s="10"/>
      <c r="U3" s="10"/>
      <c r="V3" s="10"/>
      <c r="W3" s="10"/>
      <c r="X3" s="10"/>
      <c r="Y3" s="10"/>
      <c r="Z3" s="10"/>
      <c r="AA3" s="10"/>
      <c r="BF3" s="4"/>
      <c r="BG3" s="4"/>
      <c r="BH3" s="4"/>
      <c r="BI3" s="4"/>
    </row>
    <row r="4" spans="1:61"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609"/>
      <c r="V4" s="10"/>
      <c r="W4" s="10"/>
      <c r="X4" s="10"/>
      <c r="Y4" s="10"/>
      <c r="Z4" s="10"/>
      <c r="AA4" s="10"/>
      <c r="BF4" s="4"/>
      <c r="BG4" s="4"/>
      <c r="BH4" s="4"/>
      <c r="BI4" s="4"/>
    </row>
    <row r="5" spans="1:61" ht="15" customHeight="1">
      <c r="A5" s="9"/>
      <c r="B5" s="9"/>
      <c r="C5" s="9"/>
      <c r="D5" s="9"/>
      <c r="E5" s="9"/>
      <c r="F5" s="9"/>
      <c r="P5" s="6" t="str">
        <f>Настройки!A2</f>
        <v>Авария</v>
      </c>
      <c r="Q5" s="5">
        <f>Настройки!B2</f>
        <v>4</v>
      </c>
      <c r="R5" s="543" t="str">
        <f>Настройки!C2</f>
        <v>Авария</v>
      </c>
      <c r="S5" s="10"/>
      <c r="T5" s="458">
        <f>Настройки!M12</f>
        <v>1</v>
      </c>
      <c r="U5" s="610"/>
      <c r="V5" s="10"/>
      <c r="W5" s="10"/>
      <c r="X5" s="10"/>
      <c r="Y5" s="10"/>
      <c r="Z5" s="10"/>
      <c r="AA5" s="10"/>
      <c r="BF5" s="4"/>
      <c r="BG5" s="4"/>
      <c r="BH5" s="4"/>
      <c r="BI5" s="4"/>
    </row>
    <row r="6" spans="1:61" ht="15" customHeight="1">
      <c r="A6" s="9"/>
      <c r="B6" s="9"/>
      <c r="C6" s="9"/>
      <c r="D6" s="9"/>
      <c r="E6" s="9"/>
      <c r="F6" s="9"/>
      <c r="P6" s="6" t="str">
        <f>Настройки!A3</f>
        <v>Предупреждение</v>
      </c>
      <c r="Q6" s="5">
        <f>Настройки!B3</f>
        <v>8</v>
      </c>
      <c r="R6" s="543" t="str">
        <f>Настройки!C3</f>
        <v>Предупреждение</v>
      </c>
      <c r="S6" s="10"/>
      <c r="T6" s="608" t="str">
        <f>Настройки!$M$7</f>
        <v>Отображение Таблицы подлючений в диаг.</v>
      </c>
      <c r="U6" s="10"/>
      <c r="V6" s="10"/>
      <c r="W6" s="10"/>
      <c r="X6" s="10"/>
      <c r="Y6" s="10"/>
      <c r="Z6" s="10"/>
      <c r="AA6" s="10"/>
      <c r="BF6" s="4"/>
      <c r="BG6" s="4"/>
      <c r="BH6" s="4"/>
      <c r="BI6" s="4"/>
    </row>
    <row r="7" spans="1:61" ht="15" customHeight="1">
      <c r="A7" s="9"/>
      <c r="B7" s="9"/>
      <c r="C7" s="9"/>
      <c r="D7" s="9"/>
      <c r="E7" s="9"/>
      <c r="F7" s="9"/>
      <c r="P7" s="6" t="str">
        <f>Настройки!A4</f>
        <v>Неисправность</v>
      </c>
      <c r="Q7" s="5">
        <f>Настройки!B4</f>
        <v>12</v>
      </c>
      <c r="R7" s="543" t="str">
        <f>Настройки!C4</f>
        <v>Неисправность</v>
      </c>
      <c r="S7" s="10"/>
      <c r="T7" s="458" t="b">
        <f>Настройки!$M$8</f>
        <v>0</v>
      </c>
      <c r="U7" s="10"/>
      <c r="V7" s="10"/>
      <c r="W7" s="10"/>
      <c r="X7" s="10"/>
      <c r="Y7" s="10"/>
      <c r="Z7" s="10"/>
      <c r="AA7" s="10"/>
      <c r="BF7" s="4"/>
      <c r="BG7" s="4"/>
      <c r="BH7" s="4"/>
      <c r="BI7" s="4"/>
    </row>
    <row r="8" spans="1:61" ht="15" customHeight="1">
      <c r="A8" s="9"/>
      <c r="B8" s="9"/>
      <c r="C8" s="9"/>
      <c r="D8" s="9"/>
      <c r="E8" s="9"/>
      <c r="F8" s="9"/>
      <c r="P8" s="6" t="str">
        <f>Настройки!A5</f>
        <v>Телесигнализация</v>
      </c>
      <c r="Q8" s="5">
        <f>Настройки!B5</f>
        <v>18</v>
      </c>
      <c r="R8" s="543" t="str">
        <f>Настройки!C5</f>
        <v>Телесигнализация</v>
      </c>
      <c r="S8" s="10"/>
      <c r="T8" s="10"/>
      <c r="U8" s="10"/>
      <c r="V8" s="10"/>
      <c r="W8" s="10"/>
      <c r="X8" s="10"/>
      <c r="Y8" s="10"/>
      <c r="Z8" s="10"/>
      <c r="AA8" s="10"/>
      <c r="BF8" s="4"/>
      <c r="BG8" s="4"/>
      <c r="BH8" s="4"/>
      <c r="BI8" s="4"/>
    </row>
    <row r="9" spans="1:61" ht="15" customHeight="1">
      <c r="A9" s="9"/>
      <c r="B9" s="9"/>
      <c r="C9" s="9"/>
      <c r="D9" s="9"/>
      <c r="E9" s="9"/>
      <c r="F9" s="9"/>
      <c r="P9" s="6" t="str">
        <f>Настройки!A6</f>
        <v>Недостоверность</v>
      </c>
      <c r="Q9" s="5">
        <f>Настройки!B6</f>
        <v>10</v>
      </c>
      <c r="R9" s="543" t="str">
        <f>Настройки!C6</f>
        <v>Недостоверность</v>
      </c>
      <c r="S9" s="10"/>
      <c r="T9" s="10"/>
      <c r="U9" s="10"/>
      <c r="V9" s="10"/>
      <c r="W9" s="10"/>
      <c r="X9" s="10"/>
      <c r="Y9" s="10"/>
      <c r="Z9" s="10"/>
      <c r="AA9" s="10"/>
      <c r="BF9" s="4"/>
      <c r="BG9" s="4"/>
      <c r="BH9" s="4"/>
      <c r="BI9" s="4"/>
    </row>
    <row r="10" spans="1:61" ht="15" customHeight="1">
      <c r="A10" s="9"/>
      <c r="B10" s="9"/>
      <c r="C10" s="9"/>
      <c r="D10" s="9"/>
      <c r="E10" s="9"/>
      <c r="F10" s="9"/>
      <c r="P10" s="6" t="str">
        <f>Настройки!A7</f>
        <v>Имитация</v>
      </c>
      <c r="Q10" s="5">
        <f>Настройки!B7</f>
        <v>16</v>
      </c>
      <c r="R10" s="543" t="str">
        <f>Настройки!C7</f>
        <v>Имитация</v>
      </c>
      <c r="S10" s="10"/>
      <c r="T10" s="10"/>
      <c r="U10" s="10"/>
      <c r="V10" s="10"/>
      <c r="W10" s="10"/>
      <c r="X10" s="10"/>
      <c r="Y10" s="10"/>
      <c r="Z10" s="10"/>
      <c r="AA10" s="10"/>
      <c r="BF10" s="4"/>
      <c r="BG10" s="4"/>
      <c r="BH10" s="4"/>
      <c r="BI10" s="4"/>
    </row>
    <row r="11" spans="1:61" ht="15" customHeight="1">
      <c r="A11" s="9"/>
      <c r="B11" s="9"/>
      <c r="C11" s="9"/>
      <c r="D11" s="9"/>
      <c r="E11" s="9"/>
      <c r="F11" s="9"/>
      <c r="P11" s="6" t="str">
        <f>Настройки!A8</f>
        <v>Ремонт</v>
      </c>
      <c r="Q11" s="5">
        <f>Настройки!B8</f>
        <v>14</v>
      </c>
      <c r="R11" s="543" t="str">
        <f>Настройки!C8</f>
        <v>Ремонт</v>
      </c>
      <c r="S11" s="10"/>
      <c r="T11" s="10"/>
      <c r="U11" s="10"/>
      <c r="V11" s="10"/>
      <c r="W11" s="10"/>
      <c r="X11" s="10"/>
      <c r="Y11" s="10"/>
      <c r="Z11" s="10"/>
      <c r="AA11" s="10"/>
      <c r="BF11" s="4"/>
      <c r="BG11" s="4"/>
      <c r="BH11" s="4"/>
      <c r="BI11" s="4"/>
    </row>
    <row r="12" spans="1:61" ht="15" customHeight="1">
      <c r="A12" s="9"/>
      <c r="B12" s="9"/>
      <c r="C12" s="9"/>
      <c r="D12" s="9"/>
      <c r="E12" s="9"/>
      <c r="F12" s="9"/>
      <c r="P12" s="6" t="str">
        <f>Настройки!A9</f>
        <v>Команда оператора</v>
      </c>
      <c r="Q12" s="5">
        <f>Настройки!B9</f>
        <v>20</v>
      </c>
      <c r="R12" s="543" t="str">
        <f>Настройки!C9</f>
        <v>Команда оператора</v>
      </c>
      <c r="S12" s="10"/>
      <c r="T12" s="10"/>
      <c r="U12" s="10"/>
      <c r="V12" s="10"/>
      <c r="W12" s="10"/>
      <c r="X12" s="10"/>
      <c r="Y12" s="10"/>
      <c r="Z12" s="10"/>
      <c r="AA12" s="10"/>
      <c r="BF12" s="4"/>
      <c r="BG12" s="4"/>
      <c r="BH12" s="4"/>
      <c r="BI12" s="4"/>
    </row>
    <row r="13" spans="1:61"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F13" s="4"/>
      <c r="BG13" s="4"/>
      <c r="BH13" s="4"/>
      <c r="BI13" s="4"/>
    </row>
    <row r="14" spans="1:61"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F14" s="4"/>
      <c r="BG14" s="4"/>
      <c r="BH14" s="4"/>
      <c r="BI14" s="4"/>
    </row>
    <row r="15" spans="1:61"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F15" s="4"/>
      <c r="BG15" s="4"/>
      <c r="BH15" s="4"/>
      <c r="BI15" s="4"/>
    </row>
    <row r="16" spans="1:61"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F16" s="4"/>
      <c r="BG16" s="4"/>
      <c r="BH16" s="4"/>
      <c r="BI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F17" s="4"/>
      <c r="BG17" s="4"/>
      <c r="BH17" s="4"/>
      <c r="BI17" s="4"/>
    </row>
    <row r="18" spans="1:68" ht="15" customHeight="1" thickBo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F18" s="4"/>
      <c r="BG18" s="4"/>
      <c r="BH18" s="4"/>
      <c r="BI18" s="4"/>
    </row>
    <row r="19" spans="1:68" ht="15" customHeight="1" thickBot="1">
      <c r="A19" s="9"/>
      <c r="B19" s="9"/>
      <c r="C19" s="9"/>
      <c r="D19" s="781" t="s">
        <v>1682</v>
      </c>
      <c r="E19" s="782"/>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F19" s="4"/>
      <c r="BG19" s="4"/>
      <c r="BH19" s="4"/>
      <c r="BI19" s="4"/>
    </row>
    <row r="20" spans="1:68" ht="15" customHeight="1">
      <c r="A20" s="23" t="str">
        <f>$R$2</f>
        <v>АСУЭ.SEPAM</v>
      </c>
      <c r="B20" s="24">
        <v>100</v>
      </c>
      <c r="C20" s="24" t="s">
        <v>0</v>
      </c>
      <c r="D20" s="25" t="b">
        <f>$T$7</f>
        <v>0</v>
      </c>
      <c r="BF20" s="4"/>
      <c r="BG20" s="4"/>
      <c r="BH20" s="4"/>
      <c r="BI20" s="4"/>
    </row>
    <row r="21" spans="1:68" ht="15" customHeight="1">
      <c r="A21" s="29" t="str">
        <f>$R$2</f>
        <v>АСУЭ.SEPAM</v>
      </c>
      <c r="B21">
        <v>11127</v>
      </c>
      <c r="C21" t="s">
        <v>0</v>
      </c>
      <c r="D21" s="30">
        <f>$AK$2</f>
        <v>0</v>
      </c>
      <c r="BM21" s="4"/>
      <c r="BN21" s="4"/>
      <c r="BO21" s="4"/>
      <c r="BP21" s="4"/>
    </row>
    <row r="22" spans="1:68">
      <c r="A22" s="29" t="str">
        <f>$R$2</f>
        <v>АСУЭ.SEPAM</v>
      </c>
      <c r="B22" s="1">
        <v>7011</v>
      </c>
      <c r="C22" s="1" t="s">
        <v>2</v>
      </c>
      <c r="D22" s="30" t="s">
        <v>266</v>
      </c>
    </row>
    <row r="23" spans="1:68" ht="15" customHeight="1">
      <c r="A23" s="29" t="str">
        <f t="shared" ref="A23:A26" si="0">$R$2</f>
        <v>АСУЭ.SEPAM</v>
      </c>
      <c r="B23">
        <v>203</v>
      </c>
      <c r="C23" t="s">
        <v>2</v>
      </c>
      <c r="D23" s="30" t="s">
        <v>3</v>
      </c>
    </row>
    <row r="24" spans="1:68" ht="15" customHeight="1">
      <c r="A24" s="29" t="str">
        <f t="shared" si="0"/>
        <v>АСУЭ.SEPAM</v>
      </c>
      <c r="B24">
        <v>9218</v>
      </c>
      <c r="C24" t="s">
        <v>2</v>
      </c>
      <c r="D24" s="30" t="s">
        <v>3</v>
      </c>
    </row>
    <row r="25" spans="1:68" ht="15" customHeight="1">
      <c r="A25" s="29" t="str">
        <f t="shared" si="0"/>
        <v>АСУЭ.SEPAM</v>
      </c>
      <c r="B25">
        <v>3000203</v>
      </c>
      <c r="C25" t="s">
        <v>0</v>
      </c>
      <c r="D25" s="30" t="str">
        <f>$AE$2</f>
        <v>Диагностика.CPU.NOT_LINK.noLink</v>
      </c>
      <c r="BF25" s="4"/>
      <c r="BG25" s="4"/>
      <c r="BH25" s="4"/>
      <c r="BI25" s="4"/>
    </row>
    <row r="26" spans="1:68" ht="15" customHeight="1">
      <c r="A26" s="29" t="str">
        <f t="shared" si="0"/>
        <v>АСУЭ.SEPAM</v>
      </c>
      <c r="B26" s="1">
        <v>4000203</v>
      </c>
      <c r="C26" s="1" t="s">
        <v>0</v>
      </c>
      <c r="D26" s="30" t="s">
        <v>1775</v>
      </c>
      <c r="BF26" s="4"/>
      <c r="BG26" s="4"/>
      <c r="BH26" s="4"/>
      <c r="BI26" s="4"/>
    </row>
    <row r="27" spans="1:68" ht="15" customHeight="1">
      <c r="A27" s="23" t="str">
        <f>$R$2&amp;".Commands"</f>
        <v>АСУЭ.SEPAM.Commands</v>
      </c>
      <c r="B27" s="24">
        <v>1</v>
      </c>
      <c r="C27" s="24" t="s">
        <v>1</v>
      </c>
      <c r="D27" s="25">
        <v>17</v>
      </c>
      <c r="BF27" s="4"/>
      <c r="BG27" s="4"/>
      <c r="BH27" s="4"/>
      <c r="BI27" s="4"/>
    </row>
    <row r="28" spans="1:68">
      <c r="A28" s="29" t="str">
        <f>$R$2&amp;".Commands"</f>
        <v>АСУЭ.SEPAM.Commands</v>
      </c>
      <c r="B28" s="1">
        <v>7011</v>
      </c>
      <c r="C28" s="1" t="s">
        <v>2</v>
      </c>
      <c r="D28" s="30" t="s">
        <v>266</v>
      </c>
    </row>
    <row r="29" spans="1:68" ht="15" customHeight="1">
      <c r="A29" s="29" t="str">
        <f>$R$2&amp;".Commands"</f>
        <v>АСУЭ.SEPAM.Commands</v>
      </c>
      <c r="B29" s="1">
        <v>9213</v>
      </c>
      <c r="C29" s="11" t="s">
        <v>2583</v>
      </c>
      <c r="D29" s="30">
        <v>2</v>
      </c>
      <c r="BF29" s="4"/>
      <c r="BG29" s="4"/>
      <c r="BH29" s="4"/>
      <c r="BI29" s="4"/>
    </row>
    <row r="30" spans="1:68" ht="15" customHeight="1">
      <c r="A30" s="29" t="str">
        <f>$R$2&amp;".Commands"</f>
        <v>АСУЭ.SEPAM.Commands</v>
      </c>
      <c r="B30" s="1">
        <v>9214</v>
      </c>
      <c r="C30" s="1" t="s">
        <v>2</v>
      </c>
      <c r="D30" s="30" t="s">
        <v>3</v>
      </c>
      <c r="BF30" s="4"/>
      <c r="BG30" s="4"/>
      <c r="BH30" s="4"/>
      <c r="BI30" s="4"/>
    </row>
    <row r="31" spans="1:68" ht="15" customHeight="1">
      <c r="A31" s="29" t="str">
        <f t="shared" ref="A31:A33" si="1">$R$2&amp;".Commands"</f>
        <v>АСУЭ.SEPAM.Commands</v>
      </c>
      <c r="B31" s="1">
        <v>9215</v>
      </c>
      <c r="C31" s="1" t="s">
        <v>2</v>
      </c>
      <c r="D31" s="30" t="s">
        <v>3</v>
      </c>
      <c r="BF31" s="4"/>
      <c r="BG31" s="4"/>
      <c r="BH31" s="4"/>
      <c r="BI31" s="4"/>
    </row>
    <row r="32" spans="1:68" ht="15" customHeight="1">
      <c r="A32" s="29" t="str">
        <f t="shared" si="1"/>
        <v>АСУЭ.SEPAM.Commands</v>
      </c>
      <c r="B32" s="1">
        <v>9216</v>
      </c>
      <c r="C32" s="1" t="s">
        <v>2</v>
      </c>
      <c r="D32" s="30" t="s">
        <v>3</v>
      </c>
      <c r="BF32" s="4"/>
      <c r="BG32" s="4"/>
      <c r="BH32" s="4"/>
      <c r="BI32" s="4"/>
    </row>
    <row r="33" spans="1:61" ht="15" customHeight="1">
      <c r="A33" s="26" t="str">
        <f t="shared" si="1"/>
        <v>АСУЭ.SEPAM.Commands</v>
      </c>
      <c r="B33" s="27">
        <v>9217</v>
      </c>
      <c r="C33" s="27" t="s">
        <v>2</v>
      </c>
      <c r="D33" s="28" t="s">
        <v>3</v>
      </c>
      <c r="BF33" s="4"/>
      <c r="BG33" s="4"/>
      <c r="BH33" s="4"/>
      <c r="BI33" s="4"/>
    </row>
    <row r="34" spans="1:61" ht="15" customHeight="1">
      <c r="A34" s="148" t="str">
        <f t="shared" ref="A34:A43" si="2">$R$2&amp;".aACHR"</f>
        <v>АСУЭ.SEPAM.aACHR</v>
      </c>
      <c r="B34" s="683">
        <v>11154</v>
      </c>
      <c r="C34" s="683" t="s">
        <v>4</v>
      </c>
      <c r="D34" s="535">
        <f>$Q$5</f>
        <v>4</v>
      </c>
    </row>
    <row r="35" spans="1:61" ht="15" customHeight="1">
      <c r="A35" s="148" t="str">
        <f t="shared" si="2"/>
        <v>АСУЭ.SEPAM.aACHR</v>
      </c>
      <c r="B35" s="683">
        <v>11150</v>
      </c>
      <c r="C35" s="683" t="s">
        <v>0</v>
      </c>
      <c r="D35" s="125" t="s">
        <v>1497</v>
      </c>
    </row>
    <row r="36" spans="1:61" ht="15" customHeight="1">
      <c r="A36" s="148" t="str">
        <f t="shared" si="2"/>
        <v>АСУЭ.SEPAM.aACHR</v>
      </c>
      <c r="B36" s="683">
        <v>11152</v>
      </c>
      <c r="C36" s="683" t="s">
        <v>0</v>
      </c>
      <c r="D36" s="125" t="str">
        <f>$R$5</f>
        <v>Авария</v>
      </c>
    </row>
    <row r="37" spans="1:61" ht="15" customHeight="1">
      <c r="A37" s="148" t="str">
        <f t="shared" si="2"/>
        <v>АСУЭ.SEPAM.aACHR</v>
      </c>
      <c r="B37" s="683">
        <v>11000</v>
      </c>
      <c r="C37" s="683" t="s">
        <v>5</v>
      </c>
      <c r="D37" s="125">
        <v>2147483680</v>
      </c>
    </row>
    <row r="38" spans="1:61" ht="15" customHeight="1">
      <c r="A38" s="29" t="str">
        <f t="shared" si="2"/>
        <v>АСУЭ.SEPAM.aACHR</v>
      </c>
      <c r="B38">
        <v>7999</v>
      </c>
      <c r="C38" t="s">
        <v>0</v>
      </c>
      <c r="D38" s="30" t="str">
        <f>"#"&amp;$S$2&amp;"#"&amp;$T$2&amp;"."&amp;$P$2&amp;".TS177_192_TS178"</f>
        <v>#3#\\Setup_rza\Modbus.OPCServer\ZRU_Sepam.VV1_Sepam_S82.TS177_192_TS178</v>
      </c>
    </row>
    <row r="39" spans="1:61" ht="15" customHeight="1">
      <c r="A39" s="29" t="str">
        <f t="shared" si="2"/>
        <v>АСУЭ.SEPAM.aACHR</v>
      </c>
      <c r="B39">
        <v>7998</v>
      </c>
      <c r="C39" t="s">
        <v>6</v>
      </c>
      <c r="D39" s="30">
        <v>1</v>
      </c>
    </row>
    <row r="40" spans="1:61" ht="15" customHeight="1">
      <c r="A40" s="29" t="str">
        <f t="shared" si="2"/>
        <v>АСУЭ.SEPAM.aACHR</v>
      </c>
      <c r="B40">
        <v>101</v>
      </c>
      <c r="C40" t="s">
        <v>0</v>
      </c>
      <c r="D40" s="30" t="s">
        <v>1497</v>
      </c>
    </row>
    <row r="41" spans="1:61" ht="15" customHeight="1">
      <c r="A41" s="29" t="str">
        <f t="shared" si="2"/>
        <v>АСУЭ.SEPAM.aACHR</v>
      </c>
      <c r="B41">
        <v>3</v>
      </c>
      <c r="C41" t="s">
        <v>1</v>
      </c>
      <c r="D41" s="30">
        <v>192</v>
      </c>
    </row>
    <row r="42" spans="1:61" ht="15" customHeight="1">
      <c r="A42" s="29" t="str">
        <f t="shared" si="2"/>
        <v>АСУЭ.SEPAM.aACHR</v>
      </c>
      <c r="B42">
        <v>2</v>
      </c>
      <c r="C42" t="s">
        <v>2</v>
      </c>
      <c r="D42" s="30" t="s">
        <v>175</v>
      </c>
    </row>
    <row r="43" spans="1:61" ht="15" customHeight="1">
      <c r="A43" s="26" t="str">
        <f t="shared" si="2"/>
        <v>АСУЭ.SEPAM.aACHR</v>
      </c>
      <c r="B43" s="27">
        <v>1</v>
      </c>
      <c r="C43" s="27" t="s">
        <v>1</v>
      </c>
      <c r="D43" s="28">
        <v>11</v>
      </c>
    </row>
    <row r="44" spans="1:61" ht="15" customHeight="1">
      <c r="A44" s="148" t="str">
        <f t="shared" ref="A44:A53" si="3">$R$2&amp;".aDGZ_KZ"</f>
        <v>АСУЭ.SEPAM.aDGZ_KZ</v>
      </c>
      <c r="B44" s="683">
        <v>11154</v>
      </c>
      <c r="C44" s="683" t="s">
        <v>4</v>
      </c>
      <c r="D44" s="535">
        <f>$Q$5</f>
        <v>4</v>
      </c>
    </row>
    <row r="45" spans="1:61" ht="15" customHeight="1">
      <c r="A45" s="148" t="str">
        <f t="shared" si="3"/>
        <v>АСУЭ.SEPAM.aDGZ_KZ</v>
      </c>
      <c r="B45" s="683">
        <v>11150</v>
      </c>
      <c r="C45" s="683" t="s">
        <v>0</v>
      </c>
      <c r="D45" s="125" t="s">
        <v>1499</v>
      </c>
    </row>
    <row r="46" spans="1:61" ht="15" customHeight="1">
      <c r="A46" s="148" t="str">
        <f t="shared" si="3"/>
        <v>АСУЭ.SEPAM.aDGZ_KZ</v>
      </c>
      <c r="B46" s="683">
        <v>11152</v>
      </c>
      <c r="C46" s="683" t="s">
        <v>0</v>
      </c>
      <c r="D46" s="125" t="str">
        <f>$R$5</f>
        <v>Авария</v>
      </c>
    </row>
    <row r="47" spans="1:61" ht="15" customHeight="1">
      <c r="A47" s="148" t="str">
        <f t="shared" si="3"/>
        <v>АСУЭ.SEPAM.aDGZ_KZ</v>
      </c>
      <c r="B47" s="683">
        <v>11000</v>
      </c>
      <c r="C47" s="683" t="s">
        <v>5</v>
      </c>
      <c r="D47" s="125">
        <v>2147483680</v>
      </c>
    </row>
    <row r="48" spans="1:61" ht="15" customHeight="1">
      <c r="A48" s="29" t="str">
        <f t="shared" si="3"/>
        <v>АСУЭ.SEPAM.aDGZ_KZ</v>
      </c>
      <c r="B48">
        <v>7999</v>
      </c>
      <c r="C48" t="s">
        <v>0</v>
      </c>
      <c r="D48" s="30" t="str">
        <f>"#"&amp;$S$2&amp;"#"&amp;$T$2&amp;"."&amp;$P$2&amp;".TS225_240_TS239"</f>
        <v>#3#\\Setup_rza\Modbus.OPCServer\ZRU_Sepam.VV1_Sepam_S82.TS225_240_TS239</v>
      </c>
    </row>
    <row r="49" spans="1:4" ht="15" customHeight="1">
      <c r="A49" s="29" t="str">
        <f t="shared" si="3"/>
        <v>АСУЭ.SEPAM.aDGZ_KZ</v>
      </c>
      <c r="B49">
        <v>7998</v>
      </c>
      <c r="C49" t="s">
        <v>6</v>
      </c>
      <c r="D49" s="30">
        <v>1</v>
      </c>
    </row>
    <row r="50" spans="1:4" ht="15" customHeight="1">
      <c r="A50" s="29" t="str">
        <f t="shared" si="3"/>
        <v>АСУЭ.SEPAM.aDGZ_KZ</v>
      </c>
      <c r="B50">
        <v>101</v>
      </c>
      <c r="C50" t="s">
        <v>0</v>
      </c>
      <c r="D50" s="30" t="s">
        <v>1499</v>
      </c>
    </row>
    <row r="51" spans="1:4" ht="15" customHeight="1">
      <c r="A51" s="29" t="str">
        <f t="shared" si="3"/>
        <v>АСУЭ.SEPAM.aDGZ_KZ</v>
      </c>
      <c r="B51">
        <v>3</v>
      </c>
      <c r="C51" t="s">
        <v>1</v>
      </c>
      <c r="D51" s="30">
        <v>192</v>
      </c>
    </row>
    <row r="52" spans="1:4" ht="15" customHeight="1">
      <c r="A52" s="29" t="str">
        <f t="shared" si="3"/>
        <v>АСУЭ.SEPAM.aDGZ_KZ</v>
      </c>
      <c r="B52">
        <v>2</v>
      </c>
      <c r="C52" t="s">
        <v>2</v>
      </c>
      <c r="D52" s="30" t="s">
        <v>175</v>
      </c>
    </row>
    <row r="53" spans="1:4" ht="15" customHeight="1">
      <c r="A53" s="26" t="str">
        <f t="shared" si="3"/>
        <v>АСУЭ.SEPAM.aDGZ_KZ</v>
      </c>
      <c r="B53" s="27">
        <v>1</v>
      </c>
      <c r="C53" s="27" t="s">
        <v>1</v>
      </c>
      <c r="D53" s="28">
        <v>11</v>
      </c>
    </row>
    <row r="54" spans="1:4" ht="15" customHeight="1">
      <c r="A54" s="148" t="str">
        <f t="shared" ref="A54:A63" si="4">$R$2&amp;".aDGZ_Valve"</f>
        <v>АСУЭ.SEPAM.aDGZ_Valve</v>
      </c>
      <c r="B54" s="683">
        <v>11154</v>
      </c>
      <c r="C54" s="683" t="s">
        <v>4</v>
      </c>
      <c r="D54" s="535">
        <f>$Q$5</f>
        <v>4</v>
      </c>
    </row>
    <row r="55" spans="1:4" ht="15" customHeight="1">
      <c r="A55" s="148" t="str">
        <f t="shared" si="4"/>
        <v>АСУЭ.SEPAM.aDGZ_Valve</v>
      </c>
      <c r="B55" s="683">
        <v>11150</v>
      </c>
      <c r="C55" s="683" t="s">
        <v>0</v>
      </c>
      <c r="D55" s="125" t="s">
        <v>1542</v>
      </c>
    </row>
    <row r="56" spans="1:4" ht="15" customHeight="1">
      <c r="A56" s="148" t="str">
        <f t="shared" si="4"/>
        <v>АСУЭ.SEPAM.aDGZ_Valve</v>
      </c>
      <c r="B56" s="683">
        <v>11152</v>
      </c>
      <c r="C56" s="683" t="s">
        <v>0</v>
      </c>
      <c r="D56" s="125" t="str">
        <f>$R$5</f>
        <v>Авария</v>
      </c>
    </row>
    <row r="57" spans="1:4" ht="15" customHeight="1">
      <c r="A57" s="148" t="str">
        <f t="shared" si="4"/>
        <v>АСУЭ.SEPAM.aDGZ_Valve</v>
      </c>
      <c r="B57" s="683">
        <v>11000</v>
      </c>
      <c r="C57" s="683" t="s">
        <v>5</v>
      </c>
      <c r="D57" s="125">
        <v>2147483680</v>
      </c>
    </row>
    <row r="58" spans="1:4" ht="15" customHeight="1">
      <c r="A58" s="29" t="str">
        <f t="shared" si="4"/>
        <v>АСУЭ.SEPAM.aDGZ_Valve</v>
      </c>
      <c r="B58">
        <v>7999</v>
      </c>
      <c r="C58" t="s">
        <v>0</v>
      </c>
      <c r="D58" s="30" t="str">
        <f>"#"&amp;$S$2&amp;"#"&amp;$T$2&amp;"."&amp;$P$2&amp;".TS49_64_TS64"</f>
        <v>#3#\\Setup_rza\Modbus.OPCServer\ZRU_Sepam.VV1_Sepam_S82.TS49_64_TS64</v>
      </c>
    </row>
    <row r="59" spans="1:4" ht="15" customHeight="1">
      <c r="A59" s="29" t="str">
        <f t="shared" si="4"/>
        <v>АСУЭ.SEPAM.aDGZ_Valve</v>
      </c>
      <c r="B59">
        <v>7998</v>
      </c>
      <c r="C59" t="s">
        <v>6</v>
      </c>
      <c r="D59" s="30">
        <v>1</v>
      </c>
    </row>
    <row r="60" spans="1:4" ht="15" customHeight="1">
      <c r="A60" s="29" t="str">
        <f t="shared" si="4"/>
        <v>АСУЭ.SEPAM.aDGZ_Valve</v>
      </c>
      <c r="B60">
        <v>101</v>
      </c>
      <c r="C60" t="s">
        <v>0</v>
      </c>
      <c r="D60" s="30" t="s">
        <v>1542</v>
      </c>
    </row>
    <row r="61" spans="1:4" ht="15" customHeight="1">
      <c r="A61" s="29" t="str">
        <f t="shared" si="4"/>
        <v>АСУЭ.SEPAM.aDGZ_Valve</v>
      </c>
      <c r="B61">
        <v>3</v>
      </c>
      <c r="C61" t="s">
        <v>1</v>
      </c>
      <c r="D61" s="30">
        <v>192</v>
      </c>
    </row>
    <row r="62" spans="1:4" ht="15" customHeight="1">
      <c r="A62" s="29" t="str">
        <f t="shared" si="4"/>
        <v>АСУЭ.SEPAM.aDGZ_Valve</v>
      </c>
      <c r="B62">
        <v>2</v>
      </c>
      <c r="C62" t="s">
        <v>2</v>
      </c>
      <c r="D62" s="30" t="s">
        <v>175</v>
      </c>
    </row>
    <row r="63" spans="1:4" ht="15" customHeight="1">
      <c r="A63" s="26" t="str">
        <f t="shared" si="4"/>
        <v>АСУЭ.SEPAM.aDGZ_Valve</v>
      </c>
      <c r="B63" s="27">
        <v>1</v>
      </c>
      <c r="C63" s="27" t="s">
        <v>1</v>
      </c>
      <c r="D63" s="28">
        <v>11</v>
      </c>
    </row>
    <row r="64" spans="1:4" ht="15" customHeight="1">
      <c r="A64" s="148" t="str">
        <f t="shared" ref="A64:A73" si="5">$R$2&amp;".aExtTrip"</f>
        <v>АСУЭ.SEPAM.aExtTrip</v>
      </c>
      <c r="B64" s="683">
        <v>11154</v>
      </c>
      <c r="C64" s="683" t="s">
        <v>4</v>
      </c>
      <c r="D64" s="535">
        <f>$Q$5</f>
        <v>4</v>
      </c>
    </row>
    <row r="65" spans="1:4" ht="15" customHeight="1">
      <c r="A65" s="148" t="str">
        <f t="shared" si="5"/>
        <v>АСУЭ.SEPAM.aExtTrip</v>
      </c>
      <c r="B65" s="683">
        <v>11150</v>
      </c>
      <c r="C65" s="683" t="s">
        <v>0</v>
      </c>
      <c r="D65" s="125" t="s">
        <v>334</v>
      </c>
    </row>
    <row r="66" spans="1:4" ht="15" customHeight="1">
      <c r="A66" s="148" t="str">
        <f t="shared" si="5"/>
        <v>АСУЭ.SEPAM.aExtTrip</v>
      </c>
      <c r="B66" s="683">
        <v>11152</v>
      </c>
      <c r="C66" s="683" t="s">
        <v>0</v>
      </c>
      <c r="D66" s="125" t="str">
        <f>$R$5</f>
        <v>Авария</v>
      </c>
    </row>
    <row r="67" spans="1:4" ht="15" customHeight="1">
      <c r="A67" s="148" t="str">
        <f t="shared" si="5"/>
        <v>АСУЭ.SEPAM.aExtTrip</v>
      </c>
      <c r="B67" s="683">
        <v>11000</v>
      </c>
      <c r="C67" s="683" t="s">
        <v>5</v>
      </c>
      <c r="D67" s="125">
        <v>2147483680</v>
      </c>
    </row>
    <row r="68" spans="1:4" ht="15" customHeight="1">
      <c r="A68" s="29" t="str">
        <f t="shared" si="5"/>
        <v>АСУЭ.SEPAM.aExtTrip</v>
      </c>
      <c r="B68">
        <v>7999</v>
      </c>
      <c r="C68" t="s">
        <v>0</v>
      </c>
      <c r="D68" s="30" t="str">
        <f>"#"&amp;$S$2&amp;"#"&amp;$T$2&amp;"."&amp;$P$2&amp;".TS177_192_TS181"</f>
        <v>#3#\\Setup_rza\Modbus.OPCServer\ZRU_Sepam.VV1_Sepam_S82.TS177_192_TS181</v>
      </c>
    </row>
    <row r="69" spans="1:4" ht="15" customHeight="1">
      <c r="A69" s="29" t="str">
        <f t="shared" si="5"/>
        <v>АСУЭ.SEPAM.aExtTrip</v>
      </c>
      <c r="B69">
        <v>7998</v>
      </c>
      <c r="C69" t="s">
        <v>6</v>
      </c>
      <c r="D69" s="30">
        <v>1</v>
      </c>
    </row>
    <row r="70" spans="1:4" ht="15" customHeight="1">
      <c r="A70" s="29" t="str">
        <f t="shared" si="5"/>
        <v>АСУЭ.SEPAM.aExtTrip</v>
      </c>
      <c r="B70">
        <v>101</v>
      </c>
      <c r="C70" t="s">
        <v>0</v>
      </c>
      <c r="D70" s="30" t="s">
        <v>334</v>
      </c>
    </row>
    <row r="71" spans="1:4" ht="15" customHeight="1">
      <c r="A71" s="29" t="str">
        <f t="shared" si="5"/>
        <v>АСУЭ.SEPAM.aExtTrip</v>
      </c>
      <c r="B71">
        <v>3</v>
      </c>
      <c r="C71" t="s">
        <v>1</v>
      </c>
      <c r="D71" s="30">
        <v>192</v>
      </c>
    </row>
    <row r="72" spans="1:4" ht="15" customHeight="1">
      <c r="A72" s="29" t="str">
        <f t="shared" si="5"/>
        <v>АСУЭ.SEPAM.aExtTrip</v>
      </c>
      <c r="B72">
        <v>2</v>
      </c>
      <c r="C72" t="s">
        <v>2</v>
      </c>
      <c r="D72" s="30" t="s">
        <v>175</v>
      </c>
    </row>
    <row r="73" spans="1:4" ht="15" customHeight="1">
      <c r="A73" s="26" t="str">
        <f t="shared" si="5"/>
        <v>АСУЭ.SEPAM.aExtTrip</v>
      </c>
      <c r="B73" s="27">
        <v>1</v>
      </c>
      <c r="C73" s="27" t="s">
        <v>1</v>
      </c>
      <c r="D73" s="28">
        <v>11</v>
      </c>
    </row>
    <row r="74" spans="1:4" ht="15" customHeight="1">
      <c r="A74" s="148" t="str">
        <f t="shared" ref="A74:A83" si="6">$R$2&amp;".aI_Cutoff"</f>
        <v>АСУЭ.SEPAM.aI_Cutoff</v>
      </c>
      <c r="B74" s="683">
        <v>11154</v>
      </c>
      <c r="C74" s="683" t="s">
        <v>4</v>
      </c>
      <c r="D74" s="535">
        <f>$Q$5</f>
        <v>4</v>
      </c>
    </row>
    <row r="75" spans="1:4" ht="15" customHeight="1">
      <c r="A75" s="148" t="str">
        <f t="shared" si="6"/>
        <v>АСУЭ.SEPAM.aI_Cutoff</v>
      </c>
      <c r="B75" s="683">
        <v>11150</v>
      </c>
      <c r="C75" s="683" t="s">
        <v>0</v>
      </c>
      <c r="D75" s="125" t="s">
        <v>1500</v>
      </c>
    </row>
    <row r="76" spans="1:4" ht="15" customHeight="1">
      <c r="A76" s="148" t="str">
        <f t="shared" si="6"/>
        <v>АСУЭ.SEPAM.aI_Cutoff</v>
      </c>
      <c r="B76" s="683">
        <v>11152</v>
      </c>
      <c r="C76" s="683" t="s">
        <v>0</v>
      </c>
      <c r="D76" s="125" t="str">
        <f>$R$5</f>
        <v>Авария</v>
      </c>
    </row>
    <row r="77" spans="1:4" ht="15" customHeight="1">
      <c r="A77" s="148" t="str">
        <f t="shared" si="6"/>
        <v>АСУЭ.SEPAM.aI_Cutoff</v>
      </c>
      <c r="B77" s="683">
        <v>11000</v>
      </c>
      <c r="C77" s="683" t="s">
        <v>5</v>
      </c>
      <c r="D77" s="125">
        <v>2147483680</v>
      </c>
    </row>
    <row r="78" spans="1:4" ht="15" customHeight="1">
      <c r="A78" s="29" t="str">
        <f t="shared" si="6"/>
        <v>АСУЭ.SEPAM.aI_Cutoff</v>
      </c>
      <c r="B78">
        <v>7999</v>
      </c>
      <c r="C78" t="s">
        <v>0</v>
      </c>
      <c r="D78" s="30" t="str">
        <f>"#"&amp;$S$2&amp;"#"&amp;$T$2&amp;"."&amp;$P$2&amp;".TS65_80_TS65"</f>
        <v>#3#\\Setup_rza\Modbus.OPCServer\ZRU_Sepam.VV1_Sepam_S82.TS65_80_TS65</v>
      </c>
    </row>
    <row r="79" spans="1:4" ht="15" customHeight="1">
      <c r="A79" s="29" t="str">
        <f t="shared" si="6"/>
        <v>АСУЭ.SEPAM.aI_Cutoff</v>
      </c>
      <c r="B79">
        <v>7998</v>
      </c>
      <c r="C79" t="s">
        <v>6</v>
      </c>
      <c r="D79" s="30">
        <v>1</v>
      </c>
    </row>
    <row r="80" spans="1:4" ht="15" customHeight="1">
      <c r="A80" s="29" t="str">
        <f t="shared" si="6"/>
        <v>АСУЭ.SEPAM.aI_Cutoff</v>
      </c>
      <c r="B80">
        <v>101</v>
      </c>
      <c r="C80" t="s">
        <v>0</v>
      </c>
      <c r="D80" s="30" t="s">
        <v>1500</v>
      </c>
    </row>
    <row r="81" spans="1:4" ht="15" customHeight="1">
      <c r="A81" s="29" t="str">
        <f t="shared" si="6"/>
        <v>АСУЭ.SEPAM.aI_Cutoff</v>
      </c>
      <c r="B81">
        <v>3</v>
      </c>
      <c r="C81" t="s">
        <v>1</v>
      </c>
      <c r="D81" s="30">
        <v>192</v>
      </c>
    </row>
    <row r="82" spans="1:4" ht="15" customHeight="1">
      <c r="A82" s="29" t="str">
        <f t="shared" si="6"/>
        <v>АСУЭ.SEPAM.aI_Cutoff</v>
      </c>
      <c r="B82">
        <v>2</v>
      </c>
      <c r="C82" t="s">
        <v>2</v>
      </c>
      <c r="D82" s="30" t="s">
        <v>175</v>
      </c>
    </row>
    <row r="83" spans="1:4" ht="15" customHeight="1">
      <c r="A83" s="26" t="str">
        <f t="shared" si="6"/>
        <v>АСУЭ.SEPAM.aI_Cutoff</v>
      </c>
      <c r="B83" s="27">
        <v>1</v>
      </c>
      <c r="C83" s="27" t="s">
        <v>1</v>
      </c>
      <c r="D83" s="28">
        <v>11</v>
      </c>
    </row>
    <row r="84" spans="1:4" ht="15" customHeight="1">
      <c r="A84" s="148" t="str">
        <f t="shared" ref="A84:A93" si="7">$R$2&amp;".aLZL"</f>
        <v>АСУЭ.SEPAM.aLZL</v>
      </c>
      <c r="B84" s="683">
        <v>11154</v>
      </c>
      <c r="C84" s="683" t="s">
        <v>4</v>
      </c>
      <c r="D84" s="535">
        <f>$Q$5</f>
        <v>4</v>
      </c>
    </row>
    <row r="85" spans="1:4" ht="15" customHeight="1">
      <c r="A85" s="148" t="str">
        <f t="shared" si="7"/>
        <v>АСУЭ.SEPAM.aLZL</v>
      </c>
      <c r="B85" s="683">
        <v>11150</v>
      </c>
      <c r="C85" s="683" t="s">
        <v>0</v>
      </c>
      <c r="D85" s="125" t="s">
        <v>1501</v>
      </c>
    </row>
    <row r="86" spans="1:4" ht="15" customHeight="1">
      <c r="A86" s="148" t="str">
        <f t="shared" si="7"/>
        <v>АСУЭ.SEPAM.aLZL</v>
      </c>
      <c r="B86" s="683">
        <v>11152</v>
      </c>
      <c r="C86" s="683" t="s">
        <v>0</v>
      </c>
      <c r="D86" s="125" t="str">
        <f>$R$5</f>
        <v>Авария</v>
      </c>
    </row>
    <row r="87" spans="1:4" ht="15" customHeight="1">
      <c r="A87" s="148" t="str">
        <f t="shared" si="7"/>
        <v>АСУЭ.SEPAM.aLZL</v>
      </c>
      <c r="B87" s="683">
        <v>11000</v>
      </c>
      <c r="C87" s="683" t="s">
        <v>5</v>
      </c>
      <c r="D87" s="125">
        <v>0</v>
      </c>
    </row>
    <row r="88" spans="1:4" ht="15" customHeight="1">
      <c r="A88" s="29" t="str">
        <f t="shared" si="7"/>
        <v>АСУЭ.SEPAM.aLZL</v>
      </c>
      <c r="B88">
        <v>7999</v>
      </c>
      <c r="C88" t="s">
        <v>0</v>
      </c>
      <c r="D88" s="30" t="str">
        <f>"#"&amp;$S$2&amp;"#"&amp;$T$2&amp;"."&amp;$P$2&amp;".TS65_80_TS66"</f>
        <v>#3#\\Setup_rza\Modbus.OPCServer\ZRU_Sepam.VV1_Sepam_S82.TS65_80_TS66</v>
      </c>
    </row>
    <row r="89" spans="1:4" ht="15" customHeight="1">
      <c r="A89" s="29" t="str">
        <f t="shared" si="7"/>
        <v>АСУЭ.SEPAM.aLZL</v>
      </c>
      <c r="B89">
        <v>7998</v>
      </c>
      <c r="C89" t="s">
        <v>6</v>
      </c>
      <c r="D89" s="30">
        <v>1</v>
      </c>
    </row>
    <row r="90" spans="1:4" ht="15" customHeight="1">
      <c r="A90" s="29" t="str">
        <f t="shared" si="7"/>
        <v>АСУЭ.SEPAM.aLZL</v>
      </c>
      <c r="B90">
        <v>101</v>
      </c>
      <c r="C90" t="s">
        <v>0</v>
      </c>
      <c r="D90" s="30" t="s">
        <v>1501</v>
      </c>
    </row>
    <row r="91" spans="1:4" ht="15" customHeight="1">
      <c r="A91" s="29" t="str">
        <f t="shared" si="7"/>
        <v>АСУЭ.SEPAM.aLZL</v>
      </c>
      <c r="B91">
        <v>3</v>
      </c>
      <c r="C91" t="s">
        <v>1</v>
      </c>
      <c r="D91" s="30">
        <v>192</v>
      </c>
    </row>
    <row r="92" spans="1:4" ht="15" customHeight="1">
      <c r="A92" s="29" t="str">
        <f t="shared" si="7"/>
        <v>АСУЭ.SEPAM.aLZL</v>
      </c>
      <c r="B92">
        <v>2</v>
      </c>
      <c r="C92" t="s">
        <v>2</v>
      </c>
      <c r="D92" s="30" t="s">
        <v>175</v>
      </c>
    </row>
    <row r="93" spans="1:4" ht="15" customHeight="1">
      <c r="A93" s="26" t="str">
        <f t="shared" si="7"/>
        <v>АСУЭ.SEPAM.aLZL</v>
      </c>
      <c r="B93" s="27">
        <v>1</v>
      </c>
      <c r="C93" s="27" t="s">
        <v>1</v>
      </c>
      <c r="D93" s="28">
        <v>11</v>
      </c>
    </row>
    <row r="94" spans="1:4" ht="15" customHeight="1">
      <c r="A94" s="148" t="str">
        <f t="shared" ref="A94:A103" si="8">$R$2&amp;".aMTZ1I"</f>
        <v>АСУЭ.SEPAM.aMTZ1I</v>
      </c>
      <c r="B94" s="683">
        <v>11154</v>
      </c>
      <c r="C94" s="683" t="s">
        <v>4</v>
      </c>
      <c r="D94" s="535">
        <f>$Q$5</f>
        <v>4</v>
      </c>
    </row>
    <row r="95" spans="1:4" ht="15" customHeight="1">
      <c r="A95" s="148" t="str">
        <f t="shared" si="8"/>
        <v>АСУЭ.SEPAM.aMTZ1I</v>
      </c>
      <c r="B95" s="683">
        <v>11150</v>
      </c>
      <c r="C95" s="683" t="s">
        <v>0</v>
      </c>
      <c r="D95" s="125" t="s">
        <v>1543</v>
      </c>
    </row>
    <row r="96" spans="1:4" ht="15" customHeight="1">
      <c r="A96" s="148" t="str">
        <f t="shared" si="8"/>
        <v>АСУЭ.SEPAM.aMTZ1I</v>
      </c>
      <c r="B96" s="683">
        <v>11152</v>
      </c>
      <c r="C96" s="683" t="s">
        <v>0</v>
      </c>
      <c r="D96" s="125" t="str">
        <f>$R$5</f>
        <v>Авария</v>
      </c>
    </row>
    <row r="97" spans="1:4" ht="15" customHeight="1">
      <c r="A97" s="148" t="str">
        <f t="shared" si="8"/>
        <v>АСУЭ.SEPAM.aMTZ1I</v>
      </c>
      <c r="B97" s="683">
        <v>11000</v>
      </c>
      <c r="C97" s="683" t="s">
        <v>5</v>
      </c>
      <c r="D97" s="125">
        <v>2147483680</v>
      </c>
    </row>
    <row r="98" spans="1:4" ht="15" customHeight="1">
      <c r="A98" s="29" t="str">
        <f t="shared" si="8"/>
        <v>АСУЭ.SEPAM.aMTZ1I</v>
      </c>
      <c r="B98">
        <v>7999</v>
      </c>
      <c r="C98" t="s">
        <v>0</v>
      </c>
      <c r="D98" s="30" t="str">
        <f>"#"&amp;$S$2&amp;"#"&amp;$T$2&amp;"."&amp;$P$2&amp;".TS65_80_TS66"</f>
        <v>#3#\\Setup_rza\Modbus.OPCServer\ZRU_Sepam.VV1_Sepam_S82.TS65_80_TS66</v>
      </c>
    </row>
    <row r="99" spans="1:4" ht="15" customHeight="1">
      <c r="A99" s="29" t="str">
        <f t="shared" si="8"/>
        <v>АСУЭ.SEPAM.aMTZ1I</v>
      </c>
      <c r="B99">
        <v>7998</v>
      </c>
      <c r="C99" t="s">
        <v>6</v>
      </c>
      <c r="D99" s="30">
        <v>1</v>
      </c>
    </row>
    <row r="100" spans="1:4" ht="15" customHeight="1">
      <c r="A100" s="29" t="str">
        <f t="shared" si="8"/>
        <v>АСУЭ.SEPAM.aMTZ1I</v>
      </c>
      <c r="B100">
        <v>101</v>
      </c>
      <c r="C100" t="s">
        <v>0</v>
      </c>
      <c r="D100" s="30" t="s">
        <v>1543</v>
      </c>
    </row>
    <row r="101" spans="1:4" ht="15" customHeight="1">
      <c r="A101" s="29" t="str">
        <f t="shared" si="8"/>
        <v>АСУЭ.SEPAM.aMTZ1I</v>
      </c>
      <c r="B101">
        <v>3</v>
      </c>
      <c r="C101" t="s">
        <v>1</v>
      </c>
      <c r="D101" s="30">
        <v>192</v>
      </c>
    </row>
    <row r="102" spans="1:4" ht="15" customHeight="1">
      <c r="A102" s="29" t="str">
        <f t="shared" si="8"/>
        <v>АСУЭ.SEPAM.aMTZ1I</v>
      </c>
      <c r="B102">
        <v>2</v>
      </c>
      <c r="C102" t="s">
        <v>2</v>
      </c>
      <c r="D102" s="30" t="s">
        <v>175</v>
      </c>
    </row>
    <row r="103" spans="1:4" ht="15" customHeight="1">
      <c r="A103" s="26" t="str">
        <f t="shared" si="8"/>
        <v>АСУЭ.SEPAM.aMTZ1I</v>
      </c>
      <c r="B103" s="27">
        <v>1</v>
      </c>
      <c r="C103" s="27" t="s">
        <v>1</v>
      </c>
      <c r="D103" s="28">
        <v>11</v>
      </c>
    </row>
    <row r="104" spans="1:4" ht="15" customHeight="1">
      <c r="A104" s="148" t="str">
        <f t="shared" ref="A104:A113" si="9">$R$2&amp;".aMTZ2I"</f>
        <v>АСУЭ.SEPAM.aMTZ2I</v>
      </c>
      <c r="B104" s="683">
        <v>11154</v>
      </c>
      <c r="C104" s="683" t="s">
        <v>4</v>
      </c>
      <c r="D104" s="535">
        <f>$Q$5</f>
        <v>4</v>
      </c>
    </row>
    <row r="105" spans="1:4" ht="15" customHeight="1">
      <c r="A105" s="148" t="str">
        <f t="shared" si="9"/>
        <v>АСУЭ.SEPAM.aMTZ2I</v>
      </c>
      <c r="B105" s="683">
        <v>11150</v>
      </c>
      <c r="C105" s="683" t="s">
        <v>0</v>
      </c>
      <c r="D105" s="125" t="s">
        <v>1544</v>
      </c>
    </row>
    <row r="106" spans="1:4" ht="15" customHeight="1">
      <c r="A106" s="148" t="str">
        <f t="shared" si="9"/>
        <v>АСУЭ.SEPAM.aMTZ2I</v>
      </c>
      <c r="B106" s="683">
        <v>11152</v>
      </c>
      <c r="C106" s="683" t="s">
        <v>0</v>
      </c>
      <c r="D106" s="125" t="str">
        <f>$R$5</f>
        <v>Авария</v>
      </c>
    </row>
    <row r="107" spans="1:4" ht="15" customHeight="1">
      <c r="A107" s="148" t="str">
        <f t="shared" si="9"/>
        <v>АСУЭ.SEPAM.aMTZ2I</v>
      </c>
      <c r="B107" s="683">
        <v>11000</v>
      </c>
      <c r="C107" s="683" t="s">
        <v>5</v>
      </c>
      <c r="D107" s="125">
        <v>2147483680</v>
      </c>
    </row>
    <row r="108" spans="1:4" ht="15" customHeight="1">
      <c r="A108" s="29" t="str">
        <f t="shared" si="9"/>
        <v>АСУЭ.SEPAM.aMTZ2I</v>
      </c>
      <c r="B108">
        <v>7999</v>
      </c>
      <c r="C108" t="s">
        <v>0</v>
      </c>
      <c r="D108" s="30" t="str">
        <f>"#"&amp;$S$2&amp;"#"&amp;$T$2&amp;"."&amp;$P$2&amp;".TS65_80_TS67"</f>
        <v>#3#\\Setup_rza\Modbus.OPCServer\ZRU_Sepam.VV1_Sepam_S82.TS65_80_TS67</v>
      </c>
    </row>
    <row r="109" spans="1:4" ht="15" customHeight="1">
      <c r="A109" s="29" t="str">
        <f t="shared" si="9"/>
        <v>АСУЭ.SEPAM.aMTZ2I</v>
      </c>
      <c r="B109">
        <v>7998</v>
      </c>
      <c r="C109" t="s">
        <v>6</v>
      </c>
      <c r="D109" s="30">
        <v>1</v>
      </c>
    </row>
    <row r="110" spans="1:4" ht="15" customHeight="1">
      <c r="A110" s="29" t="str">
        <f t="shared" si="9"/>
        <v>АСУЭ.SEPAM.aMTZ2I</v>
      </c>
      <c r="B110">
        <v>101</v>
      </c>
      <c r="C110" t="s">
        <v>0</v>
      </c>
      <c r="D110" s="30" t="s">
        <v>1544</v>
      </c>
    </row>
    <row r="111" spans="1:4" ht="15" customHeight="1">
      <c r="A111" s="29" t="str">
        <f t="shared" si="9"/>
        <v>АСУЭ.SEPAM.aMTZ2I</v>
      </c>
      <c r="B111">
        <v>3</v>
      </c>
      <c r="C111" t="s">
        <v>1</v>
      </c>
      <c r="D111" s="30">
        <v>192</v>
      </c>
    </row>
    <row r="112" spans="1:4" ht="15" customHeight="1">
      <c r="A112" s="29" t="str">
        <f t="shared" si="9"/>
        <v>АСУЭ.SEPAM.aMTZ2I</v>
      </c>
      <c r="B112">
        <v>2</v>
      </c>
      <c r="C112" t="s">
        <v>2</v>
      </c>
      <c r="D112" s="30" t="s">
        <v>175</v>
      </c>
    </row>
    <row r="113" spans="1:4" ht="15" customHeight="1">
      <c r="A113" s="26" t="str">
        <f t="shared" si="9"/>
        <v>АСУЭ.SEPAM.aMTZ2I</v>
      </c>
      <c r="B113" s="27">
        <v>1</v>
      </c>
      <c r="C113" s="27" t="s">
        <v>1</v>
      </c>
      <c r="D113" s="28">
        <v>11</v>
      </c>
    </row>
    <row r="114" spans="1:4" ht="15" customHeight="1">
      <c r="A114" s="148" t="str">
        <f>$R$2&amp;".aOZZ"</f>
        <v>АСУЭ.SEPAM.aOZZ</v>
      </c>
      <c r="B114" s="683">
        <v>11154</v>
      </c>
      <c r="C114" s="683" t="s">
        <v>4</v>
      </c>
      <c r="D114" s="535">
        <f>$Q$5</f>
        <v>4</v>
      </c>
    </row>
    <row r="115" spans="1:4" ht="15" customHeight="1">
      <c r="A115" s="148" t="str">
        <f t="shared" ref="A115:A123" si="10">$R$2&amp;".aOZZ"</f>
        <v>АСУЭ.SEPAM.aOZZ</v>
      </c>
      <c r="B115" s="683">
        <v>11150</v>
      </c>
      <c r="C115" s="683" t="s">
        <v>0</v>
      </c>
      <c r="D115" s="125" t="s">
        <v>1545</v>
      </c>
    </row>
    <row r="116" spans="1:4" ht="15" customHeight="1">
      <c r="A116" s="148" t="str">
        <f t="shared" si="10"/>
        <v>АСУЭ.SEPAM.aOZZ</v>
      </c>
      <c r="B116" s="683">
        <v>11152</v>
      </c>
      <c r="C116" s="683" t="s">
        <v>0</v>
      </c>
      <c r="D116" s="125" t="str">
        <f>$R$5</f>
        <v>Авария</v>
      </c>
    </row>
    <row r="117" spans="1:4" ht="15" customHeight="1">
      <c r="A117" s="148" t="str">
        <f t="shared" si="10"/>
        <v>АСУЭ.SEPAM.aOZZ</v>
      </c>
      <c r="B117" s="683">
        <v>11000</v>
      </c>
      <c r="C117" s="683" t="s">
        <v>5</v>
      </c>
      <c r="D117" s="125">
        <v>2147483680</v>
      </c>
    </row>
    <row r="118" spans="1:4" ht="15" customHeight="1">
      <c r="A118" s="29" t="str">
        <f t="shared" si="10"/>
        <v>АСУЭ.SEPAM.aOZZ</v>
      </c>
      <c r="B118">
        <v>7999</v>
      </c>
      <c r="C118" t="s">
        <v>0</v>
      </c>
      <c r="D118" s="30" t="str">
        <f>"#"&amp;$S$2&amp;"#"&amp;$T$2&amp;"."&amp;$P$2&amp;".TS65_80_TS76"</f>
        <v>#3#\\Setup_rza\Modbus.OPCServer\ZRU_Sepam.VV1_Sepam_S82.TS65_80_TS76</v>
      </c>
    </row>
    <row r="119" spans="1:4" ht="15" customHeight="1">
      <c r="A119" s="29" t="str">
        <f t="shared" si="10"/>
        <v>АСУЭ.SEPAM.aOZZ</v>
      </c>
      <c r="B119">
        <v>7998</v>
      </c>
      <c r="C119" t="s">
        <v>6</v>
      </c>
      <c r="D119" s="30">
        <v>1</v>
      </c>
    </row>
    <row r="120" spans="1:4" ht="15" customHeight="1">
      <c r="A120" s="29" t="str">
        <f t="shared" si="10"/>
        <v>АСУЭ.SEPAM.aOZZ</v>
      </c>
      <c r="B120">
        <v>101</v>
      </c>
      <c r="C120" t="s">
        <v>0</v>
      </c>
      <c r="D120" s="30" t="s">
        <v>1545</v>
      </c>
    </row>
    <row r="121" spans="1:4" ht="15" customHeight="1">
      <c r="A121" s="29" t="str">
        <f t="shared" si="10"/>
        <v>АСУЭ.SEPAM.aOZZ</v>
      </c>
      <c r="B121">
        <v>3</v>
      </c>
      <c r="C121" t="s">
        <v>1</v>
      </c>
      <c r="D121" s="30">
        <v>192</v>
      </c>
    </row>
    <row r="122" spans="1:4" ht="15" customHeight="1">
      <c r="A122" s="29" t="str">
        <f t="shared" si="10"/>
        <v>АСУЭ.SEPAM.aOZZ</v>
      </c>
      <c r="B122">
        <v>2</v>
      </c>
      <c r="C122" t="s">
        <v>2</v>
      </c>
      <c r="D122" s="30" t="s">
        <v>175</v>
      </c>
    </row>
    <row r="123" spans="1:4" ht="15" customHeight="1">
      <c r="A123" s="26" t="str">
        <f t="shared" si="10"/>
        <v>АСУЭ.SEPAM.aOZZ</v>
      </c>
      <c r="B123" s="27">
        <v>1</v>
      </c>
      <c r="C123" s="27" t="s">
        <v>1</v>
      </c>
      <c r="D123" s="28">
        <v>11</v>
      </c>
    </row>
    <row r="124" spans="1:4" ht="15" customHeight="1">
      <c r="A124" s="148" t="str">
        <f t="shared" ref="A124:A133" si="11">$R$2&amp;".aPrt"</f>
        <v>АСУЭ.SEPAM.aPrt</v>
      </c>
      <c r="B124" s="683">
        <v>11154</v>
      </c>
      <c r="C124" s="683" t="s">
        <v>4</v>
      </c>
      <c r="D124" s="535">
        <f>$Q$5</f>
        <v>4</v>
      </c>
    </row>
    <row r="125" spans="1:4" ht="15" customHeight="1">
      <c r="A125" s="148" t="str">
        <f t="shared" si="11"/>
        <v>АСУЭ.SEPAM.aPrt</v>
      </c>
      <c r="B125" s="683">
        <v>11150</v>
      </c>
      <c r="C125" s="683" t="s">
        <v>0</v>
      </c>
      <c r="D125" s="125" t="s">
        <v>141</v>
      </c>
    </row>
    <row r="126" spans="1:4" ht="15" customHeight="1">
      <c r="A126" s="148" t="str">
        <f t="shared" si="11"/>
        <v>АСУЭ.SEPAM.aPrt</v>
      </c>
      <c r="B126" s="683">
        <v>11152</v>
      </c>
      <c r="C126" s="683" t="s">
        <v>0</v>
      </c>
      <c r="D126" s="125" t="str">
        <f>$R$5</f>
        <v>Авария</v>
      </c>
    </row>
    <row r="127" spans="1:4" ht="15" customHeight="1">
      <c r="A127" s="148" t="str">
        <f t="shared" si="11"/>
        <v>АСУЭ.SEPAM.aPrt</v>
      </c>
      <c r="B127" s="683">
        <v>11000</v>
      </c>
      <c r="C127" s="683" t="s">
        <v>5</v>
      </c>
      <c r="D127" s="125">
        <v>2147483680</v>
      </c>
    </row>
    <row r="128" spans="1:4" ht="15" customHeight="1">
      <c r="A128" s="29" t="str">
        <f t="shared" si="11"/>
        <v>АСУЭ.SEPAM.aPrt</v>
      </c>
      <c r="B128">
        <v>7999</v>
      </c>
      <c r="C128" t="s">
        <v>0</v>
      </c>
      <c r="D128" s="30" t="str">
        <f>"#"&amp;$S$2&amp;"#"&amp;$T$2&amp;"."&amp;$P$2&amp;".TS177_192_TS179"</f>
        <v>#3#\\Setup_rza\Modbus.OPCServer\ZRU_Sepam.VV1_Sepam_S82.TS177_192_TS179</v>
      </c>
    </row>
    <row r="129" spans="1:4" ht="15" customHeight="1">
      <c r="A129" s="29" t="str">
        <f t="shared" si="11"/>
        <v>АСУЭ.SEPAM.aPrt</v>
      </c>
      <c r="B129">
        <v>7998</v>
      </c>
      <c r="C129" t="s">
        <v>6</v>
      </c>
      <c r="D129" s="30">
        <v>1</v>
      </c>
    </row>
    <row r="130" spans="1:4" ht="15" customHeight="1">
      <c r="A130" s="29" t="str">
        <f t="shared" si="11"/>
        <v>АСУЭ.SEPAM.aPrt</v>
      </c>
      <c r="B130">
        <v>101</v>
      </c>
      <c r="C130" t="s">
        <v>0</v>
      </c>
      <c r="D130" s="30" t="s">
        <v>141</v>
      </c>
    </row>
    <row r="131" spans="1:4" ht="15" customHeight="1">
      <c r="A131" s="29" t="str">
        <f t="shared" si="11"/>
        <v>АСУЭ.SEPAM.aPrt</v>
      </c>
      <c r="B131">
        <v>3</v>
      </c>
      <c r="C131" t="s">
        <v>1</v>
      </c>
      <c r="D131" s="30">
        <v>192</v>
      </c>
    </row>
    <row r="132" spans="1:4" ht="15" customHeight="1">
      <c r="A132" s="29" t="str">
        <f t="shared" si="11"/>
        <v>АСУЭ.SEPAM.aPrt</v>
      </c>
      <c r="B132">
        <v>2</v>
      </c>
      <c r="C132" t="s">
        <v>2</v>
      </c>
      <c r="D132" s="30" t="s">
        <v>175</v>
      </c>
    </row>
    <row r="133" spans="1:4" ht="15" customHeight="1">
      <c r="A133" s="26" t="str">
        <f t="shared" si="11"/>
        <v>АСУЭ.SEPAM.aPrt</v>
      </c>
      <c r="B133" s="27">
        <v>1</v>
      </c>
      <c r="C133" s="27" t="s">
        <v>1</v>
      </c>
      <c r="D133" s="28">
        <v>11</v>
      </c>
    </row>
    <row r="134" spans="1:4" ht="15" customHeight="1">
      <c r="A134" s="148" t="str">
        <f t="shared" ref="A134:A143" si="12">$R$2&amp;".aAccelMTZ"</f>
        <v>АСУЭ.SEPAM.aAccelMTZ</v>
      </c>
      <c r="B134" s="683">
        <v>11154</v>
      </c>
      <c r="C134" s="683" t="s">
        <v>4</v>
      </c>
      <c r="D134" s="535">
        <f>$Q$5</f>
        <v>4</v>
      </c>
    </row>
    <row r="135" spans="1:4" ht="15" customHeight="1">
      <c r="A135" s="148" t="str">
        <f t="shared" si="12"/>
        <v>АСУЭ.SEPAM.aAccelMTZ</v>
      </c>
      <c r="B135" s="683">
        <v>11150</v>
      </c>
      <c r="C135" s="683" t="s">
        <v>0</v>
      </c>
      <c r="D135" s="125" t="s">
        <v>335</v>
      </c>
    </row>
    <row r="136" spans="1:4" ht="15" customHeight="1">
      <c r="A136" s="148" t="str">
        <f t="shared" si="12"/>
        <v>АСУЭ.SEPAM.aAccelMTZ</v>
      </c>
      <c r="B136" s="683">
        <v>11152</v>
      </c>
      <c r="C136" s="683" t="s">
        <v>0</v>
      </c>
      <c r="D136" s="125" t="str">
        <f>$R$5</f>
        <v>Авария</v>
      </c>
    </row>
    <row r="137" spans="1:4" ht="15" customHeight="1">
      <c r="A137" s="148" t="str">
        <f t="shared" si="12"/>
        <v>АСУЭ.SEPAM.aAccelMTZ</v>
      </c>
      <c r="B137" s="683">
        <v>11000</v>
      </c>
      <c r="C137" s="683" t="s">
        <v>5</v>
      </c>
      <c r="D137" s="125">
        <v>2147483680</v>
      </c>
    </row>
    <row r="138" spans="1:4" ht="15" customHeight="1">
      <c r="A138" s="29" t="str">
        <f t="shared" si="12"/>
        <v>АСУЭ.SEPAM.aAccelMTZ</v>
      </c>
      <c r="B138">
        <v>7999</v>
      </c>
      <c r="C138" t="s">
        <v>0</v>
      </c>
      <c r="D138" s="30" t="str">
        <f>"#"&amp;$S$2&amp;"#"&amp;$T$2&amp;"."&amp;$P$2&amp;".TS65_80_TS68"</f>
        <v>#3#\\Setup_rza\Modbus.OPCServer\ZRU_Sepam.VV1_Sepam_S82.TS65_80_TS68</v>
      </c>
    </row>
    <row r="139" spans="1:4" ht="15" customHeight="1">
      <c r="A139" s="29" t="str">
        <f t="shared" si="12"/>
        <v>АСУЭ.SEPAM.aAccelMTZ</v>
      </c>
      <c r="B139">
        <v>7998</v>
      </c>
      <c r="C139" t="s">
        <v>6</v>
      </c>
      <c r="D139" s="30">
        <v>1</v>
      </c>
    </row>
    <row r="140" spans="1:4" ht="15" customHeight="1">
      <c r="A140" s="29" t="str">
        <f t="shared" si="12"/>
        <v>АСУЭ.SEPAM.aAccelMTZ</v>
      </c>
      <c r="B140">
        <v>101</v>
      </c>
      <c r="C140" t="s">
        <v>0</v>
      </c>
      <c r="D140" s="30" t="s">
        <v>335</v>
      </c>
    </row>
    <row r="141" spans="1:4" ht="15" customHeight="1">
      <c r="A141" s="29" t="str">
        <f t="shared" si="12"/>
        <v>АСУЭ.SEPAM.aAccelMTZ</v>
      </c>
      <c r="B141">
        <v>3</v>
      </c>
      <c r="C141" t="s">
        <v>1</v>
      </c>
      <c r="D141" s="30">
        <v>192</v>
      </c>
    </row>
    <row r="142" spans="1:4" ht="15" customHeight="1">
      <c r="A142" s="29" t="str">
        <f t="shared" si="12"/>
        <v>АСУЭ.SEPAM.aAccelMTZ</v>
      </c>
      <c r="B142">
        <v>2</v>
      </c>
      <c r="C142" t="s">
        <v>2</v>
      </c>
      <c r="D142" s="30" t="s">
        <v>175</v>
      </c>
    </row>
    <row r="143" spans="1:4" ht="15" customHeight="1">
      <c r="A143" s="26" t="str">
        <f t="shared" si="12"/>
        <v>АСУЭ.SEPAM.aAccelMTZ</v>
      </c>
      <c r="B143" s="27">
        <v>1</v>
      </c>
      <c r="C143" s="27" t="s">
        <v>1</v>
      </c>
      <c r="D143" s="28">
        <v>11</v>
      </c>
    </row>
    <row r="144" spans="1:4" ht="15" customHeight="1">
      <c r="A144" s="148" t="str">
        <f t="shared" ref="A144:A153" si="13">$R$2&amp;".aUROV"</f>
        <v>АСУЭ.SEPAM.aUROV</v>
      </c>
      <c r="B144" s="683">
        <v>11154</v>
      </c>
      <c r="C144" s="683" t="s">
        <v>4</v>
      </c>
      <c r="D144" s="535">
        <f>$Q$5</f>
        <v>4</v>
      </c>
    </row>
    <row r="145" spans="1:4" ht="15" customHeight="1">
      <c r="A145" s="148" t="str">
        <f t="shared" si="13"/>
        <v>АСУЭ.SEPAM.aUROV</v>
      </c>
      <c r="B145" s="683">
        <v>11150</v>
      </c>
      <c r="C145" s="683" t="s">
        <v>0</v>
      </c>
      <c r="D145" s="125" t="s">
        <v>1502</v>
      </c>
    </row>
    <row r="146" spans="1:4" ht="15" customHeight="1">
      <c r="A146" s="148" t="str">
        <f t="shared" si="13"/>
        <v>АСУЭ.SEPAM.aUROV</v>
      </c>
      <c r="B146" s="683">
        <v>11152</v>
      </c>
      <c r="C146" s="683" t="s">
        <v>0</v>
      </c>
      <c r="D146" s="125" t="str">
        <f>$R$5</f>
        <v>Авария</v>
      </c>
    </row>
    <row r="147" spans="1:4" ht="15" customHeight="1">
      <c r="A147" s="148" t="str">
        <f t="shared" si="13"/>
        <v>АСУЭ.SEPAM.aUROV</v>
      </c>
      <c r="B147" s="683">
        <v>11000</v>
      </c>
      <c r="C147" s="683" t="s">
        <v>5</v>
      </c>
      <c r="D147" s="125">
        <v>2147483680</v>
      </c>
    </row>
    <row r="148" spans="1:4" ht="15" customHeight="1">
      <c r="A148" s="29" t="str">
        <f t="shared" si="13"/>
        <v>АСУЭ.SEPAM.aUROV</v>
      </c>
      <c r="B148">
        <v>7999</v>
      </c>
      <c r="C148" t="s">
        <v>0</v>
      </c>
      <c r="D148" s="30" t="str">
        <f>"#"&amp;$S$2&amp;"#"&amp;$T$2&amp;"."&amp;$P$2&amp;".TS97_112_TS112"</f>
        <v>#3#\\Setup_rza\Modbus.OPCServer\ZRU_Sepam.VV1_Sepam_S82.TS97_112_TS112</v>
      </c>
    </row>
    <row r="149" spans="1:4" ht="15" customHeight="1">
      <c r="A149" s="29" t="str">
        <f t="shared" si="13"/>
        <v>АСУЭ.SEPAM.aUROV</v>
      </c>
      <c r="B149">
        <v>7998</v>
      </c>
      <c r="C149" t="s">
        <v>6</v>
      </c>
      <c r="D149" s="30">
        <v>1</v>
      </c>
    </row>
    <row r="150" spans="1:4" ht="15" customHeight="1">
      <c r="A150" s="29" t="str">
        <f t="shared" si="13"/>
        <v>АСУЭ.SEPAM.aUROV</v>
      </c>
      <c r="B150">
        <v>101</v>
      </c>
      <c r="C150" t="s">
        <v>0</v>
      </c>
      <c r="D150" s="30" t="s">
        <v>1502</v>
      </c>
    </row>
    <row r="151" spans="1:4" ht="15" customHeight="1">
      <c r="A151" s="29" t="str">
        <f t="shared" si="13"/>
        <v>АСУЭ.SEPAM.aUROV</v>
      </c>
      <c r="B151">
        <v>3</v>
      </c>
      <c r="C151" t="s">
        <v>1</v>
      </c>
      <c r="D151" s="30">
        <v>192</v>
      </c>
    </row>
    <row r="152" spans="1:4" ht="15" customHeight="1">
      <c r="A152" s="29" t="str">
        <f t="shared" si="13"/>
        <v>АСУЭ.SEPAM.aUROV</v>
      </c>
      <c r="B152">
        <v>2</v>
      </c>
      <c r="C152" t="s">
        <v>2</v>
      </c>
      <c r="D152" s="30" t="s">
        <v>175</v>
      </c>
    </row>
    <row r="153" spans="1:4" ht="15" customHeight="1">
      <c r="A153" s="26" t="str">
        <f t="shared" si="13"/>
        <v>АСУЭ.SEPAM.aUROV</v>
      </c>
      <c r="B153" s="27">
        <v>1</v>
      </c>
      <c r="C153" s="27" t="s">
        <v>1</v>
      </c>
      <c r="D153" s="28">
        <v>11</v>
      </c>
    </row>
    <row r="154" spans="1:4" ht="15" customHeight="1">
      <c r="A154" s="148" t="str">
        <f t="shared" ref="A154:A163" si="14">$R$2&amp;".aZMN"</f>
        <v>АСУЭ.SEPAM.aZMN</v>
      </c>
      <c r="B154" s="683">
        <v>11154</v>
      </c>
      <c r="C154" s="683" t="s">
        <v>4</v>
      </c>
      <c r="D154" s="535">
        <f>$Q$5</f>
        <v>4</v>
      </c>
    </row>
    <row r="155" spans="1:4" ht="15" customHeight="1">
      <c r="A155" s="148" t="str">
        <f t="shared" si="14"/>
        <v>АСУЭ.SEPAM.aZMN</v>
      </c>
      <c r="B155" s="683">
        <v>11150</v>
      </c>
      <c r="C155" s="683" t="s">
        <v>0</v>
      </c>
      <c r="D155" s="125" t="s">
        <v>1503</v>
      </c>
    </row>
    <row r="156" spans="1:4" ht="15" customHeight="1">
      <c r="A156" s="148" t="str">
        <f t="shared" si="14"/>
        <v>АСУЭ.SEPAM.aZMN</v>
      </c>
      <c r="B156" s="683">
        <v>11152</v>
      </c>
      <c r="C156" s="683" t="s">
        <v>0</v>
      </c>
      <c r="D156" s="125" t="str">
        <f>$R$5</f>
        <v>Авария</v>
      </c>
    </row>
    <row r="157" spans="1:4" ht="15" customHeight="1">
      <c r="A157" s="148" t="str">
        <f t="shared" si="14"/>
        <v>АСУЭ.SEPAM.aZMN</v>
      </c>
      <c r="B157" s="683">
        <v>11000</v>
      </c>
      <c r="C157" s="683" t="s">
        <v>5</v>
      </c>
      <c r="D157" s="125">
        <v>2147483680</v>
      </c>
    </row>
    <row r="158" spans="1:4" ht="15" customHeight="1">
      <c r="A158" s="29" t="str">
        <f t="shared" si="14"/>
        <v>АСУЭ.SEPAM.aZMN</v>
      </c>
      <c r="B158">
        <v>7999</v>
      </c>
      <c r="C158" t="s">
        <v>0</v>
      </c>
      <c r="D158" s="30" t="str">
        <f>"#"&amp;$S$2&amp;"#"&amp;$T$2&amp;"."&amp;$P$2&amp;".TS177_192_TS177"</f>
        <v>#3#\\Setup_rza\Modbus.OPCServer\ZRU_Sepam.VV1_Sepam_S82.TS177_192_TS177</v>
      </c>
    </row>
    <row r="159" spans="1:4" ht="15" customHeight="1">
      <c r="A159" s="29" t="str">
        <f t="shared" si="14"/>
        <v>АСУЭ.SEPAM.aZMN</v>
      </c>
      <c r="B159">
        <v>7998</v>
      </c>
      <c r="C159" t="s">
        <v>6</v>
      </c>
      <c r="D159" s="30">
        <v>1</v>
      </c>
    </row>
    <row r="160" spans="1:4" ht="15" customHeight="1">
      <c r="A160" s="29" t="str">
        <f t="shared" si="14"/>
        <v>АСУЭ.SEPAM.aZMN</v>
      </c>
      <c r="B160">
        <v>101</v>
      </c>
      <c r="C160" t="s">
        <v>0</v>
      </c>
      <c r="D160" s="30" t="s">
        <v>1503</v>
      </c>
    </row>
    <row r="161" spans="1:4" ht="15" customHeight="1">
      <c r="A161" s="29" t="str">
        <f t="shared" si="14"/>
        <v>АСУЭ.SEPAM.aZMN</v>
      </c>
      <c r="B161">
        <v>3</v>
      </c>
      <c r="C161" t="s">
        <v>1</v>
      </c>
      <c r="D161" s="30">
        <v>192</v>
      </c>
    </row>
    <row r="162" spans="1:4" ht="15" customHeight="1">
      <c r="A162" s="29" t="str">
        <f t="shared" si="14"/>
        <v>АСУЭ.SEPAM.aZMN</v>
      </c>
      <c r="B162">
        <v>2</v>
      </c>
      <c r="C162" t="s">
        <v>2</v>
      </c>
      <c r="D162" s="30" t="s">
        <v>175</v>
      </c>
    </row>
    <row r="163" spans="1:4" ht="15" customHeight="1">
      <c r="A163" s="26" t="str">
        <f t="shared" si="14"/>
        <v>АСУЭ.SEPAM.aZMN</v>
      </c>
      <c r="B163" s="27">
        <v>1</v>
      </c>
      <c r="C163" s="27" t="s">
        <v>1</v>
      </c>
      <c r="D163" s="28">
        <v>11</v>
      </c>
    </row>
    <row r="164" spans="1:4" ht="15" customHeight="1">
      <c r="A164" s="23" t="str">
        <f>$R$2&amp;".wCntLimit"</f>
        <v>АСУЭ.SEPAM.wCntLimit</v>
      </c>
      <c r="B164" s="24">
        <v>3000000</v>
      </c>
      <c r="C164" s="24" t="s">
        <v>0</v>
      </c>
      <c r="D164" s="25" t="s">
        <v>394</v>
      </c>
    </row>
    <row r="165" spans="1:4" ht="15" customHeight="1">
      <c r="A165" s="63" t="str">
        <f t="shared" ref="A165:A171" si="15">$R$2&amp;".wCntLimit"</f>
        <v>АСУЭ.SEPAM.wCntLimit</v>
      </c>
      <c r="B165" s="52">
        <v>11154</v>
      </c>
      <c r="C165" s="52" t="s">
        <v>4</v>
      </c>
      <c r="D165" s="65">
        <f>$Q$6</f>
        <v>8</v>
      </c>
    </row>
    <row r="166" spans="1:4" ht="15" customHeight="1">
      <c r="A166" s="63" t="str">
        <f t="shared" si="15"/>
        <v>АСУЭ.SEPAM.wCntLimit</v>
      </c>
      <c r="B166" s="52">
        <v>11152</v>
      </c>
      <c r="C166" s="52" t="s">
        <v>0</v>
      </c>
      <c r="D166" s="65" t="str">
        <f>$R$6</f>
        <v>Предупреждение</v>
      </c>
    </row>
    <row r="167" spans="1:4" ht="15" customHeight="1">
      <c r="A167" s="63" t="str">
        <f t="shared" si="15"/>
        <v>АСУЭ.SEPAM.wCntLimit</v>
      </c>
      <c r="B167" s="52">
        <v>11150</v>
      </c>
      <c r="C167" s="52" t="s">
        <v>0</v>
      </c>
      <c r="D167" s="65" t="s">
        <v>391</v>
      </c>
    </row>
    <row r="168" spans="1:4" ht="15" customHeight="1">
      <c r="A168" s="63" t="str">
        <f t="shared" si="15"/>
        <v>АСУЭ.SEPAM.wCntLimit</v>
      </c>
      <c r="B168" s="52">
        <v>11000</v>
      </c>
      <c r="C168" s="52" t="s">
        <v>5</v>
      </c>
      <c r="D168" s="65">
        <v>2147483680</v>
      </c>
    </row>
    <row r="169" spans="1:4" ht="15" customHeight="1">
      <c r="A169" s="29" t="str">
        <f t="shared" si="15"/>
        <v>АСУЭ.SEPAM.wCntLimit</v>
      </c>
      <c r="B169">
        <v>3</v>
      </c>
      <c r="C169" t="s">
        <v>1</v>
      </c>
      <c r="D169" s="30">
        <v>192</v>
      </c>
    </row>
    <row r="170" spans="1:4" ht="15" customHeight="1">
      <c r="A170" s="29" t="str">
        <f t="shared" si="15"/>
        <v>АСУЭ.SEPAM.wCntLimit</v>
      </c>
      <c r="B170">
        <v>2</v>
      </c>
      <c r="C170" t="s">
        <v>2</v>
      </c>
      <c r="D170" s="30" t="s">
        <v>175</v>
      </c>
    </row>
    <row r="171" spans="1:4" ht="15" customHeight="1">
      <c r="A171" s="26" t="str">
        <f t="shared" si="15"/>
        <v>АСУЭ.SEPAM.wCntLimit</v>
      </c>
      <c r="B171" s="27">
        <v>1</v>
      </c>
      <c r="C171" s="27" t="s">
        <v>1</v>
      </c>
      <c r="D171" s="28">
        <v>11</v>
      </c>
    </row>
    <row r="172" spans="1:4" ht="15" customHeight="1">
      <c r="A172" s="23" t="str">
        <f t="shared" ref="A172:A179" si="16">$R$2&amp;".wCntLimitI"</f>
        <v>АСУЭ.SEPAM.wCntLimitI</v>
      </c>
      <c r="B172" s="24">
        <v>3000000</v>
      </c>
      <c r="C172" s="24" t="s">
        <v>0</v>
      </c>
      <c r="D172" s="25" t="s">
        <v>395</v>
      </c>
    </row>
    <row r="173" spans="1:4" ht="15" customHeight="1">
      <c r="A173" s="63" t="str">
        <f t="shared" si="16"/>
        <v>АСУЭ.SEPAM.wCntLimitI</v>
      </c>
      <c r="B173" s="52">
        <v>11154</v>
      </c>
      <c r="C173" s="52" t="s">
        <v>4</v>
      </c>
      <c r="D173" s="65">
        <f>$Q$6</f>
        <v>8</v>
      </c>
    </row>
    <row r="174" spans="1:4" ht="15" customHeight="1">
      <c r="A174" s="63" t="str">
        <f t="shared" si="16"/>
        <v>АСУЭ.SEPAM.wCntLimitI</v>
      </c>
      <c r="B174" s="52">
        <v>11152</v>
      </c>
      <c r="C174" s="52" t="s">
        <v>0</v>
      </c>
      <c r="D174" s="65" t="str">
        <f>$R$6</f>
        <v>Предупреждение</v>
      </c>
    </row>
    <row r="175" spans="1:4" ht="15" customHeight="1">
      <c r="A175" s="63" t="str">
        <f t="shared" si="16"/>
        <v>АСУЭ.SEPAM.wCntLimitI</v>
      </c>
      <c r="B175" s="52">
        <v>11150</v>
      </c>
      <c r="C175" s="52" t="s">
        <v>0</v>
      </c>
      <c r="D175" s="65" t="s">
        <v>392</v>
      </c>
    </row>
    <row r="176" spans="1:4" ht="15" customHeight="1">
      <c r="A176" s="63" t="str">
        <f t="shared" si="16"/>
        <v>АСУЭ.SEPAM.wCntLimitI</v>
      </c>
      <c r="B176" s="52">
        <v>11000</v>
      </c>
      <c r="C176" s="52" t="s">
        <v>5</v>
      </c>
      <c r="D176" s="65">
        <v>2147483680</v>
      </c>
    </row>
    <row r="177" spans="1:4" ht="15" customHeight="1">
      <c r="A177" s="29" t="str">
        <f t="shared" si="16"/>
        <v>АСУЭ.SEPAM.wCntLimitI</v>
      </c>
      <c r="B177">
        <v>3</v>
      </c>
      <c r="C177" t="s">
        <v>1</v>
      </c>
      <c r="D177" s="30">
        <v>192</v>
      </c>
    </row>
    <row r="178" spans="1:4" ht="15" customHeight="1">
      <c r="A178" s="29" t="str">
        <f t="shared" si="16"/>
        <v>АСУЭ.SEPAM.wCntLimitI</v>
      </c>
      <c r="B178">
        <v>2</v>
      </c>
      <c r="C178" t="s">
        <v>2</v>
      </c>
      <c r="D178" s="30" t="s">
        <v>175</v>
      </c>
    </row>
    <row r="179" spans="1:4" ht="15" customHeight="1">
      <c r="A179" s="26" t="str">
        <f t="shared" si="16"/>
        <v>АСУЭ.SEPAM.wCntLimitI</v>
      </c>
      <c r="B179" s="27">
        <v>1</v>
      </c>
      <c r="C179" s="27" t="s">
        <v>1</v>
      </c>
      <c r="D179" s="28">
        <v>11</v>
      </c>
    </row>
    <row r="180" spans="1:4" ht="15" customHeight="1">
      <c r="A180" s="23" t="str">
        <f t="shared" ref="A180:A187" si="17">$R$2&amp;".wCntLimitIKZ"</f>
        <v>АСУЭ.SEPAM.wCntLimitIKZ</v>
      </c>
      <c r="B180" s="24">
        <v>3000000</v>
      </c>
      <c r="C180" s="24" t="s">
        <v>0</v>
      </c>
      <c r="D180" s="25" t="s">
        <v>1504</v>
      </c>
    </row>
    <row r="181" spans="1:4" ht="15" customHeight="1">
      <c r="A181" s="63" t="str">
        <f t="shared" si="17"/>
        <v>АСУЭ.SEPAM.wCntLimitIKZ</v>
      </c>
      <c r="B181" s="52">
        <v>11154</v>
      </c>
      <c r="C181" s="52" t="s">
        <v>4</v>
      </c>
      <c r="D181" s="65">
        <f>$Q$6</f>
        <v>8</v>
      </c>
    </row>
    <row r="182" spans="1:4" ht="15" customHeight="1">
      <c r="A182" s="63" t="str">
        <f t="shared" si="17"/>
        <v>АСУЭ.SEPAM.wCntLimitIKZ</v>
      </c>
      <c r="B182" s="52">
        <v>11152</v>
      </c>
      <c r="C182" s="52" t="s">
        <v>0</v>
      </c>
      <c r="D182" s="65" t="str">
        <f>$R$6</f>
        <v>Предупреждение</v>
      </c>
    </row>
    <row r="183" spans="1:4" ht="15" customHeight="1">
      <c r="A183" s="63" t="str">
        <f t="shared" si="17"/>
        <v>АСУЭ.SEPAM.wCntLimitIKZ</v>
      </c>
      <c r="B183" s="52">
        <v>11150</v>
      </c>
      <c r="C183" s="52" t="s">
        <v>0</v>
      </c>
      <c r="D183" s="65" t="s">
        <v>393</v>
      </c>
    </row>
    <row r="184" spans="1:4" ht="15" customHeight="1">
      <c r="A184" s="63" t="str">
        <f t="shared" si="17"/>
        <v>АСУЭ.SEPAM.wCntLimitIKZ</v>
      </c>
      <c r="B184" s="52">
        <v>11000</v>
      </c>
      <c r="C184" s="52" t="s">
        <v>5</v>
      </c>
      <c r="D184" s="65">
        <v>2147483680</v>
      </c>
    </row>
    <row r="185" spans="1:4" ht="15" customHeight="1">
      <c r="A185" s="29" t="str">
        <f t="shared" si="17"/>
        <v>АСУЭ.SEPAM.wCntLimitIKZ</v>
      </c>
      <c r="B185">
        <v>3</v>
      </c>
      <c r="C185" t="s">
        <v>1</v>
      </c>
      <c r="D185" s="30">
        <v>192</v>
      </c>
    </row>
    <row r="186" spans="1:4" ht="15" customHeight="1">
      <c r="A186" s="29" t="str">
        <f t="shared" si="17"/>
        <v>АСУЭ.SEPAM.wCntLimitIKZ</v>
      </c>
      <c r="B186">
        <v>2</v>
      </c>
      <c r="C186" t="s">
        <v>2</v>
      </c>
      <c r="D186" s="30" t="s">
        <v>175</v>
      </c>
    </row>
    <row r="187" spans="1:4" ht="15" customHeight="1">
      <c r="A187" s="26" t="str">
        <f t="shared" si="17"/>
        <v>АСУЭ.SEPAM.wCntLimitIKZ</v>
      </c>
      <c r="B187" s="27">
        <v>1</v>
      </c>
      <c r="C187" s="27" t="s">
        <v>1</v>
      </c>
      <c r="D187" s="28">
        <v>11</v>
      </c>
    </row>
    <row r="188" spans="1:4" ht="15" customHeight="1">
      <c r="A188" s="63" t="str">
        <f t="shared" ref="A188:A198" si="18">$R$2&amp;".wLoc"</f>
        <v>АСУЭ.SEPAM.wLoc</v>
      </c>
      <c r="B188" s="52">
        <v>11154</v>
      </c>
      <c r="C188" s="52" t="s">
        <v>4</v>
      </c>
      <c r="D188" s="199">
        <f>$Q$6</f>
        <v>8</v>
      </c>
    </row>
    <row r="189" spans="1:4" ht="15" customHeight="1">
      <c r="A189" s="63" t="str">
        <f t="shared" si="18"/>
        <v>АСУЭ.SEPAM.wLoc</v>
      </c>
      <c r="B189" s="52">
        <v>11152</v>
      </c>
      <c r="C189" s="52" t="s">
        <v>0</v>
      </c>
      <c r="D189" s="65" t="str">
        <f>$R$6</f>
        <v>Предупреждение</v>
      </c>
    </row>
    <row r="190" spans="1:4" ht="15" customHeight="1">
      <c r="A190" s="63" t="str">
        <f t="shared" si="18"/>
        <v>АСУЭ.SEPAM.wLoc</v>
      </c>
      <c r="B190" s="52">
        <v>11150</v>
      </c>
      <c r="C190" s="52" t="s">
        <v>0</v>
      </c>
      <c r="D190" s="65" t="s">
        <v>169</v>
      </c>
    </row>
    <row r="191" spans="1:4" ht="15" customHeight="1">
      <c r="A191" s="63" t="str">
        <f t="shared" si="18"/>
        <v>АСУЭ.SEPAM.wLoc</v>
      </c>
      <c r="B191" s="52">
        <v>11000</v>
      </c>
      <c r="C191" s="52" t="s">
        <v>5</v>
      </c>
      <c r="D191" s="65">
        <v>0</v>
      </c>
    </row>
    <row r="192" spans="1:4" ht="15" customHeight="1">
      <c r="A192" s="29" t="str">
        <f t="shared" si="18"/>
        <v>АСУЭ.SEPAM.wLoc</v>
      </c>
      <c r="B192">
        <v>7999</v>
      </c>
      <c r="C192" t="s">
        <v>0</v>
      </c>
      <c r="D192" s="30" t="str">
        <f>"#"&amp;$S$2&amp;"#"&amp;$T$2&amp;"."&amp;$P$2&amp;".TS01_16_TS14"</f>
        <v>#3#\\Setup_rza\Modbus.OPCServer\ZRU_Sepam.VV1_Sepam_S82.TS01_16_TS14</v>
      </c>
    </row>
    <row r="193" spans="1:4" ht="15" customHeight="1">
      <c r="A193" s="29" t="str">
        <f t="shared" si="18"/>
        <v>АСУЭ.SEPAM.wLoc</v>
      </c>
      <c r="B193">
        <v>7998</v>
      </c>
      <c r="C193" t="s">
        <v>6</v>
      </c>
      <c r="D193" s="30">
        <v>1</v>
      </c>
    </row>
    <row r="194" spans="1:4" ht="15" customHeight="1">
      <c r="A194" s="29" t="str">
        <f t="shared" si="18"/>
        <v>АСУЭ.SEPAM.wLoc</v>
      </c>
      <c r="B194">
        <v>7200</v>
      </c>
      <c r="C194" t="s">
        <v>2</v>
      </c>
      <c r="D194" s="30" t="s">
        <v>266</v>
      </c>
    </row>
    <row r="195" spans="1:4" ht="15" customHeight="1">
      <c r="A195" s="29" t="str">
        <f t="shared" si="18"/>
        <v>АСУЭ.SEPAM.wLoc</v>
      </c>
      <c r="B195">
        <v>101</v>
      </c>
      <c r="C195" t="s">
        <v>0</v>
      </c>
      <c r="D195" s="30" t="s">
        <v>169</v>
      </c>
    </row>
    <row r="196" spans="1:4" ht="15" customHeight="1">
      <c r="A196" s="29" t="str">
        <f t="shared" si="18"/>
        <v>АСУЭ.SEPAM.wLoc</v>
      </c>
      <c r="B196">
        <v>3</v>
      </c>
      <c r="C196" t="s">
        <v>1</v>
      </c>
      <c r="D196" s="30">
        <v>192</v>
      </c>
    </row>
    <row r="197" spans="1:4" ht="15" customHeight="1">
      <c r="A197" s="29" t="str">
        <f t="shared" si="18"/>
        <v>АСУЭ.SEPAM.wLoc</v>
      </c>
      <c r="B197">
        <v>2</v>
      </c>
      <c r="C197" t="s">
        <v>2</v>
      </c>
      <c r="D197" s="30" t="s">
        <v>175</v>
      </c>
    </row>
    <row r="198" spans="1:4" ht="15" customHeight="1">
      <c r="A198" s="26" t="str">
        <f t="shared" si="18"/>
        <v>АСУЭ.SEPAM.wLoc</v>
      </c>
      <c r="B198" s="27">
        <v>1</v>
      </c>
      <c r="C198" s="27" t="s">
        <v>1</v>
      </c>
      <c r="D198" s="28">
        <v>11</v>
      </c>
    </row>
    <row r="199" spans="1:4" ht="15" customHeight="1">
      <c r="A199" s="69" t="str">
        <f t="shared" ref="A199:A208" si="19">$R$2&amp;".wCall"</f>
        <v>АСУЭ.SEPAM.wCall</v>
      </c>
      <c r="B199" s="70">
        <v>11154</v>
      </c>
      <c r="C199" s="70" t="s">
        <v>4</v>
      </c>
      <c r="D199" s="71">
        <f>$Q$6</f>
        <v>8</v>
      </c>
    </row>
    <row r="200" spans="1:4" ht="15" customHeight="1">
      <c r="A200" s="63" t="str">
        <f t="shared" si="19"/>
        <v>АСУЭ.SEPAM.wCall</v>
      </c>
      <c r="B200" s="52">
        <v>11152</v>
      </c>
      <c r="C200" s="52" t="s">
        <v>0</v>
      </c>
      <c r="D200" s="65" t="str">
        <f>$R$6</f>
        <v>Предупреждение</v>
      </c>
    </row>
    <row r="201" spans="1:4" ht="15" customHeight="1">
      <c r="A201" s="63" t="str">
        <f t="shared" si="19"/>
        <v>АСУЭ.SEPAM.wCall</v>
      </c>
      <c r="B201" s="52">
        <v>11150</v>
      </c>
      <c r="C201" s="52" t="s">
        <v>0</v>
      </c>
      <c r="D201" s="65" t="s">
        <v>338</v>
      </c>
    </row>
    <row r="202" spans="1:4" ht="15" customHeight="1">
      <c r="A202" s="63" t="str">
        <f t="shared" si="19"/>
        <v>АСУЭ.SEPAM.wCall</v>
      </c>
      <c r="B202" s="52">
        <v>11000</v>
      </c>
      <c r="C202" s="52" t="s">
        <v>5</v>
      </c>
      <c r="D202" s="65">
        <v>2147483680</v>
      </c>
    </row>
    <row r="203" spans="1:4" ht="15" customHeight="1">
      <c r="A203" s="29" t="str">
        <f t="shared" si="19"/>
        <v>АСУЭ.SEPAM.wCall</v>
      </c>
      <c r="B203">
        <v>7999</v>
      </c>
      <c r="C203" t="s">
        <v>0</v>
      </c>
      <c r="D203" s="30" t="str">
        <f>"#"&amp;$S$2&amp;"#"&amp;$T$2&amp;"."&amp;$P$2&amp;".TS01_16_TS5"</f>
        <v>#3#\\Setup_rza\Modbus.OPCServer\ZRU_Sepam.VV1_Sepam_S82.TS01_16_TS5</v>
      </c>
    </row>
    <row r="204" spans="1:4" ht="15" customHeight="1">
      <c r="A204" s="29" t="str">
        <f t="shared" si="19"/>
        <v>АСУЭ.SEPAM.wCall</v>
      </c>
      <c r="B204">
        <v>7998</v>
      </c>
      <c r="C204" t="s">
        <v>6</v>
      </c>
      <c r="D204" s="30">
        <v>1</v>
      </c>
    </row>
    <row r="205" spans="1:4" ht="15" customHeight="1">
      <c r="A205" s="29" t="str">
        <f t="shared" si="19"/>
        <v>АСУЭ.SEPAM.wCall</v>
      </c>
      <c r="B205">
        <v>101</v>
      </c>
      <c r="C205" t="s">
        <v>0</v>
      </c>
      <c r="D205" s="30" t="s">
        <v>338</v>
      </c>
    </row>
    <row r="206" spans="1:4" ht="15" customHeight="1">
      <c r="A206" s="29" t="str">
        <f t="shared" si="19"/>
        <v>АСУЭ.SEPAM.wCall</v>
      </c>
      <c r="B206">
        <v>3</v>
      </c>
      <c r="C206" t="s">
        <v>1</v>
      </c>
      <c r="D206" s="30">
        <v>192</v>
      </c>
    </row>
    <row r="207" spans="1:4" ht="15" customHeight="1">
      <c r="A207" s="29" t="str">
        <f t="shared" si="19"/>
        <v>АСУЭ.SEPAM.wCall</v>
      </c>
      <c r="B207">
        <v>2</v>
      </c>
      <c r="C207" t="s">
        <v>2</v>
      </c>
      <c r="D207" s="30" t="s">
        <v>175</v>
      </c>
    </row>
    <row r="208" spans="1:4" ht="15" customHeight="1">
      <c r="A208" s="26" t="str">
        <f t="shared" si="19"/>
        <v>АСУЭ.SEPAM.wCall</v>
      </c>
      <c r="B208" s="27">
        <v>1</v>
      </c>
      <c r="C208" s="27" t="s">
        <v>1</v>
      </c>
      <c r="D208" s="28">
        <v>11</v>
      </c>
    </row>
    <row r="209" spans="1:4" ht="15" customHeight="1">
      <c r="A209" s="63" t="str">
        <f t="shared" ref="A209:A218" si="20">$R$2&amp;".wAPV_Success"</f>
        <v>АСУЭ.SEPAM.wAPV_Success</v>
      </c>
      <c r="B209" s="52">
        <v>11154</v>
      </c>
      <c r="C209" s="52" t="s">
        <v>4</v>
      </c>
      <c r="D209" s="71">
        <f>$Q$6</f>
        <v>8</v>
      </c>
    </row>
    <row r="210" spans="1:4" ht="15" customHeight="1">
      <c r="A210" s="63" t="str">
        <f t="shared" si="20"/>
        <v>АСУЭ.SEPAM.wAPV_Success</v>
      </c>
      <c r="B210" s="52">
        <v>11150</v>
      </c>
      <c r="C210" s="52" t="s">
        <v>0</v>
      </c>
      <c r="D210" s="52" t="s">
        <v>1519</v>
      </c>
    </row>
    <row r="211" spans="1:4" ht="15" customHeight="1">
      <c r="A211" s="63" t="str">
        <f t="shared" si="20"/>
        <v>АСУЭ.SEPAM.wAPV_Success</v>
      </c>
      <c r="B211" s="52">
        <v>11152</v>
      </c>
      <c r="C211" s="52" t="s">
        <v>0</v>
      </c>
      <c r="D211" s="65" t="str">
        <f>$R$6</f>
        <v>Предупреждение</v>
      </c>
    </row>
    <row r="212" spans="1:4" ht="15" customHeight="1">
      <c r="A212" s="63" t="str">
        <f t="shared" si="20"/>
        <v>АСУЭ.SEPAM.wAPV_Success</v>
      </c>
      <c r="B212" s="52">
        <v>11000</v>
      </c>
      <c r="C212" s="52" t="s">
        <v>5</v>
      </c>
      <c r="D212" s="52">
        <v>2147483680</v>
      </c>
    </row>
    <row r="213" spans="1:4" ht="15" customHeight="1">
      <c r="A213" s="29" t="str">
        <f t="shared" si="20"/>
        <v>АСУЭ.SEPAM.wAPV_Success</v>
      </c>
      <c r="B213">
        <v>7999</v>
      </c>
      <c r="C213" t="s">
        <v>0</v>
      </c>
      <c r="D213" s="30" t="str">
        <f>"#"&amp;$S$2&amp;"#"&amp;$T$2&amp;"."&amp;$P$2&amp;".TS193_208_TS202"</f>
        <v>#3#\\Setup_rza\Modbus.OPCServer\ZRU_Sepam.VV1_Sepam_S82.TS193_208_TS202</v>
      </c>
    </row>
    <row r="214" spans="1:4" ht="15" customHeight="1">
      <c r="A214" s="29" t="str">
        <f t="shared" si="20"/>
        <v>АСУЭ.SEPAM.wAPV_Success</v>
      </c>
      <c r="B214">
        <v>7998</v>
      </c>
      <c r="C214" t="s">
        <v>6</v>
      </c>
      <c r="D214" s="30">
        <v>1</v>
      </c>
    </row>
    <row r="215" spans="1:4" ht="15" customHeight="1">
      <c r="A215" s="29" t="str">
        <f t="shared" si="20"/>
        <v>АСУЭ.SEPAM.wAPV_Success</v>
      </c>
      <c r="B215">
        <v>101</v>
      </c>
      <c r="C215" t="s">
        <v>0</v>
      </c>
      <c r="D215" s="30" t="s">
        <v>1519</v>
      </c>
    </row>
    <row r="216" spans="1:4" ht="15" customHeight="1">
      <c r="A216" s="29" t="str">
        <f t="shared" si="20"/>
        <v>АСУЭ.SEPAM.wAPV_Success</v>
      </c>
      <c r="B216">
        <v>3</v>
      </c>
      <c r="C216" t="s">
        <v>1</v>
      </c>
      <c r="D216" s="30">
        <v>192</v>
      </c>
    </row>
    <row r="217" spans="1:4" ht="15" customHeight="1">
      <c r="A217" s="29" t="str">
        <f t="shared" si="20"/>
        <v>АСУЭ.SEPAM.wAPV_Success</v>
      </c>
      <c r="B217">
        <v>2</v>
      </c>
      <c r="C217" t="s">
        <v>2</v>
      </c>
      <c r="D217" s="30" t="s">
        <v>175</v>
      </c>
    </row>
    <row r="218" spans="1:4" ht="15" customHeight="1">
      <c r="A218" s="26" t="str">
        <f t="shared" si="20"/>
        <v>АСУЭ.SEPAM.wAPV_Success</v>
      </c>
      <c r="B218" s="27">
        <v>1</v>
      </c>
      <c r="C218" s="27" t="s">
        <v>1</v>
      </c>
      <c r="D218" s="28">
        <v>11</v>
      </c>
    </row>
    <row r="219" spans="1:4" ht="15" customHeight="1">
      <c r="A219" s="63" t="str">
        <f t="shared" ref="A219:A228" si="21">$R$2&amp;".wAPV1"</f>
        <v>АСУЭ.SEPAM.wAPV1</v>
      </c>
      <c r="B219" s="52">
        <v>11154</v>
      </c>
      <c r="C219" s="52" t="s">
        <v>4</v>
      </c>
      <c r="D219" s="199">
        <f>$Q$6</f>
        <v>8</v>
      </c>
    </row>
    <row r="220" spans="1:4" ht="15" customHeight="1">
      <c r="A220" s="63" t="str">
        <f t="shared" si="21"/>
        <v>АСУЭ.SEPAM.wAPV1</v>
      </c>
      <c r="B220" s="52">
        <v>11152</v>
      </c>
      <c r="C220" s="52" t="s">
        <v>0</v>
      </c>
      <c r="D220" s="65" t="str">
        <f>$R$6</f>
        <v>Предупреждение</v>
      </c>
    </row>
    <row r="221" spans="1:4" ht="15" customHeight="1">
      <c r="A221" s="63" t="str">
        <f t="shared" si="21"/>
        <v>АСУЭ.SEPAM.wAPV1</v>
      </c>
      <c r="B221" s="52">
        <v>11150</v>
      </c>
      <c r="C221" s="52" t="s">
        <v>0</v>
      </c>
      <c r="D221" s="65" t="s">
        <v>1506</v>
      </c>
    </row>
    <row r="222" spans="1:4" ht="15" customHeight="1">
      <c r="A222" s="63" t="str">
        <f t="shared" si="21"/>
        <v>АСУЭ.SEPAM.wAPV1</v>
      </c>
      <c r="B222" s="52">
        <v>11000</v>
      </c>
      <c r="C222" s="52" t="s">
        <v>5</v>
      </c>
      <c r="D222" s="65">
        <v>2147483680</v>
      </c>
    </row>
    <row r="223" spans="1:4" ht="15" customHeight="1">
      <c r="A223" s="29" t="str">
        <f t="shared" si="21"/>
        <v>АСУЭ.SEPAM.wAPV1</v>
      </c>
      <c r="B223">
        <v>7999</v>
      </c>
      <c r="C223" t="s">
        <v>0</v>
      </c>
      <c r="D223" s="30" t="str">
        <f>"#"&amp;$S$2&amp;"#"&amp;$T$2&amp;"."&amp;$P$2&amp;".TS193_208_TS203"</f>
        <v>#3#\\Setup_rza\Modbus.OPCServer\ZRU_Sepam.VV1_Sepam_S82.TS193_208_TS203</v>
      </c>
    </row>
    <row r="224" spans="1:4" ht="15" customHeight="1">
      <c r="A224" s="29" t="str">
        <f t="shared" si="21"/>
        <v>АСУЭ.SEPAM.wAPV1</v>
      </c>
      <c r="B224">
        <v>7998</v>
      </c>
      <c r="C224" t="s">
        <v>6</v>
      </c>
      <c r="D224" s="30">
        <v>1</v>
      </c>
    </row>
    <row r="225" spans="1:4" ht="15" customHeight="1">
      <c r="A225" s="29" t="str">
        <f t="shared" si="21"/>
        <v>АСУЭ.SEPAM.wAPV1</v>
      </c>
      <c r="B225">
        <v>101</v>
      </c>
      <c r="C225" t="s">
        <v>0</v>
      </c>
      <c r="D225" s="30" t="s">
        <v>1506</v>
      </c>
    </row>
    <row r="226" spans="1:4" ht="15" customHeight="1">
      <c r="A226" s="29" t="str">
        <f t="shared" si="21"/>
        <v>АСУЭ.SEPAM.wAPV1</v>
      </c>
      <c r="B226">
        <v>3</v>
      </c>
      <c r="C226" t="s">
        <v>1</v>
      </c>
      <c r="D226" s="30">
        <v>192</v>
      </c>
    </row>
    <row r="227" spans="1:4" ht="15" customHeight="1">
      <c r="A227" s="29" t="str">
        <f t="shared" si="21"/>
        <v>АСУЭ.SEPAM.wAPV1</v>
      </c>
      <c r="B227">
        <v>2</v>
      </c>
      <c r="C227" t="s">
        <v>2</v>
      </c>
      <c r="D227" s="30" t="s">
        <v>175</v>
      </c>
    </row>
    <row r="228" spans="1:4" ht="15" customHeight="1">
      <c r="A228" s="26" t="str">
        <f t="shared" si="21"/>
        <v>АСУЭ.SEPAM.wAPV1</v>
      </c>
      <c r="B228" s="27">
        <v>1</v>
      </c>
      <c r="C228" s="27" t="s">
        <v>1</v>
      </c>
      <c r="D228" s="28">
        <v>11</v>
      </c>
    </row>
    <row r="229" spans="1:4" ht="15" customHeight="1">
      <c r="A229" s="63" t="str">
        <f t="shared" ref="A229:A238" si="22">$R$2&amp;".wAPV2"</f>
        <v>АСУЭ.SEPAM.wAPV2</v>
      </c>
      <c r="B229" s="52">
        <v>11154</v>
      </c>
      <c r="C229" s="52" t="s">
        <v>4</v>
      </c>
      <c r="D229" s="199">
        <f>$Q$6</f>
        <v>8</v>
      </c>
    </row>
    <row r="230" spans="1:4" ht="15" customHeight="1">
      <c r="A230" s="63" t="str">
        <f t="shared" si="22"/>
        <v>АСУЭ.SEPAM.wAPV2</v>
      </c>
      <c r="B230" s="52">
        <v>11152</v>
      </c>
      <c r="C230" s="52" t="s">
        <v>0</v>
      </c>
      <c r="D230" s="65" t="str">
        <f>$R$6</f>
        <v>Предупреждение</v>
      </c>
    </row>
    <row r="231" spans="1:4" ht="15" customHeight="1">
      <c r="A231" s="63" t="str">
        <f t="shared" si="22"/>
        <v>АСУЭ.SEPAM.wAPV2</v>
      </c>
      <c r="B231" s="52">
        <v>11150</v>
      </c>
      <c r="C231" s="52" t="s">
        <v>0</v>
      </c>
      <c r="D231" s="65" t="s">
        <v>1507</v>
      </c>
    </row>
    <row r="232" spans="1:4" ht="15" customHeight="1">
      <c r="A232" s="63" t="str">
        <f t="shared" si="22"/>
        <v>АСУЭ.SEPAM.wAPV2</v>
      </c>
      <c r="B232" s="52">
        <v>11000</v>
      </c>
      <c r="C232" s="52" t="s">
        <v>5</v>
      </c>
      <c r="D232" s="65">
        <v>2147483680</v>
      </c>
    </row>
    <row r="233" spans="1:4" ht="15" customHeight="1">
      <c r="A233" s="29" t="str">
        <f t="shared" si="22"/>
        <v>АСУЭ.SEPAM.wAPV2</v>
      </c>
      <c r="B233">
        <v>7999</v>
      </c>
      <c r="C233" t="s">
        <v>0</v>
      </c>
      <c r="D233" s="30" t="str">
        <f>"#"&amp;$S$2&amp;"#"&amp;$T$2&amp;"."&amp;$P$2&amp;".TS193_208_TS204"</f>
        <v>#3#\\Setup_rza\Modbus.OPCServer\ZRU_Sepam.VV1_Sepam_S82.TS193_208_TS204</v>
      </c>
    </row>
    <row r="234" spans="1:4" ht="15" customHeight="1">
      <c r="A234" s="29" t="str">
        <f t="shared" si="22"/>
        <v>АСУЭ.SEPAM.wAPV2</v>
      </c>
      <c r="B234">
        <v>7998</v>
      </c>
      <c r="C234" t="s">
        <v>6</v>
      </c>
      <c r="D234" s="30">
        <v>1</v>
      </c>
    </row>
    <row r="235" spans="1:4" ht="15" customHeight="1">
      <c r="A235" s="29" t="str">
        <f t="shared" si="22"/>
        <v>АСУЭ.SEPAM.wAPV2</v>
      </c>
      <c r="B235">
        <v>101</v>
      </c>
      <c r="C235" t="s">
        <v>0</v>
      </c>
      <c r="D235" s="30" t="s">
        <v>1507</v>
      </c>
    </row>
    <row r="236" spans="1:4" ht="15" customHeight="1">
      <c r="A236" s="29" t="str">
        <f t="shared" si="22"/>
        <v>АСУЭ.SEPAM.wAPV2</v>
      </c>
      <c r="B236">
        <v>3</v>
      </c>
      <c r="C236" t="s">
        <v>1</v>
      </c>
      <c r="D236" s="30">
        <v>192</v>
      </c>
    </row>
    <row r="237" spans="1:4" ht="15" customHeight="1">
      <c r="A237" s="29" t="str">
        <f t="shared" si="22"/>
        <v>АСУЭ.SEPAM.wAPV2</v>
      </c>
      <c r="B237">
        <v>2</v>
      </c>
      <c r="C237" t="s">
        <v>2</v>
      </c>
      <c r="D237" s="30" t="s">
        <v>175</v>
      </c>
    </row>
    <row r="238" spans="1:4" ht="15" customHeight="1">
      <c r="A238" s="26" t="str">
        <f t="shared" si="22"/>
        <v>АСУЭ.SEPAM.wAPV2</v>
      </c>
      <c r="B238" s="27">
        <v>1</v>
      </c>
      <c r="C238" s="27" t="s">
        <v>1</v>
      </c>
      <c r="D238" s="28">
        <v>11</v>
      </c>
    </row>
    <row r="239" spans="1:4" ht="15" customHeight="1">
      <c r="A239" s="63" t="str">
        <f t="shared" ref="A239:A248" si="23">$R$2&amp;".wCHAPV"</f>
        <v>АСУЭ.SEPAM.wCHAPV</v>
      </c>
      <c r="B239" s="52">
        <v>11154</v>
      </c>
      <c r="C239" s="52" t="s">
        <v>4</v>
      </c>
      <c r="D239" s="199">
        <f>$Q$6</f>
        <v>8</v>
      </c>
    </row>
    <row r="240" spans="1:4" ht="15" customHeight="1">
      <c r="A240" s="63" t="str">
        <f t="shared" si="23"/>
        <v>АСУЭ.SEPAM.wCHAPV</v>
      </c>
      <c r="B240" s="52">
        <v>11150</v>
      </c>
      <c r="C240" s="52" t="s">
        <v>0</v>
      </c>
      <c r="D240" s="65" t="s">
        <v>1498</v>
      </c>
    </row>
    <row r="241" spans="1:4" ht="15" customHeight="1">
      <c r="A241" s="63" t="str">
        <f t="shared" si="23"/>
        <v>АСУЭ.SEPAM.wCHAPV</v>
      </c>
      <c r="B241" s="52">
        <v>11152</v>
      </c>
      <c r="C241" s="52" t="s">
        <v>0</v>
      </c>
      <c r="D241" s="65" t="str">
        <f>$R$6</f>
        <v>Предупреждение</v>
      </c>
    </row>
    <row r="242" spans="1:4" ht="15" customHeight="1">
      <c r="A242" s="63" t="str">
        <f t="shared" si="23"/>
        <v>АСУЭ.SEPAM.wCHAPV</v>
      </c>
      <c r="B242" s="52">
        <v>11000</v>
      </c>
      <c r="C242" s="52" t="s">
        <v>5</v>
      </c>
      <c r="D242" s="65">
        <v>2147483680</v>
      </c>
    </row>
    <row r="243" spans="1:4" ht="15" customHeight="1">
      <c r="A243" s="29" t="str">
        <f t="shared" si="23"/>
        <v>АСУЭ.SEPAM.wCHAPV</v>
      </c>
      <c r="B243">
        <v>7999</v>
      </c>
      <c r="C243" t="s">
        <v>0</v>
      </c>
      <c r="D243" s="30" t="str">
        <f>"#"&amp;$S$2&amp;"#"&amp;$T$2&amp;"."&amp;$P$2&amp;".TS177_192_TS183"</f>
        <v>#3#\\Setup_rza\Modbus.OPCServer\ZRU_Sepam.VV1_Sepam_S82.TS177_192_TS183</v>
      </c>
    </row>
    <row r="244" spans="1:4" ht="15" customHeight="1">
      <c r="A244" s="29" t="str">
        <f t="shared" si="23"/>
        <v>АСУЭ.SEPAM.wCHAPV</v>
      </c>
      <c r="B244">
        <v>7998</v>
      </c>
      <c r="C244" t="s">
        <v>6</v>
      </c>
      <c r="D244" s="30">
        <v>1</v>
      </c>
    </row>
    <row r="245" spans="1:4" ht="15" customHeight="1">
      <c r="A245" s="29" t="str">
        <f t="shared" si="23"/>
        <v>АСУЭ.SEPAM.wCHAPV</v>
      </c>
      <c r="B245">
        <v>101</v>
      </c>
      <c r="C245" t="s">
        <v>0</v>
      </c>
      <c r="D245" s="30" t="s">
        <v>1498</v>
      </c>
    </row>
    <row r="246" spans="1:4" ht="15" customHeight="1">
      <c r="A246" s="29" t="str">
        <f t="shared" si="23"/>
        <v>АСУЭ.SEPAM.wCHAPV</v>
      </c>
      <c r="B246">
        <v>3</v>
      </c>
      <c r="C246" t="s">
        <v>1</v>
      </c>
      <c r="D246" s="30">
        <v>192</v>
      </c>
    </row>
    <row r="247" spans="1:4" ht="15" customHeight="1">
      <c r="A247" s="29" t="str">
        <f t="shared" si="23"/>
        <v>АСУЭ.SEPAM.wCHAPV</v>
      </c>
      <c r="B247">
        <v>2</v>
      </c>
      <c r="C247" t="s">
        <v>2</v>
      </c>
      <c r="D247" s="30" t="s">
        <v>175</v>
      </c>
    </row>
    <row r="248" spans="1:4" ht="15" customHeight="1">
      <c r="A248" s="26" t="str">
        <f t="shared" si="23"/>
        <v>АСУЭ.SEPAM.wCHAPV</v>
      </c>
      <c r="B248" s="27">
        <v>1</v>
      </c>
      <c r="C248" s="27" t="s">
        <v>1</v>
      </c>
      <c r="D248" s="28">
        <v>11</v>
      </c>
    </row>
    <row r="249" spans="1:4" ht="15" customHeight="1">
      <c r="A249" s="63" t="str">
        <f t="shared" ref="A249:A258" si="24">$R$2&amp;".wLowBat"</f>
        <v>АСУЭ.SEPAM.wLowBat</v>
      </c>
      <c r="B249" s="52">
        <v>11154</v>
      </c>
      <c r="C249" s="52" t="s">
        <v>4</v>
      </c>
      <c r="D249" s="199">
        <f>$Q$6</f>
        <v>8</v>
      </c>
    </row>
    <row r="250" spans="1:4" ht="15" customHeight="1">
      <c r="A250" s="63" t="str">
        <f t="shared" si="24"/>
        <v>АСУЭ.SEPAM.wLowBat</v>
      </c>
      <c r="B250" s="52">
        <v>11152</v>
      </c>
      <c r="C250" s="52" t="s">
        <v>0</v>
      </c>
      <c r="D250" s="65" t="str">
        <f>$R$6</f>
        <v>Предупреждение</v>
      </c>
    </row>
    <row r="251" spans="1:4" ht="15" customHeight="1">
      <c r="A251" s="63" t="str">
        <f t="shared" si="24"/>
        <v>АСУЭ.SEPAM.wLowBat</v>
      </c>
      <c r="B251" s="52">
        <v>11150</v>
      </c>
      <c r="C251" s="52" t="s">
        <v>0</v>
      </c>
      <c r="D251" s="65" t="s">
        <v>1510</v>
      </c>
    </row>
    <row r="252" spans="1:4" ht="15" customHeight="1">
      <c r="A252" s="63" t="str">
        <f t="shared" si="24"/>
        <v>АСУЭ.SEPAM.wLowBat</v>
      </c>
      <c r="B252" s="52">
        <v>11000</v>
      </c>
      <c r="C252" s="52" t="s">
        <v>5</v>
      </c>
      <c r="D252" s="65">
        <v>2147483680</v>
      </c>
    </row>
    <row r="253" spans="1:4" ht="15" customHeight="1">
      <c r="A253" s="29" t="str">
        <f t="shared" si="24"/>
        <v>АСУЭ.SEPAM.wLowBat</v>
      </c>
      <c r="B253">
        <v>7999</v>
      </c>
      <c r="C253" t="s">
        <v>0</v>
      </c>
      <c r="D253" s="30" t="str">
        <f>"#"&amp;$S$2&amp;"#"&amp;$T$2&amp;"."&amp;$P$2&amp;".TS209_224_TS219"</f>
        <v>#3#\\Setup_rza\Modbus.OPCServer\ZRU_Sepam.VV1_Sepam_S82.TS209_224_TS219</v>
      </c>
    </row>
    <row r="254" spans="1:4" ht="15" customHeight="1">
      <c r="A254" s="29" t="str">
        <f t="shared" si="24"/>
        <v>АСУЭ.SEPAM.wLowBat</v>
      </c>
      <c r="B254">
        <v>7998</v>
      </c>
      <c r="C254" t="s">
        <v>6</v>
      </c>
      <c r="D254" s="30">
        <v>1</v>
      </c>
    </row>
    <row r="255" spans="1:4" ht="15" customHeight="1">
      <c r="A255" s="29" t="str">
        <f t="shared" si="24"/>
        <v>АСУЭ.SEPAM.wLowBat</v>
      </c>
      <c r="B255">
        <v>101</v>
      </c>
      <c r="C255" t="s">
        <v>0</v>
      </c>
      <c r="D255" s="30" t="s">
        <v>1510</v>
      </c>
    </row>
    <row r="256" spans="1:4" ht="15" customHeight="1">
      <c r="A256" s="29" t="str">
        <f t="shared" si="24"/>
        <v>АСУЭ.SEPAM.wLowBat</v>
      </c>
      <c r="B256">
        <v>3</v>
      </c>
      <c r="C256" t="s">
        <v>1</v>
      </c>
      <c r="D256" s="30">
        <v>192</v>
      </c>
    </row>
    <row r="257" spans="1:4" ht="15" customHeight="1">
      <c r="A257" s="29" t="str">
        <f t="shared" si="24"/>
        <v>АСУЭ.SEPAM.wLowBat</v>
      </c>
      <c r="B257">
        <v>2</v>
      </c>
      <c r="C257" t="s">
        <v>2</v>
      </c>
      <c r="D257" s="30" t="s">
        <v>175</v>
      </c>
    </row>
    <row r="258" spans="1:4" ht="15" customHeight="1">
      <c r="A258" s="26" t="str">
        <f t="shared" si="24"/>
        <v>АСУЭ.SEPAM.wLowBat</v>
      </c>
      <c r="B258" s="27">
        <v>1</v>
      </c>
      <c r="C258" s="27" t="s">
        <v>1</v>
      </c>
      <c r="D258" s="28">
        <v>11</v>
      </c>
    </row>
    <row r="259" spans="1:4" ht="15" customHeight="1">
      <c r="A259" s="63" t="str">
        <f t="shared" ref="A259:A268" si="25">$R$2&amp;".wLowU"</f>
        <v>АСУЭ.SEPAM.wLowU</v>
      </c>
      <c r="B259" s="52">
        <v>11154</v>
      </c>
      <c r="C259" s="52" t="s">
        <v>4</v>
      </c>
      <c r="D259" s="199">
        <f>$Q$6</f>
        <v>8</v>
      </c>
    </row>
    <row r="260" spans="1:4" ht="15" customHeight="1">
      <c r="A260" s="63" t="str">
        <f t="shared" si="25"/>
        <v>АСУЭ.SEPAM.wLowU</v>
      </c>
      <c r="B260" s="52">
        <v>11152</v>
      </c>
      <c r="C260" s="52" t="s">
        <v>0</v>
      </c>
      <c r="D260" s="65" t="str">
        <f>$R$6</f>
        <v>Предупреждение</v>
      </c>
    </row>
    <row r="261" spans="1:4" ht="15" customHeight="1">
      <c r="A261" s="63" t="str">
        <f t="shared" si="25"/>
        <v>АСУЭ.SEPAM.wLowU</v>
      </c>
      <c r="B261" s="52">
        <v>11150</v>
      </c>
      <c r="C261" s="52" t="s">
        <v>0</v>
      </c>
      <c r="D261" s="65" t="s">
        <v>1511</v>
      </c>
    </row>
    <row r="262" spans="1:4" ht="15" customHeight="1">
      <c r="A262" s="63" t="str">
        <f t="shared" si="25"/>
        <v>АСУЭ.SEPAM.wLowU</v>
      </c>
      <c r="B262" s="52">
        <v>11000</v>
      </c>
      <c r="C262" s="52" t="s">
        <v>5</v>
      </c>
      <c r="D262" s="65">
        <v>2147483680</v>
      </c>
    </row>
    <row r="263" spans="1:4" ht="15" customHeight="1">
      <c r="A263" s="29" t="str">
        <f t="shared" si="25"/>
        <v>АСУЭ.SEPAM.wLowU</v>
      </c>
      <c r="B263">
        <v>7999</v>
      </c>
      <c r="C263" t="s">
        <v>0</v>
      </c>
      <c r="D263" s="30" t="str">
        <f>"#"&amp;$S$2&amp;"#"&amp;$T$2&amp;"."&amp;$P$2&amp;".TS209_224_TS217"</f>
        <v>#3#\\Setup_rza\Modbus.OPCServer\ZRU_Sepam.VV1_Sepam_S82.TS209_224_TS217</v>
      </c>
    </row>
    <row r="264" spans="1:4" ht="15" customHeight="1">
      <c r="A264" s="29" t="str">
        <f t="shared" si="25"/>
        <v>АСУЭ.SEPAM.wLowU</v>
      </c>
      <c r="B264">
        <v>7998</v>
      </c>
      <c r="C264" t="s">
        <v>6</v>
      </c>
      <c r="D264" s="30">
        <v>1</v>
      </c>
    </row>
    <row r="265" spans="1:4" ht="15" customHeight="1">
      <c r="A265" s="29" t="str">
        <f t="shared" si="25"/>
        <v>АСУЭ.SEPAM.wLowU</v>
      </c>
      <c r="B265">
        <v>101</v>
      </c>
      <c r="C265" t="s">
        <v>0</v>
      </c>
      <c r="D265" s="30" t="s">
        <v>1511</v>
      </c>
    </row>
    <row r="266" spans="1:4" ht="15" customHeight="1">
      <c r="A266" s="29" t="str">
        <f t="shared" si="25"/>
        <v>АСУЭ.SEPAM.wLowU</v>
      </c>
      <c r="B266">
        <v>3</v>
      </c>
      <c r="C266" t="s">
        <v>1</v>
      </c>
      <c r="D266" s="30">
        <v>192</v>
      </c>
    </row>
    <row r="267" spans="1:4" ht="15" customHeight="1">
      <c r="A267" s="29" t="str">
        <f t="shared" si="25"/>
        <v>АСУЭ.SEPAM.wLowU</v>
      </c>
      <c r="B267">
        <v>2</v>
      </c>
      <c r="C267" t="s">
        <v>2</v>
      </c>
      <c r="D267" s="30" t="s">
        <v>175</v>
      </c>
    </row>
    <row r="268" spans="1:4" ht="15" customHeight="1">
      <c r="A268" s="26" t="str">
        <f t="shared" si="25"/>
        <v>АСУЭ.SEPAM.wLowU</v>
      </c>
      <c r="B268" s="27">
        <v>1</v>
      </c>
      <c r="C268" s="27" t="s">
        <v>1</v>
      </c>
      <c r="D268" s="28">
        <v>11</v>
      </c>
    </row>
    <row r="269" spans="1:4" ht="15" customHeight="1">
      <c r="A269" s="63" t="str">
        <f t="shared" ref="A269:A278" si="26">$R$2&amp;".wOnFromAPV"</f>
        <v>АСУЭ.SEPAM.wOnFromAPV</v>
      </c>
      <c r="B269" s="52">
        <v>11154</v>
      </c>
      <c r="C269" s="52" t="s">
        <v>4</v>
      </c>
      <c r="D269" s="199">
        <f>$Q$6</f>
        <v>8</v>
      </c>
    </row>
    <row r="270" spans="1:4" ht="15" customHeight="1">
      <c r="A270" s="63" t="str">
        <f t="shared" si="26"/>
        <v>АСУЭ.SEPAM.wOnFromAPV</v>
      </c>
      <c r="B270" s="52">
        <v>11152</v>
      </c>
      <c r="C270" s="52" t="s">
        <v>0</v>
      </c>
      <c r="D270" s="65" t="str">
        <f>$R$6</f>
        <v>Предупреждение</v>
      </c>
    </row>
    <row r="271" spans="1:4" ht="15" customHeight="1">
      <c r="A271" s="63" t="str">
        <f t="shared" si="26"/>
        <v>АСУЭ.SEPAM.wOnFromAPV</v>
      </c>
      <c r="B271" s="52">
        <v>11150</v>
      </c>
      <c r="C271" s="52" t="s">
        <v>0</v>
      </c>
      <c r="D271" s="65" t="s">
        <v>1512</v>
      </c>
    </row>
    <row r="272" spans="1:4" ht="15" customHeight="1">
      <c r="A272" s="63" t="str">
        <f t="shared" si="26"/>
        <v>АСУЭ.SEPAM.wOnFromAPV</v>
      </c>
      <c r="B272" s="52">
        <v>11000</v>
      </c>
      <c r="C272" s="52" t="s">
        <v>5</v>
      </c>
      <c r="D272" s="65">
        <v>2147483680</v>
      </c>
    </row>
    <row r="273" spans="1:4" ht="15" customHeight="1">
      <c r="A273" s="29" t="str">
        <f t="shared" si="26"/>
        <v>АСУЭ.SEPAM.wOnFromAPV</v>
      </c>
      <c r="B273">
        <v>7999</v>
      </c>
      <c r="C273" t="s">
        <v>0</v>
      </c>
      <c r="D273" s="30" t="str">
        <f>"#"&amp;$S$2&amp;"#"&amp;$T$2&amp;"."&amp;$P$2&amp;".TS193_208_TS207"</f>
        <v>#3#\\Setup_rza\Modbus.OPCServer\ZRU_Sepam.VV1_Sepam_S82.TS193_208_TS207</v>
      </c>
    </row>
    <row r="274" spans="1:4" ht="15" customHeight="1">
      <c r="A274" s="29" t="str">
        <f t="shared" si="26"/>
        <v>АСУЭ.SEPAM.wOnFromAPV</v>
      </c>
      <c r="B274">
        <v>7998</v>
      </c>
      <c r="C274" t="s">
        <v>6</v>
      </c>
      <c r="D274" s="30">
        <v>1</v>
      </c>
    </row>
    <row r="275" spans="1:4" ht="15" customHeight="1">
      <c r="A275" s="29" t="str">
        <f t="shared" si="26"/>
        <v>АСУЭ.SEPAM.wOnFromAPV</v>
      </c>
      <c r="B275">
        <v>101</v>
      </c>
      <c r="C275" t="s">
        <v>0</v>
      </c>
      <c r="D275" s="30" t="s">
        <v>1512</v>
      </c>
    </row>
    <row r="276" spans="1:4" ht="15" customHeight="1">
      <c r="A276" s="29" t="str">
        <f t="shared" si="26"/>
        <v>АСУЭ.SEPAM.wOnFromAPV</v>
      </c>
      <c r="B276">
        <v>3</v>
      </c>
      <c r="C276" t="s">
        <v>1</v>
      </c>
      <c r="D276" s="30">
        <v>192</v>
      </c>
    </row>
    <row r="277" spans="1:4" ht="15" customHeight="1">
      <c r="A277" s="29" t="str">
        <f t="shared" si="26"/>
        <v>АСУЭ.SEPAM.wOnFromAPV</v>
      </c>
      <c r="B277">
        <v>2</v>
      </c>
      <c r="C277" t="s">
        <v>2</v>
      </c>
      <c r="D277" s="30" t="s">
        <v>175</v>
      </c>
    </row>
    <row r="278" spans="1:4" ht="15" customHeight="1">
      <c r="A278" s="26" t="str">
        <f t="shared" si="26"/>
        <v>АСУЭ.SEPAM.wOnFromAPV</v>
      </c>
      <c r="B278" s="27">
        <v>1</v>
      </c>
      <c r="C278" s="27" t="s">
        <v>1</v>
      </c>
      <c r="D278" s="28">
        <v>11</v>
      </c>
    </row>
    <row r="279" spans="1:4" ht="15" customHeight="1">
      <c r="A279" s="63" t="str">
        <f t="shared" ref="A279:A288" si="27">$R$2&amp;".wOscilBlkRec"</f>
        <v>АСУЭ.SEPAM.wOscilBlkRec</v>
      </c>
      <c r="B279" s="52">
        <v>11154</v>
      </c>
      <c r="C279" s="52" t="s">
        <v>4</v>
      </c>
      <c r="D279" s="199">
        <f>$Q$6</f>
        <v>8</v>
      </c>
    </row>
    <row r="280" spans="1:4" ht="15" customHeight="1">
      <c r="A280" s="63" t="str">
        <f t="shared" si="27"/>
        <v>АСУЭ.SEPAM.wOscilBlkRec</v>
      </c>
      <c r="B280" s="52">
        <v>11150</v>
      </c>
      <c r="C280" s="52" t="s">
        <v>0</v>
      </c>
      <c r="D280" s="65" t="s">
        <v>1546</v>
      </c>
    </row>
    <row r="281" spans="1:4" ht="15" customHeight="1">
      <c r="A281" s="63" t="str">
        <f t="shared" si="27"/>
        <v>АСУЭ.SEPAM.wOscilBlkRec</v>
      </c>
      <c r="B281" s="52">
        <v>11152</v>
      </c>
      <c r="C281" s="52" t="s">
        <v>0</v>
      </c>
      <c r="D281" s="65" t="str">
        <f>$R$6</f>
        <v>Предупреждение</v>
      </c>
    </row>
    <row r="282" spans="1:4" ht="15" customHeight="1">
      <c r="A282" s="63" t="str">
        <f t="shared" si="27"/>
        <v>АСУЭ.SEPAM.wOscilBlkRec</v>
      </c>
      <c r="B282" s="52">
        <v>11000</v>
      </c>
      <c r="C282" s="52" t="s">
        <v>5</v>
      </c>
      <c r="D282" s="65">
        <v>2147483680</v>
      </c>
    </row>
    <row r="283" spans="1:4" ht="15" customHeight="1">
      <c r="A283" s="29" t="str">
        <f t="shared" si="27"/>
        <v>АСУЭ.SEPAM.wOscilBlkRec</v>
      </c>
      <c r="B283">
        <v>7999</v>
      </c>
      <c r="C283" t="s">
        <v>0</v>
      </c>
      <c r="D283" s="30" t="str">
        <f>"#"&amp;$S$2&amp;"#"&amp;$T$2&amp;"."&amp;$P$2&amp;".TS49_64_TS50"</f>
        <v>#3#\\Setup_rza\Modbus.OPCServer\ZRU_Sepam.VV1_Sepam_S82.TS49_64_TS50</v>
      </c>
    </row>
    <row r="284" spans="1:4" ht="15" customHeight="1">
      <c r="A284" s="29" t="str">
        <f t="shared" si="27"/>
        <v>АСУЭ.SEPAM.wOscilBlkRec</v>
      </c>
      <c r="B284">
        <v>7998</v>
      </c>
      <c r="C284" t="s">
        <v>6</v>
      </c>
      <c r="D284" s="30">
        <v>1</v>
      </c>
    </row>
    <row r="285" spans="1:4" ht="15" customHeight="1">
      <c r="A285" s="29" t="str">
        <f t="shared" si="27"/>
        <v>АСУЭ.SEPAM.wOscilBlkRec</v>
      </c>
      <c r="B285">
        <v>101</v>
      </c>
      <c r="C285" t="s">
        <v>0</v>
      </c>
      <c r="D285" s="30" t="s">
        <v>1546</v>
      </c>
    </row>
    <row r="286" spans="1:4" ht="15" customHeight="1">
      <c r="A286" s="29" t="str">
        <f t="shared" si="27"/>
        <v>АСУЭ.SEPAM.wOscilBlkRec</v>
      </c>
      <c r="B286">
        <v>3</v>
      </c>
      <c r="C286" t="s">
        <v>1</v>
      </c>
      <c r="D286" s="30">
        <v>192</v>
      </c>
    </row>
    <row r="287" spans="1:4" ht="15" customHeight="1">
      <c r="A287" s="29" t="str">
        <f t="shared" si="27"/>
        <v>АСУЭ.SEPAM.wOscilBlkRec</v>
      </c>
      <c r="B287">
        <v>2</v>
      </c>
      <c r="C287" t="s">
        <v>2</v>
      </c>
      <c r="D287" s="30" t="s">
        <v>3</v>
      </c>
    </row>
    <row r="288" spans="1:4" ht="15" customHeight="1">
      <c r="A288" s="26" t="str">
        <f t="shared" si="27"/>
        <v>АСУЭ.SEPAM.wOscilBlkRec</v>
      </c>
      <c r="B288" s="27">
        <v>1</v>
      </c>
      <c r="C288" s="27" t="s">
        <v>1</v>
      </c>
      <c r="D288" s="28">
        <v>11</v>
      </c>
    </row>
    <row r="289" spans="1:4" ht="15" customHeight="1">
      <c r="A289" s="63" t="str">
        <f t="shared" ref="A289:A298" si="28">$R$2&amp;".wPhaseReverse"</f>
        <v>АСУЭ.SEPAM.wPhaseReverse</v>
      </c>
      <c r="B289" s="52">
        <v>11154</v>
      </c>
      <c r="C289" s="52" t="s">
        <v>4</v>
      </c>
      <c r="D289" s="199">
        <f>$Q$6</f>
        <v>8</v>
      </c>
    </row>
    <row r="290" spans="1:4" ht="15" customHeight="1">
      <c r="A290" s="63" t="str">
        <f t="shared" si="28"/>
        <v>АСУЭ.SEPAM.wPhaseReverse</v>
      </c>
      <c r="B290" s="52">
        <v>11152</v>
      </c>
      <c r="C290" s="52" t="s">
        <v>0</v>
      </c>
      <c r="D290" s="65" t="str">
        <f>$R$6</f>
        <v>Предупреждение</v>
      </c>
    </row>
    <row r="291" spans="1:4" ht="15" customHeight="1">
      <c r="A291" s="63" t="str">
        <f t="shared" si="28"/>
        <v>АСУЭ.SEPAM.wPhaseReverse</v>
      </c>
      <c r="B291" s="52">
        <v>11150</v>
      </c>
      <c r="C291" s="52" t="s">
        <v>0</v>
      </c>
      <c r="D291" s="65" t="s">
        <v>1527</v>
      </c>
    </row>
    <row r="292" spans="1:4" ht="15" customHeight="1">
      <c r="A292" s="63" t="str">
        <f t="shared" si="28"/>
        <v>АСУЭ.SEPAM.wPhaseReverse</v>
      </c>
      <c r="B292" s="52">
        <v>11000</v>
      </c>
      <c r="C292" s="52" t="s">
        <v>5</v>
      </c>
      <c r="D292" s="65">
        <v>2147483680</v>
      </c>
    </row>
    <row r="293" spans="1:4" ht="15" customHeight="1">
      <c r="A293" s="29" t="str">
        <f t="shared" si="28"/>
        <v>АСУЭ.SEPAM.wPhaseReverse</v>
      </c>
      <c r="B293">
        <v>7999</v>
      </c>
      <c r="C293" t="s">
        <v>0</v>
      </c>
      <c r="D293" s="30" t="str">
        <f>"#"&amp;$S$2&amp;"#"&amp;$T$2&amp;"."&amp;$P$2&amp;".TS193_208_TS196"</f>
        <v>#3#\\Setup_rza\Modbus.OPCServer\ZRU_Sepam.VV1_Sepam_S82.TS193_208_TS196</v>
      </c>
    </row>
    <row r="294" spans="1:4" ht="15" customHeight="1">
      <c r="A294" s="29" t="str">
        <f t="shared" si="28"/>
        <v>АСУЭ.SEPAM.wPhaseReverse</v>
      </c>
      <c r="B294">
        <v>7998</v>
      </c>
      <c r="C294" t="s">
        <v>6</v>
      </c>
      <c r="D294" s="30">
        <v>1</v>
      </c>
    </row>
    <row r="295" spans="1:4" ht="15" customHeight="1">
      <c r="A295" s="29" t="str">
        <f t="shared" si="28"/>
        <v>АСУЭ.SEPAM.wPhaseReverse</v>
      </c>
      <c r="B295">
        <v>101</v>
      </c>
      <c r="C295" t="s">
        <v>0</v>
      </c>
      <c r="D295" s="30" t="s">
        <v>1527</v>
      </c>
    </row>
    <row r="296" spans="1:4" ht="15" customHeight="1">
      <c r="A296" s="29" t="str">
        <f t="shared" si="28"/>
        <v>АСУЭ.SEPAM.wPhaseReverse</v>
      </c>
      <c r="B296">
        <v>3</v>
      </c>
      <c r="C296" t="s">
        <v>1</v>
      </c>
      <c r="D296" s="30">
        <v>192</v>
      </c>
    </row>
    <row r="297" spans="1:4" ht="15" customHeight="1">
      <c r="A297" s="29" t="str">
        <f t="shared" si="28"/>
        <v>АСУЭ.SEPAM.wPhaseReverse</v>
      </c>
      <c r="B297">
        <v>2</v>
      </c>
      <c r="C297" t="s">
        <v>2</v>
      </c>
      <c r="D297" s="30" t="s">
        <v>175</v>
      </c>
    </row>
    <row r="298" spans="1:4" ht="15" customHeight="1">
      <c r="A298" s="26" t="str">
        <f t="shared" si="28"/>
        <v>АСУЭ.SEPAM.wPhaseReverse</v>
      </c>
      <c r="B298" s="27">
        <v>1</v>
      </c>
      <c r="C298" s="27" t="s">
        <v>1</v>
      </c>
      <c r="D298" s="28">
        <v>11</v>
      </c>
    </row>
    <row r="299" spans="1:4" ht="15" customHeight="1">
      <c r="A299" s="63" t="str">
        <f t="shared" ref="A299:A308" si="29">$R$2&amp;".wSF6LowPressure"</f>
        <v>АСУЭ.SEPAM.wSF6LowPressure</v>
      </c>
      <c r="B299" s="52">
        <v>11154</v>
      </c>
      <c r="C299" s="52" t="s">
        <v>4</v>
      </c>
      <c r="D299" s="199">
        <f>$Q$6</f>
        <v>8</v>
      </c>
    </row>
    <row r="300" spans="1:4" ht="15" customHeight="1">
      <c r="A300" s="63" t="str">
        <f t="shared" si="29"/>
        <v>АСУЭ.SEPAM.wSF6LowPressure</v>
      </c>
      <c r="B300" s="52">
        <v>11152</v>
      </c>
      <c r="C300" s="52" t="s">
        <v>0</v>
      </c>
      <c r="D300" s="65" t="str">
        <f>$R$6</f>
        <v>Предупреждение</v>
      </c>
    </row>
    <row r="301" spans="1:4" ht="15" customHeight="1">
      <c r="A301" s="63" t="str">
        <f t="shared" si="29"/>
        <v>АСУЭ.SEPAM.wSF6LowPressure</v>
      </c>
      <c r="B301" s="52">
        <v>11150</v>
      </c>
      <c r="C301" s="52" t="s">
        <v>0</v>
      </c>
      <c r="D301" s="65" t="s">
        <v>1528</v>
      </c>
    </row>
    <row r="302" spans="1:4" ht="15" customHeight="1">
      <c r="A302" s="63" t="str">
        <f t="shared" si="29"/>
        <v>АСУЭ.SEPAM.wSF6LowPressure</v>
      </c>
      <c r="B302" s="52">
        <v>11000</v>
      </c>
      <c r="C302" s="52" t="s">
        <v>5</v>
      </c>
      <c r="D302" s="65">
        <v>2147483680</v>
      </c>
    </row>
    <row r="303" spans="1:4" ht="15" customHeight="1">
      <c r="A303" s="29" t="str">
        <f t="shared" si="29"/>
        <v>АСУЭ.SEPAM.wSF6LowPressure</v>
      </c>
      <c r="B303">
        <v>7999</v>
      </c>
      <c r="C303" t="s">
        <v>0</v>
      </c>
      <c r="D303" s="30" t="str">
        <f>"#"&amp;$S$2&amp;"#"&amp;$T$2&amp;"."&amp;$P$2&amp;".TS01_16_TS12"</f>
        <v>#3#\\Setup_rza\Modbus.OPCServer\ZRU_Sepam.VV1_Sepam_S82.TS01_16_TS12</v>
      </c>
    </row>
    <row r="304" spans="1:4" ht="15" customHeight="1">
      <c r="A304" s="29" t="str">
        <f t="shared" si="29"/>
        <v>АСУЭ.SEPAM.wSF6LowPressure</v>
      </c>
      <c r="B304">
        <v>7998</v>
      </c>
      <c r="C304" t="s">
        <v>6</v>
      </c>
      <c r="D304" s="30">
        <v>1</v>
      </c>
    </row>
    <row r="305" spans="1:4" ht="15" customHeight="1">
      <c r="A305" s="29" t="str">
        <f t="shared" si="29"/>
        <v>АСУЭ.SEPAM.wSF6LowPressure</v>
      </c>
      <c r="B305">
        <v>101</v>
      </c>
      <c r="C305" t="s">
        <v>0</v>
      </c>
      <c r="D305" s="30" t="s">
        <v>1528</v>
      </c>
    </row>
    <row r="306" spans="1:4" ht="15" customHeight="1">
      <c r="A306" s="29" t="str">
        <f t="shared" si="29"/>
        <v>АСУЭ.SEPAM.wSF6LowPressure</v>
      </c>
      <c r="B306">
        <v>3</v>
      </c>
      <c r="C306" t="s">
        <v>1</v>
      </c>
      <c r="D306" s="30">
        <v>192</v>
      </c>
    </row>
    <row r="307" spans="1:4" ht="15" customHeight="1">
      <c r="A307" s="29" t="str">
        <f t="shared" si="29"/>
        <v>АСУЭ.SEPAM.wSF6LowPressure</v>
      </c>
      <c r="B307">
        <v>2</v>
      </c>
      <c r="C307" t="s">
        <v>2</v>
      </c>
      <c r="D307" s="30" t="s">
        <v>175</v>
      </c>
    </row>
    <row r="308" spans="1:4" ht="15" customHeight="1">
      <c r="A308" s="26" t="str">
        <f t="shared" si="29"/>
        <v>АСУЭ.SEPAM.wSF6LowPressure</v>
      </c>
      <c r="B308" s="27">
        <v>1</v>
      </c>
      <c r="C308" s="27" t="s">
        <v>1</v>
      </c>
      <c r="D308" s="28">
        <v>11</v>
      </c>
    </row>
    <row r="309" spans="1:4" ht="15" customHeight="1">
      <c r="A309" s="217" t="str">
        <f>$R$2&amp;".NotConnected"</f>
        <v>АСУЭ.SEPAM.NotConnected</v>
      </c>
      <c r="B309" s="218">
        <v>11154</v>
      </c>
      <c r="C309" s="218" t="s">
        <v>4</v>
      </c>
      <c r="D309" s="231">
        <f>$Q$7</f>
        <v>12</v>
      </c>
    </row>
    <row r="310" spans="1:4" ht="15" customHeight="1">
      <c r="A310" s="211" t="str">
        <f t="shared" ref="A310:A318" si="30">$R$2&amp;".NotConnected"</f>
        <v>АСУЭ.SEPAM.NotConnected</v>
      </c>
      <c r="B310" s="677">
        <v>11152</v>
      </c>
      <c r="C310" s="677" t="s">
        <v>0</v>
      </c>
      <c r="D310" s="213" t="str">
        <f>$R$7</f>
        <v>Неисправность</v>
      </c>
    </row>
    <row r="311" spans="1:4" ht="15" customHeight="1">
      <c r="A311" s="211" t="str">
        <f t="shared" si="30"/>
        <v>АСУЭ.SEPAM.NotConnected</v>
      </c>
      <c r="B311" s="677">
        <v>11150</v>
      </c>
      <c r="C311" s="677" t="s">
        <v>0</v>
      </c>
      <c r="D311" s="213" t="s">
        <v>448</v>
      </c>
    </row>
    <row r="312" spans="1:4" ht="15" customHeight="1">
      <c r="A312" s="211" t="str">
        <f t="shared" si="30"/>
        <v>АСУЭ.SEPAM.NotConnected</v>
      </c>
      <c r="B312" s="677">
        <v>11000</v>
      </c>
      <c r="C312" s="677" t="s">
        <v>5</v>
      </c>
      <c r="D312" s="213">
        <v>2147483680</v>
      </c>
    </row>
    <row r="313" spans="1:4" ht="15" customHeight="1">
      <c r="A313" s="29" t="str">
        <f t="shared" si="30"/>
        <v>АСУЭ.SEPAM.NotConnected</v>
      </c>
      <c r="B313">
        <v>7999</v>
      </c>
      <c r="C313" t="s">
        <v>0</v>
      </c>
      <c r="D313" s="30" t="str">
        <f>"#"&amp;$S$2&amp;"#"&amp;$T$2&amp;"."&amp;$P$2&amp;".NotConnected"</f>
        <v>#3#\\Setup_rza\Modbus.OPCServer\ZRU_Sepam.VV1_Sepam_S82.NotConnected</v>
      </c>
    </row>
    <row r="314" spans="1:4" ht="15" customHeight="1">
      <c r="A314" s="29" t="str">
        <f t="shared" si="30"/>
        <v>АСУЭ.SEPAM.NotConnected</v>
      </c>
      <c r="B314">
        <v>7998</v>
      </c>
      <c r="C314" t="s">
        <v>6</v>
      </c>
      <c r="D314" s="30">
        <v>1</v>
      </c>
    </row>
    <row r="315" spans="1:4" ht="15" customHeight="1">
      <c r="A315" s="29" t="str">
        <f t="shared" si="30"/>
        <v>АСУЭ.SEPAM.NotConnected</v>
      </c>
      <c r="B315">
        <v>101</v>
      </c>
      <c r="C315" t="s">
        <v>0</v>
      </c>
      <c r="D315" s="30" t="s">
        <v>448</v>
      </c>
    </row>
    <row r="316" spans="1:4" ht="15" customHeight="1">
      <c r="A316" s="29" t="str">
        <f t="shared" si="30"/>
        <v>АСУЭ.SEPAM.NotConnected</v>
      </c>
      <c r="B316">
        <v>3</v>
      </c>
      <c r="C316" t="s">
        <v>1</v>
      </c>
      <c r="D316" s="30">
        <v>192</v>
      </c>
    </row>
    <row r="317" spans="1:4" ht="15" customHeight="1">
      <c r="A317" s="29" t="str">
        <f t="shared" si="30"/>
        <v>АСУЭ.SEPAM.NotConnected</v>
      </c>
      <c r="B317">
        <v>2</v>
      </c>
      <c r="C317" t="s">
        <v>2</v>
      </c>
      <c r="D317" s="30" t="s">
        <v>175</v>
      </c>
    </row>
    <row r="318" spans="1:4" ht="15" customHeight="1">
      <c r="A318" s="26" t="str">
        <f t="shared" si="30"/>
        <v>АСУЭ.SEPAM.NotConnected</v>
      </c>
      <c r="B318" s="27">
        <v>1</v>
      </c>
      <c r="C318" s="27" t="s">
        <v>1</v>
      </c>
      <c r="D318" s="28">
        <v>11</v>
      </c>
    </row>
    <row r="319" spans="1:4" ht="15" customHeight="1">
      <c r="A319" s="211" t="str">
        <f t="shared" ref="A319:A326" si="31">$R$2&amp;".wNotOff"</f>
        <v>АСУЭ.SEPAM.wNotOff</v>
      </c>
      <c r="B319" s="677">
        <v>11154</v>
      </c>
      <c r="C319" s="677" t="s">
        <v>4</v>
      </c>
      <c r="D319" s="213">
        <f>$Q$7</f>
        <v>12</v>
      </c>
    </row>
    <row r="320" spans="1:4" ht="15" customHeight="1">
      <c r="A320" s="211" t="str">
        <f t="shared" si="31"/>
        <v>АСУЭ.SEPAM.wNotOff</v>
      </c>
      <c r="B320" s="677">
        <v>11152</v>
      </c>
      <c r="C320" s="677" t="s">
        <v>0</v>
      </c>
      <c r="D320" s="213" t="str">
        <f>$R$7</f>
        <v>Неисправность</v>
      </c>
    </row>
    <row r="321" spans="1:4" ht="15" customHeight="1">
      <c r="A321" s="211" t="str">
        <f t="shared" si="31"/>
        <v>АСУЭ.SEPAM.wNotOff</v>
      </c>
      <c r="B321" s="677">
        <v>11150</v>
      </c>
      <c r="C321" s="677" t="s">
        <v>0</v>
      </c>
      <c r="D321" s="213" t="s">
        <v>339</v>
      </c>
    </row>
    <row r="322" spans="1:4" ht="15" customHeight="1">
      <c r="A322" s="211" t="str">
        <f t="shared" si="31"/>
        <v>АСУЭ.SEPAM.wNotOff</v>
      </c>
      <c r="B322" s="677">
        <v>11000</v>
      </c>
      <c r="C322" s="677" t="s">
        <v>5</v>
      </c>
      <c r="D322" s="213">
        <v>2147483680</v>
      </c>
    </row>
    <row r="323" spans="1:4" ht="15" customHeight="1">
      <c r="A323" s="29" t="str">
        <f t="shared" si="31"/>
        <v>АСУЭ.SEPAM.wNotOff</v>
      </c>
      <c r="B323">
        <v>101</v>
      </c>
      <c r="C323" t="s">
        <v>0</v>
      </c>
      <c r="D323" s="30" t="s">
        <v>339</v>
      </c>
    </row>
    <row r="324" spans="1:4" ht="15" customHeight="1">
      <c r="A324" s="29" t="str">
        <f t="shared" si="31"/>
        <v>АСУЭ.SEPAM.wNotOff</v>
      </c>
      <c r="B324">
        <v>3</v>
      </c>
      <c r="C324" t="s">
        <v>1</v>
      </c>
      <c r="D324" s="30">
        <v>192</v>
      </c>
    </row>
    <row r="325" spans="1:4" ht="15" customHeight="1">
      <c r="A325" s="29" t="str">
        <f t="shared" si="31"/>
        <v>АСУЭ.SEPAM.wNotOff</v>
      </c>
      <c r="B325">
        <v>2</v>
      </c>
      <c r="C325" t="s">
        <v>2</v>
      </c>
      <c r="D325" s="30" t="s">
        <v>3</v>
      </c>
    </row>
    <row r="326" spans="1:4" ht="15" customHeight="1">
      <c r="A326" s="26" t="str">
        <f t="shared" si="31"/>
        <v>АСУЭ.SEPAM.wNotOff</v>
      </c>
      <c r="B326" s="27">
        <v>1</v>
      </c>
      <c r="C326" s="27" t="s">
        <v>1</v>
      </c>
      <c r="D326" s="28">
        <v>11</v>
      </c>
    </row>
    <row r="327" spans="1:4" ht="15" customHeight="1">
      <c r="A327" s="211" t="str">
        <f t="shared" ref="A327:A334" si="32">$R$2&amp;".wNotOn"</f>
        <v>АСУЭ.SEPAM.wNotOn</v>
      </c>
      <c r="B327" s="677">
        <v>11154</v>
      </c>
      <c r="C327" s="677" t="s">
        <v>4</v>
      </c>
      <c r="D327" s="213">
        <f>$Q$7</f>
        <v>12</v>
      </c>
    </row>
    <row r="328" spans="1:4" ht="15" customHeight="1">
      <c r="A328" s="211" t="str">
        <f t="shared" si="32"/>
        <v>АСУЭ.SEPAM.wNotOn</v>
      </c>
      <c r="B328" s="677">
        <v>11152</v>
      </c>
      <c r="C328" s="677" t="s">
        <v>0</v>
      </c>
      <c r="D328" s="213" t="str">
        <f>$R$7</f>
        <v>Неисправность</v>
      </c>
    </row>
    <row r="329" spans="1:4" ht="15" customHeight="1">
      <c r="A329" s="211" t="str">
        <f t="shared" si="32"/>
        <v>АСУЭ.SEPAM.wNotOn</v>
      </c>
      <c r="B329" s="677">
        <v>11150</v>
      </c>
      <c r="C329" s="677" t="s">
        <v>0</v>
      </c>
      <c r="D329" s="213" t="s">
        <v>340</v>
      </c>
    </row>
    <row r="330" spans="1:4" ht="15" customHeight="1">
      <c r="A330" s="211" t="str">
        <f t="shared" si="32"/>
        <v>АСУЭ.SEPAM.wNotOn</v>
      </c>
      <c r="B330" s="677">
        <v>11000</v>
      </c>
      <c r="C330" s="677" t="s">
        <v>5</v>
      </c>
      <c r="D330" s="213">
        <v>2147483680</v>
      </c>
    </row>
    <row r="331" spans="1:4" ht="15" customHeight="1">
      <c r="A331" s="29" t="str">
        <f t="shared" si="32"/>
        <v>АСУЭ.SEPAM.wNotOn</v>
      </c>
      <c r="B331">
        <v>101</v>
      </c>
      <c r="C331" t="s">
        <v>0</v>
      </c>
      <c r="D331" s="30" t="s">
        <v>340</v>
      </c>
    </row>
    <row r="332" spans="1:4" ht="15" customHeight="1">
      <c r="A332" s="29" t="str">
        <f t="shared" si="32"/>
        <v>АСУЭ.SEPAM.wNotOn</v>
      </c>
      <c r="B332">
        <v>3</v>
      </c>
      <c r="C332" t="s">
        <v>1</v>
      </c>
      <c r="D332" s="30">
        <v>192</v>
      </c>
    </row>
    <row r="333" spans="1:4" ht="15" customHeight="1">
      <c r="A333" s="29" t="str">
        <f t="shared" si="32"/>
        <v>АСУЭ.SEPAM.wNotOn</v>
      </c>
      <c r="B333">
        <v>2</v>
      </c>
      <c r="C333" t="s">
        <v>2</v>
      </c>
      <c r="D333" s="30" t="s">
        <v>3</v>
      </c>
    </row>
    <row r="334" spans="1:4" ht="15" customHeight="1">
      <c r="A334" s="26" t="str">
        <f t="shared" si="32"/>
        <v>АСУЭ.SEPAM.wNotOn</v>
      </c>
      <c r="B334" s="27">
        <v>1</v>
      </c>
      <c r="C334" s="27" t="s">
        <v>1</v>
      </c>
      <c r="D334" s="28">
        <v>11</v>
      </c>
    </row>
    <row r="335" spans="1:4" ht="15" customHeight="1">
      <c r="A335" s="211" t="str">
        <f t="shared" ref="A335:A341" si="33">$R$2&amp;".wDbl"</f>
        <v>АСУЭ.SEPAM.wDbl</v>
      </c>
      <c r="B335" s="677">
        <v>11154</v>
      </c>
      <c r="C335" s="677" t="s">
        <v>4</v>
      </c>
      <c r="D335" s="213">
        <f>$Q$7</f>
        <v>12</v>
      </c>
    </row>
    <row r="336" spans="1:4" ht="15" customHeight="1">
      <c r="A336" s="211" t="str">
        <f t="shared" si="33"/>
        <v>АСУЭ.SEPAM.wDbl</v>
      </c>
      <c r="B336" s="677">
        <v>11152</v>
      </c>
      <c r="C336" s="677" t="s">
        <v>0</v>
      </c>
      <c r="D336" s="213" t="str">
        <f>$R$7</f>
        <v>Неисправность</v>
      </c>
    </row>
    <row r="337" spans="1:4" ht="15" customHeight="1">
      <c r="A337" s="211" t="str">
        <f t="shared" si="33"/>
        <v>АСУЭ.SEPAM.wDbl</v>
      </c>
      <c r="B337" s="677">
        <v>11150</v>
      </c>
      <c r="C337" s="677" t="s">
        <v>0</v>
      </c>
      <c r="D337" s="213" t="s">
        <v>341</v>
      </c>
    </row>
    <row r="338" spans="1:4" ht="15" customHeight="1">
      <c r="A338" s="211" t="str">
        <f t="shared" si="33"/>
        <v>АСУЭ.SEPAM.wDbl</v>
      </c>
      <c r="B338" s="677">
        <v>11000</v>
      </c>
      <c r="C338" s="677" t="s">
        <v>5</v>
      </c>
      <c r="D338" s="213">
        <v>2147483680</v>
      </c>
    </row>
    <row r="339" spans="1:4" ht="15" customHeight="1">
      <c r="A339" s="29" t="str">
        <f t="shared" si="33"/>
        <v>АСУЭ.SEPAM.wDbl</v>
      </c>
      <c r="B339">
        <v>3</v>
      </c>
      <c r="C339" t="s">
        <v>1</v>
      </c>
      <c r="D339" s="30">
        <v>192</v>
      </c>
    </row>
    <row r="340" spans="1:4" ht="15" customHeight="1">
      <c r="A340" s="29" t="str">
        <f t="shared" si="33"/>
        <v>АСУЭ.SEPAM.wDbl</v>
      </c>
      <c r="B340">
        <v>2</v>
      </c>
      <c r="C340" t="s">
        <v>2</v>
      </c>
      <c r="D340" s="30" t="s">
        <v>175</v>
      </c>
    </row>
    <row r="341" spans="1:4" ht="15" customHeight="1">
      <c r="A341" s="26" t="str">
        <f t="shared" si="33"/>
        <v>АСУЭ.SEPAM.wDbl</v>
      </c>
      <c r="B341" s="27">
        <v>1</v>
      </c>
      <c r="C341" s="27" t="s">
        <v>1</v>
      </c>
      <c r="D341" s="28">
        <v>11</v>
      </c>
    </row>
    <row r="342" spans="1:4" ht="15" customHeight="1">
      <c r="A342" s="211" t="str">
        <f t="shared" ref="A342:A348" si="34">$R$2&amp;".wUnkw"</f>
        <v>АСУЭ.SEPAM.wUnkw</v>
      </c>
      <c r="B342" s="677">
        <v>11154</v>
      </c>
      <c r="C342" s="677" t="s">
        <v>4</v>
      </c>
      <c r="D342" s="213">
        <f>$Q$7</f>
        <v>12</v>
      </c>
    </row>
    <row r="343" spans="1:4" ht="15" customHeight="1">
      <c r="A343" s="211" t="str">
        <f t="shared" si="34"/>
        <v>АСУЭ.SEPAM.wUnkw</v>
      </c>
      <c r="B343" s="677">
        <v>11152</v>
      </c>
      <c r="C343" s="677" t="s">
        <v>0</v>
      </c>
      <c r="D343" s="213" t="str">
        <f>$R$7</f>
        <v>Неисправность</v>
      </c>
    </row>
    <row r="344" spans="1:4" ht="15" customHeight="1">
      <c r="A344" s="211" t="str">
        <f t="shared" si="34"/>
        <v>АСУЭ.SEPAM.wUnkw</v>
      </c>
      <c r="B344" s="677">
        <v>11150</v>
      </c>
      <c r="C344" s="677" t="s">
        <v>0</v>
      </c>
      <c r="D344" s="213" t="s">
        <v>342</v>
      </c>
    </row>
    <row r="345" spans="1:4" ht="15" customHeight="1">
      <c r="A345" s="211" t="str">
        <f t="shared" si="34"/>
        <v>АСУЭ.SEPAM.wUnkw</v>
      </c>
      <c r="B345" s="677">
        <v>11000</v>
      </c>
      <c r="C345" s="677" t="s">
        <v>5</v>
      </c>
      <c r="D345" s="213">
        <v>2147483680</v>
      </c>
    </row>
    <row r="346" spans="1:4" ht="15" customHeight="1">
      <c r="A346" s="29" t="str">
        <f t="shared" si="34"/>
        <v>АСУЭ.SEPAM.wUnkw</v>
      </c>
      <c r="B346">
        <v>3</v>
      </c>
      <c r="C346" t="s">
        <v>1</v>
      </c>
      <c r="D346" s="30">
        <v>192</v>
      </c>
    </row>
    <row r="347" spans="1:4" ht="15" customHeight="1">
      <c r="A347" s="29" t="str">
        <f t="shared" si="34"/>
        <v>АСУЭ.SEPAM.wUnkw</v>
      </c>
      <c r="B347">
        <v>2</v>
      </c>
      <c r="C347" t="s">
        <v>2</v>
      </c>
      <c r="D347" s="30" t="s">
        <v>175</v>
      </c>
    </row>
    <row r="348" spans="1:4" ht="15" customHeight="1">
      <c r="A348" s="26" t="str">
        <f t="shared" si="34"/>
        <v>АСУЭ.SEPAM.wUnkw</v>
      </c>
      <c r="B348" s="27">
        <v>1</v>
      </c>
      <c r="C348" s="27" t="s">
        <v>1</v>
      </c>
      <c r="D348" s="28">
        <v>11</v>
      </c>
    </row>
    <row r="349" spans="1:4" ht="15" customHeight="1">
      <c r="A349" s="217" t="str">
        <f t="shared" ref="A349:A358" si="35">$R$2&amp;".wAPV_Unsuccess"</f>
        <v>АСУЭ.SEPAM.wAPV_Unsuccess</v>
      </c>
      <c r="B349" s="218">
        <v>11154</v>
      </c>
      <c r="C349" s="218" t="s">
        <v>4</v>
      </c>
      <c r="D349" s="231">
        <f>$Q$7</f>
        <v>12</v>
      </c>
    </row>
    <row r="350" spans="1:4" ht="15" customHeight="1">
      <c r="A350" s="211" t="str">
        <f t="shared" si="35"/>
        <v>АСУЭ.SEPAM.wAPV_Unsuccess</v>
      </c>
      <c r="B350" s="677">
        <v>11152</v>
      </c>
      <c r="C350" s="677" t="s">
        <v>0</v>
      </c>
      <c r="D350" s="213" t="str">
        <f>$R$7</f>
        <v>Неисправность</v>
      </c>
    </row>
    <row r="351" spans="1:4" ht="15" customHeight="1">
      <c r="A351" s="211" t="str">
        <f t="shared" si="35"/>
        <v>АСУЭ.SEPAM.wAPV_Unsuccess</v>
      </c>
      <c r="B351" s="677">
        <v>11150</v>
      </c>
      <c r="C351" s="677" t="s">
        <v>0</v>
      </c>
      <c r="D351" s="213" t="s">
        <v>1513</v>
      </c>
    </row>
    <row r="352" spans="1:4" ht="15" customHeight="1">
      <c r="A352" s="211" t="str">
        <f t="shared" si="35"/>
        <v>АСУЭ.SEPAM.wAPV_Unsuccess</v>
      </c>
      <c r="B352" s="677">
        <v>11000</v>
      </c>
      <c r="C352" s="677" t="s">
        <v>5</v>
      </c>
      <c r="D352" s="213">
        <v>2147483680</v>
      </c>
    </row>
    <row r="353" spans="1:4" ht="15" customHeight="1">
      <c r="A353" s="29" t="str">
        <f t="shared" si="35"/>
        <v>АСУЭ.SEPAM.wAPV_Unsuccess</v>
      </c>
      <c r="B353">
        <v>7999</v>
      </c>
      <c r="C353" t="s">
        <v>0</v>
      </c>
      <c r="D353" s="30" t="str">
        <f>"#"&amp;$S$2&amp;"#"&amp;$T$2&amp;"."&amp;$P$2&amp;".TS193_208_TS201"</f>
        <v>#3#\\Setup_rza\Modbus.OPCServer\ZRU_Sepam.VV1_Sepam_S82.TS193_208_TS201</v>
      </c>
    </row>
    <row r="354" spans="1:4" ht="15" customHeight="1">
      <c r="A354" s="29" t="str">
        <f t="shared" si="35"/>
        <v>АСУЭ.SEPAM.wAPV_Unsuccess</v>
      </c>
      <c r="B354">
        <v>7998</v>
      </c>
      <c r="C354" t="s">
        <v>6</v>
      </c>
      <c r="D354" s="30">
        <v>1</v>
      </c>
    </row>
    <row r="355" spans="1:4" ht="15" customHeight="1">
      <c r="A355" s="29" t="str">
        <f t="shared" si="35"/>
        <v>АСУЭ.SEPAM.wAPV_Unsuccess</v>
      </c>
      <c r="B355">
        <v>101</v>
      </c>
      <c r="C355" t="s">
        <v>0</v>
      </c>
      <c r="D355" s="30" t="s">
        <v>1513</v>
      </c>
    </row>
    <row r="356" spans="1:4" ht="15" customHeight="1">
      <c r="A356" s="29" t="str">
        <f t="shared" si="35"/>
        <v>АСУЭ.SEPAM.wAPV_Unsuccess</v>
      </c>
      <c r="B356">
        <v>3</v>
      </c>
      <c r="C356" t="s">
        <v>1</v>
      </c>
      <c r="D356" s="30">
        <v>192</v>
      </c>
    </row>
    <row r="357" spans="1:4" ht="15" customHeight="1">
      <c r="A357" s="29" t="str">
        <f t="shared" si="35"/>
        <v>АСУЭ.SEPAM.wAPV_Unsuccess</v>
      </c>
      <c r="B357">
        <v>2</v>
      </c>
      <c r="C357" t="s">
        <v>2</v>
      </c>
      <c r="D357" s="30" t="s">
        <v>175</v>
      </c>
    </row>
    <row r="358" spans="1:4" ht="15" customHeight="1">
      <c r="A358" s="26" t="str">
        <f t="shared" si="35"/>
        <v>АСУЭ.SEPAM.wAPV_Unsuccess</v>
      </c>
      <c r="B358" s="27">
        <v>1</v>
      </c>
      <c r="C358" s="27" t="s">
        <v>1</v>
      </c>
      <c r="D358" s="28">
        <v>11</v>
      </c>
    </row>
    <row r="359" spans="1:4" ht="15" customHeight="1">
      <c r="A359" s="217" t="str">
        <f t="shared" ref="A359:A368" si="36">$R$2&amp;".wAPV2_Block_when_OZZ"</f>
        <v>АСУЭ.SEPAM.wAPV2_Block_when_OZZ</v>
      </c>
      <c r="B359" s="218">
        <v>11154</v>
      </c>
      <c r="C359" s="218" t="s">
        <v>4</v>
      </c>
      <c r="D359" s="231">
        <f>$Q$7</f>
        <v>12</v>
      </c>
    </row>
    <row r="360" spans="1:4" ht="15" customHeight="1">
      <c r="A360" s="211" t="str">
        <f t="shared" si="36"/>
        <v>АСУЭ.SEPAM.wAPV2_Block_when_OZZ</v>
      </c>
      <c r="B360" s="677">
        <v>11152</v>
      </c>
      <c r="C360" s="677" t="s">
        <v>0</v>
      </c>
      <c r="D360" s="213" t="str">
        <f>$R$7</f>
        <v>Неисправность</v>
      </c>
    </row>
    <row r="361" spans="1:4" ht="15" customHeight="1">
      <c r="A361" s="211" t="str">
        <f t="shared" si="36"/>
        <v>АСУЭ.SEPAM.wAPV2_Block_when_OZZ</v>
      </c>
      <c r="B361" s="677">
        <v>11150</v>
      </c>
      <c r="C361" s="677" t="s">
        <v>0</v>
      </c>
      <c r="D361" s="213" t="s">
        <v>1514</v>
      </c>
    </row>
    <row r="362" spans="1:4" ht="15" customHeight="1">
      <c r="A362" s="211" t="str">
        <f t="shared" si="36"/>
        <v>АСУЭ.SEPAM.wAPV2_Block_when_OZZ</v>
      </c>
      <c r="B362" s="677">
        <v>11000</v>
      </c>
      <c r="C362" s="677" t="s">
        <v>5</v>
      </c>
      <c r="D362" s="213">
        <v>2147483680</v>
      </c>
    </row>
    <row r="363" spans="1:4" ht="15" customHeight="1">
      <c r="A363" s="29" t="str">
        <f t="shared" si="36"/>
        <v>АСУЭ.SEPAM.wAPV2_Block_when_OZZ</v>
      </c>
      <c r="B363">
        <v>7999</v>
      </c>
      <c r="C363" t="s">
        <v>0</v>
      </c>
      <c r="D363" s="30" t="str">
        <f>"#"&amp;$S$2&amp;"#"&amp;$T$2&amp;"."&amp;$P$2&amp;".TS177_192_TS182"</f>
        <v>#3#\\Setup_rza\Modbus.OPCServer\ZRU_Sepam.VV1_Sepam_S82.TS177_192_TS182</v>
      </c>
    </row>
    <row r="364" spans="1:4" ht="15" customHeight="1">
      <c r="A364" s="29" t="str">
        <f t="shared" si="36"/>
        <v>АСУЭ.SEPAM.wAPV2_Block_when_OZZ</v>
      </c>
      <c r="B364">
        <v>7998</v>
      </c>
      <c r="C364" t="s">
        <v>6</v>
      </c>
      <c r="D364" s="30">
        <v>1</v>
      </c>
    </row>
    <row r="365" spans="1:4" ht="15" customHeight="1">
      <c r="A365" s="29" t="str">
        <f t="shared" si="36"/>
        <v>АСУЭ.SEPAM.wAPV2_Block_when_OZZ</v>
      </c>
      <c r="B365">
        <v>101</v>
      </c>
      <c r="C365" t="s">
        <v>0</v>
      </c>
      <c r="D365" s="30" t="s">
        <v>1514</v>
      </c>
    </row>
    <row r="366" spans="1:4" ht="15" customHeight="1">
      <c r="A366" s="29" t="str">
        <f t="shared" si="36"/>
        <v>АСУЭ.SEPAM.wAPV2_Block_when_OZZ</v>
      </c>
      <c r="B366">
        <v>3</v>
      </c>
      <c r="C366" t="s">
        <v>1</v>
      </c>
      <c r="D366" s="30">
        <v>192</v>
      </c>
    </row>
    <row r="367" spans="1:4" ht="15" customHeight="1">
      <c r="A367" s="29" t="str">
        <f t="shared" si="36"/>
        <v>АСУЭ.SEPAM.wAPV2_Block_when_OZZ</v>
      </c>
      <c r="B367">
        <v>2</v>
      </c>
      <c r="C367" t="s">
        <v>2</v>
      </c>
      <c r="D367" s="30" t="s">
        <v>175</v>
      </c>
    </row>
    <row r="368" spans="1:4" ht="15" customHeight="1">
      <c r="A368" s="26" t="str">
        <f t="shared" si="36"/>
        <v>АСУЭ.SEPAM.wAPV2_Block_when_OZZ</v>
      </c>
      <c r="B368" s="27">
        <v>1</v>
      </c>
      <c r="C368" s="27" t="s">
        <v>1</v>
      </c>
      <c r="D368" s="28">
        <v>11</v>
      </c>
    </row>
    <row r="369" spans="1:4" ht="15" customHeight="1">
      <c r="A369" s="217" t="str">
        <f t="shared" ref="A369:A378" si="37">$R$2&amp;".wCmdCircuitFlt"</f>
        <v>АСУЭ.SEPAM.wCmdCircuitFlt</v>
      </c>
      <c r="B369" s="218">
        <v>11154</v>
      </c>
      <c r="C369" s="218" t="s">
        <v>4</v>
      </c>
      <c r="D369" s="231">
        <f>$Q$7</f>
        <v>12</v>
      </c>
    </row>
    <row r="370" spans="1:4" ht="15" customHeight="1">
      <c r="A370" s="211" t="str">
        <f t="shared" si="37"/>
        <v>АСУЭ.SEPAM.wCmdCircuitFlt</v>
      </c>
      <c r="B370" s="677">
        <v>11152</v>
      </c>
      <c r="C370" s="677" t="s">
        <v>0</v>
      </c>
      <c r="D370" s="213" t="str">
        <f>$R$7</f>
        <v>Неисправность</v>
      </c>
    </row>
    <row r="371" spans="1:4" ht="15" customHeight="1">
      <c r="A371" s="211" t="str">
        <f t="shared" si="37"/>
        <v>АСУЭ.SEPAM.wCmdCircuitFlt</v>
      </c>
      <c r="B371" s="677">
        <v>11150</v>
      </c>
      <c r="C371" s="677" t="s">
        <v>0</v>
      </c>
      <c r="D371" s="213" t="s">
        <v>387</v>
      </c>
    </row>
    <row r="372" spans="1:4" ht="15" customHeight="1">
      <c r="A372" s="211" t="str">
        <f t="shared" si="37"/>
        <v>АСУЭ.SEPAM.wCmdCircuitFlt</v>
      </c>
      <c r="B372" s="677">
        <v>11000</v>
      </c>
      <c r="C372" s="677" t="s">
        <v>5</v>
      </c>
      <c r="D372" s="213">
        <v>2147483680</v>
      </c>
    </row>
    <row r="373" spans="1:4" ht="15" customHeight="1">
      <c r="A373" s="29" t="str">
        <f t="shared" si="37"/>
        <v>АСУЭ.SEPAM.wCmdCircuitFlt</v>
      </c>
      <c r="B373">
        <v>7999</v>
      </c>
      <c r="C373" t="s">
        <v>0</v>
      </c>
      <c r="D373" s="30" t="str">
        <f>"#"&amp;$S$2&amp;"#"&amp;$T$2&amp;"."&amp;$P$2&amp;".TS01_16_TS1"</f>
        <v>#3#\\Setup_rza\Modbus.OPCServer\ZRU_Sepam.VV1_Sepam_S82.TS01_16_TS1</v>
      </c>
    </row>
    <row r="374" spans="1:4" ht="15" customHeight="1">
      <c r="A374" s="29" t="str">
        <f t="shared" si="37"/>
        <v>АСУЭ.SEPAM.wCmdCircuitFlt</v>
      </c>
      <c r="B374">
        <v>7998</v>
      </c>
      <c r="C374" t="s">
        <v>6</v>
      </c>
      <c r="D374" s="30">
        <v>1</v>
      </c>
    </row>
    <row r="375" spans="1:4" ht="15" customHeight="1">
      <c r="A375" s="29" t="str">
        <f t="shared" si="37"/>
        <v>АСУЭ.SEPAM.wCmdCircuitFlt</v>
      </c>
      <c r="B375">
        <v>101</v>
      </c>
      <c r="C375" t="s">
        <v>0</v>
      </c>
      <c r="D375" s="30" t="s">
        <v>387</v>
      </c>
    </row>
    <row r="376" spans="1:4" ht="15" customHeight="1">
      <c r="A376" s="29" t="str">
        <f t="shared" si="37"/>
        <v>АСУЭ.SEPAM.wCmdCircuitFlt</v>
      </c>
      <c r="B376">
        <v>3</v>
      </c>
      <c r="C376" t="s">
        <v>1</v>
      </c>
      <c r="D376" s="30">
        <v>192</v>
      </c>
    </row>
    <row r="377" spans="1:4" ht="15" customHeight="1">
      <c r="A377" s="29" t="str">
        <f t="shared" si="37"/>
        <v>АСУЭ.SEPAM.wCmdCircuitFlt</v>
      </c>
      <c r="B377">
        <v>2</v>
      </c>
      <c r="C377" t="s">
        <v>2</v>
      </c>
      <c r="D377" s="30" t="s">
        <v>175</v>
      </c>
    </row>
    <row r="378" spans="1:4" ht="15" customHeight="1">
      <c r="A378" s="26" t="str">
        <f t="shared" si="37"/>
        <v>АСУЭ.SEPAM.wCmdCircuitFlt</v>
      </c>
      <c r="B378" s="27">
        <v>1</v>
      </c>
      <c r="C378" s="27" t="s">
        <v>1</v>
      </c>
      <c r="D378" s="28">
        <v>11</v>
      </c>
    </row>
    <row r="379" spans="1:4" ht="15" customHeight="1">
      <c r="A379" s="217" t="str">
        <f>$R$2&amp;".wCmdFlt"</f>
        <v>АСУЭ.SEPAM.wCmdFlt</v>
      </c>
      <c r="B379" s="218">
        <v>11154</v>
      </c>
      <c r="C379" s="218" t="s">
        <v>4</v>
      </c>
      <c r="D379" s="231">
        <f>$Q$7</f>
        <v>12</v>
      </c>
    </row>
    <row r="380" spans="1:4" ht="15" customHeight="1">
      <c r="A380" s="211" t="str">
        <f t="shared" ref="A380:A388" si="38">$R$2&amp;".wCmdFlt"</f>
        <v>АСУЭ.SEPAM.wCmdFlt</v>
      </c>
      <c r="B380" s="677">
        <v>11152</v>
      </c>
      <c r="C380" s="677" t="s">
        <v>0</v>
      </c>
      <c r="D380" s="213" t="str">
        <f>$R$7</f>
        <v>Неисправность</v>
      </c>
    </row>
    <row r="381" spans="1:4" ht="15" customHeight="1">
      <c r="A381" s="211" t="str">
        <f t="shared" si="38"/>
        <v>АСУЭ.SEPAM.wCmdFlt</v>
      </c>
      <c r="B381" s="677">
        <v>11150</v>
      </c>
      <c r="C381" s="677" t="s">
        <v>0</v>
      </c>
      <c r="D381" s="213" t="s">
        <v>1547</v>
      </c>
    </row>
    <row r="382" spans="1:4" ht="15" customHeight="1">
      <c r="A382" s="211" t="str">
        <f t="shared" si="38"/>
        <v>АСУЭ.SEPAM.wCmdFlt</v>
      </c>
      <c r="B382" s="677">
        <v>11000</v>
      </c>
      <c r="C382" s="677" t="s">
        <v>5</v>
      </c>
      <c r="D382" s="213">
        <v>2147483680</v>
      </c>
    </row>
    <row r="383" spans="1:4" ht="15" customHeight="1">
      <c r="A383" s="29" t="str">
        <f t="shared" si="38"/>
        <v>АСУЭ.SEPAM.wCmdFlt</v>
      </c>
      <c r="B383">
        <v>7999</v>
      </c>
      <c r="C383" t="s">
        <v>0</v>
      </c>
      <c r="D383" s="30" t="str">
        <f>"#"&amp;$S$2&amp;"#"&amp;$T$2&amp;"."&amp;$P$2&amp;".TS01_16_TS2"</f>
        <v>#3#\\Setup_rza\Modbus.OPCServer\ZRU_Sepam.VV1_Sepam_S82.TS01_16_TS2</v>
      </c>
    </row>
    <row r="384" spans="1:4" ht="15" customHeight="1">
      <c r="A384" s="29" t="str">
        <f t="shared" si="38"/>
        <v>АСУЭ.SEPAM.wCmdFlt</v>
      </c>
      <c r="B384">
        <v>7998</v>
      </c>
      <c r="C384" t="s">
        <v>6</v>
      </c>
      <c r="D384" s="30">
        <v>1</v>
      </c>
    </row>
    <row r="385" spans="1:4" ht="15" customHeight="1">
      <c r="A385" s="29" t="str">
        <f t="shared" si="38"/>
        <v>АСУЭ.SEPAM.wCmdFlt</v>
      </c>
      <c r="B385">
        <v>101</v>
      </c>
      <c r="C385" t="s">
        <v>0</v>
      </c>
      <c r="D385" s="30" t="s">
        <v>1547</v>
      </c>
    </row>
    <row r="386" spans="1:4" ht="15" customHeight="1">
      <c r="A386" s="29" t="str">
        <f t="shared" si="38"/>
        <v>АСУЭ.SEPAM.wCmdFlt</v>
      </c>
      <c r="B386">
        <v>3</v>
      </c>
      <c r="C386" t="s">
        <v>1</v>
      </c>
      <c r="D386" s="30">
        <v>192</v>
      </c>
    </row>
    <row r="387" spans="1:4" ht="15" customHeight="1">
      <c r="A387" s="29" t="str">
        <f t="shared" si="38"/>
        <v>АСУЭ.SEPAM.wCmdFlt</v>
      </c>
      <c r="B387">
        <v>2</v>
      </c>
      <c r="C387" t="s">
        <v>2</v>
      </c>
      <c r="D387" s="30" t="s">
        <v>175</v>
      </c>
    </row>
    <row r="388" spans="1:4" ht="15" customHeight="1">
      <c r="A388" s="26" t="str">
        <f t="shared" si="38"/>
        <v>АСУЭ.SEPAM.wCmdFlt</v>
      </c>
      <c r="B388" s="27">
        <v>1</v>
      </c>
      <c r="C388" s="27" t="s">
        <v>1</v>
      </c>
      <c r="D388" s="28">
        <v>11</v>
      </c>
    </row>
    <row r="389" spans="1:4" ht="15" customHeight="1">
      <c r="A389" s="217" t="str">
        <f>$R$2&amp;".wGenFlt"</f>
        <v>АСУЭ.SEPAM.wGenFlt</v>
      </c>
      <c r="B389" s="218">
        <v>11154</v>
      </c>
      <c r="C389" s="218" t="s">
        <v>4</v>
      </c>
      <c r="D389" s="231">
        <f>$Q$7</f>
        <v>12</v>
      </c>
    </row>
    <row r="390" spans="1:4" ht="15" customHeight="1">
      <c r="A390" s="211" t="str">
        <f t="shared" ref="A390:A398" si="39">$R$2&amp;".wGenFlt"</f>
        <v>АСУЭ.SEPAM.wGenFlt</v>
      </c>
      <c r="B390" s="677">
        <v>11152</v>
      </c>
      <c r="C390" s="677" t="s">
        <v>0</v>
      </c>
      <c r="D390" s="213" t="str">
        <f>$R$7</f>
        <v>Неисправность</v>
      </c>
    </row>
    <row r="391" spans="1:4" ht="15" customHeight="1">
      <c r="A391" s="211" t="str">
        <f t="shared" si="39"/>
        <v>АСУЭ.SEPAM.wGenFlt</v>
      </c>
      <c r="B391" s="677">
        <v>11150</v>
      </c>
      <c r="C391" s="677" t="s">
        <v>0</v>
      </c>
      <c r="D391" s="213" t="s">
        <v>139</v>
      </c>
    </row>
    <row r="392" spans="1:4" ht="15" customHeight="1">
      <c r="A392" s="211" t="str">
        <f t="shared" si="39"/>
        <v>АСУЭ.SEPAM.wGenFlt</v>
      </c>
      <c r="B392" s="677">
        <v>11000</v>
      </c>
      <c r="C392" s="677" t="s">
        <v>5</v>
      </c>
      <c r="D392" s="213">
        <v>2147483680</v>
      </c>
    </row>
    <row r="393" spans="1:4" ht="15" customHeight="1">
      <c r="A393" s="29" t="str">
        <f t="shared" si="39"/>
        <v>АСУЭ.SEPAM.wGenFlt</v>
      </c>
      <c r="B393">
        <v>7999</v>
      </c>
      <c r="C393" t="s">
        <v>0</v>
      </c>
      <c r="D393" s="30" t="str">
        <f>"#"&amp;$S$2&amp;"#"&amp;$T$2&amp;"."&amp;$P$2&amp;".TS49_64_TS52"</f>
        <v>#3#\\Setup_rza\Modbus.OPCServer\ZRU_Sepam.VV1_Sepam_S82.TS49_64_TS52</v>
      </c>
    </row>
    <row r="394" spans="1:4" ht="15" customHeight="1">
      <c r="A394" s="29" t="str">
        <f t="shared" si="39"/>
        <v>АСУЭ.SEPAM.wGenFlt</v>
      </c>
      <c r="B394">
        <v>7998</v>
      </c>
      <c r="C394" t="s">
        <v>6</v>
      </c>
      <c r="D394" s="30">
        <v>1</v>
      </c>
    </row>
    <row r="395" spans="1:4" ht="15" customHeight="1">
      <c r="A395" s="29" t="str">
        <f t="shared" si="39"/>
        <v>АСУЭ.SEPAM.wGenFlt</v>
      </c>
      <c r="B395">
        <v>101</v>
      </c>
      <c r="C395" t="s">
        <v>0</v>
      </c>
      <c r="D395" s="30" t="s">
        <v>139</v>
      </c>
    </row>
    <row r="396" spans="1:4" ht="15" customHeight="1">
      <c r="A396" s="29" t="str">
        <f t="shared" si="39"/>
        <v>АСУЭ.SEPAM.wGenFlt</v>
      </c>
      <c r="B396">
        <v>3</v>
      </c>
      <c r="C396" t="s">
        <v>1</v>
      </c>
      <c r="D396" s="30">
        <v>192</v>
      </c>
    </row>
    <row r="397" spans="1:4" ht="15" customHeight="1">
      <c r="A397" s="29" t="str">
        <f t="shared" si="39"/>
        <v>АСУЭ.SEPAM.wGenFlt</v>
      </c>
      <c r="B397">
        <v>2</v>
      </c>
      <c r="C397" t="s">
        <v>2</v>
      </c>
      <c r="D397" s="30" t="s">
        <v>175</v>
      </c>
    </row>
    <row r="398" spans="1:4" ht="15" customHeight="1">
      <c r="A398" s="26" t="str">
        <f t="shared" si="39"/>
        <v>АСУЭ.SEPAM.wGenFlt</v>
      </c>
      <c r="B398" s="27">
        <v>1</v>
      </c>
      <c r="C398" s="27" t="s">
        <v>1</v>
      </c>
      <c r="D398" s="28">
        <v>11</v>
      </c>
    </row>
    <row r="399" spans="1:4" ht="15" customHeight="1">
      <c r="A399" s="217" t="str">
        <f>$R$2&amp;".wMotorSpringFlt"</f>
        <v>АСУЭ.SEPAM.wMotorSpringFlt</v>
      </c>
      <c r="B399" s="218">
        <v>11154</v>
      </c>
      <c r="C399" s="218" t="s">
        <v>4</v>
      </c>
      <c r="D399" s="231">
        <f>$Q$7</f>
        <v>12</v>
      </c>
    </row>
    <row r="400" spans="1:4" ht="15" customHeight="1">
      <c r="A400" s="211" t="str">
        <f t="shared" ref="A400:A408" si="40">$R$2&amp;".wMotorSpringFlt"</f>
        <v>АСУЭ.SEPAM.wMotorSpringFlt</v>
      </c>
      <c r="B400" s="677">
        <v>11152</v>
      </c>
      <c r="C400" s="677" t="s">
        <v>0</v>
      </c>
      <c r="D400" s="213" t="str">
        <f>$R$7</f>
        <v>Неисправность</v>
      </c>
    </row>
    <row r="401" spans="1:4" ht="15" customHeight="1">
      <c r="A401" s="211" t="str">
        <f t="shared" si="40"/>
        <v>АСУЭ.SEPAM.wMotorSpringFlt</v>
      </c>
      <c r="B401" s="677">
        <v>11150</v>
      </c>
      <c r="C401" s="677" t="s">
        <v>0</v>
      </c>
      <c r="D401" s="213" t="s">
        <v>1548</v>
      </c>
    </row>
    <row r="402" spans="1:4" ht="15" customHeight="1">
      <c r="A402" s="211" t="str">
        <f t="shared" si="40"/>
        <v>АСУЭ.SEPAM.wMotorSpringFlt</v>
      </c>
      <c r="B402" s="677">
        <v>11000</v>
      </c>
      <c r="C402" s="677" t="s">
        <v>5</v>
      </c>
      <c r="D402" s="213">
        <v>2147483680</v>
      </c>
    </row>
    <row r="403" spans="1:4" ht="15" customHeight="1">
      <c r="A403" s="29" t="str">
        <f t="shared" si="40"/>
        <v>АСУЭ.SEPAM.wMotorSpringFlt</v>
      </c>
      <c r="B403">
        <v>7999</v>
      </c>
      <c r="C403" t="s">
        <v>0</v>
      </c>
      <c r="D403" s="30" t="str">
        <f>"#"&amp;$S$2&amp;"#"&amp;$T$2&amp;"."&amp;$P$2&amp;".TS177_192_TS180"</f>
        <v>#3#\\Setup_rza\Modbus.OPCServer\ZRU_Sepam.VV1_Sepam_S82.TS177_192_TS180</v>
      </c>
    </row>
    <row r="404" spans="1:4" ht="15" customHeight="1">
      <c r="A404" s="29" t="str">
        <f t="shared" si="40"/>
        <v>АСУЭ.SEPAM.wMotorSpringFlt</v>
      </c>
      <c r="B404">
        <v>7998</v>
      </c>
      <c r="C404" t="s">
        <v>6</v>
      </c>
      <c r="D404" s="30">
        <v>1</v>
      </c>
    </row>
    <row r="405" spans="1:4" ht="15" customHeight="1">
      <c r="A405" s="29" t="str">
        <f t="shared" si="40"/>
        <v>АСУЭ.SEPAM.wMotorSpringFlt</v>
      </c>
      <c r="B405">
        <v>101</v>
      </c>
      <c r="C405" t="s">
        <v>0</v>
      </c>
      <c r="D405" s="30" t="s">
        <v>1548</v>
      </c>
    </row>
    <row r="406" spans="1:4" ht="15" customHeight="1">
      <c r="A406" s="29" t="str">
        <f t="shared" si="40"/>
        <v>АСУЭ.SEPAM.wMotorSpringFlt</v>
      </c>
      <c r="B406">
        <v>3</v>
      </c>
      <c r="C406" t="s">
        <v>1</v>
      </c>
      <c r="D406" s="30">
        <v>192</v>
      </c>
    </row>
    <row r="407" spans="1:4" ht="15" customHeight="1">
      <c r="A407" s="29" t="str">
        <f t="shared" si="40"/>
        <v>АСУЭ.SEPAM.wMotorSpringFlt</v>
      </c>
      <c r="B407">
        <v>2</v>
      </c>
      <c r="C407" t="s">
        <v>2</v>
      </c>
      <c r="D407" s="30" t="s">
        <v>175</v>
      </c>
    </row>
    <row r="408" spans="1:4" ht="15" customHeight="1">
      <c r="A408" s="26" t="str">
        <f t="shared" si="40"/>
        <v>АСУЭ.SEPAM.wMotorSpringFlt</v>
      </c>
      <c r="B408" s="27">
        <v>1</v>
      </c>
      <c r="C408" s="27" t="s">
        <v>1</v>
      </c>
      <c r="D408" s="28">
        <v>11</v>
      </c>
    </row>
    <row r="409" spans="1:4" ht="15" customHeight="1">
      <c r="A409" s="217" t="str">
        <f t="shared" ref="A409:A418" si="41">$R$2&amp;".wCircuitOnFlt"</f>
        <v>АСУЭ.SEPAM.wCircuitOnFlt</v>
      </c>
      <c r="B409" s="218">
        <v>11154</v>
      </c>
      <c r="C409" s="218" t="s">
        <v>4</v>
      </c>
      <c r="D409" s="231">
        <f>$Q$7</f>
        <v>12</v>
      </c>
    </row>
    <row r="410" spans="1:4" ht="15" customHeight="1">
      <c r="A410" s="211" t="str">
        <f t="shared" si="41"/>
        <v>АСУЭ.SEPAM.wCircuitOnFlt</v>
      </c>
      <c r="B410" s="677">
        <v>11152</v>
      </c>
      <c r="C410" s="677" t="s">
        <v>0</v>
      </c>
      <c r="D410" s="213" t="str">
        <f>$R$7</f>
        <v>Неисправность</v>
      </c>
    </row>
    <row r="411" spans="1:4" ht="15" customHeight="1">
      <c r="A411" s="211" t="str">
        <f t="shared" si="41"/>
        <v>АСУЭ.SEPAM.wCircuitOnFlt</v>
      </c>
      <c r="B411" s="677">
        <v>11150</v>
      </c>
      <c r="C411" s="677" t="s">
        <v>0</v>
      </c>
      <c r="D411" s="213" t="s">
        <v>1515</v>
      </c>
    </row>
    <row r="412" spans="1:4" ht="15" customHeight="1">
      <c r="A412" s="211" t="str">
        <f t="shared" si="41"/>
        <v>АСУЭ.SEPAM.wCircuitOnFlt</v>
      </c>
      <c r="B412" s="677">
        <v>11000</v>
      </c>
      <c r="C412" s="677" t="s">
        <v>5</v>
      </c>
      <c r="D412" s="213">
        <v>2147483680</v>
      </c>
    </row>
    <row r="413" spans="1:4" ht="15" customHeight="1">
      <c r="A413" s="29" t="str">
        <f t="shared" si="41"/>
        <v>АСУЭ.SEPAM.wCircuitOnFlt</v>
      </c>
      <c r="B413">
        <v>7999</v>
      </c>
      <c r="C413" t="s">
        <v>0</v>
      </c>
      <c r="D413" s="30" t="str">
        <f>"#"&amp;$S$2&amp;"#"&amp;$T$2&amp;"."&amp;$P$2&amp;".TS193_208_TS208"</f>
        <v>#3#\\Setup_rza\Modbus.OPCServer\ZRU_Sepam.VV1_Sepam_S82.TS193_208_TS208</v>
      </c>
    </row>
    <row r="414" spans="1:4" ht="15" customHeight="1">
      <c r="A414" s="29" t="str">
        <f t="shared" si="41"/>
        <v>АСУЭ.SEPAM.wCircuitOnFlt</v>
      </c>
      <c r="B414">
        <v>7998</v>
      </c>
      <c r="C414" t="s">
        <v>6</v>
      </c>
      <c r="D414" s="30">
        <v>1</v>
      </c>
    </row>
    <row r="415" spans="1:4" ht="15" customHeight="1">
      <c r="A415" s="29" t="str">
        <f t="shared" si="41"/>
        <v>АСУЭ.SEPAM.wCircuitOnFlt</v>
      </c>
      <c r="B415">
        <v>101</v>
      </c>
      <c r="C415" t="s">
        <v>0</v>
      </c>
      <c r="D415" s="30" t="s">
        <v>1515</v>
      </c>
    </row>
    <row r="416" spans="1:4" ht="15" customHeight="1">
      <c r="A416" s="29" t="str">
        <f t="shared" si="41"/>
        <v>АСУЭ.SEPAM.wCircuitOnFlt</v>
      </c>
      <c r="B416">
        <v>3</v>
      </c>
      <c r="C416" t="s">
        <v>1</v>
      </c>
      <c r="D416" s="30">
        <v>192</v>
      </c>
    </row>
    <row r="417" spans="1:4" ht="15" customHeight="1">
      <c r="A417" s="29" t="str">
        <f t="shared" si="41"/>
        <v>АСУЭ.SEPAM.wCircuitOnFlt</v>
      </c>
      <c r="B417">
        <v>2</v>
      </c>
      <c r="C417" t="s">
        <v>2</v>
      </c>
      <c r="D417" s="30" t="s">
        <v>175</v>
      </c>
    </row>
    <row r="418" spans="1:4" ht="15" customHeight="1">
      <c r="A418" s="26" t="str">
        <f t="shared" si="41"/>
        <v>АСУЭ.SEPAM.wCircuitOnFlt</v>
      </c>
      <c r="B418" s="27">
        <v>1</v>
      </c>
      <c r="C418" s="27" t="s">
        <v>1</v>
      </c>
      <c r="D418" s="28">
        <v>11</v>
      </c>
    </row>
    <row r="419" spans="1:4" ht="15" customHeight="1">
      <c r="A419" s="217" t="str">
        <f>$R$2&amp;".wOverload"</f>
        <v>АСУЭ.SEPAM.wOverload</v>
      </c>
      <c r="B419" s="218">
        <v>11154</v>
      </c>
      <c r="C419" s="218" t="s">
        <v>4</v>
      </c>
      <c r="D419" s="231">
        <f>$Q$7</f>
        <v>12</v>
      </c>
    </row>
    <row r="420" spans="1:4" ht="15" customHeight="1">
      <c r="A420" s="211" t="str">
        <f t="shared" ref="A420:A428" si="42">$R$2&amp;".wOverload"</f>
        <v>АСУЭ.SEPAM.wOverload</v>
      </c>
      <c r="B420" s="677">
        <v>11152</v>
      </c>
      <c r="C420" s="677" t="s">
        <v>0</v>
      </c>
      <c r="D420" s="213" t="str">
        <f>$R$7</f>
        <v>Неисправность</v>
      </c>
    </row>
    <row r="421" spans="1:4" ht="15" customHeight="1">
      <c r="A421" s="211" t="str">
        <f t="shared" si="42"/>
        <v>АСУЭ.SEPAM.wOverload</v>
      </c>
      <c r="B421" s="677">
        <v>11150</v>
      </c>
      <c r="C421" s="677" t="s">
        <v>0</v>
      </c>
      <c r="D421" s="213" t="s">
        <v>509</v>
      </c>
    </row>
    <row r="422" spans="1:4" ht="15" customHeight="1">
      <c r="A422" s="211" t="str">
        <f t="shared" si="42"/>
        <v>АСУЭ.SEPAM.wOverload</v>
      </c>
      <c r="B422" s="677">
        <v>11000</v>
      </c>
      <c r="C422" s="677" t="s">
        <v>5</v>
      </c>
      <c r="D422" s="213">
        <v>2147483680</v>
      </c>
    </row>
    <row r="423" spans="1:4" ht="15" customHeight="1">
      <c r="A423" s="29" t="str">
        <f t="shared" si="42"/>
        <v>АСУЭ.SEPAM.wOverload</v>
      </c>
      <c r="B423">
        <v>7999</v>
      </c>
      <c r="C423" t="s">
        <v>0</v>
      </c>
      <c r="D423" s="30" t="str">
        <f>"#"&amp;$S$2&amp;"#"&amp;$T$2&amp;"."&amp;$P$2&amp;".TS65_80_TS69"</f>
        <v>#3#\\Setup_rza\Modbus.OPCServer\ZRU_Sepam.VV1_Sepam_S82.TS65_80_TS69</v>
      </c>
    </row>
    <row r="424" spans="1:4" ht="15" customHeight="1">
      <c r="A424" s="29" t="str">
        <f t="shared" si="42"/>
        <v>АСУЭ.SEPAM.wOverload</v>
      </c>
      <c r="B424">
        <v>7998</v>
      </c>
      <c r="C424" t="s">
        <v>6</v>
      </c>
      <c r="D424" s="30">
        <v>1</v>
      </c>
    </row>
    <row r="425" spans="1:4" ht="15" customHeight="1">
      <c r="A425" s="29" t="str">
        <f t="shared" si="42"/>
        <v>АСУЭ.SEPAM.wOverload</v>
      </c>
      <c r="B425">
        <v>101</v>
      </c>
      <c r="C425" t="s">
        <v>0</v>
      </c>
      <c r="D425" s="30" t="s">
        <v>509</v>
      </c>
    </row>
    <row r="426" spans="1:4" ht="15" customHeight="1">
      <c r="A426" s="29" t="str">
        <f t="shared" si="42"/>
        <v>АСУЭ.SEPAM.wOverload</v>
      </c>
      <c r="B426">
        <v>3</v>
      </c>
      <c r="C426" t="s">
        <v>1</v>
      </c>
      <c r="D426" s="30">
        <v>192</v>
      </c>
    </row>
    <row r="427" spans="1:4" ht="15" customHeight="1">
      <c r="A427" s="29" t="str">
        <f t="shared" si="42"/>
        <v>АСУЭ.SEPAM.wOverload</v>
      </c>
      <c r="B427">
        <v>2</v>
      </c>
      <c r="C427" t="s">
        <v>2</v>
      </c>
      <c r="D427" s="30" t="s">
        <v>175</v>
      </c>
    </row>
    <row r="428" spans="1:4" ht="15" customHeight="1">
      <c r="A428" s="26" t="str">
        <f t="shared" si="42"/>
        <v>АСУЭ.SEPAM.wOverload</v>
      </c>
      <c r="B428" s="27">
        <v>1</v>
      </c>
      <c r="C428" s="27" t="s">
        <v>1</v>
      </c>
      <c r="D428" s="28">
        <v>11</v>
      </c>
    </row>
    <row r="429" spans="1:4" ht="15" customHeight="1">
      <c r="A429" s="217" t="str">
        <f>$R$2&amp;".wStateMismatch"</f>
        <v>АСУЭ.SEPAM.wStateMismatch</v>
      </c>
      <c r="B429" s="218">
        <v>11154</v>
      </c>
      <c r="C429" s="218" t="s">
        <v>4</v>
      </c>
      <c r="D429" s="231">
        <f>$Q$7</f>
        <v>12</v>
      </c>
    </row>
    <row r="430" spans="1:4" ht="15" customHeight="1">
      <c r="A430" s="211" t="str">
        <f t="shared" ref="A430:A438" si="43">$R$2&amp;".wStateMismatch"</f>
        <v>АСУЭ.SEPAM.wStateMismatch</v>
      </c>
      <c r="B430" s="677">
        <v>11152</v>
      </c>
      <c r="C430" s="677" t="s">
        <v>0</v>
      </c>
      <c r="D430" s="213" t="str">
        <f>$R$7</f>
        <v>Неисправность</v>
      </c>
    </row>
    <row r="431" spans="1:4" ht="15" customHeight="1">
      <c r="A431" s="211" t="str">
        <f t="shared" si="43"/>
        <v>АСУЭ.SEPAM.wStateMismatch</v>
      </c>
      <c r="B431" s="677">
        <v>11150</v>
      </c>
      <c r="C431" s="677" t="s">
        <v>0</v>
      </c>
      <c r="D431" s="213" t="s">
        <v>1516</v>
      </c>
    </row>
    <row r="432" spans="1:4" ht="15" customHeight="1">
      <c r="A432" s="211" t="str">
        <f t="shared" si="43"/>
        <v>АСУЭ.SEPAM.wStateMismatch</v>
      </c>
      <c r="B432" s="677">
        <v>11000</v>
      </c>
      <c r="C432" s="677" t="s">
        <v>5</v>
      </c>
      <c r="D432" s="213">
        <v>2147483680</v>
      </c>
    </row>
    <row r="433" spans="1:4" ht="15" customHeight="1">
      <c r="A433" s="29" t="str">
        <f t="shared" si="43"/>
        <v>АСУЭ.SEPAM.wStateMismatch</v>
      </c>
      <c r="B433">
        <v>7999</v>
      </c>
      <c r="C433" t="s">
        <v>0</v>
      </c>
      <c r="D433" s="30" t="str">
        <f>"#"&amp;$S$2&amp;"#"&amp;$T$2&amp;"."&amp;$P$2&amp;".TS01_16_TS3"</f>
        <v>#3#\\Setup_rza\Modbus.OPCServer\ZRU_Sepam.VV1_Sepam_S82.TS01_16_TS3</v>
      </c>
    </row>
    <row r="434" spans="1:4" ht="15" customHeight="1">
      <c r="A434" s="29" t="str">
        <f t="shared" si="43"/>
        <v>АСУЭ.SEPAM.wStateMismatch</v>
      </c>
      <c r="B434">
        <v>7998</v>
      </c>
      <c r="C434" t="s">
        <v>6</v>
      </c>
      <c r="D434" s="30">
        <v>1</v>
      </c>
    </row>
    <row r="435" spans="1:4" ht="15" customHeight="1">
      <c r="A435" s="29" t="str">
        <f t="shared" si="43"/>
        <v>АСУЭ.SEPAM.wStateMismatch</v>
      </c>
      <c r="B435">
        <v>101</v>
      </c>
      <c r="C435" t="s">
        <v>0</v>
      </c>
      <c r="D435" s="30" t="s">
        <v>1516</v>
      </c>
    </row>
    <row r="436" spans="1:4" ht="15" customHeight="1">
      <c r="A436" s="29" t="str">
        <f t="shared" si="43"/>
        <v>АСУЭ.SEPAM.wStateMismatch</v>
      </c>
      <c r="B436">
        <v>3</v>
      </c>
      <c r="C436" t="s">
        <v>1</v>
      </c>
      <c r="D436" s="30">
        <v>192</v>
      </c>
    </row>
    <row r="437" spans="1:4" ht="15" customHeight="1">
      <c r="A437" s="29" t="str">
        <f t="shared" si="43"/>
        <v>АСУЭ.SEPAM.wStateMismatch</v>
      </c>
      <c r="B437">
        <v>2</v>
      </c>
      <c r="C437" t="s">
        <v>2</v>
      </c>
      <c r="D437" s="30" t="s">
        <v>175</v>
      </c>
    </row>
    <row r="438" spans="1:4" ht="15" customHeight="1">
      <c r="A438" s="29" t="str">
        <f t="shared" si="43"/>
        <v>АСУЭ.SEPAM.wStateMismatch</v>
      </c>
      <c r="B438" s="27">
        <v>1</v>
      </c>
      <c r="C438" s="27" t="s">
        <v>1</v>
      </c>
      <c r="D438" s="28">
        <v>11</v>
      </c>
    </row>
    <row r="439" spans="1:4" ht="15" customHeight="1">
      <c r="A439" s="217" t="str">
        <f>$R$2&amp;".wTT_Flt"</f>
        <v>АСУЭ.SEPAM.wTT_Flt</v>
      </c>
      <c r="B439" s="218">
        <v>11154</v>
      </c>
      <c r="C439" s="218" t="s">
        <v>4</v>
      </c>
      <c r="D439" s="231">
        <f>$Q$7</f>
        <v>12</v>
      </c>
    </row>
    <row r="440" spans="1:4" ht="15" customHeight="1">
      <c r="A440" s="211" t="str">
        <f t="shared" ref="A440:A448" si="44">$R$2&amp;".wTT_Flt"</f>
        <v>АСУЭ.SEPAM.wTT_Flt</v>
      </c>
      <c r="B440" s="677">
        <v>11152</v>
      </c>
      <c r="C440" s="677" t="s">
        <v>0</v>
      </c>
      <c r="D440" s="213" t="str">
        <f>$R$7</f>
        <v>Неисправность</v>
      </c>
    </row>
    <row r="441" spans="1:4" ht="15" customHeight="1">
      <c r="A441" s="211" t="str">
        <f t="shared" si="44"/>
        <v>АСУЭ.SEPAM.wTT_Flt</v>
      </c>
      <c r="B441" s="677">
        <v>11150</v>
      </c>
      <c r="C441" s="677" t="s">
        <v>0</v>
      </c>
      <c r="D441" s="213" t="s">
        <v>1517</v>
      </c>
    </row>
    <row r="442" spans="1:4" ht="15" customHeight="1">
      <c r="A442" s="211" t="str">
        <f t="shared" si="44"/>
        <v>АСУЭ.SEPAM.wTT_Flt</v>
      </c>
      <c r="B442" s="677">
        <v>11000</v>
      </c>
      <c r="C442" s="677" t="s">
        <v>5</v>
      </c>
      <c r="D442" s="213">
        <v>2147483680</v>
      </c>
    </row>
    <row r="443" spans="1:4" ht="15" customHeight="1">
      <c r="A443" s="29" t="str">
        <f t="shared" si="44"/>
        <v>АСУЭ.SEPAM.wTT_Flt</v>
      </c>
      <c r="B443">
        <v>7999</v>
      </c>
      <c r="C443" t="s">
        <v>0</v>
      </c>
      <c r="D443" s="30" t="str">
        <f>"#"&amp;$S$2&amp;"#"&amp;$T$2&amp;"."&amp;$P$2&amp;".TS209_224_TS209"</f>
        <v>#3#\\Setup_rza\Modbus.OPCServer\ZRU_Sepam.VV1_Sepam_S82.TS209_224_TS209</v>
      </c>
    </row>
    <row r="444" spans="1:4" ht="15" customHeight="1">
      <c r="A444" s="29" t="str">
        <f t="shared" si="44"/>
        <v>АСУЭ.SEPAM.wTT_Flt</v>
      </c>
      <c r="B444">
        <v>7998</v>
      </c>
      <c r="C444" t="s">
        <v>6</v>
      </c>
      <c r="D444" s="30">
        <v>1</v>
      </c>
    </row>
    <row r="445" spans="1:4" ht="15" customHeight="1">
      <c r="A445" s="29" t="str">
        <f t="shared" si="44"/>
        <v>АСУЭ.SEPAM.wTT_Flt</v>
      </c>
      <c r="B445">
        <v>101</v>
      </c>
      <c r="C445" t="s">
        <v>0</v>
      </c>
      <c r="D445" s="30" t="s">
        <v>1517</v>
      </c>
    </row>
    <row r="446" spans="1:4" ht="15" customHeight="1">
      <c r="A446" s="29" t="str">
        <f t="shared" si="44"/>
        <v>АСУЭ.SEPAM.wTT_Flt</v>
      </c>
      <c r="B446">
        <v>3</v>
      </c>
      <c r="C446" t="s">
        <v>1</v>
      </c>
      <c r="D446" s="30">
        <v>192</v>
      </c>
    </row>
    <row r="447" spans="1:4" ht="15" customHeight="1">
      <c r="A447" s="29" t="str">
        <f t="shared" si="44"/>
        <v>АСУЭ.SEPAM.wTT_Flt</v>
      </c>
      <c r="B447">
        <v>2</v>
      </c>
      <c r="C447" t="s">
        <v>2</v>
      </c>
      <c r="D447" s="30" t="s">
        <v>175</v>
      </c>
    </row>
    <row r="448" spans="1:4" ht="15" customHeight="1">
      <c r="A448" s="26" t="str">
        <f t="shared" si="44"/>
        <v>АСУЭ.SEPAM.wTT_Flt</v>
      </c>
      <c r="B448" s="27">
        <v>1</v>
      </c>
      <c r="C448" s="27" t="s">
        <v>1</v>
      </c>
      <c r="D448" s="28">
        <v>11</v>
      </c>
    </row>
    <row r="449" spans="1:4" ht="15" customHeight="1">
      <c r="A449" s="29" t="str">
        <f t="shared" ref="A449:A460" si="45">$R$2&amp;".stOff"</f>
        <v>АСУЭ.SEPAM.stOff</v>
      </c>
      <c r="B449">
        <v>7000000</v>
      </c>
      <c r="C449" t="s">
        <v>6</v>
      </c>
      <c r="D449" s="30">
        <v>1</v>
      </c>
    </row>
    <row r="450" spans="1:4" ht="15" customHeight="1">
      <c r="A450" s="29" t="str">
        <f t="shared" si="45"/>
        <v>АСУЭ.SEPAM.stOff</v>
      </c>
      <c r="B450">
        <v>4000000</v>
      </c>
      <c r="C450" t="s">
        <v>0</v>
      </c>
      <c r="D450" s="685" t="s">
        <v>396</v>
      </c>
    </row>
    <row r="451" spans="1:4" ht="15" customHeight="1">
      <c r="A451" s="100" t="str">
        <f t="shared" si="45"/>
        <v>АСУЭ.SEPAM.stOff</v>
      </c>
      <c r="B451" s="679">
        <v>11154</v>
      </c>
      <c r="C451" s="679" t="s">
        <v>4</v>
      </c>
      <c r="D451" s="536">
        <f>$Q$8</f>
        <v>18</v>
      </c>
    </row>
    <row r="452" spans="1:4" ht="15" customHeight="1">
      <c r="A452" s="100" t="str">
        <f t="shared" si="45"/>
        <v>АСУЭ.SEPAM.stOff</v>
      </c>
      <c r="B452" s="679">
        <v>11150</v>
      </c>
      <c r="C452" s="679" t="s">
        <v>0</v>
      </c>
      <c r="D452" s="103" t="s">
        <v>336</v>
      </c>
    </row>
    <row r="453" spans="1:4" ht="15" customHeight="1">
      <c r="A453" s="100" t="str">
        <f t="shared" si="45"/>
        <v>АСУЭ.SEPAM.stOff</v>
      </c>
      <c r="B453" s="679">
        <v>11152</v>
      </c>
      <c r="C453" s="679" t="s">
        <v>0</v>
      </c>
      <c r="D453" s="103" t="str">
        <f>$R$8</f>
        <v>Телесигнализация</v>
      </c>
    </row>
    <row r="454" spans="1:4" ht="15" customHeight="1">
      <c r="A454" s="100" t="str">
        <f t="shared" si="45"/>
        <v>АСУЭ.SEPAM.stOff</v>
      </c>
      <c r="B454" s="679">
        <v>11000</v>
      </c>
      <c r="C454" s="679" t="s">
        <v>5</v>
      </c>
      <c r="D454" s="103">
        <v>2147483680</v>
      </c>
    </row>
    <row r="455" spans="1:4" ht="15" customHeight="1">
      <c r="A455" s="29" t="str">
        <f t="shared" si="45"/>
        <v>АСУЭ.SEPAM.stOff</v>
      </c>
      <c r="B455">
        <v>7999</v>
      </c>
      <c r="C455" t="s">
        <v>0</v>
      </c>
      <c r="D455" s="30" t="str">
        <f>"#"&amp;$S$2&amp;"#"&amp;$T$2&amp;"."&amp;$P$2&amp;".TS17_32_TS17"</f>
        <v>#3#\\Setup_rza\Modbus.OPCServer\ZRU_Sepam.VV1_Sepam_S82.TS17_32_TS17</v>
      </c>
    </row>
    <row r="456" spans="1:4" ht="15" customHeight="1">
      <c r="A456" s="29" t="str">
        <f t="shared" si="45"/>
        <v>АСУЭ.SEPAM.stOff</v>
      </c>
      <c r="B456">
        <v>7998</v>
      </c>
      <c r="C456" t="s">
        <v>6</v>
      </c>
      <c r="D456" s="30">
        <v>1</v>
      </c>
    </row>
    <row r="457" spans="1:4" ht="15" customHeight="1">
      <c r="A457" s="29" t="str">
        <f t="shared" si="45"/>
        <v>АСУЭ.SEPAM.stOff</v>
      </c>
      <c r="B457">
        <v>101</v>
      </c>
      <c r="C457" t="s">
        <v>0</v>
      </c>
      <c r="D457" s="30" t="s">
        <v>336</v>
      </c>
    </row>
    <row r="458" spans="1:4" ht="15" customHeight="1">
      <c r="A458" s="29" t="str">
        <f t="shared" si="45"/>
        <v>АСУЭ.SEPAM.stOff</v>
      </c>
      <c r="B458">
        <v>3</v>
      </c>
      <c r="C458" t="s">
        <v>1</v>
      </c>
      <c r="D458" s="30">
        <v>192</v>
      </c>
    </row>
    <row r="459" spans="1:4" ht="15" customHeight="1">
      <c r="A459" s="29" t="str">
        <f t="shared" si="45"/>
        <v>АСУЭ.SEPAM.stOff</v>
      </c>
      <c r="B459">
        <v>2</v>
      </c>
      <c r="C459" t="s">
        <v>2</v>
      </c>
      <c r="D459" s="30" t="s">
        <v>175</v>
      </c>
    </row>
    <row r="460" spans="1:4" ht="15" customHeight="1">
      <c r="A460" s="26" t="str">
        <f t="shared" si="45"/>
        <v>АСУЭ.SEPAM.stOff</v>
      </c>
      <c r="B460" s="27">
        <v>1</v>
      </c>
      <c r="C460" s="27" t="s">
        <v>1</v>
      </c>
      <c r="D460" s="28">
        <v>11</v>
      </c>
    </row>
    <row r="461" spans="1:4" ht="15" customHeight="1">
      <c r="A461" s="29" t="str">
        <f t="shared" ref="A461:A472" si="46">$R$2&amp;".stOn"</f>
        <v>АСУЭ.SEPAM.stOn</v>
      </c>
      <c r="B461">
        <v>7000000</v>
      </c>
      <c r="C461" t="s">
        <v>6</v>
      </c>
      <c r="D461" s="30">
        <v>1</v>
      </c>
    </row>
    <row r="462" spans="1:4" ht="15" customHeight="1">
      <c r="A462" s="29" t="str">
        <f t="shared" si="46"/>
        <v>АСУЭ.SEPAM.stOn</v>
      </c>
      <c r="B462">
        <v>4000000</v>
      </c>
      <c r="C462" t="s">
        <v>0</v>
      </c>
      <c r="D462" s="685" t="s">
        <v>396</v>
      </c>
    </row>
    <row r="463" spans="1:4" ht="15" customHeight="1">
      <c r="A463" s="100" t="str">
        <f t="shared" si="46"/>
        <v>АСУЭ.SEPAM.stOn</v>
      </c>
      <c r="B463" s="679">
        <v>11154</v>
      </c>
      <c r="C463" s="679" t="s">
        <v>4</v>
      </c>
      <c r="D463" s="536">
        <f>$Q$8</f>
        <v>18</v>
      </c>
    </row>
    <row r="464" spans="1:4" ht="15" customHeight="1">
      <c r="A464" s="100" t="str">
        <f t="shared" si="46"/>
        <v>АСУЭ.SEPAM.stOn</v>
      </c>
      <c r="B464" s="679">
        <v>11150</v>
      </c>
      <c r="C464" s="679" t="s">
        <v>0</v>
      </c>
      <c r="D464" s="103" t="s">
        <v>337</v>
      </c>
    </row>
    <row r="465" spans="1:4" ht="15" customHeight="1">
      <c r="A465" s="100" t="str">
        <f t="shared" si="46"/>
        <v>АСУЭ.SEPAM.stOn</v>
      </c>
      <c r="B465" s="679">
        <v>11152</v>
      </c>
      <c r="C465" s="679" t="s">
        <v>0</v>
      </c>
      <c r="D465" s="103" t="str">
        <f>$R$8</f>
        <v>Телесигнализация</v>
      </c>
    </row>
    <row r="466" spans="1:4" ht="15" customHeight="1">
      <c r="A466" s="100" t="str">
        <f t="shared" si="46"/>
        <v>АСУЭ.SEPAM.stOn</v>
      </c>
      <c r="B466" s="679">
        <v>11000</v>
      </c>
      <c r="C466" s="679" t="s">
        <v>5</v>
      </c>
      <c r="D466" s="103">
        <v>2147483680</v>
      </c>
    </row>
    <row r="467" spans="1:4" ht="15" customHeight="1">
      <c r="A467" s="29" t="str">
        <f t="shared" si="46"/>
        <v>АСУЭ.SEPAM.stOn</v>
      </c>
      <c r="B467">
        <v>7999</v>
      </c>
      <c r="C467" t="s">
        <v>0</v>
      </c>
      <c r="D467" s="30" t="str">
        <f>"#"&amp;$S$2&amp;"#"&amp;$T$2&amp;"."&amp;$P$2&amp;".TS01_16_TS10"</f>
        <v>#3#\\Setup_rza\Modbus.OPCServer\ZRU_Sepam.VV1_Sepam_S82.TS01_16_TS10</v>
      </c>
    </row>
    <row r="468" spans="1:4" ht="15" customHeight="1">
      <c r="A468" s="29" t="str">
        <f t="shared" si="46"/>
        <v>АСУЭ.SEPAM.stOn</v>
      </c>
      <c r="B468">
        <v>7998</v>
      </c>
      <c r="C468" t="s">
        <v>6</v>
      </c>
      <c r="D468" s="30">
        <v>1</v>
      </c>
    </row>
    <row r="469" spans="1:4" ht="15" customHeight="1">
      <c r="A469" s="29" t="str">
        <f t="shared" si="46"/>
        <v>АСУЭ.SEPAM.stOn</v>
      </c>
      <c r="B469">
        <v>101</v>
      </c>
      <c r="C469" t="s">
        <v>0</v>
      </c>
      <c r="D469" s="30" t="s">
        <v>337</v>
      </c>
    </row>
    <row r="470" spans="1:4" ht="15" customHeight="1">
      <c r="A470" s="29" t="str">
        <f t="shared" si="46"/>
        <v>АСУЭ.SEPAM.stOn</v>
      </c>
      <c r="B470">
        <v>3</v>
      </c>
      <c r="C470" t="s">
        <v>1</v>
      </c>
      <c r="D470" s="30">
        <v>192</v>
      </c>
    </row>
    <row r="471" spans="1:4" ht="15" customHeight="1">
      <c r="A471" s="29" t="str">
        <f t="shared" si="46"/>
        <v>АСУЭ.SEPAM.stOn</v>
      </c>
      <c r="B471">
        <v>2</v>
      </c>
      <c r="C471" t="s">
        <v>2</v>
      </c>
      <c r="D471" s="30" t="s">
        <v>175</v>
      </c>
    </row>
    <row r="472" spans="1:4" ht="15" customHeight="1">
      <c r="A472" s="26" t="str">
        <f t="shared" si="46"/>
        <v>АСУЭ.SEPAM.stOn</v>
      </c>
      <c r="B472" s="27">
        <v>1</v>
      </c>
      <c r="C472" s="27" t="s">
        <v>1</v>
      </c>
      <c r="D472" s="28">
        <v>11</v>
      </c>
    </row>
    <row r="473" spans="1:4" ht="15" customHeight="1">
      <c r="A473" s="100" t="str">
        <f t="shared" ref="A473:A482" si="47">$R$2&amp;".stOscilAutoDL"</f>
        <v>АСУЭ.SEPAM.stOscilAutoDL</v>
      </c>
      <c r="B473" s="679">
        <v>11154</v>
      </c>
      <c r="C473" s="679" t="s">
        <v>4</v>
      </c>
      <c r="D473" s="536">
        <f>$Q$8</f>
        <v>18</v>
      </c>
    </row>
    <row r="474" spans="1:4" ht="15" customHeight="1">
      <c r="A474" s="100" t="str">
        <f t="shared" si="47"/>
        <v>АСУЭ.SEPAM.stOscilAutoDL</v>
      </c>
      <c r="B474" s="679">
        <v>11150</v>
      </c>
      <c r="C474" s="679" t="s">
        <v>0</v>
      </c>
      <c r="D474" s="103" t="s">
        <v>1549</v>
      </c>
    </row>
    <row r="475" spans="1:4" ht="15" customHeight="1">
      <c r="A475" s="100" t="str">
        <f t="shared" si="47"/>
        <v>АСУЭ.SEPAM.stOscilAutoDL</v>
      </c>
      <c r="B475" s="679">
        <v>11152</v>
      </c>
      <c r="C475" s="679" t="s">
        <v>0</v>
      </c>
      <c r="D475" s="103" t="str">
        <f>$R$8</f>
        <v>Телесигнализация</v>
      </c>
    </row>
    <row r="476" spans="1:4" ht="15" customHeight="1">
      <c r="A476" s="100" t="str">
        <f t="shared" si="47"/>
        <v>АСУЭ.SEPAM.stOscilAutoDL</v>
      </c>
      <c r="B476" s="679">
        <v>11000</v>
      </c>
      <c r="C476" s="679" t="s">
        <v>5</v>
      </c>
      <c r="D476" s="103">
        <v>2147483680</v>
      </c>
    </row>
    <row r="477" spans="1:4" ht="15" customHeight="1">
      <c r="A477" s="29" t="str">
        <f t="shared" si="47"/>
        <v>АСУЭ.SEPAM.stOscilAutoDL</v>
      </c>
      <c r="B477">
        <v>7999</v>
      </c>
      <c r="C477" t="s">
        <v>0</v>
      </c>
      <c r="D477" s="30" t="str">
        <f>"#"&amp;$S$2&amp;"#"&amp;$T$2&amp;"."&amp;$P$2&amp;".OSCAUTO"</f>
        <v>#3#\\Setup_rza\Modbus.OPCServer\ZRU_Sepam.VV1_Sepam_S82.OSCAUTO</v>
      </c>
    </row>
    <row r="478" spans="1:4" ht="15" customHeight="1">
      <c r="A478" s="29" t="str">
        <f t="shared" si="47"/>
        <v>АСУЭ.SEPAM.stOscilAutoDL</v>
      </c>
      <c r="B478">
        <v>7998</v>
      </c>
      <c r="C478" t="s">
        <v>6</v>
      </c>
      <c r="D478" s="30">
        <v>1</v>
      </c>
    </row>
    <row r="479" spans="1:4" ht="15" customHeight="1">
      <c r="A479" s="29" t="str">
        <f t="shared" si="47"/>
        <v>АСУЭ.SEPAM.stOscilAutoDL</v>
      </c>
      <c r="B479">
        <v>101</v>
      </c>
      <c r="C479" t="s">
        <v>0</v>
      </c>
      <c r="D479" s="30" t="s">
        <v>1549</v>
      </c>
    </row>
    <row r="480" spans="1:4" ht="15" customHeight="1">
      <c r="A480" s="29" t="str">
        <f t="shared" si="47"/>
        <v>АСУЭ.SEPAM.stOscilAutoDL</v>
      </c>
      <c r="B480">
        <v>3</v>
      </c>
      <c r="C480" t="s">
        <v>1</v>
      </c>
      <c r="D480" s="30">
        <v>192</v>
      </c>
    </row>
    <row r="481" spans="1:4" ht="15" customHeight="1">
      <c r="A481" s="29" t="str">
        <f t="shared" si="47"/>
        <v>АСУЭ.SEPAM.stOscilAutoDL</v>
      </c>
      <c r="B481">
        <v>2</v>
      </c>
      <c r="C481" t="s">
        <v>2</v>
      </c>
      <c r="D481" s="30" t="s">
        <v>175</v>
      </c>
    </row>
    <row r="482" spans="1:4" ht="15" customHeight="1">
      <c r="A482" s="26" t="str">
        <f t="shared" si="47"/>
        <v>АСУЭ.SEPAM.stOscilAutoDL</v>
      </c>
      <c r="B482" s="27">
        <v>1</v>
      </c>
      <c r="C482" s="27" t="s">
        <v>1</v>
      </c>
      <c r="D482" s="28">
        <v>11</v>
      </c>
    </row>
    <row r="483" spans="1:4" ht="15" customHeight="1">
      <c r="A483" s="100" t="str">
        <f t="shared" ref="A483:A492" si="48">$R$2&amp;".stAPV_In"</f>
        <v>АСУЭ.SEPAM.stAPV_In</v>
      </c>
      <c r="B483" s="679">
        <v>11154</v>
      </c>
      <c r="C483" s="679" t="s">
        <v>4</v>
      </c>
      <c r="D483" s="536">
        <f>$Q$8</f>
        <v>18</v>
      </c>
    </row>
    <row r="484" spans="1:4" ht="15" customHeight="1">
      <c r="A484" s="100" t="str">
        <f t="shared" si="48"/>
        <v>АСУЭ.SEPAM.stAPV_In</v>
      </c>
      <c r="B484" s="679">
        <v>11152</v>
      </c>
      <c r="C484" s="679" t="s">
        <v>0</v>
      </c>
      <c r="D484" s="103" t="str">
        <f>$R$8</f>
        <v>Телесигнализация</v>
      </c>
    </row>
    <row r="485" spans="1:4" ht="15" customHeight="1">
      <c r="A485" s="100" t="str">
        <f t="shared" si="48"/>
        <v>АСУЭ.SEPAM.stAPV_In</v>
      </c>
      <c r="B485" s="679">
        <v>11150</v>
      </c>
      <c r="C485" s="679" t="s">
        <v>0</v>
      </c>
      <c r="D485" s="103" t="s">
        <v>1505</v>
      </c>
    </row>
    <row r="486" spans="1:4" ht="15" customHeight="1">
      <c r="A486" s="100" t="str">
        <f t="shared" si="48"/>
        <v>АСУЭ.SEPAM.stAPV_In</v>
      </c>
      <c r="B486" s="679">
        <v>11000</v>
      </c>
      <c r="C486" s="679" t="s">
        <v>5</v>
      </c>
      <c r="D486" s="103">
        <v>2147483680</v>
      </c>
    </row>
    <row r="487" spans="1:4" ht="15" customHeight="1">
      <c r="A487" s="29" t="str">
        <f t="shared" si="48"/>
        <v>АСУЭ.SEPAM.stAPV_In</v>
      </c>
      <c r="B487">
        <v>7999</v>
      </c>
      <c r="C487" t="s">
        <v>0</v>
      </c>
      <c r="D487" s="30" t="str">
        <f>"#"&amp;$S$2&amp;"#"&amp;$T$2&amp;"."&amp;$P$2&amp;".TS193_208_TS199"</f>
        <v>#3#\\Setup_rza\Modbus.OPCServer\ZRU_Sepam.VV1_Sepam_S82.TS193_208_TS199</v>
      </c>
    </row>
    <row r="488" spans="1:4" ht="15" customHeight="1">
      <c r="A488" s="29" t="str">
        <f t="shared" si="48"/>
        <v>АСУЭ.SEPAM.stAPV_In</v>
      </c>
      <c r="B488">
        <v>7998</v>
      </c>
      <c r="C488" t="s">
        <v>6</v>
      </c>
      <c r="D488" s="30">
        <v>1</v>
      </c>
    </row>
    <row r="489" spans="1:4" ht="15" customHeight="1">
      <c r="A489" s="29" t="str">
        <f t="shared" si="48"/>
        <v>АСУЭ.SEPAM.stAPV_In</v>
      </c>
      <c r="B489">
        <v>101</v>
      </c>
      <c r="C489" t="s">
        <v>0</v>
      </c>
      <c r="D489" s="30" t="s">
        <v>1505</v>
      </c>
    </row>
    <row r="490" spans="1:4" ht="15" customHeight="1">
      <c r="A490" s="29" t="str">
        <f t="shared" si="48"/>
        <v>АСУЭ.SEPAM.stAPV_In</v>
      </c>
      <c r="B490">
        <v>3</v>
      </c>
      <c r="C490" t="s">
        <v>1</v>
      </c>
      <c r="D490" s="30">
        <v>192</v>
      </c>
    </row>
    <row r="491" spans="1:4" ht="15" customHeight="1">
      <c r="A491" s="29" t="str">
        <f t="shared" si="48"/>
        <v>АСУЭ.SEPAM.stAPV_In</v>
      </c>
      <c r="B491">
        <v>2</v>
      </c>
      <c r="C491" t="s">
        <v>2</v>
      </c>
      <c r="D491" s="30" t="s">
        <v>175</v>
      </c>
    </row>
    <row r="492" spans="1:4" ht="15" customHeight="1">
      <c r="A492" s="26" t="str">
        <f t="shared" si="48"/>
        <v>АСУЭ.SEPAM.stAPV_In</v>
      </c>
      <c r="B492" s="27">
        <v>1</v>
      </c>
      <c r="C492" s="27" t="s">
        <v>1</v>
      </c>
      <c r="D492" s="28">
        <v>11</v>
      </c>
    </row>
    <row r="493" spans="1:4" ht="15" customHeight="1">
      <c r="A493" s="100" t="str">
        <f t="shared" ref="A493:A502" si="49">$R$2&amp;".stAPV_Ready"</f>
        <v>АСУЭ.SEPAM.stAPV_Ready</v>
      </c>
      <c r="B493" s="679">
        <v>11154</v>
      </c>
      <c r="C493" s="679" t="s">
        <v>4</v>
      </c>
      <c r="D493" s="536">
        <f>$Q$8</f>
        <v>18</v>
      </c>
    </row>
    <row r="494" spans="1:4" ht="15" customHeight="1">
      <c r="A494" s="100" t="str">
        <f t="shared" si="49"/>
        <v>АСУЭ.SEPAM.stAPV_Ready</v>
      </c>
      <c r="B494" s="679">
        <v>11150</v>
      </c>
      <c r="C494" s="679" t="s">
        <v>0</v>
      </c>
      <c r="D494" s="103" t="s">
        <v>1518</v>
      </c>
    </row>
    <row r="495" spans="1:4" ht="15" customHeight="1">
      <c r="A495" s="100" t="str">
        <f t="shared" si="49"/>
        <v>АСУЭ.SEPAM.stAPV_Ready</v>
      </c>
      <c r="B495" s="679">
        <v>11152</v>
      </c>
      <c r="C495" s="679" t="s">
        <v>0</v>
      </c>
      <c r="D495" s="103" t="str">
        <f>$R$8</f>
        <v>Телесигнализация</v>
      </c>
    </row>
    <row r="496" spans="1:4" ht="15" customHeight="1">
      <c r="A496" s="100" t="str">
        <f t="shared" si="49"/>
        <v>АСУЭ.SEPAM.stAPV_Ready</v>
      </c>
      <c r="B496" s="679">
        <v>11000</v>
      </c>
      <c r="C496" s="679" t="s">
        <v>5</v>
      </c>
      <c r="D496" s="103">
        <v>2147483680</v>
      </c>
    </row>
    <row r="497" spans="1:4" ht="15" customHeight="1">
      <c r="A497" s="29" t="str">
        <f t="shared" si="49"/>
        <v>АСУЭ.SEPAM.stAPV_Ready</v>
      </c>
      <c r="B497">
        <v>7999</v>
      </c>
      <c r="C497" t="s">
        <v>0</v>
      </c>
      <c r="D497" s="30" t="str">
        <f>"#"&amp;$S$2&amp;"#"&amp;$T$2&amp;"."&amp;$P$2&amp;".TS193_208_TS200"</f>
        <v>#3#\\Setup_rza\Modbus.OPCServer\ZRU_Sepam.VV1_Sepam_S82.TS193_208_TS200</v>
      </c>
    </row>
    <row r="498" spans="1:4" ht="15" customHeight="1">
      <c r="A498" s="29" t="str">
        <f t="shared" si="49"/>
        <v>АСУЭ.SEPAM.stAPV_Ready</v>
      </c>
      <c r="B498">
        <v>7998</v>
      </c>
      <c r="C498" t="s">
        <v>6</v>
      </c>
      <c r="D498" s="30">
        <v>1</v>
      </c>
    </row>
    <row r="499" spans="1:4" ht="15" customHeight="1">
      <c r="A499" s="29" t="str">
        <f t="shared" si="49"/>
        <v>АСУЭ.SEPAM.stAPV_Ready</v>
      </c>
      <c r="B499">
        <v>101</v>
      </c>
      <c r="C499" t="s">
        <v>0</v>
      </c>
      <c r="D499" s="30" t="s">
        <v>1518</v>
      </c>
    </row>
    <row r="500" spans="1:4" ht="15" customHeight="1">
      <c r="A500" s="29" t="str">
        <f t="shared" si="49"/>
        <v>АСУЭ.SEPAM.stAPV_Ready</v>
      </c>
      <c r="B500">
        <v>3</v>
      </c>
      <c r="C500" t="s">
        <v>1</v>
      </c>
      <c r="D500" s="30">
        <v>192</v>
      </c>
    </row>
    <row r="501" spans="1:4" ht="15" customHeight="1">
      <c r="A501" s="29" t="str">
        <f t="shared" si="49"/>
        <v>АСУЭ.SEPAM.stAPV_Ready</v>
      </c>
      <c r="B501">
        <v>2</v>
      </c>
      <c r="C501" t="s">
        <v>2</v>
      </c>
      <c r="D501" s="30" t="s">
        <v>175</v>
      </c>
    </row>
    <row r="502" spans="1:4" ht="15" customHeight="1">
      <c r="A502" s="26" t="str">
        <f t="shared" si="49"/>
        <v>АСУЭ.SEPAM.stAPV_Ready</v>
      </c>
      <c r="B502" s="27">
        <v>1</v>
      </c>
      <c r="C502" s="27" t="s">
        <v>1</v>
      </c>
      <c r="D502" s="28">
        <v>11</v>
      </c>
    </row>
    <row r="503" spans="1:4" ht="15" customHeight="1">
      <c r="A503" s="100" t="str">
        <f t="shared" ref="A503:A512" si="50">$R$2&amp;".stCHAPV_In"</f>
        <v>АСУЭ.SEPAM.stCHAPV_In</v>
      </c>
      <c r="B503" s="679">
        <v>11154</v>
      </c>
      <c r="C503" s="679" t="s">
        <v>4</v>
      </c>
      <c r="D503" s="536">
        <f>$Q$8</f>
        <v>18</v>
      </c>
    </row>
    <row r="504" spans="1:4" ht="15" customHeight="1">
      <c r="A504" s="100" t="str">
        <f t="shared" si="50"/>
        <v>АСУЭ.SEPAM.stCHAPV_In</v>
      </c>
      <c r="B504" s="679">
        <v>11152</v>
      </c>
      <c r="C504" s="679" t="s">
        <v>0</v>
      </c>
      <c r="D504" s="103" t="str">
        <f>$R$8</f>
        <v>Телесигнализация</v>
      </c>
    </row>
    <row r="505" spans="1:4" ht="15" customHeight="1">
      <c r="A505" s="100" t="str">
        <f t="shared" si="50"/>
        <v>АСУЭ.SEPAM.stCHAPV_In</v>
      </c>
      <c r="B505" s="679">
        <v>11150</v>
      </c>
      <c r="C505" s="679" t="s">
        <v>0</v>
      </c>
      <c r="D505" s="103" t="s">
        <v>1508</v>
      </c>
    </row>
    <row r="506" spans="1:4" ht="15" customHeight="1">
      <c r="A506" s="100" t="str">
        <f t="shared" si="50"/>
        <v>АСУЭ.SEPAM.stCHAPV_In</v>
      </c>
      <c r="B506" s="679">
        <v>11000</v>
      </c>
      <c r="C506" s="679" t="s">
        <v>5</v>
      </c>
      <c r="D506" s="103">
        <v>2147483680</v>
      </c>
    </row>
    <row r="507" spans="1:4" ht="15" customHeight="1">
      <c r="A507" s="29" t="str">
        <f t="shared" si="50"/>
        <v>АСУЭ.SEPAM.stCHAPV_In</v>
      </c>
      <c r="B507">
        <v>7999</v>
      </c>
      <c r="C507" t="s">
        <v>0</v>
      </c>
      <c r="D507" s="30" t="str">
        <f>"#"&amp;$S$2&amp;"#"&amp;$T$2&amp;"."&amp;$P$2&amp;".TS209_224_TS220"</f>
        <v>#3#\\Setup_rza\Modbus.OPCServer\ZRU_Sepam.VV1_Sepam_S82.TS209_224_TS220</v>
      </c>
    </row>
    <row r="508" spans="1:4" ht="15" customHeight="1">
      <c r="A508" s="29" t="str">
        <f t="shared" si="50"/>
        <v>АСУЭ.SEPAM.stCHAPV_In</v>
      </c>
      <c r="B508">
        <v>7998</v>
      </c>
      <c r="C508" t="s">
        <v>6</v>
      </c>
      <c r="D508" s="30">
        <v>1</v>
      </c>
    </row>
    <row r="509" spans="1:4" ht="15" customHeight="1">
      <c r="A509" s="29" t="str">
        <f t="shared" si="50"/>
        <v>АСУЭ.SEPAM.stCHAPV_In</v>
      </c>
      <c r="B509">
        <v>101</v>
      </c>
      <c r="C509" t="s">
        <v>0</v>
      </c>
      <c r="D509" s="30" t="s">
        <v>1508</v>
      </c>
    </row>
    <row r="510" spans="1:4" ht="15" customHeight="1">
      <c r="A510" s="29" t="str">
        <f t="shared" si="50"/>
        <v>АСУЭ.SEPAM.stCHAPV_In</v>
      </c>
      <c r="B510">
        <v>3</v>
      </c>
      <c r="C510" t="s">
        <v>1</v>
      </c>
      <c r="D510" s="30">
        <v>192</v>
      </c>
    </row>
    <row r="511" spans="1:4" ht="15" customHeight="1">
      <c r="A511" s="29" t="str">
        <f t="shared" si="50"/>
        <v>АСУЭ.SEPAM.stCHAPV_In</v>
      </c>
      <c r="B511">
        <v>2</v>
      </c>
      <c r="C511" t="s">
        <v>2</v>
      </c>
      <c r="D511" s="30" t="s">
        <v>175</v>
      </c>
    </row>
    <row r="512" spans="1:4" ht="15" customHeight="1">
      <c r="A512" s="26" t="str">
        <f t="shared" si="50"/>
        <v>АСУЭ.SEPAM.stCHAPV_In</v>
      </c>
      <c r="B512" s="27">
        <v>1</v>
      </c>
      <c r="C512" s="27" t="s">
        <v>1</v>
      </c>
      <c r="D512" s="28">
        <v>11</v>
      </c>
    </row>
    <row r="513" spans="1:4" ht="15" customHeight="1">
      <c r="A513" s="100" t="str">
        <f t="shared" ref="A513:A522" si="51">$R$2&amp;".stDisTeleregul"</f>
        <v>АСУЭ.SEPAM.stDisTeleregul</v>
      </c>
      <c r="B513" s="679">
        <v>11154</v>
      </c>
      <c r="C513" s="679" t="s">
        <v>4</v>
      </c>
      <c r="D513" s="536">
        <f>$Q$8</f>
        <v>18</v>
      </c>
    </row>
    <row r="514" spans="1:4" ht="15" customHeight="1">
      <c r="A514" s="100" t="str">
        <f t="shared" si="51"/>
        <v>АСУЭ.SEPAM.stDisTeleregul</v>
      </c>
      <c r="B514" s="679">
        <v>11152</v>
      </c>
      <c r="C514" s="679" t="s">
        <v>0</v>
      </c>
      <c r="D514" s="103" t="str">
        <f>$R$8</f>
        <v>Телесигнализация</v>
      </c>
    </row>
    <row r="515" spans="1:4" ht="15" customHeight="1">
      <c r="A515" s="100" t="str">
        <f t="shared" si="51"/>
        <v>АСУЭ.SEPAM.stDisTeleregul</v>
      </c>
      <c r="B515" s="679">
        <v>11150</v>
      </c>
      <c r="C515" s="679" t="s">
        <v>0</v>
      </c>
      <c r="D515" s="103" t="s">
        <v>1550</v>
      </c>
    </row>
    <row r="516" spans="1:4" ht="15" customHeight="1">
      <c r="A516" s="100" t="str">
        <f t="shared" si="51"/>
        <v>АСУЭ.SEPAM.stDisTeleregul</v>
      </c>
      <c r="B516" s="679">
        <v>11000</v>
      </c>
      <c r="C516" s="679" t="s">
        <v>5</v>
      </c>
      <c r="D516" s="103">
        <v>2147483680</v>
      </c>
    </row>
    <row r="517" spans="1:4" ht="15" customHeight="1">
      <c r="A517" s="29" t="str">
        <f t="shared" si="51"/>
        <v>АСУЭ.SEPAM.stDisTeleregul</v>
      </c>
      <c r="B517">
        <v>7999</v>
      </c>
      <c r="C517" t="s">
        <v>0</v>
      </c>
      <c r="D517" s="30" t="str">
        <f>"#"&amp;$S$2&amp;"#"&amp;$T$2&amp;"."&amp;$P$2&amp;".TS49_64_TS51"</f>
        <v>#3#\\Setup_rza\Modbus.OPCServer\ZRU_Sepam.VV1_Sepam_S82.TS49_64_TS51</v>
      </c>
    </row>
    <row r="518" spans="1:4" ht="15" customHeight="1">
      <c r="A518" s="29" t="str">
        <f t="shared" si="51"/>
        <v>АСУЭ.SEPAM.stDisTeleregul</v>
      </c>
      <c r="B518">
        <v>7998</v>
      </c>
      <c r="C518" t="s">
        <v>6</v>
      </c>
      <c r="D518" s="30">
        <v>1</v>
      </c>
    </row>
    <row r="519" spans="1:4" ht="15" customHeight="1">
      <c r="A519" s="29" t="str">
        <f t="shared" si="51"/>
        <v>АСУЭ.SEPAM.stDisTeleregul</v>
      </c>
      <c r="B519">
        <v>101</v>
      </c>
      <c r="C519" t="s">
        <v>0</v>
      </c>
      <c r="D519" s="30" t="s">
        <v>1550</v>
      </c>
    </row>
    <row r="520" spans="1:4" ht="15" customHeight="1">
      <c r="A520" s="29" t="str">
        <f t="shared" si="51"/>
        <v>АСУЭ.SEPAM.stDisTeleregul</v>
      </c>
      <c r="B520">
        <v>3</v>
      </c>
      <c r="C520" t="s">
        <v>1</v>
      </c>
      <c r="D520" s="30">
        <v>192</v>
      </c>
    </row>
    <row r="521" spans="1:4" ht="15" customHeight="1">
      <c r="A521" s="29" t="str">
        <f t="shared" si="51"/>
        <v>АСУЭ.SEPAM.stDisTeleregul</v>
      </c>
      <c r="B521">
        <v>2</v>
      </c>
      <c r="C521" t="s">
        <v>2</v>
      </c>
      <c r="D521" s="30" t="s">
        <v>175</v>
      </c>
    </row>
    <row r="522" spans="1:4" ht="15" customHeight="1">
      <c r="A522" s="26" t="str">
        <f t="shared" si="51"/>
        <v>АСУЭ.SEPAM.stDisTeleregul</v>
      </c>
      <c r="B522" s="27">
        <v>1</v>
      </c>
      <c r="C522" s="27" t="s">
        <v>1</v>
      </c>
      <c r="D522" s="28">
        <v>11</v>
      </c>
    </row>
    <row r="523" spans="1:4" ht="15" customHeight="1">
      <c r="A523" s="100" t="str">
        <f t="shared" ref="A523:A532" si="52">$R$2&amp;".stCtrlCircuitOn"</f>
        <v>АСУЭ.SEPAM.stCtrlCircuitOn</v>
      </c>
      <c r="B523" s="679">
        <v>11154</v>
      </c>
      <c r="C523" s="679" t="s">
        <v>4</v>
      </c>
      <c r="D523" s="536">
        <f>$Q$8</f>
        <v>18</v>
      </c>
    </row>
    <row r="524" spans="1:4" ht="15" customHeight="1">
      <c r="A524" s="100" t="str">
        <f t="shared" si="52"/>
        <v>АСУЭ.SEPAM.stCtrlCircuitOn</v>
      </c>
      <c r="B524" s="679">
        <v>11152</v>
      </c>
      <c r="C524" s="679" t="s">
        <v>0</v>
      </c>
      <c r="D524" s="103" t="str">
        <f>$R$8</f>
        <v>Телесигнализация</v>
      </c>
    </row>
    <row r="525" spans="1:4" ht="15" customHeight="1">
      <c r="A525" s="100" t="str">
        <f t="shared" si="52"/>
        <v>АСУЭ.SEPAM.stCtrlCircuitOn</v>
      </c>
      <c r="B525" s="679">
        <v>11150</v>
      </c>
      <c r="C525" s="679" t="s">
        <v>0</v>
      </c>
      <c r="D525" s="103" t="s">
        <v>1509</v>
      </c>
    </row>
    <row r="526" spans="1:4" ht="15" customHeight="1">
      <c r="A526" s="100" t="str">
        <f t="shared" si="52"/>
        <v>АСУЭ.SEPAM.stCtrlCircuitOn</v>
      </c>
      <c r="B526" s="679">
        <v>11000</v>
      </c>
      <c r="C526" s="679" t="s">
        <v>5</v>
      </c>
      <c r="D526" s="103">
        <v>2147483680</v>
      </c>
    </row>
    <row r="527" spans="1:4" ht="15" customHeight="1">
      <c r="A527" s="29" t="str">
        <f t="shared" si="52"/>
        <v>АСУЭ.SEPAM.stCtrlCircuitOn</v>
      </c>
      <c r="B527">
        <v>7999</v>
      </c>
      <c r="C527" t="s">
        <v>0</v>
      </c>
      <c r="D527" s="30" t="str">
        <f>"#"&amp;$S$2&amp;"#"&amp;$T$2&amp;"."&amp;$P$2&amp;".TS225_240_TS233"</f>
        <v>#3#\\Setup_rza\Modbus.OPCServer\ZRU_Sepam.VV1_Sepam_S82.TS225_240_TS233</v>
      </c>
    </row>
    <row r="528" spans="1:4" ht="15" customHeight="1">
      <c r="A528" s="29" t="str">
        <f t="shared" si="52"/>
        <v>АСУЭ.SEPAM.stCtrlCircuitOn</v>
      </c>
      <c r="B528">
        <v>7998</v>
      </c>
      <c r="C528" t="s">
        <v>6</v>
      </c>
      <c r="D528" s="30">
        <v>1</v>
      </c>
    </row>
    <row r="529" spans="1:4" ht="15" customHeight="1">
      <c r="A529" s="29" t="str">
        <f t="shared" si="52"/>
        <v>АСУЭ.SEPAM.stCtrlCircuitOn</v>
      </c>
      <c r="B529">
        <v>101</v>
      </c>
      <c r="C529" t="s">
        <v>0</v>
      </c>
      <c r="D529" s="30" t="s">
        <v>1509</v>
      </c>
    </row>
    <row r="530" spans="1:4" ht="15" customHeight="1">
      <c r="A530" s="29" t="str">
        <f t="shared" si="52"/>
        <v>АСУЭ.SEPAM.stCtrlCircuitOn</v>
      </c>
      <c r="B530">
        <v>3</v>
      </c>
      <c r="C530" t="s">
        <v>1</v>
      </c>
      <c r="D530" s="30">
        <v>192</v>
      </c>
    </row>
    <row r="531" spans="1:4" ht="15" customHeight="1">
      <c r="A531" s="29" t="str">
        <f t="shared" si="52"/>
        <v>АСУЭ.SEPAM.stCtrlCircuitOn</v>
      </c>
      <c r="B531">
        <v>2</v>
      </c>
      <c r="C531" t="s">
        <v>2</v>
      </c>
      <c r="D531" s="30" t="s">
        <v>175</v>
      </c>
    </row>
    <row r="532" spans="1:4" ht="15" customHeight="1">
      <c r="A532" s="26" t="str">
        <f t="shared" si="52"/>
        <v>АСУЭ.SEPAM.stCtrlCircuitOn</v>
      </c>
      <c r="B532" s="27">
        <v>1</v>
      </c>
      <c r="C532" s="27" t="s">
        <v>1</v>
      </c>
      <c r="D532" s="28">
        <v>11</v>
      </c>
    </row>
    <row r="533" spans="1:4" ht="15" customHeight="1">
      <c r="A533" s="100" t="str">
        <f t="shared" ref="A533:A538" si="53">$R$2&amp;".stOscilStatus"</f>
        <v>АСУЭ.SEPAM.stOscilStatus</v>
      </c>
      <c r="B533" s="679">
        <v>7999</v>
      </c>
      <c r="C533" s="679" t="s">
        <v>0</v>
      </c>
      <c r="D533" s="103" t="str">
        <f>"#"&amp;$S$2&amp;"#"&amp;$T$2&amp;"."&amp;$P$2&amp;".OSCStatus"</f>
        <v>#3#\\Setup_rza\Modbus.OPCServer\ZRU_Sepam.VV1_Sepam_S82.OSCStatus</v>
      </c>
    </row>
    <row r="534" spans="1:4" ht="15" customHeight="1">
      <c r="A534" s="100" t="str">
        <f t="shared" si="53"/>
        <v>АСУЭ.SEPAM.stOscilStatus</v>
      </c>
      <c r="B534" s="679">
        <v>7998</v>
      </c>
      <c r="C534" s="679" t="s">
        <v>6</v>
      </c>
      <c r="D534" s="103">
        <v>1</v>
      </c>
    </row>
    <row r="535" spans="1:4" ht="15" customHeight="1">
      <c r="A535" s="29" t="str">
        <f t="shared" si="53"/>
        <v>АСУЭ.SEPAM.stOscilStatus</v>
      </c>
      <c r="B535">
        <v>101</v>
      </c>
      <c r="C535" t="s">
        <v>0</v>
      </c>
      <c r="D535" s="30" t="s">
        <v>1551</v>
      </c>
    </row>
    <row r="536" spans="1:4" ht="15" customHeight="1">
      <c r="A536" s="29" t="str">
        <f t="shared" si="53"/>
        <v>АСУЭ.SEPAM.stOscilStatus</v>
      </c>
      <c r="B536">
        <v>3</v>
      </c>
      <c r="C536" t="s">
        <v>1</v>
      </c>
      <c r="D536" s="30">
        <v>192</v>
      </c>
    </row>
    <row r="537" spans="1:4" ht="15" customHeight="1">
      <c r="A537" s="29" t="str">
        <f t="shared" si="53"/>
        <v>АСУЭ.SEPAM.stOscilStatus</v>
      </c>
      <c r="B537">
        <v>2</v>
      </c>
      <c r="C537" t="s">
        <v>0</v>
      </c>
      <c r="D537" s="30">
        <v>0</v>
      </c>
    </row>
    <row r="538" spans="1:4" ht="15" customHeight="1">
      <c r="A538" s="26" t="str">
        <f t="shared" si="53"/>
        <v>АСУЭ.SEPAM.stOscilStatus</v>
      </c>
      <c r="B538" s="27">
        <v>1</v>
      </c>
      <c r="C538" s="27" t="s">
        <v>1</v>
      </c>
      <c r="D538" s="28">
        <v>8</v>
      </c>
    </row>
    <row r="539" spans="1:4" ht="15" customHeight="1">
      <c r="A539" s="23" t="str">
        <f t="shared" ref="A539:A546" si="54">$R$2&amp;".Commands.coRepair"</f>
        <v>АСУЭ.SEPAM.Commands.coRepair</v>
      </c>
      <c r="B539" s="24">
        <v>7011</v>
      </c>
      <c r="C539" s="24" t="s">
        <v>2</v>
      </c>
      <c r="D539" s="25" t="s">
        <v>266</v>
      </c>
    </row>
    <row r="540" spans="1:4" ht="15" customHeight="1">
      <c r="A540" s="140" t="str">
        <f t="shared" si="54"/>
        <v>АСУЭ.SEPAM.Commands.coRepair</v>
      </c>
      <c r="B540" s="687">
        <v>11152</v>
      </c>
      <c r="C540" s="687" t="s">
        <v>0</v>
      </c>
      <c r="D540" s="142" t="str">
        <f>$R$11</f>
        <v>Ремонт</v>
      </c>
    </row>
    <row r="541" spans="1:4" ht="15" customHeight="1">
      <c r="A541" s="140" t="str">
        <f t="shared" si="54"/>
        <v>АСУЭ.SEPAM.Commands.coRepair</v>
      </c>
      <c r="B541" s="687">
        <v>11154</v>
      </c>
      <c r="C541" s="687" t="s">
        <v>4</v>
      </c>
      <c r="D541" s="142">
        <f>$Q$11</f>
        <v>14</v>
      </c>
    </row>
    <row r="542" spans="1:4" ht="15" customHeight="1">
      <c r="A542" s="140" t="str">
        <f t="shared" si="54"/>
        <v>АСУЭ.SEPAM.Commands.coRepair</v>
      </c>
      <c r="B542" s="687">
        <v>11150</v>
      </c>
      <c r="C542" s="687" t="s">
        <v>0</v>
      </c>
      <c r="D542" s="142" t="s">
        <v>89</v>
      </c>
    </row>
    <row r="543" spans="1:4" ht="15" customHeight="1">
      <c r="A543" s="140" t="str">
        <f t="shared" si="54"/>
        <v>АСУЭ.SEPAM.Commands.coRepair</v>
      </c>
      <c r="B543" s="687">
        <v>11000</v>
      </c>
      <c r="C543" s="687" t="s">
        <v>5</v>
      </c>
      <c r="D543" s="142">
        <v>2147483680</v>
      </c>
    </row>
    <row r="544" spans="1:4" ht="15" customHeight="1">
      <c r="A544" s="29" t="str">
        <f t="shared" si="54"/>
        <v>АСУЭ.SEPAM.Commands.coRepair</v>
      </c>
      <c r="B544">
        <v>1</v>
      </c>
      <c r="C544" t="s">
        <v>1</v>
      </c>
      <c r="D544" s="30">
        <v>11</v>
      </c>
    </row>
    <row r="545" spans="1:4" ht="15" customHeight="1">
      <c r="A545" s="29" t="str">
        <f t="shared" si="54"/>
        <v>АСУЭ.SEPAM.Commands.coRepair</v>
      </c>
      <c r="B545">
        <v>4000000</v>
      </c>
      <c r="C545" t="s">
        <v>0</v>
      </c>
      <c r="D545" s="415" t="s">
        <v>2678</v>
      </c>
    </row>
    <row r="546" spans="1:4" ht="15" customHeight="1">
      <c r="A546" s="26" t="str">
        <f t="shared" si="54"/>
        <v>АСУЭ.SEPAM.Commands.coRepair</v>
      </c>
      <c r="B546" s="27">
        <v>7000000</v>
      </c>
      <c r="C546" s="27" t="s">
        <v>6</v>
      </c>
      <c r="D546" s="28">
        <v>2</v>
      </c>
    </row>
    <row r="547" spans="1:4" ht="15" customHeight="1">
      <c r="A547" s="29" t="str">
        <f>$R$2&amp;".Commands.coResetMaxS"</f>
        <v>АСУЭ.SEPAM.Commands.coResetMaxS</v>
      </c>
      <c r="B547">
        <v>101</v>
      </c>
      <c r="C547" t="s">
        <v>0</v>
      </c>
      <c r="D547" s="30" t="s">
        <v>381</v>
      </c>
    </row>
    <row r="548" spans="1:4" ht="15" customHeight="1">
      <c r="A548" s="29" t="str">
        <f>$R$2&amp;".Commands.coResetMaxS"</f>
        <v>АСУЭ.SEPAM.Commands.coResetMaxS</v>
      </c>
      <c r="B548">
        <v>7999</v>
      </c>
      <c r="C548" t="s">
        <v>0</v>
      </c>
      <c r="D548" s="30" t="str">
        <f>"#"&amp;$S$2&amp;"#"&amp;$T$2&amp;"."&amp;$P$2&amp;".Commands.TC5"</f>
        <v>#3#\\Setup_rza\Modbus.OPCServer\ZRU_Sepam.VV1_Sepam_S82.Commands.TC5</v>
      </c>
    </row>
    <row r="549" spans="1:4" ht="15" customHeight="1">
      <c r="A549" s="29" t="str">
        <f>$R$2&amp;".Commands.coResetMaxS"</f>
        <v>АСУЭ.SEPAM.Commands.coResetMaxS</v>
      </c>
      <c r="B549">
        <v>7998</v>
      </c>
      <c r="C549" t="s">
        <v>6</v>
      </c>
      <c r="D549" s="30">
        <v>2</v>
      </c>
    </row>
    <row r="550" spans="1:4" ht="15" customHeight="1">
      <c r="A550" s="26" t="str">
        <f>$R$2&amp;".Commands.coResetMaxS"</f>
        <v>АСУЭ.SEPAM.Commands.coResetMaxS</v>
      </c>
      <c r="B550" s="27">
        <v>1</v>
      </c>
      <c r="C550" s="27" t="s">
        <v>1</v>
      </c>
      <c r="D550" s="28">
        <v>11</v>
      </c>
    </row>
    <row r="551" spans="1:4" ht="15" customHeight="1">
      <c r="A551" s="23" t="str">
        <f>$R$2&amp;".Commands.coResetMaxI"</f>
        <v>АСУЭ.SEPAM.Commands.coResetMaxI</v>
      </c>
      <c r="B551" s="24">
        <v>7999</v>
      </c>
      <c r="C551" s="24" t="s">
        <v>0</v>
      </c>
      <c r="D551" s="25" t="str">
        <f>"#"&amp;$S$2&amp;"#"&amp;$T$2&amp;"."&amp;$P$2&amp;".Commands.TC4"</f>
        <v>#3#\\Setup_rza\Modbus.OPCServer\ZRU_Sepam.VV1_Sepam_S82.Commands.TC4</v>
      </c>
    </row>
    <row r="552" spans="1:4" ht="15" customHeight="1">
      <c r="A552" s="29" t="str">
        <f>$R$2&amp;".Commands.coResetMaxI"</f>
        <v>АСУЭ.SEPAM.Commands.coResetMaxI</v>
      </c>
      <c r="B552">
        <v>7998</v>
      </c>
      <c r="C552" t="s">
        <v>6</v>
      </c>
      <c r="D552" s="30">
        <v>2</v>
      </c>
    </row>
    <row r="553" spans="1:4" ht="15" customHeight="1">
      <c r="A553" s="29" t="str">
        <f>$R$2&amp;".Commands.coResetMaxI"</f>
        <v>АСУЭ.SEPAM.Commands.coResetMaxI</v>
      </c>
      <c r="B553">
        <v>101</v>
      </c>
      <c r="C553" t="s">
        <v>0</v>
      </c>
      <c r="D553" s="30" t="s">
        <v>382</v>
      </c>
    </row>
    <row r="554" spans="1:4" ht="15" customHeight="1">
      <c r="A554" s="26" t="str">
        <f>$R$2&amp;".Commands.coResetMaxI"</f>
        <v>АСУЭ.SEPAM.Commands.coResetMaxI</v>
      </c>
      <c r="B554" s="27">
        <v>1</v>
      </c>
      <c r="C554" s="27" t="s">
        <v>1</v>
      </c>
      <c r="D554" s="28">
        <v>11</v>
      </c>
    </row>
    <row r="555" spans="1:4" ht="15" customHeight="1">
      <c r="A555" s="23" t="str">
        <f>$R$2&amp;".Commands.coOscilAllow"</f>
        <v>АСУЭ.SEPAM.Commands.coOscilAllow</v>
      </c>
      <c r="B555" s="24">
        <v>7999</v>
      </c>
      <c r="C555" s="24" t="s">
        <v>0</v>
      </c>
      <c r="D555" s="25" t="str">
        <f>"#"&amp;$S$2&amp;"#"&amp;$T$2&amp;"."&amp;$P$2&amp;".Commands.TC19"</f>
        <v>#3#\\Setup_rza\Modbus.OPCServer\ZRU_Sepam.VV1_Sepam_S82.Commands.TC19</v>
      </c>
    </row>
    <row r="556" spans="1:4" ht="15" customHeight="1">
      <c r="A556" s="29" t="str">
        <f>$R$2&amp;".Commands.coOscilAllow"</f>
        <v>АСУЭ.SEPAM.Commands.coOscilAllow</v>
      </c>
      <c r="B556">
        <v>7998</v>
      </c>
      <c r="C556" t="s">
        <v>6</v>
      </c>
      <c r="D556" s="30">
        <v>2</v>
      </c>
    </row>
    <row r="557" spans="1:4" ht="15" customHeight="1">
      <c r="A557" s="29" t="str">
        <f>$R$2&amp;".Commands.coOscilAllow"</f>
        <v>АСУЭ.SEPAM.Commands.coOscilAllow</v>
      </c>
      <c r="B557">
        <v>101</v>
      </c>
      <c r="C557" t="s">
        <v>0</v>
      </c>
      <c r="D557" s="30" t="s">
        <v>1552</v>
      </c>
    </row>
    <row r="558" spans="1:4" ht="15" customHeight="1">
      <c r="A558" s="26" t="str">
        <f>$R$2&amp;".Commands.coOscilAllow"</f>
        <v>АСУЭ.SEPAM.Commands.coOscilAllow</v>
      </c>
      <c r="B558" s="27">
        <v>1</v>
      </c>
      <c r="C558" s="27" t="s">
        <v>1</v>
      </c>
      <c r="D558" s="28">
        <v>11</v>
      </c>
    </row>
    <row r="559" spans="1:4" ht="15" customHeight="1">
      <c r="A559" s="29" t="str">
        <f>$R$2&amp;".Commands.coOscilBlock"</f>
        <v>АСУЭ.SEPAM.Commands.coOscilBlock</v>
      </c>
      <c r="B559">
        <v>7999</v>
      </c>
      <c r="C559" t="s">
        <v>0</v>
      </c>
      <c r="D559" s="30" t="str">
        <f>"#"&amp;$S$2&amp;"#"&amp;$T$2&amp;"."&amp;$P$2&amp;".Commands.TC18"</f>
        <v>#3#\\Setup_rza\Modbus.OPCServer\ZRU_Sepam.VV1_Sepam_S82.Commands.TC18</v>
      </c>
    </row>
    <row r="560" spans="1:4" ht="15" customHeight="1">
      <c r="A560" s="29" t="str">
        <f>$R$2&amp;".Commands.coOscilBlock"</f>
        <v>АСУЭ.SEPAM.Commands.coOscilBlock</v>
      </c>
      <c r="B560">
        <v>7998</v>
      </c>
      <c r="C560" t="s">
        <v>6</v>
      </c>
      <c r="D560" s="30">
        <v>2</v>
      </c>
    </row>
    <row r="561" spans="1:4" ht="15" customHeight="1">
      <c r="A561" s="29" t="str">
        <f>$R$2&amp;".Commands.coOscilBlock"</f>
        <v>АСУЭ.SEPAM.Commands.coOscilBlock</v>
      </c>
      <c r="B561">
        <v>101</v>
      </c>
      <c r="C561" t="s">
        <v>0</v>
      </c>
      <c r="D561" s="30" t="s">
        <v>1553</v>
      </c>
    </row>
    <row r="562" spans="1:4" ht="15" customHeight="1">
      <c r="A562" s="26" t="str">
        <f>$R$2&amp;".Commands.coOscilBlock"</f>
        <v>АСУЭ.SEPAM.Commands.coOscilBlock</v>
      </c>
      <c r="B562" s="27">
        <v>1</v>
      </c>
      <c r="C562" s="27" t="s">
        <v>1</v>
      </c>
      <c r="D562" s="28">
        <v>11</v>
      </c>
    </row>
    <row r="563" spans="1:4" ht="15" customHeight="1">
      <c r="A563" s="29" t="str">
        <f>$R$2&amp;".Commands.coOscilMan"</f>
        <v>АСУЭ.SEPAM.Commands.coOscilMan</v>
      </c>
      <c r="B563">
        <v>7999</v>
      </c>
      <c r="C563" t="s">
        <v>0</v>
      </c>
      <c r="D563" s="30" t="str">
        <f>"#"&amp;$S$2&amp;"#"&amp;$T$2&amp;"."&amp;$P$2&amp;".Commands.TC20"</f>
        <v>#3#\\Setup_rza\Modbus.OPCServer\ZRU_Sepam.VV1_Sepam_S82.Commands.TC20</v>
      </c>
    </row>
    <row r="564" spans="1:4" ht="15" customHeight="1">
      <c r="A564" s="29" t="str">
        <f>$R$2&amp;".Commands.coOscilMan"</f>
        <v>АСУЭ.SEPAM.Commands.coOscilMan</v>
      </c>
      <c r="B564">
        <v>7998</v>
      </c>
      <c r="C564" t="s">
        <v>6</v>
      </c>
      <c r="D564" s="30">
        <v>2</v>
      </c>
    </row>
    <row r="565" spans="1:4" ht="15" customHeight="1">
      <c r="A565" s="29" t="str">
        <f>$R$2&amp;".Commands.coOscilMan"</f>
        <v>АСУЭ.SEPAM.Commands.coOscilMan</v>
      </c>
      <c r="B565">
        <v>101</v>
      </c>
      <c r="C565" t="s">
        <v>0</v>
      </c>
      <c r="D565" s="30" t="s">
        <v>1554</v>
      </c>
    </row>
    <row r="566" spans="1:4" ht="15" customHeight="1">
      <c r="A566" s="29" t="str">
        <f>$R$2&amp;".Commands.coOscilMan"</f>
        <v>АСУЭ.SEPAM.Commands.coOscilMan</v>
      </c>
      <c r="B566">
        <v>1</v>
      </c>
      <c r="C566" t="s">
        <v>1</v>
      </c>
      <c r="D566" s="30">
        <v>11</v>
      </c>
    </row>
    <row r="567" spans="1:4" ht="15" customHeight="1">
      <c r="A567" s="23" t="str">
        <f t="shared" ref="A567:A572" si="55">$R$2&amp;".Commands.coOn"</f>
        <v>АСУЭ.SEPAM.Commands.coOn</v>
      </c>
      <c r="B567" s="24">
        <v>7000000</v>
      </c>
      <c r="C567" s="24" t="s">
        <v>6</v>
      </c>
      <c r="D567" s="25">
        <v>0</v>
      </c>
    </row>
    <row r="568" spans="1:4" ht="15" customHeight="1">
      <c r="A568" s="29" t="str">
        <f t="shared" si="55"/>
        <v>АСУЭ.SEPAM.Commands.coOn</v>
      </c>
      <c r="B568">
        <v>4000000</v>
      </c>
      <c r="C568" t="s">
        <v>0</v>
      </c>
      <c r="D568" s="30" t="s">
        <v>2682</v>
      </c>
    </row>
    <row r="569" spans="1:4" ht="15" customHeight="1">
      <c r="A569" s="29" t="str">
        <f t="shared" si="55"/>
        <v>АСУЭ.SEPAM.Commands.coOn</v>
      </c>
      <c r="B569">
        <v>101</v>
      </c>
      <c r="C569" t="s">
        <v>0</v>
      </c>
      <c r="D569" s="30" t="s">
        <v>383</v>
      </c>
    </row>
    <row r="570" spans="1:4" ht="15" customHeight="1">
      <c r="A570" s="29" t="str">
        <f t="shared" si="55"/>
        <v>АСУЭ.SEPAM.Commands.coOn</v>
      </c>
      <c r="B570">
        <v>7999</v>
      </c>
      <c r="C570" t="s">
        <v>0</v>
      </c>
      <c r="D570" s="30" t="str">
        <f>"#"&amp;$S$2&amp;"#"&amp;$T$2&amp;"."&amp;$P$2&amp;".Commands.TC2"</f>
        <v>#3#\\Setup_rza\Modbus.OPCServer\ZRU_Sepam.VV1_Sepam_S82.Commands.TC2</v>
      </c>
    </row>
    <row r="571" spans="1:4" ht="15" customHeight="1">
      <c r="A571" s="29" t="str">
        <f t="shared" si="55"/>
        <v>АСУЭ.SEPAM.Commands.coOn</v>
      </c>
      <c r="B571">
        <v>7998</v>
      </c>
      <c r="C571" t="s">
        <v>6</v>
      </c>
      <c r="D571" s="30">
        <v>2</v>
      </c>
    </row>
    <row r="572" spans="1:4" ht="15" customHeight="1">
      <c r="A572" s="26" t="str">
        <f t="shared" si="55"/>
        <v>АСУЭ.SEPAM.Commands.coOn</v>
      </c>
      <c r="B572" s="27">
        <v>1</v>
      </c>
      <c r="C572" s="27" t="s">
        <v>1</v>
      </c>
      <c r="D572" s="28">
        <v>11</v>
      </c>
    </row>
    <row r="573" spans="1:4" ht="15" customHeight="1">
      <c r="A573" s="29" t="str">
        <f t="shared" ref="A573:A578" si="56">$R$2&amp;".Commands.coOff"</f>
        <v>АСУЭ.SEPAM.Commands.coOff</v>
      </c>
      <c r="B573" s="24">
        <v>7000000</v>
      </c>
      <c r="C573" s="24" t="s">
        <v>6</v>
      </c>
      <c r="D573" s="25">
        <v>0</v>
      </c>
    </row>
    <row r="574" spans="1:4" ht="15" customHeight="1">
      <c r="A574" s="29" t="str">
        <f t="shared" si="56"/>
        <v>АСУЭ.SEPAM.Commands.coOff</v>
      </c>
      <c r="B574">
        <v>4000000</v>
      </c>
      <c r="C574" t="s">
        <v>0</v>
      </c>
      <c r="D574" s="30" t="s">
        <v>2683</v>
      </c>
    </row>
    <row r="575" spans="1:4" ht="15" customHeight="1">
      <c r="A575" s="29" t="str">
        <f t="shared" si="56"/>
        <v>АСУЭ.SEPAM.Commands.coOff</v>
      </c>
      <c r="B575">
        <v>101</v>
      </c>
      <c r="C575" t="s">
        <v>0</v>
      </c>
      <c r="D575" s="30" t="s">
        <v>384</v>
      </c>
    </row>
    <row r="576" spans="1:4" ht="15" customHeight="1">
      <c r="A576" s="29" t="str">
        <f t="shared" si="56"/>
        <v>АСУЭ.SEPAM.Commands.coOff</v>
      </c>
      <c r="B576">
        <v>7999</v>
      </c>
      <c r="C576" t="s">
        <v>0</v>
      </c>
      <c r="D576" s="30" t="str">
        <f>"#"&amp;$S$2&amp;"#"&amp;$T$2&amp;"."&amp;$P$2&amp;".Commands.TC1"</f>
        <v>#3#\\Setup_rza\Modbus.OPCServer\ZRU_Sepam.VV1_Sepam_S82.Commands.TC1</v>
      </c>
    </row>
    <row r="577" spans="1:4" ht="15" customHeight="1">
      <c r="A577" s="29" t="str">
        <f t="shared" si="56"/>
        <v>АСУЭ.SEPAM.Commands.coOff</v>
      </c>
      <c r="B577">
        <v>7998</v>
      </c>
      <c r="C577" t="s">
        <v>6</v>
      </c>
      <c r="D577" s="30">
        <v>2</v>
      </c>
    </row>
    <row r="578" spans="1:4" ht="15" customHeight="1">
      <c r="A578" s="29" t="str">
        <f t="shared" si="56"/>
        <v>АСУЭ.SEPAM.Commands.coOff</v>
      </c>
      <c r="B578">
        <v>1</v>
      </c>
      <c r="C578" t="s">
        <v>1</v>
      </c>
      <c r="D578" s="30">
        <v>11</v>
      </c>
    </row>
    <row r="579" spans="1:4" ht="15" customHeight="1">
      <c r="A579" s="23" t="str">
        <f t="shared" ref="A579:A584" si="57">$R$2&amp;".Commands.coRst"</f>
        <v>АСУЭ.SEPAM.Commands.coRst</v>
      </c>
      <c r="B579" s="24">
        <v>7000000</v>
      </c>
      <c r="C579" s="24" t="s">
        <v>6</v>
      </c>
      <c r="D579" s="25">
        <v>0</v>
      </c>
    </row>
    <row r="580" spans="1:4" ht="15" customHeight="1">
      <c r="A580" s="29" t="str">
        <f t="shared" si="57"/>
        <v>АСУЭ.SEPAM.Commands.coRst</v>
      </c>
      <c r="B580">
        <v>4000000</v>
      </c>
      <c r="C580" t="s">
        <v>0</v>
      </c>
      <c r="D580" s="30" t="s">
        <v>385</v>
      </c>
    </row>
    <row r="581" spans="1:4" ht="15" customHeight="1">
      <c r="A581" s="29" t="str">
        <f t="shared" si="57"/>
        <v>АСУЭ.SEPAM.Commands.coRst</v>
      </c>
      <c r="B581">
        <v>101</v>
      </c>
      <c r="C581" t="s">
        <v>0</v>
      </c>
      <c r="D581" s="30" t="s">
        <v>386</v>
      </c>
    </row>
    <row r="582" spans="1:4" ht="15" customHeight="1">
      <c r="A582" s="29" t="str">
        <f t="shared" si="57"/>
        <v>АСУЭ.SEPAM.Commands.coRst</v>
      </c>
      <c r="B582">
        <v>7999</v>
      </c>
      <c r="C582" t="s">
        <v>0</v>
      </c>
      <c r="D582" s="30" t="str">
        <f>"#"&amp;$S$2&amp;"#"&amp;$T$2&amp;"."&amp;$P$2&amp;".Commands.TC3"</f>
        <v>#3#\\Setup_rza\Modbus.OPCServer\ZRU_Sepam.VV1_Sepam_S82.Commands.TC3</v>
      </c>
    </row>
    <row r="583" spans="1:4" ht="15" customHeight="1">
      <c r="A583" s="29" t="str">
        <f t="shared" si="57"/>
        <v>АСУЭ.SEPAM.Commands.coRst</v>
      </c>
      <c r="B583">
        <v>7998</v>
      </c>
      <c r="C583" t="s">
        <v>6</v>
      </c>
      <c r="D583" s="30">
        <v>2</v>
      </c>
    </row>
    <row r="584" spans="1:4" ht="15" customHeight="1">
      <c r="A584" s="29" t="str">
        <f t="shared" si="57"/>
        <v>АСУЭ.SEPAM.Commands.coRst</v>
      </c>
      <c r="B584">
        <v>1</v>
      </c>
      <c r="C584" t="s">
        <v>1</v>
      </c>
      <c r="D584" s="30">
        <v>11</v>
      </c>
    </row>
    <row r="585" spans="1:4" ht="15" customHeight="1">
      <c r="A585" s="23" t="str">
        <f t="shared" ref="A585:A590" si="58">$R$2&amp;".Commands.coRst2"</f>
        <v>АСУЭ.SEPAM.Commands.coRst2</v>
      </c>
      <c r="B585" s="24">
        <v>7000000</v>
      </c>
      <c r="C585" s="24" t="s">
        <v>6</v>
      </c>
      <c r="D585" s="25">
        <v>0</v>
      </c>
    </row>
    <row r="586" spans="1:4" ht="15" customHeight="1">
      <c r="A586" s="29" t="str">
        <f t="shared" si="58"/>
        <v>АСУЭ.SEPAM.Commands.coRst2</v>
      </c>
      <c r="B586">
        <v>4000000</v>
      </c>
      <c r="C586" t="s">
        <v>0</v>
      </c>
      <c r="D586" s="30" t="s">
        <v>385</v>
      </c>
    </row>
    <row r="587" spans="1:4" ht="15" customHeight="1">
      <c r="A587" s="29" t="str">
        <f t="shared" si="58"/>
        <v>АСУЭ.SEPAM.Commands.coRst2</v>
      </c>
      <c r="B587">
        <v>101</v>
      </c>
      <c r="C587" t="s">
        <v>0</v>
      </c>
      <c r="D587" s="30" t="s">
        <v>386</v>
      </c>
    </row>
    <row r="588" spans="1:4" ht="15" customHeight="1">
      <c r="A588" s="29" t="str">
        <f t="shared" si="58"/>
        <v>АСУЭ.SEPAM.Commands.coRst2</v>
      </c>
      <c r="B588">
        <v>7999</v>
      </c>
      <c r="C588" t="s">
        <v>0</v>
      </c>
      <c r="D588" s="30" t="str">
        <f>"#"&amp;$S$2&amp;"#"&amp;$T$2&amp;"."&amp;$P$2&amp;".Commands.TC3"</f>
        <v>#3#\\Setup_rza\Modbus.OPCServer\ZRU_Sepam.VV1_Sepam_S82.Commands.TC3</v>
      </c>
    </row>
    <row r="589" spans="1:4" ht="15" customHeight="1">
      <c r="A589" s="29" t="str">
        <f t="shared" si="58"/>
        <v>АСУЭ.SEPAM.Commands.coRst2</v>
      </c>
      <c r="B589">
        <v>7998</v>
      </c>
      <c r="C589" t="s">
        <v>6</v>
      </c>
      <c r="D589" s="30">
        <v>2</v>
      </c>
    </row>
    <row r="590" spans="1:4" ht="15" customHeight="1">
      <c r="A590" s="29" t="str">
        <f t="shared" si="58"/>
        <v>АСУЭ.SEPAM.Commands.coRst2</v>
      </c>
      <c r="B590">
        <v>1</v>
      </c>
      <c r="C590" t="s">
        <v>1</v>
      </c>
      <c r="D590" s="30">
        <v>11</v>
      </c>
    </row>
    <row r="591" spans="1:4" ht="15" customHeight="1">
      <c r="A591" s="23" t="str">
        <f t="shared" ref="A591:A596" si="59">$R$2&amp;".Commands.coReadCountTrips"</f>
        <v>АСУЭ.SEPAM.Commands.coReadCountTrips</v>
      </c>
      <c r="B591" s="24">
        <v>7000000</v>
      </c>
      <c r="C591" s="24" t="s">
        <v>6</v>
      </c>
      <c r="D591" s="25">
        <v>0</v>
      </c>
    </row>
    <row r="592" spans="1:4" ht="15" customHeight="1">
      <c r="A592" s="29" t="str">
        <f t="shared" si="59"/>
        <v>АСУЭ.SEPAM.Commands.coReadCountTrips</v>
      </c>
      <c r="B592">
        <v>4000000</v>
      </c>
      <c r="C592" t="s">
        <v>0</v>
      </c>
      <c r="D592" s="30"/>
    </row>
    <row r="593" spans="1:4" ht="15" customHeight="1">
      <c r="A593" s="29" t="str">
        <f t="shared" si="59"/>
        <v>АСУЭ.SEPAM.Commands.coReadCountTrips</v>
      </c>
      <c r="B593">
        <v>101</v>
      </c>
      <c r="C593" t="s">
        <v>0</v>
      </c>
      <c r="D593" s="30" t="s">
        <v>1555</v>
      </c>
    </row>
    <row r="594" spans="1:4" ht="15" customHeight="1">
      <c r="A594" s="29" t="str">
        <f t="shared" si="59"/>
        <v>АСУЭ.SEPAM.Commands.coReadCountTrips</v>
      </c>
      <c r="B594">
        <v>7999</v>
      </c>
      <c r="C594" t="s">
        <v>0</v>
      </c>
      <c r="D594" s="30" t="str">
        <f>"#"&amp;$S$2&amp;"#"&amp;$T$2&amp;"."&amp;$P$2&amp;".Commands.ReadZone8"</f>
        <v>#3#\\Setup_rza\Modbus.OPCServer\ZRU_Sepam.VV1_Sepam_S82.Commands.ReadZone8</v>
      </c>
    </row>
    <row r="595" spans="1:4" ht="15" customHeight="1">
      <c r="A595" s="29" t="str">
        <f t="shared" si="59"/>
        <v>АСУЭ.SEPAM.Commands.coReadCountTrips</v>
      </c>
      <c r="B595">
        <v>7998</v>
      </c>
      <c r="C595" t="s">
        <v>6</v>
      </c>
      <c r="D595" s="30">
        <v>2</v>
      </c>
    </row>
    <row r="596" spans="1:4" ht="15" customHeight="1">
      <c r="A596" s="29" t="str">
        <f t="shared" si="59"/>
        <v>АСУЭ.SEPAM.Commands.coReadCountTrips</v>
      </c>
      <c r="B596">
        <v>1</v>
      </c>
      <c r="C596" t="s">
        <v>1</v>
      </c>
      <c r="D596" s="30">
        <v>11</v>
      </c>
    </row>
    <row r="597" spans="1:4" ht="15" customHeight="1">
      <c r="A597" s="294" t="str">
        <f>$R$2&amp;".Commands.smCntSumOff"</f>
        <v>АСУЭ.SEPAM.Commands.smCntSumOff</v>
      </c>
      <c r="B597" s="295">
        <v>7011</v>
      </c>
      <c r="C597" s="295" t="s">
        <v>2</v>
      </c>
      <c r="D597" s="296" t="s">
        <v>266</v>
      </c>
    </row>
    <row r="598" spans="1:4" ht="15" customHeight="1">
      <c r="A598" s="288" t="str">
        <f>$R$2&amp;".Commands.smCntSumOff"</f>
        <v>АСУЭ.SEPAM.Commands.smCntSumOff</v>
      </c>
      <c r="B598" s="514">
        <v>101</v>
      </c>
      <c r="C598" s="514" t="s">
        <v>0</v>
      </c>
      <c r="D598" s="290" t="s">
        <v>351</v>
      </c>
    </row>
    <row r="599" spans="1:4" ht="15" customHeight="1">
      <c r="A599" s="291" t="str">
        <f>$R$2&amp;".Commands.smCntSumOff"</f>
        <v>АСУЭ.SEPAM.Commands.smCntSumOff</v>
      </c>
      <c r="B599" s="292">
        <v>1</v>
      </c>
      <c r="C599" s="292" t="s">
        <v>1</v>
      </c>
      <c r="D599" s="293">
        <v>3</v>
      </c>
    </row>
    <row r="600" spans="1:4" ht="15" customHeight="1">
      <c r="A600" s="294" t="str">
        <f>$R$2&amp;".Commands.smCntSumOffI"</f>
        <v>АСУЭ.SEPAM.Commands.smCntSumOffI</v>
      </c>
      <c r="B600" s="295">
        <v>7011</v>
      </c>
      <c r="C600" s="295" t="s">
        <v>2</v>
      </c>
      <c r="D600" s="296" t="s">
        <v>266</v>
      </c>
    </row>
    <row r="601" spans="1:4" ht="15" customHeight="1">
      <c r="A601" s="288" t="str">
        <f>$R$2&amp;".Commands.smCntSumOffI"</f>
        <v>АСУЭ.SEPAM.Commands.smCntSumOffI</v>
      </c>
      <c r="B601" s="514">
        <v>101</v>
      </c>
      <c r="C601" s="514" t="s">
        <v>0</v>
      </c>
      <c r="D601" s="290" t="s">
        <v>353</v>
      </c>
    </row>
    <row r="602" spans="1:4" ht="15" customHeight="1">
      <c r="A602" s="291" t="str">
        <f>$R$2&amp;".Commands.smCntSumOffI"</f>
        <v>АСУЭ.SEPAM.Commands.smCntSumOffI</v>
      </c>
      <c r="B602" s="292">
        <v>1</v>
      </c>
      <c r="C602" s="292" t="s">
        <v>1</v>
      </c>
      <c r="D602" s="293">
        <v>3</v>
      </c>
    </row>
    <row r="603" spans="1:4" ht="15" customHeight="1">
      <c r="A603" s="294" t="str">
        <f>$R$2&amp;".Commands.smCntSumOffIKZ"</f>
        <v>АСУЭ.SEPAM.Commands.smCntSumOffIKZ</v>
      </c>
      <c r="B603" s="295">
        <v>7011</v>
      </c>
      <c r="C603" s="295" t="s">
        <v>2</v>
      </c>
      <c r="D603" s="296" t="s">
        <v>266</v>
      </c>
    </row>
    <row r="604" spans="1:4" ht="15" customHeight="1">
      <c r="A604" s="288" t="str">
        <f>$R$2&amp;".Commands.smCntSumOffIKZ"</f>
        <v>АСУЭ.SEPAM.Commands.smCntSumOffIKZ</v>
      </c>
      <c r="B604" s="514">
        <v>101</v>
      </c>
      <c r="C604" s="514" t="s">
        <v>0</v>
      </c>
      <c r="D604" s="290" t="s">
        <v>354</v>
      </c>
    </row>
    <row r="605" spans="1:4" ht="15" customHeight="1">
      <c r="A605" s="291" t="str">
        <f>$R$2&amp;".Commands.smCntSumOffIKZ"</f>
        <v>АСУЭ.SEPAM.Commands.smCntSumOffIKZ</v>
      </c>
      <c r="B605" s="292">
        <v>1</v>
      </c>
      <c r="C605" s="292" t="s">
        <v>1</v>
      </c>
      <c r="D605" s="293">
        <v>3</v>
      </c>
    </row>
    <row r="606" spans="1:4" ht="15" customHeight="1">
      <c r="A606" s="294" t="str">
        <f t="shared" ref="A606:A611" si="60">$R$2&amp;".mCntSumOff"</f>
        <v>АСУЭ.SEPAM.mCntSumOff</v>
      </c>
      <c r="B606" s="295">
        <v>7999</v>
      </c>
      <c r="C606" s="295" t="s">
        <v>0</v>
      </c>
      <c r="D606" s="296" t="str">
        <f>"#"&amp;$S$2&amp;"#"&amp;$T$2&amp;"."&amp;$P$2&amp;".CommCnt"</f>
        <v>#3#\\Setup_rza\Modbus.OPCServer\ZRU_Sepam.VV1_Sepam_S82.CommCnt</v>
      </c>
    </row>
    <row r="607" spans="1:4" ht="15" customHeight="1">
      <c r="A607" s="288" t="str">
        <f t="shared" si="60"/>
        <v>АСУЭ.SEPAM.mCntSumOff</v>
      </c>
      <c r="B607" s="514">
        <v>7998</v>
      </c>
      <c r="C607" s="514" t="s">
        <v>6</v>
      </c>
      <c r="D607" s="290">
        <v>1</v>
      </c>
    </row>
    <row r="608" spans="1:4" ht="15" customHeight="1">
      <c r="A608" s="288" t="str">
        <f t="shared" si="60"/>
        <v>АСУЭ.SEPAM.mCntSumOff</v>
      </c>
      <c r="B608" s="514">
        <v>101</v>
      </c>
      <c r="C608" s="514" t="s">
        <v>0</v>
      </c>
      <c r="D608" s="290" t="s">
        <v>343</v>
      </c>
    </row>
    <row r="609" spans="1:4" ht="15" customHeight="1">
      <c r="A609" s="288" t="str">
        <f t="shared" si="60"/>
        <v>АСУЭ.SEPAM.mCntSumOff</v>
      </c>
      <c r="B609" s="514">
        <v>3</v>
      </c>
      <c r="C609" s="514" t="s">
        <v>1</v>
      </c>
      <c r="D609" s="290">
        <v>192</v>
      </c>
    </row>
    <row r="610" spans="1:4" ht="15" customHeight="1">
      <c r="A610" s="288" t="str">
        <f t="shared" si="60"/>
        <v>АСУЭ.SEPAM.mCntSumOff</v>
      </c>
      <c r="B610" s="514">
        <v>2</v>
      </c>
      <c r="C610" s="514" t="s">
        <v>6</v>
      </c>
      <c r="D610" s="290">
        <v>0</v>
      </c>
    </row>
    <row r="611" spans="1:4" ht="15" customHeight="1">
      <c r="A611" s="291" t="str">
        <f t="shared" si="60"/>
        <v>АСУЭ.SEPAM.mCntSumOff</v>
      </c>
      <c r="B611" s="292">
        <v>1</v>
      </c>
      <c r="C611" s="292" t="s">
        <v>1</v>
      </c>
      <c r="D611" s="293">
        <v>3</v>
      </c>
    </row>
    <row r="612" spans="1:4" ht="15" customHeight="1">
      <c r="A612" s="294" t="str">
        <f t="shared" ref="A612:A617" si="61">$R$2&amp;".mCntSumOffI"</f>
        <v>АСУЭ.SEPAM.mCntSumOffI</v>
      </c>
      <c r="B612" s="295">
        <v>7999</v>
      </c>
      <c r="C612" s="295" t="s">
        <v>0</v>
      </c>
      <c r="D612" s="296" t="str">
        <f>"#"&amp;$S$2&amp;"#"&amp;$T$2&amp;"."&amp;$P$2&amp;".Trip_I_Cnt"</f>
        <v>#3#\\Setup_rza\Modbus.OPCServer\ZRU_Sepam.VV1_Sepam_S82.Trip_I_Cnt</v>
      </c>
    </row>
    <row r="613" spans="1:4" ht="15" customHeight="1">
      <c r="A613" s="288" t="str">
        <f t="shared" si="61"/>
        <v>АСУЭ.SEPAM.mCntSumOffI</v>
      </c>
      <c r="B613" s="514">
        <v>7998</v>
      </c>
      <c r="C613" s="514" t="s">
        <v>6</v>
      </c>
      <c r="D613" s="290">
        <v>1</v>
      </c>
    </row>
    <row r="614" spans="1:4" ht="15" customHeight="1">
      <c r="A614" s="288" t="str">
        <f t="shared" si="61"/>
        <v>АСУЭ.SEPAM.mCntSumOffI</v>
      </c>
      <c r="B614" s="514">
        <v>101</v>
      </c>
      <c r="C614" s="514" t="s">
        <v>0</v>
      </c>
      <c r="D614" s="290" t="s">
        <v>344</v>
      </c>
    </row>
    <row r="615" spans="1:4" ht="15" customHeight="1">
      <c r="A615" s="288" t="str">
        <f t="shared" si="61"/>
        <v>АСУЭ.SEPAM.mCntSumOffI</v>
      </c>
      <c r="B615" s="514">
        <v>3</v>
      </c>
      <c r="C615" s="514" t="s">
        <v>1</v>
      </c>
      <c r="D615" s="290">
        <v>192</v>
      </c>
    </row>
    <row r="616" spans="1:4" ht="15" customHeight="1">
      <c r="A616" s="288" t="str">
        <f t="shared" si="61"/>
        <v>АСУЭ.SEPAM.mCntSumOffI</v>
      </c>
      <c r="B616" s="514">
        <v>2</v>
      </c>
      <c r="C616" s="514" t="s">
        <v>6</v>
      </c>
      <c r="D616" s="290">
        <v>0</v>
      </c>
    </row>
    <row r="617" spans="1:4" ht="15" customHeight="1">
      <c r="A617" s="291" t="str">
        <f t="shared" si="61"/>
        <v>АСУЭ.SEPAM.mCntSumOffI</v>
      </c>
      <c r="B617" s="292">
        <v>1</v>
      </c>
      <c r="C617" s="292" t="s">
        <v>1</v>
      </c>
      <c r="D617" s="293">
        <v>3</v>
      </c>
    </row>
    <row r="618" spans="1:4" ht="15" customHeight="1">
      <c r="A618" s="294" t="str">
        <f t="shared" ref="A618:A623" si="62">$R$2&amp;".mCntSumOffIKZ"</f>
        <v>АСУЭ.SEPAM.mCntSumOffIKZ</v>
      </c>
      <c r="B618" s="295">
        <v>7999</v>
      </c>
      <c r="C618" s="295" t="s">
        <v>0</v>
      </c>
      <c r="D618" s="296" t="str">
        <f>"#"&amp;$S$2&amp;"#"&amp;$T$2&amp;"."&amp;$P$2&amp;".Trip_Ikz_Cnt"</f>
        <v>#3#\\Setup_rza\Modbus.OPCServer\ZRU_Sepam.VV1_Sepam_S82.Trip_Ikz_Cnt</v>
      </c>
    </row>
    <row r="619" spans="1:4" ht="15" customHeight="1">
      <c r="A619" s="288" t="str">
        <f t="shared" si="62"/>
        <v>АСУЭ.SEPAM.mCntSumOffIKZ</v>
      </c>
      <c r="B619" s="514">
        <v>7998</v>
      </c>
      <c r="C619" s="514" t="s">
        <v>6</v>
      </c>
      <c r="D619" s="290">
        <v>1</v>
      </c>
    </row>
    <row r="620" spans="1:4" ht="15" customHeight="1">
      <c r="A620" s="288" t="str">
        <f t="shared" si="62"/>
        <v>АСУЭ.SEPAM.mCntSumOffIKZ</v>
      </c>
      <c r="B620" s="514">
        <v>101</v>
      </c>
      <c r="C620" s="514" t="s">
        <v>0</v>
      </c>
      <c r="D620" s="290" t="s">
        <v>345</v>
      </c>
    </row>
    <row r="621" spans="1:4" ht="15" customHeight="1">
      <c r="A621" s="288" t="str">
        <f t="shared" si="62"/>
        <v>АСУЭ.SEPAM.mCntSumOffIKZ</v>
      </c>
      <c r="B621" s="514">
        <v>3</v>
      </c>
      <c r="C621" s="514" t="s">
        <v>1</v>
      </c>
      <c r="D621" s="290">
        <v>192</v>
      </c>
    </row>
    <row r="622" spans="1:4" ht="15" customHeight="1">
      <c r="A622" s="288" t="str">
        <f t="shared" si="62"/>
        <v>АСУЭ.SEPAM.mCntSumOffIKZ</v>
      </c>
      <c r="B622" s="514">
        <v>2</v>
      </c>
      <c r="C622" s="514" t="s">
        <v>6</v>
      </c>
      <c r="D622" s="290">
        <v>0</v>
      </c>
    </row>
    <row r="623" spans="1:4" ht="15" customHeight="1">
      <c r="A623" s="291" t="str">
        <f t="shared" si="62"/>
        <v>АСУЭ.SEPAM.mCntSumOffIKZ</v>
      </c>
      <c r="B623" s="292">
        <v>1</v>
      </c>
      <c r="C623" s="292" t="s">
        <v>1</v>
      </c>
      <c r="D623" s="293">
        <v>3</v>
      </c>
    </row>
    <row r="624" spans="1:4" ht="15" customHeight="1">
      <c r="A624" s="294" t="str">
        <f t="shared" ref="A624:A629" si="63">$R$2&amp;".mEaMinus"</f>
        <v>АСУЭ.SEPAM.mEaMinus</v>
      </c>
      <c r="B624" s="295">
        <v>7999</v>
      </c>
      <c r="C624" s="295" t="s">
        <v>0</v>
      </c>
      <c r="D624" s="296" t="str">
        <f>"#"&amp;$S$2&amp;"#"&amp;$T$2&amp;"."&amp;$P$2&amp;".Ea-"</f>
        <v>#3#\\Setup_rza\Modbus.OPCServer\ZRU_Sepam.VV1_Sepam_S82.Ea-</v>
      </c>
    </row>
    <row r="625" spans="1:4" ht="15" customHeight="1">
      <c r="A625" s="288" t="str">
        <f t="shared" si="63"/>
        <v>АСУЭ.SEPAM.mEaMinus</v>
      </c>
      <c r="B625" s="514">
        <v>7998</v>
      </c>
      <c r="C625" s="514" t="s">
        <v>6</v>
      </c>
      <c r="D625" s="290">
        <v>1</v>
      </c>
    </row>
    <row r="626" spans="1:4" ht="15" customHeight="1">
      <c r="A626" s="288" t="str">
        <f t="shared" si="63"/>
        <v>АСУЭ.SEPAM.mEaMinus</v>
      </c>
      <c r="B626" s="514">
        <v>101</v>
      </c>
      <c r="C626" s="514" t="s">
        <v>0</v>
      </c>
      <c r="D626" s="290" t="s">
        <v>347</v>
      </c>
    </row>
    <row r="627" spans="1:4" ht="15" customHeight="1">
      <c r="A627" s="288" t="str">
        <f t="shared" si="63"/>
        <v>АСУЭ.SEPAM.mEaMinus</v>
      </c>
      <c r="B627" s="514">
        <v>3</v>
      </c>
      <c r="C627" s="514" t="s">
        <v>1</v>
      </c>
      <c r="D627" s="290">
        <v>192</v>
      </c>
    </row>
    <row r="628" spans="1:4" ht="15" customHeight="1">
      <c r="A628" s="288" t="str">
        <f t="shared" si="63"/>
        <v>АСУЭ.SEPAM.mEaMinus</v>
      </c>
      <c r="B628" s="514">
        <v>2</v>
      </c>
      <c r="C628" s="514" t="s">
        <v>6</v>
      </c>
      <c r="D628" s="290">
        <v>0</v>
      </c>
    </row>
    <row r="629" spans="1:4" ht="15" customHeight="1">
      <c r="A629" s="291" t="str">
        <f t="shared" si="63"/>
        <v>АСУЭ.SEPAM.mEaMinus</v>
      </c>
      <c r="B629" s="292">
        <v>1</v>
      </c>
      <c r="C629" s="292" t="s">
        <v>1</v>
      </c>
      <c r="D629" s="293">
        <v>3</v>
      </c>
    </row>
    <row r="630" spans="1:4" ht="15" customHeight="1">
      <c r="A630" s="294" t="str">
        <f t="shared" ref="A630:A635" si="64">$R$2&amp;".mEaPlus"</f>
        <v>АСУЭ.SEPAM.mEaPlus</v>
      </c>
      <c r="B630" s="295">
        <v>7999</v>
      </c>
      <c r="C630" s="295" t="s">
        <v>0</v>
      </c>
      <c r="D630" s="296" t="str">
        <f>"#"&amp;$S$2&amp;"#"&amp;$T$2&amp;"."&amp;$P$2&amp;".Ea+"</f>
        <v>#3#\\Setup_rza\Modbus.OPCServer\ZRU_Sepam.VV1_Sepam_S82.Ea+</v>
      </c>
    </row>
    <row r="631" spans="1:4" ht="15" customHeight="1">
      <c r="A631" s="288" t="str">
        <f t="shared" si="64"/>
        <v>АСУЭ.SEPAM.mEaPlus</v>
      </c>
      <c r="B631" s="514">
        <v>7998</v>
      </c>
      <c r="C631" s="514" t="s">
        <v>6</v>
      </c>
      <c r="D631" s="290">
        <v>1</v>
      </c>
    </row>
    <row r="632" spans="1:4" ht="15" customHeight="1">
      <c r="A632" s="288" t="str">
        <f t="shared" si="64"/>
        <v>АСУЭ.SEPAM.mEaPlus</v>
      </c>
      <c r="B632" s="514">
        <v>101</v>
      </c>
      <c r="C632" s="514" t="s">
        <v>0</v>
      </c>
      <c r="D632" s="290" t="s">
        <v>346</v>
      </c>
    </row>
    <row r="633" spans="1:4" ht="15" customHeight="1">
      <c r="A633" s="288" t="str">
        <f t="shared" si="64"/>
        <v>АСУЭ.SEPAM.mEaPlus</v>
      </c>
      <c r="B633" s="514">
        <v>3</v>
      </c>
      <c r="C633" s="514" t="s">
        <v>1</v>
      </c>
      <c r="D633" s="290">
        <v>192</v>
      </c>
    </row>
    <row r="634" spans="1:4" ht="15" customHeight="1">
      <c r="A634" s="288" t="str">
        <f t="shared" si="64"/>
        <v>АСУЭ.SEPAM.mEaPlus</v>
      </c>
      <c r="B634" s="514">
        <v>2</v>
      </c>
      <c r="C634" s="514" t="s">
        <v>6</v>
      </c>
      <c r="D634" s="290">
        <v>0</v>
      </c>
    </row>
    <row r="635" spans="1:4" ht="15" customHeight="1">
      <c r="A635" s="291" t="str">
        <f t="shared" si="64"/>
        <v>АСУЭ.SEPAM.mEaPlus</v>
      </c>
      <c r="B635" s="292">
        <v>1</v>
      </c>
      <c r="C635" s="292" t="s">
        <v>1</v>
      </c>
      <c r="D635" s="293">
        <v>3</v>
      </c>
    </row>
    <row r="636" spans="1:4" ht="15" customHeight="1">
      <c r="A636" s="294" t="str">
        <f t="shared" ref="A636:A641" si="65">$R$2&amp;".mErMinus"</f>
        <v>АСУЭ.SEPAM.mErMinus</v>
      </c>
      <c r="B636" s="295">
        <v>7999</v>
      </c>
      <c r="C636" s="295" t="s">
        <v>0</v>
      </c>
      <c r="D636" s="296" t="str">
        <f>"#"&amp;$S$2&amp;"#"&amp;$T$2&amp;"."&amp;$P$2&amp;".Er-"</f>
        <v>#3#\\Setup_rza\Modbus.OPCServer\ZRU_Sepam.VV1_Sepam_S82.Er-</v>
      </c>
    </row>
    <row r="637" spans="1:4" ht="15" customHeight="1">
      <c r="A637" s="288" t="str">
        <f t="shared" si="65"/>
        <v>АСУЭ.SEPAM.mErMinus</v>
      </c>
      <c r="B637" s="514">
        <v>7998</v>
      </c>
      <c r="C637" s="514" t="s">
        <v>6</v>
      </c>
      <c r="D637" s="290">
        <v>1</v>
      </c>
    </row>
    <row r="638" spans="1:4" ht="15" customHeight="1">
      <c r="A638" s="288" t="str">
        <f t="shared" si="65"/>
        <v>АСУЭ.SEPAM.mErMinus</v>
      </c>
      <c r="B638" s="514">
        <v>101</v>
      </c>
      <c r="C638" s="514" t="s">
        <v>0</v>
      </c>
      <c r="D638" s="290" t="s">
        <v>349</v>
      </c>
    </row>
    <row r="639" spans="1:4" ht="15" customHeight="1">
      <c r="A639" s="288" t="str">
        <f t="shared" si="65"/>
        <v>АСУЭ.SEPAM.mErMinus</v>
      </c>
      <c r="B639" s="514">
        <v>3</v>
      </c>
      <c r="C639" s="514" t="s">
        <v>1</v>
      </c>
      <c r="D639" s="290">
        <v>192</v>
      </c>
    </row>
    <row r="640" spans="1:4" ht="15" customHeight="1">
      <c r="A640" s="288" t="str">
        <f t="shared" si="65"/>
        <v>АСУЭ.SEPAM.mErMinus</v>
      </c>
      <c r="B640" s="514">
        <v>2</v>
      </c>
      <c r="C640" s="514" t="s">
        <v>6</v>
      </c>
      <c r="D640" s="290">
        <v>0</v>
      </c>
    </row>
    <row r="641" spans="1:4" ht="15" customHeight="1">
      <c r="A641" s="291" t="str">
        <f t="shared" si="65"/>
        <v>АСУЭ.SEPAM.mErMinus</v>
      </c>
      <c r="B641" s="292">
        <v>1</v>
      </c>
      <c r="C641" s="292" t="s">
        <v>1</v>
      </c>
      <c r="D641" s="293">
        <v>3</v>
      </c>
    </row>
    <row r="642" spans="1:4" ht="15" customHeight="1">
      <c r="A642" s="294" t="str">
        <f t="shared" ref="A642:A647" si="66">$R$2&amp;".mErPlus"</f>
        <v>АСУЭ.SEPAM.mErPlus</v>
      </c>
      <c r="B642" s="295">
        <v>7999</v>
      </c>
      <c r="C642" s="295" t="s">
        <v>0</v>
      </c>
      <c r="D642" s="296" t="str">
        <f>"#"&amp;$S$2&amp;"#"&amp;$T$2&amp;"."&amp;$P$2&amp;".Er+"</f>
        <v>#3#\\Setup_rza\Modbus.OPCServer\ZRU_Sepam.VV1_Sepam_S82.Er+</v>
      </c>
    </row>
    <row r="643" spans="1:4" ht="15" customHeight="1">
      <c r="A643" s="288" t="str">
        <f t="shared" si="66"/>
        <v>АСУЭ.SEPAM.mErPlus</v>
      </c>
      <c r="B643" s="514">
        <v>7998</v>
      </c>
      <c r="C643" s="514" t="s">
        <v>6</v>
      </c>
      <c r="D643" s="290">
        <v>1</v>
      </c>
    </row>
    <row r="644" spans="1:4" ht="15" customHeight="1">
      <c r="A644" s="288" t="str">
        <f t="shared" si="66"/>
        <v>АСУЭ.SEPAM.mErPlus</v>
      </c>
      <c r="B644" s="514">
        <v>101</v>
      </c>
      <c r="C644" s="514" t="s">
        <v>0</v>
      </c>
      <c r="D644" s="290" t="s">
        <v>348</v>
      </c>
    </row>
    <row r="645" spans="1:4" ht="15" customHeight="1">
      <c r="A645" s="288" t="str">
        <f t="shared" si="66"/>
        <v>АСУЭ.SEPAM.mErPlus</v>
      </c>
      <c r="B645" s="514">
        <v>3</v>
      </c>
      <c r="C645" s="514" t="s">
        <v>1</v>
      </c>
      <c r="D645" s="290">
        <v>192</v>
      </c>
    </row>
    <row r="646" spans="1:4" ht="15" customHeight="1">
      <c r="A646" s="288" t="str">
        <f t="shared" si="66"/>
        <v>АСУЭ.SEPAM.mErPlus</v>
      </c>
      <c r="B646" s="514">
        <v>2</v>
      </c>
      <c r="C646" s="514" t="s">
        <v>6</v>
      </c>
      <c r="D646" s="290">
        <v>0</v>
      </c>
    </row>
    <row r="647" spans="1:4" ht="15" customHeight="1">
      <c r="A647" s="291" t="str">
        <f t="shared" si="66"/>
        <v>АСУЭ.SEPAM.mErPlus</v>
      </c>
      <c r="B647" s="292">
        <v>1</v>
      </c>
      <c r="C647" s="292" t="s">
        <v>1</v>
      </c>
      <c r="D647" s="293">
        <v>3</v>
      </c>
    </row>
    <row r="648" spans="1:4" ht="15" customHeight="1">
      <c r="A648" s="288" t="str">
        <f>$R$2&amp;".smCntSumOff"</f>
        <v>АСУЭ.SEPAM.smCntSumOff</v>
      </c>
      <c r="B648" s="514">
        <v>3000000</v>
      </c>
      <c r="C648" s="514" t="s">
        <v>0</v>
      </c>
      <c r="D648" s="290" t="s">
        <v>350</v>
      </c>
    </row>
    <row r="649" spans="1:4" ht="15" customHeight="1">
      <c r="A649" s="288" t="str">
        <f>$R$2&amp;".smCntSumOff"</f>
        <v>АСУЭ.SEPAM.smCntSumOff</v>
      </c>
      <c r="B649" s="514">
        <v>101</v>
      </c>
      <c r="C649" s="514" t="s">
        <v>0</v>
      </c>
      <c r="D649" s="290" t="s">
        <v>351</v>
      </c>
    </row>
    <row r="650" spans="1:4" ht="15" customHeight="1">
      <c r="A650" s="288" t="str">
        <f>$R$2&amp;".smCntSumOff"</f>
        <v>АСУЭ.SEPAM.smCntSumOff</v>
      </c>
      <c r="B650" s="514">
        <v>3</v>
      </c>
      <c r="C650" s="514" t="s">
        <v>1</v>
      </c>
      <c r="D650" s="290">
        <v>192</v>
      </c>
    </row>
    <row r="651" spans="1:4" ht="15" customHeight="1">
      <c r="A651" s="288" t="str">
        <f>$R$2&amp;".smCntSumOff"</f>
        <v>АСУЭ.SEPAM.smCntSumOff</v>
      </c>
      <c r="B651" s="514">
        <v>2</v>
      </c>
      <c r="C651" s="514" t="s">
        <v>6</v>
      </c>
      <c r="D651" s="290">
        <v>0</v>
      </c>
    </row>
    <row r="652" spans="1:4" ht="15" customHeight="1">
      <c r="A652" s="291" t="str">
        <f>$R$2&amp;".smCntSumOff"</f>
        <v>АСУЭ.SEPAM.smCntSumOff</v>
      </c>
      <c r="B652" s="292">
        <v>1</v>
      </c>
      <c r="C652" s="292" t="s">
        <v>1</v>
      </c>
      <c r="D652" s="293">
        <v>3</v>
      </c>
    </row>
    <row r="653" spans="1:4" ht="15" customHeight="1">
      <c r="A653" s="288" t="str">
        <f>$R$2&amp;".smCntSumOffI"</f>
        <v>АСУЭ.SEPAM.smCntSumOffI</v>
      </c>
      <c r="B653" s="514">
        <v>3000000</v>
      </c>
      <c r="C653" s="514" t="s">
        <v>0</v>
      </c>
      <c r="D653" s="290" t="s">
        <v>352</v>
      </c>
    </row>
    <row r="654" spans="1:4" ht="15" customHeight="1">
      <c r="A654" s="288" t="str">
        <f>$R$2&amp;".smCntSumOffI"</f>
        <v>АСУЭ.SEPAM.smCntSumOffI</v>
      </c>
      <c r="B654" s="514">
        <v>101</v>
      </c>
      <c r="C654" s="514" t="s">
        <v>0</v>
      </c>
      <c r="D654" s="290" t="s">
        <v>353</v>
      </c>
    </row>
    <row r="655" spans="1:4" ht="15" customHeight="1">
      <c r="A655" s="288" t="str">
        <f>$R$2&amp;".smCntSumOffI"</f>
        <v>АСУЭ.SEPAM.smCntSumOffI</v>
      </c>
      <c r="B655" s="514">
        <v>3</v>
      </c>
      <c r="C655" s="514" t="s">
        <v>1</v>
      </c>
      <c r="D655" s="290">
        <v>192</v>
      </c>
    </row>
    <row r="656" spans="1:4" ht="15" customHeight="1">
      <c r="A656" s="288" t="str">
        <f>$R$2&amp;".smCntSumOffI"</f>
        <v>АСУЭ.SEPAM.smCntSumOffI</v>
      </c>
      <c r="B656" s="514">
        <v>2</v>
      </c>
      <c r="C656" s="514" t="s">
        <v>6</v>
      </c>
      <c r="D656" s="290">
        <v>0</v>
      </c>
    </row>
    <row r="657" spans="1:4" ht="15" customHeight="1">
      <c r="A657" s="291" t="str">
        <f>$R$2&amp;".smCntSumOffI"</f>
        <v>АСУЭ.SEPAM.smCntSumOffI</v>
      </c>
      <c r="B657" s="292">
        <v>1</v>
      </c>
      <c r="C657" s="292" t="s">
        <v>1</v>
      </c>
      <c r="D657" s="293">
        <v>3</v>
      </c>
    </row>
    <row r="658" spans="1:4" ht="15" customHeight="1">
      <c r="A658" s="288" t="str">
        <f>$R$2&amp;".smCntSumOffIKZ"</f>
        <v>АСУЭ.SEPAM.smCntSumOffIKZ</v>
      </c>
      <c r="B658" s="514">
        <v>3000000</v>
      </c>
      <c r="C658" s="514" t="s">
        <v>0</v>
      </c>
      <c r="D658" s="290" t="s">
        <v>1520</v>
      </c>
    </row>
    <row r="659" spans="1:4" ht="15" customHeight="1">
      <c r="A659" s="288" t="str">
        <f>$R$2&amp;".smCntSumOffIKZ"</f>
        <v>АСУЭ.SEPAM.smCntSumOffIKZ</v>
      </c>
      <c r="B659" s="514">
        <v>101</v>
      </c>
      <c r="C659" s="514" t="s">
        <v>0</v>
      </c>
      <c r="D659" s="290" t="s">
        <v>354</v>
      </c>
    </row>
    <row r="660" spans="1:4" ht="15" customHeight="1">
      <c r="A660" s="288" t="str">
        <f>$R$2&amp;".smCntSumOffIKZ"</f>
        <v>АСУЭ.SEPAM.smCntSumOffIKZ</v>
      </c>
      <c r="B660" s="514">
        <v>3</v>
      </c>
      <c r="C660" s="514" t="s">
        <v>1</v>
      </c>
      <c r="D660" s="290">
        <v>192</v>
      </c>
    </row>
    <row r="661" spans="1:4" ht="15" customHeight="1">
      <c r="A661" s="288" t="str">
        <f>$R$2&amp;".smCntSumOffIKZ"</f>
        <v>АСУЭ.SEPAM.smCntSumOffIKZ</v>
      </c>
      <c r="B661" s="514">
        <v>2</v>
      </c>
      <c r="C661" s="514" t="s">
        <v>6</v>
      </c>
      <c r="D661" s="290">
        <v>0</v>
      </c>
    </row>
    <row r="662" spans="1:4" ht="15" customHeight="1">
      <c r="A662" s="291" t="str">
        <f>$R$2&amp;".smCntSumOffIKZ"</f>
        <v>АСУЭ.SEPAM.smCntSumOffIKZ</v>
      </c>
      <c r="B662" s="292">
        <v>1</v>
      </c>
      <c r="C662" s="292" t="s">
        <v>1</v>
      </c>
      <c r="D662" s="293">
        <v>3</v>
      </c>
    </row>
    <row r="663" spans="1:4" ht="15" customHeight="1">
      <c r="A663" s="275" t="str">
        <f t="shared" ref="A663:A668" si="67">$R$2&amp;".mCosPhi"</f>
        <v>АСУЭ.SEPAM.mCosPhi</v>
      </c>
      <c r="B663" s="276">
        <v>7999</v>
      </c>
      <c r="C663" s="276" t="s">
        <v>0</v>
      </c>
      <c r="D663" s="277" t="str">
        <f>"#"&amp;$S$2&amp;"#"&amp;$T$2&amp;"."&amp;$P$2&amp;".CosF"</f>
        <v>#3#\\Setup_rza\Modbus.OPCServer\ZRU_Sepam.VV1_Sepam_S82.CosF</v>
      </c>
    </row>
    <row r="664" spans="1:4" ht="15" customHeight="1">
      <c r="A664" s="278" t="str">
        <f t="shared" si="67"/>
        <v>АСУЭ.SEPAM.mCosPhi</v>
      </c>
      <c r="B664" s="688">
        <v>7998</v>
      </c>
      <c r="C664" s="688" t="s">
        <v>6</v>
      </c>
      <c r="D664" s="280">
        <v>1</v>
      </c>
    </row>
    <row r="665" spans="1:4" ht="15" customHeight="1">
      <c r="A665" s="278" t="str">
        <f t="shared" si="67"/>
        <v>АСУЭ.SEPAM.mCosPhi</v>
      </c>
      <c r="B665" s="688">
        <v>101</v>
      </c>
      <c r="C665" s="688" t="s">
        <v>0</v>
      </c>
      <c r="D665" s="280" t="s">
        <v>355</v>
      </c>
    </row>
    <row r="666" spans="1:4" ht="15" customHeight="1">
      <c r="A666" s="278" t="str">
        <f t="shared" si="67"/>
        <v>АСУЭ.SEPAM.mCosPhi</v>
      </c>
      <c r="B666" s="688">
        <v>3</v>
      </c>
      <c r="C666" s="688" t="s">
        <v>1</v>
      </c>
      <c r="D666" s="280">
        <v>192</v>
      </c>
    </row>
    <row r="667" spans="1:4" ht="15" customHeight="1">
      <c r="A667" s="278" t="str">
        <f t="shared" si="67"/>
        <v>АСУЭ.SEPAM.mCosPhi</v>
      </c>
      <c r="B667" s="688">
        <v>2</v>
      </c>
      <c r="C667" s="688" t="s">
        <v>80</v>
      </c>
      <c r="D667" s="280">
        <v>0</v>
      </c>
    </row>
    <row r="668" spans="1:4" ht="15" customHeight="1">
      <c r="A668" s="281" t="str">
        <f t="shared" si="67"/>
        <v>АСУЭ.SEPAM.mCosPhi</v>
      </c>
      <c r="B668" s="282">
        <v>1</v>
      </c>
      <c r="C668" s="282" t="s">
        <v>1</v>
      </c>
      <c r="D668" s="283">
        <v>4</v>
      </c>
    </row>
    <row r="669" spans="1:4" ht="15" customHeight="1">
      <c r="A669" s="275" t="str">
        <f t="shared" ref="A669:A674" si="68">$R$2&amp;".mFreq"</f>
        <v>АСУЭ.SEPAM.mFreq</v>
      </c>
      <c r="B669" s="276">
        <v>7999</v>
      </c>
      <c r="C669" s="276" t="s">
        <v>0</v>
      </c>
      <c r="D669" s="277" t="str">
        <f>"#"&amp;$S$2&amp;"#"&amp;$T$2&amp;"."&amp;$P$2&amp;".Freq"</f>
        <v>#3#\\Setup_rza\Modbus.OPCServer\ZRU_Sepam.VV1_Sepam_S82.Freq</v>
      </c>
    </row>
    <row r="670" spans="1:4" ht="15" customHeight="1">
      <c r="A670" s="278" t="str">
        <f t="shared" si="68"/>
        <v>АСУЭ.SEPAM.mFreq</v>
      </c>
      <c r="B670" s="688">
        <v>7998</v>
      </c>
      <c r="C670" s="688" t="s">
        <v>6</v>
      </c>
      <c r="D670" s="280">
        <v>1</v>
      </c>
    </row>
    <row r="671" spans="1:4" ht="15" customHeight="1">
      <c r="A671" s="278" t="str">
        <f t="shared" si="68"/>
        <v>АСУЭ.SEPAM.mFreq</v>
      </c>
      <c r="B671" s="688">
        <v>101</v>
      </c>
      <c r="C671" s="688" t="s">
        <v>0</v>
      </c>
      <c r="D671" s="280" t="s">
        <v>356</v>
      </c>
    </row>
    <row r="672" spans="1:4" ht="15" customHeight="1">
      <c r="A672" s="278" t="str">
        <f t="shared" si="68"/>
        <v>АСУЭ.SEPAM.mFreq</v>
      </c>
      <c r="B672" s="688">
        <v>3</v>
      </c>
      <c r="C672" s="688" t="s">
        <v>1</v>
      </c>
      <c r="D672" s="280">
        <v>192</v>
      </c>
    </row>
    <row r="673" spans="1:4" ht="15" customHeight="1">
      <c r="A673" s="278" t="str">
        <f t="shared" si="68"/>
        <v>АСУЭ.SEPAM.mFreq</v>
      </c>
      <c r="B673" s="688">
        <v>2</v>
      </c>
      <c r="C673" s="688" t="s">
        <v>80</v>
      </c>
      <c r="D673" s="280">
        <v>0</v>
      </c>
    </row>
    <row r="674" spans="1:4" ht="15" customHeight="1">
      <c r="A674" s="281" t="str">
        <f t="shared" si="68"/>
        <v>АСУЭ.SEPAM.mFreq</v>
      </c>
      <c r="B674" s="282">
        <v>1</v>
      </c>
      <c r="C674" s="282" t="s">
        <v>1</v>
      </c>
      <c r="D674" s="283">
        <v>4</v>
      </c>
    </row>
    <row r="675" spans="1:4" ht="15" customHeight="1">
      <c r="A675" s="275" t="str">
        <f t="shared" ref="A675:A680" si="69">$R$2&amp;".mI0"</f>
        <v>АСУЭ.SEPAM.mI0</v>
      </c>
      <c r="B675" s="276">
        <v>7999</v>
      </c>
      <c r="C675" s="276" t="s">
        <v>0</v>
      </c>
      <c r="D675" s="277" t="str">
        <f>"#"&amp;$S$2&amp;"#"&amp;$T$2&amp;"."&amp;$P$2&amp;".I0"</f>
        <v>#3#\\Setup_rza\Modbus.OPCServer\ZRU_Sepam.VV1_Sepam_S82.I0</v>
      </c>
    </row>
    <row r="676" spans="1:4" ht="15" customHeight="1">
      <c r="A676" s="278" t="str">
        <f t="shared" si="69"/>
        <v>АСУЭ.SEPAM.mI0</v>
      </c>
      <c r="B676" s="688">
        <v>7998</v>
      </c>
      <c r="C676" s="688" t="s">
        <v>6</v>
      </c>
      <c r="D676" s="280">
        <v>1</v>
      </c>
    </row>
    <row r="677" spans="1:4" ht="15" customHeight="1">
      <c r="A677" s="278" t="str">
        <f t="shared" si="69"/>
        <v>АСУЭ.SEPAM.mI0</v>
      </c>
      <c r="B677" s="688">
        <v>101</v>
      </c>
      <c r="C677" s="688" t="s">
        <v>0</v>
      </c>
      <c r="D677" s="280" t="s">
        <v>357</v>
      </c>
    </row>
    <row r="678" spans="1:4" ht="15" customHeight="1">
      <c r="A678" s="278" t="str">
        <f t="shared" si="69"/>
        <v>АСУЭ.SEPAM.mI0</v>
      </c>
      <c r="B678" s="688">
        <v>3</v>
      </c>
      <c r="C678" s="688" t="s">
        <v>1</v>
      </c>
      <c r="D678" s="280">
        <v>192</v>
      </c>
    </row>
    <row r="679" spans="1:4" ht="15" customHeight="1">
      <c r="A679" s="278" t="str">
        <f t="shared" si="69"/>
        <v>АСУЭ.SEPAM.mI0</v>
      </c>
      <c r="B679" s="688">
        <v>2</v>
      </c>
      <c r="C679" s="688" t="s">
        <v>80</v>
      </c>
      <c r="D679" s="280">
        <v>0</v>
      </c>
    </row>
    <row r="680" spans="1:4" ht="15" customHeight="1">
      <c r="A680" s="281" t="str">
        <f t="shared" si="69"/>
        <v>АСУЭ.SEPAM.mI0</v>
      </c>
      <c r="B680" s="282">
        <v>1</v>
      </c>
      <c r="C680" s="282" t="s">
        <v>1</v>
      </c>
      <c r="D680" s="283">
        <v>4</v>
      </c>
    </row>
    <row r="681" spans="1:4" ht="15" customHeight="1">
      <c r="A681" s="275" t="str">
        <f t="shared" ref="A681:A686" si="70">$R$2&amp;".mIm1"</f>
        <v>АСУЭ.SEPAM.mIm1</v>
      </c>
      <c r="B681" s="276">
        <v>7999</v>
      </c>
      <c r="C681" s="276" t="s">
        <v>0</v>
      </c>
      <c r="D681" s="277" t="str">
        <f>"#"&amp;$S$2&amp;"#"&amp;$T$2&amp;"."&amp;$P$2&amp;".Im1"</f>
        <v>#3#\\Setup_rza\Modbus.OPCServer\ZRU_Sepam.VV1_Sepam_S82.Im1</v>
      </c>
    </row>
    <row r="682" spans="1:4" ht="15" customHeight="1">
      <c r="A682" s="278" t="str">
        <f t="shared" si="70"/>
        <v>АСУЭ.SEPAM.mIm1</v>
      </c>
      <c r="B682" s="688">
        <v>7998</v>
      </c>
      <c r="C682" s="688" t="s">
        <v>6</v>
      </c>
      <c r="D682" s="280">
        <v>1</v>
      </c>
    </row>
    <row r="683" spans="1:4" ht="15" customHeight="1">
      <c r="A683" s="278" t="str">
        <f t="shared" si="70"/>
        <v>АСУЭ.SEPAM.mIm1</v>
      </c>
      <c r="B683" s="688">
        <v>101</v>
      </c>
      <c r="C683" s="688" t="s">
        <v>0</v>
      </c>
      <c r="D683" s="280" t="s">
        <v>358</v>
      </c>
    </row>
    <row r="684" spans="1:4" ht="15" customHeight="1">
      <c r="A684" s="278" t="str">
        <f t="shared" si="70"/>
        <v>АСУЭ.SEPAM.mIm1</v>
      </c>
      <c r="B684" s="688">
        <v>3</v>
      </c>
      <c r="C684" s="688" t="s">
        <v>1</v>
      </c>
      <c r="D684" s="280">
        <v>192</v>
      </c>
    </row>
    <row r="685" spans="1:4" ht="15" customHeight="1">
      <c r="A685" s="278" t="str">
        <f t="shared" si="70"/>
        <v>АСУЭ.SEPAM.mIm1</v>
      </c>
      <c r="B685" s="688">
        <v>2</v>
      </c>
      <c r="C685" s="688" t="s">
        <v>80</v>
      </c>
      <c r="D685" s="280">
        <v>0</v>
      </c>
    </row>
    <row r="686" spans="1:4" ht="15" customHeight="1">
      <c r="A686" s="281" t="str">
        <f t="shared" si="70"/>
        <v>АСУЭ.SEPAM.mIm1</v>
      </c>
      <c r="B686" s="282">
        <v>1</v>
      </c>
      <c r="C686" s="282" t="s">
        <v>1</v>
      </c>
      <c r="D686" s="283">
        <v>4</v>
      </c>
    </row>
    <row r="687" spans="1:4" ht="15" customHeight="1">
      <c r="A687" s="275" t="str">
        <f t="shared" ref="A687:A692" si="71">$R$2&amp;".mIm2"</f>
        <v>АСУЭ.SEPAM.mIm2</v>
      </c>
      <c r="B687" s="276">
        <v>7999</v>
      </c>
      <c r="C687" s="276" t="s">
        <v>0</v>
      </c>
      <c r="D687" s="277" t="str">
        <f>"#"&amp;$S$2&amp;"#"&amp;$T$2&amp;"."&amp;$P$2&amp;".Im2"</f>
        <v>#3#\\Setup_rza\Modbus.OPCServer\ZRU_Sepam.VV1_Sepam_S82.Im2</v>
      </c>
    </row>
    <row r="688" spans="1:4" ht="15" customHeight="1">
      <c r="A688" s="278" t="str">
        <f t="shared" si="71"/>
        <v>АСУЭ.SEPAM.mIm2</v>
      </c>
      <c r="B688" s="688">
        <v>7998</v>
      </c>
      <c r="C688" s="688" t="s">
        <v>6</v>
      </c>
      <c r="D688" s="280">
        <v>1</v>
      </c>
    </row>
    <row r="689" spans="1:4" ht="15" customHeight="1">
      <c r="A689" s="278" t="str">
        <f t="shared" si="71"/>
        <v>АСУЭ.SEPAM.mIm2</v>
      </c>
      <c r="B689" s="688">
        <v>101</v>
      </c>
      <c r="C689" s="688" t="s">
        <v>0</v>
      </c>
      <c r="D689" s="280" t="s">
        <v>359</v>
      </c>
    </row>
    <row r="690" spans="1:4" ht="15" customHeight="1">
      <c r="A690" s="278" t="str">
        <f t="shared" si="71"/>
        <v>АСУЭ.SEPAM.mIm2</v>
      </c>
      <c r="B690" s="688">
        <v>3</v>
      </c>
      <c r="C690" s="688" t="s">
        <v>1</v>
      </c>
      <c r="D690" s="280">
        <v>192</v>
      </c>
    </row>
    <row r="691" spans="1:4" ht="15" customHeight="1">
      <c r="A691" s="278" t="str">
        <f t="shared" si="71"/>
        <v>АСУЭ.SEPAM.mIm2</v>
      </c>
      <c r="B691" s="688">
        <v>2</v>
      </c>
      <c r="C691" s="688" t="s">
        <v>80</v>
      </c>
      <c r="D691" s="280">
        <v>0</v>
      </c>
    </row>
    <row r="692" spans="1:4" ht="15" customHeight="1">
      <c r="A692" s="281" t="str">
        <f t="shared" si="71"/>
        <v>АСУЭ.SEPAM.mIm2</v>
      </c>
      <c r="B692" s="282">
        <v>1</v>
      </c>
      <c r="C692" s="282" t="s">
        <v>1</v>
      </c>
      <c r="D692" s="283">
        <v>4</v>
      </c>
    </row>
    <row r="693" spans="1:4" ht="15" customHeight="1">
      <c r="A693" s="275" t="str">
        <f t="shared" ref="A693:A698" si="72">$R$2&amp;".mIm3"</f>
        <v>АСУЭ.SEPAM.mIm3</v>
      </c>
      <c r="B693" s="276">
        <v>7999</v>
      </c>
      <c r="C693" s="276" t="s">
        <v>0</v>
      </c>
      <c r="D693" s="277" t="str">
        <f>"#"&amp;$S$2&amp;"#"&amp;$T$2&amp;"."&amp;$P$2&amp;".Im3"</f>
        <v>#3#\\Setup_rza\Modbus.OPCServer\ZRU_Sepam.VV1_Sepam_S82.Im3</v>
      </c>
    </row>
    <row r="694" spans="1:4" ht="15" customHeight="1">
      <c r="A694" s="278" t="str">
        <f t="shared" si="72"/>
        <v>АСУЭ.SEPAM.mIm3</v>
      </c>
      <c r="B694" s="688">
        <v>7998</v>
      </c>
      <c r="C694" s="688" t="s">
        <v>6</v>
      </c>
      <c r="D694" s="280">
        <v>1</v>
      </c>
    </row>
    <row r="695" spans="1:4" ht="15" customHeight="1">
      <c r="A695" s="278" t="str">
        <f t="shared" si="72"/>
        <v>АСУЭ.SEPAM.mIm3</v>
      </c>
      <c r="B695" s="688">
        <v>101</v>
      </c>
      <c r="C695" s="688" t="s">
        <v>0</v>
      </c>
      <c r="D695" s="280" t="s">
        <v>360</v>
      </c>
    </row>
    <row r="696" spans="1:4" ht="15" customHeight="1">
      <c r="A696" s="278" t="str">
        <f t="shared" si="72"/>
        <v>АСУЭ.SEPAM.mIm3</v>
      </c>
      <c r="B696" s="688">
        <v>3</v>
      </c>
      <c r="C696" s="688" t="s">
        <v>1</v>
      </c>
      <c r="D696" s="280">
        <v>192</v>
      </c>
    </row>
    <row r="697" spans="1:4" ht="15" customHeight="1">
      <c r="A697" s="278" t="str">
        <f t="shared" si="72"/>
        <v>АСУЭ.SEPAM.mIm3</v>
      </c>
      <c r="B697" s="688">
        <v>2</v>
      </c>
      <c r="C697" s="688" t="s">
        <v>80</v>
      </c>
      <c r="D697" s="280">
        <v>0</v>
      </c>
    </row>
    <row r="698" spans="1:4" ht="15" customHeight="1">
      <c r="A698" s="281" t="str">
        <f t="shared" si="72"/>
        <v>АСУЭ.SEPAM.mIm3</v>
      </c>
      <c r="B698" s="282">
        <v>1</v>
      </c>
      <c r="C698" s="282" t="s">
        <v>1</v>
      </c>
      <c r="D698" s="283">
        <v>4</v>
      </c>
    </row>
    <row r="699" spans="1:4" ht="15" customHeight="1">
      <c r="A699" s="275" t="str">
        <f t="shared" ref="A699:A704" si="73">$R$2&amp;".mI1"</f>
        <v>АСУЭ.SEPAM.mI1</v>
      </c>
      <c r="B699" s="276">
        <v>7999</v>
      </c>
      <c r="C699" s="276" t="s">
        <v>0</v>
      </c>
      <c r="D699" s="277" t="str">
        <f>"#"&amp;$S$2&amp;"#"&amp;$T$2&amp;"."&amp;$P$2&amp;".I1"</f>
        <v>#3#\\Setup_rza\Modbus.OPCServer\ZRU_Sepam.VV1_Sepam_S82.I1</v>
      </c>
    </row>
    <row r="700" spans="1:4" ht="15" customHeight="1">
      <c r="A700" s="278" t="str">
        <f t="shared" si="73"/>
        <v>АСУЭ.SEPAM.mI1</v>
      </c>
      <c r="B700" s="688">
        <v>7998</v>
      </c>
      <c r="C700" s="688" t="s">
        <v>6</v>
      </c>
      <c r="D700" s="280">
        <v>1</v>
      </c>
    </row>
    <row r="701" spans="1:4" ht="15" customHeight="1">
      <c r="A701" s="278" t="str">
        <f t="shared" si="73"/>
        <v>АСУЭ.SEPAM.mI1</v>
      </c>
      <c r="B701" s="688">
        <v>101</v>
      </c>
      <c r="C701" s="688" t="s">
        <v>0</v>
      </c>
      <c r="D701" s="280" t="s">
        <v>361</v>
      </c>
    </row>
    <row r="702" spans="1:4" ht="15" customHeight="1">
      <c r="A702" s="278" t="str">
        <f t="shared" si="73"/>
        <v>АСУЭ.SEPAM.mI1</v>
      </c>
      <c r="B702" s="688">
        <v>3</v>
      </c>
      <c r="C702" s="688" t="s">
        <v>1</v>
      </c>
      <c r="D702" s="280">
        <v>192</v>
      </c>
    </row>
    <row r="703" spans="1:4" ht="15" customHeight="1">
      <c r="A703" s="278" t="str">
        <f t="shared" si="73"/>
        <v>АСУЭ.SEPAM.mI1</v>
      </c>
      <c r="B703" s="688">
        <v>2</v>
      </c>
      <c r="C703" s="688" t="s">
        <v>80</v>
      </c>
      <c r="D703" s="280">
        <v>0</v>
      </c>
    </row>
    <row r="704" spans="1:4" ht="15" customHeight="1">
      <c r="A704" s="281" t="str">
        <f t="shared" si="73"/>
        <v>АСУЭ.SEPAM.mI1</v>
      </c>
      <c r="B704" s="282">
        <v>1</v>
      </c>
      <c r="C704" s="282" t="s">
        <v>1</v>
      </c>
      <c r="D704" s="283">
        <v>4</v>
      </c>
    </row>
    <row r="705" spans="1:4" ht="15" customHeight="1">
      <c r="A705" s="275" t="str">
        <f t="shared" ref="A705:A710" si="74">$R$2&amp;".mI2"</f>
        <v>АСУЭ.SEPAM.mI2</v>
      </c>
      <c r="B705" s="276">
        <v>7999</v>
      </c>
      <c r="C705" s="276" t="s">
        <v>0</v>
      </c>
      <c r="D705" s="277" t="str">
        <f>"#"&amp;$S$2&amp;"#"&amp;$T$2&amp;"."&amp;$P$2&amp;".I2"</f>
        <v>#3#\\Setup_rza\Modbus.OPCServer\ZRU_Sepam.VV1_Sepam_S82.I2</v>
      </c>
    </row>
    <row r="706" spans="1:4" ht="15" customHeight="1">
      <c r="A706" s="278" t="str">
        <f t="shared" si="74"/>
        <v>АСУЭ.SEPAM.mI2</v>
      </c>
      <c r="B706" s="688">
        <v>7998</v>
      </c>
      <c r="C706" s="688" t="s">
        <v>6</v>
      </c>
      <c r="D706" s="280">
        <v>1</v>
      </c>
    </row>
    <row r="707" spans="1:4" ht="15" customHeight="1">
      <c r="A707" s="278" t="str">
        <f t="shared" si="74"/>
        <v>АСУЭ.SEPAM.mI2</v>
      </c>
      <c r="B707" s="688">
        <v>101</v>
      </c>
      <c r="C707" s="688" t="s">
        <v>0</v>
      </c>
      <c r="D707" s="280" t="s">
        <v>362</v>
      </c>
    </row>
    <row r="708" spans="1:4" ht="15" customHeight="1">
      <c r="A708" s="278" t="str">
        <f t="shared" si="74"/>
        <v>АСУЭ.SEPAM.mI2</v>
      </c>
      <c r="B708" s="688">
        <v>3</v>
      </c>
      <c r="C708" s="688" t="s">
        <v>1</v>
      </c>
      <c r="D708" s="280">
        <v>192</v>
      </c>
    </row>
    <row r="709" spans="1:4" ht="15" customHeight="1">
      <c r="A709" s="278" t="str">
        <f t="shared" si="74"/>
        <v>АСУЭ.SEPAM.mI2</v>
      </c>
      <c r="B709" s="688">
        <v>2</v>
      </c>
      <c r="C709" s="688" t="s">
        <v>80</v>
      </c>
      <c r="D709" s="280">
        <v>0</v>
      </c>
    </row>
    <row r="710" spans="1:4" ht="15" customHeight="1">
      <c r="A710" s="281" t="str">
        <f t="shared" si="74"/>
        <v>АСУЭ.SEPAM.mI2</v>
      </c>
      <c r="B710" s="282">
        <v>1</v>
      </c>
      <c r="C710" s="282" t="s">
        <v>1</v>
      </c>
      <c r="D710" s="283">
        <v>4</v>
      </c>
    </row>
    <row r="711" spans="1:4" ht="15" customHeight="1">
      <c r="A711" s="275" t="str">
        <f t="shared" ref="A711:A716" si="75">$R$2&amp;".mI3"</f>
        <v>АСУЭ.SEPAM.mI3</v>
      </c>
      <c r="B711" s="276">
        <v>7999</v>
      </c>
      <c r="C711" s="276" t="s">
        <v>0</v>
      </c>
      <c r="D711" s="277" t="str">
        <f>"#"&amp;$S$2&amp;"#"&amp;$T$2&amp;"."&amp;$P$2&amp;".I3"</f>
        <v>#3#\\Setup_rza\Modbus.OPCServer\ZRU_Sepam.VV1_Sepam_S82.I3</v>
      </c>
    </row>
    <row r="712" spans="1:4" ht="15" customHeight="1">
      <c r="A712" s="278" t="str">
        <f t="shared" si="75"/>
        <v>АСУЭ.SEPAM.mI3</v>
      </c>
      <c r="B712" s="688">
        <v>7998</v>
      </c>
      <c r="C712" s="688" t="s">
        <v>6</v>
      </c>
      <c r="D712" s="280">
        <v>1</v>
      </c>
    </row>
    <row r="713" spans="1:4" ht="15" customHeight="1">
      <c r="A713" s="278" t="str">
        <f t="shared" si="75"/>
        <v>АСУЭ.SEPAM.mI3</v>
      </c>
      <c r="B713" s="688">
        <v>101</v>
      </c>
      <c r="C713" s="688" t="s">
        <v>0</v>
      </c>
      <c r="D713" s="280" t="s">
        <v>363</v>
      </c>
    </row>
    <row r="714" spans="1:4" ht="15" customHeight="1">
      <c r="A714" s="278" t="str">
        <f t="shared" si="75"/>
        <v>АСУЭ.SEPAM.mI3</v>
      </c>
      <c r="B714" s="688">
        <v>3</v>
      </c>
      <c r="C714" s="688" t="s">
        <v>1</v>
      </c>
      <c r="D714" s="280">
        <v>192</v>
      </c>
    </row>
    <row r="715" spans="1:4" ht="15" customHeight="1">
      <c r="A715" s="278" t="str">
        <f t="shared" si="75"/>
        <v>АСУЭ.SEPAM.mI3</v>
      </c>
      <c r="B715" s="688">
        <v>2</v>
      </c>
      <c r="C715" s="688" t="s">
        <v>80</v>
      </c>
      <c r="D715" s="280">
        <v>0</v>
      </c>
    </row>
    <row r="716" spans="1:4" ht="15" customHeight="1">
      <c r="A716" s="281" t="str">
        <f t="shared" si="75"/>
        <v>АСУЭ.SEPAM.mI3</v>
      </c>
      <c r="B716" s="282">
        <v>1</v>
      </c>
      <c r="C716" s="282" t="s">
        <v>1</v>
      </c>
      <c r="D716" s="283">
        <v>4</v>
      </c>
    </row>
    <row r="717" spans="1:4" ht="15" customHeight="1">
      <c r="A717" s="275" t="str">
        <f t="shared" ref="A717:A722" si="76">$R$2&amp;".mItrip1"</f>
        <v>АСУЭ.SEPAM.mItrip1</v>
      </c>
      <c r="B717" s="276">
        <v>7999</v>
      </c>
      <c r="C717" s="276" t="s">
        <v>0</v>
      </c>
      <c r="D717" s="277" t="str">
        <f>"#"&amp;$S$2&amp;"#"&amp;$T$2&amp;"."&amp;$P$2&amp;".Itrip1"</f>
        <v>#3#\\Setup_rza\Modbus.OPCServer\ZRU_Sepam.VV1_Sepam_S82.Itrip1</v>
      </c>
    </row>
    <row r="718" spans="1:4" ht="15" customHeight="1">
      <c r="A718" s="278" t="str">
        <f t="shared" si="76"/>
        <v>АСУЭ.SEPAM.mItrip1</v>
      </c>
      <c r="B718" s="688">
        <v>7998</v>
      </c>
      <c r="C718" s="688" t="s">
        <v>6</v>
      </c>
      <c r="D718" s="280">
        <v>1</v>
      </c>
    </row>
    <row r="719" spans="1:4" ht="15" customHeight="1">
      <c r="A719" s="278" t="str">
        <f t="shared" si="76"/>
        <v>АСУЭ.SEPAM.mItrip1</v>
      </c>
      <c r="B719" s="688">
        <v>101</v>
      </c>
      <c r="C719" s="688" t="s">
        <v>0</v>
      </c>
      <c r="D719" s="280" t="s">
        <v>364</v>
      </c>
    </row>
    <row r="720" spans="1:4" ht="15" customHeight="1">
      <c r="A720" s="278" t="str">
        <f t="shared" si="76"/>
        <v>АСУЭ.SEPAM.mItrip1</v>
      </c>
      <c r="B720" s="688">
        <v>3</v>
      </c>
      <c r="C720" s="688" t="s">
        <v>1</v>
      </c>
      <c r="D720" s="280">
        <v>192</v>
      </c>
    </row>
    <row r="721" spans="1:4" ht="15" customHeight="1">
      <c r="A721" s="278" t="str">
        <f t="shared" si="76"/>
        <v>АСУЭ.SEPAM.mItrip1</v>
      </c>
      <c r="B721" s="688">
        <v>2</v>
      </c>
      <c r="C721" s="688" t="s">
        <v>80</v>
      </c>
      <c r="D721" s="280">
        <v>0</v>
      </c>
    </row>
    <row r="722" spans="1:4" ht="15" customHeight="1">
      <c r="A722" s="281" t="str">
        <f t="shared" si="76"/>
        <v>АСУЭ.SEPAM.mItrip1</v>
      </c>
      <c r="B722" s="282">
        <v>1</v>
      </c>
      <c r="C722" s="282" t="s">
        <v>1</v>
      </c>
      <c r="D722" s="283">
        <v>4</v>
      </c>
    </row>
    <row r="723" spans="1:4" ht="15" customHeight="1">
      <c r="A723" s="275" t="str">
        <f t="shared" ref="A723:A728" si="77">$R$2&amp;".mItrip2"</f>
        <v>АСУЭ.SEPAM.mItrip2</v>
      </c>
      <c r="B723" s="276">
        <v>7999</v>
      </c>
      <c r="C723" s="276" t="s">
        <v>0</v>
      </c>
      <c r="D723" s="277" t="str">
        <f>"#"&amp;$S$2&amp;"#"&amp;$T$2&amp;"."&amp;$P$2&amp;".Itrip2"</f>
        <v>#3#\\Setup_rza\Modbus.OPCServer\ZRU_Sepam.VV1_Sepam_S82.Itrip2</v>
      </c>
    </row>
    <row r="724" spans="1:4" ht="15" customHeight="1">
      <c r="A724" s="278" t="str">
        <f t="shared" si="77"/>
        <v>АСУЭ.SEPAM.mItrip2</v>
      </c>
      <c r="B724" s="688">
        <v>7998</v>
      </c>
      <c r="C724" s="688" t="s">
        <v>6</v>
      </c>
      <c r="D724" s="280">
        <v>1</v>
      </c>
    </row>
    <row r="725" spans="1:4" ht="15" customHeight="1">
      <c r="A725" s="278" t="str">
        <f t="shared" si="77"/>
        <v>АСУЭ.SEPAM.mItrip2</v>
      </c>
      <c r="B725" s="688">
        <v>101</v>
      </c>
      <c r="C725" s="688" t="s">
        <v>0</v>
      </c>
      <c r="D725" s="280" t="s">
        <v>365</v>
      </c>
    </row>
    <row r="726" spans="1:4" ht="15" customHeight="1">
      <c r="A726" s="278" t="str">
        <f t="shared" si="77"/>
        <v>АСУЭ.SEPAM.mItrip2</v>
      </c>
      <c r="B726" s="688">
        <v>3</v>
      </c>
      <c r="C726" s="688" t="s">
        <v>1</v>
      </c>
      <c r="D726" s="280">
        <v>192</v>
      </c>
    </row>
    <row r="727" spans="1:4" ht="15" customHeight="1">
      <c r="A727" s="278" t="str">
        <f t="shared" si="77"/>
        <v>АСУЭ.SEPAM.mItrip2</v>
      </c>
      <c r="B727" s="688">
        <v>2</v>
      </c>
      <c r="C727" s="688" t="s">
        <v>80</v>
      </c>
      <c r="D727" s="280">
        <v>0</v>
      </c>
    </row>
    <row r="728" spans="1:4" ht="15" customHeight="1">
      <c r="A728" s="281" t="str">
        <f t="shared" si="77"/>
        <v>АСУЭ.SEPAM.mItrip2</v>
      </c>
      <c r="B728" s="282">
        <v>1</v>
      </c>
      <c r="C728" s="282" t="s">
        <v>1</v>
      </c>
      <c r="D728" s="283">
        <v>4</v>
      </c>
    </row>
    <row r="729" spans="1:4" ht="15" customHeight="1">
      <c r="A729" s="275" t="str">
        <f t="shared" ref="A729:A734" si="78">$R$2&amp;".mItrip3"</f>
        <v>АСУЭ.SEPAM.mItrip3</v>
      </c>
      <c r="B729" s="276">
        <v>7999</v>
      </c>
      <c r="C729" s="276" t="s">
        <v>0</v>
      </c>
      <c r="D729" s="277" t="str">
        <f>"#"&amp;$S$2&amp;"#"&amp;$T$2&amp;"."&amp;$P$2&amp;".Itrip3"</f>
        <v>#3#\\Setup_rza\Modbus.OPCServer\ZRU_Sepam.VV1_Sepam_S82.Itrip3</v>
      </c>
    </row>
    <row r="730" spans="1:4" ht="15" customHeight="1">
      <c r="A730" s="278" t="str">
        <f t="shared" si="78"/>
        <v>АСУЭ.SEPAM.mItrip3</v>
      </c>
      <c r="B730" s="688">
        <v>7998</v>
      </c>
      <c r="C730" s="688" t="s">
        <v>6</v>
      </c>
      <c r="D730" s="280">
        <v>1</v>
      </c>
    </row>
    <row r="731" spans="1:4" ht="15" customHeight="1">
      <c r="A731" s="278" t="str">
        <f>$R$2&amp;".mItrip3"</f>
        <v>АСУЭ.SEPAM.mItrip3</v>
      </c>
      <c r="B731" s="688">
        <v>101</v>
      </c>
      <c r="C731" s="688" t="s">
        <v>0</v>
      </c>
      <c r="D731" s="280" t="s">
        <v>366</v>
      </c>
    </row>
    <row r="732" spans="1:4" ht="15" customHeight="1">
      <c r="A732" s="278" t="str">
        <f t="shared" si="78"/>
        <v>АСУЭ.SEPAM.mItrip3</v>
      </c>
      <c r="B732" s="688">
        <v>3</v>
      </c>
      <c r="C732" s="688" t="s">
        <v>1</v>
      </c>
      <c r="D732" s="280">
        <v>192</v>
      </c>
    </row>
    <row r="733" spans="1:4" ht="15" customHeight="1">
      <c r="A733" s="278" t="str">
        <f t="shared" si="78"/>
        <v>АСУЭ.SEPAM.mItrip3</v>
      </c>
      <c r="B733" s="688">
        <v>2</v>
      </c>
      <c r="C733" s="688" t="s">
        <v>80</v>
      </c>
      <c r="D733" s="280">
        <v>0</v>
      </c>
    </row>
    <row r="734" spans="1:4" ht="15" customHeight="1">
      <c r="A734" s="281" t="str">
        <f t="shared" si="78"/>
        <v>АСУЭ.SEPAM.mItrip3</v>
      </c>
      <c r="B734" s="282">
        <v>1</v>
      </c>
      <c r="C734" s="282" t="s">
        <v>1</v>
      </c>
      <c r="D734" s="283">
        <v>4</v>
      </c>
    </row>
    <row r="735" spans="1:4" ht="15" customHeight="1">
      <c r="A735" s="275" t="str">
        <f t="shared" ref="A735:A740" si="79">$R$2&amp;".mMaxI1"</f>
        <v>АСУЭ.SEPAM.mMaxI1</v>
      </c>
      <c r="B735" s="276">
        <v>7999</v>
      </c>
      <c r="C735" s="276" t="s">
        <v>0</v>
      </c>
      <c r="D735" s="277" t="str">
        <f>"#"&amp;$S$2&amp;"#"&amp;$T$2&amp;"."&amp;$P$2&amp;".MaxI1"</f>
        <v>#3#\\Setup_rza\Modbus.OPCServer\ZRU_Sepam.VV1_Sepam_S82.MaxI1</v>
      </c>
    </row>
    <row r="736" spans="1:4" ht="15" customHeight="1">
      <c r="A736" s="278" t="str">
        <f t="shared" si="79"/>
        <v>АСУЭ.SEPAM.mMaxI1</v>
      </c>
      <c r="B736" s="688">
        <v>7998</v>
      </c>
      <c r="C736" s="688" t="s">
        <v>6</v>
      </c>
      <c r="D736" s="280">
        <v>1</v>
      </c>
    </row>
    <row r="737" spans="1:4" ht="15" customHeight="1">
      <c r="A737" s="278" t="str">
        <f t="shared" si="79"/>
        <v>АСУЭ.SEPAM.mMaxI1</v>
      </c>
      <c r="B737" s="688">
        <v>101</v>
      </c>
      <c r="C737" s="688" t="s">
        <v>0</v>
      </c>
      <c r="D737" s="280" t="s">
        <v>367</v>
      </c>
    </row>
    <row r="738" spans="1:4" ht="15" customHeight="1">
      <c r="A738" s="278" t="str">
        <f t="shared" si="79"/>
        <v>АСУЭ.SEPAM.mMaxI1</v>
      </c>
      <c r="B738" s="688">
        <v>3</v>
      </c>
      <c r="C738" s="688" t="s">
        <v>1</v>
      </c>
      <c r="D738" s="280">
        <v>192</v>
      </c>
    </row>
    <row r="739" spans="1:4" ht="15" customHeight="1">
      <c r="A739" s="278" t="str">
        <f t="shared" si="79"/>
        <v>АСУЭ.SEPAM.mMaxI1</v>
      </c>
      <c r="B739" s="688">
        <v>2</v>
      </c>
      <c r="C739" s="688" t="s">
        <v>80</v>
      </c>
      <c r="D739" s="280">
        <v>0</v>
      </c>
    </row>
    <row r="740" spans="1:4" ht="15" customHeight="1">
      <c r="A740" s="281" t="str">
        <f t="shared" si="79"/>
        <v>АСУЭ.SEPAM.mMaxI1</v>
      </c>
      <c r="B740" s="282">
        <v>1</v>
      </c>
      <c r="C740" s="282" t="s">
        <v>1</v>
      </c>
      <c r="D740" s="283">
        <v>4</v>
      </c>
    </row>
    <row r="741" spans="1:4" ht="15" customHeight="1">
      <c r="A741" s="275" t="str">
        <f t="shared" ref="A741:A746" si="80">$R$2&amp;".mMaxI2"</f>
        <v>АСУЭ.SEPAM.mMaxI2</v>
      </c>
      <c r="B741" s="276">
        <v>7999</v>
      </c>
      <c r="C741" s="276" t="s">
        <v>0</v>
      </c>
      <c r="D741" s="277" t="str">
        <f>"#"&amp;$S$2&amp;"#"&amp;$T$2&amp;"."&amp;$P$2&amp;".MaxI2"</f>
        <v>#3#\\Setup_rza\Modbus.OPCServer\ZRU_Sepam.VV1_Sepam_S82.MaxI2</v>
      </c>
    </row>
    <row r="742" spans="1:4" ht="15" customHeight="1">
      <c r="A742" s="278" t="str">
        <f t="shared" si="80"/>
        <v>АСУЭ.SEPAM.mMaxI2</v>
      </c>
      <c r="B742" s="688">
        <v>7998</v>
      </c>
      <c r="C742" s="688" t="s">
        <v>6</v>
      </c>
      <c r="D742" s="280">
        <v>1</v>
      </c>
    </row>
    <row r="743" spans="1:4" ht="15" customHeight="1">
      <c r="A743" s="278" t="str">
        <f t="shared" si="80"/>
        <v>АСУЭ.SEPAM.mMaxI2</v>
      </c>
      <c r="B743" s="688">
        <v>101</v>
      </c>
      <c r="C743" s="688" t="s">
        <v>0</v>
      </c>
      <c r="D743" s="280" t="s">
        <v>368</v>
      </c>
    </row>
    <row r="744" spans="1:4" ht="15" customHeight="1">
      <c r="A744" s="278" t="str">
        <f t="shared" si="80"/>
        <v>АСУЭ.SEPAM.mMaxI2</v>
      </c>
      <c r="B744" s="688">
        <v>3</v>
      </c>
      <c r="C744" s="688" t="s">
        <v>1</v>
      </c>
      <c r="D744" s="280">
        <v>192</v>
      </c>
    </row>
    <row r="745" spans="1:4" ht="15" customHeight="1">
      <c r="A745" s="278" t="str">
        <f t="shared" si="80"/>
        <v>АСУЭ.SEPAM.mMaxI2</v>
      </c>
      <c r="B745" s="688">
        <v>2</v>
      </c>
      <c r="C745" s="688" t="s">
        <v>80</v>
      </c>
      <c r="D745" s="280">
        <v>0</v>
      </c>
    </row>
    <row r="746" spans="1:4" ht="15" customHeight="1">
      <c r="A746" s="281" t="str">
        <f t="shared" si="80"/>
        <v>АСУЭ.SEPAM.mMaxI2</v>
      </c>
      <c r="B746" s="282">
        <v>1</v>
      </c>
      <c r="C746" s="282" t="s">
        <v>1</v>
      </c>
      <c r="D746" s="283">
        <v>4</v>
      </c>
    </row>
    <row r="747" spans="1:4" ht="15" customHeight="1">
      <c r="A747" s="275" t="str">
        <f t="shared" ref="A747:A752" si="81">$R$2&amp;".mMaxI3"</f>
        <v>АСУЭ.SEPAM.mMaxI3</v>
      </c>
      <c r="B747" s="276">
        <v>7999</v>
      </c>
      <c r="C747" s="276" t="s">
        <v>0</v>
      </c>
      <c r="D747" s="277" t="str">
        <f>"#"&amp;$S$2&amp;"#"&amp;$T$2&amp;"."&amp;$P$2&amp;".MaxI3"</f>
        <v>#3#\\Setup_rza\Modbus.OPCServer\ZRU_Sepam.VV1_Sepam_S82.MaxI3</v>
      </c>
    </row>
    <row r="748" spans="1:4" ht="15" customHeight="1">
      <c r="A748" s="278" t="str">
        <f t="shared" si="81"/>
        <v>АСУЭ.SEPAM.mMaxI3</v>
      </c>
      <c r="B748" s="688">
        <v>7998</v>
      </c>
      <c r="C748" s="688" t="s">
        <v>6</v>
      </c>
      <c r="D748" s="280">
        <v>1</v>
      </c>
    </row>
    <row r="749" spans="1:4" ht="15" customHeight="1">
      <c r="A749" s="278" t="str">
        <f t="shared" si="81"/>
        <v>АСУЭ.SEPAM.mMaxI3</v>
      </c>
      <c r="B749" s="688">
        <v>101</v>
      </c>
      <c r="C749" s="688" t="s">
        <v>0</v>
      </c>
      <c r="D749" s="280" t="s">
        <v>369</v>
      </c>
    </row>
    <row r="750" spans="1:4" ht="15" customHeight="1">
      <c r="A750" s="278" t="str">
        <f t="shared" si="81"/>
        <v>АСУЭ.SEPAM.mMaxI3</v>
      </c>
      <c r="B750" s="688">
        <v>3</v>
      </c>
      <c r="C750" s="688" t="s">
        <v>1</v>
      </c>
      <c r="D750" s="280">
        <v>192</v>
      </c>
    </row>
    <row r="751" spans="1:4" ht="15" customHeight="1">
      <c r="A751" s="278" t="str">
        <f t="shared" si="81"/>
        <v>АСУЭ.SEPAM.mMaxI3</v>
      </c>
      <c r="B751" s="688">
        <v>2</v>
      </c>
      <c r="C751" s="688" t="s">
        <v>80</v>
      </c>
      <c r="D751" s="280">
        <v>0</v>
      </c>
    </row>
    <row r="752" spans="1:4" ht="15" customHeight="1">
      <c r="A752" s="281" t="str">
        <f t="shared" si="81"/>
        <v>АСУЭ.SEPAM.mMaxI3</v>
      </c>
      <c r="B752" s="282">
        <v>1</v>
      </c>
      <c r="C752" s="282" t="s">
        <v>1</v>
      </c>
      <c r="D752" s="283">
        <v>4</v>
      </c>
    </row>
    <row r="753" spans="1:20" ht="15" customHeight="1">
      <c r="A753" s="275" t="str">
        <f t="shared" ref="A753:A758" si="82">$R$2&amp;".mMaxPM"</f>
        <v>АСУЭ.SEPAM.mMaxPM</v>
      </c>
      <c r="B753" s="276">
        <v>7999</v>
      </c>
      <c r="C753" s="276" t="s">
        <v>0</v>
      </c>
      <c r="D753" s="277" t="str">
        <f>"#"&amp;$S$2&amp;"#"&amp;$T$2&amp;"."&amp;$P$2&amp;".MaxPM"</f>
        <v>#3#\\Setup_rza\Modbus.OPCServer\ZRU_Sepam.VV1_Sepam_S82.MaxPM</v>
      </c>
    </row>
    <row r="754" spans="1:20" ht="15" customHeight="1">
      <c r="A754" s="278" t="str">
        <f t="shared" si="82"/>
        <v>АСУЭ.SEPAM.mMaxPM</v>
      </c>
      <c r="B754" s="688">
        <v>7998</v>
      </c>
      <c r="C754" s="688" t="s">
        <v>6</v>
      </c>
      <c r="D754" s="280">
        <v>1</v>
      </c>
    </row>
    <row r="755" spans="1:20" ht="15" customHeight="1">
      <c r="A755" s="278" t="str">
        <f t="shared" si="82"/>
        <v>АСУЭ.SEPAM.mMaxPM</v>
      </c>
      <c r="B755" s="688">
        <v>101</v>
      </c>
      <c r="C755" s="688" t="s">
        <v>0</v>
      </c>
      <c r="D755" s="280" t="s">
        <v>370</v>
      </c>
    </row>
    <row r="756" spans="1:20" ht="15" customHeight="1">
      <c r="A756" s="278" t="str">
        <f t="shared" si="82"/>
        <v>АСУЭ.SEPAM.mMaxPM</v>
      </c>
      <c r="B756" s="688">
        <v>3</v>
      </c>
      <c r="C756" s="688" t="s">
        <v>1</v>
      </c>
      <c r="D756" s="280">
        <v>192</v>
      </c>
    </row>
    <row r="757" spans="1:20" ht="15" customHeight="1">
      <c r="A757" s="278" t="str">
        <f t="shared" si="82"/>
        <v>АСУЭ.SEPAM.mMaxPM</v>
      </c>
      <c r="B757" s="688">
        <v>2</v>
      </c>
      <c r="C757" s="688" t="s">
        <v>80</v>
      </c>
      <c r="D757" s="280">
        <v>0</v>
      </c>
    </row>
    <row r="758" spans="1:20" ht="15" customHeight="1">
      <c r="A758" s="281" t="str">
        <f t="shared" si="82"/>
        <v>АСУЭ.SEPAM.mMaxPM</v>
      </c>
      <c r="B758" s="282">
        <v>1</v>
      </c>
      <c r="C758" s="282" t="s">
        <v>1</v>
      </c>
      <c r="D758" s="283">
        <v>4</v>
      </c>
    </row>
    <row r="759" spans="1:20" ht="15" customHeight="1">
      <c r="A759" s="275" t="str">
        <f t="shared" ref="A759:A764" si="83">$R$2&amp;".mMaxQM"</f>
        <v>АСУЭ.SEPAM.mMaxQM</v>
      </c>
      <c r="B759" s="276">
        <v>7999</v>
      </c>
      <c r="C759" s="276" t="s">
        <v>0</v>
      </c>
      <c r="D759" s="277" t="str">
        <f>"#"&amp;$S$2&amp;"#"&amp;$T$2&amp;"."&amp;$P$2&amp;".MaxQM"</f>
        <v>#3#\\Setup_rza\Modbus.OPCServer\ZRU_Sepam.VV1_Sepam_S82.MaxQM</v>
      </c>
    </row>
    <row r="760" spans="1:20" ht="15" customHeight="1">
      <c r="A760" s="278" t="str">
        <f t="shared" si="83"/>
        <v>АСУЭ.SEPAM.mMaxQM</v>
      </c>
      <c r="B760" s="688">
        <v>7998</v>
      </c>
      <c r="C760" s="688" t="s">
        <v>6</v>
      </c>
      <c r="D760" s="280">
        <v>1</v>
      </c>
    </row>
    <row r="761" spans="1:20" ht="15" customHeight="1">
      <c r="A761" s="278" t="str">
        <f t="shared" si="83"/>
        <v>АСУЭ.SEPAM.mMaxQM</v>
      </c>
      <c r="B761" s="688">
        <v>101</v>
      </c>
      <c r="C761" s="688" t="s">
        <v>0</v>
      </c>
      <c r="D761" s="280" t="s">
        <v>371</v>
      </c>
    </row>
    <row r="762" spans="1:20" ht="15" customHeight="1">
      <c r="A762" s="278" t="str">
        <f t="shared" si="83"/>
        <v>АСУЭ.SEPAM.mMaxQM</v>
      </c>
      <c r="B762" s="688">
        <v>3</v>
      </c>
      <c r="C762" s="688" t="s">
        <v>1</v>
      </c>
      <c r="D762" s="280">
        <v>192</v>
      </c>
    </row>
    <row r="763" spans="1:20" ht="15" customHeight="1">
      <c r="A763" s="278" t="str">
        <f t="shared" si="83"/>
        <v>АСУЭ.SEPAM.mMaxQM</v>
      </c>
      <c r="B763" s="688">
        <v>2</v>
      </c>
      <c r="C763" s="688" t="s">
        <v>80</v>
      </c>
      <c r="D763" s="280">
        <v>0</v>
      </c>
      <c r="Q763" s="1"/>
      <c r="R763" s="1"/>
      <c r="S763" s="1"/>
      <c r="T763" s="1"/>
    </row>
    <row r="764" spans="1:20" ht="15" customHeight="1">
      <c r="A764" s="281" t="str">
        <f t="shared" si="83"/>
        <v>АСУЭ.SEPAM.mMaxQM</v>
      </c>
      <c r="B764" s="282">
        <v>1</v>
      </c>
      <c r="C764" s="282" t="s">
        <v>1</v>
      </c>
      <c r="D764" s="283">
        <v>4</v>
      </c>
      <c r="Q764" s="1"/>
      <c r="R764" s="1"/>
      <c r="S764" s="1"/>
      <c r="T764" s="1"/>
    </row>
    <row r="765" spans="1:20" ht="15" customHeight="1">
      <c r="A765" s="275" t="str">
        <f t="shared" ref="A765:A770" si="84">$R$2&amp;".mVi"</f>
        <v>АСУЭ.SEPAM.mVi</v>
      </c>
      <c r="B765" s="276">
        <v>7999</v>
      </c>
      <c r="C765" s="276" t="s">
        <v>0</v>
      </c>
      <c r="D765" s="277" t="str">
        <f>"#"&amp;$S$2&amp;"#"&amp;$T$2&amp;"."&amp;$P$2&amp;".Vi"</f>
        <v>#3#\\Setup_rza\Modbus.OPCServer\ZRU_Sepam.VV1_Sepam_S82.Vi</v>
      </c>
      <c r="Q765" s="1"/>
      <c r="R765" s="1"/>
      <c r="S765" s="1"/>
      <c r="T765" s="1"/>
    </row>
    <row r="766" spans="1:20" ht="15" customHeight="1">
      <c r="A766" s="278" t="str">
        <f t="shared" si="84"/>
        <v>АСУЭ.SEPAM.mVi</v>
      </c>
      <c r="B766" s="688">
        <v>7998</v>
      </c>
      <c r="C766" s="688" t="s">
        <v>6</v>
      </c>
      <c r="D766" s="280">
        <v>1</v>
      </c>
      <c r="Q766" s="1"/>
      <c r="R766" s="1"/>
      <c r="S766" s="1"/>
      <c r="T766" s="1"/>
    </row>
    <row r="767" spans="1:20" ht="15" customHeight="1">
      <c r="A767" s="278" t="str">
        <f t="shared" si="84"/>
        <v>АСУЭ.SEPAM.mVi</v>
      </c>
      <c r="B767" s="688">
        <v>101</v>
      </c>
      <c r="C767" s="688" t="s">
        <v>0</v>
      </c>
      <c r="D767" s="280" t="s">
        <v>372</v>
      </c>
      <c r="Q767" s="1"/>
      <c r="R767" s="1"/>
      <c r="S767" s="1"/>
      <c r="T767" s="1"/>
    </row>
    <row r="768" spans="1:20" ht="15" customHeight="1">
      <c r="A768" s="278" t="str">
        <f t="shared" si="84"/>
        <v>АСУЭ.SEPAM.mVi</v>
      </c>
      <c r="B768" s="688">
        <v>3</v>
      </c>
      <c r="C768" s="688" t="s">
        <v>1</v>
      </c>
      <c r="D768" s="280">
        <v>192</v>
      </c>
      <c r="Q768" s="1"/>
      <c r="R768" s="1"/>
      <c r="S768" s="1"/>
      <c r="T768" s="1"/>
    </row>
    <row r="769" spans="1:20" ht="15" customHeight="1">
      <c r="A769" s="278" t="str">
        <f t="shared" si="84"/>
        <v>АСУЭ.SEPAM.mVi</v>
      </c>
      <c r="B769" s="688">
        <v>2</v>
      </c>
      <c r="C769" s="688" t="s">
        <v>80</v>
      </c>
      <c r="D769" s="280">
        <v>0</v>
      </c>
      <c r="Q769" s="1"/>
      <c r="R769" s="1"/>
      <c r="S769" s="1"/>
      <c r="T769" s="1"/>
    </row>
    <row r="770" spans="1:20" ht="15" customHeight="1">
      <c r="A770" s="281" t="str">
        <f t="shared" si="84"/>
        <v>АСУЭ.SEPAM.mVi</v>
      </c>
      <c r="B770" s="282">
        <v>1</v>
      </c>
      <c r="C770" s="282" t="s">
        <v>1</v>
      </c>
      <c r="D770" s="283">
        <v>4</v>
      </c>
      <c r="Q770" s="1"/>
      <c r="R770" s="1"/>
      <c r="S770" s="1"/>
      <c r="T770" s="1"/>
    </row>
    <row r="771" spans="1:20" ht="15" customHeight="1">
      <c r="A771" s="275" t="str">
        <f t="shared" ref="A771:A776" si="85">$R$2&amp;".mVo"</f>
        <v>АСУЭ.SEPAM.mVo</v>
      </c>
      <c r="B771" s="276">
        <v>7999</v>
      </c>
      <c r="C771" s="276" t="s">
        <v>0</v>
      </c>
      <c r="D771" s="277" t="str">
        <f>"#"&amp;$S$2&amp;"#"&amp;$T$2&amp;"."&amp;$P$2&amp;".V0"</f>
        <v>#3#\\Setup_rza\Modbus.OPCServer\ZRU_Sepam.VV1_Sepam_S82.V0</v>
      </c>
      <c r="Q771" s="1"/>
      <c r="R771" s="1"/>
      <c r="S771" s="1"/>
      <c r="T771" s="1"/>
    </row>
    <row r="772" spans="1:20" ht="15" customHeight="1">
      <c r="A772" s="278" t="str">
        <f t="shared" si="85"/>
        <v>АСУЭ.SEPAM.mVo</v>
      </c>
      <c r="B772" s="688">
        <v>7998</v>
      </c>
      <c r="C772" s="688" t="s">
        <v>6</v>
      </c>
      <c r="D772" s="280">
        <v>1</v>
      </c>
      <c r="Q772" s="1"/>
      <c r="R772" s="1"/>
      <c r="S772" s="1"/>
      <c r="T772" s="1"/>
    </row>
    <row r="773" spans="1:20" ht="15" customHeight="1">
      <c r="A773" s="278" t="str">
        <f t="shared" si="85"/>
        <v>АСУЭ.SEPAM.mVo</v>
      </c>
      <c r="B773" s="688">
        <v>101</v>
      </c>
      <c r="C773" s="688" t="s">
        <v>0</v>
      </c>
      <c r="D773" s="280" t="s">
        <v>373</v>
      </c>
      <c r="Q773" s="1"/>
      <c r="R773" s="1"/>
      <c r="S773" s="1"/>
      <c r="T773" s="1"/>
    </row>
    <row r="774" spans="1:20" ht="15" customHeight="1">
      <c r="A774" s="278" t="str">
        <f t="shared" si="85"/>
        <v>АСУЭ.SEPAM.mVo</v>
      </c>
      <c r="B774" s="688">
        <v>3</v>
      </c>
      <c r="C774" s="688" t="s">
        <v>1</v>
      </c>
      <c r="D774" s="280">
        <v>192</v>
      </c>
      <c r="Q774" s="1"/>
      <c r="R774" s="1"/>
      <c r="S774" s="1"/>
      <c r="T774" s="1"/>
    </row>
    <row r="775" spans="1:20" ht="15" customHeight="1">
      <c r="A775" s="278" t="str">
        <f t="shared" si="85"/>
        <v>АСУЭ.SEPAM.mVo</v>
      </c>
      <c r="B775" s="688">
        <v>2</v>
      </c>
      <c r="C775" s="688" t="s">
        <v>80</v>
      </c>
      <c r="D775" s="280">
        <v>0</v>
      </c>
      <c r="Q775" s="1"/>
      <c r="R775" s="1"/>
      <c r="S775" s="1"/>
      <c r="T775" s="1"/>
    </row>
    <row r="776" spans="1:20" ht="15" customHeight="1">
      <c r="A776" s="281" t="str">
        <f t="shared" si="85"/>
        <v>АСУЭ.SEPAM.mVo</v>
      </c>
      <c r="B776" s="282">
        <v>1</v>
      </c>
      <c r="C776" s="282" t="s">
        <v>1</v>
      </c>
      <c r="D776" s="283">
        <v>4</v>
      </c>
      <c r="Q776" s="1"/>
      <c r="R776" s="1"/>
      <c r="S776" s="1"/>
      <c r="T776" s="1"/>
    </row>
    <row r="777" spans="1:20" ht="15" customHeight="1">
      <c r="A777" s="275" t="str">
        <f t="shared" ref="A777:A782" si="86">$R$2&amp;".mVd"</f>
        <v>АСУЭ.SEPAM.mVd</v>
      </c>
      <c r="B777" s="276">
        <v>7999</v>
      </c>
      <c r="C777" s="276" t="s">
        <v>0</v>
      </c>
      <c r="D777" s="277" t="str">
        <f>"#"&amp;$S$2&amp;"#"&amp;$T$2&amp;"."&amp;$P$2&amp;".Vd"</f>
        <v>#3#\\Setup_rza\Modbus.OPCServer\ZRU_Sepam.VV1_Sepam_S82.Vd</v>
      </c>
      <c r="Q777" s="1"/>
      <c r="R777" s="1"/>
      <c r="S777" s="1"/>
      <c r="T777" s="1"/>
    </row>
    <row r="778" spans="1:20" ht="15" customHeight="1">
      <c r="A778" s="278" t="str">
        <f t="shared" si="86"/>
        <v>АСУЭ.SEPAM.mVd</v>
      </c>
      <c r="B778" s="688">
        <v>7998</v>
      </c>
      <c r="C778" s="688" t="s">
        <v>6</v>
      </c>
      <c r="D778" s="280">
        <v>1</v>
      </c>
      <c r="Q778" s="1"/>
      <c r="R778" s="1"/>
      <c r="S778" s="1"/>
      <c r="T778" s="1"/>
    </row>
    <row r="779" spans="1:20" ht="15" customHeight="1">
      <c r="A779" s="278" t="str">
        <f t="shared" si="86"/>
        <v>АСУЭ.SEPAM.mVd</v>
      </c>
      <c r="B779" s="688">
        <v>101</v>
      </c>
      <c r="C779" s="688" t="s">
        <v>0</v>
      </c>
      <c r="D779" s="280" t="s">
        <v>374</v>
      </c>
      <c r="Q779" s="1"/>
      <c r="R779" s="1"/>
      <c r="S779" s="1"/>
      <c r="T779" s="1"/>
    </row>
    <row r="780" spans="1:20" ht="15" customHeight="1">
      <c r="A780" s="278" t="str">
        <f t="shared" si="86"/>
        <v>АСУЭ.SEPAM.mVd</v>
      </c>
      <c r="B780" s="688">
        <v>3</v>
      </c>
      <c r="C780" s="688" t="s">
        <v>1</v>
      </c>
      <c r="D780" s="280">
        <v>192</v>
      </c>
      <c r="Q780" s="1"/>
      <c r="R780" s="1"/>
      <c r="S780" s="1"/>
      <c r="T780" s="1"/>
    </row>
    <row r="781" spans="1:20" ht="15" customHeight="1">
      <c r="A781" s="278" t="str">
        <f t="shared" si="86"/>
        <v>АСУЭ.SEPAM.mVd</v>
      </c>
      <c r="B781" s="688">
        <v>2</v>
      </c>
      <c r="C781" s="688" t="s">
        <v>80</v>
      </c>
      <c r="D781" s="280">
        <v>0</v>
      </c>
    </row>
    <row r="782" spans="1:20" ht="15" customHeight="1">
      <c r="A782" s="281" t="str">
        <f t="shared" si="86"/>
        <v>АСУЭ.SEPAM.mVd</v>
      </c>
      <c r="B782" s="282">
        <v>1</v>
      </c>
      <c r="C782" s="282" t="s">
        <v>1</v>
      </c>
      <c r="D782" s="283">
        <v>4</v>
      </c>
    </row>
    <row r="783" spans="1:20" ht="15" customHeight="1">
      <c r="A783" s="275" t="str">
        <f t="shared" ref="A783:A788" si="87">$R$2&amp;".mP"</f>
        <v>АСУЭ.SEPAM.mP</v>
      </c>
      <c r="B783" s="276">
        <v>7999</v>
      </c>
      <c r="C783" s="276" t="s">
        <v>0</v>
      </c>
      <c r="D783" s="277" t="str">
        <f>"#"&amp;$S$2&amp;"#"&amp;$T$2&amp;"."&amp;$P$2&amp;".P"</f>
        <v>#3#\\Setup_rza\Modbus.OPCServer\ZRU_Sepam.VV1_Sepam_S82.P</v>
      </c>
    </row>
    <row r="784" spans="1:20" ht="15" customHeight="1">
      <c r="A784" s="278" t="str">
        <f t="shared" si="87"/>
        <v>АСУЭ.SEPAM.mP</v>
      </c>
      <c r="B784" s="688">
        <v>7998</v>
      </c>
      <c r="C784" s="688" t="s">
        <v>6</v>
      </c>
      <c r="D784" s="280">
        <v>1</v>
      </c>
    </row>
    <row r="785" spans="1:4" ht="15" customHeight="1">
      <c r="A785" s="278" t="str">
        <f t="shared" si="87"/>
        <v>АСУЭ.SEPAM.mP</v>
      </c>
      <c r="B785" s="688">
        <v>101</v>
      </c>
      <c r="C785" s="688" t="s">
        <v>0</v>
      </c>
      <c r="D785" s="280" t="s">
        <v>375</v>
      </c>
    </row>
    <row r="786" spans="1:4" ht="15" customHeight="1">
      <c r="A786" s="278" t="str">
        <f t="shared" si="87"/>
        <v>АСУЭ.SEPAM.mP</v>
      </c>
      <c r="B786" s="688">
        <v>3</v>
      </c>
      <c r="C786" s="688" t="s">
        <v>1</v>
      </c>
      <c r="D786" s="280">
        <v>192</v>
      </c>
    </row>
    <row r="787" spans="1:4" ht="15" customHeight="1">
      <c r="A787" s="278" t="str">
        <f t="shared" si="87"/>
        <v>АСУЭ.SEPAM.mP</v>
      </c>
      <c r="B787" s="688">
        <v>2</v>
      </c>
      <c r="C787" s="688" t="s">
        <v>80</v>
      </c>
      <c r="D787" s="280">
        <v>0</v>
      </c>
    </row>
    <row r="788" spans="1:4" ht="15" customHeight="1">
      <c r="A788" s="281" t="str">
        <f t="shared" si="87"/>
        <v>АСУЭ.SEPAM.mP</v>
      </c>
      <c r="B788" s="282">
        <v>1</v>
      </c>
      <c r="C788" s="282" t="s">
        <v>1</v>
      </c>
      <c r="D788" s="283">
        <v>4</v>
      </c>
    </row>
    <row r="789" spans="1:4" ht="15" customHeight="1">
      <c r="A789" s="275" t="str">
        <f t="shared" ref="A789:A794" si="88">$R$2&amp;".mQ"</f>
        <v>АСУЭ.SEPAM.mQ</v>
      </c>
      <c r="B789" s="276">
        <v>7999</v>
      </c>
      <c r="C789" s="276" t="s">
        <v>0</v>
      </c>
      <c r="D789" s="277" t="str">
        <f>"#"&amp;$S$2&amp;"#"&amp;$T$2&amp;"."&amp;$P$2&amp;".Q"</f>
        <v>#3#\\Setup_rza\Modbus.OPCServer\ZRU_Sepam.VV1_Sepam_S82.Q</v>
      </c>
    </row>
    <row r="790" spans="1:4" ht="15" customHeight="1">
      <c r="A790" s="278" t="str">
        <f t="shared" si="88"/>
        <v>АСУЭ.SEPAM.mQ</v>
      </c>
      <c r="B790" s="688">
        <v>7998</v>
      </c>
      <c r="C790" s="688" t="s">
        <v>6</v>
      </c>
      <c r="D790" s="280">
        <v>1</v>
      </c>
    </row>
    <row r="791" spans="1:4" ht="15" customHeight="1">
      <c r="A791" s="278" t="str">
        <f t="shared" si="88"/>
        <v>АСУЭ.SEPAM.mQ</v>
      </c>
      <c r="B791" s="688">
        <v>101</v>
      </c>
      <c r="C791" s="688" t="s">
        <v>0</v>
      </c>
      <c r="D791" s="280" t="s">
        <v>376</v>
      </c>
    </row>
    <row r="792" spans="1:4" ht="15" customHeight="1">
      <c r="A792" s="278" t="str">
        <f t="shared" si="88"/>
        <v>АСУЭ.SEPAM.mQ</v>
      </c>
      <c r="B792" s="688">
        <v>3</v>
      </c>
      <c r="C792" s="688" t="s">
        <v>1</v>
      </c>
      <c r="D792" s="280">
        <v>192</v>
      </c>
    </row>
    <row r="793" spans="1:4" ht="15" customHeight="1">
      <c r="A793" s="278" t="str">
        <f t="shared" si="88"/>
        <v>АСУЭ.SEPAM.mQ</v>
      </c>
      <c r="B793" s="688">
        <v>2</v>
      </c>
      <c r="C793" s="688" t="s">
        <v>80</v>
      </c>
      <c r="D793" s="280">
        <v>0</v>
      </c>
    </row>
    <row r="794" spans="1:4" ht="15" customHeight="1">
      <c r="A794" s="281" t="str">
        <f t="shared" si="88"/>
        <v>АСУЭ.SEPAM.mQ</v>
      </c>
      <c r="B794" s="282">
        <v>1</v>
      </c>
      <c r="C794" s="282" t="s">
        <v>1</v>
      </c>
      <c r="D794" s="283">
        <v>4</v>
      </c>
    </row>
    <row r="795" spans="1:4" ht="15" customHeight="1">
      <c r="A795" s="275" t="str">
        <f t="shared" ref="A795:A800" si="89">$R$2&amp;".mS"</f>
        <v>АСУЭ.SEPAM.mS</v>
      </c>
      <c r="B795" s="276">
        <v>7999</v>
      </c>
      <c r="C795" s="276" t="s">
        <v>0</v>
      </c>
      <c r="D795" s="277" t="str">
        <f>"#"&amp;$S$2&amp;"#"&amp;$T$2&amp;"."&amp;$P$2&amp;".S"</f>
        <v>#3#\\Setup_rza\Modbus.OPCServer\ZRU_Sepam.VV1_Sepam_S82.S</v>
      </c>
    </row>
    <row r="796" spans="1:4" ht="15" customHeight="1">
      <c r="A796" s="278" t="str">
        <f t="shared" si="89"/>
        <v>АСУЭ.SEPAM.mS</v>
      </c>
      <c r="B796" s="688">
        <v>7998</v>
      </c>
      <c r="C796" s="688" t="s">
        <v>6</v>
      </c>
      <c r="D796" s="280">
        <v>1</v>
      </c>
    </row>
    <row r="797" spans="1:4" ht="15" customHeight="1">
      <c r="A797" s="278" t="str">
        <f t="shared" si="89"/>
        <v>АСУЭ.SEPAM.mS</v>
      </c>
      <c r="B797" s="688">
        <v>101</v>
      </c>
      <c r="C797" s="688" t="s">
        <v>0</v>
      </c>
      <c r="D797" s="280" t="s">
        <v>377</v>
      </c>
    </row>
    <row r="798" spans="1:4" ht="15" customHeight="1">
      <c r="A798" s="278" t="str">
        <f t="shared" si="89"/>
        <v>АСУЭ.SEPAM.mS</v>
      </c>
      <c r="B798" s="688">
        <v>3</v>
      </c>
      <c r="C798" s="688" t="s">
        <v>1</v>
      </c>
      <c r="D798" s="280">
        <v>192</v>
      </c>
    </row>
    <row r="799" spans="1:4" ht="15" customHeight="1">
      <c r="A799" s="278" t="str">
        <f t="shared" si="89"/>
        <v>АСУЭ.SEPAM.mS</v>
      </c>
      <c r="B799" s="688">
        <v>2</v>
      </c>
      <c r="C799" s="688" t="s">
        <v>80</v>
      </c>
      <c r="D799" s="280">
        <v>0</v>
      </c>
    </row>
    <row r="800" spans="1:4" ht="15" customHeight="1">
      <c r="A800" s="281" t="str">
        <f t="shared" si="89"/>
        <v>АСУЭ.SEPAM.mS</v>
      </c>
      <c r="B800" s="282">
        <v>1</v>
      </c>
      <c r="C800" s="282" t="s">
        <v>1</v>
      </c>
      <c r="D800" s="283">
        <v>4</v>
      </c>
    </row>
    <row r="801" spans="1:4" ht="15" customHeight="1">
      <c r="A801" s="275" t="str">
        <f t="shared" ref="A801:A806" si="90">$R$2&amp;".mU13"</f>
        <v>АСУЭ.SEPAM.mU13</v>
      </c>
      <c r="B801" s="276">
        <v>7999</v>
      </c>
      <c r="C801" s="276" t="s">
        <v>0</v>
      </c>
      <c r="D801" s="277" t="str">
        <f>"#"&amp;$S$2&amp;"#"&amp;$T$2&amp;"."&amp;$P$2&amp;".U13"</f>
        <v>#3#\\Setup_rza\Modbus.OPCServer\ZRU_Sepam.VV1_Sepam_S82.U13</v>
      </c>
    </row>
    <row r="802" spans="1:4" ht="15" customHeight="1">
      <c r="A802" s="278" t="str">
        <f t="shared" si="90"/>
        <v>АСУЭ.SEPAM.mU13</v>
      </c>
      <c r="B802" s="688">
        <v>7998</v>
      </c>
      <c r="C802" s="688" t="s">
        <v>6</v>
      </c>
      <c r="D802" s="280">
        <v>1</v>
      </c>
    </row>
    <row r="803" spans="1:4" ht="15" customHeight="1">
      <c r="A803" s="278" t="str">
        <f t="shared" si="90"/>
        <v>АСУЭ.SEPAM.mU13</v>
      </c>
      <c r="B803" s="688">
        <v>101</v>
      </c>
      <c r="C803" s="688" t="s">
        <v>0</v>
      </c>
      <c r="D803" s="280" t="s">
        <v>378</v>
      </c>
    </row>
    <row r="804" spans="1:4" ht="15" customHeight="1">
      <c r="A804" s="278" t="str">
        <f t="shared" si="90"/>
        <v>АСУЭ.SEPAM.mU13</v>
      </c>
      <c r="B804" s="688">
        <v>3</v>
      </c>
      <c r="C804" s="688" t="s">
        <v>1</v>
      </c>
      <c r="D804" s="280">
        <v>192</v>
      </c>
    </row>
    <row r="805" spans="1:4" ht="15" customHeight="1">
      <c r="A805" s="278" t="str">
        <f t="shared" si="90"/>
        <v>АСУЭ.SEPAM.mU13</v>
      </c>
      <c r="B805" s="688">
        <v>2</v>
      </c>
      <c r="C805" s="688" t="s">
        <v>80</v>
      </c>
      <c r="D805" s="280">
        <v>0</v>
      </c>
    </row>
    <row r="806" spans="1:4" ht="15" customHeight="1">
      <c r="A806" s="281" t="str">
        <f t="shared" si="90"/>
        <v>АСУЭ.SEPAM.mU13</v>
      </c>
      <c r="B806" s="282">
        <v>1</v>
      </c>
      <c r="C806" s="282" t="s">
        <v>1</v>
      </c>
      <c r="D806" s="283">
        <v>4</v>
      </c>
    </row>
    <row r="807" spans="1:4" ht="15" customHeight="1">
      <c r="A807" s="275" t="str">
        <f t="shared" ref="A807:A812" si="91">$R$2&amp;".mU21"</f>
        <v>АСУЭ.SEPAM.mU21</v>
      </c>
      <c r="B807" s="276">
        <v>7999</v>
      </c>
      <c r="C807" s="276" t="s">
        <v>0</v>
      </c>
      <c r="D807" s="277" t="str">
        <f>"#"&amp;$S$2&amp;"#"&amp;$T$2&amp;"."&amp;$P$2&amp;".U21"</f>
        <v>#3#\\Setup_rza\Modbus.OPCServer\ZRU_Sepam.VV1_Sepam_S82.U21</v>
      </c>
    </row>
    <row r="808" spans="1:4" ht="15" customHeight="1">
      <c r="A808" s="278" t="str">
        <f t="shared" si="91"/>
        <v>АСУЭ.SEPAM.mU21</v>
      </c>
      <c r="B808" s="688">
        <v>7998</v>
      </c>
      <c r="C808" s="688" t="s">
        <v>6</v>
      </c>
      <c r="D808" s="280">
        <v>1</v>
      </c>
    </row>
    <row r="809" spans="1:4" ht="15" customHeight="1">
      <c r="A809" s="278" t="str">
        <f t="shared" si="91"/>
        <v>АСУЭ.SEPAM.mU21</v>
      </c>
      <c r="B809" s="688">
        <v>101</v>
      </c>
      <c r="C809" s="688" t="s">
        <v>0</v>
      </c>
      <c r="D809" s="280" t="s">
        <v>379</v>
      </c>
    </row>
    <row r="810" spans="1:4" ht="15" customHeight="1">
      <c r="A810" s="278" t="str">
        <f t="shared" si="91"/>
        <v>АСУЭ.SEPAM.mU21</v>
      </c>
      <c r="B810" s="688">
        <v>3</v>
      </c>
      <c r="C810" s="688" t="s">
        <v>1</v>
      </c>
      <c r="D810" s="280">
        <v>192</v>
      </c>
    </row>
    <row r="811" spans="1:4" ht="15" customHeight="1">
      <c r="A811" s="278" t="str">
        <f t="shared" si="91"/>
        <v>АСУЭ.SEPAM.mU21</v>
      </c>
      <c r="B811" s="688">
        <v>2</v>
      </c>
      <c r="C811" s="688" t="s">
        <v>80</v>
      </c>
      <c r="D811" s="280">
        <v>0</v>
      </c>
    </row>
    <row r="812" spans="1:4" ht="15" customHeight="1">
      <c r="A812" s="281" t="str">
        <f t="shared" si="91"/>
        <v>АСУЭ.SEPAM.mU21</v>
      </c>
      <c r="B812" s="282">
        <v>1</v>
      </c>
      <c r="C812" s="282" t="s">
        <v>1</v>
      </c>
      <c r="D812" s="283">
        <v>4</v>
      </c>
    </row>
    <row r="813" spans="1:4" ht="15" customHeight="1">
      <c r="A813" s="275" t="str">
        <f t="shared" ref="A813:A818" si="92">$R$2&amp;".mU32"</f>
        <v>АСУЭ.SEPAM.mU32</v>
      </c>
      <c r="B813" s="276">
        <v>7999</v>
      </c>
      <c r="C813" s="276" t="s">
        <v>0</v>
      </c>
      <c r="D813" s="277" t="str">
        <f>"#"&amp;$S$2&amp;"#"&amp;$T$2&amp;"."&amp;$P$2&amp;".U32"</f>
        <v>#3#\\Setup_rza\Modbus.OPCServer\ZRU_Sepam.VV1_Sepam_S82.U32</v>
      </c>
    </row>
    <row r="814" spans="1:4" ht="15" customHeight="1">
      <c r="A814" s="278" t="str">
        <f t="shared" si="92"/>
        <v>АСУЭ.SEPAM.mU32</v>
      </c>
      <c r="B814" s="688">
        <v>7998</v>
      </c>
      <c r="C814" s="688" t="s">
        <v>6</v>
      </c>
      <c r="D814" s="280">
        <v>1</v>
      </c>
    </row>
    <row r="815" spans="1:4" ht="15" customHeight="1">
      <c r="A815" s="278" t="str">
        <f t="shared" si="92"/>
        <v>АСУЭ.SEPAM.mU32</v>
      </c>
      <c r="B815" s="688">
        <v>101</v>
      </c>
      <c r="C815" s="688" t="s">
        <v>0</v>
      </c>
      <c r="D815" s="280" t="s">
        <v>380</v>
      </c>
    </row>
    <row r="816" spans="1:4" ht="15" customHeight="1">
      <c r="A816" s="278" t="str">
        <f t="shared" si="92"/>
        <v>АСУЭ.SEPAM.mU32</v>
      </c>
      <c r="B816" s="688">
        <v>3</v>
      </c>
      <c r="C816" s="688" t="s">
        <v>1</v>
      </c>
      <c r="D816" s="280">
        <v>192</v>
      </c>
    </row>
    <row r="817" spans="1:4" ht="15" customHeight="1">
      <c r="A817" s="278" t="str">
        <f t="shared" si="92"/>
        <v>АСУЭ.SEPAM.mU32</v>
      </c>
      <c r="B817" s="688">
        <v>2</v>
      </c>
      <c r="C817" s="688" t="s">
        <v>80</v>
      </c>
      <c r="D817" s="280">
        <v>0</v>
      </c>
    </row>
    <row r="818" spans="1:4" ht="15" customHeight="1">
      <c r="A818" s="281" t="str">
        <f t="shared" si="92"/>
        <v>АСУЭ.SEPAM.mU32</v>
      </c>
      <c r="B818" s="282">
        <v>1</v>
      </c>
      <c r="C818" s="282" t="s">
        <v>1</v>
      </c>
      <c r="D818" s="283">
        <v>4</v>
      </c>
    </row>
  </sheetData>
  <mergeCells count="1">
    <mergeCell ref="D19:E19"/>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Лист36">
    <tabColor rgb="FFFFC000"/>
  </sheetPr>
  <dimension ref="A1:BP727"/>
  <sheetViews>
    <sheetView topLeftCell="AA1" zoomScale="70" zoomScaleNormal="70" workbookViewId="0">
      <selection activeCell="D2" sqref="D2:D4"/>
    </sheetView>
  </sheetViews>
  <sheetFormatPr defaultRowHeight="14.4"/>
  <cols>
    <col min="1" max="1" width="66.4414062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1" s="258" customFormat="1" ht="204.6" thickBot="1">
      <c r="A1" s="257"/>
      <c r="B1" s="260" t="s">
        <v>84</v>
      </c>
      <c r="C1" s="257"/>
      <c r="D1" s="257"/>
      <c r="E1" s="257"/>
      <c r="F1" s="257"/>
      <c r="P1" s="263" t="str">
        <f>Таблица!D1</f>
        <v>Префикс для TREI
Тэг ОРС для INFINITY</v>
      </c>
      <c r="Q1" s="263" t="str">
        <f>Таблица!E1</f>
        <v>Комментарий для TREI и INFINITY</v>
      </c>
      <c r="R1" s="263" t="str">
        <f>Таблица!F1</f>
        <v>ТЭГ в дереве INFINITY Server</v>
      </c>
      <c r="S1" s="263"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540" t="str">
        <f>Таблица!H1</f>
        <v>OPC путь 
№ маршрута Modbus TCP, Modbus RTU, Modbus over TCP (1-255)
№ КП IEC104 (1-65534)</v>
      </c>
      <c r="U1" s="263" t="str">
        <f>Таблица!I1</f>
        <v>OPC путь</v>
      </c>
      <c r="V1" s="263" t="str">
        <f>Таблица!J1</f>
        <v>Мнемосхема</v>
      </c>
      <c r="W1" s="263"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63"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63" t="str">
        <f>Таблица!M1</f>
        <v>FB_IMt_MON_S, IMt_MON: Только для трансформатора. Цвет нижних обмоток(-ки) при наличии напряжения</v>
      </c>
      <c r="Z1" s="263"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63"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63" t="str">
        <f>Таблица!P1</f>
        <v xml:space="preserve">FB_DI_S, FB_DO_S, DI, DI_DIAG, FB_DO_STB_S: Тип сигнализации (Авария, предупреждение, телесигнализация и тд.)
FB_SHPS_S(SB), FB_BTF_S: Тип сигнализации XFRX
</v>
      </c>
      <c r="AC1" s="263"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63" t="str">
        <f>Таблица!R1</f>
        <v>SEPAM: Тип ячейки (OL,SV,VV,TN)
BMRZ: Тип ячейки (VV,AV)
TOR: Тип ячейки (OL,SV,VV,TN,BK)</v>
      </c>
      <c r="AE1" s="263" t="str">
        <f>Таблица!S1</f>
        <v>Формула для fNoLink.Device</v>
      </c>
      <c r="AF1" s="263">
        <f>Таблица!T1</f>
        <v>0</v>
      </c>
      <c r="AG1" s="263">
        <f>Таблица!U1</f>
        <v>0</v>
      </c>
      <c r="AH1" s="263">
        <f>Таблица!V1</f>
        <v>0</v>
      </c>
      <c r="AI1" s="263">
        <f>Таблица!W1</f>
        <v>0</v>
      </c>
      <c r="AJ1" s="263">
        <f>Таблица!X1</f>
        <v>0</v>
      </c>
      <c r="AK1" s="541" t="str">
        <f>Таблица!Y1</f>
        <v>FB_AI_S, FB_DI_S, FB_QSA_S, FB_DO_S, FB_SHPS_S, FB_SHOP_S, FB_BTF_S: IVXX
FB_KL_UPT_S: ISON
SW_S301, SW_MES3508: Подключение к порту 1
SW_MAYAK: Подключение к порту 1,2 (через "\")
DI_DIAG, DO_DIAG: XVLX</v>
      </c>
      <c r="AL1" s="541"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541"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541" t="str">
        <f>Таблица!AB1</f>
        <v>FB_IMstp_S, FB_IMsp_S, FB_IMs_S, FB_REG_S, FB_IM_ADES_S : ILCX
SW_S301: Подключение к порту 4
SW_MAYAK, SW_MES3508: Подключение к порту 7,8 (через "\")</v>
      </c>
      <c r="AO1" s="542" t="str">
        <f>Таблица!AC1</f>
        <v xml:space="preserve">FB_IMstp_S, FB_IMsp_S, FB_IMs_S, FB_IMp_S, FB_IMv_S, FB_REG_S, FB_IM_ADES_S, FB_DO_S : IRCX
SW_S301, SW_MES3508: Подключение к порту 5
SW_MAYAK: Подключение к порту 9,10 (через "\")
</v>
      </c>
      <c r="AP1" s="542"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542"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542" t="str">
        <f>Таблица!AF1</f>
        <v xml:space="preserve">FB_IMstp_S, FB_IMsp_S, FB_IMs_S, FB_IMp_S, FB_IMv_S, FB_IM_ADES_S, FB_OZK_KD_S, FB_DO_S: OXOF
SW_S301, SW_MES3508: Подключение к порту 8
SW_MAYAK: Подключение к порту 15,16 (через "\")
</v>
      </c>
      <c r="AS1" s="542" t="str">
        <f>Таблица!AG1</f>
        <v xml:space="preserve">FB_IM_ADES_S, FB_IMp_S, FB_IMv_S: OXSP
FB_IMstp_S, FB_IMsp_S, FB_IMsp_MON_S: IPTC
SW_S301, SW_MES3508: Подключение к порту 9
SW_MAYAK: Подключение к порту 17,18 (через "\")
</v>
      </c>
      <c r="AT1" s="542" t="str">
        <f>Таблица!AH1</f>
        <v xml:space="preserve">FB_IMstp_S, FB_IMst_MON_S, FB_IMt_MON_S: ITON
FB_IM_ADES_S: IOLD
SW_S301, SW_MES3508: Подключение к порту 10
SW_MAYAK: Подключение к порту 19,20 (через "\")
</v>
      </c>
      <c r="AU1" s="542" t="str">
        <f>Таблица!AI1</f>
        <v>FB_IMstp_S, FB_IMst_MON_S, FB_IMt_MON_S: ITOF
FB_IM_ADES_S: IRAD
SW_MAYAK: Подключение к порту 21,22 (через "\")</v>
      </c>
      <c r="AV1" s="542" t="str">
        <f>Таблица!AJ1</f>
        <v xml:space="preserve">FB_IMstp_S, FB_IMsp_S, FB_IMsp_MON_S, FB_IM_ADES_S: IPTO
SW_MAYAK: Подключение к порту 23,24 (через "\")
</v>
      </c>
      <c r="AW1" s="261"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61" t="str">
        <f>Таблица!AL1</f>
        <v>Для TREI
FB_IMstp_S, FB_IMs_S, FB_IMp_S, FB_IMv_S, FB_IM_ADES_S: Настройка перехода ручной-/автоматический-(TRUE/FALSE) 
FB_DI_S: Генерировать метки времени (TRUE/FALSE)</v>
      </c>
      <c r="AY1" s="261"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61" t="str">
        <f>Таблица!AN1</f>
        <v>Для TREI
FB_AI_S, FB_QSA_S: Верхний предел датчика
FB_IMp_S, FB_IMv_S, FB_IM_ADES_S, FB_OZK_KD_S: Время перестановки</v>
      </c>
      <c r="BA1" s="261"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F1" s="259"/>
      <c r="BG1" s="259"/>
      <c r="BH1" s="259"/>
      <c r="BI1" s="259"/>
    </row>
    <row r="2" spans="1:61" ht="15" customHeight="1">
      <c r="A2" s="9"/>
      <c r="B2" s="9"/>
      <c r="C2" s="9"/>
      <c r="D2" s="9"/>
      <c r="E2" s="9"/>
      <c r="F2" s="9"/>
      <c r="P2" s="2" t="s">
        <v>502</v>
      </c>
      <c r="Q2" s="2" t="s">
        <v>331</v>
      </c>
      <c r="R2" s="2" t="s">
        <v>747</v>
      </c>
      <c r="S2" s="3">
        <v>3</v>
      </c>
      <c r="T2" s="3" t="s">
        <v>1699</v>
      </c>
      <c r="U2" s="3"/>
      <c r="V2" s="3" t="s">
        <v>569</v>
      </c>
      <c r="W2" s="12"/>
      <c r="X2" s="12"/>
      <c r="Y2" s="12"/>
      <c r="Z2" s="12"/>
      <c r="AA2" s="12"/>
      <c r="AB2" s="2"/>
      <c r="AC2" s="2"/>
      <c r="AD2" s="2" t="s">
        <v>1474</v>
      </c>
      <c r="AE2" s="2" t="s">
        <v>1414</v>
      </c>
      <c r="AF2" s="2"/>
      <c r="AG2" s="2"/>
      <c r="AH2" s="2"/>
      <c r="AI2" s="2"/>
      <c r="AJ2" s="2"/>
      <c r="AK2" s="2"/>
      <c r="AL2" s="2"/>
      <c r="AM2" s="2"/>
      <c r="AN2" s="2"/>
      <c r="AO2" s="2"/>
      <c r="AP2" s="2"/>
      <c r="AQ2" s="2"/>
      <c r="AR2" s="2"/>
      <c r="AS2" s="2"/>
      <c r="AT2" s="2"/>
      <c r="AU2" s="2"/>
      <c r="AV2" s="2"/>
      <c r="AW2" s="2"/>
      <c r="AX2" s="2"/>
      <c r="AY2" s="2"/>
      <c r="AZ2" s="2"/>
      <c r="BA2" s="2"/>
      <c r="BF2" s="4"/>
      <c r="BG2" s="4"/>
      <c r="BH2" s="4"/>
      <c r="BI2" s="4"/>
    </row>
    <row r="3" spans="1:61" ht="15" customHeight="1">
      <c r="A3" s="9"/>
      <c r="B3" s="9"/>
      <c r="C3" s="9"/>
      <c r="D3" s="9"/>
      <c r="E3" s="9"/>
      <c r="F3" s="9"/>
      <c r="P3" s="10"/>
      <c r="Q3" s="10"/>
      <c r="R3" s="10"/>
      <c r="S3" s="10"/>
      <c r="T3" s="10"/>
      <c r="U3" s="10"/>
      <c r="V3" s="10"/>
      <c r="W3" s="10"/>
      <c r="X3" s="10"/>
      <c r="Y3" s="10"/>
      <c r="Z3" s="10"/>
      <c r="AA3" s="10"/>
      <c r="BF3" s="4"/>
      <c r="BG3" s="4"/>
      <c r="BH3" s="4"/>
      <c r="BI3" s="4"/>
    </row>
    <row r="4" spans="1:61"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609"/>
      <c r="V4" s="10"/>
      <c r="W4" s="10"/>
      <c r="X4" s="10"/>
      <c r="Y4" s="10"/>
      <c r="Z4" s="10"/>
      <c r="AA4" s="10"/>
      <c r="BF4" s="4"/>
      <c r="BG4" s="4"/>
      <c r="BH4" s="4"/>
      <c r="BI4" s="4"/>
    </row>
    <row r="5" spans="1:61" ht="15" customHeight="1">
      <c r="A5" s="9"/>
      <c r="B5" s="9"/>
      <c r="C5" s="9"/>
      <c r="D5" s="9"/>
      <c r="E5" s="9"/>
      <c r="F5" s="9"/>
      <c r="P5" s="6" t="str">
        <f>Настройки!A2</f>
        <v>Авария</v>
      </c>
      <c r="Q5" s="5">
        <f>Настройки!B2</f>
        <v>4</v>
      </c>
      <c r="R5" s="543" t="str">
        <f>Настройки!C2</f>
        <v>Авария</v>
      </c>
      <c r="S5" s="10"/>
      <c r="T5" s="458">
        <f>Настройки!M12</f>
        <v>1</v>
      </c>
      <c r="U5" s="610"/>
      <c r="V5" s="10"/>
      <c r="W5" s="10"/>
      <c r="X5" s="10"/>
      <c r="Y5" s="10"/>
      <c r="Z5" s="10"/>
      <c r="AA5" s="10"/>
      <c r="BF5" s="4"/>
      <c r="BG5" s="4"/>
      <c r="BH5" s="4"/>
      <c r="BI5" s="4"/>
    </row>
    <row r="6" spans="1:61" ht="15" customHeight="1">
      <c r="A6" s="9"/>
      <c r="B6" s="9"/>
      <c r="C6" s="9"/>
      <c r="D6" s="9"/>
      <c r="E6" s="9"/>
      <c r="F6" s="9"/>
      <c r="P6" s="6" t="str">
        <f>Настройки!A3</f>
        <v>Предупреждение</v>
      </c>
      <c r="Q6" s="5">
        <f>Настройки!B3</f>
        <v>8</v>
      </c>
      <c r="R6" s="543" t="str">
        <f>Настройки!C3</f>
        <v>Предупреждение</v>
      </c>
      <c r="S6" s="10"/>
      <c r="T6" s="608" t="str">
        <f>Настройки!$M$7</f>
        <v>Отображение Таблицы подлючений в диаг.</v>
      </c>
      <c r="U6" s="10"/>
      <c r="V6" s="10"/>
      <c r="W6" s="10"/>
      <c r="X6" s="10"/>
      <c r="Y6" s="10"/>
      <c r="Z6" s="10"/>
      <c r="AA6" s="10"/>
      <c r="BF6" s="4"/>
      <c r="BG6" s="4"/>
      <c r="BH6" s="4"/>
      <c r="BI6" s="4"/>
    </row>
    <row r="7" spans="1:61" ht="15" customHeight="1">
      <c r="A7" s="9"/>
      <c r="B7" s="9"/>
      <c r="C7" s="9"/>
      <c r="D7" s="9"/>
      <c r="E7" s="9"/>
      <c r="F7" s="9"/>
      <c r="P7" s="6" t="str">
        <f>Настройки!A4</f>
        <v>Неисправность</v>
      </c>
      <c r="Q7" s="5">
        <f>Настройки!B4</f>
        <v>12</v>
      </c>
      <c r="R7" s="543" t="str">
        <f>Настройки!C4</f>
        <v>Неисправность</v>
      </c>
      <c r="S7" s="10"/>
      <c r="T7" s="458" t="b">
        <f>Настройки!$M$8</f>
        <v>0</v>
      </c>
      <c r="U7" s="10"/>
      <c r="V7" s="10"/>
      <c r="W7" s="10"/>
      <c r="X7" s="10"/>
      <c r="Y7" s="10"/>
      <c r="Z7" s="10"/>
      <c r="AA7" s="10"/>
      <c r="BF7" s="4"/>
      <c r="BG7" s="4"/>
      <c r="BH7" s="4"/>
      <c r="BI7" s="4"/>
    </row>
    <row r="8" spans="1:61" ht="15" customHeight="1">
      <c r="A8" s="9"/>
      <c r="B8" s="9"/>
      <c r="C8" s="9"/>
      <c r="D8" s="9"/>
      <c r="E8" s="9"/>
      <c r="F8" s="9"/>
      <c r="P8" s="6" t="str">
        <f>Настройки!A5</f>
        <v>Телесигнализация</v>
      </c>
      <c r="Q8" s="5">
        <f>Настройки!B5</f>
        <v>18</v>
      </c>
      <c r="R8" s="543" t="str">
        <f>Настройки!C5</f>
        <v>Телесигнализация</v>
      </c>
      <c r="S8" s="10"/>
      <c r="T8" s="10"/>
      <c r="U8" s="10"/>
      <c r="V8" s="10"/>
      <c r="W8" s="10"/>
      <c r="X8" s="10"/>
      <c r="Y8" s="10"/>
      <c r="Z8" s="10"/>
      <c r="AA8" s="10"/>
      <c r="BF8" s="4"/>
      <c r="BG8" s="4"/>
      <c r="BH8" s="4"/>
      <c r="BI8" s="4"/>
    </row>
    <row r="9" spans="1:61" ht="15" customHeight="1">
      <c r="A9" s="9"/>
      <c r="B9" s="9"/>
      <c r="C9" s="9"/>
      <c r="D9" s="9"/>
      <c r="E9" s="9"/>
      <c r="F9" s="9"/>
      <c r="P9" s="6" t="str">
        <f>Настройки!A6</f>
        <v>Недостоверность</v>
      </c>
      <c r="Q9" s="5">
        <f>Настройки!B6</f>
        <v>10</v>
      </c>
      <c r="R9" s="543" t="str">
        <f>Настройки!C6</f>
        <v>Недостоверность</v>
      </c>
      <c r="S9" s="10"/>
      <c r="T9" s="10"/>
      <c r="U9" s="10"/>
      <c r="V9" s="10"/>
      <c r="W9" s="10"/>
      <c r="X9" s="10"/>
      <c r="Y9" s="10"/>
      <c r="Z9" s="10"/>
      <c r="AA9" s="10"/>
      <c r="BF9" s="4"/>
      <c r="BG9" s="4"/>
      <c r="BH9" s="4"/>
      <c r="BI9" s="4"/>
    </row>
    <row r="10" spans="1:61" ht="15" customHeight="1">
      <c r="A10" s="9"/>
      <c r="B10" s="9"/>
      <c r="C10" s="9"/>
      <c r="D10" s="9"/>
      <c r="E10" s="9"/>
      <c r="F10" s="9"/>
      <c r="P10" s="6" t="str">
        <f>Настройки!A7</f>
        <v>Имитация</v>
      </c>
      <c r="Q10" s="5">
        <f>Настройки!B7</f>
        <v>16</v>
      </c>
      <c r="R10" s="543" t="str">
        <f>Настройки!C7</f>
        <v>Имитация</v>
      </c>
      <c r="S10" s="10"/>
      <c r="T10" s="10"/>
      <c r="U10" s="10"/>
      <c r="V10" s="10"/>
      <c r="W10" s="10"/>
      <c r="X10" s="10"/>
      <c r="Y10" s="10"/>
      <c r="Z10" s="10"/>
      <c r="AA10" s="10"/>
      <c r="BF10" s="4"/>
      <c r="BG10" s="4"/>
      <c r="BH10" s="4"/>
      <c r="BI10" s="4"/>
    </row>
    <row r="11" spans="1:61" ht="15" customHeight="1">
      <c r="A11" s="9"/>
      <c r="B11" s="9"/>
      <c r="C11" s="9"/>
      <c r="D11" s="9"/>
      <c r="E11" s="9"/>
      <c r="F11" s="9"/>
      <c r="P11" s="6" t="str">
        <f>Настройки!A8</f>
        <v>Ремонт</v>
      </c>
      <c r="Q11" s="5">
        <f>Настройки!B8</f>
        <v>14</v>
      </c>
      <c r="R11" s="543" t="str">
        <f>Настройки!C8</f>
        <v>Ремонт</v>
      </c>
      <c r="S11" s="10"/>
      <c r="T11" s="10"/>
      <c r="U11" s="10"/>
      <c r="V11" s="10"/>
      <c r="W11" s="10"/>
      <c r="X11" s="10"/>
      <c r="Y11" s="10"/>
      <c r="Z11" s="10"/>
      <c r="AA11" s="10"/>
      <c r="BF11" s="4"/>
      <c r="BG11" s="4"/>
      <c r="BH11" s="4"/>
      <c r="BI11" s="4"/>
    </row>
    <row r="12" spans="1:61" ht="15" customHeight="1">
      <c r="A12" s="9"/>
      <c r="B12" s="9"/>
      <c r="C12" s="9"/>
      <c r="D12" s="9"/>
      <c r="E12" s="9"/>
      <c r="F12" s="9"/>
      <c r="P12" s="6" t="str">
        <f>Настройки!A9</f>
        <v>Команда оператора</v>
      </c>
      <c r="Q12" s="5">
        <f>Настройки!B9</f>
        <v>20</v>
      </c>
      <c r="R12" s="543" t="str">
        <f>Настройки!C9</f>
        <v>Команда оператора</v>
      </c>
      <c r="S12" s="10"/>
      <c r="T12" s="10"/>
      <c r="U12" s="10"/>
      <c r="V12" s="10"/>
      <c r="W12" s="10"/>
      <c r="X12" s="10"/>
      <c r="Y12" s="10"/>
      <c r="Z12" s="10"/>
      <c r="AA12" s="10"/>
      <c r="BF12" s="4"/>
      <c r="BG12" s="4"/>
      <c r="BH12" s="4"/>
      <c r="BI12" s="4"/>
    </row>
    <row r="13" spans="1:61"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F13" s="4"/>
      <c r="BG13" s="4"/>
      <c r="BH13" s="4"/>
      <c r="BI13" s="4"/>
    </row>
    <row r="14" spans="1:61"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F14" s="4"/>
      <c r="BG14" s="4"/>
      <c r="BH14" s="4"/>
      <c r="BI14" s="4"/>
    </row>
    <row r="15" spans="1:61"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F15" s="4"/>
      <c r="BG15" s="4"/>
      <c r="BH15" s="4"/>
      <c r="BI15" s="4"/>
    </row>
    <row r="16" spans="1:61"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F16" s="4"/>
      <c r="BG16" s="4"/>
      <c r="BH16" s="4"/>
      <c r="BI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F17" s="4"/>
      <c r="BG17" s="4"/>
      <c r="BH17" s="4"/>
      <c r="BI17" s="4"/>
    </row>
    <row r="18" spans="1:68" ht="15" customHeight="1" thickBo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F18" s="4"/>
      <c r="BG18" s="4"/>
      <c r="BH18" s="4"/>
      <c r="BI18" s="4"/>
    </row>
    <row r="19" spans="1:68" ht="15" customHeight="1" thickBot="1">
      <c r="A19" s="9"/>
      <c r="B19" s="9"/>
      <c r="C19" s="9"/>
      <c r="D19" s="783" t="s">
        <v>1682</v>
      </c>
      <c r="E19" s="782"/>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F19" s="4"/>
      <c r="BG19" s="4"/>
      <c r="BH19" s="4"/>
      <c r="BI19" s="4"/>
    </row>
    <row r="20" spans="1:68" ht="15" customHeight="1">
      <c r="A20" s="23" t="str">
        <f>$R$2</f>
        <v>АСУЭ.SEPAM</v>
      </c>
      <c r="B20" s="24">
        <v>100</v>
      </c>
      <c r="C20" s="24" t="s">
        <v>0</v>
      </c>
      <c r="D20" s="25" t="b">
        <f>$T$7</f>
        <v>0</v>
      </c>
      <c r="BF20" s="4"/>
      <c r="BG20" s="4"/>
      <c r="BH20" s="4"/>
      <c r="BI20" s="4"/>
    </row>
    <row r="21" spans="1:68" ht="15" customHeight="1">
      <c r="A21" s="29" t="str">
        <f>$R$2</f>
        <v>АСУЭ.SEPAM</v>
      </c>
      <c r="B21">
        <v>11127</v>
      </c>
      <c r="C21" t="s">
        <v>0</v>
      </c>
      <c r="D21" s="30">
        <f>$AK$2</f>
        <v>0</v>
      </c>
      <c r="BM21" s="4"/>
      <c r="BN21" s="4"/>
      <c r="BO21" s="4"/>
      <c r="BP21" s="4"/>
    </row>
    <row r="22" spans="1:68" ht="15" customHeight="1">
      <c r="A22" s="23" t="str">
        <f t="shared" ref="A22:A27" si="0">$R$2</f>
        <v>АСУЭ.SEPAM</v>
      </c>
      <c r="B22" s="24">
        <v>203</v>
      </c>
      <c r="C22" s="24" t="s">
        <v>2</v>
      </c>
      <c r="D22" s="25" t="s">
        <v>3</v>
      </c>
    </row>
    <row r="23" spans="1:68">
      <c r="A23" s="29" t="str">
        <f>$R$2</f>
        <v>АСУЭ.SEPAM</v>
      </c>
      <c r="B23" s="1">
        <v>7011</v>
      </c>
      <c r="C23" s="1" t="s">
        <v>2</v>
      </c>
      <c r="D23" s="30" t="s">
        <v>266</v>
      </c>
    </row>
    <row r="24" spans="1:68" ht="15" customHeight="1">
      <c r="A24" s="29" t="str">
        <f t="shared" si="0"/>
        <v>АСУЭ.SEPAM</v>
      </c>
      <c r="B24">
        <v>9218</v>
      </c>
      <c r="C24" t="s">
        <v>2</v>
      </c>
      <c r="D24" s="30" t="s">
        <v>3</v>
      </c>
    </row>
    <row r="25" spans="1:68" ht="15" customHeight="1">
      <c r="A25" s="29" t="str">
        <f t="shared" si="0"/>
        <v>АСУЭ.SEPAM</v>
      </c>
      <c r="B25">
        <v>3000203</v>
      </c>
      <c r="C25" t="s">
        <v>0</v>
      </c>
      <c r="D25" s="30" t="str">
        <f>$AE$2</f>
        <v>Диагностика.CPU.NOT_LINK.noLink</v>
      </c>
      <c r="BF25" s="4"/>
      <c r="BG25" s="4"/>
      <c r="BH25" s="4"/>
      <c r="BI25" s="4"/>
    </row>
    <row r="26" spans="1:68" ht="15" customHeight="1">
      <c r="A26" s="29" t="str">
        <f t="shared" si="0"/>
        <v>АСУЭ.SEPAM</v>
      </c>
      <c r="B26">
        <v>4000203</v>
      </c>
      <c r="C26" t="s">
        <v>0</v>
      </c>
      <c r="D26" s="30" t="s">
        <v>1775</v>
      </c>
      <c r="BF26" s="4"/>
      <c r="BG26" s="4"/>
      <c r="BH26" s="4"/>
      <c r="BI26" s="4"/>
    </row>
    <row r="27" spans="1:68" ht="15" customHeight="1">
      <c r="A27" s="26" t="str">
        <f t="shared" si="0"/>
        <v>АСУЭ.SEPAM</v>
      </c>
      <c r="B27" s="27">
        <v>7000203</v>
      </c>
      <c r="C27" s="27" t="s">
        <v>6</v>
      </c>
      <c r="D27" s="28">
        <v>2</v>
      </c>
      <c r="BF27" s="4"/>
      <c r="BG27" s="4"/>
      <c r="BH27" s="4"/>
      <c r="BI27" s="4"/>
    </row>
    <row r="28" spans="1:68" ht="15" customHeight="1">
      <c r="A28" s="23" t="str">
        <f>$R$2&amp;".Commands"</f>
        <v>АСУЭ.SEPAM.Commands</v>
      </c>
      <c r="B28" s="24">
        <v>1</v>
      </c>
      <c r="C28" s="24" t="s">
        <v>1</v>
      </c>
      <c r="D28" s="25">
        <v>17</v>
      </c>
      <c r="BF28" s="4"/>
      <c r="BG28" s="4"/>
      <c r="BH28" s="4"/>
      <c r="BI28" s="4"/>
    </row>
    <row r="29" spans="1:68">
      <c r="A29" s="29" t="str">
        <f>$R$2&amp;".Commands"</f>
        <v>АСУЭ.SEPAM.Commands</v>
      </c>
      <c r="B29" s="1">
        <v>7011</v>
      </c>
      <c r="C29" s="1" t="s">
        <v>2</v>
      </c>
      <c r="D29" s="30" t="s">
        <v>266</v>
      </c>
    </row>
    <row r="30" spans="1:68" ht="15" customHeight="1">
      <c r="A30" s="29" t="str">
        <f>$R$2&amp;".Commands"</f>
        <v>АСУЭ.SEPAM.Commands</v>
      </c>
      <c r="B30">
        <v>9213</v>
      </c>
      <c r="C30" s="11" t="s">
        <v>2583</v>
      </c>
      <c r="D30" s="30">
        <v>2</v>
      </c>
      <c r="BF30" s="4"/>
      <c r="BG30" s="4"/>
      <c r="BH30" s="4"/>
      <c r="BI30" s="4"/>
    </row>
    <row r="31" spans="1:68" ht="15" customHeight="1">
      <c r="A31" s="29" t="str">
        <f>$R$2&amp;".Commands"</f>
        <v>АСУЭ.SEPAM.Commands</v>
      </c>
      <c r="B31">
        <v>9214</v>
      </c>
      <c r="C31" t="s">
        <v>2</v>
      </c>
      <c r="D31" s="30" t="s">
        <v>3</v>
      </c>
      <c r="BF31" s="4"/>
      <c r="BG31" s="4"/>
      <c r="BH31" s="4"/>
      <c r="BI31" s="4"/>
    </row>
    <row r="32" spans="1:68" ht="15" customHeight="1">
      <c r="A32" s="29" t="str">
        <f t="shared" ref="A32:A34" si="1">$R$2&amp;".Commands"</f>
        <v>АСУЭ.SEPAM.Commands</v>
      </c>
      <c r="B32">
        <v>9215</v>
      </c>
      <c r="C32" t="s">
        <v>2</v>
      </c>
      <c r="D32" s="30" t="s">
        <v>3</v>
      </c>
      <c r="BF32" s="4"/>
      <c r="BG32" s="4"/>
      <c r="BH32" s="4"/>
      <c r="BI32" s="4"/>
    </row>
    <row r="33" spans="1:61" ht="15" customHeight="1">
      <c r="A33" s="29" t="str">
        <f t="shared" si="1"/>
        <v>АСУЭ.SEPAM.Commands</v>
      </c>
      <c r="B33">
        <v>9216</v>
      </c>
      <c r="C33" t="s">
        <v>2</v>
      </c>
      <c r="D33" s="30" t="s">
        <v>3</v>
      </c>
      <c r="BF33" s="4"/>
      <c r="BG33" s="4"/>
      <c r="BH33" s="4"/>
      <c r="BI33" s="4"/>
    </row>
    <row r="34" spans="1:61" ht="15" customHeight="1">
      <c r="A34" s="26" t="str">
        <f t="shared" si="1"/>
        <v>АСУЭ.SEPAM.Commands</v>
      </c>
      <c r="B34" s="27">
        <v>9217</v>
      </c>
      <c r="C34" s="27" t="s">
        <v>2</v>
      </c>
      <c r="D34" s="28" t="s">
        <v>3</v>
      </c>
      <c r="BF34" s="4"/>
      <c r="BG34" s="4"/>
      <c r="BH34" s="4"/>
      <c r="BI34" s="4"/>
    </row>
    <row r="35" spans="1:61" ht="15" customHeight="1">
      <c r="A35" s="148" t="str">
        <f t="shared" ref="A35:A44" si="2">$R$2&amp;".aAccelMTZ"</f>
        <v>АСУЭ.SEPAM.aAccelMTZ</v>
      </c>
      <c r="B35" s="683">
        <v>11154</v>
      </c>
      <c r="C35" s="683" t="s">
        <v>4</v>
      </c>
      <c r="D35" s="535">
        <f>$Q$5</f>
        <v>4</v>
      </c>
    </row>
    <row r="36" spans="1:61" ht="15" customHeight="1">
      <c r="A36" s="148" t="str">
        <f t="shared" si="2"/>
        <v>АСУЭ.SEPAM.aAccelMTZ</v>
      </c>
      <c r="B36" s="683">
        <v>11150</v>
      </c>
      <c r="C36" s="683" t="s">
        <v>0</v>
      </c>
      <c r="D36" s="125" t="s">
        <v>335</v>
      </c>
    </row>
    <row r="37" spans="1:61" ht="15" customHeight="1">
      <c r="A37" s="148" t="str">
        <f t="shared" si="2"/>
        <v>АСУЭ.SEPAM.aAccelMTZ</v>
      </c>
      <c r="B37" s="683">
        <v>11152</v>
      </c>
      <c r="C37" s="683" t="s">
        <v>0</v>
      </c>
      <c r="D37" s="125" t="str">
        <f>$R$5</f>
        <v>Авария</v>
      </c>
    </row>
    <row r="38" spans="1:61" ht="15" customHeight="1">
      <c r="A38" s="148" t="str">
        <f t="shared" si="2"/>
        <v>АСУЭ.SEPAM.aAccelMTZ</v>
      </c>
      <c r="B38" s="683">
        <v>11000</v>
      </c>
      <c r="C38" s="683" t="s">
        <v>5</v>
      </c>
      <c r="D38" s="125">
        <v>2147483680</v>
      </c>
    </row>
    <row r="39" spans="1:61" ht="15" customHeight="1">
      <c r="A39" s="29" t="str">
        <f t="shared" si="2"/>
        <v>АСУЭ.SEPAM.aAccelMTZ</v>
      </c>
      <c r="B39">
        <v>7999</v>
      </c>
      <c r="C39" t="s">
        <v>0</v>
      </c>
      <c r="D39" s="30" t="str">
        <f>"#"&amp;$S$2&amp;"#"&amp;$T$2&amp;"."&amp;$P$2&amp;".TS65_80_TS68"</f>
        <v>#3#\\Setup_rza\Modbus.OPCServer\ZRU_Sepam.VV1_Sepam_S82.TS65_80_TS68</v>
      </c>
    </row>
    <row r="40" spans="1:61" ht="15" customHeight="1">
      <c r="A40" s="29" t="str">
        <f t="shared" si="2"/>
        <v>АСУЭ.SEPAM.aAccelMTZ</v>
      </c>
      <c r="B40">
        <v>7998</v>
      </c>
      <c r="C40" t="s">
        <v>6</v>
      </c>
      <c r="D40" s="30">
        <v>1</v>
      </c>
    </row>
    <row r="41" spans="1:61" ht="15" customHeight="1">
      <c r="A41" s="29" t="str">
        <f t="shared" si="2"/>
        <v>АСУЭ.SEPAM.aAccelMTZ</v>
      </c>
      <c r="B41">
        <v>101</v>
      </c>
      <c r="C41" t="s">
        <v>0</v>
      </c>
      <c r="D41" s="30" t="s">
        <v>335</v>
      </c>
    </row>
    <row r="42" spans="1:61" ht="15" customHeight="1">
      <c r="A42" s="29" t="str">
        <f t="shared" si="2"/>
        <v>АСУЭ.SEPAM.aAccelMTZ</v>
      </c>
      <c r="B42">
        <v>3</v>
      </c>
      <c r="C42" t="s">
        <v>1</v>
      </c>
      <c r="D42" s="30">
        <v>192</v>
      </c>
    </row>
    <row r="43" spans="1:61" ht="15" customHeight="1">
      <c r="A43" s="29" t="str">
        <f t="shared" si="2"/>
        <v>АСУЭ.SEPAM.aAccelMTZ</v>
      </c>
      <c r="B43">
        <v>2</v>
      </c>
      <c r="C43" t="s">
        <v>2</v>
      </c>
      <c r="D43" s="30" t="s">
        <v>175</v>
      </c>
    </row>
    <row r="44" spans="1:61" ht="15" customHeight="1">
      <c r="A44" s="26" t="str">
        <f t="shared" si="2"/>
        <v>АСУЭ.SEPAM.aAccelMTZ</v>
      </c>
      <c r="B44" s="27">
        <v>1</v>
      </c>
      <c r="C44" s="27" t="s">
        <v>1</v>
      </c>
      <c r="D44" s="28">
        <v>11</v>
      </c>
    </row>
    <row r="45" spans="1:61" ht="15" customHeight="1">
      <c r="A45" s="148" t="str">
        <f t="shared" ref="A45:A54" si="3">$R$2&amp;".aDGZ_UROV"</f>
        <v>АСУЭ.SEPAM.aDGZ_UROV</v>
      </c>
      <c r="B45" s="683">
        <v>11154</v>
      </c>
      <c r="C45" s="683" t="s">
        <v>4</v>
      </c>
      <c r="D45" s="535">
        <f>$Q$5</f>
        <v>4</v>
      </c>
    </row>
    <row r="46" spans="1:61" ht="15" customHeight="1">
      <c r="A46" s="148" t="str">
        <f t="shared" si="3"/>
        <v>АСУЭ.SEPAM.aDGZ_UROV</v>
      </c>
      <c r="B46" s="683">
        <v>11150</v>
      </c>
      <c r="C46" s="683" t="s">
        <v>0</v>
      </c>
      <c r="D46" s="125" t="s">
        <v>1521</v>
      </c>
    </row>
    <row r="47" spans="1:61" ht="15" customHeight="1">
      <c r="A47" s="148" t="str">
        <f t="shared" si="3"/>
        <v>АСУЭ.SEPAM.aDGZ_UROV</v>
      </c>
      <c r="B47" s="683">
        <v>11152</v>
      </c>
      <c r="C47" s="683" t="s">
        <v>0</v>
      </c>
      <c r="D47" s="125" t="str">
        <f>$R$5</f>
        <v>Авария</v>
      </c>
    </row>
    <row r="48" spans="1:61" ht="15" customHeight="1">
      <c r="A48" s="148" t="str">
        <f t="shared" si="3"/>
        <v>АСУЭ.SEPAM.aDGZ_UROV</v>
      </c>
      <c r="B48" s="683">
        <v>11000</v>
      </c>
      <c r="C48" s="683" t="s">
        <v>5</v>
      </c>
      <c r="D48" s="125">
        <v>2147483680</v>
      </c>
    </row>
    <row r="49" spans="1:4" ht="15" customHeight="1">
      <c r="A49" s="29" t="str">
        <f t="shared" si="3"/>
        <v>АСУЭ.SEPAM.aDGZ_UROV</v>
      </c>
      <c r="B49">
        <v>7999</v>
      </c>
      <c r="C49" t="s">
        <v>0</v>
      </c>
      <c r="D49" s="30" t="str">
        <f>"#"&amp;$S$2&amp;"#"&amp;$T$2&amp;"."&amp;$P$2&amp;".TS177_192_TS177"</f>
        <v>#3#\\Setup_rza\Modbus.OPCServer\ZRU_Sepam.VV1_Sepam_S82.TS177_192_TS177</v>
      </c>
    </row>
    <row r="50" spans="1:4" ht="15" customHeight="1">
      <c r="A50" s="29" t="str">
        <f t="shared" si="3"/>
        <v>АСУЭ.SEPAM.aDGZ_UROV</v>
      </c>
      <c r="B50">
        <v>7998</v>
      </c>
      <c r="C50" t="s">
        <v>6</v>
      </c>
      <c r="D50" s="30">
        <v>1</v>
      </c>
    </row>
    <row r="51" spans="1:4" ht="15" customHeight="1">
      <c r="A51" s="29" t="str">
        <f t="shared" si="3"/>
        <v>АСУЭ.SEPAM.aDGZ_UROV</v>
      </c>
      <c r="B51">
        <v>101</v>
      </c>
      <c r="C51" t="s">
        <v>0</v>
      </c>
      <c r="D51" s="30" t="s">
        <v>1521</v>
      </c>
    </row>
    <row r="52" spans="1:4" ht="15" customHeight="1">
      <c r="A52" s="29" t="str">
        <f t="shared" si="3"/>
        <v>АСУЭ.SEPAM.aDGZ_UROV</v>
      </c>
      <c r="B52">
        <v>3</v>
      </c>
      <c r="C52" t="s">
        <v>1</v>
      </c>
      <c r="D52" s="30">
        <v>192</v>
      </c>
    </row>
    <row r="53" spans="1:4" ht="15" customHeight="1">
      <c r="A53" s="29" t="str">
        <f t="shared" si="3"/>
        <v>АСУЭ.SEPAM.aDGZ_UROV</v>
      </c>
      <c r="B53">
        <v>2</v>
      </c>
      <c r="C53" t="s">
        <v>2</v>
      </c>
      <c r="D53" s="30" t="s">
        <v>175</v>
      </c>
    </row>
    <row r="54" spans="1:4" ht="15" customHeight="1">
      <c r="A54" s="26" t="str">
        <f t="shared" si="3"/>
        <v>АСУЭ.SEPAM.aDGZ_UROV</v>
      </c>
      <c r="B54" s="27">
        <v>1</v>
      </c>
      <c r="C54" s="27" t="s">
        <v>1</v>
      </c>
      <c r="D54" s="28">
        <v>11</v>
      </c>
    </row>
    <row r="55" spans="1:4" ht="15" customHeight="1">
      <c r="A55" s="148" t="str">
        <f t="shared" ref="A55:A64" si="4">$R$2&amp;".aDGZ_Valve"</f>
        <v>АСУЭ.SEPAM.aDGZ_Valve</v>
      </c>
      <c r="B55" s="683">
        <v>11154</v>
      </c>
      <c r="C55" s="683" t="s">
        <v>4</v>
      </c>
      <c r="D55" s="535">
        <f>$Q$5</f>
        <v>4</v>
      </c>
    </row>
    <row r="56" spans="1:4" ht="15" customHeight="1">
      <c r="A56" s="148" t="str">
        <f t="shared" si="4"/>
        <v>АСУЭ.SEPAM.aDGZ_Valve</v>
      </c>
      <c r="B56" s="683">
        <v>11150</v>
      </c>
      <c r="C56" s="683" t="s">
        <v>0</v>
      </c>
      <c r="D56" s="125" t="s">
        <v>1542</v>
      </c>
    </row>
    <row r="57" spans="1:4" ht="15" customHeight="1">
      <c r="A57" s="148" t="str">
        <f t="shared" si="4"/>
        <v>АСУЭ.SEPAM.aDGZ_Valve</v>
      </c>
      <c r="B57" s="683">
        <v>11152</v>
      </c>
      <c r="C57" s="683" t="s">
        <v>0</v>
      </c>
      <c r="D57" s="125" t="str">
        <f>$R$5</f>
        <v>Авария</v>
      </c>
    </row>
    <row r="58" spans="1:4" ht="15" customHeight="1">
      <c r="A58" s="148" t="str">
        <f t="shared" si="4"/>
        <v>АСУЭ.SEPAM.aDGZ_Valve</v>
      </c>
      <c r="B58" s="683">
        <v>11000</v>
      </c>
      <c r="C58" s="683" t="s">
        <v>5</v>
      </c>
      <c r="D58" s="125">
        <v>2147483680</v>
      </c>
    </row>
    <row r="59" spans="1:4" ht="15" customHeight="1">
      <c r="A59" s="29" t="str">
        <f t="shared" si="4"/>
        <v>АСУЭ.SEPAM.aDGZ_Valve</v>
      </c>
      <c r="B59">
        <v>7999</v>
      </c>
      <c r="C59" t="s">
        <v>0</v>
      </c>
      <c r="D59" s="30" t="str">
        <f>"#"&amp;$S$2&amp;"#"&amp;$T$2&amp;"."&amp;$P$2&amp;".TS49_64_TS64"</f>
        <v>#3#\\Setup_rza\Modbus.OPCServer\ZRU_Sepam.VV1_Sepam_S82.TS49_64_TS64</v>
      </c>
    </row>
    <row r="60" spans="1:4" ht="15" customHeight="1">
      <c r="A60" s="29" t="str">
        <f t="shared" si="4"/>
        <v>АСУЭ.SEPAM.aDGZ_Valve</v>
      </c>
      <c r="B60">
        <v>7998</v>
      </c>
      <c r="C60" t="s">
        <v>6</v>
      </c>
      <c r="D60" s="30">
        <v>1</v>
      </c>
    </row>
    <row r="61" spans="1:4" ht="15" customHeight="1">
      <c r="A61" s="29" t="str">
        <f t="shared" si="4"/>
        <v>АСУЭ.SEPAM.aDGZ_Valve</v>
      </c>
      <c r="B61">
        <v>101</v>
      </c>
      <c r="C61" t="s">
        <v>0</v>
      </c>
      <c r="D61" s="30" t="s">
        <v>1542</v>
      </c>
    </row>
    <row r="62" spans="1:4" ht="15" customHeight="1">
      <c r="A62" s="29" t="str">
        <f t="shared" si="4"/>
        <v>АСУЭ.SEPAM.aDGZ_Valve</v>
      </c>
      <c r="B62">
        <v>3</v>
      </c>
      <c r="C62" t="s">
        <v>1</v>
      </c>
      <c r="D62" s="30">
        <v>192</v>
      </c>
    </row>
    <row r="63" spans="1:4" ht="15" customHeight="1">
      <c r="A63" s="29" t="str">
        <f t="shared" si="4"/>
        <v>АСУЭ.SEPAM.aDGZ_Valve</v>
      </c>
      <c r="B63">
        <v>2</v>
      </c>
      <c r="C63" t="s">
        <v>2</v>
      </c>
      <c r="D63" s="30" t="s">
        <v>175</v>
      </c>
    </row>
    <row r="64" spans="1:4" ht="15" customHeight="1">
      <c r="A64" s="26" t="str">
        <f t="shared" si="4"/>
        <v>АСУЭ.SEPAM.aDGZ_Valve</v>
      </c>
      <c r="B64" s="27">
        <v>1</v>
      </c>
      <c r="C64" s="27" t="s">
        <v>1</v>
      </c>
      <c r="D64" s="28">
        <v>11</v>
      </c>
    </row>
    <row r="65" spans="1:4" ht="15" customHeight="1">
      <c r="A65" s="148" t="str">
        <f t="shared" ref="A65:A74" si="5">$R$2&amp;".aExtTrip1"</f>
        <v>АСУЭ.SEPAM.aExtTrip1</v>
      </c>
      <c r="B65" s="683">
        <v>11154</v>
      </c>
      <c r="C65" s="683" t="s">
        <v>4</v>
      </c>
      <c r="D65" s="535">
        <f>$Q$5</f>
        <v>4</v>
      </c>
    </row>
    <row r="66" spans="1:4" ht="15" customHeight="1">
      <c r="A66" s="148" t="str">
        <f t="shared" si="5"/>
        <v>АСУЭ.SEPAM.aExtTrip1</v>
      </c>
      <c r="B66" s="683">
        <v>11150</v>
      </c>
      <c r="C66" s="683" t="s">
        <v>0</v>
      </c>
      <c r="D66" s="125" t="s">
        <v>1522</v>
      </c>
    </row>
    <row r="67" spans="1:4" ht="15" customHeight="1">
      <c r="A67" s="148" t="str">
        <f t="shared" si="5"/>
        <v>АСУЭ.SEPAM.aExtTrip1</v>
      </c>
      <c r="B67" s="683">
        <v>11152</v>
      </c>
      <c r="C67" s="683" t="s">
        <v>0</v>
      </c>
      <c r="D67" s="125" t="str">
        <f>$R$5</f>
        <v>Авария</v>
      </c>
    </row>
    <row r="68" spans="1:4" ht="15" customHeight="1">
      <c r="A68" s="148" t="str">
        <f t="shared" si="5"/>
        <v>АСУЭ.SEPAM.aExtTrip1</v>
      </c>
      <c r="B68" s="683">
        <v>11000</v>
      </c>
      <c r="C68" s="683" t="s">
        <v>5</v>
      </c>
      <c r="D68" s="125">
        <v>2147483680</v>
      </c>
    </row>
    <row r="69" spans="1:4" ht="15" customHeight="1">
      <c r="A69" s="29" t="str">
        <f t="shared" si="5"/>
        <v>АСУЭ.SEPAM.aExtTrip1</v>
      </c>
      <c r="B69">
        <v>7999</v>
      </c>
      <c r="C69" t="s">
        <v>0</v>
      </c>
      <c r="D69" s="30" t="str">
        <f>"#"&amp;$S$2&amp;"#"&amp;$T$2&amp;"."&amp;$P$2&amp;".TS177_192_TS181"</f>
        <v>#3#\\Setup_rza\Modbus.OPCServer\ZRU_Sepam.VV1_Sepam_S82.TS177_192_TS181</v>
      </c>
    </row>
    <row r="70" spans="1:4" ht="15" customHeight="1">
      <c r="A70" s="29" t="str">
        <f t="shared" si="5"/>
        <v>АСУЭ.SEPAM.aExtTrip1</v>
      </c>
      <c r="B70">
        <v>7998</v>
      </c>
      <c r="C70" t="s">
        <v>6</v>
      </c>
      <c r="D70" s="30">
        <v>1</v>
      </c>
    </row>
    <row r="71" spans="1:4" ht="15" customHeight="1">
      <c r="A71" s="29" t="str">
        <f t="shared" si="5"/>
        <v>АСУЭ.SEPAM.aExtTrip1</v>
      </c>
      <c r="B71">
        <v>101</v>
      </c>
      <c r="C71" t="s">
        <v>0</v>
      </c>
      <c r="D71" s="30" t="s">
        <v>1522</v>
      </c>
    </row>
    <row r="72" spans="1:4" ht="15" customHeight="1">
      <c r="A72" s="29" t="str">
        <f t="shared" si="5"/>
        <v>АСУЭ.SEPAM.aExtTrip1</v>
      </c>
      <c r="B72">
        <v>3</v>
      </c>
      <c r="C72" t="s">
        <v>1</v>
      </c>
      <c r="D72" s="30">
        <v>192</v>
      </c>
    </row>
    <row r="73" spans="1:4" ht="15" customHeight="1">
      <c r="A73" s="29" t="str">
        <f t="shared" si="5"/>
        <v>АСУЭ.SEPAM.aExtTrip1</v>
      </c>
      <c r="B73">
        <v>2</v>
      </c>
      <c r="C73" t="s">
        <v>2</v>
      </c>
      <c r="D73" s="30" t="s">
        <v>175</v>
      </c>
    </row>
    <row r="74" spans="1:4" ht="15" customHeight="1">
      <c r="A74" s="26" t="str">
        <f t="shared" si="5"/>
        <v>АСУЭ.SEPAM.aExtTrip1</v>
      </c>
      <c r="B74" s="27">
        <v>1</v>
      </c>
      <c r="C74" s="27" t="s">
        <v>1</v>
      </c>
      <c r="D74" s="28">
        <v>11</v>
      </c>
    </row>
    <row r="75" spans="1:4" ht="15" customHeight="1">
      <c r="A75" s="148" t="str">
        <f t="shared" ref="A75:A84" si="6">$R$2&amp;".aExtTrip2"</f>
        <v>АСУЭ.SEPAM.aExtTrip2</v>
      </c>
      <c r="B75" s="683">
        <v>11154</v>
      </c>
      <c r="C75" s="683" t="s">
        <v>4</v>
      </c>
      <c r="D75" s="535">
        <f>$Q$5</f>
        <v>4</v>
      </c>
    </row>
    <row r="76" spans="1:4" ht="15" customHeight="1">
      <c r="A76" s="148" t="str">
        <f t="shared" si="6"/>
        <v>АСУЭ.SEPAM.aExtTrip2</v>
      </c>
      <c r="B76" s="683">
        <v>11150</v>
      </c>
      <c r="C76" s="683" t="s">
        <v>0</v>
      </c>
      <c r="D76" s="125" t="s">
        <v>1523</v>
      </c>
    </row>
    <row r="77" spans="1:4" ht="15" customHeight="1">
      <c r="A77" s="148" t="str">
        <f t="shared" si="6"/>
        <v>АСУЭ.SEPAM.aExtTrip2</v>
      </c>
      <c r="B77" s="683">
        <v>11152</v>
      </c>
      <c r="C77" s="683" t="s">
        <v>0</v>
      </c>
      <c r="D77" s="125" t="str">
        <f>$R$5</f>
        <v>Авария</v>
      </c>
    </row>
    <row r="78" spans="1:4" ht="15" customHeight="1">
      <c r="A78" s="148" t="str">
        <f t="shared" si="6"/>
        <v>АСУЭ.SEPAM.aExtTrip2</v>
      </c>
      <c r="B78" s="683">
        <v>11000</v>
      </c>
      <c r="C78" s="683" t="s">
        <v>5</v>
      </c>
      <c r="D78" s="125">
        <v>2147483680</v>
      </c>
    </row>
    <row r="79" spans="1:4" ht="15" customHeight="1">
      <c r="A79" s="29" t="str">
        <f t="shared" si="6"/>
        <v>АСУЭ.SEPAM.aExtTrip2</v>
      </c>
      <c r="B79">
        <v>7999</v>
      </c>
      <c r="C79" t="s">
        <v>0</v>
      </c>
      <c r="D79" s="30" t="str">
        <f>"#"&amp;$S$2&amp;"#"&amp;$T$2&amp;"."&amp;$P$2&amp;".TS177_192_TS178"</f>
        <v>#3#\\Setup_rza\Modbus.OPCServer\ZRU_Sepam.VV1_Sepam_S82.TS177_192_TS178</v>
      </c>
    </row>
    <row r="80" spans="1:4" ht="15" customHeight="1">
      <c r="A80" s="29" t="str">
        <f t="shared" si="6"/>
        <v>АСУЭ.SEPAM.aExtTrip2</v>
      </c>
      <c r="B80">
        <v>7998</v>
      </c>
      <c r="C80" t="s">
        <v>6</v>
      </c>
      <c r="D80" s="30">
        <v>1</v>
      </c>
    </row>
    <row r="81" spans="1:4" ht="15" customHeight="1">
      <c r="A81" s="29" t="str">
        <f t="shared" si="6"/>
        <v>АСУЭ.SEPAM.aExtTrip2</v>
      </c>
      <c r="B81">
        <v>101</v>
      </c>
      <c r="C81" t="s">
        <v>0</v>
      </c>
      <c r="D81" s="30" t="s">
        <v>1523</v>
      </c>
    </row>
    <row r="82" spans="1:4" ht="15" customHeight="1">
      <c r="A82" s="29" t="str">
        <f t="shared" si="6"/>
        <v>АСУЭ.SEPAM.aExtTrip2</v>
      </c>
      <c r="B82">
        <v>3</v>
      </c>
      <c r="C82" t="s">
        <v>1</v>
      </c>
      <c r="D82" s="30">
        <v>192</v>
      </c>
    </row>
    <row r="83" spans="1:4" ht="15" customHeight="1">
      <c r="A83" s="29" t="str">
        <f t="shared" si="6"/>
        <v>АСУЭ.SEPAM.aExtTrip2</v>
      </c>
      <c r="B83">
        <v>2</v>
      </c>
      <c r="C83" t="s">
        <v>2</v>
      </c>
      <c r="D83" s="30" t="s">
        <v>175</v>
      </c>
    </row>
    <row r="84" spans="1:4" ht="15" customHeight="1">
      <c r="A84" s="26" t="str">
        <f t="shared" si="6"/>
        <v>АСУЭ.SEPAM.aExtTrip2</v>
      </c>
      <c r="B84" s="27">
        <v>1</v>
      </c>
      <c r="C84" s="27" t="s">
        <v>1</v>
      </c>
      <c r="D84" s="28">
        <v>11</v>
      </c>
    </row>
    <row r="85" spans="1:4" ht="15" customHeight="1">
      <c r="A85" s="148" t="str">
        <f t="shared" ref="A85:A94" si="7">$R$2&amp;".aLZSH"</f>
        <v>АСУЭ.SEPAM.aLZSH</v>
      </c>
      <c r="B85" s="683">
        <v>11154</v>
      </c>
      <c r="C85" s="683" t="s">
        <v>4</v>
      </c>
      <c r="D85" s="535">
        <f>$Q$5</f>
        <v>4</v>
      </c>
    </row>
    <row r="86" spans="1:4" ht="15" customHeight="1">
      <c r="A86" s="148" t="str">
        <f t="shared" si="7"/>
        <v>АСУЭ.SEPAM.aLZSH</v>
      </c>
      <c r="B86" s="683">
        <v>11150</v>
      </c>
      <c r="C86" s="683" t="s">
        <v>0</v>
      </c>
      <c r="D86" s="125" t="s">
        <v>1524</v>
      </c>
    </row>
    <row r="87" spans="1:4" ht="15" customHeight="1">
      <c r="A87" s="148" t="str">
        <f t="shared" si="7"/>
        <v>АСУЭ.SEPAM.aLZSH</v>
      </c>
      <c r="B87" s="683">
        <v>11152</v>
      </c>
      <c r="C87" s="683" t="s">
        <v>0</v>
      </c>
      <c r="D87" s="125" t="str">
        <f>$R$5</f>
        <v>Авария</v>
      </c>
    </row>
    <row r="88" spans="1:4" ht="15" customHeight="1">
      <c r="A88" s="148" t="str">
        <f t="shared" si="7"/>
        <v>АСУЭ.SEPAM.aLZSH</v>
      </c>
      <c r="B88" s="683">
        <v>11000</v>
      </c>
      <c r="C88" s="683" t="s">
        <v>5</v>
      </c>
      <c r="D88" s="125">
        <v>2147483680</v>
      </c>
    </row>
    <row r="89" spans="1:4" ht="15" customHeight="1">
      <c r="A89" s="29" t="str">
        <f t="shared" si="7"/>
        <v>АСУЭ.SEPAM.aLZSH</v>
      </c>
      <c r="B89">
        <v>7999</v>
      </c>
      <c r="C89" t="s">
        <v>0</v>
      </c>
      <c r="D89" s="30" t="str">
        <f>"#"&amp;$S$2&amp;"#"&amp;$T$2&amp;"."&amp;$P$2&amp;".TS65_80_TS65"</f>
        <v>#3#\\Setup_rza\Modbus.OPCServer\ZRU_Sepam.VV1_Sepam_S82.TS65_80_TS65</v>
      </c>
    </row>
    <row r="90" spans="1:4" ht="15" customHeight="1">
      <c r="A90" s="29" t="str">
        <f t="shared" si="7"/>
        <v>АСУЭ.SEPAM.aLZSH</v>
      </c>
      <c r="B90">
        <v>7998</v>
      </c>
      <c r="C90" t="s">
        <v>6</v>
      </c>
      <c r="D90" s="30">
        <v>1</v>
      </c>
    </row>
    <row r="91" spans="1:4" ht="15" customHeight="1">
      <c r="A91" s="29" t="str">
        <f t="shared" si="7"/>
        <v>АСУЭ.SEPAM.aLZSH</v>
      </c>
      <c r="B91">
        <v>101</v>
      </c>
      <c r="C91" t="s">
        <v>0</v>
      </c>
      <c r="D91" s="30" t="s">
        <v>1524</v>
      </c>
    </row>
    <row r="92" spans="1:4" ht="15" customHeight="1">
      <c r="A92" s="29" t="str">
        <f t="shared" si="7"/>
        <v>АСУЭ.SEPAM.aLZSH</v>
      </c>
      <c r="B92">
        <v>3</v>
      </c>
      <c r="C92" t="s">
        <v>1</v>
      </c>
      <c r="D92" s="30">
        <v>192</v>
      </c>
    </row>
    <row r="93" spans="1:4" ht="15" customHeight="1">
      <c r="A93" s="29" t="str">
        <f t="shared" si="7"/>
        <v>АСУЭ.SEPAM.aLZSH</v>
      </c>
      <c r="B93">
        <v>2</v>
      </c>
      <c r="C93" t="s">
        <v>2</v>
      </c>
      <c r="D93" s="30" t="s">
        <v>175</v>
      </c>
    </row>
    <row r="94" spans="1:4" ht="15" customHeight="1">
      <c r="A94" s="26" t="str">
        <f t="shared" si="7"/>
        <v>АСУЭ.SEPAM.aLZSH</v>
      </c>
      <c r="B94" s="27">
        <v>1</v>
      </c>
      <c r="C94" s="27" t="s">
        <v>1</v>
      </c>
      <c r="D94" s="28">
        <v>11</v>
      </c>
    </row>
    <row r="95" spans="1:4" ht="15" customHeight="1">
      <c r="A95" s="148" t="str">
        <f t="shared" ref="A95:A104" si="8">$R$2&amp;".aMTZ2I"</f>
        <v>АСУЭ.SEPAM.aMTZ2I</v>
      </c>
      <c r="B95" s="683">
        <v>11154</v>
      </c>
      <c r="C95" s="683" t="s">
        <v>4</v>
      </c>
      <c r="D95" s="535">
        <f>$Q$5</f>
        <v>4</v>
      </c>
    </row>
    <row r="96" spans="1:4" ht="15" customHeight="1">
      <c r="A96" s="148" t="str">
        <f t="shared" si="8"/>
        <v>АСУЭ.SEPAM.aMTZ2I</v>
      </c>
      <c r="B96" s="683">
        <v>11150</v>
      </c>
      <c r="C96" s="683" t="s">
        <v>0</v>
      </c>
      <c r="D96" s="125" t="s">
        <v>1544</v>
      </c>
    </row>
    <row r="97" spans="1:4" ht="15" customHeight="1">
      <c r="A97" s="148" t="str">
        <f t="shared" si="8"/>
        <v>АСУЭ.SEPAM.aMTZ2I</v>
      </c>
      <c r="B97" s="683">
        <v>11152</v>
      </c>
      <c r="C97" s="683" t="s">
        <v>0</v>
      </c>
      <c r="D97" s="125" t="str">
        <f>$R$5</f>
        <v>Авария</v>
      </c>
    </row>
    <row r="98" spans="1:4" ht="15" customHeight="1">
      <c r="A98" s="148" t="str">
        <f t="shared" si="8"/>
        <v>АСУЭ.SEPAM.aMTZ2I</v>
      </c>
      <c r="B98" s="683">
        <v>11000</v>
      </c>
      <c r="C98" s="683" t="s">
        <v>5</v>
      </c>
      <c r="D98" s="125">
        <v>2147483680</v>
      </c>
    </row>
    <row r="99" spans="1:4" ht="15" customHeight="1">
      <c r="A99" s="29" t="str">
        <f t="shared" si="8"/>
        <v>АСУЭ.SEPAM.aMTZ2I</v>
      </c>
      <c r="B99">
        <v>7999</v>
      </c>
      <c r="C99" t="s">
        <v>0</v>
      </c>
      <c r="D99" s="30" t="str">
        <f>"#"&amp;$S$2&amp;"#"&amp;$T$2&amp;"."&amp;$P$2&amp;".TS65_80_TS67"</f>
        <v>#3#\\Setup_rza\Modbus.OPCServer\ZRU_Sepam.VV1_Sepam_S82.TS65_80_TS67</v>
      </c>
    </row>
    <row r="100" spans="1:4" ht="15" customHeight="1">
      <c r="A100" s="29" t="str">
        <f t="shared" si="8"/>
        <v>АСУЭ.SEPAM.aMTZ2I</v>
      </c>
      <c r="B100">
        <v>7998</v>
      </c>
      <c r="C100" t="s">
        <v>6</v>
      </c>
      <c r="D100" s="30">
        <v>1</v>
      </c>
    </row>
    <row r="101" spans="1:4" ht="15" customHeight="1">
      <c r="A101" s="29" t="str">
        <f t="shared" si="8"/>
        <v>АСУЭ.SEPAM.aMTZ2I</v>
      </c>
      <c r="B101">
        <v>101</v>
      </c>
      <c r="C101" t="s">
        <v>0</v>
      </c>
      <c r="D101" s="30" t="s">
        <v>1544</v>
      </c>
    </row>
    <row r="102" spans="1:4" ht="15" customHeight="1">
      <c r="A102" s="29" t="str">
        <f t="shared" si="8"/>
        <v>АСУЭ.SEPAM.aMTZ2I</v>
      </c>
      <c r="B102">
        <v>3</v>
      </c>
      <c r="C102" t="s">
        <v>1</v>
      </c>
      <c r="D102" s="30">
        <v>192</v>
      </c>
    </row>
    <row r="103" spans="1:4" ht="15" customHeight="1">
      <c r="A103" s="29" t="str">
        <f t="shared" si="8"/>
        <v>АСУЭ.SEPAM.aMTZ2I</v>
      </c>
      <c r="B103">
        <v>2</v>
      </c>
      <c r="C103" t="s">
        <v>2</v>
      </c>
      <c r="D103" s="30" t="s">
        <v>175</v>
      </c>
    </row>
    <row r="104" spans="1:4" ht="15" customHeight="1">
      <c r="A104" s="26" t="str">
        <f t="shared" si="8"/>
        <v>АСУЭ.SEPAM.aMTZ2I</v>
      </c>
      <c r="B104" s="27">
        <v>1</v>
      </c>
      <c r="C104" s="27" t="s">
        <v>1</v>
      </c>
      <c r="D104" s="28">
        <v>11</v>
      </c>
    </row>
    <row r="105" spans="1:4" ht="15" customHeight="1">
      <c r="A105" s="148" t="str">
        <f t="shared" ref="A105:A114" si="9">$R$2&amp;".aPrt"</f>
        <v>АСУЭ.SEPAM.aPrt</v>
      </c>
      <c r="B105" s="683">
        <v>11154</v>
      </c>
      <c r="C105" s="683" t="s">
        <v>4</v>
      </c>
      <c r="D105" s="535">
        <f>$Q$5</f>
        <v>4</v>
      </c>
    </row>
    <row r="106" spans="1:4" ht="15" customHeight="1">
      <c r="A106" s="148" t="str">
        <f t="shared" si="9"/>
        <v>АСУЭ.SEPAM.aPrt</v>
      </c>
      <c r="B106" s="683">
        <v>11150</v>
      </c>
      <c r="C106" s="683" t="s">
        <v>0</v>
      </c>
      <c r="D106" s="125" t="s">
        <v>141</v>
      </c>
    </row>
    <row r="107" spans="1:4" ht="15" customHeight="1">
      <c r="A107" s="148" t="str">
        <f t="shared" si="9"/>
        <v>АСУЭ.SEPAM.aPrt</v>
      </c>
      <c r="B107" s="683">
        <v>11152</v>
      </c>
      <c r="C107" s="683" t="s">
        <v>0</v>
      </c>
      <c r="D107" s="125" t="str">
        <f>$R$5</f>
        <v>Авария</v>
      </c>
    </row>
    <row r="108" spans="1:4" ht="15" customHeight="1">
      <c r="A108" s="148" t="str">
        <f t="shared" si="9"/>
        <v>АСУЭ.SEPAM.aPrt</v>
      </c>
      <c r="B108" s="683">
        <v>11000</v>
      </c>
      <c r="C108" s="683" t="s">
        <v>5</v>
      </c>
      <c r="D108" s="125">
        <v>2147483680</v>
      </c>
    </row>
    <row r="109" spans="1:4" ht="15" customHeight="1">
      <c r="A109" s="29" t="str">
        <f t="shared" si="9"/>
        <v>АСУЭ.SEPAM.aPrt</v>
      </c>
      <c r="B109">
        <v>7999</v>
      </c>
      <c r="C109" t="s">
        <v>0</v>
      </c>
      <c r="D109" s="30" t="str">
        <f>"#"&amp;$S$2&amp;"#"&amp;$T$2&amp;"."&amp;$P$2&amp;".TS177_192_TS179"</f>
        <v>#3#\\Setup_rza\Modbus.OPCServer\ZRU_Sepam.VV1_Sepam_S82.TS177_192_TS179</v>
      </c>
    </row>
    <row r="110" spans="1:4" ht="15" customHeight="1">
      <c r="A110" s="29" t="str">
        <f t="shared" si="9"/>
        <v>АСУЭ.SEPAM.aPrt</v>
      </c>
      <c r="B110">
        <v>7998</v>
      </c>
      <c r="C110" t="s">
        <v>6</v>
      </c>
      <c r="D110" s="30">
        <v>1</v>
      </c>
    </row>
    <row r="111" spans="1:4" ht="15" customHeight="1">
      <c r="A111" s="29" t="str">
        <f t="shared" si="9"/>
        <v>АСУЭ.SEPAM.aPrt</v>
      </c>
      <c r="B111">
        <v>101</v>
      </c>
      <c r="C111" t="s">
        <v>0</v>
      </c>
      <c r="D111" s="30" t="s">
        <v>141</v>
      </c>
    </row>
    <row r="112" spans="1:4" ht="15" customHeight="1">
      <c r="A112" s="29" t="str">
        <f t="shared" si="9"/>
        <v>АСУЭ.SEPAM.aPrt</v>
      </c>
      <c r="B112">
        <v>3</v>
      </c>
      <c r="C112" t="s">
        <v>1</v>
      </c>
      <c r="D112" s="30">
        <v>192</v>
      </c>
    </row>
    <row r="113" spans="1:4" ht="15" customHeight="1">
      <c r="A113" s="29" t="str">
        <f t="shared" si="9"/>
        <v>АСУЭ.SEPAM.aPrt</v>
      </c>
      <c r="B113">
        <v>2</v>
      </c>
      <c r="C113" t="s">
        <v>2</v>
      </c>
      <c r="D113" s="30" t="s">
        <v>175</v>
      </c>
    </row>
    <row r="114" spans="1:4" ht="15" customHeight="1">
      <c r="A114" s="26" t="str">
        <f t="shared" si="9"/>
        <v>АСУЭ.SEPAM.aPrt</v>
      </c>
      <c r="B114" s="27">
        <v>1</v>
      </c>
      <c r="C114" s="27" t="s">
        <v>1</v>
      </c>
      <c r="D114" s="28">
        <v>11</v>
      </c>
    </row>
    <row r="115" spans="1:4" ht="15" customHeight="1">
      <c r="A115" s="148" t="str">
        <f t="shared" ref="A115:A124" si="10">$R$2&amp;".aUROV"</f>
        <v>АСУЭ.SEPAM.aUROV</v>
      </c>
      <c r="B115" s="683">
        <v>11154</v>
      </c>
      <c r="C115" s="683" t="s">
        <v>4</v>
      </c>
      <c r="D115" s="535">
        <f>$Q$5</f>
        <v>4</v>
      </c>
    </row>
    <row r="116" spans="1:4" ht="15" customHeight="1">
      <c r="A116" s="148" t="str">
        <f t="shared" si="10"/>
        <v>АСУЭ.SEPAM.aUROV</v>
      </c>
      <c r="B116" s="683">
        <v>11150</v>
      </c>
      <c r="C116" s="683" t="s">
        <v>0</v>
      </c>
      <c r="D116" s="125" t="s">
        <v>1502</v>
      </c>
    </row>
    <row r="117" spans="1:4" ht="15" customHeight="1">
      <c r="A117" s="148" t="str">
        <f t="shared" si="10"/>
        <v>АСУЭ.SEPAM.aUROV</v>
      </c>
      <c r="B117" s="683">
        <v>11152</v>
      </c>
      <c r="C117" s="683" t="s">
        <v>0</v>
      </c>
      <c r="D117" s="125" t="str">
        <f>$R$5</f>
        <v>Авария</v>
      </c>
    </row>
    <row r="118" spans="1:4" ht="15" customHeight="1">
      <c r="A118" s="148" t="str">
        <f t="shared" si="10"/>
        <v>АСУЭ.SEPAM.aUROV</v>
      </c>
      <c r="B118" s="683">
        <v>11000</v>
      </c>
      <c r="C118" s="683" t="s">
        <v>5</v>
      </c>
      <c r="D118" s="125">
        <v>2147483680</v>
      </c>
    </row>
    <row r="119" spans="1:4" ht="15" customHeight="1">
      <c r="A119" s="29" t="str">
        <f t="shared" si="10"/>
        <v>АСУЭ.SEPAM.aUROV</v>
      </c>
      <c r="B119">
        <v>7999</v>
      </c>
      <c r="C119" t="s">
        <v>0</v>
      </c>
      <c r="D119" s="30" t="str">
        <f>"#"&amp;$S$2&amp;"#"&amp;$T$2&amp;"."&amp;$P$2&amp;".TS97_112_TS112"</f>
        <v>#3#\\Setup_rza\Modbus.OPCServer\ZRU_Sepam.VV1_Sepam_S82.TS97_112_TS112</v>
      </c>
    </row>
    <row r="120" spans="1:4" ht="15" customHeight="1">
      <c r="A120" s="29" t="str">
        <f t="shared" si="10"/>
        <v>АСУЭ.SEPAM.aUROV</v>
      </c>
      <c r="B120">
        <v>7998</v>
      </c>
      <c r="C120" t="s">
        <v>6</v>
      </c>
      <c r="D120" s="30">
        <v>1</v>
      </c>
    </row>
    <row r="121" spans="1:4" ht="15" customHeight="1">
      <c r="A121" s="29" t="str">
        <f t="shared" si="10"/>
        <v>АСУЭ.SEPAM.aUROV</v>
      </c>
      <c r="B121">
        <v>101</v>
      </c>
      <c r="C121" t="s">
        <v>0</v>
      </c>
      <c r="D121" s="30" t="s">
        <v>1502</v>
      </c>
    </row>
    <row r="122" spans="1:4" ht="15" customHeight="1">
      <c r="A122" s="29" t="str">
        <f t="shared" si="10"/>
        <v>АСУЭ.SEPAM.aUROV</v>
      </c>
      <c r="B122">
        <v>3</v>
      </c>
      <c r="C122" t="s">
        <v>1</v>
      </c>
      <c r="D122" s="30">
        <v>192</v>
      </c>
    </row>
    <row r="123" spans="1:4" ht="15" customHeight="1">
      <c r="A123" s="29" t="str">
        <f t="shared" si="10"/>
        <v>АСУЭ.SEPAM.aUROV</v>
      </c>
      <c r="B123">
        <v>2</v>
      </c>
      <c r="C123" t="s">
        <v>2</v>
      </c>
      <c r="D123" s="30" t="s">
        <v>175</v>
      </c>
    </row>
    <row r="124" spans="1:4" ht="15" customHeight="1">
      <c r="A124" s="26" t="str">
        <f t="shared" si="10"/>
        <v>АСУЭ.SEPAM.aUROV</v>
      </c>
      <c r="B124" s="27">
        <v>1</v>
      </c>
      <c r="C124" s="27" t="s">
        <v>1</v>
      </c>
      <c r="D124" s="28">
        <v>11</v>
      </c>
    </row>
    <row r="125" spans="1:4" ht="15" customHeight="1">
      <c r="A125" s="148" t="str">
        <f t="shared" ref="A125:A134" si="11">$R$2&amp;".aVNR"</f>
        <v>АСУЭ.SEPAM.aVNR</v>
      </c>
      <c r="B125" s="683">
        <v>11154</v>
      </c>
      <c r="C125" s="683" t="s">
        <v>4</v>
      </c>
      <c r="D125" s="535">
        <f>$Q$5</f>
        <v>4</v>
      </c>
    </row>
    <row r="126" spans="1:4" ht="15" customHeight="1">
      <c r="A126" s="148" t="str">
        <f t="shared" si="11"/>
        <v>АСУЭ.SEPAM.aVNR</v>
      </c>
      <c r="B126" s="683">
        <v>11150</v>
      </c>
      <c r="C126" s="683" t="s">
        <v>0</v>
      </c>
      <c r="D126" s="125" t="s">
        <v>1526</v>
      </c>
    </row>
    <row r="127" spans="1:4" ht="15" customHeight="1">
      <c r="A127" s="148" t="str">
        <f t="shared" si="11"/>
        <v>АСУЭ.SEPAM.aVNR</v>
      </c>
      <c r="B127" s="683">
        <v>11152</v>
      </c>
      <c r="C127" s="683" t="s">
        <v>0</v>
      </c>
      <c r="D127" s="125" t="str">
        <f>$R$5</f>
        <v>Авария</v>
      </c>
    </row>
    <row r="128" spans="1:4" ht="15" customHeight="1">
      <c r="A128" s="148" t="str">
        <f t="shared" si="11"/>
        <v>АСУЭ.SEPAM.aVNR</v>
      </c>
      <c r="B128" s="683">
        <v>11000</v>
      </c>
      <c r="C128" s="683" t="s">
        <v>5</v>
      </c>
      <c r="D128" s="125">
        <v>2147483680</v>
      </c>
    </row>
    <row r="129" spans="1:4" ht="15" customHeight="1">
      <c r="A129" s="29" t="str">
        <f t="shared" si="11"/>
        <v>АСУЭ.SEPAM.aVNR</v>
      </c>
      <c r="B129">
        <v>7999</v>
      </c>
      <c r="C129" t="s">
        <v>0</v>
      </c>
      <c r="D129" s="30" t="str">
        <f>"#"&amp;$S$2&amp;"#"&amp;$T$2&amp;"."&amp;$P$2&amp;".TS177_192_TS184"</f>
        <v>#3#\\Setup_rza\Modbus.OPCServer\ZRU_Sepam.VV1_Sepam_S82.TS177_192_TS184</v>
      </c>
    </row>
    <row r="130" spans="1:4" ht="15" customHeight="1">
      <c r="A130" s="29" t="str">
        <f t="shared" si="11"/>
        <v>АСУЭ.SEPAM.aVNR</v>
      </c>
      <c r="B130">
        <v>7998</v>
      </c>
      <c r="C130" t="s">
        <v>6</v>
      </c>
      <c r="D130" s="30">
        <v>1</v>
      </c>
    </row>
    <row r="131" spans="1:4" ht="15" customHeight="1">
      <c r="A131" s="29" t="str">
        <f t="shared" si="11"/>
        <v>АСУЭ.SEPAM.aVNR</v>
      </c>
      <c r="B131">
        <v>101</v>
      </c>
      <c r="C131" t="s">
        <v>0</v>
      </c>
      <c r="D131" s="30" t="s">
        <v>1526</v>
      </c>
    </row>
    <row r="132" spans="1:4" ht="15" customHeight="1">
      <c r="A132" s="29" t="str">
        <f t="shared" si="11"/>
        <v>АСУЭ.SEPAM.aVNR</v>
      </c>
      <c r="B132">
        <v>3</v>
      </c>
      <c r="C132" t="s">
        <v>1</v>
      </c>
      <c r="D132" s="30">
        <v>192</v>
      </c>
    </row>
    <row r="133" spans="1:4" ht="15" customHeight="1">
      <c r="A133" s="29" t="str">
        <f t="shared" si="11"/>
        <v>АСУЭ.SEPAM.aVNR</v>
      </c>
      <c r="B133">
        <v>2</v>
      </c>
      <c r="C133" t="s">
        <v>2</v>
      </c>
      <c r="D133" s="30" t="s">
        <v>175</v>
      </c>
    </row>
    <row r="134" spans="1:4" ht="15" customHeight="1">
      <c r="A134" s="26" t="str">
        <f t="shared" si="11"/>
        <v>АСУЭ.SEPAM.aVNR</v>
      </c>
      <c r="B134" s="27">
        <v>1</v>
      </c>
      <c r="C134" s="27" t="s">
        <v>1</v>
      </c>
      <c r="D134" s="28">
        <v>11</v>
      </c>
    </row>
    <row r="135" spans="1:4" ht="15" customHeight="1">
      <c r="A135" s="23" t="str">
        <f t="shared" ref="A135:A142" si="12">$R$2&amp;".wCntLimit"</f>
        <v>АСУЭ.SEPAM.wCntLimit</v>
      </c>
      <c r="B135" s="24">
        <v>3000000</v>
      </c>
      <c r="C135" s="24" t="s">
        <v>0</v>
      </c>
      <c r="D135" s="25" t="s">
        <v>394</v>
      </c>
    </row>
    <row r="136" spans="1:4" ht="15" customHeight="1">
      <c r="A136" s="63" t="str">
        <f t="shared" si="12"/>
        <v>АСУЭ.SEPAM.wCntLimit</v>
      </c>
      <c r="B136" s="52">
        <v>11154</v>
      </c>
      <c r="C136" s="52" t="s">
        <v>4</v>
      </c>
      <c r="D136" s="65">
        <f>$Q$6</f>
        <v>8</v>
      </c>
    </row>
    <row r="137" spans="1:4" ht="15" customHeight="1">
      <c r="A137" s="63" t="str">
        <f t="shared" si="12"/>
        <v>АСУЭ.SEPAM.wCntLimit</v>
      </c>
      <c r="B137" s="52">
        <v>11152</v>
      </c>
      <c r="C137" s="52" t="s">
        <v>0</v>
      </c>
      <c r="D137" s="65" t="str">
        <f>$R$6</f>
        <v>Предупреждение</v>
      </c>
    </row>
    <row r="138" spans="1:4" ht="15" customHeight="1">
      <c r="A138" s="63" t="str">
        <f t="shared" si="12"/>
        <v>АСУЭ.SEPAM.wCntLimit</v>
      </c>
      <c r="B138" s="52">
        <v>11150</v>
      </c>
      <c r="C138" s="52" t="s">
        <v>0</v>
      </c>
      <c r="D138" s="65" t="s">
        <v>391</v>
      </c>
    </row>
    <row r="139" spans="1:4" ht="15" customHeight="1">
      <c r="A139" s="63" t="str">
        <f t="shared" si="12"/>
        <v>АСУЭ.SEPAM.wCntLimit</v>
      </c>
      <c r="B139" s="52">
        <v>11000</v>
      </c>
      <c r="C139" s="52" t="s">
        <v>5</v>
      </c>
      <c r="D139" s="65">
        <v>2147483680</v>
      </c>
    </row>
    <row r="140" spans="1:4" ht="15" customHeight="1">
      <c r="A140" s="29" t="str">
        <f t="shared" si="12"/>
        <v>АСУЭ.SEPAM.wCntLimit</v>
      </c>
      <c r="B140">
        <v>3</v>
      </c>
      <c r="C140" t="s">
        <v>1</v>
      </c>
      <c r="D140" s="30">
        <v>192</v>
      </c>
    </row>
    <row r="141" spans="1:4" ht="15" customHeight="1">
      <c r="A141" s="29" t="str">
        <f t="shared" si="12"/>
        <v>АСУЭ.SEPAM.wCntLimit</v>
      </c>
      <c r="B141">
        <v>2</v>
      </c>
      <c r="C141" t="s">
        <v>2</v>
      </c>
      <c r="D141" s="30" t="s">
        <v>175</v>
      </c>
    </row>
    <row r="142" spans="1:4" ht="15" customHeight="1">
      <c r="A142" s="26" t="str">
        <f t="shared" si="12"/>
        <v>АСУЭ.SEPAM.wCntLimit</v>
      </c>
      <c r="B142" s="27">
        <v>1</v>
      </c>
      <c r="C142" s="27" t="s">
        <v>1</v>
      </c>
      <c r="D142" s="28">
        <v>11</v>
      </c>
    </row>
    <row r="143" spans="1:4" ht="15" customHeight="1">
      <c r="A143" s="23" t="str">
        <f t="shared" ref="A143:A150" si="13">$R$2&amp;".wCntLimitI"</f>
        <v>АСУЭ.SEPAM.wCntLimitI</v>
      </c>
      <c r="B143" s="24">
        <v>3000000</v>
      </c>
      <c r="C143" s="24" t="s">
        <v>0</v>
      </c>
      <c r="D143" s="25" t="s">
        <v>395</v>
      </c>
    </row>
    <row r="144" spans="1:4" ht="15" customHeight="1">
      <c r="A144" s="63" t="str">
        <f t="shared" si="13"/>
        <v>АСУЭ.SEPAM.wCntLimitI</v>
      </c>
      <c r="B144" s="52">
        <v>11154</v>
      </c>
      <c r="C144" s="52" t="s">
        <v>4</v>
      </c>
      <c r="D144" s="65">
        <f>$Q$6</f>
        <v>8</v>
      </c>
    </row>
    <row r="145" spans="1:4" ht="15" customHeight="1">
      <c r="A145" s="63" t="str">
        <f t="shared" si="13"/>
        <v>АСУЭ.SEPAM.wCntLimitI</v>
      </c>
      <c r="B145" s="52">
        <v>11152</v>
      </c>
      <c r="C145" s="52" t="s">
        <v>0</v>
      </c>
      <c r="D145" s="65" t="str">
        <f>$R$6</f>
        <v>Предупреждение</v>
      </c>
    </row>
    <row r="146" spans="1:4" ht="15" customHeight="1">
      <c r="A146" s="63" t="str">
        <f t="shared" si="13"/>
        <v>АСУЭ.SEPAM.wCntLimitI</v>
      </c>
      <c r="B146" s="52">
        <v>11150</v>
      </c>
      <c r="C146" s="52" t="s">
        <v>0</v>
      </c>
      <c r="D146" s="65" t="s">
        <v>392</v>
      </c>
    </row>
    <row r="147" spans="1:4" ht="15" customHeight="1">
      <c r="A147" s="63" t="str">
        <f t="shared" si="13"/>
        <v>АСУЭ.SEPAM.wCntLimitI</v>
      </c>
      <c r="B147" s="52">
        <v>11000</v>
      </c>
      <c r="C147" s="52" t="s">
        <v>5</v>
      </c>
      <c r="D147" s="65">
        <v>2147483680</v>
      </c>
    </row>
    <row r="148" spans="1:4" ht="15" customHeight="1">
      <c r="A148" s="29" t="str">
        <f t="shared" si="13"/>
        <v>АСУЭ.SEPAM.wCntLimitI</v>
      </c>
      <c r="B148">
        <v>3</v>
      </c>
      <c r="C148" t="s">
        <v>1</v>
      </c>
      <c r="D148" s="30">
        <v>192</v>
      </c>
    </row>
    <row r="149" spans="1:4" ht="15" customHeight="1">
      <c r="A149" s="29" t="str">
        <f t="shared" si="13"/>
        <v>АСУЭ.SEPAM.wCntLimitI</v>
      </c>
      <c r="B149">
        <v>2</v>
      </c>
      <c r="C149" t="s">
        <v>2</v>
      </c>
      <c r="D149" s="30" t="s">
        <v>175</v>
      </c>
    </row>
    <row r="150" spans="1:4" ht="15" customHeight="1">
      <c r="A150" s="26" t="str">
        <f t="shared" si="13"/>
        <v>АСУЭ.SEPAM.wCntLimitI</v>
      </c>
      <c r="B150" s="27">
        <v>1</v>
      </c>
      <c r="C150" s="27" t="s">
        <v>1</v>
      </c>
      <c r="D150" s="28">
        <v>11</v>
      </c>
    </row>
    <row r="151" spans="1:4" ht="15" customHeight="1">
      <c r="A151" s="23" t="str">
        <f t="shared" ref="A151:A158" si="14">$R$2&amp;".wCntLimitIKZ"</f>
        <v>АСУЭ.SEPAM.wCntLimitIKZ</v>
      </c>
      <c r="B151" s="24">
        <v>3000000</v>
      </c>
      <c r="C151" s="24" t="s">
        <v>0</v>
      </c>
      <c r="D151" s="25" t="s">
        <v>1504</v>
      </c>
    </row>
    <row r="152" spans="1:4" ht="15" customHeight="1">
      <c r="A152" s="63" t="str">
        <f t="shared" si="14"/>
        <v>АСУЭ.SEPAM.wCntLimitIKZ</v>
      </c>
      <c r="B152" s="52">
        <v>11154</v>
      </c>
      <c r="C152" s="52" t="s">
        <v>4</v>
      </c>
      <c r="D152" s="65">
        <f>$Q$6</f>
        <v>8</v>
      </c>
    </row>
    <row r="153" spans="1:4" ht="15" customHeight="1">
      <c r="A153" s="63" t="str">
        <f t="shared" si="14"/>
        <v>АСУЭ.SEPAM.wCntLimitIKZ</v>
      </c>
      <c r="B153" s="52">
        <v>11152</v>
      </c>
      <c r="C153" s="52" t="s">
        <v>0</v>
      </c>
      <c r="D153" s="65" t="str">
        <f>$R$6</f>
        <v>Предупреждение</v>
      </c>
    </row>
    <row r="154" spans="1:4" ht="15" customHeight="1">
      <c r="A154" s="63" t="str">
        <f t="shared" si="14"/>
        <v>АСУЭ.SEPAM.wCntLimitIKZ</v>
      </c>
      <c r="B154" s="52">
        <v>11150</v>
      </c>
      <c r="C154" s="52" t="s">
        <v>0</v>
      </c>
      <c r="D154" s="65" t="s">
        <v>393</v>
      </c>
    </row>
    <row r="155" spans="1:4" ht="15" customHeight="1">
      <c r="A155" s="63" t="str">
        <f t="shared" si="14"/>
        <v>АСУЭ.SEPAM.wCntLimitIKZ</v>
      </c>
      <c r="B155" s="52">
        <v>11000</v>
      </c>
      <c r="C155" s="52" t="s">
        <v>5</v>
      </c>
      <c r="D155" s="65">
        <v>2147483680</v>
      </c>
    </row>
    <row r="156" spans="1:4" ht="15" customHeight="1">
      <c r="A156" s="29" t="str">
        <f t="shared" si="14"/>
        <v>АСУЭ.SEPAM.wCntLimitIKZ</v>
      </c>
      <c r="B156">
        <v>3</v>
      </c>
      <c r="C156" t="s">
        <v>1</v>
      </c>
      <c r="D156" s="30">
        <v>192</v>
      </c>
    </row>
    <row r="157" spans="1:4" ht="15" customHeight="1">
      <c r="A157" s="29" t="str">
        <f t="shared" si="14"/>
        <v>АСУЭ.SEPAM.wCntLimitIKZ</v>
      </c>
      <c r="B157">
        <v>2</v>
      </c>
      <c r="C157" t="s">
        <v>2</v>
      </c>
      <c r="D157" s="30" t="s">
        <v>175</v>
      </c>
    </row>
    <row r="158" spans="1:4" ht="15" customHeight="1">
      <c r="A158" s="26" t="str">
        <f t="shared" si="14"/>
        <v>АСУЭ.SEPAM.wCntLimitIKZ</v>
      </c>
      <c r="B158" s="27">
        <v>1</v>
      </c>
      <c r="C158" s="27" t="s">
        <v>1</v>
      </c>
      <c r="D158" s="28">
        <v>11</v>
      </c>
    </row>
    <row r="159" spans="1:4" ht="15" customHeight="1">
      <c r="A159" s="63" t="str">
        <f t="shared" ref="A159:A169" si="15">$R$2&amp;".wLoc"</f>
        <v>АСУЭ.SEPAM.wLoc</v>
      </c>
      <c r="B159" s="52">
        <v>11154</v>
      </c>
      <c r="C159" s="52" t="s">
        <v>4</v>
      </c>
      <c r="D159" s="199">
        <f>$Q$6</f>
        <v>8</v>
      </c>
    </row>
    <row r="160" spans="1:4" ht="15" customHeight="1">
      <c r="A160" s="63" t="str">
        <f t="shared" si="15"/>
        <v>АСУЭ.SEPAM.wLoc</v>
      </c>
      <c r="B160" s="52">
        <v>11152</v>
      </c>
      <c r="C160" s="52" t="s">
        <v>0</v>
      </c>
      <c r="D160" s="65" t="str">
        <f>$R$6</f>
        <v>Предупреждение</v>
      </c>
    </row>
    <row r="161" spans="1:4" ht="15" customHeight="1">
      <c r="A161" s="63" t="str">
        <f t="shared" si="15"/>
        <v>АСУЭ.SEPAM.wLoc</v>
      </c>
      <c r="B161" s="52">
        <v>11150</v>
      </c>
      <c r="C161" s="52" t="s">
        <v>0</v>
      </c>
      <c r="D161" s="65" t="s">
        <v>169</v>
      </c>
    </row>
    <row r="162" spans="1:4" ht="15" customHeight="1">
      <c r="A162" s="63" t="str">
        <f t="shared" si="15"/>
        <v>АСУЭ.SEPAM.wLoc</v>
      </c>
      <c r="B162" s="52">
        <v>11000</v>
      </c>
      <c r="C162" s="52" t="s">
        <v>5</v>
      </c>
      <c r="D162" s="65">
        <v>0</v>
      </c>
    </row>
    <row r="163" spans="1:4" ht="15" customHeight="1">
      <c r="A163" s="29" t="str">
        <f t="shared" si="15"/>
        <v>АСУЭ.SEPAM.wLoc</v>
      </c>
      <c r="B163">
        <v>7999</v>
      </c>
      <c r="C163" t="s">
        <v>0</v>
      </c>
      <c r="D163" s="30" t="str">
        <f>"#"&amp;$S$2&amp;"#"&amp;$T$2&amp;"."&amp;$P$2&amp;".TS01_16_TS14"</f>
        <v>#3#\\Setup_rza\Modbus.OPCServer\ZRU_Sepam.VV1_Sepam_S82.TS01_16_TS14</v>
      </c>
    </row>
    <row r="164" spans="1:4" ht="15" customHeight="1">
      <c r="A164" s="29" t="str">
        <f t="shared" si="15"/>
        <v>АСУЭ.SEPAM.wLoc</v>
      </c>
      <c r="B164">
        <v>7998</v>
      </c>
      <c r="C164" t="s">
        <v>6</v>
      </c>
      <c r="D164" s="30">
        <v>1</v>
      </c>
    </row>
    <row r="165" spans="1:4" ht="15" customHeight="1">
      <c r="A165" s="29" t="str">
        <f t="shared" si="15"/>
        <v>АСУЭ.SEPAM.wLoc</v>
      </c>
      <c r="B165">
        <v>7200</v>
      </c>
      <c r="C165" t="s">
        <v>2</v>
      </c>
      <c r="D165" s="30" t="s">
        <v>266</v>
      </c>
    </row>
    <row r="166" spans="1:4" ht="15" customHeight="1">
      <c r="A166" s="29" t="str">
        <f t="shared" si="15"/>
        <v>АСУЭ.SEPAM.wLoc</v>
      </c>
      <c r="B166">
        <v>101</v>
      </c>
      <c r="C166" t="s">
        <v>0</v>
      </c>
      <c r="D166" s="30" t="s">
        <v>169</v>
      </c>
    </row>
    <row r="167" spans="1:4" ht="15" customHeight="1">
      <c r="A167" s="29" t="str">
        <f t="shared" si="15"/>
        <v>АСУЭ.SEPAM.wLoc</v>
      </c>
      <c r="B167">
        <v>3</v>
      </c>
      <c r="C167" t="s">
        <v>1</v>
      </c>
      <c r="D167" s="30">
        <v>192</v>
      </c>
    </row>
    <row r="168" spans="1:4" ht="15" customHeight="1">
      <c r="A168" s="29" t="str">
        <f t="shared" si="15"/>
        <v>АСУЭ.SEPAM.wLoc</v>
      </c>
      <c r="B168">
        <v>2</v>
      </c>
      <c r="C168" t="s">
        <v>2</v>
      </c>
      <c r="D168" s="30" t="s">
        <v>175</v>
      </c>
    </row>
    <row r="169" spans="1:4" ht="15" customHeight="1">
      <c r="A169" s="26" t="str">
        <f t="shared" si="15"/>
        <v>АСУЭ.SEPAM.wLoc</v>
      </c>
      <c r="B169" s="27">
        <v>1</v>
      </c>
      <c r="C169" s="27" t="s">
        <v>1</v>
      </c>
      <c r="D169" s="28">
        <v>11</v>
      </c>
    </row>
    <row r="170" spans="1:4" ht="15" customHeight="1">
      <c r="A170" s="69" t="str">
        <f t="shared" ref="A170:A179" si="16">$R$2&amp;".wCall"</f>
        <v>АСУЭ.SEPAM.wCall</v>
      </c>
      <c r="B170" s="70">
        <v>11154</v>
      </c>
      <c r="C170" s="70" t="s">
        <v>4</v>
      </c>
      <c r="D170" s="71">
        <f>$Q$6</f>
        <v>8</v>
      </c>
    </row>
    <row r="171" spans="1:4" ht="15" customHeight="1">
      <c r="A171" s="63" t="str">
        <f t="shared" si="16"/>
        <v>АСУЭ.SEPAM.wCall</v>
      </c>
      <c r="B171" s="52">
        <v>11152</v>
      </c>
      <c r="C171" s="52" t="s">
        <v>0</v>
      </c>
      <c r="D171" s="65" t="str">
        <f>$R$6</f>
        <v>Предупреждение</v>
      </c>
    </row>
    <row r="172" spans="1:4" ht="15" customHeight="1">
      <c r="A172" s="63" t="str">
        <f t="shared" si="16"/>
        <v>АСУЭ.SEPAM.wCall</v>
      </c>
      <c r="B172" s="52">
        <v>11150</v>
      </c>
      <c r="C172" s="52" t="s">
        <v>0</v>
      </c>
      <c r="D172" s="65" t="s">
        <v>338</v>
      </c>
    </row>
    <row r="173" spans="1:4" ht="15" customHeight="1">
      <c r="A173" s="63" t="str">
        <f t="shared" si="16"/>
        <v>АСУЭ.SEPAM.wCall</v>
      </c>
      <c r="B173" s="52">
        <v>11000</v>
      </c>
      <c r="C173" s="52" t="s">
        <v>5</v>
      </c>
      <c r="D173" s="65">
        <v>2147483680</v>
      </c>
    </row>
    <row r="174" spans="1:4" ht="15" customHeight="1">
      <c r="A174" s="29" t="str">
        <f t="shared" si="16"/>
        <v>АСУЭ.SEPAM.wCall</v>
      </c>
      <c r="B174">
        <v>7999</v>
      </c>
      <c r="C174" t="s">
        <v>0</v>
      </c>
      <c r="D174" s="30" t="str">
        <f>"#"&amp;$S$2&amp;"#"&amp;$T$2&amp;"."&amp;$P$2&amp;".TS01_16_TS5"</f>
        <v>#3#\\Setup_rza\Modbus.OPCServer\ZRU_Sepam.VV1_Sepam_S82.TS01_16_TS5</v>
      </c>
    </row>
    <row r="175" spans="1:4" ht="15" customHeight="1">
      <c r="A175" s="29" t="str">
        <f t="shared" si="16"/>
        <v>АСУЭ.SEPAM.wCall</v>
      </c>
      <c r="B175">
        <v>7998</v>
      </c>
      <c r="C175" t="s">
        <v>6</v>
      </c>
      <c r="D175" s="30">
        <v>1</v>
      </c>
    </row>
    <row r="176" spans="1:4" ht="15" customHeight="1">
      <c r="A176" s="29" t="str">
        <f t="shared" si="16"/>
        <v>АСУЭ.SEPAM.wCall</v>
      </c>
      <c r="B176">
        <v>101</v>
      </c>
      <c r="C176" t="s">
        <v>0</v>
      </c>
      <c r="D176" s="30" t="s">
        <v>338</v>
      </c>
    </row>
    <row r="177" spans="1:4" ht="15" customHeight="1">
      <c r="A177" s="29" t="str">
        <f t="shared" si="16"/>
        <v>АСУЭ.SEPAM.wCall</v>
      </c>
      <c r="B177">
        <v>3</v>
      </c>
      <c r="C177" t="s">
        <v>1</v>
      </c>
      <c r="D177" s="30">
        <v>192</v>
      </c>
    </row>
    <row r="178" spans="1:4" ht="15" customHeight="1">
      <c r="A178" s="29" t="str">
        <f t="shared" si="16"/>
        <v>АСУЭ.SEPAM.wCall</v>
      </c>
      <c r="B178">
        <v>2</v>
      </c>
      <c r="C178" t="s">
        <v>2</v>
      </c>
      <c r="D178" s="30" t="s">
        <v>175</v>
      </c>
    </row>
    <row r="179" spans="1:4" ht="15" customHeight="1">
      <c r="A179" s="26" t="str">
        <f t="shared" si="16"/>
        <v>АСУЭ.SEPAM.wCall</v>
      </c>
      <c r="B179" s="27">
        <v>1</v>
      </c>
      <c r="C179" s="27" t="s">
        <v>1</v>
      </c>
      <c r="D179" s="28">
        <v>11</v>
      </c>
    </row>
    <row r="180" spans="1:4" ht="15" customHeight="1">
      <c r="A180" s="63" t="str">
        <f t="shared" ref="A180:A189" si="17">$R$2&amp;".wLowBat"</f>
        <v>АСУЭ.SEPAM.wLowBat</v>
      </c>
      <c r="B180" s="52">
        <v>11154</v>
      </c>
      <c r="C180" s="52" t="s">
        <v>4</v>
      </c>
      <c r="D180" s="199">
        <f>$Q$6</f>
        <v>8</v>
      </c>
    </row>
    <row r="181" spans="1:4" ht="15" customHeight="1">
      <c r="A181" s="63" t="str">
        <f t="shared" si="17"/>
        <v>АСУЭ.SEPAM.wLowBat</v>
      </c>
      <c r="B181" s="52">
        <v>11152</v>
      </c>
      <c r="C181" s="52" t="s">
        <v>0</v>
      </c>
      <c r="D181" s="65" t="str">
        <f>$R$6</f>
        <v>Предупреждение</v>
      </c>
    </row>
    <row r="182" spans="1:4" ht="15" customHeight="1">
      <c r="A182" s="63" t="str">
        <f t="shared" si="17"/>
        <v>АСУЭ.SEPAM.wLowBat</v>
      </c>
      <c r="B182" s="52">
        <v>11150</v>
      </c>
      <c r="C182" s="52" t="s">
        <v>0</v>
      </c>
      <c r="D182" s="65" t="s">
        <v>1510</v>
      </c>
    </row>
    <row r="183" spans="1:4" ht="15" customHeight="1">
      <c r="A183" s="63" t="str">
        <f t="shared" si="17"/>
        <v>АСУЭ.SEPAM.wLowBat</v>
      </c>
      <c r="B183" s="52">
        <v>11000</v>
      </c>
      <c r="C183" s="52" t="s">
        <v>5</v>
      </c>
      <c r="D183" s="65">
        <v>2147483680</v>
      </c>
    </row>
    <row r="184" spans="1:4" ht="15" customHeight="1">
      <c r="A184" s="29" t="str">
        <f t="shared" si="17"/>
        <v>АСУЭ.SEPAM.wLowBat</v>
      </c>
      <c r="B184">
        <v>7999</v>
      </c>
      <c r="C184" t="s">
        <v>0</v>
      </c>
      <c r="D184" s="30" t="str">
        <f>"#"&amp;$S$2&amp;"#"&amp;$T$2&amp;"."&amp;$P$2&amp;".TS209_224_TS219"</f>
        <v>#3#\\Setup_rza\Modbus.OPCServer\ZRU_Sepam.VV1_Sepam_S82.TS209_224_TS219</v>
      </c>
    </row>
    <row r="185" spans="1:4" ht="15" customHeight="1">
      <c r="A185" s="29" t="str">
        <f t="shared" si="17"/>
        <v>АСУЭ.SEPAM.wLowBat</v>
      </c>
      <c r="B185">
        <v>7998</v>
      </c>
      <c r="C185" t="s">
        <v>6</v>
      </c>
      <c r="D185" s="30">
        <v>1</v>
      </c>
    </row>
    <row r="186" spans="1:4" ht="15" customHeight="1">
      <c r="A186" s="29" t="str">
        <f t="shared" si="17"/>
        <v>АСУЭ.SEPAM.wLowBat</v>
      </c>
      <c r="B186">
        <v>101</v>
      </c>
      <c r="C186" t="s">
        <v>0</v>
      </c>
      <c r="D186" s="30" t="s">
        <v>1510</v>
      </c>
    </row>
    <row r="187" spans="1:4" ht="15" customHeight="1">
      <c r="A187" s="29" t="str">
        <f t="shared" si="17"/>
        <v>АСУЭ.SEPAM.wLowBat</v>
      </c>
      <c r="B187">
        <v>3</v>
      </c>
      <c r="C187" t="s">
        <v>1</v>
      </c>
      <c r="D187" s="30">
        <v>192</v>
      </c>
    </row>
    <row r="188" spans="1:4" ht="15" customHeight="1">
      <c r="A188" s="29" t="str">
        <f t="shared" si="17"/>
        <v>АСУЭ.SEPAM.wLowBat</v>
      </c>
      <c r="B188">
        <v>2</v>
      </c>
      <c r="C188" t="s">
        <v>2</v>
      </c>
      <c r="D188" s="30" t="s">
        <v>175</v>
      </c>
    </row>
    <row r="189" spans="1:4" ht="15" customHeight="1">
      <c r="A189" s="26" t="str">
        <f t="shared" si="17"/>
        <v>АСУЭ.SEPAM.wLowBat</v>
      </c>
      <c r="B189" s="27">
        <v>1</v>
      </c>
      <c r="C189" s="27" t="s">
        <v>1</v>
      </c>
      <c r="D189" s="28">
        <v>11</v>
      </c>
    </row>
    <row r="190" spans="1:4" ht="15" customHeight="1">
      <c r="A190" s="63" t="str">
        <f t="shared" ref="A190:A199" si="18">$R$2&amp;".wLowU"</f>
        <v>АСУЭ.SEPAM.wLowU</v>
      </c>
      <c r="B190" s="52">
        <v>11154</v>
      </c>
      <c r="C190" s="52" t="s">
        <v>4</v>
      </c>
      <c r="D190" s="199">
        <f>$Q$6</f>
        <v>8</v>
      </c>
    </row>
    <row r="191" spans="1:4" ht="15" customHeight="1">
      <c r="A191" s="63" t="str">
        <f t="shared" si="18"/>
        <v>АСУЭ.SEPAM.wLowU</v>
      </c>
      <c r="B191" s="52">
        <v>11152</v>
      </c>
      <c r="C191" s="52" t="s">
        <v>0</v>
      </c>
      <c r="D191" s="65" t="str">
        <f>$R$6</f>
        <v>Предупреждение</v>
      </c>
    </row>
    <row r="192" spans="1:4" ht="15" customHeight="1">
      <c r="A192" s="63" t="str">
        <f t="shared" si="18"/>
        <v>АСУЭ.SEPAM.wLowU</v>
      </c>
      <c r="B192" s="52">
        <v>11150</v>
      </c>
      <c r="C192" s="52" t="s">
        <v>0</v>
      </c>
      <c r="D192" s="65" t="s">
        <v>1511</v>
      </c>
    </row>
    <row r="193" spans="1:4" ht="15" customHeight="1">
      <c r="A193" s="63" t="str">
        <f t="shared" si="18"/>
        <v>АСУЭ.SEPAM.wLowU</v>
      </c>
      <c r="B193" s="52">
        <v>11000</v>
      </c>
      <c r="C193" s="52" t="s">
        <v>5</v>
      </c>
      <c r="D193" s="65">
        <v>2147483680</v>
      </c>
    </row>
    <row r="194" spans="1:4" ht="15" customHeight="1">
      <c r="A194" s="29" t="str">
        <f t="shared" si="18"/>
        <v>АСУЭ.SEPAM.wLowU</v>
      </c>
      <c r="B194">
        <v>7999</v>
      </c>
      <c r="C194" t="s">
        <v>0</v>
      </c>
      <c r="D194" s="30" t="str">
        <f>"#"&amp;$S$2&amp;"#"&amp;$T$2&amp;"."&amp;$P$2&amp;".TS209_224_TS217"</f>
        <v>#3#\\Setup_rza\Modbus.OPCServer\ZRU_Sepam.VV1_Sepam_S82.TS209_224_TS217</v>
      </c>
    </row>
    <row r="195" spans="1:4" ht="15" customHeight="1">
      <c r="A195" s="29" t="str">
        <f t="shared" si="18"/>
        <v>АСУЭ.SEPAM.wLowU</v>
      </c>
      <c r="B195">
        <v>7998</v>
      </c>
      <c r="C195" t="s">
        <v>6</v>
      </c>
      <c r="D195" s="30">
        <v>1</v>
      </c>
    </row>
    <row r="196" spans="1:4" ht="15" customHeight="1">
      <c r="A196" s="29" t="str">
        <f t="shared" si="18"/>
        <v>АСУЭ.SEPAM.wLowU</v>
      </c>
      <c r="B196">
        <v>101</v>
      </c>
      <c r="C196" t="s">
        <v>0</v>
      </c>
      <c r="D196" s="30" t="s">
        <v>1511</v>
      </c>
    </row>
    <row r="197" spans="1:4" ht="15" customHeight="1">
      <c r="A197" s="29" t="str">
        <f t="shared" si="18"/>
        <v>АСУЭ.SEPAM.wLowU</v>
      </c>
      <c r="B197">
        <v>3</v>
      </c>
      <c r="C197" t="s">
        <v>1</v>
      </c>
      <c r="D197" s="30">
        <v>192</v>
      </c>
    </row>
    <row r="198" spans="1:4" ht="15" customHeight="1">
      <c r="A198" s="29" t="str">
        <f t="shared" si="18"/>
        <v>АСУЭ.SEPAM.wLowU</v>
      </c>
      <c r="B198">
        <v>2</v>
      </c>
      <c r="C198" t="s">
        <v>2</v>
      </c>
      <c r="D198" s="30" t="s">
        <v>175</v>
      </c>
    </row>
    <row r="199" spans="1:4" ht="15" customHeight="1">
      <c r="A199" s="26" t="str">
        <f t="shared" si="18"/>
        <v>АСУЭ.SEPAM.wLowU</v>
      </c>
      <c r="B199" s="27">
        <v>1</v>
      </c>
      <c r="C199" s="27" t="s">
        <v>1</v>
      </c>
      <c r="D199" s="28">
        <v>11</v>
      </c>
    </row>
    <row r="200" spans="1:4" ht="15" customHeight="1">
      <c r="A200" s="63" t="str">
        <f>$R$2&amp;".wSV_On_From_AVR"</f>
        <v>АСУЭ.SEPAM.wSV_On_From_AVR</v>
      </c>
      <c r="B200" s="52">
        <v>11154</v>
      </c>
      <c r="C200" s="52" t="s">
        <v>4</v>
      </c>
      <c r="D200" s="199">
        <f>$Q$6</f>
        <v>8</v>
      </c>
    </row>
    <row r="201" spans="1:4" ht="15" customHeight="1">
      <c r="A201" s="63" t="str">
        <f t="shared" ref="A201:A209" si="19">$R$2&amp;".wSV_On_From_AVR"</f>
        <v>АСУЭ.SEPAM.wSV_On_From_AVR</v>
      </c>
      <c r="B201" s="52">
        <v>11152</v>
      </c>
      <c r="C201" s="52" t="s">
        <v>0</v>
      </c>
      <c r="D201" s="65" t="str">
        <f>$R$6</f>
        <v>Предупреждение</v>
      </c>
    </row>
    <row r="202" spans="1:4" ht="15" customHeight="1">
      <c r="A202" s="63" t="str">
        <f t="shared" si="19"/>
        <v>АСУЭ.SEPAM.wSV_On_From_AVR</v>
      </c>
      <c r="B202" s="52">
        <v>11150</v>
      </c>
      <c r="C202" s="52" t="s">
        <v>0</v>
      </c>
      <c r="D202" s="65" t="s">
        <v>1557</v>
      </c>
    </row>
    <row r="203" spans="1:4" ht="15" customHeight="1">
      <c r="A203" s="63" t="str">
        <f t="shared" si="19"/>
        <v>АСУЭ.SEPAM.wSV_On_From_AVR</v>
      </c>
      <c r="B203" s="52">
        <v>11000</v>
      </c>
      <c r="C203" s="52" t="s">
        <v>5</v>
      </c>
      <c r="D203" s="65">
        <v>2147483680</v>
      </c>
    </row>
    <row r="204" spans="1:4" ht="15" customHeight="1">
      <c r="A204" s="29" t="str">
        <f t="shared" si="19"/>
        <v>АСУЭ.SEPAM.wSV_On_From_AVR</v>
      </c>
      <c r="B204">
        <v>7999</v>
      </c>
      <c r="C204" t="s">
        <v>0</v>
      </c>
      <c r="D204" s="30" t="str">
        <f>"#"&amp;$S$2&amp;"#"&amp;$T$2&amp;"."&amp;$P$2&amp;".TS209_224_TS214"</f>
        <v>#3#\\Setup_rza\Modbus.OPCServer\ZRU_Sepam.VV1_Sepam_S82.TS209_224_TS214</v>
      </c>
    </row>
    <row r="205" spans="1:4" ht="15" customHeight="1">
      <c r="A205" s="29" t="str">
        <f t="shared" si="19"/>
        <v>АСУЭ.SEPAM.wSV_On_From_AVR</v>
      </c>
      <c r="B205">
        <v>7998</v>
      </c>
      <c r="C205" t="s">
        <v>6</v>
      </c>
      <c r="D205" s="30">
        <v>1</v>
      </c>
    </row>
    <row r="206" spans="1:4" ht="15" customHeight="1">
      <c r="A206" s="29" t="str">
        <f t="shared" si="19"/>
        <v>АСУЭ.SEPAM.wSV_On_From_AVR</v>
      </c>
      <c r="B206">
        <v>101</v>
      </c>
      <c r="C206" t="s">
        <v>0</v>
      </c>
      <c r="D206" s="30" t="s">
        <v>1557</v>
      </c>
    </row>
    <row r="207" spans="1:4" ht="15" customHeight="1">
      <c r="A207" s="29" t="str">
        <f t="shared" si="19"/>
        <v>АСУЭ.SEPAM.wSV_On_From_AVR</v>
      </c>
      <c r="B207">
        <v>3</v>
      </c>
      <c r="C207" t="s">
        <v>1</v>
      </c>
      <c r="D207" s="30">
        <v>192</v>
      </c>
    </row>
    <row r="208" spans="1:4" ht="15" customHeight="1">
      <c r="A208" s="29" t="str">
        <f t="shared" si="19"/>
        <v>АСУЭ.SEPAM.wSV_On_From_AVR</v>
      </c>
      <c r="B208">
        <v>2</v>
      </c>
      <c r="C208" t="s">
        <v>2</v>
      </c>
      <c r="D208" s="30" t="s">
        <v>175</v>
      </c>
    </row>
    <row r="209" spans="1:4" ht="15" customHeight="1">
      <c r="A209" s="26" t="str">
        <f t="shared" si="19"/>
        <v>АСУЭ.SEPAM.wSV_On_From_AVR</v>
      </c>
      <c r="B209" s="27">
        <v>1</v>
      </c>
      <c r="C209" s="27" t="s">
        <v>1</v>
      </c>
      <c r="D209" s="28">
        <v>11</v>
      </c>
    </row>
    <row r="210" spans="1:4" ht="15" customHeight="1">
      <c r="A210" s="63" t="str">
        <f t="shared" ref="A210:A219" si="20">$R$2&amp;".wOscilBlkRec"</f>
        <v>АСУЭ.SEPAM.wOscilBlkRec</v>
      </c>
      <c r="B210" s="52">
        <v>11154</v>
      </c>
      <c r="C210" s="52" t="s">
        <v>4</v>
      </c>
      <c r="D210" s="199">
        <f>$Q$6</f>
        <v>8</v>
      </c>
    </row>
    <row r="211" spans="1:4" ht="15" customHeight="1">
      <c r="A211" s="63" t="str">
        <f t="shared" si="20"/>
        <v>АСУЭ.SEPAM.wOscilBlkRec</v>
      </c>
      <c r="B211" s="52">
        <v>11150</v>
      </c>
      <c r="C211" s="52" t="s">
        <v>0</v>
      </c>
      <c r="D211" s="65" t="s">
        <v>1546</v>
      </c>
    </row>
    <row r="212" spans="1:4" ht="15" customHeight="1">
      <c r="A212" s="63" t="str">
        <f t="shared" si="20"/>
        <v>АСУЭ.SEPAM.wOscilBlkRec</v>
      </c>
      <c r="B212" s="52">
        <v>11152</v>
      </c>
      <c r="C212" s="52" t="s">
        <v>0</v>
      </c>
      <c r="D212" s="65" t="str">
        <f>$R$6</f>
        <v>Предупреждение</v>
      </c>
    </row>
    <row r="213" spans="1:4" ht="15" customHeight="1">
      <c r="A213" s="63" t="str">
        <f t="shared" si="20"/>
        <v>АСУЭ.SEPAM.wOscilBlkRec</v>
      </c>
      <c r="B213" s="52">
        <v>11000</v>
      </c>
      <c r="C213" s="52" t="s">
        <v>5</v>
      </c>
      <c r="D213" s="65">
        <v>2147483680</v>
      </c>
    </row>
    <row r="214" spans="1:4" ht="15" customHeight="1">
      <c r="A214" s="29" t="str">
        <f t="shared" si="20"/>
        <v>АСУЭ.SEPAM.wOscilBlkRec</v>
      </c>
      <c r="B214">
        <v>7999</v>
      </c>
      <c r="C214" t="s">
        <v>0</v>
      </c>
      <c r="D214" s="30" t="str">
        <f>"#"&amp;$S$2&amp;"#"&amp;$T$2&amp;"."&amp;$P$2&amp;".TS49_64_TS50"</f>
        <v>#3#\\Setup_rza\Modbus.OPCServer\ZRU_Sepam.VV1_Sepam_S82.TS49_64_TS50</v>
      </c>
    </row>
    <row r="215" spans="1:4" ht="15" customHeight="1">
      <c r="A215" s="29" t="str">
        <f t="shared" si="20"/>
        <v>АСУЭ.SEPAM.wOscilBlkRec</v>
      </c>
      <c r="B215">
        <v>7998</v>
      </c>
      <c r="C215" t="s">
        <v>6</v>
      </c>
      <c r="D215" s="30">
        <v>1</v>
      </c>
    </row>
    <row r="216" spans="1:4" ht="15" customHeight="1">
      <c r="A216" s="29" t="str">
        <f t="shared" si="20"/>
        <v>АСУЭ.SEPAM.wOscilBlkRec</v>
      </c>
      <c r="B216">
        <v>101</v>
      </c>
      <c r="C216" t="s">
        <v>0</v>
      </c>
      <c r="D216" s="30" t="s">
        <v>1546</v>
      </c>
    </row>
    <row r="217" spans="1:4" ht="15" customHeight="1">
      <c r="A217" s="29" t="str">
        <f t="shared" si="20"/>
        <v>АСУЭ.SEPAM.wOscilBlkRec</v>
      </c>
      <c r="B217">
        <v>3</v>
      </c>
      <c r="C217" t="s">
        <v>1</v>
      </c>
      <c r="D217" s="30">
        <v>192</v>
      </c>
    </row>
    <row r="218" spans="1:4" ht="15" customHeight="1">
      <c r="A218" s="29" t="str">
        <f t="shared" si="20"/>
        <v>АСУЭ.SEPAM.wOscilBlkRec</v>
      </c>
      <c r="B218">
        <v>2</v>
      </c>
      <c r="C218" t="s">
        <v>2</v>
      </c>
      <c r="D218" s="30" t="s">
        <v>3</v>
      </c>
    </row>
    <row r="219" spans="1:4" ht="15" customHeight="1">
      <c r="A219" s="26" t="str">
        <f t="shared" si="20"/>
        <v>АСУЭ.SEPAM.wOscilBlkRec</v>
      </c>
      <c r="B219" s="27">
        <v>1</v>
      </c>
      <c r="C219" s="27" t="s">
        <v>1</v>
      </c>
      <c r="D219" s="28">
        <v>11</v>
      </c>
    </row>
    <row r="220" spans="1:4" ht="15" customHeight="1">
      <c r="A220" s="63" t="str">
        <f t="shared" ref="A220:A229" si="21">$R$2&amp;".wPhaseReverse"</f>
        <v>АСУЭ.SEPAM.wPhaseReverse</v>
      </c>
      <c r="B220" s="52">
        <v>11154</v>
      </c>
      <c r="C220" s="52" t="s">
        <v>4</v>
      </c>
      <c r="D220" s="199">
        <f>$Q$6</f>
        <v>8</v>
      </c>
    </row>
    <row r="221" spans="1:4" ht="15" customHeight="1">
      <c r="A221" s="63" t="str">
        <f t="shared" si="21"/>
        <v>АСУЭ.SEPAM.wPhaseReverse</v>
      </c>
      <c r="B221" s="52">
        <v>11152</v>
      </c>
      <c r="C221" s="52" t="s">
        <v>0</v>
      </c>
      <c r="D221" s="65" t="str">
        <f>$R$6</f>
        <v>Предупреждение</v>
      </c>
    </row>
    <row r="222" spans="1:4" ht="15" customHeight="1">
      <c r="A222" s="63" t="str">
        <f t="shared" si="21"/>
        <v>АСУЭ.SEPAM.wPhaseReverse</v>
      </c>
      <c r="B222" s="52">
        <v>11150</v>
      </c>
      <c r="C222" s="52" t="s">
        <v>0</v>
      </c>
      <c r="D222" s="65" t="s">
        <v>1527</v>
      </c>
    </row>
    <row r="223" spans="1:4" ht="15" customHeight="1">
      <c r="A223" s="63" t="str">
        <f t="shared" si="21"/>
        <v>АСУЭ.SEPAM.wPhaseReverse</v>
      </c>
      <c r="B223" s="52">
        <v>11000</v>
      </c>
      <c r="C223" s="52" t="s">
        <v>5</v>
      </c>
      <c r="D223" s="65">
        <v>2147483680</v>
      </c>
    </row>
    <row r="224" spans="1:4" ht="15" customHeight="1">
      <c r="A224" s="29" t="str">
        <f t="shared" si="21"/>
        <v>АСУЭ.SEPAM.wPhaseReverse</v>
      </c>
      <c r="B224">
        <v>7999</v>
      </c>
      <c r="C224" t="s">
        <v>0</v>
      </c>
      <c r="D224" s="30" t="str">
        <f>"#"&amp;$S$2&amp;"#"&amp;$T$2&amp;"."&amp;$P$2&amp;".TS193_208_TS196"</f>
        <v>#3#\\Setup_rza\Modbus.OPCServer\ZRU_Sepam.VV1_Sepam_S82.TS193_208_TS196</v>
      </c>
    </row>
    <row r="225" spans="1:4" ht="15" customHeight="1">
      <c r="A225" s="29" t="str">
        <f t="shared" si="21"/>
        <v>АСУЭ.SEPAM.wPhaseReverse</v>
      </c>
      <c r="B225">
        <v>7998</v>
      </c>
      <c r="C225" t="s">
        <v>6</v>
      </c>
      <c r="D225" s="30">
        <v>1</v>
      </c>
    </row>
    <row r="226" spans="1:4" ht="15" customHeight="1">
      <c r="A226" s="29" t="str">
        <f t="shared" si="21"/>
        <v>АСУЭ.SEPAM.wPhaseReverse</v>
      </c>
      <c r="B226">
        <v>101</v>
      </c>
      <c r="C226" t="s">
        <v>0</v>
      </c>
      <c r="D226" s="30" t="s">
        <v>1527</v>
      </c>
    </row>
    <row r="227" spans="1:4" ht="15" customHeight="1">
      <c r="A227" s="29" t="str">
        <f t="shared" si="21"/>
        <v>АСУЭ.SEPAM.wPhaseReverse</v>
      </c>
      <c r="B227">
        <v>3</v>
      </c>
      <c r="C227" t="s">
        <v>1</v>
      </c>
      <c r="D227" s="30">
        <v>192</v>
      </c>
    </row>
    <row r="228" spans="1:4" ht="15" customHeight="1">
      <c r="A228" s="29" t="str">
        <f t="shared" si="21"/>
        <v>АСУЭ.SEPAM.wPhaseReverse</v>
      </c>
      <c r="B228">
        <v>2</v>
      </c>
      <c r="C228" t="s">
        <v>2</v>
      </c>
      <c r="D228" s="30" t="s">
        <v>175</v>
      </c>
    </row>
    <row r="229" spans="1:4" ht="15" customHeight="1">
      <c r="A229" s="26" t="str">
        <f t="shared" si="21"/>
        <v>АСУЭ.SEPAM.wPhaseReverse</v>
      </c>
      <c r="B229" s="27">
        <v>1</v>
      </c>
      <c r="C229" s="27" t="s">
        <v>1</v>
      </c>
      <c r="D229" s="28">
        <v>11</v>
      </c>
    </row>
    <row r="230" spans="1:4" ht="15" customHeight="1">
      <c r="A230" s="63" t="str">
        <f t="shared" ref="A230:A239" si="22">$R$2&amp;".wSF6LowPressure"</f>
        <v>АСУЭ.SEPAM.wSF6LowPressure</v>
      </c>
      <c r="B230" s="52">
        <v>11154</v>
      </c>
      <c r="C230" s="52" t="s">
        <v>4</v>
      </c>
      <c r="D230" s="199">
        <f>$Q$6</f>
        <v>8</v>
      </c>
    </row>
    <row r="231" spans="1:4" ht="15" customHeight="1">
      <c r="A231" s="63" t="str">
        <f t="shared" si="22"/>
        <v>АСУЭ.SEPAM.wSF6LowPressure</v>
      </c>
      <c r="B231" s="52">
        <v>11152</v>
      </c>
      <c r="C231" s="52" t="s">
        <v>0</v>
      </c>
      <c r="D231" s="65" t="str">
        <f>$R$6</f>
        <v>Предупреждение</v>
      </c>
    </row>
    <row r="232" spans="1:4" ht="15" customHeight="1">
      <c r="A232" s="63" t="str">
        <f t="shared" si="22"/>
        <v>АСУЭ.SEPAM.wSF6LowPressure</v>
      </c>
      <c r="B232" s="52">
        <v>11150</v>
      </c>
      <c r="C232" s="52" t="s">
        <v>0</v>
      </c>
      <c r="D232" s="65" t="s">
        <v>1528</v>
      </c>
    </row>
    <row r="233" spans="1:4" ht="15" customHeight="1">
      <c r="A233" s="63" t="str">
        <f t="shared" si="22"/>
        <v>АСУЭ.SEPAM.wSF6LowPressure</v>
      </c>
      <c r="B233" s="52">
        <v>11000</v>
      </c>
      <c r="C233" s="52" t="s">
        <v>5</v>
      </c>
      <c r="D233" s="65">
        <v>2147483680</v>
      </c>
    </row>
    <row r="234" spans="1:4" ht="15" customHeight="1">
      <c r="A234" s="29" t="str">
        <f t="shared" si="22"/>
        <v>АСУЭ.SEPAM.wSF6LowPressure</v>
      </c>
      <c r="B234">
        <v>7999</v>
      </c>
      <c r="C234" t="s">
        <v>0</v>
      </c>
      <c r="D234" s="30" t="str">
        <f>"#"&amp;$S$2&amp;"#"&amp;$T$2&amp;"."&amp;$P$2&amp;".TS01_16_TS12"</f>
        <v>#3#\\Setup_rza\Modbus.OPCServer\ZRU_Sepam.VV1_Sepam_S82.TS01_16_TS12</v>
      </c>
    </row>
    <row r="235" spans="1:4" ht="15" customHeight="1">
      <c r="A235" s="29" t="str">
        <f t="shared" si="22"/>
        <v>АСУЭ.SEPAM.wSF6LowPressure</v>
      </c>
      <c r="B235">
        <v>7998</v>
      </c>
      <c r="C235" t="s">
        <v>6</v>
      </c>
      <c r="D235" s="30">
        <v>1</v>
      </c>
    </row>
    <row r="236" spans="1:4" ht="15" customHeight="1">
      <c r="A236" s="29" t="str">
        <f t="shared" si="22"/>
        <v>АСУЭ.SEPAM.wSF6LowPressure</v>
      </c>
      <c r="B236">
        <v>101</v>
      </c>
      <c r="C236" t="s">
        <v>0</v>
      </c>
      <c r="D236" s="30" t="s">
        <v>1528</v>
      </c>
    </row>
    <row r="237" spans="1:4" ht="15" customHeight="1">
      <c r="A237" s="29" t="str">
        <f t="shared" si="22"/>
        <v>АСУЭ.SEPAM.wSF6LowPressure</v>
      </c>
      <c r="B237">
        <v>3</v>
      </c>
      <c r="C237" t="s">
        <v>1</v>
      </c>
      <c r="D237" s="30">
        <v>192</v>
      </c>
    </row>
    <row r="238" spans="1:4" ht="15" customHeight="1">
      <c r="A238" s="29" t="str">
        <f t="shared" si="22"/>
        <v>АСУЭ.SEPAM.wSF6LowPressure</v>
      </c>
      <c r="B238">
        <v>2</v>
      </c>
      <c r="C238" t="s">
        <v>2</v>
      </c>
      <c r="D238" s="30" t="s">
        <v>175</v>
      </c>
    </row>
    <row r="239" spans="1:4" ht="15" customHeight="1">
      <c r="A239" s="26" t="str">
        <f t="shared" si="22"/>
        <v>АСУЭ.SEPAM.wSF6LowPressure</v>
      </c>
      <c r="B239" s="27">
        <v>1</v>
      </c>
      <c r="C239" s="27" t="s">
        <v>1</v>
      </c>
      <c r="D239" s="28">
        <v>11</v>
      </c>
    </row>
    <row r="240" spans="1:4" ht="15" customHeight="1">
      <c r="A240" s="63" t="str">
        <f t="shared" ref="A240:A249" si="23">$R$2&amp;".stAVR_SV_Off"</f>
        <v>АСУЭ.SEPAM.stAVR_SV_Off</v>
      </c>
      <c r="B240" s="52">
        <v>11154</v>
      </c>
      <c r="C240" s="52" t="s">
        <v>4</v>
      </c>
      <c r="D240" s="199">
        <f>$Q$6</f>
        <v>8</v>
      </c>
    </row>
    <row r="241" spans="1:4" ht="15" customHeight="1">
      <c r="A241" s="63" t="str">
        <f t="shared" si="23"/>
        <v>АСУЭ.SEPAM.stAVR_SV_Off</v>
      </c>
      <c r="B241" s="52">
        <v>11152</v>
      </c>
      <c r="C241" s="52" t="s">
        <v>0</v>
      </c>
      <c r="D241" s="65" t="str">
        <f>$R$6</f>
        <v>Предупреждение</v>
      </c>
    </row>
    <row r="242" spans="1:4" ht="15" customHeight="1">
      <c r="A242" s="63" t="str">
        <f t="shared" si="23"/>
        <v>АСУЭ.SEPAM.stAVR_SV_Off</v>
      </c>
      <c r="B242" s="52">
        <v>11150</v>
      </c>
      <c r="C242" s="52" t="s">
        <v>0</v>
      </c>
      <c r="D242" s="65" t="s">
        <v>1558</v>
      </c>
    </row>
    <row r="243" spans="1:4" ht="15" customHeight="1">
      <c r="A243" s="63" t="str">
        <f t="shared" si="23"/>
        <v>АСУЭ.SEPAM.stAVR_SV_Off</v>
      </c>
      <c r="B243" s="52">
        <v>11000</v>
      </c>
      <c r="C243" s="52" t="s">
        <v>5</v>
      </c>
      <c r="D243" s="65">
        <v>2147483680</v>
      </c>
    </row>
    <row r="244" spans="1:4" ht="15" customHeight="1">
      <c r="A244" s="29" t="str">
        <f t="shared" si="23"/>
        <v>АСУЭ.SEPAM.stAVR_SV_Off</v>
      </c>
      <c r="B244">
        <v>7999</v>
      </c>
      <c r="C244" t="s">
        <v>0</v>
      </c>
      <c r="D244" s="30" t="str">
        <f>"#"&amp;$S$2&amp;"#"&amp;$T$2&amp;"."&amp;$P$2&amp;".TS177_192_TS183"</f>
        <v>#3#\\Setup_rza\Modbus.OPCServer\ZRU_Sepam.VV1_Sepam_S82.TS177_192_TS183</v>
      </c>
    </row>
    <row r="245" spans="1:4" ht="15" customHeight="1">
      <c r="A245" s="29" t="str">
        <f t="shared" si="23"/>
        <v>АСУЭ.SEPAM.stAVR_SV_Off</v>
      </c>
      <c r="B245">
        <v>7998</v>
      </c>
      <c r="C245" t="s">
        <v>6</v>
      </c>
      <c r="D245" s="30">
        <v>1</v>
      </c>
    </row>
    <row r="246" spans="1:4" ht="15" customHeight="1">
      <c r="A246" s="29" t="str">
        <f t="shared" si="23"/>
        <v>АСУЭ.SEPAM.stAVR_SV_Off</v>
      </c>
      <c r="B246">
        <v>101</v>
      </c>
      <c r="C246" t="s">
        <v>0</v>
      </c>
      <c r="D246" s="30" t="s">
        <v>1558</v>
      </c>
    </row>
    <row r="247" spans="1:4" ht="15" customHeight="1">
      <c r="A247" s="29" t="str">
        <f t="shared" si="23"/>
        <v>АСУЭ.SEPAM.stAVR_SV_Off</v>
      </c>
      <c r="B247">
        <v>3</v>
      </c>
      <c r="C247" t="s">
        <v>1</v>
      </c>
      <c r="D247" s="30">
        <v>192</v>
      </c>
    </row>
    <row r="248" spans="1:4" ht="15" customHeight="1">
      <c r="A248" s="29" t="str">
        <f t="shared" si="23"/>
        <v>АСУЭ.SEPAM.stAVR_SV_Off</v>
      </c>
      <c r="B248">
        <v>2</v>
      </c>
      <c r="C248" t="s">
        <v>2</v>
      </c>
      <c r="D248" s="30" t="s">
        <v>175</v>
      </c>
    </row>
    <row r="249" spans="1:4" ht="15" customHeight="1">
      <c r="A249" s="26" t="str">
        <f t="shared" si="23"/>
        <v>АСУЭ.SEPAM.stAVR_SV_Off</v>
      </c>
      <c r="B249" s="27">
        <v>1</v>
      </c>
      <c r="C249" s="27" t="s">
        <v>1</v>
      </c>
      <c r="D249" s="28">
        <v>11</v>
      </c>
    </row>
    <row r="250" spans="1:4" ht="15" customHeight="1">
      <c r="A250" s="217" t="str">
        <f>$R$2&amp;".NotConnected"</f>
        <v>АСУЭ.SEPAM.NotConnected</v>
      </c>
      <c r="B250" s="218">
        <v>11154</v>
      </c>
      <c r="C250" s="218" t="s">
        <v>4</v>
      </c>
      <c r="D250" s="231">
        <f>$Q$7</f>
        <v>12</v>
      </c>
    </row>
    <row r="251" spans="1:4" ht="15" customHeight="1">
      <c r="A251" s="211" t="str">
        <f t="shared" ref="A251:A259" si="24">$R$2&amp;".NotConnected"</f>
        <v>АСУЭ.SEPAM.NotConnected</v>
      </c>
      <c r="B251" s="677">
        <v>11152</v>
      </c>
      <c r="C251" s="677" t="s">
        <v>0</v>
      </c>
      <c r="D251" s="213" t="str">
        <f>$R$7</f>
        <v>Неисправность</v>
      </c>
    </row>
    <row r="252" spans="1:4" ht="15" customHeight="1">
      <c r="A252" s="211" t="str">
        <f t="shared" si="24"/>
        <v>АСУЭ.SEPAM.NotConnected</v>
      </c>
      <c r="B252" s="677">
        <v>11150</v>
      </c>
      <c r="C252" s="677" t="s">
        <v>0</v>
      </c>
      <c r="D252" s="213" t="s">
        <v>448</v>
      </c>
    </row>
    <row r="253" spans="1:4" ht="15" customHeight="1">
      <c r="A253" s="211" t="str">
        <f t="shared" si="24"/>
        <v>АСУЭ.SEPAM.NotConnected</v>
      </c>
      <c r="B253" s="677">
        <v>11000</v>
      </c>
      <c r="C253" s="677" t="s">
        <v>5</v>
      </c>
      <c r="D253" s="213">
        <v>2147483680</v>
      </c>
    </row>
    <row r="254" spans="1:4" ht="15" customHeight="1">
      <c r="A254" s="29" t="str">
        <f t="shared" si="24"/>
        <v>АСУЭ.SEPAM.NotConnected</v>
      </c>
      <c r="B254">
        <v>7999</v>
      </c>
      <c r="C254" t="s">
        <v>0</v>
      </c>
      <c r="D254" s="30" t="str">
        <f>"#"&amp;$S$2&amp;"#"&amp;$T$2&amp;"."&amp;$P$2&amp;".NotConnected"</f>
        <v>#3#\\Setup_rza\Modbus.OPCServer\ZRU_Sepam.VV1_Sepam_S82.NotConnected</v>
      </c>
    </row>
    <row r="255" spans="1:4" ht="15" customHeight="1">
      <c r="A255" s="29" t="str">
        <f t="shared" si="24"/>
        <v>АСУЭ.SEPAM.NotConnected</v>
      </c>
      <c r="B255">
        <v>7998</v>
      </c>
      <c r="C255" t="s">
        <v>6</v>
      </c>
      <c r="D255" s="30">
        <v>1</v>
      </c>
    </row>
    <row r="256" spans="1:4" ht="15" customHeight="1">
      <c r="A256" s="29" t="str">
        <f t="shared" si="24"/>
        <v>АСУЭ.SEPAM.NotConnected</v>
      </c>
      <c r="B256">
        <v>101</v>
      </c>
      <c r="C256" t="s">
        <v>0</v>
      </c>
      <c r="D256" s="30" t="s">
        <v>448</v>
      </c>
    </row>
    <row r="257" spans="1:4" ht="15" customHeight="1">
      <c r="A257" s="29" t="str">
        <f t="shared" si="24"/>
        <v>АСУЭ.SEPAM.NotConnected</v>
      </c>
      <c r="B257">
        <v>3</v>
      </c>
      <c r="C257" t="s">
        <v>1</v>
      </c>
      <c r="D257" s="30">
        <v>192</v>
      </c>
    </row>
    <row r="258" spans="1:4" ht="15" customHeight="1">
      <c r="A258" s="29" t="str">
        <f t="shared" si="24"/>
        <v>АСУЭ.SEPAM.NotConnected</v>
      </c>
      <c r="B258">
        <v>2</v>
      </c>
      <c r="C258" t="s">
        <v>2</v>
      </c>
      <c r="D258" s="30" t="s">
        <v>175</v>
      </c>
    </row>
    <row r="259" spans="1:4" ht="15" customHeight="1">
      <c r="A259" s="26" t="str">
        <f t="shared" si="24"/>
        <v>АСУЭ.SEPAM.NotConnected</v>
      </c>
      <c r="B259" s="27">
        <v>1</v>
      </c>
      <c r="C259" s="27" t="s">
        <v>1</v>
      </c>
      <c r="D259" s="28">
        <v>11</v>
      </c>
    </row>
    <row r="260" spans="1:4" ht="15" customHeight="1">
      <c r="A260" s="211" t="str">
        <f t="shared" ref="A260:A267" si="25">$R$2&amp;".wNotOff"</f>
        <v>АСУЭ.SEPAM.wNotOff</v>
      </c>
      <c r="B260" s="677">
        <v>11154</v>
      </c>
      <c r="C260" s="677" t="s">
        <v>4</v>
      </c>
      <c r="D260" s="213">
        <f>$Q$7</f>
        <v>12</v>
      </c>
    </row>
    <row r="261" spans="1:4" ht="15" customHeight="1">
      <c r="A261" s="211" t="str">
        <f t="shared" si="25"/>
        <v>АСУЭ.SEPAM.wNotOff</v>
      </c>
      <c r="B261" s="677">
        <v>11152</v>
      </c>
      <c r="C261" s="677" t="s">
        <v>0</v>
      </c>
      <c r="D261" s="213" t="str">
        <f>$R$7</f>
        <v>Неисправность</v>
      </c>
    </row>
    <row r="262" spans="1:4" ht="15" customHeight="1">
      <c r="A262" s="211" t="str">
        <f t="shared" si="25"/>
        <v>АСУЭ.SEPAM.wNotOff</v>
      </c>
      <c r="B262" s="677">
        <v>11150</v>
      </c>
      <c r="C262" s="677" t="s">
        <v>0</v>
      </c>
      <c r="D262" s="213" t="s">
        <v>339</v>
      </c>
    </row>
    <row r="263" spans="1:4" ht="15" customHeight="1">
      <c r="A263" s="211" t="str">
        <f t="shared" si="25"/>
        <v>АСУЭ.SEPAM.wNotOff</v>
      </c>
      <c r="B263" s="677">
        <v>11000</v>
      </c>
      <c r="C263" s="677" t="s">
        <v>5</v>
      </c>
      <c r="D263" s="213">
        <v>2147483680</v>
      </c>
    </row>
    <row r="264" spans="1:4" ht="15" customHeight="1">
      <c r="A264" s="29" t="str">
        <f t="shared" si="25"/>
        <v>АСУЭ.SEPAM.wNotOff</v>
      </c>
      <c r="B264">
        <v>101</v>
      </c>
      <c r="C264" t="s">
        <v>0</v>
      </c>
      <c r="D264" s="30" t="s">
        <v>339</v>
      </c>
    </row>
    <row r="265" spans="1:4" ht="15" customHeight="1">
      <c r="A265" s="29" t="str">
        <f t="shared" si="25"/>
        <v>АСУЭ.SEPAM.wNotOff</v>
      </c>
      <c r="B265">
        <v>3</v>
      </c>
      <c r="C265" t="s">
        <v>1</v>
      </c>
      <c r="D265" s="30">
        <v>192</v>
      </c>
    </row>
    <row r="266" spans="1:4" ht="15" customHeight="1">
      <c r="A266" s="29" t="str">
        <f t="shared" si="25"/>
        <v>АСУЭ.SEPAM.wNotOff</v>
      </c>
      <c r="B266">
        <v>2</v>
      </c>
      <c r="C266" t="s">
        <v>2</v>
      </c>
      <c r="D266" s="30" t="s">
        <v>3</v>
      </c>
    </row>
    <row r="267" spans="1:4" ht="15" customHeight="1">
      <c r="A267" s="26" t="str">
        <f t="shared" si="25"/>
        <v>АСУЭ.SEPAM.wNotOff</v>
      </c>
      <c r="B267" s="27">
        <v>1</v>
      </c>
      <c r="C267" s="27" t="s">
        <v>1</v>
      </c>
      <c r="D267" s="28">
        <v>11</v>
      </c>
    </row>
    <row r="268" spans="1:4" ht="15" customHeight="1">
      <c r="A268" s="211" t="str">
        <f t="shared" ref="A268:A275" si="26">$R$2&amp;".wNotOn"</f>
        <v>АСУЭ.SEPAM.wNotOn</v>
      </c>
      <c r="B268" s="677">
        <v>11154</v>
      </c>
      <c r="C268" s="677" t="s">
        <v>4</v>
      </c>
      <c r="D268" s="213">
        <f>$Q$7</f>
        <v>12</v>
      </c>
    </row>
    <row r="269" spans="1:4" ht="15" customHeight="1">
      <c r="A269" s="211" t="str">
        <f t="shared" si="26"/>
        <v>АСУЭ.SEPAM.wNotOn</v>
      </c>
      <c r="B269" s="677">
        <v>11152</v>
      </c>
      <c r="C269" s="677" t="s">
        <v>0</v>
      </c>
      <c r="D269" s="213" t="str">
        <f>$R$7</f>
        <v>Неисправность</v>
      </c>
    </row>
    <row r="270" spans="1:4" ht="15" customHeight="1">
      <c r="A270" s="211" t="str">
        <f t="shared" si="26"/>
        <v>АСУЭ.SEPAM.wNotOn</v>
      </c>
      <c r="B270" s="677">
        <v>11150</v>
      </c>
      <c r="C270" s="677" t="s">
        <v>0</v>
      </c>
      <c r="D270" s="213" t="s">
        <v>340</v>
      </c>
    </row>
    <row r="271" spans="1:4" ht="15" customHeight="1">
      <c r="A271" s="211" t="str">
        <f t="shared" si="26"/>
        <v>АСУЭ.SEPAM.wNotOn</v>
      </c>
      <c r="B271" s="677">
        <v>11000</v>
      </c>
      <c r="C271" s="677" t="s">
        <v>5</v>
      </c>
      <c r="D271" s="213">
        <v>2147483680</v>
      </c>
    </row>
    <row r="272" spans="1:4" ht="15" customHeight="1">
      <c r="A272" s="29" t="str">
        <f t="shared" si="26"/>
        <v>АСУЭ.SEPAM.wNotOn</v>
      </c>
      <c r="B272">
        <v>101</v>
      </c>
      <c r="C272" t="s">
        <v>0</v>
      </c>
      <c r="D272" s="30" t="s">
        <v>340</v>
      </c>
    </row>
    <row r="273" spans="1:4" ht="15" customHeight="1">
      <c r="A273" s="29" t="str">
        <f t="shared" si="26"/>
        <v>АСУЭ.SEPAM.wNotOn</v>
      </c>
      <c r="B273">
        <v>3</v>
      </c>
      <c r="C273" t="s">
        <v>1</v>
      </c>
      <c r="D273" s="30">
        <v>192</v>
      </c>
    </row>
    <row r="274" spans="1:4" ht="15" customHeight="1">
      <c r="A274" s="29" t="str">
        <f t="shared" si="26"/>
        <v>АСУЭ.SEPAM.wNotOn</v>
      </c>
      <c r="B274">
        <v>2</v>
      </c>
      <c r="C274" t="s">
        <v>2</v>
      </c>
      <c r="D274" s="30" t="s">
        <v>3</v>
      </c>
    </row>
    <row r="275" spans="1:4" ht="15" customHeight="1">
      <c r="A275" s="26" t="str">
        <f t="shared" si="26"/>
        <v>АСУЭ.SEPAM.wNotOn</v>
      </c>
      <c r="B275" s="27">
        <v>1</v>
      </c>
      <c r="C275" s="27" t="s">
        <v>1</v>
      </c>
      <c r="D275" s="28">
        <v>11</v>
      </c>
    </row>
    <row r="276" spans="1:4" ht="15" customHeight="1">
      <c r="A276" s="211" t="str">
        <f t="shared" ref="A276:A282" si="27">$R$2&amp;".wDbl"</f>
        <v>АСУЭ.SEPAM.wDbl</v>
      </c>
      <c r="B276" s="677">
        <v>11154</v>
      </c>
      <c r="C276" s="677" t="s">
        <v>4</v>
      </c>
      <c r="D276" s="213">
        <f>$Q$7</f>
        <v>12</v>
      </c>
    </row>
    <row r="277" spans="1:4" ht="15" customHeight="1">
      <c r="A277" s="211" t="str">
        <f t="shared" si="27"/>
        <v>АСУЭ.SEPAM.wDbl</v>
      </c>
      <c r="B277" s="677">
        <v>11152</v>
      </c>
      <c r="C277" s="677" t="s">
        <v>0</v>
      </c>
      <c r="D277" s="213" t="str">
        <f>$R$7</f>
        <v>Неисправность</v>
      </c>
    </row>
    <row r="278" spans="1:4" ht="15" customHeight="1">
      <c r="A278" s="211" t="str">
        <f t="shared" si="27"/>
        <v>АСУЭ.SEPAM.wDbl</v>
      </c>
      <c r="B278" s="677">
        <v>11150</v>
      </c>
      <c r="C278" s="677" t="s">
        <v>0</v>
      </c>
      <c r="D278" s="213" t="s">
        <v>341</v>
      </c>
    </row>
    <row r="279" spans="1:4" ht="15" customHeight="1">
      <c r="A279" s="211" t="str">
        <f t="shared" si="27"/>
        <v>АСУЭ.SEPAM.wDbl</v>
      </c>
      <c r="B279" s="677">
        <v>11000</v>
      </c>
      <c r="C279" s="677" t="s">
        <v>5</v>
      </c>
      <c r="D279" s="213">
        <v>2147483680</v>
      </c>
    </row>
    <row r="280" spans="1:4" ht="15" customHeight="1">
      <c r="A280" s="29" t="str">
        <f t="shared" si="27"/>
        <v>АСУЭ.SEPAM.wDbl</v>
      </c>
      <c r="B280">
        <v>3</v>
      </c>
      <c r="C280" t="s">
        <v>1</v>
      </c>
      <c r="D280" s="30">
        <v>192</v>
      </c>
    </row>
    <row r="281" spans="1:4" ht="15" customHeight="1">
      <c r="A281" s="29" t="str">
        <f t="shared" si="27"/>
        <v>АСУЭ.SEPAM.wDbl</v>
      </c>
      <c r="B281">
        <v>2</v>
      </c>
      <c r="C281" t="s">
        <v>2</v>
      </c>
      <c r="D281" s="30" t="s">
        <v>175</v>
      </c>
    </row>
    <row r="282" spans="1:4" ht="15" customHeight="1">
      <c r="A282" s="26" t="str">
        <f t="shared" si="27"/>
        <v>АСУЭ.SEPAM.wDbl</v>
      </c>
      <c r="B282" s="27">
        <v>1</v>
      </c>
      <c r="C282" s="27" t="s">
        <v>1</v>
      </c>
      <c r="D282" s="28">
        <v>11</v>
      </c>
    </row>
    <row r="283" spans="1:4" ht="15" customHeight="1">
      <c r="A283" s="211" t="str">
        <f t="shared" ref="A283:A289" si="28">$R$2&amp;".wUnkw"</f>
        <v>АСУЭ.SEPAM.wUnkw</v>
      </c>
      <c r="B283" s="677">
        <v>11154</v>
      </c>
      <c r="C283" s="677" t="s">
        <v>4</v>
      </c>
      <c r="D283" s="213">
        <f>$Q$7</f>
        <v>12</v>
      </c>
    </row>
    <row r="284" spans="1:4" ht="15" customHeight="1">
      <c r="A284" s="211" t="str">
        <f t="shared" si="28"/>
        <v>АСУЭ.SEPAM.wUnkw</v>
      </c>
      <c r="B284" s="677">
        <v>11152</v>
      </c>
      <c r="C284" s="677" t="s">
        <v>0</v>
      </c>
      <c r="D284" s="213" t="str">
        <f>$R$7</f>
        <v>Неисправность</v>
      </c>
    </row>
    <row r="285" spans="1:4" ht="15" customHeight="1">
      <c r="A285" s="211" t="str">
        <f t="shared" si="28"/>
        <v>АСУЭ.SEPAM.wUnkw</v>
      </c>
      <c r="B285" s="677">
        <v>11150</v>
      </c>
      <c r="C285" s="677" t="s">
        <v>0</v>
      </c>
      <c r="D285" s="213" t="s">
        <v>342</v>
      </c>
    </row>
    <row r="286" spans="1:4" ht="15" customHeight="1">
      <c r="A286" s="211" t="str">
        <f t="shared" si="28"/>
        <v>АСУЭ.SEPAM.wUnkw</v>
      </c>
      <c r="B286" s="677">
        <v>11000</v>
      </c>
      <c r="C286" s="677" t="s">
        <v>5</v>
      </c>
      <c r="D286" s="213">
        <v>2147483680</v>
      </c>
    </row>
    <row r="287" spans="1:4" ht="15" customHeight="1">
      <c r="A287" s="29" t="str">
        <f t="shared" si="28"/>
        <v>АСУЭ.SEPAM.wUnkw</v>
      </c>
      <c r="B287">
        <v>3</v>
      </c>
      <c r="C287" t="s">
        <v>1</v>
      </c>
      <c r="D287" s="30">
        <v>192</v>
      </c>
    </row>
    <row r="288" spans="1:4" ht="15" customHeight="1">
      <c r="A288" s="29" t="str">
        <f t="shared" si="28"/>
        <v>АСУЭ.SEPAM.wUnkw</v>
      </c>
      <c r="B288">
        <v>2</v>
      </c>
      <c r="C288" t="s">
        <v>2</v>
      </c>
      <c r="D288" s="30" t="s">
        <v>175</v>
      </c>
    </row>
    <row r="289" spans="1:4" ht="15" customHeight="1">
      <c r="A289" s="26" t="str">
        <f t="shared" si="28"/>
        <v>АСУЭ.SEPAM.wUnkw</v>
      </c>
      <c r="B289" s="27">
        <v>1</v>
      </c>
      <c r="C289" s="27" t="s">
        <v>1</v>
      </c>
      <c r="D289" s="28">
        <v>11</v>
      </c>
    </row>
    <row r="290" spans="1:4" ht="15" customHeight="1">
      <c r="A290" s="217" t="str">
        <f t="shared" ref="A290:A299" si="29">$R$2&amp;".wCmdCircuitFlt"</f>
        <v>АСУЭ.SEPAM.wCmdCircuitFlt</v>
      </c>
      <c r="B290" s="218">
        <v>11154</v>
      </c>
      <c r="C290" s="218" t="s">
        <v>4</v>
      </c>
      <c r="D290" s="231">
        <f>$Q$7</f>
        <v>12</v>
      </c>
    </row>
    <row r="291" spans="1:4" ht="15" customHeight="1">
      <c r="A291" s="211" t="str">
        <f t="shared" si="29"/>
        <v>АСУЭ.SEPAM.wCmdCircuitFlt</v>
      </c>
      <c r="B291" s="677">
        <v>11152</v>
      </c>
      <c r="C291" s="677" t="s">
        <v>0</v>
      </c>
      <c r="D291" s="213" t="str">
        <f>$R$7</f>
        <v>Неисправность</v>
      </c>
    </row>
    <row r="292" spans="1:4" ht="15" customHeight="1">
      <c r="A292" s="211" t="str">
        <f t="shared" si="29"/>
        <v>АСУЭ.SEPAM.wCmdCircuitFlt</v>
      </c>
      <c r="B292" s="677">
        <v>11150</v>
      </c>
      <c r="C292" s="677" t="s">
        <v>0</v>
      </c>
      <c r="D292" s="213" t="s">
        <v>387</v>
      </c>
    </row>
    <row r="293" spans="1:4" ht="15" customHeight="1">
      <c r="A293" s="211" t="str">
        <f t="shared" si="29"/>
        <v>АСУЭ.SEPAM.wCmdCircuitFlt</v>
      </c>
      <c r="B293" s="677">
        <v>11000</v>
      </c>
      <c r="C293" s="677" t="s">
        <v>5</v>
      </c>
      <c r="D293" s="213">
        <v>2147483680</v>
      </c>
    </row>
    <row r="294" spans="1:4" ht="15" customHeight="1">
      <c r="A294" s="29" t="str">
        <f t="shared" si="29"/>
        <v>АСУЭ.SEPAM.wCmdCircuitFlt</v>
      </c>
      <c r="B294">
        <v>7999</v>
      </c>
      <c r="C294" t="s">
        <v>0</v>
      </c>
      <c r="D294" s="30" t="str">
        <f>"#"&amp;$S$2&amp;"#"&amp;$T$2&amp;"."&amp;$P$2&amp;".TS01_16_TS1"</f>
        <v>#3#\\Setup_rza\Modbus.OPCServer\ZRU_Sepam.VV1_Sepam_S82.TS01_16_TS1</v>
      </c>
    </row>
    <row r="295" spans="1:4" ht="15" customHeight="1">
      <c r="A295" s="29" t="str">
        <f t="shared" si="29"/>
        <v>АСУЭ.SEPAM.wCmdCircuitFlt</v>
      </c>
      <c r="B295">
        <v>7998</v>
      </c>
      <c r="C295" t="s">
        <v>6</v>
      </c>
      <c r="D295" s="30">
        <v>1</v>
      </c>
    </row>
    <row r="296" spans="1:4" ht="15" customHeight="1">
      <c r="A296" s="29" t="str">
        <f t="shared" si="29"/>
        <v>АСУЭ.SEPAM.wCmdCircuitFlt</v>
      </c>
      <c r="B296">
        <v>101</v>
      </c>
      <c r="C296" t="s">
        <v>0</v>
      </c>
      <c r="D296" s="30" t="s">
        <v>387</v>
      </c>
    </row>
    <row r="297" spans="1:4" ht="15" customHeight="1">
      <c r="A297" s="29" t="str">
        <f t="shared" si="29"/>
        <v>АСУЭ.SEPAM.wCmdCircuitFlt</v>
      </c>
      <c r="B297">
        <v>3</v>
      </c>
      <c r="C297" t="s">
        <v>1</v>
      </c>
      <c r="D297" s="30">
        <v>192</v>
      </c>
    </row>
    <row r="298" spans="1:4" ht="15" customHeight="1">
      <c r="A298" s="29" t="str">
        <f t="shared" si="29"/>
        <v>АСУЭ.SEPAM.wCmdCircuitFlt</v>
      </c>
      <c r="B298">
        <v>2</v>
      </c>
      <c r="C298" t="s">
        <v>2</v>
      </c>
      <c r="D298" s="30" t="s">
        <v>175</v>
      </c>
    </row>
    <row r="299" spans="1:4" ht="15" customHeight="1">
      <c r="A299" s="26" t="str">
        <f t="shared" si="29"/>
        <v>АСУЭ.SEPAM.wCmdCircuitFlt</v>
      </c>
      <c r="B299" s="27">
        <v>1</v>
      </c>
      <c r="C299" s="27" t="s">
        <v>1</v>
      </c>
      <c r="D299" s="28">
        <v>11</v>
      </c>
    </row>
    <row r="300" spans="1:4" ht="15" customHeight="1">
      <c r="A300" s="217" t="str">
        <f>$R$2&amp;".wCmdFlt"</f>
        <v>АСУЭ.SEPAM.wCmdFlt</v>
      </c>
      <c r="B300" s="218">
        <v>11154</v>
      </c>
      <c r="C300" s="218" t="s">
        <v>4</v>
      </c>
      <c r="D300" s="231">
        <f>$Q$7</f>
        <v>12</v>
      </c>
    </row>
    <row r="301" spans="1:4" ht="15" customHeight="1">
      <c r="A301" s="211" t="str">
        <f t="shared" ref="A301:A309" si="30">$R$2&amp;".wCmdFlt"</f>
        <v>АСУЭ.SEPAM.wCmdFlt</v>
      </c>
      <c r="B301" s="677">
        <v>11152</v>
      </c>
      <c r="C301" s="677" t="s">
        <v>0</v>
      </c>
      <c r="D301" s="213" t="str">
        <f>$R$7</f>
        <v>Неисправность</v>
      </c>
    </row>
    <row r="302" spans="1:4" ht="15" customHeight="1">
      <c r="A302" s="211" t="str">
        <f t="shared" si="30"/>
        <v>АСУЭ.SEPAM.wCmdFlt</v>
      </c>
      <c r="B302" s="677">
        <v>11150</v>
      </c>
      <c r="C302" s="677" t="s">
        <v>0</v>
      </c>
      <c r="D302" s="213" t="s">
        <v>1547</v>
      </c>
    </row>
    <row r="303" spans="1:4" ht="15" customHeight="1">
      <c r="A303" s="211" t="str">
        <f t="shared" si="30"/>
        <v>АСУЭ.SEPAM.wCmdFlt</v>
      </c>
      <c r="B303" s="677">
        <v>11000</v>
      </c>
      <c r="C303" s="677" t="s">
        <v>5</v>
      </c>
      <c r="D303" s="213">
        <v>2147483680</v>
      </c>
    </row>
    <row r="304" spans="1:4" ht="15" customHeight="1">
      <c r="A304" s="29" t="str">
        <f t="shared" si="30"/>
        <v>АСУЭ.SEPAM.wCmdFlt</v>
      </c>
      <c r="B304">
        <v>7999</v>
      </c>
      <c r="C304" t="s">
        <v>0</v>
      </c>
      <c r="D304" s="30" t="str">
        <f>"#"&amp;$S$2&amp;"#"&amp;$T$2&amp;"."&amp;$P$2&amp;".TS01_16_TS2"</f>
        <v>#3#\\Setup_rza\Modbus.OPCServer\ZRU_Sepam.VV1_Sepam_S82.TS01_16_TS2</v>
      </c>
    </row>
    <row r="305" spans="1:4" ht="15" customHeight="1">
      <c r="A305" s="29" t="str">
        <f t="shared" si="30"/>
        <v>АСУЭ.SEPAM.wCmdFlt</v>
      </c>
      <c r="B305">
        <v>7998</v>
      </c>
      <c r="C305" t="s">
        <v>6</v>
      </c>
      <c r="D305" s="30">
        <v>1</v>
      </c>
    </row>
    <row r="306" spans="1:4" ht="15" customHeight="1">
      <c r="A306" s="29" t="str">
        <f t="shared" si="30"/>
        <v>АСУЭ.SEPAM.wCmdFlt</v>
      </c>
      <c r="B306">
        <v>101</v>
      </c>
      <c r="C306" t="s">
        <v>0</v>
      </c>
      <c r="D306" s="30" t="s">
        <v>1547</v>
      </c>
    </row>
    <row r="307" spans="1:4" ht="15" customHeight="1">
      <c r="A307" s="29" t="str">
        <f t="shared" si="30"/>
        <v>АСУЭ.SEPAM.wCmdFlt</v>
      </c>
      <c r="B307">
        <v>3</v>
      </c>
      <c r="C307" t="s">
        <v>1</v>
      </c>
      <c r="D307" s="30">
        <v>192</v>
      </c>
    </row>
    <row r="308" spans="1:4" ht="15" customHeight="1">
      <c r="A308" s="29" t="str">
        <f t="shared" si="30"/>
        <v>АСУЭ.SEPAM.wCmdFlt</v>
      </c>
      <c r="B308">
        <v>2</v>
      </c>
      <c r="C308" t="s">
        <v>2</v>
      </c>
      <c r="D308" s="30" t="s">
        <v>175</v>
      </c>
    </row>
    <row r="309" spans="1:4" ht="15" customHeight="1">
      <c r="A309" s="26" t="str">
        <f t="shared" si="30"/>
        <v>АСУЭ.SEPAM.wCmdFlt</v>
      </c>
      <c r="B309" s="27">
        <v>1</v>
      </c>
      <c r="C309" s="27" t="s">
        <v>1</v>
      </c>
      <c r="D309" s="28">
        <v>11</v>
      </c>
    </row>
    <row r="310" spans="1:4" ht="15" customHeight="1">
      <c r="A310" s="217" t="str">
        <f>$R$2&amp;".wGenFlt"</f>
        <v>АСУЭ.SEPAM.wGenFlt</v>
      </c>
      <c r="B310" s="218">
        <v>11154</v>
      </c>
      <c r="C310" s="218" t="s">
        <v>4</v>
      </c>
      <c r="D310" s="231">
        <f>$Q$7</f>
        <v>12</v>
      </c>
    </row>
    <row r="311" spans="1:4" ht="15" customHeight="1">
      <c r="A311" s="211" t="str">
        <f t="shared" ref="A311:A319" si="31">$R$2&amp;".wGenFlt"</f>
        <v>АСУЭ.SEPAM.wGenFlt</v>
      </c>
      <c r="B311" s="677">
        <v>11152</v>
      </c>
      <c r="C311" s="677" t="s">
        <v>0</v>
      </c>
      <c r="D311" s="213" t="str">
        <f>$R$7</f>
        <v>Неисправность</v>
      </c>
    </row>
    <row r="312" spans="1:4" ht="15" customHeight="1">
      <c r="A312" s="211" t="str">
        <f t="shared" si="31"/>
        <v>АСУЭ.SEPAM.wGenFlt</v>
      </c>
      <c r="B312" s="677">
        <v>11150</v>
      </c>
      <c r="C312" s="677" t="s">
        <v>0</v>
      </c>
      <c r="D312" s="213" t="s">
        <v>139</v>
      </c>
    </row>
    <row r="313" spans="1:4" ht="15" customHeight="1">
      <c r="A313" s="211" t="str">
        <f t="shared" si="31"/>
        <v>АСУЭ.SEPAM.wGenFlt</v>
      </c>
      <c r="B313" s="677">
        <v>11000</v>
      </c>
      <c r="C313" s="677" t="s">
        <v>5</v>
      </c>
      <c r="D313" s="213">
        <v>2147483680</v>
      </c>
    </row>
    <row r="314" spans="1:4" ht="15" customHeight="1">
      <c r="A314" s="29" t="str">
        <f t="shared" si="31"/>
        <v>АСУЭ.SEPAM.wGenFlt</v>
      </c>
      <c r="B314">
        <v>7999</v>
      </c>
      <c r="C314" t="s">
        <v>0</v>
      </c>
      <c r="D314" s="30" t="str">
        <f>"#"&amp;$S$2&amp;"#"&amp;$T$2&amp;"."&amp;$P$2&amp;".TS49_64_TS52"</f>
        <v>#3#\\Setup_rza\Modbus.OPCServer\ZRU_Sepam.VV1_Sepam_S82.TS49_64_TS52</v>
      </c>
    </row>
    <row r="315" spans="1:4" ht="15" customHeight="1">
      <c r="A315" s="29" t="str">
        <f t="shared" si="31"/>
        <v>АСУЭ.SEPAM.wGenFlt</v>
      </c>
      <c r="B315">
        <v>7998</v>
      </c>
      <c r="C315" t="s">
        <v>6</v>
      </c>
      <c r="D315" s="30">
        <v>1</v>
      </c>
    </row>
    <row r="316" spans="1:4" ht="15" customHeight="1">
      <c r="A316" s="29" t="str">
        <f t="shared" si="31"/>
        <v>АСУЭ.SEPAM.wGenFlt</v>
      </c>
      <c r="B316">
        <v>101</v>
      </c>
      <c r="C316" t="s">
        <v>0</v>
      </c>
      <c r="D316" s="30" t="s">
        <v>139</v>
      </c>
    </row>
    <row r="317" spans="1:4" ht="15" customHeight="1">
      <c r="A317" s="29" t="str">
        <f t="shared" si="31"/>
        <v>АСУЭ.SEPAM.wGenFlt</v>
      </c>
      <c r="B317">
        <v>3</v>
      </c>
      <c r="C317" t="s">
        <v>1</v>
      </c>
      <c r="D317" s="30">
        <v>192</v>
      </c>
    </row>
    <row r="318" spans="1:4" ht="15" customHeight="1">
      <c r="A318" s="29" t="str">
        <f t="shared" si="31"/>
        <v>АСУЭ.SEPAM.wGenFlt</v>
      </c>
      <c r="B318">
        <v>2</v>
      </c>
      <c r="C318" t="s">
        <v>2</v>
      </c>
      <c r="D318" s="30" t="s">
        <v>175</v>
      </c>
    </row>
    <row r="319" spans="1:4" ht="15" customHeight="1">
      <c r="A319" s="26" t="str">
        <f t="shared" si="31"/>
        <v>АСУЭ.SEPAM.wGenFlt</v>
      </c>
      <c r="B319" s="27">
        <v>1</v>
      </c>
      <c r="C319" s="27" t="s">
        <v>1</v>
      </c>
      <c r="D319" s="28">
        <v>11</v>
      </c>
    </row>
    <row r="320" spans="1:4" ht="15" customHeight="1">
      <c r="A320" s="217" t="str">
        <f>$R$2&amp;".wMotorSpringFlt"</f>
        <v>АСУЭ.SEPAM.wMotorSpringFlt</v>
      </c>
      <c r="B320" s="218">
        <v>11154</v>
      </c>
      <c r="C320" s="218" t="s">
        <v>4</v>
      </c>
      <c r="D320" s="231">
        <f>$Q$7</f>
        <v>12</v>
      </c>
    </row>
    <row r="321" spans="1:4" ht="15" customHeight="1">
      <c r="A321" s="211" t="str">
        <f t="shared" ref="A321:A329" si="32">$R$2&amp;".wMotorSpringFlt"</f>
        <v>АСУЭ.SEPAM.wMotorSpringFlt</v>
      </c>
      <c r="B321" s="677">
        <v>11152</v>
      </c>
      <c r="C321" s="677" t="s">
        <v>0</v>
      </c>
      <c r="D321" s="213" t="str">
        <f>$R$7</f>
        <v>Неисправность</v>
      </c>
    </row>
    <row r="322" spans="1:4" ht="15" customHeight="1">
      <c r="A322" s="211" t="str">
        <f t="shared" si="32"/>
        <v>АСУЭ.SEPAM.wMotorSpringFlt</v>
      </c>
      <c r="B322" s="677">
        <v>11150</v>
      </c>
      <c r="C322" s="677" t="s">
        <v>0</v>
      </c>
      <c r="D322" s="213" t="s">
        <v>1548</v>
      </c>
    </row>
    <row r="323" spans="1:4" ht="15" customHeight="1">
      <c r="A323" s="211" t="str">
        <f t="shared" si="32"/>
        <v>АСУЭ.SEPAM.wMotorSpringFlt</v>
      </c>
      <c r="B323" s="677">
        <v>11000</v>
      </c>
      <c r="C323" s="677" t="s">
        <v>5</v>
      </c>
      <c r="D323" s="213">
        <v>2147483680</v>
      </c>
    </row>
    <row r="324" spans="1:4" ht="15" customHeight="1">
      <c r="A324" s="29" t="str">
        <f t="shared" si="32"/>
        <v>АСУЭ.SEPAM.wMotorSpringFlt</v>
      </c>
      <c r="B324">
        <v>7999</v>
      </c>
      <c r="C324" t="s">
        <v>0</v>
      </c>
      <c r="D324" s="30" t="str">
        <f>"#"&amp;$S$2&amp;"#"&amp;$T$2&amp;"."&amp;$P$2&amp;".TS177_192_TS180"</f>
        <v>#3#\\Setup_rza\Modbus.OPCServer\ZRU_Sepam.VV1_Sepam_S82.TS177_192_TS180</v>
      </c>
    </row>
    <row r="325" spans="1:4" ht="15" customHeight="1">
      <c r="A325" s="29" t="str">
        <f t="shared" si="32"/>
        <v>АСУЭ.SEPAM.wMotorSpringFlt</v>
      </c>
      <c r="B325">
        <v>7998</v>
      </c>
      <c r="C325" t="s">
        <v>6</v>
      </c>
      <c r="D325" s="30">
        <v>1</v>
      </c>
    </row>
    <row r="326" spans="1:4" ht="15" customHeight="1">
      <c r="A326" s="29" t="str">
        <f t="shared" si="32"/>
        <v>АСУЭ.SEPAM.wMotorSpringFlt</v>
      </c>
      <c r="B326">
        <v>101</v>
      </c>
      <c r="C326" t="s">
        <v>0</v>
      </c>
      <c r="D326" s="30" t="s">
        <v>1548</v>
      </c>
    </row>
    <row r="327" spans="1:4" ht="15" customHeight="1">
      <c r="A327" s="29" t="str">
        <f t="shared" si="32"/>
        <v>АСУЭ.SEPAM.wMotorSpringFlt</v>
      </c>
      <c r="B327">
        <v>3</v>
      </c>
      <c r="C327" t="s">
        <v>1</v>
      </c>
      <c r="D327" s="30">
        <v>192</v>
      </c>
    </row>
    <row r="328" spans="1:4" ht="15" customHeight="1">
      <c r="A328" s="29" t="str">
        <f t="shared" si="32"/>
        <v>АСУЭ.SEPAM.wMotorSpringFlt</v>
      </c>
      <c r="B328">
        <v>2</v>
      </c>
      <c r="C328" t="s">
        <v>2</v>
      </c>
      <c r="D328" s="30" t="s">
        <v>175</v>
      </c>
    </row>
    <row r="329" spans="1:4" ht="15" customHeight="1">
      <c r="A329" s="26" t="str">
        <f t="shared" si="32"/>
        <v>АСУЭ.SEPAM.wMotorSpringFlt</v>
      </c>
      <c r="B329" s="27">
        <v>1</v>
      </c>
      <c r="C329" s="27" t="s">
        <v>1</v>
      </c>
      <c r="D329" s="28">
        <v>11</v>
      </c>
    </row>
    <row r="330" spans="1:4" ht="15" customHeight="1">
      <c r="A330" s="217" t="str">
        <f t="shared" ref="A330:A339" si="33">$R$2&amp;".wCircuitOnFlt"</f>
        <v>АСУЭ.SEPAM.wCircuitOnFlt</v>
      </c>
      <c r="B330" s="218">
        <v>11154</v>
      </c>
      <c r="C330" s="218" t="s">
        <v>4</v>
      </c>
      <c r="D330" s="231">
        <f>$Q$7</f>
        <v>12</v>
      </c>
    </row>
    <row r="331" spans="1:4" ht="15" customHeight="1">
      <c r="A331" s="211" t="str">
        <f t="shared" si="33"/>
        <v>АСУЭ.SEPAM.wCircuitOnFlt</v>
      </c>
      <c r="B331" s="677">
        <v>11152</v>
      </c>
      <c r="C331" s="677" t="s">
        <v>0</v>
      </c>
      <c r="D331" s="213" t="str">
        <f>$R$7</f>
        <v>Неисправность</v>
      </c>
    </row>
    <row r="332" spans="1:4" ht="15" customHeight="1">
      <c r="A332" s="211" t="str">
        <f t="shared" si="33"/>
        <v>АСУЭ.SEPAM.wCircuitOnFlt</v>
      </c>
      <c r="B332" s="677">
        <v>11150</v>
      </c>
      <c r="C332" s="677" t="s">
        <v>0</v>
      </c>
      <c r="D332" s="213" t="s">
        <v>1515</v>
      </c>
    </row>
    <row r="333" spans="1:4" ht="15" customHeight="1">
      <c r="A333" s="211" t="str">
        <f t="shared" si="33"/>
        <v>АСУЭ.SEPAM.wCircuitOnFlt</v>
      </c>
      <c r="B333" s="677">
        <v>11000</v>
      </c>
      <c r="C333" s="677" t="s">
        <v>5</v>
      </c>
      <c r="D333" s="213">
        <v>2147483680</v>
      </c>
    </row>
    <row r="334" spans="1:4" ht="15" customHeight="1">
      <c r="A334" s="29" t="str">
        <f t="shared" si="33"/>
        <v>АСУЭ.SEPAM.wCircuitOnFlt</v>
      </c>
      <c r="B334">
        <v>7999</v>
      </c>
      <c r="C334" t="s">
        <v>0</v>
      </c>
      <c r="D334" s="30" t="str">
        <f>"#"&amp;$S$2&amp;"#"&amp;$T$2&amp;"."&amp;$P$2&amp;".TS193_208_TS208"</f>
        <v>#3#\\Setup_rza\Modbus.OPCServer\ZRU_Sepam.VV1_Sepam_S82.TS193_208_TS208</v>
      </c>
    </row>
    <row r="335" spans="1:4" ht="15" customHeight="1">
      <c r="A335" s="29" t="str">
        <f t="shared" si="33"/>
        <v>АСУЭ.SEPAM.wCircuitOnFlt</v>
      </c>
      <c r="B335">
        <v>7998</v>
      </c>
      <c r="C335" t="s">
        <v>6</v>
      </c>
      <c r="D335" s="30">
        <v>1</v>
      </c>
    </row>
    <row r="336" spans="1:4" ht="15" customHeight="1">
      <c r="A336" s="29" t="str">
        <f t="shared" si="33"/>
        <v>АСУЭ.SEPAM.wCircuitOnFlt</v>
      </c>
      <c r="B336">
        <v>101</v>
      </c>
      <c r="C336" t="s">
        <v>0</v>
      </c>
      <c r="D336" s="30" t="s">
        <v>1515</v>
      </c>
    </row>
    <row r="337" spans="1:20" ht="15" customHeight="1">
      <c r="A337" s="29" t="str">
        <f t="shared" si="33"/>
        <v>АСУЭ.SEPAM.wCircuitOnFlt</v>
      </c>
      <c r="B337">
        <v>3</v>
      </c>
      <c r="C337" t="s">
        <v>1</v>
      </c>
      <c r="D337" s="30">
        <v>192</v>
      </c>
    </row>
    <row r="338" spans="1:20" ht="15" customHeight="1">
      <c r="A338" s="29" t="str">
        <f t="shared" si="33"/>
        <v>АСУЭ.SEPAM.wCircuitOnFlt</v>
      </c>
      <c r="B338">
        <v>2</v>
      </c>
      <c r="C338" t="s">
        <v>2</v>
      </c>
      <c r="D338" s="30" t="s">
        <v>175</v>
      </c>
      <c r="Q338" s="1"/>
      <c r="R338" s="1"/>
      <c r="S338" s="1"/>
      <c r="T338" s="1"/>
    </row>
    <row r="339" spans="1:20" ht="15" customHeight="1">
      <c r="A339" s="26" t="str">
        <f t="shared" si="33"/>
        <v>АСУЭ.SEPAM.wCircuitOnFlt</v>
      </c>
      <c r="B339" s="27">
        <v>1</v>
      </c>
      <c r="C339" s="27" t="s">
        <v>1</v>
      </c>
      <c r="D339" s="28">
        <v>11</v>
      </c>
      <c r="Q339" s="1"/>
      <c r="R339" s="1"/>
      <c r="S339" s="1"/>
      <c r="T339" s="1"/>
    </row>
    <row r="340" spans="1:20" ht="15" customHeight="1">
      <c r="A340" s="217" t="str">
        <f>$R$2&amp;".wStateMismatch"</f>
        <v>АСУЭ.SEPAM.wStateMismatch</v>
      </c>
      <c r="B340" s="218">
        <v>11154</v>
      </c>
      <c r="C340" s="218" t="s">
        <v>4</v>
      </c>
      <c r="D340" s="231">
        <f>$Q$7</f>
        <v>12</v>
      </c>
      <c r="Q340" s="1"/>
      <c r="R340" s="1"/>
      <c r="S340" s="1"/>
      <c r="T340" s="1"/>
    </row>
    <row r="341" spans="1:20" ht="15" customHeight="1">
      <c r="A341" s="211" t="str">
        <f t="shared" ref="A341:A349" si="34">$R$2&amp;".wStateMismatch"</f>
        <v>АСУЭ.SEPAM.wStateMismatch</v>
      </c>
      <c r="B341" s="677">
        <v>11152</v>
      </c>
      <c r="C341" s="677" t="s">
        <v>0</v>
      </c>
      <c r="D341" s="213" t="str">
        <f>$R$7</f>
        <v>Неисправность</v>
      </c>
      <c r="Q341" s="1"/>
      <c r="R341" s="1"/>
      <c r="S341" s="1"/>
      <c r="T341" s="1"/>
    </row>
    <row r="342" spans="1:20" ht="15" customHeight="1">
      <c r="A342" s="211" t="str">
        <f t="shared" si="34"/>
        <v>АСУЭ.SEPAM.wStateMismatch</v>
      </c>
      <c r="B342" s="677">
        <v>11150</v>
      </c>
      <c r="C342" s="677" t="s">
        <v>0</v>
      </c>
      <c r="D342" s="213" t="s">
        <v>1516</v>
      </c>
      <c r="Q342" s="1"/>
      <c r="R342" s="1"/>
      <c r="S342" s="1"/>
      <c r="T342" s="1"/>
    </row>
    <row r="343" spans="1:20" ht="15" customHeight="1">
      <c r="A343" s="211" t="str">
        <f t="shared" si="34"/>
        <v>АСУЭ.SEPAM.wStateMismatch</v>
      </c>
      <c r="B343" s="677">
        <v>11000</v>
      </c>
      <c r="C343" s="677" t="s">
        <v>5</v>
      </c>
      <c r="D343" s="213">
        <v>2147483680</v>
      </c>
      <c r="Q343" s="1"/>
      <c r="R343" s="1"/>
      <c r="S343" s="1"/>
      <c r="T343" s="1"/>
    </row>
    <row r="344" spans="1:20" ht="15" customHeight="1">
      <c r="A344" s="29" t="str">
        <f t="shared" si="34"/>
        <v>АСУЭ.SEPAM.wStateMismatch</v>
      </c>
      <c r="B344">
        <v>7999</v>
      </c>
      <c r="C344" t="s">
        <v>0</v>
      </c>
      <c r="D344" s="30" t="str">
        <f>"#"&amp;$S$2&amp;"#"&amp;$T$2&amp;"."&amp;$P$2&amp;".TS01_16_TS3"</f>
        <v>#3#\\Setup_rza\Modbus.OPCServer\ZRU_Sepam.VV1_Sepam_S82.TS01_16_TS3</v>
      </c>
      <c r="Q344" s="1"/>
      <c r="R344" s="1"/>
      <c r="S344" s="1"/>
      <c r="T344" s="1"/>
    </row>
    <row r="345" spans="1:20" ht="15" customHeight="1">
      <c r="A345" s="29" t="str">
        <f t="shared" si="34"/>
        <v>АСУЭ.SEPAM.wStateMismatch</v>
      </c>
      <c r="B345">
        <v>7998</v>
      </c>
      <c r="C345" t="s">
        <v>6</v>
      </c>
      <c r="D345" s="30">
        <v>1</v>
      </c>
      <c r="Q345" s="1"/>
      <c r="R345" s="1"/>
      <c r="S345" s="1"/>
      <c r="T345" s="1"/>
    </row>
    <row r="346" spans="1:20" ht="15" customHeight="1">
      <c r="A346" s="29" t="str">
        <f t="shared" si="34"/>
        <v>АСУЭ.SEPAM.wStateMismatch</v>
      </c>
      <c r="B346">
        <v>101</v>
      </c>
      <c r="C346" t="s">
        <v>0</v>
      </c>
      <c r="D346" s="30" t="s">
        <v>1516</v>
      </c>
      <c r="Q346" s="1"/>
      <c r="R346" s="1"/>
      <c r="S346" s="1"/>
      <c r="T346" s="1"/>
    </row>
    <row r="347" spans="1:20" ht="15" customHeight="1">
      <c r="A347" s="29" t="str">
        <f t="shared" si="34"/>
        <v>АСУЭ.SEPAM.wStateMismatch</v>
      </c>
      <c r="B347">
        <v>3</v>
      </c>
      <c r="C347" t="s">
        <v>1</v>
      </c>
      <c r="D347" s="30">
        <v>192</v>
      </c>
      <c r="Q347" s="1"/>
      <c r="R347" s="1"/>
      <c r="S347" s="1"/>
      <c r="T347" s="1"/>
    </row>
    <row r="348" spans="1:20" ht="15" customHeight="1">
      <c r="A348" s="29" t="str">
        <f t="shared" si="34"/>
        <v>АСУЭ.SEPAM.wStateMismatch</v>
      </c>
      <c r="B348">
        <v>2</v>
      </c>
      <c r="C348" t="s">
        <v>2</v>
      </c>
      <c r="D348" s="30" t="s">
        <v>175</v>
      </c>
      <c r="Q348" s="1"/>
      <c r="R348" s="1"/>
      <c r="S348" s="1"/>
      <c r="T348" s="1"/>
    </row>
    <row r="349" spans="1:20" ht="15" customHeight="1">
      <c r="A349" s="29" t="str">
        <f t="shared" si="34"/>
        <v>АСУЭ.SEPAM.wStateMismatch</v>
      </c>
      <c r="B349" s="27">
        <v>1</v>
      </c>
      <c r="C349" s="27" t="s">
        <v>1</v>
      </c>
      <c r="D349" s="28">
        <v>11</v>
      </c>
      <c r="Q349" s="1"/>
      <c r="R349" s="1"/>
      <c r="S349" s="1"/>
      <c r="T349" s="1"/>
    </row>
    <row r="350" spans="1:20" ht="15" customHeight="1">
      <c r="A350" s="217" t="str">
        <f>$R$2&amp;".wTT_Flt"</f>
        <v>АСУЭ.SEPAM.wTT_Flt</v>
      </c>
      <c r="B350" s="218">
        <v>11154</v>
      </c>
      <c r="C350" s="218" t="s">
        <v>4</v>
      </c>
      <c r="D350" s="231">
        <f>$Q$7</f>
        <v>12</v>
      </c>
      <c r="Q350" s="1"/>
      <c r="R350" s="1"/>
      <c r="S350" s="1"/>
      <c r="T350" s="1"/>
    </row>
    <row r="351" spans="1:20" ht="15" customHeight="1">
      <c r="A351" s="211" t="str">
        <f t="shared" ref="A351:A359" si="35">$R$2&amp;".wTT_Flt"</f>
        <v>АСУЭ.SEPAM.wTT_Flt</v>
      </c>
      <c r="B351" s="677">
        <v>11152</v>
      </c>
      <c r="C351" s="677" t="s">
        <v>0</v>
      </c>
      <c r="D351" s="213" t="str">
        <f>$R$7</f>
        <v>Неисправность</v>
      </c>
      <c r="Q351" s="1"/>
      <c r="R351" s="1"/>
      <c r="S351" s="1"/>
      <c r="T351" s="1"/>
    </row>
    <row r="352" spans="1:20" ht="15" customHeight="1">
      <c r="A352" s="211" t="str">
        <f t="shared" si="35"/>
        <v>АСУЭ.SEPAM.wTT_Flt</v>
      </c>
      <c r="B352" s="677">
        <v>11150</v>
      </c>
      <c r="C352" s="677" t="s">
        <v>0</v>
      </c>
      <c r="D352" s="213" t="s">
        <v>1517</v>
      </c>
      <c r="Q352" s="1"/>
      <c r="R352" s="1"/>
      <c r="S352" s="1"/>
      <c r="T352" s="1"/>
    </row>
    <row r="353" spans="1:20" ht="15" customHeight="1">
      <c r="A353" s="211" t="str">
        <f t="shared" si="35"/>
        <v>АСУЭ.SEPAM.wTT_Flt</v>
      </c>
      <c r="B353" s="677">
        <v>11000</v>
      </c>
      <c r="C353" s="677" t="s">
        <v>5</v>
      </c>
      <c r="D353" s="213">
        <v>2147483680</v>
      </c>
      <c r="Q353" s="1"/>
      <c r="R353" s="1"/>
      <c r="S353" s="1"/>
      <c r="T353" s="1"/>
    </row>
    <row r="354" spans="1:20" ht="15" customHeight="1">
      <c r="A354" s="29" t="str">
        <f t="shared" si="35"/>
        <v>АСУЭ.SEPAM.wTT_Flt</v>
      </c>
      <c r="B354">
        <v>7999</v>
      </c>
      <c r="C354" t="s">
        <v>0</v>
      </c>
      <c r="D354" s="30" t="str">
        <f>"#"&amp;$S$2&amp;"#"&amp;$T$2&amp;"."&amp;$P$2&amp;".TS209_224_TS209"</f>
        <v>#3#\\Setup_rza\Modbus.OPCServer\ZRU_Sepam.VV1_Sepam_S82.TS209_224_TS209</v>
      </c>
      <c r="Q354" s="1"/>
      <c r="R354" s="1"/>
      <c r="S354" s="1"/>
      <c r="T354" s="1"/>
    </row>
    <row r="355" spans="1:20" ht="15" customHeight="1">
      <c r="A355" s="29" t="str">
        <f t="shared" si="35"/>
        <v>АСУЭ.SEPAM.wTT_Flt</v>
      </c>
      <c r="B355">
        <v>7998</v>
      </c>
      <c r="C355" t="s">
        <v>6</v>
      </c>
      <c r="D355" s="30">
        <v>1</v>
      </c>
      <c r="Q355" s="1"/>
      <c r="R355" s="1"/>
      <c r="S355" s="1"/>
      <c r="T355" s="1"/>
    </row>
    <row r="356" spans="1:20" ht="15" customHeight="1">
      <c r="A356" s="29" t="str">
        <f t="shared" si="35"/>
        <v>АСУЭ.SEPAM.wTT_Flt</v>
      </c>
      <c r="B356">
        <v>101</v>
      </c>
      <c r="C356" t="s">
        <v>0</v>
      </c>
      <c r="D356" s="30" t="s">
        <v>1517</v>
      </c>
    </row>
    <row r="357" spans="1:20" ht="15" customHeight="1">
      <c r="A357" s="29" t="str">
        <f t="shared" si="35"/>
        <v>АСУЭ.SEPAM.wTT_Flt</v>
      </c>
      <c r="B357">
        <v>3</v>
      </c>
      <c r="C357" t="s">
        <v>1</v>
      </c>
      <c r="D357" s="30">
        <v>192</v>
      </c>
    </row>
    <row r="358" spans="1:20" ht="15" customHeight="1">
      <c r="A358" s="29" t="str">
        <f t="shared" si="35"/>
        <v>АСУЭ.SEPAM.wTT_Flt</v>
      </c>
      <c r="B358">
        <v>2</v>
      </c>
      <c r="C358" t="s">
        <v>2</v>
      </c>
      <c r="D358" s="30" t="s">
        <v>175</v>
      </c>
    </row>
    <row r="359" spans="1:20" ht="15" customHeight="1">
      <c r="A359" s="26" t="str">
        <f t="shared" si="35"/>
        <v>АСУЭ.SEPAM.wTT_Flt</v>
      </c>
      <c r="B359" s="27">
        <v>1</v>
      </c>
      <c r="C359" s="27" t="s">
        <v>1</v>
      </c>
      <c r="D359" s="28">
        <v>11</v>
      </c>
    </row>
    <row r="360" spans="1:20" ht="15" customHeight="1">
      <c r="A360" s="29" t="str">
        <f t="shared" ref="A360:A371" si="36">$R$2&amp;".stOff"</f>
        <v>АСУЭ.SEPAM.stOff</v>
      </c>
      <c r="B360">
        <v>7000000</v>
      </c>
      <c r="C360" t="s">
        <v>6</v>
      </c>
      <c r="D360" s="30">
        <v>1</v>
      </c>
    </row>
    <row r="361" spans="1:20" ht="15" customHeight="1">
      <c r="A361" s="29" t="str">
        <f t="shared" si="36"/>
        <v>АСУЭ.SEPAM.stOff</v>
      </c>
      <c r="B361">
        <v>4000000</v>
      </c>
      <c r="C361" t="s">
        <v>0</v>
      </c>
      <c r="D361" s="685" t="s">
        <v>396</v>
      </c>
    </row>
    <row r="362" spans="1:20" ht="15" customHeight="1">
      <c r="A362" s="100" t="str">
        <f t="shared" si="36"/>
        <v>АСУЭ.SEPAM.stOff</v>
      </c>
      <c r="B362" s="679">
        <v>11154</v>
      </c>
      <c r="C362" s="679" t="s">
        <v>4</v>
      </c>
      <c r="D362" s="536">
        <f>$Q$8</f>
        <v>18</v>
      </c>
    </row>
    <row r="363" spans="1:20" ht="15" customHeight="1">
      <c r="A363" s="100" t="str">
        <f t="shared" si="36"/>
        <v>АСУЭ.SEPAM.stOff</v>
      </c>
      <c r="B363" s="679">
        <v>11150</v>
      </c>
      <c r="C363" s="679" t="s">
        <v>0</v>
      </c>
      <c r="D363" s="103" t="s">
        <v>336</v>
      </c>
    </row>
    <row r="364" spans="1:20" ht="15" customHeight="1">
      <c r="A364" s="100" t="str">
        <f t="shared" si="36"/>
        <v>АСУЭ.SEPAM.stOff</v>
      </c>
      <c r="B364" s="679">
        <v>11152</v>
      </c>
      <c r="C364" s="679" t="s">
        <v>0</v>
      </c>
      <c r="D364" s="103" t="str">
        <f>$R$8</f>
        <v>Телесигнализация</v>
      </c>
    </row>
    <row r="365" spans="1:20" ht="15" customHeight="1">
      <c r="A365" s="100" t="str">
        <f t="shared" si="36"/>
        <v>АСУЭ.SEPAM.stOff</v>
      </c>
      <c r="B365" s="679">
        <v>11000</v>
      </c>
      <c r="C365" s="679" t="s">
        <v>5</v>
      </c>
      <c r="D365" s="103">
        <v>2147483680</v>
      </c>
    </row>
    <row r="366" spans="1:20" ht="15" customHeight="1">
      <c r="A366" s="29" t="str">
        <f t="shared" si="36"/>
        <v>АСУЭ.SEPAM.stOff</v>
      </c>
      <c r="B366">
        <v>7999</v>
      </c>
      <c r="C366" t="s">
        <v>0</v>
      </c>
      <c r="D366" s="30" t="str">
        <f>"#"&amp;$S$2&amp;"#"&amp;$T$2&amp;"."&amp;$P$2&amp;".TS17_32_TS17"</f>
        <v>#3#\\Setup_rza\Modbus.OPCServer\ZRU_Sepam.VV1_Sepam_S82.TS17_32_TS17</v>
      </c>
    </row>
    <row r="367" spans="1:20" ht="15" customHeight="1">
      <c r="A367" s="29" t="str">
        <f t="shared" si="36"/>
        <v>АСУЭ.SEPAM.stOff</v>
      </c>
      <c r="B367">
        <v>7998</v>
      </c>
      <c r="C367" t="s">
        <v>6</v>
      </c>
      <c r="D367" s="30">
        <v>1</v>
      </c>
    </row>
    <row r="368" spans="1:20" ht="15" customHeight="1">
      <c r="A368" s="29" t="str">
        <f t="shared" si="36"/>
        <v>АСУЭ.SEPAM.stOff</v>
      </c>
      <c r="B368">
        <v>101</v>
      </c>
      <c r="C368" t="s">
        <v>0</v>
      </c>
      <c r="D368" s="30" t="s">
        <v>336</v>
      </c>
    </row>
    <row r="369" spans="1:4" ht="15" customHeight="1">
      <c r="A369" s="29" t="str">
        <f t="shared" si="36"/>
        <v>АСУЭ.SEPAM.stOff</v>
      </c>
      <c r="B369">
        <v>3</v>
      </c>
      <c r="C369" t="s">
        <v>1</v>
      </c>
      <c r="D369" s="30">
        <v>192</v>
      </c>
    </row>
    <row r="370" spans="1:4" ht="15" customHeight="1">
      <c r="A370" s="29" t="str">
        <f t="shared" si="36"/>
        <v>АСУЭ.SEPAM.stOff</v>
      </c>
      <c r="B370">
        <v>2</v>
      </c>
      <c r="C370" t="s">
        <v>2</v>
      </c>
      <c r="D370" s="30" t="s">
        <v>175</v>
      </c>
    </row>
    <row r="371" spans="1:4" ht="15" customHeight="1">
      <c r="A371" s="26" t="str">
        <f t="shared" si="36"/>
        <v>АСУЭ.SEPAM.stOff</v>
      </c>
      <c r="B371" s="27">
        <v>1</v>
      </c>
      <c r="C371" s="27" t="s">
        <v>1</v>
      </c>
      <c r="D371" s="28">
        <v>11</v>
      </c>
    </row>
    <row r="372" spans="1:4" ht="15" customHeight="1">
      <c r="A372" s="29" t="str">
        <f t="shared" ref="A372:A383" si="37">$R$2&amp;".stOn"</f>
        <v>АСУЭ.SEPAM.stOn</v>
      </c>
      <c r="B372">
        <v>7000000</v>
      </c>
      <c r="C372" t="s">
        <v>6</v>
      </c>
      <c r="D372" s="30">
        <v>1</v>
      </c>
    </row>
    <row r="373" spans="1:4" ht="15" customHeight="1">
      <c r="A373" s="29" t="str">
        <f t="shared" si="37"/>
        <v>АСУЭ.SEPAM.stOn</v>
      </c>
      <c r="B373">
        <v>4000000</v>
      </c>
      <c r="C373" t="s">
        <v>0</v>
      </c>
      <c r="D373" s="685" t="s">
        <v>396</v>
      </c>
    </row>
    <row r="374" spans="1:4" ht="15" customHeight="1">
      <c r="A374" s="100" t="str">
        <f t="shared" si="37"/>
        <v>АСУЭ.SEPAM.stOn</v>
      </c>
      <c r="B374" s="679">
        <v>11154</v>
      </c>
      <c r="C374" s="679" t="s">
        <v>4</v>
      </c>
      <c r="D374" s="536">
        <f>$Q$8</f>
        <v>18</v>
      </c>
    </row>
    <row r="375" spans="1:4" ht="15" customHeight="1">
      <c r="A375" s="100" t="str">
        <f t="shared" si="37"/>
        <v>АСУЭ.SEPAM.stOn</v>
      </c>
      <c r="B375" s="679">
        <v>11150</v>
      </c>
      <c r="C375" s="679" t="s">
        <v>0</v>
      </c>
      <c r="D375" s="103" t="s">
        <v>337</v>
      </c>
    </row>
    <row r="376" spans="1:4" ht="15" customHeight="1">
      <c r="A376" s="100" t="str">
        <f t="shared" si="37"/>
        <v>АСУЭ.SEPAM.stOn</v>
      </c>
      <c r="B376" s="679">
        <v>11152</v>
      </c>
      <c r="C376" s="679" t="s">
        <v>0</v>
      </c>
      <c r="D376" s="103" t="str">
        <f>$R$8</f>
        <v>Телесигнализация</v>
      </c>
    </row>
    <row r="377" spans="1:4" ht="15" customHeight="1">
      <c r="A377" s="100" t="str">
        <f t="shared" si="37"/>
        <v>АСУЭ.SEPAM.stOn</v>
      </c>
      <c r="B377" s="679">
        <v>11000</v>
      </c>
      <c r="C377" s="679" t="s">
        <v>5</v>
      </c>
      <c r="D377" s="103">
        <v>2147483680</v>
      </c>
    </row>
    <row r="378" spans="1:4" ht="15" customHeight="1">
      <c r="A378" s="29" t="str">
        <f t="shared" si="37"/>
        <v>АСУЭ.SEPAM.stOn</v>
      </c>
      <c r="B378">
        <v>7999</v>
      </c>
      <c r="C378" t="s">
        <v>0</v>
      </c>
      <c r="D378" s="30" t="str">
        <f>"#"&amp;$S$2&amp;"#"&amp;$T$2&amp;"."&amp;$P$2&amp;".TS01_16_TS10"</f>
        <v>#3#\\Setup_rza\Modbus.OPCServer\ZRU_Sepam.VV1_Sepam_S82.TS01_16_TS10</v>
      </c>
    </row>
    <row r="379" spans="1:4" ht="15" customHeight="1">
      <c r="A379" s="29" t="str">
        <f t="shared" si="37"/>
        <v>АСУЭ.SEPAM.stOn</v>
      </c>
      <c r="B379">
        <v>7998</v>
      </c>
      <c r="C379" t="s">
        <v>6</v>
      </c>
      <c r="D379" s="30">
        <v>1</v>
      </c>
    </row>
    <row r="380" spans="1:4" ht="15" customHeight="1">
      <c r="A380" s="29" t="str">
        <f t="shared" si="37"/>
        <v>АСУЭ.SEPAM.stOn</v>
      </c>
      <c r="B380">
        <v>101</v>
      </c>
      <c r="C380" t="s">
        <v>0</v>
      </c>
      <c r="D380" s="30" t="s">
        <v>337</v>
      </c>
    </row>
    <row r="381" spans="1:4" ht="15" customHeight="1">
      <c r="A381" s="29" t="str">
        <f t="shared" si="37"/>
        <v>АСУЭ.SEPAM.stOn</v>
      </c>
      <c r="B381">
        <v>3</v>
      </c>
      <c r="C381" t="s">
        <v>1</v>
      </c>
      <c r="D381" s="30">
        <v>192</v>
      </c>
    </row>
    <row r="382" spans="1:4" ht="15" customHeight="1">
      <c r="A382" s="29" t="str">
        <f t="shared" si="37"/>
        <v>АСУЭ.SEPAM.stOn</v>
      </c>
      <c r="B382">
        <v>2</v>
      </c>
      <c r="C382" t="s">
        <v>2</v>
      </c>
      <c r="D382" s="30" t="s">
        <v>175</v>
      </c>
    </row>
    <row r="383" spans="1:4" ht="15" customHeight="1">
      <c r="A383" s="26" t="str">
        <f t="shared" si="37"/>
        <v>АСУЭ.SEPAM.stOn</v>
      </c>
      <c r="B383" s="27">
        <v>1</v>
      </c>
      <c r="C383" s="27" t="s">
        <v>1</v>
      </c>
      <c r="D383" s="28">
        <v>11</v>
      </c>
    </row>
    <row r="384" spans="1:4" ht="15" customHeight="1">
      <c r="A384" s="100" t="str">
        <f t="shared" ref="A384:A393" si="38">$R$2&amp;".stDisTeleregul"</f>
        <v>АСУЭ.SEPAM.stDisTeleregul</v>
      </c>
      <c r="B384" s="679">
        <v>11154</v>
      </c>
      <c r="C384" s="679" t="s">
        <v>4</v>
      </c>
      <c r="D384" s="536">
        <f>$Q$8</f>
        <v>18</v>
      </c>
    </row>
    <row r="385" spans="1:4" ht="15" customHeight="1">
      <c r="A385" s="100" t="str">
        <f t="shared" si="38"/>
        <v>АСУЭ.SEPAM.stDisTeleregul</v>
      </c>
      <c r="B385" s="679">
        <v>11152</v>
      </c>
      <c r="C385" s="679" t="s">
        <v>0</v>
      </c>
      <c r="D385" s="103" t="str">
        <f>$R$8</f>
        <v>Телесигнализация</v>
      </c>
    </row>
    <row r="386" spans="1:4" ht="15" customHeight="1">
      <c r="A386" s="100" t="str">
        <f t="shared" si="38"/>
        <v>АСУЭ.SEPAM.stDisTeleregul</v>
      </c>
      <c r="B386" s="679">
        <v>11150</v>
      </c>
      <c r="C386" s="679" t="s">
        <v>0</v>
      </c>
      <c r="D386" s="103" t="s">
        <v>1550</v>
      </c>
    </row>
    <row r="387" spans="1:4" ht="15" customHeight="1">
      <c r="A387" s="100" t="str">
        <f t="shared" si="38"/>
        <v>АСУЭ.SEPAM.stDisTeleregul</v>
      </c>
      <c r="B387" s="679">
        <v>11000</v>
      </c>
      <c r="C387" s="679" t="s">
        <v>5</v>
      </c>
      <c r="D387" s="103">
        <v>2147483680</v>
      </c>
    </row>
    <row r="388" spans="1:4" ht="15" customHeight="1">
      <c r="A388" s="29" t="str">
        <f t="shared" si="38"/>
        <v>АСУЭ.SEPAM.stDisTeleregul</v>
      </c>
      <c r="B388">
        <v>7999</v>
      </c>
      <c r="C388" t="s">
        <v>0</v>
      </c>
      <c r="D388" s="30" t="str">
        <f>"#"&amp;$S$2&amp;"#"&amp;$T$2&amp;"."&amp;$P$2&amp;".TS49_64_TS51"</f>
        <v>#3#\\Setup_rza\Modbus.OPCServer\ZRU_Sepam.VV1_Sepam_S82.TS49_64_TS51</v>
      </c>
    </row>
    <row r="389" spans="1:4" ht="15" customHeight="1">
      <c r="A389" s="29" t="str">
        <f t="shared" si="38"/>
        <v>АСУЭ.SEPAM.stDisTeleregul</v>
      </c>
      <c r="B389">
        <v>7998</v>
      </c>
      <c r="C389" t="s">
        <v>6</v>
      </c>
      <c r="D389" s="30">
        <v>1</v>
      </c>
    </row>
    <row r="390" spans="1:4" ht="15" customHeight="1">
      <c r="A390" s="29" t="str">
        <f t="shared" si="38"/>
        <v>АСУЭ.SEPAM.stDisTeleregul</v>
      </c>
      <c r="B390">
        <v>101</v>
      </c>
      <c r="C390" t="s">
        <v>0</v>
      </c>
      <c r="D390" s="30" t="s">
        <v>1550</v>
      </c>
    </row>
    <row r="391" spans="1:4" ht="15" customHeight="1">
      <c r="A391" s="29" t="str">
        <f t="shared" si="38"/>
        <v>АСУЭ.SEPAM.stDisTeleregul</v>
      </c>
      <c r="B391">
        <v>3</v>
      </c>
      <c r="C391" t="s">
        <v>1</v>
      </c>
      <c r="D391" s="30">
        <v>192</v>
      </c>
    </row>
    <row r="392" spans="1:4" ht="15" customHeight="1">
      <c r="A392" s="29" t="str">
        <f t="shared" si="38"/>
        <v>АСУЭ.SEPAM.stDisTeleregul</v>
      </c>
      <c r="B392">
        <v>2</v>
      </c>
      <c r="C392" t="s">
        <v>2</v>
      </c>
      <c r="D392" s="30" t="s">
        <v>175</v>
      </c>
    </row>
    <row r="393" spans="1:4" ht="15" customHeight="1">
      <c r="A393" s="26" t="str">
        <f t="shared" si="38"/>
        <v>АСУЭ.SEPAM.stDisTeleregul</v>
      </c>
      <c r="B393" s="27">
        <v>1</v>
      </c>
      <c r="C393" s="27" t="s">
        <v>1</v>
      </c>
      <c r="D393" s="28">
        <v>11</v>
      </c>
    </row>
    <row r="394" spans="1:4" ht="15" customHeight="1">
      <c r="A394" s="100" t="str">
        <f t="shared" ref="A394:A403" si="39">$R$2&amp;".stCtrlCircuitOn"</f>
        <v>АСУЭ.SEPAM.stCtrlCircuitOn</v>
      </c>
      <c r="B394" s="679">
        <v>11154</v>
      </c>
      <c r="C394" s="679" t="s">
        <v>4</v>
      </c>
      <c r="D394" s="536">
        <f>$Q$8</f>
        <v>18</v>
      </c>
    </row>
    <row r="395" spans="1:4" ht="15" customHeight="1">
      <c r="A395" s="100" t="str">
        <f t="shared" si="39"/>
        <v>АСУЭ.SEPAM.stCtrlCircuitOn</v>
      </c>
      <c r="B395" s="679">
        <v>11152</v>
      </c>
      <c r="C395" s="679" t="s">
        <v>0</v>
      </c>
      <c r="D395" s="103" t="str">
        <f>$R$8</f>
        <v>Телесигнализация</v>
      </c>
    </row>
    <row r="396" spans="1:4" ht="15" customHeight="1">
      <c r="A396" s="100" t="str">
        <f t="shared" si="39"/>
        <v>АСУЭ.SEPAM.stCtrlCircuitOn</v>
      </c>
      <c r="B396" s="679">
        <v>11150</v>
      </c>
      <c r="C396" s="679" t="s">
        <v>0</v>
      </c>
      <c r="D396" s="103" t="s">
        <v>1509</v>
      </c>
    </row>
    <row r="397" spans="1:4" ht="15" customHeight="1">
      <c r="A397" s="100" t="str">
        <f t="shared" si="39"/>
        <v>АСУЭ.SEPAM.stCtrlCircuitOn</v>
      </c>
      <c r="B397" s="679">
        <v>11000</v>
      </c>
      <c r="C397" s="679" t="s">
        <v>5</v>
      </c>
      <c r="D397" s="103">
        <v>2147483680</v>
      </c>
    </row>
    <row r="398" spans="1:4" ht="15" customHeight="1">
      <c r="A398" s="29" t="str">
        <f t="shared" si="39"/>
        <v>АСУЭ.SEPAM.stCtrlCircuitOn</v>
      </c>
      <c r="B398">
        <v>7999</v>
      </c>
      <c r="C398" t="s">
        <v>0</v>
      </c>
      <c r="D398" s="30" t="str">
        <f>"#"&amp;$S$2&amp;"#"&amp;$T$2&amp;"."&amp;$P$2&amp;".TS225_240_TS233"</f>
        <v>#3#\\Setup_rza\Modbus.OPCServer\ZRU_Sepam.VV1_Sepam_S82.TS225_240_TS233</v>
      </c>
    </row>
    <row r="399" spans="1:4" ht="15" customHeight="1">
      <c r="A399" s="29" t="str">
        <f t="shared" si="39"/>
        <v>АСУЭ.SEPAM.stCtrlCircuitOn</v>
      </c>
      <c r="B399">
        <v>7998</v>
      </c>
      <c r="C399" t="s">
        <v>6</v>
      </c>
      <c r="D399" s="30">
        <v>1</v>
      </c>
    </row>
    <row r="400" spans="1:4" ht="15" customHeight="1">
      <c r="A400" s="29" t="str">
        <f t="shared" si="39"/>
        <v>АСУЭ.SEPAM.stCtrlCircuitOn</v>
      </c>
      <c r="B400">
        <v>101</v>
      </c>
      <c r="C400" t="s">
        <v>0</v>
      </c>
      <c r="D400" s="30" t="s">
        <v>1509</v>
      </c>
    </row>
    <row r="401" spans="1:4" ht="15" customHeight="1">
      <c r="A401" s="29" t="str">
        <f t="shared" si="39"/>
        <v>АСУЭ.SEPAM.stCtrlCircuitOn</v>
      </c>
      <c r="B401">
        <v>3</v>
      </c>
      <c r="C401" t="s">
        <v>1</v>
      </c>
      <c r="D401" s="30">
        <v>192</v>
      </c>
    </row>
    <row r="402" spans="1:4" ht="15" customHeight="1">
      <c r="A402" s="29" t="str">
        <f t="shared" si="39"/>
        <v>АСУЭ.SEPAM.stCtrlCircuitOn</v>
      </c>
      <c r="B402">
        <v>2</v>
      </c>
      <c r="C402" t="s">
        <v>2</v>
      </c>
      <c r="D402" s="30" t="s">
        <v>175</v>
      </c>
    </row>
    <row r="403" spans="1:4" ht="15" customHeight="1">
      <c r="A403" s="26" t="str">
        <f t="shared" si="39"/>
        <v>АСУЭ.SEPAM.stCtrlCircuitOn</v>
      </c>
      <c r="B403" s="27">
        <v>1</v>
      </c>
      <c r="C403" s="27" t="s">
        <v>1</v>
      </c>
      <c r="D403" s="28">
        <v>11</v>
      </c>
    </row>
    <row r="404" spans="1:4" ht="15" customHeight="1">
      <c r="A404" s="100" t="str">
        <f t="shared" ref="A404:A413" si="40">$R$2&amp;".stOscilAutoDL"</f>
        <v>АСУЭ.SEPAM.stOscilAutoDL</v>
      </c>
      <c r="B404" s="679">
        <v>11154</v>
      </c>
      <c r="C404" s="679" t="s">
        <v>4</v>
      </c>
      <c r="D404" s="536">
        <f>$Q$8</f>
        <v>18</v>
      </c>
    </row>
    <row r="405" spans="1:4" ht="15" customHeight="1">
      <c r="A405" s="100" t="str">
        <f t="shared" si="40"/>
        <v>АСУЭ.SEPAM.stOscilAutoDL</v>
      </c>
      <c r="B405" s="679">
        <v>11150</v>
      </c>
      <c r="C405" s="679" t="s">
        <v>0</v>
      </c>
      <c r="D405" s="103" t="s">
        <v>1549</v>
      </c>
    </row>
    <row r="406" spans="1:4" ht="15" customHeight="1">
      <c r="A406" s="100" t="str">
        <f t="shared" si="40"/>
        <v>АСУЭ.SEPAM.stOscilAutoDL</v>
      </c>
      <c r="B406" s="679">
        <v>11152</v>
      </c>
      <c r="C406" s="679" t="s">
        <v>0</v>
      </c>
      <c r="D406" s="103" t="str">
        <f>$R$8</f>
        <v>Телесигнализация</v>
      </c>
    </row>
    <row r="407" spans="1:4" ht="15" customHeight="1">
      <c r="A407" s="100" t="str">
        <f t="shared" si="40"/>
        <v>АСУЭ.SEPAM.stOscilAutoDL</v>
      </c>
      <c r="B407" s="679">
        <v>11000</v>
      </c>
      <c r="C407" s="679" t="s">
        <v>5</v>
      </c>
      <c r="D407" s="103">
        <v>2147483680</v>
      </c>
    </row>
    <row r="408" spans="1:4" ht="15" customHeight="1">
      <c r="A408" s="29" t="str">
        <f t="shared" si="40"/>
        <v>АСУЭ.SEPAM.stOscilAutoDL</v>
      </c>
      <c r="B408">
        <v>7999</v>
      </c>
      <c r="C408" t="s">
        <v>0</v>
      </c>
      <c r="D408" s="30" t="str">
        <f>"#"&amp;$S$2&amp;"#"&amp;$T$2&amp;"."&amp;$P$2&amp;".OSCAUTO"</f>
        <v>#3#\\Setup_rza\Modbus.OPCServer\ZRU_Sepam.VV1_Sepam_S82.OSCAUTO</v>
      </c>
    </row>
    <row r="409" spans="1:4" ht="15" customHeight="1">
      <c r="A409" s="29" t="str">
        <f t="shared" si="40"/>
        <v>АСУЭ.SEPAM.stOscilAutoDL</v>
      </c>
      <c r="B409">
        <v>7998</v>
      </c>
      <c r="C409" t="s">
        <v>6</v>
      </c>
      <c r="D409" s="30">
        <v>1</v>
      </c>
    </row>
    <row r="410" spans="1:4" ht="15" customHeight="1">
      <c r="A410" s="29" t="str">
        <f t="shared" si="40"/>
        <v>АСУЭ.SEPAM.stOscilAutoDL</v>
      </c>
      <c r="B410">
        <v>101</v>
      </c>
      <c r="C410" t="s">
        <v>0</v>
      </c>
      <c r="D410" s="30" t="s">
        <v>1549</v>
      </c>
    </row>
    <row r="411" spans="1:4" ht="15" customHeight="1">
      <c r="A411" s="29" t="str">
        <f t="shared" si="40"/>
        <v>АСУЭ.SEPAM.stOscilAutoDL</v>
      </c>
      <c r="B411">
        <v>3</v>
      </c>
      <c r="C411" t="s">
        <v>1</v>
      </c>
      <c r="D411" s="30">
        <v>192</v>
      </c>
    </row>
    <row r="412" spans="1:4" ht="15" customHeight="1">
      <c r="A412" s="29" t="str">
        <f t="shared" si="40"/>
        <v>АСУЭ.SEPAM.stOscilAutoDL</v>
      </c>
      <c r="B412">
        <v>2</v>
      </c>
      <c r="C412" t="s">
        <v>2</v>
      </c>
      <c r="D412" s="30" t="s">
        <v>175</v>
      </c>
    </row>
    <row r="413" spans="1:4" ht="15" customHeight="1">
      <c r="A413" s="26" t="str">
        <f t="shared" si="40"/>
        <v>АСУЭ.SEPAM.stOscilAutoDL</v>
      </c>
      <c r="B413" s="27">
        <v>1</v>
      </c>
      <c r="C413" s="27" t="s">
        <v>1</v>
      </c>
      <c r="D413" s="28">
        <v>11</v>
      </c>
    </row>
    <row r="414" spans="1:4" ht="15" customHeight="1">
      <c r="A414" s="100" t="str">
        <f t="shared" ref="A414:A423" si="41">$R$2&amp;".stAVR_SV_On"</f>
        <v>АСУЭ.SEPAM.stAVR_SV_On</v>
      </c>
      <c r="B414" s="679">
        <v>11154</v>
      </c>
      <c r="C414" s="679" t="s">
        <v>4</v>
      </c>
      <c r="D414" s="536">
        <f>$Q$8</f>
        <v>18</v>
      </c>
    </row>
    <row r="415" spans="1:4" ht="15" customHeight="1">
      <c r="A415" s="100" t="str">
        <f t="shared" si="41"/>
        <v>АСУЭ.SEPAM.stAVR_SV_On</v>
      </c>
      <c r="B415" s="679">
        <v>11150</v>
      </c>
      <c r="C415" s="679" t="s">
        <v>0</v>
      </c>
      <c r="D415" s="103" t="s">
        <v>1532</v>
      </c>
    </row>
    <row r="416" spans="1:4" ht="15" customHeight="1">
      <c r="A416" s="100" t="str">
        <f t="shared" si="41"/>
        <v>АСУЭ.SEPAM.stAVR_SV_On</v>
      </c>
      <c r="B416" s="679">
        <v>11152</v>
      </c>
      <c r="C416" s="679" t="s">
        <v>0</v>
      </c>
      <c r="D416" s="103" t="str">
        <f>$R$8</f>
        <v>Телесигнализация</v>
      </c>
    </row>
    <row r="417" spans="1:4" ht="15" customHeight="1">
      <c r="A417" s="100" t="str">
        <f t="shared" si="41"/>
        <v>АСУЭ.SEPAM.stAVR_SV_On</v>
      </c>
      <c r="B417" s="679">
        <v>11000</v>
      </c>
      <c r="C417" s="679" t="s">
        <v>5</v>
      </c>
      <c r="D417" s="103">
        <v>2147483680</v>
      </c>
    </row>
    <row r="418" spans="1:4" ht="15" customHeight="1">
      <c r="A418" s="29" t="str">
        <f t="shared" si="41"/>
        <v>АСУЭ.SEPAM.stAVR_SV_On</v>
      </c>
      <c r="B418">
        <v>7999</v>
      </c>
      <c r="C418" t="s">
        <v>0</v>
      </c>
      <c r="D418" s="30" t="str">
        <f>"#"&amp;$S$2&amp;"#"&amp;$T$2&amp;"."&amp;$P$2&amp;".TS177_192_TS182"</f>
        <v>#3#\\Setup_rza\Modbus.OPCServer\ZRU_Sepam.VV1_Sepam_S82.TS177_192_TS182</v>
      </c>
    </row>
    <row r="419" spans="1:4" ht="15" customHeight="1">
      <c r="A419" s="29" t="str">
        <f t="shared" si="41"/>
        <v>АСУЭ.SEPAM.stAVR_SV_On</v>
      </c>
      <c r="B419">
        <v>7998</v>
      </c>
      <c r="C419" t="s">
        <v>6</v>
      </c>
      <c r="D419" s="30">
        <v>1</v>
      </c>
    </row>
    <row r="420" spans="1:4" ht="15" customHeight="1">
      <c r="A420" s="29" t="str">
        <f t="shared" si="41"/>
        <v>АСУЭ.SEPAM.stAVR_SV_On</v>
      </c>
      <c r="B420">
        <v>101</v>
      </c>
      <c r="C420" t="s">
        <v>0</v>
      </c>
      <c r="D420" s="30" t="s">
        <v>1532</v>
      </c>
    </row>
    <row r="421" spans="1:4" ht="15" customHeight="1">
      <c r="A421" s="29" t="str">
        <f t="shared" si="41"/>
        <v>АСУЭ.SEPAM.stAVR_SV_On</v>
      </c>
      <c r="B421">
        <v>3</v>
      </c>
      <c r="C421" t="s">
        <v>1</v>
      </c>
      <c r="D421" s="30">
        <v>192</v>
      </c>
    </row>
    <row r="422" spans="1:4" ht="15" customHeight="1">
      <c r="A422" s="29" t="str">
        <f t="shared" si="41"/>
        <v>АСУЭ.SEPAM.stAVR_SV_On</v>
      </c>
      <c r="B422">
        <v>2</v>
      </c>
      <c r="C422" t="s">
        <v>2</v>
      </c>
      <c r="D422" s="30" t="s">
        <v>175</v>
      </c>
    </row>
    <row r="423" spans="1:4" ht="15" customHeight="1">
      <c r="A423" s="26" t="str">
        <f t="shared" si="41"/>
        <v>АСУЭ.SEPAM.stAVR_SV_On</v>
      </c>
      <c r="B423" s="27">
        <v>1</v>
      </c>
      <c r="C423" s="27" t="s">
        <v>1</v>
      </c>
      <c r="D423" s="28">
        <v>11</v>
      </c>
    </row>
    <row r="424" spans="1:4" ht="15" customHeight="1">
      <c r="A424" s="100" t="str">
        <f t="shared" ref="A424:A433" si="42">$R$2&amp;".stVNR_In"</f>
        <v>АСУЭ.SEPAM.stVNR_In</v>
      </c>
      <c r="B424" s="679">
        <v>11154</v>
      </c>
      <c r="C424" s="679" t="s">
        <v>4</v>
      </c>
      <c r="D424" s="536">
        <f>$Q$8</f>
        <v>18</v>
      </c>
    </row>
    <row r="425" spans="1:4" ht="15" customHeight="1">
      <c r="A425" s="100" t="str">
        <f t="shared" si="42"/>
        <v>АСУЭ.SEPAM.stVNR_In</v>
      </c>
      <c r="B425" s="679">
        <v>11152</v>
      </c>
      <c r="C425" s="679" t="s">
        <v>0</v>
      </c>
      <c r="D425" s="103" t="str">
        <f>$R$8</f>
        <v>Телесигнализация</v>
      </c>
    </row>
    <row r="426" spans="1:4" ht="15" customHeight="1">
      <c r="A426" s="100" t="str">
        <f t="shared" si="42"/>
        <v>АСУЭ.SEPAM.stVNR_In</v>
      </c>
      <c r="B426" s="679">
        <v>11150</v>
      </c>
      <c r="C426" s="679" t="s">
        <v>0</v>
      </c>
      <c r="D426" s="103" t="s">
        <v>1529</v>
      </c>
    </row>
    <row r="427" spans="1:4" ht="15" customHeight="1">
      <c r="A427" s="100" t="str">
        <f t="shared" si="42"/>
        <v>АСУЭ.SEPAM.stVNR_In</v>
      </c>
      <c r="B427" s="679">
        <v>11000</v>
      </c>
      <c r="C427" s="679" t="s">
        <v>5</v>
      </c>
      <c r="D427" s="103">
        <v>2147483680</v>
      </c>
    </row>
    <row r="428" spans="1:4" ht="15" customHeight="1">
      <c r="A428" s="29" t="str">
        <f t="shared" si="42"/>
        <v>АСУЭ.SEPAM.stVNR_In</v>
      </c>
      <c r="B428">
        <v>7999</v>
      </c>
      <c r="C428" t="s">
        <v>0</v>
      </c>
      <c r="D428" s="30" t="str">
        <f>"#"&amp;$S$2&amp;"#"&amp;$T$2&amp;"."&amp;$P$2&amp;".TS209_224_TS220"</f>
        <v>#3#\\Setup_rza\Modbus.OPCServer\ZRU_Sepam.VV1_Sepam_S82.TS209_224_TS220</v>
      </c>
    </row>
    <row r="429" spans="1:4" ht="15" customHeight="1">
      <c r="A429" s="29" t="str">
        <f t="shared" si="42"/>
        <v>АСУЭ.SEPAM.stVNR_In</v>
      </c>
      <c r="B429">
        <v>7998</v>
      </c>
      <c r="C429" t="s">
        <v>6</v>
      </c>
      <c r="D429" s="30">
        <v>1</v>
      </c>
    </row>
    <row r="430" spans="1:4" ht="15" customHeight="1">
      <c r="A430" s="29" t="str">
        <f t="shared" si="42"/>
        <v>АСУЭ.SEPAM.stVNR_In</v>
      </c>
      <c r="B430">
        <v>101</v>
      </c>
      <c r="C430" t="s">
        <v>0</v>
      </c>
      <c r="D430" s="30" t="s">
        <v>1529</v>
      </c>
    </row>
    <row r="431" spans="1:4" ht="15" customHeight="1">
      <c r="A431" s="29" t="str">
        <f t="shared" si="42"/>
        <v>АСУЭ.SEPAM.stVNR_In</v>
      </c>
      <c r="B431">
        <v>3</v>
      </c>
      <c r="C431" t="s">
        <v>1</v>
      </c>
      <c r="D431" s="30">
        <v>192</v>
      </c>
    </row>
    <row r="432" spans="1:4" ht="15" customHeight="1">
      <c r="A432" s="29" t="str">
        <f t="shared" si="42"/>
        <v>АСУЭ.SEPAM.stVNR_In</v>
      </c>
      <c r="B432">
        <v>2</v>
      </c>
      <c r="C432" t="s">
        <v>2</v>
      </c>
      <c r="D432" s="30" t="s">
        <v>175</v>
      </c>
    </row>
    <row r="433" spans="1:4" ht="15" customHeight="1">
      <c r="A433" s="26" t="str">
        <f t="shared" si="42"/>
        <v>АСУЭ.SEPAM.stVNR_In</v>
      </c>
      <c r="B433" s="27">
        <v>1</v>
      </c>
      <c r="C433" s="27" t="s">
        <v>1</v>
      </c>
      <c r="D433" s="28">
        <v>11</v>
      </c>
    </row>
    <row r="434" spans="1:4" ht="15" customHeight="1">
      <c r="A434" s="100" t="str">
        <f t="shared" ref="A434:A439" si="43">$R$2&amp;".stOscilStatus"</f>
        <v>АСУЭ.SEPAM.stOscilStatus</v>
      </c>
      <c r="B434" s="679">
        <v>7999</v>
      </c>
      <c r="C434" s="679" t="s">
        <v>0</v>
      </c>
      <c r="D434" s="103" t="str">
        <f>"#"&amp;$S$2&amp;"#"&amp;$T$2&amp;"."&amp;$P$2&amp;".OSCStatus"</f>
        <v>#3#\\Setup_rza\Modbus.OPCServer\ZRU_Sepam.VV1_Sepam_S82.OSCStatus</v>
      </c>
    </row>
    <row r="435" spans="1:4" ht="15" customHeight="1">
      <c r="A435" s="100" t="str">
        <f t="shared" si="43"/>
        <v>АСУЭ.SEPAM.stOscilStatus</v>
      </c>
      <c r="B435" s="679">
        <v>7998</v>
      </c>
      <c r="C435" s="679" t="s">
        <v>6</v>
      </c>
      <c r="D435" s="103">
        <v>1</v>
      </c>
    </row>
    <row r="436" spans="1:4" ht="15" customHeight="1">
      <c r="A436" s="29" t="str">
        <f t="shared" si="43"/>
        <v>АСУЭ.SEPAM.stOscilStatus</v>
      </c>
      <c r="B436">
        <v>101</v>
      </c>
      <c r="C436" t="s">
        <v>0</v>
      </c>
      <c r="D436" s="30" t="s">
        <v>1551</v>
      </c>
    </row>
    <row r="437" spans="1:4" ht="15" customHeight="1">
      <c r="A437" s="29" t="str">
        <f t="shared" si="43"/>
        <v>АСУЭ.SEPAM.stOscilStatus</v>
      </c>
      <c r="B437">
        <v>3</v>
      </c>
      <c r="C437" t="s">
        <v>1</v>
      </c>
      <c r="D437" s="30">
        <v>192</v>
      </c>
    </row>
    <row r="438" spans="1:4" ht="15" customHeight="1">
      <c r="A438" s="29" t="str">
        <f t="shared" si="43"/>
        <v>АСУЭ.SEPAM.stOscilStatus</v>
      </c>
      <c r="B438">
        <v>2</v>
      </c>
      <c r="C438" t="s">
        <v>0</v>
      </c>
      <c r="D438" s="30">
        <v>0</v>
      </c>
    </row>
    <row r="439" spans="1:4" ht="15" customHeight="1">
      <c r="A439" s="26" t="str">
        <f t="shared" si="43"/>
        <v>АСУЭ.SEPAM.stOscilStatus</v>
      </c>
      <c r="B439" s="27">
        <v>1</v>
      </c>
      <c r="C439" s="27" t="s">
        <v>1</v>
      </c>
      <c r="D439" s="28">
        <v>8</v>
      </c>
    </row>
    <row r="440" spans="1:4" ht="15" customHeight="1">
      <c r="A440" s="23" t="str">
        <f t="shared" ref="A440:A447" si="44">$R$2&amp;".Commands.coRepair"</f>
        <v>АСУЭ.SEPAM.Commands.coRepair</v>
      </c>
      <c r="B440" s="24">
        <v>7011</v>
      </c>
      <c r="C440" s="24" t="s">
        <v>2</v>
      </c>
      <c r="D440" s="25" t="s">
        <v>266</v>
      </c>
    </row>
    <row r="441" spans="1:4" ht="15" customHeight="1">
      <c r="A441" s="140" t="str">
        <f t="shared" si="44"/>
        <v>АСУЭ.SEPAM.Commands.coRepair</v>
      </c>
      <c r="B441" s="687">
        <v>11152</v>
      </c>
      <c r="C441" s="687" t="s">
        <v>0</v>
      </c>
      <c r="D441" s="142" t="str">
        <f>$R$11</f>
        <v>Ремонт</v>
      </c>
    </row>
    <row r="442" spans="1:4" ht="15" customHeight="1">
      <c r="A442" s="140" t="str">
        <f t="shared" si="44"/>
        <v>АСУЭ.SEPAM.Commands.coRepair</v>
      </c>
      <c r="B442" s="687">
        <v>11154</v>
      </c>
      <c r="C442" s="687" t="s">
        <v>4</v>
      </c>
      <c r="D442" s="142">
        <f>$Q$11</f>
        <v>14</v>
      </c>
    </row>
    <row r="443" spans="1:4" ht="15" customHeight="1">
      <c r="A443" s="140" t="str">
        <f t="shared" si="44"/>
        <v>АСУЭ.SEPAM.Commands.coRepair</v>
      </c>
      <c r="B443" s="687">
        <v>11150</v>
      </c>
      <c r="C443" s="687" t="s">
        <v>0</v>
      </c>
      <c r="D443" s="142" t="s">
        <v>89</v>
      </c>
    </row>
    <row r="444" spans="1:4" ht="15" customHeight="1">
      <c r="A444" s="140" t="str">
        <f t="shared" si="44"/>
        <v>АСУЭ.SEPAM.Commands.coRepair</v>
      </c>
      <c r="B444" s="687">
        <v>11000</v>
      </c>
      <c r="C444" s="687" t="s">
        <v>5</v>
      </c>
      <c r="D444" s="142">
        <v>2147483680</v>
      </c>
    </row>
    <row r="445" spans="1:4" ht="15" customHeight="1">
      <c r="A445" s="29" t="str">
        <f t="shared" si="44"/>
        <v>АСУЭ.SEPAM.Commands.coRepair</v>
      </c>
      <c r="B445">
        <v>1</v>
      </c>
      <c r="C445" t="s">
        <v>1</v>
      </c>
      <c r="D445" s="30">
        <v>11</v>
      </c>
    </row>
    <row r="446" spans="1:4" ht="15" customHeight="1">
      <c r="A446" s="29" t="str">
        <f t="shared" si="44"/>
        <v>АСУЭ.SEPAM.Commands.coRepair</v>
      </c>
      <c r="B446">
        <v>4000000</v>
      </c>
      <c r="C446" t="s">
        <v>0</v>
      </c>
      <c r="D446" s="415" t="s">
        <v>2679</v>
      </c>
    </row>
    <row r="447" spans="1:4" ht="15" customHeight="1">
      <c r="A447" s="26" t="str">
        <f t="shared" si="44"/>
        <v>АСУЭ.SEPAM.Commands.coRepair</v>
      </c>
      <c r="B447" s="27">
        <v>7000000</v>
      </c>
      <c r="C447" s="27" t="s">
        <v>6</v>
      </c>
      <c r="D447" s="28">
        <v>2</v>
      </c>
    </row>
    <row r="448" spans="1:4" ht="15" customHeight="1">
      <c r="A448" s="29" t="str">
        <f>$R$2&amp;".Commands.coResetMaxS"</f>
        <v>АСУЭ.SEPAM.Commands.coResetMaxS</v>
      </c>
      <c r="B448">
        <v>101</v>
      </c>
      <c r="C448" t="s">
        <v>0</v>
      </c>
      <c r="D448" s="30" t="s">
        <v>381</v>
      </c>
    </row>
    <row r="449" spans="1:4" ht="15" customHeight="1">
      <c r="A449" s="29" t="str">
        <f>$R$2&amp;".Commands.coResetMaxS"</f>
        <v>АСУЭ.SEPAM.Commands.coResetMaxS</v>
      </c>
      <c r="B449">
        <v>7999</v>
      </c>
      <c r="C449" t="s">
        <v>0</v>
      </c>
      <c r="D449" s="30" t="str">
        <f>"#"&amp;$S$2&amp;"#"&amp;$T$2&amp;"."&amp;$P$2&amp;".Commands.TC5"</f>
        <v>#3#\\Setup_rza\Modbus.OPCServer\ZRU_Sepam.VV1_Sepam_S82.Commands.TC5</v>
      </c>
    </row>
    <row r="450" spans="1:4" ht="15" customHeight="1">
      <c r="A450" s="29" t="str">
        <f>$R$2&amp;".Commands.coResetMaxS"</f>
        <v>АСУЭ.SEPAM.Commands.coResetMaxS</v>
      </c>
      <c r="B450">
        <v>7998</v>
      </c>
      <c r="C450" t="s">
        <v>6</v>
      </c>
      <c r="D450" s="30">
        <v>2</v>
      </c>
    </row>
    <row r="451" spans="1:4" ht="15" customHeight="1">
      <c r="A451" s="26" t="str">
        <f>$R$2&amp;".Commands.coResetMaxS"</f>
        <v>АСУЭ.SEPAM.Commands.coResetMaxS</v>
      </c>
      <c r="B451" s="27">
        <v>1</v>
      </c>
      <c r="C451" s="27" t="s">
        <v>1</v>
      </c>
      <c r="D451" s="28">
        <v>11</v>
      </c>
    </row>
    <row r="452" spans="1:4" ht="15" customHeight="1">
      <c r="A452" s="23" t="str">
        <f>$R$2&amp;".Commands.coResetMaxI"</f>
        <v>АСУЭ.SEPAM.Commands.coResetMaxI</v>
      </c>
      <c r="B452" s="24">
        <v>7999</v>
      </c>
      <c r="C452" s="24" t="s">
        <v>0</v>
      </c>
      <c r="D452" s="25" t="str">
        <f>"#"&amp;$S$2&amp;"#"&amp;$T$2&amp;"."&amp;$P$2&amp;".Commands.TC4"</f>
        <v>#3#\\Setup_rza\Modbus.OPCServer\ZRU_Sepam.VV1_Sepam_S82.Commands.TC4</v>
      </c>
    </row>
    <row r="453" spans="1:4" ht="15" customHeight="1">
      <c r="A453" s="29" t="str">
        <f>$R$2&amp;".Commands.coResetMaxI"</f>
        <v>АСУЭ.SEPAM.Commands.coResetMaxI</v>
      </c>
      <c r="B453">
        <v>7998</v>
      </c>
      <c r="C453" t="s">
        <v>6</v>
      </c>
      <c r="D453" s="30">
        <v>2</v>
      </c>
    </row>
    <row r="454" spans="1:4" ht="15" customHeight="1">
      <c r="A454" s="29" t="str">
        <f>$R$2&amp;".Commands.coResetMaxI"</f>
        <v>АСУЭ.SEPAM.Commands.coResetMaxI</v>
      </c>
      <c r="B454">
        <v>101</v>
      </c>
      <c r="C454" t="s">
        <v>0</v>
      </c>
      <c r="D454" s="30" t="s">
        <v>382</v>
      </c>
    </row>
    <row r="455" spans="1:4" ht="15" customHeight="1">
      <c r="A455" s="26" t="str">
        <f>$R$2&amp;".Commands.coResetMaxI"</f>
        <v>АСУЭ.SEPAM.Commands.coResetMaxI</v>
      </c>
      <c r="B455" s="27">
        <v>1</v>
      </c>
      <c r="C455" s="27" t="s">
        <v>1</v>
      </c>
      <c r="D455" s="28">
        <v>11</v>
      </c>
    </row>
    <row r="456" spans="1:4" ht="15" customHeight="1">
      <c r="A456" s="23" t="str">
        <f>$R$2&amp;".Commands.coOscilAllow"</f>
        <v>АСУЭ.SEPAM.Commands.coOscilAllow</v>
      </c>
      <c r="B456" s="24">
        <v>7999</v>
      </c>
      <c r="C456" s="24" t="s">
        <v>0</v>
      </c>
      <c r="D456" s="25" t="str">
        <f>"#"&amp;$S$2&amp;"#"&amp;$T$2&amp;"."&amp;$P$2&amp;".Commands.TC19"</f>
        <v>#3#\\Setup_rza\Modbus.OPCServer\ZRU_Sepam.VV1_Sepam_S82.Commands.TC19</v>
      </c>
    </row>
    <row r="457" spans="1:4" ht="15" customHeight="1">
      <c r="A457" s="29" t="str">
        <f>$R$2&amp;".Commands.coOscilAllow"</f>
        <v>АСУЭ.SEPAM.Commands.coOscilAllow</v>
      </c>
      <c r="B457">
        <v>7998</v>
      </c>
      <c r="C457" t="s">
        <v>6</v>
      </c>
      <c r="D457" s="30">
        <v>2</v>
      </c>
    </row>
    <row r="458" spans="1:4" ht="15" customHeight="1">
      <c r="A458" s="29" t="str">
        <f>$R$2&amp;".Commands.coOscilAllow"</f>
        <v>АСУЭ.SEPAM.Commands.coOscilAllow</v>
      </c>
      <c r="B458">
        <v>101</v>
      </c>
      <c r="C458" t="s">
        <v>0</v>
      </c>
      <c r="D458" s="30" t="s">
        <v>1552</v>
      </c>
    </row>
    <row r="459" spans="1:4" ht="15" customHeight="1">
      <c r="A459" s="26" t="str">
        <f>$R$2&amp;".Commands.coOscilAllow"</f>
        <v>АСУЭ.SEPAM.Commands.coOscilAllow</v>
      </c>
      <c r="B459" s="27">
        <v>1</v>
      </c>
      <c r="C459" s="27" t="s">
        <v>1</v>
      </c>
      <c r="D459" s="28">
        <v>11</v>
      </c>
    </row>
    <row r="460" spans="1:4" ht="15" customHeight="1">
      <c r="A460" s="29" t="str">
        <f>$R$2&amp;".Commands.coOscilBlock"</f>
        <v>АСУЭ.SEPAM.Commands.coOscilBlock</v>
      </c>
      <c r="B460">
        <v>7999</v>
      </c>
      <c r="C460" t="s">
        <v>0</v>
      </c>
      <c r="D460" s="30" t="str">
        <f>"#"&amp;$S$2&amp;"#"&amp;$T$2&amp;"."&amp;$P$2&amp;".Commands.TC18"</f>
        <v>#3#\\Setup_rza\Modbus.OPCServer\ZRU_Sepam.VV1_Sepam_S82.Commands.TC18</v>
      </c>
    </row>
    <row r="461" spans="1:4" ht="15" customHeight="1">
      <c r="A461" s="29" t="str">
        <f>$R$2&amp;".Commands.coOscilBlock"</f>
        <v>АСУЭ.SEPAM.Commands.coOscilBlock</v>
      </c>
      <c r="B461">
        <v>7998</v>
      </c>
      <c r="C461" t="s">
        <v>6</v>
      </c>
      <c r="D461" s="30">
        <v>2</v>
      </c>
    </row>
    <row r="462" spans="1:4" ht="15" customHeight="1">
      <c r="A462" s="29" t="str">
        <f>$R$2&amp;".Commands.coOscilBlock"</f>
        <v>АСУЭ.SEPAM.Commands.coOscilBlock</v>
      </c>
      <c r="B462">
        <v>101</v>
      </c>
      <c r="C462" t="s">
        <v>0</v>
      </c>
      <c r="D462" s="30" t="s">
        <v>1553</v>
      </c>
    </row>
    <row r="463" spans="1:4" ht="15" customHeight="1">
      <c r="A463" s="26" t="str">
        <f>$R$2&amp;".Commands.coOscilBlock"</f>
        <v>АСУЭ.SEPAM.Commands.coOscilBlock</v>
      </c>
      <c r="B463" s="27">
        <v>1</v>
      </c>
      <c r="C463" s="27" t="s">
        <v>1</v>
      </c>
      <c r="D463" s="28">
        <v>11</v>
      </c>
    </row>
    <row r="464" spans="1:4" ht="15" customHeight="1">
      <c r="A464" s="29" t="str">
        <f>$R$2&amp;".Commands.coOscilMan"</f>
        <v>АСУЭ.SEPAM.Commands.coOscilMan</v>
      </c>
      <c r="B464">
        <v>7999</v>
      </c>
      <c r="C464" t="s">
        <v>0</v>
      </c>
      <c r="D464" s="30" t="str">
        <f>"#"&amp;$S$2&amp;"#"&amp;$T$2&amp;"."&amp;$P$2&amp;".Commands.TC20"</f>
        <v>#3#\\Setup_rza\Modbus.OPCServer\ZRU_Sepam.VV1_Sepam_S82.Commands.TC20</v>
      </c>
    </row>
    <row r="465" spans="1:4" ht="15" customHeight="1">
      <c r="A465" s="29" t="str">
        <f>$R$2&amp;".Commands.coOscilMan"</f>
        <v>АСУЭ.SEPAM.Commands.coOscilMan</v>
      </c>
      <c r="B465">
        <v>7998</v>
      </c>
      <c r="C465" t="s">
        <v>6</v>
      </c>
      <c r="D465" s="30">
        <v>2</v>
      </c>
    </row>
    <row r="466" spans="1:4" ht="15" customHeight="1">
      <c r="A466" s="29" t="str">
        <f>$R$2&amp;".Commands.coOscilMan"</f>
        <v>АСУЭ.SEPAM.Commands.coOscilMan</v>
      </c>
      <c r="B466">
        <v>101</v>
      </c>
      <c r="C466" t="s">
        <v>0</v>
      </c>
      <c r="D466" s="30" t="s">
        <v>1554</v>
      </c>
    </row>
    <row r="467" spans="1:4" ht="15" customHeight="1">
      <c r="A467" s="29" t="str">
        <f>$R$2&amp;".Commands.coOscilMan"</f>
        <v>АСУЭ.SEPAM.Commands.coOscilMan</v>
      </c>
      <c r="B467">
        <v>1</v>
      </c>
      <c r="C467" t="s">
        <v>1</v>
      </c>
      <c r="D467" s="30">
        <v>11</v>
      </c>
    </row>
    <row r="468" spans="1:4" ht="15" customHeight="1">
      <c r="A468" s="23" t="str">
        <f t="shared" ref="A468:A473" si="45">$R$2&amp;".Commands.coOn"</f>
        <v>АСУЭ.SEPAM.Commands.coOn</v>
      </c>
      <c r="B468" s="24">
        <v>7000000</v>
      </c>
      <c r="C468" s="24" t="s">
        <v>6</v>
      </c>
      <c r="D468" s="25">
        <v>0</v>
      </c>
    </row>
    <row r="469" spans="1:4" ht="15" customHeight="1">
      <c r="A469" s="29" t="str">
        <f t="shared" si="45"/>
        <v>АСУЭ.SEPAM.Commands.coOn</v>
      </c>
      <c r="B469">
        <v>4000000</v>
      </c>
      <c r="C469" t="s">
        <v>0</v>
      </c>
      <c r="D469" s="30" t="s">
        <v>2682</v>
      </c>
    </row>
    <row r="470" spans="1:4" ht="15" customHeight="1">
      <c r="A470" s="29" t="str">
        <f t="shared" si="45"/>
        <v>АСУЭ.SEPAM.Commands.coOn</v>
      </c>
      <c r="B470">
        <v>101</v>
      </c>
      <c r="C470" t="s">
        <v>0</v>
      </c>
      <c r="D470" s="30" t="s">
        <v>383</v>
      </c>
    </row>
    <row r="471" spans="1:4" ht="15" customHeight="1">
      <c r="A471" s="29" t="str">
        <f t="shared" si="45"/>
        <v>АСУЭ.SEPAM.Commands.coOn</v>
      </c>
      <c r="B471">
        <v>7999</v>
      </c>
      <c r="C471" t="s">
        <v>0</v>
      </c>
      <c r="D471" s="30" t="str">
        <f>"#"&amp;$S$2&amp;"#"&amp;$T$2&amp;"."&amp;$P$2&amp;".Commands.TC2"</f>
        <v>#3#\\Setup_rza\Modbus.OPCServer\ZRU_Sepam.VV1_Sepam_S82.Commands.TC2</v>
      </c>
    </row>
    <row r="472" spans="1:4" ht="15" customHeight="1">
      <c r="A472" s="29" t="str">
        <f t="shared" si="45"/>
        <v>АСУЭ.SEPAM.Commands.coOn</v>
      </c>
      <c r="B472">
        <v>7998</v>
      </c>
      <c r="C472" t="s">
        <v>6</v>
      </c>
      <c r="D472" s="30">
        <v>2</v>
      </c>
    </row>
    <row r="473" spans="1:4" ht="15" customHeight="1">
      <c r="A473" s="26" t="str">
        <f t="shared" si="45"/>
        <v>АСУЭ.SEPAM.Commands.coOn</v>
      </c>
      <c r="B473" s="27">
        <v>1</v>
      </c>
      <c r="C473" s="27" t="s">
        <v>1</v>
      </c>
      <c r="D473" s="28">
        <v>11</v>
      </c>
    </row>
    <row r="474" spans="1:4" ht="15" customHeight="1">
      <c r="A474" s="29" t="str">
        <f t="shared" ref="A474:A479" si="46">$R$2&amp;".Commands.coOff"</f>
        <v>АСУЭ.SEPAM.Commands.coOff</v>
      </c>
      <c r="B474" s="24">
        <v>7000000</v>
      </c>
      <c r="C474" s="24" t="s">
        <v>6</v>
      </c>
      <c r="D474" s="25">
        <v>0</v>
      </c>
    </row>
    <row r="475" spans="1:4" ht="15" customHeight="1">
      <c r="A475" s="29" t="str">
        <f t="shared" si="46"/>
        <v>АСУЭ.SEPAM.Commands.coOff</v>
      </c>
      <c r="B475">
        <v>4000000</v>
      </c>
      <c r="C475" t="s">
        <v>0</v>
      </c>
      <c r="D475" s="30" t="s">
        <v>2683</v>
      </c>
    </row>
    <row r="476" spans="1:4" ht="15" customHeight="1">
      <c r="A476" s="29" t="str">
        <f t="shared" si="46"/>
        <v>АСУЭ.SEPAM.Commands.coOff</v>
      </c>
      <c r="B476">
        <v>101</v>
      </c>
      <c r="C476" t="s">
        <v>0</v>
      </c>
      <c r="D476" s="30" t="s">
        <v>384</v>
      </c>
    </row>
    <row r="477" spans="1:4" ht="15" customHeight="1">
      <c r="A477" s="29" t="str">
        <f t="shared" si="46"/>
        <v>АСУЭ.SEPAM.Commands.coOff</v>
      </c>
      <c r="B477">
        <v>7999</v>
      </c>
      <c r="C477" t="s">
        <v>0</v>
      </c>
      <c r="D477" s="30" t="str">
        <f>"#"&amp;$S$2&amp;"#"&amp;$T$2&amp;"."&amp;$P$2&amp;".Commands.TC1"</f>
        <v>#3#\\Setup_rza\Modbus.OPCServer\ZRU_Sepam.VV1_Sepam_S82.Commands.TC1</v>
      </c>
    </row>
    <row r="478" spans="1:4" ht="15" customHeight="1">
      <c r="A478" s="29" t="str">
        <f t="shared" si="46"/>
        <v>АСУЭ.SEPAM.Commands.coOff</v>
      </c>
      <c r="B478">
        <v>7998</v>
      </c>
      <c r="C478" t="s">
        <v>6</v>
      </c>
      <c r="D478" s="30">
        <v>2</v>
      </c>
    </row>
    <row r="479" spans="1:4" ht="15" customHeight="1">
      <c r="A479" s="29" t="str">
        <f t="shared" si="46"/>
        <v>АСУЭ.SEPAM.Commands.coOff</v>
      </c>
      <c r="B479">
        <v>1</v>
      </c>
      <c r="C479" t="s">
        <v>1</v>
      </c>
      <c r="D479" s="30">
        <v>11</v>
      </c>
    </row>
    <row r="480" spans="1:4" ht="15" customHeight="1">
      <c r="A480" s="23" t="str">
        <f t="shared" ref="A480:A485" si="47">$R$2&amp;".Commands.coRst"</f>
        <v>АСУЭ.SEPAM.Commands.coRst</v>
      </c>
      <c r="B480" s="24">
        <v>7000000</v>
      </c>
      <c r="C480" s="24" t="s">
        <v>6</v>
      </c>
      <c r="D480" s="25">
        <v>0</v>
      </c>
    </row>
    <row r="481" spans="1:4" ht="15" customHeight="1">
      <c r="A481" s="29" t="str">
        <f t="shared" si="47"/>
        <v>АСУЭ.SEPAM.Commands.coRst</v>
      </c>
      <c r="B481">
        <v>4000000</v>
      </c>
      <c r="C481" t="s">
        <v>0</v>
      </c>
      <c r="D481" s="30" t="s">
        <v>385</v>
      </c>
    </row>
    <row r="482" spans="1:4" ht="15" customHeight="1">
      <c r="A482" s="29" t="str">
        <f t="shared" si="47"/>
        <v>АСУЭ.SEPAM.Commands.coRst</v>
      </c>
      <c r="B482">
        <v>101</v>
      </c>
      <c r="C482" t="s">
        <v>0</v>
      </c>
      <c r="D482" s="30" t="s">
        <v>386</v>
      </c>
    </row>
    <row r="483" spans="1:4" ht="15" customHeight="1">
      <c r="A483" s="29" t="str">
        <f t="shared" si="47"/>
        <v>АСУЭ.SEPAM.Commands.coRst</v>
      </c>
      <c r="B483">
        <v>7999</v>
      </c>
      <c r="C483" t="s">
        <v>0</v>
      </c>
      <c r="D483" s="30" t="str">
        <f>"#"&amp;$S$2&amp;"#"&amp;$T$2&amp;"."&amp;$P$2&amp;".Commands.TC3"</f>
        <v>#3#\\Setup_rza\Modbus.OPCServer\ZRU_Sepam.VV1_Sepam_S82.Commands.TC3</v>
      </c>
    </row>
    <row r="484" spans="1:4" ht="15" customHeight="1">
      <c r="A484" s="29" t="str">
        <f t="shared" si="47"/>
        <v>АСУЭ.SEPAM.Commands.coRst</v>
      </c>
      <c r="B484">
        <v>7998</v>
      </c>
      <c r="C484" t="s">
        <v>6</v>
      </c>
      <c r="D484" s="30">
        <v>2</v>
      </c>
    </row>
    <row r="485" spans="1:4" ht="15" customHeight="1">
      <c r="A485" s="29" t="str">
        <f t="shared" si="47"/>
        <v>АСУЭ.SEPAM.Commands.coRst</v>
      </c>
      <c r="B485">
        <v>1</v>
      </c>
      <c r="C485" t="s">
        <v>1</v>
      </c>
      <c r="D485" s="30">
        <v>11</v>
      </c>
    </row>
    <row r="486" spans="1:4" ht="15" customHeight="1">
      <c r="A486" s="23" t="str">
        <f t="shared" ref="A486:A491" si="48">$R$2&amp;".Commands.coRst2"</f>
        <v>АСУЭ.SEPAM.Commands.coRst2</v>
      </c>
      <c r="B486" s="24">
        <v>7000000</v>
      </c>
      <c r="C486" s="24" t="s">
        <v>6</v>
      </c>
      <c r="D486" s="25">
        <v>0</v>
      </c>
    </row>
    <row r="487" spans="1:4" ht="15" customHeight="1">
      <c r="A487" s="29" t="str">
        <f t="shared" si="48"/>
        <v>АСУЭ.SEPAM.Commands.coRst2</v>
      </c>
      <c r="B487">
        <v>4000000</v>
      </c>
      <c r="C487" t="s">
        <v>0</v>
      </c>
      <c r="D487" s="30" t="s">
        <v>385</v>
      </c>
    </row>
    <row r="488" spans="1:4" ht="15" customHeight="1">
      <c r="A488" s="29" t="str">
        <f t="shared" si="48"/>
        <v>АСУЭ.SEPAM.Commands.coRst2</v>
      </c>
      <c r="B488">
        <v>101</v>
      </c>
      <c r="C488" t="s">
        <v>0</v>
      </c>
      <c r="D488" s="30" t="s">
        <v>386</v>
      </c>
    </row>
    <row r="489" spans="1:4" ht="15" customHeight="1">
      <c r="A489" s="29" t="str">
        <f t="shared" si="48"/>
        <v>АСУЭ.SEPAM.Commands.coRst2</v>
      </c>
      <c r="B489">
        <v>7999</v>
      </c>
      <c r="C489" t="s">
        <v>0</v>
      </c>
      <c r="D489" s="30" t="str">
        <f>"#"&amp;$S$2&amp;"#"&amp;$T$2&amp;"."&amp;$P$2&amp;".Commands.TC3"</f>
        <v>#3#\\Setup_rza\Modbus.OPCServer\ZRU_Sepam.VV1_Sepam_S82.Commands.TC3</v>
      </c>
    </row>
    <row r="490" spans="1:4" ht="15" customHeight="1">
      <c r="A490" s="29" t="str">
        <f t="shared" si="48"/>
        <v>АСУЭ.SEPAM.Commands.coRst2</v>
      </c>
      <c r="B490">
        <v>7998</v>
      </c>
      <c r="C490" t="s">
        <v>6</v>
      </c>
      <c r="D490" s="30">
        <v>2</v>
      </c>
    </row>
    <row r="491" spans="1:4" ht="15" customHeight="1">
      <c r="A491" s="26" t="str">
        <f t="shared" si="48"/>
        <v>АСУЭ.SEPAM.Commands.coRst2</v>
      </c>
      <c r="B491" s="27">
        <v>1</v>
      </c>
      <c r="C491" s="27" t="s">
        <v>1</v>
      </c>
      <c r="D491" s="28">
        <v>11</v>
      </c>
    </row>
    <row r="492" spans="1:4" ht="15" customHeight="1">
      <c r="A492" s="29" t="str">
        <f>$R$2&amp;".Commands.coAVR_SV_On"</f>
        <v>АСУЭ.SEPAM.Commands.coAVR_SV_On</v>
      </c>
      <c r="B492">
        <v>101</v>
      </c>
      <c r="C492" t="s">
        <v>0</v>
      </c>
      <c r="D492" s="30" t="s">
        <v>1559</v>
      </c>
    </row>
    <row r="493" spans="1:4" ht="15" customHeight="1">
      <c r="A493" s="29" t="str">
        <f>$R$2&amp;".Commands.coAVR_SV_On"</f>
        <v>АСУЭ.SEPAM.Commands.coAVR_SV_On</v>
      </c>
      <c r="B493">
        <v>7999</v>
      </c>
      <c r="C493" t="s">
        <v>0</v>
      </c>
      <c r="D493" s="30" t="str">
        <f>"#"&amp;$S$2&amp;"#"&amp;$T$2&amp;"."&amp;$P$2&amp;".Commands.TC6"</f>
        <v>#3#\\Setup_rza\Modbus.OPCServer\ZRU_Sepam.VV1_Sepam_S82.Commands.TC6</v>
      </c>
    </row>
    <row r="494" spans="1:4" ht="15" customHeight="1">
      <c r="A494" s="29" t="str">
        <f>$R$2&amp;".Commands.coAVR_SV_On"</f>
        <v>АСУЭ.SEPAM.Commands.coAVR_SV_On</v>
      </c>
      <c r="B494">
        <v>7998</v>
      </c>
      <c r="C494" t="s">
        <v>6</v>
      </c>
      <c r="D494" s="30">
        <v>2</v>
      </c>
    </row>
    <row r="495" spans="1:4" ht="15" customHeight="1">
      <c r="A495" s="26" t="str">
        <f>$R$2&amp;".Commands.coAVR_SV_On"</f>
        <v>АСУЭ.SEPAM.Commands.coAVR_SV_On</v>
      </c>
      <c r="B495" s="27">
        <v>1</v>
      </c>
      <c r="C495" s="27" t="s">
        <v>1</v>
      </c>
      <c r="D495" s="28">
        <v>11</v>
      </c>
    </row>
    <row r="496" spans="1:4" ht="15" customHeight="1">
      <c r="A496" s="29" t="str">
        <f>$R$2&amp;".Commands.coAVR_SV_Off"</f>
        <v>АСУЭ.SEPAM.Commands.coAVR_SV_Off</v>
      </c>
      <c r="B496">
        <v>101</v>
      </c>
      <c r="C496" t="s">
        <v>0</v>
      </c>
      <c r="D496" s="30" t="s">
        <v>1560</v>
      </c>
    </row>
    <row r="497" spans="1:4" ht="15" customHeight="1">
      <c r="A497" s="29" t="str">
        <f>$R$2&amp;".Commands.coAVR_SV_Off"</f>
        <v>АСУЭ.SEPAM.Commands.coAVR_SV_Off</v>
      </c>
      <c r="B497">
        <v>7999</v>
      </c>
      <c r="C497" t="s">
        <v>0</v>
      </c>
      <c r="D497" s="30" t="str">
        <f>"#"&amp;$S$2&amp;"#"&amp;$T$2&amp;"."&amp;$P$2&amp;".Commands.TC7"</f>
        <v>#3#\\Setup_rza\Modbus.OPCServer\ZRU_Sepam.VV1_Sepam_S82.Commands.TC7</v>
      </c>
    </row>
    <row r="498" spans="1:4" ht="15" customHeight="1">
      <c r="A498" s="29" t="str">
        <f>$R$2&amp;".Commands.coAVR_SV_Off"</f>
        <v>АСУЭ.SEPAM.Commands.coAVR_SV_Off</v>
      </c>
      <c r="B498">
        <v>7998</v>
      </c>
      <c r="C498" t="s">
        <v>6</v>
      </c>
      <c r="D498" s="30">
        <v>2</v>
      </c>
    </row>
    <row r="499" spans="1:4" ht="15" customHeight="1">
      <c r="A499" s="26" t="str">
        <f>$R$2&amp;".Commands.coAVR_SV_Off"</f>
        <v>АСУЭ.SEPAM.Commands.coAVR_SV_Off</v>
      </c>
      <c r="B499" s="27">
        <v>1</v>
      </c>
      <c r="C499" s="27" t="s">
        <v>1</v>
      </c>
      <c r="D499" s="28">
        <v>11</v>
      </c>
    </row>
    <row r="500" spans="1:4" ht="15" customHeight="1">
      <c r="A500" s="23" t="str">
        <f t="shared" ref="A500:A505" si="49">$R$2&amp;".Commands.coReadCountTrips"</f>
        <v>АСУЭ.SEPAM.Commands.coReadCountTrips</v>
      </c>
      <c r="B500" s="24">
        <v>7000000</v>
      </c>
      <c r="C500" s="24" t="s">
        <v>6</v>
      </c>
      <c r="D500" s="25">
        <v>0</v>
      </c>
    </row>
    <row r="501" spans="1:4" ht="15" customHeight="1">
      <c r="A501" s="29" t="str">
        <f t="shared" si="49"/>
        <v>АСУЭ.SEPAM.Commands.coReadCountTrips</v>
      </c>
      <c r="B501">
        <v>4000000</v>
      </c>
      <c r="C501" t="s">
        <v>0</v>
      </c>
      <c r="D501" s="30"/>
    </row>
    <row r="502" spans="1:4" ht="15" customHeight="1">
      <c r="A502" s="29" t="str">
        <f t="shared" si="49"/>
        <v>АСУЭ.SEPAM.Commands.coReadCountTrips</v>
      </c>
      <c r="B502">
        <v>101</v>
      </c>
      <c r="C502" t="s">
        <v>0</v>
      </c>
      <c r="D502" s="30" t="s">
        <v>1555</v>
      </c>
    </row>
    <row r="503" spans="1:4" ht="15" customHeight="1">
      <c r="A503" s="29" t="str">
        <f t="shared" si="49"/>
        <v>АСУЭ.SEPAM.Commands.coReadCountTrips</v>
      </c>
      <c r="B503">
        <v>7999</v>
      </c>
      <c r="C503" t="s">
        <v>0</v>
      </c>
      <c r="D503" s="30" t="str">
        <f>"#"&amp;$S$2&amp;"#"&amp;$T$2&amp;"."&amp;$P$2&amp;".Commands.ReadZone8"</f>
        <v>#3#\\Setup_rza\Modbus.OPCServer\ZRU_Sepam.VV1_Sepam_S82.Commands.ReadZone8</v>
      </c>
    </row>
    <row r="504" spans="1:4" ht="15" customHeight="1">
      <c r="A504" s="29" t="str">
        <f t="shared" si="49"/>
        <v>АСУЭ.SEPAM.Commands.coReadCountTrips</v>
      </c>
      <c r="B504">
        <v>7998</v>
      </c>
      <c r="C504" t="s">
        <v>6</v>
      </c>
      <c r="D504" s="30">
        <v>2</v>
      </c>
    </row>
    <row r="505" spans="1:4" ht="15" customHeight="1">
      <c r="A505" s="29" t="str">
        <f t="shared" si="49"/>
        <v>АСУЭ.SEPAM.Commands.coReadCountTrips</v>
      </c>
      <c r="B505">
        <v>1</v>
      </c>
      <c r="C505" t="s">
        <v>1</v>
      </c>
      <c r="D505" s="30">
        <v>11</v>
      </c>
    </row>
    <row r="506" spans="1:4" ht="15" customHeight="1">
      <c r="A506" s="294" t="str">
        <f>$R$2&amp;".Commands.smCntSumOff"</f>
        <v>АСУЭ.SEPAM.Commands.smCntSumOff</v>
      </c>
      <c r="B506" s="295">
        <v>7011</v>
      </c>
      <c r="C506" s="295" t="s">
        <v>2</v>
      </c>
      <c r="D506" s="296" t="s">
        <v>266</v>
      </c>
    </row>
    <row r="507" spans="1:4" ht="15" customHeight="1">
      <c r="A507" s="288" t="str">
        <f>$R$2&amp;".Commands.smCntSumOff"</f>
        <v>АСУЭ.SEPAM.Commands.smCntSumOff</v>
      </c>
      <c r="B507" s="514">
        <v>101</v>
      </c>
      <c r="C507" s="514" t="s">
        <v>0</v>
      </c>
      <c r="D507" s="290" t="s">
        <v>351</v>
      </c>
    </row>
    <row r="508" spans="1:4" ht="15" customHeight="1">
      <c r="A508" s="291" t="str">
        <f>$R$2&amp;".Commands.smCntSumOff"</f>
        <v>АСУЭ.SEPAM.Commands.smCntSumOff</v>
      </c>
      <c r="B508" s="292">
        <v>1</v>
      </c>
      <c r="C508" s="292" t="s">
        <v>1</v>
      </c>
      <c r="D508" s="293">
        <v>3</v>
      </c>
    </row>
    <row r="509" spans="1:4" ht="15" customHeight="1">
      <c r="A509" s="294" t="str">
        <f>$R$2&amp;".Commands.smCntSumOffI"</f>
        <v>АСУЭ.SEPAM.Commands.smCntSumOffI</v>
      </c>
      <c r="B509" s="295">
        <v>7011</v>
      </c>
      <c r="C509" s="295" t="s">
        <v>2</v>
      </c>
      <c r="D509" s="296" t="s">
        <v>266</v>
      </c>
    </row>
    <row r="510" spans="1:4" ht="15" customHeight="1">
      <c r="A510" s="288" t="str">
        <f>$R$2&amp;".Commands.smCntSumOffI"</f>
        <v>АСУЭ.SEPAM.Commands.smCntSumOffI</v>
      </c>
      <c r="B510" s="514">
        <v>101</v>
      </c>
      <c r="C510" s="514" t="s">
        <v>0</v>
      </c>
      <c r="D510" s="290" t="s">
        <v>353</v>
      </c>
    </row>
    <row r="511" spans="1:4" ht="15" customHeight="1">
      <c r="A511" s="291" t="str">
        <f>$R$2&amp;".Commands.smCntSumOffI"</f>
        <v>АСУЭ.SEPAM.Commands.smCntSumOffI</v>
      </c>
      <c r="B511" s="292">
        <v>1</v>
      </c>
      <c r="C511" s="292" t="s">
        <v>1</v>
      </c>
      <c r="D511" s="293">
        <v>3</v>
      </c>
    </row>
    <row r="512" spans="1:4" ht="15" customHeight="1">
      <c r="A512" s="294" t="str">
        <f>$R$2&amp;".Commands.smCntSumOffIKZ"</f>
        <v>АСУЭ.SEPAM.Commands.smCntSumOffIKZ</v>
      </c>
      <c r="B512" s="295">
        <v>7011</v>
      </c>
      <c r="C512" s="295" t="s">
        <v>2</v>
      </c>
      <c r="D512" s="296" t="s">
        <v>266</v>
      </c>
    </row>
    <row r="513" spans="1:4" ht="15" customHeight="1">
      <c r="A513" s="288" t="str">
        <f>$R$2&amp;".Commands.smCntSumOffIKZ"</f>
        <v>АСУЭ.SEPAM.Commands.smCntSumOffIKZ</v>
      </c>
      <c r="B513" s="514">
        <v>101</v>
      </c>
      <c r="C513" s="514" t="s">
        <v>0</v>
      </c>
      <c r="D513" s="290" t="s">
        <v>354</v>
      </c>
    </row>
    <row r="514" spans="1:4" ht="15" customHeight="1">
      <c r="A514" s="291" t="str">
        <f>$R$2&amp;".Commands.smCntSumOffIKZ"</f>
        <v>АСУЭ.SEPAM.Commands.smCntSumOffIKZ</v>
      </c>
      <c r="B514" s="292">
        <v>1</v>
      </c>
      <c r="C514" s="292" t="s">
        <v>1</v>
      </c>
      <c r="D514" s="293">
        <v>3</v>
      </c>
    </row>
    <row r="515" spans="1:4" ht="15" customHeight="1">
      <c r="A515" s="294" t="str">
        <f t="shared" ref="A515:A520" si="50">$R$2&amp;".mCntSumOff"</f>
        <v>АСУЭ.SEPAM.mCntSumOff</v>
      </c>
      <c r="B515" s="295">
        <v>7999</v>
      </c>
      <c r="C515" s="295" t="s">
        <v>0</v>
      </c>
      <c r="D515" s="296" t="str">
        <f>"#"&amp;$S$2&amp;"#"&amp;$T$2&amp;"."&amp;$P$2&amp;".CommCnt"</f>
        <v>#3#\\Setup_rza\Modbus.OPCServer\ZRU_Sepam.VV1_Sepam_S82.CommCnt</v>
      </c>
    </row>
    <row r="516" spans="1:4" ht="15" customHeight="1">
      <c r="A516" s="288" t="str">
        <f t="shared" si="50"/>
        <v>АСУЭ.SEPAM.mCntSumOff</v>
      </c>
      <c r="B516" s="514">
        <v>7998</v>
      </c>
      <c r="C516" s="514" t="s">
        <v>6</v>
      </c>
      <c r="D516" s="290">
        <v>1</v>
      </c>
    </row>
    <row r="517" spans="1:4" ht="15" customHeight="1">
      <c r="A517" s="288" t="str">
        <f t="shared" si="50"/>
        <v>АСУЭ.SEPAM.mCntSumOff</v>
      </c>
      <c r="B517" s="514">
        <v>101</v>
      </c>
      <c r="C517" s="514" t="s">
        <v>0</v>
      </c>
      <c r="D517" s="290" t="s">
        <v>343</v>
      </c>
    </row>
    <row r="518" spans="1:4" ht="15" customHeight="1">
      <c r="A518" s="288" t="str">
        <f t="shared" si="50"/>
        <v>АСУЭ.SEPAM.mCntSumOff</v>
      </c>
      <c r="B518" s="514">
        <v>3</v>
      </c>
      <c r="C518" s="514" t="s">
        <v>1</v>
      </c>
      <c r="D518" s="290">
        <v>192</v>
      </c>
    </row>
    <row r="519" spans="1:4" ht="15" customHeight="1">
      <c r="A519" s="288" t="str">
        <f t="shared" si="50"/>
        <v>АСУЭ.SEPAM.mCntSumOff</v>
      </c>
      <c r="B519" s="514">
        <v>2</v>
      </c>
      <c r="C519" s="514" t="s">
        <v>6</v>
      </c>
      <c r="D519" s="290">
        <v>0</v>
      </c>
    </row>
    <row r="520" spans="1:4" ht="15" customHeight="1">
      <c r="A520" s="291" t="str">
        <f t="shared" si="50"/>
        <v>АСУЭ.SEPAM.mCntSumOff</v>
      </c>
      <c r="B520" s="292">
        <v>1</v>
      </c>
      <c r="C520" s="292" t="s">
        <v>1</v>
      </c>
      <c r="D520" s="293">
        <v>3</v>
      </c>
    </row>
    <row r="521" spans="1:4" ht="15" customHeight="1">
      <c r="A521" s="294" t="str">
        <f t="shared" ref="A521:A526" si="51">$R$2&amp;".mCntSumOffI"</f>
        <v>АСУЭ.SEPAM.mCntSumOffI</v>
      </c>
      <c r="B521" s="295">
        <v>7999</v>
      </c>
      <c r="C521" s="295" t="s">
        <v>0</v>
      </c>
      <c r="D521" s="296" t="str">
        <f>"#"&amp;$S$2&amp;"#"&amp;$T$2&amp;"."&amp;$P$2&amp;".Trip_I_Cnt"</f>
        <v>#3#\\Setup_rza\Modbus.OPCServer\ZRU_Sepam.VV1_Sepam_S82.Trip_I_Cnt</v>
      </c>
    </row>
    <row r="522" spans="1:4" ht="15" customHeight="1">
      <c r="A522" s="288" t="str">
        <f t="shared" si="51"/>
        <v>АСУЭ.SEPAM.mCntSumOffI</v>
      </c>
      <c r="B522" s="514">
        <v>7998</v>
      </c>
      <c r="C522" s="514" t="s">
        <v>6</v>
      </c>
      <c r="D522" s="290">
        <v>1</v>
      </c>
    </row>
    <row r="523" spans="1:4" ht="15" customHeight="1">
      <c r="A523" s="288" t="str">
        <f t="shared" si="51"/>
        <v>АСУЭ.SEPAM.mCntSumOffI</v>
      </c>
      <c r="B523" s="514">
        <v>101</v>
      </c>
      <c r="C523" s="514" t="s">
        <v>0</v>
      </c>
      <c r="D523" s="290" t="s">
        <v>344</v>
      </c>
    </row>
    <row r="524" spans="1:4" ht="15" customHeight="1">
      <c r="A524" s="288" t="str">
        <f t="shared" si="51"/>
        <v>АСУЭ.SEPAM.mCntSumOffI</v>
      </c>
      <c r="B524" s="514">
        <v>3</v>
      </c>
      <c r="C524" s="514" t="s">
        <v>1</v>
      </c>
      <c r="D524" s="290">
        <v>192</v>
      </c>
    </row>
    <row r="525" spans="1:4" ht="15" customHeight="1">
      <c r="A525" s="288" t="str">
        <f t="shared" si="51"/>
        <v>АСУЭ.SEPAM.mCntSumOffI</v>
      </c>
      <c r="B525" s="514">
        <v>2</v>
      </c>
      <c r="C525" s="514" t="s">
        <v>6</v>
      </c>
      <c r="D525" s="290">
        <v>0</v>
      </c>
    </row>
    <row r="526" spans="1:4" ht="15" customHeight="1">
      <c r="A526" s="291" t="str">
        <f t="shared" si="51"/>
        <v>АСУЭ.SEPAM.mCntSumOffI</v>
      </c>
      <c r="B526" s="292">
        <v>1</v>
      </c>
      <c r="C526" s="292" t="s">
        <v>1</v>
      </c>
      <c r="D526" s="293">
        <v>3</v>
      </c>
    </row>
    <row r="527" spans="1:4" ht="15" customHeight="1">
      <c r="A527" s="294" t="str">
        <f t="shared" ref="A527:A532" si="52">$R$2&amp;".mCntSumOffIKZ"</f>
        <v>АСУЭ.SEPAM.mCntSumOffIKZ</v>
      </c>
      <c r="B527" s="295">
        <v>7999</v>
      </c>
      <c r="C527" s="295" t="s">
        <v>0</v>
      </c>
      <c r="D527" s="296" t="str">
        <f>"#"&amp;$S$2&amp;"#"&amp;$T$2&amp;"."&amp;$P$2&amp;".Trip_Ikz_Cnt"</f>
        <v>#3#\\Setup_rza\Modbus.OPCServer\ZRU_Sepam.VV1_Sepam_S82.Trip_Ikz_Cnt</v>
      </c>
    </row>
    <row r="528" spans="1:4" ht="15" customHeight="1">
      <c r="A528" s="288" t="str">
        <f t="shared" si="52"/>
        <v>АСУЭ.SEPAM.mCntSumOffIKZ</v>
      </c>
      <c r="B528" s="514">
        <v>7998</v>
      </c>
      <c r="C528" s="514" t="s">
        <v>6</v>
      </c>
      <c r="D528" s="290">
        <v>1</v>
      </c>
    </row>
    <row r="529" spans="1:4" ht="15" customHeight="1">
      <c r="A529" s="288" t="str">
        <f t="shared" si="52"/>
        <v>АСУЭ.SEPAM.mCntSumOffIKZ</v>
      </c>
      <c r="B529" s="514">
        <v>101</v>
      </c>
      <c r="C529" s="514" t="s">
        <v>0</v>
      </c>
      <c r="D529" s="290" t="s">
        <v>345</v>
      </c>
    </row>
    <row r="530" spans="1:4" ht="15" customHeight="1">
      <c r="A530" s="288" t="str">
        <f t="shared" si="52"/>
        <v>АСУЭ.SEPAM.mCntSumOffIKZ</v>
      </c>
      <c r="B530" s="514">
        <v>3</v>
      </c>
      <c r="C530" s="514" t="s">
        <v>1</v>
      </c>
      <c r="D530" s="290">
        <v>192</v>
      </c>
    </row>
    <row r="531" spans="1:4" ht="15" customHeight="1">
      <c r="A531" s="288" t="str">
        <f t="shared" si="52"/>
        <v>АСУЭ.SEPAM.mCntSumOffIKZ</v>
      </c>
      <c r="B531" s="514">
        <v>2</v>
      </c>
      <c r="C531" s="514" t="s">
        <v>6</v>
      </c>
      <c r="D531" s="290">
        <v>0</v>
      </c>
    </row>
    <row r="532" spans="1:4" ht="15" customHeight="1">
      <c r="A532" s="291" t="str">
        <f t="shared" si="52"/>
        <v>АСУЭ.SEPAM.mCntSumOffIKZ</v>
      </c>
      <c r="B532" s="292">
        <v>1</v>
      </c>
      <c r="C532" s="292" t="s">
        <v>1</v>
      </c>
      <c r="D532" s="293">
        <v>3</v>
      </c>
    </row>
    <row r="533" spans="1:4" ht="15" customHeight="1">
      <c r="A533" s="294" t="str">
        <f t="shared" ref="A533:A538" si="53">$R$2&amp;".mEaMinus"</f>
        <v>АСУЭ.SEPAM.mEaMinus</v>
      </c>
      <c r="B533" s="295">
        <v>7999</v>
      </c>
      <c r="C533" s="295" t="s">
        <v>0</v>
      </c>
      <c r="D533" s="296" t="str">
        <f>"#"&amp;$S$2&amp;"#"&amp;$T$2&amp;"."&amp;$P$2&amp;".Ea-"</f>
        <v>#3#\\Setup_rza\Modbus.OPCServer\ZRU_Sepam.VV1_Sepam_S82.Ea-</v>
      </c>
    </row>
    <row r="534" spans="1:4" ht="15" customHeight="1">
      <c r="A534" s="288" t="str">
        <f t="shared" si="53"/>
        <v>АСУЭ.SEPAM.mEaMinus</v>
      </c>
      <c r="B534" s="514">
        <v>7998</v>
      </c>
      <c r="C534" s="514" t="s">
        <v>6</v>
      </c>
      <c r="D534" s="290">
        <v>1</v>
      </c>
    </row>
    <row r="535" spans="1:4" ht="15" customHeight="1">
      <c r="A535" s="288" t="str">
        <f t="shared" si="53"/>
        <v>АСУЭ.SEPAM.mEaMinus</v>
      </c>
      <c r="B535" s="514">
        <v>101</v>
      </c>
      <c r="C535" s="514" t="s">
        <v>0</v>
      </c>
      <c r="D535" s="290" t="s">
        <v>347</v>
      </c>
    </row>
    <row r="536" spans="1:4" ht="15" customHeight="1">
      <c r="A536" s="288" t="str">
        <f t="shared" si="53"/>
        <v>АСУЭ.SEPAM.mEaMinus</v>
      </c>
      <c r="B536" s="514">
        <v>3</v>
      </c>
      <c r="C536" s="514" t="s">
        <v>1</v>
      </c>
      <c r="D536" s="290">
        <v>192</v>
      </c>
    </row>
    <row r="537" spans="1:4" ht="15" customHeight="1">
      <c r="A537" s="288" t="str">
        <f t="shared" si="53"/>
        <v>АСУЭ.SEPAM.mEaMinus</v>
      </c>
      <c r="B537" s="514">
        <v>2</v>
      </c>
      <c r="C537" s="514" t="s">
        <v>6</v>
      </c>
      <c r="D537" s="290">
        <v>0</v>
      </c>
    </row>
    <row r="538" spans="1:4" ht="15" customHeight="1">
      <c r="A538" s="291" t="str">
        <f t="shared" si="53"/>
        <v>АСУЭ.SEPAM.mEaMinus</v>
      </c>
      <c r="B538" s="292">
        <v>1</v>
      </c>
      <c r="C538" s="292" t="s">
        <v>1</v>
      </c>
      <c r="D538" s="293">
        <v>3</v>
      </c>
    </row>
    <row r="539" spans="1:4" ht="15" customHeight="1">
      <c r="A539" s="294" t="str">
        <f t="shared" ref="A539:A544" si="54">$R$2&amp;".mEaPlus"</f>
        <v>АСУЭ.SEPAM.mEaPlus</v>
      </c>
      <c r="B539" s="295">
        <v>7999</v>
      </c>
      <c r="C539" s="295" t="s">
        <v>0</v>
      </c>
      <c r="D539" s="296" t="str">
        <f>"#"&amp;$S$2&amp;"#"&amp;$T$2&amp;"."&amp;$P$2&amp;".Ea+"</f>
        <v>#3#\\Setup_rza\Modbus.OPCServer\ZRU_Sepam.VV1_Sepam_S82.Ea+</v>
      </c>
    </row>
    <row r="540" spans="1:4" ht="15" customHeight="1">
      <c r="A540" s="288" t="str">
        <f t="shared" si="54"/>
        <v>АСУЭ.SEPAM.mEaPlus</v>
      </c>
      <c r="B540" s="514">
        <v>7998</v>
      </c>
      <c r="C540" s="514" t="s">
        <v>6</v>
      </c>
      <c r="D540" s="290">
        <v>1</v>
      </c>
    </row>
    <row r="541" spans="1:4" ht="15" customHeight="1">
      <c r="A541" s="288" t="str">
        <f t="shared" si="54"/>
        <v>АСУЭ.SEPAM.mEaPlus</v>
      </c>
      <c r="B541" s="514">
        <v>101</v>
      </c>
      <c r="C541" s="514" t="s">
        <v>0</v>
      </c>
      <c r="D541" s="290" t="s">
        <v>346</v>
      </c>
    </row>
    <row r="542" spans="1:4" ht="15" customHeight="1">
      <c r="A542" s="288" t="str">
        <f t="shared" si="54"/>
        <v>АСУЭ.SEPAM.mEaPlus</v>
      </c>
      <c r="B542" s="514">
        <v>3</v>
      </c>
      <c r="C542" s="514" t="s">
        <v>1</v>
      </c>
      <c r="D542" s="290">
        <v>192</v>
      </c>
    </row>
    <row r="543" spans="1:4" ht="15" customHeight="1">
      <c r="A543" s="288" t="str">
        <f t="shared" si="54"/>
        <v>АСУЭ.SEPAM.mEaPlus</v>
      </c>
      <c r="B543" s="514">
        <v>2</v>
      </c>
      <c r="C543" s="514" t="s">
        <v>6</v>
      </c>
      <c r="D543" s="290">
        <v>0</v>
      </c>
    </row>
    <row r="544" spans="1:4" ht="15" customHeight="1">
      <c r="A544" s="291" t="str">
        <f t="shared" si="54"/>
        <v>АСУЭ.SEPAM.mEaPlus</v>
      </c>
      <c r="B544" s="292">
        <v>1</v>
      </c>
      <c r="C544" s="292" t="s">
        <v>1</v>
      </c>
      <c r="D544" s="293">
        <v>3</v>
      </c>
    </row>
    <row r="545" spans="1:4" ht="15" customHeight="1">
      <c r="A545" s="294" t="str">
        <f t="shared" ref="A545:A550" si="55">$R$2&amp;".mErMinus"</f>
        <v>АСУЭ.SEPAM.mErMinus</v>
      </c>
      <c r="B545" s="295">
        <v>7999</v>
      </c>
      <c r="C545" s="295" t="s">
        <v>0</v>
      </c>
      <c r="D545" s="296" t="str">
        <f>"#"&amp;$S$2&amp;"#"&amp;$T$2&amp;"."&amp;$P$2&amp;".Er-"</f>
        <v>#3#\\Setup_rza\Modbus.OPCServer\ZRU_Sepam.VV1_Sepam_S82.Er-</v>
      </c>
    </row>
    <row r="546" spans="1:4" ht="15" customHeight="1">
      <c r="A546" s="288" t="str">
        <f t="shared" si="55"/>
        <v>АСУЭ.SEPAM.mErMinus</v>
      </c>
      <c r="B546" s="514">
        <v>7998</v>
      </c>
      <c r="C546" s="514" t="s">
        <v>6</v>
      </c>
      <c r="D546" s="290">
        <v>1</v>
      </c>
    </row>
    <row r="547" spans="1:4" ht="15" customHeight="1">
      <c r="A547" s="288" t="str">
        <f t="shared" si="55"/>
        <v>АСУЭ.SEPAM.mErMinus</v>
      </c>
      <c r="B547" s="514">
        <v>101</v>
      </c>
      <c r="C547" s="514" t="s">
        <v>0</v>
      </c>
      <c r="D547" s="290" t="s">
        <v>349</v>
      </c>
    </row>
    <row r="548" spans="1:4" ht="15" customHeight="1">
      <c r="A548" s="288" t="str">
        <f t="shared" si="55"/>
        <v>АСУЭ.SEPAM.mErMinus</v>
      </c>
      <c r="B548" s="514">
        <v>3</v>
      </c>
      <c r="C548" s="514" t="s">
        <v>1</v>
      </c>
      <c r="D548" s="290">
        <v>192</v>
      </c>
    </row>
    <row r="549" spans="1:4" ht="15" customHeight="1">
      <c r="A549" s="288" t="str">
        <f t="shared" si="55"/>
        <v>АСУЭ.SEPAM.mErMinus</v>
      </c>
      <c r="B549" s="514">
        <v>2</v>
      </c>
      <c r="C549" s="514" t="s">
        <v>6</v>
      </c>
      <c r="D549" s="290">
        <v>0</v>
      </c>
    </row>
    <row r="550" spans="1:4" ht="15" customHeight="1">
      <c r="A550" s="291" t="str">
        <f t="shared" si="55"/>
        <v>АСУЭ.SEPAM.mErMinus</v>
      </c>
      <c r="B550" s="292">
        <v>1</v>
      </c>
      <c r="C550" s="292" t="s">
        <v>1</v>
      </c>
      <c r="D550" s="293">
        <v>3</v>
      </c>
    </row>
    <row r="551" spans="1:4" ht="15" customHeight="1">
      <c r="A551" s="294" t="str">
        <f t="shared" ref="A551:A556" si="56">$R$2&amp;".mErPlus"</f>
        <v>АСУЭ.SEPAM.mErPlus</v>
      </c>
      <c r="B551" s="295">
        <v>7999</v>
      </c>
      <c r="C551" s="295" t="s">
        <v>0</v>
      </c>
      <c r="D551" s="296" t="str">
        <f>"#"&amp;$S$2&amp;"#"&amp;$T$2&amp;"."&amp;$P$2&amp;".Er+"</f>
        <v>#3#\\Setup_rza\Modbus.OPCServer\ZRU_Sepam.VV1_Sepam_S82.Er+</v>
      </c>
    </row>
    <row r="552" spans="1:4" ht="15" customHeight="1">
      <c r="A552" s="288" t="str">
        <f t="shared" si="56"/>
        <v>АСУЭ.SEPAM.mErPlus</v>
      </c>
      <c r="B552" s="514">
        <v>7998</v>
      </c>
      <c r="C552" s="514" t="s">
        <v>6</v>
      </c>
      <c r="D552" s="290">
        <v>1</v>
      </c>
    </row>
    <row r="553" spans="1:4" ht="15" customHeight="1">
      <c r="A553" s="288" t="str">
        <f t="shared" si="56"/>
        <v>АСУЭ.SEPAM.mErPlus</v>
      </c>
      <c r="B553" s="514">
        <v>101</v>
      </c>
      <c r="C553" s="514" t="s">
        <v>0</v>
      </c>
      <c r="D553" s="290" t="s">
        <v>348</v>
      </c>
    </row>
    <row r="554" spans="1:4" ht="15" customHeight="1">
      <c r="A554" s="288" t="str">
        <f t="shared" si="56"/>
        <v>АСУЭ.SEPAM.mErPlus</v>
      </c>
      <c r="B554" s="514">
        <v>3</v>
      </c>
      <c r="C554" s="514" t="s">
        <v>1</v>
      </c>
      <c r="D554" s="290">
        <v>192</v>
      </c>
    </row>
    <row r="555" spans="1:4" ht="15" customHeight="1">
      <c r="A555" s="288" t="str">
        <f t="shared" si="56"/>
        <v>АСУЭ.SEPAM.mErPlus</v>
      </c>
      <c r="B555" s="514">
        <v>2</v>
      </c>
      <c r="C555" s="514" t="s">
        <v>6</v>
      </c>
      <c r="D555" s="290">
        <v>0</v>
      </c>
    </row>
    <row r="556" spans="1:4" ht="15" customHeight="1">
      <c r="A556" s="291" t="str">
        <f t="shared" si="56"/>
        <v>АСУЭ.SEPAM.mErPlus</v>
      </c>
      <c r="B556" s="292">
        <v>1</v>
      </c>
      <c r="C556" s="292" t="s">
        <v>1</v>
      </c>
      <c r="D556" s="293">
        <v>3</v>
      </c>
    </row>
    <row r="557" spans="1:4" ht="15" customHeight="1">
      <c r="A557" s="294" t="str">
        <f>$R$2&amp;".smCntSumOff"</f>
        <v>АСУЭ.SEPAM.smCntSumOff</v>
      </c>
      <c r="B557" s="295">
        <v>3000000</v>
      </c>
      <c r="C557" s="295" t="s">
        <v>0</v>
      </c>
      <c r="D557" s="296" t="s">
        <v>350</v>
      </c>
    </row>
    <row r="558" spans="1:4" ht="15" customHeight="1">
      <c r="A558" s="288" t="str">
        <f>$R$2&amp;".smCntSumOff"</f>
        <v>АСУЭ.SEPAM.smCntSumOff</v>
      </c>
      <c r="B558" s="514">
        <v>101</v>
      </c>
      <c r="C558" s="514" t="s">
        <v>0</v>
      </c>
      <c r="D558" s="290" t="s">
        <v>351</v>
      </c>
    </row>
    <row r="559" spans="1:4" ht="15" customHeight="1">
      <c r="A559" s="288" t="str">
        <f>$R$2&amp;".smCntSumOff"</f>
        <v>АСУЭ.SEPAM.smCntSumOff</v>
      </c>
      <c r="B559" s="514">
        <v>3</v>
      </c>
      <c r="C559" s="514" t="s">
        <v>1</v>
      </c>
      <c r="D559" s="290">
        <v>192</v>
      </c>
    </row>
    <row r="560" spans="1:4" ht="15" customHeight="1">
      <c r="A560" s="288" t="str">
        <f>$R$2&amp;".smCntSumOff"</f>
        <v>АСУЭ.SEPAM.smCntSumOff</v>
      </c>
      <c r="B560" s="514">
        <v>2</v>
      </c>
      <c r="C560" s="514" t="s">
        <v>6</v>
      </c>
      <c r="D560" s="290">
        <v>0</v>
      </c>
    </row>
    <row r="561" spans="1:4" ht="15" customHeight="1">
      <c r="A561" s="291" t="str">
        <f>$R$2&amp;".smCntSumOff"</f>
        <v>АСУЭ.SEPAM.smCntSumOff</v>
      </c>
      <c r="B561" s="292">
        <v>1</v>
      </c>
      <c r="C561" s="292" t="s">
        <v>1</v>
      </c>
      <c r="D561" s="293">
        <v>3</v>
      </c>
    </row>
    <row r="562" spans="1:4" ht="15" customHeight="1">
      <c r="A562" s="288" t="str">
        <f>$R$2&amp;".smCntSumOffI"</f>
        <v>АСУЭ.SEPAM.smCntSumOffI</v>
      </c>
      <c r="B562" s="514">
        <v>3000000</v>
      </c>
      <c r="C562" s="514" t="s">
        <v>0</v>
      </c>
      <c r="D562" s="290" t="s">
        <v>352</v>
      </c>
    </row>
    <row r="563" spans="1:4" ht="15" customHeight="1">
      <c r="A563" s="288" t="str">
        <f>$R$2&amp;".smCntSumOffI"</f>
        <v>АСУЭ.SEPAM.smCntSumOffI</v>
      </c>
      <c r="B563" s="514">
        <v>101</v>
      </c>
      <c r="C563" s="514" t="s">
        <v>0</v>
      </c>
      <c r="D563" s="290" t="s">
        <v>353</v>
      </c>
    </row>
    <row r="564" spans="1:4" ht="15" customHeight="1">
      <c r="A564" s="288" t="str">
        <f>$R$2&amp;".smCntSumOffI"</f>
        <v>АСУЭ.SEPAM.smCntSumOffI</v>
      </c>
      <c r="B564" s="514">
        <v>3</v>
      </c>
      <c r="C564" s="514" t="s">
        <v>1</v>
      </c>
      <c r="D564" s="290">
        <v>192</v>
      </c>
    </row>
    <row r="565" spans="1:4" ht="15" customHeight="1">
      <c r="A565" s="288" t="str">
        <f>$R$2&amp;".smCntSumOffI"</f>
        <v>АСУЭ.SEPAM.smCntSumOffI</v>
      </c>
      <c r="B565" s="514">
        <v>2</v>
      </c>
      <c r="C565" s="514" t="s">
        <v>6</v>
      </c>
      <c r="D565" s="290">
        <v>0</v>
      </c>
    </row>
    <row r="566" spans="1:4" ht="15" customHeight="1">
      <c r="A566" s="291" t="str">
        <f>$R$2&amp;".smCntSumOffI"</f>
        <v>АСУЭ.SEPAM.smCntSumOffI</v>
      </c>
      <c r="B566" s="292">
        <v>1</v>
      </c>
      <c r="C566" s="292" t="s">
        <v>1</v>
      </c>
      <c r="D566" s="293">
        <v>3</v>
      </c>
    </row>
    <row r="567" spans="1:4" ht="15" customHeight="1">
      <c r="A567" s="288" t="str">
        <f>$R$2&amp;".smCntSumOffIKZ"</f>
        <v>АСУЭ.SEPAM.smCntSumOffIKZ</v>
      </c>
      <c r="B567" s="514">
        <v>3000000</v>
      </c>
      <c r="C567" s="514" t="s">
        <v>0</v>
      </c>
      <c r="D567" s="290" t="s">
        <v>1520</v>
      </c>
    </row>
    <row r="568" spans="1:4" ht="15" customHeight="1">
      <c r="A568" s="288" t="str">
        <f>$R$2&amp;".smCntSumOffIKZ"</f>
        <v>АСУЭ.SEPAM.smCntSumOffIKZ</v>
      </c>
      <c r="B568" s="514">
        <v>101</v>
      </c>
      <c r="C568" s="514" t="s">
        <v>0</v>
      </c>
      <c r="D568" s="290" t="s">
        <v>354</v>
      </c>
    </row>
    <row r="569" spans="1:4" ht="15" customHeight="1">
      <c r="A569" s="288" t="str">
        <f>$R$2&amp;".smCntSumOffIKZ"</f>
        <v>АСУЭ.SEPAM.smCntSumOffIKZ</v>
      </c>
      <c r="B569" s="514">
        <v>3</v>
      </c>
      <c r="C569" s="514" t="s">
        <v>1</v>
      </c>
      <c r="D569" s="290">
        <v>192</v>
      </c>
    </row>
    <row r="570" spans="1:4" ht="15" customHeight="1">
      <c r="A570" s="288" t="str">
        <f>$R$2&amp;".smCntSumOffIKZ"</f>
        <v>АСУЭ.SEPAM.smCntSumOffIKZ</v>
      </c>
      <c r="B570" s="514">
        <v>2</v>
      </c>
      <c r="C570" s="514" t="s">
        <v>6</v>
      </c>
      <c r="D570" s="290">
        <v>0</v>
      </c>
    </row>
    <row r="571" spans="1:4" ht="15" customHeight="1">
      <c r="A571" s="291" t="str">
        <f>$R$2&amp;".smCntSumOffIKZ"</f>
        <v>АСУЭ.SEPAM.smCntSumOffIKZ</v>
      </c>
      <c r="B571" s="292">
        <v>1</v>
      </c>
      <c r="C571" s="292" t="s">
        <v>1</v>
      </c>
      <c r="D571" s="293">
        <v>3</v>
      </c>
    </row>
    <row r="572" spans="1:4" ht="15" customHeight="1">
      <c r="A572" s="275" t="str">
        <f t="shared" ref="A572:A577" si="57">$R$2&amp;".mCosPhi"</f>
        <v>АСУЭ.SEPAM.mCosPhi</v>
      </c>
      <c r="B572" s="276">
        <v>7999</v>
      </c>
      <c r="C572" s="276" t="s">
        <v>0</v>
      </c>
      <c r="D572" s="277" t="str">
        <f>"#"&amp;$S$2&amp;"#"&amp;$T$2&amp;"."&amp;$P$2&amp;".CosF"</f>
        <v>#3#\\Setup_rza\Modbus.OPCServer\ZRU_Sepam.VV1_Sepam_S82.CosF</v>
      </c>
    </row>
    <row r="573" spans="1:4" ht="15" customHeight="1">
      <c r="A573" s="278" t="str">
        <f t="shared" si="57"/>
        <v>АСУЭ.SEPAM.mCosPhi</v>
      </c>
      <c r="B573" s="688">
        <v>7998</v>
      </c>
      <c r="C573" s="688" t="s">
        <v>6</v>
      </c>
      <c r="D573" s="280">
        <v>1</v>
      </c>
    </row>
    <row r="574" spans="1:4" ht="15" customHeight="1">
      <c r="A574" s="278" t="str">
        <f t="shared" si="57"/>
        <v>АСУЭ.SEPAM.mCosPhi</v>
      </c>
      <c r="B574" s="688">
        <v>101</v>
      </c>
      <c r="C574" s="688" t="s">
        <v>0</v>
      </c>
      <c r="D574" s="280" t="s">
        <v>355</v>
      </c>
    </row>
    <row r="575" spans="1:4" ht="15" customHeight="1">
      <c r="A575" s="278" t="str">
        <f t="shared" si="57"/>
        <v>АСУЭ.SEPAM.mCosPhi</v>
      </c>
      <c r="B575" s="688">
        <v>3</v>
      </c>
      <c r="C575" s="688" t="s">
        <v>1</v>
      </c>
      <c r="D575" s="280">
        <v>192</v>
      </c>
    </row>
    <row r="576" spans="1:4" ht="15" customHeight="1">
      <c r="A576" s="278" t="str">
        <f t="shared" si="57"/>
        <v>АСУЭ.SEPAM.mCosPhi</v>
      </c>
      <c r="B576" s="688">
        <v>2</v>
      </c>
      <c r="C576" s="688" t="s">
        <v>80</v>
      </c>
      <c r="D576" s="280">
        <v>0</v>
      </c>
    </row>
    <row r="577" spans="1:4" ht="15" customHeight="1">
      <c r="A577" s="281" t="str">
        <f t="shared" si="57"/>
        <v>АСУЭ.SEPAM.mCosPhi</v>
      </c>
      <c r="B577" s="282">
        <v>1</v>
      </c>
      <c r="C577" s="282" t="s">
        <v>1</v>
      </c>
      <c r="D577" s="283">
        <v>4</v>
      </c>
    </row>
    <row r="578" spans="1:4" ht="15" customHeight="1">
      <c r="A578" s="275" t="str">
        <f t="shared" ref="A578:A583" si="58">$R$2&amp;".mFreq"</f>
        <v>АСУЭ.SEPAM.mFreq</v>
      </c>
      <c r="B578" s="276">
        <v>7999</v>
      </c>
      <c r="C578" s="276" t="s">
        <v>0</v>
      </c>
      <c r="D578" s="277" t="str">
        <f>"#"&amp;$S$2&amp;"#"&amp;$T$2&amp;"."&amp;$P$2&amp;".Freq"</f>
        <v>#3#\\Setup_rza\Modbus.OPCServer\ZRU_Sepam.VV1_Sepam_S82.Freq</v>
      </c>
    </row>
    <row r="579" spans="1:4" ht="15" customHeight="1">
      <c r="A579" s="278" t="str">
        <f t="shared" si="58"/>
        <v>АСУЭ.SEPAM.mFreq</v>
      </c>
      <c r="B579" s="688">
        <v>7998</v>
      </c>
      <c r="C579" s="688" t="s">
        <v>6</v>
      </c>
      <c r="D579" s="280">
        <v>1</v>
      </c>
    </row>
    <row r="580" spans="1:4" ht="15" customHeight="1">
      <c r="A580" s="278" t="str">
        <f t="shared" si="58"/>
        <v>АСУЭ.SEPAM.mFreq</v>
      </c>
      <c r="B580" s="688">
        <v>101</v>
      </c>
      <c r="C580" s="688" t="s">
        <v>0</v>
      </c>
      <c r="D580" s="280" t="s">
        <v>356</v>
      </c>
    </row>
    <row r="581" spans="1:4" ht="15" customHeight="1">
      <c r="A581" s="278" t="str">
        <f t="shared" si="58"/>
        <v>АСУЭ.SEPAM.mFreq</v>
      </c>
      <c r="B581" s="688">
        <v>3</v>
      </c>
      <c r="C581" s="688" t="s">
        <v>1</v>
      </c>
      <c r="D581" s="280">
        <v>192</v>
      </c>
    </row>
    <row r="582" spans="1:4" ht="15" customHeight="1">
      <c r="A582" s="278" t="str">
        <f t="shared" si="58"/>
        <v>АСУЭ.SEPAM.mFreq</v>
      </c>
      <c r="B582" s="688">
        <v>2</v>
      </c>
      <c r="C582" s="688" t="s">
        <v>80</v>
      </c>
      <c r="D582" s="280">
        <v>0</v>
      </c>
    </row>
    <row r="583" spans="1:4" ht="15" customHeight="1">
      <c r="A583" s="281" t="str">
        <f t="shared" si="58"/>
        <v>АСУЭ.SEPAM.mFreq</v>
      </c>
      <c r="B583" s="282">
        <v>1</v>
      </c>
      <c r="C583" s="282" t="s">
        <v>1</v>
      </c>
      <c r="D583" s="283">
        <v>4</v>
      </c>
    </row>
    <row r="584" spans="1:4" ht="15" customHeight="1">
      <c r="A584" s="275" t="str">
        <f t="shared" ref="A584:A589" si="59">$R$2&amp;".mI0"</f>
        <v>АСУЭ.SEPAM.mI0</v>
      </c>
      <c r="B584" s="276">
        <v>7999</v>
      </c>
      <c r="C584" s="276" t="s">
        <v>0</v>
      </c>
      <c r="D584" s="277" t="str">
        <f>"#"&amp;$S$2&amp;"#"&amp;$T$2&amp;"."&amp;$P$2&amp;".I0"</f>
        <v>#3#\\Setup_rza\Modbus.OPCServer\ZRU_Sepam.VV1_Sepam_S82.I0</v>
      </c>
    </row>
    <row r="585" spans="1:4" ht="15" customHeight="1">
      <c r="A585" s="278" t="str">
        <f t="shared" si="59"/>
        <v>АСУЭ.SEPAM.mI0</v>
      </c>
      <c r="B585" s="688">
        <v>7998</v>
      </c>
      <c r="C585" s="688" t="s">
        <v>6</v>
      </c>
      <c r="D585" s="280">
        <v>1</v>
      </c>
    </row>
    <row r="586" spans="1:4" ht="15" customHeight="1">
      <c r="A586" s="278" t="str">
        <f t="shared" si="59"/>
        <v>АСУЭ.SEPAM.mI0</v>
      </c>
      <c r="B586" s="688">
        <v>101</v>
      </c>
      <c r="C586" s="688" t="s">
        <v>0</v>
      </c>
      <c r="D586" s="280" t="s">
        <v>357</v>
      </c>
    </row>
    <row r="587" spans="1:4" ht="15" customHeight="1">
      <c r="A587" s="278" t="str">
        <f t="shared" si="59"/>
        <v>АСУЭ.SEPAM.mI0</v>
      </c>
      <c r="B587" s="688">
        <v>3</v>
      </c>
      <c r="C587" s="688" t="s">
        <v>1</v>
      </c>
      <c r="D587" s="280">
        <v>192</v>
      </c>
    </row>
    <row r="588" spans="1:4" ht="15" customHeight="1">
      <c r="A588" s="278" t="str">
        <f t="shared" si="59"/>
        <v>АСУЭ.SEPAM.mI0</v>
      </c>
      <c r="B588" s="688">
        <v>2</v>
      </c>
      <c r="C588" s="688" t="s">
        <v>80</v>
      </c>
      <c r="D588" s="280">
        <v>0</v>
      </c>
    </row>
    <row r="589" spans="1:4" ht="15" customHeight="1">
      <c r="A589" s="281" t="str">
        <f t="shared" si="59"/>
        <v>АСУЭ.SEPAM.mI0</v>
      </c>
      <c r="B589" s="282">
        <v>1</v>
      </c>
      <c r="C589" s="282" t="s">
        <v>1</v>
      </c>
      <c r="D589" s="283">
        <v>4</v>
      </c>
    </row>
    <row r="590" spans="1:4" ht="15" customHeight="1">
      <c r="A590" s="275" t="str">
        <f t="shared" ref="A590:A595" si="60">$R$2&amp;".mIm1"</f>
        <v>АСУЭ.SEPAM.mIm1</v>
      </c>
      <c r="B590" s="276">
        <v>7999</v>
      </c>
      <c r="C590" s="276" t="s">
        <v>0</v>
      </c>
      <c r="D590" s="277" t="str">
        <f>"#"&amp;$S$2&amp;"#"&amp;$T$2&amp;"."&amp;$P$2&amp;".Im1"</f>
        <v>#3#\\Setup_rza\Modbus.OPCServer\ZRU_Sepam.VV1_Sepam_S82.Im1</v>
      </c>
    </row>
    <row r="591" spans="1:4" ht="15" customHeight="1">
      <c r="A591" s="278" t="str">
        <f t="shared" si="60"/>
        <v>АСУЭ.SEPAM.mIm1</v>
      </c>
      <c r="B591" s="688">
        <v>7998</v>
      </c>
      <c r="C591" s="688" t="s">
        <v>6</v>
      </c>
      <c r="D591" s="280">
        <v>1</v>
      </c>
    </row>
    <row r="592" spans="1:4" ht="15" customHeight="1">
      <c r="A592" s="278" t="str">
        <f t="shared" si="60"/>
        <v>АСУЭ.SEPAM.mIm1</v>
      </c>
      <c r="B592" s="688">
        <v>101</v>
      </c>
      <c r="C592" s="688" t="s">
        <v>0</v>
      </c>
      <c r="D592" s="280" t="s">
        <v>358</v>
      </c>
    </row>
    <row r="593" spans="1:4" ht="15" customHeight="1">
      <c r="A593" s="278" t="str">
        <f t="shared" si="60"/>
        <v>АСУЭ.SEPAM.mIm1</v>
      </c>
      <c r="B593" s="688">
        <v>3</v>
      </c>
      <c r="C593" s="688" t="s">
        <v>1</v>
      </c>
      <c r="D593" s="280">
        <v>192</v>
      </c>
    </row>
    <row r="594" spans="1:4" ht="15" customHeight="1">
      <c r="A594" s="278" t="str">
        <f t="shared" si="60"/>
        <v>АСУЭ.SEPAM.mIm1</v>
      </c>
      <c r="B594" s="688">
        <v>2</v>
      </c>
      <c r="C594" s="688" t="s">
        <v>80</v>
      </c>
      <c r="D594" s="280">
        <v>0</v>
      </c>
    </row>
    <row r="595" spans="1:4" ht="15" customHeight="1">
      <c r="A595" s="281" t="str">
        <f t="shared" si="60"/>
        <v>АСУЭ.SEPAM.mIm1</v>
      </c>
      <c r="B595" s="282">
        <v>1</v>
      </c>
      <c r="C595" s="282" t="s">
        <v>1</v>
      </c>
      <c r="D595" s="283">
        <v>4</v>
      </c>
    </row>
    <row r="596" spans="1:4" ht="15" customHeight="1">
      <c r="A596" s="275" t="str">
        <f t="shared" ref="A596:A601" si="61">$R$2&amp;".mIm2"</f>
        <v>АСУЭ.SEPAM.mIm2</v>
      </c>
      <c r="B596" s="276">
        <v>7999</v>
      </c>
      <c r="C596" s="276" t="s">
        <v>0</v>
      </c>
      <c r="D596" s="277" t="str">
        <f>"#"&amp;$S$2&amp;"#"&amp;$T$2&amp;"."&amp;$P$2&amp;".Im2"</f>
        <v>#3#\\Setup_rza\Modbus.OPCServer\ZRU_Sepam.VV1_Sepam_S82.Im2</v>
      </c>
    </row>
    <row r="597" spans="1:4" ht="15" customHeight="1">
      <c r="A597" s="278" t="str">
        <f t="shared" si="61"/>
        <v>АСУЭ.SEPAM.mIm2</v>
      </c>
      <c r="B597" s="688">
        <v>7998</v>
      </c>
      <c r="C597" s="688" t="s">
        <v>6</v>
      </c>
      <c r="D597" s="280">
        <v>1</v>
      </c>
    </row>
    <row r="598" spans="1:4" ht="15" customHeight="1">
      <c r="A598" s="278" t="str">
        <f t="shared" si="61"/>
        <v>АСУЭ.SEPAM.mIm2</v>
      </c>
      <c r="B598" s="688">
        <v>101</v>
      </c>
      <c r="C598" s="688" t="s">
        <v>0</v>
      </c>
      <c r="D598" s="280" t="s">
        <v>359</v>
      </c>
    </row>
    <row r="599" spans="1:4" ht="15" customHeight="1">
      <c r="A599" s="278" t="str">
        <f t="shared" si="61"/>
        <v>АСУЭ.SEPAM.mIm2</v>
      </c>
      <c r="B599" s="688">
        <v>3</v>
      </c>
      <c r="C599" s="688" t="s">
        <v>1</v>
      </c>
      <c r="D599" s="280">
        <v>192</v>
      </c>
    </row>
    <row r="600" spans="1:4" ht="15" customHeight="1">
      <c r="A600" s="278" t="str">
        <f t="shared" si="61"/>
        <v>АСУЭ.SEPAM.mIm2</v>
      </c>
      <c r="B600" s="688">
        <v>2</v>
      </c>
      <c r="C600" s="688" t="s">
        <v>80</v>
      </c>
      <c r="D600" s="280">
        <v>0</v>
      </c>
    </row>
    <row r="601" spans="1:4" ht="15" customHeight="1">
      <c r="A601" s="281" t="str">
        <f t="shared" si="61"/>
        <v>АСУЭ.SEPAM.mIm2</v>
      </c>
      <c r="B601" s="282">
        <v>1</v>
      </c>
      <c r="C601" s="282" t="s">
        <v>1</v>
      </c>
      <c r="D601" s="283">
        <v>4</v>
      </c>
    </row>
    <row r="602" spans="1:4" ht="15" customHeight="1">
      <c r="A602" s="275" t="str">
        <f t="shared" ref="A602:A607" si="62">$R$2&amp;".mIm3"</f>
        <v>АСУЭ.SEPAM.mIm3</v>
      </c>
      <c r="B602" s="276">
        <v>7999</v>
      </c>
      <c r="C602" s="276" t="s">
        <v>0</v>
      </c>
      <c r="D602" s="277" t="str">
        <f>"#"&amp;$S$2&amp;"#"&amp;$T$2&amp;"."&amp;$P$2&amp;".Im3"</f>
        <v>#3#\\Setup_rza\Modbus.OPCServer\ZRU_Sepam.VV1_Sepam_S82.Im3</v>
      </c>
    </row>
    <row r="603" spans="1:4" ht="15" customHeight="1">
      <c r="A603" s="278" t="str">
        <f t="shared" si="62"/>
        <v>АСУЭ.SEPAM.mIm3</v>
      </c>
      <c r="B603" s="688">
        <v>7998</v>
      </c>
      <c r="C603" s="688" t="s">
        <v>6</v>
      </c>
      <c r="D603" s="280">
        <v>1</v>
      </c>
    </row>
    <row r="604" spans="1:4" ht="15" customHeight="1">
      <c r="A604" s="278" t="str">
        <f t="shared" si="62"/>
        <v>АСУЭ.SEPAM.mIm3</v>
      </c>
      <c r="B604" s="688">
        <v>101</v>
      </c>
      <c r="C604" s="688" t="s">
        <v>0</v>
      </c>
      <c r="D604" s="280" t="s">
        <v>360</v>
      </c>
    </row>
    <row r="605" spans="1:4" ht="15" customHeight="1">
      <c r="A605" s="278" t="str">
        <f t="shared" si="62"/>
        <v>АСУЭ.SEPAM.mIm3</v>
      </c>
      <c r="B605" s="688">
        <v>3</v>
      </c>
      <c r="C605" s="688" t="s">
        <v>1</v>
      </c>
      <c r="D605" s="280">
        <v>192</v>
      </c>
    </row>
    <row r="606" spans="1:4" ht="15" customHeight="1">
      <c r="A606" s="278" t="str">
        <f t="shared" si="62"/>
        <v>АСУЭ.SEPAM.mIm3</v>
      </c>
      <c r="B606" s="688">
        <v>2</v>
      </c>
      <c r="C606" s="688" t="s">
        <v>80</v>
      </c>
      <c r="D606" s="280">
        <v>0</v>
      </c>
    </row>
    <row r="607" spans="1:4" ht="15" customHeight="1">
      <c r="A607" s="281" t="str">
        <f t="shared" si="62"/>
        <v>АСУЭ.SEPAM.mIm3</v>
      </c>
      <c r="B607" s="282">
        <v>1</v>
      </c>
      <c r="C607" s="282" t="s">
        <v>1</v>
      </c>
      <c r="D607" s="283">
        <v>4</v>
      </c>
    </row>
    <row r="608" spans="1:4" ht="15" customHeight="1">
      <c r="A608" s="275" t="str">
        <f t="shared" ref="A608:A613" si="63">$R$2&amp;".mI1"</f>
        <v>АСУЭ.SEPAM.mI1</v>
      </c>
      <c r="B608" s="276">
        <v>7999</v>
      </c>
      <c r="C608" s="276" t="s">
        <v>0</v>
      </c>
      <c r="D608" s="277" t="str">
        <f>"#"&amp;$S$2&amp;"#"&amp;$T$2&amp;"."&amp;$P$2&amp;".I1"</f>
        <v>#3#\\Setup_rza\Modbus.OPCServer\ZRU_Sepam.VV1_Sepam_S82.I1</v>
      </c>
    </row>
    <row r="609" spans="1:4" ht="15" customHeight="1">
      <c r="A609" s="278" t="str">
        <f t="shared" si="63"/>
        <v>АСУЭ.SEPAM.mI1</v>
      </c>
      <c r="B609" s="688">
        <v>7998</v>
      </c>
      <c r="C609" s="688" t="s">
        <v>6</v>
      </c>
      <c r="D609" s="280">
        <v>1</v>
      </c>
    </row>
    <row r="610" spans="1:4" ht="15" customHeight="1">
      <c r="A610" s="278" t="str">
        <f t="shared" si="63"/>
        <v>АСУЭ.SEPAM.mI1</v>
      </c>
      <c r="B610" s="688">
        <v>101</v>
      </c>
      <c r="C610" s="688" t="s">
        <v>0</v>
      </c>
      <c r="D610" s="280" t="s">
        <v>361</v>
      </c>
    </row>
    <row r="611" spans="1:4" ht="15" customHeight="1">
      <c r="A611" s="278" t="str">
        <f t="shared" si="63"/>
        <v>АСУЭ.SEPAM.mI1</v>
      </c>
      <c r="B611" s="688">
        <v>3</v>
      </c>
      <c r="C611" s="688" t="s">
        <v>1</v>
      </c>
      <c r="D611" s="280">
        <v>192</v>
      </c>
    </row>
    <row r="612" spans="1:4" ht="15" customHeight="1">
      <c r="A612" s="278" t="str">
        <f t="shared" si="63"/>
        <v>АСУЭ.SEPAM.mI1</v>
      </c>
      <c r="B612" s="688">
        <v>2</v>
      </c>
      <c r="C612" s="688" t="s">
        <v>80</v>
      </c>
      <c r="D612" s="280">
        <v>0</v>
      </c>
    </row>
    <row r="613" spans="1:4" ht="15" customHeight="1">
      <c r="A613" s="281" t="str">
        <f t="shared" si="63"/>
        <v>АСУЭ.SEPAM.mI1</v>
      </c>
      <c r="B613" s="282">
        <v>1</v>
      </c>
      <c r="C613" s="282" t="s">
        <v>1</v>
      </c>
      <c r="D613" s="283">
        <v>4</v>
      </c>
    </row>
    <row r="614" spans="1:4" ht="15" customHeight="1">
      <c r="A614" s="275" t="str">
        <f t="shared" ref="A614:A619" si="64">$R$2&amp;".mI2"</f>
        <v>АСУЭ.SEPAM.mI2</v>
      </c>
      <c r="B614" s="276">
        <v>7999</v>
      </c>
      <c r="C614" s="276" t="s">
        <v>0</v>
      </c>
      <c r="D614" s="277" t="str">
        <f>"#"&amp;$S$2&amp;"#"&amp;$T$2&amp;"."&amp;$P$2&amp;".I2"</f>
        <v>#3#\\Setup_rza\Modbus.OPCServer\ZRU_Sepam.VV1_Sepam_S82.I2</v>
      </c>
    </row>
    <row r="615" spans="1:4" ht="15" customHeight="1">
      <c r="A615" s="278" t="str">
        <f t="shared" si="64"/>
        <v>АСУЭ.SEPAM.mI2</v>
      </c>
      <c r="B615" s="688">
        <v>7998</v>
      </c>
      <c r="C615" s="688" t="s">
        <v>6</v>
      </c>
      <c r="D615" s="280">
        <v>1</v>
      </c>
    </row>
    <row r="616" spans="1:4" ht="15" customHeight="1">
      <c r="A616" s="278" t="str">
        <f t="shared" si="64"/>
        <v>АСУЭ.SEPAM.mI2</v>
      </c>
      <c r="B616" s="688">
        <v>101</v>
      </c>
      <c r="C616" s="688" t="s">
        <v>0</v>
      </c>
      <c r="D616" s="280" t="s">
        <v>362</v>
      </c>
    </row>
    <row r="617" spans="1:4" ht="15" customHeight="1">
      <c r="A617" s="278" t="str">
        <f t="shared" si="64"/>
        <v>АСУЭ.SEPAM.mI2</v>
      </c>
      <c r="B617" s="688">
        <v>3</v>
      </c>
      <c r="C617" s="688" t="s">
        <v>1</v>
      </c>
      <c r="D617" s="280">
        <v>192</v>
      </c>
    </row>
    <row r="618" spans="1:4" ht="15" customHeight="1">
      <c r="A618" s="278" t="str">
        <f t="shared" si="64"/>
        <v>АСУЭ.SEPAM.mI2</v>
      </c>
      <c r="B618" s="688">
        <v>2</v>
      </c>
      <c r="C618" s="688" t="s">
        <v>80</v>
      </c>
      <c r="D618" s="280">
        <v>0</v>
      </c>
    </row>
    <row r="619" spans="1:4" ht="15" customHeight="1">
      <c r="A619" s="281" t="str">
        <f t="shared" si="64"/>
        <v>АСУЭ.SEPAM.mI2</v>
      </c>
      <c r="B619" s="282">
        <v>1</v>
      </c>
      <c r="C619" s="282" t="s">
        <v>1</v>
      </c>
      <c r="D619" s="283">
        <v>4</v>
      </c>
    </row>
    <row r="620" spans="1:4" ht="15" customHeight="1">
      <c r="A620" s="275" t="str">
        <f t="shared" ref="A620:A625" si="65">$R$2&amp;".mI3"</f>
        <v>АСУЭ.SEPAM.mI3</v>
      </c>
      <c r="B620" s="276">
        <v>7999</v>
      </c>
      <c r="C620" s="276" t="s">
        <v>0</v>
      </c>
      <c r="D620" s="277" t="str">
        <f>"#"&amp;$S$2&amp;"#"&amp;$T$2&amp;"."&amp;$P$2&amp;".I3"</f>
        <v>#3#\\Setup_rza\Modbus.OPCServer\ZRU_Sepam.VV1_Sepam_S82.I3</v>
      </c>
    </row>
    <row r="621" spans="1:4" ht="15" customHeight="1">
      <c r="A621" s="278" t="str">
        <f t="shared" si="65"/>
        <v>АСУЭ.SEPAM.mI3</v>
      </c>
      <c r="B621" s="688">
        <v>7998</v>
      </c>
      <c r="C621" s="688" t="s">
        <v>6</v>
      </c>
      <c r="D621" s="280">
        <v>1</v>
      </c>
    </row>
    <row r="622" spans="1:4" ht="15" customHeight="1">
      <c r="A622" s="278" t="str">
        <f t="shared" si="65"/>
        <v>АСУЭ.SEPAM.mI3</v>
      </c>
      <c r="B622" s="688">
        <v>101</v>
      </c>
      <c r="C622" s="688" t="s">
        <v>0</v>
      </c>
      <c r="D622" s="280" t="s">
        <v>363</v>
      </c>
    </row>
    <row r="623" spans="1:4" ht="15" customHeight="1">
      <c r="A623" s="278" t="str">
        <f t="shared" si="65"/>
        <v>АСУЭ.SEPAM.mI3</v>
      </c>
      <c r="B623" s="688">
        <v>3</v>
      </c>
      <c r="C623" s="688" t="s">
        <v>1</v>
      </c>
      <c r="D623" s="280">
        <v>192</v>
      </c>
    </row>
    <row r="624" spans="1:4" ht="15" customHeight="1">
      <c r="A624" s="278" t="str">
        <f t="shared" si="65"/>
        <v>АСУЭ.SEPAM.mI3</v>
      </c>
      <c r="B624" s="688">
        <v>2</v>
      </c>
      <c r="C624" s="688" t="s">
        <v>80</v>
      </c>
      <c r="D624" s="280">
        <v>0</v>
      </c>
    </row>
    <row r="625" spans="1:4" ht="15" customHeight="1">
      <c r="A625" s="281" t="str">
        <f t="shared" si="65"/>
        <v>АСУЭ.SEPAM.mI3</v>
      </c>
      <c r="B625" s="282">
        <v>1</v>
      </c>
      <c r="C625" s="282" t="s">
        <v>1</v>
      </c>
      <c r="D625" s="283">
        <v>4</v>
      </c>
    </row>
    <row r="626" spans="1:4" ht="15" customHeight="1">
      <c r="A626" s="275" t="str">
        <f t="shared" ref="A626:A631" si="66">$R$2&amp;".mItrip1"</f>
        <v>АСУЭ.SEPAM.mItrip1</v>
      </c>
      <c r="B626" s="276">
        <v>7999</v>
      </c>
      <c r="C626" s="276" t="s">
        <v>0</v>
      </c>
      <c r="D626" s="277" t="str">
        <f>"#"&amp;$S$2&amp;"#"&amp;$T$2&amp;"."&amp;$P$2&amp;".Itrip1"</f>
        <v>#3#\\Setup_rza\Modbus.OPCServer\ZRU_Sepam.VV1_Sepam_S82.Itrip1</v>
      </c>
    </row>
    <row r="627" spans="1:4" ht="15" customHeight="1">
      <c r="A627" s="278" t="str">
        <f t="shared" si="66"/>
        <v>АСУЭ.SEPAM.mItrip1</v>
      </c>
      <c r="B627" s="688">
        <v>7998</v>
      </c>
      <c r="C627" s="688" t="s">
        <v>6</v>
      </c>
      <c r="D627" s="280">
        <v>1</v>
      </c>
    </row>
    <row r="628" spans="1:4" ht="15" customHeight="1">
      <c r="A628" s="278" t="str">
        <f t="shared" si="66"/>
        <v>АСУЭ.SEPAM.mItrip1</v>
      </c>
      <c r="B628" s="688">
        <v>101</v>
      </c>
      <c r="C628" s="688" t="s">
        <v>0</v>
      </c>
      <c r="D628" s="280" t="s">
        <v>364</v>
      </c>
    </row>
    <row r="629" spans="1:4" ht="15" customHeight="1">
      <c r="A629" s="278" t="str">
        <f t="shared" si="66"/>
        <v>АСУЭ.SEPAM.mItrip1</v>
      </c>
      <c r="B629" s="688">
        <v>3</v>
      </c>
      <c r="C629" s="688" t="s">
        <v>1</v>
      </c>
      <c r="D629" s="280">
        <v>192</v>
      </c>
    </row>
    <row r="630" spans="1:4" ht="15" customHeight="1">
      <c r="A630" s="278" t="str">
        <f t="shared" si="66"/>
        <v>АСУЭ.SEPAM.mItrip1</v>
      </c>
      <c r="B630" s="688">
        <v>2</v>
      </c>
      <c r="C630" s="688" t="s">
        <v>80</v>
      </c>
      <c r="D630" s="280">
        <v>0</v>
      </c>
    </row>
    <row r="631" spans="1:4" ht="15" customHeight="1">
      <c r="A631" s="281" t="str">
        <f t="shared" si="66"/>
        <v>АСУЭ.SEPAM.mItrip1</v>
      </c>
      <c r="B631" s="282">
        <v>1</v>
      </c>
      <c r="C631" s="282" t="s">
        <v>1</v>
      </c>
      <c r="D631" s="283">
        <v>4</v>
      </c>
    </row>
    <row r="632" spans="1:4" ht="15" customHeight="1">
      <c r="A632" s="275" t="str">
        <f t="shared" ref="A632:A637" si="67">$R$2&amp;".mItrip2"</f>
        <v>АСУЭ.SEPAM.mItrip2</v>
      </c>
      <c r="B632" s="276">
        <v>7999</v>
      </c>
      <c r="C632" s="276" t="s">
        <v>0</v>
      </c>
      <c r="D632" s="277" t="str">
        <f>"#"&amp;$S$2&amp;"#"&amp;$T$2&amp;"."&amp;$P$2&amp;".Itrip2"</f>
        <v>#3#\\Setup_rza\Modbus.OPCServer\ZRU_Sepam.VV1_Sepam_S82.Itrip2</v>
      </c>
    </row>
    <row r="633" spans="1:4" ht="15" customHeight="1">
      <c r="A633" s="278" t="str">
        <f t="shared" si="67"/>
        <v>АСУЭ.SEPAM.mItrip2</v>
      </c>
      <c r="B633" s="688">
        <v>7998</v>
      </c>
      <c r="C633" s="688" t="s">
        <v>6</v>
      </c>
      <c r="D633" s="280">
        <v>1</v>
      </c>
    </row>
    <row r="634" spans="1:4" ht="15" customHeight="1">
      <c r="A634" s="278" t="str">
        <f t="shared" si="67"/>
        <v>АСУЭ.SEPAM.mItrip2</v>
      </c>
      <c r="B634" s="688">
        <v>101</v>
      </c>
      <c r="C634" s="688" t="s">
        <v>0</v>
      </c>
      <c r="D634" s="280" t="s">
        <v>365</v>
      </c>
    </row>
    <row r="635" spans="1:4" ht="15" customHeight="1">
      <c r="A635" s="278" t="str">
        <f t="shared" si="67"/>
        <v>АСУЭ.SEPAM.mItrip2</v>
      </c>
      <c r="B635" s="688">
        <v>3</v>
      </c>
      <c r="C635" s="688" t="s">
        <v>1</v>
      </c>
      <c r="D635" s="280">
        <v>192</v>
      </c>
    </row>
    <row r="636" spans="1:4" ht="15" customHeight="1">
      <c r="A636" s="278" t="str">
        <f t="shared" si="67"/>
        <v>АСУЭ.SEPAM.mItrip2</v>
      </c>
      <c r="B636" s="688">
        <v>2</v>
      </c>
      <c r="C636" s="688" t="s">
        <v>80</v>
      </c>
      <c r="D636" s="280">
        <v>0</v>
      </c>
    </row>
    <row r="637" spans="1:4" ht="15" customHeight="1">
      <c r="A637" s="281" t="str">
        <f t="shared" si="67"/>
        <v>АСУЭ.SEPAM.mItrip2</v>
      </c>
      <c r="B637" s="282">
        <v>1</v>
      </c>
      <c r="C637" s="282" t="s">
        <v>1</v>
      </c>
      <c r="D637" s="283">
        <v>4</v>
      </c>
    </row>
    <row r="638" spans="1:4" ht="15" customHeight="1">
      <c r="A638" s="275" t="str">
        <f t="shared" ref="A638:A643" si="68">$R$2&amp;".mItrip3"</f>
        <v>АСУЭ.SEPAM.mItrip3</v>
      </c>
      <c r="B638" s="276">
        <v>7999</v>
      </c>
      <c r="C638" s="276" t="s">
        <v>0</v>
      </c>
      <c r="D638" s="277" t="str">
        <f>"#"&amp;$S$2&amp;"#"&amp;$T$2&amp;"."&amp;$P$2&amp;".Itrip3"</f>
        <v>#3#\\Setup_rza\Modbus.OPCServer\ZRU_Sepam.VV1_Sepam_S82.Itrip3</v>
      </c>
    </row>
    <row r="639" spans="1:4" ht="15" customHeight="1">
      <c r="A639" s="278" t="str">
        <f t="shared" si="68"/>
        <v>АСУЭ.SEPAM.mItrip3</v>
      </c>
      <c r="B639" s="688">
        <v>7998</v>
      </c>
      <c r="C639" s="688" t="s">
        <v>6</v>
      </c>
      <c r="D639" s="280">
        <v>1</v>
      </c>
    </row>
    <row r="640" spans="1:4" ht="15" customHeight="1">
      <c r="A640" s="278" t="str">
        <f t="shared" si="68"/>
        <v>АСУЭ.SEPAM.mItrip3</v>
      </c>
      <c r="B640" s="688">
        <v>101</v>
      </c>
      <c r="C640" s="688" t="s">
        <v>0</v>
      </c>
      <c r="D640" s="280" t="s">
        <v>366</v>
      </c>
    </row>
    <row r="641" spans="1:4" ht="15" customHeight="1">
      <c r="A641" s="278" t="str">
        <f t="shared" si="68"/>
        <v>АСУЭ.SEPAM.mItrip3</v>
      </c>
      <c r="B641" s="688">
        <v>3</v>
      </c>
      <c r="C641" s="688" t="s">
        <v>1</v>
      </c>
      <c r="D641" s="280">
        <v>192</v>
      </c>
    </row>
    <row r="642" spans="1:4" ht="15" customHeight="1">
      <c r="A642" s="278" t="str">
        <f t="shared" si="68"/>
        <v>АСУЭ.SEPAM.mItrip3</v>
      </c>
      <c r="B642" s="688">
        <v>2</v>
      </c>
      <c r="C642" s="688" t="s">
        <v>80</v>
      </c>
      <c r="D642" s="280">
        <v>0</v>
      </c>
    </row>
    <row r="643" spans="1:4" ht="15" customHeight="1">
      <c r="A643" s="281" t="str">
        <f t="shared" si="68"/>
        <v>АСУЭ.SEPAM.mItrip3</v>
      </c>
      <c r="B643" s="282">
        <v>1</v>
      </c>
      <c r="C643" s="282" t="s">
        <v>1</v>
      </c>
      <c r="D643" s="283">
        <v>4</v>
      </c>
    </row>
    <row r="644" spans="1:4" ht="15" customHeight="1">
      <c r="A644" s="275" t="str">
        <f t="shared" ref="A644:A649" si="69">$R$2&amp;".mMaxI1"</f>
        <v>АСУЭ.SEPAM.mMaxI1</v>
      </c>
      <c r="B644" s="276">
        <v>7999</v>
      </c>
      <c r="C644" s="276" t="s">
        <v>0</v>
      </c>
      <c r="D644" s="277" t="str">
        <f>"#"&amp;$S$2&amp;"#"&amp;$T$2&amp;"."&amp;$P$2&amp;".MaxI1"</f>
        <v>#3#\\Setup_rza\Modbus.OPCServer\ZRU_Sepam.VV1_Sepam_S82.MaxI1</v>
      </c>
    </row>
    <row r="645" spans="1:4" ht="15" customHeight="1">
      <c r="A645" s="278" t="str">
        <f t="shared" si="69"/>
        <v>АСУЭ.SEPAM.mMaxI1</v>
      </c>
      <c r="B645" s="688">
        <v>7998</v>
      </c>
      <c r="C645" s="688" t="s">
        <v>6</v>
      </c>
      <c r="D645" s="280">
        <v>1</v>
      </c>
    </row>
    <row r="646" spans="1:4" ht="15" customHeight="1">
      <c r="A646" s="278" t="str">
        <f t="shared" si="69"/>
        <v>АСУЭ.SEPAM.mMaxI1</v>
      </c>
      <c r="B646" s="688">
        <v>101</v>
      </c>
      <c r="C646" s="688" t="s">
        <v>0</v>
      </c>
      <c r="D646" s="280" t="s">
        <v>367</v>
      </c>
    </row>
    <row r="647" spans="1:4" ht="15" customHeight="1">
      <c r="A647" s="278" t="str">
        <f t="shared" si="69"/>
        <v>АСУЭ.SEPAM.mMaxI1</v>
      </c>
      <c r="B647" s="688">
        <v>3</v>
      </c>
      <c r="C647" s="688" t="s">
        <v>1</v>
      </c>
      <c r="D647" s="280">
        <v>192</v>
      </c>
    </row>
    <row r="648" spans="1:4" ht="15" customHeight="1">
      <c r="A648" s="278" t="str">
        <f t="shared" si="69"/>
        <v>АСУЭ.SEPAM.mMaxI1</v>
      </c>
      <c r="B648" s="688">
        <v>2</v>
      </c>
      <c r="C648" s="688" t="s">
        <v>80</v>
      </c>
      <c r="D648" s="280">
        <v>0</v>
      </c>
    </row>
    <row r="649" spans="1:4" ht="15" customHeight="1">
      <c r="A649" s="281" t="str">
        <f t="shared" si="69"/>
        <v>АСУЭ.SEPAM.mMaxI1</v>
      </c>
      <c r="B649" s="282">
        <v>1</v>
      </c>
      <c r="C649" s="282" t="s">
        <v>1</v>
      </c>
      <c r="D649" s="283">
        <v>4</v>
      </c>
    </row>
    <row r="650" spans="1:4" ht="15" customHeight="1">
      <c r="A650" s="275" t="str">
        <f t="shared" ref="A650:A655" si="70">$R$2&amp;".mMaxI2"</f>
        <v>АСУЭ.SEPAM.mMaxI2</v>
      </c>
      <c r="B650" s="276">
        <v>7999</v>
      </c>
      <c r="C650" s="276" t="s">
        <v>0</v>
      </c>
      <c r="D650" s="277" t="str">
        <f>"#"&amp;$S$2&amp;"#"&amp;$T$2&amp;"."&amp;$P$2&amp;".MaxI2"</f>
        <v>#3#\\Setup_rza\Modbus.OPCServer\ZRU_Sepam.VV1_Sepam_S82.MaxI2</v>
      </c>
    </row>
    <row r="651" spans="1:4" ht="15" customHeight="1">
      <c r="A651" s="278" t="str">
        <f t="shared" si="70"/>
        <v>АСУЭ.SEPAM.mMaxI2</v>
      </c>
      <c r="B651" s="688">
        <v>7998</v>
      </c>
      <c r="C651" s="688" t="s">
        <v>6</v>
      </c>
      <c r="D651" s="280">
        <v>1</v>
      </c>
    </row>
    <row r="652" spans="1:4" ht="15" customHeight="1">
      <c r="A652" s="278" t="str">
        <f t="shared" si="70"/>
        <v>АСУЭ.SEPAM.mMaxI2</v>
      </c>
      <c r="B652" s="688">
        <v>101</v>
      </c>
      <c r="C652" s="688" t="s">
        <v>0</v>
      </c>
      <c r="D652" s="280" t="s">
        <v>368</v>
      </c>
    </row>
    <row r="653" spans="1:4" ht="15" customHeight="1">
      <c r="A653" s="278" t="str">
        <f t="shared" si="70"/>
        <v>АСУЭ.SEPAM.mMaxI2</v>
      </c>
      <c r="B653" s="688">
        <v>3</v>
      </c>
      <c r="C653" s="688" t="s">
        <v>1</v>
      </c>
      <c r="D653" s="280">
        <v>192</v>
      </c>
    </row>
    <row r="654" spans="1:4" ht="15" customHeight="1">
      <c r="A654" s="278" t="str">
        <f t="shared" si="70"/>
        <v>АСУЭ.SEPAM.mMaxI2</v>
      </c>
      <c r="B654" s="688">
        <v>2</v>
      </c>
      <c r="C654" s="688" t="s">
        <v>80</v>
      </c>
      <c r="D654" s="280">
        <v>0</v>
      </c>
    </row>
    <row r="655" spans="1:4" ht="15" customHeight="1">
      <c r="A655" s="281" t="str">
        <f t="shared" si="70"/>
        <v>АСУЭ.SEPAM.mMaxI2</v>
      </c>
      <c r="B655" s="282">
        <v>1</v>
      </c>
      <c r="C655" s="282" t="s">
        <v>1</v>
      </c>
      <c r="D655" s="283">
        <v>4</v>
      </c>
    </row>
    <row r="656" spans="1:4" ht="15" customHeight="1">
      <c r="A656" s="275" t="str">
        <f t="shared" ref="A656:A661" si="71">$R$2&amp;".mMaxI3"</f>
        <v>АСУЭ.SEPAM.mMaxI3</v>
      </c>
      <c r="B656" s="276">
        <v>7999</v>
      </c>
      <c r="C656" s="276" t="s">
        <v>0</v>
      </c>
      <c r="D656" s="277" t="str">
        <f>"#"&amp;$S$2&amp;"#"&amp;$T$2&amp;"."&amp;$P$2&amp;".MaxI3"</f>
        <v>#3#\\Setup_rza\Modbus.OPCServer\ZRU_Sepam.VV1_Sepam_S82.MaxI3</v>
      </c>
    </row>
    <row r="657" spans="1:4" ht="15" customHeight="1">
      <c r="A657" s="278" t="str">
        <f t="shared" si="71"/>
        <v>АСУЭ.SEPAM.mMaxI3</v>
      </c>
      <c r="B657" s="688">
        <v>7998</v>
      </c>
      <c r="C657" s="688" t="s">
        <v>6</v>
      </c>
      <c r="D657" s="280">
        <v>1</v>
      </c>
    </row>
    <row r="658" spans="1:4" ht="15" customHeight="1">
      <c r="A658" s="278" t="str">
        <f t="shared" si="71"/>
        <v>АСУЭ.SEPAM.mMaxI3</v>
      </c>
      <c r="B658" s="688">
        <v>101</v>
      </c>
      <c r="C658" s="688" t="s">
        <v>0</v>
      </c>
      <c r="D658" s="280" t="s">
        <v>369</v>
      </c>
    </row>
    <row r="659" spans="1:4" ht="15" customHeight="1">
      <c r="A659" s="278" t="str">
        <f t="shared" si="71"/>
        <v>АСУЭ.SEPAM.mMaxI3</v>
      </c>
      <c r="B659" s="688">
        <v>3</v>
      </c>
      <c r="C659" s="688" t="s">
        <v>1</v>
      </c>
      <c r="D659" s="280">
        <v>192</v>
      </c>
    </row>
    <row r="660" spans="1:4" ht="15" customHeight="1">
      <c r="A660" s="278" t="str">
        <f t="shared" si="71"/>
        <v>АСУЭ.SEPAM.mMaxI3</v>
      </c>
      <c r="B660" s="688">
        <v>2</v>
      </c>
      <c r="C660" s="688" t="s">
        <v>80</v>
      </c>
      <c r="D660" s="280">
        <v>0</v>
      </c>
    </row>
    <row r="661" spans="1:4" ht="15" customHeight="1">
      <c r="A661" s="281" t="str">
        <f t="shared" si="71"/>
        <v>АСУЭ.SEPAM.mMaxI3</v>
      </c>
      <c r="B661" s="282">
        <v>1</v>
      </c>
      <c r="C661" s="282" t="s">
        <v>1</v>
      </c>
      <c r="D661" s="283">
        <v>4</v>
      </c>
    </row>
    <row r="662" spans="1:4" ht="15" customHeight="1">
      <c r="A662" s="275" t="str">
        <f t="shared" ref="A662:A667" si="72">$R$2&amp;".mMaxPM"</f>
        <v>АСУЭ.SEPAM.mMaxPM</v>
      </c>
      <c r="B662" s="276">
        <v>7999</v>
      </c>
      <c r="C662" s="276" t="s">
        <v>0</v>
      </c>
      <c r="D662" s="277" t="str">
        <f>"#"&amp;$S$2&amp;"#"&amp;$T$2&amp;"."&amp;$P$2&amp;".MaxPM"</f>
        <v>#3#\\Setup_rza\Modbus.OPCServer\ZRU_Sepam.VV1_Sepam_S82.MaxPM</v>
      </c>
    </row>
    <row r="663" spans="1:4" ht="15" customHeight="1">
      <c r="A663" s="278" t="str">
        <f t="shared" si="72"/>
        <v>АСУЭ.SEPAM.mMaxPM</v>
      </c>
      <c r="B663" s="688">
        <v>7998</v>
      </c>
      <c r="C663" s="688" t="s">
        <v>6</v>
      </c>
      <c r="D663" s="280">
        <v>1</v>
      </c>
    </row>
    <row r="664" spans="1:4" ht="15" customHeight="1">
      <c r="A664" s="278" t="str">
        <f t="shared" si="72"/>
        <v>АСУЭ.SEPAM.mMaxPM</v>
      </c>
      <c r="B664" s="688">
        <v>101</v>
      </c>
      <c r="C664" s="688" t="s">
        <v>0</v>
      </c>
      <c r="D664" s="280" t="s">
        <v>370</v>
      </c>
    </row>
    <row r="665" spans="1:4" ht="15" customHeight="1">
      <c r="A665" s="278" t="str">
        <f t="shared" si="72"/>
        <v>АСУЭ.SEPAM.mMaxPM</v>
      </c>
      <c r="B665" s="688">
        <v>3</v>
      </c>
      <c r="C665" s="688" t="s">
        <v>1</v>
      </c>
      <c r="D665" s="280">
        <v>192</v>
      </c>
    </row>
    <row r="666" spans="1:4" ht="15" customHeight="1">
      <c r="A666" s="278" t="str">
        <f t="shared" si="72"/>
        <v>АСУЭ.SEPAM.mMaxPM</v>
      </c>
      <c r="B666" s="688">
        <v>2</v>
      </c>
      <c r="C666" s="688" t="s">
        <v>80</v>
      </c>
      <c r="D666" s="280">
        <v>0</v>
      </c>
    </row>
    <row r="667" spans="1:4" ht="15" customHeight="1">
      <c r="A667" s="281" t="str">
        <f t="shared" si="72"/>
        <v>АСУЭ.SEPAM.mMaxPM</v>
      </c>
      <c r="B667" s="282">
        <v>1</v>
      </c>
      <c r="C667" s="282" t="s">
        <v>1</v>
      </c>
      <c r="D667" s="283">
        <v>4</v>
      </c>
    </row>
    <row r="668" spans="1:4" ht="15" customHeight="1">
      <c r="A668" s="275" t="str">
        <f t="shared" ref="A668:A673" si="73">$R$2&amp;".mMaxQM"</f>
        <v>АСУЭ.SEPAM.mMaxQM</v>
      </c>
      <c r="B668" s="276">
        <v>7999</v>
      </c>
      <c r="C668" s="276" t="s">
        <v>0</v>
      </c>
      <c r="D668" s="277" t="str">
        <f>"#"&amp;$S$2&amp;"#"&amp;$T$2&amp;"."&amp;$P$2&amp;".MaxQM"</f>
        <v>#3#\\Setup_rza\Modbus.OPCServer\ZRU_Sepam.VV1_Sepam_S82.MaxQM</v>
      </c>
    </row>
    <row r="669" spans="1:4" ht="15" customHeight="1">
      <c r="A669" s="278" t="str">
        <f t="shared" si="73"/>
        <v>АСУЭ.SEPAM.mMaxQM</v>
      </c>
      <c r="B669" s="688">
        <v>7998</v>
      </c>
      <c r="C669" s="688" t="s">
        <v>6</v>
      </c>
      <c r="D669" s="280">
        <v>1</v>
      </c>
    </row>
    <row r="670" spans="1:4" ht="15" customHeight="1">
      <c r="A670" s="278" t="str">
        <f t="shared" si="73"/>
        <v>АСУЭ.SEPAM.mMaxQM</v>
      </c>
      <c r="B670" s="688">
        <v>101</v>
      </c>
      <c r="C670" s="688" t="s">
        <v>0</v>
      </c>
      <c r="D670" s="280" t="s">
        <v>371</v>
      </c>
    </row>
    <row r="671" spans="1:4" ht="15" customHeight="1">
      <c r="A671" s="278" t="str">
        <f t="shared" si="73"/>
        <v>АСУЭ.SEPAM.mMaxQM</v>
      </c>
      <c r="B671" s="688">
        <v>3</v>
      </c>
      <c r="C671" s="688" t="s">
        <v>1</v>
      </c>
      <c r="D671" s="280">
        <v>192</v>
      </c>
    </row>
    <row r="672" spans="1:4" ht="15" customHeight="1">
      <c r="A672" s="278" t="str">
        <f t="shared" si="73"/>
        <v>АСУЭ.SEPAM.mMaxQM</v>
      </c>
      <c r="B672" s="688">
        <v>2</v>
      </c>
      <c r="C672" s="688" t="s">
        <v>80</v>
      </c>
      <c r="D672" s="280">
        <v>0</v>
      </c>
    </row>
    <row r="673" spans="1:4" ht="15" customHeight="1">
      <c r="A673" s="281" t="str">
        <f t="shared" si="73"/>
        <v>АСУЭ.SEPAM.mMaxQM</v>
      </c>
      <c r="B673" s="282">
        <v>1</v>
      </c>
      <c r="C673" s="282" t="s">
        <v>1</v>
      </c>
      <c r="D673" s="283">
        <v>4</v>
      </c>
    </row>
    <row r="674" spans="1:4" ht="15" customHeight="1">
      <c r="A674" s="275" t="str">
        <f t="shared" ref="A674:A679" si="74">$R$2&amp;".mVi"</f>
        <v>АСУЭ.SEPAM.mVi</v>
      </c>
      <c r="B674" s="276">
        <v>7999</v>
      </c>
      <c r="C674" s="276" t="s">
        <v>0</v>
      </c>
      <c r="D674" s="277" t="str">
        <f>"#"&amp;$S$2&amp;"#"&amp;$T$2&amp;"."&amp;$P$2&amp;".Vi"</f>
        <v>#3#\\Setup_rza\Modbus.OPCServer\ZRU_Sepam.VV1_Sepam_S82.Vi</v>
      </c>
    </row>
    <row r="675" spans="1:4" ht="15" customHeight="1">
      <c r="A675" s="278" t="str">
        <f t="shared" si="74"/>
        <v>АСУЭ.SEPAM.mVi</v>
      </c>
      <c r="B675" s="688">
        <v>7998</v>
      </c>
      <c r="C675" s="688" t="s">
        <v>6</v>
      </c>
      <c r="D675" s="280">
        <v>1</v>
      </c>
    </row>
    <row r="676" spans="1:4" ht="15" customHeight="1">
      <c r="A676" s="278" t="str">
        <f t="shared" si="74"/>
        <v>АСУЭ.SEPAM.mVi</v>
      </c>
      <c r="B676" s="688">
        <v>101</v>
      </c>
      <c r="C676" s="688" t="s">
        <v>0</v>
      </c>
      <c r="D676" s="280" t="s">
        <v>372</v>
      </c>
    </row>
    <row r="677" spans="1:4" ht="15" customHeight="1">
      <c r="A677" s="278" t="str">
        <f t="shared" si="74"/>
        <v>АСУЭ.SEPAM.mVi</v>
      </c>
      <c r="B677" s="688">
        <v>3</v>
      </c>
      <c r="C677" s="688" t="s">
        <v>1</v>
      </c>
      <c r="D677" s="280">
        <v>192</v>
      </c>
    </row>
    <row r="678" spans="1:4" ht="15" customHeight="1">
      <c r="A678" s="278" t="str">
        <f t="shared" si="74"/>
        <v>АСУЭ.SEPAM.mVi</v>
      </c>
      <c r="B678" s="688">
        <v>2</v>
      </c>
      <c r="C678" s="688" t="s">
        <v>80</v>
      </c>
      <c r="D678" s="280">
        <v>0</v>
      </c>
    </row>
    <row r="679" spans="1:4" ht="15" customHeight="1">
      <c r="A679" s="281" t="str">
        <f t="shared" si="74"/>
        <v>АСУЭ.SEPAM.mVi</v>
      </c>
      <c r="B679" s="282">
        <v>1</v>
      </c>
      <c r="C679" s="282" t="s">
        <v>1</v>
      </c>
      <c r="D679" s="283">
        <v>4</v>
      </c>
    </row>
    <row r="680" spans="1:4" ht="15" customHeight="1">
      <c r="A680" s="275" t="str">
        <f t="shared" ref="A680:A685" si="75">$R$2&amp;".mVo"</f>
        <v>АСУЭ.SEPAM.mVo</v>
      </c>
      <c r="B680" s="276">
        <v>7999</v>
      </c>
      <c r="C680" s="276" t="s">
        <v>0</v>
      </c>
      <c r="D680" s="277" t="str">
        <f>"#"&amp;$S$2&amp;"#"&amp;$T$2&amp;"."&amp;$P$2&amp;".V0"</f>
        <v>#3#\\Setup_rza\Modbus.OPCServer\ZRU_Sepam.VV1_Sepam_S82.V0</v>
      </c>
    </row>
    <row r="681" spans="1:4" ht="15" customHeight="1">
      <c r="A681" s="278" t="str">
        <f t="shared" si="75"/>
        <v>АСУЭ.SEPAM.mVo</v>
      </c>
      <c r="B681" s="688">
        <v>7998</v>
      </c>
      <c r="C681" s="688" t="s">
        <v>6</v>
      </c>
      <c r="D681" s="280">
        <v>1</v>
      </c>
    </row>
    <row r="682" spans="1:4" ht="15" customHeight="1">
      <c r="A682" s="278" t="str">
        <f t="shared" si="75"/>
        <v>АСУЭ.SEPAM.mVo</v>
      </c>
      <c r="B682" s="688">
        <v>101</v>
      </c>
      <c r="C682" s="688" t="s">
        <v>0</v>
      </c>
      <c r="D682" s="280" t="s">
        <v>373</v>
      </c>
    </row>
    <row r="683" spans="1:4" ht="15" customHeight="1">
      <c r="A683" s="278" t="str">
        <f t="shared" si="75"/>
        <v>АСУЭ.SEPAM.mVo</v>
      </c>
      <c r="B683" s="688">
        <v>3</v>
      </c>
      <c r="C683" s="688" t="s">
        <v>1</v>
      </c>
      <c r="D683" s="280">
        <v>192</v>
      </c>
    </row>
    <row r="684" spans="1:4" ht="15" customHeight="1">
      <c r="A684" s="278" t="str">
        <f t="shared" si="75"/>
        <v>АСУЭ.SEPAM.mVo</v>
      </c>
      <c r="B684" s="688">
        <v>2</v>
      </c>
      <c r="C684" s="688" t="s">
        <v>80</v>
      </c>
      <c r="D684" s="280">
        <v>0</v>
      </c>
    </row>
    <row r="685" spans="1:4" ht="15" customHeight="1">
      <c r="A685" s="281" t="str">
        <f t="shared" si="75"/>
        <v>АСУЭ.SEPAM.mVo</v>
      </c>
      <c r="B685" s="282">
        <v>1</v>
      </c>
      <c r="C685" s="282" t="s">
        <v>1</v>
      </c>
      <c r="D685" s="283">
        <v>4</v>
      </c>
    </row>
    <row r="686" spans="1:4" ht="15" customHeight="1">
      <c r="A686" s="275" t="str">
        <f t="shared" ref="A686:A691" si="76">$R$2&amp;".mVd"</f>
        <v>АСУЭ.SEPAM.mVd</v>
      </c>
      <c r="B686" s="276">
        <v>7999</v>
      </c>
      <c r="C686" s="276" t="s">
        <v>0</v>
      </c>
      <c r="D686" s="277" t="str">
        <f>"#"&amp;$S$2&amp;"#"&amp;$T$2&amp;"."&amp;$P$2&amp;".Vd"</f>
        <v>#3#\\Setup_rza\Modbus.OPCServer\ZRU_Sepam.VV1_Sepam_S82.Vd</v>
      </c>
    </row>
    <row r="687" spans="1:4" ht="15" customHeight="1">
      <c r="A687" s="278" t="str">
        <f t="shared" si="76"/>
        <v>АСУЭ.SEPAM.mVd</v>
      </c>
      <c r="B687" s="688">
        <v>7998</v>
      </c>
      <c r="C687" s="688" t="s">
        <v>6</v>
      </c>
      <c r="D687" s="280">
        <v>1</v>
      </c>
    </row>
    <row r="688" spans="1:4" ht="15" customHeight="1">
      <c r="A688" s="278" t="str">
        <f t="shared" si="76"/>
        <v>АСУЭ.SEPAM.mVd</v>
      </c>
      <c r="B688" s="688">
        <v>101</v>
      </c>
      <c r="C688" s="688" t="s">
        <v>0</v>
      </c>
      <c r="D688" s="280" t="s">
        <v>374</v>
      </c>
    </row>
    <row r="689" spans="1:4" ht="15" customHeight="1">
      <c r="A689" s="278" t="str">
        <f t="shared" si="76"/>
        <v>АСУЭ.SEPAM.mVd</v>
      </c>
      <c r="B689" s="688">
        <v>3</v>
      </c>
      <c r="C689" s="688" t="s">
        <v>1</v>
      </c>
      <c r="D689" s="280">
        <v>192</v>
      </c>
    </row>
    <row r="690" spans="1:4" ht="15" customHeight="1">
      <c r="A690" s="278" t="str">
        <f t="shared" si="76"/>
        <v>АСУЭ.SEPAM.mVd</v>
      </c>
      <c r="B690" s="688">
        <v>2</v>
      </c>
      <c r="C690" s="688" t="s">
        <v>80</v>
      </c>
      <c r="D690" s="280">
        <v>0</v>
      </c>
    </row>
    <row r="691" spans="1:4" ht="15" customHeight="1">
      <c r="A691" s="281" t="str">
        <f t="shared" si="76"/>
        <v>АСУЭ.SEPAM.mVd</v>
      </c>
      <c r="B691" s="282">
        <v>1</v>
      </c>
      <c r="C691" s="282" t="s">
        <v>1</v>
      </c>
      <c r="D691" s="283">
        <v>4</v>
      </c>
    </row>
    <row r="692" spans="1:4" ht="15" customHeight="1">
      <c r="A692" s="275" t="str">
        <f t="shared" ref="A692:A697" si="77">$R$2&amp;".mP"</f>
        <v>АСУЭ.SEPAM.mP</v>
      </c>
      <c r="B692" s="276">
        <v>7999</v>
      </c>
      <c r="C692" s="276" t="s">
        <v>0</v>
      </c>
      <c r="D692" s="277" t="str">
        <f>"#"&amp;$S$2&amp;"#"&amp;$T$2&amp;"."&amp;$P$2&amp;".P"</f>
        <v>#3#\\Setup_rza\Modbus.OPCServer\ZRU_Sepam.VV1_Sepam_S82.P</v>
      </c>
    </row>
    <row r="693" spans="1:4" ht="15" customHeight="1">
      <c r="A693" s="278" t="str">
        <f t="shared" si="77"/>
        <v>АСУЭ.SEPAM.mP</v>
      </c>
      <c r="B693" s="688">
        <v>7998</v>
      </c>
      <c r="C693" s="688" t="s">
        <v>6</v>
      </c>
      <c r="D693" s="280">
        <v>1</v>
      </c>
    </row>
    <row r="694" spans="1:4" ht="15" customHeight="1">
      <c r="A694" s="278" t="str">
        <f t="shared" si="77"/>
        <v>АСУЭ.SEPAM.mP</v>
      </c>
      <c r="B694" s="688">
        <v>101</v>
      </c>
      <c r="C694" s="688" t="s">
        <v>0</v>
      </c>
      <c r="D694" s="280" t="s">
        <v>375</v>
      </c>
    </row>
    <row r="695" spans="1:4" ht="15" customHeight="1">
      <c r="A695" s="278" t="str">
        <f t="shared" si="77"/>
        <v>АСУЭ.SEPAM.mP</v>
      </c>
      <c r="B695" s="688">
        <v>3</v>
      </c>
      <c r="C695" s="688" t="s">
        <v>1</v>
      </c>
      <c r="D695" s="280">
        <v>192</v>
      </c>
    </row>
    <row r="696" spans="1:4" ht="15" customHeight="1">
      <c r="A696" s="278" t="str">
        <f t="shared" si="77"/>
        <v>АСУЭ.SEPAM.mP</v>
      </c>
      <c r="B696" s="688">
        <v>2</v>
      </c>
      <c r="C696" s="688" t="s">
        <v>80</v>
      </c>
      <c r="D696" s="280">
        <v>0</v>
      </c>
    </row>
    <row r="697" spans="1:4" ht="15" customHeight="1">
      <c r="A697" s="281" t="str">
        <f t="shared" si="77"/>
        <v>АСУЭ.SEPAM.mP</v>
      </c>
      <c r="B697" s="282">
        <v>1</v>
      </c>
      <c r="C697" s="282" t="s">
        <v>1</v>
      </c>
      <c r="D697" s="283">
        <v>4</v>
      </c>
    </row>
    <row r="698" spans="1:4" ht="15" customHeight="1">
      <c r="A698" s="275" t="str">
        <f t="shared" ref="A698:A703" si="78">$R$2&amp;".mQ"</f>
        <v>АСУЭ.SEPAM.mQ</v>
      </c>
      <c r="B698" s="276">
        <v>7999</v>
      </c>
      <c r="C698" s="276" t="s">
        <v>0</v>
      </c>
      <c r="D698" s="277" t="str">
        <f>"#"&amp;$S$2&amp;"#"&amp;$T$2&amp;"."&amp;$P$2&amp;".Q"</f>
        <v>#3#\\Setup_rza\Modbus.OPCServer\ZRU_Sepam.VV1_Sepam_S82.Q</v>
      </c>
    </row>
    <row r="699" spans="1:4" ht="15" customHeight="1">
      <c r="A699" s="278" t="str">
        <f t="shared" si="78"/>
        <v>АСУЭ.SEPAM.mQ</v>
      </c>
      <c r="B699" s="688">
        <v>7998</v>
      </c>
      <c r="C699" s="688" t="s">
        <v>6</v>
      </c>
      <c r="D699" s="280">
        <v>1</v>
      </c>
    </row>
    <row r="700" spans="1:4" ht="15" customHeight="1">
      <c r="A700" s="278" t="str">
        <f t="shared" si="78"/>
        <v>АСУЭ.SEPAM.mQ</v>
      </c>
      <c r="B700" s="688">
        <v>101</v>
      </c>
      <c r="C700" s="688" t="s">
        <v>0</v>
      </c>
      <c r="D700" s="280" t="s">
        <v>376</v>
      </c>
    </row>
    <row r="701" spans="1:4" ht="15" customHeight="1">
      <c r="A701" s="278" t="str">
        <f t="shared" si="78"/>
        <v>АСУЭ.SEPAM.mQ</v>
      </c>
      <c r="B701" s="688">
        <v>3</v>
      </c>
      <c r="C701" s="688" t="s">
        <v>1</v>
      </c>
      <c r="D701" s="280">
        <v>192</v>
      </c>
    </row>
    <row r="702" spans="1:4" ht="15" customHeight="1">
      <c r="A702" s="278" t="str">
        <f t="shared" si="78"/>
        <v>АСУЭ.SEPAM.mQ</v>
      </c>
      <c r="B702" s="688">
        <v>2</v>
      </c>
      <c r="C702" s="688" t="s">
        <v>80</v>
      </c>
      <c r="D702" s="280">
        <v>0</v>
      </c>
    </row>
    <row r="703" spans="1:4" ht="15" customHeight="1">
      <c r="A703" s="281" t="str">
        <f t="shared" si="78"/>
        <v>АСУЭ.SEPAM.mQ</v>
      </c>
      <c r="B703" s="282">
        <v>1</v>
      </c>
      <c r="C703" s="282" t="s">
        <v>1</v>
      </c>
      <c r="D703" s="283">
        <v>4</v>
      </c>
    </row>
    <row r="704" spans="1:4" ht="15" customHeight="1">
      <c r="A704" s="275" t="str">
        <f t="shared" ref="A704:A709" si="79">$R$2&amp;".mS"</f>
        <v>АСУЭ.SEPAM.mS</v>
      </c>
      <c r="B704" s="276">
        <v>7999</v>
      </c>
      <c r="C704" s="276" t="s">
        <v>0</v>
      </c>
      <c r="D704" s="277" t="str">
        <f>"#"&amp;$S$2&amp;"#"&amp;$T$2&amp;"."&amp;$P$2&amp;".S"</f>
        <v>#3#\\Setup_rza\Modbus.OPCServer\ZRU_Sepam.VV1_Sepam_S82.S</v>
      </c>
    </row>
    <row r="705" spans="1:4" ht="15" customHeight="1">
      <c r="A705" s="278" t="str">
        <f t="shared" si="79"/>
        <v>АСУЭ.SEPAM.mS</v>
      </c>
      <c r="B705" s="688">
        <v>7998</v>
      </c>
      <c r="C705" s="688" t="s">
        <v>6</v>
      </c>
      <c r="D705" s="280">
        <v>1</v>
      </c>
    </row>
    <row r="706" spans="1:4" ht="15" customHeight="1">
      <c r="A706" s="278" t="str">
        <f t="shared" si="79"/>
        <v>АСУЭ.SEPAM.mS</v>
      </c>
      <c r="B706" s="688">
        <v>101</v>
      </c>
      <c r="C706" s="688" t="s">
        <v>0</v>
      </c>
      <c r="D706" s="280" t="s">
        <v>377</v>
      </c>
    </row>
    <row r="707" spans="1:4" ht="15" customHeight="1">
      <c r="A707" s="278" t="str">
        <f t="shared" si="79"/>
        <v>АСУЭ.SEPAM.mS</v>
      </c>
      <c r="B707" s="688">
        <v>3</v>
      </c>
      <c r="C707" s="688" t="s">
        <v>1</v>
      </c>
      <c r="D707" s="280">
        <v>192</v>
      </c>
    </row>
    <row r="708" spans="1:4" ht="15" customHeight="1">
      <c r="A708" s="278" t="str">
        <f t="shared" si="79"/>
        <v>АСУЭ.SEPAM.mS</v>
      </c>
      <c r="B708" s="688">
        <v>2</v>
      </c>
      <c r="C708" s="688" t="s">
        <v>80</v>
      </c>
      <c r="D708" s="280">
        <v>0</v>
      </c>
    </row>
    <row r="709" spans="1:4" ht="15" customHeight="1">
      <c r="A709" s="281" t="str">
        <f t="shared" si="79"/>
        <v>АСУЭ.SEPAM.mS</v>
      </c>
      <c r="B709" s="282">
        <v>1</v>
      </c>
      <c r="C709" s="282" t="s">
        <v>1</v>
      </c>
      <c r="D709" s="283">
        <v>4</v>
      </c>
    </row>
    <row r="710" spans="1:4" ht="15" customHeight="1">
      <c r="A710" s="275" t="str">
        <f t="shared" ref="A710:A715" si="80">$R$2&amp;".mU13"</f>
        <v>АСУЭ.SEPAM.mU13</v>
      </c>
      <c r="B710" s="276">
        <v>7999</v>
      </c>
      <c r="C710" s="276" t="s">
        <v>0</v>
      </c>
      <c r="D710" s="277" t="str">
        <f>"#"&amp;$S$2&amp;"#"&amp;$T$2&amp;"."&amp;$P$2&amp;".U13"</f>
        <v>#3#\\Setup_rza\Modbus.OPCServer\ZRU_Sepam.VV1_Sepam_S82.U13</v>
      </c>
    </row>
    <row r="711" spans="1:4" ht="15" customHeight="1">
      <c r="A711" s="278" t="str">
        <f t="shared" si="80"/>
        <v>АСУЭ.SEPAM.mU13</v>
      </c>
      <c r="B711" s="688">
        <v>7998</v>
      </c>
      <c r="C711" s="688" t="s">
        <v>6</v>
      </c>
      <c r="D711" s="280">
        <v>1</v>
      </c>
    </row>
    <row r="712" spans="1:4" ht="15" customHeight="1">
      <c r="A712" s="278" t="str">
        <f t="shared" si="80"/>
        <v>АСУЭ.SEPAM.mU13</v>
      </c>
      <c r="B712" s="688">
        <v>101</v>
      </c>
      <c r="C712" s="688" t="s">
        <v>0</v>
      </c>
      <c r="D712" s="280" t="s">
        <v>378</v>
      </c>
    </row>
    <row r="713" spans="1:4" ht="15" customHeight="1">
      <c r="A713" s="278" t="str">
        <f t="shared" si="80"/>
        <v>АСУЭ.SEPAM.mU13</v>
      </c>
      <c r="B713" s="688">
        <v>3</v>
      </c>
      <c r="C713" s="688" t="s">
        <v>1</v>
      </c>
      <c r="D713" s="280">
        <v>192</v>
      </c>
    </row>
    <row r="714" spans="1:4" ht="15" customHeight="1">
      <c r="A714" s="278" t="str">
        <f t="shared" si="80"/>
        <v>АСУЭ.SEPAM.mU13</v>
      </c>
      <c r="B714" s="688">
        <v>2</v>
      </c>
      <c r="C714" s="688" t="s">
        <v>80</v>
      </c>
      <c r="D714" s="280">
        <v>0</v>
      </c>
    </row>
    <row r="715" spans="1:4" ht="15" customHeight="1">
      <c r="A715" s="281" t="str">
        <f t="shared" si="80"/>
        <v>АСУЭ.SEPAM.mU13</v>
      </c>
      <c r="B715" s="282">
        <v>1</v>
      </c>
      <c r="C715" s="282" t="s">
        <v>1</v>
      </c>
      <c r="D715" s="283">
        <v>4</v>
      </c>
    </row>
    <row r="716" spans="1:4" ht="15" customHeight="1">
      <c r="A716" s="275" t="str">
        <f t="shared" ref="A716:A721" si="81">$R$2&amp;".mU21"</f>
        <v>АСУЭ.SEPAM.mU21</v>
      </c>
      <c r="B716" s="276">
        <v>7999</v>
      </c>
      <c r="C716" s="276" t="s">
        <v>0</v>
      </c>
      <c r="D716" s="277" t="str">
        <f>"#"&amp;$S$2&amp;"#"&amp;$T$2&amp;"."&amp;$P$2&amp;".U21"</f>
        <v>#3#\\Setup_rza\Modbus.OPCServer\ZRU_Sepam.VV1_Sepam_S82.U21</v>
      </c>
    </row>
    <row r="717" spans="1:4" ht="15" customHeight="1">
      <c r="A717" s="278" t="str">
        <f t="shared" si="81"/>
        <v>АСУЭ.SEPAM.mU21</v>
      </c>
      <c r="B717" s="688">
        <v>7998</v>
      </c>
      <c r="C717" s="688" t="s">
        <v>6</v>
      </c>
      <c r="D717" s="280">
        <v>1</v>
      </c>
    </row>
    <row r="718" spans="1:4" ht="15" customHeight="1">
      <c r="A718" s="278" t="str">
        <f t="shared" si="81"/>
        <v>АСУЭ.SEPAM.mU21</v>
      </c>
      <c r="B718" s="688">
        <v>101</v>
      </c>
      <c r="C718" s="688" t="s">
        <v>0</v>
      </c>
      <c r="D718" s="280" t="s">
        <v>379</v>
      </c>
    </row>
    <row r="719" spans="1:4" ht="15" customHeight="1">
      <c r="A719" s="278" t="str">
        <f t="shared" si="81"/>
        <v>АСУЭ.SEPAM.mU21</v>
      </c>
      <c r="B719" s="688">
        <v>3</v>
      </c>
      <c r="C719" s="688" t="s">
        <v>1</v>
      </c>
      <c r="D719" s="280">
        <v>192</v>
      </c>
    </row>
    <row r="720" spans="1:4" ht="15" customHeight="1">
      <c r="A720" s="278" t="str">
        <f t="shared" si="81"/>
        <v>АСУЭ.SEPAM.mU21</v>
      </c>
      <c r="B720" s="688">
        <v>2</v>
      </c>
      <c r="C720" s="688" t="s">
        <v>80</v>
      </c>
      <c r="D720" s="280">
        <v>0</v>
      </c>
    </row>
    <row r="721" spans="1:4" ht="15" customHeight="1">
      <c r="A721" s="281" t="str">
        <f t="shared" si="81"/>
        <v>АСУЭ.SEPAM.mU21</v>
      </c>
      <c r="B721" s="282">
        <v>1</v>
      </c>
      <c r="C721" s="282" t="s">
        <v>1</v>
      </c>
      <c r="D721" s="283">
        <v>4</v>
      </c>
    </row>
    <row r="722" spans="1:4" ht="15" customHeight="1">
      <c r="A722" s="275" t="str">
        <f t="shared" ref="A722:A727" si="82">$R$2&amp;".mU32"</f>
        <v>АСУЭ.SEPAM.mU32</v>
      </c>
      <c r="B722" s="276">
        <v>7999</v>
      </c>
      <c r="C722" s="276" t="s">
        <v>0</v>
      </c>
      <c r="D722" s="277" t="str">
        <f>"#"&amp;$S$2&amp;"#"&amp;$T$2&amp;"."&amp;$P$2&amp;".U32"</f>
        <v>#3#\\Setup_rza\Modbus.OPCServer\ZRU_Sepam.VV1_Sepam_S82.U32</v>
      </c>
    </row>
    <row r="723" spans="1:4" ht="15" customHeight="1">
      <c r="A723" s="278" t="str">
        <f t="shared" si="82"/>
        <v>АСУЭ.SEPAM.mU32</v>
      </c>
      <c r="B723" s="688">
        <v>7998</v>
      </c>
      <c r="C723" s="688" t="s">
        <v>6</v>
      </c>
      <c r="D723" s="280">
        <v>1</v>
      </c>
    </row>
    <row r="724" spans="1:4" ht="15" customHeight="1">
      <c r="A724" s="278" t="str">
        <f t="shared" si="82"/>
        <v>АСУЭ.SEPAM.mU32</v>
      </c>
      <c r="B724" s="688">
        <v>101</v>
      </c>
      <c r="C724" s="688" t="s">
        <v>0</v>
      </c>
      <c r="D724" s="280" t="s">
        <v>380</v>
      </c>
    </row>
    <row r="725" spans="1:4" ht="15" customHeight="1">
      <c r="A725" s="278" t="str">
        <f t="shared" si="82"/>
        <v>АСУЭ.SEPAM.mU32</v>
      </c>
      <c r="B725" s="688">
        <v>3</v>
      </c>
      <c r="C725" s="688" t="s">
        <v>1</v>
      </c>
      <c r="D725" s="280">
        <v>192</v>
      </c>
    </row>
    <row r="726" spans="1:4" ht="15" customHeight="1">
      <c r="A726" s="278" t="str">
        <f t="shared" si="82"/>
        <v>АСУЭ.SEPAM.mU32</v>
      </c>
      <c r="B726" s="688">
        <v>2</v>
      </c>
      <c r="C726" s="688" t="s">
        <v>80</v>
      </c>
      <c r="D726" s="280">
        <v>0</v>
      </c>
    </row>
    <row r="727" spans="1:4" ht="15" customHeight="1">
      <c r="A727" s="281" t="str">
        <f t="shared" si="82"/>
        <v>АСУЭ.SEPAM.mU32</v>
      </c>
      <c r="B727" s="282">
        <v>1</v>
      </c>
      <c r="C727" s="282" t="s">
        <v>1</v>
      </c>
      <c r="D727" s="283">
        <v>4</v>
      </c>
    </row>
  </sheetData>
  <mergeCells count="1">
    <mergeCell ref="D19:E19"/>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Лист137">
    <tabColor rgb="FFFFC000"/>
  </sheetPr>
  <dimension ref="A1:BP749"/>
  <sheetViews>
    <sheetView topLeftCell="A10" zoomScale="70" zoomScaleNormal="70" workbookViewId="0">
      <selection activeCell="D2" sqref="D2:D4"/>
    </sheetView>
  </sheetViews>
  <sheetFormatPr defaultRowHeight="14.4"/>
  <cols>
    <col min="1" max="1" width="66.4414062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1" s="258" customFormat="1" ht="204.6" thickBot="1">
      <c r="A1" s="257"/>
      <c r="B1" s="260" t="s">
        <v>84</v>
      </c>
      <c r="C1" s="257"/>
      <c r="D1" s="257"/>
      <c r="E1" s="257"/>
      <c r="F1" s="257"/>
      <c r="P1" s="263" t="str">
        <f>Таблица!D1</f>
        <v>Префикс для TREI
Тэг ОРС для INFINITY</v>
      </c>
      <c r="Q1" s="263" t="str">
        <f>Таблица!E1</f>
        <v>Комментарий для TREI и INFINITY</v>
      </c>
      <c r="R1" s="263" t="str">
        <f>Таблица!F1</f>
        <v>ТЭГ в дереве INFINITY Server</v>
      </c>
      <c r="S1" s="263"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540" t="str">
        <f>Таблица!H1</f>
        <v>OPC путь 
№ маршрута Modbus TCP, Modbus RTU, Modbus over TCP (1-255)
№ КП IEC104 (1-65534)</v>
      </c>
      <c r="U1" s="263" t="str">
        <f>Таблица!I1</f>
        <v>OPC путь</v>
      </c>
      <c r="V1" s="263" t="str">
        <f>Таблица!J1</f>
        <v>Мнемосхема</v>
      </c>
      <c r="W1" s="263"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63"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63" t="str">
        <f>Таблица!M1</f>
        <v>FB_IMt_MON_S, IMt_MON: Только для трансформатора. Цвет нижних обмоток(-ки) при наличии напряжения</v>
      </c>
      <c r="Z1" s="263"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63"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63" t="str">
        <f>Таблица!P1</f>
        <v xml:space="preserve">FB_DI_S, FB_DO_S, DI, DI_DIAG, FB_DO_STB_S: Тип сигнализации (Авария, предупреждение, телесигнализация и тд.)
FB_SHPS_S(SB), FB_BTF_S: Тип сигнализации XFRX
</v>
      </c>
      <c r="AC1" s="263"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63" t="str">
        <f>Таблица!R1</f>
        <v>SEPAM: Тип ячейки (OL,SV,VV,TN)
BMRZ: Тип ячейки (VV,AV)
TOR: Тип ячейки (OL,SV,VV,TN,BK)</v>
      </c>
      <c r="AE1" s="263" t="str">
        <f>Таблица!S1</f>
        <v>Формула для fNoLink.Device</v>
      </c>
      <c r="AF1" s="263">
        <f>Таблица!T1</f>
        <v>0</v>
      </c>
      <c r="AG1" s="263">
        <f>Таблица!U1</f>
        <v>0</v>
      </c>
      <c r="AH1" s="263">
        <f>Таблица!V1</f>
        <v>0</v>
      </c>
      <c r="AI1" s="263">
        <f>Таблица!W1</f>
        <v>0</v>
      </c>
      <c r="AJ1" s="263">
        <f>Таблица!X1</f>
        <v>0</v>
      </c>
      <c r="AK1" s="541" t="str">
        <f>Таблица!Y1</f>
        <v>FB_AI_S, FB_DI_S, FB_QSA_S, FB_DO_S, FB_SHPS_S, FB_SHOP_S, FB_BTF_S: IVXX
FB_KL_UPT_S: ISON
SW_S301, SW_MES3508: Подключение к порту 1
SW_MAYAK: Подключение к порту 1,2 (через "\")
DI_DIAG, DO_DIAG: XVLX</v>
      </c>
      <c r="AL1" s="541"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541"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541" t="str">
        <f>Таблица!AB1</f>
        <v>FB_IMstp_S, FB_IMsp_S, FB_IMs_S, FB_REG_S, FB_IM_ADES_S : ILCX
SW_S301: Подключение к порту 4
SW_MAYAK, SW_MES3508: Подключение к порту 7,8 (через "\")</v>
      </c>
      <c r="AO1" s="542" t="str">
        <f>Таблица!AC1</f>
        <v xml:space="preserve">FB_IMstp_S, FB_IMsp_S, FB_IMs_S, FB_IMp_S, FB_IMv_S, FB_REG_S, FB_IM_ADES_S, FB_DO_S : IRCX
SW_S301, SW_MES3508: Подключение к порту 5
SW_MAYAK: Подключение к порту 9,10 (через "\")
</v>
      </c>
      <c r="AP1" s="542"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542"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542" t="str">
        <f>Таблица!AF1</f>
        <v xml:space="preserve">FB_IMstp_S, FB_IMsp_S, FB_IMs_S, FB_IMp_S, FB_IMv_S, FB_IM_ADES_S, FB_OZK_KD_S, FB_DO_S: OXOF
SW_S301, SW_MES3508: Подключение к порту 8
SW_MAYAK: Подключение к порту 15,16 (через "\")
</v>
      </c>
      <c r="AS1" s="542" t="str">
        <f>Таблица!AG1</f>
        <v xml:space="preserve">FB_IM_ADES_S, FB_IMp_S, FB_IMv_S: OXSP
FB_IMstp_S, FB_IMsp_S, FB_IMsp_MON_S: IPTC
SW_S301, SW_MES3508: Подключение к порту 9
SW_MAYAK: Подключение к порту 17,18 (через "\")
</v>
      </c>
      <c r="AT1" s="542" t="str">
        <f>Таблица!AH1</f>
        <v xml:space="preserve">FB_IMstp_S, FB_IMst_MON_S, FB_IMt_MON_S: ITON
FB_IM_ADES_S: IOLD
SW_S301, SW_MES3508: Подключение к порту 10
SW_MAYAK: Подключение к порту 19,20 (через "\")
</v>
      </c>
      <c r="AU1" s="542" t="str">
        <f>Таблица!AI1</f>
        <v>FB_IMstp_S, FB_IMst_MON_S, FB_IMt_MON_S: ITOF
FB_IM_ADES_S: IRAD
SW_MAYAK: Подключение к порту 21,22 (через "\")</v>
      </c>
      <c r="AV1" s="542" t="str">
        <f>Таблица!AJ1</f>
        <v xml:space="preserve">FB_IMstp_S, FB_IMsp_S, FB_IMsp_MON_S, FB_IM_ADES_S: IPTO
SW_MAYAK: Подключение к порту 23,24 (через "\")
</v>
      </c>
      <c r="AW1" s="261"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61" t="str">
        <f>Таблица!AL1</f>
        <v>Для TREI
FB_IMstp_S, FB_IMs_S, FB_IMp_S, FB_IMv_S, FB_IM_ADES_S: Настройка перехода ручной-/автоматический-(TRUE/FALSE) 
FB_DI_S: Генерировать метки времени (TRUE/FALSE)</v>
      </c>
      <c r="AY1" s="261"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61" t="str">
        <f>Таблица!AN1</f>
        <v>Для TREI
FB_AI_S, FB_QSA_S: Верхний предел датчика
FB_IMp_S, FB_IMv_S, FB_IM_ADES_S, FB_OZK_KD_S: Время перестановки</v>
      </c>
      <c r="BA1" s="261"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F1" s="259"/>
      <c r="BG1" s="259"/>
      <c r="BH1" s="259"/>
      <c r="BI1" s="259"/>
    </row>
    <row r="2" spans="1:61" ht="15" customHeight="1">
      <c r="A2" s="9"/>
      <c r="B2" s="9"/>
      <c r="C2" s="9"/>
      <c r="D2" s="9"/>
      <c r="E2" s="9"/>
      <c r="F2" s="9"/>
      <c r="P2" s="2" t="s">
        <v>1561</v>
      </c>
      <c r="Q2" s="2" t="s">
        <v>1562</v>
      </c>
      <c r="R2" s="2" t="s">
        <v>1563</v>
      </c>
      <c r="S2" s="3">
        <v>15</v>
      </c>
      <c r="T2" s="3" t="s">
        <v>1539</v>
      </c>
      <c r="U2" s="3" t="s">
        <v>1556</v>
      </c>
      <c r="V2" s="3" t="s">
        <v>1540</v>
      </c>
      <c r="W2" s="12"/>
      <c r="X2" s="12"/>
      <c r="Y2" s="12"/>
      <c r="Z2" s="12"/>
      <c r="AA2" s="12"/>
      <c r="AB2" s="2"/>
      <c r="AC2" s="2"/>
      <c r="AD2" s="2" t="s">
        <v>1475</v>
      </c>
      <c r="AE2" s="2" t="s">
        <v>1541</v>
      </c>
      <c r="AF2" s="2"/>
      <c r="AG2" s="2"/>
      <c r="AH2" s="2"/>
      <c r="AI2" s="2"/>
      <c r="AJ2" s="2"/>
      <c r="AK2" s="2"/>
      <c r="AL2" s="2"/>
      <c r="AM2" s="2"/>
      <c r="AN2" s="2"/>
      <c r="AO2" s="2"/>
      <c r="AP2" s="2"/>
      <c r="AQ2" s="2"/>
      <c r="AR2" s="2"/>
      <c r="AS2" s="2"/>
      <c r="AT2" s="2"/>
      <c r="AU2" s="2"/>
      <c r="AV2" s="2"/>
      <c r="AW2" s="2"/>
      <c r="AX2" s="2"/>
      <c r="AY2" s="2"/>
      <c r="AZ2" s="2"/>
      <c r="BA2" s="2"/>
      <c r="BF2" s="4"/>
      <c r="BG2" s="4"/>
      <c r="BH2" s="4"/>
      <c r="BI2" s="4"/>
    </row>
    <row r="3" spans="1:61" ht="15" customHeight="1">
      <c r="A3" s="9"/>
      <c r="B3" s="9"/>
      <c r="C3" s="9"/>
      <c r="D3" s="9"/>
      <c r="E3" s="9"/>
      <c r="F3" s="9"/>
      <c r="P3" s="10"/>
      <c r="Q3" s="10"/>
      <c r="R3" s="10"/>
      <c r="S3" s="10"/>
      <c r="T3" s="10"/>
      <c r="U3" s="10"/>
      <c r="V3" s="10"/>
      <c r="W3" s="10"/>
      <c r="X3" s="10"/>
      <c r="Y3" s="10"/>
      <c r="Z3" s="10"/>
      <c r="AA3" s="10"/>
      <c r="BF3" s="4"/>
      <c r="BG3" s="4"/>
      <c r="BH3" s="4"/>
      <c r="BI3" s="4"/>
    </row>
    <row r="4" spans="1:61"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609"/>
      <c r="V4" s="10"/>
      <c r="W4" s="10"/>
      <c r="X4" s="10"/>
      <c r="Y4" s="10"/>
      <c r="Z4" s="10"/>
      <c r="AA4" s="10"/>
      <c r="BF4" s="4"/>
      <c r="BG4" s="4"/>
      <c r="BH4" s="4"/>
      <c r="BI4" s="4"/>
    </row>
    <row r="5" spans="1:61" ht="15" customHeight="1">
      <c r="A5" s="9"/>
      <c r="B5" s="9"/>
      <c r="C5" s="9"/>
      <c r="D5" s="9"/>
      <c r="E5" s="9"/>
      <c r="F5" s="9"/>
      <c r="P5" s="6" t="str">
        <f>Настройки!A2</f>
        <v>Авария</v>
      </c>
      <c r="Q5" s="5">
        <f>Настройки!B2</f>
        <v>4</v>
      </c>
      <c r="R5" s="543" t="str">
        <f>Настройки!C2</f>
        <v>Авария</v>
      </c>
      <c r="S5" s="10"/>
      <c r="T5" s="458">
        <f>Настройки!M12</f>
        <v>1</v>
      </c>
      <c r="U5" s="610"/>
      <c r="V5" s="10"/>
      <c r="W5" s="10"/>
      <c r="X5" s="10"/>
      <c r="Y5" s="10"/>
      <c r="Z5" s="10"/>
      <c r="AA5" s="10"/>
      <c r="BF5" s="4"/>
      <c r="BG5" s="4"/>
      <c r="BH5" s="4"/>
      <c r="BI5" s="4"/>
    </row>
    <row r="6" spans="1:61" ht="15" customHeight="1">
      <c r="A6" s="9"/>
      <c r="B6" s="9"/>
      <c r="C6" s="9"/>
      <c r="D6" s="9"/>
      <c r="E6" s="9"/>
      <c r="F6" s="9"/>
      <c r="P6" s="6" t="str">
        <f>Настройки!A3</f>
        <v>Предупреждение</v>
      </c>
      <c r="Q6" s="5">
        <f>Настройки!B3</f>
        <v>8</v>
      </c>
      <c r="R6" s="543" t="str">
        <f>Настройки!C3</f>
        <v>Предупреждение</v>
      </c>
      <c r="S6" s="10"/>
      <c r="T6" s="608" t="str">
        <f>Настройки!$M$7</f>
        <v>Отображение Таблицы подлючений в диаг.</v>
      </c>
      <c r="U6" s="10"/>
      <c r="V6" s="10"/>
      <c r="W6" s="10"/>
      <c r="X6" s="10"/>
      <c r="Y6" s="10"/>
      <c r="Z6" s="10"/>
      <c r="AA6" s="10"/>
      <c r="BF6" s="4"/>
      <c r="BG6" s="4"/>
      <c r="BH6" s="4"/>
      <c r="BI6" s="4"/>
    </row>
    <row r="7" spans="1:61" ht="15" customHeight="1">
      <c r="A7" s="9"/>
      <c r="B7" s="9"/>
      <c r="C7" s="9"/>
      <c r="D7" s="9"/>
      <c r="E7" s="9"/>
      <c r="F7" s="9"/>
      <c r="P7" s="6" t="str">
        <f>Настройки!A4</f>
        <v>Неисправность</v>
      </c>
      <c r="Q7" s="5">
        <f>Настройки!B4</f>
        <v>12</v>
      </c>
      <c r="R7" s="543" t="str">
        <f>Настройки!C4</f>
        <v>Неисправность</v>
      </c>
      <c r="S7" s="10"/>
      <c r="T7" s="458" t="b">
        <f>Настройки!$M$8</f>
        <v>0</v>
      </c>
      <c r="U7" s="10"/>
      <c r="V7" s="10"/>
      <c r="W7" s="10"/>
      <c r="X7" s="10"/>
      <c r="Y7" s="10"/>
      <c r="Z7" s="10"/>
      <c r="AA7" s="10"/>
      <c r="BF7" s="4"/>
      <c r="BG7" s="4"/>
      <c r="BH7" s="4"/>
      <c r="BI7" s="4"/>
    </row>
    <row r="8" spans="1:61" ht="15" customHeight="1">
      <c r="A8" s="9"/>
      <c r="B8" s="9"/>
      <c r="C8" s="9"/>
      <c r="D8" s="9"/>
      <c r="E8" s="9"/>
      <c r="F8" s="9"/>
      <c r="P8" s="6" t="str">
        <f>Настройки!A5</f>
        <v>Телесигнализация</v>
      </c>
      <c r="Q8" s="5">
        <f>Настройки!B5</f>
        <v>18</v>
      </c>
      <c r="R8" s="543" t="str">
        <f>Настройки!C5</f>
        <v>Телесигнализация</v>
      </c>
      <c r="S8" s="10"/>
      <c r="T8" s="10"/>
      <c r="U8" s="10"/>
      <c r="V8" s="10"/>
      <c r="W8" s="10"/>
      <c r="X8" s="10"/>
      <c r="Y8" s="10"/>
      <c r="Z8" s="10"/>
      <c r="AA8" s="10"/>
      <c r="BF8" s="4"/>
      <c r="BG8" s="4"/>
      <c r="BH8" s="4"/>
      <c r="BI8" s="4"/>
    </row>
    <row r="9" spans="1:61" ht="15" customHeight="1">
      <c r="A9" s="9"/>
      <c r="B9" s="9"/>
      <c r="C9" s="9"/>
      <c r="D9" s="9"/>
      <c r="E9" s="9"/>
      <c r="F9" s="9"/>
      <c r="P9" s="6" t="str">
        <f>Настройки!A6</f>
        <v>Недостоверность</v>
      </c>
      <c r="Q9" s="5">
        <f>Настройки!B6</f>
        <v>10</v>
      </c>
      <c r="R9" s="543" t="str">
        <f>Настройки!C6</f>
        <v>Недостоверность</v>
      </c>
      <c r="S9" s="10"/>
      <c r="T9" s="10"/>
      <c r="U9" s="10"/>
      <c r="V9" s="10"/>
      <c r="W9" s="10"/>
      <c r="X9" s="10"/>
      <c r="Y9" s="10"/>
      <c r="Z9" s="10"/>
      <c r="AA9" s="10"/>
      <c r="BF9" s="4"/>
      <c r="BG9" s="4"/>
      <c r="BH9" s="4"/>
      <c r="BI9" s="4"/>
    </row>
    <row r="10" spans="1:61" ht="15" customHeight="1">
      <c r="A10" s="9"/>
      <c r="B10" s="9"/>
      <c r="C10" s="9"/>
      <c r="D10" s="9"/>
      <c r="E10" s="9"/>
      <c r="F10" s="9"/>
      <c r="P10" s="6" t="str">
        <f>Настройки!A7</f>
        <v>Имитация</v>
      </c>
      <c r="Q10" s="5">
        <f>Настройки!B7</f>
        <v>16</v>
      </c>
      <c r="R10" s="543" t="str">
        <f>Настройки!C7</f>
        <v>Имитация</v>
      </c>
      <c r="S10" s="10"/>
      <c r="T10" s="10"/>
      <c r="U10" s="10"/>
      <c r="V10" s="10"/>
      <c r="W10" s="10"/>
      <c r="X10" s="10"/>
      <c r="Y10" s="10"/>
      <c r="Z10" s="10"/>
      <c r="AA10" s="10"/>
      <c r="BF10" s="4"/>
      <c r="BG10" s="4"/>
      <c r="BH10" s="4"/>
      <c r="BI10" s="4"/>
    </row>
    <row r="11" spans="1:61" ht="15" customHeight="1">
      <c r="A11" s="9"/>
      <c r="B11" s="9"/>
      <c r="C11" s="9"/>
      <c r="D11" s="9"/>
      <c r="E11" s="9"/>
      <c r="F11" s="9"/>
      <c r="P11" s="6" t="str">
        <f>Настройки!A8</f>
        <v>Ремонт</v>
      </c>
      <c r="Q11" s="5">
        <f>Настройки!B8</f>
        <v>14</v>
      </c>
      <c r="R11" s="543" t="str">
        <f>Настройки!C8</f>
        <v>Ремонт</v>
      </c>
      <c r="S11" s="10"/>
      <c r="T11" s="10"/>
      <c r="U11" s="10"/>
      <c r="V11" s="10"/>
      <c r="W11" s="10"/>
      <c r="X11" s="10"/>
      <c r="Y11" s="10"/>
      <c r="Z11" s="10"/>
      <c r="AA11" s="10"/>
      <c r="BF11" s="4"/>
      <c r="BG11" s="4"/>
      <c r="BH11" s="4"/>
      <c r="BI11" s="4"/>
    </row>
    <row r="12" spans="1:61" ht="15" customHeight="1">
      <c r="A12" s="9"/>
      <c r="B12" s="9"/>
      <c r="C12" s="9"/>
      <c r="D12" s="9"/>
      <c r="E12" s="9"/>
      <c r="F12" s="9"/>
      <c r="P12" s="6" t="str">
        <f>Настройки!A9</f>
        <v>Команда оператора</v>
      </c>
      <c r="Q12" s="5">
        <f>Настройки!B9</f>
        <v>20</v>
      </c>
      <c r="R12" s="543" t="str">
        <f>Настройки!C9</f>
        <v>Команда оператора</v>
      </c>
      <c r="S12" s="10"/>
      <c r="T12" s="10"/>
      <c r="U12" s="10"/>
      <c r="V12" s="10"/>
      <c r="W12" s="10"/>
      <c r="X12" s="10"/>
      <c r="Y12" s="10"/>
      <c r="Z12" s="10"/>
      <c r="AA12" s="10"/>
      <c r="BF12" s="4"/>
      <c r="BG12" s="4"/>
      <c r="BH12" s="4"/>
      <c r="BI12" s="4"/>
    </row>
    <row r="13" spans="1:61"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F13" s="4"/>
      <c r="BG13" s="4"/>
      <c r="BH13" s="4"/>
      <c r="BI13" s="4"/>
    </row>
    <row r="14" spans="1:61"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F14" s="4"/>
      <c r="BG14" s="4"/>
      <c r="BH14" s="4"/>
      <c r="BI14" s="4"/>
    </row>
    <row r="15" spans="1:61"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F15" s="4"/>
      <c r="BG15" s="4"/>
      <c r="BH15" s="4"/>
      <c r="BI15" s="4"/>
    </row>
    <row r="16" spans="1:61"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F16" s="4"/>
      <c r="BG16" s="4"/>
      <c r="BH16" s="4"/>
      <c r="BI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F17" s="4"/>
      <c r="BG17" s="4"/>
      <c r="BH17" s="4"/>
      <c r="BI17" s="4"/>
    </row>
    <row r="18" spans="1:68" ht="15" customHeight="1" thickBo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F18" s="4"/>
      <c r="BG18" s="4"/>
      <c r="BH18" s="4"/>
      <c r="BI18" s="4"/>
    </row>
    <row r="19" spans="1:68" ht="15" customHeight="1" thickBot="1">
      <c r="A19" s="9"/>
      <c r="B19" s="9"/>
      <c r="C19" s="9"/>
      <c r="D19" s="783" t="s">
        <v>1682</v>
      </c>
      <c r="E19" s="782"/>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F19" s="4"/>
      <c r="BG19" s="4"/>
      <c r="BH19" s="4"/>
      <c r="BI19" s="4"/>
    </row>
    <row r="20" spans="1:68" ht="15" customHeight="1">
      <c r="A20" s="23" t="str">
        <f>$R$2</f>
        <v>ASUES.ES.ZRU10kV.VV8.QF</v>
      </c>
      <c r="B20" s="24">
        <v>100</v>
      </c>
      <c r="C20" s="24" t="s">
        <v>0</v>
      </c>
      <c r="D20" s="25" t="b">
        <f>$T$7</f>
        <v>0</v>
      </c>
      <c r="BF20" s="4"/>
      <c r="BG20" s="4"/>
      <c r="BH20" s="4"/>
      <c r="BI20" s="4"/>
    </row>
    <row r="21" spans="1:68" ht="15" customHeight="1">
      <c r="A21" s="29" t="str">
        <f>$R$2</f>
        <v>ASUES.ES.ZRU10kV.VV8.QF</v>
      </c>
      <c r="B21">
        <v>11127</v>
      </c>
      <c r="C21" t="s">
        <v>0</v>
      </c>
      <c r="D21" s="30">
        <f>$AK$2</f>
        <v>0</v>
      </c>
      <c r="BM21" s="4"/>
      <c r="BN21" s="4"/>
      <c r="BO21" s="4"/>
      <c r="BP21" s="4"/>
    </row>
    <row r="22" spans="1:68" ht="15" customHeight="1">
      <c r="A22" s="23" t="str">
        <f t="shared" ref="A22:A27" si="0">$R$2</f>
        <v>ASUES.ES.ZRU10kV.VV8.QF</v>
      </c>
      <c r="B22" s="24">
        <v>203</v>
      </c>
      <c r="C22" s="24" t="s">
        <v>2</v>
      </c>
      <c r="D22" s="25" t="s">
        <v>3</v>
      </c>
    </row>
    <row r="23" spans="1:68">
      <c r="A23" s="29" t="str">
        <f>$R$2</f>
        <v>ASUES.ES.ZRU10kV.VV8.QF</v>
      </c>
      <c r="B23" s="1">
        <v>7011</v>
      </c>
      <c r="C23" s="1" t="s">
        <v>2</v>
      </c>
      <c r="D23" s="30" t="s">
        <v>266</v>
      </c>
    </row>
    <row r="24" spans="1:68" ht="15" customHeight="1">
      <c r="A24" s="29" t="str">
        <f t="shared" si="0"/>
        <v>ASUES.ES.ZRU10kV.VV8.QF</v>
      </c>
      <c r="B24">
        <v>9218</v>
      </c>
      <c r="C24" t="s">
        <v>2</v>
      </c>
      <c r="D24" s="30" t="s">
        <v>3</v>
      </c>
    </row>
    <row r="25" spans="1:68" ht="15" customHeight="1">
      <c r="A25" s="29" t="str">
        <f t="shared" si="0"/>
        <v>ASUES.ES.ZRU10kV.VV8.QF</v>
      </c>
      <c r="B25">
        <v>3000203</v>
      </c>
      <c r="C25" t="s">
        <v>0</v>
      </c>
      <c r="D25" s="30" t="str">
        <f>$AE$2</f>
        <v>DIAG.PING.USO_E2.Comm_1.noLink &amp; DIAG.PING.USO_E2.Comm_3.noLink</v>
      </c>
      <c r="BF25" s="4"/>
      <c r="BG25" s="4"/>
      <c r="BH25" s="4"/>
      <c r="BI25" s="4"/>
    </row>
    <row r="26" spans="1:68" ht="15" customHeight="1">
      <c r="A26" s="29" t="str">
        <f t="shared" si="0"/>
        <v>ASUES.ES.ZRU10kV.VV8.QF</v>
      </c>
      <c r="B26">
        <v>4000203</v>
      </c>
      <c r="C26" t="s">
        <v>0</v>
      </c>
      <c r="D26" s="30" t="s">
        <v>1775</v>
      </c>
      <c r="BF26" s="4"/>
      <c r="BG26" s="4"/>
      <c r="BH26" s="4"/>
      <c r="BI26" s="4"/>
    </row>
    <row r="27" spans="1:68" ht="15" customHeight="1">
      <c r="A27" s="26" t="str">
        <f t="shared" si="0"/>
        <v>ASUES.ES.ZRU10kV.VV8.QF</v>
      </c>
      <c r="B27" s="27">
        <v>7000203</v>
      </c>
      <c r="C27" s="27" t="s">
        <v>6</v>
      </c>
      <c r="D27" s="28">
        <v>2</v>
      </c>
      <c r="BF27" s="4"/>
      <c r="BG27" s="4"/>
      <c r="BH27" s="4"/>
      <c r="BI27" s="4"/>
    </row>
    <row r="28" spans="1:68" ht="15" customHeight="1">
      <c r="A28" s="23" t="str">
        <f>$R$2&amp;".Commands"</f>
        <v>ASUES.ES.ZRU10kV.VV8.QF.Commands</v>
      </c>
      <c r="B28" s="24">
        <v>1</v>
      </c>
      <c r="C28" s="24" t="s">
        <v>1</v>
      </c>
      <c r="D28" s="25">
        <v>17</v>
      </c>
      <c r="BF28" s="4"/>
      <c r="BG28" s="4"/>
      <c r="BH28" s="4"/>
      <c r="BI28" s="4"/>
    </row>
    <row r="29" spans="1:68">
      <c r="A29" s="29" t="str">
        <f>$R$2&amp;".Commands"</f>
        <v>ASUES.ES.ZRU10kV.VV8.QF.Commands</v>
      </c>
      <c r="B29" s="1">
        <v>7011</v>
      </c>
      <c r="C29" s="1" t="s">
        <v>2</v>
      </c>
      <c r="D29" s="30" t="s">
        <v>266</v>
      </c>
    </row>
    <row r="30" spans="1:68" ht="15" customHeight="1">
      <c r="A30" s="29" t="str">
        <f>$R$2&amp;".Commands"</f>
        <v>ASUES.ES.ZRU10kV.VV8.QF.Commands</v>
      </c>
      <c r="B30">
        <v>9213</v>
      </c>
      <c r="C30" s="11" t="s">
        <v>2583</v>
      </c>
      <c r="D30" s="30">
        <v>2</v>
      </c>
      <c r="BF30" s="4"/>
      <c r="BG30" s="4"/>
      <c r="BH30" s="4"/>
      <c r="BI30" s="4"/>
    </row>
    <row r="31" spans="1:68" ht="15" customHeight="1">
      <c r="A31" s="29" t="str">
        <f>$R$2&amp;".Commands"</f>
        <v>ASUES.ES.ZRU10kV.VV8.QF.Commands</v>
      </c>
      <c r="B31">
        <v>9214</v>
      </c>
      <c r="C31" t="s">
        <v>2</v>
      </c>
      <c r="D31" s="30" t="s">
        <v>3</v>
      </c>
      <c r="BF31" s="4"/>
      <c r="BG31" s="4"/>
      <c r="BH31" s="4"/>
      <c r="BI31" s="4"/>
    </row>
    <row r="32" spans="1:68" ht="15" customHeight="1">
      <c r="A32" s="29" t="str">
        <f t="shared" ref="A32:A34" si="1">$R$2&amp;".Commands"</f>
        <v>ASUES.ES.ZRU10kV.VV8.QF.Commands</v>
      </c>
      <c r="B32">
        <v>9215</v>
      </c>
      <c r="C32" t="s">
        <v>2</v>
      </c>
      <c r="D32" s="30" t="s">
        <v>3</v>
      </c>
      <c r="BF32" s="4"/>
      <c r="BG32" s="4"/>
      <c r="BH32" s="4"/>
      <c r="BI32" s="4"/>
    </row>
    <row r="33" spans="1:61" ht="15" customHeight="1">
      <c r="A33" s="29" t="str">
        <f t="shared" si="1"/>
        <v>ASUES.ES.ZRU10kV.VV8.QF.Commands</v>
      </c>
      <c r="B33">
        <v>9216</v>
      </c>
      <c r="C33" t="s">
        <v>2</v>
      </c>
      <c r="D33" s="30" t="s">
        <v>3</v>
      </c>
      <c r="BF33" s="4"/>
      <c r="BG33" s="4"/>
      <c r="BH33" s="4"/>
      <c r="BI33" s="4"/>
    </row>
    <row r="34" spans="1:61" ht="15" customHeight="1">
      <c r="A34" s="26" t="str">
        <f t="shared" si="1"/>
        <v>ASUES.ES.ZRU10kV.VV8.QF.Commands</v>
      </c>
      <c r="B34" s="27">
        <v>9217</v>
      </c>
      <c r="C34" s="27" t="s">
        <v>2</v>
      </c>
      <c r="D34" s="28" t="s">
        <v>3</v>
      </c>
      <c r="BF34" s="4"/>
      <c r="BG34" s="4"/>
      <c r="BH34" s="4"/>
      <c r="BI34" s="4"/>
    </row>
    <row r="35" spans="1:61" ht="15" customHeight="1">
      <c r="A35" s="148" t="str">
        <f t="shared" ref="A35:A44" si="2">$R$2&amp;".aAccelMTZ"</f>
        <v>ASUES.ES.ZRU10kV.VV8.QF.aAccelMTZ</v>
      </c>
      <c r="B35" s="683">
        <v>11154</v>
      </c>
      <c r="C35" s="683" t="s">
        <v>4</v>
      </c>
      <c r="D35" s="535">
        <f>$Q$5</f>
        <v>4</v>
      </c>
    </row>
    <row r="36" spans="1:61" ht="15" customHeight="1">
      <c r="A36" s="148" t="str">
        <f t="shared" si="2"/>
        <v>ASUES.ES.ZRU10kV.VV8.QF.aAccelMTZ</v>
      </c>
      <c r="B36" s="683">
        <v>11150</v>
      </c>
      <c r="C36" s="683" t="s">
        <v>0</v>
      </c>
      <c r="D36" s="125" t="s">
        <v>335</v>
      </c>
    </row>
    <row r="37" spans="1:61" ht="15" customHeight="1">
      <c r="A37" s="148" t="str">
        <f t="shared" si="2"/>
        <v>ASUES.ES.ZRU10kV.VV8.QF.aAccelMTZ</v>
      </c>
      <c r="B37" s="683">
        <v>11152</v>
      </c>
      <c r="C37" s="683" t="s">
        <v>0</v>
      </c>
      <c r="D37" s="125" t="str">
        <f>$R$5</f>
        <v>Авария</v>
      </c>
    </row>
    <row r="38" spans="1:61" ht="15" customHeight="1">
      <c r="A38" s="148" t="str">
        <f t="shared" si="2"/>
        <v>ASUES.ES.ZRU10kV.VV8.QF.aAccelMTZ</v>
      </c>
      <c r="B38" s="683">
        <v>11000</v>
      </c>
      <c r="C38" s="683" t="s">
        <v>5</v>
      </c>
      <c r="D38" s="125">
        <v>2147483680</v>
      </c>
    </row>
    <row r="39" spans="1:61" ht="15" customHeight="1">
      <c r="A39" s="29" t="str">
        <f t="shared" si="2"/>
        <v>ASUES.ES.ZRU10kV.VV8.QF.aAccelMTZ</v>
      </c>
      <c r="B39">
        <v>7999</v>
      </c>
      <c r="C39" t="s">
        <v>0</v>
      </c>
      <c r="D39" s="30" t="str">
        <f>"#"&amp;$S$2&amp;"#"&amp;$T$2&amp;"."&amp;$P$2&amp;".TS65_80_TS68"</f>
        <v>#15#\\SERVER-ASCUER\Relematika.Modbus.OPCDAServer.VV8.TS65_80_TS68</v>
      </c>
    </row>
    <row r="40" spans="1:61" ht="15" customHeight="1">
      <c r="A40" s="29" t="str">
        <f t="shared" si="2"/>
        <v>ASUES.ES.ZRU10kV.VV8.QF.aAccelMTZ</v>
      </c>
      <c r="B40">
        <v>7998</v>
      </c>
      <c r="C40" t="s">
        <v>6</v>
      </c>
      <c r="D40" s="30">
        <v>1</v>
      </c>
    </row>
    <row r="41" spans="1:61" ht="15" customHeight="1">
      <c r="A41" s="29" t="str">
        <f t="shared" si="2"/>
        <v>ASUES.ES.ZRU10kV.VV8.QF.aAccelMTZ</v>
      </c>
      <c r="B41">
        <v>101</v>
      </c>
      <c r="C41" t="s">
        <v>0</v>
      </c>
      <c r="D41" s="30" t="s">
        <v>335</v>
      </c>
    </row>
    <row r="42" spans="1:61" ht="15" customHeight="1">
      <c r="A42" s="29" t="str">
        <f t="shared" si="2"/>
        <v>ASUES.ES.ZRU10kV.VV8.QF.aAccelMTZ</v>
      </c>
      <c r="B42">
        <v>3</v>
      </c>
      <c r="C42" t="s">
        <v>1</v>
      </c>
      <c r="D42" s="30">
        <v>192</v>
      </c>
    </row>
    <row r="43" spans="1:61" ht="15" customHeight="1">
      <c r="A43" s="29" t="str">
        <f t="shared" si="2"/>
        <v>ASUES.ES.ZRU10kV.VV8.QF.aAccelMTZ</v>
      </c>
      <c r="B43">
        <v>2</v>
      </c>
      <c r="C43" t="s">
        <v>2</v>
      </c>
      <c r="D43" s="30" t="s">
        <v>175</v>
      </c>
    </row>
    <row r="44" spans="1:61" ht="15" customHeight="1">
      <c r="A44" s="26" t="str">
        <f t="shared" si="2"/>
        <v>ASUES.ES.ZRU10kV.VV8.QF.aAccelMTZ</v>
      </c>
      <c r="B44" s="27">
        <v>1</v>
      </c>
      <c r="C44" s="27" t="s">
        <v>1</v>
      </c>
      <c r="D44" s="28">
        <v>11</v>
      </c>
    </row>
    <row r="45" spans="1:61" ht="15" customHeight="1">
      <c r="A45" s="148" t="str">
        <f t="shared" ref="A45:A54" si="3">$R$2&amp;".aAVR_Trip"</f>
        <v>ASUES.ES.ZRU10kV.VV8.QF.aAVR_Trip</v>
      </c>
      <c r="B45" s="683">
        <v>11154</v>
      </c>
      <c r="C45" s="683" t="s">
        <v>4</v>
      </c>
      <c r="D45" s="535">
        <f>$Q$5</f>
        <v>4</v>
      </c>
    </row>
    <row r="46" spans="1:61" ht="15" customHeight="1">
      <c r="A46" s="148" t="str">
        <f t="shared" si="3"/>
        <v>ASUES.ES.ZRU10kV.VV8.QF.aAVR_Trip</v>
      </c>
      <c r="B46" s="683">
        <v>11150</v>
      </c>
      <c r="C46" s="683" t="s">
        <v>0</v>
      </c>
      <c r="D46" s="125" t="s">
        <v>1530</v>
      </c>
    </row>
    <row r="47" spans="1:61" ht="15" customHeight="1">
      <c r="A47" s="148" t="str">
        <f t="shared" si="3"/>
        <v>ASUES.ES.ZRU10kV.VV8.QF.aAVR_Trip</v>
      </c>
      <c r="B47" s="683">
        <v>11152</v>
      </c>
      <c r="C47" s="683" t="s">
        <v>0</v>
      </c>
      <c r="D47" s="125" t="str">
        <f>$R$5</f>
        <v>Авария</v>
      </c>
    </row>
    <row r="48" spans="1:61" ht="15" customHeight="1">
      <c r="A48" s="148" t="str">
        <f t="shared" si="3"/>
        <v>ASUES.ES.ZRU10kV.VV8.QF.aAVR_Trip</v>
      </c>
      <c r="B48" s="683">
        <v>11000</v>
      </c>
      <c r="C48" s="683" t="s">
        <v>5</v>
      </c>
      <c r="D48" s="125">
        <v>2147483680</v>
      </c>
    </row>
    <row r="49" spans="1:4" ht="15" customHeight="1">
      <c r="A49" s="29" t="str">
        <f t="shared" si="3"/>
        <v>ASUES.ES.ZRU10kV.VV8.QF.aAVR_Trip</v>
      </c>
      <c r="B49">
        <v>7999</v>
      </c>
      <c r="C49" t="s">
        <v>0</v>
      </c>
      <c r="D49" s="30" t="str">
        <f>"#"&amp;$S$2&amp;"#"&amp;$T$2&amp;"."&amp;$P$2&amp;".TS177_192_TS183"</f>
        <v>#15#\\SERVER-ASCUER\Relematika.Modbus.OPCDAServer.VV8.TS177_192_TS183</v>
      </c>
    </row>
    <row r="50" spans="1:4" ht="15" customHeight="1">
      <c r="A50" s="29" t="str">
        <f t="shared" si="3"/>
        <v>ASUES.ES.ZRU10kV.VV8.QF.aAVR_Trip</v>
      </c>
      <c r="B50">
        <v>7998</v>
      </c>
      <c r="C50" t="s">
        <v>6</v>
      </c>
      <c r="D50" s="30">
        <v>1</v>
      </c>
    </row>
    <row r="51" spans="1:4" ht="15" customHeight="1">
      <c r="A51" s="29" t="str">
        <f t="shared" si="3"/>
        <v>ASUES.ES.ZRU10kV.VV8.QF.aAVR_Trip</v>
      </c>
      <c r="B51">
        <v>101</v>
      </c>
      <c r="C51" t="s">
        <v>0</v>
      </c>
      <c r="D51" s="30" t="s">
        <v>1530</v>
      </c>
    </row>
    <row r="52" spans="1:4" ht="15" customHeight="1">
      <c r="A52" s="29" t="str">
        <f t="shared" si="3"/>
        <v>ASUES.ES.ZRU10kV.VV8.QF.aAVR_Trip</v>
      </c>
      <c r="B52">
        <v>3</v>
      </c>
      <c r="C52" t="s">
        <v>1</v>
      </c>
      <c r="D52" s="30">
        <v>192</v>
      </c>
    </row>
    <row r="53" spans="1:4" ht="15" customHeight="1">
      <c r="A53" s="29" t="str">
        <f t="shared" si="3"/>
        <v>ASUES.ES.ZRU10kV.VV8.QF.aAVR_Trip</v>
      </c>
      <c r="B53">
        <v>2</v>
      </c>
      <c r="C53" t="s">
        <v>2</v>
      </c>
      <c r="D53" s="30" t="s">
        <v>175</v>
      </c>
    </row>
    <row r="54" spans="1:4" ht="15" customHeight="1">
      <c r="A54" s="26" t="str">
        <f t="shared" si="3"/>
        <v>ASUES.ES.ZRU10kV.VV8.QF.aAVR_Trip</v>
      </c>
      <c r="B54" s="27">
        <v>1</v>
      </c>
      <c r="C54" s="27" t="s">
        <v>1</v>
      </c>
      <c r="D54" s="28">
        <v>11</v>
      </c>
    </row>
    <row r="55" spans="1:4" ht="15" customHeight="1">
      <c r="A55" s="148" t="str">
        <f t="shared" ref="A55:A64" si="4">$R$2&amp;".aDGZ_KZ"</f>
        <v>ASUES.ES.ZRU10kV.VV8.QF.aDGZ_KZ</v>
      </c>
      <c r="B55" s="683">
        <v>11154</v>
      </c>
      <c r="C55" s="683" t="s">
        <v>4</v>
      </c>
      <c r="D55" s="535">
        <f>$Q$5</f>
        <v>4</v>
      </c>
    </row>
    <row r="56" spans="1:4" ht="15" customHeight="1">
      <c r="A56" s="148" t="str">
        <f t="shared" si="4"/>
        <v>ASUES.ES.ZRU10kV.VV8.QF.aDGZ_KZ</v>
      </c>
      <c r="B56" s="683">
        <v>11150</v>
      </c>
      <c r="C56" s="683" t="s">
        <v>0</v>
      </c>
      <c r="D56" s="125" t="s">
        <v>1499</v>
      </c>
    </row>
    <row r="57" spans="1:4" ht="15" customHeight="1">
      <c r="A57" s="148" t="str">
        <f t="shared" si="4"/>
        <v>ASUES.ES.ZRU10kV.VV8.QF.aDGZ_KZ</v>
      </c>
      <c r="B57" s="683">
        <v>11152</v>
      </c>
      <c r="C57" s="683" t="s">
        <v>0</v>
      </c>
      <c r="D57" s="125" t="str">
        <f>$R$5</f>
        <v>Авария</v>
      </c>
    </row>
    <row r="58" spans="1:4" ht="15" customHeight="1">
      <c r="A58" s="148" t="str">
        <f t="shared" si="4"/>
        <v>ASUES.ES.ZRU10kV.VV8.QF.aDGZ_KZ</v>
      </c>
      <c r="B58" s="683">
        <v>11000</v>
      </c>
      <c r="C58" s="683" t="s">
        <v>5</v>
      </c>
      <c r="D58" s="125">
        <v>2147483680</v>
      </c>
    </row>
    <row r="59" spans="1:4" ht="15" customHeight="1">
      <c r="A59" s="29" t="str">
        <f t="shared" si="4"/>
        <v>ASUES.ES.ZRU10kV.VV8.QF.aDGZ_KZ</v>
      </c>
      <c r="B59">
        <v>7999</v>
      </c>
      <c r="C59" t="s">
        <v>0</v>
      </c>
      <c r="D59" s="30" t="str">
        <f>"#"&amp;$S$2&amp;"#"&amp;$T$2&amp;"."&amp;$P$2&amp;".TS225_240_TS239"</f>
        <v>#15#\\SERVER-ASCUER\Relematika.Modbus.OPCDAServer.VV8.TS225_240_TS239</v>
      </c>
    </row>
    <row r="60" spans="1:4" ht="15" customHeight="1">
      <c r="A60" s="29" t="str">
        <f t="shared" si="4"/>
        <v>ASUES.ES.ZRU10kV.VV8.QF.aDGZ_KZ</v>
      </c>
      <c r="B60">
        <v>7998</v>
      </c>
      <c r="C60" t="s">
        <v>6</v>
      </c>
      <c r="D60" s="30">
        <v>1</v>
      </c>
    </row>
    <row r="61" spans="1:4" ht="15" customHeight="1">
      <c r="A61" s="29" t="str">
        <f t="shared" si="4"/>
        <v>ASUES.ES.ZRU10kV.VV8.QF.aDGZ_KZ</v>
      </c>
      <c r="B61">
        <v>101</v>
      </c>
      <c r="C61" t="s">
        <v>0</v>
      </c>
      <c r="D61" s="30" t="s">
        <v>1499</v>
      </c>
    </row>
    <row r="62" spans="1:4" ht="15" customHeight="1">
      <c r="A62" s="29" t="str">
        <f t="shared" si="4"/>
        <v>ASUES.ES.ZRU10kV.VV8.QF.aDGZ_KZ</v>
      </c>
      <c r="B62">
        <v>3</v>
      </c>
      <c r="C62" t="s">
        <v>1</v>
      </c>
      <c r="D62" s="30">
        <v>192</v>
      </c>
    </row>
    <row r="63" spans="1:4" ht="15" customHeight="1">
      <c r="A63" s="29" t="str">
        <f t="shared" si="4"/>
        <v>ASUES.ES.ZRU10kV.VV8.QF.aDGZ_KZ</v>
      </c>
      <c r="B63">
        <v>2</v>
      </c>
      <c r="C63" t="s">
        <v>2</v>
      </c>
      <c r="D63" s="30" t="s">
        <v>175</v>
      </c>
    </row>
    <row r="64" spans="1:4" ht="15" customHeight="1">
      <c r="A64" s="26" t="str">
        <f t="shared" si="4"/>
        <v>ASUES.ES.ZRU10kV.VV8.QF.aDGZ_KZ</v>
      </c>
      <c r="B64" s="27">
        <v>1</v>
      </c>
      <c r="C64" s="27" t="s">
        <v>1</v>
      </c>
      <c r="D64" s="28">
        <v>11</v>
      </c>
    </row>
    <row r="65" spans="1:4" ht="15" customHeight="1">
      <c r="A65" s="148" t="str">
        <f t="shared" ref="A65:A74" si="5">$R$2&amp;".aDGZ_UROV"</f>
        <v>ASUES.ES.ZRU10kV.VV8.QF.aDGZ_UROV</v>
      </c>
      <c r="B65" s="683">
        <v>11154</v>
      </c>
      <c r="C65" s="683" t="s">
        <v>4</v>
      </c>
      <c r="D65" s="535">
        <f>$Q$5</f>
        <v>4</v>
      </c>
    </row>
    <row r="66" spans="1:4" ht="15" customHeight="1">
      <c r="A66" s="148" t="str">
        <f t="shared" si="5"/>
        <v>ASUES.ES.ZRU10kV.VV8.QF.aDGZ_UROV</v>
      </c>
      <c r="B66" s="683">
        <v>11150</v>
      </c>
      <c r="C66" s="683" t="s">
        <v>0</v>
      </c>
      <c r="D66" s="125" t="s">
        <v>1521</v>
      </c>
    </row>
    <row r="67" spans="1:4" ht="15" customHeight="1">
      <c r="A67" s="148" t="str">
        <f t="shared" si="5"/>
        <v>ASUES.ES.ZRU10kV.VV8.QF.aDGZ_UROV</v>
      </c>
      <c r="B67" s="683">
        <v>11152</v>
      </c>
      <c r="C67" s="683" t="s">
        <v>0</v>
      </c>
      <c r="D67" s="125" t="str">
        <f>$R$5</f>
        <v>Авария</v>
      </c>
    </row>
    <row r="68" spans="1:4" ht="15" customHeight="1">
      <c r="A68" s="148" t="str">
        <f t="shared" si="5"/>
        <v>ASUES.ES.ZRU10kV.VV8.QF.aDGZ_UROV</v>
      </c>
      <c r="B68" s="683">
        <v>11000</v>
      </c>
      <c r="C68" s="683" t="s">
        <v>5</v>
      </c>
      <c r="D68" s="125">
        <v>2147483680</v>
      </c>
    </row>
    <row r="69" spans="1:4" ht="15" customHeight="1">
      <c r="A69" s="29" t="str">
        <f t="shared" si="5"/>
        <v>ASUES.ES.ZRU10kV.VV8.QF.aDGZ_UROV</v>
      </c>
      <c r="B69">
        <v>7999</v>
      </c>
      <c r="C69" t="s">
        <v>0</v>
      </c>
      <c r="D69" s="30" t="str">
        <f>"#"&amp;$S$2&amp;"#"&amp;$T$2&amp;"."&amp;$P$2&amp;".TS177_192_TS177"</f>
        <v>#15#\\SERVER-ASCUER\Relematika.Modbus.OPCDAServer.VV8.TS177_192_TS177</v>
      </c>
    </row>
    <row r="70" spans="1:4" ht="15" customHeight="1">
      <c r="A70" s="29" t="str">
        <f t="shared" si="5"/>
        <v>ASUES.ES.ZRU10kV.VV8.QF.aDGZ_UROV</v>
      </c>
      <c r="B70">
        <v>7998</v>
      </c>
      <c r="C70" t="s">
        <v>6</v>
      </c>
      <c r="D70" s="30">
        <v>1</v>
      </c>
    </row>
    <row r="71" spans="1:4" ht="15" customHeight="1">
      <c r="A71" s="29" t="str">
        <f t="shared" si="5"/>
        <v>ASUES.ES.ZRU10kV.VV8.QF.aDGZ_UROV</v>
      </c>
      <c r="B71">
        <v>101</v>
      </c>
      <c r="C71" t="s">
        <v>0</v>
      </c>
      <c r="D71" s="30" t="s">
        <v>1521</v>
      </c>
    </row>
    <row r="72" spans="1:4" ht="15" customHeight="1">
      <c r="A72" s="29" t="str">
        <f t="shared" si="5"/>
        <v>ASUES.ES.ZRU10kV.VV8.QF.aDGZ_UROV</v>
      </c>
      <c r="B72">
        <v>3</v>
      </c>
      <c r="C72" t="s">
        <v>1</v>
      </c>
      <c r="D72" s="30">
        <v>192</v>
      </c>
    </row>
    <row r="73" spans="1:4" ht="15" customHeight="1">
      <c r="A73" s="29" t="str">
        <f t="shared" si="5"/>
        <v>ASUES.ES.ZRU10kV.VV8.QF.aDGZ_UROV</v>
      </c>
      <c r="B73">
        <v>2</v>
      </c>
      <c r="C73" t="s">
        <v>2</v>
      </c>
      <c r="D73" s="30" t="s">
        <v>175</v>
      </c>
    </row>
    <row r="74" spans="1:4" ht="15" customHeight="1">
      <c r="A74" s="26" t="str">
        <f t="shared" si="5"/>
        <v>ASUES.ES.ZRU10kV.VV8.QF.aDGZ_UROV</v>
      </c>
      <c r="B74" s="27">
        <v>1</v>
      </c>
      <c r="C74" s="27" t="s">
        <v>1</v>
      </c>
      <c r="D74" s="28">
        <v>11</v>
      </c>
    </row>
    <row r="75" spans="1:4" ht="15" customHeight="1">
      <c r="A75" s="148" t="str">
        <f t="shared" ref="A75:A84" si="6">$R$2&amp;".aDGZ_Valve"</f>
        <v>ASUES.ES.ZRU10kV.VV8.QF.aDGZ_Valve</v>
      </c>
      <c r="B75" s="683">
        <v>11154</v>
      </c>
      <c r="C75" s="683" t="s">
        <v>4</v>
      </c>
      <c r="D75" s="535">
        <f>$Q$5</f>
        <v>4</v>
      </c>
    </row>
    <row r="76" spans="1:4" ht="15" customHeight="1">
      <c r="A76" s="148" t="str">
        <f t="shared" si="6"/>
        <v>ASUES.ES.ZRU10kV.VV8.QF.aDGZ_Valve</v>
      </c>
      <c r="B76" s="683">
        <v>11150</v>
      </c>
      <c r="C76" s="683" t="s">
        <v>0</v>
      </c>
      <c r="D76" s="125" t="s">
        <v>1542</v>
      </c>
    </row>
    <row r="77" spans="1:4" ht="15" customHeight="1">
      <c r="A77" s="148" t="str">
        <f t="shared" si="6"/>
        <v>ASUES.ES.ZRU10kV.VV8.QF.aDGZ_Valve</v>
      </c>
      <c r="B77" s="683">
        <v>11152</v>
      </c>
      <c r="C77" s="683" t="s">
        <v>0</v>
      </c>
      <c r="D77" s="125" t="str">
        <f>$R$5</f>
        <v>Авария</v>
      </c>
    </row>
    <row r="78" spans="1:4" ht="15" customHeight="1">
      <c r="A78" s="148" t="str">
        <f t="shared" si="6"/>
        <v>ASUES.ES.ZRU10kV.VV8.QF.aDGZ_Valve</v>
      </c>
      <c r="B78" s="683">
        <v>11000</v>
      </c>
      <c r="C78" s="683" t="s">
        <v>5</v>
      </c>
      <c r="D78" s="125">
        <v>2147483680</v>
      </c>
    </row>
    <row r="79" spans="1:4" ht="15" customHeight="1">
      <c r="A79" s="29" t="str">
        <f t="shared" si="6"/>
        <v>ASUES.ES.ZRU10kV.VV8.QF.aDGZ_Valve</v>
      </c>
      <c r="B79">
        <v>7999</v>
      </c>
      <c r="C79" t="s">
        <v>0</v>
      </c>
      <c r="D79" s="30" t="str">
        <f>"#"&amp;$S$2&amp;"#"&amp;$T$2&amp;"."&amp;$P$2&amp;".TS49_64_TS64"</f>
        <v>#15#\\SERVER-ASCUER\Relematika.Modbus.OPCDAServer.VV8.TS49_64_TS64</v>
      </c>
    </row>
    <row r="80" spans="1:4" ht="15" customHeight="1">
      <c r="A80" s="29" t="str">
        <f t="shared" si="6"/>
        <v>ASUES.ES.ZRU10kV.VV8.QF.aDGZ_Valve</v>
      </c>
      <c r="B80">
        <v>7998</v>
      </c>
      <c r="C80" t="s">
        <v>6</v>
      </c>
      <c r="D80" s="30">
        <v>1</v>
      </c>
    </row>
    <row r="81" spans="1:4" ht="15" customHeight="1">
      <c r="A81" s="29" t="str">
        <f t="shared" si="6"/>
        <v>ASUES.ES.ZRU10kV.VV8.QF.aDGZ_Valve</v>
      </c>
      <c r="B81">
        <v>101</v>
      </c>
      <c r="C81" t="s">
        <v>0</v>
      </c>
      <c r="D81" s="30" t="s">
        <v>1542</v>
      </c>
    </row>
    <row r="82" spans="1:4" ht="15" customHeight="1">
      <c r="A82" s="29" t="str">
        <f t="shared" si="6"/>
        <v>ASUES.ES.ZRU10kV.VV8.QF.aDGZ_Valve</v>
      </c>
      <c r="B82">
        <v>3</v>
      </c>
      <c r="C82" t="s">
        <v>1</v>
      </c>
      <c r="D82" s="30">
        <v>192</v>
      </c>
    </row>
    <row r="83" spans="1:4" ht="15" customHeight="1">
      <c r="A83" s="29" t="str">
        <f t="shared" si="6"/>
        <v>ASUES.ES.ZRU10kV.VV8.QF.aDGZ_Valve</v>
      </c>
      <c r="B83">
        <v>2</v>
      </c>
      <c r="C83" t="s">
        <v>2</v>
      </c>
      <c r="D83" s="30" t="s">
        <v>175</v>
      </c>
    </row>
    <row r="84" spans="1:4" ht="15" customHeight="1">
      <c r="A84" s="26" t="str">
        <f t="shared" si="6"/>
        <v>ASUES.ES.ZRU10kV.VV8.QF.aDGZ_Valve</v>
      </c>
      <c r="B84" s="27">
        <v>1</v>
      </c>
      <c r="C84" s="27" t="s">
        <v>1</v>
      </c>
      <c r="D84" s="28">
        <v>11</v>
      </c>
    </row>
    <row r="85" spans="1:4" ht="15" customHeight="1">
      <c r="A85" s="148" t="str">
        <f t="shared" ref="A85:A94" si="7">$R$2&amp;".aExtTrip1"</f>
        <v>ASUES.ES.ZRU10kV.VV8.QF.aExtTrip1</v>
      </c>
      <c r="B85" s="683">
        <v>11154</v>
      </c>
      <c r="C85" s="683" t="s">
        <v>4</v>
      </c>
      <c r="D85" s="535">
        <f>$Q$5</f>
        <v>4</v>
      </c>
    </row>
    <row r="86" spans="1:4" ht="15" customHeight="1">
      <c r="A86" s="148" t="str">
        <f t="shared" si="7"/>
        <v>ASUES.ES.ZRU10kV.VV8.QF.aExtTrip1</v>
      </c>
      <c r="B86" s="683">
        <v>11150</v>
      </c>
      <c r="C86" s="683" t="s">
        <v>0</v>
      </c>
      <c r="D86" s="125" t="s">
        <v>1522</v>
      </c>
    </row>
    <row r="87" spans="1:4" ht="15" customHeight="1">
      <c r="A87" s="148" t="str">
        <f t="shared" si="7"/>
        <v>ASUES.ES.ZRU10kV.VV8.QF.aExtTrip1</v>
      </c>
      <c r="B87" s="683">
        <v>11152</v>
      </c>
      <c r="C87" s="683" t="s">
        <v>0</v>
      </c>
      <c r="D87" s="125" t="str">
        <f>$R$5</f>
        <v>Авария</v>
      </c>
    </row>
    <row r="88" spans="1:4" ht="15" customHeight="1">
      <c r="A88" s="148" t="str">
        <f t="shared" si="7"/>
        <v>ASUES.ES.ZRU10kV.VV8.QF.aExtTrip1</v>
      </c>
      <c r="B88" s="683">
        <v>11000</v>
      </c>
      <c r="C88" s="683" t="s">
        <v>5</v>
      </c>
      <c r="D88" s="125">
        <v>2147483680</v>
      </c>
    </row>
    <row r="89" spans="1:4" ht="15" customHeight="1">
      <c r="A89" s="29" t="str">
        <f t="shared" si="7"/>
        <v>ASUES.ES.ZRU10kV.VV8.QF.aExtTrip1</v>
      </c>
      <c r="B89">
        <v>7999</v>
      </c>
      <c r="C89" t="s">
        <v>0</v>
      </c>
      <c r="D89" s="30" t="str">
        <f>"#"&amp;$S$2&amp;"#"&amp;$T$2&amp;"."&amp;$P$2&amp;".TS177_192_TS182"</f>
        <v>#15#\\SERVER-ASCUER\Relematika.Modbus.OPCDAServer.VV8.TS177_192_TS182</v>
      </c>
    </row>
    <row r="90" spans="1:4" ht="15" customHeight="1">
      <c r="A90" s="29" t="str">
        <f t="shared" si="7"/>
        <v>ASUES.ES.ZRU10kV.VV8.QF.aExtTrip1</v>
      </c>
      <c r="B90">
        <v>7998</v>
      </c>
      <c r="C90" t="s">
        <v>6</v>
      </c>
      <c r="D90" s="30">
        <v>1</v>
      </c>
    </row>
    <row r="91" spans="1:4" ht="15" customHeight="1">
      <c r="A91" s="29" t="str">
        <f t="shared" si="7"/>
        <v>ASUES.ES.ZRU10kV.VV8.QF.aExtTrip1</v>
      </c>
      <c r="B91">
        <v>101</v>
      </c>
      <c r="C91" t="s">
        <v>0</v>
      </c>
      <c r="D91" s="30" t="s">
        <v>1522</v>
      </c>
    </row>
    <row r="92" spans="1:4" ht="15" customHeight="1">
      <c r="A92" s="29" t="str">
        <f t="shared" si="7"/>
        <v>ASUES.ES.ZRU10kV.VV8.QF.aExtTrip1</v>
      </c>
      <c r="B92">
        <v>3</v>
      </c>
      <c r="C92" t="s">
        <v>1</v>
      </c>
      <c r="D92" s="30">
        <v>192</v>
      </c>
    </row>
    <row r="93" spans="1:4" ht="15" customHeight="1">
      <c r="A93" s="29" t="str">
        <f t="shared" si="7"/>
        <v>ASUES.ES.ZRU10kV.VV8.QF.aExtTrip1</v>
      </c>
      <c r="B93">
        <v>2</v>
      </c>
      <c r="C93" t="s">
        <v>2</v>
      </c>
      <c r="D93" s="30" t="s">
        <v>175</v>
      </c>
    </row>
    <row r="94" spans="1:4" ht="15" customHeight="1">
      <c r="A94" s="26" t="str">
        <f t="shared" si="7"/>
        <v>ASUES.ES.ZRU10kV.VV8.QF.aExtTrip1</v>
      </c>
      <c r="B94" s="27">
        <v>1</v>
      </c>
      <c r="C94" s="27" t="s">
        <v>1</v>
      </c>
      <c r="D94" s="28">
        <v>11</v>
      </c>
    </row>
    <row r="95" spans="1:4" ht="15" customHeight="1">
      <c r="A95" s="148" t="str">
        <f t="shared" ref="A95:A104" si="8">$R$2&amp;".aExtTrip2"</f>
        <v>ASUES.ES.ZRU10kV.VV8.QF.aExtTrip2</v>
      </c>
      <c r="B95" s="683">
        <v>11154</v>
      </c>
      <c r="C95" s="683" t="s">
        <v>4</v>
      </c>
      <c r="D95" s="535">
        <f>$Q$5</f>
        <v>4</v>
      </c>
    </row>
    <row r="96" spans="1:4" ht="15" customHeight="1">
      <c r="A96" s="148" t="str">
        <f t="shared" si="8"/>
        <v>ASUES.ES.ZRU10kV.VV8.QF.aExtTrip2</v>
      </c>
      <c r="B96" s="683">
        <v>11150</v>
      </c>
      <c r="C96" s="683" t="s">
        <v>0</v>
      </c>
      <c r="D96" s="125" t="s">
        <v>1523</v>
      </c>
    </row>
    <row r="97" spans="1:4" ht="15" customHeight="1">
      <c r="A97" s="148" t="str">
        <f t="shared" si="8"/>
        <v>ASUES.ES.ZRU10kV.VV8.QF.aExtTrip2</v>
      </c>
      <c r="B97" s="683">
        <v>11152</v>
      </c>
      <c r="C97" s="683" t="s">
        <v>0</v>
      </c>
      <c r="D97" s="125" t="str">
        <f>$R$5</f>
        <v>Авария</v>
      </c>
    </row>
    <row r="98" spans="1:4" ht="15" customHeight="1">
      <c r="A98" s="148" t="str">
        <f t="shared" si="8"/>
        <v>ASUES.ES.ZRU10kV.VV8.QF.aExtTrip2</v>
      </c>
      <c r="B98" s="683">
        <v>11000</v>
      </c>
      <c r="C98" s="683" t="s">
        <v>5</v>
      </c>
      <c r="D98" s="125">
        <v>2147483680</v>
      </c>
    </row>
    <row r="99" spans="1:4" ht="15" customHeight="1">
      <c r="A99" s="29" t="str">
        <f t="shared" si="8"/>
        <v>ASUES.ES.ZRU10kV.VV8.QF.aExtTrip2</v>
      </c>
      <c r="B99">
        <v>7999</v>
      </c>
      <c r="C99" t="s">
        <v>0</v>
      </c>
      <c r="D99" s="30" t="str">
        <f>"#"&amp;$S$2&amp;"#"&amp;$T$2&amp;"."&amp;$P$2&amp;".TS177_192_TS181"</f>
        <v>#15#\\SERVER-ASCUER\Relematika.Modbus.OPCDAServer.VV8.TS177_192_TS181</v>
      </c>
    </row>
    <row r="100" spans="1:4" ht="15" customHeight="1">
      <c r="A100" s="29" t="str">
        <f t="shared" si="8"/>
        <v>ASUES.ES.ZRU10kV.VV8.QF.aExtTrip2</v>
      </c>
      <c r="B100">
        <v>7998</v>
      </c>
      <c r="C100" t="s">
        <v>6</v>
      </c>
      <c r="D100" s="30">
        <v>1</v>
      </c>
    </row>
    <row r="101" spans="1:4" ht="15" customHeight="1">
      <c r="A101" s="29" t="str">
        <f t="shared" si="8"/>
        <v>ASUES.ES.ZRU10kV.VV8.QF.aExtTrip2</v>
      </c>
      <c r="B101">
        <v>101</v>
      </c>
      <c r="C101" t="s">
        <v>0</v>
      </c>
      <c r="D101" s="30" t="s">
        <v>1523</v>
      </c>
    </row>
    <row r="102" spans="1:4" ht="15" customHeight="1">
      <c r="A102" s="29" t="str">
        <f t="shared" si="8"/>
        <v>ASUES.ES.ZRU10kV.VV8.QF.aExtTrip2</v>
      </c>
      <c r="B102">
        <v>3</v>
      </c>
      <c r="C102" t="s">
        <v>1</v>
      </c>
      <c r="D102" s="30">
        <v>192</v>
      </c>
    </row>
    <row r="103" spans="1:4" ht="15" customHeight="1">
      <c r="A103" s="29" t="str">
        <f t="shared" si="8"/>
        <v>ASUES.ES.ZRU10kV.VV8.QF.aExtTrip2</v>
      </c>
      <c r="B103">
        <v>2</v>
      </c>
      <c r="C103" t="s">
        <v>2</v>
      </c>
      <c r="D103" s="30" t="s">
        <v>175</v>
      </c>
    </row>
    <row r="104" spans="1:4" ht="15" customHeight="1">
      <c r="A104" s="26" t="str">
        <f t="shared" si="8"/>
        <v>ASUES.ES.ZRU10kV.VV8.QF.aExtTrip2</v>
      </c>
      <c r="B104" s="27">
        <v>1</v>
      </c>
      <c r="C104" s="27" t="s">
        <v>1</v>
      </c>
      <c r="D104" s="28">
        <v>11</v>
      </c>
    </row>
    <row r="105" spans="1:4" ht="15" customHeight="1">
      <c r="A105" s="148" t="str">
        <f t="shared" ref="A105:A114" si="9">$R$2&amp;".aLZSH"</f>
        <v>ASUES.ES.ZRU10kV.VV8.QF.aLZSH</v>
      </c>
      <c r="B105" s="683">
        <v>11154</v>
      </c>
      <c r="C105" s="683" t="s">
        <v>4</v>
      </c>
      <c r="D105" s="535">
        <f>$Q$5</f>
        <v>4</v>
      </c>
    </row>
    <row r="106" spans="1:4" ht="15" customHeight="1">
      <c r="A106" s="148" t="str">
        <f t="shared" si="9"/>
        <v>ASUES.ES.ZRU10kV.VV8.QF.aLZSH</v>
      </c>
      <c r="B106" s="683">
        <v>11150</v>
      </c>
      <c r="C106" s="683" t="s">
        <v>0</v>
      </c>
      <c r="D106" s="125" t="s">
        <v>1524</v>
      </c>
    </row>
    <row r="107" spans="1:4" ht="15" customHeight="1">
      <c r="A107" s="148" t="str">
        <f t="shared" si="9"/>
        <v>ASUES.ES.ZRU10kV.VV8.QF.aLZSH</v>
      </c>
      <c r="B107" s="683">
        <v>11152</v>
      </c>
      <c r="C107" s="683" t="s">
        <v>0</v>
      </c>
      <c r="D107" s="125" t="str">
        <f>$R$5</f>
        <v>Авария</v>
      </c>
    </row>
    <row r="108" spans="1:4" ht="15" customHeight="1">
      <c r="A108" s="148" t="str">
        <f t="shared" si="9"/>
        <v>ASUES.ES.ZRU10kV.VV8.QF.aLZSH</v>
      </c>
      <c r="B108" s="683">
        <v>11000</v>
      </c>
      <c r="C108" s="683" t="s">
        <v>5</v>
      </c>
      <c r="D108" s="125">
        <v>2147483680</v>
      </c>
    </row>
    <row r="109" spans="1:4" ht="15" customHeight="1">
      <c r="A109" s="29" t="str">
        <f t="shared" si="9"/>
        <v>ASUES.ES.ZRU10kV.VV8.QF.aLZSH</v>
      </c>
      <c r="B109">
        <v>7999</v>
      </c>
      <c r="C109" t="s">
        <v>0</v>
      </c>
      <c r="D109" s="30" t="str">
        <f>"#"&amp;$S$2&amp;"#"&amp;$T$2&amp;"."&amp;$P$2&amp;".TS65_80_TS65"</f>
        <v>#15#\\SERVER-ASCUER\Relematika.Modbus.OPCDAServer.VV8.TS65_80_TS65</v>
      </c>
    </row>
    <row r="110" spans="1:4" ht="15" customHeight="1">
      <c r="A110" s="29" t="str">
        <f t="shared" si="9"/>
        <v>ASUES.ES.ZRU10kV.VV8.QF.aLZSH</v>
      </c>
      <c r="B110">
        <v>7998</v>
      </c>
      <c r="C110" t="s">
        <v>6</v>
      </c>
      <c r="D110" s="30">
        <v>1</v>
      </c>
    </row>
    <row r="111" spans="1:4" ht="15" customHeight="1">
      <c r="A111" s="29" t="str">
        <f t="shared" si="9"/>
        <v>ASUES.ES.ZRU10kV.VV8.QF.aLZSH</v>
      </c>
      <c r="B111">
        <v>101</v>
      </c>
      <c r="C111" t="s">
        <v>0</v>
      </c>
      <c r="D111" s="30" t="s">
        <v>1524</v>
      </c>
    </row>
    <row r="112" spans="1:4" ht="15" customHeight="1">
      <c r="A112" s="29" t="str">
        <f t="shared" si="9"/>
        <v>ASUES.ES.ZRU10kV.VV8.QF.aLZSH</v>
      </c>
      <c r="B112">
        <v>3</v>
      </c>
      <c r="C112" t="s">
        <v>1</v>
      </c>
      <c r="D112" s="30">
        <v>192</v>
      </c>
    </row>
    <row r="113" spans="1:4" ht="15" customHeight="1">
      <c r="A113" s="29" t="str">
        <f t="shared" si="9"/>
        <v>ASUES.ES.ZRU10kV.VV8.QF.aLZSH</v>
      </c>
      <c r="B113">
        <v>2</v>
      </c>
      <c r="C113" t="s">
        <v>2</v>
      </c>
      <c r="D113" s="30" t="s">
        <v>175</v>
      </c>
    </row>
    <row r="114" spans="1:4" ht="15" customHeight="1">
      <c r="A114" s="26" t="str">
        <f t="shared" si="9"/>
        <v>ASUES.ES.ZRU10kV.VV8.QF.aLZSH</v>
      </c>
      <c r="B114" s="27">
        <v>1</v>
      </c>
      <c r="C114" s="27" t="s">
        <v>1</v>
      </c>
      <c r="D114" s="28">
        <v>11</v>
      </c>
    </row>
    <row r="115" spans="1:4" ht="15" customHeight="1">
      <c r="A115" s="148" t="str">
        <f t="shared" ref="A115:A124" si="10">$R$2&amp;".aMTZ2I"</f>
        <v>ASUES.ES.ZRU10kV.VV8.QF.aMTZ2I</v>
      </c>
      <c r="B115" s="683">
        <v>11154</v>
      </c>
      <c r="C115" s="683" t="s">
        <v>4</v>
      </c>
      <c r="D115" s="535">
        <f>$Q$5</f>
        <v>4</v>
      </c>
    </row>
    <row r="116" spans="1:4" ht="15" customHeight="1">
      <c r="A116" s="148" t="str">
        <f t="shared" si="10"/>
        <v>ASUES.ES.ZRU10kV.VV8.QF.aMTZ2I</v>
      </c>
      <c r="B116" s="683">
        <v>11150</v>
      </c>
      <c r="C116" s="683" t="s">
        <v>0</v>
      </c>
      <c r="D116" s="125" t="s">
        <v>1525</v>
      </c>
    </row>
    <row r="117" spans="1:4" ht="15" customHeight="1">
      <c r="A117" s="148" t="str">
        <f t="shared" si="10"/>
        <v>ASUES.ES.ZRU10kV.VV8.QF.aMTZ2I</v>
      </c>
      <c r="B117" s="683">
        <v>11152</v>
      </c>
      <c r="C117" s="683" t="s">
        <v>0</v>
      </c>
      <c r="D117" s="125" t="str">
        <f>$R$5</f>
        <v>Авария</v>
      </c>
    </row>
    <row r="118" spans="1:4" ht="15" customHeight="1">
      <c r="A118" s="148" t="str">
        <f t="shared" si="10"/>
        <v>ASUES.ES.ZRU10kV.VV8.QF.aMTZ2I</v>
      </c>
      <c r="B118" s="683">
        <v>11000</v>
      </c>
      <c r="C118" s="683" t="s">
        <v>5</v>
      </c>
      <c r="D118" s="125">
        <v>2147483680</v>
      </c>
    </row>
    <row r="119" spans="1:4" ht="15" customHeight="1">
      <c r="A119" s="29" t="str">
        <f t="shared" si="10"/>
        <v>ASUES.ES.ZRU10kV.VV8.QF.aMTZ2I</v>
      </c>
      <c r="B119">
        <v>7999</v>
      </c>
      <c r="C119" t="s">
        <v>0</v>
      </c>
      <c r="D119" s="30" t="str">
        <f>"#"&amp;$S$2&amp;"#"&amp;$T$2&amp;"."&amp;$P$2&amp;".TS65_80_TS67"</f>
        <v>#15#\\SERVER-ASCUER\Relematika.Modbus.OPCDAServer.VV8.TS65_80_TS67</v>
      </c>
    </row>
    <row r="120" spans="1:4" ht="15" customHeight="1">
      <c r="A120" s="29" t="str">
        <f t="shared" si="10"/>
        <v>ASUES.ES.ZRU10kV.VV8.QF.aMTZ2I</v>
      </c>
      <c r="B120">
        <v>7998</v>
      </c>
      <c r="C120" t="s">
        <v>6</v>
      </c>
      <c r="D120" s="30">
        <v>1</v>
      </c>
    </row>
    <row r="121" spans="1:4" ht="15" customHeight="1">
      <c r="A121" s="29" t="str">
        <f t="shared" si="10"/>
        <v>ASUES.ES.ZRU10kV.VV8.QF.aMTZ2I</v>
      </c>
      <c r="B121">
        <v>101</v>
      </c>
      <c r="C121" t="s">
        <v>0</v>
      </c>
      <c r="D121" s="30" t="s">
        <v>1525</v>
      </c>
    </row>
    <row r="122" spans="1:4" ht="15" customHeight="1">
      <c r="A122" s="29" t="str">
        <f t="shared" si="10"/>
        <v>ASUES.ES.ZRU10kV.VV8.QF.aMTZ2I</v>
      </c>
      <c r="B122">
        <v>3</v>
      </c>
      <c r="C122" t="s">
        <v>1</v>
      </c>
      <c r="D122" s="30">
        <v>192</v>
      </c>
    </row>
    <row r="123" spans="1:4" ht="15" customHeight="1">
      <c r="A123" s="29" t="str">
        <f t="shared" si="10"/>
        <v>ASUES.ES.ZRU10kV.VV8.QF.aMTZ2I</v>
      </c>
      <c r="B123">
        <v>2</v>
      </c>
      <c r="C123" t="s">
        <v>2</v>
      </c>
      <c r="D123" s="30" t="s">
        <v>175</v>
      </c>
    </row>
    <row r="124" spans="1:4" ht="15" customHeight="1">
      <c r="A124" s="26" t="str">
        <f t="shared" si="10"/>
        <v>ASUES.ES.ZRU10kV.VV8.QF.aMTZ2I</v>
      </c>
      <c r="B124" s="27">
        <v>1</v>
      </c>
      <c r="C124" s="27" t="s">
        <v>1</v>
      </c>
      <c r="D124" s="28">
        <v>11</v>
      </c>
    </row>
    <row r="125" spans="1:4" ht="15" customHeight="1">
      <c r="A125" s="148" t="str">
        <f t="shared" ref="A125:A134" si="11">$R$2&amp;".aPrt"</f>
        <v>ASUES.ES.ZRU10kV.VV8.QF.aPrt</v>
      </c>
      <c r="B125" s="683">
        <v>11154</v>
      </c>
      <c r="C125" s="683" t="s">
        <v>4</v>
      </c>
      <c r="D125" s="535">
        <f>$Q$5</f>
        <v>4</v>
      </c>
    </row>
    <row r="126" spans="1:4" ht="15" customHeight="1">
      <c r="A126" s="148" t="str">
        <f t="shared" si="11"/>
        <v>ASUES.ES.ZRU10kV.VV8.QF.aPrt</v>
      </c>
      <c r="B126" s="683">
        <v>11150</v>
      </c>
      <c r="C126" s="683" t="s">
        <v>0</v>
      </c>
      <c r="D126" s="125" t="s">
        <v>141</v>
      </c>
    </row>
    <row r="127" spans="1:4" ht="15" customHeight="1">
      <c r="A127" s="148" t="str">
        <f t="shared" si="11"/>
        <v>ASUES.ES.ZRU10kV.VV8.QF.aPrt</v>
      </c>
      <c r="B127" s="683">
        <v>11152</v>
      </c>
      <c r="C127" s="683" t="s">
        <v>0</v>
      </c>
      <c r="D127" s="125" t="str">
        <f>$R$5</f>
        <v>Авария</v>
      </c>
    </row>
    <row r="128" spans="1:4" ht="15" customHeight="1">
      <c r="A128" s="148" t="str">
        <f t="shared" si="11"/>
        <v>ASUES.ES.ZRU10kV.VV8.QF.aPrt</v>
      </c>
      <c r="B128" s="683">
        <v>11000</v>
      </c>
      <c r="C128" s="683" t="s">
        <v>5</v>
      </c>
      <c r="D128" s="125">
        <v>2147483680</v>
      </c>
    </row>
    <row r="129" spans="1:4" ht="15" customHeight="1">
      <c r="A129" s="29" t="str">
        <f t="shared" si="11"/>
        <v>ASUES.ES.ZRU10kV.VV8.QF.aPrt</v>
      </c>
      <c r="B129">
        <v>7999</v>
      </c>
      <c r="C129" t="s">
        <v>0</v>
      </c>
      <c r="D129" s="30" t="str">
        <f>"#"&amp;$S$2&amp;"#"&amp;$T$2&amp;"."&amp;$P$2&amp;".TS177_192_TS179"</f>
        <v>#15#\\SERVER-ASCUER\Relematika.Modbus.OPCDAServer.VV8.TS177_192_TS179</v>
      </c>
    </row>
    <row r="130" spans="1:4" ht="15" customHeight="1">
      <c r="A130" s="29" t="str">
        <f t="shared" si="11"/>
        <v>ASUES.ES.ZRU10kV.VV8.QF.aPrt</v>
      </c>
      <c r="B130">
        <v>7998</v>
      </c>
      <c r="C130" t="s">
        <v>6</v>
      </c>
      <c r="D130" s="30">
        <v>1</v>
      </c>
    </row>
    <row r="131" spans="1:4" ht="15" customHeight="1">
      <c r="A131" s="29" t="str">
        <f t="shared" si="11"/>
        <v>ASUES.ES.ZRU10kV.VV8.QF.aPrt</v>
      </c>
      <c r="B131">
        <v>101</v>
      </c>
      <c r="C131" t="s">
        <v>0</v>
      </c>
      <c r="D131" s="30" t="s">
        <v>141</v>
      </c>
    </row>
    <row r="132" spans="1:4" ht="15" customHeight="1">
      <c r="A132" s="29" t="str">
        <f t="shared" si="11"/>
        <v>ASUES.ES.ZRU10kV.VV8.QF.aPrt</v>
      </c>
      <c r="B132">
        <v>3</v>
      </c>
      <c r="C132" t="s">
        <v>1</v>
      </c>
      <c r="D132" s="30">
        <v>192</v>
      </c>
    </row>
    <row r="133" spans="1:4" ht="15" customHeight="1">
      <c r="A133" s="29" t="str">
        <f t="shared" si="11"/>
        <v>ASUES.ES.ZRU10kV.VV8.QF.aPrt</v>
      </c>
      <c r="B133">
        <v>2</v>
      </c>
      <c r="C133" t="s">
        <v>2</v>
      </c>
      <c r="D133" s="30" t="s">
        <v>175</v>
      </c>
    </row>
    <row r="134" spans="1:4" ht="15" customHeight="1">
      <c r="A134" s="26" t="str">
        <f t="shared" si="11"/>
        <v>ASUES.ES.ZRU10kV.VV8.QF.aPrt</v>
      </c>
      <c r="B134" s="27">
        <v>1</v>
      </c>
      <c r="C134" s="27" t="s">
        <v>1</v>
      </c>
      <c r="D134" s="28">
        <v>11</v>
      </c>
    </row>
    <row r="135" spans="1:4" ht="15" customHeight="1">
      <c r="A135" s="148" t="str">
        <f t="shared" ref="A135:A144" si="12">$R$2&amp;".aPrtTN"</f>
        <v>ASUES.ES.ZRU10kV.VV8.QF.aPrtTN</v>
      </c>
      <c r="B135" s="683">
        <v>11154</v>
      </c>
      <c r="C135" s="683" t="s">
        <v>4</v>
      </c>
      <c r="D135" s="535">
        <f>$Q$5</f>
        <v>4</v>
      </c>
    </row>
    <row r="136" spans="1:4" ht="15" customHeight="1">
      <c r="A136" s="148" t="str">
        <f t="shared" si="12"/>
        <v>ASUES.ES.ZRU10kV.VV8.QF.aPrtTN</v>
      </c>
      <c r="B136" s="683">
        <v>11150</v>
      </c>
      <c r="C136" s="683" t="s">
        <v>0</v>
      </c>
      <c r="D136" s="125" t="s">
        <v>1531</v>
      </c>
    </row>
    <row r="137" spans="1:4" ht="15" customHeight="1">
      <c r="A137" s="148" t="str">
        <f t="shared" si="12"/>
        <v>ASUES.ES.ZRU10kV.VV8.QF.aPrtTN</v>
      </c>
      <c r="B137" s="683">
        <v>11152</v>
      </c>
      <c r="C137" s="683" t="s">
        <v>0</v>
      </c>
      <c r="D137" s="125" t="str">
        <f>$R$5</f>
        <v>Авария</v>
      </c>
    </row>
    <row r="138" spans="1:4" ht="15" customHeight="1">
      <c r="A138" s="148" t="str">
        <f t="shared" si="12"/>
        <v>ASUES.ES.ZRU10kV.VV8.QF.aPrtTN</v>
      </c>
      <c r="B138" s="683">
        <v>11000</v>
      </c>
      <c r="C138" s="683" t="s">
        <v>5</v>
      </c>
      <c r="D138" s="125">
        <v>2147483680</v>
      </c>
    </row>
    <row r="139" spans="1:4" ht="15" customHeight="1">
      <c r="A139" s="29" t="str">
        <f t="shared" si="12"/>
        <v>ASUES.ES.ZRU10kV.VV8.QF.aPrtTN</v>
      </c>
      <c r="B139">
        <v>7999</v>
      </c>
      <c r="C139" t="s">
        <v>0</v>
      </c>
      <c r="D139" s="30" t="str">
        <f>"#"&amp;$S$2&amp;"#"&amp;$T$2&amp;"."&amp;$P$2&amp;".TS177_192_TS178"</f>
        <v>#15#\\SERVER-ASCUER\Relematika.Modbus.OPCDAServer.VV8.TS177_192_TS178</v>
      </c>
    </row>
    <row r="140" spans="1:4" ht="15" customHeight="1">
      <c r="A140" s="29" t="str">
        <f t="shared" si="12"/>
        <v>ASUES.ES.ZRU10kV.VV8.QF.aPrtTN</v>
      </c>
      <c r="B140">
        <v>7998</v>
      </c>
      <c r="C140" t="s">
        <v>6</v>
      </c>
      <c r="D140" s="30">
        <v>1</v>
      </c>
    </row>
    <row r="141" spans="1:4" ht="15" customHeight="1">
      <c r="A141" s="29" t="str">
        <f t="shared" si="12"/>
        <v>ASUES.ES.ZRU10kV.VV8.QF.aPrtTN</v>
      </c>
      <c r="B141">
        <v>101</v>
      </c>
      <c r="C141" t="s">
        <v>0</v>
      </c>
      <c r="D141" s="30" t="s">
        <v>1531</v>
      </c>
    </row>
    <row r="142" spans="1:4" ht="15" customHeight="1">
      <c r="A142" s="29" t="str">
        <f t="shared" si="12"/>
        <v>ASUES.ES.ZRU10kV.VV8.QF.aPrtTN</v>
      </c>
      <c r="B142">
        <v>3</v>
      </c>
      <c r="C142" t="s">
        <v>1</v>
      </c>
      <c r="D142" s="30">
        <v>192</v>
      </c>
    </row>
    <row r="143" spans="1:4" ht="15" customHeight="1">
      <c r="A143" s="29" t="str">
        <f t="shared" si="12"/>
        <v>ASUES.ES.ZRU10kV.VV8.QF.aPrtTN</v>
      </c>
      <c r="B143">
        <v>2</v>
      </c>
      <c r="C143" t="s">
        <v>2</v>
      </c>
      <c r="D143" s="30" t="s">
        <v>175</v>
      </c>
    </row>
    <row r="144" spans="1:4" ht="15" customHeight="1">
      <c r="A144" s="26" t="str">
        <f t="shared" si="12"/>
        <v>ASUES.ES.ZRU10kV.VV8.QF.aPrtTN</v>
      </c>
      <c r="B144" s="27">
        <v>1</v>
      </c>
      <c r="C144" s="27" t="s">
        <v>1</v>
      </c>
      <c r="D144" s="28">
        <v>11</v>
      </c>
    </row>
    <row r="145" spans="1:4" ht="15" customHeight="1">
      <c r="A145" s="148" t="str">
        <f t="shared" ref="A145:A154" si="13">$R$2&amp;".aUROV"</f>
        <v>ASUES.ES.ZRU10kV.VV8.QF.aUROV</v>
      </c>
      <c r="B145" s="683">
        <v>11154</v>
      </c>
      <c r="C145" s="683" t="s">
        <v>4</v>
      </c>
      <c r="D145" s="535">
        <f>$Q$5</f>
        <v>4</v>
      </c>
    </row>
    <row r="146" spans="1:4" ht="15" customHeight="1">
      <c r="A146" s="148" t="str">
        <f t="shared" si="13"/>
        <v>ASUES.ES.ZRU10kV.VV8.QF.aUROV</v>
      </c>
      <c r="B146" s="683">
        <v>11150</v>
      </c>
      <c r="C146" s="683" t="s">
        <v>0</v>
      </c>
      <c r="D146" s="125" t="s">
        <v>1502</v>
      </c>
    </row>
    <row r="147" spans="1:4" ht="15" customHeight="1">
      <c r="A147" s="148" t="str">
        <f t="shared" si="13"/>
        <v>ASUES.ES.ZRU10kV.VV8.QF.aUROV</v>
      </c>
      <c r="B147" s="683">
        <v>11152</v>
      </c>
      <c r="C147" s="683" t="s">
        <v>0</v>
      </c>
      <c r="D147" s="125" t="str">
        <f>$R$5</f>
        <v>Авария</v>
      </c>
    </row>
    <row r="148" spans="1:4" ht="15" customHeight="1">
      <c r="A148" s="148" t="str">
        <f t="shared" si="13"/>
        <v>ASUES.ES.ZRU10kV.VV8.QF.aUROV</v>
      </c>
      <c r="B148" s="683">
        <v>11000</v>
      </c>
      <c r="C148" s="683" t="s">
        <v>5</v>
      </c>
      <c r="D148" s="125">
        <v>2147483680</v>
      </c>
    </row>
    <row r="149" spans="1:4" ht="15" customHeight="1">
      <c r="A149" s="29" t="str">
        <f t="shared" si="13"/>
        <v>ASUES.ES.ZRU10kV.VV8.QF.aUROV</v>
      </c>
      <c r="B149">
        <v>7999</v>
      </c>
      <c r="C149" t="s">
        <v>0</v>
      </c>
      <c r="D149" s="30" t="str">
        <f>"#"&amp;$S$2&amp;"#"&amp;$T$2&amp;"."&amp;$P$2&amp;".TS97_112_TS112"</f>
        <v>#15#\\SERVER-ASCUER\Relematika.Modbus.OPCDAServer.VV8.TS97_112_TS112</v>
      </c>
    </row>
    <row r="150" spans="1:4" ht="15" customHeight="1">
      <c r="A150" s="29" t="str">
        <f t="shared" si="13"/>
        <v>ASUES.ES.ZRU10kV.VV8.QF.aUROV</v>
      </c>
      <c r="B150">
        <v>7998</v>
      </c>
      <c r="C150" t="s">
        <v>6</v>
      </c>
      <c r="D150" s="30">
        <v>1</v>
      </c>
    </row>
    <row r="151" spans="1:4" ht="15" customHeight="1">
      <c r="A151" s="29" t="str">
        <f t="shared" si="13"/>
        <v>ASUES.ES.ZRU10kV.VV8.QF.aUROV</v>
      </c>
      <c r="B151">
        <v>101</v>
      </c>
      <c r="C151" t="s">
        <v>0</v>
      </c>
      <c r="D151" s="30" t="s">
        <v>1502</v>
      </c>
    </row>
    <row r="152" spans="1:4" ht="15" customHeight="1">
      <c r="A152" s="29" t="str">
        <f t="shared" si="13"/>
        <v>ASUES.ES.ZRU10kV.VV8.QF.aUROV</v>
      </c>
      <c r="B152">
        <v>3</v>
      </c>
      <c r="C152" t="s">
        <v>1</v>
      </c>
      <c r="D152" s="30">
        <v>192</v>
      </c>
    </row>
    <row r="153" spans="1:4" ht="15" customHeight="1">
      <c r="A153" s="29" t="str">
        <f t="shared" si="13"/>
        <v>ASUES.ES.ZRU10kV.VV8.QF.aUROV</v>
      </c>
      <c r="B153">
        <v>2</v>
      </c>
      <c r="C153" t="s">
        <v>2</v>
      </c>
      <c r="D153" s="30" t="s">
        <v>175</v>
      </c>
    </row>
    <row r="154" spans="1:4" ht="15" customHeight="1">
      <c r="A154" s="26" t="str">
        <f t="shared" si="13"/>
        <v>ASUES.ES.ZRU10kV.VV8.QF.aUROV</v>
      </c>
      <c r="B154" s="27">
        <v>1</v>
      </c>
      <c r="C154" s="27" t="s">
        <v>1</v>
      </c>
      <c r="D154" s="28">
        <v>11</v>
      </c>
    </row>
    <row r="155" spans="1:4" ht="15" customHeight="1">
      <c r="A155" s="148" t="str">
        <f t="shared" ref="A155:A164" si="14">$R$2&amp;".aSV_On_From_AVR"</f>
        <v>ASUES.ES.ZRU10kV.VV8.QF.aSV_On_From_AVR</v>
      </c>
      <c r="B155" s="683">
        <v>11154</v>
      </c>
      <c r="C155" s="683" t="s">
        <v>4</v>
      </c>
      <c r="D155" s="535">
        <f>$Q$5</f>
        <v>4</v>
      </c>
    </row>
    <row r="156" spans="1:4" ht="15" customHeight="1">
      <c r="A156" s="148" t="str">
        <f t="shared" si="14"/>
        <v>ASUES.ES.ZRU10kV.VV8.QF.aSV_On_From_AVR</v>
      </c>
      <c r="B156" s="683">
        <v>11150</v>
      </c>
      <c r="C156" s="683" t="s">
        <v>0</v>
      </c>
      <c r="D156" s="125" t="s">
        <v>1557</v>
      </c>
    </row>
    <row r="157" spans="1:4" ht="15" customHeight="1">
      <c r="A157" s="148" t="str">
        <f t="shared" si="14"/>
        <v>ASUES.ES.ZRU10kV.VV8.QF.aSV_On_From_AVR</v>
      </c>
      <c r="B157" s="683">
        <v>11152</v>
      </c>
      <c r="C157" s="683" t="s">
        <v>0</v>
      </c>
      <c r="D157" s="125" t="str">
        <f>$R$5</f>
        <v>Авария</v>
      </c>
    </row>
    <row r="158" spans="1:4" ht="15" customHeight="1">
      <c r="A158" s="148" t="str">
        <f t="shared" si="14"/>
        <v>ASUES.ES.ZRU10kV.VV8.QF.aSV_On_From_AVR</v>
      </c>
      <c r="B158" s="683">
        <v>11000</v>
      </c>
      <c r="C158" s="683" t="s">
        <v>5</v>
      </c>
      <c r="D158" s="125">
        <v>2147483680</v>
      </c>
    </row>
    <row r="159" spans="1:4" ht="15" customHeight="1">
      <c r="A159" s="29" t="str">
        <f t="shared" si="14"/>
        <v>ASUES.ES.ZRU10kV.VV8.QF.aSV_On_From_AVR</v>
      </c>
      <c r="B159">
        <v>7999</v>
      </c>
      <c r="C159" t="s">
        <v>0</v>
      </c>
      <c r="D159" s="30" t="str">
        <f>"#"&amp;$S$2&amp;"#"&amp;$T$2&amp;"."&amp;$P$2&amp;".TS209_224_TS222"</f>
        <v>#15#\\SERVER-ASCUER\Relematika.Modbus.OPCDAServer.VV8.TS209_224_TS222</v>
      </c>
    </row>
    <row r="160" spans="1:4" ht="15" customHeight="1">
      <c r="A160" s="29" t="str">
        <f t="shared" si="14"/>
        <v>ASUES.ES.ZRU10kV.VV8.QF.aSV_On_From_AVR</v>
      </c>
      <c r="B160">
        <v>7998</v>
      </c>
      <c r="C160" t="s">
        <v>6</v>
      </c>
      <c r="D160" s="30">
        <v>1</v>
      </c>
    </row>
    <row r="161" spans="1:4" ht="15" customHeight="1">
      <c r="A161" s="29" t="str">
        <f t="shared" si="14"/>
        <v>ASUES.ES.ZRU10kV.VV8.QF.aSV_On_From_AVR</v>
      </c>
      <c r="B161">
        <v>101</v>
      </c>
      <c r="C161" t="s">
        <v>0</v>
      </c>
      <c r="D161" s="30" t="s">
        <v>1557</v>
      </c>
    </row>
    <row r="162" spans="1:4" ht="15" customHeight="1">
      <c r="A162" s="29" t="str">
        <f t="shared" si="14"/>
        <v>ASUES.ES.ZRU10kV.VV8.QF.aSV_On_From_AVR</v>
      </c>
      <c r="B162">
        <v>3</v>
      </c>
      <c r="C162" t="s">
        <v>1</v>
      </c>
      <c r="D162" s="30">
        <v>192</v>
      </c>
    </row>
    <row r="163" spans="1:4" ht="15" customHeight="1">
      <c r="A163" s="29" t="str">
        <f t="shared" si="14"/>
        <v>ASUES.ES.ZRU10kV.VV8.QF.aSV_On_From_AVR</v>
      </c>
      <c r="B163">
        <v>2</v>
      </c>
      <c r="C163" t="s">
        <v>2</v>
      </c>
      <c r="D163" s="30" t="s">
        <v>175</v>
      </c>
    </row>
    <row r="164" spans="1:4" ht="15" customHeight="1">
      <c r="A164" s="26" t="str">
        <f t="shared" si="14"/>
        <v>ASUES.ES.ZRU10kV.VV8.QF.aSV_On_From_AVR</v>
      </c>
      <c r="B164" s="27">
        <v>1</v>
      </c>
      <c r="C164" s="27" t="s">
        <v>1</v>
      </c>
      <c r="D164" s="28">
        <v>11</v>
      </c>
    </row>
    <row r="165" spans="1:4" ht="15" customHeight="1">
      <c r="A165" s="148" t="str">
        <f t="shared" ref="A165:A174" si="15">$R$2&amp;".aOn_from_VNR"</f>
        <v>ASUES.ES.ZRU10kV.VV8.QF.aOn_from_VNR</v>
      </c>
      <c r="B165" s="683">
        <v>11154</v>
      </c>
      <c r="C165" s="683" t="s">
        <v>4</v>
      </c>
      <c r="D165" s="535">
        <f>$Q$5</f>
        <v>4</v>
      </c>
    </row>
    <row r="166" spans="1:4" ht="15" customHeight="1">
      <c r="A166" s="148" t="str">
        <f t="shared" si="15"/>
        <v>ASUES.ES.ZRU10kV.VV8.QF.aOn_from_VNR</v>
      </c>
      <c r="B166" s="683">
        <v>11152</v>
      </c>
      <c r="C166" s="683" t="s">
        <v>0</v>
      </c>
      <c r="D166" s="125" t="s">
        <v>1679</v>
      </c>
    </row>
    <row r="167" spans="1:4" ht="15" customHeight="1">
      <c r="A167" s="148" t="str">
        <f t="shared" si="15"/>
        <v>ASUES.ES.ZRU10kV.VV8.QF.aOn_from_VNR</v>
      </c>
      <c r="B167" s="683">
        <v>11150</v>
      </c>
      <c r="C167" s="683" t="s">
        <v>0</v>
      </c>
      <c r="D167" s="125" t="str">
        <f>$R$5</f>
        <v>Авария</v>
      </c>
    </row>
    <row r="168" spans="1:4" ht="15" customHeight="1">
      <c r="A168" s="148" t="str">
        <f t="shared" si="15"/>
        <v>ASUES.ES.ZRU10kV.VV8.QF.aOn_from_VNR</v>
      </c>
      <c r="B168" s="683">
        <v>11000</v>
      </c>
      <c r="C168" s="683" t="s">
        <v>5</v>
      </c>
      <c r="D168" s="125">
        <v>2147483680</v>
      </c>
    </row>
    <row r="169" spans="1:4" ht="15" customHeight="1">
      <c r="A169" s="29" t="str">
        <f t="shared" si="15"/>
        <v>ASUES.ES.ZRU10kV.VV8.QF.aOn_from_VNR</v>
      </c>
      <c r="B169">
        <v>7999</v>
      </c>
      <c r="C169" t="s">
        <v>0</v>
      </c>
      <c r="D169" s="30" t="str">
        <f>"#"&amp;$S$2&amp;"#"&amp;$T$2&amp;"."&amp;$P$2&amp;".TS177_192_TS184"</f>
        <v>#15#\\SERVER-ASCUER\Relematika.Modbus.OPCDAServer.VV8.TS177_192_TS184</v>
      </c>
    </row>
    <row r="170" spans="1:4" ht="15" customHeight="1">
      <c r="A170" s="29" t="str">
        <f t="shared" si="15"/>
        <v>ASUES.ES.ZRU10kV.VV8.QF.aOn_from_VNR</v>
      </c>
      <c r="B170">
        <v>7998</v>
      </c>
      <c r="C170" t="s">
        <v>6</v>
      </c>
      <c r="D170" s="30">
        <v>1</v>
      </c>
    </row>
    <row r="171" spans="1:4" ht="15" customHeight="1">
      <c r="A171" s="29" t="str">
        <f t="shared" si="15"/>
        <v>ASUES.ES.ZRU10kV.VV8.QF.aOn_from_VNR</v>
      </c>
      <c r="B171">
        <v>101</v>
      </c>
      <c r="C171" t="s">
        <v>0</v>
      </c>
      <c r="D171" s="30" t="s">
        <v>1679</v>
      </c>
    </row>
    <row r="172" spans="1:4" ht="15" customHeight="1">
      <c r="A172" s="29" t="str">
        <f t="shared" si="15"/>
        <v>ASUES.ES.ZRU10kV.VV8.QF.aOn_from_VNR</v>
      </c>
      <c r="B172">
        <v>3</v>
      </c>
      <c r="C172" t="s">
        <v>1</v>
      </c>
      <c r="D172" s="30">
        <v>192</v>
      </c>
    </row>
    <row r="173" spans="1:4" ht="15" customHeight="1">
      <c r="A173" s="29" t="str">
        <f t="shared" si="15"/>
        <v>ASUES.ES.ZRU10kV.VV8.QF.aOn_from_VNR</v>
      </c>
      <c r="B173">
        <v>2</v>
      </c>
      <c r="C173" t="s">
        <v>2</v>
      </c>
      <c r="D173" s="30" t="s">
        <v>175</v>
      </c>
    </row>
    <row r="174" spans="1:4" ht="15" customHeight="1">
      <c r="A174" s="26" t="str">
        <f t="shared" si="15"/>
        <v>ASUES.ES.ZRU10kV.VV8.QF.aOn_from_VNR</v>
      </c>
      <c r="B174" s="27">
        <v>1</v>
      </c>
      <c r="C174" s="27" t="s">
        <v>1</v>
      </c>
      <c r="D174" s="28">
        <v>11</v>
      </c>
    </row>
    <row r="175" spans="1:4" ht="15" customHeight="1">
      <c r="A175" s="23" t="str">
        <f t="shared" ref="A175:A182" si="16">$R$2&amp;".wCntLimit"</f>
        <v>ASUES.ES.ZRU10kV.VV8.QF.wCntLimit</v>
      </c>
      <c r="B175" s="24">
        <v>3000000</v>
      </c>
      <c r="C175" s="24" t="s">
        <v>0</v>
      </c>
      <c r="D175" s="25" t="s">
        <v>394</v>
      </c>
    </row>
    <row r="176" spans="1:4" ht="15" customHeight="1">
      <c r="A176" s="63" t="str">
        <f t="shared" si="16"/>
        <v>ASUES.ES.ZRU10kV.VV8.QF.wCntLimit</v>
      </c>
      <c r="B176" s="52">
        <v>11154</v>
      </c>
      <c r="C176" s="52" t="s">
        <v>4</v>
      </c>
      <c r="D176" s="65">
        <f>$Q$6</f>
        <v>8</v>
      </c>
    </row>
    <row r="177" spans="1:4" ht="15" customHeight="1">
      <c r="A177" s="63" t="str">
        <f t="shared" si="16"/>
        <v>ASUES.ES.ZRU10kV.VV8.QF.wCntLimit</v>
      </c>
      <c r="B177" s="52">
        <v>11152</v>
      </c>
      <c r="C177" s="52" t="s">
        <v>0</v>
      </c>
      <c r="D177" s="65" t="str">
        <f>$R$6</f>
        <v>Предупреждение</v>
      </c>
    </row>
    <row r="178" spans="1:4" ht="15" customHeight="1">
      <c r="A178" s="63" t="str">
        <f t="shared" si="16"/>
        <v>ASUES.ES.ZRU10kV.VV8.QF.wCntLimit</v>
      </c>
      <c r="B178" s="52">
        <v>11150</v>
      </c>
      <c r="C178" s="52" t="s">
        <v>0</v>
      </c>
      <c r="D178" s="65" t="s">
        <v>391</v>
      </c>
    </row>
    <row r="179" spans="1:4" ht="15" customHeight="1">
      <c r="A179" s="63" t="str">
        <f t="shared" si="16"/>
        <v>ASUES.ES.ZRU10kV.VV8.QF.wCntLimit</v>
      </c>
      <c r="B179" s="52">
        <v>11000</v>
      </c>
      <c r="C179" s="52" t="s">
        <v>5</v>
      </c>
      <c r="D179" s="65">
        <v>2147483680</v>
      </c>
    </row>
    <row r="180" spans="1:4" ht="15" customHeight="1">
      <c r="A180" s="29" t="str">
        <f t="shared" si="16"/>
        <v>ASUES.ES.ZRU10kV.VV8.QF.wCntLimit</v>
      </c>
      <c r="B180">
        <v>3</v>
      </c>
      <c r="C180" t="s">
        <v>1</v>
      </c>
      <c r="D180" s="30">
        <v>192</v>
      </c>
    </row>
    <row r="181" spans="1:4" ht="15" customHeight="1">
      <c r="A181" s="29" t="str">
        <f t="shared" si="16"/>
        <v>ASUES.ES.ZRU10kV.VV8.QF.wCntLimit</v>
      </c>
      <c r="B181">
        <v>2</v>
      </c>
      <c r="C181" t="s">
        <v>2</v>
      </c>
      <c r="D181" s="30" t="s">
        <v>175</v>
      </c>
    </row>
    <row r="182" spans="1:4" ht="15" customHeight="1">
      <c r="A182" s="26" t="str">
        <f t="shared" si="16"/>
        <v>ASUES.ES.ZRU10kV.VV8.QF.wCntLimit</v>
      </c>
      <c r="B182" s="27">
        <v>1</v>
      </c>
      <c r="C182" s="27" t="s">
        <v>1</v>
      </c>
      <c r="D182" s="28">
        <v>11</v>
      </c>
    </row>
    <row r="183" spans="1:4" ht="15" customHeight="1">
      <c r="A183" s="23" t="str">
        <f t="shared" ref="A183:A190" si="17">$R$2&amp;".wCntLimitI"</f>
        <v>ASUES.ES.ZRU10kV.VV8.QF.wCntLimitI</v>
      </c>
      <c r="B183" s="24">
        <v>3000000</v>
      </c>
      <c r="C183" s="24" t="s">
        <v>0</v>
      </c>
      <c r="D183" s="25" t="s">
        <v>395</v>
      </c>
    </row>
    <row r="184" spans="1:4" ht="15" customHeight="1">
      <c r="A184" s="63" t="str">
        <f t="shared" si="17"/>
        <v>ASUES.ES.ZRU10kV.VV8.QF.wCntLimitI</v>
      </c>
      <c r="B184" s="52">
        <v>11154</v>
      </c>
      <c r="C184" s="52" t="s">
        <v>4</v>
      </c>
      <c r="D184" s="65">
        <f>$Q$6</f>
        <v>8</v>
      </c>
    </row>
    <row r="185" spans="1:4" ht="15" customHeight="1">
      <c r="A185" s="63" t="str">
        <f t="shared" si="17"/>
        <v>ASUES.ES.ZRU10kV.VV8.QF.wCntLimitI</v>
      </c>
      <c r="B185" s="52">
        <v>11152</v>
      </c>
      <c r="C185" s="52" t="s">
        <v>0</v>
      </c>
      <c r="D185" s="65" t="str">
        <f>$R$6</f>
        <v>Предупреждение</v>
      </c>
    </row>
    <row r="186" spans="1:4" ht="15" customHeight="1">
      <c r="A186" s="63" t="str">
        <f t="shared" si="17"/>
        <v>ASUES.ES.ZRU10kV.VV8.QF.wCntLimitI</v>
      </c>
      <c r="B186" s="52">
        <v>11150</v>
      </c>
      <c r="C186" s="52" t="s">
        <v>0</v>
      </c>
      <c r="D186" s="65" t="s">
        <v>392</v>
      </c>
    </row>
    <row r="187" spans="1:4" ht="15" customHeight="1">
      <c r="A187" s="63" t="str">
        <f t="shared" si="17"/>
        <v>ASUES.ES.ZRU10kV.VV8.QF.wCntLimitI</v>
      </c>
      <c r="B187" s="52">
        <v>11000</v>
      </c>
      <c r="C187" s="52" t="s">
        <v>5</v>
      </c>
      <c r="D187" s="65">
        <v>2147483680</v>
      </c>
    </row>
    <row r="188" spans="1:4" ht="15" customHeight="1">
      <c r="A188" s="29" t="str">
        <f t="shared" si="17"/>
        <v>ASUES.ES.ZRU10kV.VV8.QF.wCntLimitI</v>
      </c>
      <c r="B188">
        <v>3</v>
      </c>
      <c r="C188" t="s">
        <v>1</v>
      </c>
      <c r="D188" s="30">
        <v>192</v>
      </c>
    </row>
    <row r="189" spans="1:4" ht="15" customHeight="1">
      <c r="A189" s="29" t="str">
        <f t="shared" si="17"/>
        <v>ASUES.ES.ZRU10kV.VV8.QF.wCntLimitI</v>
      </c>
      <c r="B189">
        <v>2</v>
      </c>
      <c r="C189" t="s">
        <v>2</v>
      </c>
      <c r="D189" s="30" t="s">
        <v>175</v>
      </c>
    </row>
    <row r="190" spans="1:4" ht="15" customHeight="1">
      <c r="A190" s="26" t="str">
        <f t="shared" si="17"/>
        <v>ASUES.ES.ZRU10kV.VV8.QF.wCntLimitI</v>
      </c>
      <c r="B190" s="27">
        <v>1</v>
      </c>
      <c r="C190" s="27" t="s">
        <v>1</v>
      </c>
      <c r="D190" s="28">
        <v>11</v>
      </c>
    </row>
    <row r="191" spans="1:4" ht="15" customHeight="1">
      <c r="A191" s="23" t="str">
        <f t="shared" ref="A191:A198" si="18">$R$2&amp;".wCntLimitIKZ"</f>
        <v>ASUES.ES.ZRU10kV.VV8.QF.wCntLimitIKZ</v>
      </c>
      <c r="B191" s="24">
        <v>3000000</v>
      </c>
      <c r="C191" s="24" t="s">
        <v>0</v>
      </c>
      <c r="D191" s="25" t="s">
        <v>1504</v>
      </c>
    </row>
    <row r="192" spans="1:4" ht="15" customHeight="1">
      <c r="A192" s="63" t="str">
        <f t="shared" si="18"/>
        <v>ASUES.ES.ZRU10kV.VV8.QF.wCntLimitIKZ</v>
      </c>
      <c r="B192" s="52">
        <v>11154</v>
      </c>
      <c r="C192" s="52" t="s">
        <v>4</v>
      </c>
      <c r="D192" s="65">
        <f>$Q$6</f>
        <v>8</v>
      </c>
    </row>
    <row r="193" spans="1:4" ht="15" customHeight="1">
      <c r="A193" s="63" t="str">
        <f t="shared" si="18"/>
        <v>ASUES.ES.ZRU10kV.VV8.QF.wCntLimitIKZ</v>
      </c>
      <c r="B193" s="52">
        <v>11152</v>
      </c>
      <c r="C193" s="52" t="s">
        <v>0</v>
      </c>
      <c r="D193" s="65" t="str">
        <f>$R$6</f>
        <v>Предупреждение</v>
      </c>
    </row>
    <row r="194" spans="1:4" ht="15" customHeight="1">
      <c r="A194" s="63" t="str">
        <f t="shared" si="18"/>
        <v>ASUES.ES.ZRU10kV.VV8.QF.wCntLimitIKZ</v>
      </c>
      <c r="B194" s="52">
        <v>11150</v>
      </c>
      <c r="C194" s="52" t="s">
        <v>0</v>
      </c>
      <c r="D194" s="65" t="s">
        <v>393</v>
      </c>
    </row>
    <row r="195" spans="1:4" ht="15" customHeight="1">
      <c r="A195" s="63" t="str">
        <f t="shared" si="18"/>
        <v>ASUES.ES.ZRU10kV.VV8.QF.wCntLimitIKZ</v>
      </c>
      <c r="B195" s="52">
        <v>11000</v>
      </c>
      <c r="C195" s="52" t="s">
        <v>5</v>
      </c>
      <c r="D195" s="65">
        <v>2147483680</v>
      </c>
    </row>
    <row r="196" spans="1:4" ht="15" customHeight="1">
      <c r="A196" s="29" t="str">
        <f t="shared" si="18"/>
        <v>ASUES.ES.ZRU10kV.VV8.QF.wCntLimitIKZ</v>
      </c>
      <c r="B196">
        <v>3</v>
      </c>
      <c r="C196" t="s">
        <v>1</v>
      </c>
      <c r="D196" s="30">
        <v>192</v>
      </c>
    </row>
    <row r="197" spans="1:4" ht="15" customHeight="1">
      <c r="A197" s="29" t="str">
        <f t="shared" si="18"/>
        <v>ASUES.ES.ZRU10kV.VV8.QF.wCntLimitIKZ</v>
      </c>
      <c r="B197">
        <v>2</v>
      </c>
      <c r="C197" t="s">
        <v>2</v>
      </c>
      <c r="D197" s="30" t="s">
        <v>175</v>
      </c>
    </row>
    <row r="198" spans="1:4" ht="15" customHeight="1">
      <c r="A198" s="26" t="str">
        <f t="shared" si="18"/>
        <v>ASUES.ES.ZRU10kV.VV8.QF.wCntLimitIKZ</v>
      </c>
      <c r="B198" s="27">
        <v>1</v>
      </c>
      <c r="C198" s="27" t="s">
        <v>1</v>
      </c>
      <c r="D198" s="28">
        <v>11</v>
      </c>
    </row>
    <row r="199" spans="1:4" ht="15" customHeight="1">
      <c r="A199" s="63" t="str">
        <f t="shared" ref="A199:A209" si="19">$R$2&amp;".wLoc"</f>
        <v>ASUES.ES.ZRU10kV.VV8.QF.wLoc</v>
      </c>
      <c r="B199" s="52">
        <v>11154</v>
      </c>
      <c r="C199" s="52" t="s">
        <v>4</v>
      </c>
      <c r="D199" s="199">
        <f>$Q$6</f>
        <v>8</v>
      </c>
    </row>
    <row r="200" spans="1:4" ht="15" customHeight="1">
      <c r="A200" s="63" t="str">
        <f t="shared" si="19"/>
        <v>ASUES.ES.ZRU10kV.VV8.QF.wLoc</v>
      </c>
      <c r="B200" s="52">
        <v>11152</v>
      </c>
      <c r="C200" s="52" t="s">
        <v>0</v>
      </c>
      <c r="D200" s="65" t="str">
        <f>$R$6</f>
        <v>Предупреждение</v>
      </c>
    </row>
    <row r="201" spans="1:4" ht="15" customHeight="1">
      <c r="A201" s="63" t="str">
        <f t="shared" si="19"/>
        <v>ASUES.ES.ZRU10kV.VV8.QF.wLoc</v>
      </c>
      <c r="B201" s="52">
        <v>11150</v>
      </c>
      <c r="C201" s="52" t="s">
        <v>0</v>
      </c>
      <c r="D201" s="65" t="s">
        <v>169</v>
      </c>
    </row>
    <row r="202" spans="1:4" ht="15" customHeight="1">
      <c r="A202" s="63" t="str">
        <f t="shared" si="19"/>
        <v>ASUES.ES.ZRU10kV.VV8.QF.wLoc</v>
      </c>
      <c r="B202" s="52">
        <v>11000</v>
      </c>
      <c r="C202" s="52" t="s">
        <v>5</v>
      </c>
      <c r="D202" s="65">
        <v>0</v>
      </c>
    </row>
    <row r="203" spans="1:4" ht="15" customHeight="1">
      <c r="A203" s="29" t="str">
        <f t="shared" si="19"/>
        <v>ASUES.ES.ZRU10kV.VV8.QF.wLoc</v>
      </c>
      <c r="B203">
        <v>7999</v>
      </c>
      <c r="C203" t="s">
        <v>0</v>
      </c>
      <c r="D203" s="30" t="str">
        <f>"#"&amp;$S$2&amp;"#"&amp;$T$2&amp;"."&amp;$P$2&amp;".TS01_16_TS14"</f>
        <v>#15#\\SERVER-ASCUER\Relematika.Modbus.OPCDAServer.VV8.TS01_16_TS14</v>
      </c>
    </row>
    <row r="204" spans="1:4" ht="15" customHeight="1">
      <c r="A204" s="29" t="str">
        <f t="shared" si="19"/>
        <v>ASUES.ES.ZRU10kV.VV8.QF.wLoc</v>
      </c>
      <c r="B204">
        <v>7998</v>
      </c>
      <c r="C204" t="s">
        <v>6</v>
      </c>
      <c r="D204" s="30">
        <v>1</v>
      </c>
    </row>
    <row r="205" spans="1:4" ht="15" customHeight="1">
      <c r="A205" s="29" t="str">
        <f t="shared" si="19"/>
        <v>ASUES.ES.ZRU10kV.VV8.QF.wLoc</v>
      </c>
      <c r="B205">
        <v>7200</v>
      </c>
      <c r="C205" t="s">
        <v>2</v>
      </c>
      <c r="D205" s="30" t="s">
        <v>266</v>
      </c>
    </row>
    <row r="206" spans="1:4" ht="15" customHeight="1">
      <c r="A206" s="29" t="str">
        <f t="shared" si="19"/>
        <v>ASUES.ES.ZRU10kV.VV8.QF.wLoc</v>
      </c>
      <c r="B206">
        <v>101</v>
      </c>
      <c r="C206" t="s">
        <v>0</v>
      </c>
      <c r="D206" s="30" t="s">
        <v>169</v>
      </c>
    </row>
    <row r="207" spans="1:4" ht="15" customHeight="1">
      <c r="A207" s="29" t="str">
        <f t="shared" si="19"/>
        <v>ASUES.ES.ZRU10kV.VV8.QF.wLoc</v>
      </c>
      <c r="B207">
        <v>3</v>
      </c>
      <c r="C207" t="s">
        <v>1</v>
      </c>
      <c r="D207" s="30">
        <v>192</v>
      </c>
    </row>
    <row r="208" spans="1:4" ht="15" customHeight="1">
      <c r="A208" s="29" t="str">
        <f t="shared" si="19"/>
        <v>ASUES.ES.ZRU10kV.VV8.QF.wLoc</v>
      </c>
      <c r="B208">
        <v>2</v>
      </c>
      <c r="C208" t="s">
        <v>2</v>
      </c>
      <c r="D208" s="30" t="s">
        <v>175</v>
      </c>
    </row>
    <row r="209" spans="1:4" ht="15" customHeight="1">
      <c r="A209" s="26" t="str">
        <f t="shared" si="19"/>
        <v>ASUES.ES.ZRU10kV.VV8.QF.wLoc</v>
      </c>
      <c r="B209" s="27">
        <v>1</v>
      </c>
      <c r="C209" s="27" t="s">
        <v>1</v>
      </c>
      <c r="D209" s="28">
        <v>11</v>
      </c>
    </row>
    <row r="210" spans="1:4" ht="15" customHeight="1">
      <c r="A210" s="69" t="str">
        <f t="shared" ref="A210:A219" si="20">$R$2&amp;".wCall"</f>
        <v>ASUES.ES.ZRU10kV.VV8.QF.wCall</v>
      </c>
      <c r="B210" s="70">
        <v>11154</v>
      </c>
      <c r="C210" s="70" t="s">
        <v>4</v>
      </c>
      <c r="D210" s="71">
        <f>$Q$6</f>
        <v>8</v>
      </c>
    </row>
    <row r="211" spans="1:4" ht="15" customHeight="1">
      <c r="A211" s="63" t="str">
        <f t="shared" si="20"/>
        <v>ASUES.ES.ZRU10kV.VV8.QF.wCall</v>
      </c>
      <c r="B211" s="52">
        <v>11152</v>
      </c>
      <c r="C211" s="52" t="s">
        <v>0</v>
      </c>
      <c r="D211" s="65" t="str">
        <f>$R$6</f>
        <v>Предупреждение</v>
      </c>
    </row>
    <row r="212" spans="1:4" ht="15" customHeight="1">
      <c r="A212" s="63" t="str">
        <f t="shared" si="20"/>
        <v>ASUES.ES.ZRU10kV.VV8.QF.wCall</v>
      </c>
      <c r="B212" s="52">
        <v>11150</v>
      </c>
      <c r="C212" s="52" t="s">
        <v>0</v>
      </c>
      <c r="D212" s="65" t="s">
        <v>338</v>
      </c>
    </row>
    <row r="213" spans="1:4" ht="15" customHeight="1">
      <c r="A213" s="63" t="str">
        <f t="shared" si="20"/>
        <v>ASUES.ES.ZRU10kV.VV8.QF.wCall</v>
      </c>
      <c r="B213" s="52">
        <v>11000</v>
      </c>
      <c r="C213" s="52" t="s">
        <v>5</v>
      </c>
      <c r="D213" s="65">
        <v>2147483680</v>
      </c>
    </row>
    <row r="214" spans="1:4" ht="15" customHeight="1">
      <c r="A214" s="29" t="str">
        <f t="shared" si="20"/>
        <v>ASUES.ES.ZRU10kV.VV8.QF.wCall</v>
      </c>
      <c r="B214">
        <v>7999</v>
      </c>
      <c r="C214" t="s">
        <v>0</v>
      </c>
      <c r="D214" s="30" t="str">
        <f>"#"&amp;$S$2&amp;"#"&amp;$T$2&amp;"."&amp;$P$2&amp;".TS01_16_TS5"</f>
        <v>#15#\\SERVER-ASCUER\Relematika.Modbus.OPCDAServer.VV8.TS01_16_TS5</v>
      </c>
    </row>
    <row r="215" spans="1:4" ht="15" customHeight="1">
      <c r="A215" s="29" t="str">
        <f t="shared" si="20"/>
        <v>ASUES.ES.ZRU10kV.VV8.QF.wCall</v>
      </c>
      <c r="B215">
        <v>7998</v>
      </c>
      <c r="C215" t="s">
        <v>6</v>
      </c>
      <c r="D215" s="30">
        <v>1</v>
      </c>
    </row>
    <row r="216" spans="1:4" ht="15" customHeight="1">
      <c r="A216" s="29" t="str">
        <f t="shared" si="20"/>
        <v>ASUES.ES.ZRU10kV.VV8.QF.wCall</v>
      </c>
      <c r="B216">
        <v>101</v>
      </c>
      <c r="C216" t="s">
        <v>0</v>
      </c>
      <c r="D216" s="30" t="s">
        <v>338</v>
      </c>
    </row>
    <row r="217" spans="1:4" ht="15" customHeight="1">
      <c r="A217" s="29" t="str">
        <f t="shared" si="20"/>
        <v>ASUES.ES.ZRU10kV.VV8.QF.wCall</v>
      </c>
      <c r="B217">
        <v>3</v>
      </c>
      <c r="C217" t="s">
        <v>1</v>
      </c>
      <c r="D217" s="30">
        <v>192</v>
      </c>
    </row>
    <row r="218" spans="1:4" ht="15" customHeight="1">
      <c r="A218" s="29" t="str">
        <f t="shared" si="20"/>
        <v>ASUES.ES.ZRU10kV.VV8.QF.wCall</v>
      </c>
      <c r="B218">
        <v>2</v>
      </c>
      <c r="C218" t="s">
        <v>2</v>
      </c>
      <c r="D218" s="30" t="s">
        <v>175</v>
      </c>
    </row>
    <row r="219" spans="1:4" ht="15" customHeight="1">
      <c r="A219" s="26" t="str">
        <f t="shared" si="20"/>
        <v>ASUES.ES.ZRU10kV.VV8.QF.wCall</v>
      </c>
      <c r="B219" s="27">
        <v>1</v>
      </c>
      <c r="C219" s="27" t="s">
        <v>1</v>
      </c>
      <c r="D219" s="28">
        <v>11</v>
      </c>
    </row>
    <row r="220" spans="1:4" ht="15" customHeight="1">
      <c r="A220" s="63" t="str">
        <f t="shared" ref="A220:A229" si="21">$R$2&amp;".wLowBat"</f>
        <v>ASUES.ES.ZRU10kV.VV8.QF.wLowBat</v>
      </c>
      <c r="B220" s="52">
        <v>11154</v>
      </c>
      <c r="C220" s="52" t="s">
        <v>4</v>
      </c>
      <c r="D220" s="199">
        <f>$Q$6</f>
        <v>8</v>
      </c>
    </row>
    <row r="221" spans="1:4" ht="15" customHeight="1">
      <c r="A221" s="63" t="str">
        <f t="shared" si="21"/>
        <v>ASUES.ES.ZRU10kV.VV8.QF.wLowBat</v>
      </c>
      <c r="B221" s="52">
        <v>11152</v>
      </c>
      <c r="C221" s="52" t="s">
        <v>0</v>
      </c>
      <c r="D221" s="65" t="str">
        <f>$R$6</f>
        <v>Предупреждение</v>
      </c>
    </row>
    <row r="222" spans="1:4" ht="15" customHeight="1">
      <c r="A222" s="63" t="str">
        <f t="shared" si="21"/>
        <v>ASUES.ES.ZRU10kV.VV8.QF.wLowBat</v>
      </c>
      <c r="B222" s="52">
        <v>11150</v>
      </c>
      <c r="C222" s="52" t="s">
        <v>0</v>
      </c>
      <c r="D222" s="65" t="s">
        <v>1510</v>
      </c>
    </row>
    <row r="223" spans="1:4" ht="15" customHeight="1">
      <c r="A223" s="63" t="str">
        <f t="shared" si="21"/>
        <v>ASUES.ES.ZRU10kV.VV8.QF.wLowBat</v>
      </c>
      <c r="B223" s="52">
        <v>11000</v>
      </c>
      <c r="C223" s="52" t="s">
        <v>5</v>
      </c>
      <c r="D223" s="65">
        <v>2147483680</v>
      </c>
    </row>
    <row r="224" spans="1:4" ht="15" customHeight="1">
      <c r="A224" s="29" t="str">
        <f t="shared" si="21"/>
        <v>ASUES.ES.ZRU10kV.VV8.QF.wLowBat</v>
      </c>
      <c r="B224">
        <v>7999</v>
      </c>
      <c r="C224" t="s">
        <v>0</v>
      </c>
      <c r="D224" s="30" t="str">
        <f>"#"&amp;$S$2&amp;"#"&amp;$T$2&amp;"."&amp;$P$2&amp;".TS209_224_TS219"</f>
        <v>#15#\\SERVER-ASCUER\Relematika.Modbus.OPCDAServer.VV8.TS209_224_TS219</v>
      </c>
    </row>
    <row r="225" spans="1:4" ht="15" customHeight="1">
      <c r="A225" s="29" t="str">
        <f t="shared" si="21"/>
        <v>ASUES.ES.ZRU10kV.VV8.QF.wLowBat</v>
      </c>
      <c r="B225">
        <v>7998</v>
      </c>
      <c r="C225" t="s">
        <v>6</v>
      </c>
      <c r="D225" s="30">
        <v>1</v>
      </c>
    </row>
    <row r="226" spans="1:4" ht="15" customHeight="1">
      <c r="A226" s="29" t="str">
        <f t="shared" si="21"/>
        <v>ASUES.ES.ZRU10kV.VV8.QF.wLowBat</v>
      </c>
      <c r="B226">
        <v>101</v>
      </c>
      <c r="C226" t="s">
        <v>0</v>
      </c>
      <c r="D226" s="30" t="s">
        <v>1510</v>
      </c>
    </row>
    <row r="227" spans="1:4" ht="15" customHeight="1">
      <c r="A227" s="29" t="str">
        <f t="shared" si="21"/>
        <v>ASUES.ES.ZRU10kV.VV8.QF.wLowBat</v>
      </c>
      <c r="B227">
        <v>3</v>
      </c>
      <c r="C227" t="s">
        <v>1</v>
      </c>
      <c r="D227" s="30">
        <v>192</v>
      </c>
    </row>
    <row r="228" spans="1:4" ht="15" customHeight="1">
      <c r="A228" s="29" t="str">
        <f t="shared" si="21"/>
        <v>ASUES.ES.ZRU10kV.VV8.QF.wLowBat</v>
      </c>
      <c r="B228">
        <v>2</v>
      </c>
      <c r="C228" t="s">
        <v>2</v>
      </c>
      <c r="D228" s="30" t="s">
        <v>175</v>
      </c>
    </row>
    <row r="229" spans="1:4" ht="15" customHeight="1">
      <c r="A229" s="26" t="str">
        <f t="shared" si="21"/>
        <v>ASUES.ES.ZRU10kV.VV8.QF.wLowBat</v>
      </c>
      <c r="B229" s="27">
        <v>1</v>
      </c>
      <c r="C229" s="27" t="s">
        <v>1</v>
      </c>
      <c r="D229" s="28">
        <v>11</v>
      </c>
    </row>
    <row r="230" spans="1:4" ht="15" customHeight="1">
      <c r="A230" s="63" t="str">
        <f t="shared" ref="A230:A239" si="22">$R$2&amp;".wLowU"</f>
        <v>ASUES.ES.ZRU10kV.VV8.QF.wLowU</v>
      </c>
      <c r="B230" s="52">
        <v>11154</v>
      </c>
      <c r="C230" s="52" t="s">
        <v>4</v>
      </c>
      <c r="D230" s="199">
        <f>$Q$6</f>
        <v>8</v>
      </c>
    </row>
    <row r="231" spans="1:4" ht="15" customHeight="1">
      <c r="A231" s="63" t="str">
        <f t="shared" si="22"/>
        <v>ASUES.ES.ZRU10kV.VV8.QF.wLowU</v>
      </c>
      <c r="B231" s="52">
        <v>11152</v>
      </c>
      <c r="C231" s="52" t="s">
        <v>0</v>
      </c>
      <c r="D231" s="65" t="str">
        <f>$R$6</f>
        <v>Предупреждение</v>
      </c>
    </row>
    <row r="232" spans="1:4" ht="15" customHeight="1">
      <c r="A232" s="63" t="str">
        <f t="shared" si="22"/>
        <v>ASUES.ES.ZRU10kV.VV8.QF.wLowU</v>
      </c>
      <c r="B232" s="52">
        <v>11150</v>
      </c>
      <c r="C232" s="52" t="s">
        <v>0</v>
      </c>
      <c r="D232" s="65" t="s">
        <v>1511</v>
      </c>
    </row>
    <row r="233" spans="1:4" ht="15" customHeight="1">
      <c r="A233" s="63" t="str">
        <f t="shared" si="22"/>
        <v>ASUES.ES.ZRU10kV.VV8.QF.wLowU</v>
      </c>
      <c r="B233" s="52">
        <v>11000</v>
      </c>
      <c r="C233" s="52" t="s">
        <v>5</v>
      </c>
      <c r="D233" s="65">
        <v>2147483680</v>
      </c>
    </row>
    <row r="234" spans="1:4" ht="15" customHeight="1">
      <c r="A234" s="29" t="str">
        <f t="shared" si="22"/>
        <v>ASUES.ES.ZRU10kV.VV8.QF.wLowU</v>
      </c>
      <c r="B234">
        <v>7999</v>
      </c>
      <c r="C234" t="s">
        <v>0</v>
      </c>
      <c r="D234" s="30" t="str">
        <f>"#"&amp;$S$2&amp;"#"&amp;$T$2&amp;"."&amp;$P$2&amp;".TS209_224_TS217"</f>
        <v>#15#\\SERVER-ASCUER\Relematika.Modbus.OPCDAServer.VV8.TS209_224_TS217</v>
      </c>
    </row>
    <row r="235" spans="1:4" ht="15" customHeight="1">
      <c r="A235" s="29" t="str">
        <f t="shared" si="22"/>
        <v>ASUES.ES.ZRU10kV.VV8.QF.wLowU</v>
      </c>
      <c r="B235">
        <v>7998</v>
      </c>
      <c r="C235" t="s">
        <v>6</v>
      </c>
      <c r="D235" s="30">
        <v>1</v>
      </c>
    </row>
    <row r="236" spans="1:4" ht="15" customHeight="1">
      <c r="A236" s="29" t="str">
        <f t="shared" si="22"/>
        <v>ASUES.ES.ZRU10kV.VV8.QF.wLowU</v>
      </c>
      <c r="B236">
        <v>101</v>
      </c>
      <c r="C236" t="s">
        <v>0</v>
      </c>
      <c r="D236" s="30" t="s">
        <v>1511</v>
      </c>
    </row>
    <row r="237" spans="1:4" ht="15" customHeight="1">
      <c r="A237" s="29" t="str">
        <f t="shared" si="22"/>
        <v>ASUES.ES.ZRU10kV.VV8.QF.wLowU</v>
      </c>
      <c r="B237">
        <v>3</v>
      </c>
      <c r="C237" t="s">
        <v>1</v>
      </c>
      <c r="D237" s="30">
        <v>192</v>
      </c>
    </row>
    <row r="238" spans="1:4" ht="15" customHeight="1">
      <c r="A238" s="29" t="str">
        <f t="shared" si="22"/>
        <v>ASUES.ES.ZRU10kV.VV8.QF.wLowU</v>
      </c>
      <c r="B238">
        <v>2</v>
      </c>
      <c r="C238" t="s">
        <v>2</v>
      </c>
      <c r="D238" s="30" t="s">
        <v>175</v>
      </c>
    </row>
    <row r="239" spans="1:4" ht="15" customHeight="1">
      <c r="A239" s="26" t="str">
        <f t="shared" si="22"/>
        <v>ASUES.ES.ZRU10kV.VV8.QF.wLowU</v>
      </c>
      <c r="B239" s="27">
        <v>1</v>
      </c>
      <c r="C239" s="27" t="s">
        <v>1</v>
      </c>
      <c r="D239" s="28">
        <v>11</v>
      </c>
    </row>
    <row r="240" spans="1:4" ht="15" customHeight="1">
      <c r="A240" s="63" t="str">
        <f t="shared" ref="A240:A249" si="23">$R$2&amp;".wOscilBlkRec"</f>
        <v>ASUES.ES.ZRU10kV.VV8.QF.wOscilBlkRec</v>
      </c>
      <c r="B240" s="52">
        <v>11154</v>
      </c>
      <c r="C240" s="52" t="s">
        <v>4</v>
      </c>
      <c r="D240" s="199">
        <f>$Q$6</f>
        <v>8</v>
      </c>
    </row>
    <row r="241" spans="1:4" ht="15" customHeight="1">
      <c r="A241" s="63" t="str">
        <f t="shared" si="23"/>
        <v>ASUES.ES.ZRU10kV.VV8.QF.wOscilBlkRec</v>
      </c>
      <c r="B241" s="52">
        <v>11150</v>
      </c>
      <c r="C241" s="52" t="s">
        <v>0</v>
      </c>
      <c r="D241" s="65" t="s">
        <v>1546</v>
      </c>
    </row>
    <row r="242" spans="1:4" ht="15" customHeight="1">
      <c r="A242" s="63" t="str">
        <f t="shared" si="23"/>
        <v>ASUES.ES.ZRU10kV.VV8.QF.wOscilBlkRec</v>
      </c>
      <c r="B242" s="52">
        <v>11152</v>
      </c>
      <c r="C242" s="52" t="s">
        <v>0</v>
      </c>
      <c r="D242" s="65" t="str">
        <f>$R$6</f>
        <v>Предупреждение</v>
      </c>
    </row>
    <row r="243" spans="1:4" ht="15" customHeight="1">
      <c r="A243" s="63" t="str">
        <f t="shared" si="23"/>
        <v>ASUES.ES.ZRU10kV.VV8.QF.wOscilBlkRec</v>
      </c>
      <c r="B243" s="52">
        <v>11000</v>
      </c>
      <c r="C243" s="52" t="s">
        <v>5</v>
      </c>
      <c r="D243" s="65">
        <v>2147483680</v>
      </c>
    </row>
    <row r="244" spans="1:4" ht="15" customHeight="1">
      <c r="A244" s="29" t="str">
        <f t="shared" si="23"/>
        <v>ASUES.ES.ZRU10kV.VV8.QF.wOscilBlkRec</v>
      </c>
      <c r="B244">
        <v>7999</v>
      </c>
      <c r="C244" t="s">
        <v>0</v>
      </c>
      <c r="D244" s="30" t="str">
        <f>"#"&amp;$S$2&amp;"#"&amp;$T$2&amp;"."&amp;$P$2&amp;".TS49_64_TS50"</f>
        <v>#15#\\SERVER-ASCUER\Relematika.Modbus.OPCDAServer.VV8.TS49_64_TS50</v>
      </c>
    </row>
    <row r="245" spans="1:4" ht="15" customHeight="1">
      <c r="A245" s="29" t="str">
        <f t="shared" si="23"/>
        <v>ASUES.ES.ZRU10kV.VV8.QF.wOscilBlkRec</v>
      </c>
      <c r="B245">
        <v>7998</v>
      </c>
      <c r="C245" t="s">
        <v>6</v>
      </c>
      <c r="D245" s="30">
        <v>1</v>
      </c>
    </row>
    <row r="246" spans="1:4" ht="15" customHeight="1">
      <c r="A246" s="29" t="str">
        <f t="shared" si="23"/>
        <v>ASUES.ES.ZRU10kV.VV8.QF.wOscilBlkRec</v>
      </c>
      <c r="B246">
        <v>101</v>
      </c>
      <c r="C246" t="s">
        <v>0</v>
      </c>
      <c r="D246" s="30" t="s">
        <v>1546</v>
      </c>
    </row>
    <row r="247" spans="1:4" ht="15" customHeight="1">
      <c r="A247" s="29" t="str">
        <f t="shared" si="23"/>
        <v>ASUES.ES.ZRU10kV.VV8.QF.wOscilBlkRec</v>
      </c>
      <c r="B247">
        <v>3</v>
      </c>
      <c r="C247" t="s">
        <v>1</v>
      </c>
      <c r="D247" s="30">
        <v>192</v>
      </c>
    </row>
    <row r="248" spans="1:4" ht="15" customHeight="1">
      <c r="A248" s="29" t="str">
        <f t="shared" si="23"/>
        <v>ASUES.ES.ZRU10kV.VV8.QF.wOscilBlkRec</v>
      </c>
      <c r="B248">
        <v>2</v>
      </c>
      <c r="C248" t="s">
        <v>2</v>
      </c>
      <c r="D248" s="30" t="s">
        <v>3</v>
      </c>
    </row>
    <row r="249" spans="1:4" ht="15" customHeight="1">
      <c r="A249" s="26" t="str">
        <f t="shared" si="23"/>
        <v>ASUES.ES.ZRU10kV.VV8.QF.wOscilBlkRec</v>
      </c>
      <c r="B249" s="27">
        <v>1</v>
      </c>
      <c r="C249" s="27" t="s">
        <v>1</v>
      </c>
      <c r="D249" s="28">
        <v>11</v>
      </c>
    </row>
    <row r="250" spans="1:4" ht="15" customHeight="1">
      <c r="A250" s="63" t="str">
        <f t="shared" ref="A250:A259" si="24">$R$2&amp;".wPhaseReverse"</f>
        <v>ASUES.ES.ZRU10kV.VV8.QF.wPhaseReverse</v>
      </c>
      <c r="B250" s="52">
        <v>11154</v>
      </c>
      <c r="C250" s="52" t="s">
        <v>4</v>
      </c>
      <c r="D250" s="199">
        <f>$Q$6</f>
        <v>8</v>
      </c>
    </row>
    <row r="251" spans="1:4" ht="15" customHeight="1">
      <c r="A251" s="63" t="str">
        <f t="shared" si="24"/>
        <v>ASUES.ES.ZRU10kV.VV8.QF.wPhaseReverse</v>
      </c>
      <c r="B251" s="52">
        <v>11152</v>
      </c>
      <c r="C251" s="52" t="s">
        <v>0</v>
      </c>
      <c r="D251" s="65" t="str">
        <f>$R$6</f>
        <v>Предупреждение</v>
      </c>
    </row>
    <row r="252" spans="1:4" ht="15" customHeight="1">
      <c r="A252" s="63" t="str">
        <f t="shared" si="24"/>
        <v>ASUES.ES.ZRU10kV.VV8.QF.wPhaseReverse</v>
      </c>
      <c r="B252" s="52">
        <v>11150</v>
      </c>
      <c r="C252" s="52" t="s">
        <v>0</v>
      </c>
      <c r="D252" s="65" t="s">
        <v>1527</v>
      </c>
    </row>
    <row r="253" spans="1:4" ht="15" customHeight="1">
      <c r="A253" s="63" t="str">
        <f t="shared" si="24"/>
        <v>ASUES.ES.ZRU10kV.VV8.QF.wPhaseReverse</v>
      </c>
      <c r="B253" s="52">
        <v>11000</v>
      </c>
      <c r="C253" s="52" t="s">
        <v>5</v>
      </c>
      <c r="D253" s="65">
        <v>2147483680</v>
      </c>
    </row>
    <row r="254" spans="1:4" ht="15" customHeight="1">
      <c r="A254" s="29" t="str">
        <f t="shared" si="24"/>
        <v>ASUES.ES.ZRU10kV.VV8.QF.wPhaseReverse</v>
      </c>
      <c r="B254">
        <v>7999</v>
      </c>
      <c r="C254" t="s">
        <v>0</v>
      </c>
      <c r="D254" s="30" t="str">
        <f>"#"&amp;$S$2&amp;"#"&amp;$T$2&amp;"."&amp;$P$2&amp;".TS193_208_TS196"</f>
        <v>#15#\\SERVER-ASCUER\Relematika.Modbus.OPCDAServer.VV8.TS193_208_TS196</v>
      </c>
    </row>
    <row r="255" spans="1:4" ht="15" customHeight="1">
      <c r="A255" s="29" t="str">
        <f t="shared" si="24"/>
        <v>ASUES.ES.ZRU10kV.VV8.QF.wPhaseReverse</v>
      </c>
      <c r="B255">
        <v>7998</v>
      </c>
      <c r="C255" t="s">
        <v>6</v>
      </c>
      <c r="D255" s="30">
        <v>1</v>
      </c>
    </row>
    <row r="256" spans="1:4" ht="15" customHeight="1">
      <c r="A256" s="29" t="str">
        <f t="shared" si="24"/>
        <v>ASUES.ES.ZRU10kV.VV8.QF.wPhaseReverse</v>
      </c>
      <c r="B256">
        <v>101</v>
      </c>
      <c r="C256" t="s">
        <v>0</v>
      </c>
      <c r="D256" s="30" t="s">
        <v>1527</v>
      </c>
    </row>
    <row r="257" spans="1:4" ht="15" customHeight="1">
      <c r="A257" s="29" t="str">
        <f t="shared" si="24"/>
        <v>ASUES.ES.ZRU10kV.VV8.QF.wPhaseReverse</v>
      </c>
      <c r="B257">
        <v>3</v>
      </c>
      <c r="C257" t="s">
        <v>1</v>
      </c>
      <c r="D257" s="30">
        <v>192</v>
      </c>
    </row>
    <row r="258" spans="1:4" ht="15" customHeight="1">
      <c r="A258" s="29" t="str">
        <f t="shared" si="24"/>
        <v>ASUES.ES.ZRU10kV.VV8.QF.wPhaseReverse</v>
      </c>
      <c r="B258">
        <v>2</v>
      </c>
      <c r="C258" t="s">
        <v>2</v>
      </c>
      <c r="D258" s="30" t="s">
        <v>175</v>
      </c>
    </row>
    <row r="259" spans="1:4" ht="15" customHeight="1">
      <c r="A259" s="26" t="str">
        <f t="shared" si="24"/>
        <v>ASUES.ES.ZRU10kV.VV8.QF.wPhaseReverse</v>
      </c>
      <c r="B259" s="27">
        <v>1</v>
      </c>
      <c r="C259" s="27" t="s">
        <v>1</v>
      </c>
      <c r="D259" s="28">
        <v>11</v>
      </c>
    </row>
    <row r="260" spans="1:4" ht="15" customHeight="1">
      <c r="A260" s="63" t="str">
        <f t="shared" ref="A260:A269" si="25">$R$2&amp;".wSF6LowPressure"</f>
        <v>ASUES.ES.ZRU10kV.VV8.QF.wSF6LowPressure</v>
      </c>
      <c r="B260" s="52">
        <v>11154</v>
      </c>
      <c r="C260" s="52" t="s">
        <v>4</v>
      </c>
      <c r="D260" s="199">
        <f>$Q$6</f>
        <v>8</v>
      </c>
    </row>
    <row r="261" spans="1:4" ht="15" customHeight="1">
      <c r="A261" s="63" t="str">
        <f t="shared" si="25"/>
        <v>ASUES.ES.ZRU10kV.VV8.QF.wSF6LowPressure</v>
      </c>
      <c r="B261" s="52">
        <v>11152</v>
      </c>
      <c r="C261" s="52" t="s">
        <v>0</v>
      </c>
      <c r="D261" s="65" t="str">
        <f>$R$6</f>
        <v>Предупреждение</v>
      </c>
    </row>
    <row r="262" spans="1:4" ht="15" customHeight="1">
      <c r="A262" s="63" t="str">
        <f t="shared" si="25"/>
        <v>ASUES.ES.ZRU10kV.VV8.QF.wSF6LowPressure</v>
      </c>
      <c r="B262" s="52">
        <v>11150</v>
      </c>
      <c r="C262" s="52" t="s">
        <v>0</v>
      </c>
      <c r="D262" s="65" t="s">
        <v>1528</v>
      </c>
    </row>
    <row r="263" spans="1:4" ht="15" customHeight="1">
      <c r="A263" s="63" t="str">
        <f t="shared" si="25"/>
        <v>ASUES.ES.ZRU10kV.VV8.QF.wSF6LowPressure</v>
      </c>
      <c r="B263" s="52">
        <v>11000</v>
      </c>
      <c r="C263" s="52" t="s">
        <v>5</v>
      </c>
      <c r="D263" s="65">
        <v>2147483680</v>
      </c>
    </row>
    <row r="264" spans="1:4" ht="15" customHeight="1">
      <c r="A264" s="29" t="str">
        <f t="shared" si="25"/>
        <v>ASUES.ES.ZRU10kV.VV8.QF.wSF6LowPressure</v>
      </c>
      <c r="B264">
        <v>7999</v>
      </c>
      <c r="C264" t="s">
        <v>0</v>
      </c>
      <c r="D264" s="30" t="str">
        <f>"#"&amp;$S$2&amp;"#"&amp;$T$2&amp;"."&amp;$P$2&amp;".TS01_16_TS12"</f>
        <v>#15#\\SERVER-ASCUER\Relematika.Modbus.OPCDAServer.VV8.TS01_16_TS12</v>
      </c>
    </row>
    <row r="265" spans="1:4" ht="15" customHeight="1">
      <c r="A265" s="29" t="str">
        <f t="shared" si="25"/>
        <v>ASUES.ES.ZRU10kV.VV8.QF.wSF6LowPressure</v>
      </c>
      <c r="B265">
        <v>7998</v>
      </c>
      <c r="C265" t="s">
        <v>6</v>
      </c>
      <c r="D265" s="30">
        <v>1</v>
      </c>
    </row>
    <row r="266" spans="1:4" ht="15" customHeight="1">
      <c r="A266" s="29" t="str">
        <f t="shared" si="25"/>
        <v>ASUES.ES.ZRU10kV.VV8.QF.wSF6LowPressure</v>
      </c>
      <c r="B266">
        <v>101</v>
      </c>
      <c r="C266" t="s">
        <v>0</v>
      </c>
      <c r="D266" s="30" t="s">
        <v>1528</v>
      </c>
    </row>
    <row r="267" spans="1:4" ht="15" customHeight="1">
      <c r="A267" s="29" t="str">
        <f t="shared" si="25"/>
        <v>ASUES.ES.ZRU10kV.VV8.QF.wSF6LowPressure</v>
      </c>
      <c r="B267">
        <v>3</v>
      </c>
      <c r="C267" t="s">
        <v>1</v>
      </c>
      <c r="D267" s="30">
        <v>192</v>
      </c>
    </row>
    <row r="268" spans="1:4" ht="15" customHeight="1">
      <c r="A268" s="29" t="str">
        <f t="shared" si="25"/>
        <v>ASUES.ES.ZRU10kV.VV8.QF.wSF6LowPressure</v>
      </c>
      <c r="B268">
        <v>2</v>
      </c>
      <c r="C268" t="s">
        <v>2</v>
      </c>
      <c r="D268" s="30" t="s">
        <v>175</v>
      </c>
    </row>
    <row r="269" spans="1:4" ht="15" customHeight="1">
      <c r="A269" s="26" t="str">
        <f t="shared" si="25"/>
        <v>ASUES.ES.ZRU10kV.VV8.QF.wSF6LowPressure</v>
      </c>
      <c r="B269" s="27">
        <v>1</v>
      </c>
      <c r="C269" s="27" t="s">
        <v>1</v>
      </c>
      <c r="D269" s="28">
        <v>11</v>
      </c>
    </row>
    <row r="270" spans="1:4" ht="15" customHeight="1">
      <c r="A270" s="63" t="str">
        <f t="shared" ref="A270:A279" si="26">$R$2&amp;".wTN_Flt"</f>
        <v>ASUES.ES.ZRU10kV.VV8.QF.wTN_Flt</v>
      </c>
      <c r="B270" s="52">
        <v>11154</v>
      </c>
      <c r="C270" s="52" t="s">
        <v>4</v>
      </c>
      <c r="D270" s="199">
        <f>$Q$6</f>
        <v>8</v>
      </c>
    </row>
    <row r="271" spans="1:4" ht="15" customHeight="1">
      <c r="A271" s="63" t="str">
        <f t="shared" si="26"/>
        <v>ASUES.ES.ZRU10kV.VV8.QF.wTN_Flt</v>
      </c>
      <c r="B271" s="52">
        <v>11152</v>
      </c>
      <c r="C271" s="52" t="s">
        <v>0</v>
      </c>
      <c r="D271" s="65" t="str">
        <f>$R$6</f>
        <v>Предупреждение</v>
      </c>
    </row>
    <row r="272" spans="1:4" ht="15" customHeight="1">
      <c r="A272" s="63" t="str">
        <f t="shared" si="26"/>
        <v>ASUES.ES.ZRU10kV.VV8.QF.wTN_Flt</v>
      </c>
      <c r="B272" s="52">
        <v>11150</v>
      </c>
      <c r="C272" s="52" t="s">
        <v>0</v>
      </c>
      <c r="D272" s="65" t="s">
        <v>1533</v>
      </c>
    </row>
    <row r="273" spans="1:4" ht="15" customHeight="1">
      <c r="A273" s="63" t="str">
        <f t="shared" si="26"/>
        <v>ASUES.ES.ZRU10kV.VV8.QF.wTN_Flt</v>
      </c>
      <c r="B273" s="52">
        <v>11000</v>
      </c>
      <c r="C273" s="52" t="s">
        <v>5</v>
      </c>
      <c r="D273" s="65">
        <v>2147483680</v>
      </c>
    </row>
    <row r="274" spans="1:4" ht="15" customHeight="1">
      <c r="A274" s="29" t="str">
        <f t="shared" si="26"/>
        <v>ASUES.ES.ZRU10kV.VV8.QF.wTN_Flt</v>
      </c>
      <c r="B274">
        <v>7999</v>
      </c>
      <c r="C274" t="s">
        <v>0</v>
      </c>
      <c r="D274" s="30" t="str">
        <f>"#"&amp;$S$2&amp;"#"&amp;$T$2&amp;"."&amp;$P$2&amp;".TS209_224_TS210"</f>
        <v>#15#\\SERVER-ASCUER\Relematika.Modbus.OPCDAServer.VV8.TS209_224_TS210</v>
      </c>
    </row>
    <row r="275" spans="1:4" ht="15" customHeight="1">
      <c r="A275" s="29" t="str">
        <f t="shared" si="26"/>
        <v>ASUES.ES.ZRU10kV.VV8.QF.wTN_Flt</v>
      </c>
      <c r="B275">
        <v>7998</v>
      </c>
      <c r="C275" t="s">
        <v>6</v>
      </c>
      <c r="D275" s="30">
        <v>1</v>
      </c>
    </row>
    <row r="276" spans="1:4" ht="15" customHeight="1">
      <c r="A276" s="29" t="str">
        <f t="shared" si="26"/>
        <v>ASUES.ES.ZRU10kV.VV8.QF.wTN_Flt</v>
      </c>
      <c r="B276">
        <v>101</v>
      </c>
      <c r="C276" t="s">
        <v>0</v>
      </c>
      <c r="D276" s="30" t="s">
        <v>1533</v>
      </c>
    </row>
    <row r="277" spans="1:4" ht="15" customHeight="1">
      <c r="A277" s="29" t="str">
        <f t="shared" si="26"/>
        <v>ASUES.ES.ZRU10kV.VV8.QF.wTN_Flt</v>
      </c>
      <c r="B277">
        <v>3</v>
      </c>
      <c r="C277" t="s">
        <v>1</v>
      </c>
      <c r="D277" s="30">
        <v>192</v>
      </c>
    </row>
    <row r="278" spans="1:4" ht="15" customHeight="1">
      <c r="A278" s="29" t="str">
        <f t="shared" si="26"/>
        <v>ASUES.ES.ZRU10kV.VV8.QF.wTN_Flt</v>
      </c>
      <c r="B278">
        <v>2</v>
      </c>
      <c r="C278" t="s">
        <v>2</v>
      </c>
      <c r="D278" s="30" t="s">
        <v>175</v>
      </c>
    </row>
    <row r="279" spans="1:4" ht="15" customHeight="1">
      <c r="A279" s="26" t="str">
        <f t="shared" si="26"/>
        <v>ASUES.ES.ZRU10kV.VV8.QF.wTN_Flt</v>
      </c>
      <c r="B279" s="27">
        <v>1</v>
      </c>
      <c r="C279" s="27" t="s">
        <v>1</v>
      </c>
      <c r="D279" s="28">
        <v>11</v>
      </c>
    </row>
    <row r="280" spans="1:4" ht="15" customHeight="1">
      <c r="A280" s="63" t="str">
        <f t="shared" ref="A280:A289" si="27">$R$2&amp;".wTN_Off"</f>
        <v>ASUES.ES.ZRU10kV.VV8.QF.wTN_Off</v>
      </c>
      <c r="B280" s="52">
        <v>11154</v>
      </c>
      <c r="C280" s="52" t="s">
        <v>4</v>
      </c>
      <c r="D280" s="199">
        <f>$Q$6</f>
        <v>8</v>
      </c>
    </row>
    <row r="281" spans="1:4" ht="15" customHeight="1">
      <c r="A281" s="63" t="str">
        <f t="shared" si="27"/>
        <v>ASUES.ES.ZRU10kV.VV8.QF.wTN_Off</v>
      </c>
      <c r="B281" s="52">
        <v>11152</v>
      </c>
      <c r="C281" s="52" t="s">
        <v>0</v>
      </c>
      <c r="D281" s="65" t="str">
        <f>$R$6</f>
        <v>Предупреждение</v>
      </c>
    </row>
    <row r="282" spans="1:4" ht="15" customHeight="1">
      <c r="A282" s="63" t="str">
        <f t="shared" si="27"/>
        <v>ASUES.ES.ZRU10kV.VV8.QF.wTN_Off</v>
      </c>
      <c r="B282" s="52">
        <v>11150</v>
      </c>
      <c r="C282" s="52" t="s">
        <v>0</v>
      </c>
      <c r="D282" s="65" t="s">
        <v>1534</v>
      </c>
    </row>
    <row r="283" spans="1:4" ht="15" customHeight="1">
      <c r="A283" s="63" t="str">
        <f t="shared" si="27"/>
        <v>ASUES.ES.ZRU10kV.VV8.QF.wTN_Off</v>
      </c>
      <c r="B283" s="52">
        <v>11000</v>
      </c>
      <c r="C283" s="52" t="s">
        <v>5</v>
      </c>
      <c r="D283" s="65">
        <v>2147483680</v>
      </c>
    </row>
    <row r="284" spans="1:4" ht="15" customHeight="1">
      <c r="A284" s="29" t="str">
        <f t="shared" si="27"/>
        <v>ASUES.ES.ZRU10kV.VV8.QF.wTN_Off</v>
      </c>
      <c r="B284">
        <v>7999</v>
      </c>
      <c r="C284" t="s">
        <v>0</v>
      </c>
      <c r="D284" s="30" t="str">
        <f>"#"&amp;$S$2&amp;"#"&amp;$T$2&amp;"."&amp;$P$2&amp;".TS209_224_TS220"</f>
        <v>#15#\\SERVER-ASCUER\Relematika.Modbus.OPCDAServer.VV8.TS209_224_TS220</v>
      </c>
    </row>
    <row r="285" spans="1:4" ht="15" customHeight="1">
      <c r="A285" s="29" t="str">
        <f t="shared" si="27"/>
        <v>ASUES.ES.ZRU10kV.VV8.QF.wTN_Off</v>
      </c>
      <c r="B285">
        <v>7998</v>
      </c>
      <c r="C285" t="s">
        <v>6</v>
      </c>
      <c r="D285" s="30">
        <v>1</v>
      </c>
    </row>
    <row r="286" spans="1:4" ht="15" customHeight="1">
      <c r="A286" s="29" t="str">
        <f t="shared" si="27"/>
        <v>ASUES.ES.ZRU10kV.VV8.QF.wTN_Off</v>
      </c>
      <c r="B286">
        <v>101</v>
      </c>
      <c r="C286" t="s">
        <v>0</v>
      </c>
      <c r="D286" s="30" t="s">
        <v>1534</v>
      </c>
    </row>
    <row r="287" spans="1:4" ht="15" customHeight="1">
      <c r="A287" s="29" t="str">
        <f t="shared" si="27"/>
        <v>ASUES.ES.ZRU10kV.VV8.QF.wTN_Off</v>
      </c>
      <c r="B287">
        <v>3</v>
      </c>
      <c r="C287" t="s">
        <v>1</v>
      </c>
      <c r="D287" s="30">
        <v>192</v>
      </c>
    </row>
    <row r="288" spans="1:4" ht="15" customHeight="1">
      <c r="A288" s="29" t="str">
        <f t="shared" si="27"/>
        <v>ASUES.ES.ZRU10kV.VV8.QF.wTN_Off</v>
      </c>
      <c r="B288">
        <v>2</v>
      </c>
      <c r="C288" t="s">
        <v>2</v>
      </c>
      <c r="D288" s="30" t="s">
        <v>175</v>
      </c>
    </row>
    <row r="289" spans="1:4" ht="15" customHeight="1">
      <c r="A289" s="26" t="str">
        <f t="shared" si="27"/>
        <v>ASUES.ES.ZRU10kV.VV8.QF.wTN_Off</v>
      </c>
      <c r="B289" s="27">
        <v>1</v>
      </c>
      <c r="C289" s="27" t="s">
        <v>1</v>
      </c>
      <c r="D289" s="28">
        <v>11</v>
      </c>
    </row>
    <row r="290" spans="1:4" ht="15" customHeight="1">
      <c r="A290" s="217" t="str">
        <f>$R$2&amp;".NotConnected"</f>
        <v>ASUES.ES.ZRU10kV.VV8.QF.NotConnected</v>
      </c>
      <c r="B290" s="218">
        <v>11154</v>
      </c>
      <c r="C290" s="218" t="s">
        <v>4</v>
      </c>
      <c r="D290" s="231">
        <f>$Q$7</f>
        <v>12</v>
      </c>
    </row>
    <row r="291" spans="1:4" ht="15" customHeight="1">
      <c r="A291" s="211" t="str">
        <f t="shared" ref="A291:A299" si="28">$R$2&amp;".NotConnected"</f>
        <v>ASUES.ES.ZRU10kV.VV8.QF.NotConnected</v>
      </c>
      <c r="B291" s="677">
        <v>11152</v>
      </c>
      <c r="C291" s="677" t="s">
        <v>0</v>
      </c>
      <c r="D291" s="213" t="str">
        <f>$R$7</f>
        <v>Неисправность</v>
      </c>
    </row>
    <row r="292" spans="1:4" ht="15" customHeight="1">
      <c r="A292" s="211" t="str">
        <f t="shared" si="28"/>
        <v>ASUES.ES.ZRU10kV.VV8.QF.NotConnected</v>
      </c>
      <c r="B292" s="677">
        <v>11150</v>
      </c>
      <c r="C292" s="677" t="s">
        <v>0</v>
      </c>
      <c r="D292" s="213" t="s">
        <v>448</v>
      </c>
    </row>
    <row r="293" spans="1:4" ht="15" customHeight="1">
      <c r="A293" s="211" t="str">
        <f t="shared" si="28"/>
        <v>ASUES.ES.ZRU10kV.VV8.QF.NotConnected</v>
      </c>
      <c r="B293" s="677">
        <v>11000</v>
      </c>
      <c r="C293" s="677" t="s">
        <v>5</v>
      </c>
      <c r="D293" s="213">
        <v>2147483680</v>
      </c>
    </row>
    <row r="294" spans="1:4" ht="15" customHeight="1">
      <c r="A294" s="29" t="str">
        <f t="shared" si="28"/>
        <v>ASUES.ES.ZRU10kV.VV8.QF.NotConnected</v>
      </c>
      <c r="B294">
        <v>7999</v>
      </c>
      <c r="C294" t="s">
        <v>0</v>
      </c>
      <c r="D294" s="30" t="str">
        <f>"#"&amp;$S$2&amp;"#"&amp;$T$2&amp;"."&amp;$P$2&amp;".NotConnected"</f>
        <v>#15#\\SERVER-ASCUER\Relematika.Modbus.OPCDAServer.VV8.NotConnected</v>
      </c>
    </row>
    <row r="295" spans="1:4" ht="15" customHeight="1">
      <c r="A295" s="29" t="str">
        <f t="shared" si="28"/>
        <v>ASUES.ES.ZRU10kV.VV8.QF.NotConnected</v>
      </c>
      <c r="B295">
        <v>7998</v>
      </c>
      <c r="C295" t="s">
        <v>6</v>
      </c>
      <c r="D295" s="30">
        <v>1</v>
      </c>
    </row>
    <row r="296" spans="1:4" ht="15" customHeight="1">
      <c r="A296" s="29" t="str">
        <f t="shared" si="28"/>
        <v>ASUES.ES.ZRU10kV.VV8.QF.NotConnected</v>
      </c>
      <c r="B296">
        <v>101</v>
      </c>
      <c r="C296" t="s">
        <v>0</v>
      </c>
      <c r="D296" s="30" t="s">
        <v>448</v>
      </c>
    </row>
    <row r="297" spans="1:4" ht="15" customHeight="1">
      <c r="A297" s="29" t="str">
        <f t="shared" si="28"/>
        <v>ASUES.ES.ZRU10kV.VV8.QF.NotConnected</v>
      </c>
      <c r="B297">
        <v>3</v>
      </c>
      <c r="C297" t="s">
        <v>1</v>
      </c>
      <c r="D297" s="30">
        <v>192</v>
      </c>
    </row>
    <row r="298" spans="1:4" ht="15" customHeight="1">
      <c r="A298" s="29" t="str">
        <f t="shared" si="28"/>
        <v>ASUES.ES.ZRU10kV.VV8.QF.NotConnected</v>
      </c>
      <c r="B298">
        <v>2</v>
      </c>
      <c r="C298" t="s">
        <v>2</v>
      </c>
      <c r="D298" s="30" t="s">
        <v>175</v>
      </c>
    </row>
    <row r="299" spans="1:4" ht="15" customHeight="1">
      <c r="A299" s="26" t="str">
        <f t="shared" si="28"/>
        <v>ASUES.ES.ZRU10kV.VV8.QF.NotConnected</v>
      </c>
      <c r="B299" s="27">
        <v>1</v>
      </c>
      <c r="C299" s="27" t="s">
        <v>1</v>
      </c>
      <c r="D299" s="28">
        <v>11</v>
      </c>
    </row>
    <row r="300" spans="1:4" ht="15" customHeight="1">
      <c r="A300" s="211" t="str">
        <f t="shared" ref="A300:A307" si="29">$R$2&amp;".wNotOff"</f>
        <v>ASUES.ES.ZRU10kV.VV8.QF.wNotOff</v>
      </c>
      <c r="B300" s="677">
        <v>11154</v>
      </c>
      <c r="C300" s="677" t="s">
        <v>4</v>
      </c>
      <c r="D300" s="213">
        <f>$Q$7</f>
        <v>12</v>
      </c>
    </row>
    <row r="301" spans="1:4" ht="15" customHeight="1">
      <c r="A301" s="211" t="str">
        <f t="shared" si="29"/>
        <v>ASUES.ES.ZRU10kV.VV8.QF.wNotOff</v>
      </c>
      <c r="B301" s="677">
        <v>11152</v>
      </c>
      <c r="C301" s="677" t="s">
        <v>0</v>
      </c>
      <c r="D301" s="213" t="str">
        <f>$R$7</f>
        <v>Неисправность</v>
      </c>
    </row>
    <row r="302" spans="1:4" ht="15" customHeight="1">
      <c r="A302" s="211" t="str">
        <f t="shared" si="29"/>
        <v>ASUES.ES.ZRU10kV.VV8.QF.wNotOff</v>
      </c>
      <c r="B302" s="677">
        <v>11150</v>
      </c>
      <c r="C302" s="677" t="s">
        <v>0</v>
      </c>
      <c r="D302" s="213" t="s">
        <v>339</v>
      </c>
    </row>
    <row r="303" spans="1:4" ht="15" customHeight="1">
      <c r="A303" s="211" t="str">
        <f t="shared" si="29"/>
        <v>ASUES.ES.ZRU10kV.VV8.QF.wNotOff</v>
      </c>
      <c r="B303" s="677">
        <v>11000</v>
      </c>
      <c r="C303" s="677" t="s">
        <v>5</v>
      </c>
      <c r="D303" s="213">
        <v>2147483680</v>
      </c>
    </row>
    <row r="304" spans="1:4" ht="15" customHeight="1">
      <c r="A304" s="29" t="str">
        <f t="shared" si="29"/>
        <v>ASUES.ES.ZRU10kV.VV8.QF.wNotOff</v>
      </c>
      <c r="B304">
        <v>101</v>
      </c>
      <c r="C304" t="s">
        <v>0</v>
      </c>
      <c r="D304" s="30" t="s">
        <v>339</v>
      </c>
    </row>
    <row r="305" spans="1:4" ht="15" customHeight="1">
      <c r="A305" s="29" t="str">
        <f t="shared" si="29"/>
        <v>ASUES.ES.ZRU10kV.VV8.QF.wNotOff</v>
      </c>
      <c r="B305">
        <v>3</v>
      </c>
      <c r="C305" t="s">
        <v>1</v>
      </c>
      <c r="D305" s="30">
        <v>192</v>
      </c>
    </row>
    <row r="306" spans="1:4" ht="15" customHeight="1">
      <c r="A306" s="29" t="str">
        <f t="shared" si="29"/>
        <v>ASUES.ES.ZRU10kV.VV8.QF.wNotOff</v>
      </c>
      <c r="B306">
        <v>2</v>
      </c>
      <c r="C306" t="s">
        <v>2</v>
      </c>
      <c r="D306" s="30" t="s">
        <v>3</v>
      </c>
    </row>
    <row r="307" spans="1:4" ht="15" customHeight="1">
      <c r="A307" s="26" t="str">
        <f t="shared" si="29"/>
        <v>ASUES.ES.ZRU10kV.VV8.QF.wNotOff</v>
      </c>
      <c r="B307" s="27">
        <v>1</v>
      </c>
      <c r="C307" s="27" t="s">
        <v>1</v>
      </c>
      <c r="D307" s="28">
        <v>11</v>
      </c>
    </row>
    <row r="308" spans="1:4" ht="15" customHeight="1">
      <c r="A308" s="211" t="str">
        <f t="shared" ref="A308:A315" si="30">$R$2&amp;".wNotOn"</f>
        <v>ASUES.ES.ZRU10kV.VV8.QF.wNotOn</v>
      </c>
      <c r="B308" s="677">
        <v>11154</v>
      </c>
      <c r="C308" s="677" t="s">
        <v>4</v>
      </c>
      <c r="D308" s="213">
        <f>$Q$7</f>
        <v>12</v>
      </c>
    </row>
    <row r="309" spans="1:4" ht="15" customHeight="1">
      <c r="A309" s="211" t="str">
        <f t="shared" si="30"/>
        <v>ASUES.ES.ZRU10kV.VV8.QF.wNotOn</v>
      </c>
      <c r="B309" s="677">
        <v>11152</v>
      </c>
      <c r="C309" s="677" t="s">
        <v>0</v>
      </c>
      <c r="D309" s="213" t="str">
        <f>$R$7</f>
        <v>Неисправность</v>
      </c>
    </row>
    <row r="310" spans="1:4" ht="15" customHeight="1">
      <c r="A310" s="211" t="str">
        <f t="shared" si="30"/>
        <v>ASUES.ES.ZRU10kV.VV8.QF.wNotOn</v>
      </c>
      <c r="B310" s="677">
        <v>11150</v>
      </c>
      <c r="C310" s="677" t="s">
        <v>0</v>
      </c>
      <c r="D310" s="213" t="s">
        <v>340</v>
      </c>
    </row>
    <row r="311" spans="1:4" ht="15" customHeight="1">
      <c r="A311" s="211" t="str">
        <f t="shared" si="30"/>
        <v>ASUES.ES.ZRU10kV.VV8.QF.wNotOn</v>
      </c>
      <c r="B311" s="677">
        <v>11000</v>
      </c>
      <c r="C311" s="677" t="s">
        <v>5</v>
      </c>
      <c r="D311" s="213">
        <v>2147483680</v>
      </c>
    </row>
    <row r="312" spans="1:4" ht="15" customHeight="1">
      <c r="A312" s="29" t="str">
        <f t="shared" si="30"/>
        <v>ASUES.ES.ZRU10kV.VV8.QF.wNotOn</v>
      </c>
      <c r="B312">
        <v>101</v>
      </c>
      <c r="C312" t="s">
        <v>0</v>
      </c>
      <c r="D312" s="30" t="s">
        <v>340</v>
      </c>
    </row>
    <row r="313" spans="1:4" ht="15" customHeight="1">
      <c r="A313" s="29" t="str">
        <f t="shared" si="30"/>
        <v>ASUES.ES.ZRU10kV.VV8.QF.wNotOn</v>
      </c>
      <c r="B313">
        <v>3</v>
      </c>
      <c r="C313" t="s">
        <v>1</v>
      </c>
      <c r="D313" s="30">
        <v>192</v>
      </c>
    </row>
    <row r="314" spans="1:4" ht="15" customHeight="1">
      <c r="A314" s="29" t="str">
        <f t="shared" si="30"/>
        <v>ASUES.ES.ZRU10kV.VV8.QF.wNotOn</v>
      </c>
      <c r="B314">
        <v>2</v>
      </c>
      <c r="C314" t="s">
        <v>2</v>
      </c>
      <c r="D314" s="30" t="s">
        <v>3</v>
      </c>
    </row>
    <row r="315" spans="1:4" ht="15" customHeight="1">
      <c r="A315" s="26" t="str">
        <f t="shared" si="30"/>
        <v>ASUES.ES.ZRU10kV.VV8.QF.wNotOn</v>
      </c>
      <c r="B315" s="27">
        <v>1</v>
      </c>
      <c r="C315" s="27" t="s">
        <v>1</v>
      </c>
      <c r="D315" s="28">
        <v>11</v>
      </c>
    </row>
    <row r="316" spans="1:4" ht="15" customHeight="1">
      <c r="A316" s="211" t="str">
        <f t="shared" ref="A316:A322" si="31">$R$2&amp;".wDbl"</f>
        <v>ASUES.ES.ZRU10kV.VV8.QF.wDbl</v>
      </c>
      <c r="B316" s="677">
        <v>11154</v>
      </c>
      <c r="C316" s="677" t="s">
        <v>4</v>
      </c>
      <c r="D316" s="213">
        <f>$Q$7</f>
        <v>12</v>
      </c>
    </row>
    <row r="317" spans="1:4" ht="15" customHeight="1">
      <c r="A317" s="211" t="str">
        <f t="shared" si="31"/>
        <v>ASUES.ES.ZRU10kV.VV8.QF.wDbl</v>
      </c>
      <c r="B317" s="677">
        <v>11152</v>
      </c>
      <c r="C317" s="677" t="s">
        <v>0</v>
      </c>
      <c r="D317" s="213" t="str">
        <f>$R$7</f>
        <v>Неисправность</v>
      </c>
    </row>
    <row r="318" spans="1:4" ht="15" customHeight="1">
      <c r="A318" s="211" t="str">
        <f t="shared" si="31"/>
        <v>ASUES.ES.ZRU10kV.VV8.QF.wDbl</v>
      </c>
      <c r="B318" s="677">
        <v>11150</v>
      </c>
      <c r="C318" s="677" t="s">
        <v>0</v>
      </c>
      <c r="D318" s="213" t="s">
        <v>341</v>
      </c>
    </row>
    <row r="319" spans="1:4" ht="15" customHeight="1">
      <c r="A319" s="211" t="str">
        <f t="shared" si="31"/>
        <v>ASUES.ES.ZRU10kV.VV8.QF.wDbl</v>
      </c>
      <c r="B319" s="677">
        <v>11000</v>
      </c>
      <c r="C319" s="677" t="s">
        <v>5</v>
      </c>
      <c r="D319" s="213">
        <v>2147483680</v>
      </c>
    </row>
    <row r="320" spans="1:4" ht="15" customHeight="1">
      <c r="A320" s="29" t="str">
        <f t="shared" si="31"/>
        <v>ASUES.ES.ZRU10kV.VV8.QF.wDbl</v>
      </c>
      <c r="B320">
        <v>3</v>
      </c>
      <c r="C320" t="s">
        <v>1</v>
      </c>
      <c r="D320" s="30">
        <v>192</v>
      </c>
    </row>
    <row r="321" spans="1:4" ht="15" customHeight="1">
      <c r="A321" s="29" t="str">
        <f t="shared" si="31"/>
        <v>ASUES.ES.ZRU10kV.VV8.QF.wDbl</v>
      </c>
      <c r="B321">
        <v>2</v>
      </c>
      <c r="C321" t="s">
        <v>2</v>
      </c>
      <c r="D321" s="30" t="s">
        <v>175</v>
      </c>
    </row>
    <row r="322" spans="1:4" ht="15" customHeight="1">
      <c r="A322" s="26" t="str">
        <f t="shared" si="31"/>
        <v>ASUES.ES.ZRU10kV.VV8.QF.wDbl</v>
      </c>
      <c r="B322" s="27">
        <v>1</v>
      </c>
      <c r="C322" s="27" t="s">
        <v>1</v>
      </c>
      <c r="D322" s="28">
        <v>11</v>
      </c>
    </row>
    <row r="323" spans="1:4" ht="15" customHeight="1">
      <c r="A323" s="211" t="str">
        <f t="shared" ref="A323:A329" si="32">$R$2&amp;".wUnkw"</f>
        <v>ASUES.ES.ZRU10kV.VV8.QF.wUnkw</v>
      </c>
      <c r="B323" s="677">
        <v>11154</v>
      </c>
      <c r="C323" s="677" t="s">
        <v>4</v>
      </c>
      <c r="D323" s="213">
        <f>$Q$7</f>
        <v>12</v>
      </c>
    </row>
    <row r="324" spans="1:4" ht="15" customHeight="1">
      <c r="A324" s="211" t="str">
        <f t="shared" si="32"/>
        <v>ASUES.ES.ZRU10kV.VV8.QF.wUnkw</v>
      </c>
      <c r="B324" s="677">
        <v>11152</v>
      </c>
      <c r="C324" s="677" t="s">
        <v>0</v>
      </c>
      <c r="D324" s="213" t="str">
        <f>$R$7</f>
        <v>Неисправность</v>
      </c>
    </row>
    <row r="325" spans="1:4" ht="15" customHeight="1">
      <c r="A325" s="211" t="str">
        <f t="shared" si="32"/>
        <v>ASUES.ES.ZRU10kV.VV8.QF.wUnkw</v>
      </c>
      <c r="B325" s="677">
        <v>11150</v>
      </c>
      <c r="C325" s="677" t="s">
        <v>0</v>
      </c>
      <c r="D325" s="213" t="s">
        <v>342</v>
      </c>
    </row>
    <row r="326" spans="1:4" ht="15" customHeight="1">
      <c r="A326" s="211" t="str">
        <f t="shared" si="32"/>
        <v>ASUES.ES.ZRU10kV.VV8.QF.wUnkw</v>
      </c>
      <c r="B326" s="677">
        <v>11000</v>
      </c>
      <c r="C326" s="677" t="s">
        <v>5</v>
      </c>
      <c r="D326" s="213">
        <v>2147483680</v>
      </c>
    </row>
    <row r="327" spans="1:4" ht="15" customHeight="1">
      <c r="A327" s="29" t="str">
        <f t="shared" si="32"/>
        <v>ASUES.ES.ZRU10kV.VV8.QF.wUnkw</v>
      </c>
      <c r="B327">
        <v>3</v>
      </c>
      <c r="C327" t="s">
        <v>1</v>
      </c>
      <c r="D327" s="30">
        <v>192</v>
      </c>
    </row>
    <row r="328" spans="1:4" ht="15" customHeight="1">
      <c r="A328" s="29" t="str">
        <f t="shared" si="32"/>
        <v>ASUES.ES.ZRU10kV.VV8.QF.wUnkw</v>
      </c>
      <c r="B328">
        <v>2</v>
      </c>
      <c r="C328" t="s">
        <v>2</v>
      </c>
      <c r="D328" s="30" t="s">
        <v>175</v>
      </c>
    </row>
    <row r="329" spans="1:4" ht="15" customHeight="1">
      <c r="A329" s="26" t="str">
        <f t="shared" si="32"/>
        <v>ASUES.ES.ZRU10kV.VV8.QF.wUnkw</v>
      </c>
      <c r="B329" s="27">
        <v>1</v>
      </c>
      <c r="C329" s="27" t="s">
        <v>1</v>
      </c>
      <c r="D329" s="28">
        <v>11</v>
      </c>
    </row>
    <row r="330" spans="1:4" ht="15" customHeight="1">
      <c r="A330" s="217" t="str">
        <f t="shared" ref="A330:A339" si="33">$R$2&amp;".wCmdCircuitFlt"</f>
        <v>ASUES.ES.ZRU10kV.VV8.QF.wCmdCircuitFlt</v>
      </c>
      <c r="B330" s="218">
        <v>11154</v>
      </c>
      <c r="C330" s="218" t="s">
        <v>4</v>
      </c>
      <c r="D330" s="231">
        <f>$Q$7</f>
        <v>12</v>
      </c>
    </row>
    <row r="331" spans="1:4" ht="15" customHeight="1">
      <c r="A331" s="211" t="str">
        <f t="shared" si="33"/>
        <v>ASUES.ES.ZRU10kV.VV8.QF.wCmdCircuitFlt</v>
      </c>
      <c r="B331" s="677">
        <v>11152</v>
      </c>
      <c r="C331" s="677" t="s">
        <v>0</v>
      </c>
      <c r="D331" s="213" t="str">
        <f>$R$7</f>
        <v>Неисправность</v>
      </c>
    </row>
    <row r="332" spans="1:4" ht="15" customHeight="1">
      <c r="A332" s="211" t="str">
        <f t="shared" si="33"/>
        <v>ASUES.ES.ZRU10kV.VV8.QF.wCmdCircuitFlt</v>
      </c>
      <c r="B332" s="677">
        <v>11150</v>
      </c>
      <c r="C332" s="677" t="s">
        <v>0</v>
      </c>
      <c r="D332" s="213" t="s">
        <v>387</v>
      </c>
    </row>
    <row r="333" spans="1:4" ht="15" customHeight="1">
      <c r="A333" s="211" t="str">
        <f t="shared" si="33"/>
        <v>ASUES.ES.ZRU10kV.VV8.QF.wCmdCircuitFlt</v>
      </c>
      <c r="B333" s="677">
        <v>11000</v>
      </c>
      <c r="C333" s="677" t="s">
        <v>5</v>
      </c>
      <c r="D333" s="213">
        <v>2147483680</v>
      </c>
    </row>
    <row r="334" spans="1:4" ht="15" customHeight="1">
      <c r="A334" s="29" t="str">
        <f t="shared" si="33"/>
        <v>ASUES.ES.ZRU10kV.VV8.QF.wCmdCircuitFlt</v>
      </c>
      <c r="B334">
        <v>7999</v>
      </c>
      <c r="C334" t="s">
        <v>0</v>
      </c>
      <c r="D334" s="30" t="str">
        <f>"#"&amp;$S$2&amp;"#"&amp;$T$2&amp;"."&amp;$P$2&amp;".TS01_16_TS1"</f>
        <v>#15#\\SERVER-ASCUER\Relematika.Modbus.OPCDAServer.VV8.TS01_16_TS1</v>
      </c>
    </row>
    <row r="335" spans="1:4" ht="15" customHeight="1">
      <c r="A335" s="29" t="str">
        <f t="shared" si="33"/>
        <v>ASUES.ES.ZRU10kV.VV8.QF.wCmdCircuitFlt</v>
      </c>
      <c r="B335">
        <v>7998</v>
      </c>
      <c r="C335" t="s">
        <v>6</v>
      </c>
      <c r="D335" s="30">
        <v>1</v>
      </c>
    </row>
    <row r="336" spans="1:4" ht="15" customHeight="1">
      <c r="A336" s="29" t="str">
        <f t="shared" si="33"/>
        <v>ASUES.ES.ZRU10kV.VV8.QF.wCmdCircuitFlt</v>
      </c>
      <c r="B336">
        <v>101</v>
      </c>
      <c r="C336" t="s">
        <v>0</v>
      </c>
      <c r="D336" s="30" t="s">
        <v>387</v>
      </c>
    </row>
    <row r="337" spans="1:4" ht="15" customHeight="1">
      <c r="A337" s="29" t="str">
        <f t="shared" si="33"/>
        <v>ASUES.ES.ZRU10kV.VV8.QF.wCmdCircuitFlt</v>
      </c>
      <c r="B337">
        <v>3</v>
      </c>
      <c r="C337" t="s">
        <v>1</v>
      </c>
      <c r="D337" s="30">
        <v>192</v>
      </c>
    </row>
    <row r="338" spans="1:4" ht="15" customHeight="1">
      <c r="A338" s="29" t="str">
        <f t="shared" si="33"/>
        <v>ASUES.ES.ZRU10kV.VV8.QF.wCmdCircuitFlt</v>
      </c>
      <c r="B338">
        <v>2</v>
      </c>
      <c r="C338" t="s">
        <v>2</v>
      </c>
      <c r="D338" s="30" t="s">
        <v>175</v>
      </c>
    </row>
    <row r="339" spans="1:4" ht="15" customHeight="1">
      <c r="A339" s="26" t="str">
        <f t="shared" si="33"/>
        <v>ASUES.ES.ZRU10kV.VV8.QF.wCmdCircuitFlt</v>
      </c>
      <c r="B339" s="27">
        <v>1</v>
      </c>
      <c r="C339" s="27" t="s">
        <v>1</v>
      </c>
      <c r="D339" s="28">
        <v>11</v>
      </c>
    </row>
    <row r="340" spans="1:4" ht="15" customHeight="1">
      <c r="A340" s="217" t="str">
        <f>$R$2&amp;".wCmdFlt"</f>
        <v>ASUES.ES.ZRU10kV.VV8.QF.wCmdFlt</v>
      </c>
      <c r="B340" s="218">
        <v>11154</v>
      </c>
      <c r="C340" s="218" t="s">
        <v>4</v>
      </c>
      <c r="D340" s="231">
        <f>$Q$7</f>
        <v>12</v>
      </c>
    </row>
    <row r="341" spans="1:4" ht="15" customHeight="1">
      <c r="A341" s="211" t="str">
        <f t="shared" ref="A341:A349" si="34">$R$2&amp;".wCmdFlt"</f>
        <v>ASUES.ES.ZRU10kV.VV8.QF.wCmdFlt</v>
      </c>
      <c r="B341" s="677">
        <v>11152</v>
      </c>
      <c r="C341" s="677" t="s">
        <v>0</v>
      </c>
      <c r="D341" s="213" t="str">
        <f>$R$7</f>
        <v>Неисправность</v>
      </c>
    </row>
    <row r="342" spans="1:4" ht="15" customHeight="1">
      <c r="A342" s="211" t="str">
        <f t="shared" si="34"/>
        <v>ASUES.ES.ZRU10kV.VV8.QF.wCmdFlt</v>
      </c>
      <c r="B342" s="677">
        <v>11150</v>
      </c>
      <c r="C342" s="677" t="s">
        <v>0</v>
      </c>
      <c r="D342" s="213" t="s">
        <v>1547</v>
      </c>
    </row>
    <row r="343" spans="1:4" ht="15" customHeight="1">
      <c r="A343" s="211" t="str">
        <f t="shared" si="34"/>
        <v>ASUES.ES.ZRU10kV.VV8.QF.wCmdFlt</v>
      </c>
      <c r="B343" s="677">
        <v>11000</v>
      </c>
      <c r="C343" s="677" t="s">
        <v>5</v>
      </c>
      <c r="D343" s="213">
        <v>2147483680</v>
      </c>
    </row>
    <row r="344" spans="1:4" ht="15" customHeight="1">
      <c r="A344" s="29" t="str">
        <f t="shared" si="34"/>
        <v>ASUES.ES.ZRU10kV.VV8.QF.wCmdFlt</v>
      </c>
      <c r="B344">
        <v>7999</v>
      </c>
      <c r="C344" t="s">
        <v>0</v>
      </c>
      <c r="D344" s="30" t="str">
        <f>"#"&amp;$S$2&amp;"#"&amp;$T$2&amp;"."&amp;$P$2&amp;".TS01_16_TS2"</f>
        <v>#15#\\SERVER-ASCUER\Relematika.Modbus.OPCDAServer.VV8.TS01_16_TS2</v>
      </c>
    </row>
    <row r="345" spans="1:4" ht="15" customHeight="1">
      <c r="A345" s="29" t="str">
        <f t="shared" si="34"/>
        <v>ASUES.ES.ZRU10kV.VV8.QF.wCmdFlt</v>
      </c>
      <c r="B345">
        <v>7998</v>
      </c>
      <c r="C345" t="s">
        <v>6</v>
      </c>
      <c r="D345" s="30">
        <v>1</v>
      </c>
    </row>
    <row r="346" spans="1:4" ht="15" customHeight="1">
      <c r="A346" s="29" t="str">
        <f t="shared" si="34"/>
        <v>ASUES.ES.ZRU10kV.VV8.QF.wCmdFlt</v>
      </c>
      <c r="B346">
        <v>101</v>
      </c>
      <c r="C346" t="s">
        <v>0</v>
      </c>
      <c r="D346" s="30" t="s">
        <v>1547</v>
      </c>
    </row>
    <row r="347" spans="1:4" ht="15" customHeight="1">
      <c r="A347" s="29" t="str">
        <f t="shared" si="34"/>
        <v>ASUES.ES.ZRU10kV.VV8.QF.wCmdFlt</v>
      </c>
      <c r="B347">
        <v>3</v>
      </c>
      <c r="C347" t="s">
        <v>1</v>
      </c>
      <c r="D347" s="30">
        <v>192</v>
      </c>
    </row>
    <row r="348" spans="1:4" ht="15" customHeight="1">
      <c r="A348" s="29" t="str">
        <f t="shared" si="34"/>
        <v>ASUES.ES.ZRU10kV.VV8.QF.wCmdFlt</v>
      </c>
      <c r="B348">
        <v>2</v>
      </c>
      <c r="C348" t="s">
        <v>2</v>
      </c>
      <c r="D348" s="30" t="s">
        <v>175</v>
      </c>
    </row>
    <row r="349" spans="1:4" ht="15" customHeight="1">
      <c r="A349" s="26" t="str">
        <f t="shared" si="34"/>
        <v>ASUES.ES.ZRU10kV.VV8.QF.wCmdFlt</v>
      </c>
      <c r="B349" s="27">
        <v>1</v>
      </c>
      <c r="C349" s="27" t="s">
        <v>1</v>
      </c>
      <c r="D349" s="28">
        <v>11</v>
      </c>
    </row>
    <row r="350" spans="1:4" ht="15" customHeight="1">
      <c r="A350" s="217" t="str">
        <f>$R$2&amp;".wGenFlt"</f>
        <v>ASUES.ES.ZRU10kV.VV8.QF.wGenFlt</v>
      </c>
      <c r="B350" s="218">
        <v>11154</v>
      </c>
      <c r="C350" s="218" t="s">
        <v>4</v>
      </c>
      <c r="D350" s="231">
        <f>$Q$7</f>
        <v>12</v>
      </c>
    </row>
    <row r="351" spans="1:4" ht="15" customHeight="1">
      <c r="A351" s="211" t="str">
        <f t="shared" ref="A351:A359" si="35">$R$2&amp;".wGenFlt"</f>
        <v>ASUES.ES.ZRU10kV.VV8.QF.wGenFlt</v>
      </c>
      <c r="B351" s="677">
        <v>11152</v>
      </c>
      <c r="C351" s="677" t="s">
        <v>0</v>
      </c>
      <c r="D351" s="213" t="str">
        <f>$R$7</f>
        <v>Неисправность</v>
      </c>
    </row>
    <row r="352" spans="1:4" ht="15" customHeight="1">
      <c r="A352" s="211" t="str">
        <f t="shared" si="35"/>
        <v>ASUES.ES.ZRU10kV.VV8.QF.wGenFlt</v>
      </c>
      <c r="B352" s="677">
        <v>11150</v>
      </c>
      <c r="C352" s="677" t="s">
        <v>0</v>
      </c>
      <c r="D352" s="213" t="s">
        <v>139</v>
      </c>
    </row>
    <row r="353" spans="1:4" ht="15" customHeight="1">
      <c r="A353" s="211" t="str">
        <f t="shared" si="35"/>
        <v>ASUES.ES.ZRU10kV.VV8.QF.wGenFlt</v>
      </c>
      <c r="B353" s="677">
        <v>11000</v>
      </c>
      <c r="C353" s="677" t="s">
        <v>5</v>
      </c>
      <c r="D353" s="213">
        <v>2147483680</v>
      </c>
    </row>
    <row r="354" spans="1:4" ht="15" customHeight="1">
      <c r="A354" s="29" t="str">
        <f t="shared" si="35"/>
        <v>ASUES.ES.ZRU10kV.VV8.QF.wGenFlt</v>
      </c>
      <c r="B354">
        <v>7999</v>
      </c>
      <c r="C354" t="s">
        <v>0</v>
      </c>
      <c r="D354" s="30" t="str">
        <f>"#"&amp;$S$2&amp;"#"&amp;$T$2&amp;"."&amp;$P$2&amp;".TS49_64_TS52"</f>
        <v>#15#\\SERVER-ASCUER\Relematika.Modbus.OPCDAServer.VV8.TS49_64_TS52</v>
      </c>
    </row>
    <row r="355" spans="1:4" ht="15" customHeight="1">
      <c r="A355" s="29" t="str">
        <f t="shared" si="35"/>
        <v>ASUES.ES.ZRU10kV.VV8.QF.wGenFlt</v>
      </c>
      <c r="B355">
        <v>7998</v>
      </c>
      <c r="C355" t="s">
        <v>6</v>
      </c>
      <c r="D355" s="30">
        <v>1</v>
      </c>
    </row>
    <row r="356" spans="1:4" ht="15" customHeight="1">
      <c r="A356" s="29" t="str">
        <f t="shared" si="35"/>
        <v>ASUES.ES.ZRU10kV.VV8.QF.wGenFlt</v>
      </c>
      <c r="B356">
        <v>101</v>
      </c>
      <c r="C356" t="s">
        <v>0</v>
      </c>
      <c r="D356" s="30" t="s">
        <v>139</v>
      </c>
    </row>
    <row r="357" spans="1:4" ht="15" customHeight="1">
      <c r="A357" s="29" t="str">
        <f t="shared" si="35"/>
        <v>ASUES.ES.ZRU10kV.VV8.QF.wGenFlt</v>
      </c>
      <c r="B357">
        <v>3</v>
      </c>
      <c r="C357" t="s">
        <v>1</v>
      </c>
      <c r="D357" s="30">
        <v>192</v>
      </c>
    </row>
    <row r="358" spans="1:4" ht="15" customHeight="1">
      <c r="A358" s="29" t="str">
        <f t="shared" si="35"/>
        <v>ASUES.ES.ZRU10kV.VV8.QF.wGenFlt</v>
      </c>
      <c r="B358">
        <v>2</v>
      </c>
      <c r="C358" t="s">
        <v>2</v>
      </c>
      <c r="D358" s="30" t="s">
        <v>175</v>
      </c>
    </row>
    <row r="359" spans="1:4" ht="15" customHeight="1">
      <c r="A359" s="26" t="str">
        <f t="shared" si="35"/>
        <v>ASUES.ES.ZRU10kV.VV8.QF.wGenFlt</v>
      </c>
      <c r="B359" s="27">
        <v>1</v>
      </c>
      <c r="C359" s="27" t="s">
        <v>1</v>
      </c>
      <c r="D359" s="28">
        <v>11</v>
      </c>
    </row>
    <row r="360" spans="1:4" ht="15" customHeight="1">
      <c r="A360" s="217" t="str">
        <f>$R$2&amp;".wMotorSpringFlt"</f>
        <v>ASUES.ES.ZRU10kV.VV8.QF.wMotorSpringFlt</v>
      </c>
      <c r="B360" s="218">
        <v>11154</v>
      </c>
      <c r="C360" s="218" t="s">
        <v>4</v>
      </c>
      <c r="D360" s="231">
        <f>$Q$7</f>
        <v>12</v>
      </c>
    </row>
    <row r="361" spans="1:4" ht="15" customHeight="1">
      <c r="A361" s="211" t="str">
        <f t="shared" ref="A361:A369" si="36">$R$2&amp;".wMotorSpringFlt"</f>
        <v>ASUES.ES.ZRU10kV.VV8.QF.wMotorSpringFlt</v>
      </c>
      <c r="B361" s="677">
        <v>11152</v>
      </c>
      <c r="C361" s="677" t="s">
        <v>0</v>
      </c>
      <c r="D361" s="213" t="str">
        <f>$R$7</f>
        <v>Неисправность</v>
      </c>
    </row>
    <row r="362" spans="1:4" ht="15" customHeight="1">
      <c r="A362" s="211" t="str">
        <f t="shared" si="36"/>
        <v>ASUES.ES.ZRU10kV.VV8.QF.wMotorSpringFlt</v>
      </c>
      <c r="B362" s="677">
        <v>11150</v>
      </c>
      <c r="C362" s="677" t="s">
        <v>0</v>
      </c>
      <c r="D362" s="213" t="s">
        <v>1548</v>
      </c>
    </row>
    <row r="363" spans="1:4" ht="15" customHeight="1">
      <c r="A363" s="211" t="str">
        <f t="shared" si="36"/>
        <v>ASUES.ES.ZRU10kV.VV8.QF.wMotorSpringFlt</v>
      </c>
      <c r="B363" s="677">
        <v>11000</v>
      </c>
      <c r="C363" s="677" t="s">
        <v>5</v>
      </c>
      <c r="D363" s="213">
        <v>2147483680</v>
      </c>
    </row>
    <row r="364" spans="1:4" ht="15" customHeight="1">
      <c r="A364" s="29" t="str">
        <f t="shared" si="36"/>
        <v>ASUES.ES.ZRU10kV.VV8.QF.wMotorSpringFlt</v>
      </c>
      <c r="B364">
        <v>7999</v>
      </c>
      <c r="C364" t="s">
        <v>0</v>
      </c>
      <c r="D364" s="30" t="str">
        <f>"#"&amp;$S$2&amp;"#"&amp;$T$2&amp;"."&amp;$P$2&amp;".TS177_192_TS180"</f>
        <v>#15#\\SERVER-ASCUER\Relematika.Modbus.OPCDAServer.VV8.TS177_192_TS180</v>
      </c>
    </row>
    <row r="365" spans="1:4" ht="15" customHeight="1">
      <c r="A365" s="29" t="str">
        <f t="shared" si="36"/>
        <v>ASUES.ES.ZRU10kV.VV8.QF.wMotorSpringFlt</v>
      </c>
      <c r="B365">
        <v>7998</v>
      </c>
      <c r="C365" t="s">
        <v>6</v>
      </c>
      <c r="D365" s="30">
        <v>1</v>
      </c>
    </row>
    <row r="366" spans="1:4" ht="15" customHeight="1">
      <c r="A366" s="29" t="str">
        <f t="shared" si="36"/>
        <v>ASUES.ES.ZRU10kV.VV8.QF.wMotorSpringFlt</v>
      </c>
      <c r="B366">
        <v>101</v>
      </c>
      <c r="C366" t="s">
        <v>0</v>
      </c>
      <c r="D366" s="30" t="s">
        <v>1548</v>
      </c>
    </row>
    <row r="367" spans="1:4" ht="15" customHeight="1">
      <c r="A367" s="29" t="str">
        <f t="shared" si="36"/>
        <v>ASUES.ES.ZRU10kV.VV8.QF.wMotorSpringFlt</v>
      </c>
      <c r="B367">
        <v>3</v>
      </c>
      <c r="C367" t="s">
        <v>1</v>
      </c>
      <c r="D367" s="30">
        <v>192</v>
      </c>
    </row>
    <row r="368" spans="1:4" ht="15" customHeight="1">
      <c r="A368" s="29" t="str">
        <f t="shared" si="36"/>
        <v>ASUES.ES.ZRU10kV.VV8.QF.wMotorSpringFlt</v>
      </c>
      <c r="B368">
        <v>2</v>
      </c>
      <c r="C368" t="s">
        <v>2</v>
      </c>
      <c r="D368" s="30" t="s">
        <v>175</v>
      </c>
    </row>
    <row r="369" spans="1:4" ht="15" customHeight="1">
      <c r="A369" s="26" t="str">
        <f t="shared" si="36"/>
        <v>ASUES.ES.ZRU10kV.VV8.QF.wMotorSpringFlt</v>
      </c>
      <c r="B369" s="27">
        <v>1</v>
      </c>
      <c r="C369" s="27" t="s">
        <v>1</v>
      </c>
      <c r="D369" s="28">
        <v>11</v>
      </c>
    </row>
    <row r="370" spans="1:4" ht="15" customHeight="1">
      <c r="A370" s="217" t="str">
        <f t="shared" ref="A370:A379" si="37">$R$2&amp;".wCircuitOnFlt"</f>
        <v>ASUES.ES.ZRU10kV.VV8.QF.wCircuitOnFlt</v>
      </c>
      <c r="B370" s="218">
        <v>11154</v>
      </c>
      <c r="C370" s="218" t="s">
        <v>4</v>
      </c>
      <c r="D370" s="231">
        <f>$Q$7</f>
        <v>12</v>
      </c>
    </row>
    <row r="371" spans="1:4" ht="15" customHeight="1">
      <c r="A371" s="211" t="str">
        <f t="shared" si="37"/>
        <v>ASUES.ES.ZRU10kV.VV8.QF.wCircuitOnFlt</v>
      </c>
      <c r="B371" s="677">
        <v>11152</v>
      </c>
      <c r="C371" s="677" t="s">
        <v>0</v>
      </c>
      <c r="D371" s="213" t="str">
        <f>$R$7</f>
        <v>Неисправность</v>
      </c>
    </row>
    <row r="372" spans="1:4" ht="15" customHeight="1">
      <c r="A372" s="211" t="str">
        <f t="shared" si="37"/>
        <v>ASUES.ES.ZRU10kV.VV8.QF.wCircuitOnFlt</v>
      </c>
      <c r="B372" s="677">
        <v>11150</v>
      </c>
      <c r="C372" s="677" t="s">
        <v>0</v>
      </c>
      <c r="D372" s="213" t="s">
        <v>1515</v>
      </c>
    </row>
    <row r="373" spans="1:4" ht="15" customHeight="1">
      <c r="A373" s="211" t="str">
        <f t="shared" si="37"/>
        <v>ASUES.ES.ZRU10kV.VV8.QF.wCircuitOnFlt</v>
      </c>
      <c r="B373" s="677">
        <v>11000</v>
      </c>
      <c r="C373" s="677" t="s">
        <v>5</v>
      </c>
      <c r="D373" s="213">
        <v>2147483680</v>
      </c>
    </row>
    <row r="374" spans="1:4" ht="15" customHeight="1">
      <c r="A374" s="29" t="str">
        <f t="shared" si="37"/>
        <v>ASUES.ES.ZRU10kV.VV8.QF.wCircuitOnFlt</v>
      </c>
      <c r="B374">
        <v>7999</v>
      </c>
      <c r="C374" t="s">
        <v>0</v>
      </c>
      <c r="D374" s="30" t="str">
        <f>"#"&amp;$S$2&amp;"#"&amp;$T$2&amp;"."&amp;$P$2&amp;".TS193_208_TS208"</f>
        <v>#15#\\SERVER-ASCUER\Relematika.Modbus.OPCDAServer.VV8.TS193_208_TS208</v>
      </c>
    </row>
    <row r="375" spans="1:4" ht="15" customHeight="1">
      <c r="A375" s="29" t="str">
        <f t="shared" si="37"/>
        <v>ASUES.ES.ZRU10kV.VV8.QF.wCircuitOnFlt</v>
      </c>
      <c r="B375">
        <v>7998</v>
      </c>
      <c r="C375" t="s">
        <v>6</v>
      </c>
      <c r="D375" s="30">
        <v>1</v>
      </c>
    </row>
    <row r="376" spans="1:4" ht="15" customHeight="1">
      <c r="A376" s="29" t="str">
        <f t="shared" si="37"/>
        <v>ASUES.ES.ZRU10kV.VV8.QF.wCircuitOnFlt</v>
      </c>
      <c r="B376">
        <v>101</v>
      </c>
      <c r="C376" t="s">
        <v>0</v>
      </c>
      <c r="D376" s="30" t="s">
        <v>1515</v>
      </c>
    </row>
    <row r="377" spans="1:4" ht="15" customHeight="1">
      <c r="A377" s="29" t="str">
        <f t="shared" si="37"/>
        <v>ASUES.ES.ZRU10kV.VV8.QF.wCircuitOnFlt</v>
      </c>
      <c r="B377">
        <v>3</v>
      </c>
      <c r="C377" t="s">
        <v>1</v>
      </c>
      <c r="D377" s="30">
        <v>192</v>
      </c>
    </row>
    <row r="378" spans="1:4" ht="15" customHeight="1">
      <c r="A378" s="29" t="str">
        <f t="shared" si="37"/>
        <v>ASUES.ES.ZRU10kV.VV8.QF.wCircuitOnFlt</v>
      </c>
      <c r="B378">
        <v>2</v>
      </c>
      <c r="C378" t="s">
        <v>2</v>
      </c>
      <c r="D378" s="30" t="s">
        <v>175</v>
      </c>
    </row>
    <row r="379" spans="1:4" ht="15" customHeight="1">
      <c r="A379" s="26" t="str">
        <f t="shared" si="37"/>
        <v>ASUES.ES.ZRU10kV.VV8.QF.wCircuitOnFlt</v>
      </c>
      <c r="B379" s="27">
        <v>1</v>
      </c>
      <c r="C379" s="27" t="s">
        <v>1</v>
      </c>
      <c r="D379" s="28">
        <v>11</v>
      </c>
    </row>
    <row r="380" spans="1:4" ht="15" customHeight="1">
      <c r="A380" s="217" t="str">
        <f>$R$2&amp;".wOverload"</f>
        <v>ASUES.ES.ZRU10kV.VV8.QF.wOverload</v>
      </c>
      <c r="B380" s="218">
        <v>11154</v>
      </c>
      <c r="C380" s="218" t="s">
        <v>4</v>
      </c>
      <c r="D380" s="231">
        <f>$Q$7</f>
        <v>12</v>
      </c>
    </row>
    <row r="381" spans="1:4" ht="15" customHeight="1">
      <c r="A381" s="211" t="str">
        <f t="shared" ref="A381:A389" si="38">$R$2&amp;".wOverload"</f>
        <v>ASUES.ES.ZRU10kV.VV8.QF.wOverload</v>
      </c>
      <c r="B381" s="677">
        <v>11152</v>
      </c>
      <c r="C381" s="677" t="s">
        <v>0</v>
      </c>
      <c r="D381" s="213" t="str">
        <f>$R$7</f>
        <v>Неисправность</v>
      </c>
    </row>
    <row r="382" spans="1:4" ht="15" customHeight="1">
      <c r="A382" s="211" t="str">
        <f t="shared" si="38"/>
        <v>ASUES.ES.ZRU10kV.VV8.QF.wOverload</v>
      </c>
      <c r="B382" s="677">
        <v>11150</v>
      </c>
      <c r="C382" s="677" t="s">
        <v>0</v>
      </c>
      <c r="D382" s="213" t="s">
        <v>509</v>
      </c>
    </row>
    <row r="383" spans="1:4" ht="15" customHeight="1">
      <c r="A383" s="211" t="str">
        <f t="shared" si="38"/>
        <v>ASUES.ES.ZRU10kV.VV8.QF.wOverload</v>
      </c>
      <c r="B383" s="677">
        <v>11000</v>
      </c>
      <c r="C383" s="677" t="s">
        <v>5</v>
      </c>
      <c r="D383" s="213">
        <v>2147483680</v>
      </c>
    </row>
    <row r="384" spans="1:4" ht="15" customHeight="1">
      <c r="A384" s="29" t="str">
        <f t="shared" si="38"/>
        <v>ASUES.ES.ZRU10kV.VV8.QF.wOverload</v>
      </c>
      <c r="B384">
        <v>7999</v>
      </c>
      <c r="C384" t="s">
        <v>0</v>
      </c>
      <c r="D384" s="30" t="str">
        <f>"#"&amp;$S$2&amp;"#"&amp;$T$2&amp;"."&amp;$P$2&amp;".TS65_80_TS69"</f>
        <v>#15#\\SERVER-ASCUER\Relematika.Modbus.OPCDAServer.VV8.TS65_80_TS69</v>
      </c>
    </row>
    <row r="385" spans="1:4" ht="15" customHeight="1">
      <c r="A385" s="29" t="str">
        <f t="shared" si="38"/>
        <v>ASUES.ES.ZRU10kV.VV8.QF.wOverload</v>
      </c>
      <c r="B385">
        <v>7998</v>
      </c>
      <c r="C385" t="s">
        <v>6</v>
      </c>
      <c r="D385" s="30">
        <v>1</v>
      </c>
    </row>
    <row r="386" spans="1:4" ht="15" customHeight="1">
      <c r="A386" s="29" t="str">
        <f t="shared" si="38"/>
        <v>ASUES.ES.ZRU10kV.VV8.QF.wOverload</v>
      </c>
      <c r="B386">
        <v>101</v>
      </c>
      <c r="C386" t="s">
        <v>0</v>
      </c>
      <c r="D386" s="30" t="s">
        <v>509</v>
      </c>
    </row>
    <row r="387" spans="1:4" ht="15" customHeight="1">
      <c r="A387" s="29" t="str">
        <f t="shared" si="38"/>
        <v>ASUES.ES.ZRU10kV.VV8.QF.wOverload</v>
      </c>
      <c r="B387">
        <v>3</v>
      </c>
      <c r="C387" t="s">
        <v>1</v>
      </c>
      <c r="D387" s="30">
        <v>192</v>
      </c>
    </row>
    <row r="388" spans="1:4" ht="15" customHeight="1">
      <c r="A388" s="29" t="str">
        <f t="shared" si="38"/>
        <v>ASUES.ES.ZRU10kV.VV8.QF.wOverload</v>
      </c>
      <c r="B388">
        <v>2</v>
      </c>
      <c r="C388" t="s">
        <v>2</v>
      </c>
      <c r="D388" s="30" t="s">
        <v>175</v>
      </c>
    </row>
    <row r="389" spans="1:4" ht="15" customHeight="1">
      <c r="A389" s="26" t="str">
        <f t="shared" si="38"/>
        <v>ASUES.ES.ZRU10kV.VV8.QF.wOverload</v>
      </c>
      <c r="B389" s="27">
        <v>1</v>
      </c>
      <c r="C389" s="27" t="s">
        <v>1</v>
      </c>
      <c r="D389" s="28">
        <v>11</v>
      </c>
    </row>
    <row r="390" spans="1:4" ht="15" customHeight="1">
      <c r="A390" s="217" t="str">
        <f>$R$2&amp;".wStateMismatch"</f>
        <v>ASUES.ES.ZRU10kV.VV8.QF.wStateMismatch</v>
      </c>
      <c r="B390" s="218">
        <v>11154</v>
      </c>
      <c r="C390" s="218" t="s">
        <v>4</v>
      </c>
      <c r="D390" s="231">
        <f>$Q$7</f>
        <v>12</v>
      </c>
    </row>
    <row r="391" spans="1:4" ht="15" customHeight="1">
      <c r="A391" s="211" t="str">
        <f t="shared" ref="A391:A399" si="39">$R$2&amp;".wStateMismatch"</f>
        <v>ASUES.ES.ZRU10kV.VV8.QF.wStateMismatch</v>
      </c>
      <c r="B391" s="677">
        <v>11152</v>
      </c>
      <c r="C391" s="677" t="s">
        <v>0</v>
      </c>
      <c r="D391" s="213" t="str">
        <f>$R$7</f>
        <v>Неисправность</v>
      </c>
    </row>
    <row r="392" spans="1:4" ht="15" customHeight="1">
      <c r="A392" s="211" t="str">
        <f t="shared" si="39"/>
        <v>ASUES.ES.ZRU10kV.VV8.QF.wStateMismatch</v>
      </c>
      <c r="B392" s="677">
        <v>11150</v>
      </c>
      <c r="C392" s="677" t="s">
        <v>0</v>
      </c>
      <c r="D392" s="213" t="s">
        <v>1516</v>
      </c>
    </row>
    <row r="393" spans="1:4" ht="15" customHeight="1">
      <c r="A393" s="211" t="str">
        <f t="shared" si="39"/>
        <v>ASUES.ES.ZRU10kV.VV8.QF.wStateMismatch</v>
      </c>
      <c r="B393" s="677">
        <v>11000</v>
      </c>
      <c r="C393" s="677" t="s">
        <v>5</v>
      </c>
      <c r="D393" s="213">
        <v>2147483680</v>
      </c>
    </row>
    <row r="394" spans="1:4" ht="15" customHeight="1">
      <c r="A394" s="29" t="str">
        <f t="shared" si="39"/>
        <v>ASUES.ES.ZRU10kV.VV8.QF.wStateMismatch</v>
      </c>
      <c r="B394">
        <v>7999</v>
      </c>
      <c r="C394" t="s">
        <v>0</v>
      </c>
      <c r="D394" s="30" t="str">
        <f>"#"&amp;$S$2&amp;"#"&amp;$T$2&amp;"."&amp;$P$2&amp;".TS01_16_TS3"</f>
        <v>#15#\\SERVER-ASCUER\Relematika.Modbus.OPCDAServer.VV8.TS01_16_TS3</v>
      </c>
    </row>
    <row r="395" spans="1:4" ht="15" customHeight="1">
      <c r="A395" s="29" t="str">
        <f t="shared" si="39"/>
        <v>ASUES.ES.ZRU10kV.VV8.QF.wStateMismatch</v>
      </c>
      <c r="B395">
        <v>7998</v>
      </c>
      <c r="C395" t="s">
        <v>6</v>
      </c>
      <c r="D395" s="30">
        <v>1</v>
      </c>
    </row>
    <row r="396" spans="1:4" ht="15" customHeight="1">
      <c r="A396" s="29" t="str">
        <f t="shared" si="39"/>
        <v>ASUES.ES.ZRU10kV.VV8.QF.wStateMismatch</v>
      </c>
      <c r="B396">
        <v>101</v>
      </c>
      <c r="C396" t="s">
        <v>0</v>
      </c>
      <c r="D396" s="30" t="s">
        <v>1516</v>
      </c>
    </row>
    <row r="397" spans="1:4" ht="15" customHeight="1">
      <c r="A397" s="29" t="str">
        <f t="shared" si="39"/>
        <v>ASUES.ES.ZRU10kV.VV8.QF.wStateMismatch</v>
      </c>
      <c r="B397">
        <v>3</v>
      </c>
      <c r="C397" t="s">
        <v>1</v>
      </c>
      <c r="D397" s="30">
        <v>192</v>
      </c>
    </row>
    <row r="398" spans="1:4" ht="15" customHeight="1">
      <c r="A398" s="29" t="str">
        <f t="shared" si="39"/>
        <v>ASUES.ES.ZRU10kV.VV8.QF.wStateMismatch</v>
      </c>
      <c r="B398">
        <v>2</v>
      </c>
      <c r="C398" t="s">
        <v>2</v>
      </c>
      <c r="D398" s="30" t="s">
        <v>175</v>
      </c>
    </row>
    <row r="399" spans="1:4" ht="15" customHeight="1">
      <c r="A399" s="29" t="str">
        <f t="shared" si="39"/>
        <v>ASUES.ES.ZRU10kV.VV8.QF.wStateMismatch</v>
      </c>
      <c r="B399" s="27">
        <v>1</v>
      </c>
      <c r="C399" s="27" t="s">
        <v>1</v>
      </c>
      <c r="D399" s="28">
        <v>11</v>
      </c>
    </row>
    <row r="400" spans="1:4" ht="15" customHeight="1">
      <c r="A400" s="217" t="str">
        <f>$R$2&amp;".wTT_Flt"</f>
        <v>ASUES.ES.ZRU10kV.VV8.QF.wTT_Flt</v>
      </c>
      <c r="B400" s="218">
        <v>11154</v>
      </c>
      <c r="C400" s="218" t="s">
        <v>4</v>
      </c>
      <c r="D400" s="231">
        <f>$Q$7</f>
        <v>12</v>
      </c>
    </row>
    <row r="401" spans="1:4" ht="15" customHeight="1">
      <c r="A401" s="211" t="str">
        <f t="shared" ref="A401:A409" si="40">$R$2&amp;".wTT_Flt"</f>
        <v>ASUES.ES.ZRU10kV.VV8.QF.wTT_Flt</v>
      </c>
      <c r="B401" s="677">
        <v>11152</v>
      </c>
      <c r="C401" s="677" t="s">
        <v>0</v>
      </c>
      <c r="D401" s="213" t="str">
        <f>$R$7</f>
        <v>Неисправность</v>
      </c>
    </row>
    <row r="402" spans="1:4" ht="15" customHeight="1">
      <c r="A402" s="211" t="str">
        <f t="shared" si="40"/>
        <v>ASUES.ES.ZRU10kV.VV8.QF.wTT_Flt</v>
      </c>
      <c r="B402" s="677">
        <v>11150</v>
      </c>
      <c r="C402" s="677" t="s">
        <v>0</v>
      </c>
      <c r="D402" s="213" t="s">
        <v>1517</v>
      </c>
    </row>
    <row r="403" spans="1:4" ht="15" customHeight="1">
      <c r="A403" s="211" t="str">
        <f t="shared" si="40"/>
        <v>ASUES.ES.ZRU10kV.VV8.QF.wTT_Flt</v>
      </c>
      <c r="B403" s="677">
        <v>11000</v>
      </c>
      <c r="C403" s="677" t="s">
        <v>5</v>
      </c>
      <c r="D403" s="213">
        <v>2147483680</v>
      </c>
    </row>
    <row r="404" spans="1:4" ht="15" customHeight="1">
      <c r="A404" s="29" t="str">
        <f t="shared" si="40"/>
        <v>ASUES.ES.ZRU10kV.VV8.QF.wTT_Flt</v>
      </c>
      <c r="B404">
        <v>7999</v>
      </c>
      <c r="C404" t="s">
        <v>0</v>
      </c>
      <c r="D404" s="30" t="str">
        <f>"#"&amp;$S$2&amp;"#"&amp;$T$2&amp;"."&amp;$P$2&amp;".TS209_224_TS209"</f>
        <v>#15#\\SERVER-ASCUER\Relematika.Modbus.OPCDAServer.VV8.TS209_224_TS209</v>
      </c>
    </row>
    <row r="405" spans="1:4" ht="15" customHeight="1">
      <c r="A405" s="29" t="str">
        <f t="shared" si="40"/>
        <v>ASUES.ES.ZRU10kV.VV8.QF.wTT_Flt</v>
      </c>
      <c r="B405">
        <v>7998</v>
      </c>
      <c r="C405" t="s">
        <v>6</v>
      </c>
      <c r="D405" s="30">
        <v>1</v>
      </c>
    </row>
    <row r="406" spans="1:4" ht="15" customHeight="1">
      <c r="A406" s="29" t="str">
        <f t="shared" si="40"/>
        <v>ASUES.ES.ZRU10kV.VV8.QF.wTT_Flt</v>
      </c>
      <c r="B406">
        <v>101</v>
      </c>
      <c r="C406" t="s">
        <v>0</v>
      </c>
      <c r="D406" s="30" t="s">
        <v>1517</v>
      </c>
    </row>
    <row r="407" spans="1:4" ht="15" customHeight="1">
      <c r="A407" s="29" t="str">
        <f t="shared" si="40"/>
        <v>ASUES.ES.ZRU10kV.VV8.QF.wTT_Flt</v>
      </c>
      <c r="B407">
        <v>3</v>
      </c>
      <c r="C407" t="s">
        <v>1</v>
      </c>
      <c r="D407" s="30">
        <v>192</v>
      </c>
    </row>
    <row r="408" spans="1:4" ht="15" customHeight="1">
      <c r="A408" s="29" t="str">
        <f t="shared" si="40"/>
        <v>ASUES.ES.ZRU10kV.VV8.QF.wTT_Flt</v>
      </c>
      <c r="B408">
        <v>2</v>
      </c>
      <c r="C408" t="s">
        <v>2</v>
      </c>
      <c r="D408" s="30" t="s">
        <v>175</v>
      </c>
    </row>
    <row r="409" spans="1:4" ht="15" customHeight="1">
      <c r="A409" s="26" t="str">
        <f t="shared" si="40"/>
        <v>ASUES.ES.ZRU10kV.VV8.QF.wTT_Flt</v>
      </c>
      <c r="B409" s="27">
        <v>1</v>
      </c>
      <c r="C409" s="27" t="s">
        <v>1</v>
      </c>
      <c r="D409" s="28">
        <v>11</v>
      </c>
    </row>
    <row r="410" spans="1:4" ht="15" customHeight="1">
      <c r="A410" s="29" t="str">
        <f t="shared" ref="A410:A421" si="41">$R$2&amp;".stOff"</f>
        <v>ASUES.ES.ZRU10kV.VV8.QF.stOff</v>
      </c>
      <c r="B410">
        <v>7000000</v>
      </c>
      <c r="C410" t="s">
        <v>6</v>
      </c>
      <c r="D410" s="30">
        <v>1</v>
      </c>
    </row>
    <row r="411" spans="1:4" ht="15" customHeight="1">
      <c r="A411" s="29" t="str">
        <f t="shared" si="41"/>
        <v>ASUES.ES.ZRU10kV.VV8.QF.stOff</v>
      </c>
      <c r="B411">
        <v>4000000</v>
      </c>
      <c r="C411" t="s">
        <v>0</v>
      </c>
      <c r="D411" s="685" t="s">
        <v>396</v>
      </c>
    </row>
    <row r="412" spans="1:4" ht="15" customHeight="1">
      <c r="A412" s="100" t="str">
        <f t="shared" si="41"/>
        <v>ASUES.ES.ZRU10kV.VV8.QF.stOff</v>
      </c>
      <c r="B412" s="679">
        <v>11154</v>
      </c>
      <c r="C412" s="679" t="s">
        <v>4</v>
      </c>
      <c r="D412" s="536">
        <f>$Q$8</f>
        <v>18</v>
      </c>
    </row>
    <row r="413" spans="1:4" ht="15" customHeight="1">
      <c r="A413" s="100" t="str">
        <f t="shared" si="41"/>
        <v>ASUES.ES.ZRU10kV.VV8.QF.stOff</v>
      </c>
      <c r="B413" s="679">
        <v>11150</v>
      </c>
      <c r="C413" s="679" t="s">
        <v>0</v>
      </c>
      <c r="D413" s="103" t="s">
        <v>336</v>
      </c>
    </row>
    <row r="414" spans="1:4" ht="15" customHeight="1">
      <c r="A414" s="100" t="str">
        <f t="shared" si="41"/>
        <v>ASUES.ES.ZRU10kV.VV8.QF.stOff</v>
      </c>
      <c r="B414" s="679">
        <v>11152</v>
      </c>
      <c r="C414" s="679" t="s">
        <v>0</v>
      </c>
      <c r="D414" s="103" t="str">
        <f>$R$8</f>
        <v>Телесигнализация</v>
      </c>
    </row>
    <row r="415" spans="1:4" ht="15" customHeight="1">
      <c r="A415" s="100" t="str">
        <f t="shared" si="41"/>
        <v>ASUES.ES.ZRU10kV.VV8.QF.stOff</v>
      </c>
      <c r="B415" s="679">
        <v>11000</v>
      </c>
      <c r="C415" s="679" t="s">
        <v>5</v>
      </c>
      <c r="D415" s="103">
        <v>2147483680</v>
      </c>
    </row>
    <row r="416" spans="1:4" ht="15" customHeight="1">
      <c r="A416" s="29" t="str">
        <f t="shared" si="41"/>
        <v>ASUES.ES.ZRU10kV.VV8.QF.stOff</v>
      </c>
      <c r="B416">
        <v>7999</v>
      </c>
      <c r="C416" t="s">
        <v>0</v>
      </c>
      <c r="D416" s="30" t="str">
        <f>"#"&amp;$S$2&amp;"#"&amp;$T$2&amp;"."&amp;$P$2&amp;".TS17_32_TS17"</f>
        <v>#15#\\SERVER-ASCUER\Relematika.Modbus.OPCDAServer.VV8.TS17_32_TS17</v>
      </c>
    </row>
    <row r="417" spans="1:4" ht="15" customHeight="1">
      <c r="A417" s="29" t="str">
        <f t="shared" si="41"/>
        <v>ASUES.ES.ZRU10kV.VV8.QF.stOff</v>
      </c>
      <c r="B417">
        <v>7998</v>
      </c>
      <c r="C417" t="s">
        <v>6</v>
      </c>
      <c r="D417" s="30">
        <v>1</v>
      </c>
    </row>
    <row r="418" spans="1:4" ht="15" customHeight="1">
      <c r="A418" s="29" t="str">
        <f t="shared" si="41"/>
        <v>ASUES.ES.ZRU10kV.VV8.QF.stOff</v>
      </c>
      <c r="B418">
        <v>101</v>
      </c>
      <c r="C418" t="s">
        <v>0</v>
      </c>
      <c r="D418" s="30" t="s">
        <v>336</v>
      </c>
    </row>
    <row r="419" spans="1:4" ht="15" customHeight="1">
      <c r="A419" s="29" t="str">
        <f t="shared" si="41"/>
        <v>ASUES.ES.ZRU10kV.VV8.QF.stOff</v>
      </c>
      <c r="B419">
        <v>3</v>
      </c>
      <c r="C419" t="s">
        <v>1</v>
      </c>
      <c r="D419" s="30">
        <v>192</v>
      </c>
    </row>
    <row r="420" spans="1:4" ht="15" customHeight="1">
      <c r="A420" s="29" t="str">
        <f t="shared" si="41"/>
        <v>ASUES.ES.ZRU10kV.VV8.QF.stOff</v>
      </c>
      <c r="B420">
        <v>2</v>
      </c>
      <c r="C420" t="s">
        <v>2</v>
      </c>
      <c r="D420" s="30" t="s">
        <v>175</v>
      </c>
    </row>
    <row r="421" spans="1:4" ht="15" customHeight="1">
      <c r="A421" s="26" t="str">
        <f t="shared" si="41"/>
        <v>ASUES.ES.ZRU10kV.VV8.QF.stOff</v>
      </c>
      <c r="B421" s="27">
        <v>1</v>
      </c>
      <c r="C421" s="27" t="s">
        <v>1</v>
      </c>
      <c r="D421" s="28">
        <v>11</v>
      </c>
    </row>
    <row r="422" spans="1:4" ht="15" customHeight="1">
      <c r="A422" s="29" t="str">
        <f t="shared" ref="A422:A433" si="42">$R$2&amp;".stOn"</f>
        <v>ASUES.ES.ZRU10kV.VV8.QF.stOn</v>
      </c>
      <c r="B422">
        <v>7000000</v>
      </c>
      <c r="C422" t="s">
        <v>6</v>
      </c>
      <c r="D422" s="30">
        <v>1</v>
      </c>
    </row>
    <row r="423" spans="1:4" ht="15" customHeight="1">
      <c r="A423" s="29" t="str">
        <f t="shared" si="42"/>
        <v>ASUES.ES.ZRU10kV.VV8.QF.stOn</v>
      </c>
      <c r="B423">
        <v>4000000</v>
      </c>
      <c r="C423" t="s">
        <v>0</v>
      </c>
      <c r="D423" s="685" t="s">
        <v>396</v>
      </c>
    </row>
    <row r="424" spans="1:4" ht="15" customHeight="1">
      <c r="A424" s="100" t="str">
        <f t="shared" si="42"/>
        <v>ASUES.ES.ZRU10kV.VV8.QF.stOn</v>
      </c>
      <c r="B424" s="679">
        <v>11154</v>
      </c>
      <c r="C424" s="679" t="s">
        <v>4</v>
      </c>
      <c r="D424" s="536">
        <f>$Q$8</f>
        <v>18</v>
      </c>
    </row>
    <row r="425" spans="1:4" ht="15" customHeight="1">
      <c r="A425" s="100" t="str">
        <f t="shared" si="42"/>
        <v>ASUES.ES.ZRU10kV.VV8.QF.stOn</v>
      </c>
      <c r="B425" s="679">
        <v>11150</v>
      </c>
      <c r="C425" s="679" t="s">
        <v>0</v>
      </c>
      <c r="D425" s="103" t="s">
        <v>337</v>
      </c>
    </row>
    <row r="426" spans="1:4" ht="15" customHeight="1">
      <c r="A426" s="100" t="str">
        <f t="shared" si="42"/>
        <v>ASUES.ES.ZRU10kV.VV8.QF.stOn</v>
      </c>
      <c r="B426" s="679">
        <v>11152</v>
      </c>
      <c r="C426" s="679" t="s">
        <v>0</v>
      </c>
      <c r="D426" s="103" t="str">
        <f>$R$8</f>
        <v>Телесигнализация</v>
      </c>
    </row>
    <row r="427" spans="1:4" ht="15" customHeight="1">
      <c r="A427" s="100" t="str">
        <f t="shared" si="42"/>
        <v>ASUES.ES.ZRU10kV.VV8.QF.stOn</v>
      </c>
      <c r="B427" s="679">
        <v>11000</v>
      </c>
      <c r="C427" s="679" t="s">
        <v>5</v>
      </c>
      <c r="D427" s="103">
        <v>2147483680</v>
      </c>
    </row>
    <row r="428" spans="1:4" ht="15" customHeight="1">
      <c r="A428" s="29" t="str">
        <f t="shared" si="42"/>
        <v>ASUES.ES.ZRU10kV.VV8.QF.stOn</v>
      </c>
      <c r="B428">
        <v>7999</v>
      </c>
      <c r="C428" t="s">
        <v>0</v>
      </c>
      <c r="D428" s="30" t="str">
        <f>"#"&amp;$S$2&amp;"#"&amp;$T$2&amp;"."&amp;$P$2&amp;".TS01_16_TS10"</f>
        <v>#15#\\SERVER-ASCUER\Relematika.Modbus.OPCDAServer.VV8.TS01_16_TS10</v>
      </c>
    </row>
    <row r="429" spans="1:4" ht="15" customHeight="1">
      <c r="A429" s="29" t="str">
        <f t="shared" si="42"/>
        <v>ASUES.ES.ZRU10kV.VV8.QF.stOn</v>
      </c>
      <c r="B429">
        <v>7998</v>
      </c>
      <c r="C429" t="s">
        <v>6</v>
      </c>
      <c r="D429" s="30">
        <v>1</v>
      </c>
    </row>
    <row r="430" spans="1:4" ht="15" customHeight="1">
      <c r="A430" s="29" t="str">
        <f t="shared" si="42"/>
        <v>ASUES.ES.ZRU10kV.VV8.QF.stOn</v>
      </c>
      <c r="B430">
        <v>101</v>
      </c>
      <c r="C430" t="s">
        <v>0</v>
      </c>
      <c r="D430" s="30" t="s">
        <v>337</v>
      </c>
    </row>
    <row r="431" spans="1:4" ht="15" customHeight="1">
      <c r="A431" s="29" t="str">
        <f t="shared" si="42"/>
        <v>ASUES.ES.ZRU10kV.VV8.QF.stOn</v>
      </c>
      <c r="B431">
        <v>3</v>
      </c>
      <c r="C431" t="s">
        <v>1</v>
      </c>
      <c r="D431" s="30">
        <v>192</v>
      </c>
    </row>
    <row r="432" spans="1:4" ht="15" customHeight="1">
      <c r="A432" s="29" t="str">
        <f t="shared" si="42"/>
        <v>ASUES.ES.ZRU10kV.VV8.QF.stOn</v>
      </c>
      <c r="B432">
        <v>2</v>
      </c>
      <c r="C432" t="s">
        <v>2</v>
      </c>
      <c r="D432" s="30" t="s">
        <v>175</v>
      </c>
    </row>
    <row r="433" spans="1:4" ht="15" customHeight="1">
      <c r="A433" s="26" t="str">
        <f t="shared" si="42"/>
        <v>ASUES.ES.ZRU10kV.VV8.QF.stOn</v>
      </c>
      <c r="B433" s="27">
        <v>1</v>
      </c>
      <c r="C433" s="27" t="s">
        <v>1</v>
      </c>
      <c r="D433" s="28">
        <v>11</v>
      </c>
    </row>
    <row r="434" spans="1:4" ht="15" customHeight="1">
      <c r="A434" s="100" t="str">
        <f t="shared" ref="A434:A443" si="43">$R$2&amp;".stDisTeleregul"</f>
        <v>ASUES.ES.ZRU10kV.VV8.QF.stDisTeleregul</v>
      </c>
      <c r="B434" s="679">
        <v>11154</v>
      </c>
      <c r="C434" s="679" t="s">
        <v>4</v>
      </c>
      <c r="D434" s="536">
        <f>$Q$8</f>
        <v>18</v>
      </c>
    </row>
    <row r="435" spans="1:4" ht="15" customHeight="1">
      <c r="A435" s="100" t="str">
        <f t="shared" si="43"/>
        <v>ASUES.ES.ZRU10kV.VV8.QF.stDisTeleregul</v>
      </c>
      <c r="B435" s="679">
        <v>11152</v>
      </c>
      <c r="C435" s="679" t="s">
        <v>0</v>
      </c>
      <c r="D435" s="103" t="str">
        <f>$R$8</f>
        <v>Телесигнализация</v>
      </c>
    </row>
    <row r="436" spans="1:4" ht="15" customHeight="1">
      <c r="A436" s="100" t="str">
        <f t="shared" si="43"/>
        <v>ASUES.ES.ZRU10kV.VV8.QF.stDisTeleregul</v>
      </c>
      <c r="B436" s="679">
        <v>11150</v>
      </c>
      <c r="C436" s="679" t="s">
        <v>0</v>
      </c>
      <c r="D436" s="103" t="s">
        <v>1550</v>
      </c>
    </row>
    <row r="437" spans="1:4" ht="15" customHeight="1">
      <c r="A437" s="100" t="str">
        <f t="shared" si="43"/>
        <v>ASUES.ES.ZRU10kV.VV8.QF.stDisTeleregul</v>
      </c>
      <c r="B437" s="679">
        <v>11000</v>
      </c>
      <c r="C437" s="679" t="s">
        <v>5</v>
      </c>
      <c r="D437" s="103">
        <v>2147483680</v>
      </c>
    </row>
    <row r="438" spans="1:4" ht="15" customHeight="1">
      <c r="A438" s="29" t="str">
        <f t="shared" si="43"/>
        <v>ASUES.ES.ZRU10kV.VV8.QF.stDisTeleregul</v>
      </c>
      <c r="B438">
        <v>7999</v>
      </c>
      <c r="C438" t="s">
        <v>0</v>
      </c>
      <c r="D438" s="30" t="str">
        <f>"#"&amp;$S$2&amp;"#"&amp;$T$2&amp;"."&amp;$P$2&amp;".TS49_64_TS51"</f>
        <v>#15#\\SERVER-ASCUER\Relematika.Modbus.OPCDAServer.VV8.TS49_64_TS51</v>
      </c>
    </row>
    <row r="439" spans="1:4" ht="15" customHeight="1">
      <c r="A439" s="29" t="str">
        <f t="shared" si="43"/>
        <v>ASUES.ES.ZRU10kV.VV8.QF.stDisTeleregul</v>
      </c>
      <c r="B439">
        <v>7998</v>
      </c>
      <c r="C439" t="s">
        <v>6</v>
      </c>
      <c r="D439" s="30">
        <v>1</v>
      </c>
    </row>
    <row r="440" spans="1:4" ht="15" customHeight="1">
      <c r="A440" s="29" t="str">
        <f t="shared" si="43"/>
        <v>ASUES.ES.ZRU10kV.VV8.QF.stDisTeleregul</v>
      </c>
      <c r="B440">
        <v>101</v>
      </c>
      <c r="C440" t="s">
        <v>0</v>
      </c>
      <c r="D440" s="30" t="s">
        <v>1550</v>
      </c>
    </row>
    <row r="441" spans="1:4" ht="15" customHeight="1">
      <c r="A441" s="29" t="str">
        <f t="shared" si="43"/>
        <v>ASUES.ES.ZRU10kV.VV8.QF.stDisTeleregul</v>
      </c>
      <c r="B441">
        <v>3</v>
      </c>
      <c r="C441" t="s">
        <v>1</v>
      </c>
      <c r="D441" s="30">
        <v>192</v>
      </c>
    </row>
    <row r="442" spans="1:4" ht="15" customHeight="1">
      <c r="A442" s="29" t="str">
        <f t="shared" si="43"/>
        <v>ASUES.ES.ZRU10kV.VV8.QF.stDisTeleregul</v>
      </c>
      <c r="B442">
        <v>2</v>
      </c>
      <c r="C442" t="s">
        <v>2</v>
      </c>
      <c r="D442" s="30" t="s">
        <v>175</v>
      </c>
    </row>
    <row r="443" spans="1:4" ht="15" customHeight="1">
      <c r="A443" s="26" t="str">
        <f t="shared" si="43"/>
        <v>ASUES.ES.ZRU10kV.VV8.QF.stDisTeleregul</v>
      </c>
      <c r="B443" s="27">
        <v>1</v>
      </c>
      <c r="C443" s="27" t="s">
        <v>1</v>
      </c>
      <c r="D443" s="28">
        <v>11</v>
      </c>
    </row>
    <row r="444" spans="1:4" ht="15" customHeight="1">
      <c r="A444" s="100" t="str">
        <f t="shared" ref="A444:A453" si="44">$R$2&amp;".stCtrlCircuitOn"</f>
        <v>ASUES.ES.ZRU10kV.VV8.QF.stCtrlCircuitOn</v>
      </c>
      <c r="B444" s="679">
        <v>11154</v>
      </c>
      <c r="C444" s="679" t="s">
        <v>4</v>
      </c>
      <c r="D444" s="536">
        <f>$Q$8</f>
        <v>18</v>
      </c>
    </row>
    <row r="445" spans="1:4" ht="15" customHeight="1">
      <c r="A445" s="100" t="str">
        <f t="shared" si="44"/>
        <v>ASUES.ES.ZRU10kV.VV8.QF.stCtrlCircuitOn</v>
      </c>
      <c r="B445" s="679">
        <v>11152</v>
      </c>
      <c r="C445" s="679" t="s">
        <v>0</v>
      </c>
      <c r="D445" s="103" t="str">
        <f>$R$8</f>
        <v>Телесигнализация</v>
      </c>
    </row>
    <row r="446" spans="1:4" ht="15" customHeight="1">
      <c r="A446" s="100" t="str">
        <f t="shared" si="44"/>
        <v>ASUES.ES.ZRU10kV.VV8.QF.stCtrlCircuitOn</v>
      </c>
      <c r="B446" s="679">
        <v>11150</v>
      </c>
      <c r="C446" s="679" t="s">
        <v>0</v>
      </c>
      <c r="D446" s="103" t="s">
        <v>1509</v>
      </c>
    </row>
    <row r="447" spans="1:4" ht="15" customHeight="1">
      <c r="A447" s="100" t="str">
        <f t="shared" si="44"/>
        <v>ASUES.ES.ZRU10kV.VV8.QF.stCtrlCircuitOn</v>
      </c>
      <c r="B447" s="679">
        <v>11000</v>
      </c>
      <c r="C447" s="679" t="s">
        <v>5</v>
      </c>
      <c r="D447" s="103">
        <v>2147483680</v>
      </c>
    </row>
    <row r="448" spans="1:4" ht="15" customHeight="1">
      <c r="A448" s="29" t="str">
        <f t="shared" si="44"/>
        <v>ASUES.ES.ZRU10kV.VV8.QF.stCtrlCircuitOn</v>
      </c>
      <c r="B448">
        <v>7999</v>
      </c>
      <c r="C448" t="s">
        <v>0</v>
      </c>
      <c r="D448" s="30" t="str">
        <f>"#"&amp;$S$2&amp;"#"&amp;$T$2&amp;"."&amp;$P$2&amp;".TS225_240_TS233"</f>
        <v>#15#\\SERVER-ASCUER\Relematika.Modbus.OPCDAServer.VV8.TS225_240_TS233</v>
      </c>
    </row>
    <row r="449" spans="1:4" ht="15" customHeight="1">
      <c r="A449" s="29" t="str">
        <f t="shared" si="44"/>
        <v>ASUES.ES.ZRU10kV.VV8.QF.stCtrlCircuitOn</v>
      </c>
      <c r="B449">
        <v>7998</v>
      </c>
      <c r="C449" t="s">
        <v>6</v>
      </c>
      <c r="D449" s="30">
        <v>1</v>
      </c>
    </row>
    <row r="450" spans="1:4" ht="15" customHeight="1">
      <c r="A450" s="29" t="str">
        <f t="shared" si="44"/>
        <v>ASUES.ES.ZRU10kV.VV8.QF.stCtrlCircuitOn</v>
      </c>
      <c r="B450">
        <v>101</v>
      </c>
      <c r="C450" t="s">
        <v>0</v>
      </c>
      <c r="D450" s="30" t="s">
        <v>1509</v>
      </c>
    </row>
    <row r="451" spans="1:4" ht="15" customHeight="1">
      <c r="A451" s="29" t="str">
        <f t="shared" si="44"/>
        <v>ASUES.ES.ZRU10kV.VV8.QF.stCtrlCircuitOn</v>
      </c>
      <c r="B451">
        <v>3</v>
      </c>
      <c r="C451" t="s">
        <v>1</v>
      </c>
      <c r="D451" s="30">
        <v>192</v>
      </c>
    </row>
    <row r="452" spans="1:4" ht="15" customHeight="1">
      <c r="A452" s="29" t="str">
        <f t="shared" si="44"/>
        <v>ASUES.ES.ZRU10kV.VV8.QF.stCtrlCircuitOn</v>
      </c>
      <c r="B452">
        <v>2</v>
      </c>
      <c r="C452" t="s">
        <v>2</v>
      </c>
      <c r="D452" s="30" t="s">
        <v>175</v>
      </c>
    </row>
    <row r="453" spans="1:4" ht="15" customHeight="1">
      <c r="A453" s="26" t="str">
        <f t="shared" si="44"/>
        <v>ASUES.ES.ZRU10kV.VV8.QF.stCtrlCircuitOn</v>
      </c>
      <c r="B453" s="27">
        <v>1</v>
      </c>
      <c r="C453" s="27" t="s">
        <v>1</v>
      </c>
      <c r="D453" s="28">
        <v>11</v>
      </c>
    </row>
    <row r="454" spans="1:4" ht="15" customHeight="1">
      <c r="A454" s="100" t="str">
        <f t="shared" ref="A454:A463" si="45">$R$2&amp;".stOscilAutoDL"</f>
        <v>ASUES.ES.ZRU10kV.VV8.QF.stOscilAutoDL</v>
      </c>
      <c r="B454" s="679">
        <v>11154</v>
      </c>
      <c r="C454" s="679" t="s">
        <v>4</v>
      </c>
      <c r="D454" s="536">
        <f>$Q$8</f>
        <v>18</v>
      </c>
    </row>
    <row r="455" spans="1:4" ht="15" customHeight="1">
      <c r="A455" s="100" t="str">
        <f t="shared" si="45"/>
        <v>ASUES.ES.ZRU10kV.VV8.QF.stOscilAutoDL</v>
      </c>
      <c r="B455" s="679">
        <v>11150</v>
      </c>
      <c r="C455" s="679" t="s">
        <v>0</v>
      </c>
      <c r="D455" s="103" t="s">
        <v>1549</v>
      </c>
    </row>
    <row r="456" spans="1:4" ht="15" customHeight="1">
      <c r="A456" s="100" t="str">
        <f t="shared" si="45"/>
        <v>ASUES.ES.ZRU10kV.VV8.QF.stOscilAutoDL</v>
      </c>
      <c r="B456" s="679">
        <v>11152</v>
      </c>
      <c r="C456" s="679" t="s">
        <v>0</v>
      </c>
      <c r="D456" s="103" t="str">
        <f>$R$8</f>
        <v>Телесигнализация</v>
      </c>
    </row>
    <row r="457" spans="1:4" ht="15" customHeight="1">
      <c r="A457" s="100" t="str">
        <f t="shared" si="45"/>
        <v>ASUES.ES.ZRU10kV.VV8.QF.stOscilAutoDL</v>
      </c>
      <c r="B457" s="679">
        <v>11000</v>
      </c>
      <c r="C457" s="679" t="s">
        <v>5</v>
      </c>
      <c r="D457" s="103">
        <v>2147483680</v>
      </c>
    </row>
    <row r="458" spans="1:4" ht="15" customHeight="1">
      <c r="A458" s="29" t="str">
        <f t="shared" si="45"/>
        <v>ASUES.ES.ZRU10kV.VV8.QF.stOscilAutoDL</v>
      </c>
      <c r="B458">
        <v>7999</v>
      </c>
      <c r="C458" t="s">
        <v>0</v>
      </c>
      <c r="D458" s="30" t="str">
        <f>"#"&amp;$S$2&amp;"#"&amp;$T$2&amp;"."&amp;$P$2&amp;".OSCAUTO"</f>
        <v>#15#\\SERVER-ASCUER\Relematika.Modbus.OPCDAServer.VV8.OSCAUTO</v>
      </c>
    </row>
    <row r="459" spans="1:4" ht="15" customHeight="1">
      <c r="A459" s="29" t="str">
        <f t="shared" si="45"/>
        <v>ASUES.ES.ZRU10kV.VV8.QF.stOscilAutoDL</v>
      </c>
      <c r="B459">
        <v>7998</v>
      </c>
      <c r="C459" t="s">
        <v>6</v>
      </c>
      <c r="D459" s="30">
        <v>1</v>
      </c>
    </row>
    <row r="460" spans="1:4" ht="15" customHeight="1">
      <c r="A460" s="29" t="str">
        <f t="shared" si="45"/>
        <v>ASUES.ES.ZRU10kV.VV8.QF.stOscilAutoDL</v>
      </c>
      <c r="B460">
        <v>101</v>
      </c>
      <c r="C460" t="s">
        <v>0</v>
      </c>
      <c r="D460" s="30" t="s">
        <v>1549</v>
      </c>
    </row>
    <row r="461" spans="1:4" ht="15" customHeight="1">
      <c r="A461" s="29" t="str">
        <f t="shared" si="45"/>
        <v>ASUES.ES.ZRU10kV.VV8.QF.stOscilAutoDL</v>
      </c>
      <c r="B461">
        <v>3</v>
      </c>
      <c r="C461" t="s">
        <v>1</v>
      </c>
      <c r="D461" s="30">
        <v>192</v>
      </c>
    </row>
    <row r="462" spans="1:4" ht="15" customHeight="1">
      <c r="A462" s="29" t="str">
        <f t="shared" si="45"/>
        <v>ASUES.ES.ZRU10kV.VV8.QF.stOscilAutoDL</v>
      </c>
      <c r="B462">
        <v>2</v>
      </c>
      <c r="C462" t="s">
        <v>2</v>
      </c>
      <c r="D462" s="30" t="s">
        <v>175</v>
      </c>
    </row>
    <row r="463" spans="1:4" ht="15" customHeight="1">
      <c r="A463" s="26" t="str">
        <f t="shared" si="45"/>
        <v>ASUES.ES.ZRU10kV.VV8.QF.stOscilAutoDL</v>
      </c>
      <c r="B463" s="27">
        <v>1</v>
      </c>
      <c r="C463" s="27" t="s">
        <v>1</v>
      </c>
      <c r="D463" s="28">
        <v>11</v>
      </c>
    </row>
    <row r="464" spans="1:4" ht="15" customHeight="1">
      <c r="A464" s="100" t="str">
        <f t="shared" ref="A464:A469" si="46">$R$2&amp;".stOscilStatus"</f>
        <v>ASUES.ES.ZRU10kV.VV8.QF.stOscilStatus</v>
      </c>
      <c r="B464" s="679">
        <v>7999</v>
      </c>
      <c r="C464" s="679" t="s">
        <v>0</v>
      </c>
      <c r="D464" s="103" t="str">
        <f>"#"&amp;$S$2&amp;"#"&amp;$T$2&amp;"."&amp;$P$2&amp;".OSCStatus"</f>
        <v>#15#\\SERVER-ASCUER\Relematika.Modbus.OPCDAServer.VV8.OSCStatus</v>
      </c>
    </row>
    <row r="465" spans="1:20" ht="15" customHeight="1">
      <c r="A465" s="100" t="str">
        <f t="shared" si="46"/>
        <v>ASUES.ES.ZRU10kV.VV8.QF.stOscilStatus</v>
      </c>
      <c r="B465" s="679">
        <v>7998</v>
      </c>
      <c r="C465" s="679" t="s">
        <v>6</v>
      </c>
      <c r="D465" s="103">
        <v>1</v>
      </c>
    </row>
    <row r="466" spans="1:20" ht="15" customHeight="1">
      <c r="A466" s="29" t="str">
        <f t="shared" si="46"/>
        <v>ASUES.ES.ZRU10kV.VV8.QF.stOscilStatus</v>
      </c>
      <c r="B466">
        <v>101</v>
      </c>
      <c r="C466" t="s">
        <v>0</v>
      </c>
      <c r="D466" s="30" t="s">
        <v>1551</v>
      </c>
    </row>
    <row r="467" spans="1:20" ht="15" customHeight="1">
      <c r="A467" s="29" t="str">
        <f t="shared" si="46"/>
        <v>ASUES.ES.ZRU10kV.VV8.QF.stOscilStatus</v>
      </c>
      <c r="B467">
        <v>3</v>
      </c>
      <c r="C467" t="s">
        <v>1</v>
      </c>
      <c r="D467" s="30">
        <v>192</v>
      </c>
    </row>
    <row r="468" spans="1:20" ht="15" customHeight="1">
      <c r="A468" s="29" t="str">
        <f t="shared" si="46"/>
        <v>ASUES.ES.ZRU10kV.VV8.QF.stOscilStatus</v>
      </c>
      <c r="B468">
        <v>2</v>
      </c>
      <c r="C468" t="s">
        <v>0</v>
      </c>
      <c r="D468" s="30">
        <v>0</v>
      </c>
    </row>
    <row r="469" spans="1:20" ht="15" customHeight="1">
      <c r="A469" s="26" t="str">
        <f t="shared" si="46"/>
        <v>ASUES.ES.ZRU10kV.VV8.QF.stOscilStatus</v>
      </c>
      <c r="B469" s="27">
        <v>1</v>
      </c>
      <c r="C469" s="27" t="s">
        <v>1</v>
      </c>
      <c r="D469" s="28">
        <v>8</v>
      </c>
    </row>
    <row r="470" spans="1:20" ht="15" customHeight="1">
      <c r="A470" s="23" t="str">
        <f t="shared" ref="A470:A477" si="47">$R$2&amp;".Commands.coRepair"</f>
        <v>ASUES.ES.ZRU10kV.VV8.QF.Commands.coRepair</v>
      </c>
      <c r="B470" s="24">
        <v>7011</v>
      </c>
      <c r="C470" s="24" t="s">
        <v>2</v>
      </c>
      <c r="D470" s="25" t="s">
        <v>266</v>
      </c>
    </row>
    <row r="471" spans="1:20" ht="15" customHeight="1">
      <c r="A471" s="140" t="str">
        <f t="shared" si="47"/>
        <v>ASUES.ES.ZRU10kV.VV8.QF.Commands.coRepair</v>
      </c>
      <c r="B471" s="687">
        <v>11152</v>
      </c>
      <c r="C471" s="687" t="s">
        <v>0</v>
      </c>
      <c r="D471" s="142" t="str">
        <f>$R$11</f>
        <v>Ремонт</v>
      </c>
    </row>
    <row r="472" spans="1:20" ht="15" customHeight="1">
      <c r="A472" s="140" t="str">
        <f t="shared" si="47"/>
        <v>ASUES.ES.ZRU10kV.VV8.QF.Commands.coRepair</v>
      </c>
      <c r="B472" s="687">
        <v>11154</v>
      </c>
      <c r="C472" s="687" t="s">
        <v>4</v>
      </c>
      <c r="D472" s="142">
        <f>$Q$11</f>
        <v>14</v>
      </c>
    </row>
    <row r="473" spans="1:20" ht="15" customHeight="1">
      <c r="A473" s="140" t="str">
        <f t="shared" si="47"/>
        <v>ASUES.ES.ZRU10kV.VV8.QF.Commands.coRepair</v>
      </c>
      <c r="B473" s="687">
        <v>11150</v>
      </c>
      <c r="C473" s="687" t="s">
        <v>0</v>
      </c>
      <c r="D473" s="142" t="s">
        <v>89</v>
      </c>
    </row>
    <row r="474" spans="1:20" ht="15" customHeight="1">
      <c r="A474" s="140" t="str">
        <f t="shared" si="47"/>
        <v>ASUES.ES.ZRU10kV.VV8.QF.Commands.coRepair</v>
      </c>
      <c r="B474" s="687">
        <v>11000</v>
      </c>
      <c r="C474" s="687" t="s">
        <v>5</v>
      </c>
      <c r="D474" s="142">
        <v>2147483680</v>
      </c>
    </row>
    <row r="475" spans="1:20" ht="15" customHeight="1">
      <c r="A475" s="29" t="str">
        <f t="shared" si="47"/>
        <v>ASUES.ES.ZRU10kV.VV8.QF.Commands.coRepair</v>
      </c>
      <c r="B475">
        <v>1</v>
      </c>
      <c r="C475" t="s">
        <v>1</v>
      </c>
      <c r="D475" s="30">
        <v>11</v>
      </c>
    </row>
    <row r="476" spans="1:20" ht="15" customHeight="1">
      <c r="A476" s="29" t="str">
        <f t="shared" si="47"/>
        <v>ASUES.ES.ZRU10kV.VV8.QF.Commands.coRepair</v>
      </c>
      <c r="B476">
        <v>4000000</v>
      </c>
      <c r="C476" t="s">
        <v>0</v>
      </c>
      <c r="D476" s="415" t="s">
        <v>2680</v>
      </c>
    </row>
    <row r="477" spans="1:20" ht="15" customHeight="1">
      <c r="A477" s="26" t="str">
        <f t="shared" si="47"/>
        <v>ASUES.ES.ZRU10kV.VV8.QF.Commands.coRepair</v>
      </c>
      <c r="B477" s="27">
        <v>7000000</v>
      </c>
      <c r="C477" s="27" t="s">
        <v>6</v>
      </c>
      <c r="D477" s="28">
        <v>2</v>
      </c>
    </row>
    <row r="478" spans="1:20" ht="15" customHeight="1">
      <c r="A478" s="29" t="str">
        <f>$R$2&amp;".Commands.coResetMaxS"</f>
        <v>ASUES.ES.ZRU10kV.VV8.QF.Commands.coResetMaxS</v>
      </c>
      <c r="B478">
        <v>101</v>
      </c>
      <c r="C478" t="s">
        <v>0</v>
      </c>
      <c r="D478" s="30" t="s">
        <v>381</v>
      </c>
    </row>
    <row r="479" spans="1:20" ht="15" customHeight="1">
      <c r="A479" s="29" t="str">
        <f>$R$2&amp;".Commands.coResetMaxS"</f>
        <v>ASUES.ES.ZRU10kV.VV8.QF.Commands.coResetMaxS</v>
      </c>
      <c r="B479">
        <v>7999</v>
      </c>
      <c r="C479" t="s">
        <v>0</v>
      </c>
      <c r="D479" s="30" t="str">
        <f>"#"&amp;$S$2&amp;"#"&amp;$T$2&amp;"."&amp;$P$2&amp;".Commands.TC5"</f>
        <v>#15#\\SERVER-ASCUER\Relematika.Modbus.OPCDAServer.VV8.Commands.TC5</v>
      </c>
    </row>
    <row r="480" spans="1:20" ht="15" customHeight="1">
      <c r="A480" s="29" t="str">
        <f>$R$2&amp;".Commands.coResetMaxS"</f>
        <v>ASUES.ES.ZRU10kV.VV8.QF.Commands.coResetMaxS</v>
      </c>
      <c r="B480">
        <v>7998</v>
      </c>
      <c r="C480" t="s">
        <v>6</v>
      </c>
      <c r="D480" s="30">
        <v>2</v>
      </c>
      <c r="Q480" s="1"/>
      <c r="R480" s="1"/>
      <c r="S480" s="1"/>
      <c r="T480" s="1"/>
    </row>
    <row r="481" spans="1:20" ht="15" customHeight="1">
      <c r="A481" s="26" t="str">
        <f>$R$2&amp;".Commands.coResetMaxS"</f>
        <v>ASUES.ES.ZRU10kV.VV8.QF.Commands.coResetMaxS</v>
      </c>
      <c r="B481" s="27">
        <v>1</v>
      </c>
      <c r="C481" s="27" t="s">
        <v>1</v>
      </c>
      <c r="D481" s="28">
        <v>11</v>
      </c>
      <c r="Q481" s="1"/>
      <c r="R481" s="1"/>
      <c r="S481" s="1"/>
      <c r="T481" s="1"/>
    </row>
    <row r="482" spans="1:20" ht="15" customHeight="1">
      <c r="A482" s="23" t="str">
        <f>$R$2&amp;".Commands.coResetMaxI"</f>
        <v>ASUES.ES.ZRU10kV.VV8.QF.Commands.coResetMaxI</v>
      </c>
      <c r="B482" s="24">
        <v>7999</v>
      </c>
      <c r="C482" s="24" t="s">
        <v>0</v>
      </c>
      <c r="D482" s="25" t="str">
        <f>"#"&amp;$S$2&amp;"#"&amp;$T$2&amp;"."&amp;$P$2&amp;".Commands.TC4"</f>
        <v>#15#\\SERVER-ASCUER\Relematika.Modbus.OPCDAServer.VV8.Commands.TC4</v>
      </c>
      <c r="Q482" s="1"/>
      <c r="R482" s="1"/>
      <c r="S482" s="1"/>
      <c r="T482" s="1"/>
    </row>
    <row r="483" spans="1:20" ht="15" customHeight="1">
      <c r="A483" s="29" t="str">
        <f>$R$2&amp;".Commands.coResetMaxI"</f>
        <v>ASUES.ES.ZRU10kV.VV8.QF.Commands.coResetMaxI</v>
      </c>
      <c r="B483">
        <v>7998</v>
      </c>
      <c r="C483" t="s">
        <v>6</v>
      </c>
      <c r="D483" s="30">
        <v>2</v>
      </c>
      <c r="Q483" s="1"/>
      <c r="R483" s="1"/>
      <c r="S483" s="1"/>
      <c r="T483" s="1"/>
    </row>
    <row r="484" spans="1:20" ht="15" customHeight="1">
      <c r="A484" s="29" t="str">
        <f>$R$2&amp;".Commands.coResetMaxI"</f>
        <v>ASUES.ES.ZRU10kV.VV8.QF.Commands.coResetMaxI</v>
      </c>
      <c r="B484">
        <v>101</v>
      </c>
      <c r="C484" t="s">
        <v>0</v>
      </c>
      <c r="D484" s="30" t="s">
        <v>382</v>
      </c>
      <c r="Q484" s="1"/>
      <c r="R484" s="1"/>
      <c r="S484" s="1"/>
      <c r="T484" s="1"/>
    </row>
    <row r="485" spans="1:20" ht="15" customHeight="1">
      <c r="A485" s="26" t="str">
        <f>$R$2&amp;".Commands.coResetMaxI"</f>
        <v>ASUES.ES.ZRU10kV.VV8.QF.Commands.coResetMaxI</v>
      </c>
      <c r="B485" s="27">
        <v>1</v>
      </c>
      <c r="C485" s="27" t="s">
        <v>1</v>
      </c>
      <c r="D485" s="28">
        <v>11</v>
      </c>
      <c r="Q485" s="1"/>
      <c r="R485" s="1"/>
      <c r="S485" s="1"/>
      <c r="T485" s="1"/>
    </row>
    <row r="486" spans="1:20" ht="15" customHeight="1">
      <c r="A486" s="23" t="str">
        <f>$R$2&amp;".Commands.coOscilAllow"</f>
        <v>ASUES.ES.ZRU10kV.VV8.QF.Commands.coOscilAllow</v>
      </c>
      <c r="B486" s="24">
        <v>7999</v>
      </c>
      <c r="C486" s="24" t="s">
        <v>0</v>
      </c>
      <c r="D486" s="25" t="str">
        <f>"#"&amp;$S$2&amp;"#"&amp;$T$2&amp;"."&amp;$P$2&amp;".Commands.TC19"</f>
        <v>#15#\\SERVER-ASCUER\Relematika.Modbus.OPCDAServer.VV8.Commands.TC19</v>
      </c>
      <c r="Q486" s="1"/>
      <c r="R486" s="1"/>
      <c r="S486" s="1"/>
      <c r="T486" s="1"/>
    </row>
    <row r="487" spans="1:20" ht="15" customHeight="1">
      <c r="A487" s="29" t="str">
        <f>$R$2&amp;".Commands.coOscilAllow"</f>
        <v>ASUES.ES.ZRU10kV.VV8.QF.Commands.coOscilAllow</v>
      </c>
      <c r="B487">
        <v>7998</v>
      </c>
      <c r="C487" t="s">
        <v>6</v>
      </c>
      <c r="D487" s="30">
        <v>2</v>
      </c>
      <c r="Q487" s="1"/>
      <c r="R487" s="1"/>
      <c r="S487" s="1"/>
      <c r="T487" s="1"/>
    </row>
    <row r="488" spans="1:20" ht="15" customHeight="1">
      <c r="A488" s="29" t="str">
        <f>$R$2&amp;".Commands.coOscilAllow"</f>
        <v>ASUES.ES.ZRU10kV.VV8.QF.Commands.coOscilAllow</v>
      </c>
      <c r="B488">
        <v>101</v>
      </c>
      <c r="C488" t="s">
        <v>0</v>
      </c>
      <c r="D488" s="30" t="s">
        <v>1552</v>
      </c>
      <c r="Q488" s="1"/>
      <c r="R488" s="1"/>
      <c r="S488" s="1"/>
      <c r="T488" s="1"/>
    </row>
    <row r="489" spans="1:20" ht="15" customHeight="1">
      <c r="A489" s="26" t="str">
        <f>$R$2&amp;".Commands.coOscilAllow"</f>
        <v>ASUES.ES.ZRU10kV.VV8.QF.Commands.coOscilAllow</v>
      </c>
      <c r="B489" s="27">
        <v>1</v>
      </c>
      <c r="C489" s="27" t="s">
        <v>1</v>
      </c>
      <c r="D489" s="28">
        <v>11</v>
      </c>
      <c r="Q489" s="1"/>
      <c r="R489" s="1"/>
      <c r="S489" s="1"/>
      <c r="T489" s="1"/>
    </row>
    <row r="490" spans="1:20" ht="15" customHeight="1">
      <c r="A490" s="29" t="str">
        <f>$R$2&amp;".Commands.coOscilBlock"</f>
        <v>ASUES.ES.ZRU10kV.VV8.QF.Commands.coOscilBlock</v>
      </c>
      <c r="B490">
        <v>7999</v>
      </c>
      <c r="C490" t="s">
        <v>0</v>
      </c>
      <c r="D490" s="30" t="str">
        <f>"#"&amp;$S$2&amp;"#"&amp;$T$2&amp;"."&amp;$P$2&amp;".Commands.TC18"</f>
        <v>#15#\\SERVER-ASCUER\Relematika.Modbus.OPCDAServer.VV8.Commands.TC18</v>
      </c>
      <c r="Q490" s="1"/>
      <c r="R490" s="1"/>
      <c r="S490" s="1"/>
      <c r="T490" s="1"/>
    </row>
    <row r="491" spans="1:20" ht="15" customHeight="1">
      <c r="A491" s="29" t="str">
        <f>$R$2&amp;".Commands.coOscilBlock"</f>
        <v>ASUES.ES.ZRU10kV.VV8.QF.Commands.coOscilBlock</v>
      </c>
      <c r="B491">
        <v>7998</v>
      </c>
      <c r="C491" t="s">
        <v>6</v>
      </c>
      <c r="D491" s="30">
        <v>2</v>
      </c>
      <c r="Q491" s="1"/>
      <c r="R491" s="1"/>
      <c r="S491" s="1"/>
      <c r="T491" s="1"/>
    </row>
    <row r="492" spans="1:20" ht="15" customHeight="1">
      <c r="A492" s="29" t="str">
        <f>$R$2&amp;".Commands.coOscilBlock"</f>
        <v>ASUES.ES.ZRU10kV.VV8.QF.Commands.coOscilBlock</v>
      </c>
      <c r="B492">
        <v>101</v>
      </c>
      <c r="C492" t="s">
        <v>0</v>
      </c>
      <c r="D492" s="30" t="s">
        <v>1553</v>
      </c>
      <c r="Q492" s="1"/>
      <c r="R492" s="1"/>
      <c r="S492" s="1"/>
      <c r="T492" s="1"/>
    </row>
    <row r="493" spans="1:20" ht="15" customHeight="1">
      <c r="A493" s="26" t="str">
        <f>$R$2&amp;".Commands.coOscilBlock"</f>
        <v>ASUES.ES.ZRU10kV.VV8.QF.Commands.coOscilBlock</v>
      </c>
      <c r="B493" s="27">
        <v>1</v>
      </c>
      <c r="C493" s="27" t="s">
        <v>1</v>
      </c>
      <c r="D493" s="28">
        <v>11</v>
      </c>
      <c r="Q493" s="1"/>
      <c r="R493" s="1"/>
      <c r="S493" s="1"/>
      <c r="T493" s="1"/>
    </row>
    <row r="494" spans="1:20" ht="15" customHeight="1">
      <c r="A494" s="29" t="str">
        <f>$R$2&amp;".Commands.coOscilMan"</f>
        <v>ASUES.ES.ZRU10kV.VV8.QF.Commands.coOscilMan</v>
      </c>
      <c r="B494">
        <v>7999</v>
      </c>
      <c r="C494" t="s">
        <v>0</v>
      </c>
      <c r="D494" s="30" t="str">
        <f>"#"&amp;$S$2&amp;"#"&amp;$T$2&amp;"."&amp;$P$2&amp;".Commands.TC20"</f>
        <v>#15#\\SERVER-ASCUER\Relematika.Modbus.OPCDAServer.VV8.Commands.TC20</v>
      </c>
      <c r="Q494" s="1"/>
      <c r="R494" s="1"/>
      <c r="S494" s="1"/>
      <c r="T494" s="1"/>
    </row>
    <row r="495" spans="1:20" ht="15" customHeight="1">
      <c r="A495" s="29" t="str">
        <f>$R$2&amp;".Commands.coOscilMan"</f>
        <v>ASUES.ES.ZRU10kV.VV8.QF.Commands.coOscilMan</v>
      </c>
      <c r="B495">
        <v>7998</v>
      </c>
      <c r="C495" t="s">
        <v>6</v>
      </c>
      <c r="D495" s="30">
        <v>2</v>
      </c>
      <c r="Q495" s="1"/>
      <c r="R495" s="1"/>
      <c r="S495" s="1"/>
      <c r="T495" s="1"/>
    </row>
    <row r="496" spans="1:20" ht="15" customHeight="1">
      <c r="A496" s="29" t="str">
        <f>$R$2&amp;".Commands.coOscilMan"</f>
        <v>ASUES.ES.ZRU10kV.VV8.QF.Commands.coOscilMan</v>
      </c>
      <c r="B496">
        <v>101</v>
      </c>
      <c r="C496" t="s">
        <v>0</v>
      </c>
      <c r="D496" s="30" t="s">
        <v>1554</v>
      </c>
      <c r="Q496" s="1"/>
      <c r="R496" s="1"/>
      <c r="S496" s="1"/>
      <c r="T496" s="1"/>
    </row>
    <row r="497" spans="1:20" ht="15" customHeight="1">
      <c r="A497" s="29" t="str">
        <f>$R$2&amp;".Commands.coOscilMan"</f>
        <v>ASUES.ES.ZRU10kV.VV8.QF.Commands.coOscilMan</v>
      </c>
      <c r="B497">
        <v>1</v>
      </c>
      <c r="C497" t="s">
        <v>1</v>
      </c>
      <c r="D497" s="30">
        <v>11</v>
      </c>
      <c r="Q497" s="1"/>
      <c r="R497" s="1"/>
      <c r="S497" s="1"/>
      <c r="T497" s="1"/>
    </row>
    <row r="498" spans="1:20" ht="15" customHeight="1">
      <c r="A498" s="23" t="str">
        <f t="shared" ref="A498:A503" si="48">$R$2&amp;".Commands.coOn"</f>
        <v>ASUES.ES.ZRU10kV.VV8.QF.Commands.coOn</v>
      </c>
      <c r="B498" s="24">
        <v>7000000</v>
      </c>
      <c r="C498" s="24" t="s">
        <v>6</v>
      </c>
      <c r="D498" s="25">
        <v>0</v>
      </c>
    </row>
    <row r="499" spans="1:20" ht="15" customHeight="1">
      <c r="A499" s="29" t="str">
        <f t="shared" si="48"/>
        <v>ASUES.ES.ZRU10kV.VV8.QF.Commands.coOn</v>
      </c>
      <c r="B499">
        <v>4000000</v>
      </c>
      <c r="C499" t="s">
        <v>0</v>
      </c>
      <c r="D499" s="30" t="s">
        <v>2682</v>
      </c>
    </row>
    <row r="500" spans="1:20" ht="15" customHeight="1">
      <c r="A500" s="29" t="str">
        <f t="shared" si="48"/>
        <v>ASUES.ES.ZRU10kV.VV8.QF.Commands.coOn</v>
      </c>
      <c r="B500">
        <v>101</v>
      </c>
      <c r="C500" t="s">
        <v>0</v>
      </c>
      <c r="D500" s="30" t="s">
        <v>383</v>
      </c>
    </row>
    <row r="501" spans="1:20" ht="15" customHeight="1">
      <c r="A501" s="29" t="str">
        <f t="shared" si="48"/>
        <v>ASUES.ES.ZRU10kV.VV8.QF.Commands.coOn</v>
      </c>
      <c r="B501">
        <v>7999</v>
      </c>
      <c r="C501" t="s">
        <v>0</v>
      </c>
      <c r="D501" s="30" t="str">
        <f>"#"&amp;$S$2&amp;"#"&amp;$T$2&amp;"."&amp;$P$2&amp;".Commands.TC2"</f>
        <v>#15#\\SERVER-ASCUER\Relematika.Modbus.OPCDAServer.VV8.Commands.TC2</v>
      </c>
    </row>
    <row r="502" spans="1:20" ht="15" customHeight="1">
      <c r="A502" s="29" t="str">
        <f t="shared" si="48"/>
        <v>ASUES.ES.ZRU10kV.VV8.QF.Commands.coOn</v>
      </c>
      <c r="B502">
        <v>7998</v>
      </c>
      <c r="C502" t="s">
        <v>6</v>
      </c>
      <c r="D502" s="30">
        <v>2</v>
      </c>
    </row>
    <row r="503" spans="1:20" ht="15" customHeight="1">
      <c r="A503" s="26" t="str">
        <f t="shared" si="48"/>
        <v>ASUES.ES.ZRU10kV.VV8.QF.Commands.coOn</v>
      </c>
      <c r="B503" s="27">
        <v>1</v>
      </c>
      <c r="C503" s="27" t="s">
        <v>1</v>
      </c>
      <c r="D503" s="28">
        <v>11</v>
      </c>
    </row>
    <row r="504" spans="1:20" ht="15" customHeight="1">
      <c r="A504" s="29" t="str">
        <f t="shared" ref="A504:A509" si="49">$R$2&amp;".Commands.coOff"</f>
        <v>ASUES.ES.ZRU10kV.VV8.QF.Commands.coOff</v>
      </c>
      <c r="B504" s="24">
        <v>7000000</v>
      </c>
      <c r="C504" s="24" t="s">
        <v>6</v>
      </c>
      <c r="D504" s="25">
        <v>0</v>
      </c>
    </row>
    <row r="505" spans="1:20" ht="15" customHeight="1">
      <c r="A505" s="29" t="str">
        <f t="shared" si="49"/>
        <v>ASUES.ES.ZRU10kV.VV8.QF.Commands.coOff</v>
      </c>
      <c r="B505">
        <v>4000000</v>
      </c>
      <c r="C505" t="s">
        <v>0</v>
      </c>
      <c r="D505" s="30" t="s">
        <v>2683</v>
      </c>
    </row>
    <row r="506" spans="1:20" ht="15" customHeight="1">
      <c r="A506" s="29" t="str">
        <f t="shared" si="49"/>
        <v>ASUES.ES.ZRU10kV.VV8.QF.Commands.coOff</v>
      </c>
      <c r="B506">
        <v>101</v>
      </c>
      <c r="C506" t="s">
        <v>0</v>
      </c>
      <c r="D506" s="30" t="s">
        <v>384</v>
      </c>
    </row>
    <row r="507" spans="1:20" ht="15" customHeight="1">
      <c r="A507" s="29" t="str">
        <f t="shared" si="49"/>
        <v>ASUES.ES.ZRU10kV.VV8.QF.Commands.coOff</v>
      </c>
      <c r="B507">
        <v>7999</v>
      </c>
      <c r="C507" t="s">
        <v>0</v>
      </c>
      <c r="D507" s="30" t="str">
        <f>"#"&amp;$S$2&amp;"#"&amp;$T$2&amp;"."&amp;$P$2&amp;".Commands.TC1"</f>
        <v>#15#\\SERVER-ASCUER\Relematika.Modbus.OPCDAServer.VV8.Commands.TC1</v>
      </c>
    </row>
    <row r="508" spans="1:20" ht="15" customHeight="1">
      <c r="A508" s="29" t="str">
        <f t="shared" si="49"/>
        <v>ASUES.ES.ZRU10kV.VV8.QF.Commands.coOff</v>
      </c>
      <c r="B508">
        <v>7998</v>
      </c>
      <c r="C508" t="s">
        <v>6</v>
      </c>
      <c r="D508" s="30">
        <v>2</v>
      </c>
    </row>
    <row r="509" spans="1:20" ht="15" customHeight="1">
      <c r="A509" s="29" t="str">
        <f t="shared" si="49"/>
        <v>ASUES.ES.ZRU10kV.VV8.QF.Commands.coOff</v>
      </c>
      <c r="B509">
        <v>1</v>
      </c>
      <c r="C509" t="s">
        <v>1</v>
      </c>
      <c r="D509" s="30">
        <v>11</v>
      </c>
    </row>
    <row r="510" spans="1:20" ht="15" customHeight="1">
      <c r="A510" s="23" t="str">
        <f t="shared" ref="A510:A515" si="50">$R$2&amp;".Commands.coRst"</f>
        <v>ASUES.ES.ZRU10kV.VV8.QF.Commands.coRst</v>
      </c>
      <c r="B510" s="24">
        <v>7000000</v>
      </c>
      <c r="C510" s="24" t="s">
        <v>6</v>
      </c>
      <c r="D510" s="25">
        <v>0</v>
      </c>
    </row>
    <row r="511" spans="1:20" ht="15" customHeight="1">
      <c r="A511" s="29" t="str">
        <f t="shared" si="50"/>
        <v>ASUES.ES.ZRU10kV.VV8.QF.Commands.coRst</v>
      </c>
      <c r="B511">
        <v>4000000</v>
      </c>
      <c r="C511" t="s">
        <v>0</v>
      </c>
      <c r="D511" s="30" t="s">
        <v>385</v>
      </c>
    </row>
    <row r="512" spans="1:20" ht="15" customHeight="1">
      <c r="A512" s="29" t="str">
        <f t="shared" si="50"/>
        <v>ASUES.ES.ZRU10kV.VV8.QF.Commands.coRst</v>
      </c>
      <c r="B512">
        <v>101</v>
      </c>
      <c r="C512" t="s">
        <v>0</v>
      </c>
      <c r="D512" s="30" t="s">
        <v>386</v>
      </c>
    </row>
    <row r="513" spans="1:4" ht="15" customHeight="1">
      <c r="A513" s="29" t="str">
        <f t="shared" si="50"/>
        <v>ASUES.ES.ZRU10kV.VV8.QF.Commands.coRst</v>
      </c>
      <c r="B513">
        <v>7999</v>
      </c>
      <c r="C513" t="s">
        <v>0</v>
      </c>
      <c r="D513" s="30" t="str">
        <f>"#"&amp;$S$2&amp;"#"&amp;$T$2&amp;"."&amp;$P$2&amp;".Commands.TC3"</f>
        <v>#15#\\SERVER-ASCUER\Relematika.Modbus.OPCDAServer.VV8.Commands.TC3</v>
      </c>
    </row>
    <row r="514" spans="1:4" ht="15" customHeight="1">
      <c r="A514" s="29" t="str">
        <f t="shared" si="50"/>
        <v>ASUES.ES.ZRU10kV.VV8.QF.Commands.coRst</v>
      </c>
      <c r="B514">
        <v>7998</v>
      </c>
      <c r="C514" t="s">
        <v>6</v>
      </c>
      <c r="D514" s="30">
        <v>2</v>
      </c>
    </row>
    <row r="515" spans="1:4" ht="15" customHeight="1">
      <c r="A515" s="29" t="str">
        <f t="shared" si="50"/>
        <v>ASUES.ES.ZRU10kV.VV8.QF.Commands.coRst</v>
      </c>
      <c r="B515">
        <v>1</v>
      </c>
      <c r="C515" t="s">
        <v>1</v>
      </c>
      <c r="D515" s="30">
        <v>11</v>
      </c>
    </row>
    <row r="516" spans="1:4" ht="15" customHeight="1">
      <c r="A516" s="23" t="str">
        <f t="shared" ref="A516:A521" si="51">$R$2&amp;".Commands.coRst2"</f>
        <v>ASUES.ES.ZRU10kV.VV8.QF.Commands.coRst2</v>
      </c>
      <c r="B516" s="24">
        <v>7000000</v>
      </c>
      <c r="C516" s="24" t="s">
        <v>6</v>
      </c>
      <c r="D516" s="25">
        <v>0</v>
      </c>
    </row>
    <row r="517" spans="1:4" ht="15" customHeight="1">
      <c r="A517" s="29" t="str">
        <f t="shared" si="51"/>
        <v>ASUES.ES.ZRU10kV.VV8.QF.Commands.coRst2</v>
      </c>
      <c r="B517">
        <v>4000000</v>
      </c>
      <c r="C517" t="s">
        <v>0</v>
      </c>
      <c r="D517" s="30" t="s">
        <v>385</v>
      </c>
    </row>
    <row r="518" spans="1:4" ht="15" customHeight="1">
      <c r="A518" s="29" t="str">
        <f t="shared" si="51"/>
        <v>ASUES.ES.ZRU10kV.VV8.QF.Commands.coRst2</v>
      </c>
      <c r="B518">
        <v>101</v>
      </c>
      <c r="C518" t="s">
        <v>0</v>
      </c>
      <c r="D518" s="30" t="s">
        <v>386</v>
      </c>
    </row>
    <row r="519" spans="1:4" ht="15" customHeight="1">
      <c r="A519" s="29" t="str">
        <f t="shared" si="51"/>
        <v>ASUES.ES.ZRU10kV.VV8.QF.Commands.coRst2</v>
      </c>
      <c r="B519">
        <v>7999</v>
      </c>
      <c r="C519" t="s">
        <v>0</v>
      </c>
      <c r="D519" s="30" t="str">
        <f>"#"&amp;$S$2&amp;"#"&amp;$T$2&amp;"."&amp;$P$2&amp;".Commands.TC3"</f>
        <v>#15#\\SERVER-ASCUER\Relematika.Modbus.OPCDAServer.VV8.Commands.TC3</v>
      </c>
    </row>
    <row r="520" spans="1:4" ht="15" customHeight="1">
      <c r="A520" s="29" t="str">
        <f t="shared" si="51"/>
        <v>ASUES.ES.ZRU10kV.VV8.QF.Commands.coRst2</v>
      </c>
      <c r="B520">
        <v>7998</v>
      </c>
      <c r="C520" t="s">
        <v>6</v>
      </c>
      <c r="D520" s="30">
        <v>2</v>
      </c>
    </row>
    <row r="521" spans="1:4" ht="15" customHeight="1">
      <c r="A521" s="26" t="str">
        <f t="shared" si="51"/>
        <v>ASUES.ES.ZRU10kV.VV8.QF.Commands.coRst2</v>
      </c>
      <c r="B521" s="27">
        <v>1</v>
      </c>
      <c r="C521" s="27" t="s">
        <v>1</v>
      </c>
      <c r="D521" s="28">
        <v>11</v>
      </c>
    </row>
    <row r="522" spans="1:4" ht="15" customHeight="1">
      <c r="A522" s="23" t="str">
        <f t="shared" ref="A522:A527" si="52">$R$2&amp;".Commands.coReadCountTrips"</f>
        <v>ASUES.ES.ZRU10kV.VV8.QF.Commands.coReadCountTrips</v>
      </c>
      <c r="B522" s="24">
        <v>7000000</v>
      </c>
      <c r="C522" s="24" t="s">
        <v>6</v>
      </c>
      <c r="D522" s="25">
        <v>0</v>
      </c>
    </row>
    <row r="523" spans="1:4" ht="15" customHeight="1">
      <c r="A523" s="29" t="str">
        <f t="shared" si="52"/>
        <v>ASUES.ES.ZRU10kV.VV8.QF.Commands.coReadCountTrips</v>
      </c>
      <c r="B523">
        <v>4000000</v>
      </c>
      <c r="C523" t="s">
        <v>0</v>
      </c>
      <c r="D523" s="30"/>
    </row>
    <row r="524" spans="1:4" ht="15" customHeight="1">
      <c r="A524" s="29" t="str">
        <f t="shared" si="52"/>
        <v>ASUES.ES.ZRU10kV.VV8.QF.Commands.coReadCountTrips</v>
      </c>
      <c r="B524">
        <v>101</v>
      </c>
      <c r="C524" t="s">
        <v>0</v>
      </c>
      <c r="D524" s="30" t="s">
        <v>1555</v>
      </c>
    </row>
    <row r="525" spans="1:4" ht="15" customHeight="1">
      <c r="A525" s="29" t="str">
        <f t="shared" si="52"/>
        <v>ASUES.ES.ZRU10kV.VV8.QF.Commands.coReadCountTrips</v>
      </c>
      <c r="B525">
        <v>7999</v>
      </c>
      <c r="C525" t="s">
        <v>0</v>
      </c>
      <c r="D525" s="30" t="str">
        <f>"#"&amp;$S$2&amp;"#"&amp;$T$2&amp;"."&amp;$P$2&amp;".Commands.ReadZone8"</f>
        <v>#15#\\SERVER-ASCUER\Relematika.Modbus.OPCDAServer.VV8.Commands.ReadZone8</v>
      </c>
    </row>
    <row r="526" spans="1:4" ht="15" customHeight="1">
      <c r="A526" s="29" t="str">
        <f t="shared" si="52"/>
        <v>ASUES.ES.ZRU10kV.VV8.QF.Commands.coReadCountTrips</v>
      </c>
      <c r="B526">
        <v>7998</v>
      </c>
      <c r="C526" t="s">
        <v>6</v>
      </c>
      <c r="D526" s="30">
        <v>2</v>
      </c>
    </row>
    <row r="527" spans="1:4" ht="15" customHeight="1">
      <c r="A527" s="29" t="str">
        <f t="shared" si="52"/>
        <v>ASUES.ES.ZRU10kV.VV8.QF.Commands.coReadCountTrips</v>
      </c>
      <c r="B527">
        <v>1</v>
      </c>
      <c r="C527" t="s">
        <v>1</v>
      </c>
      <c r="D527" s="30">
        <v>11</v>
      </c>
    </row>
    <row r="528" spans="1:4" ht="15" customHeight="1">
      <c r="A528" s="294" t="str">
        <f>$R$2&amp;".Commands.smCntSumOff"</f>
        <v>ASUES.ES.ZRU10kV.VV8.QF.Commands.smCntSumOff</v>
      </c>
      <c r="B528" s="295">
        <v>7011</v>
      </c>
      <c r="C528" s="295" t="s">
        <v>2</v>
      </c>
      <c r="D528" s="296" t="s">
        <v>266</v>
      </c>
    </row>
    <row r="529" spans="1:4" ht="15" customHeight="1">
      <c r="A529" s="288" t="str">
        <f>$R$2&amp;".Commands.smCntSumOff"</f>
        <v>ASUES.ES.ZRU10kV.VV8.QF.Commands.smCntSumOff</v>
      </c>
      <c r="B529" s="514">
        <v>101</v>
      </c>
      <c r="C529" s="514" t="s">
        <v>0</v>
      </c>
      <c r="D529" s="290" t="s">
        <v>351</v>
      </c>
    </row>
    <row r="530" spans="1:4" ht="15" customHeight="1">
      <c r="A530" s="291" t="str">
        <f>$R$2&amp;".Commands.smCntSumOff"</f>
        <v>ASUES.ES.ZRU10kV.VV8.QF.Commands.smCntSumOff</v>
      </c>
      <c r="B530" s="292">
        <v>1</v>
      </c>
      <c r="C530" s="292" t="s">
        <v>1</v>
      </c>
      <c r="D530" s="293">
        <v>3</v>
      </c>
    </row>
    <row r="531" spans="1:4" ht="15" customHeight="1">
      <c r="A531" s="294" t="str">
        <f>$R$2&amp;".Commands.smCntSumOffI"</f>
        <v>ASUES.ES.ZRU10kV.VV8.QF.Commands.smCntSumOffI</v>
      </c>
      <c r="B531" s="295">
        <v>7011</v>
      </c>
      <c r="C531" s="295" t="s">
        <v>2</v>
      </c>
      <c r="D531" s="296" t="s">
        <v>266</v>
      </c>
    </row>
    <row r="532" spans="1:4" ht="15" customHeight="1">
      <c r="A532" s="288" t="str">
        <f>$R$2&amp;".Commands.smCntSumOffI"</f>
        <v>ASUES.ES.ZRU10kV.VV8.QF.Commands.smCntSumOffI</v>
      </c>
      <c r="B532" s="514">
        <v>101</v>
      </c>
      <c r="C532" s="514" t="s">
        <v>0</v>
      </c>
      <c r="D532" s="290" t="s">
        <v>353</v>
      </c>
    </row>
    <row r="533" spans="1:4" ht="15" customHeight="1">
      <c r="A533" s="291" t="str">
        <f>$R$2&amp;".Commands.smCntSumOffI"</f>
        <v>ASUES.ES.ZRU10kV.VV8.QF.Commands.smCntSumOffI</v>
      </c>
      <c r="B533" s="292">
        <v>1</v>
      </c>
      <c r="C533" s="292" t="s">
        <v>1</v>
      </c>
      <c r="D533" s="293">
        <v>3</v>
      </c>
    </row>
    <row r="534" spans="1:4" ht="15" customHeight="1">
      <c r="A534" s="294" t="str">
        <f>$R$2&amp;".Commands.smCntSumOffIKZ"</f>
        <v>ASUES.ES.ZRU10kV.VV8.QF.Commands.smCntSumOffIKZ</v>
      </c>
      <c r="B534" s="295">
        <v>7011</v>
      </c>
      <c r="C534" s="295" t="s">
        <v>2</v>
      </c>
      <c r="D534" s="296" t="s">
        <v>266</v>
      </c>
    </row>
    <row r="535" spans="1:4" ht="15" customHeight="1">
      <c r="A535" s="288" t="str">
        <f>$R$2&amp;".Commands.smCntSumOffIKZ"</f>
        <v>ASUES.ES.ZRU10kV.VV8.QF.Commands.smCntSumOffIKZ</v>
      </c>
      <c r="B535" s="514">
        <v>101</v>
      </c>
      <c r="C535" s="514" t="s">
        <v>0</v>
      </c>
      <c r="D535" s="290" t="s">
        <v>354</v>
      </c>
    </row>
    <row r="536" spans="1:4" ht="15" customHeight="1">
      <c r="A536" s="291" t="str">
        <f>$R$2&amp;".Commands.smCntSumOffIKZ"</f>
        <v>ASUES.ES.ZRU10kV.VV8.QF.Commands.smCntSumOffIKZ</v>
      </c>
      <c r="B536" s="292">
        <v>1</v>
      </c>
      <c r="C536" s="292" t="s">
        <v>1</v>
      </c>
      <c r="D536" s="293">
        <v>3</v>
      </c>
    </row>
    <row r="537" spans="1:4" ht="15" customHeight="1">
      <c r="A537" s="294" t="str">
        <f t="shared" ref="A537:A542" si="53">$R$2&amp;".mCntSumOff"</f>
        <v>ASUES.ES.ZRU10kV.VV8.QF.mCntSumOff</v>
      </c>
      <c r="B537" s="295">
        <v>7999</v>
      </c>
      <c r="C537" s="295" t="s">
        <v>0</v>
      </c>
      <c r="D537" s="296" t="str">
        <f>"#"&amp;$S$2&amp;"#"&amp;$T$2&amp;"."&amp;$P$2&amp;".CommCnt"</f>
        <v>#15#\\SERVER-ASCUER\Relematika.Modbus.OPCDAServer.VV8.CommCnt</v>
      </c>
    </row>
    <row r="538" spans="1:4" ht="15" customHeight="1">
      <c r="A538" s="288" t="str">
        <f t="shared" si="53"/>
        <v>ASUES.ES.ZRU10kV.VV8.QF.mCntSumOff</v>
      </c>
      <c r="B538" s="514">
        <v>7998</v>
      </c>
      <c r="C538" s="514" t="s">
        <v>6</v>
      </c>
      <c r="D538" s="290">
        <v>1</v>
      </c>
    </row>
    <row r="539" spans="1:4" ht="15" customHeight="1">
      <c r="A539" s="288" t="str">
        <f t="shared" si="53"/>
        <v>ASUES.ES.ZRU10kV.VV8.QF.mCntSumOff</v>
      </c>
      <c r="B539" s="514">
        <v>101</v>
      </c>
      <c r="C539" s="514" t="s">
        <v>0</v>
      </c>
      <c r="D539" s="290" t="s">
        <v>343</v>
      </c>
    </row>
    <row r="540" spans="1:4" ht="15" customHeight="1">
      <c r="A540" s="288" t="str">
        <f t="shared" si="53"/>
        <v>ASUES.ES.ZRU10kV.VV8.QF.mCntSumOff</v>
      </c>
      <c r="B540" s="514">
        <v>3</v>
      </c>
      <c r="C540" s="514" t="s">
        <v>1</v>
      </c>
      <c r="D540" s="290">
        <v>192</v>
      </c>
    </row>
    <row r="541" spans="1:4" ht="15" customHeight="1">
      <c r="A541" s="288" t="str">
        <f t="shared" si="53"/>
        <v>ASUES.ES.ZRU10kV.VV8.QF.mCntSumOff</v>
      </c>
      <c r="B541" s="514">
        <v>2</v>
      </c>
      <c r="C541" s="514" t="s">
        <v>6</v>
      </c>
      <c r="D541" s="290">
        <v>0</v>
      </c>
    </row>
    <row r="542" spans="1:4" ht="15" customHeight="1">
      <c r="A542" s="291" t="str">
        <f t="shared" si="53"/>
        <v>ASUES.ES.ZRU10kV.VV8.QF.mCntSumOff</v>
      </c>
      <c r="B542" s="292">
        <v>1</v>
      </c>
      <c r="C542" s="292" t="s">
        <v>1</v>
      </c>
      <c r="D542" s="293">
        <v>3</v>
      </c>
    </row>
    <row r="543" spans="1:4" ht="15" customHeight="1">
      <c r="A543" s="294" t="str">
        <f t="shared" ref="A543:A548" si="54">$R$2&amp;".mCntSumOffI"</f>
        <v>ASUES.ES.ZRU10kV.VV8.QF.mCntSumOffI</v>
      </c>
      <c r="B543" s="295">
        <v>7999</v>
      </c>
      <c r="C543" s="295" t="s">
        <v>0</v>
      </c>
      <c r="D543" s="296" t="str">
        <f>"#"&amp;$S$2&amp;"#"&amp;$T$2&amp;"."&amp;$P$2&amp;".Trip_I_Cnt"</f>
        <v>#15#\\SERVER-ASCUER\Relematika.Modbus.OPCDAServer.VV8.Trip_I_Cnt</v>
      </c>
    </row>
    <row r="544" spans="1:4" ht="15" customHeight="1">
      <c r="A544" s="288" t="str">
        <f t="shared" si="54"/>
        <v>ASUES.ES.ZRU10kV.VV8.QF.mCntSumOffI</v>
      </c>
      <c r="B544" s="514">
        <v>7998</v>
      </c>
      <c r="C544" s="514" t="s">
        <v>6</v>
      </c>
      <c r="D544" s="290">
        <v>1</v>
      </c>
    </row>
    <row r="545" spans="1:4" ht="15" customHeight="1">
      <c r="A545" s="288" t="str">
        <f t="shared" si="54"/>
        <v>ASUES.ES.ZRU10kV.VV8.QF.mCntSumOffI</v>
      </c>
      <c r="B545" s="514">
        <v>101</v>
      </c>
      <c r="C545" s="514" t="s">
        <v>0</v>
      </c>
      <c r="D545" s="290" t="s">
        <v>344</v>
      </c>
    </row>
    <row r="546" spans="1:4" ht="15" customHeight="1">
      <c r="A546" s="288" t="str">
        <f t="shared" si="54"/>
        <v>ASUES.ES.ZRU10kV.VV8.QF.mCntSumOffI</v>
      </c>
      <c r="B546" s="514">
        <v>3</v>
      </c>
      <c r="C546" s="514" t="s">
        <v>1</v>
      </c>
      <c r="D546" s="290">
        <v>192</v>
      </c>
    </row>
    <row r="547" spans="1:4" ht="15" customHeight="1">
      <c r="A547" s="288" t="str">
        <f t="shared" si="54"/>
        <v>ASUES.ES.ZRU10kV.VV8.QF.mCntSumOffI</v>
      </c>
      <c r="B547" s="514">
        <v>2</v>
      </c>
      <c r="C547" s="514" t="s">
        <v>6</v>
      </c>
      <c r="D547" s="290">
        <v>0</v>
      </c>
    </row>
    <row r="548" spans="1:4" ht="15" customHeight="1">
      <c r="A548" s="291" t="str">
        <f t="shared" si="54"/>
        <v>ASUES.ES.ZRU10kV.VV8.QF.mCntSumOffI</v>
      </c>
      <c r="B548" s="292">
        <v>1</v>
      </c>
      <c r="C548" s="292" t="s">
        <v>1</v>
      </c>
      <c r="D548" s="293">
        <v>3</v>
      </c>
    </row>
    <row r="549" spans="1:4" ht="15" customHeight="1">
      <c r="A549" s="294" t="str">
        <f t="shared" ref="A549:A554" si="55">$R$2&amp;".mCntSumOffIKZ"</f>
        <v>ASUES.ES.ZRU10kV.VV8.QF.mCntSumOffIKZ</v>
      </c>
      <c r="B549" s="295">
        <v>7999</v>
      </c>
      <c r="C549" s="295" t="s">
        <v>0</v>
      </c>
      <c r="D549" s="296" t="str">
        <f>"#"&amp;$S$2&amp;"#"&amp;$T$2&amp;"."&amp;$P$2&amp;".Trip_Ikz_Cnt"</f>
        <v>#15#\\SERVER-ASCUER\Relematika.Modbus.OPCDAServer.VV8.Trip_Ikz_Cnt</v>
      </c>
    </row>
    <row r="550" spans="1:4" ht="15" customHeight="1">
      <c r="A550" s="288" t="str">
        <f t="shared" si="55"/>
        <v>ASUES.ES.ZRU10kV.VV8.QF.mCntSumOffIKZ</v>
      </c>
      <c r="B550" s="514">
        <v>7998</v>
      </c>
      <c r="C550" s="514" t="s">
        <v>6</v>
      </c>
      <c r="D550" s="290">
        <v>1</v>
      </c>
    </row>
    <row r="551" spans="1:4" ht="15" customHeight="1">
      <c r="A551" s="288" t="str">
        <f t="shared" si="55"/>
        <v>ASUES.ES.ZRU10kV.VV8.QF.mCntSumOffIKZ</v>
      </c>
      <c r="B551" s="514">
        <v>101</v>
      </c>
      <c r="C551" s="514" t="s">
        <v>0</v>
      </c>
      <c r="D551" s="290" t="s">
        <v>345</v>
      </c>
    </row>
    <row r="552" spans="1:4" ht="15" customHeight="1">
      <c r="A552" s="288" t="str">
        <f t="shared" si="55"/>
        <v>ASUES.ES.ZRU10kV.VV8.QF.mCntSumOffIKZ</v>
      </c>
      <c r="B552" s="514">
        <v>3</v>
      </c>
      <c r="C552" s="514" t="s">
        <v>1</v>
      </c>
      <c r="D552" s="290">
        <v>192</v>
      </c>
    </row>
    <row r="553" spans="1:4" ht="15" customHeight="1">
      <c r="A553" s="288" t="str">
        <f t="shared" si="55"/>
        <v>ASUES.ES.ZRU10kV.VV8.QF.mCntSumOffIKZ</v>
      </c>
      <c r="B553" s="514">
        <v>2</v>
      </c>
      <c r="C553" s="514" t="s">
        <v>6</v>
      </c>
      <c r="D553" s="290">
        <v>0</v>
      </c>
    </row>
    <row r="554" spans="1:4" ht="15" customHeight="1">
      <c r="A554" s="291" t="str">
        <f t="shared" si="55"/>
        <v>ASUES.ES.ZRU10kV.VV8.QF.mCntSumOffIKZ</v>
      </c>
      <c r="B554" s="292">
        <v>1</v>
      </c>
      <c r="C554" s="292" t="s">
        <v>1</v>
      </c>
      <c r="D554" s="293">
        <v>3</v>
      </c>
    </row>
    <row r="555" spans="1:4" ht="15" customHeight="1">
      <c r="A555" s="294" t="str">
        <f t="shared" ref="A555:A560" si="56">$R$2&amp;".mEaMinus"</f>
        <v>ASUES.ES.ZRU10kV.VV8.QF.mEaMinus</v>
      </c>
      <c r="B555" s="295">
        <v>7999</v>
      </c>
      <c r="C555" s="295" t="s">
        <v>0</v>
      </c>
      <c r="D555" s="296" t="str">
        <f>"#"&amp;$S$2&amp;"#"&amp;$T$2&amp;"."&amp;$P$2&amp;".Ea-"</f>
        <v>#15#\\SERVER-ASCUER\Relematika.Modbus.OPCDAServer.VV8.Ea-</v>
      </c>
    </row>
    <row r="556" spans="1:4" ht="15" customHeight="1">
      <c r="A556" s="288" t="str">
        <f t="shared" si="56"/>
        <v>ASUES.ES.ZRU10kV.VV8.QF.mEaMinus</v>
      </c>
      <c r="B556" s="514">
        <v>7998</v>
      </c>
      <c r="C556" s="514" t="s">
        <v>6</v>
      </c>
      <c r="D556" s="290">
        <v>1</v>
      </c>
    </row>
    <row r="557" spans="1:4" ht="15" customHeight="1">
      <c r="A557" s="288" t="str">
        <f t="shared" si="56"/>
        <v>ASUES.ES.ZRU10kV.VV8.QF.mEaMinus</v>
      </c>
      <c r="B557" s="514">
        <v>101</v>
      </c>
      <c r="C557" s="514" t="s">
        <v>0</v>
      </c>
      <c r="D557" s="290" t="s">
        <v>347</v>
      </c>
    </row>
    <row r="558" spans="1:4" ht="15" customHeight="1">
      <c r="A558" s="288" t="str">
        <f t="shared" si="56"/>
        <v>ASUES.ES.ZRU10kV.VV8.QF.mEaMinus</v>
      </c>
      <c r="B558" s="514">
        <v>3</v>
      </c>
      <c r="C558" s="514" t="s">
        <v>1</v>
      </c>
      <c r="D558" s="290">
        <v>192</v>
      </c>
    </row>
    <row r="559" spans="1:4" ht="15" customHeight="1">
      <c r="A559" s="288" t="str">
        <f t="shared" si="56"/>
        <v>ASUES.ES.ZRU10kV.VV8.QF.mEaMinus</v>
      </c>
      <c r="B559" s="514">
        <v>2</v>
      </c>
      <c r="C559" s="514" t="s">
        <v>6</v>
      </c>
      <c r="D559" s="290">
        <v>0</v>
      </c>
    </row>
    <row r="560" spans="1:4" ht="15" customHeight="1">
      <c r="A560" s="291" t="str">
        <f t="shared" si="56"/>
        <v>ASUES.ES.ZRU10kV.VV8.QF.mEaMinus</v>
      </c>
      <c r="B560" s="292">
        <v>1</v>
      </c>
      <c r="C560" s="292" t="s">
        <v>1</v>
      </c>
      <c r="D560" s="293">
        <v>3</v>
      </c>
    </row>
    <row r="561" spans="1:4" ht="15" customHeight="1">
      <c r="A561" s="294" t="str">
        <f t="shared" ref="A561:A566" si="57">$R$2&amp;".mEaPlus"</f>
        <v>ASUES.ES.ZRU10kV.VV8.QF.mEaPlus</v>
      </c>
      <c r="B561" s="295">
        <v>7999</v>
      </c>
      <c r="C561" s="295" t="s">
        <v>0</v>
      </c>
      <c r="D561" s="296" t="str">
        <f>"#"&amp;$S$2&amp;"#"&amp;$T$2&amp;"."&amp;$P$2&amp;".Ea+"</f>
        <v>#15#\\SERVER-ASCUER\Relematika.Modbus.OPCDAServer.VV8.Ea+</v>
      </c>
    </row>
    <row r="562" spans="1:4" ht="15" customHeight="1">
      <c r="A562" s="288" t="str">
        <f t="shared" si="57"/>
        <v>ASUES.ES.ZRU10kV.VV8.QF.mEaPlus</v>
      </c>
      <c r="B562" s="514">
        <v>7998</v>
      </c>
      <c r="C562" s="514" t="s">
        <v>6</v>
      </c>
      <c r="D562" s="290">
        <v>1</v>
      </c>
    </row>
    <row r="563" spans="1:4" ht="15" customHeight="1">
      <c r="A563" s="288" t="str">
        <f t="shared" si="57"/>
        <v>ASUES.ES.ZRU10kV.VV8.QF.mEaPlus</v>
      </c>
      <c r="B563" s="514">
        <v>101</v>
      </c>
      <c r="C563" s="514" t="s">
        <v>0</v>
      </c>
      <c r="D563" s="290" t="s">
        <v>346</v>
      </c>
    </row>
    <row r="564" spans="1:4" ht="15" customHeight="1">
      <c r="A564" s="288" t="str">
        <f t="shared" si="57"/>
        <v>ASUES.ES.ZRU10kV.VV8.QF.mEaPlus</v>
      </c>
      <c r="B564" s="514">
        <v>3</v>
      </c>
      <c r="C564" s="514" t="s">
        <v>1</v>
      </c>
      <c r="D564" s="290">
        <v>192</v>
      </c>
    </row>
    <row r="565" spans="1:4" ht="15" customHeight="1">
      <c r="A565" s="288" t="str">
        <f t="shared" si="57"/>
        <v>ASUES.ES.ZRU10kV.VV8.QF.mEaPlus</v>
      </c>
      <c r="B565" s="514">
        <v>2</v>
      </c>
      <c r="C565" s="514" t="s">
        <v>6</v>
      </c>
      <c r="D565" s="290">
        <v>0</v>
      </c>
    </row>
    <row r="566" spans="1:4" ht="15" customHeight="1">
      <c r="A566" s="291" t="str">
        <f t="shared" si="57"/>
        <v>ASUES.ES.ZRU10kV.VV8.QF.mEaPlus</v>
      </c>
      <c r="B566" s="292">
        <v>1</v>
      </c>
      <c r="C566" s="292" t="s">
        <v>1</v>
      </c>
      <c r="D566" s="293">
        <v>3</v>
      </c>
    </row>
    <row r="567" spans="1:4" ht="15" customHeight="1">
      <c r="A567" s="294" t="str">
        <f t="shared" ref="A567:A572" si="58">$R$2&amp;".mErMinus"</f>
        <v>ASUES.ES.ZRU10kV.VV8.QF.mErMinus</v>
      </c>
      <c r="B567" s="295">
        <v>7999</v>
      </c>
      <c r="C567" s="295" t="s">
        <v>0</v>
      </c>
      <c r="D567" s="296" t="str">
        <f>"#"&amp;$S$2&amp;"#"&amp;$T$2&amp;"."&amp;$P$2&amp;".Er-"</f>
        <v>#15#\\SERVER-ASCUER\Relematika.Modbus.OPCDAServer.VV8.Er-</v>
      </c>
    </row>
    <row r="568" spans="1:4" ht="15" customHeight="1">
      <c r="A568" s="288" t="str">
        <f t="shared" si="58"/>
        <v>ASUES.ES.ZRU10kV.VV8.QF.mErMinus</v>
      </c>
      <c r="B568" s="514">
        <v>7998</v>
      </c>
      <c r="C568" s="514" t="s">
        <v>6</v>
      </c>
      <c r="D568" s="290">
        <v>1</v>
      </c>
    </row>
    <row r="569" spans="1:4" ht="15" customHeight="1">
      <c r="A569" s="288" t="str">
        <f t="shared" si="58"/>
        <v>ASUES.ES.ZRU10kV.VV8.QF.mErMinus</v>
      </c>
      <c r="B569" s="514">
        <v>101</v>
      </c>
      <c r="C569" s="514" t="s">
        <v>0</v>
      </c>
      <c r="D569" s="290" t="s">
        <v>349</v>
      </c>
    </row>
    <row r="570" spans="1:4" ht="15" customHeight="1">
      <c r="A570" s="288" t="str">
        <f t="shared" si="58"/>
        <v>ASUES.ES.ZRU10kV.VV8.QF.mErMinus</v>
      </c>
      <c r="B570" s="514">
        <v>3</v>
      </c>
      <c r="C570" s="514" t="s">
        <v>1</v>
      </c>
      <c r="D570" s="290">
        <v>192</v>
      </c>
    </row>
    <row r="571" spans="1:4" ht="15" customHeight="1">
      <c r="A571" s="288" t="str">
        <f t="shared" si="58"/>
        <v>ASUES.ES.ZRU10kV.VV8.QF.mErMinus</v>
      </c>
      <c r="B571" s="514">
        <v>2</v>
      </c>
      <c r="C571" s="514" t="s">
        <v>6</v>
      </c>
      <c r="D571" s="290">
        <v>0</v>
      </c>
    </row>
    <row r="572" spans="1:4" ht="15" customHeight="1">
      <c r="A572" s="291" t="str">
        <f t="shared" si="58"/>
        <v>ASUES.ES.ZRU10kV.VV8.QF.mErMinus</v>
      </c>
      <c r="B572" s="292">
        <v>1</v>
      </c>
      <c r="C572" s="292" t="s">
        <v>1</v>
      </c>
      <c r="D572" s="293">
        <v>3</v>
      </c>
    </row>
    <row r="573" spans="1:4" ht="15" customHeight="1">
      <c r="A573" s="294" t="str">
        <f t="shared" ref="A573:A578" si="59">$R$2&amp;".mErPlus"</f>
        <v>ASUES.ES.ZRU10kV.VV8.QF.mErPlus</v>
      </c>
      <c r="B573" s="295">
        <v>7999</v>
      </c>
      <c r="C573" s="295" t="s">
        <v>0</v>
      </c>
      <c r="D573" s="296" t="str">
        <f>"#"&amp;$S$2&amp;"#"&amp;$T$2&amp;"."&amp;$P$2&amp;".Er+"</f>
        <v>#15#\\SERVER-ASCUER\Relematika.Modbus.OPCDAServer.VV8.Er+</v>
      </c>
    </row>
    <row r="574" spans="1:4" ht="15" customHeight="1">
      <c r="A574" s="288" t="str">
        <f t="shared" si="59"/>
        <v>ASUES.ES.ZRU10kV.VV8.QF.mErPlus</v>
      </c>
      <c r="B574" s="514">
        <v>7998</v>
      </c>
      <c r="C574" s="514" t="s">
        <v>6</v>
      </c>
      <c r="D574" s="290">
        <v>1</v>
      </c>
    </row>
    <row r="575" spans="1:4" ht="15" customHeight="1">
      <c r="A575" s="288" t="str">
        <f t="shared" si="59"/>
        <v>ASUES.ES.ZRU10kV.VV8.QF.mErPlus</v>
      </c>
      <c r="B575" s="514">
        <v>101</v>
      </c>
      <c r="C575" s="514" t="s">
        <v>0</v>
      </c>
      <c r="D575" s="290" t="s">
        <v>348</v>
      </c>
    </row>
    <row r="576" spans="1:4" ht="15" customHeight="1">
      <c r="A576" s="288" t="str">
        <f t="shared" si="59"/>
        <v>ASUES.ES.ZRU10kV.VV8.QF.mErPlus</v>
      </c>
      <c r="B576" s="514">
        <v>3</v>
      </c>
      <c r="C576" s="514" t="s">
        <v>1</v>
      </c>
      <c r="D576" s="290">
        <v>192</v>
      </c>
    </row>
    <row r="577" spans="1:4" ht="15" customHeight="1">
      <c r="A577" s="288" t="str">
        <f t="shared" si="59"/>
        <v>ASUES.ES.ZRU10kV.VV8.QF.mErPlus</v>
      </c>
      <c r="B577" s="514">
        <v>2</v>
      </c>
      <c r="C577" s="514" t="s">
        <v>6</v>
      </c>
      <c r="D577" s="290">
        <v>0</v>
      </c>
    </row>
    <row r="578" spans="1:4" ht="15" customHeight="1">
      <c r="A578" s="291" t="str">
        <f t="shared" si="59"/>
        <v>ASUES.ES.ZRU10kV.VV8.QF.mErPlus</v>
      </c>
      <c r="B578" s="292">
        <v>1</v>
      </c>
      <c r="C578" s="292" t="s">
        <v>1</v>
      </c>
      <c r="D578" s="293">
        <v>3</v>
      </c>
    </row>
    <row r="579" spans="1:4" ht="15" customHeight="1">
      <c r="A579" s="288" t="str">
        <f>$R$2&amp;".smCntSumOff"</f>
        <v>ASUES.ES.ZRU10kV.VV8.QF.smCntSumOff</v>
      </c>
      <c r="B579" s="514">
        <v>3000000</v>
      </c>
      <c r="C579" s="514" t="s">
        <v>0</v>
      </c>
      <c r="D579" s="290" t="s">
        <v>350</v>
      </c>
    </row>
    <row r="580" spans="1:4" ht="15" customHeight="1">
      <c r="A580" s="288" t="str">
        <f>$R$2&amp;".smCntSumOff"</f>
        <v>ASUES.ES.ZRU10kV.VV8.QF.smCntSumOff</v>
      </c>
      <c r="B580" s="514">
        <v>101</v>
      </c>
      <c r="C580" s="514" t="s">
        <v>0</v>
      </c>
      <c r="D580" s="290" t="s">
        <v>351</v>
      </c>
    </row>
    <row r="581" spans="1:4" ht="15" customHeight="1">
      <c r="A581" s="288" t="str">
        <f>$R$2&amp;".smCntSumOff"</f>
        <v>ASUES.ES.ZRU10kV.VV8.QF.smCntSumOff</v>
      </c>
      <c r="B581" s="514">
        <v>3</v>
      </c>
      <c r="C581" s="514" t="s">
        <v>1</v>
      </c>
      <c r="D581" s="290">
        <v>192</v>
      </c>
    </row>
    <row r="582" spans="1:4" ht="15" customHeight="1">
      <c r="A582" s="288" t="str">
        <f>$R$2&amp;".smCntSumOff"</f>
        <v>ASUES.ES.ZRU10kV.VV8.QF.smCntSumOff</v>
      </c>
      <c r="B582" s="514">
        <v>2</v>
      </c>
      <c r="C582" s="514" t="s">
        <v>6</v>
      </c>
      <c r="D582" s="290">
        <v>0</v>
      </c>
    </row>
    <row r="583" spans="1:4" ht="15" customHeight="1">
      <c r="A583" s="291" t="str">
        <f>$R$2&amp;".smCntSumOff"</f>
        <v>ASUES.ES.ZRU10kV.VV8.QF.smCntSumOff</v>
      </c>
      <c r="B583" s="292">
        <v>1</v>
      </c>
      <c r="C583" s="292" t="s">
        <v>1</v>
      </c>
      <c r="D583" s="293">
        <v>3</v>
      </c>
    </row>
    <row r="584" spans="1:4" ht="15" customHeight="1">
      <c r="A584" s="288" t="str">
        <f>$R$2&amp;".smCntSumOffI"</f>
        <v>ASUES.ES.ZRU10kV.VV8.QF.smCntSumOffI</v>
      </c>
      <c r="B584" s="514">
        <v>3000000</v>
      </c>
      <c r="C584" s="514" t="s">
        <v>0</v>
      </c>
      <c r="D584" s="290" t="s">
        <v>352</v>
      </c>
    </row>
    <row r="585" spans="1:4" ht="15" customHeight="1">
      <c r="A585" s="288" t="str">
        <f>$R$2&amp;".smCntSumOffI"</f>
        <v>ASUES.ES.ZRU10kV.VV8.QF.smCntSumOffI</v>
      </c>
      <c r="B585" s="514">
        <v>101</v>
      </c>
      <c r="C585" s="514" t="s">
        <v>0</v>
      </c>
      <c r="D585" s="290" t="s">
        <v>353</v>
      </c>
    </row>
    <row r="586" spans="1:4" ht="15" customHeight="1">
      <c r="A586" s="288" t="str">
        <f>$R$2&amp;".smCntSumOffI"</f>
        <v>ASUES.ES.ZRU10kV.VV8.QF.smCntSumOffI</v>
      </c>
      <c r="B586" s="514">
        <v>3</v>
      </c>
      <c r="C586" s="514" t="s">
        <v>1</v>
      </c>
      <c r="D586" s="290">
        <v>192</v>
      </c>
    </row>
    <row r="587" spans="1:4" ht="15" customHeight="1">
      <c r="A587" s="288" t="str">
        <f>$R$2&amp;".smCntSumOffI"</f>
        <v>ASUES.ES.ZRU10kV.VV8.QF.smCntSumOffI</v>
      </c>
      <c r="B587" s="514">
        <v>2</v>
      </c>
      <c r="C587" s="514" t="s">
        <v>6</v>
      </c>
      <c r="D587" s="290">
        <v>0</v>
      </c>
    </row>
    <row r="588" spans="1:4" ht="15" customHeight="1">
      <c r="A588" s="291" t="str">
        <f>$R$2&amp;".smCntSumOffI"</f>
        <v>ASUES.ES.ZRU10kV.VV8.QF.smCntSumOffI</v>
      </c>
      <c r="B588" s="292">
        <v>1</v>
      </c>
      <c r="C588" s="292" t="s">
        <v>1</v>
      </c>
      <c r="D588" s="293">
        <v>3</v>
      </c>
    </row>
    <row r="589" spans="1:4" ht="15" customHeight="1">
      <c r="A589" s="288" t="str">
        <f>$R$2&amp;".smCntSumOffIKZ"</f>
        <v>ASUES.ES.ZRU10kV.VV8.QF.smCntSumOffIKZ</v>
      </c>
      <c r="B589" s="514">
        <v>3000000</v>
      </c>
      <c r="C589" s="514" t="s">
        <v>0</v>
      </c>
      <c r="D589" s="290" t="s">
        <v>1520</v>
      </c>
    </row>
    <row r="590" spans="1:4" ht="15" customHeight="1">
      <c r="A590" s="288" t="str">
        <f>$R$2&amp;".smCntSumOffIKZ"</f>
        <v>ASUES.ES.ZRU10kV.VV8.QF.smCntSumOffIKZ</v>
      </c>
      <c r="B590" s="514">
        <v>101</v>
      </c>
      <c r="C590" s="514" t="s">
        <v>0</v>
      </c>
      <c r="D590" s="290" t="s">
        <v>354</v>
      </c>
    </row>
    <row r="591" spans="1:4" ht="15" customHeight="1">
      <c r="A591" s="288" t="str">
        <f>$R$2&amp;".smCntSumOffIKZ"</f>
        <v>ASUES.ES.ZRU10kV.VV8.QF.smCntSumOffIKZ</v>
      </c>
      <c r="B591" s="514">
        <v>3</v>
      </c>
      <c r="C591" s="514" t="s">
        <v>1</v>
      </c>
      <c r="D591" s="290">
        <v>192</v>
      </c>
    </row>
    <row r="592" spans="1:4" ht="15" customHeight="1">
      <c r="A592" s="288" t="str">
        <f>$R$2&amp;".smCntSumOffIKZ"</f>
        <v>ASUES.ES.ZRU10kV.VV8.QF.smCntSumOffIKZ</v>
      </c>
      <c r="B592" s="514">
        <v>2</v>
      </c>
      <c r="C592" s="514" t="s">
        <v>6</v>
      </c>
      <c r="D592" s="290">
        <v>0</v>
      </c>
    </row>
    <row r="593" spans="1:4" ht="15" customHeight="1">
      <c r="A593" s="291" t="str">
        <f>$R$2&amp;".smCntSumOffIKZ"</f>
        <v>ASUES.ES.ZRU10kV.VV8.QF.smCntSumOffIKZ</v>
      </c>
      <c r="B593" s="292">
        <v>1</v>
      </c>
      <c r="C593" s="292" t="s">
        <v>1</v>
      </c>
      <c r="D593" s="293">
        <v>3</v>
      </c>
    </row>
    <row r="594" spans="1:4" ht="15" customHeight="1">
      <c r="A594" s="275" t="str">
        <f t="shared" ref="A594:A599" si="60">$R$2&amp;".mCosPhi"</f>
        <v>ASUES.ES.ZRU10kV.VV8.QF.mCosPhi</v>
      </c>
      <c r="B594" s="276">
        <v>7999</v>
      </c>
      <c r="C594" s="276" t="s">
        <v>0</v>
      </c>
      <c r="D594" s="277" t="str">
        <f>"#"&amp;$S$2&amp;"#"&amp;$T$2&amp;"."&amp;$P$2&amp;".CosF"</f>
        <v>#15#\\SERVER-ASCUER\Relematika.Modbus.OPCDAServer.VV8.CosF</v>
      </c>
    </row>
    <row r="595" spans="1:4" ht="15" customHeight="1">
      <c r="A595" s="278" t="str">
        <f t="shared" si="60"/>
        <v>ASUES.ES.ZRU10kV.VV8.QF.mCosPhi</v>
      </c>
      <c r="B595" s="688">
        <v>7998</v>
      </c>
      <c r="C595" s="688" t="s">
        <v>6</v>
      </c>
      <c r="D595" s="280">
        <v>1</v>
      </c>
    </row>
    <row r="596" spans="1:4" ht="15" customHeight="1">
      <c r="A596" s="278" t="str">
        <f t="shared" si="60"/>
        <v>ASUES.ES.ZRU10kV.VV8.QF.mCosPhi</v>
      </c>
      <c r="B596" s="688">
        <v>101</v>
      </c>
      <c r="C596" s="688" t="s">
        <v>0</v>
      </c>
      <c r="D596" s="280" t="s">
        <v>355</v>
      </c>
    </row>
    <row r="597" spans="1:4" ht="15" customHeight="1">
      <c r="A597" s="278" t="str">
        <f t="shared" si="60"/>
        <v>ASUES.ES.ZRU10kV.VV8.QF.mCosPhi</v>
      </c>
      <c r="B597" s="688">
        <v>3</v>
      </c>
      <c r="C597" s="688" t="s">
        <v>1</v>
      </c>
      <c r="D597" s="280">
        <v>192</v>
      </c>
    </row>
    <row r="598" spans="1:4" ht="15" customHeight="1">
      <c r="A598" s="278" t="str">
        <f t="shared" si="60"/>
        <v>ASUES.ES.ZRU10kV.VV8.QF.mCosPhi</v>
      </c>
      <c r="B598" s="688">
        <v>2</v>
      </c>
      <c r="C598" s="688" t="s">
        <v>80</v>
      </c>
      <c r="D598" s="280">
        <v>0</v>
      </c>
    </row>
    <row r="599" spans="1:4" ht="15" customHeight="1">
      <c r="A599" s="281" t="str">
        <f t="shared" si="60"/>
        <v>ASUES.ES.ZRU10kV.VV8.QF.mCosPhi</v>
      </c>
      <c r="B599" s="282">
        <v>1</v>
      </c>
      <c r="C599" s="282" t="s">
        <v>1</v>
      </c>
      <c r="D599" s="283">
        <v>4</v>
      </c>
    </row>
    <row r="600" spans="1:4" ht="15" customHeight="1">
      <c r="A600" s="275" t="str">
        <f t="shared" ref="A600:A605" si="61">$R$2&amp;".mFreq"</f>
        <v>ASUES.ES.ZRU10kV.VV8.QF.mFreq</v>
      </c>
      <c r="B600" s="276">
        <v>7999</v>
      </c>
      <c r="C600" s="276" t="s">
        <v>0</v>
      </c>
      <c r="D600" s="277" t="str">
        <f>"#"&amp;$S$2&amp;"#"&amp;$T$2&amp;"."&amp;$P$2&amp;".Freq"</f>
        <v>#15#\\SERVER-ASCUER\Relematika.Modbus.OPCDAServer.VV8.Freq</v>
      </c>
    </row>
    <row r="601" spans="1:4" ht="15" customHeight="1">
      <c r="A601" s="278" t="str">
        <f t="shared" si="61"/>
        <v>ASUES.ES.ZRU10kV.VV8.QF.mFreq</v>
      </c>
      <c r="B601" s="688">
        <v>7998</v>
      </c>
      <c r="C601" s="688" t="s">
        <v>6</v>
      </c>
      <c r="D601" s="280">
        <v>1</v>
      </c>
    </row>
    <row r="602" spans="1:4" ht="15" customHeight="1">
      <c r="A602" s="278" t="str">
        <f t="shared" si="61"/>
        <v>ASUES.ES.ZRU10kV.VV8.QF.mFreq</v>
      </c>
      <c r="B602" s="688">
        <v>101</v>
      </c>
      <c r="C602" s="688" t="s">
        <v>0</v>
      </c>
      <c r="D602" s="280" t="s">
        <v>356</v>
      </c>
    </row>
    <row r="603" spans="1:4" ht="15" customHeight="1">
      <c r="A603" s="278" t="str">
        <f t="shared" si="61"/>
        <v>ASUES.ES.ZRU10kV.VV8.QF.mFreq</v>
      </c>
      <c r="B603" s="688">
        <v>3</v>
      </c>
      <c r="C603" s="688" t="s">
        <v>1</v>
      </c>
      <c r="D603" s="280">
        <v>192</v>
      </c>
    </row>
    <row r="604" spans="1:4" ht="15" customHeight="1">
      <c r="A604" s="278" t="str">
        <f t="shared" si="61"/>
        <v>ASUES.ES.ZRU10kV.VV8.QF.mFreq</v>
      </c>
      <c r="B604" s="688">
        <v>2</v>
      </c>
      <c r="C604" s="688" t="s">
        <v>80</v>
      </c>
      <c r="D604" s="280">
        <v>0</v>
      </c>
    </row>
    <row r="605" spans="1:4" ht="15" customHeight="1">
      <c r="A605" s="281" t="str">
        <f t="shared" si="61"/>
        <v>ASUES.ES.ZRU10kV.VV8.QF.mFreq</v>
      </c>
      <c r="B605" s="282">
        <v>1</v>
      </c>
      <c r="C605" s="282" t="s">
        <v>1</v>
      </c>
      <c r="D605" s="283">
        <v>4</v>
      </c>
    </row>
    <row r="606" spans="1:4" ht="15" customHeight="1">
      <c r="A606" s="275" t="str">
        <f t="shared" ref="A606:A611" si="62">$R$2&amp;".mI0"</f>
        <v>ASUES.ES.ZRU10kV.VV8.QF.mI0</v>
      </c>
      <c r="B606" s="276">
        <v>7999</v>
      </c>
      <c r="C606" s="276" t="s">
        <v>0</v>
      </c>
      <c r="D606" s="277" t="str">
        <f>"#"&amp;$S$2&amp;"#"&amp;$T$2&amp;"."&amp;$P$2&amp;".I0"</f>
        <v>#15#\\SERVER-ASCUER\Relematika.Modbus.OPCDAServer.VV8.I0</v>
      </c>
    </row>
    <row r="607" spans="1:4" ht="15" customHeight="1">
      <c r="A607" s="278" t="str">
        <f t="shared" si="62"/>
        <v>ASUES.ES.ZRU10kV.VV8.QF.mI0</v>
      </c>
      <c r="B607" s="688">
        <v>7998</v>
      </c>
      <c r="C607" s="688" t="s">
        <v>6</v>
      </c>
      <c r="D607" s="280">
        <v>1</v>
      </c>
    </row>
    <row r="608" spans="1:4" ht="15" customHeight="1">
      <c r="A608" s="278" t="str">
        <f t="shared" si="62"/>
        <v>ASUES.ES.ZRU10kV.VV8.QF.mI0</v>
      </c>
      <c r="B608" s="688">
        <v>101</v>
      </c>
      <c r="C608" s="688" t="s">
        <v>0</v>
      </c>
      <c r="D608" s="280" t="s">
        <v>357</v>
      </c>
    </row>
    <row r="609" spans="1:4" ht="15" customHeight="1">
      <c r="A609" s="278" t="str">
        <f t="shared" si="62"/>
        <v>ASUES.ES.ZRU10kV.VV8.QF.mI0</v>
      </c>
      <c r="B609" s="688">
        <v>3</v>
      </c>
      <c r="C609" s="688" t="s">
        <v>1</v>
      </c>
      <c r="D609" s="280">
        <v>192</v>
      </c>
    </row>
    <row r="610" spans="1:4" ht="15" customHeight="1">
      <c r="A610" s="278" t="str">
        <f t="shared" si="62"/>
        <v>ASUES.ES.ZRU10kV.VV8.QF.mI0</v>
      </c>
      <c r="B610" s="688">
        <v>2</v>
      </c>
      <c r="C610" s="688" t="s">
        <v>80</v>
      </c>
      <c r="D610" s="280">
        <v>0</v>
      </c>
    </row>
    <row r="611" spans="1:4" ht="15" customHeight="1">
      <c r="A611" s="281" t="str">
        <f t="shared" si="62"/>
        <v>ASUES.ES.ZRU10kV.VV8.QF.mI0</v>
      </c>
      <c r="B611" s="282">
        <v>1</v>
      </c>
      <c r="C611" s="282" t="s">
        <v>1</v>
      </c>
      <c r="D611" s="283">
        <v>4</v>
      </c>
    </row>
    <row r="612" spans="1:4" ht="15" customHeight="1">
      <c r="A612" s="275" t="str">
        <f t="shared" ref="A612:A617" si="63">$R$2&amp;".mIm1"</f>
        <v>ASUES.ES.ZRU10kV.VV8.QF.mIm1</v>
      </c>
      <c r="B612" s="276">
        <v>7999</v>
      </c>
      <c r="C612" s="276" t="s">
        <v>0</v>
      </c>
      <c r="D612" s="277" t="str">
        <f>"#"&amp;$S$2&amp;"#"&amp;$T$2&amp;"."&amp;$P$2&amp;".Im1"</f>
        <v>#15#\\SERVER-ASCUER\Relematika.Modbus.OPCDAServer.VV8.Im1</v>
      </c>
    </row>
    <row r="613" spans="1:4" ht="15" customHeight="1">
      <c r="A613" s="278" t="str">
        <f t="shared" si="63"/>
        <v>ASUES.ES.ZRU10kV.VV8.QF.mIm1</v>
      </c>
      <c r="B613" s="688">
        <v>7998</v>
      </c>
      <c r="C613" s="688" t="s">
        <v>6</v>
      </c>
      <c r="D613" s="280">
        <v>1</v>
      </c>
    </row>
    <row r="614" spans="1:4" ht="15" customHeight="1">
      <c r="A614" s="278" t="str">
        <f t="shared" si="63"/>
        <v>ASUES.ES.ZRU10kV.VV8.QF.mIm1</v>
      </c>
      <c r="B614" s="688">
        <v>101</v>
      </c>
      <c r="C614" s="688" t="s">
        <v>0</v>
      </c>
      <c r="D614" s="280" t="s">
        <v>358</v>
      </c>
    </row>
    <row r="615" spans="1:4" ht="15" customHeight="1">
      <c r="A615" s="278" t="str">
        <f t="shared" si="63"/>
        <v>ASUES.ES.ZRU10kV.VV8.QF.mIm1</v>
      </c>
      <c r="B615" s="688">
        <v>3</v>
      </c>
      <c r="C615" s="688" t="s">
        <v>1</v>
      </c>
      <c r="D615" s="280">
        <v>192</v>
      </c>
    </row>
    <row r="616" spans="1:4" ht="15" customHeight="1">
      <c r="A616" s="278" t="str">
        <f t="shared" si="63"/>
        <v>ASUES.ES.ZRU10kV.VV8.QF.mIm1</v>
      </c>
      <c r="B616" s="688">
        <v>2</v>
      </c>
      <c r="C616" s="688" t="s">
        <v>80</v>
      </c>
      <c r="D616" s="280">
        <v>0</v>
      </c>
    </row>
    <row r="617" spans="1:4" ht="15" customHeight="1">
      <c r="A617" s="281" t="str">
        <f t="shared" si="63"/>
        <v>ASUES.ES.ZRU10kV.VV8.QF.mIm1</v>
      </c>
      <c r="B617" s="282">
        <v>1</v>
      </c>
      <c r="C617" s="282" t="s">
        <v>1</v>
      </c>
      <c r="D617" s="283">
        <v>4</v>
      </c>
    </row>
    <row r="618" spans="1:4" ht="15" customHeight="1">
      <c r="A618" s="275" t="str">
        <f t="shared" ref="A618:A623" si="64">$R$2&amp;".mIm2"</f>
        <v>ASUES.ES.ZRU10kV.VV8.QF.mIm2</v>
      </c>
      <c r="B618" s="276">
        <v>7999</v>
      </c>
      <c r="C618" s="276" t="s">
        <v>0</v>
      </c>
      <c r="D618" s="277" t="str">
        <f>"#"&amp;$S$2&amp;"#"&amp;$T$2&amp;"."&amp;$P$2&amp;".Im2"</f>
        <v>#15#\\SERVER-ASCUER\Relematika.Modbus.OPCDAServer.VV8.Im2</v>
      </c>
    </row>
    <row r="619" spans="1:4" ht="15" customHeight="1">
      <c r="A619" s="278" t="str">
        <f t="shared" si="64"/>
        <v>ASUES.ES.ZRU10kV.VV8.QF.mIm2</v>
      </c>
      <c r="B619" s="688">
        <v>7998</v>
      </c>
      <c r="C619" s="688" t="s">
        <v>6</v>
      </c>
      <c r="D619" s="280">
        <v>1</v>
      </c>
    </row>
    <row r="620" spans="1:4" ht="15" customHeight="1">
      <c r="A620" s="278" t="str">
        <f t="shared" si="64"/>
        <v>ASUES.ES.ZRU10kV.VV8.QF.mIm2</v>
      </c>
      <c r="B620" s="688">
        <v>101</v>
      </c>
      <c r="C620" s="688" t="s">
        <v>0</v>
      </c>
      <c r="D620" s="280" t="s">
        <v>359</v>
      </c>
    </row>
    <row r="621" spans="1:4" ht="15" customHeight="1">
      <c r="A621" s="278" t="str">
        <f t="shared" si="64"/>
        <v>ASUES.ES.ZRU10kV.VV8.QF.mIm2</v>
      </c>
      <c r="B621" s="688">
        <v>3</v>
      </c>
      <c r="C621" s="688" t="s">
        <v>1</v>
      </c>
      <c r="D621" s="280">
        <v>192</v>
      </c>
    </row>
    <row r="622" spans="1:4" ht="15" customHeight="1">
      <c r="A622" s="278" t="str">
        <f t="shared" si="64"/>
        <v>ASUES.ES.ZRU10kV.VV8.QF.mIm2</v>
      </c>
      <c r="B622" s="688">
        <v>2</v>
      </c>
      <c r="C622" s="688" t="s">
        <v>80</v>
      </c>
      <c r="D622" s="280">
        <v>0</v>
      </c>
    </row>
    <row r="623" spans="1:4" ht="15" customHeight="1">
      <c r="A623" s="281" t="str">
        <f t="shared" si="64"/>
        <v>ASUES.ES.ZRU10kV.VV8.QF.mIm2</v>
      </c>
      <c r="B623" s="282">
        <v>1</v>
      </c>
      <c r="C623" s="282" t="s">
        <v>1</v>
      </c>
      <c r="D623" s="283">
        <v>4</v>
      </c>
    </row>
    <row r="624" spans="1:4" ht="15" customHeight="1">
      <c r="A624" s="275" t="str">
        <f t="shared" ref="A624:A629" si="65">$R$2&amp;".mIm3"</f>
        <v>ASUES.ES.ZRU10kV.VV8.QF.mIm3</v>
      </c>
      <c r="B624" s="276">
        <v>7999</v>
      </c>
      <c r="C624" s="276" t="s">
        <v>0</v>
      </c>
      <c r="D624" s="277" t="str">
        <f>"#"&amp;$S$2&amp;"#"&amp;$T$2&amp;"."&amp;$P$2&amp;".Im3"</f>
        <v>#15#\\SERVER-ASCUER\Relematika.Modbus.OPCDAServer.VV8.Im3</v>
      </c>
    </row>
    <row r="625" spans="1:4" ht="15" customHeight="1">
      <c r="A625" s="278" t="str">
        <f t="shared" si="65"/>
        <v>ASUES.ES.ZRU10kV.VV8.QF.mIm3</v>
      </c>
      <c r="B625" s="688">
        <v>7998</v>
      </c>
      <c r="C625" s="688" t="s">
        <v>6</v>
      </c>
      <c r="D625" s="280">
        <v>1</v>
      </c>
    </row>
    <row r="626" spans="1:4" ht="15" customHeight="1">
      <c r="A626" s="278" t="str">
        <f t="shared" si="65"/>
        <v>ASUES.ES.ZRU10kV.VV8.QF.mIm3</v>
      </c>
      <c r="B626" s="688">
        <v>101</v>
      </c>
      <c r="C626" s="688" t="s">
        <v>0</v>
      </c>
      <c r="D626" s="280" t="s">
        <v>360</v>
      </c>
    </row>
    <row r="627" spans="1:4" ht="15" customHeight="1">
      <c r="A627" s="278" t="str">
        <f t="shared" si="65"/>
        <v>ASUES.ES.ZRU10kV.VV8.QF.mIm3</v>
      </c>
      <c r="B627" s="688">
        <v>3</v>
      </c>
      <c r="C627" s="688" t="s">
        <v>1</v>
      </c>
      <c r="D627" s="280">
        <v>192</v>
      </c>
    </row>
    <row r="628" spans="1:4" ht="15" customHeight="1">
      <c r="A628" s="278" t="str">
        <f t="shared" si="65"/>
        <v>ASUES.ES.ZRU10kV.VV8.QF.mIm3</v>
      </c>
      <c r="B628" s="688">
        <v>2</v>
      </c>
      <c r="C628" s="688" t="s">
        <v>80</v>
      </c>
      <c r="D628" s="280">
        <v>0</v>
      </c>
    </row>
    <row r="629" spans="1:4" ht="15" customHeight="1">
      <c r="A629" s="281" t="str">
        <f t="shared" si="65"/>
        <v>ASUES.ES.ZRU10kV.VV8.QF.mIm3</v>
      </c>
      <c r="B629" s="282">
        <v>1</v>
      </c>
      <c r="C629" s="282" t="s">
        <v>1</v>
      </c>
      <c r="D629" s="283">
        <v>4</v>
      </c>
    </row>
    <row r="630" spans="1:4" ht="15" customHeight="1">
      <c r="A630" s="275" t="str">
        <f t="shared" ref="A630:A635" si="66">$R$2&amp;".mI1"</f>
        <v>ASUES.ES.ZRU10kV.VV8.QF.mI1</v>
      </c>
      <c r="B630" s="276">
        <v>7999</v>
      </c>
      <c r="C630" s="276" t="s">
        <v>0</v>
      </c>
      <c r="D630" s="277" t="str">
        <f>"#"&amp;$S$2&amp;"#"&amp;$T$2&amp;"."&amp;$P$2&amp;".I1"</f>
        <v>#15#\\SERVER-ASCUER\Relematika.Modbus.OPCDAServer.VV8.I1</v>
      </c>
    </row>
    <row r="631" spans="1:4" ht="15" customHeight="1">
      <c r="A631" s="278" t="str">
        <f t="shared" si="66"/>
        <v>ASUES.ES.ZRU10kV.VV8.QF.mI1</v>
      </c>
      <c r="B631" s="688">
        <v>7998</v>
      </c>
      <c r="C631" s="688" t="s">
        <v>6</v>
      </c>
      <c r="D631" s="280">
        <v>1</v>
      </c>
    </row>
    <row r="632" spans="1:4" ht="15" customHeight="1">
      <c r="A632" s="278" t="str">
        <f t="shared" si="66"/>
        <v>ASUES.ES.ZRU10kV.VV8.QF.mI1</v>
      </c>
      <c r="B632" s="688">
        <v>101</v>
      </c>
      <c r="C632" s="688" t="s">
        <v>0</v>
      </c>
      <c r="D632" s="280" t="s">
        <v>361</v>
      </c>
    </row>
    <row r="633" spans="1:4" ht="15" customHeight="1">
      <c r="A633" s="278" t="str">
        <f t="shared" si="66"/>
        <v>ASUES.ES.ZRU10kV.VV8.QF.mI1</v>
      </c>
      <c r="B633" s="688">
        <v>3</v>
      </c>
      <c r="C633" s="688" t="s">
        <v>1</v>
      </c>
      <c r="D633" s="280">
        <v>192</v>
      </c>
    </row>
    <row r="634" spans="1:4" ht="15" customHeight="1">
      <c r="A634" s="278" t="str">
        <f t="shared" si="66"/>
        <v>ASUES.ES.ZRU10kV.VV8.QF.mI1</v>
      </c>
      <c r="B634" s="688">
        <v>2</v>
      </c>
      <c r="C634" s="688" t="s">
        <v>80</v>
      </c>
      <c r="D634" s="280">
        <v>0</v>
      </c>
    </row>
    <row r="635" spans="1:4" ht="15" customHeight="1">
      <c r="A635" s="281" t="str">
        <f t="shared" si="66"/>
        <v>ASUES.ES.ZRU10kV.VV8.QF.mI1</v>
      </c>
      <c r="B635" s="282">
        <v>1</v>
      </c>
      <c r="C635" s="282" t="s">
        <v>1</v>
      </c>
      <c r="D635" s="283">
        <v>4</v>
      </c>
    </row>
    <row r="636" spans="1:4" ht="15" customHeight="1">
      <c r="A636" s="275" t="str">
        <f t="shared" ref="A636:A641" si="67">$R$2&amp;".mI2"</f>
        <v>ASUES.ES.ZRU10kV.VV8.QF.mI2</v>
      </c>
      <c r="B636" s="276">
        <v>7999</v>
      </c>
      <c r="C636" s="276" t="s">
        <v>0</v>
      </c>
      <c r="D636" s="277" t="str">
        <f>"#"&amp;$S$2&amp;"#"&amp;$T$2&amp;"."&amp;$P$2&amp;".I2"</f>
        <v>#15#\\SERVER-ASCUER\Relematika.Modbus.OPCDAServer.VV8.I2</v>
      </c>
    </row>
    <row r="637" spans="1:4" ht="15" customHeight="1">
      <c r="A637" s="278" t="str">
        <f t="shared" si="67"/>
        <v>ASUES.ES.ZRU10kV.VV8.QF.mI2</v>
      </c>
      <c r="B637" s="688">
        <v>7998</v>
      </c>
      <c r="C637" s="688" t="s">
        <v>6</v>
      </c>
      <c r="D637" s="280">
        <v>1</v>
      </c>
    </row>
    <row r="638" spans="1:4" ht="15" customHeight="1">
      <c r="A638" s="278" t="str">
        <f t="shared" si="67"/>
        <v>ASUES.ES.ZRU10kV.VV8.QF.mI2</v>
      </c>
      <c r="B638" s="688">
        <v>101</v>
      </c>
      <c r="C638" s="688" t="s">
        <v>0</v>
      </c>
      <c r="D638" s="280" t="s">
        <v>362</v>
      </c>
    </row>
    <row r="639" spans="1:4" ht="15" customHeight="1">
      <c r="A639" s="278" t="str">
        <f t="shared" si="67"/>
        <v>ASUES.ES.ZRU10kV.VV8.QF.mI2</v>
      </c>
      <c r="B639" s="688">
        <v>3</v>
      </c>
      <c r="C639" s="688" t="s">
        <v>1</v>
      </c>
      <c r="D639" s="280">
        <v>192</v>
      </c>
    </row>
    <row r="640" spans="1:4" ht="15" customHeight="1">
      <c r="A640" s="278" t="str">
        <f t="shared" si="67"/>
        <v>ASUES.ES.ZRU10kV.VV8.QF.mI2</v>
      </c>
      <c r="B640" s="688">
        <v>2</v>
      </c>
      <c r="C640" s="688" t="s">
        <v>80</v>
      </c>
      <c r="D640" s="280">
        <v>0</v>
      </c>
    </row>
    <row r="641" spans="1:4" ht="15" customHeight="1">
      <c r="A641" s="281" t="str">
        <f t="shared" si="67"/>
        <v>ASUES.ES.ZRU10kV.VV8.QF.mI2</v>
      </c>
      <c r="B641" s="282">
        <v>1</v>
      </c>
      <c r="C641" s="282" t="s">
        <v>1</v>
      </c>
      <c r="D641" s="283">
        <v>4</v>
      </c>
    </row>
    <row r="642" spans="1:4" ht="15" customHeight="1">
      <c r="A642" s="275" t="str">
        <f t="shared" ref="A642:A647" si="68">$R$2&amp;".mI3"</f>
        <v>ASUES.ES.ZRU10kV.VV8.QF.mI3</v>
      </c>
      <c r="B642" s="276">
        <v>7999</v>
      </c>
      <c r="C642" s="276" t="s">
        <v>0</v>
      </c>
      <c r="D642" s="277" t="str">
        <f>"#"&amp;$S$2&amp;"#"&amp;$T$2&amp;"."&amp;$P$2&amp;".I3"</f>
        <v>#15#\\SERVER-ASCUER\Relematika.Modbus.OPCDAServer.VV8.I3</v>
      </c>
    </row>
    <row r="643" spans="1:4" ht="15" customHeight="1">
      <c r="A643" s="278" t="str">
        <f t="shared" si="68"/>
        <v>ASUES.ES.ZRU10kV.VV8.QF.mI3</v>
      </c>
      <c r="B643" s="688">
        <v>7998</v>
      </c>
      <c r="C643" s="688" t="s">
        <v>6</v>
      </c>
      <c r="D643" s="280">
        <v>1</v>
      </c>
    </row>
    <row r="644" spans="1:4" ht="15" customHeight="1">
      <c r="A644" s="278" t="str">
        <f t="shared" si="68"/>
        <v>ASUES.ES.ZRU10kV.VV8.QF.mI3</v>
      </c>
      <c r="B644" s="688">
        <v>101</v>
      </c>
      <c r="C644" s="688" t="s">
        <v>0</v>
      </c>
      <c r="D644" s="280" t="s">
        <v>363</v>
      </c>
    </row>
    <row r="645" spans="1:4" ht="15" customHeight="1">
      <c r="A645" s="278" t="str">
        <f t="shared" si="68"/>
        <v>ASUES.ES.ZRU10kV.VV8.QF.mI3</v>
      </c>
      <c r="B645" s="688">
        <v>3</v>
      </c>
      <c r="C645" s="688" t="s">
        <v>1</v>
      </c>
      <c r="D645" s="280">
        <v>192</v>
      </c>
    </row>
    <row r="646" spans="1:4" ht="15" customHeight="1">
      <c r="A646" s="278" t="str">
        <f t="shared" si="68"/>
        <v>ASUES.ES.ZRU10kV.VV8.QF.mI3</v>
      </c>
      <c r="B646" s="688">
        <v>2</v>
      </c>
      <c r="C646" s="688" t="s">
        <v>80</v>
      </c>
      <c r="D646" s="280">
        <v>0</v>
      </c>
    </row>
    <row r="647" spans="1:4" ht="15" customHeight="1">
      <c r="A647" s="281" t="str">
        <f t="shared" si="68"/>
        <v>ASUES.ES.ZRU10kV.VV8.QF.mI3</v>
      </c>
      <c r="B647" s="282">
        <v>1</v>
      </c>
      <c r="C647" s="282" t="s">
        <v>1</v>
      </c>
      <c r="D647" s="283">
        <v>4</v>
      </c>
    </row>
    <row r="648" spans="1:4" ht="15" customHeight="1">
      <c r="A648" s="275" t="str">
        <f t="shared" ref="A648:A653" si="69">$R$2&amp;".mItrip1"</f>
        <v>ASUES.ES.ZRU10kV.VV8.QF.mItrip1</v>
      </c>
      <c r="B648" s="276">
        <v>7999</v>
      </c>
      <c r="C648" s="276" t="s">
        <v>0</v>
      </c>
      <c r="D648" s="277" t="str">
        <f>"#"&amp;$S$2&amp;"#"&amp;$T$2&amp;"."&amp;$P$2&amp;".Itrip1"</f>
        <v>#15#\\SERVER-ASCUER\Relematika.Modbus.OPCDAServer.VV8.Itrip1</v>
      </c>
    </row>
    <row r="649" spans="1:4" ht="15" customHeight="1">
      <c r="A649" s="278" t="str">
        <f t="shared" si="69"/>
        <v>ASUES.ES.ZRU10kV.VV8.QF.mItrip1</v>
      </c>
      <c r="B649" s="688">
        <v>7998</v>
      </c>
      <c r="C649" s="688" t="s">
        <v>6</v>
      </c>
      <c r="D649" s="280">
        <v>1</v>
      </c>
    </row>
    <row r="650" spans="1:4" ht="15" customHeight="1">
      <c r="A650" s="278" t="str">
        <f t="shared" si="69"/>
        <v>ASUES.ES.ZRU10kV.VV8.QF.mItrip1</v>
      </c>
      <c r="B650" s="688">
        <v>101</v>
      </c>
      <c r="C650" s="688" t="s">
        <v>0</v>
      </c>
      <c r="D650" s="280" t="s">
        <v>364</v>
      </c>
    </row>
    <row r="651" spans="1:4" ht="15" customHeight="1">
      <c r="A651" s="278" t="str">
        <f t="shared" si="69"/>
        <v>ASUES.ES.ZRU10kV.VV8.QF.mItrip1</v>
      </c>
      <c r="B651" s="688">
        <v>3</v>
      </c>
      <c r="C651" s="688" t="s">
        <v>1</v>
      </c>
      <c r="D651" s="280">
        <v>192</v>
      </c>
    </row>
    <row r="652" spans="1:4" ht="15" customHeight="1">
      <c r="A652" s="278" t="str">
        <f t="shared" si="69"/>
        <v>ASUES.ES.ZRU10kV.VV8.QF.mItrip1</v>
      </c>
      <c r="B652" s="688">
        <v>2</v>
      </c>
      <c r="C652" s="688" t="s">
        <v>80</v>
      </c>
      <c r="D652" s="280">
        <v>0</v>
      </c>
    </row>
    <row r="653" spans="1:4" ht="15" customHeight="1">
      <c r="A653" s="281" t="str">
        <f t="shared" si="69"/>
        <v>ASUES.ES.ZRU10kV.VV8.QF.mItrip1</v>
      </c>
      <c r="B653" s="282">
        <v>1</v>
      </c>
      <c r="C653" s="282" t="s">
        <v>1</v>
      </c>
      <c r="D653" s="283">
        <v>4</v>
      </c>
    </row>
    <row r="654" spans="1:4" ht="15" customHeight="1">
      <c r="A654" s="275" t="str">
        <f t="shared" ref="A654:A659" si="70">$R$2&amp;".mItrip2"</f>
        <v>ASUES.ES.ZRU10kV.VV8.QF.mItrip2</v>
      </c>
      <c r="B654" s="276">
        <v>7999</v>
      </c>
      <c r="C654" s="276" t="s">
        <v>0</v>
      </c>
      <c r="D654" s="277" t="str">
        <f>"#"&amp;$S$2&amp;"#"&amp;$T$2&amp;"."&amp;$P$2&amp;".Itrip2"</f>
        <v>#15#\\SERVER-ASCUER\Relematika.Modbus.OPCDAServer.VV8.Itrip2</v>
      </c>
    </row>
    <row r="655" spans="1:4" ht="15" customHeight="1">
      <c r="A655" s="278" t="str">
        <f t="shared" si="70"/>
        <v>ASUES.ES.ZRU10kV.VV8.QF.mItrip2</v>
      </c>
      <c r="B655" s="688">
        <v>7998</v>
      </c>
      <c r="C655" s="688" t="s">
        <v>6</v>
      </c>
      <c r="D655" s="280">
        <v>1</v>
      </c>
    </row>
    <row r="656" spans="1:4" ht="15" customHeight="1">
      <c r="A656" s="278" t="str">
        <f t="shared" si="70"/>
        <v>ASUES.ES.ZRU10kV.VV8.QF.mItrip2</v>
      </c>
      <c r="B656" s="688">
        <v>101</v>
      </c>
      <c r="C656" s="688" t="s">
        <v>0</v>
      </c>
      <c r="D656" s="280" t="s">
        <v>365</v>
      </c>
    </row>
    <row r="657" spans="1:4" ht="15" customHeight="1">
      <c r="A657" s="278" t="str">
        <f t="shared" si="70"/>
        <v>ASUES.ES.ZRU10kV.VV8.QF.mItrip2</v>
      </c>
      <c r="B657" s="688">
        <v>3</v>
      </c>
      <c r="C657" s="688" t="s">
        <v>1</v>
      </c>
      <c r="D657" s="280">
        <v>192</v>
      </c>
    </row>
    <row r="658" spans="1:4" ht="15" customHeight="1">
      <c r="A658" s="278" t="str">
        <f t="shared" si="70"/>
        <v>ASUES.ES.ZRU10kV.VV8.QF.mItrip2</v>
      </c>
      <c r="B658" s="688">
        <v>2</v>
      </c>
      <c r="C658" s="688" t="s">
        <v>80</v>
      </c>
      <c r="D658" s="280">
        <v>0</v>
      </c>
    </row>
    <row r="659" spans="1:4" ht="15" customHeight="1">
      <c r="A659" s="281" t="str">
        <f t="shared" si="70"/>
        <v>ASUES.ES.ZRU10kV.VV8.QF.mItrip2</v>
      </c>
      <c r="B659" s="282">
        <v>1</v>
      </c>
      <c r="C659" s="282" t="s">
        <v>1</v>
      </c>
      <c r="D659" s="283">
        <v>4</v>
      </c>
    </row>
    <row r="660" spans="1:4" ht="15" customHeight="1">
      <c r="A660" s="275" t="str">
        <f t="shared" ref="A660:A665" si="71">$R$2&amp;".mItrip3"</f>
        <v>ASUES.ES.ZRU10kV.VV8.QF.mItrip3</v>
      </c>
      <c r="B660" s="276">
        <v>7999</v>
      </c>
      <c r="C660" s="276" t="s">
        <v>0</v>
      </c>
      <c r="D660" s="277" t="str">
        <f>"#"&amp;$S$2&amp;"#"&amp;$T$2&amp;"."&amp;$P$2&amp;".Itrip3"</f>
        <v>#15#\\SERVER-ASCUER\Relematika.Modbus.OPCDAServer.VV8.Itrip3</v>
      </c>
    </row>
    <row r="661" spans="1:4" ht="15" customHeight="1">
      <c r="A661" s="278" t="str">
        <f t="shared" si="71"/>
        <v>ASUES.ES.ZRU10kV.VV8.QF.mItrip3</v>
      </c>
      <c r="B661" s="688">
        <v>7998</v>
      </c>
      <c r="C661" s="688" t="s">
        <v>6</v>
      </c>
      <c r="D661" s="280">
        <v>1</v>
      </c>
    </row>
    <row r="662" spans="1:4" ht="15" customHeight="1">
      <c r="A662" s="278" t="str">
        <f t="shared" si="71"/>
        <v>ASUES.ES.ZRU10kV.VV8.QF.mItrip3</v>
      </c>
      <c r="B662" s="688">
        <v>101</v>
      </c>
      <c r="C662" s="688" t="s">
        <v>0</v>
      </c>
      <c r="D662" s="280" t="s">
        <v>366</v>
      </c>
    </row>
    <row r="663" spans="1:4" ht="15" customHeight="1">
      <c r="A663" s="278" t="str">
        <f t="shared" si="71"/>
        <v>ASUES.ES.ZRU10kV.VV8.QF.mItrip3</v>
      </c>
      <c r="B663" s="688">
        <v>3</v>
      </c>
      <c r="C663" s="688" t="s">
        <v>1</v>
      </c>
      <c r="D663" s="280">
        <v>192</v>
      </c>
    </row>
    <row r="664" spans="1:4" ht="15" customHeight="1">
      <c r="A664" s="278" t="str">
        <f t="shared" si="71"/>
        <v>ASUES.ES.ZRU10kV.VV8.QF.mItrip3</v>
      </c>
      <c r="B664" s="688">
        <v>2</v>
      </c>
      <c r="C664" s="688" t="s">
        <v>80</v>
      </c>
      <c r="D664" s="280">
        <v>0</v>
      </c>
    </row>
    <row r="665" spans="1:4" ht="15" customHeight="1">
      <c r="A665" s="281" t="str">
        <f t="shared" si="71"/>
        <v>ASUES.ES.ZRU10kV.VV8.QF.mItrip3</v>
      </c>
      <c r="B665" s="282">
        <v>1</v>
      </c>
      <c r="C665" s="282" t="s">
        <v>1</v>
      </c>
      <c r="D665" s="283">
        <v>4</v>
      </c>
    </row>
    <row r="666" spans="1:4" ht="15" customHeight="1">
      <c r="A666" s="275" t="str">
        <f t="shared" ref="A666:A671" si="72">$R$2&amp;".mMaxI1"</f>
        <v>ASUES.ES.ZRU10kV.VV8.QF.mMaxI1</v>
      </c>
      <c r="B666" s="276">
        <v>7999</v>
      </c>
      <c r="C666" s="276" t="s">
        <v>0</v>
      </c>
      <c r="D666" s="277" t="str">
        <f>"#"&amp;$S$2&amp;"#"&amp;$T$2&amp;"."&amp;$P$2&amp;".MaxI1"</f>
        <v>#15#\\SERVER-ASCUER\Relematika.Modbus.OPCDAServer.VV8.MaxI1</v>
      </c>
    </row>
    <row r="667" spans="1:4" ht="15" customHeight="1">
      <c r="A667" s="278" t="str">
        <f t="shared" si="72"/>
        <v>ASUES.ES.ZRU10kV.VV8.QF.mMaxI1</v>
      </c>
      <c r="B667" s="688">
        <v>7998</v>
      </c>
      <c r="C667" s="688" t="s">
        <v>6</v>
      </c>
      <c r="D667" s="280">
        <v>1</v>
      </c>
    </row>
    <row r="668" spans="1:4" ht="15" customHeight="1">
      <c r="A668" s="278" t="str">
        <f t="shared" si="72"/>
        <v>ASUES.ES.ZRU10kV.VV8.QF.mMaxI1</v>
      </c>
      <c r="B668" s="688">
        <v>101</v>
      </c>
      <c r="C668" s="688" t="s">
        <v>0</v>
      </c>
      <c r="D668" s="280" t="s">
        <v>367</v>
      </c>
    </row>
    <row r="669" spans="1:4" ht="15" customHeight="1">
      <c r="A669" s="278" t="str">
        <f t="shared" si="72"/>
        <v>ASUES.ES.ZRU10kV.VV8.QF.mMaxI1</v>
      </c>
      <c r="B669" s="688">
        <v>3</v>
      </c>
      <c r="C669" s="688" t="s">
        <v>1</v>
      </c>
      <c r="D669" s="280">
        <v>192</v>
      </c>
    </row>
    <row r="670" spans="1:4" ht="15" customHeight="1">
      <c r="A670" s="278" t="str">
        <f t="shared" si="72"/>
        <v>ASUES.ES.ZRU10kV.VV8.QF.mMaxI1</v>
      </c>
      <c r="B670" s="688">
        <v>2</v>
      </c>
      <c r="C670" s="688" t="s">
        <v>80</v>
      </c>
      <c r="D670" s="280">
        <v>0</v>
      </c>
    </row>
    <row r="671" spans="1:4" ht="15" customHeight="1">
      <c r="A671" s="281" t="str">
        <f t="shared" si="72"/>
        <v>ASUES.ES.ZRU10kV.VV8.QF.mMaxI1</v>
      </c>
      <c r="B671" s="282">
        <v>1</v>
      </c>
      <c r="C671" s="282" t="s">
        <v>1</v>
      </c>
      <c r="D671" s="283">
        <v>4</v>
      </c>
    </row>
    <row r="672" spans="1:4" ht="15" customHeight="1">
      <c r="A672" s="275" t="str">
        <f t="shared" ref="A672:A677" si="73">$R$2&amp;".mMaxI2"</f>
        <v>ASUES.ES.ZRU10kV.VV8.QF.mMaxI2</v>
      </c>
      <c r="B672" s="276">
        <v>7999</v>
      </c>
      <c r="C672" s="276" t="s">
        <v>0</v>
      </c>
      <c r="D672" s="277" t="str">
        <f>"#"&amp;$S$2&amp;"#"&amp;$T$2&amp;"."&amp;$P$2&amp;".MaxI2"</f>
        <v>#15#\\SERVER-ASCUER\Relematika.Modbus.OPCDAServer.VV8.MaxI2</v>
      </c>
    </row>
    <row r="673" spans="1:4" ht="15" customHeight="1">
      <c r="A673" s="278" t="str">
        <f t="shared" si="73"/>
        <v>ASUES.ES.ZRU10kV.VV8.QF.mMaxI2</v>
      </c>
      <c r="B673" s="688">
        <v>7998</v>
      </c>
      <c r="C673" s="688" t="s">
        <v>6</v>
      </c>
      <c r="D673" s="280">
        <v>1</v>
      </c>
    </row>
    <row r="674" spans="1:4" ht="15" customHeight="1">
      <c r="A674" s="278" t="str">
        <f t="shared" si="73"/>
        <v>ASUES.ES.ZRU10kV.VV8.QF.mMaxI2</v>
      </c>
      <c r="B674" s="688">
        <v>101</v>
      </c>
      <c r="C674" s="688" t="s">
        <v>0</v>
      </c>
      <c r="D674" s="280" t="s">
        <v>368</v>
      </c>
    </row>
    <row r="675" spans="1:4" ht="15" customHeight="1">
      <c r="A675" s="278" t="str">
        <f t="shared" si="73"/>
        <v>ASUES.ES.ZRU10kV.VV8.QF.mMaxI2</v>
      </c>
      <c r="B675" s="688">
        <v>3</v>
      </c>
      <c r="C675" s="688" t="s">
        <v>1</v>
      </c>
      <c r="D675" s="280">
        <v>192</v>
      </c>
    </row>
    <row r="676" spans="1:4" ht="15" customHeight="1">
      <c r="A676" s="278" t="str">
        <f t="shared" si="73"/>
        <v>ASUES.ES.ZRU10kV.VV8.QF.mMaxI2</v>
      </c>
      <c r="B676" s="688">
        <v>2</v>
      </c>
      <c r="C676" s="688" t="s">
        <v>80</v>
      </c>
      <c r="D676" s="280">
        <v>0</v>
      </c>
    </row>
    <row r="677" spans="1:4" ht="15" customHeight="1">
      <c r="A677" s="281" t="str">
        <f t="shared" si="73"/>
        <v>ASUES.ES.ZRU10kV.VV8.QF.mMaxI2</v>
      </c>
      <c r="B677" s="282">
        <v>1</v>
      </c>
      <c r="C677" s="282" t="s">
        <v>1</v>
      </c>
      <c r="D677" s="283">
        <v>4</v>
      </c>
    </row>
    <row r="678" spans="1:4" ht="15" customHeight="1">
      <c r="A678" s="275" t="str">
        <f t="shared" ref="A678:A683" si="74">$R$2&amp;".mMaxI3"</f>
        <v>ASUES.ES.ZRU10kV.VV8.QF.mMaxI3</v>
      </c>
      <c r="B678" s="276">
        <v>7999</v>
      </c>
      <c r="C678" s="276" t="s">
        <v>0</v>
      </c>
      <c r="D678" s="277" t="str">
        <f>"#"&amp;$S$2&amp;"#"&amp;$T$2&amp;"."&amp;$P$2&amp;".MaxI3"</f>
        <v>#15#\\SERVER-ASCUER\Relematika.Modbus.OPCDAServer.VV8.MaxI3</v>
      </c>
    </row>
    <row r="679" spans="1:4" ht="15" customHeight="1">
      <c r="A679" s="278" t="str">
        <f t="shared" si="74"/>
        <v>ASUES.ES.ZRU10kV.VV8.QF.mMaxI3</v>
      </c>
      <c r="B679" s="688">
        <v>7998</v>
      </c>
      <c r="C679" s="688" t="s">
        <v>6</v>
      </c>
      <c r="D679" s="280">
        <v>1</v>
      </c>
    </row>
    <row r="680" spans="1:4" ht="15" customHeight="1">
      <c r="A680" s="278" t="str">
        <f t="shared" si="74"/>
        <v>ASUES.ES.ZRU10kV.VV8.QF.mMaxI3</v>
      </c>
      <c r="B680" s="688">
        <v>101</v>
      </c>
      <c r="C680" s="688" t="s">
        <v>0</v>
      </c>
      <c r="D680" s="280" t="s">
        <v>369</v>
      </c>
    </row>
    <row r="681" spans="1:4" ht="15" customHeight="1">
      <c r="A681" s="278" t="str">
        <f t="shared" si="74"/>
        <v>ASUES.ES.ZRU10kV.VV8.QF.mMaxI3</v>
      </c>
      <c r="B681" s="688">
        <v>3</v>
      </c>
      <c r="C681" s="688" t="s">
        <v>1</v>
      </c>
      <c r="D681" s="280">
        <v>192</v>
      </c>
    </row>
    <row r="682" spans="1:4" ht="15" customHeight="1">
      <c r="A682" s="278" t="str">
        <f t="shared" si="74"/>
        <v>ASUES.ES.ZRU10kV.VV8.QF.mMaxI3</v>
      </c>
      <c r="B682" s="688">
        <v>2</v>
      </c>
      <c r="C682" s="688" t="s">
        <v>80</v>
      </c>
      <c r="D682" s="280">
        <v>0</v>
      </c>
    </row>
    <row r="683" spans="1:4" ht="15" customHeight="1">
      <c r="A683" s="281" t="str">
        <f t="shared" si="74"/>
        <v>ASUES.ES.ZRU10kV.VV8.QF.mMaxI3</v>
      </c>
      <c r="B683" s="282">
        <v>1</v>
      </c>
      <c r="C683" s="282" t="s">
        <v>1</v>
      </c>
      <c r="D683" s="283">
        <v>4</v>
      </c>
    </row>
    <row r="684" spans="1:4" ht="15" customHeight="1">
      <c r="A684" s="275" t="str">
        <f t="shared" ref="A684:A689" si="75">$R$2&amp;".mMaxPM"</f>
        <v>ASUES.ES.ZRU10kV.VV8.QF.mMaxPM</v>
      </c>
      <c r="B684" s="276">
        <v>7999</v>
      </c>
      <c r="C684" s="276" t="s">
        <v>0</v>
      </c>
      <c r="D684" s="277" t="str">
        <f>"#"&amp;$S$2&amp;"#"&amp;$T$2&amp;"."&amp;$P$2&amp;".MaxPM"</f>
        <v>#15#\\SERVER-ASCUER\Relematika.Modbus.OPCDAServer.VV8.MaxPM</v>
      </c>
    </row>
    <row r="685" spans="1:4" ht="15" customHeight="1">
      <c r="A685" s="278" t="str">
        <f t="shared" si="75"/>
        <v>ASUES.ES.ZRU10kV.VV8.QF.mMaxPM</v>
      </c>
      <c r="B685" s="688">
        <v>7998</v>
      </c>
      <c r="C685" s="688" t="s">
        <v>6</v>
      </c>
      <c r="D685" s="280">
        <v>1</v>
      </c>
    </row>
    <row r="686" spans="1:4" ht="15" customHeight="1">
      <c r="A686" s="278" t="str">
        <f t="shared" si="75"/>
        <v>ASUES.ES.ZRU10kV.VV8.QF.mMaxPM</v>
      </c>
      <c r="B686" s="688">
        <v>101</v>
      </c>
      <c r="C686" s="688" t="s">
        <v>0</v>
      </c>
      <c r="D686" s="280" t="s">
        <v>370</v>
      </c>
    </row>
    <row r="687" spans="1:4" ht="15" customHeight="1">
      <c r="A687" s="278" t="str">
        <f t="shared" si="75"/>
        <v>ASUES.ES.ZRU10kV.VV8.QF.mMaxPM</v>
      </c>
      <c r="B687" s="688">
        <v>3</v>
      </c>
      <c r="C687" s="688" t="s">
        <v>1</v>
      </c>
      <c r="D687" s="280">
        <v>192</v>
      </c>
    </row>
    <row r="688" spans="1:4" ht="15" customHeight="1">
      <c r="A688" s="278" t="str">
        <f t="shared" si="75"/>
        <v>ASUES.ES.ZRU10kV.VV8.QF.mMaxPM</v>
      </c>
      <c r="B688" s="688">
        <v>2</v>
      </c>
      <c r="C688" s="688" t="s">
        <v>80</v>
      </c>
      <c r="D688" s="280">
        <v>0</v>
      </c>
    </row>
    <row r="689" spans="1:4" ht="15" customHeight="1">
      <c r="A689" s="281" t="str">
        <f t="shared" si="75"/>
        <v>ASUES.ES.ZRU10kV.VV8.QF.mMaxPM</v>
      </c>
      <c r="B689" s="282">
        <v>1</v>
      </c>
      <c r="C689" s="282" t="s">
        <v>1</v>
      </c>
      <c r="D689" s="283">
        <v>4</v>
      </c>
    </row>
    <row r="690" spans="1:4" ht="15" customHeight="1">
      <c r="A690" s="275" t="str">
        <f t="shared" ref="A690:A695" si="76">$R$2&amp;".mMaxQM"</f>
        <v>ASUES.ES.ZRU10kV.VV8.QF.mMaxQM</v>
      </c>
      <c r="B690" s="276">
        <v>7999</v>
      </c>
      <c r="C690" s="276" t="s">
        <v>0</v>
      </c>
      <c r="D690" s="277" t="str">
        <f>"#"&amp;$S$2&amp;"#"&amp;$T$2&amp;"."&amp;$P$2&amp;".MaxQM"</f>
        <v>#15#\\SERVER-ASCUER\Relematika.Modbus.OPCDAServer.VV8.MaxQM</v>
      </c>
    </row>
    <row r="691" spans="1:4" ht="15" customHeight="1">
      <c r="A691" s="278" t="str">
        <f t="shared" si="76"/>
        <v>ASUES.ES.ZRU10kV.VV8.QF.mMaxQM</v>
      </c>
      <c r="B691" s="688">
        <v>7998</v>
      </c>
      <c r="C691" s="688" t="s">
        <v>6</v>
      </c>
      <c r="D691" s="280">
        <v>1</v>
      </c>
    </row>
    <row r="692" spans="1:4" ht="15" customHeight="1">
      <c r="A692" s="278" t="str">
        <f t="shared" si="76"/>
        <v>ASUES.ES.ZRU10kV.VV8.QF.mMaxQM</v>
      </c>
      <c r="B692" s="688">
        <v>101</v>
      </c>
      <c r="C692" s="688" t="s">
        <v>0</v>
      </c>
      <c r="D692" s="280" t="s">
        <v>371</v>
      </c>
    </row>
    <row r="693" spans="1:4" ht="15" customHeight="1">
      <c r="A693" s="278" t="str">
        <f t="shared" si="76"/>
        <v>ASUES.ES.ZRU10kV.VV8.QF.mMaxQM</v>
      </c>
      <c r="B693" s="688">
        <v>3</v>
      </c>
      <c r="C693" s="688" t="s">
        <v>1</v>
      </c>
      <c r="D693" s="280">
        <v>192</v>
      </c>
    </row>
    <row r="694" spans="1:4" ht="15" customHeight="1">
      <c r="A694" s="278" t="str">
        <f t="shared" si="76"/>
        <v>ASUES.ES.ZRU10kV.VV8.QF.mMaxQM</v>
      </c>
      <c r="B694" s="688">
        <v>2</v>
      </c>
      <c r="C694" s="688" t="s">
        <v>80</v>
      </c>
      <c r="D694" s="280">
        <v>0</v>
      </c>
    </row>
    <row r="695" spans="1:4" ht="15" customHeight="1">
      <c r="A695" s="281" t="str">
        <f t="shared" si="76"/>
        <v>ASUES.ES.ZRU10kV.VV8.QF.mMaxQM</v>
      </c>
      <c r="B695" s="282">
        <v>1</v>
      </c>
      <c r="C695" s="282" t="s">
        <v>1</v>
      </c>
      <c r="D695" s="283">
        <v>4</v>
      </c>
    </row>
    <row r="696" spans="1:4" ht="15" customHeight="1">
      <c r="A696" s="275" t="str">
        <f t="shared" ref="A696:A701" si="77">$R$2&amp;".mVi"</f>
        <v>ASUES.ES.ZRU10kV.VV8.QF.mVi</v>
      </c>
      <c r="B696" s="276">
        <v>7999</v>
      </c>
      <c r="C696" s="276" t="s">
        <v>0</v>
      </c>
      <c r="D696" s="277" t="str">
        <f>"#"&amp;$S$2&amp;"#"&amp;$T$2&amp;"."&amp;$P$2&amp;".Vi"</f>
        <v>#15#\\SERVER-ASCUER\Relematika.Modbus.OPCDAServer.VV8.Vi</v>
      </c>
    </row>
    <row r="697" spans="1:4" ht="15" customHeight="1">
      <c r="A697" s="278" t="str">
        <f t="shared" si="77"/>
        <v>ASUES.ES.ZRU10kV.VV8.QF.mVi</v>
      </c>
      <c r="B697" s="688">
        <v>7998</v>
      </c>
      <c r="C697" s="688" t="s">
        <v>6</v>
      </c>
      <c r="D697" s="280">
        <v>1</v>
      </c>
    </row>
    <row r="698" spans="1:4" ht="15" customHeight="1">
      <c r="A698" s="278" t="str">
        <f t="shared" si="77"/>
        <v>ASUES.ES.ZRU10kV.VV8.QF.mVi</v>
      </c>
      <c r="B698" s="688">
        <v>101</v>
      </c>
      <c r="C698" s="688" t="s">
        <v>0</v>
      </c>
      <c r="D698" s="280" t="s">
        <v>372</v>
      </c>
    </row>
    <row r="699" spans="1:4" ht="15" customHeight="1">
      <c r="A699" s="278" t="str">
        <f t="shared" si="77"/>
        <v>ASUES.ES.ZRU10kV.VV8.QF.mVi</v>
      </c>
      <c r="B699" s="688">
        <v>3</v>
      </c>
      <c r="C699" s="688" t="s">
        <v>1</v>
      </c>
      <c r="D699" s="280">
        <v>192</v>
      </c>
    </row>
    <row r="700" spans="1:4" ht="15" customHeight="1">
      <c r="A700" s="278" t="str">
        <f t="shared" si="77"/>
        <v>ASUES.ES.ZRU10kV.VV8.QF.mVi</v>
      </c>
      <c r="B700" s="688">
        <v>2</v>
      </c>
      <c r="C700" s="688" t="s">
        <v>80</v>
      </c>
      <c r="D700" s="280">
        <v>0</v>
      </c>
    </row>
    <row r="701" spans="1:4" ht="15" customHeight="1">
      <c r="A701" s="281" t="str">
        <f t="shared" si="77"/>
        <v>ASUES.ES.ZRU10kV.VV8.QF.mVi</v>
      </c>
      <c r="B701" s="282">
        <v>1</v>
      </c>
      <c r="C701" s="282" t="s">
        <v>1</v>
      </c>
      <c r="D701" s="283">
        <v>4</v>
      </c>
    </row>
    <row r="702" spans="1:4" ht="15" customHeight="1">
      <c r="A702" s="275" t="str">
        <f t="shared" ref="A702:A707" si="78">$R$2&amp;".mVo"</f>
        <v>ASUES.ES.ZRU10kV.VV8.QF.mVo</v>
      </c>
      <c r="B702" s="276">
        <v>7999</v>
      </c>
      <c r="C702" s="276" t="s">
        <v>0</v>
      </c>
      <c r="D702" s="277" t="str">
        <f>"#"&amp;$S$2&amp;"#"&amp;$T$2&amp;"."&amp;$P$2&amp;".V0"</f>
        <v>#15#\\SERVER-ASCUER\Relematika.Modbus.OPCDAServer.VV8.V0</v>
      </c>
    </row>
    <row r="703" spans="1:4" ht="15" customHeight="1">
      <c r="A703" s="278" t="str">
        <f t="shared" si="78"/>
        <v>ASUES.ES.ZRU10kV.VV8.QF.mVo</v>
      </c>
      <c r="B703" s="688">
        <v>7998</v>
      </c>
      <c r="C703" s="688" t="s">
        <v>6</v>
      </c>
      <c r="D703" s="280">
        <v>1</v>
      </c>
    </row>
    <row r="704" spans="1:4" ht="15" customHeight="1">
      <c r="A704" s="278" t="str">
        <f t="shared" si="78"/>
        <v>ASUES.ES.ZRU10kV.VV8.QF.mVo</v>
      </c>
      <c r="B704" s="688">
        <v>101</v>
      </c>
      <c r="C704" s="688" t="s">
        <v>0</v>
      </c>
      <c r="D704" s="280" t="s">
        <v>373</v>
      </c>
    </row>
    <row r="705" spans="1:4" ht="15" customHeight="1">
      <c r="A705" s="278" t="str">
        <f t="shared" si="78"/>
        <v>ASUES.ES.ZRU10kV.VV8.QF.mVo</v>
      </c>
      <c r="B705" s="688">
        <v>3</v>
      </c>
      <c r="C705" s="688" t="s">
        <v>1</v>
      </c>
      <c r="D705" s="280">
        <v>192</v>
      </c>
    </row>
    <row r="706" spans="1:4" ht="15" customHeight="1">
      <c r="A706" s="278" t="str">
        <f t="shared" si="78"/>
        <v>ASUES.ES.ZRU10kV.VV8.QF.mVo</v>
      </c>
      <c r="B706" s="688">
        <v>2</v>
      </c>
      <c r="C706" s="688" t="s">
        <v>80</v>
      </c>
      <c r="D706" s="280">
        <v>0</v>
      </c>
    </row>
    <row r="707" spans="1:4" ht="15" customHeight="1">
      <c r="A707" s="281" t="str">
        <f t="shared" si="78"/>
        <v>ASUES.ES.ZRU10kV.VV8.QF.mVo</v>
      </c>
      <c r="B707" s="282">
        <v>1</v>
      </c>
      <c r="C707" s="282" t="s">
        <v>1</v>
      </c>
      <c r="D707" s="283">
        <v>4</v>
      </c>
    </row>
    <row r="708" spans="1:4" ht="15" customHeight="1">
      <c r="A708" s="275" t="str">
        <f t="shared" ref="A708:A713" si="79">$R$2&amp;".mVd"</f>
        <v>ASUES.ES.ZRU10kV.VV8.QF.mVd</v>
      </c>
      <c r="B708" s="276">
        <v>7999</v>
      </c>
      <c r="C708" s="276" t="s">
        <v>0</v>
      </c>
      <c r="D708" s="277" t="str">
        <f>"#"&amp;$S$2&amp;"#"&amp;$T$2&amp;"."&amp;$P$2&amp;".Vd"</f>
        <v>#15#\\SERVER-ASCUER\Relematika.Modbus.OPCDAServer.VV8.Vd</v>
      </c>
    </row>
    <row r="709" spans="1:4" ht="15" customHeight="1">
      <c r="A709" s="278" t="str">
        <f t="shared" si="79"/>
        <v>ASUES.ES.ZRU10kV.VV8.QF.mVd</v>
      </c>
      <c r="B709" s="688">
        <v>7998</v>
      </c>
      <c r="C709" s="688" t="s">
        <v>6</v>
      </c>
      <c r="D709" s="280">
        <v>1</v>
      </c>
    </row>
    <row r="710" spans="1:4" ht="15" customHeight="1">
      <c r="A710" s="278" t="str">
        <f t="shared" si="79"/>
        <v>ASUES.ES.ZRU10kV.VV8.QF.mVd</v>
      </c>
      <c r="B710" s="688">
        <v>101</v>
      </c>
      <c r="C710" s="688" t="s">
        <v>0</v>
      </c>
      <c r="D710" s="280" t="s">
        <v>374</v>
      </c>
    </row>
    <row r="711" spans="1:4" ht="15" customHeight="1">
      <c r="A711" s="278" t="str">
        <f t="shared" si="79"/>
        <v>ASUES.ES.ZRU10kV.VV8.QF.mVd</v>
      </c>
      <c r="B711" s="688">
        <v>3</v>
      </c>
      <c r="C711" s="688" t="s">
        <v>1</v>
      </c>
      <c r="D711" s="280">
        <v>192</v>
      </c>
    </row>
    <row r="712" spans="1:4" ht="15" customHeight="1">
      <c r="A712" s="278" t="str">
        <f t="shared" si="79"/>
        <v>ASUES.ES.ZRU10kV.VV8.QF.mVd</v>
      </c>
      <c r="B712" s="688">
        <v>2</v>
      </c>
      <c r="C712" s="688" t="s">
        <v>80</v>
      </c>
      <c r="D712" s="280">
        <v>0</v>
      </c>
    </row>
    <row r="713" spans="1:4" ht="15" customHeight="1">
      <c r="A713" s="281" t="str">
        <f t="shared" si="79"/>
        <v>ASUES.ES.ZRU10kV.VV8.QF.mVd</v>
      </c>
      <c r="B713" s="282">
        <v>1</v>
      </c>
      <c r="C713" s="282" t="s">
        <v>1</v>
      </c>
      <c r="D713" s="283">
        <v>4</v>
      </c>
    </row>
    <row r="714" spans="1:4" ht="15" customHeight="1">
      <c r="A714" s="275" t="str">
        <f t="shared" ref="A714:A719" si="80">$R$2&amp;".mP"</f>
        <v>ASUES.ES.ZRU10kV.VV8.QF.mP</v>
      </c>
      <c r="B714" s="276">
        <v>7999</v>
      </c>
      <c r="C714" s="276" t="s">
        <v>0</v>
      </c>
      <c r="D714" s="277" t="str">
        <f>"#"&amp;$S$2&amp;"#"&amp;$T$2&amp;"."&amp;$P$2&amp;".P"</f>
        <v>#15#\\SERVER-ASCUER\Relematika.Modbus.OPCDAServer.VV8.P</v>
      </c>
    </row>
    <row r="715" spans="1:4" ht="15" customHeight="1">
      <c r="A715" s="278" t="str">
        <f t="shared" si="80"/>
        <v>ASUES.ES.ZRU10kV.VV8.QF.mP</v>
      </c>
      <c r="B715" s="688">
        <v>7998</v>
      </c>
      <c r="C715" s="688" t="s">
        <v>6</v>
      </c>
      <c r="D715" s="280">
        <v>1</v>
      </c>
    </row>
    <row r="716" spans="1:4" ht="15" customHeight="1">
      <c r="A716" s="278" t="str">
        <f t="shared" si="80"/>
        <v>ASUES.ES.ZRU10kV.VV8.QF.mP</v>
      </c>
      <c r="B716" s="688">
        <v>101</v>
      </c>
      <c r="C716" s="688" t="s">
        <v>0</v>
      </c>
      <c r="D716" s="280" t="s">
        <v>375</v>
      </c>
    </row>
    <row r="717" spans="1:4" ht="15" customHeight="1">
      <c r="A717" s="278" t="str">
        <f t="shared" si="80"/>
        <v>ASUES.ES.ZRU10kV.VV8.QF.mP</v>
      </c>
      <c r="B717" s="688">
        <v>3</v>
      </c>
      <c r="C717" s="688" t="s">
        <v>1</v>
      </c>
      <c r="D717" s="280">
        <v>192</v>
      </c>
    </row>
    <row r="718" spans="1:4" ht="15" customHeight="1">
      <c r="A718" s="278" t="str">
        <f t="shared" si="80"/>
        <v>ASUES.ES.ZRU10kV.VV8.QF.mP</v>
      </c>
      <c r="B718" s="688">
        <v>2</v>
      </c>
      <c r="C718" s="688" t="s">
        <v>80</v>
      </c>
      <c r="D718" s="280">
        <v>0</v>
      </c>
    </row>
    <row r="719" spans="1:4" ht="15" customHeight="1">
      <c r="A719" s="281" t="str">
        <f t="shared" si="80"/>
        <v>ASUES.ES.ZRU10kV.VV8.QF.mP</v>
      </c>
      <c r="B719" s="282">
        <v>1</v>
      </c>
      <c r="C719" s="282" t="s">
        <v>1</v>
      </c>
      <c r="D719" s="283">
        <v>4</v>
      </c>
    </row>
    <row r="720" spans="1:4" ht="15" customHeight="1">
      <c r="A720" s="275" t="str">
        <f t="shared" ref="A720:A725" si="81">$R$2&amp;".mQ"</f>
        <v>ASUES.ES.ZRU10kV.VV8.QF.mQ</v>
      </c>
      <c r="B720" s="276">
        <v>7999</v>
      </c>
      <c r="C720" s="276" t="s">
        <v>0</v>
      </c>
      <c r="D720" s="277" t="str">
        <f>"#"&amp;$S$2&amp;"#"&amp;$T$2&amp;"."&amp;$P$2&amp;".Q"</f>
        <v>#15#\\SERVER-ASCUER\Relematika.Modbus.OPCDAServer.VV8.Q</v>
      </c>
    </row>
    <row r="721" spans="1:4" ht="15" customHeight="1">
      <c r="A721" s="278" t="str">
        <f t="shared" si="81"/>
        <v>ASUES.ES.ZRU10kV.VV8.QF.mQ</v>
      </c>
      <c r="B721" s="688">
        <v>7998</v>
      </c>
      <c r="C721" s="688" t="s">
        <v>6</v>
      </c>
      <c r="D721" s="280">
        <v>1</v>
      </c>
    </row>
    <row r="722" spans="1:4" ht="15" customHeight="1">
      <c r="A722" s="278" t="str">
        <f t="shared" si="81"/>
        <v>ASUES.ES.ZRU10kV.VV8.QF.mQ</v>
      </c>
      <c r="B722" s="688">
        <v>101</v>
      </c>
      <c r="C722" s="688" t="s">
        <v>0</v>
      </c>
      <c r="D722" s="280" t="s">
        <v>376</v>
      </c>
    </row>
    <row r="723" spans="1:4" ht="15" customHeight="1">
      <c r="A723" s="278" t="str">
        <f t="shared" si="81"/>
        <v>ASUES.ES.ZRU10kV.VV8.QF.mQ</v>
      </c>
      <c r="B723" s="688">
        <v>3</v>
      </c>
      <c r="C723" s="688" t="s">
        <v>1</v>
      </c>
      <c r="D723" s="280">
        <v>192</v>
      </c>
    </row>
    <row r="724" spans="1:4" ht="15" customHeight="1">
      <c r="A724" s="278" t="str">
        <f t="shared" si="81"/>
        <v>ASUES.ES.ZRU10kV.VV8.QF.mQ</v>
      </c>
      <c r="B724" s="688">
        <v>2</v>
      </c>
      <c r="C724" s="688" t="s">
        <v>80</v>
      </c>
      <c r="D724" s="280">
        <v>0</v>
      </c>
    </row>
    <row r="725" spans="1:4" ht="15" customHeight="1">
      <c r="A725" s="281" t="str">
        <f t="shared" si="81"/>
        <v>ASUES.ES.ZRU10kV.VV8.QF.mQ</v>
      </c>
      <c r="B725" s="282">
        <v>1</v>
      </c>
      <c r="C725" s="282" t="s">
        <v>1</v>
      </c>
      <c r="D725" s="283">
        <v>4</v>
      </c>
    </row>
    <row r="726" spans="1:4" ht="15" customHeight="1">
      <c r="A726" s="275" t="str">
        <f t="shared" ref="A726:A731" si="82">$R$2&amp;".mS"</f>
        <v>ASUES.ES.ZRU10kV.VV8.QF.mS</v>
      </c>
      <c r="B726" s="276">
        <v>7999</v>
      </c>
      <c r="C726" s="276" t="s">
        <v>0</v>
      </c>
      <c r="D726" s="277" t="str">
        <f>"#"&amp;$S$2&amp;"#"&amp;$T$2&amp;"."&amp;$P$2&amp;".S"</f>
        <v>#15#\\SERVER-ASCUER\Relematika.Modbus.OPCDAServer.VV8.S</v>
      </c>
    </row>
    <row r="727" spans="1:4" ht="15" customHeight="1">
      <c r="A727" s="278" t="str">
        <f t="shared" si="82"/>
        <v>ASUES.ES.ZRU10kV.VV8.QF.mS</v>
      </c>
      <c r="B727" s="688">
        <v>7998</v>
      </c>
      <c r="C727" s="688" t="s">
        <v>6</v>
      </c>
      <c r="D727" s="280">
        <v>1</v>
      </c>
    </row>
    <row r="728" spans="1:4" ht="15" customHeight="1">
      <c r="A728" s="278" t="str">
        <f t="shared" si="82"/>
        <v>ASUES.ES.ZRU10kV.VV8.QF.mS</v>
      </c>
      <c r="B728" s="688">
        <v>101</v>
      </c>
      <c r="C728" s="688" t="s">
        <v>0</v>
      </c>
      <c r="D728" s="280" t="s">
        <v>377</v>
      </c>
    </row>
    <row r="729" spans="1:4" ht="15" customHeight="1">
      <c r="A729" s="278" t="str">
        <f t="shared" si="82"/>
        <v>ASUES.ES.ZRU10kV.VV8.QF.mS</v>
      </c>
      <c r="B729" s="688">
        <v>3</v>
      </c>
      <c r="C729" s="688" t="s">
        <v>1</v>
      </c>
      <c r="D729" s="280">
        <v>192</v>
      </c>
    </row>
    <row r="730" spans="1:4" ht="15" customHeight="1">
      <c r="A730" s="278" t="str">
        <f t="shared" si="82"/>
        <v>ASUES.ES.ZRU10kV.VV8.QF.mS</v>
      </c>
      <c r="B730" s="688">
        <v>2</v>
      </c>
      <c r="C730" s="688" t="s">
        <v>80</v>
      </c>
      <c r="D730" s="280">
        <v>0</v>
      </c>
    </row>
    <row r="731" spans="1:4" ht="15" customHeight="1">
      <c r="A731" s="281" t="str">
        <f t="shared" si="82"/>
        <v>ASUES.ES.ZRU10kV.VV8.QF.mS</v>
      </c>
      <c r="B731" s="282">
        <v>1</v>
      </c>
      <c r="C731" s="282" t="s">
        <v>1</v>
      </c>
      <c r="D731" s="283">
        <v>4</v>
      </c>
    </row>
    <row r="732" spans="1:4" ht="15" customHeight="1">
      <c r="A732" s="275" t="str">
        <f t="shared" ref="A732:A737" si="83">$R$2&amp;".mU13"</f>
        <v>ASUES.ES.ZRU10kV.VV8.QF.mU13</v>
      </c>
      <c r="B732" s="276">
        <v>7999</v>
      </c>
      <c r="C732" s="276" t="s">
        <v>0</v>
      </c>
      <c r="D732" s="277" t="str">
        <f>"#"&amp;$S$2&amp;"#"&amp;$T$2&amp;"."&amp;$P$2&amp;".U13"</f>
        <v>#15#\\SERVER-ASCUER\Relematika.Modbus.OPCDAServer.VV8.U13</v>
      </c>
    </row>
    <row r="733" spans="1:4" ht="15" customHeight="1">
      <c r="A733" s="278" t="str">
        <f t="shared" si="83"/>
        <v>ASUES.ES.ZRU10kV.VV8.QF.mU13</v>
      </c>
      <c r="B733" s="688">
        <v>7998</v>
      </c>
      <c r="C733" s="688" t="s">
        <v>6</v>
      </c>
      <c r="D733" s="280">
        <v>1</v>
      </c>
    </row>
    <row r="734" spans="1:4" ht="15" customHeight="1">
      <c r="A734" s="278" t="str">
        <f t="shared" si="83"/>
        <v>ASUES.ES.ZRU10kV.VV8.QF.mU13</v>
      </c>
      <c r="B734" s="688">
        <v>101</v>
      </c>
      <c r="C734" s="688" t="s">
        <v>0</v>
      </c>
      <c r="D734" s="280" t="s">
        <v>378</v>
      </c>
    </row>
    <row r="735" spans="1:4" ht="15" customHeight="1">
      <c r="A735" s="278" t="str">
        <f t="shared" si="83"/>
        <v>ASUES.ES.ZRU10kV.VV8.QF.mU13</v>
      </c>
      <c r="B735" s="688">
        <v>3</v>
      </c>
      <c r="C735" s="688" t="s">
        <v>1</v>
      </c>
      <c r="D735" s="280">
        <v>192</v>
      </c>
    </row>
    <row r="736" spans="1:4" ht="15" customHeight="1">
      <c r="A736" s="278" t="str">
        <f t="shared" si="83"/>
        <v>ASUES.ES.ZRU10kV.VV8.QF.mU13</v>
      </c>
      <c r="B736" s="688">
        <v>2</v>
      </c>
      <c r="C736" s="688" t="s">
        <v>80</v>
      </c>
      <c r="D736" s="280">
        <v>0</v>
      </c>
    </row>
    <row r="737" spans="1:4" ht="15" customHeight="1">
      <c r="A737" s="281" t="str">
        <f t="shared" si="83"/>
        <v>ASUES.ES.ZRU10kV.VV8.QF.mU13</v>
      </c>
      <c r="B737" s="282">
        <v>1</v>
      </c>
      <c r="C737" s="282" t="s">
        <v>1</v>
      </c>
      <c r="D737" s="283">
        <v>4</v>
      </c>
    </row>
    <row r="738" spans="1:4" ht="15" customHeight="1">
      <c r="A738" s="275" t="str">
        <f t="shared" ref="A738:A743" si="84">$R$2&amp;".mU21"</f>
        <v>ASUES.ES.ZRU10kV.VV8.QF.mU21</v>
      </c>
      <c r="B738" s="276">
        <v>7999</v>
      </c>
      <c r="C738" s="276" t="s">
        <v>0</v>
      </c>
      <c r="D738" s="277" t="str">
        <f>"#"&amp;$S$2&amp;"#"&amp;$T$2&amp;"."&amp;$P$2&amp;".U21"</f>
        <v>#15#\\SERVER-ASCUER\Relematika.Modbus.OPCDAServer.VV8.U21</v>
      </c>
    </row>
    <row r="739" spans="1:4" ht="15" customHeight="1">
      <c r="A739" s="278" t="str">
        <f t="shared" si="84"/>
        <v>ASUES.ES.ZRU10kV.VV8.QF.mU21</v>
      </c>
      <c r="B739" s="688">
        <v>7998</v>
      </c>
      <c r="C739" s="688" t="s">
        <v>6</v>
      </c>
      <c r="D739" s="280">
        <v>1</v>
      </c>
    </row>
    <row r="740" spans="1:4" ht="15" customHeight="1">
      <c r="A740" s="278" t="str">
        <f t="shared" si="84"/>
        <v>ASUES.ES.ZRU10kV.VV8.QF.mU21</v>
      </c>
      <c r="B740" s="688">
        <v>101</v>
      </c>
      <c r="C740" s="688" t="s">
        <v>0</v>
      </c>
      <c r="D740" s="280" t="s">
        <v>379</v>
      </c>
    </row>
    <row r="741" spans="1:4" ht="15" customHeight="1">
      <c r="A741" s="278" t="str">
        <f t="shared" si="84"/>
        <v>ASUES.ES.ZRU10kV.VV8.QF.mU21</v>
      </c>
      <c r="B741" s="688">
        <v>3</v>
      </c>
      <c r="C741" s="688" t="s">
        <v>1</v>
      </c>
      <c r="D741" s="280">
        <v>192</v>
      </c>
    </row>
    <row r="742" spans="1:4" ht="15" customHeight="1">
      <c r="A742" s="278" t="str">
        <f t="shared" si="84"/>
        <v>ASUES.ES.ZRU10kV.VV8.QF.mU21</v>
      </c>
      <c r="B742" s="688">
        <v>2</v>
      </c>
      <c r="C742" s="688" t="s">
        <v>80</v>
      </c>
      <c r="D742" s="280">
        <v>0</v>
      </c>
    </row>
    <row r="743" spans="1:4" ht="15" customHeight="1">
      <c r="A743" s="281" t="str">
        <f t="shared" si="84"/>
        <v>ASUES.ES.ZRU10kV.VV8.QF.mU21</v>
      </c>
      <c r="B743" s="282">
        <v>1</v>
      </c>
      <c r="C743" s="282" t="s">
        <v>1</v>
      </c>
      <c r="D743" s="283">
        <v>4</v>
      </c>
    </row>
    <row r="744" spans="1:4" ht="15" customHeight="1">
      <c r="A744" s="275" t="str">
        <f t="shared" ref="A744:A749" si="85">$R$2&amp;".mU32"</f>
        <v>ASUES.ES.ZRU10kV.VV8.QF.mU32</v>
      </c>
      <c r="B744" s="276">
        <v>7999</v>
      </c>
      <c r="C744" s="276" t="s">
        <v>0</v>
      </c>
      <c r="D744" s="277" t="str">
        <f>"#"&amp;$S$2&amp;"#"&amp;$T$2&amp;"."&amp;$P$2&amp;".U32"</f>
        <v>#15#\\SERVER-ASCUER\Relematika.Modbus.OPCDAServer.VV8.U32</v>
      </c>
    </row>
    <row r="745" spans="1:4" ht="15" customHeight="1">
      <c r="A745" s="278" t="str">
        <f t="shared" si="85"/>
        <v>ASUES.ES.ZRU10kV.VV8.QF.mU32</v>
      </c>
      <c r="B745" s="688">
        <v>7998</v>
      </c>
      <c r="C745" s="688" t="s">
        <v>6</v>
      </c>
      <c r="D745" s="280">
        <v>1</v>
      </c>
    </row>
    <row r="746" spans="1:4" ht="15" customHeight="1">
      <c r="A746" s="278" t="str">
        <f t="shared" si="85"/>
        <v>ASUES.ES.ZRU10kV.VV8.QF.mU32</v>
      </c>
      <c r="B746" s="688">
        <v>101</v>
      </c>
      <c r="C746" s="688" t="s">
        <v>0</v>
      </c>
      <c r="D746" s="280" t="s">
        <v>380</v>
      </c>
    </row>
    <row r="747" spans="1:4" ht="15" customHeight="1">
      <c r="A747" s="278" t="str">
        <f t="shared" si="85"/>
        <v>ASUES.ES.ZRU10kV.VV8.QF.mU32</v>
      </c>
      <c r="B747" s="688">
        <v>3</v>
      </c>
      <c r="C747" s="688" t="s">
        <v>1</v>
      </c>
      <c r="D747" s="280">
        <v>192</v>
      </c>
    </row>
    <row r="748" spans="1:4" ht="15" customHeight="1">
      <c r="A748" s="278" t="str">
        <f t="shared" si="85"/>
        <v>ASUES.ES.ZRU10kV.VV8.QF.mU32</v>
      </c>
      <c r="B748" s="688">
        <v>2</v>
      </c>
      <c r="C748" s="688" t="s">
        <v>80</v>
      </c>
      <c r="D748" s="280">
        <v>0</v>
      </c>
    </row>
    <row r="749" spans="1:4" ht="15" customHeight="1">
      <c r="A749" s="281" t="str">
        <f t="shared" si="85"/>
        <v>ASUES.ES.ZRU10kV.VV8.QF.mU32</v>
      </c>
      <c r="B749" s="282">
        <v>1</v>
      </c>
      <c r="C749" s="282" t="s">
        <v>1</v>
      </c>
      <c r="D749" s="283">
        <v>4</v>
      </c>
    </row>
  </sheetData>
  <mergeCells count="1">
    <mergeCell ref="D19:E19"/>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Лист138">
    <tabColor rgb="FFFFC000"/>
  </sheetPr>
  <dimension ref="A1:BP470"/>
  <sheetViews>
    <sheetView topLeftCell="A7" zoomScale="70" zoomScaleNormal="70" workbookViewId="0">
      <selection activeCell="D2" sqref="D2:D4"/>
    </sheetView>
  </sheetViews>
  <sheetFormatPr defaultRowHeight="14.4"/>
  <cols>
    <col min="1" max="1" width="66.4414062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1" s="258" customFormat="1" ht="204.6" thickBot="1">
      <c r="A1" s="257"/>
      <c r="B1" s="260" t="s">
        <v>84</v>
      </c>
      <c r="C1" s="257"/>
      <c r="D1" s="257"/>
      <c r="E1" s="257"/>
      <c r="F1" s="257"/>
      <c r="P1" s="263" t="str">
        <f>Таблица!D1</f>
        <v>Префикс для TREI
Тэг ОРС для INFINITY</v>
      </c>
      <c r="Q1" s="263" t="str">
        <f>Таблица!E1</f>
        <v>Комментарий для TREI и INFINITY</v>
      </c>
      <c r="R1" s="263" t="str">
        <f>Таблица!F1</f>
        <v>ТЭГ в дереве INFINITY Server</v>
      </c>
      <c r="S1" s="263"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540" t="str">
        <f>Таблица!H1</f>
        <v>OPC путь 
№ маршрута Modbus TCP, Modbus RTU, Modbus over TCP (1-255)
№ КП IEC104 (1-65534)</v>
      </c>
      <c r="U1" s="263" t="str">
        <f>Таблица!I1</f>
        <v>OPC путь</v>
      </c>
      <c r="V1" s="263" t="str">
        <f>Таблица!J1</f>
        <v>Мнемосхема</v>
      </c>
      <c r="W1" s="263"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63"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63" t="str">
        <f>Таблица!M1</f>
        <v>FB_IMt_MON_S, IMt_MON: Только для трансформатора. Цвет нижних обмоток(-ки) при наличии напряжения</v>
      </c>
      <c r="Z1" s="263"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63"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63" t="str">
        <f>Таблица!P1</f>
        <v xml:space="preserve">FB_DI_S, FB_DO_S, DI, DI_DIAG, FB_DO_STB_S: Тип сигнализации (Авария, предупреждение, телесигнализация и тд.)
FB_SHPS_S(SB), FB_BTF_S: Тип сигнализации XFRX
</v>
      </c>
      <c r="AC1" s="263"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63" t="str">
        <f>Таблица!R1</f>
        <v>SEPAM: Тип ячейки (OL,SV,VV,TN)
BMRZ: Тип ячейки (VV,AV)
TOR: Тип ячейки (OL,SV,VV,TN,BK)</v>
      </c>
      <c r="AE1" s="263" t="str">
        <f>Таблица!S1</f>
        <v>Формула для fNoLink.Device</v>
      </c>
      <c r="AF1" s="263">
        <f>Таблица!T1</f>
        <v>0</v>
      </c>
      <c r="AG1" s="263">
        <f>Таблица!U1</f>
        <v>0</v>
      </c>
      <c r="AH1" s="263">
        <f>Таблица!V1</f>
        <v>0</v>
      </c>
      <c r="AI1" s="263">
        <f>Таблица!W1</f>
        <v>0</v>
      </c>
      <c r="AJ1" s="263">
        <f>Таблица!X1</f>
        <v>0</v>
      </c>
      <c r="AK1" s="541" t="str">
        <f>Таблица!Y1</f>
        <v>FB_AI_S, FB_DI_S, FB_QSA_S, FB_DO_S, FB_SHPS_S, FB_SHOP_S, FB_BTF_S: IVXX
FB_KL_UPT_S: ISON
SW_S301, SW_MES3508: Подключение к порту 1
SW_MAYAK: Подключение к порту 1,2 (через "\")
DI_DIAG, DO_DIAG: XVLX</v>
      </c>
      <c r="AL1" s="541"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541"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541" t="str">
        <f>Таблица!AB1</f>
        <v>FB_IMstp_S, FB_IMsp_S, FB_IMs_S, FB_REG_S, FB_IM_ADES_S : ILCX
SW_S301: Подключение к порту 4
SW_MAYAK, SW_MES3508: Подключение к порту 7,8 (через "\")</v>
      </c>
      <c r="AO1" s="542" t="str">
        <f>Таблица!AC1</f>
        <v xml:space="preserve">FB_IMstp_S, FB_IMsp_S, FB_IMs_S, FB_IMp_S, FB_IMv_S, FB_REG_S, FB_IM_ADES_S, FB_DO_S : IRCX
SW_S301, SW_MES3508: Подключение к порту 5
SW_MAYAK: Подключение к порту 9,10 (через "\")
</v>
      </c>
      <c r="AP1" s="542"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542"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542" t="str">
        <f>Таблица!AF1</f>
        <v xml:space="preserve">FB_IMstp_S, FB_IMsp_S, FB_IMs_S, FB_IMp_S, FB_IMv_S, FB_IM_ADES_S, FB_OZK_KD_S, FB_DO_S: OXOF
SW_S301, SW_MES3508: Подключение к порту 8
SW_MAYAK: Подключение к порту 15,16 (через "\")
</v>
      </c>
      <c r="AS1" s="542" t="str">
        <f>Таблица!AG1</f>
        <v xml:space="preserve">FB_IM_ADES_S, FB_IMp_S, FB_IMv_S: OXSP
FB_IMstp_S, FB_IMsp_S, FB_IMsp_MON_S: IPTC
SW_S301, SW_MES3508: Подключение к порту 9
SW_MAYAK: Подключение к порту 17,18 (через "\")
</v>
      </c>
      <c r="AT1" s="542" t="str">
        <f>Таблица!AH1</f>
        <v xml:space="preserve">FB_IMstp_S, FB_IMst_MON_S, FB_IMt_MON_S: ITON
FB_IM_ADES_S: IOLD
SW_S301, SW_MES3508: Подключение к порту 10
SW_MAYAK: Подключение к порту 19,20 (через "\")
</v>
      </c>
      <c r="AU1" s="542" t="str">
        <f>Таблица!AI1</f>
        <v>FB_IMstp_S, FB_IMst_MON_S, FB_IMt_MON_S: ITOF
FB_IM_ADES_S: IRAD
SW_MAYAK: Подключение к порту 21,22 (через "\")</v>
      </c>
      <c r="AV1" s="542" t="str">
        <f>Таблица!AJ1</f>
        <v xml:space="preserve">FB_IMstp_S, FB_IMsp_S, FB_IMsp_MON_S, FB_IM_ADES_S: IPTO
SW_MAYAK: Подключение к порту 23,24 (через "\")
</v>
      </c>
      <c r="AW1" s="261"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61" t="str">
        <f>Таблица!AL1</f>
        <v>Для TREI
FB_IMstp_S, FB_IMs_S, FB_IMp_S, FB_IMv_S, FB_IM_ADES_S: Настройка перехода ручной-/автоматический-(TRUE/FALSE) 
FB_DI_S: Генерировать метки времени (TRUE/FALSE)</v>
      </c>
      <c r="AY1" s="261"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61" t="str">
        <f>Таблица!AN1</f>
        <v>Для TREI
FB_AI_S, FB_QSA_S: Верхний предел датчика
FB_IMp_S, FB_IMv_S, FB_IM_ADES_S, FB_OZK_KD_S: Время перестановки</v>
      </c>
      <c r="BA1" s="261"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F1" s="259"/>
      <c r="BG1" s="259"/>
      <c r="BH1" s="259"/>
      <c r="BI1" s="259"/>
    </row>
    <row r="2" spans="1:61" ht="15" customHeight="1">
      <c r="A2" s="9"/>
      <c r="B2" s="9"/>
      <c r="C2" s="9"/>
      <c r="D2" s="9"/>
      <c r="E2" s="9"/>
      <c r="F2" s="9"/>
      <c r="P2" s="2" t="s">
        <v>1564</v>
      </c>
      <c r="Q2" s="2" t="s">
        <v>1565</v>
      </c>
      <c r="R2" s="2" t="s">
        <v>1566</v>
      </c>
      <c r="S2" s="3">
        <v>15</v>
      </c>
      <c r="T2" s="3" t="s">
        <v>1539</v>
      </c>
      <c r="U2" s="3" t="s">
        <v>1556</v>
      </c>
      <c r="V2" s="3" t="s">
        <v>1540</v>
      </c>
      <c r="W2" s="12"/>
      <c r="X2" s="12"/>
      <c r="Y2" s="12"/>
      <c r="Z2" s="12"/>
      <c r="AA2" s="12"/>
      <c r="AB2" s="2"/>
      <c r="AC2" s="2"/>
      <c r="AD2" s="2" t="s">
        <v>1476</v>
      </c>
      <c r="AE2" s="2" t="s">
        <v>1541</v>
      </c>
      <c r="AF2" s="2"/>
      <c r="AG2" s="2"/>
      <c r="AH2" s="2"/>
      <c r="AI2" s="2"/>
      <c r="AJ2" s="2"/>
      <c r="AK2" s="2"/>
      <c r="AL2" s="2"/>
      <c r="AM2" s="2"/>
      <c r="AN2" s="2"/>
      <c r="AO2" s="2"/>
      <c r="AP2" s="2"/>
      <c r="AQ2" s="2"/>
      <c r="AR2" s="2"/>
      <c r="AS2" s="2"/>
      <c r="AT2" s="2"/>
      <c r="AU2" s="2"/>
      <c r="AV2" s="2"/>
      <c r="AW2" s="2"/>
      <c r="AX2" s="2"/>
      <c r="AY2" s="2"/>
      <c r="AZ2" s="2"/>
      <c r="BA2" s="2"/>
      <c r="BF2" s="4"/>
      <c r="BG2" s="4"/>
      <c r="BH2" s="4"/>
      <c r="BI2" s="4"/>
    </row>
    <row r="3" spans="1:61" ht="15" customHeight="1">
      <c r="A3" s="9"/>
      <c r="B3" s="9"/>
      <c r="C3" s="9"/>
      <c r="D3" s="9"/>
      <c r="E3" s="9"/>
      <c r="F3" s="9"/>
      <c r="P3" s="10"/>
      <c r="Q3" s="10"/>
      <c r="R3" s="10"/>
      <c r="S3" s="10"/>
      <c r="T3" s="10"/>
      <c r="U3" s="10"/>
      <c r="V3" s="10"/>
      <c r="W3" s="10"/>
      <c r="X3" s="10"/>
      <c r="Y3" s="10"/>
      <c r="Z3" s="10"/>
      <c r="AA3" s="10"/>
      <c r="BF3" s="4"/>
      <c r="BG3" s="4"/>
      <c r="BH3" s="4"/>
      <c r="BI3" s="4"/>
    </row>
    <row r="4" spans="1:61"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609"/>
      <c r="V4" s="10"/>
      <c r="W4" s="10"/>
      <c r="X4" s="10"/>
      <c r="Y4" s="10"/>
      <c r="Z4" s="10"/>
      <c r="AA4" s="10"/>
      <c r="BF4" s="4"/>
      <c r="BG4" s="4"/>
      <c r="BH4" s="4"/>
      <c r="BI4" s="4"/>
    </row>
    <row r="5" spans="1:61" ht="15" customHeight="1">
      <c r="A5" s="9"/>
      <c r="B5" s="9"/>
      <c r="C5" s="9"/>
      <c r="D5" s="9"/>
      <c r="E5" s="9"/>
      <c r="F5" s="9"/>
      <c r="P5" s="6" t="str">
        <f>Настройки!A2</f>
        <v>Авария</v>
      </c>
      <c r="Q5" s="5">
        <f>Настройки!B2</f>
        <v>4</v>
      </c>
      <c r="R5" s="543" t="str">
        <f>Настройки!C2</f>
        <v>Авария</v>
      </c>
      <c r="S5" s="10"/>
      <c r="T5" s="458">
        <f>Настройки!M12</f>
        <v>1</v>
      </c>
      <c r="U5" s="610"/>
      <c r="V5" s="10"/>
      <c r="W5" s="10"/>
      <c r="X5" s="10"/>
      <c r="Y5" s="10"/>
      <c r="Z5" s="10"/>
      <c r="AA5" s="10"/>
      <c r="BF5" s="4"/>
      <c r="BG5" s="4"/>
      <c r="BH5" s="4"/>
      <c r="BI5" s="4"/>
    </row>
    <row r="6" spans="1:61" ht="15" customHeight="1">
      <c r="A6" s="9"/>
      <c r="B6" s="9"/>
      <c r="C6" s="9"/>
      <c r="D6" s="9"/>
      <c r="E6" s="9"/>
      <c r="F6" s="9"/>
      <c r="P6" s="6" t="str">
        <f>Настройки!A3</f>
        <v>Предупреждение</v>
      </c>
      <c r="Q6" s="5">
        <f>Настройки!B3</f>
        <v>8</v>
      </c>
      <c r="R6" s="543" t="str">
        <f>Настройки!C3</f>
        <v>Предупреждение</v>
      </c>
      <c r="S6" s="10"/>
      <c r="T6" s="608" t="str">
        <f>Настройки!$M$7</f>
        <v>Отображение Таблицы подлючений в диаг.</v>
      </c>
      <c r="U6" s="10"/>
      <c r="V6" s="10"/>
      <c r="W6" s="10"/>
      <c r="X6" s="10"/>
      <c r="Y6" s="10"/>
      <c r="Z6" s="10"/>
      <c r="AA6" s="10"/>
      <c r="BF6" s="4"/>
      <c r="BG6" s="4"/>
      <c r="BH6" s="4"/>
      <c r="BI6" s="4"/>
    </row>
    <row r="7" spans="1:61" ht="15" customHeight="1">
      <c r="A7" s="9"/>
      <c r="B7" s="9"/>
      <c r="C7" s="9"/>
      <c r="D7" s="9"/>
      <c r="E7" s="9"/>
      <c r="F7" s="9"/>
      <c r="P7" s="6" t="str">
        <f>Настройки!A4</f>
        <v>Неисправность</v>
      </c>
      <c r="Q7" s="5">
        <f>Настройки!B4</f>
        <v>12</v>
      </c>
      <c r="R7" s="543" t="str">
        <f>Настройки!C4</f>
        <v>Неисправность</v>
      </c>
      <c r="S7" s="10"/>
      <c r="T7" s="458" t="b">
        <f>Настройки!$M$8</f>
        <v>0</v>
      </c>
      <c r="U7" s="10"/>
      <c r="V7" s="10"/>
      <c r="W7" s="10"/>
      <c r="X7" s="10"/>
      <c r="Y7" s="10"/>
      <c r="Z7" s="10"/>
      <c r="AA7" s="10"/>
      <c r="BF7" s="4"/>
      <c r="BG7" s="4"/>
      <c r="BH7" s="4"/>
      <c r="BI7" s="4"/>
    </row>
    <row r="8" spans="1:61" ht="15" customHeight="1">
      <c r="A8" s="9"/>
      <c r="B8" s="9"/>
      <c r="C8" s="9"/>
      <c r="D8" s="9"/>
      <c r="E8" s="9"/>
      <c r="F8" s="9"/>
      <c r="P8" s="6" t="str">
        <f>Настройки!A5</f>
        <v>Телесигнализация</v>
      </c>
      <c r="Q8" s="5">
        <f>Настройки!B5</f>
        <v>18</v>
      </c>
      <c r="R8" s="543" t="str">
        <f>Настройки!C5</f>
        <v>Телесигнализация</v>
      </c>
      <c r="S8" s="10"/>
      <c r="T8" s="10"/>
      <c r="U8" s="10"/>
      <c r="V8" s="10"/>
      <c r="W8" s="10"/>
      <c r="X8" s="10"/>
      <c r="Y8" s="10"/>
      <c r="Z8" s="10"/>
      <c r="AA8" s="10"/>
      <c r="BF8" s="4"/>
      <c r="BG8" s="4"/>
      <c r="BH8" s="4"/>
      <c r="BI8" s="4"/>
    </row>
    <row r="9" spans="1:61" ht="15" customHeight="1">
      <c r="A9" s="9"/>
      <c r="B9" s="9"/>
      <c r="C9" s="9"/>
      <c r="D9" s="9"/>
      <c r="E9" s="9"/>
      <c r="F9" s="9"/>
      <c r="P9" s="6" t="str">
        <f>Настройки!A6</f>
        <v>Недостоверность</v>
      </c>
      <c r="Q9" s="5">
        <f>Настройки!B6</f>
        <v>10</v>
      </c>
      <c r="R9" s="543" t="str">
        <f>Настройки!C6</f>
        <v>Недостоверность</v>
      </c>
      <c r="S9" s="10"/>
      <c r="T9" s="10"/>
      <c r="U9" s="10"/>
      <c r="V9" s="10"/>
      <c r="W9" s="10"/>
      <c r="X9" s="10"/>
      <c r="Y9" s="10"/>
      <c r="Z9" s="10"/>
      <c r="AA9" s="10"/>
      <c r="BF9" s="4"/>
      <c r="BG9" s="4"/>
      <c r="BH9" s="4"/>
      <c r="BI9" s="4"/>
    </row>
    <row r="10" spans="1:61" ht="15" customHeight="1">
      <c r="A10" s="9"/>
      <c r="B10" s="9"/>
      <c r="C10" s="9"/>
      <c r="D10" s="9"/>
      <c r="E10" s="9"/>
      <c r="F10" s="9"/>
      <c r="P10" s="6" t="str">
        <f>Настройки!A7</f>
        <v>Имитация</v>
      </c>
      <c r="Q10" s="5">
        <f>Настройки!B7</f>
        <v>16</v>
      </c>
      <c r="R10" s="543" t="str">
        <f>Настройки!C7</f>
        <v>Имитация</v>
      </c>
      <c r="S10" s="10"/>
      <c r="T10" s="10"/>
      <c r="U10" s="10"/>
      <c r="V10" s="10"/>
      <c r="W10" s="10"/>
      <c r="X10" s="10"/>
      <c r="Y10" s="10"/>
      <c r="Z10" s="10"/>
      <c r="AA10" s="10"/>
      <c r="BF10" s="4"/>
      <c r="BG10" s="4"/>
      <c r="BH10" s="4"/>
      <c r="BI10" s="4"/>
    </row>
    <row r="11" spans="1:61" ht="15" customHeight="1">
      <c r="A11" s="9"/>
      <c r="B11" s="9"/>
      <c r="C11" s="9"/>
      <c r="D11" s="9"/>
      <c r="E11" s="9"/>
      <c r="F11" s="9"/>
      <c r="P11" s="6" t="str">
        <f>Настройки!A8</f>
        <v>Ремонт</v>
      </c>
      <c r="Q11" s="5">
        <f>Настройки!B8</f>
        <v>14</v>
      </c>
      <c r="R11" s="543" t="str">
        <f>Настройки!C8</f>
        <v>Ремонт</v>
      </c>
      <c r="S11" s="10"/>
      <c r="T11" s="10"/>
      <c r="U11" s="10"/>
      <c r="V11" s="10"/>
      <c r="W11" s="10"/>
      <c r="X11" s="10"/>
      <c r="Y11" s="10"/>
      <c r="Z11" s="10"/>
      <c r="AA11" s="10"/>
      <c r="BF11" s="4"/>
      <c r="BG11" s="4"/>
      <c r="BH11" s="4"/>
      <c r="BI11" s="4"/>
    </row>
    <row r="12" spans="1:61" ht="15" customHeight="1">
      <c r="A12" s="9"/>
      <c r="B12" s="9"/>
      <c r="C12" s="9"/>
      <c r="D12" s="9"/>
      <c r="E12" s="9"/>
      <c r="F12" s="9"/>
      <c r="P12" s="6" t="str">
        <f>Настройки!A9</f>
        <v>Команда оператора</v>
      </c>
      <c r="Q12" s="5">
        <f>Настройки!B9</f>
        <v>20</v>
      </c>
      <c r="R12" s="543" t="str">
        <f>Настройки!C9</f>
        <v>Команда оператора</v>
      </c>
      <c r="S12" s="10"/>
      <c r="T12" s="10"/>
      <c r="U12" s="10"/>
      <c r="V12" s="10"/>
      <c r="W12" s="10"/>
      <c r="X12" s="10"/>
      <c r="Y12" s="10"/>
      <c r="Z12" s="10"/>
      <c r="AA12" s="10"/>
      <c r="BF12" s="4"/>
      <c r="BG12" s="4"/>
      <c r="BH12" s="4"/>
      <c r="BI12" s="4"/>
    </row>
    <row r="13" spans="1:61"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F13" s="4"/>
      <c r="BG13" s="4"/>
      <c r="BH13" s="4"/>
      <c r="BI13" s="4"/>
    </row>
    <row r="14" spans="1:61"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F14" s="4"/>
      <c r="BG14" s="4"/>
      <c r="BH14" s="4"/>
      <c r="BI14" s="4"/>
    </row>
    <row r="15" spans="1:61"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F15" s="4"/>
      <c r="BG15" s="4"/>
      <c r="BH15" s="4"/>
      <c r="BI15" s="4"/>
    </row>
    <row r="16" spans="1:61"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F16" s="4"/>
      <c r="BG16" s="4"/>
      <c r="BH16" s="4"/>
      <c r="BI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F17" s="4"/>
      <c r="BG17" s="4"/>
      <c r="BH17" s="4"/>
      <c r="BI17" s="4"/>
    </row>
    <row r="18" spans="1:68" ht="15" customHeight="1" thickBo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F18" s="4"/>
      <c r="BG18" s="4"/>
      <c r="BH18" s="4"/>
      <c r="BI18" s="4"/>
    </row>
    <row r="19" spans="1:68" ht="15" customHeight="1" thickBot="1">
      <c r="A19" s="9"/>
      <c r="B19" s="9"/>
      <c r="C19" s="9"/>
      <c r="D19" s="783" t="s">
        <v>1682</v>
      </c>
      <c r="E19" s="782"/>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F19" s="4"/>
      <c r="BG19" s="4"/>
      <c r="BH19" s="4"/>
      <c r="BI19" s="4"/>
    </row>
    <row r="20" spans="1:68" ht="15" customHeight="1">
      <c r="A20" s="23" t="str">
        <f>$R$2</f>
        <v>ASUES.ES.ZRU10kV.SHTN10.TEL</v>
      </c>
      <c r="B20" s="24">
        <v>100</v>
      </c>
      <c r="C20" s="24" t="s">
        <v>0</v>
      </c>
      <c r="D20" s="25" t="b">
        <f>$T$7</f>
        <v>0</v>
      </c>
      <c r="BM20" s="4"/>
      <c r="BN20" s="4"/>
      <c r="BO20" s="4"/>
      <c r="BP20" s="4"/>
    </row>
    <row r="21" spans="1:68" ht="15" customHeight="1">
      <c r="A21" s="29" t="str">
        <f>$R$2</f>
        <v>ASUES.ES.ZRU10kV.SHTN10.TEL</v>
      </c>
      <c r="B21">
        <v>11127</v>
      </c>
      <c r="C21" t="s">
        <v>0</v>
      </c>
      <c r="D21" s="30">
        <f>$AK$2</f>
        <v>0</v>
      </c>
      <c r="BM21" s="4"/>
      <c r="BN21" s="4"/>
      <c r="BO21" s="4"/>
      <c r="BP21" s="4"/>
    </row>
    <row r="22" spans="1:68" ht="15" customHeight="1">
      <c r="A22" s="23" t="str">
        <f t="shared" ref="A22:A27" si="0">$R$2</f>
        <v>ASUES.ES.ZRU10kV.SHTN10.TEL</v>
      </c>
      <c r="B22" s="24">
        <v>203</v>
      </c>
      <c r="C22" s="24" t="s">
        <v>2</v>
      </c>
      <c r="D22" s="25" t="s">
        <v>3</v>
      </c>
    </row>
    <row r="23" spans="1:68">
      <c r="A23" s="29" t="str">
        <f>$R$2</f>
        <v>ASUES.ES.ZRU10kV.SHTN10.TEL</v>
      </c>
      <c r="B23" s="1">
        <v>7011</v>
      </c>
      <c r="C23" s="1" t="s">
        <v>2</v>
      </c>
      <c r="D23" s="30" t="s">
        <v>266</v>
      </c>
    </row>
    <row r="24" spans="1:68" ht="15" customHeight="1">
      <c r="A24" s="29" t="str">
        <f t="shared" si="0"/>
        <v>ASUES.ES.ZRU10kV.SHTN10.TEL</v>
      </c>
      <c r="B24">
        <v>9218</v>
      </c>
      <c r="C24" t="s">
        <v>2</v>
      </c>
      <c r="D24" s="30" t="s">
        <v>3</v>
      </c>
    </row>
    <row r="25" spans="1:68" ht="15" customHeight="1">
      <c r="A25" s="29" t="str">
        <f t="shared" si="0"/>
        <v>ASUES.ES.ZRU10kV.SHTN10.TEL</v>
      </c>
      <c r="B25">
        <v>3000203</v>
      </c>
      <c r="C25" t="s">
        <v>0</v>
      </c>
      <c r="D25" s="30" t="str">
        <f>$AE$2</f>
        <v>DIAG.PING.USO_E2.Comm_1.noLink &amp; DIAG.PING.USO_E2.Comm_3.noLink</v>
      </c>
      <c r="BF25" s="4"/>
      <c r="BG25" s="4"/>
      <c r="BH25" s="4"/>
      <c r="BI25" s="4"/>
    </row>
    <row r="26" spans="1:68" ht="15" customHeight="1">
      <c r="A26" s="29" t="str">
        <f t="shared" si="0"/>
        <v>ASUES.ES.ZRU10kV.SHTN10.TEL</v>
      </c>
      <c r="B26">
        <v>4000203</v>
      </c>
      <c r="C26" t="s">
        <v>0</v>
      </c>
      <c r="D26" s="30" t="s">
        <v>1775</v>
      </c>
      <c r="BF26" s="4"/>
      <c r="BG26" s="4"/>
      <c r="BH26" s="4"/>
      <c r="BI26" s="4"/>
    </row>
    <row r="27" spans="1:68" ht="15" customHeight="1">
      <c r="A27" s="26" t="str">
        <f t="shared" si="0"/>
        <v>ASUES.ES.ZRU10kV.SHTN10.TEL</v>
      </c>
      <c r="B27" s="27">
        <v>7000203</v>
      </c>
      <c r="C27" s="27" t="s">
        <v>6</v>
      </c>
      <c r="D27" s="28">
        <v>2</v>
      </c>
      <c r="BF27" s="4"/>
      <c r="BG27" s="4"/>
      <c r="BH27" s="4"/>
      <c r="BI27" s="4"/>
    </row>
    <row r="28" spans="1:68" ht="15" customHeight="1">
      <c r="A28" s="23" t="str">
        <f>$R$2&amp;".Commands"</f>
        <v>ASUES.ES.ZRU10kV.SHTN10.TEL.Commands</v>
      </c>
      <c r="B28" s="24">
        <v>1</v>
      </c>
      <c r="C28" s="24" t="s">
        <v>1</v>
      </c>
      <c r="D28" s="25">
        <v>17</v>
      </c>
      <c r="BF28" s="4"/>
      <c r="BG28" s="4"/>
      <c r="BH28" s="4"/>
      <c r="BI28" s="4"/>
    </row>
    <row r="29" spans="1:68">
      <c r="A29" s="29" t="str">
        <f>$R$2&amp;".Commands"</f>
        <v>ASUES.ES.ZRU10kV.SHTN10.TEL.Commands</v>
      </c>
      <c r="B29" s="1">
        <v>7011</v>
      </c>
      <c r="C29" s="1" t="s">
        <v>2</v>
      </c>
      <c r="D29" s="30" t="s">
        <v>266</v>
      </c>
    </row>
    <row r="30" spans="1:68" ht="15" customHeight="1">
      <c r="A30" s="29" t="str">
        <f>$R$2&amp;".Commands"</f>
        <v>ASUES.ES.ZRU10kV.SHTN10.TEL.Commands</v>
      </c>
      <c r="B30">
        <v>9213</v>
      </c>
      <c r="C30" s="11" t="s">
        <v>2583</v>
      </c>
      <c r="D30" s="30">
        <v>2</v>
      </c>
      <c r="BF30" s="4"/>
      <c r="BG30" s="4"/>
      <c r="BH30" s="4"/>
      <c r="BI30" s="4"/>
    </row>
    <row r="31" spans="1:68" ht="15" customHeight="1">
      <c r="A31" s="29" t="str">
        <f>$R$2&amp;".Commands"</f>
        <v>ASUES.ES.ZRU10kV.SHTN10.TEL.Commands</v>
      </c>
      <c r="B31">
        <v>9214</v>
      </c>
      <c r="C31" t="s">
        <v>2</v>
      </c>
      <c r="D31" s="30" t="s">
        <v>3</v>
      </c>
      <c r="BF31" s="4"/>
      <c r="BG31" s="4"/>
      <c r="BH31" s="4"/>
      <c r="BI31" s="4"/>
    </row>
    <row r="32" spans="1:68" ht="15" customHeight="1">
      <c r="A32" s="29" t="str">
        <f t="shared" ref="A32:A34" si="1">$R$2&amp;".Commands"</f>
        <v>ASUES.ES.ZRU10kV.SHTN10.TEL.Commands</v>
      </c>
      <c r="B32">
        <v>9215</v>
      </c>
      <c r="C32" t="s">
        <v>2</v>
      </c>
      <c r="D32" s="30" t="s">
        <v>3</v>
      </c>
      <c r="BF32" s="4"/>
      <c r="BG32" s="4"/>
      <c r="BH32" s="4"/>
      <c r="BI32" s="4"/>
    </row>
    <row r="33" spans="1:61" ht="15" customHeight="1">
      <c r="A33" s="29" t="str">
        <f t="shared" si="1"/>
        <v>ASUES.ES.ZRU10kV.SHTN10.TEL.Commands</v>
      </c>
      <c r="B33">
        <v>9216</v>
      </c>
      <c r="C33" t="s">
        <v>2</v>
      </c>
      <c r="D33" s="30" t="s">
        <v>3</v>
      </c>
      <c r="BF33" s="4"/>
      <c r="BG33" s="4"/>
      <c r="BH33" s="4"/>
      <c r="BI33" s="4"/>
    </row>
    <row r="34" spans="1:61" ht="15" customHeight="1">
      <c r="A34" s="26" t="str">
        <f t="shared" si="1"/>
        <v>ASUES.ES.ZRU10kV.SHTN10.TEL.Commands</v>
      </c>
      <c r="B34" s="27">
        <v>9217</v>
      </c>
      <c r="C34" s="27" t="s">
        <v>2</v>
      </c>
      <c r="D34" s="28" t="s">
        <v>3</v>
      </c>
      <c r="BF34" s="4"/>
      <c r="BG34" s="4"/>
      <c r="BH34" s="4"/>
      <c r="BI34" s="4"/>
    </row>
    <row r="35" spans="1:61" ht="15" customHeight="1">
      <c r="A35" s="148" t="str">
        <f t="shared" ref="A35:A44" si="2">$R$2&amp;".aACHR1"</f>
        <v>ASUES.ES.ZRU10kV.SHTN10.TEL.aACHR1</v>
      </c>
      <c r="B35" s="683">
        <v>11154</v>
      </c>
      <c r="C35" s="683" t="s">
        <v>4</v>
      </c>
      <c r="D35" s="535">
        <f>$Q$5</f>
        <v>4</v>
      </c>
    </row>
    <row r="36" spans="1:61" ht="15" customHeight="1">
      <c r="A36" s="148" t="str">
        <f t="shared" si="2"/>
        <v>ASUES.ES.ZRU10kV.SHTN10.TEL.aACHR1</v>
      </c>
      <c r="B36" s="683">
        <v>11150</v>
      </c>
      <c r="C36" s="683" t="s">
        <v>0</v>
      </c>
      <c r="D36" s="125" t="s">
        <v>1567</v>
      </c>
    </row>
    <row r="37" spans="1:61" ht="15" customHeight="1">
      <c r="A37" s="148" t="str">
        <f t="shared" si="2"/>
        <v>ASUES.ES.ZRU10kV.SHTN10.TEL.aACHR1</v>
      </c>
      <c r="B37" s="683">
        <v>11152</v>
      </c>
      <c r="C37" s="683" t="s">
        <v>0</v>
      </c>
      <c r="D37" s="125" t="str">
        <f>$R$5</f>
        <v>Авария</v>
      </c>
    </row>
    <row r="38" spans="1:61" ht="15" customHeight="1">
      <c r="A38" s="148" t="str">
        <f t="shared" si="2"/>
        <v>ASUES.ES.ZRU10kV.SHTN10.TEL.aACHR1</v>
      </c>
      <c r="B38" s="683">
        <v>11000</v>
      </c>
      <c r="C38" s="683" t="s">
        <v>5</v>
      </c>
      <c r="D38" s="125">
        <v>2147483680</v>
      </c>
    </row>
    <row r="39" spans="1:61" ht="15" customHeight="1">
      <c r="A39" s="29" t="str">
        <f t="shared" si="2"/>
        <v>ASUES.ES.ZRU10kV.SHTN10.TEL.aACHR1</v>
      </c>
      <c r="B39">
        <v>7999</v>
      </c>
      <c r="C39" t="s">
        <v>0</v>
      </c>
      <c r="D39" s="30" t="str">
        <f>"#"&amp;$S$2&amp;"#"&amp;$T$2&amp;"."&amp;$P$2&amp;".TS129_144_TS131"</f>
        <v>#15#\\SERVER-ASCUER\Relematika.Modbus.OPCDAServer.SHTN10.TS129_144_TS131</v>
      </c>
    </row>
    <row r="40" spans="1:61" ht="15" customHeight="1">
      <c r="A40" s="29" t="str">
        <f t="shared" si="2"/>
        <v>ASUES.ES.ZRU10kV.SHTN10.TEL.aACHR1</v>
      </c>
      <c r="B40">
        <v>7998</v>
      </c>
      <c r="C40" t="s">
        <v>6</v>
      </c>
      <c r="D40" s="30">
        <v>1</v>
      </c>
    </row>
    <row r="41" spans="1:61" ht="15" customHeight="1">
      <c r="A41" s="29" t="str">
        <f t="shared" si="2"/>
        <v>ASUES.ES.ZRU10kV.SHTN10.TEL.aACHR1</v>
      </c>
      <c r="B41">
        <v>101</v>
      </c>
      <c r="C41" t="s">
        <v>0</v>
      </c>
      <c r="D41" s="30" t="s">
        <v>1567</v>
      </c>
    </row>
    <row r="42" spans="1:61" ht="15" customHeight="1">
      <c r="A42" s="29" t="str">
        <f t="shared" si="2"/>
        <v>ASUES.ES.ZRU10kV.SHTN10.TEL.aACHR1</v>
      </c>
      <c r="B42">
        <v>3</v>
      </c>
      <c r="C42" t="s">
        <v>1</v>
      </c>
      <c r="D42" s="30">
        <v>192</v>
      </c>
    </row>
    <row r="43" spans="1:61" ht="15" customHeight="1">
      <c r="A43" s="29" t="str">
        <f t="shared" si="2"/>
        <v>ASUES.ES.ZRU10kV.SHTN10.TEL.aACHR1</v>
      </c>
      <c r="B43">
        <v>2</v>
      </c>
      <c r="C43" t="s">
        <v>2</v>
      </c>
      <c r="D43" s="30" t="s">
        <v>175</v>
      </c>
    </row>
    <row r="44" spans="1:61" ht="15" customHeight="1">
      <c r="A44" s="26" t="str">
        <f t="shared" si="2"/>
        <v>ASUES.ES.ZRU10kV.SHTN10.TEL.aACHR1</v>
      </c>
      <c r="B44" s="27">
        <v>1</v>
      </c>
      <c r="C44" s="27" t="s">
        <v>1</v>
      </c>
      <c r="D44" s="28">
        <v>11</v>
      </c>
    </row>
    <row r="45" spans="1:61" ht="15" customHeight="1">
      <c r="A45" s="148" t="str">
        <f t="shared" ref="A45:A54" si="3">$R$2&amp;".aACHR2"</f>
        <v>ASUES.ES.ZRU10kV.SHTN10.TEL.aACHR2</v>
      </c>
      <c r="B45" s="683">
        <v>11154</v>
      </c>
      <c r="C45" s="683" t="s">
        <v>4</v>
      </c>
      <c r="D45" s="535">
        <f>$Q$5</f>
        <v>4</v>
      </c>
    </row>
    <row r="46" spans="1:61" ht="15" customHeight="1">
      <c r="A46" s="148" t="str">
        <f t="shared" si="3"/>
        <v>ASUES.ES.ZRU10kV.SHTN10.TEL.aACHR2</v>
      </c>
      <c r="B46" s="683">
        <v>11150</v>
      </c>
      <c r="C46" s="683" t="s">
        <v>0</v>
      </c>
      <c r="D46" s="125" t="s">
        <v>1568</v>
      </c>
    </row>
    <row r="47" spans="1:61" ht="15" customHeight="1">
      <c r="A47" s="148" t="str">
        <f t="shared" si="3"/>
        <v>ASUES.ES.ZRU10kV.SHTN10.TEL.aACHR2</v>
      </c>
      <c r="B47" s="683">
        <v>11152</v>
      </c>
      <c r="C47" s="683" t="s">
        <v>0</v>
      </c>
      <c r="D47" s="125" t="str">
        <f>$R$5</f>
        <v>Авария</v>
      </c>
    </row>
    <row r="48" spans="1:61" ht="15" customHeight="1">
      <c r="A48" s="148" t="str">
        <f t="shared" si="3"/>
        <v>ASUES.ES.ZRU10kV.SHTN10.TEL.aACHR2</v>
      </c>
      <c r="B48" s="683">
        <v>11000</v>
      </c>
      <c r="C48" s="683" t="s">
        <v>5</v>
      </c>
      <c r="D48" s="125">
        <v>2147483680</v>
      </c>
    </row>
    <row r="49" spans="1:4" ht="15" customHeight="1">
      <c r="A49" s="29" t="str">
        <f t="shared" si="3"/>
        <v>ASUES.ES.ZRU10kV.SHTN10.TEL.aACHR2</v>
      </c>
      <c r="B49">
        <v>7999</v>
      </c>
      <c r="C49" t="s">
        <v>0</v>
      </c>
      <c r="D49" s="30" t="str">
        <f>"#"&amp;$S$2&amp;"#"&amp;$T$2&amp;"."&amp;$P$2&amp;".TS129_144_TS132"</f>
        <v>#15#\\SERVER-ASCUER\Relematika.Modbus.OPCDAServer.SHTN10.TS129_144_TS132</v>
      </c>
    </row>
    <row r="50" spans="1:4" ht="15" customHeight="1">
      <c r="A50" s="29" t="str">
        <f t="shared" si="3"/>
        <v>ASUES.ES.ZRU10kV.SHTN10.TEL.aACHR2</v>
      </c>
      <c r="B50">
        <v>7998</v>
      </c>
      <c r="C50" t="s">
        <v>6</v>
      </c>
      <c r="D50" s="30">
        <v>1</v>
      </c>
    </row>
    <row r="51" spans="1:4" ht="15" customHeight="1">
      <c r="A51" s="29" t="str">
        <f t="shared" si="3"/>
        <v>ASUES.ES.ZRU10kV.SHTN10.TEL.aACHR2</v>
      </c>
      <c r="B51">
        <v>101</v>
      </c>
      <c r="C51" t="s">
        <v>0</v>
      </c>
      <c r="D51" s="30" t="s">
        <v>1568</v>
      </c>
    </row>
    <row r="52" spans="1:4" ht="15" customHeight="1">
      <c r="A52" s="29" t="str">
        <f t="shared" si="3"/>
        <v>ASUES.ES.ZRU10kV.SHTN10.TEL.aACHR2</v>
      </c>
      <c r="B52">
        <v>3</v>
      </c>
      <c r="C52" t="s">
        <v>1</v>
      </c>
      <c r="D52" s="30">
        <v>192</v>
      </c>
    </row>
    <row r="53" spans="1:4" ht="15" customHeight="1">
      <c r="A53" s="29" t="str">
        <f t="shared" si="3"/>
        <v>ASUES.ES.ZRU10kV.SHTN10.TEL.aACHR2</v>
      </c>
      <c r="B53">
        <v>2</v>
      </c>
      <c r="C53" t="s">
        <v>2</v>
      </c>
      <c r="D53" s="30" t="s">
        <v>175</v>
      </c>
    </row>
    <row r="54" spans="1:4" ht="15" customHeight="1">
      <c r="A54" s="26" t="str">
        <f t="shared" si="3"/>
        <v>ASUES.ES.ZRU10kV.SHTN10.TEL.aACHR2</v>
      </c>
      <c r="B54" s="27">
        <v>1</v>
      </c>
      <c r="C54" s="27" t="s">
        <v>1</v>
      </c>
      <c r="D54" s="28">
        <v>11</v>
      </c>
    </row>
    <row r="55" spans="1:4" ht="15" customHeight="1">
      <c r="A55" s="148" t="str">
        <f t="shared" ref="A55:A64" si="4">$R$2&amp;".aAVR_BrkPhase_U2"</f>
        <v>ASUES.ES.ZRU10kV.SHTN10.TEL.aAVR_BrkPhase_U2</v>
      </c>
      <c r="B55" s="683">
        <v>11154</v>
      </c>
      <c r="C55" s="683" t="s">
        <v>4</v>
      </c>
      <c r="D55" s="535">
        <f>$Q$5</f>
        <v>4</v>
      </c>
    </row>
    <row r="56" spans="1:4" ht="15" customHeight="1">
      <c r="A56" s="148" t="str">
        <f t="shared" si="4"/>
        <v>ASUES.ES.ZRU10kV.SHTN10.TEL.aAVR_BrkPhase_U2</v>
      </c>
      <c r="B56" s="683">
        <v>11150</v>
      </c>
      <c r="C56" s="683" t="s">
        <v>0</v>
      </c>
      <c r="D56" s="125" t="s">
        <v>1569</v>
      </c>
    </row>
    <row r="57" spans="1:4" ht="15" customHeight="1">
      <c r="A57" s="148" t="str">
        <f t="shared" si="4"/>
        <v>ASUES.ES.ZRU10kV.SHTN10.TEL.aAVR_BrkPhase_U2</v>
      </c>
      <c r="B57" s="683">
        <v>11152</v>
      </c>
      <c r="C57" s="683" t="s">
        <v>0</v>
      </c>
      <c r="D57" s="125" t="str">
        <f>$R$5</f>
        <v>Авария</v>
      </c>
    </row>
    <row r="58" spans="1:4" ht="15" customHeight="1">
      <c r="A58" s="148" t="str">
        <f t="shared" si="4"/>
        <v>ASUES.ES.ZRU10kV.SHTN10.TEL.aAVR_BrkPhase_U2</v>
      </c>
      <c r="B58" s="683">
        <v>11000</v>
      </c>
      <c r="C58" s="683" t="s">
        <v>5</v>
      </c>
      <c r="D58" s="125">
        <v>2147483680</v>
      </c>
    </row>
    <row r="59" spans="1:4" ht="15" customHeight="1">
      <c r="A59" s="29" t="str">
        <f t="shared" si="4"/>
        <v>ASUES.ES.ZRU10kV.SHTN10.TEL.aAVR_BrkPhase_U2</v>
      </c>
      <c r="B59">
        <v>7999</v>
      </c>
      <c r="C59" t="s">
        <v>0</v>
      </c>
      <c r="D59" s="30" t="str">
        <f>"#"&amp;$S$2&amp;"#"&amp;$T$2&amp;"."&amp;$P$2&amp;".TS209_224_TS214"</f>
        <v>#15#\\SERVER-ASCUER\Relematika.Modbus.OPCDAServer.SHTN10.TS209_224_TS214</v>
      </c>
    </row>
    <row r="60" spans="1:4" ht="15" customHeight="1">
      <c r="A60" s="29" t="str">
        <f t="shared" si="4"/>
        <v>ASUES.ES.ZRU10kV.SHTN10.TEL.aAVR_BrkPhase_U2</v>
      </c>
      <c r="B60">
        <v>7998</v>
      </c>
      <c r="C60" t="s">
        <v>6</v>
      </c>
      <c r="D60" s="30">
        <v>1</v>
      </c>
    </row>
    <row r="61" spans="1:4" ht="15" customHeight="1">
      <c r="A61" s="29" t="str">
        <f t="shared" si="4"/>
        <v>ASUES.ES.ZRU10kV.SHTN10.TEL.aAVR_BrkPhase_U2</v>
      </c>
      <c r="B61">
        <v>101</v>
      </c>
      <c r="C61" t="s">
        <v>0</v>
      </c>
      <c r="D61" s="30" t="s">
        <v>1569</v>
      </c>
    </row>
    <row r="62" spans="1:4" ht="15" customHeight="1">
      <c r="A62" s="29" t="str">
        <f t="shared" si="4"/>
        <v>ASUES.ES.ZRU10kV.SHTN10.TEL.aAVR_BrkPhase_U2</v>
      </c>
      <c r="B62">
        <v>3</v>
      </c>
      <c r="C62" t="s">
        <v>1</v>
      </c>
      <c r="D62" s="30">
        <v>192</v>
      </c>
    </row>
    <row r="63" spans="1:4" ht="15" customHeight="1">
      <c r="A63" s="29" t="str">
        <f t="shared" si="4"/>
        <v>ASUES.ES.ZRU10kV.SHTN10.TEL.aAVR_BrkPhase_U2</v>
      </c>
      <c r="B63">
        <v>2</v>
      </c>
      <c r="C63" t="s">
        <v>2</v>
      </c>
      <c r="D63" s="30" t="s">
        <v>175</v>
      </c>
    </row>
    <row r="64" spans="1:4" ht="15" customHeight="1">
      <c r="A64" s="26" t="str">
        <f t="shared" si="4"/>
        <v>ASUES.ES.ZRU10kV.SHTN10.TEL.aAVR_BrkPhase_U2</v>
      </c>
      <c r="B64" s="27">
        <v>1</v>
      </c>
      <c r="C64" s="27" t="s">
        <v>1</v>
      </c>
      <c r="D64" s="28">
        <v>11</v>
      </c>
    </row>
    <row r="65" spans="1:4" ht="15" customHeight="1">
      <c r="A65" s="148" t="str">
        <f t="shared" ref="A65:A74" si="5">$R$2&amp;".aAVR_U"</f>
        <v>ASUES.ES.ZRU10kV.SHTN10.TEL.aAVR_U</v>
      </c>
      <c r="B65" s="683">
        <v>11154</v>
      </c>
      <c r="C65" s="683" t="s">
        <v>4</v>
      </c>
      <c r="D65" s="535">
        <f>$Q$5</f>
        <v>4</v>
      </c>
    </row>
    <row r="66" spans="1:4" ht="15" customHeight="1">
      <c r="A66" s="148" t="str">
        <f t="shared" si="5"/>
        <v>ASUES.ES.ZRU10kV.SHTN10.TEL.aAVR_U</v>
      </c>
      <c r="B66" s="683">
        <v>11150</v>
      </c>
      <c r="C66" s="683" t="s">
        <v>0</v>
      </c>
      <c r="D66" s="125" t="s">
        <v>1570</v>
      </c>
    </row>
    <row r="67" spans="1:4" ht="15" customHeight="1">
      <c r="A67" s="148" t="str">
        <f t="shared" si="5"/>
        <v>ASUES.ES.ZRU10kV.SHTN10.TEL.aAVR_U</v>
      </c>
      <c r="B67" s="683">
        <v>11152</v>
      </c>
      <c r="C67" s="683" t="s">
        <v>0</v>
      </c>
      <c r="D67" s="125" t="str">
        <f>$R$5</f>
        <v>Авария</v>
      </c>
    </row>
    <row r="68" spans="1:4" ht="15" customHeight="1">
      <c r="A68" s="148" t="str">
        <f t="shared" si="5"/>
        <v>ASUES.ES.ZRU10kV.SHTN10.TEL.aAVR_U</v>
      </c>
      <c r="B68" s="683">
        <v>11000</v>
      </c>
      <c r="C68" s="683" t="s">
        <v>5</v>
      </c>
      <c r="D68" s="125">
        <v>2147483680</v>
      </c>
    </row>
    <row r="69" spans="1:4" ht="15" customHeight="1">
      <c r="A69" s="29" t="str">
        <f t="shared" si="5"/>
        <v>ASUES.ES.ZRU10kV.SHTN10.TEL.aAVR_U</v>
      </c>
      <c r="B69">
        <v>7999</v>
      </c>
      <c r="C69" t="s">
        <v>0</v>
      </c>
      <c r="D69" s="30" t="str">
        <f>"#"&amp;$S$2&amp;"#"&amp;$T$2&amp;"."&amp;$P$2&amp;".TS177_192_TS180"</f>
        <v>#15#\\SERVER-ASCUER\Relematika.Modbus.OPCDAServer.SHTN10.TS177_192_TS180</v>
      </c>
    </row>
    <row r="70" spans="1:4" ht="15" customHeight="1">
      <c r="A70" s="29" t="str">
        <f t="shared" si="5"/>
        <v>ASUES.ES.ZRU10kV.SHTN10.TEL.aAVR_U</v>
      </c>
      <c r="B70">
        <v>7998</v>
      </c>
      <c r="C70" t="s">
        <v>6</v>
      </c>
      <c r="D70" s="30">
        <v>1</v>
      </c>
    </row>
    <row r="71" spans="1:4" ht="15" customHeight="1">
      <c r="A71" s="29" t="str">
        <f t="shared" si="5"/>
        <v>ASUES.ES.ZRU10kV.SHTN10.TEL.aAVR_U</v>
      </c>
      <c r="B71">
        <v>101</v>
      </c>
      <c r="C71" t="s">
        <v>0</v>
      </c>
      <c r="D71" s="30" t="s">
        <v>1570</v>
      </c>
    </row>
    <row r="72" spans="1:4" ht="15" customHeight="1">
      <c r="A72" s="29" t="str">
        <f t="shared" si="5"/>
        <v>ASUES.ES.ZRU10kV.SHTN10.TEL.aAVR_U</v>
      </c>
      <c r="B72">
        <v>3</v>
      </c>
      <c r="C72" t="s">
        <v>1</v>
      </c>
      <c r="D72" s="30">
        <v>192</v>
      </c>
    </row>
    <row r="73" spans="1:4" ht="15" customHeight="1">
      <c r="A73" s="29" t="str">
        <f t="shared" si="5"/>
        <v>ASUES.ES.ZRU10kV.SHTN10.TEL.aAVR_U</v>
      </c>
      <c r="B73">
        <v>2</v>
      </c>
      <c r="C73" t="s">
        <v>2</v>
      </c>
      <c r="D73" s="30" t="s">
        <v>175</v>
      </c>
    </row>
    <row r="74" spans="1:4" ht="15" customHeight="1">
      <c r="A74" s="26" t="str">
        <f t="shared" si="5"/>
        <v>ASUES.ES.ZRU10kV.SHTN10.TEL.aAVR_U</v>
      </c>
      <c r="B74" s="27">
        <v>1</v>
      </c>
      <c r="C74" s="27" t="s">
        <v>1</v>
      </c>
      <c r="D74" s="28">
        <v>11</v>
      </c>
    </row>
    <row r="75" spans="1:4" ht="15" customHeight="1">
      <c r="A75" s="148" t="str">
        <f t="shared" ref="A75:A84" si="6">$R$2&amp;".aDGZ_Grab"</f>
        <v>ASUES.ES.ZRU10kV.SHTN10.TEL.aDGZ_Grab</v>
      </c>
      <c r="B75" s="683">
        <v>11154</v>
      </c>
      <c r="C75" s="683" t="s">
        <v>4</v>
      </c>
      <c r="D75" s="535">
        <f>$Q$5</f>
        <v>4</v>
      </c>
    </row>
    <row r="76" spans="1:4" ht="15" customHeight="1">
      <c r="A76" s="148" t="str">
        <f t="shared" si="6"/>
        <v>ASUES.ES.ZRU10kV.SHTN10.TEL.aDGZ_Grab</v>
      </c>
      <c r="B76" s="683">
        <v>11152</v>
      </c>
      <c r="C76" s="683" t="s">
        <v>0</v>
      </c>
      <c r="D76" s="125" t="str">
        <f>$R$5</f>
        <v>Авария</v>
      </c>
    </row>
    <row r="77" spans="1:4" ht="15" customHeight="1">
      <c r="A77" s="148" t="str">
        <f t="shared" si="6"/>
        <v>ASUES.ES.ZRU10kV.SHTN10.TEL.aDGZ_Grab</v>
      </c>
      <c r="B77" s="683">
        <v>11150</v>
      </c>
      <c r="C77" s="683" t="s">
        <v>0</v>
      </c>
      <c r="D77" s="125" t="s">
        <v>1574</v>
      </c>
    </row>
    <row r="78" spans="1:4" ht="15" customHeight="1">
      <c r="A78" s="148" t="str">
        <f t="shared" si="6"/>
        <v>ASUES.ES.ZRU10kV.SHTN10.TEL.aDGZ_Grab</v>
      </c>
      <c r="B78" s="683">
        <v>11000</v>
      </c>
      <c r="C78" s="683" t="s">
        <v>5</v>
      </c>
      <c r="D78" s="125">
        <v>2147483680</v>
      </c>
    </row>
    <row r="79" spans="1:4" ht="15" customHeight="1">
      <c r="A79" s="29" t="str">
        <f t="shared" si="6"/>
        <v>ASUES.ES.ZRU10kV.SHTN10.TEL.aDGZ_Grab</v>
      </c>
      <c r="B79">
        <v>7999</v>
      </c>
      <c r="C79" t="s">
        <v>0</v>
      </c>
      <c r="D79" s="30" t="str">
        <f>"#"&amp;$S$2&amp;"#"&amp;$T$2&amp;"."&amp;$P$2&amp;".TS193_208_TS208"</f>
        <v>#15#\\SERVER-ASCUER\Relematika.Modbus.OPCDAServer.SHTN10.TS193_208_TS208</v>
      </c>
    </row>
    <row r="80" spans="1:4" ht="15" customHeight="1">
      <c r="A80" s="29" t="str">
        <f t="shared" si="6"/>
        <v>ASUES.ES.ZRU10kV.SHTN10.TEL.aDGZ_Grab</v>
      </c>
      <c r="B80">
        <v>7998</v>
      </c>
      <c r="C80" t="s">
        <v>6</v>
      </c>
      <c r="D80" s="30">
        <v>1</v>
      </c>
    </row>
    <row r="81" spans="1:4" ht="15" customHeight="1">
      <c r="A81" s="29" t="str">
        <f t="shared" si="6"/>
        <v>ASUES.ES.ZRU10kV.SHTN10.TEL.aDGZ_Grab</v>
      </c>
      <c r="B81">
        <v>101</v>
      </c>
      <c r="C81" t="s">
        <v>0</v>
      </c>
      <c r="D81" s="30" t="s">
        <v>1574</v>
      </c>
    </row>
    <row r="82" spans="1:4" ht="15" customHeight="1">
      <c r="A82" s="29" t="str">
        <f t="shared" si="6"/>
        <v>ASUES.ES.ZRU10kV.SHTN10.TEL.aDGZ_Grab</v>
      </c>
      <c r="B82">
        <v>3</v>
      </c>
      <c r="C82" t="s">
        <v>1</v>
      </c>
      <c r="D82" s="30">
        <v>192</v>
      </c>
    </row>
    <row r="83" spans="1:4" ht="15" customHeight="1">
      <c r="A83" s="29" t="str">
        <f t="shared" si="6"/>
        <v>ASUES.ES.ZRU10kV.SHTN10.TEL.aDGZ_Grab</v>
      </c>
      <c r="B83">
        <v>2</v>
      </c>
      <c r="C83" t="s">
        <v>2</v>
      </c>
      <c r="D83" s="30" t="s">
        <v>175</v>
      </c>
    </row>
    <row r="84" spans="1:4" ht="15" customHeight="1">
      <c r="A84" s="26" t="str">
        <f t="shared" si="6"/>
        <v>ASUES.ES.ZRU10kV.SHTN10.TEL.aDGZ_Grab</v>
      </c>
      <c r="B84" s="27">
        <v>1</v>
      </c>
      <c r="C84" s="27" t="s">
        <v>1</v>
      </c>
      <c r="D84" s="28">
        <v>11</v>
      </c>
    </row>
    <row r="85" spans="1:4" ht="15" customHeight="1">
      <c r="A85" s="148" t="str">
        <f t="shared" ref="A85:A94" si="7">$R$2&amp;".aDGZ_Valve"</f>
        <v>ASUES.ES.ZRU10kV.SHTN10.TEL.aDGZ_Valve</v>
      </c>
      <c r="B85" s="683">
        <v>11154</v>
      </c>
      <c r="C85" s="683" t="s">
        <v>4</v>
      </c>
      <c r="D85" s="535">
        <f>$Q$5</f>
        <v>4</v>
      </c>
    </row>
    <row r="86" spans="1:4" ht="15" customHeight="1">
      <c r="A86" s="148" t="str">
        <f t="shared" si="7"/>
        <v>ASUES.ES.ZRU10kV.SHTN10.TEL.aDGZ_Valve</v>
      </c>
      <c r="B86" s="683">
        <v>11150</v>
      </c>
      <c r="C86" s="683" t="s">
        <v>0</v>
      </c>
      <c r="D86" s="125" t="s">
        <v>1542</v>
      </c>
    </row>
    <row r="87" spans="1:4" ht="15" customHeight="1">
      <c r="A87" s="148" t="str">
        <f t="shared" si="7"/>
        <v>ASUES.ES.ZRU10kV.SHTN10.TEL.aDGZ_Valve</v>
      </c>
      <c r="B87" s="683">
        <v>11152</v>
      </c>
      <c r="C87" s="683" t="s">
        <v>0</v>
      </c>
      <c r="D87" s="125" t="str">
        <f>$R$5</f>
        <v>Авария</v>
      </c>
    </row>
    <row r="88" spans="1:4" ht="15" customHeight="1">
      <c r="A88" s="148" t="str">
        <f t="shared" si="7"/>
        <v>ASUES.ES.ZRU10kV.SHTN10.TEL.aDGZ_Valve</v>
      </c>
      <c r="B88" s="683">
        <v>11000</v>
      </c>
      <c r="C88" s="683" t="s">
        <v>5</v>
      </c>
      <c r="D88" s="125">
        <v>2147483680</v>
      </c>
    </row>
    <row r="89" spans="1:4" ht="15" customHeight="1">
      <c r="A89" s="29" t="str">
        <f t="shared" si="7"/>
        <v>ASUES.ES.ZRU10kV.SHTN10.TEL.aDGZ_Valve</v>
      </c>
      <c r="B89">
        <v>7999</v>
      </c>
      <c r="C89" t="s">
        <v>0</v>
      </c>
      <c r="D89" s="30" t="str">
        <f>"#"&amp;$S$2&amp;"#"&amp;$T$2&amp;"."&amp;$P$2&amp;".TS49_64_TS64"</f>
        <v>#15#\\SERVER-ASCUER\Relematika.Modbus.OPCDAServer.SHTN10.TS49_64_TS64</v>
      </c>
    </row>
    <row r="90" spans="1:4" ht="15" customHeight="1">
      <c r="A90" s="29" t="str">
        <f t="shared" si="7"/>
        <v>ASUES.ES.ZRU10kV.SHTN10.TEL.aDGZ_Valve</v>
      </c>
      <c r="B90">
        <v>7998</v>
      </c>
      <c r="C90" t="s">
        <v>6</v>
      </c>
      <c r="D90" s="30">
        <v>1</v>
      </c>
    </row>
    <row r="91" spans="1:4" ht="15" customHeight="1">
      <c r="A91" s="29" t="str">
        <f t="shared" si="7"/>
        <v>ASUES.ES.ZRU10kV.SHTN10.TEL.aDGZ_Valve</v>
      </c>
      <c r="B91">
        <v>101</v>
      </c>
      <c r="C91" t="s">
        <v>0</v>
      </c>
      <c r="D91" s="30" t="s">
        <v>1542</v>
      </c>
    </row>
    <row r="92" spans="1:4" ht="15" customHeight="1">
      <c r="A92" s="29" t="str">
        <f t="shared" si="7"/>
        <v>ASUES.ES.ZRU10kV.SHTN10.TEL.aDGZ_Valve</v>
      </c>
      <c r="B92">
        <v>3</v>
      </c>
      <c r="C92" t="s">
        <v>1</v>
      </c>
      <c r="D92" s="30">
        <v>192</v>
      </c>
    </row>
    <row r="93" spans="1:4" ht="15" customHeight="1">
      <c r="A93" s="29" t="str">
        <f t="shared" si="7"/>
        <v>ASUES.ES.ZRU10kV.SHTN10.TEL.aDGZ_Valve</v>
      </c>
      <c r="B93">
        <v>2</v>
      </c>
      <c r="C93" t="s">
        <v>2</v>
      </c>
      <c r="D93" s="30" t="s">
        <v>175</v>
      </c>
    </row>
    <row r="94" spans="1:4" ht="15" customHeight="1">
      <c r="A94" s="26" t="str">
        <f t="shared" si="7"/>
        <v>ASUES.ES.ZRU10kV.SHTN10.TEL.aDGZ_Valve</v>
      </c>
      <c r="B94" s="27">
        <v>1</v>
      </c>
      <c r="C94" s="27" t="s">
        <v>1</v>
      </c>
      <c r="D94" s="28">
        <v>11</v>
      </c>
    </row>
    <row r="95" spans="1:4" ht="15" customHeight="1">
      <c r="A95" s="148" t="str">
        <f t="shared" ref="A95:A104" si="8">$R$2&amp;".aFerrorez"</f>
        <v>ASUES.ES.ZRU10kV.SHTN10.TEL.aFerrorez</v>
      </c>
      <c r="B95" s="683">
        <v>11154</v>
      </c>
      <c r="C95" s="683" t="s">
        <v>4</v>
      </c>
      <c r="D95" s="535">
        <f>$Q$5</f>
        <v>4</v>
      </c>
    </row>
    <row r="96" spans="1:4" ht="15" customHeight="1">
      <c r="A96" s="148" t="str">
        <f t="shared" si="8"/>
        <v>ASUES.ES.ZRU10kV.SHTN10.TEL.aFerrorez</v>
      </c>
      <c r="B96" s="683">
        <v>11150</v>
      </c>
      <c r="C96" s="683" t="s">
        <v>0</v>
      </c>
      <c r="D96" s="125" t="s">
        <v>1571</v>
      </c>
    </row>
    <row r="97" spans="1:4" ht="15" customHeight="1">
      <c r="A97" s="148" t="str">
        <f t="shared" si="8"/>
        <v>ASUES.ES.ZRU10kV.SHTN10.TEL.aFerrorez</v>
      </c>
      <c r="B97" s="683">
        <v>11152</v>
      </c>
      <c r="C97" s="683" t="s">
        <v>0</v>
      </c>
      <c r="D97" s="125" t="str">
        <f>$R$5</f>
        <v>Авария</v>
      </c>
    </row>
    <row r="98" spans="1:4" ht="15" customHeight="1">
      <c r="A98" s="148" t="str">
        <f t="shared" si="8"/>
        <v>ASUES.ES.ZRU10kV.SHTN10.TEL.aFerrorez</v>
      </c>
      <c r="B98" s="683">
        <v>11000</v>
      </c>
      <c r="C98" s="683" t="s">
        <v>5</v>
      </c>
      <c r="D98" s="125">
        <v>2147483680</v>
      </c>
    </row>
    <row r="99" spans="1:4" ht="15" customHeight="1">
      <c r="A99" s="29" t="str">
        <f t="shared" si="8"/>
        <v>ASUES.ES.ZRU10kV.SHTN10.TEL.aFerrorez</v>
      </c>
      <c r="B99">
        <v>7999</v>
      </c>
      <c r="C99" t="s">
        <v>0</v>
      </c>
      <c r="D99" s="30" t="str">
        <f>"#"&amp;$S$2&amp;"#"&amp;$T$2&amp;"."&amp;$P$2&amp;".TS177_192_TS181"</f>
        <v>#15#\\SERVER-ASCUER\Relematika.Modbus.OPCDAServer.SHTN10.TS177_192_TS181</v>
      </c>
    </row>
    <row r="100" spans="1:4" ht="15" customHeight="1">
      <c r="A100" s="29" t="str">
        <f t="shared" si="8"/>
        <v>ASUES.ES.ZRU10kV.SHTN10.TEL.aFerrorez</v>
      </c>
      <c r="B100">
        <v>7998</v>
      </c>
      <c r="C100" t="s">
        <v>6</v>
      </c>
      <c r="D100" s="30">
        <v>1</v>
      </c>
    </row>
    <row r="101" spans="1:4" ht="15" customHeight="1">
      <c r="A101" s="29" t="str">
        <f t="shared" si="8"/>
        <v>ASUES.ES.ZRU10kV.SHTN10.TEL.aFerrorez</v>
      </c>
      <c r="B101">
        <v>101</v>
      </c>
      <c r="C101" t="s">
        <v>0</v>
      </c>
      <c r="D101" s="30" t="s">
        <v>1571</v>
      </c>
    </row>
    <row r="102" spans="1:4" ht="15" customHeight="1">
      <c r="A102" s="29" t="str">
        <f t="shared" si="8"/>
        <v>ASUES.ES.ZRU10kV.SHTN10.TEL.aFerrorez</v>
      </c>
      <c r="B102">
        <v>3</v>
      </c>
      <c r="C102" t="s">
        <v>1</v>
      </c>
      <c r="D102" s="30">
        <v>192</v>
      </c>
    </row>
    <row r="103" spans="1:4" ht="15" customHeight="1">
      <c r="A103" s="29" t="str">
        <f t="shared" si="8"/>
        <v>ASUES.ES.ZRU10kV.SHTN10.TEL.aFerrorez</v>
      </c>
      <c r="B103">
        <v>2</v>
      </c>
      <c r="C103" t="s">
        <v>2</v>
      </c>
      <c r="D103" s="30" t="s">
        <v>175</v>
      </c>
    </row>
    <row r="104" spans="1:4" ht="15" customHeight="1">
      <c r="A104" s="26" t="str">
        <f t="shared" si="8"/>
        <v>ASUES.ES.ZRU10kV.SHTN10.TEL.aFerrorez</v>
      </c>
      <c r="B104" s="27">
        <v>1</v>
      </c>
      <c r="C104" s="27" t="s">
        <v>1</v>
      </c>
      <c r="D104" s="28">
        <v>11</v>
      </c>
    </row>
    <row r="105" spans="1:4" ht="15" customHeight="1">
      <c r="A105" s="148" t="str">
        <f t="shared" ref="A105:A114" si="9">$R$2&amp;".aZMN1"</f>
        <v>ASUES.ES.ZRU10kV.SHTN10.TEL.aZMN1</v>
      </c>
      <c r="B105" s="683">
        <v>11154</v>
      </c>
      <c r="C105" s="683" t="s">
        <v>4</v>
      </c>
      <c r="D105" s="535">
        <f>$Q$5</f>
        <v>4</v>
      </c>
    </row>
    <row r="106" spans="1:4" ht="15" customHeight="1">
      <c r="A106" s="148" t="str">
        <f t="shared" si="9"/>
        <v>ASUES.ES.ZRU10kV.SHTN10.TEL.aZMN1</v>
      </c>
      <c r="B106" s="683">
        <v>11150</v>
      </c>
      <c r="C106" s="683" t="s">
        <v>0</v>
      </c>
      <c r="D106" s="125" t="s">
        <v>1572</v>
      </c>
    </row>
    <row r="107" spans="1:4" ht="15" customHeight="1">
      <c r="A107" s="148" t="str">
        <f t="shared" si="9"/>
        <v>ASUES.ES.ZRU10kV.SHTN10.TEL.aZMN1</v>
      </c>
      <c r="B107" s="683">
        <v>11152</v>
      </c>
      <c r="C107" s="683" t="s">
        <v>0</v>
      </c>
      <c r="D107" s="125" t="str">
        <f>$R$5</f>
        <v>Авария</v>
      </c>
    </row>
    <row r="108" spans="1:4" ht="15" customHeight="1">
      <c r="A108" s="148" t="str">
        <f t="shared" si="9"/>
        <v>ASUES.ES.ZRU10kV.SHTN10.TEL.aZMN1</v>
      </c>
      <c r="B108" s="683">
        <v>11000</v>
      </c>
      <c r="C108" s="683" t="s">
        <v>5</v>
      </c>
      <c r="D108" s="125">
        <v>2147483680</v>
      </c>
    </row>
    <row r="109" spans="1:4" ht="15" customHeight="1">
      <c r="A109" s="29" t="str">
        <f t="shared" si="9"/>
        <v>ASUES.ES.ZRU10kV.SHTN10.TEL.aZMN1</v>
      </c>
      <c r="B109">
        <v>7999</v>
      </c>
      <c r="C109" t="s">
        <v>0</v>
      </c>
      <c r="D109" s="30" t="str">
        <f>"#"&amp;$S$2&amp;"#"&amp;$T$2&amp;"."&amp;$P$2&amp;".TS177_192_TS177"</f>
        <v>#15#\\SERVER-ASCUER\Relematika.Modbus.OPCDAServer.SHTN10.TS177_192_TS177</v>
      </c>
    </row>
    <row r="110" spans="1:4" ht="15" customHeight="1">
      <c r="A110" s="29" t="str">
        <f t="shared" si="9"/>
        <v>ASUES.ES.ZRU10kV.SHTN10.TEL.aZMN1</v>
      </c>
      <c r="B110">
        <v>7998</v>
      </c>
      <c r="C110" t="s">
        <v>6</v>
      </c>
      <c r="D110" s="30">
        <v>1</v>
      </c>
    </row>
    <row r="111" spans="1:4" ht="15" customHeight="1">
      <c r="A111" s="29" t="str">
        <f t="shared" si="9"/>
        <v>ASUES.ES.ZRU10kV.SHTN10.TEL.aZMN1</v>
      </c>
      <c r="B111">
        <v>101</v>
      </c>
      <c r="C111" t="s">
        <v>0</v>
      </c>
      <c r="D111" s="30" t="s">
        <v>1572</v>
      </c>
    </row>
    <row r="112" spans="1:4" ht="15" customHeight="1">
      <c r="A112" s="29" t="str">
        <f t="shared" si="9"/>
        <v>ASUES.ES.ZRU10kV.SHTN10.TEL.aZMN1</v>
      </c>
      <c r="B112">
        <v>3</v>
      </c>
      <c r="C112" t="s">
        <v>1</v>
      </c>
      <c r="D112" s="30">
        <v>192</v>
      </c>
    </row>
    <row r="113" spans="1:4" ht="15" customHeight="1">
      <c r="A113" s="29" t="str">
        <f t="shared" si="9"/>
        <v>ASUES.ES.ZRU10kV.SHTN10.TEL.aZMN1</v>
      </c>
      <c r="B113">
        <v>2</v>
      </c>
      <c r="C113" t="s">
        <v>2</v>
      </c>
      <c r="D113" s="30" t="s">
        <v>175</v>
      </c>
    </row>
    <row r="114" spans="1:4" ht="15" customHeight="1">
      <c r="A114" s="26" t="str">
        <f t="shared" si="9"/>
        <v>ASUES.ES.ZRU10kV.SHTN10.TEL.aZMN1</v>
      </c>
      <c r="B114" s="27">
        <v>1</v>
      </c>
      <c r="C114" s="27" t="s">
        <v>1</v>
      </c>
      <c r="D114" s="28">
        <v>11</v>
      </c>
    </row>
    <row r="115" spans="1:4" ht="15" customHeight="1">
      <c r="A115" s="148" t="str">
        <f t="shared" ref="A115:A124" si="10">$R$2&amp;".aZMN2"</f>
        <v>ASUES.ES.ZRU10kV.SHTN10.TEL.aZMN2</v>
      </c>
      <c r="B115" s="683">
        <v>11154</v>
      </c>
      <c r="C115" s="683" t="s">
        <v>4</v>
      </c>
      <c r="D115" s="535">
        <f>$Q$5</f>
        <v>4</v>
      </c>
    </row>
    <row r="116" spans="1:4" ht="15" customHeight="1">
      <c r="A116" s="148" t="str">
        <f t="shared" si="10"/>
        <v>ASUES.ES.ZRU10kV.SHTN10.TEL.aZMN2</v>
      </c>
      <c r="B116" s="683">
        <v>11150</v>
      </c>
      <c r="C116" s="683" t="s">
        <v>0</v>
      </c>
      <c r="D116" s="125" t="s">
        <v>1573</v>
      </c>
    </row>
    <row r="117" spans="1:4" ht="15" customHeight="1">
      <c r="A117" s="148" t="str">
        <f t="shared" si="10"/>
        <v>ASUES.ES.ZRU10kV.SHTN10.TEL.aZMN2</v>
      </c>
      <c r="B117" s="683">
        <v>11152</v>
      </c>
      <c r="C117" s="683" t="s">
        <v>0</v>
      </c>
      <c r="D117" s="125" t="str">
        <f>$R$5</f>
        <v>Авария</v>
      </c>
    </row>
    <row r="118" spans="1:4" ht="15" customHeight="1">
      <c r="A118" s="148" t="str">
        <f t="shared" si="10"/>
        <v>ASUES.ES.ZRU10kV.SHTN10.TEL.aZMN2</v>
      </c>
      <c r="B118" s="683">
        <v>11000</v>
      </c>
      <c r="C118" s="683" t="s">
        <v>5</v>
      </c>
      <c r="D118" s="125">
        <v>2147483680</v>
      </c>
    </row>
    <row r="119" spans="1:4" ht="15" customHeight="1">
      <c r="A119" s="29" t="str">
        <f t="shared" si="10"/>
        <v>ASUES.ES.ZRU10kV.SHTN10.TEL.aZMN2</v>
      </c>
      <c r="B119">
        <v>7999</v>
      </c>
      <c r="C119" t="s">
        <v>0</v>
      </c>
      <c r="D119" s="30" t="str">
        <f>"#"&amp;$S$2&amp;"#"&amp;$T$2&amp;"."&amp;$P$2&amp;".TS177_192_TS178"</f>
        <v>#15#\\SERVER-ASCUER\Relematika.Modbus.OPCDAServer.SHTN10.TS177_192_TS178</v>
      </c>
    </row>
    <row r="120" spans="1:4" ht="15" customHeight="1">
      <c r="A120" s="29" t="str">
        <f t="shared" si="10"/>
        <v>ASUES.ES.ZRU10kV.SHTN10.TEL.aZMN2</v>
      </c>
      <c r="B120">
        <v>7998</v>
      </c>
      <c r="C120" t="s">
        <v>6</v>
      </c>
      <c r="D120" s="30">
        <v>1</v>
      </c>
    </row>
    <row r="121" spans="1:4" ht="15" customHeight="1">
      <c r="A121" s="29" t="str">
        <f t="shared" si="10"/>
        <v>ASUES.ES.ZRU10kV.SHTN10.TEL.aZMN2</v>
      </c>
      <c r="B121">
        <v>101</v>
      </c>
      <c r="C121" t="s">
        <v>0</v>
      </c>
      <c r="D121" s="30" t="s">
        <v>1573</v>
      </c>
    </row>
    <row r="122" spans="1:4" ht="15" customHeight="1">
      <c r="A122" s="29" t="str">
        <f t="shared" si="10"/>
        <v>ASUES.ES.ZRU10kV.SHTN10.TEL.aZMN2</v>
      </c>
      <c r="B122">
        <v>3</v>
      </c>
      <c r="C122" t="s">
        <v>1</v>
      </c>
      <c r="D122" s="30">
        <v>192</v>
      </c>
    </row>
    <row r="123" spans="1:4" ht="15" customHeight="1">
      <c r="A123" s="29" t="str">
        <f t="shared" si="10"/>
        <v>ASUES.ES.ZRU10kV.SHTN10.TEL.aZMN2</v>
      </c>
      <c r="B123">
        <v>2</v>
      </c>
      <c r="C123" t="s">
        <v>2</v>
      </c>
      <c r="D123" s="30" t="s">
        <v>175</v>
      </c>
    </row>
    <row r="124" spans="1:4" ht="15" customHeight="1">
      <c r="A124" s="26" t="str">
        <f t="shared" si="10"/>
        <v>ASUES.ES.ZRU10kV.SHTN10.TEL.aZMN2</v>
      </c>
      <c r="B124" s="27">
        <v>1</v>
      </c>
      <c r="C124" s="27" t="s">
        <v>1</v>
      </c>
      <c r="D124" s="28">
        <v>11</v>
      </c>
    </row>
    <row r="125" spans="1:4" ht="15" customHeight="1">
      <c r="A125" s="23" t="str">
        <f t="shared" ref="A125:A132" si="11">$R$2&amp;".wCntLimit"</f>
        <v>ASUES.ES.ZRU10kV.SHTN10.TEL.wCntLimit</v>
      </c>
      <c r="B125" s="24">
        <v>3000000</v>
      </c>
      <c r="C125" s="24" t="s">
        <v>0</v>
      </c>
      <c r="D125" s="25" t="s">
        <v>394</v>
      </c>
    </row>
    <row r="126" spans="1:4" ht="15" customHeight="1">
      <c r="A126" s="63" t="str">
        <f t="shared" si="11"/>
        <v>ASUES.ES.ZRU10kV.SHTN10.TEL.wCntLimit</v>
      </c>
      <c r="B126" s="52">
        <v>11154</v>
      </c>
      <c r="C126" s="52" t="s">
        <v>4</v>
      </c>
      <c r="D126" s="65">
        <f>$Q$6</f>
        <v>8</v>
      </c>
    </row>
    <row r="127" spans="1:4" ht="15" customHeight="1">
      <c r="A127" s="63" t="str">
        <f t="shared" si="11"/>
        <v>ASUES.ES.ZRU10kV.SHTN10.TEL.wCntLimit</v>
      </c>
      <c r="B127" s="52">
        <v>11152</v>
      </c>
      <c r="C127" s="52" t="s">
        <v>0</v>
      </c>
      <c r="D127" s="65" t="str">
        <f>$R$6</f>
        <v>Предупреждение</v>
      </c>
    </row>
    <row r="128" spans="1:4" ht="15" customHeight="1">
      <c r="A128" s="63" t="str">
        <f t="shared" si="11"/>
        <v>ASUES.ES.ZRU10kV.SHTN10.TEL.wCntLimit</v>
      </c>
      <c r="B128" s="52">
        <v>11150</v>
      </c>
      <c r="C128" s="52" t="s">
        <v>0</v>
      </c>
      <c r="D128" s="65" t="s">
        <v>391</v>
      </c>
    </row>
    <row r="129" spans="1:4" ht="15" customHeight="1">
      <c r="A129" s="63" t="str">
        <f t="shared" si="11"/>
        <v>ASUES.ES.ZRU10kV.SHTN10.TEL.wCntLimit</v>
      </c>
      <c r="B129" s="52">
        <v>11000</v>
      </c>
      <c r="C129" s="52" t="s">
        <v>5</v>
      </c>
      <c r="D129" s="65">
        <v>2147483680</v>
      </c>
    </row>
    <row r="130" spans="1:4" ht="15" customHeight="1">
      <c r="A130" s="29" t="str">
        <f t="shared" si="11"/>
        <v>ASUES.ES.ZRU10kV.SHTN10.TEL.wCntLimit</v>
      </c>
      <c r="B130">
        <v>3</v>
      </c>
      <c r="C130" t="s">
        <v>1</v>
      </c>
      <c r="D130" s="30">
        <v>192</v>
      </c>
    </row>
    <row r="131" spans="1:4" ht="15" customHeight="1">
      <c r="A131" s="29" t="str">
        <f t="shared" si="11"/>
        <v>ASUES.ES.ZRU10kV.SHTN10.TEL.wCntLimit</v>
      </c>
      <c r="B131">
        <v>2</v>
      </c>
      <c r="C131" t="s">
        <v>2</v>
      </c>
      <c r="D131" s="30" t="s">
        <v>175</v>
      </c>
    </row>
    <row r="132" spans="1:4" ht="15" customHeight="1">
      <c r="A132" s="26" t="str">
        <f t="shared" si="11"/>
        <v>ASUES.ES.ZRU10kV.SHTN10.TEL.wCntLimit</v>
      </c>
      <c r="B132" s="27">
        <v>1</v>
      </c>
      <c r="C132" s="27" t="s">
        <v>1</v>
      </c>
      <c r="D132" s="28">
        <v>11</v>
      </c>
    </row>
    <row r="133" spans="1:4" ht="15" customHeight="1">
      <c r="A133" s="23" t="str">
        <f t="shared" ref="A133:A140" si="12">$R$2&amp;".wCntLimitI"</f>
        <v>ASUES.ES.ZRU10kV.SHTN10.TEL.wCntLimitI</v>
      </c>
      <c r="B133" s="24">
        <v>3000000</v>
      </c>
      <c r="C133" s="24" t="s">
        <v>0</v>
      </c>
      <c r="D133" s="25" t="s">
        <v>395</v>
      </c>
    </row>
    <row r="134" spans="1:4" ht="15" customHeight="1">
      <c r="A134" s="63" t="str">
        <f t="shared" si="12"/>
        <v>ASUES.ES.ZRU10kV.SHTN10.TEL.wCntLimitI</v>
      </c>
      <c r="B134" s="52">
        <v>11154</v>
      </c>
      <c r="C134" s="52" t="s">
        <v>4</v>
      </c>
      <c r="D134" s="65">
        <f>$Q$6</f>
        <v>8</v>
      </c>
    </row>
    <row r="135" spans="1:4" ht="15" customHeight="1">
      <c r="A135" s="63" t="str">
        <f t="shared" si="12"/>
        <v>ASUES.ES.ZRU10kV.SHTN10.TEL.wCntLimitI</v>
      </c>
      <c r="B135" s="52">
        <v>11152</v>
      </c>
      <c r="C135" s="52" t="s">
        <v>0</v>
      </c>
      <c r="D135" s="65" t="str">
        <f>$R$6</f>
        <v>Предупреждение</v>
      </c>
    </row>
    <row r="136" spans="1:4" ht="15" customHeight="1">
      <c r="A136" s="63" t="str">
        <f t="shared" si="12"/>
        <v>ASUES.ES.ZRU10kV.SHTN10.TEL.wCntLimitI</v>
      </c>
      <c r="B136" s="52">
        <v>11150</v>
      </c>
      <c r="C136" s="52" t="s">
        <v>0</v>
      </c>
      <c r="D136" s="65" t="s">
        <v>392</v>
      </c>
    </row>
    <row r="137" spans="1:4" ht="15" customHeight="1">
      <c r="A137" s="63" t="str">
        <f t="shared" si="12"/>
        <v>ASUES.ES.ZRU10kV.SHTN10.TEL.wCntLimitI</v>
      </c>
      <c r="B137" s="52">
        <v>11000</v>
      </c>
      <c r="C137" s="52" t="s">
        <v>5</v>
      </c>
      <c r="D137" s="65">
        <v>2147483680</v>
      </c>
    </row>
    <row r="138" spans="1:4" ht="15" customHeight="1">
      <c r="A138" s="29" t="str">
        <f t="shared" si="12"/>
        <v>ASUES.ES.ZRU10kV.SHTN10.TEL.wCntLimitI</v>
      </c>
      <c r="B138">
        <v>3</v>
      </c>
      <c r="C138" t="s">
        <v>1</v>
      </c>
      <c r="D138" s="30">
        <v>192</v>
      </c>
    </row>
    <row r="139" spans="1:4" ht="15" customHeight="1">
      <c r="A139" s="29" t="str">
        <f t="shared" si="12"/>
        <v>ASUES.ES.ZRU10kV.SHTN10.TEL.wCntLimitI</v>
      </c>
      <c r="B139">
        <v>2</v>
      </c>
      <c r="C139" t="s">
        <v>2</v>
      </c>
      <c r="D139" s="30" t="s">
        <v>175</v>
      </c>
    </row>
    <row r="140" spans="1:4" ht="15" customHeight="1">
      <c r="A140" s="26" t="str">
        <f t="shared" si="12"/>
        <v>ASUES.ES.ZRU10kV.SHTN10.TEL.wCntLimitI</v>
      </c>
      <c r="B140" s="27">
        <v>1</v>
      </c>
      <c r="C140" s="27" t="s">
        <v>1</v>
      </c>
      <c r="D140" s="28">
        <v>11</v>
      </c>
    </row>
    <row r="141" spans="1:4" ht="15" customHeight="1">
      <c r="A141" s="23" t="str">
        <f t="shared" ref="A141:A148" si="13">$R$2&amp;".wCntLimitIKZ"</f>
        <v>ASUES.ES.ZRU10kV.SHTN10.TEL.wCntLimitIKZ</v>
      </c>
      <c r="B141" s="24">
        <v>3000000</v>
      </c>
      <c r="C141" s="24" t="s">
        <v>0</v>
      </c>
      <c r="D141" s="25" t="s">
        <v>1504</v>
      </c>
    </row>
    <row r="142" spans="1:4" ht="15" customHeight="1">
      <c r="A142" s="63" t="str">
        <f t="shared" si="13"/>
        <v>ASUES.ES.ZRU10kV.SHTN10.TEL.wCntLimitIKZ</v>
      </c>
      <c r="B142" s="52">
        <v>11154</v>
      </c>
      <c r="C142" s="52" t="s">
        <v>4</v>
      </c>
      <c r="D142" s="65">
        <f>$Q$6</f>
        <v>8</v>
      </c>
    </row>
    <row r="143" spans="1:4" ht="15" customHeight="1">
      <c r="A143" s="63" t="str">
        <f t="shared" si="13"/>
        <v>ASUES.ES.ZRU10kV.SHTN10.TEL.wCntLimitIKZ</v>
      </c>
      <c r="B143" s="52">
        <v>11152</v>
      </c>
      <c r="C143" s="52" t="s">
        <v>0</v>
      </c>
      <c r="D143" s="65" t="str">
        <f>$R$6</f>
        <v>Предупреждение</v>
      </c>
    </row>
    <row r="144" spans="1:4" ht="15" customHeight="1">
      <c r="A144" s="63" t="str">
        <f t="shared" si="13"/>
        <v>ASUES.ES.ZRU10kV.SHTN10.TEL.wCntLimitIKZ</v>
      </c>
      <c r="B144" s="52">
        <v>11150</v>
      </c>
      <c r="C144" s="52" t="s">
        <v>0</v>
      </c>
      <c r="D144" s="65" t="s">
        <v>393</v>
      </c>
    </row>
    <row r="145" spans="1:4" ht="15" customHeight="1">
      <c r="A145" s="63" t="str">
        <f t="shared" si="13"/>
        <v>ASUES.ES.ZRU10kV.SHTN10.TEL.wCntLimitIKZ</v>
      </c>
      <c r="B145" s="52">
        <v>11000</v>
      </c>
      <c r="C145" s="52" t="s">
        <v>5</v>
      </c>
      <c r="D145" s="65">
        <v>2147483680</v>
      </c>
    </row>
    <row r="146" spans="1:4" ht="15" customHeight="1">
      <c r="A146" s="29" t="str">
        <f t="shared" si="13"/>
        <v>ASUES.ES.ZRU10kV.SHTN10.TEL.wCntLimitIKZ</v>
      </c>
      <c r="B146">
        <v>3</v>
      </c>
      <c r="C146" t="s">
        <v>1</v>
      </c>
      <c r="D146" s="30">
        <v>192</v>
      </c>
    </row>
    <row r="147" spans="1:4" ht="15" customHeight="1">
      <c r="A147" s="29" t="str">
        <f t="shared" si="13"/>
        <v>ASUES.ES.ZRU10kV.SHTN10.TEL.wCntLimitIKZ</v>
      </c>
      <c r="B147">
        <v>2</v>
      </c>
      <c r="C147" t="s">
        <v>2</v>
      </c>
      <c r="D147" s="30" t="s">
        <v>175</v>
      </c>
    </row>
    <row r="148" spans="1:4" ht="15" customHeight="1">
      <c r="A148" s="26" t="str">
        <f t="shared" si="13"/>
        <v>ASUES.ES.ZRU10kV.SHTN10.TEL.wCntLimitIKZ</v>
      </c>
      <c r="B148" s="27">
        <v>1</v>
      </c>
      <c r="C148" s="27" t="s">
        <v>1</v>
      </c>
      <c r="D148" s="28">
        <v>11</v>
      </c>
    </row>
    <row r="149" spans="1:4" ht="15" customHeight="1">
      <c r="A149" s="69" t="str">
        <f t="shared" ref="A149:A158" si="14">$R$2&amp;".wCall"</f>
        <v>ASUES.ES.ZRU10kV.SHTN10.TEL.wCall</v>
      </c>
      <c r="B149" s="70">
        <v>11154</v>
      </c>
      <c r="C149" s="70" t="s">
        <v>4</v>
      </c>
      <c r="D149" s="71">
        <f>$Q$6</f>
        <v>8</v>
      </c>
    </row>
    <row r="150" spans="1:4" ht="15" customHeight="1">
      <c r="A150" s="63" t="str">
        <f t="shared" si="14"/>
        <v>ASUES.ES.ZRU10kV.SHTN10.TEL.wCall</v>
      </c>
      <c r="B150" s="52">
        <v>11152</v>
      </c>
      <c r="C150" s="52" t="s">
        <v>0</v>
      </c>
      <c r="D150" s="65" t="str">
        <f>$R$6</f>
        <v>Предупреждение</v>
      </c>
    </row>
    <row r="151" spans="1:4" ht="15" customHeight="1">
      <c r="A151" s="63" t="str">
        <f t="shared" si="14"/>
        <v>ASUES.ES.ZRU10kV.SHTN10.TEL.wCall</v>
      </c>
      <c r="B151" s="52">
        <v>11150</v>
      </c>
      <c r="C151" s="52" t="s">
        <v>0</v>
      </c>
      <c r="D151" s="65" t="s">
        <v>338</v>
      </c>
    </row>
    <row r="152" spans="1:4" ht="15" customHeight="1">
      <c r="A152" s="63" t="str">
        <f t="shared" si="14"/>
        <v>ASUES.ES.ZRU10kV.SHTN10.TEL.wCall</v>
      </c>
      <c r="B152" s="52">
        <v>11000</v>
      </c>
      <c r="C152" s="52" t="s">
        <v>5</v>
      </c>
      <c r="D152" s="65">
        <v>2147483680</v>
      </c>
    </row>
    <row r="153" spans="1:4" ht="15" customHeight="1">
      <c r="A153" s="29" t="str">
        <f t="shared" si="14"/>
        <v>ASUES.ES.ZRU10kV.SHTN10.TEL.wCall</v>
      </c>
      <c r="B153">
        <v>7999</v>
      </c>
      <c r="C153" t="s">
        <v>0</v>
      </c>
      <c r="D153" s="30" t="str">
        <f>"#"&amp;$S$2&amp;"#"&amp;$T$2&amp;"."&amp;$P$2&amp;".TS01_16_TS5"</f>
        <v>#15#\\SERVER-ASCUER\Relematika.Modbus.OPCDAServer.SHTN10.TS01_16_TS5</v>
      </c>
    </row>
    <row r="154" spans="1:4" ht="15" customHeight="1">
      <c r="A154" s="29" t="str">
        <f t="shared" si="14"/>
        <v>ASUES.ES.ZRU10kV.SHTN10.TEL.wCall</v>
      </c>
      <c r="B154">
        <v>7998</v>
      </c>
      <c r="C154" t="s">
        <v>6</v>
      </c>
      <c r="D154" s="30">
        <v>1</v>
      </c>
    </row>
    <row r="155" spans="1:4" ht="15" customHeight="1">
      <c r="A155" s="29" t="str">
        <f t="shared" si="14"/>
        <v>ASUES.ES.ZRU10kV.SHTN10.TEL.wCall</v>
      </c>
      <c r="B155">
        <v>101</v>
      </c>
      <c r="C155" t="s">
        <v>0</v>
      </c>
      <c r="D155" s="30" t="s">
        <v>338</v>
      </c>
    </row>
    <row r="156" spans="1:4" ht="15" customHeight="1">
      <c r="A156" s="29" t="str">
        <f t="shared" si="14"/>
        <v>ASUES.ES.ZRU10kV.SHTN10.TEL.wCall</v>
      </c>
      <c r="B156">
        <v>3</v>
      </c>
      <c r="C156" t="s">
        <v>1</v>
      </c>
      <c r="D156" s="30">
        <v>192</v>
      </c>
    </row>
    <row r="157" spans="1:4" ht="15" customHeight="1">
      <c r="A157" s="29" t="str">
        <f t="shared" si="14"/>
        <v>ASUES.ES.ZRU10kV.SHTN10.TEL.wCall</v>
      </c>
      <c r="B157">
        <v>2</v>
      </c>
      <c r="C157" t="s">
        <v>2</v>
      </c>
      <c r="D157" s="30" t="s">
        <v>175</v>
      </c>
    </row>
    <row r="158" spans="1:4" ht="15" customHeight="1">
      <c r="A158" s="26" t="str">
        <f t="shared" si="14"/>
        <v>ASUES.ES.ZRU10kV.SHTN10.TEL.wCall</v>
      </c>
      <c r="B158" s="27">
        <v>1</v>
      </c>
      <c r="C158" s="27" t="s">
        <v>1</v>
      </c>
      <c r="D158" s="28">
        <v>11</v>
      </c>
    </row>
    <row r="159" spans="1:4" ht="15" customHeight="1">
      <c r="A159" s="63" t="str">
        <f t="shared" ref="A159:A168" si="15">$R$2&amp;".wHighU"</f>
        <v>ASUES.ES.ZRU10kV.SHTN10.TEL.wHighU</v>
      </c>
      <c r="B159" s="52">
        <v>11154</v>
      </c>
      <c r="C159" s="52" t="s">
        <v>4</v>
      </c>
      <c r="D159" s="199">
        <f>$Q$6</f>
        <v>8</v>
      </c>
    </row>
    <row r="160" spans="1:4" ht="15" customHeight="1">
      <c r="A160" s="63" t="str">
        <f t="shared" si="15"/>
        <v>ASUES.ES.ZRU10kV.SHTN10.TEL.wHighU</v>
      </c>
      <c r="B160" s="52">
        <v>11152</v>
      </c>
      <c r="C160" s="52" t="s">
        <v>0</v>
      </c>
      <c r="D160" s="65" t="str">
        <f>$R$6</f>
        <v>Предупреждение</v>
      </c>
    </row>
    <row r="161" spans="1:4" ht="15" customHeight="1">
      <c r="A161" s="63" t="str">
        <f t="shared" si="15"/>
        <v>ASUES.ES.ZRU10kV.SHTN10.TEL.wHighU</v>
      </c>
      <c r="B161" s="52">
        <v>11150</v>
      </c>
      <c r="C161" s="52" t="s">
        <v>0</v>
      </c>
      <c r="D161" s="65" t="s">
        <v>1575</v>
      </c>
    </row>
    <row r="162" spans="1:4" ht="15" customHeight="1">
      <c r="A162" s="63" t="str">
        <f t="shared" si="15"/>
        <v>ASUES.ES.ZRU10kV.SHTN10.TEL.wHighU</v>
      </c>
      <c r="B162" s="52">
        <v>11000</v>
      </c>
      <c r="C162" s="52" t="s">
        <v>5</v>
      </c>
      <c r="D162" s="65">
        <v>2147483680</v>
      </c>
    </row>
    <row r="163" spans="1:4" ht="15" customHeight="1">
      <c r="A163" s="29" t="str">
        <f t="shared" si="15"/>
        <v>ASUES.ES.ZRU10kV.SHTN10.TEL.wHighU</v>
      </c>
      <c r="B163">
        <v>7999</v>
      </c>
      <c r="C163" t="s">
        <v>0</v>
      </c>
      <c r="D163" s="30" t="str">
        <f>"#"&amp;$S$2&amp;"#"&amp;$T$2&amp;"."&amp;$P$2&amp;".TS209_224_TS218"</f>
        <v>#15#\\SERVER-ASCUER\Relematika.Modbus.OPCDAServer.SHTN10.TS209_224_TS218</v>
      </c>
    </row>
    <row r="164" spans="1:4" ht="15" customHeight="1">
      <c r="A164" s="29" t="str">
        <f t="shared" si="15"/>
        <v>ASUES.ES.ZRU10kV.SHTN10.TEL.wHighU</v>
      </c>
      <c r="B164">
        <v>7998</v>
      </c>
      <c r="C164" t="s">
        <v>6</v>
      </c>
      <c r="D164" s="30">
        <v>1</v>
      </c>
    </row>
    <row r="165" spans="1:4" ht="15" customHeight="1">
      <c r="A165" s="29" t="str">
        <f t="shared" si="15"/>
        <v>ASUES.ES.ZRU10kV.SHTN10.TEL.wHighU</v>
      </c>
      <c r="B165">
        <v>101</v>
      </c>
      <c r="C165" t="s">
        <v>0</v>
      </c>
      <c r="D165" s="30" t="s">
        <v>1575</v>
      </c>
    </row>
    <row r="166" spans="1:4" ht="15" customHeight="1">
      <c r="A166" s="29" t="str">
        <f t="shared" si="15"/>
        <v>ASUES.ES.ZRU10kV.SHTN10.TEL.wHighU</v>
      </c>
      <c r="B166">
        <v>3</v>
      </c>
      <c r="C166" t="s">
        <v>1</v>
      </c>
      <c r="D166" s="30">
        <v>192</v>
      </c>
    </row>
    <row r="167" spans="1:4" ht="15" customHeight="1">
      <c r="A167" s="29" t="str">
        <f t="shared" si="15"/>
        <v>ASUES.ES.ZRU10kV.SHTN10.TEL.wHighU</v>
      </c>
      <c r="B167">
        <v>2</v>
      </c>
      <c r="C167" t="s">
        <v>2</v>
      </c>
      <c r="D167" s="30" t="s">
        <v>175</v>
      </c>
    </row>
    <row r="168" spans="1:4" ht="15" customHeight="1">
      <c r="A168" s="26" t="str">
        <f t="shared" si="15"/>
        <v>ASUES.ES.ZRU10kV.SHTN10.TEL.wHighU</v>
      </c>
      <c r="B168" s="27">
        <v>1</v>
      </c>
      <c r="C168" s="27" t="s">
        <v>1</v>
      </c>
      <c r="D168" s="28">
        <v>11</v>
      </c>
    </row>
    <row r="169" spans="1:4" ht="15" customHeight="1">
      <c r="A169" s="63" t="str">
        <f t="shared" ref="A169:A178" si="16">$R$2&amp;".wLowBat"</f>
        <v>ASUES.ES.ZRU10kV.SHTN10.TEL.wLowBat</v>
      </c>
      <c r="B169" s="52">
        <v>11154</v>
      </c>
      <c r="C169" s="52" t="s">
        <v>4</v>
      </c>
      <c r="D169" s="199">
        <f>$Q$6</f>
        <v>8</v>
      </c>
    </row>
    <row r="170" spans="1:4" ht="15" customHeight="1">
      <c r="A170" s="63" t="str">
        <f t="shared" si="16"/>
        <v>ASUES.ES.ZRU10kV.SHTN10.TEL.wLowBat</v>
      </c>
      <c r="B170" s="52">
        <v>11152</v>
      </c>
      <c r="C170" s="52" t="s">
        <v>0</v>
      </c>
      <c r="D170" s="65" t="str">
        <f>$R$6</f>
        <v>Предупреждение</v>
      </c>
    </row>
    <row r="171" spans="1:4" ht="15" customHeight="1">
      <c r="A171" s="63" t="str">
        <f t="shared" si="16"/>
        <v>ASUES.ES.ZRU10kV.SHTN10.TEL.wLowBat</v>
      </c>
      <c r="B171" s="52">
        <v>11150</v>
      </c>
      <c r="C171" s="52" t="s">
        <v>0</v>
      </c>
      <c r="D171" s="65" t="s">
        <v>1510</v>
      </c>
    </row>
    <row r="172" spans="1:4" ht="15" customHeight="1">
      <c r="A172" s="63" t="str">
        <f t="shared" si="16"/>
        <v>ASUES.ES.ZRU10kV.SHTN10.TEL.wLowBat</v>
      </c>
      <c r="B172" s="52">
        <v>11000</v>
      </c>
      <c r="C172" s="52" t="s">
        <v>5</v>
      </c>
      <c r="D172" s="65">
        <v>2147483680</v>
      </c>
    </row>
    <row r="173" spans="1:4" ht="15" customHeight="1">
      <c r="A173" s="29" t="str">
        <f t="shared" si="16"/>
        <v>ASUES.ES.ZRU10kV.SHTN10.TEL.wLowBat</v>
      </c>
      <c r="B173">
        <v>7999</v>
      </c>
      <c r="C173" t="s">
        <v>0</v>
      </c>
      <c r="D173" s="30" t="str">
        <f>"#"&amp;$S$2&amp;"#"&amp;$T$2&amp;"."&amp;$P$2&amp;".TS209_224_TS219"</f>
        <v>#15#\\SERVER-ASCUER\Relematika.Modbus.OPCDAServer.SHTN10.TS209_224_TS219</v>
      </c>
    </row>
    <row r="174" spans="1:4" ht="15" customHeight="1">
      <c r="A174" s="29" t="str">
        <f t="shared" si="16"/>
        <v>ASUES.ES.ZRU10kV.SHTN10.TEL.wLowBat</v>
      </c>
      <c r="B174">
        <v>7998</v>
      </c>
      <c r="C174" t="s">
        <v>6</v>
      </c>
      <c r="D174" s="30">
        <v>1</v>
      </c>
    </row>
    <row r="175" spans="1:4" ht="15" customHeight="1">
      <c r="A175" s="29" t="str">
        <f t="shared" si="16"/>
        <v>ASUES.ES.ZRU10kV.SHTN10.TEL.wLowBat</v>
      </c>
      <c r="B175">
        <v>101</v>
      </c>
      <c r="C175" t="s">
        <v>0</v>
      </c>
      <c r="D175" s="30" t="s">
        <v>1510</v>
      </c>
    </row>
    <row r="176" spans="1:4" ht="15" customHeight="1">
      <c r="A176" s="29" t="str">
        <f t="shared" si="16"/>
        <v>ASUES.ES.ZRU10kV.SHTN10.TEL.wLowBat</v>
      </c>
      <c r="B176">
        <v>3</v>
      </c>
      <c r="C176" t="s">
        <v>1</v>
      </c>
      <c r="D176" s="30">
        <v>192</v>
      </c>
    </row>
    <row r="177" spans="1:4" ht="15" customHeight="1">
      <c r="A177" s="29" t="str">
        <f t="shared" si="16"/>
        <v>ASUES.ES.ZRU10kV.SHTN10.TEL.wLowBat</v>
      </c>
      <c r="B177">
        <v>2</v>
      </c>
      <c r="C177" t="s">
        <v>2</v>
      </c>
      <c r="D177" s="30" t="s">
        <v>175</v>
      </c>
    </row>
    <row r="178" spans="1:4" ht="15" customHeight="1">
      <c r="A178" s="26" t="str">
        <f t="shared" si="16"/>
        <v>ASUES.ES.ZRU10kV.SHTN10.TEL.wLowBat</v>
      </c>
      <c r="B178" s="27">
        <v>1</v>
      </c>
      <c r="C178" s="27" t="s">
        <v>1</v>
      </c>
      <c r="D178" s="28">
        <v>11</v>
      </c>
    </row>
    <row r="179" spans="1:4" ht="15" customHeight="1">
      <c r="A179" s="63" t="str">
        <f t="shared" ref="A179:A188" si="17">$R$2&amp;".wLowU"</f>
        <v>ASUES.ES.ZRU10kV.SHTN10.TEL.wLowU</v>
      </c>
      <c r="B179" s="52">
        <v>11154</v>
      </c>
      <c r="C179" s="52" t="s">
        <v>4</v>
      </c>
      <c r="D179" s="199">
        <f>$Q$6</f>
        <v>8</v>
      </c>
    </row>
    <row r="180" spans="1:4" ht="15" customHeight="1">
      <c r="A180" s="63" t="str">
        <f t="shared" si="17"/>
        <v>ASUES.ES.ZRU10kV.SHTN10.TEL.wLowU</v>
      </c>
      <c r="B180" s="52">
        <v>11152</v>
      </c>
      <c r="C180" s="52" t="s">
        <v>0</v>
      </c>
      <c r="D180" s="65" t="str">
        <f>$R$6</f>
        <v>Предупреждение</v>
      </c>
    </row>
    <row r="181" spans="1:4" ht="15" customHeight="1">
      <c r="A181" s="63" t="str">
        <f t="shared" si="17"/>
        <v>ASUES.ES.ZRU10kV.SHTN10.TEL.wLowU</v>
      </c>
      <c r="B181" s="52">
        <v>11150</v>
      </c>
      <c r="C181" s="52" t="s">
        <v>0</v>
      </c>
      <c r="D181" s="65" t="s">
        <v>1511</v>
      </c>
    </row>
    <row r="182" spans="1:4" ht="15" customHeight="1">
      <c r="A182" s="63" t="str">
        <f t="shared" si="17"/>
        <v>ASUES.ES.ZRU10kV.SHTN10.TEL.wLowU</v>
      </c>
      <c r="B182" s="52">
        <v>11000</v>
      </c>
      <c r="C182" s="52" t="s">
        <v>5</v>
      </c>
      <c r="D182" s="65">
        <v>2147483680</v>
      </c>
    </row>
    <row r="183" spans="1:4" ht="15" customHeight="1">
      <c r="A183" s="29" t="str">
        <f t="shared" si="17"/>
        <v>ASUES.ES.ZRU10kV.SHTN10.TEL.wLowU</v>
      </c>
      <c r="B183">
        <v>7999</v>
      </c>
      <c r="C183" t="s">
        <v>0</v>
      </c>
      <c r="D183" s="30" t="str">
        <f>"#"&amp;$S$2&amp;"#"&amp;$T$2&amp;"."&amp;$P$2&amp;".TS209_224_TS217"</f>
        <v>#15#\\SERVER-ASCUER\Relematika.Modbus.OPCDAServer.SHTN10.TS209_224_TS217</v>
      </c>
    </row>
    <row r="184" spans="1:4" ht="15" customHeight="1">
      <c r="A184" s="29" t="str">
        <f t="shared" si="17"/>
        <v>ASUES.ES.ZRU10kV.SHTN10.TEL.wLowU</v>
      </c>
      <c r="B184">
        <v>7998</v>
      </c>
      <c r="C184" t="s">
        <v>6</v>
      </c>
      <c r="D184" s="30">
        <v>1</v>
      </c>
    </row>
    <row r="185" spans="1:4" ht="15" customHeight="1">
      <c r="A185" s="29" t="str">
        <f t="shared" si="17"/>
        <v>ASUES.ES.ZRU10kV.SHTN10.TEL.wLowU</v>
      </c>
      <c r="B185">
        <v>101</v>
      </c>
      <c r="C185" t="s">
        <v>0</v>
      </c>
      <c r="D185" s="30" t="s">
        <v>1511</v>
      </c>
    </row>
    <row r="186" spans="1:4" ht="15" customHeight="1">
      <c r="A186" s="29" t="str">
        <f t="shared" si="17"/>
        <v>ASUES.ES.ZRU10kV.SHTN10.TEL.wLowU</v>
      </c>
      <c r="B186">
        <v>3</v>
      </c>
      <c r="C186" t="s">
        <v>1</v>
      </c>
      <c r="D186" s="30">
        <v>192</v>
      </c>
    </row>
    <row r="187" spans="1:4" ht="15" customHeight="1">
      <c r="A187" s="29" t="str">
        <f t="shared" si="17"/>
        <v>ASUES.ES.ZRU10kV.SHTN10.TEL.wLowU</v>
      </c>
      <c r="B187">
        <v>2</v>
      </c>
      <c r="C187" t="s">
        <v>2</v>
      </c>
      <c r="D187" s="30" t="s">
        <v>175</v>
      </c>
    </row>
    <row r="188" spans="1:4" ht="15" customHeight="1">
      <c r="A188" s="26" t="str">
        <f t="shared" si="17"/>
        <v>ASUES.ES.ZRU10kV.SHTN10.TEL.wLowU</v>
      </c>
      <c r="B188" s="27">
        <v>1</v>
      </c>
      <c r="C188" s="27" t="s">
        <v>1</v>
      </c>
      <c r="D188" s="28">
        <v>11</v>
      </c>
    </row>
    <row r="189" spans="1:4" ht="15" customHeight="1">
      <c r="A189" s="63" t="str">
        <f t="shared" ref="A189:A198" si="18">$R$2&amp;".wOscilBlkRec"</f>
        <v>ASUES.ES.ZRU10kV.SHTN10.TEL.wOscilBlkRec</v>
      </c>
      <c r="B189" s="52">
        <v>11154</v>
      </c>
      <c r="C189" s="52" t="s">
        <v>4</v>
      </c>
      <c r="D189" s="199">
        <f>$Q$6</f>
        <v>8</v>
      </c>
    </row>
    <row r="190" spans="1:4" ht="15" customHeight="1">
      <c r="A190" s="63" t="str">
        <f t="shared" si="18"/>
        <v>ASUES.ES.ZRU10kV.SHTN10.TEL.wOscilBlkRec</v>
      </c>
      <c r="B190" s="52">
        <v>11150</v>
      </c>
      <c r="C190" s="52" t="s">
        <v>0</v>
      </c>
      <c r="D190" s="65" t="str">
        <f>$R$6</f>
        <v>Предупреждение</v>
      </c>
    </row>
    <row r="191" spans="1:4" ht="15" customHeight="1">
      <c r="A191" s="63" t="str">
        <f t="shared" si="18"/>
        <v>ASUES.ES.ZRU10kV.SHTN10.TEL.wOscilBlkRec</v>
      </c>
      <c r="B191" s="52">
        <v>11152</v>
      </c>
      <c r="C191" s="52" t="s">
        <v>0</v>
      </c>
      <c r="D191" s="65" t="s">
        <v>1546</v>
      </c>
    </row>
    <row r="192" spans="1:4" ht="15" customHeight="1">
      <c r="A192" s="63" t="str">
        <f t="shared" si="18"/>
        <v>ASUES.ES.ZRU10kV.SHTN10.TEL.wOscilBlkRec</v>
      </c>
      <c r="B192" s="52">
        <v>11000</v>
      </c>
      <c r="C192" s="52" t="s">
        <v>5</v>
      </c>
      <c r="D192" s="65">
        <v>2147483680</v>
      </c>
    </row>
    <row r="193" spans="1:4" ht="15" customHeight="1">
      <c r="A193" s="29" t="str">
        <f t="shared" si="18"/>
        <v>ASUES.ES.ZRU10kV.SHTN10.TEL.wOscilBlkRec</v>
      </c>
      <c r="B193">
        <v>7999</v>
      </c>
      <c r="C193" t="s">
        <v>0</v>
      </c>
      <c r="D193" s="30" t="str">
        <f>"#"&amp;$S$2&amp;"#"&amp;$T$2&amp;"."&amp;$P$2&amp;".TS49_64_TS50"</f>
        <v>#15#\\SERVER-ASCUER\Relematika.Modbus.OPCDAServer.SHTN10.TS49_64_TS50</v>
      </c>
    </row>
    <row r="194" spans="1:4" ht="15" customHeight="1">
      <c r="A194" s="29" t="str">
        <f t="shared" si="18"/>
        <v>ASUES.ES.ZRU10kV.SHTN10.TEL.wOscilBlkRec</v>
      </c>
      <c r="B194">
        <v>7998</v>
      </c>
      <c r="C194" t="s">
        <v>6</v>
      </c>
      <c r="D194" s="30">
        <v>1</v>
      </c>
    </row>
    <row r="195" spans="1:4" ht="15" customHeight="1">
      <c r="A195" s="29" t="str">
        <f t="shared" si="18"/>
        <v>ASUES.ES.ZRU10kV.SHTN10.TEL.wOscilBlkRec</v>
      </c>
      <c r="B195">
        <v>101</v>
      </c>
      <c r="C195" t="s">
        <v>0</v>
      </c>
      <c r="D195" s="30" t="s">
        <v>1546</v>
      </c>
    </row>
    <row r="196" spans="1:4" ht="15" customHeight="1">
      <c r="A196" s="29" t="str">
        <f t="shared" si="18"/>
        <v>ASUES.ES.ZRU10kV.SHTN10.TEL.wOscilBlkRec</v>
      </c>
      <c r="B196">
        <v>3</v>
      </c>
      <c r="C196" t="s">
        <v>1</v>
      </c>
      <c r="D196" s="30">
        <v>192</v>
      </c>
    </row>
    <row r="197" spans="1:4" ht="15" customHeight="1">
      <c r="A197" s="29" t="str">
        <f t="shared" si="18"/>
        <v>ASUES.ES.ZRU10kV.SHTN10.TEL.wOscilBlkRec</v>
      </c>
      <c r="B197">
        <v>2</v>
      </c>
      <c r="C197" t="s">
        <v>2</v>
      </c>
      <c r="D197" s="30" t="s">
        <v>3</v>
      </c>
    </row>
    <row r="198" spans="1:4" ht="15" customHeight="1">
      <c r="A198" s="26" t="str">
        <f t="shared" si="18"/>
        <v>ASUES.ES.ZRU10kV.SHTN10.TEL.wOscilBlkRec</v>
      </c>
      <c r="B198" s="27">
        <v>1</v>
      </c>
      <c r="C198" s="27" t="s">
        <v>1</v>
      </c>
      <c r="D198" s="28">
        <v>11</v>
      </c>
    </row>
    <row r="199" spans="1:4" ht="15" customHeight="1">
      <c r="A199" s="63" t="str">
        <f t="shared" ref="A199:A208" si="19">$R$2&amp;".wPhaseReverse"</f>
        <v>ASUES.ES.ZRU10kV.SHTN10.TEL.wPhaseReverse</v>
      </c>
      <c r="B199" s="52">
        <v>11154</v>
      </c>
      <c r="C199" s="52" t="s">
        <v>4</v>
      </c>
      <c r="D199" s="199">
        <f>$Q$6</f>
        <v>8</v>
      </c>
    </row>
    <row r="200" spans="1:4" ht="15" customHeight="1">
      <c r="A200" s="63" t="str">
        <f t="shared" si="19"/>
        <v>ASUES.ES.ZRU10kV.SHTN10.TEL.wPhaseReverse</v>
      </c>
      <c r="B200" s="52">
        <v>11152</v>
      </c>
      <c r="C200" s="52" t="s">
        <v>0</v>
      </c>
      <c r="D200" s="65" t="str">
        <f>$R$6</f>
        <v>Предупреждение</v>
      </c>
    </row>
    <row r="201" spans="1:4" ht="15" customHeight="1">
      <c r="A201" s="63" t="str">
        <f t="shared" si="19"/>
        <v>ASUES.ES.ZRU10kV.SHTN10.TEL.wPhaseReverse</v>
      </c>
      <c r="B201" s="52">
        <v>11150</v>
      </c>
      <c r="C201" s="52" t="s">
        <v>0</v>
      </c>
      <c r="D201" s="65" t="s">
        <v>1527</v>
      </c>
    </row>
    <row r="202" spans="1:4" ht="15" customHeight="1">
      <c r="A202" s="63" t="str">
        <f t="shared" si="19"/>
        <v>ASUES.ES.ZRU10kV.SHTN10.TEL.wPhaseReverse</v>
      </c>
      <c r="B202" s="52">
        <v>11000</v>
      </c>
      <c r="C202" s="52" t="s">
        <v>5</v>
      </c>
      <c r="D202" s="65">
        <v>2147483680</v>
      </c>
    </row>
    <row r="203" spans="1:4" ht="15" customHeight="1">
      <c r="A203" s="29" t="str">
        <f t="shared" si="19"/>
        <v>ASUES.ES.ZRU10kV.SHTN10.TEL.wPhaseReverse</v>
      </c>
      <c r="B203">
        <v>7999</v>
      </c>
      <c r="C203" t="s">
        <v>0</v>
      </c>
      <c r="D203" s="30" t="str">
        <f>"#"&amp;$S$2&amp;"#"&amp;$T$2&amp;"."&amp;$P$2&amp;".TS193_208_TS196"</f>
        <v>#15#\\SERVER-ASCUER\Relematika.Modbus.OPCDAServer.SHTN10.TS193_208_TS196</v>
      </c>
    </row>
    <row r="204" spans="1:4" ht="15" customHeight="1">
      <c r="A204" s="29" t="str">
        <f t="shared" si="19"/>
        <v>ASUES.ES.ZRU10kV.SHTN10.TEL.wPhaseReverse</v>
      </c>
      <c r="B204">
        <v>7998</v>
      </c>
      <c r="C204" t="s">
        <v>6</v>
      </c>
      <c r="D204" s="30">
        <v>1</v>
      </c>
    </row>
    <row r="205" spans="1:4" ht="15" customHeight="1">
      <c r="A205" s="29" t="str">
        <f t="shared" si="19"/>
        <v>ASUES.ES.ZRU10kV.SHTN10.TEL.wPhaseReverse</v>
      </c>
      <c r="B205">
        <v>101</v>
      </c>
      <c r="C205" t="s">
        <v>0</v>
      </c>
      <c r="D205" s="30" t="s">
        <v>1527</v>
      </c>
    </row>
    <row r="206" spans="1:4" ht="15" customHeight="1">
      <c r="A206" s="29" t="str">
        <f t="shared" si="19"/>
        <v>ASUES.ES.ZRU10kV.SHTN10.TEL.wPhaseReverse</v>
      </c>
      <c r="B206">
        <v>3</v>
      </c>
      <c r="C206" t="s">
        <v>1</v>
      </c>
      <c r="D206" s="30">
        <v>192</v>
      </c>
    </row>
    <row r="207" spans="1:4" ht="15" customHeight="1">
      <c r="A207" s="29" t="str">
        <f t="shared" si="19"/>
        <v>ASUES.ES.ZRU10kV.SHTN10.TEL.wPhaseReverse</v>
      </c>
      <c r="B207">
        <v>2</v>
      </c>
      <c r="C207" t="s">
        <v>2</v>
      </c>
      <c r="D207" s="30" t="s">
        <v>175</v>
      </c>
    </row>
    <row r="208" spans="1:4" ht="15" customHeight="1">
      <c r="A208" s="26" t="str">
        <f t="shared" si="19"/>
        <v>ASUES.ES.ZRU10kV.SHTN10.TEL.wPhaseReverse</v>
      </c>
      <c r="B208" s="27">
        <v>1</v>
      </c>
      <c r="C208" s="27" t="s">
        <v>1</v>
      </c>
      <c r="D208" s="28">
        <v>11</v>
      </c>
    </row>
    <row r="209" spans="1:4" ht="15" customHeight="1">
      <c r="A209" s="63" t="str">
        <f t="shared" ref="A209:A218" si="20">$R$2&amp;".wACHR_On"</f>
        <v>ASUES.ES.ZRU10kV.SHTN10.TEL.wACHR_On</v>
      </c>
      <c r="B209" s="52">
        <v>11154</v>
      </c>
      <c r="C209" s="52" t="s">
        <v>4</v>
      </c>
      <c r="D209" s="199">
        <f>$Q$6</f>
        <v>8</v>
      </c>
    </row>
    <row r="210" spans="1:4" ht="15" customHeight="1">
      <c r="A210" s="63" t="str">
        <f t="shared" si="20"/>
        <v>ASUES.ES.ZRU10kV.SHTN10.TEL.wACHR_On</v>
      </c>
      <c r="B210" s="52">
        <v>11152</v>
      </c>
      <c r="C210" s="52" t="s">
        <v>0</v>
      </c>
      <c r="D210" s="65" t="str">
        <f>$R$6</f>
        <v>Предупреждение</v>
      </c>
    </row>
    <row r="211" spans="1:4" ht="15" customHeight="1">
      <c r="A211" s="63" t="str">
        <f t="shared" si="20"/>
        <v>ASUES.ES.ZRU10kV.SHTN10.TEL.wACHR_On</v>
      </c>
      <c r="B211" s="52">
        <v>11150</v>
      </c>
      <c r="C211" s="52" t="s">
        <v>0</v>
      </c>
      <c r="D211" s="65" t="s">
        <v>1578</v>
      </c>
    </row>
    <row r="212" spans="1:4" ht="15" customHeight="1">
      <c r="A212" s="63" t="str">
        <f t="shared" si="20"/>
        <v>ASUES.ES.ZRU10kV.SHTN10.TEL.wACHR_On</v>
      </c>
      <c r="B212" s="52">
        <v>11000</v>
      </c>
      <c r="C212" s="52" t="s">
        <v>5</v>
      </c>
      <c r="D212" s="65">
        <v>2147483680</v>
      </c>
    </row>
    <row r="213" spans="1:4" ht="15" customHeight="1">
      <c r="A213" s="29" t="str">
        <f t="shared" si="20"/>
        <v>ASUES.ES.ZRU10kV.SHTN10.TEL.wACHR_On</v>
      </c>
      <c r="B213">
        <v>7999</v>
      </c>
      <c r="C213" t="s">
        <v>0</v>
      </c>
      <c r="D213" s="30" t="str">
        <f>"#"&amp;$S$2&amp;"#"&amp;$T$2&amp;"."&amp;$P$2&amp;".TS209_224_TS221"</f>
        <v>#15#\\SERVER-ASCUER\Relematika.Modbus.OPCDAServer.SHTN10.TS209_224_TS221</v>
      </c>
    </row>
    <row r="214" spans="1:4" ht="15" customHeight="1">
      <c r="A214" s="29" t="str">
        <f t="shared" si="20"/>
        <v>ASUES.ES.ZRU10kV.SHTN10.TEL.wACHR_On</v>
      </c>
      <c r="B214">
        <v>7998</v>
      </c>
      <c r="C214" t="s">
        <v>6</v>
      </c>
      <c r="D214" s="30">
        <v>1</v>
      </c>
    </row>
    <row r="215" spans="1:4" ht="15" customHeight="1">
      <c r="A215" s="29" t="str">
        <f t="shared" si="20"/>
        <v>ASUES.ES.ZRU10kV.SHTN10.TEL.wACHR_On</v>
      </c>
      <c r="B215">
        <v>101</v>
      </c>
      <c r="C215" t="s">
        <v>0</v>
      </c>
      <c r="D215" s="30" t="s">
        <v>1578</v>
      </c>
    </row>
    <row r="216" spans="1:4" ht="15" customHeight="1">
      <c r="A216" s="29" t="str">
        <f t="shared" si="20"/>
        <v>ASUES.ES.ZRU10kV.SHTN10.TEL.wACHR_On</v>
      </c>
      <c r="B216">
        <v>3</v>
      </c>
      <c r="C216" t="s">
        <v>1</v>
      </c>
      <c r="D216" s="30">
        <v>192</v>
      </c>
    </row>
    <row r="217" spans="1:4" ht="15" customHeight="1">
      <c r="A217" s="29" t="str">
        <f t="shared" si="20"/>
        <v>ASUES.ES.ZRU10kV.SHTN10.TEL.wACHR_On</v>
      </c>
      <c r="B217">
        <v>2</v>
      </c>
      <c r="C217" t="s">
        <v>2</v>
      </c>
      <c r="D217" s="30" t="s">
        <v>175</v>
      </c>
    </row>
    <row r="218" spans="1:4" ht="15" customHeight="1">
      <c r="A218" s="26" t="str">
        <f t="shared" si="20"/>
        <v>ASUES.ES.ZRU10kV.SHTN10.TEL.wACHR_On</v>
      </c>
      <c r="B218" s="27">
        <v>1</v>
      </c>
      <c r="C218" s="27" t="s">
        <v>1</v>
      </c>
      <c r="D218" s="28">
        <v>11</v>
      </c>
    </row>
    <row r="219" spans="1:4" ht="15" customHeight="1">
      <c r="A219" s="63" t="str">
        <f t="shared" ref="A219:A228" si="21">$R$2&amp;".wTN_Off"</f>
        <v>ASUES.ES.ZRU10kV.SHTN10.TEL.wTN_Off</v>
      </c>
      <c r="B219" s="52">
        <v>11154</v>
      </c>
      <c r="C219" s="52" t="s">
        <v>4</v>
      </c>
      <c r="D219" s="199">
        <f>$Q$6</f>
        <v>8</v>
      </c>
    </row>
    <row r="220" spans="1:4" ht="15" customHeight="1">
      <c r="A220" s="63" t="str">
        <f t="shared" si="21"/>
        <v>ASUES.ES.ZRU10kV.SHTN10.TEL.wTN_Off</v>
      </c>
      <c r="B220" s="52">
        <v>11152</v>
      </c>
      <c r="C220" s="52" t="s">
        <v>0</v>
      </c>
      <c r="D220" s="65" t="str">
        <f>$R$6</f>
        <v>Предупреждение</v>
      </c>
    </row>
    <row r="221" spans="1:4" ht="15" customHeight="1">
      <c r="A221" s="63" t="str">
        <f t="shared" si="21"/>
        <v>ASUES.ES.ZRU10kV.SHTN10.TEL.wTN_Off</v>
      </c>
      <c r="B221" s="52">
        <v>11150</v>
      </c>
      <c r="C221" s="52" t="s">
        <v>0</v>
      </c>
      <c r="D221" s="65" t="s">
        <v>1534</v>
      </c>
    </row>
    <row r="222" spans="1:4" ht="15" customHeight="1">
      <c r="A222" s="63" t="str">
        <f t="shared" si="21"/>
        <v>ASUES.ES.ZRU10kV.SHTN10.TEL.wTN_Off</v>
      </c>
      <c r="B222" s="52">
        <v>11000</v>
      </c>
      <c r="C222" s="52" t="s">
        <v>5</v>
      </c>
      <c r="D222" s="65">
        <v>2147483680</v>
      </c>
    </row>
    <row r="223" spans="1:4" ht="15" customHeight="1">
      <c r="A223" s="29" t="str">
        <f t="shared" si="21"/>
        <v>ASUES.ES.ZRU10kV.SHTN10.TEL.wTN_Off</v>
      </c>
      <c r="B223">
        <v>7999</v>
      </c>
      <c r="C223" t="s">
        <v>0</v>
      </c>
      <c r="D223" s="30" t="str">
        <f>"#"&amp;$S$2&amp;"#"&amp;$T$2&amp;"."&amp;$P$2&amp;".TS209_224_TS220"</f>
        <v>#15#\\SERVER-ASCUER\Relematika.Modbus.OPCDAServer.SHTN10.TS209_224_TS220</v>
      </c>
    </row>
    <row r="224" spans="1:4" ht="15" customHeight="1">
      <c r="A224" s="29" t="str">
        <f t="shared" si="21"/>
        <v>ASUES.ES.ZRU10kV.SHTN10.TEL.wTN_Off</v>
      </c>
      <c r="B224">
        <v>7998</v>
      </c>
      <c r="C224" t="s">
        <v>6</v>
      </c>
      <c r="D224" s="30">
        <v>1</v>
      </c>
    </row>
    <row r="225" spans="1:4" ht="15" customHeight="1">
      <c r="A225" s="29" t="str">
        <f t="shared" si="21"/>
        <v>ASUES.ES.ZRU10kV.SHTN10.TEL.wTN_Off</v>
      </c>
      <c r="B225">
        <v>101</v>
      </c>
      <c r="C225" t="s">
        <v>0</v>
      </c>
      <c r="D225" s="30" t="s">
        <v>1534</v>
      </c>
    </row>
    <row r="226" spans="1:4" ht="15" customHeight="1">
      <c r="A226" s="29" t="str">
        <f t="shared" si="21"/>
        <v>ASUES.ES.ZRU10kV.SHTN10.TEL.wTN_Off</v>
      </c>
      <c r="B226">
        <v>3</v>
      </c>
      <c r="C226" t="s">
        <v>1</v>
      </c>
      <c r="D226" s="30">
        <v>192</v>
      </c>
    </row>
    <row r="227" spans="1:4" ht="15" customHeight="1">
      <c r="A227" s="29" t="str">
        <f t="shared" si="21"/>
        <v>ASUES.ES.ZRU10kV.SHTN10.TEL.wTN_Off</v>
      </c>
      <c r="B227">
        <v>2</v>
      </c>
      <c r="C227" t="s">
        <v>2</v>
      </c>
      <c r="D227" s="30" t="s">
        <v>175</v>
      </c>
    </row>
    <row r="228" spans="1:4" ht="15" customHeight="1">
      <c r="A228" s="26" t="str">
        <f t="shared" si="21"/>
        <v>ASUES.ES.ZRU10kV.SHTN10.TEL.wTN_Off</v>
      </c>
      <c r="B228" s="27">
        <v>1</v>
      </c>
      <c r="C228" s="27" t="s">
        <v>1</v>
      </c>
      <c r="D228" s="28">
        <v>11</v>
      </c>
    </row>
    <row r="229" spans="1:4" ht="15" customHeight="1">
      <c r="A229" s="217" t="str">
        <f>$R$2&amp;".NotConnected"</f>
        <v>ASUES.ES.ZRU10kV.SHTN10.TEL.NotConnected</v>
      </c>
      <c r="B229" s="218">
        <v>11154</v>
      </c>
      <c r="C229" s="218" t="s">
        <v>4</v>
      </c>
      <c r="D229" s="231">
        <f>$Q$7</f>
        <v>12</v>
      </c>
    </row>
    <row r="230" spans="1:4" ht="15" customHeight="1">
      <c r="A230" s="211" t="str">
        <f t="shared" ref="A230:A238" si="22">$R$2&amp;".NotConnected"</f>
        <v>ASUES.ES.ZRU10kV.SHTN10.TEL.NotConnected</v>
      </c>
      <c r="B230" s="677">
        <v>11152</v>
      </c>
      <c r="C230" s="677" t="s">
        <v>0</v>
      </c>
      <c r="D230" s="213" t="str">
        <f>$R$7</f>
        <v>Неисправность</v>
      </c>
    </row>
    <row r="231" spans="1:4" ht="15" customHeight="1">
      <c r="A231" s="211" t="str">
        <f t="shared" si="22"/>
        <v>ASUES.ES.ZRU10kV.SHTN10.TEL.NotConnected</v>
      </c>
      <c r="B231" s="677">
        <v>11150</v>
      </c>
      <c r="C231" s="677" t="s">
        <v>0</v>
      </c>
      <c r="D231" s="213" t="s">
        <v>448</v>
      </c>
    </row>
    <row r="232" spans="1:4" ht="15" customHeight="1">
      <c r="A232" s="211" t="str">
        <f t="shared" si="22"/>
        <v>ASUES.ES.ZRU10kV.SHTN10.TEL.NotConnected</v>
      </c>
      <c r="B232" s="677">
        <v>11000</v>
      </c>
      <c r="C232" s="677" t="s">
        <v>5</v>
      </c>
      <c r="D232" s="213">
        <v>2147483680</v>
      </c>
    </row>
    <row r="233" spans="1:4" ht="15" customHeight="1">
      <c r="A233" s="29" t="str">
        <f t="shared" si="22"/>
        <v>ASUES.ES.ZRU10kV.SHTN10.TEL.NotConnected</v>
      </c>
      <c r="B233">
        <v>7999</v>
      </c>
      <c r="C233" t="s">
        <v>0</v>
      </c>
      <c r="D233" s="30" t="str">
        <f>"#"&amp;$S$2&amp;"#"&amp;$T$2&amp;"."&amp;$P$2&amp;".NotConnected"</f>
        <v>#15#\\SERVER-ASCUER\Relematika.Modbus.OPCDAServer.SHTN10.NotConnected</v>
      </c>
    </row>
    <row r="234" spans="1:4" ht="15" customHeight="1">
      <c r="A234" s="29" t="str">
        <f t="shared" si="22"/>
        <v>ASUES.ES.ZRU10kV.SHTN10.TEL.NotConnected</v>
      </c>
      <c r="B234">
        <v>7998</v>
      </c>
      <c r="C234" t="s">
        <v>6</v>
      </c>
      <c r="D234" s="30">
        <v>1</v>
      </c>
    </row>
    <row r="235" spans="1:4" ht="15" customHeight="1">
      <c r="A235" s="29" t="str">
        <f t="shared" si="22"/>
        <v>ASUES.ES.ZRU10kV.SHTN10.TEL.NotConnected</v>
      </c>
      <c r="B235">
        <v>101</v>
      </c>
      <c r="C235" t="s">
        <v>0</v>
      </c>
      <c r="D235" s="30" t="s">
        <v>448</v>
      </c>
    </row>
    <row r="236" spans="1:4" ht="15" customHeight="1">
      <c r="A236" s="29" t="str">
        <f t="shared" si="22"/>
        <v>ASUES.ES.ZRU10kV.SHTN10.TEL.NotConnected</v>
      </c>
      <c r="B236">
        <v>3</v>
      </c>
      <c r="C236" t="s">
        <v>1</v>
      </c>
      <c r="D236" s="30">
        <v>192</v>
      </c>
    </row>
    <row r="237" spans="1:4" ht="15" customHeight="1">
      <c r="A237" s="29" t="str">
        <f t="shared" si="22"/>
        <v>ASUES.ES.ZRU10kV.SHTN10.TEL.NotConnected</v>
      </c>
      <c r="B237">
        <v>2</v>
      </c>
      <c r="C237" t="s">
        <v>2</v>
      </c>
      <c r="D237" s="30" t="s">
        <v>175</v>
      </c>
    </row>
    <row r="238" spans="1:4" ht="15" customHeight="1">
      <c r="A238" s="26" t="str">
        <f t="shared" si="22"/>
        <v>ASUES.ES.ZRU10kV.SHTN10.TEL.NotConnected</v>
      </c>
      <c r="B238" s="27">
        <v>1</v>
      </c>
      <c r="C238" s="27" t="s">
        <v>1</v>
      </c>
      <c r="D238" s="28">
        <v>11</v>
      </c>
    </row>
    <row r="239" spans="1:4" ht="15" customHeight="1">
      <c r="A239" s="211" t="str">
        <f t="shared" ref="A239:A245" si="23">$R$2&amp;".wDbl"</f>
        <v>ASUES.ES.ZRU10kV.SHTN10.TEL.wDbl</v>
      </c>
      <c r="B239" s="677">
        <v>11154</v>
      </c>
      <c r="C239" s="677" t="s">
        <v>4</v>
      </c>
      <c r="D239" s="213">
        <f>$Q$7</f>
        <v>12</v>
      </c>
    </row>
    <row r="240" spans="1:4" ht="15" customHeight="1">
      <c r="A240" s="211" t="str">
        <f t="shared" si="23"/>
        <v>ASUES.ES.ZRU10kV.SHTN10.TEL.wDbl</v>
      </c>
      <c r="B240" s="677">
        <v>11152</v>
      </c>
      <c r="C240" s="677" t="s">
        <v>0</v>
      </c>
      <c r="D240" s="213" t="str">
        <f>$R$7</f>
        <v>Неисправность</v>
      </c>
    </row>
    <row r="241" spans="1:4" ht="15" customHeight="1">
      <c r="A241" s="211" t="str">
        <f t="shared" si="23"/>
        <v>ASUES.ES.ZRU10kV.SHTN10.TEL.wDbl</v>
      </c>
      <c r="B241" s="677">
        <v>11150</v>
      </c>
      <c r="C241" s="677" t="s">
        <v>0</v>
      </c>
      <c r="D241" s="213" t="s">
        <v>341</v>
      </c>
    </row>
    <row r="242" spans="1:4" ht="15" customHeight="1">
      <c r="A242" s="211" t="str">
        <f t="shared" si="23"/>
        <v>ASUES.ES.ZRU10kV.SHTN10.TEL.wDbl</v>
      </c>
      <c r="B242" s="677">
        <v>11000</v>
      </c>
      <c r="C242" s="677" t="s">
        <v>5</v>
      </c>
      <c r="D242" s="213">
        <v>2147483680</v>
      </c>
    </row>
    <row r="243" spans="1:4" ht="15" customHeight="1">
      <c r="A243" s="29" t="str">
        <f t="shared" si="23"/>
        <v>ASUES.ES.ZRU10kV.SHTN10.TEL.wDbl</v>
      </c>
      <c r="B243">
        <v>3</v>
      </c>
      <c r="C243" t="s">
        <v>1</v>
      </c>
      <c r="D243" s="30">
        <v>192</v>
      </c>
    </row>
    <row r="244" spans="1:4" ht="15" customHeight="1">
      <c r="A244" s="29" t="str">
        <f t="shared" si="23"/>
        <v>ASUES.ES.ZRU10kV.SHTN10.TEL.wDbl</v>
      </c>
      <c r="B244">
        <v>2</v>
      </c>
      <c r="C244" t="s">
        <v>2</v>
      </c>
      <c r="D244" s="30" t="s">
        <v>175</v>
      </c>
    </row>
    <row r="245" spans="1:4" ht="15" customHeight="1">
      <c r="A245" s="26" t="str">
        <f t="shared" si="23"/>
        <v>ASUES.ES.ZRU10kV.SHTN10.TEL.wDbl</v>
      </c>
      <c r="B245" s="27">
        <v>1</v>
      </c>
      <c r="C245" s="27" t="s">
        <v>1</v>
      </c>
      <c r="D245" s="28">
        <v>11</v>
      </c>
    </row>
    <row r="246" spans="1:4" ht="15" customHeight="1">
      <c r="A246" s="211" t="str">
        <f t="shared" ref="A246:A252" si="24">$R$2&amp;".wUnkw"</f>
        <v>ASUES.ES.ZRU10kV.SHTN10.TEL.wUnkw</v>
      </c>
      <c r="B246" s="677">
        <v>11154</v>
      </c>
      <c r="C246" s="677" t="s">
        <v>4</v>
      </c>
      <c r="D246" s="213">
        <f>$Q$7</f>
        <v>12</v>
      </c>
    </row>
    <row r="247" spans="1:4" ht="15" customHeight="1">
      <c r="A247" s="211" t="str">
        <f t="shared" si="24"/>
        <v>ASUES.ES.ZRU10kV.SHTN10.TEL.wUnkw</v>
      </c>
      <c r="B247" s="677">
        <v>11152</v>
      </c>
      <c r="C247" s="677" t="s">
        <v>0</v>
      </c>
      <c r="D247" s="213" t="str">
        <f>$R$7</f>
        <v>Неисправность</v>
      </c>
    </row>
    <row r="248" spans="1:4" ht="15" customHeight="1">
      <c r="A248" s="211" t="str">
        <f t="shared" si="24"/>
        <v>ASUES.ES.ZRU10kV.SHTN10.TEL.wUnkw</v>
      </c>
      <c r="B248" s="677">
        <v>11150</v>
      </c>
      <c r="C248" s="677" t="s">
        <v>0</v>
      </c>
      <c r="D248" s="213" t="s">
        <v>342</v>
      </c>
    </row>
    <row r="249" spans="1:4" ht="15" customHeight="1">
      <c r="A249" s="211" t="str">
        <f t="shared" si="24"/>
        <v>ASUES.ES.ZRU10kV.SHTN10.TEL.wUnkw</v>
      </c>
      <c r="B249" s="677">
        <v>11000</v>
      </c>
      <c r="C249" s="677" t="s">
        <v>5</v>
      </c>
      <c r="D249" s="213">
        <v>2147483680</v>
      </c>
    </row>
    <row r="250" spans="1:4" ht="15" customHeight="1">
      <c r="A250" s="29" t="str">
        <f t="shared" si="24"/>
        <v>ASUES.ES.ZRU10kV.SHTN10.TEL.wUnkw</v>
      </c>
      <c r="B250">
        <v>3</v>
      </c>
      <c r="C250" t="s">
        <v>1</v>
      </c>
      <c r="D250" s="30">
        <v>192</v>
      </c>
    </row>
    <row r="251" spans="1:4" ht="15" customHeight="1">
      <c r="A251" s="29" t="str">
        <f t="shared" si="24"/>
        <v>ASUES.ES.ZRU10kV.SHTN10.TEL.wUnkw</v>
      </c>
      <c r="B251">
        <v>2</v>
      </c>
      <c r="C251" t="s">
        <v>2</v>
      </c>
      <c r="D251" s="30" t="s">
        <v>175</v>
      </c>
    </row>
    <row r="252" spans="1:4" ht="15" customHeight="1">
      <c r="A252" s="26" t="str">
        <f t="shared" si="24"/>
        <v>ASUES.ES.ZRU10kV.SHTN10.TEL.wUnkw</v>
      </c>
      <c r="B252" s="27">
        <v>1</v>
      </c>
      <c r="C252" s="27" t="s">
        <v>1</v>
      </c>
      <c r="D252" s="28">
        <v>11</v>
      </c>
    </row>
    <row r="253" spans="1:4" ht="15" customHeight="1">
      <c r="A253" s="217" t="str">
        <f t="shared" ref="A253:A262" si="25">$R$2&amp;".wBrkPhaseLEP"</f>
        <v>ASUES.ES.ZRU10kV.SHTN10.TEL.wBrkPhaseLEP</v>
      </c>
      <c r="B253" s="218">
        <v>11154</v>
      </c>
      <c r="C253" s="218" t="s">
        <v>4</v>
      </c>
      <c r="D253" s="231">
        <f>$Q$7</f>
        <v>12</v>
      </c>
    </row>
    <row r="254" spans="1:4" ht="15" customHeight="1">
      <c r="A254" s="211" t="str">
        <f t="shared" si="25"/>
        <v>ASUES.ES.ZRU10kV.SHTN10.TEL.wBrkPhaseLEP</v>
      </c>
      <c r="B254" s="677">
        <v>11152</v>
      </c>
      <c r="C254" s="677" t="s">
        <v>0</v>
      </c>
      <c r="D254" s="213" t="str">
        <f>$R$7</f>
        <v>Неисправность</v>
      </c>
    </row>
    <row r="255" spans="1:4" ht="15" customHeight="1">
      <c r="A255" s="211" t="str">
        <f t="shared" si="25"/>
        <v>ASUES.ES.ZRU10kV.SHTN10.TEL.wBrkPhaseLEP</v>
      </c>
      <c r="B255" s="677">
        <v>11150</v>
      </c>
      <c r="C255" s="677" t="s">
        <v>0</v>
      </c>
      <c r="D255" s="213" t="s">
        <v>1576</v>
      </c>
    </row>
    <row r="256" spans="1:4" ht="15" customHeight="1">
      <c r="A256" s="211" t="str">
        <f t="shared" si="25"/>
        <v>ASUES.ES.ZRU10kV.SHTN10.TEL.wBrkPhaseLEP</v>
      </c>
      <c r="B256" s="677">
        <v>11000</v>
      </c>
      <c r="C256" s="677" t="s">
        <v>5</v>
      </c>
      <c r="D256" s="213">
        <v>2147483680</v>
      </c>
    </row>
    <row r="257" spans="1:4" ht="15" customHeight="1">
      <c r="A257" s="29" t="str">
        <f t="shared" si="25"/>
        <v>ASUES.ES.ZRU10kV.SHTN10.TEL.wBrkPhaseLEP</v>
      </c>
      <c r="B257">
        <v>7999</v>
      </c>
      <c r="C257" t="s">
        <v>0</v>
      </c>
      <c r="D257" s="30" t="str">
        <f>"#"&amp;$S$2&amp;"#"&amp;$T$2&amp;"."&amp;$P$2&amp;".TS177_192_TS179"</f>
        <v>#15#\\SERVER-ASCUER\Relematika.Modbus.OPCDAServer.SHTN10.TS177_192_TS179</v>
      </c>
    </row>
    <row r="258" spans="1:4" ht="15" customHeight="1">
      <c r="A258" s="29" t="str">
        <f t="shared" si="25"/>
        <v>ASUES.ES.ZRU10kV.SHTN10.TEL.wBrkPhaseLEP</v>
      </c>
      <c r="B258">
        <v>7998</v>
      </c>
      <c r="C258" t="s">
        <v>6</v>
      </c>
      <c r="D258" s="30">
        <v>1</v>
      </c>
    </row>
    <row r="259" spans="1:4" ht="15" customHeight="1">
      <c r="A259" s="29" t="str">
        <f t="shared" si="25"/>
        <v>ASUES.ES.ZRU10kV.SHTN10.TEL.wBrkPhaseLEP</v>
      </c>
      <c r="B259">
        <v>101</v>
      </c>
      <c r="C259" t="s">
        <v>0</v>
      </c>
      <c r="D259" s="30" t="s">
        <v>1576</v>
      </c>
    </row>
    <row r="260" spans="1:4" ht="15" customHeight="1">
      <c r="A260" s="29" t="str">
        <f t="shared" si="25"/>
        <v>ASUES.ES.ZRU10kV.SHTN10.TEL.wBrkPhaseLEP</v>
      </c>
      <c r="B260">
        <v>3</v>
      </c>
      <c r="C260" t="s">
        <v>1</v>
      </c>
      <c r="D260" s="30">
        <v>192</v>
      </c>
    </row>
    <row r="261" spans="1:4" ht="15" customHeight="1">
      <c r="A261" s="29" t="str">
        <f t="shared" si="25"/>
        <v>ASUES.ES.ZRU10kV.SHTN10.TEL.wBrkPhaseLEP</v>
      </c>
      <c r="B261">
        <v>2</v>
      </c>
      <c r="C261" t="s">
        <v>2</v>
      </c>
      <c r="D261" s="30" t="s">
        <v>175</v>
      </c>
    </row>
    <row r="262" spans="1:4" ht="15" customHeight="1">
      <c r="A262" s="26" t="str">
        <f t="shared" si="25"/>
        <v>ASUES.ES.ZRU10kV.SHTN10.TEL.wBrkPhaseLEP</v>
      </c>
      <c r="B262" s="27">
        <v>1</v>
      </c>
      <c r="C262" s="27" t="s">
        <v>1</v>
      </c>
      <c r="D262" s="28">
        <v>11</v>
      </c>
    </row>
    <row r="263" spans="1:4" ht="15" customHeight="1">
      <c r="A263" s="217" t="str">
        <f t="shared" ref="A263:A272" si="26">$R$2&amp;".wV0_Flt"</f>
        <v>ASUES.ES.ZRU10kV.SHTN10.TEL.wV0_Flt</v>
      </c>
      <c r="B263" s="218">
        <v>11154</v>
      </c>
      <c r="C263" s="218" t="s">
        <v>4</v>
      </c>
      <c r="D263" s="231">
        <f>$Q$7</f>
        <v>12</v>
      </c>
    </row>
    <row r="264" spans="1:4" ht="15" customHeight="1">
      <c r="A264" s="211" t="str">
        <f t="shared" si="26"/>
        <v>ASUES.ES.ZRU10kV.SHTN10.TEL.wV0_Flt</v>
      </c>
      <c r="B264" s="677">
        <v>11152</v>
      </c>
      <c r="C264" s="677" t="s">
        <v>0</v>
      </c>
      <c r="D264" s="213" t="str">
        <f>$R$7</f>
        <v>Неисправность</v>
      </c>
    </row>
    <row r="265" spans="1:4" ht="15" customHeight="1">
      <c r="A265" s="211" t="str">
        <f t="shared" si="26"/>
        <v>ASUES.ES.ZRU10kV.SHTN10.TEL.wV0_Flt</v>
      </c>
      <c r="B265" s="677">
        <v>11150</v>
      </c>
      <c r="C265" s="677" t="s">
        <v>0</v>
      </c>
      <c r="D265" s="213" t="s">
        <v>1680</v>
      </c>
    </row>
    <row r="266" spans="1:4" ht="15" customHeight="1">
      <c r="A266" s="211" t="str">
        <f t="shared" si="26"/>
        <v>ASUES.ES.ZRU10kV.SHTN10.TEL.wV0_Flt</v>
      </c>
      <c r="B266" s="677">
        <v>11000</v>
      </c>
      <c r="C266" s="677" t="s">
        <v>5</v>
      </c>
      <c r="D266" s="213">
        <v>2147483680</v>
      </c>
    </row>
    <row r="267" spans="1:4" ht="15" customHeight="1">
      <c r="A267" s="29" t="str">
        <f t="shared" si="26"/>
        <v>ASUES.ES.ZRU10kV.SHTN10.TEL.wV0_Flt</v>
      </c>
      <c r="B267">
        <v>7999</v>
      </c>
      <c r="C267" t="s">
        <v>0</v>
      </c>
      <c r="D267" s="30" t="str">
        <f>"#"&amp;$S$2&amp;"#"&amp;$T$2&amp;"."&amp;$P$2&amp;".TS209_224_TS211"</f>
        <v>#15#\\SERVER-ASCUER\Relematika.Modbus.OPCDAServer.SHTN10.TS209_224_TS211</v>
      </c>
    </row>
    <row r="268" spans="1:4" ht="15" customHeight="1">
      <c r="A268" s="29" t="str">
        <f t="shared" si="26"/>
        <v>ASUES.ES.ZRU10kV.SHTN10.TEL.wV0_Flt</v>
      </c>
      <c r="B268">
        <v>7998</v>
      </c>
      <c r="C268" t="s">
        <v>6</v>
      </c>
      <c r="D268" s="30">
        <v>1</v>
      </c>
    </row>
    <row r="269" spans="1:4" ht="15" customHeight="1">
      <c r="A269" s="29" t="str">
        <f t="shared" si="26"/>
        <v>ASUES.ES.ZRU10kV.SHTN10.TEL.wV0_Flt</v>
      </c>
      <c r="B269">
        <v>101</v>
      </c>
      <c r="C269" t="s">
        <v>0</v>
      </c>
      <c r="D269" s="30" t="s">
        <v>1680</v>
      </c>
    </row>
    <row r="270" spans="1:4" ht="15" customHeight="1">
      <c r="A270" s="29" t="str">
        <f t="shared" si="26"/>
        <v>ASUES.ES.ZRU10kV.SHTN10.TEL.wV0_Flt</v>
      </c>
      <c r="B270">
        <v>3</v>
      </c>
      <c r="C270" t="s">
        <v>1</v>
      </c>
      <c r="D270" s="30">
        <v>192</v>
      </c>
    </row>
    <row r="271" spans="1:4" ht="15" customHeight="1">
      <c r="A271" s="29" t="str">
        <f t="shared" si="26"/>
        <v>ASUES.ES.ZRU10kV.SHTN10.TEL.wV0_Flt</v>
      </c>
      <c r="B271">
        <v>2</v>
      </c>
      <c r="C271" t="s">
        <v>2</v>
      </c>
      <c r="D271" s="30" t="s">
        <v>175</v>
      </c>
    </row>
    <row r="272" spans="1:4" ht="15" customHeight="1">
      <c r="A272" s="26" t="str">
        <f t="shared" si="26"/>
        <v>ASUES.ES.ZRU10kV.SHTN10.TEL.wV0_Flt</v>
      </c>
      <c r="B272" s="27">
        <v>1</v>
      </c>
      <c r="C272" s="27" t="s">
        <v>1</v>
      </c>
      <c r="D272" s="28">
        <v>11</v>
      </c>
    </row>
    <row r="273" spans="1:4" ht="15" customHeight="1">
      <c r="A273" s="217" t="str">
        <f t="shared" ref="A273:A282" si="27">$R$2&amp;".wTN_Flt"</f>
        <v>ASUES.ES.ZRU10kV.SHTN10.TEL.wTN_Flt</v>
      </c>
      <c r="B273" s="218">
        <v>11154</v>
      </c>
      <c r="C273" s="218" t="s">
        <v>4</v>
      </c>
      <c r="D273" s="231">
        <f>$Q$7</f>
        <v>12</v>
      </c>
    </row>
    <row r="274" spans="1:4" ht="15" customHeight="1">
      <c r="A274" s="211" t="str">
        <f t="shared" si="27"/>
        <v>ASUES.ES.ZRU10kV.SHTN10.TEL.wTN_Flt</v>
      </c>
      <c r="B274" s="677">
        <v>11152</v>
      </c>
      <c r="C274" s="677" t="s">
        <v>0</v>
      </c>
      <c r="D274" s="213" t="str">
        <f>$R$7</f>
        <v>Неисправность</v>
      </c>
    </row>
    <row r="275" spans="1:4" ht="15" customHeight="1">
      <c r="A275" s="211" t="str">
        <f t="shared" si="27"/>
        <v>ASUES.ES.ZRU10kV.SHTN10.TEL.wTN_Flt</v>
      </c>
      <c r="B275" s="677">
        <v>11150</v>
      </c>
      <c r="C275" s="677" t="s">
        <v>0</v>
      </c>
      <c r="D275" s="213" t="s">
        <v>1681</v>
      </c>
    </row>
    <row r="276" spans="1:4" ht="15" customHeight="1">
      <c r="A276" s="211" t="str">
        <f t="shared" si="27"/>
        <v>ASUES.ES.ZRU10kV.SHTN10.TEL.wTN_Flt</v>
      </c>
      <c r="B276" s="677">
        <v>11000</v>
      </c>
      <c r="C276" s="677" t="s">
        <v>5</v>
      </c>
      <c r="D276" s="213">
        <v>2147483680</v>
      </c>
    </row>
    <row r="277" spans="1:4" ht="15" customHeight="1">
      <c r="A277" s="29" t="str">
        <f t="shared" si="27"/>
        <v>ASUES.ES.ZRU10kV.SHTN10.TEL.wTN_Flt</v>
      </c>
      <c r="B277">
        <v>7999</v>
      </c>
      <c r="C277" t="s">
        <v>0</v>
      </c>
      <c r="D277" s="30" t="str">
        <f>"#"&amp;$S$2&amp;"#"&amp;$T$2&amp;"."&amp;$P$2&amp;".TS209_224_TS210"</f>
        <v>#15#\\SERVER-ASCUER\Relematika.Modbus.OPCDAServer.SHTN10.TS209_224_TS210</v>
      </c>
    </row>
    <row r="278" spans="1:4" ht="15" customHeight="1">
      <c r="A278" s="29" t="str">
        <f t="shared" si="27"/>
        <v>ASUES.ES.ZRU10kV.SHTN10.TEL.wTN_Flt</v>
      </c>
      <c r="B278">
        <v>7998</v>
      </c>
      <c r="C278" t="s">
        <v>6</v>
      </c>
      <c r="D278" s="30">
        <v>1</v>
      </c>
    </row>
    <row r="279" spans="1:4" ht="15" customHeight="1">
      <c r="A279" s="29" t="str">
        <f t="shared" si="27"/>
        <v>ASUES.ES.ZRU10kV.SHTN10.TEL.wTN_Flt</v>
      </c>
      <c r="B279">
        <v>101</v>
      </c>
      <c r="C279" t="s">
        <v>0</v>
      </c>
      <c r="D279" s="30" t="s">
        <v>1681</v>
      </c>
    </row>
    <row r="280" spans="1:4" ht="15" customHeight="1">
      <c r="A280" s="29" t="str">
        <f t="shared" si="27"/>
        <v>ASUES.ES.ZRU10kV.SHTN10.TEL.wTN_Flt</v>
      </c>
      <c r="B280">
        <v>3</v>
      </c>
      <c r="C280" t="s">
        <v>1</v>
      </c>
      <c r="D280" s="30">
        <v>192</v>
      </c>
    </row>
    <row r="281" spans="1:4" ht="15" customHeight="1">
      <c r="A281" s="29" t="str">
        <f t="shared" si="27"/>
        <v>ASUES.ES.ZRU10kV.SHTN10.TEL.wTN_Flt</v>
      </c>
      <c r="B281">
        <v>2</v>
      </c>
      <c r="C281" t="s">
        <v>2</v>
      </c>
      <c r="D281" s="30" t="s">
        <v>175</v>
      </c>
    </row>
    <row r="282" spans="1:4" ht="15" customHeight="1">
      <c r="A282" s="26" t="str">
        <f t="shared" si="27"/>
        <v>ASUES.ES.ZRU10kV.SHTN10.TEL.wTN_Flt</v>
      </c>
      <c r="B282" s="27">
        <v>1</v>
      </c>
      <c r="C282" s="27" t="s">
        <v>1</v>
      </c>
      <c r="D282" s="28">
        <v>11</v>
      </c>
    </row>
    <row r="283" spans="1:4" ht="15" customHeight="1">
      <c r="A283" s="217" t="str">
        <f>$R$2&amp;".wGenFlt"</f>
        <v>ASUES.ES.ZRU10kV.SHTN10.TEL.wGenFlt</v>
      </c>
      <c r="B283" s="218">
        <v>11154</v>
      </c>
      <c r="C283" s="218" t="s">
        <v>4</v>
      </c>
      <c r="D283" s="231">
        <f>$Q$7</f>
        <v>12</v>
      </c>
    </row>
    <row r="284" spans="1:4" ht="15" customHeight="1">
      <c r="A284" s="211" t="str">
        <f t="shared" ref="A284:A292" si="28">$R$2&amp;".wGenFlt"</f>
        <v>ASUES.ES.ZRU10kV.SHTN10.TEL.wGenFlt</v>
      </c>
      <c r="B284" s="677">
        <v>11152</v>
      </c>
      <c r="C284" s="677" t="s">
        <v>0</v>
      </c>
      <c r="D284" s="213" t="str">
        <f>$R$7</f>
        <v>Неисправность</v>
      </c>
    </row>
    <row r="285" spans="1:4" ht="15" customHeight="1">
      <c r="A285" s="211" t="str">
        <f t="shared" si="28"/>
        <v>ASUES.ES.ZRU10kV.SHTN10.TEL.wGenFlt</v>
      </c>
      <c r="B285" s="677">
        <v>11150</v>
      </c>
      <c r="C285" s="677" t="s">
        <v>0</v>
      </c>
      <c r="D285" s="213" t="s">
        <v>139</v>
      </c>
    </row>
    <row r="286" spans="1:4" ht="15" customHeight="1">
      <c r="A286" s="211" t="str">
        <f t="shared" si="28"/>
        <v>ASUES.ES.ZRU10kV.SHTN10.TEL.wGenFlt</v>
      </c>
      <c r="B286" s="677">
        <v>11000</v>
      </c>
      <c r="C286" s="677" t="s">
        <v>5</v>
      </c>
      <c r="D286" s="213">
        <v>2147483680</v>
      </c>
    </row>
    <row r="287" spans="1:4" ht="15" customHeight="1">
      <c r="A287" s="29" t="str">
        <f t="shared" si="28"/>
        <v>ASUES.ES.ZRU10kV.SHTN10.TEL.wGenFlt</v>
      </c>
      <c r="B287">
        <v>7999</v>
      </c>
      <c r="C287" t="s">
        <v>0</v>
      </c>
      <c r="D287" s="30" t="str">
        <f>"#"&amp;$S$2&amp;"#"&amp;$T$2&amp;"."&amp;$P$2&amp;".TS49_64_TS52"</f>
        <v>#15#\\SERVER-ASCUER\Relematika.Modbus.OPCDAServer.SHTN10.TS49_64_TS52</v>
      </c>
    </row>
    <row r="288" spans="1:4" ht="15" customHeight="1">
      <c r="A288" s="29" t="str">
        <f t="shared" si="28"/>
        <v>ASUES.ES.ZRU10kV.SHTN10.TEL.wGenFlt</v>
      </c>
      <c r="B288">
        <v>7998</v>
      </c>
      <c r="C288" t="s">
        <v>6</v>
      </c>
      <c r="D288" s="30">
        <v>1</v>
      </c>
    </row>
    <row r="289" spans="1:4" ht="15" customHeight="1">
      <c r="A289" s="29" t="str">
        <f t="shared" si="28"/>
        <v>ASUES.ES.ZRU10kV.SHTN10.TEL.wGenFlt</v>
      </c>
      <c r="B289">
        <v>101</v>
      </c>
      <c r="C289" t="s">
        <v>0</v>
      </c>
      <c r="D289" s="30" t="s">
        <v>139</v>
      </c>
    </row>
    <row r="290" spans="1:4" ht="15" customHeight="1">
      <c r="A290" s="29" t="str">
        <f t="shared" si="28"/>
        <v>ASUES.ES.ZRU10kV.SHTN10.TEL.wGenFlt</v>
      </c>
      <c r="B290">
        <v>3</v>
      </c>
      <c r="C290" t="s">
        <v>1</v>
      </c>
      <c r="D290" s="30">
        <v>192</v>
      </c>
    </row>
    <row r="291" spans="1:4" ht="15" customHeight="1">
      <c r="A291" s="29" t="str">
        <f t="shared" si="28"/>
        <v>ASUES.ES.ZRU10kV.SHTN10.TEL.wGenFlt</v>
      </c>
      <c r="B291">
        <v>2</v>
      </c>
      <c r="C291" t="s">
        <v>2</v>
      </c>
      <c r="D291" s="30" t="s">
        <v>175</v>
      </c>
    </row>
    <row r="292" spans="1:4" ht="15" customHeight="1">
      <c r="A292" s="26" t="str">
        <f t="shared" si="28"/>
        <v>ASUES.ES.ZRU10kV.SHTN10.TEL.wGenFlt</v>
      </c>
      <c r="B292" s="27">
        <v>1</v>
      </c>
      <c r="C292" s="27" t="s">
        <v>1</v>
      </c>
      <c r="D292" s="28">
        <v>11</v>
      </c>
    </row>
    <row r="293" spans="1:4" ht="15" customHeight="1">
      <c r="A293" s="217" t="str">
        <f t="shared" ref="A293:A302" si="29">$R$2&amp;".wGndInCircuit"</f>
        <v>ASUES.ES.ZRU10kV.SHTN10.TEL.wGndInCircuit</v>
      </c>
      <c r="B293" s="218">
        <v>11154</v>
      </c>
      <c r="C293" s="218" t="s">
        <v>4</v>
      </c>
      <c r="D293" s="231">
        <f>$Q$7</f>
        <v>12</v>
      </c>
    </row>
    <row r="294" spans="1:4" ht="15" customHeight="1">
      <c r="A294" s="211" t="str">
        <f t="shared" si="29"/>
        <v>ASUES.ES.ZRU10kV.SHTN10.TEL.wGndInCircuit</v>
      </c>
      <c r="B294" s="677">
        <v>11152</v>
      </c>
      <c r="C294" s="677" t="s">
        <v>0</v>
      </c>
      <c r="D294" s="213" t="str">
        <f>$R$7</f>
        <v>Неисправность</v>
      </c>
    </row>
    <row r="295" spans="1:4" ht="15" customHeight="1">
      <c r="A295" s="211" t="str">
        <f t="shared" si="29"/>
        <v>ASUES.ES.ZRU10kV.SHTN10.TEL.wGndInCircuit</v>
      </c>
      <c r="B295" s="677">
        <v>11150</v>
      </c>
      <c r="C295" s="677" t="s">
        <v>0</v>
      </c>
      <c r="D295" s="213" t="s">
        <v>1577</v>
      </c>
    </row>
    <row r="296" spans="1:4" ht="15" customHeight="1">
      <c r="A296" s="211" t="str">
        <f t="shared" si="29"/>
        <v>ASUES.ES.ZRU10kV.SHTN10.TEL.wGndInCircuit</v>
      </c>
      <c r="B296" s="677">
        <v>11000</v>
      </c>
      <c r="C296" s="677" t="s">
        <v>5</v>
      </c>
      <c r="D296" s="213">
        <v>2147483680</v>
      </c>
    </row>
    <row r="297" spans="1:4" ht="15" customHeight="1">
      <c r="A297" s="29" t="str">
        <f t="shared" si="29"/>
        <v>ASUES.ES.ZRU10kV.SHTN10.TEL.wGndInCircuit</v>
      </c>
      <c r="B297">
        <v>7999</v>
      </c>
      <c r="C297" t="s">
        <v>0</v>
      </c>
      <c r="D297" s="30" t="str">
        <f>"#"&amp;$S$2&amp;"#"&amp;$T$2&amp;"."&amp;$P$2&amp;".TS81_96_TS93"</f>
        <v>#15#\\SERVER-ASCUER\Relematika.Modbus.OPCDAServer.SHTN10.TS81_96_TS93</v>
      </c>
    </row>
    <row r="298" spans="1:4" ht="15" customHeight="1">
      <c r="A298" s="29" t="str">
        <f t="shared" si="29"/>
        <v>ASUES.ES.ZRU10kV.SHTN10.TEL.wGndInCircuit</v>
      </c>
      <c r="B298">
        <v>7998</v>
      </c>
      <c r="C298" t="s">
        <v>6</v>
      </c>
      <c r="D298" s="30">
        <v>1</v>
      </c>
    </row>
    <row r="299" spans="1:4" ht="15" customHeight="1">
      <c r="A299" s="29" t="str">
        <f t="shared" si="29"/>
        <v>ASUES.ES.ZRU10kV.SHTN10.TEL.wGndInCircuit</v>
      </c>
      <c r="B299">
        <v>101</v>
      </c>
      <c r="C299" t="s">
        <v>0</v>
      </c>
      <c r="D299" s="30" t="s">
        <v>1577</v>
      </c>
    </row>
    <row r="300" spans="1:4" ht="15" customHeight="1">
      <c r="A300" s="29" t="str">
        <f t="shared" si="29"/>
        <v>ASUES.ES.ZRU10kV.SHTN10.TEL.wGndInCircuit</v>
      </c>
      <c r="B300">
        <v>3</v>
      </c>
      <c r="C300" t="s">
        <v>1</v>
      </c>
      <c r="D300" s="30">
        <v>192</v>
      </c>
    </row>
    <row r="301" spans="1:4" ht="15" customHeight="1">
      <c r="A301" s="29" t="str">
        <f t="shared" si="29"/>
        <v>ASUES.ES.ZRU10kV.SHTN10.TEL.wGndInCircuit</v>
      </c>
      <c r="B301">
        <v>2</v>
      </c>
      <c r="C301" t="s">
        <v>2</v>
      </c>
      <c r="D301" s="30" t="s">
        <v>175</v>
      </c>
    </row>
    <row r="302" spans="1:4" ht="15" customHeight="1">
      <c r="A302" s="26" t="str">
        <f t="shared" si="29"/>
        <v>ASUES.ES.ZRU10kV.SHTN10.TEL.wGndInCircuit</v>
      </c>
      <c r="B302" s="27">
        <v>1</v>
      </c>
      <c r="C302" s="27" t="s">
        <v>1</v>
      </c>
      <c r="D302" s="28">
        <v>11</v>
      </c>
    </row>
    <row r="303" spans="1:4" ht="15" customHeight="1">
      <c r="A303" s="29" t="str">
        <f t="shared" ref="A303:A314" si="30">$R$2&amp;".stOff"</f>
        <v>ASUES.ES.ZRU10kV.SHTN10.TEL.stOff</v>
      </c>
      <c r="B303">
        <v>7000000</v>
      </c>
      <c r="C303" t="s">
        <v>6</v>
      </c>
      <c r="D303" s="30">
        <v>1</v>
      </c>
    </row>
    <row r="304" spans="1:4" ht="15" customHeight="1">
      <c r="A304" s="29" t="str">
        <f t="shared" si="30"/>
        <v>ASUES.ES.ZRU10kV.SHTN10.TEL.stOff</v>
      </c>
      <c r="B304">
        <v>4000000</v>
      </c>
      <c r="C304" t="s">
        <v>0</v>
      </c>
      <c r="D304" s="685" t="s">
        <v>396</v>
      </c>
    </row>
    <row r="305" spans="1:4" ht="15" customHeight="1">
      <c r="A305" s="100" t="str">
        <f t="shared" si="30"/>
        <v>ASUES.ES.ZRU10kV.SHTN10.TEL.stOff</v>
      </c>
      <c r="B305" s="679">
        <v>11154</v>
      </c>
      <c r="C305" s="679" t="s">
        <v>4</v>
      </c>
      <c r="D305" s="536">
        <f>$Q$8</f>
        <v>18</v>
      </c>
    </row>
    <row r="306" spans="1:4" ht="15" customHeight="1">
      <c r="A306" s="100" t="str">
        <f t="shared" si="30"/>
        <v>ASUES.ES.ZRU10kV.SHTN10.TEL.stOff</v>
      </c>
      <c r="B306" s="679">
        <v>11150</v>
      </c>
      <c r="C306" s="679" t="s">
        <v>0</v>
      </c>
      <c r="D306" s="103" t="s">
        <v>336</v>
      </c>
    </row>
    <row r="307" spans="1:4" ht="15" customHeight="1">
      <c r="A307" s="100" t="str">
        <f t="shared" si="30"/>
        <v>ASUES.ES.ZRU10kV.SHTN10.TEL.stOff</v>
      </c>
      <c r="B307" s="679">
        <v>11152</v>
      </c>
      <c r="C307" s="679" t="s">
        <v>0</v>
      </c>
      <c r="D307" s="103" t="str">
        <f>$R$8</f>
        <v>Телесигнализация</v>
      </c>
    </row>
    <row r="308" spans="1:4" ht="15" customHeight="1">
      <c r="A308" s="100" t="str">
        <f t="shared" si="30"/>
        <v>ASUES.ES.ZRU10kV.SHTN10.TEL.stOff</v>
      </c>
      <c r="B308" s="679">
        <v>11000</v>
      </c>
      <c r="C308" s="679" t="s">
        <v>5</v>
      </c>
      <c r="D308" s="103">
        <v>2147483680</v>
      </c>
    </row>
    <row r="309" spans="1:4" ht="15" customHeight="1">
      <c r="A309" s="29" t="str">
        <f t="shared" si="30"/>
        <v>ASUES.ES.ZRU10kV.SHTN10.TEL.stOff</v>
      </c>
      <c r="B309">
        <v>7999</v>
      </c>
      <c r="C309" t="s">
        <v>0</v>
      </c>
      <c r="D309" s="30" t="str">
        <f>"#"&amp;$S$2&amp;"#"&amp;$T$2&amp;"."&amp;$P$2&amp;".TS17_32_TS17"</f>
        <v>#15#\\SERVER-ASCUER\Relematika.Modbus.OPCDAServer.SHTN10.TS17_32_TS17</v>
      </c>
    </row>
    <row r="310" spans="1:4" ht="15" customHeight="1">
      <c r="A310" s="29" t="str">
        <f t="shared" si="30"/>
        <v>ASUES.ES.ZRU10kV.SHTN10.TEL.stOff</v>
      </c>
      <c r="B310">
        <v>7998</v>
      </c>
      <c r="C310" t="s">
        <v>6</v>
      </c>
      <c r="D310" s="30">
        <v>1</v>
      </c>
    </row>
    <row r="311" spans="1:4" ht="15" customHeight="1">
      <c r="A311" s="29" t="str">
        <f t="shared" si="30"/>
        <v>ASUES.ES.ZRU10kV.SHTN10.TEL.stOff</v>
      </c>
      <c r="B311">
        <v>101</v>
      </c>
      <c r="C311" t="s">
        <v>0</v>
      </c>
      <c r="D311" s="30" t="s">
        <v>336</v>
      </c>
    </row>
    <row r="312" spans="1:4" ht="15" customHeight="1">
      <c r="A312" s="29" t="str">
        <f t="shared" si="30"/>
        <v>ASUES.ES.ZRU10kV.SHTN10.TEL.stOff</v>
      </c>
      <c r="B312">
        <v>3</v>
      </c>
      <c r="C312" t="s">
        <v>1</v>
      </c>
      <c r="D312" s="30">
        <v>192</v>
      </c>
    </row>
    <row r="313" spans="1:4" ht="15" customHeight="1">
      <c r="A313" s="29" t="str">
        <f t="shared" si="30"/>
        <v>ASUES.ES.ZRU10kV.SHTN10.TEL.stOff</v>
      </c>
      <c r="B313">
        <v>2</v>
      </c>
      <c r="C313" t="s">
        <v>2</v>
      </c>
      <c r="D313" s="30" t="s">
        <v>175</v>
      </c>
    </row>
    <row r="314" spans="1:4" ht="15" customHeight="1">
      <c r="A314" s="26" t="str">
        <f t="shared" si="30"/>
        <v>ASUES.ES.ZRU10kV.SHTN10.TEL.stOff</v>
      </c>
      <c r="B314" s="27">
        <v>1</v>
      </c>
      <c r="C314" s="27" t="s">
        <v>1</v>
      </c>
      <c r="D314" s="28">
        <v>11</v>
      </c>
    </row>
    <row r="315" spans="1:4" ht="15" customHeight="1">
      <c r="A315" s="29" t="str">
        <f t="shared" ref="A315:A326" si="31">$R$2&amp;".stOn"</f>
        <v>ASUES.ES.ZRU10kV.SHTN10.TEL.stOn</v>
      </c>
      <c r="B315">
        <v>7000000</v>
      </c>
      <c r="C315" t="s">
        <v>6</v>
      </c>
      <c r="D315" s="30">
        <v>1</v>
      </c>
    </row>
    <row r="316" spans="1:4" ht="15" customHeight="1">
      <c r="A316" s="29" t="str">
        <f t="shared" si="31"/>
        <v>ASUES.ES.ZRU10kV.SHTN10.TEL.stOn</v>
      </c>
      <c r="B316">
        <v>4000000</v>
      </c>
      <c r="C316" t="s">
        <v>0</v>
      </c>
      <c r="D316" s="685" t="s">
        <v>396</v>
      </c>
    </row>
    <row r="317" spans="1:4" ht="15" customHeight="1">
      <c r="A317" s="100" t="str">
        <f t="shared" si="31"/>
        <v>ASUES.ES.ZRU10kV.SHTN10.TEL.stOn</v>
      </c>
      <c r="B317" s="679">
        <v>11154</v>
      </c>
      <c r="C317" s="679" t="s">
        <v>4</v>
      </c>
      <c r="D317" s="536">
        <f>$Q$8</f>
        <v>18</v>
      </c>
    </row>
    <row r="318" spans="1:4" ht="15" customHeight="1">
      <c r="A318" s="100" t="str">
        <f t="shared" si="31"/>
        <v>ASUES.ES.ZRU10kV.SHTN10.TEL.stOn</v>
      </c>
      <c r="B318" s="679">
        <v>11150</v>
      </c>
      <c r="C318" s="679" t="s">
        <v>0</v>
      </c>
      <c r="D318" s="103" t="s">
        <v>337</v>
      </c>
    </row>
    <row r="319" spans="1:4" ht="15" customHeight="1">
      <c r="A319" s="100" t="str">
        <f t="shared" si="31"/>
        <v>ASUES.ES.ZRU10kV.SHTN10.TEL.stOn</v>
      </c>
      <c r="B319" s="679">
        <v>11152</v>
      </c>
      <c r="C319" s="679" t="s">
        <v>0</v>
      </c>
      <c r="D319" s="103" t="str">
        <f>$R$8</f>
        <v>Телесигнализация</v>
      </c>
    </row>
    <row r="320" spans="1:4" ht="15" customHeight="1">
      <c r="A320" s="100" t="str">
        <f t="shared" si="31"/>
        <v>ASUES.ES.ZRU10kV.SHTN10.TEL.stOn</v>
      </c>
      <c r="B320" s="679">
        <v>11000</v>
      </c>
      <c r="C320" s="679" t="s">
        <v>5</v>
      </c>
      <c r="D320" s="103">
        <v>2147483680</v>
      </c>
    </row>
    <row r="321" spans="1:4" ht="15" customHeight="1">
      <c r="A321" s="29" t="str">
        <f t="shared" si="31"/>
        <v>ASUES.ES.ZRU10kV.SHTN10.TEL.stOn</v>
      </c>
      <c r="B321">
        <v>7999</v>
      </c>
      <c r="C321" t="s">
        <v>0</v>
      </c>
      <c r="D321" s="30" t="str">
        <f>"#"&amp;$S$2&amp;"#"&amp;$T$2&amp;"."&amp;$P$2&amp;".TS01_16_TS10"</f>
        <v>#15#\\SERVER-ASCUER\Relematika.Modbus.OPCDAServer.SHTN10.TS01_16_TS10</v>
      </c>
    </row>
    <row r="322" spans="1:4" ht="15" customHeight="1">
      <c r="A322" s="29" t="str">
        <f t="shared" si="31"/>
        <v>ASUES.ES.ZRU10kV.SHTN10.TEL.stOn</v>
      </c>
      <c r="B322">
        <v>7998</v>
      </c>
      <c r="C322" t="s">
        <v>6</v>
      </c>
      <c r="D322" s="30">
        <v>1</v>
      </c>
    </row>
    <row r="323" spans="1:4" ht="15" customHeight="1">
      <c r="A323" s="29" t="str">
        <f t="shared" si="31"/>
        <v>ASUES.ES.ZRU10kV.SHTN10.TEL.stOn</v>
      </c>
      <c r="B323">
        <v>101</v>
      </c>
      <c r="C323" t="s">
        <v>0</v>
      </c>
      <c r="D323" s="30" t="s">
        <v>337</v>
      </c>
    </row>
    <row r="324" spans="1:4" ht="15" customHeight="1">
      <c r="A324" s="29" t="str">
        <f t="shared" si="31"/>
        <v>ASUES.ES.ZRU10kV.SHTN10.TEL.stOn</v>
      </c>
      <c r="B324">
        <v>3</v>
      </c>
      <c r="C324" t="s">
        <v>1</v>
      </c>
      <c r="D324" s="30">
        <v>192</v>
      </c>
    </row>
    <row r="325" spans="1:4" ht="15" customHeight="1">
      <c r="A325" s="29" t="str">
        <f t="shared" si="31"/>
        <v>ASUES.ES.ZRU10kV.SHTN10.TEL.stOn</v>
      </c>
      <c r="B325">
        <v>2</v>
      </c>
      <c r="C325" t="s">
        <v>2</v>
      </c>
      <c r="D325" s="30" t="s">
        <v>175</v>
      </c>
    </row>
    <row r="326" spans="1:4" ht="15" customHeight="1">
      <c r="A326" s="26" t="str">
        <f t="shared" si="31"/>
        <v>ASUES.ES.ZRU10kV.SHTN10.TEL.stOn</v>
      </c>
      <c r="B326" s="27">
        <v>1</v>
      </c>
      <c r="C326" s="27" t="s">
        <v>1</v>
      </c>
      <c r="D326" s="28">
        <v>11</v>
      </c>
    </row>
    <row r="327" spans="1:4" ht="15" customHeight="1">
      <c r="A327" s="100" t="str">
        <f t="shared" ref="A327:A336" si="32">$R$2&amp;".stAVR_In_BrkPhase_U2"</f>
        <v>ASUES.ES.ZRU10kV.SHTN10.TEL.stAVR_In_BrkPhase_U2</v>
      </c>
      <c r="B327" s="679">
        <v>11154</v>
      </c>
      <c r="C327" s="679" t="s">
        <v>4</v>
      </c>
      <c r="D327" s="536">
        <f>$Q$8</f>
        <v>18</v>
      </c>
    </row>
    <row r="328" spans="1:4" ht="15" customHeight="1">
      <c r="A328" s="100" t="str">
        <f t="shared" si="32"/>
        <v>ASUES.ES.ZRU10kV.SHTN10.TEL.stAVR_In_BrkPhase_U2</v>
      </c>
      <c r="B328" s="679">
        <v>11152</v>
      </c>
      <c r="C328" s="679" t="s">
        <v>0</v>
      </c>
      <c r="D328" s="103" t="str">
        <f>$R$8</f>
        <v>Телесигнализация</v>
      </c>
    </row>
    <row r="329" spans="1:4" ht="15" customHeight="1">
      <c r="A329" s="100" t="str">
        <f t="shared" si="32"/>
        <v>ASUES.ES.ZRU10kV.SHTN10.TEL.stAVR_In_BrkPhase_U2</v>
      </c>
      <c r="B329" s="679">
        <v>11150</v>
      </c>
      <c r="C329" s="679" t="s">
        <v>0</v>
      </c>
      <c r="D329" s="103" t="s">
        <v>1579</v>
      </c>
    </row>
    <row r="330" spans="1:4" ht="15" customHeight="1">
      <c r="A330" s="100" t="str">
        <f t="shared" si="32"/>
        <v>ASUES.ES.ZRU10kV.SHTN10.TEL.stAVR_In_BrkPhase_U2</v>
      </c>
      <c r="B330" s="679">
        <v>11000</v>
      </c>
      <c r="C330" s="679" t="s">
        <v>5</v>
      </c>
      <c r="D330" s="103">
        <v>2147483680</v>
      </c>
    </row>
    <row r="331" spans="1:4" ht="15" customHeight="1">
      <c r="A331" s="29" t="str">
        <f t="shared" si="32"/>
        <v>ASUES.ES.ZRU10kV.SHTN10.TEL.stAVR_In_BrkPhase_U2</v>
      </c>
      <c r="B331">
        <v>7999</v>
      </c>
      <c r="C331" t="s">
        <v>0</v>
      </c>
      <c r="D331" s="30" t="str">
        <f>"#"&amp;$S$2&amp;"#"&amp;$T$2&amp;"."&amp;$P$2&amp;".TS177_192_TS183"</f>
        <v>#15#\\SERVER-ASCUER\Relematika.Modbus.OPCDAServer.SHTN10.TS177_192_TS183</v>
      </c>
    </row>
    <row r="332" spans="1:4" ht="15" customHeight="1">
      <c r="A332" s="29" t="str">
        <f t="shared" si="32"/>
        <v>ASUES.ES.ZRU10kV.SHTN10.TEL.stAVR_In_BrkPhase_U2</v>
      </c>
      <c r="B332">
        <v>7998</v>
      </c>
      <c r="C332" t="s">
        <v>6</v>
      </c>
      <c r="D332" s="30">
        <v>1</v>
      </c>
    </row>
    <row r="333" spans="1:4" ht="15" customHeight="1">
      <c r="A333" s="29" t="str">
        <f t="shared" si="32"/>
        <v>ASUES.ES.ZRU10kV.SHTN10.TEL.stAVR_In_BrkPhase_U2</v>
      </c>
      <c r="B333">
        <v>101</v>
      </c>
      <c r="C333" t="s">
        <v>0</v>
      </c>
      <c r="D333" s="30" t="s">
        <v>1579</v>
      </c>
    </row>
    <row r="334" spans="1:4" ht="15" customHeight="1">
      <c r="A334" s="29" t="str">
        <f t="shared" si="32"/>
        <v>ASUES.ES.ZRU10kV.SHTN10.TEL.stAVR_In_BrkPhase_U2</v>
      </c>
      <c r="B334">
        <v>3</v>
      </c>
      <c r="C334" t="s">
        <v>1</v>
      </c>
      <c r="D334" s="30">
        <v>192</v>
      </c>
    </row>
    <row r="335" spans="1:4" ht="15" customHeight="1">
      <c r="A335" s="29" t="str">
        <f t="shared" si="32"/>
        <v>ASUES.ES.ZRU10kV.SHTN10.TEL.stAVR_In_BrkPhase_U2</v>
      </c>
      <c r="B335">
        <v>2</v>
      </c>
      <c r="C335" t="s">
        <v>2</v>
      </c>
      <c r="D335" s="30" t="s">
        <v>175</v>
      </c>
    </row>
    <row r="336" spans="1:4" ht="15" customHeight="1">
      <c r="A336" s="26" t="str">
        <f t="shared" si="32"/>
        <v>ASUES.ES.ZRU10kV.SHTN10.TEL.stAVR_In_BrkPhase_U2</v>
      </c>
      <c r="B336" s="27">
        <v>1</v>
      </c>
      <c r="C336" s="27" t="s">
        <v>1</v>
      </c>
      <c r="D336" s="28">
        <v>11</v>
      </c>
    </row>
    <row r="337" spans="1:4" ht="15" customHeight="1">
      <c r="A337" s="100" t="str">
        <f t="shared" ref="A337:A346" si="33">$R$2&amp;".stZMN_In"</f>
        <v>ASUES.ES.ZRU10kV.SHTN10.TEL.stZMN_In</v>
      </c>
      <c r="B337" s="679">
        <v>11154</v>
      </c>
      <c r="C337" s="679" t="s">
        <v>4</v>
      </c>
      <c r="D337" s="536">
        <f>$Q$8</f>
        <v>18</v>
      </c>
    </row>
    <row r="338" spans="1:4" ht="15" customHeight="1">
      <c r="A338" s="100" t="str">
        <f t="shared" si="33"/>
        <v>ASUES.ES.ZRU10kV.SHTN10.TEL.stZMN_In</v>
      </c>
      <c r="B338" s="679">
        <v>11152</v>
      </c>
      <c r="C338" s="679" t="s">
        <v>0</v>
      </c>
      <c r="D338" s="103" t="str">
        <f>$R$8</f>
        <v>Телесигнализация</v>
      </c>
    </row>
    <row r="339" spans="1:4" ht="15" customHeight="1">
      <c r="A339" s="100" t="str">
        <f t="shared" si="33"/>
        <v>ASUES.ES.ZRU10kV.SHTN10.TEL.stZMN_In</v>
      </c>
      <c r="B339" s="679">
        <v>11150</v>
      </c>
      <c r="C339" s="679" t="s">
        <v>0</v>
      </c>
      <c r="D339" s="103" t="s">
        <v>1580</v>
      </c>
    </row>
    <row r="340" spans="1:4" ht="15" customHeight="1">
      <c r="A340" s="100" t="str">
        <f t="shared" si="33"/>
        <v>ASUES.ES.ZRU10kV.SHTN10.TEL.stZMN_In</v>
      </c>
      <c r="B340" s="679">
        <v>11000</v>
      </c>
      <c r="C340" s="679" t="s">
        <v>5</v>
      </c>
      <c r="D340" s="103">
        <v>2147483680</v>
      </c>
    </row>
    <row r="341" spans="1:4" ht="15" customHeight="1">
      <c r="A341" s="29" t="str">
        <f t="shared" si="33"/>
        <v>ASUES.ES.ZRU10kV.SHTN10.TEL.stZMN_In</v>
      </c>
      <c r="B341">
        <v>7999</v>
      </c>
      <c r="C341" t="s">
        <v>0</v>
      </c>
      <c r="D341" s="30" t="str">
        <f>"#"&amp;$S$2&amp;"#"&amp;$T$2&amp;"."&amp;$P$2&amp;".TS177_192_TS182"</f>
        <v>#15#\\SERVER-ASCUER\Relematika.Modbus.OPCDAServer.SHTN10.TS177_192_TS182</v>
      </c>
    </row>
    <row r="342" spans="1:4" ht="15" customHeight="1">
      <c r="A342" s="29" t="str">
        <f t="shared" si="33"/>
        <v>ASUES.ES.ZRU10kV.SHTN10.TEL.stZMN_In</v>
      </c>
      <c r="B342">
        <v>7998</v>
      </c>
      <c r="C342" t="s">
        <v>6</v>
      </c>
      <c r="D342" s="30">
        <v>1</v>
      </c>
    </row>
    <row r="343" spans="1:4" ht="15" customHeight="1">
      <c r="A343" s="29" t="str">
        <f t="shared" si="33"/>
        <v>ASUES.ES.ZRU10kV.SHTN10.TEL.stZMN_In</v>
      </c>
      <c r="B343">
        <v>101</v>
      </c>
      <c r="C343" t="s">
        <v>0</v>
      </c>
      <c r="D343" s="30" t="s">
        <v>1580</v>
      </c>
    </row>
    <row r="344" spans="1:4" ht="15" customHeight="1">
      <c r="A344" s="29" t="str">
        <f t="shared" si="33"/>
        <v>ASUES.ES.ZRU10kV.SHTN10.TEL.stZMN_In</v>
      </c>
      <c r="B344">
        <v>3</v>
      </c>
      <c r="C344" t="s">
        <v>1</v>
      </c>
      <c r="D344" s="30">
        <v>192</v>
      </c>
    </row>
    <row r="345" spans="1:4" ht="15" customHeight="1">
      <c r="A345" s="29" t="str">
        <f t="shared" si="33"/>
        <v>ASUES.ES.ZRU10kV.SHTN10.TEL.stZMN_In</v>
      </c>
      <c r="B345">
        <v>2</v>
      </c>
      <c r="C345" t="s">
        <v>2</v>
      </c>
      <c r="D345" s="30" t="s">
        <v>175</v>
      </c>
    </row>
    <row r="346" spans="1:4" ht="15" customHeight="1">
      <c r="A346" s="26" t="str">
        <f t="shared" si="33"/>
        <v>ASUES.ES.ZRU10kV.SHTN10.TEL.stZMN_In</v>
      </c>
      <c r="B346" s="27">
        <v>1</v>
      </c>
      <c r="C346" s="27" t="s">
        <v>1</v>
      </c>
      <c r="D346" s="28">
        <v>11</v>
      </c>
    </row>
    <row r="347" spans="1:4" ht="15" customHeight="1">
      <c r="A347" s="100" t="str">
        <f t="shared" ref="A347:A356" si="34">$R$2&amp;".stDisTeleregul"</f>
        <v>ASUES.ES.ZRU10kV.SHTN10.TEL.stDisTeleregul</v>
      </c>
      <c r="B347" s="679">
        <v>11154</v>
      </c>
      <c r="C347" s="679" t="s">
        <v>4</v>
      </c>
      <c r="D347" s="536">
        <f>$Q$8</f>
        <v>18</v>
      </c>
    </row>
    <row r="348" spans="1:4" ht="15" customHeight="1">
      <c r="A348" s="100" t="str">
        <f t="shared" si="34"/>
        <v>ASUES.ES.ZRU10kV.SHTN10.TEL.stDisTeleregul</v>
      </c>
      <c r="B348" s="679">
        <v>11152</v>
      </c>
      <c r="C348" s="679" t="s">
        <v>0</v>
      </c>
      <c r="D348" s="103" t="str">
        <f>$R$8</f>
        <v>Телесигнализация</v>
      </c>
    </row>
    <row r="349" spans="1:4" ht="15" customHeight="1">
      <c r="A349" s="100" t="str">
        <f t="shared" si="34"/>
        <v>ASUES.ES.ZRU10kV.SHTN10.TEL.stDisTeleregul</v>
      </c>
      <c r="B349" s="679">
        <v>11150</v>
      </c>
      <c r="C349" s="679" t="s">
        <v>0</v>
      </c>
      <c r="D349" s="103" t="s">
        <v>1550</v>
      </c>
    </row>
    <row r="350" spans="1:4" ht="15" customHeight="1">
      <c r="A350" s="100" t="str">
        <f t="shared" si="34"/>
        <v>ASUES.ES.ZRU10kV.SHTN10.TEL.stDisTeleregul</v>
      </c>
      <c r="B350" s="679">
        <v>11000</v>
      </c>
      <c r="C350" s="679" t="s">
        <v>5</v>
      </c>
      <c r="D350" s="103">
        <v>2147483680</v>
      </c>
    </row>
    <row r="351" spans="1:4" ht="15" customHeight="1">
      <c r="A351" s="29" t="str">
        <f t="shared" si="34"/>
        <v>ASUES.ES.ZRU10kV.SHTN10.TEL.stDisTeleregul</v>
      </c>
      <c r="B351">
        <v>7999</v>
      </c>
      <c r="C351" t="s">
        <v>0</v>
      </c>
      <c r="D351" s="30" t="str">
        <f>"#"&amp;$S$2&amp;"#"&amp;$T$2&amp;"."&amp;$P$2&amp;".TS49_64_TS51"</f>
        <v>#15#\\SERVER-ASCUER\Relematika.Modbus.OPCDAServer.SHTN10.TS49_64_TS51</v>
      </c>
    </row>
    <row r="352" spans="1:4" ht="15" customHeight="1">
      <c r="A352" s="29" t="str">
        <f t="shared" si="34"/>
        <v>ASUES.ES.ZRU10kV.SHTN10.TEL.stDisTeleregul</v>
      </c>
      <c r="B352">
        <v>7998</v>
      </c>
      <c r="C352" t="s">
        <v>6</v>
      </c>
      <c r="D352" s="30">
        <v>1</v>
      </c>
    </row>
    <row r="353" spans="1:4" ht="15" customHeight="1">
      <c r="A353" s="29" t="str">
        <f t="shared" si="34"/>
        <v>ASUES.ES.ZRU10kV.SHTN10.TEL.stDisTeleregul</v>
      </c>
      <c r="B353">
        <v>101</v>
      </c>
      <c r="C353" t="s">
        <v>0</v>
      </c>
      <c r="D353" s="30" t="s">
        <v>1550</v>
      </c>
    </row>
    <row r="354" spans="1:4" ht="15" customHeight="1">
      <c r="A354" s="29" t="str">
        <f t="shared" si="34"/>
        <v>ASUES.ES.ZRU10kV.SHTN10.TEL.stDisTeleregul</v>
      </c>
      <c r="B354">
        <v>3</v>
      </c>
      <c r="C354" t="s">
        <v>1</v>
      </c>
      <c r="D354" s="30">
        <v>192</v>
      </c>
    </row>
    <row r="355" spans="1:4" ht="15" customHeight="1">
      <c r="A355" s="29" t="str">
        <f t="shared" si="34"/>
        <v>ASUES.ES.ZRU10kV.SHTN10.TEL.stDisTeleregul</v>
      </c>
      <c r="B355">
        <v>2</v>
      </c>
      <c r="C355" t="s">
        <v>2</v>
      </c>
      <c r="D355" s="30" t="s">
        <v>175</v>
      </c>
    </row>
    <row r="356" spans="1:4" ht="15" customHeight="1">
      <c r="A356" s="26" t="str">
        <f t="shared" si="34"/>
        <v>ASUES.ES.ZRU10kV.SHTN10.TEL.stDisTeleregul</v>
      </c>
      <c r="B356" s="27">
        <v>1</v>
      </c>
      <c r="C356" s="27" t="s">
        <v>1</v>
      </c>
      <c r="D356" s="28">
        <v>11</v>
      </c>
    </row>
    <row r="357" spans="1:4" ht="15" customHeight="1">
      <c r="A357" s="100" t="str">
        <f t="shared" ref="A357:A366" si="35">$R$2&amp;".stOscilAutoDL"</f>
        <v>ASUES.ES.ZRU10kV.SHTN10.TEL.stOscilAutoDL</v>
      </c>
      <c r="B357" s="679">
        <v>11154</v>
      </c>
      <c r="C357" s="679" t="s">
        <v>4</v>
      </c>
      <c r="D357" s="536">
        <f>$Q$8</f>
        <v>18</v>
      </c>
    </row>
    <row r="358" spans="1:4" ht="15" customHeight="1">
      <c r="A358" s="100" t="str">
        <f t="shared" si="35"/>
        <v>ASUES.ES.ZRU10kV.SHTN10.TEL.stOscilAutoDL</v>
      </c>
      <c r="B358" s="679">
        <v>11150</v>
      </c>
      <c r="C358" s="679" t="s">
        <v>0</v>
      </c>
      <c r="D358" s="103" t="s">
        <v>1549</v>
      </c>
    </row>
    <row r="359" spans="1:4" ht="15" customHeight="1">
      <c r="A359" s="100" t="str">
        <f t="shared" si="35"/>
        <v>ASUES.ES.ZRU10kV.SHTN10.TEL.stOscilAutoDL</v>
      </c>
      <c r="B359" s="679">
        <v>11152</v>
      </c>
      <c r="C359" s="679" t="s">
        <v>0</v>
      </c>
      <c r="D359" s="103" t="str">
        <f>$R$8</f>
        <v>Телесигнализация</v>
      </c>
    </row>
    <row r="360" spans="1:4" ht="15" customHeight="1">
      <c r="A360" s="100" t="str">
        <f t="shared" si="35"/>
        <v>ASUES.ES.ZRU10kV.SHTN10.TEL.stOscilAutoDL</v>
      </c>
      <c r="B360" s="679">
        <v>11000</v>
      </c>
      <c r="C360" s="679" t="s">
        <v>5</v>
      </c>
      <c r="D360" s="103">
        <v>2147483680</v>
      </c>
    </row>
    <row r="361" spans="1:4" ht="15" customHeight="1">
      <c r="A361" s="29" t="str">
        <f t="shared" si="35"/>
        <v>ASUES.ES.ZRU10kV.SHTN10.TEL.stOscilAutoDL</v>
      </c>
      <c r="B361">
        <v>7999</v>
      </c>
      <c r="C361" t="s">
        <v>0</v>
      </c>
      <c r="D361" s="30" t="str">
        <f>"#"&amp;$S$2&amp;"#"&amp;$T$2&amp;"."&amp;$P$2&amp;".OSCAUTO"</f>
        <v>#15#\\SERVER-ASCUER\Relematika.Modbus.OPCDAServer.SHTN10.OSCAUTO</v>
      </c>
    </row>
    <row r="362" spans="1:4" ht="15" customHeight="1">
      <c r="A362" s="29" t="str">
        <f t="shared" si="35"/>
        <v>ASUES.ES.ZRU10kV.SHTN10.TEL.stOscilAutoDL</v>
      </c>
      <c r="B362">
        <v>7998</v>
      </c>
      <c r="C362" t="s">
        <v>6</v>
      </c>
      <c r="D362" s="30">
        <v>1</v>
      </c>
    </row>
    <row r="363" spans="1:4" ht="15" customHeight="1">
      <c r="A363" s="29" t="str">
        <f t="shared" si="35"/>
        <v>ASUES.ES.ZRU10kV.SHTN10.TEL.stOscilAutoDL</v>
      </c>
      <c r="B363">
        <v>101</v>
      </c>
      <c r="C363" t="s">
        <v>0</v>
      </c>
      <c r="D363" s="30" t="s">
        <v>1549</v>
      </c>
    </row>
    <row r="364" spans="1:4" ht="15" customHeight="1">
      <c r="A364" s="29" t="str">
        <f t="shared" si="35"/>
        <v>ASUES.ES.ZRU10kV.SHTN10.TEL.stOscilAutoDL</v>
      </c>
      <c r="B364">
        <v>3</v>
      </c>
      <c r="C364" t="s">
        <v>1</v>
      </c>
      <c r="D364" s="30">
        <v>192</v>
      </c>
    </row>
    <row r="365" spans="1:4" ht="15" customHeight="1">
      <c r="A365" s="29" t="str">
        <f t="shared" si="35"/>
        <v>ASUES.ES.ZRU10kV.SHTN10.TEL.stOscilAutoDL</v>
      </c>
      <c r="B365">
        <v>2</v>
      </c>
      <c r="C365" t="s">
        <v>2</v>
      </c>
      <c r="D365" s="30" t="s">
        <v>175</v>
      </c>
    </row>
    <row r="366" spans="1:4" ht="15" customHeight="1">
      <c r="A366" s="26" t="str">
        <f t="shared" si="35"/>
        <v>ASUES.ES.ZRU10kV.SHTN10.TEL.stOscilAutoDL</v>
      </c>
      <c r="B366" s="27">
        <v>1</v>
      </c>
      <c r="C366" s="27" t="s">
        <v>1</v>
      </c>
      <c r="D366" s="28">
        <v>11</v>
      </c>
    </row>
    <row r="367" spans="1:4" ht="15" customHeight="1">
      <c r="A367" s="100" t="str">
        <f t="shared" ref="A367:A372" si="36">$R$2&amp;".stOscilStatus"</f>
        <v>ASUES.ES.ZRU10kV.SHTN10.TEL.stOscilStatus</v>
      </c>
      <c r="B367" s="679">
        <v>7999</v>
      </c>
      <c r="C367" s="679" t="s">
        <v>0</v>
      </c>
      <c r="D367" s="103" t="str">
        <f>"#"&amp;$S$2&amp;"#"&amp;$T$2&amp;"."&amp;$P$2&amp;".OSCStatus"</f>
        <v>#15#\\SERVER-ASCUER\Relematika.Modbus.OPCDAServer.SHTN10.OSCStatus</v>
      </c>
    </row>
    <row r="368" spans="1:4" ht="15" customHeight="1">
      <c r="A368" s="100" t="str">
        <f t="shared" si="36"/>
        <v>ASUES.ES.ZRU10kV.SHTN10.TEL.stOscilStatus</v>
      </c>
      <c r="B368" s="679">
        <v>7998</v>
      </c>
      <c r="C368" s="679" t="s">
        <v>6</v>
      </c>
      <c r="D368" s="103">
        <v>1</v>
      </c>
    </row>
    <row r="369" spans="1:4" ht="15" customHeight="1">
      <c r="A369" s="29" t="str">
        <f t="shared" si="36"/>
        <v>ASUES.ES.ZRU10kV.SHTN10.TEL.stOscilStatus</v>
      </c>
      <c r="B369">
        <v>101</v>
      </c>
      <c r="C369" t="s">
        <v>0</v>
      </c>
      <c r="D369" s="30" t="s">
        <v>1551</v>
      </c>
    </row>
    <row r="370" spans="1:4" ht="15" customHeight="1">
      <c r="A370" s="29" t="str">
        <f t="shared" si="36"/>
        <v>ASUES.ES.ZRU10kV.SHTN10.TEL.stOscilStatus</v>
      </c>
      <c r="B370">
        <v>3</v>
      </c>
      <c r="C370" t="s">
        <v>1</v>
      </c>
      <c r="D370" s="30">
        <v>192</v>
      </c>
    </row>
    <row r="371" spans="1:4" ht="15" customHeight="1">
      <c r="A371" s="29" t="str">
        <f t="shared" si="36"/>
        <v>ASUES.ES.ZRU10kV.SHTN10.TEL.stOscilStatus</v>
      </c>
      <c r="B371">
        <v>2</v>
      </c>
      <c r="C371" t="s">
        <v>0</v>
      </c>
      <c r="D371" s="30">
        <v>0</v>
      </c>
    </row>
    <row r="372" spans="1:4" ht="15" customHeight="1">
      <c r="A372" s="26" t="str">
        <f t="shared" si="36"/>
        <v>ASUES.ES.ZRU10kV.SHTN10.TEL.stOscilStatus</v>
      </c>
      <c r="B372" s="27">
        <v>1</v>
      </c>
      <c r="C372" s="27" t="s">
        <v>1</v>
      </c>
      <c r="D372" s="28">
        <v>8</v>
      </c>
    </row>
    <row r="373" spans="1:4" ht="15" customHeight="1">
      <c r="A373" s="23" t="str">
        <f t="shared" ref="A373:A380" si="37">$R$2&amp;".Commands.coRepair"</f>
        <v>ASUES.ES.ZRU10kV.SHTN10.TEL.Commands.coRepair</v>
      </c>
      <c r="B373" s="24">
        <v>7011</v>
      </c>
      <c r="C373" s="24" t="s">
        <v>2</v>
      </c>
      <c r="D373" s="25" t="s">
        <v>266</v>
      </c>
    </row>
    <row r="374" spans="1:4" ht="15" customHeight="1">
      <c r="A374" s="140" t="str">
        <f t="shared" si="37"/>
        <v>ASUES.ES.ZRU10kV.SHTN10.TEL.Commands.coRepair</v>
      </c>
      <c r="B374" s="687">
        <v>11152</v>
      </c>
      <c r="C374" s="687" t="s">
        <v>0</v>
      </c>
      <c r="D374" s="142" t="str">
        <f>$R$11</f>
        <v>Ремонт</v>
      </c>
    </row>
    <row r="375" spans="1:4" ht="15" customHeight="1">
      <c r="A375" s="140" t="str">
        <f t="shared" si="37"/>
        <v>ASUES.ES.ZRU10kV.SHTN10.TEL.Commands.coRepair</v>
      </c>
      <c r="B375" s="687">
        <v>11154</v>
      </c>
      <c r="C375" s="687" t="s">
        <v>4</v>
      </c>
      <c r="D375" s="142">
        <f>$Q$11</f>
        <v>14</v>
      </c>
    </row>
    <row r="376" spans="1:4" ht="15" customHeight="1">
      <c r="A376" s="140" t="str">
        <f t="shared" si="37"/>
        <v>ASUES.ES.ZRU10kV.SHTN10.TEL.Commands.coRepair</v>
      </c>
      <c r="B376" s="687">
        <v>11150</v>
      </c>
      <c r="C376" s="687" t="s">
        <v>0</v>
      </c>
      <c r="D376" s="142" t="s">
        <v>89</v>
      </c>
    </row>
    <row r="377" spans="1:4" ht="15" customHeight="1">
      <c r="A377" s="140" t="str">
        <f t="shared" si="37"/>
        <v>ASUES.ES.ZRU10kV.SHTN10.TEL.Commands.coRepair</v>
      </c>
      <c r="B377" s="687">
        <v>11000</v>
      </c>
      <c r="C377" s="687" t="s">
        <v>5</v>
      </c>
      <c r="D377" s="142">
        <v>2147483680</v>
      </c>
    </row>
    <row r="378" spans="1:4" ht="15" customHeight="1">
      <c r="A378" s="29" t="str">
        <f t="shared" si="37"/>
        <v>ASUES.ES.ZRU10kV.SHTN10.TEL.Commands.coRepair</v>
      </c>
      <c r="B378">
        <v>1</v>
      </c>
      <c r="C378" t="s">
        <v>1</v>
      </c>
      <c r="D378" s="30">
        <v>11</v>
      </c>
    </row>
    <row r="379" spans="1:4" ht="15" customHeight="1">
      <c r="A379" s="29" t="str">
        <f t="shared" si="37"/>
        <v>ASUES.ES.ZRU10kV.SHTN10.TEL.Commands.coRepair</v>
      </c>
      <c r="B379">
        <v>4000000</v>
      </c>
      <c r="C379" t="s">
        <v>0</v>
      </c>
      <c r="D379" s="415" t="s">
        <v>2681</v>
      </c>
    </row>
    <row r="380" spans="1:4" ht="15" customHeight="1">
      <c r="A380" s="26" t="str">
        <f t="shared" si="37"/>
        <v>ASUES.ES.ZRU10kV.SHTN10.TEL.Commands.coRepair</v>
      </c>
      <c r="B380" s="27">
        <v>7000000</v>
      </c>
      <c r="C380" s="27" t="s">
        <v>6</v>
      </c>
      <c r="D380" s="28">
        <v>2</v>
      </c>
    </row>
    <row r="381" spans="1:4" ht="15" customHeight="1">
      <c r="A381" s="23" t="str">
        <f>$R$2&amp;".Commands.coOscilAllow"</f>
        <v>ASUES.ES.ZRU10kV.SHTN10.TEL.Commands.coOscilAllow</v>
      </c>
      <c r="B381" s="24">
        <v>7999</v>
      </c>
      <c r="C381" s="24" t="s">
        <v>0</v>
      </c>
      <c r="D381" s="25" t="str">
        <f>"#"&amp;$S$2&amp;"#"&amp;$T$2&amp;"."&amp;$P$2&amp;".Commands.TC19"</f>
        <v>#15#\\SERVER-ASCUER\Relematika.Modbus.OPCDAServer.SHTN10.Commands.TC19</v>
      </c>
    </row>
    <row r="382" spans="1:4" ht="15" customHeight="1">
      <c r="A382" s="29" t="str">
        <f>$R$2&amp;".Commands.coOscilAllow"</f>
        <v>ASUES.ES.ZRU10kV.SHTN10.TEL.Commands.coOscilAllow</v>
      </c>
      <c r="B382">
        <v>7998</v>
      </c>
      <c r="C382" t="s">
        <v>6</v>
      </c>
      <c r="D382" s="30">
        <v>2</v>
      </c>
    </row>
    <row r="383" spans="1:4" ht="15" customHeight="1">
      <c r="A383" s="29" t="str">
        <f>$R$2&amp;".Commands.coOscilAllow"</f>
        <v>ASUES.ES.ZRU10kV.SHTN10.TEL.Commands.coOscilAllow</v>
      </c>
      <c r="B383">
        <v>101</v>
      </c>
      <c r="C383" t="s">
        <v>0</v>
      </c>
      <c r="D383" s="30" t="s">
        <v>1552</v>
      </c>
    </row>
    <row r="384" spans="1:4" ht="15" customHeight="1">
      <c r="A384" s="26" t="str">
        <f>$R$2&amp;".Commands.coOscilAllow"</f>
        <v>ASUES.ES.ZRU10kV.SHTN10.TEL.Commands.coOscilAllow</v>
      </c>
      <c r="B384" s="27">
        <v>1</v>
      </c>
      <c r="C384" s="27" t="s">
        <v>1</v>
      </c>
      <c r="D384" s="28">
        <v>11</v>
      </c>
    </row>
    <row r="385" spans="1:4" ht="15" customHeight="1">
      <c r="A385" s="29" t="str">
        <f>$R$2&amp;".Commands.coOscilBlock"</f>
        <v>ASUES.ES.ZRU10kV.SHTN10.TEL.Commands.coOscilBlock</v>
      </c>
      <c r="B385">
        <v>7999</v>
      </c>
      <c r="C385" t="s">
        <v>0</v>
      </c>
      <c r="D385" s="30" t="str">
        <f>"#"&amp;$S$2&amp;"#"&amp;$T$2&amp;"."&amp;$P$2&amp;".Commands.TC18"</f>
        <v>#15#\\SERVER-ASCUER\Relematika.Modbus.OPCDAServer.SHTN10.Commands.TC18</v>
      </c>
    </row>
    <row r="386" spans="1:4" ht="15" customHeight="1">
      <c r="A386" s="29" t="str">
        <f>$R$2&amp;".Commands.coOscilBlock"</f>
        <v>ASUES.ES.ZRU10kV.SHTN10.TEL.Commands.coOscilBlock</v>
      </c>
      <c r="B386">
        <v>7998</v>
      </c>
      <c r="C386" t="s">
        <v>6</v>
      </c>
      <c r="D386" s="30">
        <v>2</v>
      </c>
    </row>
    <row r="387" spans="1:4" ht="15" customHeight="1">
      <c r="A387" s="29" t="str">
        <f>$R$2&amp;".Commands.coOscilBlock"</f>
        <v>ASUES.ES.ZRU10kV.SHTN10.TEL.Commands.coOscilBlock</v>
      </c>
      <c r="B387">
        <v>101</v>
      </c>
      <c r="C387" t="s">
        <v>0</v>
      </c>
      <c r="D387" s="30" t="s">
        <v>1553</v>
      </c>
    </row>
    <row r="388" spans="1:4" ht="15" customHeight="1">
      <c r="A388" s="26" t="str">
        <f>$R$2&amp;".Commands.coOscilBlock"</f>
        <v>ASUES.ES.ZRU10kV.SHTN10.TEL.Commands.coOscilBlock</v>
      </c>
      <c r="B388" s="27">
        <v>1</v>
      </c>
      <c r="C388" s="27" t="s">
        <v>1</v>
      </c>
      <c r="D388" s="28">
        <v>11</v>
      </c>
    </row>
    <row r="389" spans="1:4" ht="15" customHeight="1">
      <c r="A389" s="29" t="str">
        <f>$R$2&amp;".Commands.coOscilMan"</f>
        <v>ASUES.ES.ZRU10kV.SHTN10.TEL.Commands.coOscilMan</v>
      </c>
      <c r="B389">
        <v>7999</v>
      </c>
      <c r="C389" t="s">
        <v>0</v>
      </c>
      <c r="D389" s="30" t="str">
        <f>"#"&amp;$S$2&amp;"#"&amp;$T$2&amp;"."&amp;$P$2&amp;".Commands.TC20"</f>
        <v>#15#\\SERVER-ASCUER\Relematika.Modbus.OPCDAServer.SHTN10.Commands.TC20</v>
      </c>
    </row>
    <row r="390" spans="1:4" ht="15" customHeight="1">
      <c r="A390" s="29" t="str">
        <f>$R$2&amp;".Commands.coOscilMan"</f>
        <v>ASUES.ES.ZRU10kV.SHTN10.TEL.Commands.coOscilMan</v>
      </c>
      <c r="B390">
        <v>7998</v>
      </c>
      <c r="C390" t="s">
        <v>6</v>
      </c>
      <c r="D390" s="30">
        <v>2</v>
      </c>
    </row>
    <row r="391" spans="1:4" ht="15" customHeight="1">
      <c r="A391" s="29" t="str">
        <f>$R$2&amp;".Commands.coOscilMan"</f>
        <v>ASUES.ES.ZRU10kV.SHTN10.TEL.Commands.coOscilMan</v>
      </c>
      <c r="B391">
        <v>101</v>
      </c>
      <c r="C391" t="s">
        <v>0</v>
      </c>
      <c r="D391" s="30" t="s">
        <v>1554</v>
      </c>
    </row>
    <row r="392" spans="1:4" ht="15" customHeight="1">
      <c r="A392" s="29" t="str">
        <f>$R$2&amp;".Commands.coOscilMan"</f>
        <v>ASUES.ES.ZRU10kV.SHTN10.TEL.Commands.coOscilMan</v>
      </c>
      <c r="B392">
        <v>1</v>
      </c>
      <c r="C392" t="s">
        <v>1</v>
      </c>
      <c r="D392" s="30">
        <v>11</v>
      </c>
    </row>
    <row r="393" spans="1:4" ht="15" customHeight="1">
      <c r="A393" s="23" t="str">
        <f t="shared" ref="A393:A398" si="38">$R$2&amp;".Commands.coRst"</f>
        <v>ASUES.ES.ZRU10kV.SHTN10.TEL.Commands.coRst</v>
      </c>
      <c r="B393" s="24">
        <v>7000000</v>
      </c>
      <c r="C393" s="24" t="s">
        <v>6</v>
      </c>
      <c r="D393" s="25">
        <v>0</v>
      </c>
    </row>
    <row r="394" spans="1:4" ht="15" customHeight="1">
      <c r="A394" s="29" t="str">
        <f t="shared" si="38"/>
        <v>ASUES.ES.ZRU10kV.SHTN10.TEL.Commands.coRst</v>
      </c>
      <c r="B394">
        <v>4000000</v>
      </c>
      <c r="C394" t="s">
        <v>0</v>
      </c>
      <c r="D394" s="30"/>
    </row>
    <row r="395" spans="1:4" ht="15" customHeight="1">
      <c r="A395" s="29" t="str">
        <f t="shared" si="38"/>
        <v>ASUES.ES.ZRU10kV.SHTN10.TEL.Commands.coRst</v>
      </c>
      <c r="B395">
        <v>101</v>
      </c>
      <c r="C395" t="s">
        <v>0</v>
      </c>
      <c r="D395" s="30" t="s">
        <v>386</v>
      </c>
    </row>
    <row r="396" spans="1:4" ht="15" customHeight="1">
      <c r="A396" s="29" t="str">
        <f t="shared" si="38"/>
        <v>ASUES.ES.ZRU10kV.SHTN10.TEL.Commands.coRst</v>
      </c>
      <c r="B396">
        <v>7999</v>
      </c>
      <c r="C396" t="s">
        <v>0</v>
      </c>
      <c r="D396" s="30" t="str">
        <f>"#"&amp;$S$2&amp;"#"&amp;$T$2&amp;"."&amp;$P$2&amp;".Commands.TC3"</f>
        <v>#15#\\SERVER-ASCUER\Relematika.Modbus.OPCDAServer.SHTN10.Commands.TC3</v>
      </c>
    </row>
    <row r="397" spans="1:4" ht="15" customHeight="1">
      <c r="A397" s="29" t="str">
        <f t="shared" si="38"/>
        <v>ASUES.ES.ZRU10kV.SHTN10.TEL.Commands.coRst</v>
      </c>
      <c r="B397">
        <v>7998</v>
      </c>
      <c r="C397" t="s">
        <v>6</v>
      </c>
      <c r="D397" s="30">
        <v>2</v>
      </c>
    </row>
    <row r="398" spans="1:4" ht="15" customHeight="1">
      <c r="A398" s="29" t="str">
        <f t="shared" si="38"/>
        <v>ASUES.ES.ZRU10kV.SHTN10.TEL.Commands.coRst</v>
      </c>
      <c r="B398">
        <v>1</v>
      </c>
      <c r="C398" t="s">
        <v>1</v>
      </c>
      <c r="D398" s="30">
        <v>11</v>
      </c>
    </row>
    <row r="399" spans="1:4" ht="15" customHeight="1">
      <c r="A399" s="23" t="str">
        <f t="shared" ref="A399:A404" si="39">$R$2&amp;".Commands.coReadCountTrips"</f>
        <v>ASUES.ES.ZRU10kV.SHTN10.TEL.Commands.coReadCountTrips</v>
      </c>
      <c r="B399" s="24">
        <v>7000000</v>
      </c>
      <c r="C399" s="24" t="s">
        <v>6</v>
      </c>
      <c r="D399" s="25">
        <v>0</v>
      </c>
    </row>
    <row r="400" spans="1:4" ht="15" customHeight="1">
      <c r="A400" s="29" t="str">
        <f t="shared" si="39"/>
        <v>ASUES.ES.ZRU10kV.SHTN10.TEL.Commands.coReadCountTrips</v>
      </c>
      <c r="B400">
        <v>4000000</v>
      </c>
      <c r="C400" t="s">
        <v>0</v>
      </c>
      <c r="D400" s="30"/>
    </row>
    <row r="401" spans="1:4" ht="15" customHeight="1">
      <c r="A401" s="29" t="str">
        <f t="shared" si="39"/>
        <v>ASUES.ES.ZRU10kV.SHTN10.TEL.Commands.coReadCountTrips</v>
      </c>
      <c r="B401">
        <v>101</v>
      </c>
      <c r="C401" t="s">
        <v>0</v>
      </c>
      <c r="D401" s="30" t="s">
        <v>1555</v>
      </c>
    </row>
    <row r="402" spans="1:4" ht="15" customHeight="1">
      <c r="A402" s="29" t="str">
        <f t="shared" si="39"/>
        <v>ASUES.ES.ZRU10kV.SHTN10.TEL.Commands.coReadCountTrips</v>
      </c>
      <c r="B402">
        <v>7999</v>
      </c>
      <c r="C402" t="s">
        <v>0</v>
      </c>
      <c r="D402" s="30" t="str">
        <f>"#"&amp;$S$2&amp;"#"&amp;$T$2&amp;"."&amp;$P$2&amp;".Commands.ReadZone8"</f>
        <v>#15#\\SERVER-ASCUER\Relematika.Modbus.OPCDAServer.SHTN10.Commands.ReadZone8</v>
      </c>
    </row>
    <row r="403" spans="1:4" ht="15" customHeight="1">
      <c r="A403" s="29" t="str">
        <f t="shared" si="39"/>
        <v>ASUES.ES.ZRU10kV.SHTN10.TEL.Commands.coReadCountTrips</v>
      </c>
      <c r="B403">
        <v>7998</v>
      </c>
      <c r="C403" t="s">
        <v>6</v>
      </c>
      <c r="D403" s="30">
        <v>2</v>
      </c>
    </row>
    <row r="404" spans="1:4" ht="15" customHeight="1">
      <c r="A404" s="29" t="str">
        <f t="shared" si="39"/>
        <v>ASUES.ES.ZRU10kV.SHTN10.TEL.Commands.coReadCountTrips</v>
      </c>
      <c r="B404">
        <v>1</v>
      </c>
      <c r="C404" t="s">
        <v>1</v>
      </c>
      <c r="D404" s="30">
        <v>11</v>
      </c>
    </row>
    <row r="405" spans="1:4" ht="15" customHeight="1">
      <c r="A405" s="294" t="str">
        <f>$R$2&amp;".Commands.smCntSumOff"</f>
        <v>ASUES.ES.ZRU10kV.SHTN10.TEL.Commands.smCntSumOff</v>
      </c>
      <c r="B405" s="295">
        <v>7011</v>
      </c>
      <c r="C405" s="295" t="s">
        <v>2</v>
      </c>
      <c r="D405" s="296" t="s">
        <v>266</v>
      </c>
    </row>
    <row r="406" spans="1:4" ht="15" customHeight="1">
      <c r="A406" s="288" t="str">
        <f>$R$2&amp;".Commands.smCntSumOff"</f>
        <v>ASUES.ES.ZRU10kV.SHTN10.TEL.Commands.smCntSumOff</v>
      </c>
      <c r="B406" s="514">
        <v>101</v>
      </c>
      <c r="C406" s="514" t="s">
        <v>0</v>
      </c>
      <c r="D406" s="290" t="s">
        <v>351</v>
      </c>
    </row>
    <row r="407" spans="1:4" ht="15" customHeight="1">
      <c r="A407" s="291" t="str">
        <f>$R$2&amp;".Commands.smCntSumOff"</f>
        <v>ASUES.ES.ZRU10kV.SHTN10.TEL.Commands.smCntSumOff</v>
      </c>
      <c r="B407" s="292">
        <v>1</v>
      </c>
      <c r="C407" s="292" t="s">
        <v>1</v>
      </c>
      <c r="D407" s="293">
        <v>3</v>
      </c>
    </row>
    <row r="408" spans="1:4" ht="15" customHeight="1">
      <c r="A408" s="294" t="str">
        <f>$R$2&amp;".Commands.smCntSumOffI"</f>
        <v>ASUES.ES.ZRU10kV.SHTN10.TEL.Commands.smCntSumOffI</v>
      </c>
      <c r="B408" s="295">
        <v>7011</v>
      </c>
      <c r="C408" s="295" t="s">
        <v>2</v>
      </c>
      <c r="D408" s="296" t="s">
        <v>266</v>
      </c>
    </row>
    <row r="409" spans="1:4" ht="15" customHeight="1">
      <c r="A409" s="288" t="str">
        <f>$R$2&amp;".Commands.smCntSumOffI"</f>
        <v>ASUES.ES.ZRU10kV.SHTN10.TEL.Commands.smCntSumOffI</v>
      </c>
      <c r="B409" s="514">
        <v>101</v>
      </c>
      <c r="C409" s="514" t="s">
        <v>0</v>
      </c>
      <c r="D409" s="290" t="s">
        <v>353</v>
      </c>
    </row>
    <row r="410" spans="1:4" ht="15" customHeight="1">
      <c r="A410" s="291" t="str">
        <f>$R$2&amp;".Commands.smCntSumOffI"</f>
        <v>ASUES.ES.ZRU10kV.SHTN10.TEL.Commands.smCntSumOffI</v>
      </c>
      <c r="B410" s="292">
        <v>1</v>
      </c>
      <c r="C410" s="292" t="s">
        <v>1</v>
      </c>
      <c r="D410" s="293">
        <v>3</v>
      </c>
    </row>
    <row r="411" spans="1:4" ht="15" customHeight="1">
      <c r="A411" s="294" t="str">
        <f>$R$2&amp;".Commands.smCntSumOffIKZ"</f>
        <v>ASUES.ES.ZRU10kV.SHTN10.TEL.Commands.smCntSumOffIKZ</v>
      </c>
      <c r="B411" s="295">
        <v>7011</v>
      </c>
      <c r="C411" s="295" t="s">
        <v>2</v>
      </c>
      <c r="D411" s="296" t="s">
        <v>266</v>
      </c>
    </row>
    <row r="412" spans="1:4" ht="15" customHeight="1">
      <c r="A412" s="288" t="str">
        <f>$R$2&amp;".Commands.smCntSumOffIKZ"</f>
        <v>ASUES.ES.ZRU10kV.SHTN10.TEL.Commands.smCntSumOffIKZ</v>
      </c>
      <c r="B412" s="514">
        <v>101</v>
      </c>
      <c r="C412" s="514" t="s">
        <v>0</v>
      </c>
      <c r="D412" s="290" t="s">
        <v>354</v>
      </c>
    </row>
    <row r="413" spans="1:4" ht="15" customHeight="1">
      <c r="A413" s="291" t="str">
        <f>$R$2&amp;".Commands.smCntSumOffIKZ"</f>
        <v>ASUES.ES.ZRU10kV.SHTN10.TEL.Commands.smCntSumOffIKZ</v>
      </c>
      <c r="B413" s="292">
        <v>1</v>
      </c>
      <c r="C413" s="292" t="s">
        <v>1</v>
      </c>
      <c r="D413" s="293">
        <v>3</v>
      </c>
    </row>
    <row r="414" spans="1:4" ht="15" customHeight="1">
      <c r="A414" s="294" t="str">
        <f t="shared" ref="A414:A419" si="40">$R$2&amp;".mCntSumOff"</f>
        <v>ASUES.ES.ZRU10kV.SHTN10.TEL.mCntSumOff</v>
      </c>
      <c r="B414" s="295">
        <v>7999</v>
      </c>
      <c r="C414" s="295" t="s">
        <v>0</v>
      </c>
      <c r="D414" s="296" t="str">
        <f>"#"&amp;$S$2&amp;"#"&amp;$T$2&amp;"."&amp;$P$2&amp;".CommCnt"</f>
        <v>#15#\\SERVER-ASCUER\Relematika.Modbus.OPCDAServer.SHTN10.CommCnt</v>
      </c>
    </row>
    <row r="415" spans="1:4" ht="15" customHeight="1">
      <c r="A415" s="288" t="str">
        <f t="shared" si="40"/>
        <v>ASUES.ES.ZRU10kV.SHTN10.TEL.mCntSumOff</v>
      </c>
      <c r="B415" s="514">
        <v>7998</v>
      </c>
      <c r="C415" s="514" t="s">
        <v>6</v>
      </c>
      <c r="D415" s="290">
        <v>1</v>
      </c>
    </row>
    <row r="416" spans="1:4" ht="15" customHeight="1">
      <c r="A416" s="288" t="str">
        <f t="shared" si="40"/>
        <v>ASUES.ES.ZRU10kV.SHTN10.TEL.mCntSumOff</v>
      </c>
      <c r="B416" s="514">
        <v>101</v>
      </c>
      <c r="C416" s="514" t="s">
        <v>0</v>
      </c>
      <c r="D416" s="290" t="s">
        <v>343</v>
      </c>
    </row>
    <row r="417" spans="1:4" ht="15" customHeight="1">
      <c r="A417" s="288" t="str">
        <f t="shared" si="40"/>
        <v>ASUES.ES.ZRU10kV.SHTN10.TEL.mCntSumOff</v>
      </c>
      <c r="B417" s="514">
        <v>3</v>
      </c>
      <c r="C417" s="514" t="s">
        <v>1</v>
      </c>
      <c r="D417" s="290">
        <v>192</v>
      </c>
    </row>
    <row r="418" spans="1:4" ht="15" customHeight="1">
      <c r="A418" s="288" t="str">
        <f t="shared" si="40"/>
        <v>ASUES.ES.ZRU10kV.SHTN10.TEL.mCntSumOff</v>
      </c>
      <c r="B418" s="514">
        <v>2</v>
      </c>
      <c r="C418" s="514" t="s">
        <v>6</v>
      </c>
      <c r="D418" s="290">
        <v>0</v>
      </c>
    </row>
    <row r="419" spans="1:4" ht="15" customHeight="1">
      <c r="A419" s="291" t="str">
        <f t="shared" si="40"/>
        <v>ASUES.ES.ZRU10kV.SHTN10.TEL.mCntSumOff</v>
      </c>
      <c r="B419" s="292">
        <v>1</v>
      </c>
      <c r="C419" s="292" t="s">
        <v>1</v>
      </c>
      <c r="D419" s="293">
        <v>3</v>
      </c>
    </row>
    <row r="420" spans="1:4" ht="15" customHeight="1">
      <c r="A420" s="294" t="str">
        <f t="shared" ref="A420:A425" si="41">$R$2&amp;".mCntSumOffI"</f>
        <v>ASUES.ES.ZRU10kV.SHTN10.TEL.mCntSumOffI</v>
      </c>
      <c r="B420" s="295">
        <v>7999</v>
      </c>
      <c r="C420" s="295" t="s">
        <v>0</v>
      </c>
      <c r="D420" s="296" t="str">
        <f>"#"&amp;$S$2&amp;"#"&amp;$T$2&amp;"."&amp;$P$2&amp;".Trip_I_Cnt"</f>
        <v>#15#\\SERVER-ASCUER\Relematika.Modbus.OPCDAServer.SHTN10.Trip_I_Cnt</v>
      </c>
    </row>
    <row r="421" spans="1:4" ht="15" customHeight="1">
      <c r="A421" s="288" t="str">
        <f t="shared" si="41"/>
        <v>ASUES.ES.ZRU10kV.SHTN10.TEL.mCntSumOffI</v>
      </c>
      <c r="B421" s="514">
        <v>7998</v>
      </c>
      <c r="C421" s="514" t="s">
        <v>6</v>
      </c>
      <c r="D421" s="290">
        <v>1</v>
      </c>
    </row>
    <row r="422" spans="1:4" ht="15" customHeight="1">
      <c r="A422" s="288" t="str">
        <f t="shared" si="41"/>
        <v>ASUES.ES.ZRU10kV.SHTN10.TEL.mCntSumOffI</v>
      </c>
      <c r="B422" s="514">
        <v>101</v>
      </c>
      <c r="C422" s="514" t="s">
        <v>0</v>
      </c>
      <c r="D422" s="290" t="s">
        <v>344</v>
      </c>
    </row>
    <row r="423" spans="1:4" ht="15" customHeight="1">
      <c r="A423" s="288" t="str">
        <f t="shared" si="41"/>
        <v>ASUES.ES.ZRU10kV.SHTN10.TEL.mCntSumOffI</v>
      </c>
      <c r="B423" s="514">
        <v>3</v>
      </c>
      <c r="C423" s="514" t="s">
        <v>1</v>
      </c>
      <c r="D423" s="290">
        <v>192</v>
      </c>
    </row>
    <row r="424" spans="1:4" ht="15" customHeight="1">
      <c r="A424" s="288" t="str">
        <f t="shared" si="41"/>
        <v>ASUES.ES.ZRU10kV.SHTN10.TEL.mCntSumOffI</v>
      </c>
      <c r="B424" s="514">
        <v>2</v>
      </c>
      <c r="C424" s="514" t="s">
        <v>6</v>
      </c>
      <c r="D424" s="290">
        <v>0</v>
      </c>
    </row>
    <row r="425" spans="1:4" ht="15" customHeight="1">
      <c r="A425" s="291" t="str">
        <f t="shared" si="41"/>
        <v>ASUES.ES.ZRU10kV.SHTN10.TEL.mCntSumOffI</v>
      </c>
      <c r="B425" s="292">
        <v>1</v>
      </c>
      <c r="C425" s="292" t="s">
        <v>1</v>
      </c>
      <c r="D425" s="293">
        <v>3</v>
      </c>
    </row>
    <row r="426" spans="1:4" ht="15" customHeight="1">
      <c r="A426" s="294" t="str">
        <f t="shared" ref="A426:A431" si="42">$R$2&amp;".mCntSumOffIKZ"</f>
        <v>ASUES.ES.ZRU10kV.SHTN10.TEL.mCntSumOffIKZ</v>
      </c>
      <c r="B426" s="295">
        <v>7999</v>
      </c>
      <c r="C426" s="295" t="s">
        <v>0</v>
      </c>
      <c r="D426" s="296" t="str">
        <f>"#"&amp;$S$2&amp;"#"&amp;$T$2&amp;"."&amp;$P$2&amp;".Trip_Ikz_Cnt"</f>
        <v>#15#\\SERVER-ASCUER\Relematika.Modbus.OPCDAServer.SHTN10.Trip_Ikz_Cnt</v>
      </c>
    </row>
    <row r="427" spans="1:4" ht="15" customHeight="1">
      <c r="A427" s="288" t="str">
        <f t="shared" si="42"/>
        <v>ASUES.ES.ZRU10kV.SHTN10.TEL.mCntSumOffIKZ</v>
      </c>
      <c r="B427" s="514">
        <v>7998</v>
      </c>
      <c r="C427" s="514" t="s">
        <v>6</v>
      </c>
      <c r="D427" s="290">
        <v>1</v>
      </c>
    </row>
    <row r="428" spans="1:4" ht="15" customHeight="1">
      <c r="A428" s="288" t="str">
        <f t="shared" si="42"/>
        <v>ASUES.ES.ZRU10kV.SHTN10.TEL.mCntSumOffIKZ</v>
      </c>
      <c r="B428" s="514">
        <v>101</v>
      </c>
      <c r="C428" s="514" t="s">
        <v>0</v>
      </c>
      <c r="D428" s="290" t="s">
        <v>345</v>
      </c>
    </row>
    <row r="429" spans="1:4" ht="15" customHeight="1">
      <c r="A429" s="288" t="str">
        <f t="shared" si="42"/>
        <v>ASUES.ES.ZRU10kV.SHTN10.TEL.mCntSumOffIKZ</v>
      </c>
      <c r="B429" s="514">
        <v>3</v>
      </c>
      <c r="C429" s="514" t="s">
        <v>1</v>
      </c>
      <c r="D429" s="290">
        <v>192</v>
      </c>
    </row>
    <row r="430" spans="1:4" ht="15" customHeight="1">
      <c r="A430" s="288" t="str">
        <f t="shared" si="42"/>
        <v>ASUES.ES.ZRU10kV.SHTN10.TEL.mCntSumOffIKZ</v>
      </c>
      <c r="B430" s="514">
        <v>2</v>
      </c>
      <c r="C430" s="514" t="s">
        <v>6</v>
      </c>
      <c r="D430" s="290">
        <v>0</v>
      </c>
    </row>
    <row r="431" spans="1:4" ht="15" customHeight="1">
      <c r="A431" s="291" t="str">
        <f t="shared" si="42"/>
        <v>ASUES.ES.ZRU10kV.SHTN10.TEL.mCntSumOffIKZ</v>
      </c>
      <c r="B431" s="292">
        <v>1</v>
      </c>
      <c r="C431" s="292" t="s">
        <v>1</v>
      </c>
      <c r="D431" s="293">
        <v>3</v>
      </c>
    </row>
    <row r="432" spans="1:4" ht="15" customHeight="1">
      <c r="A432" s="288" t="str">
        <f>$R$2&amp;".smCntSumOff"</f>
        <v>ASUES.ES.ZRU10kV.SHTN10.TEL.smCntSumOff</v>
      </c>
      <c r="B432" s="514">
        <v>3000000</v>
      </c>
      <c r="C432" s="514" t="s">
        <v>0</v>
      </c>
      <c r="D432" s="290" t="s">
        <v>350</v>
      </c>
    </row>
    <row r="433" spans="1:4" ht="15" customHeight="1">
      <c r="A433" s="288" t="str">
        <f>$R$2&amp;".smCntSumOff"</f>
        <v>ASUES.ES.ZRU10kV.SHTN10.TEL.smCntSumOff</v>
      </c>
      <c r="B433" s="514">
        <v>101</v>
      </c>
      <c r="C433" s="514" t="s">
        <v>0</v>
      </c>
      <c r="D433" s="290" t="s">
        <v>351</v>
      </c>
    </row>
    <row r="434" spans="1:4" ht="15" customHeight="1">
      <c r="A434" s="288" t="str">
        <f>$R$2&amp;".smCntSumOff"</f>
        <v>ASUES.ES.ZRU10kV.SHTN10.TEL.smCntSumOff</v>
      </c>
      <c r="B434" s="514">
        <v>3</v>
      </c>
      <c r="C434" s="514" t="s">
        <v>1</v>
      </c>
      <c r="D434" s="290">
        <v>192</v>
      </c>
    </row>
    <row r="435" spans="1:4" ht="15" customHeight="1">
      <c r="A435" s="288" t="str">
        <f>$R$2&amp;".smCntSumOff"</f>
        <v>ASUES.ES.ZRU10kV.SHTN10.TEL.smCntSumOff</v>
      </c>
      <c r="B435" s="514">
        <v>2</v>
      </c>
      <c r="C435" s="514" t="s">
        <v>6</v>
      </c>
      <c r="D435" s="290">
        <v>0</v>
      </c>
    </row>
    <row r="436" spans="1:4" ht="15" customHeight="1">
      <c r="A436" s="291" t="str">
        <f>$R$2&amp;".smCntSumOff"</f>
        <v>ASUES.ES.ZRU10kV.SHTN10.TEL.smCntSumOff</v>
      </c>
      <c r="B436" s="292">
        <v>1</v>
      </c>
      <c r="C436" s="292" t="s">
        <v>1</v>
      </c>
      <c r="D436" s="293">
        <v>3</v>
      </c>
    </row>
    <row r="437" spans="1:4" ht="15" customHeight="1">
      <c r="A437" s="288" t="str">
        <f>$R$2&amp;".smCntSumOffI"</f>
        <v>ASUES.ES.ZRU10kV.SHTN10.TEL.smCntSumOffI</v>
      </c>
      <c r="B437" s="514">
        <v>3000000</v>
      </c>
      <c r="C437" s="514" t="s">
        <v>0</v>
      </c>
      <c r="D437" s="290" t="s">
        <v>352</v>
      </c>
    </row>
    <row r="438" spans="1:4" ht="15" customHeight="1">
      <c r="A438" s="288" t="str">
        <f>$R$2&amp;".smCntSumOffI"</f>
        <v>ASUES.ES.ZRU10kV.SHTN10.TEL.smCntSumOffI</v>
      </c>
      <c r="B438" s="514">
        <v>101</v>
      </c>
      <c r="C438" s="514" t="s">
        <v>0</v>
      </c>
      <c r="D438" s="290" t="s">
        <v>353</v>
      </c>
    </row>
    <row r="439" spans="1:4" ht="15" customHeight="1">
      <c r="A439" s="288" t="str">
        <f>$R$2&amp;".smCntSumOffI"</f>
        <v>ASUES.ES.ZRU10kV.SHTN10.TEL.smCntSumOffI</v>
      </c>
      <c r="B439" s="514">
        <v>3</v>
      </c>
      <c r="C439" s="514" t="s">
        <v>1</v>
      </c>
      <c r="D439" s="290">
        <v>192</v>
      </c>
    </row>
    <row r="440" spans="1:4" ht="15" customHeight="1">
      <c r="A440" s="288" t="str">
        <f>$R$2&amp;".smCntSumOffI"</f>
        <v>ASUES.ES.ZRU10kV.SHTN10.TEL.smCntSumOffI</v>
      </c>
      <c r="B440" s="514">
        <v>2</v>
      </c>
      <c r="C440" s="514" t="s">
        <v>6</v>
      </c>
      <c r="D440" s="290">
        <v>0</v>
      </c>
    </row>
    <row r="441" spans="1:4" ht="15" customHeight="1">
      <c r="A441" s="291" t="str">
        <f>$R$2&amp;".smCntSumOffI"</f>
        <v>ASUES.ES.ZRU10kV.SHTN10.TEL.smCntSumOffI</v>
      </c>
      <c r="B441" s="292">
        <v>1</v>
      </c>
      <c r="C441" s="292" t="s">
        <v>1</v>
      </c>
      <c r="D441" s="293">
        <v>3</v>
      </c>
    </row>
    <row r="442" spans="1:4" ht="15" customHeight="1">
      <c r="A442" s="288" t="str">
        <f>$R$2&amp;".smCntSumOffIKZ"</f>
        <v>ASUES.ES.ZRU10kV.SHTN10.TEL.smCntSumOffIKZ</v>
      </c>
      <c r="B442" s="514">
        <v>3000000</v>
      </c>
      <c r="C442" s="514" t="s">
        <v>0</v>
      </c>
      <c r="D442" s="290" t="s">
        <v>1520</v>
      </c>
    </row>
    <row r="443" spans="1:4" ht="15" customHeight="1">
      <c r="A443" s="288" t="str">
        <f>$R$2&amp;".smCntSumOffIKZ"</f>
        <v>ASUES.ES.ZRU10kV.SHTN10.TEL.smCntSumOffIKZ</v>
      </c>
      <c r="B443" s="514">
        <v>101</v>
      </c>
      <c r="C443" s="514" t="s">
        <v>0</v>
      </c>
      <c r="D443" s="290" t="s">
        <v>354</v>
      </c>
    </row>
    <row r="444" spans="1:4" ht="15" customHeight="1">
      <c r="A444" s="288" t="str">
        <f>$R$2&amp;".smCntSumOffIKZ"</f>
        <v>ASUES.ES.ZRU10kV.SHTN10.TEL.smCntSumOffIKZ</v>
      </c>
      <c r="B444" s="514">
        <v>3</v>
      </c>
      <c r="C444" s="514" t="s">
        <v>1</v>
      </c>
      <c r="D444" s="290">
        <v>192</v>
      </c>
    </row>
    <row r="445" spans="1:4" ht="15" customHeight="1">
      <c r="A445" s="288" t="str">
        <f>$R$2&amp;".smCntSumOffIKZ"</f>
        <v>ASUES.ES.ZRU10kV.SHTN10.TEL.smCntSumOffIKZ</v>
      </c>
      <c r="B445" s="514">
        <v>2</v>
      </c>
      <c r="C445" s="514" t="s">
        <v>6</v>
      </c>
      <c r="D445" s="290">
        <v>0</v>
      </c>
    </row>
    <row r="446" spans="1:4" ht="15" customHeight="1">
      <c r="A446" s="291" t="str">
        <f>$R$2&amp;".smCntSumOffIKZ"</f>
        <v>ASUES.ES.ZRU10kV.SHTN10.TEL.smCntSumOffIKZ</v>
      </c>
      <c r="B446" s="292">
        <v>1</v>
      </c>
      <c r="C446" s="292" t="s">
        <v>1</v>
      </c>
      <c r="D446" s="293">
        <v>3</v>
      </c>
    </row>
    <row r="447" spans="1:4" ht="15" customHeight="1">
      <c r="A447" s="275" t="str">
        <f t="shared" ref="A447:A452" si="43">$R$2&amp;".mFreq"</f>
        <v>ASUES.ES.ZRU10kV.SHTN10.TEL.mFreq</v>
      </c>
      <c r="B447" s="276">
        <v>7999</v>
      </c>
      <c r="C447" s="276" t="s">
        <v>0</v>
      </c>
      <c r="D447" s="277" t="str">
        <f>"#"&amp;$S$2&amp;"#"&amp;$T$2&amp;"."&amp;$P$2&amp;".Freq"</f>
        <v>#15#\\SERVER-ASCUER\Relematika.Modbus.OPCDAServer.SHTN10.Freq</v>
      </c>
    </row>
    <row r="448" spans="1:4" ht="15" customHeight="1">
      <c r="A448" s="278" t="str">
        <f t="shared" si="43"/>
        <v>ASUES.ES.ZRU10kV.SHTN10.TEL.mFreq</v>
      </c>
      <c r="B448" s="688">
        <v>7998</v>
      </c>
      <c r="C448" s="688" t="s">
        <v>6</v>
      </c>
      <c r="D448" s="280">
        <v>1</v>
      </c>
    </row>
    <row r="449" spans="1:4" ht="15" customHeight="1">
      <c r="A449" s="278" t="str">
        <f t="shared" si="43"/>
        <v>ASUES.ES.ZRU10kV.SHTN10.TEL.mFreq</v>
      </c>
      <c r="B449" s="688">
        <v>101</v>
      </c>
      <c r="C449" s="688" t="s">
        <v>0</v>
      </c>
      <c r="D449" s="280" t="s">
        <v>356</v>
      </c>
    </row>
    <row r="450" spans="1:4" ht="15" customHeight="1">
      <c r="A450" s="278" t="str">
        <f t="shared" si="43"/>
        <v>ASUES.ES.ZRU10kV.SHTN10.TEL.mFreq</v>
      </c>
      <c r="B450" s="688">
        <v>3</v>
      </c>
      <c r="C450" s="688" t="s">
        <v>1</v>
      </c>
      <c r="D450" s="280">
        <v>192</v>
      </c>
    </row>
    <row r="451" spans="1:4" ht="15" customHeight="1">
      <c r="A451" s="278" t="str">
        <f t="shared" si="43"/>
        <v>ASUES.ES.ZRU10kV.SHTN10.TEL.mFreq</v>
      </c>
      <c r="B451" s="688">
        <v>2</v>
      </c>
      <c r="C451" s="688" t="s">
        <v>80</v>
      </c>
      <c r="D451" s="280">
        <v>0</v>
      </c>
    </row>
    <row r="452" spans="1:4" ht="15" customHeight="1">
      <c r="A452" s="281" t="str">
        <f t="shared" si="43"/>
        <v>ASUES.ES.ZRU10kV.SHTN10.TEL.mFreq</v>
      </c>
      <c r="B452" s="282">
        <v>1</v>
      </c>
      <c r="C452" s="282" t="s">
        <v>1</v>
      </c>
      <c r="D452" s="283">
        <v>4</v>
      </c>
    </row>
    <row r="453" spans="1:4" ht="15" customHeight="1">
      <c r="A453" s="275" t="str">
        <f t="shared" ref="A453:A458" si="44">$R$2&amp;".mU13"</f>
        <v>ASUES.ES.ZRU10kV.SHTN10.TEL.mU13</v>
      </c>
      <c r="B453" s="276">
        <v>7999</v>
      </c>
      <c r="C453" s="276" t="s">
        <v>0</v>
      </c>
      <c r="D453" s="277" t="str">
        <f>"#"&amp;$S$2&amp;"#"&amp;$T$2&amp;"."&amp;$P$2&amp;".U13"</f>
        <v>#15#\\SERVER-ASCUER\Relematika.Modbus.OPCDAServer.SHTN10.U13</v>
      </c>
    </row>
    <row r="454" spans="1:4" ht="15" customHeight="1">
      <c r="A454" s="278" t="str">
        <f t="shared" si="44"/>
        <v>ASUES.ES.ZRU10kV.SHTN10.TEL.mU13</v>
      </c>
      <c r="B454" s="688">
        <v>7998</v>
      </c>
      <c r="C454" s="688" t="s">
        <v>6</v>
      </c>
      <c r="D454" s="280">
        <v>1</v>
      </c>
    </row>
    <row r="455" spans="1:4" ht="15" customHeight="1">
      <c r="A455" s="278" t="str">
        <f t="shared" si="44"/>
        <v>ASUES.ES.ZRU10kV.SHTN10.TEL.mU13</v>
      </c>
      <c r="B455" s="688">
        <v>101</v>
      </c>
      <c r="C455" s="688" t="s">
        <v>0</v>
      </c>
      <c r="D455" s="280" t="s">
        <v>378</v>
      </c>
    </row>
    <row r="456" spans="1:4" ht="15" customHeight="1">
      <c r="A456" s="278" t="str">
        <f t="shared" si="44"/>
        <v>ASUES.ES.ZRU10kV.SHTN10.TEL.mU13</v>
      </c>
      <c r="B456" s="688">
        <v>3</v>
      </c>
      <c r="C456" s="688" t="s">
        <v>1</v>
      </c>
      <c r="D456" s="280">
        <v>192</v>
      </c>
    </row>
    <row r="457" spans="1:4" ht="15" customHeight="1">
      <c r="A457" s="278" t="str">
        <f t="shared" si="44"/>
        <v>ASUES.ES.ZRU10kV.SHTN10.TEL.mU13</v>
      </c>
      <c r="B457" s="688">
        <v>2</v>
      </c>
      <c r="C457" s="688" t="s">
        <v>80</v>
      </c>
      <c r="D457" s="280">
        <v>0</v>
      </c>
    </row>
    <row r="458" spans="1:4" ht="15" customHeight="1">
      <c r="A458" s="281" t="str">
        <f t="shared" si="44"/>
        <v>ASUES.ES.ZRU10kV.SHTN10.TEL.mU13</v>
      </c>
      <c r="B458" s="282">
        <v>1</v>
      </c>
      <c r="C458" s="282" t="s">
        <v>1</v>
      </c>
      <c r="D458" s="283">
        <v>4</v>
      </c>
    </row>
    <row r="459" spans="1:4" ht="15" customHeight="1">
      <c r="A459" s="275" t="str">
        <f t="shared" ref="A459:A464" si="45">$R$2&amp;".mU21"</f>
        <v>ASUES.ES.ZRU10kV.SHTN10.TEL.mU21</v>
      </c>
      <c r="B459" s="276">
        <v>7999</v>
      </c>
      <c r="C459" s="276" t="s">
        <v>0</v>
      </c>
      <c r="D459" s="277" t="str">
        <f>"#"&amp;$S$2&amp;"#"&amp;$T$2&amp;"."&amp;$P$2&amp;".U21"</f>
        <v>#15#\\SERVER-ASCUER\Relematika.Modbus.OPCDAServer.SHTN10.U21</v>
      </c>
    </row>
    <row r="460" spans="1:4" ht="15" customHeight="1">
      <c r="A460" s="278" t="str">
        <f t="shared" si="45"/>
        <v>ASUES.ES.ZRU10kV.SHTN10.TEL.mU21</v>
      </c>
      <c r="B460" s="688">
        <v>7998</v>
      </c>
      <c r="C460" s="688" t="s">
        <v>6</v>
      </c>
      <c r="D460" s="280">
        <v>1</v>
      </c>
    </row>
    <row r="461" spans="1:4" ht="15" customHeight="1">
      <c r="A461" s="278" t="str">
        <f t="shared" si="45"/>
        <v>ASUES.ES.ZRU10kV.SHTN10.TEL.mU21</v>
      </c>
      <c r="B461" s="688">
        <v>101</v>
      </c>
      <c r="C461" s="688" t="s">
        <v>0</v>
      </c>
      <c r="D461" s="280" t="s">
        <v>379</v>
      </c>
    </row>
    <row r="462" spans="1:4" ht="15" customHeight="1">
      <c r="A462" s="278" t="str">
        <f t="shared" si="45"/>
        <v>ASUES.ES.ZRU10kV.SHTN10.TEL.mU21</v>
      </c>
      <c r="B462" s="688">
        <v>3</v>
      </c>
      <c r="C462" s="688" t="s">
        <v>1</v>
      </c>
      <c r="D462" s="280">
        <v>192</v>
      </c>
    </row>
    <row r="463" spans="1:4" ht="15" customHeight="1">
      <c r="A463" s="278" t="str">
        <f t="shared" si="45"/>
        <v>ASUES.ES.ZRU10kV.SHTN10.TEL.mU21</v>
      </c>
      <c r="B463" s="688">
        <v>2</v>
      </c>
      <c r="C463" s="688" t="s">
        <v>80</v>
      </c>
      <c r="D463" s="280">
        <v>0</v>
      </c>
    </row>
    <row r="464" spans="1:4" ht="15" customHeight="1">
      <c r="A464" s="281" t="str">
        <f t="shared" si="45"/>
        <v>ASUES.ES.ZRU10kV.SHTN10.TEL.mU21</v>
      </c>
      <c r="B464" s="282">
        <v>1</v>
      </c>
      <c r="C464" s="282" t="s">
        <v>1</v>
      </c>
      <c r="D464" s="283">
        <v>4</v>
      </c>
    </row>
    <row r="465" spans="1:4" ht="15" customHeight="1">
      <c r="A465" s="275" t="str">
        <f t="shared" ref="A465:A470" si="46">$R$2&amp;".mU32"</f>
        <v>ASUES.ES.ZRU10kV.SHTN10.TEL.mU32</v>
      </c>
      <c r="B465" s="276">
        <v>7999</v>
      </c>
      <c r="C465" s="276" t="s">
        <v>0</v>
      </c>
      <c r="D465" s="277" t="str">
        <f>"#"&amp;$S$2&amp;"#"&amp;$T$2&amp;"."&amp;$P$2&amp;".U32"</f>
        <v>#15#\\SERVER-ASCUER\Relematika.Modbus.OPCDAServer.SHTN10.U32</v>
      </c>
    </row>
    <row r="466" spans="1:4" ht="15" customHeight="1">
      <c r="A466" s="278" t="str">
        <f t="shared" si="46"/>
        <v>ASUES.ES.ZRU10kV.SHTN10.TEL.mU32</v>
      </c>
      <c r="B466" s="688">
        <v>7998</v>
      </c>
      <c r="C466" s="688" t="s">
        <v>6</v>
      </c>
      <c r="D466" s="280">
        <v>1</v>
      </c>
    </row>
    <row r="467" spans="1:4" ht="15" customHeight="1">
      <c r="A467" s="278" t="str">
        <f t="shared" si="46"/>
        <v>ASUES.ES.ZRU10kV.SHTN10.TEL.mU32</v>
      </c>
      <c r="B467" s="688">
        <v>101</v>
      </c>
      <c r="C467" s="688" t="s">
        <v>0</v>
      </c>
      <c r="D467" s="280" t="s">
        <v>380</v>
      </c>
    </row>
    <row r="468" spans="1:4" ht="15" customHeight="1">
      <c r="A468" s="278" t="str">
        <f t="shared" si="46"/>
        <v>ASUES.ES.ZRU10kV.SHTN10.TEL.mU32</v>
      </c>
      <c r="B468" s="688">
        <v>3</v>
      </c>
      <c r="C468" s="688" t="s">
        <v>1</v>
      </c>
      <c r="D468" s="280">
        <v>192</v>
      </c>
    </row>
    <row r="469" spans="1:4" ht="15" customHeight="1">
      <c r="A469" s="278" t="str">
        <f t="shared" si="46"/>
        <v>ASUES.ES.ZRU10kV.SHTN10.TEL.mU32</v>
      </c>
      <c r="B469" s="688">
        <v>2</v>
      </c>
      <c r="C469" s="688" t="s">
        <v>80</v>
      </c>
      <c r="D469" s="280">
        <v>0</v>
      </c>
    </row>
    <row r="470" spans="1:4" ht="15" customHeight="1">
      <c r="A470" s="281" t="str">
        <f t="shared" si="46"/>
        <v>ASUES.ES.ZRU10kV.SHTN10.TEL.mU32</v>
      </c>
      <c r="B470" s="282">
        <v>1</v>
      </c>
      <c r="C470" s="282" t="s">
        <v>1</v>
      </c>
      <c r="D470" s="283">
        <v>4</v>
      </c>
    </row>
  </sheetData>
  <mergeCells count="1">
    <mergeCell ref="D19:E19"/>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Лист189">
    <tabColor rgb="FFFFC000"/>
  </sheetPr>
  <dimension ref="A1:BP1025"/>
  <sheetViews>
    <sheetView topLeftCell="A989" zoomScale="70" zoomScaleNormal="70" workbookViewId="0">
      <selection activeCell="D2" sqref="D2:D4"/>
    </sheetView>
  </sheetViews>
  <sheetFormatPr defaultRowHeight="14.4"/>
  <cols>
    <col min="1" max="1" width="66.4414062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1" s="258" customFormat="1" ht="204.6" thickBot="1">
      <c r="A1" s="257"/>
      <c r="B1" s="260" t="s">
        <v>84</v>
      </c>
      <c r="C1" s="257"/>
      <c r="D1" s="257"/>
      <c r="E1" s="257"/>
      <c r="F1" s="257"/>
      <c r="P1" s="263" t="str">
        <f>Таблица!D1</f>
        <v>Префикс для TREI
Тэг ОРС для INFINITY</v>
      </c>
      <c r="Q1" s="263" t="str">
        <f>Таблица!E1</f>
        <v>Комментарий для TREI и INFINITY</v>
      </c>
      <c r="R1" s="263" t="str">
        <f>Таблица!F1</f>
        <v>ТЭГ в дереве INFINITY Server</v>
      </c>
      <c r="S1" s="263"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540" t="str">
        <f>Таблица!H1</f>
        <v>OPC путь 
№ маршрута Modbus TCP, Modbus RTU, Modbus over TCP (1-255)
№ КП IEC104 (1-65534)</v>
      </c>
      <c r="U1" s="263" t="str">
        <f>Таблица!I1</f>
        <v>OPC путь</v>
      </c>
      <c r="V1" s="263" t="str">
        <f>Таблица!J1</f>
        <v>Мнемосхема</v>
      </c>
      <c r="W1" s="263"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63"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63" t="str">
        <f>Таблица!M1</f>
        <v>FB_IMt_MON_S, IMt_MON: Только для трансформатора. Цвет нижних обмоток(-ки) при наличии напряжения</v>
      </c>
      <c r="Z1" s="263"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63"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63" t="str">
        <f>Таблица!P1</f>
        <v xml:space="preserve">FB_DI_S, FB_DO_S, DI, DI_DIAG, FB_DO_STB_S: Тип сигнализации (Авария, предупреждение, телесигнализация и тд.)
FB_SHPS_S(SB), FB_BTF_S: Тип сигнализации XFRX
</v>
      </c>
      <c r="AC1" s="263"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63" t="str">
        <f>Таблица!R1</f>
        <v>SEPAM: Тип ячейки (OL,SV,VV,TN)
BMRZ: Тип ячейки (VV,AV)
TOR: Тип ячейки (OL,SV,VV,TN,BK)</v>
      </c>
      <c r="AE1" s="263" t="str">
        <f>Таблица!S1</f>
        <v>Формула для fNoLink.Device</v>
      </c>
      <c r="AF1" s="263">
        <f>Таблица!T1</f>
        <v>0</v>
      </c>
      <c r="AG1" s="263">
        <f>Таблица!U1</f>
        <v>0</v>
      </c>
      <c r="AH1" s="263">
        <f>Таблица!V1</f>
        <v>0</v>
      </c>
      <c r="AI1" s="263">
        <f>Таблица!W1</f>
        <v>0</v>
      </c>
      <c r="AJ1" s="263">
        <f>Таблица!X1</f>
        <v>0</v>
      </c>
      <c r="AK1" s="541" t="str">
        <f>Таблица!Y1</f>
        <v>FB_AI_S, FB_DI_S, FB_QSA_S, FB_DO_S, FB_SHPS_S, FB_SHOP_S, FB_BTF_S: IVXX
FB_KL_UPT_S: ISON
SW_S301, SW_MES3508: Подключение к порту 1
SW_MAYAK: Подключение к порту 1,2 (через "\")
DI_DIAG, DO_DIAG: XVLX</v>
      </c>
      <c r="AL1" s="541"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541"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541" t="str">
        <f>Таблица!AB1</f>
        <v>FB_IMstp_S, FB_IMsp_S, FB_IMs_S, FB_REG_S, FB_IM_ADES_S : ILCX
SW_S301: Подключение к порту 4
SW_MAYAK, SW_MES3508: Подключение к порту 7,8 (через "\")</v>
      </c>
      <c r="AO1" s="542" t="str">
        <f>Таблица!AC1</f>
        <v xml:space="preserve">FB_IMstp_S, FB_IMsp_S, FB_IMs_S, FB_IMp_S, FB_IMv_S, FB_REG_S, FB_IM_ADES_S, FB_DO_S : IRCX
SW_S301, SW_MES3508: Подключение к порту 5
SW_MAYAK: Подключение к порту 9,10 (через "\")
</v>
      </c>
      <c r="AP1" s="542"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542"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542" t="str">
        <f>Таблица!AF1</f>
        <v xml:space="preserve">FB_IMstp_S, FB_IMsp_S, FB_IMs_S, FB_IMp_S, FB_IMv_S, FB_IM_ADES_S, FB_OZK_KD_S, FB_DO_S: OXOF
SW_S301, SW_MES3508: Подключение к порту 8
SW_MAYAK: Подключение к порту 15,16 (через "\")
</v>
      </c>
      <c r="AS1" s="542" t="str">
        <f>Таблица!AG1</f>
        <v xml:space="preserve">FB_IM_ADES_S, FB_IMp_S, FB_IMv_S: OXSP
FB_IMstp_S, FB_IMsp_S, FB_IMsp_MON_S: IPTC
SW_S301, SW_MES3508: Подключение к порту 9
SW_MAYAK: Подключение к порту 17,18 (через "\")
</v>
      </c>
      <c r="AT1" s="542" t="str">
        <f>Таблица!AH1</f>
        <v xml:space="preserve">FB_IMstp_S, FB_IMst_MON_S, FB_IMt_MON_S: ITON
FB_IM_ADES_S: IOLD
SW_S301, SW_MES3508: Подключение к порту 10
SW_MAYAK: Подключение к порту 19,20 (через "\")
</v>
      </c>
      <c r="AU1" s="542" t="str">
        <f>Таблица!AI1</f>
        <v>FB_IMstp_S, FB_IMst_MON_S, FB_IMt_MON_S: ITOF
FB_IM_ADES_S: IRAD
SW_MAYAK: Подключение к порту 21,22 (через "\")</v>
      </c>
      <c r="AV1" s="542" t="str">
        <f>Таблица!AJ1</f>
        <v xml:space="preserve">FB_IMstp_S, FB_IMsp_S, FB_IMsp_MON_S, FB_IM_ADES_S: IPTO
SW_MAYAK: Подключение к порту 23,24 (через "\")
</v>
      </c>
      <c r="AW1" s="261"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61" t="str">
        <f>Таблица!AL1</f>
        <v>Для TREI
FB_IMstp_S, FB_IMs_S, FB_IMp_S, FB_IMv_S, FB_IM_ADES_S: Настройка перехода ручной-/автоматический-(TRUE/FALSE) 
FB_DI_S: Генерировать метки времени (TRUE/FALSE)</v>
      </c>
      <c r="AY1" s="261"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61" t="str">
        <f>Таблица!AN1</f>
        <v>Для TREI
FB_AI_S, FB_QSA_S: Верхний предел датчика
FB_IMp_S, FB_IMv_S, FB_IM_ADES_S, FB_OZK_KD_S: Время перестановки</v>
      </c>
      <c r="BA1" s="261"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F1" s="259"/>
      <c r="BG1" s="259"/>
      <c r="BH1" s="259"/>
      <c r="BI1" s="259"/>
    </row>
    <row r="2" spans="1:61" ht="15" customHeight="1">
      <c r="A2" s="9"/>
      <c r="B2" s="9"/>
      <c r="C2" s="9"/>
      <c r="D2" s="9"/>
      <c r="E2" s="9"/>
      <c r="F2" s="9"/>
      <c r="P2" s="2" t="s">
        <v>1564</v>
      </c>
      <c r="Q2" s="2" t="s">
        <v>1565</v>
      </c>
      <c r="R2" s="2" t="s">
        <v>1566</v>
      </c>
      <c r="S2" s="3">
        <v>15</v>
      </c>
      <c r="T2" s="3" t="s">
        <v>1539</v>
      </c>
      <c r="U2" s="3" t="s">
        <v>1556</v>
      </c>
      <c r="V2" s="3" t="s">
        <v>1540</v>
      </c>
      <c r="W2" s="12"/>
      <c r="X2" s="12"/>
      <c r="Y2" s="12"/>
      <c r="Z2" s="12"/>
      <c r="AA2" s="12"/>
      <c r="AB2" s="2"/>
      <c r="AC2" s="2"/>
      <c r="AD2" s="2" t="s">
        <v>1476</v>
      </c>
      <c r="AE2" s="2" t="s">
        <v>1541</v>
      </c>
      <c r="AF2" s="2"/>
      <c r="AG2" s="2"/>
      <c r="AH2" s="2"/>
      <c r="AI2" s="2"/>
      <c r="AJ2" s="2"/>
      <c r="AK2" s="2"/>
      <c r="AL2" s="2"/>
      <c r="AM2" s="2"/>
      <c r="AN2" s="2"/>
      <c r="AO2" s="2"/>
      <c r="AP2" s="2"/>
      <c r="AQ2" s="2"/>
      <c r="AR2" s="2"/>
      <c r="AS2" s="2"/>
      <c r="AT2" s="2"/>
      <c r="AU2" s="2"/>
      <c r="AV2" s="2"/>
      <c r="AW2" s="2"/>
      <c r="AX2" s="2"/>
      <c r="AY2" s="2"/>
      <c r="AZ2" s="2"/>
      <c r="BA2" s="2"/>
      <c r="BF2" s="4"/>
      <c r="BG2" s="4"/>
      <c r="BH2" s="4"/>
      <c r="BI2" s="4"/>
    </row>
    <row r="3" spans="1:61" ht="15" customHeight="1">
      <c r="A3" s="9"/>
      <c r="B3" s="9"/>
      <c r="C3" s="9"/>
      <c r="D3" s="9"/>
      <c r="E3" s="9"/>
      <c r="F3" s="9"/>
      <c r="P3" s="10"/>
      <c r="Q3" s="10"/>
      <c r="R3" s="10"/>
      <c r="S3" s="10"/>
      <c r="T3" s="10"/>
      <c r="U3" s="10"/>
      <c r="V3" s="10"/>
      <c r="W3" s="10"/>
      <c r="X3" s="10"/>
      <c r="Y3" s="10"/>
      <c r="Z3" s="10"/>
      <c r="AA3" s="10"/>
      <c r="BF3" s="4"/>
      <c r="BG3" s="4"/>
      <c r="BH3" s="4"/>
      <c r="BI3" s="4"/>
    </row>
    <row r="4" spans="1:61"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609"/>
      <c r="V4" s="10"/>
      <c r="W4" s="10"/>
      <c r="X4" s="10"/>
      <c r="Y4" s="10"/>
      <c r="Z4" s="10"/>
      <c r="AA4" s="10"/>
      <c r="BF4" s="4"/>
      <c r="BG4" s="4"/>
      <c r="BH4" s="4"/>
      <c r="BI4" s="4"/>
    </row>
    <row r="5" spans="1:61" ht="15" customHeight="1">
      <c r="A5" s="9"/>
      <c r="B5" s="9"/>
      <c r="C5" s="9"/>
      <c r="D5" s="9"/>
      <c r="E5" s="9"/>
      <c r="F5" s="9"/>
      <c r="P5" s="6" t="str">
        <f>Настройки!A2</f>
        <v>Авария</v>
      </c>
      <c r="Q5" s="5">
        <f>Настройки!B2</f>
        <v>4</v>
      </c>
      <c r="R5" s="543" t="str">
        <f>Настройки!C2</f>
        <v>Авария</v>
      </c>
      <c r="S5" s="10"/>
      <c r="T5" s="458">
        <f>Настройки!M12</f>
        <v>1</v>
      </c>
      <c r="U5" s="610"/>
      <c r="V5" s="10"/>
      <c r="W5" s="10"/>
      <c r="X5" s="10"/>
      <c r="Y5" s="10"/>
      <c r="Z5" s="10"/>
      <c r="AA5" s="10"/>
      <c r="BF5" s="4"/>
      <c r="BG5" s="4"/>
      <c r="BH5" s="4"/>
      <c r="BI5" s="4"/>
    </row>
    <row r="6" spans="1:61" ht="15" customHeight="1">
      <c r="A6" s="9"/>
      <c r="B6" s="9"/>
      <c r="C6" s="9"/>
      <c r="D6" s="9"/>
      <c r="E6" s="9"/>
      <c r="F6" s="9"/>
      <c r="P6" s="6" t="str">
        <f>Настройки!A3</f>
        <v>Предупреждение</v>
      </c>
      <c r="Q6" s="5">
        <f>Настройки!B3</f>
        <v>8</v>
      </c>
      <c r="R6" s="543" t="str">
        <f>Настройки!C3</f>
        <v>Предупреждение</v>
      </c>
      <c r="S6" s="10"/>
      <c r="T6" s="608" t="str">
        <f>Настройки!$M$7</f>
        <v>Отображение Таблицы подлючений в диаг.</v>
      </c>
      <c r="U6" s="10"/>
      <c r="V6" s="10"/>
      <c r="W6" s="10"/>
      <c r="X6" s="10"/>
      <c r="Y6" s="10"/>
      <c r="Z6" s="10"/>
      <c r="AA6" s="10"/>
      <c r="BF6" s="4"/>
      <c r="BG6" s="4"/>
      <c r="BH6" s="4"/>
      <c r="BI6" s="4"/>
    </row>
    <row r="7" spans="1:61" ht="15" customHeight="1">
      <c r="A7" s="9"/>
      <c r="B7" s="9"/>
      <c r="C7" s="9"/>
      <c r="D7" s="9"/>
      <c r="E7" s="9"/>
      <c r="F7" s="9"/>
      <c r="P7" s="6" t="str">
        <f>Настройки!A4</f>
        <v>Неисправность</v>
      </c>
      <c r="Q7" s="5">
        <f>Настройки!B4</f>
        <v>12</v>
      </c>
      <c r="R7" s="543" t="str">
        <f>Настройки!C4</f>
        <v>Неисправность</v>
      </c>
      <c r="S7" s="10"/>
      <c r="T7" s="458" t="b">
        <f>Настройки!$M$8</f>
        <v>0</v>
      </c>
      <c r="U7" s="10"/>
      <c r="V7" s="10"/>
      <c r="W7" s="10"/>
      <c r="X7" s="10"/>
      <c r="Y7" s="10"/>
      <c r="Z7" s="10"/>
      <c r="AA7" s="10"/>
      <c r="BF7" s="4"/>
      <c r="BG7" s="4"/>
      <c r="BH7" s="4"/>
      <c r="BI7" s="4"/>
    </row>
    <row r="8" spans="1:61" ht="15" customHeight="1">
      <c r="A8" s="9"/>
      <c r="B8" s="9"/>
      <c r="C8" s="9"/>
      <c r="D8" s="9"/>
      <c r="E8" s="9"/>
      <c r="F8" s="9"/>
      <c r="P8" s="6" t="str">
        <f>Настройки!A5</f>
        <v>Телесигнализация</v>
      </c>
      <c r="Q8" s="5">
        <f>Настройки!B5</f>
        <v>18</v>
      </c>
      <c r="R8" s="543" t="str">
        <f>Настройки!C5</f>
        <v>Телесигнализация</v>
      </c>
      <c r="S8" s="10"/>
      <c r="T8" s="10"/>
      <c r="U8" s="10"/>
      <c r="V8" s="10"/>
      <c r="W8" s="10"/>
      <c r="X8" s="10"/>
      <c r="Y8" s="10"/>
      <c r="Z8" s="10"/>
      <c r="AA8" s="10"/>
      <c r="BF8" s="4"/>
      <c r="BG8" s="4"/>
      <c r="BH8" s="4"/>
      <c r="BI8" s="4"/>
    </row>
    <row r="9" spans="1:61" ht="15" customHeight="1">
      <c r="A9" s="9"/>
      <c r="B9" s="9"/>
      <c r="C9" s="9"/>
      <c r="D9" s="9"/>
      <c r="E9" s="9"/>
      <c r="F9" s="9"/>
      <c r="P9" s="6" t="str">
        <f>Настройки!A6</f>
        <v>Недостоверность</v>
      </c>
      <c r="Q9" s="5">
        <f>Настройки!B6</f>
        <v>10</v>
      </c>
      <c r="R9" s="543" t="str">
        <f>Настройки!C6</f>
        <v>Недостоверность</v>
      </c>
      <c r="S9" s="10"/>
      <c r="T9" s="10"/>
      <c r="U9" s="10"/>
      <c r="V9" s="10"/>
      <c r="W9" s="10"/>
      <c r="X9" s="10"/>
      <c r="Y9" s="10"/>
      <c r="Z9" s="10"/>
      <c r="AA9" s="10"/>
      <c r="BF9" s="4"/>
      <c r="BG9" s="4"/>
      <c r="BH9" s="4"/>
      <c r="BI9" s="4"/>
    </row>
    <row r="10" spans="1:61" ht="15" customHeight="1">
      <c r="A10" s="9"/>
      <c r="B10" s="9"/>
      <c r="C10" s="9"/>
      <c r="D10" s="9"/>
      <c r="E10" s="9"/>
      <c r="F10" s="9"/>
      <c r="P10" s="6" t="str">
        <f>Настройки!A7</f>
        <v>Имитация</v>
      </c>
      <c r="Q10" s="5">
        <f>Настройки!B7</f>
        <v>16</v>
      </c>
      <c r="R10" s="543" t="str">
        <f>Настройки!C7</f>
        <v>Имитация</v>
      </c>
      <c r="S10" s="10"/>
      <c r="T10" s="10"/>
      <c r="U10" s="10"/>
      <c r="V10" s="10"/>
      <c r="W10" s="10"/>
      <c r="X10" s="10"/>
      <c r="Y10" s="10"/>
      <c r="Z10" s="10"/>
      <c r="AA10" s="10"/>
      <c r="BF10" s="4"/>
      <c r="BG10" s="4"/>
      <c r="BH10" s="4"/>
      <c r="BI10" s="4"/>
    </row>
    <row r="11" spans="1:61" ht="15" customHeight="1">
      <c r="A11" s="9"/>
      <c r="B11" s="9"/>
      <c r="C11" s="9"/>
      <c r="D11" s="9"/>
      <c r="E11" s="9"/>
      <c r="F11" s="9"/>
      <c r="P11" s="6" t="str">
        <f>Настройки!A8</f>
        <v>Ремонт</v>
      </c>
      <c r="Q11" s="5">
        <f>Настройки!B8</f>
        <v>14</v>
      </c>
      <c r="R11" s="543" t="str">
        <f>Настройки!C8</f>
        <v>Ремонт</v>
      </c>
      <c r="S11" s="10"/>
      <c r="T11" s="10"/>
      <c r="U11" s="10"/>
      <c r="V11" s="10"/>
      <c r="W11" s="10"/>
      <c r="X11" s="10"/>
      <c r="Y11" s="10"/>
      <c r="Z11" s="10"/>
      <c r="AA11" s="10"/>
      <c r="BF11" s="4"/>
      <c r="BG11" s="4"/>
      <c r="BH11" s="4"/>
      <c r="BI11" s="4"/>
    </row>
    <row r="12" spans="1:61" ht="15" customHeight="1">
      <c r="A12" s="9"/>
      <c r="B12" s="9"/>
      <c r="C12" s="9"/>
      <c r="D12" s="9"/>
      <c r="E12" s="9"/>
      <c r="F12" s="9"/>
      <c r="P12" s="6" t="str">
        <f>Настройки!A9</f>
        <v>Команда оператора</v>
      </c>
      <c r="Q12" s="5">
        <f>Настройки!B9</f>
        <v>20</v>
      </c>
      <c r="R12" s="543" t="str">
        <f>Настройки!C9</f>
        <v>Команда оператора</v>
      </c>
      <c r="S12" s="10"/>
      <c r="T12" s="10"/>
      <c r="U12" s="10"/>
      <c r="V12" s="10"/>
      <c r="W12" s="10"/>
      <c r="X12" s="10"/>
      <c r="Y12" s="10"/>
      <c r="Z12" s="10"/>
      <c r="AA12" s="10"/>
      <c r="BF12" s="4"/>
      <c r="BG12" s="4"/>
      <c r="BH12" s="4"/>
      <c r="BI12" s="4"/>
    </row>
    <row r="13" spans="1:61"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F13" s="4"/>
      <c r="BG13" s="4"/>
      <c r="BH13" s="4"/>
      <c r="BI13" s="4"/>
    </row>
    <row r="14" spans="1:61"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F14" s="4"/>
      <c r="BG14" s="4"/>
      <c r="BH14" s="4"/>
      <c r="BI14" s="4"/>
    </row>
    <row r="15" spans="1:61"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F15" s="4"/>
      <c r="BG15" s="4"/>
      <c r="BH15" s="4"/>
      <c r="BI15" s="4"/>
    </row>
    <row r="16" spans="1:61"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F16" s="4"/>
      <c r="BG16" s="4"/>
      <c r="BH16" s="4"/>
      <c r="BI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F17" s="4"/>
      <c r="BG17" s="4"/>
      <c r="BH17" s="4"/>
      <c r="BI17" s="4"/>
    </row>
    <row r="18" spans="1:68" ht="15" customHeight="1" thickBo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F18" s="4"/>
      <c r="BG18" s="4"/>
      <c r="BH18" s="4"/>
      <c r="BI18" s="4"/>
    </row>
    <row r="19" spans="1:68" ht="15" customHeight="1" thickBot="1">
      <c r="A19" s="9"/>
      <c r="B19" s="9"/>
      <c r="C19" s="9"/>
      <c r="D19" s="783" t="s">
        <v>1933</v>
      </c>
      <c r="E19" s="782"/>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F19" s="4"/>
      <c r="BG19" s="4"/>
      <c r="BH19" s="4"/>
      <c r="BI19" s="4"/>
    </row>
    <row r="20" spans="1:68" ht="15" customHeight="1">
      <c r="A20" s="23" t="str">
        <f>$R$2</f>
        <v>ASUES.ES.ZRU10kV.SHTN10.TEL</v>
      </c>
      <c r="B20" s="24">
        <v>100</v>
      </c>
      <c r="C20" s="24" t="s">
        <v>0</v>
      </c>
      <c r="D20" s="25" t="b">
        <f>$T$7</f>
        <v>0</v>
      </c>
      <c r="BM20" s="4"/>
      <c r="BN20" s="4"/>
      <c r="BO20" s="4"/>
      <c r="BP20" s="4"/>
    </row>
    <row r="21" spans="1:68" ht="15" customHeight="1">
      <c r="A21" s="29" t="str">
        <f>$R$2</f>
        <v>ASUES.ES.ZRU10kV.SHTN10.TEL</v>
      </c>
      <c r="B21">
        <v>11127</v>
      </c>
      <c r="C21" t="s">
        <v>0</v>
      </c>
      <c r="D21" s="30">
        <f>$AK$2</f>
        <v>0</v>
      </c>
      <c r="BM21" s="4"/>
      <c r="BN21" s="4"/>
      <c r="BO21" s="4"/>
      <c r="BP21" s="4"/>
    </row>
    <row r="22" spans="1:68">
      <c r="A22" s="23" t="str">
        <f t="shared" ref="A22:A28" si="0">$R$2</f>
        <v>ASUES.ES.ZRU10kV.SHTN10.TEL</v>
      </c>
      <c r="B22" s="24">
        <v>203</v>
      </c>
      <c r="C22" s="24" t="s">
        <v>2</v>
      </c>
      <c r="D22" s="25" t="s">
        <v>3</v>
      </c>
    </row>
    <row r="23" spans="1:68">
      <c r="A23" s="29" t="str">
        <f t="shared" si="0"/>
        <v>ASUES.ES.ZRU10kV.SHTN10.TEL</v>
      </c>
      <c r="B23">
        <v>7011</v>
      </c>
      <c r="C23" t="s">
        <v>2</v>
      </c>
      <c r="D23" s="30" t="s">
        <v>266</v>
      </c>
    </row>
    <row r="24" spans="1:68">
      <c r="A24" s="29" t="str">
        <f t="shared" si="0"/>
        <v>ASUES.ES.ZRU10kV.SHTN10.TEL</v>
      </c>
      <c r="B24">
        <v>9218</v>
      </c>
      <c r="C24" t="s">
        <v>2</v>
      </c>
      <c r="D24" s="30" t="s">
        <v>3</v>
      </c>
    </row>
    <row r="25" spans="1:68" ht="15" customHeight="1">
      <c r="A25" s="29" t="str">
        <f t="shared" si="0"/>
        <v>ASUES.ES.ZRU10kV.SHTN10.TEL</v>
      </c>
      <c r="B25">
        <v>3000203</v>
      </c>
      <c r="C25" t="s">
        <v>0</v>
      </c>
      <c r="D25" s="30" t="str">
        <f>$AE$2</f>
        <v>DIAG.PING.USO_E2.Comm_1.noLink &amp; DIAG.PING.USO_E2.Comm_3.noLink</v>
      </c>
      <c r="BF25" s="4"/>
      <c r="BG25" s="4"/>
      <c r="BH25" s="4"/>
      <c r="BI25" s="4"/>
    </row>
    <row r="26" spans="1:68" ht="15" customHeight="1">
      <c r="A26" s="29" t="str">
        <f t="shared" si="0"/>
        <v>ASUES.ES.ZRU10kV.SHTN10.TEL</v>
      </c>
      <c r="B26">
        <v>4000203</v>
      </c>
      <c r="C26" t="s">
        <v>0</v>
      </c>
      <c r="D26" s="30" t="s">
        <v>1775</v>
      </c>
      <c r="BF26" s="4"/>
      <c r="BG26" s="4"/>
      <c r="BH26" s="4"/>
      <c r="BI26" s="4"/>
    </row>
    <row r="27" spans="1:68" ht="15" customHeight="1">
      <c r="A27" s="29" t="str">
        <f t="shared" si="0"/>
        <v>ASUES.ES.ZRU10kV.SHTN10.TEL</v>
      </c>
      <c r="B27">
        <v>7000203</v>
      </c>
      <c r="C27" t="s">
        <v>6</v>
      </c>
      <c r="D27" s="30">
        <v>2</v>
      </c>
      <c r="BF27" s="4"/>
      <c r="BG27" s="4"/>
      <c r="BH27" s="4"/>
      <c r="BI27" s="4"/>
    </row>
    <row r="28" spans="1:68">
      <c r="A28" s="29" t="str">
        <f t="shared" si="0"/>
        <v>ASUES.ES.ZRU10kV.SHTN10.TEL</v>
      </c>
      <c r="B28">
        <v>1</v>
      </c>
      <c r="C28" t="s">
        <v>1</v>
      </c>
      <c r="D28" s="30">
        <v>17</v>
      </c>
    </row>
    <row r="29" spans="1:68">
      <c r="A29" s="29" t="str">
        <f>$R$2</f>
        <v>ASUES.ES.ZRU10kV.SHTN10.TEL</v>
      </c>
      <c r="B29" s="27">
        <v>11001</v>
      </c>
      <c r="C29" s="27" t="s">
        <v>0</v>
      </c>
      <c r="D29" s="28" t="str">
        <f>$Q$2&amp;". "</f>
        <v xml:space="preserve">ГП-3.ЗРУ 10кВ (поз.11). Ячейка №10. Шинный трансформатор напряжения №2. </v>
      </c>
    </row>
    <row r="30" spans="1:68">
      <c r="A30" s="23" t="str">
        <f>$R$2&amp;".Commands"</f>
        <v>ASUES.ES.ZRU10kV.SHTN10.TEL.Commands</v>
      </c>
      <c r="B30" s="24">
        <v>1</v>
      </c>
      <c r="C30" s="24" t="s">
        <v>1</v>
      </c>
      <c r="D30" s="25">
        <v>17</v>
      </c>
    </row>
    <row r="31" spans="1:68">
      <c r="A31" s="29" t="str">
        <f>$R$2&amp;".Commands"</f>
        <v>ASUES.ES.ZRU10kV.SHTN10.TEL.Commands</v>
      </c>
      <c r="B31">
        <v>7011</v>
      </c>
      <c r="C31" t="s">
        <v>2</v>
      </c>
      <c r="D31" s="30" t="s">
        <v>266</v>
      </c>
    </row>
    <row r="32" spans="1:68">
      <c r="A32" s="29" t="str">
        <f>$R$2&amp;".Commands"</f>
        <v>ASUES.ES.ZRU10kV.SHTN10.TEL.Commands</v>
      </c>
      <c r="B32">
        <v>9213</v>
      </c>
      <c r="C32" t="s">
        <v>2583</v>
      </c>
      <c r="D32" s="30">
        <v>2</v>
      </c>
    </row>
    <row r="33" spans="1:4">
      <c r="A33" s="29" t="str">
        <f>$R$2&amp;".Commands"</f>
        <v>ASUES.ES.ZRU10kV.SHTN10.TEL.Commands</v>
      </c>
      <c r="B33">
        <v>9214</v>
      </c>
      <c r="C33" t="s">
        <v>2</v>
      </c>
      <c r="D33" s="30" t="s">
        <v>3</v>
      </c>
    </row>
    <row r="34" spans="1:4">
      <c r="A34" s="29" t="str">
        <f t="shared" ref="A34:A36" si="1">$R$2&amp;".Commands"</f>
        <v>ASUES.ES.ZRU10kV.SHTN10.TEL.Commands</v>
      </c>
      <c r="B34">
        <v>9215</v>
      </c>
      <c r="C34" t="s">
        <v>2</v>
      </c>
      <c r="D34" s="30" t="s">
        <v>3</v>
      </c>
    </row>
    <row r="35" spans="1:4">
      <c r="A35" s="29" t="str">
        <f t="shared" si="1"/>
        <v>ASUES.ES.ZRU10kV.SHTN10.TEL.Commands</v>
      </c>
      <c r="B35">
        <v>9216</v>
      </c>
      <c r="C35" t="s">
        <v>2</v>
      </c>
      <c r="D35" s="30" t="s">
        <v>3</v>
      </c>
    </row>
    <row r="36" spans="1:4">
      <c r="A36" s="26" t="str">
        <f t="shared" si="1"/>
        <v>ASUES.ES.ZRU10kV.SHTN10.TEL.Commands</v>
      </c>
      <c r="B36" s="27">
        <v>9217</v>
      </c>
      <c r="C36" s="27" t="s">
        <v>2</v>
      </c>
      <c r="D36" s="28" t="s">
        <v>3</v>
      </c>
    </row>
    <row r="37" spans="1:4">
      <c r="A37" s="148" t="str">
        <f>$R$2&amp;".aProtVozb"</f>
        <v>ASUES.ES.ZRU10kV.SHTN10.TEL.aProtVozb</v>
      </c>
      <c r="B37" s="683">
        <v>11154</v>
      </c>
      <c r="C37" s="683" t="s">
        <v>4</v>
      </c>
      <c r="D37" s="535">
        <f>$Q$5</f>
        <v>4</v>
      </c>
    </row>
    <row r="38" spans="1:4">
      <c r="A38" s="148" t="str">
        <f t="shared" ref="A38:A46" si="2">$R$2&amp;".aProtVozb"</f>
        <v>ASUES.ES.ZRU10kV.SHTN10.TEL.aProtVozb</v>
      </c>
      <c r="B38" s="683">
        <v>11150</v>
      </c>
      <c r="C38" s="683" t="s">
        <v>0</v>
      </c>
      <c r="D38" s="125" t="s">
        <v>1892</v>
      </c>
    </row>
    <row r="39" spans="1:4">
      <c r="A39" s="148" t="str">
        <f t="shared" si="2"/>
        <v>ASUES.ES.ZRU10kV.SHTN10.TEL.aProtVozb</v>
      </c>
      <c r="B39" s="683">
        <v>11152</v>
      </c>
      <c r="C39" s="683" t="s">
        <v>0</v>
      </c>
      <c r="D39" s="125" t="str">
        <f>$R$5</f>
        <v>Авария</v>
      </c>
    </row>
    <row r="40" spans="1:4">
      <c r="A40" s="148" t="str">
        <f t="shared" si="2"/>
        <v>ASUES.ES.ZRU10kV.SHTN10.TEL.aProtVozb</v>
      </c>
      <c r="B40" s="683">
        <v>11000</v>
      </c>
      <c r="C40" s="683" t="s">
        <v>5</v>
      </c>
      <c r="D40" s="125">
        <v>2147483680</v>
      </c>
    </row>
    <row r="41" spans="1:4">
      <c r="A41" s="29" t="str">
        <f t="shared" si="2"/>
        <v>ASUES.ES.ZRU10kV.SHTN10.TEL.aProtVozb</v>
      </c>
      <c r="B41">
        <v>7999</v>
      </c>
      <c r="C41" t="s">
        <v>0</v>
      </c>
      <c r="D41" s="30" t="str">
        <f>"#"&amp;$S$2&amp;"#"&amp;$T$2&amp;""&amp;$P$2&amp;".TS01_16_TS7"</f>
        <v>#15#\\SERVER-ASCUER\Relematika.Modbus.OPCDAServerSHTN10.TS01_16_TS7</v>
      </c>
    </row>
    <row r="42" spans="1:4">
      <c r="A42" s="29" t="str">
        <f t="shared" si="2"/>
        <v>ASUES.ES.ZRU10kV.SHTN10.TEL.aProtVozb</v>
      </c>
      <c r="B42">
        <v>7998</v>
      </c>
      <c r="C42" t="s">
        <v>6</v>
      </c>
      <c r="D42" s="30">
        <v>1</v>
      </c>
    </row>
    <row r="43" spans="1:4">
      <c r="A43" s="29" t="str">
        <f t="shared" si="2"/>
        <v>ASUES.ES.ZRU10kV.SHTN10.TEL.aProtVozb</v>
      </c>
      <c r="B43">
        <v>101</v>
      </c>
      <c r="C43" t="s">
        <v>0</v>
      </c>
      <c r="D43" s="30" t="s">
        <v>1892</v>
      </c>
    </row>
    <row r="44" spans="1:4">
      <c r="A44" s="29" t="str">
        <f t="shared" si="2"/>
        <v>ASUES.ES.ZRU10kV.SHTN10.TEL.aProtVozb</v>
      </c>
      <c r="B44">
        <v>3</v>
      </c>
      <c r="C44" t="s">
        <v>1</v>
      </c>
      <c r="D44" s="30">
        <v>192</v>
      </c>
    </row>
    <row r="45" spans="1:4">
      <c r="A45" s="29" t="str">
        <f t="shared" si="2"/>
        <v>ASUES.ES.ZRU10kV.SHTN10.TEL.aProtVozb</v>
      </c>
      <c r="B45">
        <v>2</v>
      </c>
      <c r="C45" t="s">
        <v>2</v>
      </c>
      <c r="D45" s="30" t="s">
        <v>175</v>
      </c>
    </row>
    <row r="46" spans="1:4">
      <c r="A46" s="26" t="str">
        <f t="shared" si="2"/>
        <v>ASUES.ES.ZRU10kV.SHTN10.TEL.aProtVozb</v>
      </c>
      <c r="B46" s="27">
        <v>1</v>
      </c>
      <c r="C46" s="27" t="s">
        <v>1</v>
      </c>
      <c r="D46" s="28">
        <v>11</v>
      </c>
    </row>
    <row r="47" spans="1:4">
      <c r="A47" s="148" t="str">
        <f t="shared" ref="A47:A56" si="3">$R$2&amp;".aAccelMTZ"</f>
        <v>ASUES.ES.ZRU10kV.SHTN10.TEL.aAccelMTZ</v>
      </c>
      <c r="B47" s="683">
        <v>11154</v>
      </c>
      <c r="C47" s="683" t="s">
        <v>4</v>
      </c>
      <c r="D47" s="535">
        <f>$Q$5</f>
        <v>4</v>
      </c>
    </row>
    <row r="48" spans="1:4">
      <c r="A48" s="148" t="str">
        <f t="shared" si="3"/>
        <v>ASUES.ES.ZRU10kV.SHTN10.TEL.aAccelMTZ</v>
      </c>
      <c r="B48" s="683">
        <v>11150</v>
      </c>
      <c r="C48" s="683" t="s">
        <v>0</v>
      </c>
      <c r="D48" s="125" t="s">
        <v>1893</v>
      </c>
    </row>
    <row r="49" spans="1:4">
      <c r="A49" s="148" t="str">
        <f t="shared" si="3"/>
        <v>ASUES.ES.ZRU10kV.SHTN10.TEL.aAccelMTZ</v>
      </c>
      <c r="B49" s="683">
        <v>11152</v>
      </c>
      <c r="C49" s="683" t="s">
        <v>0</v>
      </c>
      <c r="D49" s="125" t="str">
        <f>$R$5</f>
        <v>Авария</v>
      </c>
    </row>
    <row r="50" spans="1:4">
      <c r="A50" s="148" t="str">
        <f t="shared" si="3"/>
        <v>ASUES.ES.ZRU10kV.SHTN10.TEL.aAccelMTZ</v>
      </c>
      <c r="B50" s="683">
        <v>11000</v>
      </c>
      <c r="C50" s="683" t="s">
        <v>5</v>
      </c>
      <c r="D50" s="125">
        <v>2147483680</v>
      </c>
    </row>
    <row r="51" spans="1:4">
      <c r="A51" s="29" t="str">
        <f t="shared" si="3"/>
        <v>ASUES.ES.ZRU10kV.SHTN10.TEL.aAccelMTZ</v>
      </c>
      <c r="B51">
        <v>7999</v>
      </c>
      <c r="C51" t="s">
        <v>0</v>
      </c>
      <c r="D51" s="30" t="str">
        <f>"#"&amp;$S$2&amp;"#"&amp;$T$2&amp;""&amp;$P$2&amp;".TS65_80_TS68"</f>
        <v>#15#\\SERVER-ASCUER\Relematika.Modbus.OPCDAServerSHTN10.TS65_80_TS68</v>
      </c>
    </row>
    <row r="52" spans="1:4">
      <c r="A52" s="29" t="str">
        <f t="shared" si="3"/>
        <v>ASUES.ES.ZRU10kV.SHTN10.TEL.aAccelMTZ</v>
      </c>
      <c r="B52">
        <v>7998</v>
      </c>
      <c r="C52" t="s">
        <v>6</v>
      </c>
      <c r="D52" s="30">
        <v>1</v>
      </c>
    </row>
    <row r="53" spans="1:4">
      <c r="A53" s="29" t="str">
        <f t="shared" si="3"/>
        <v>ASUES.ES.ZRU10kV.SHTN10.TEL.aAccelMTZ</v>
      </c>
      <c r="B53">
        <v>101</v>
      </c>
      <c r="C53" t="s">
        <v>0</v>
      </c>
      <c r="D53" s="30" t="s">
        <v>1893</v>
      </c>
    </row>
    <row r="54" spans="1:4">
      <c r="A54" s="29" t="str">
        <f t="shared" si="3"/>
        <v>ASUES.ES.ZRU10kV.SHTN10.TEL.aAccelMTZ</v>
      </c>
      <c r="B54">
        <v>3</v>
      </c>
      <c r="C54" t="s">
        <v>1</v>
      </c>
      <c r="D54" s="30">
        <v>192</v>
      </c>
    </row>
    <row r="55" spans="1:4">
      <c r="A55" s="29" t="str">
        <f t="shared" si="3"/>
        <v>ASUES.ES.ZRU10kV.SHTN10.TEL.aAccelMTZ</v>
      </c>
      <c r="B55">
        <v>2</v>
      </c>
      <c r="C55" t="s">
        <v>2</v>
      </c>
      <c r="D55" s="30" t="s">
        <v>175</v>
      </c>
    </row>
    <row r="56" spans="1:4">
      <c r="A56" s="26" t="str">
        <f t="shared" si="3"/>
        <v>ASUES.ES.ZRU10kV.SHTN10.TEL.aAccelMTZ</v>
      </c>
      <c r="B56" s="27">
        <v>1</v>
      </c>
      <c r="C56" s="27" t="s">
        <v>1</v>
      </c>
      <c r="D56" s="28">
        <v>11</v>
      </c>
    </row>
    <row r="57" spans="1:4">
      <c r="A57" s="148" t="str">
        <f>$R$2&amp;".aAccelMTZ_"</f>
        <v>ASUES.ES.ZRU10kV.SHTN10.TEL.aAccelMTZ_</v>
      </c>
      <c r="B57" s="683">
        <v>11154</v>
      </c>
      <c r="C57" s="683" t="s">
        <v>4</v>
      </c>
      <c r="D57" s="535">
        <f>$Q$5</f>
        <v>4</v>
      </c>
    </row>
    <row r="58" spans="1:4">
      <c r="A58" s="148" t="str">
        <f t="shared" ref="A58:A66" si="4">$R$2&amp;".aAccelMTZ_"</f>
        <v>ASUES.ES.ZRU10kV.SHTN10.TEL.aAccelMTZ_</v>
      </c>
      <c r="B58" s="683">
        <v>11150</v>
      </c>
      <c r="C58" s="683" t="s">
        <v>0</v>
      </c>
      <c r="D58" s="125" t="s">
        <v>1894</v>
      </c>
    </row>
    <row r="59" spans="1:4">
      <c r="A59" s="148" t="str">
        <f t="shared" si="4"/>
        <v>ASUES.ES.ZRU10kV.SHTN10.TEL.aAccelMTZ_</v>
      </c>
      <c r="B59" s="683">
        <v>11152</v>
      </c>
      <c r="C59" s="683" t="s">
        <v>0</v>
      </c>
      <c r="D59" s="125" t="str">
        <f>$R$5</f>
        <v>Авария</v>
      </c>
    </row>
    <row r="60" spans="1:4">
      <c r="A60" s="148" t="str">
        <f t="shared" si="4"/>
        <v>ASUES.ES.ZRU10kV.SHTN10.TEL.aAccelMTZ_</v>
      </c>
      <c r="B60" s="683">
        <v>11000</v>
      </c>
      <c r="C60" s="683" t="s">
        <v>5</v>
      </c>
      <c r="D60" s="125">
        <v>2147483680</v>
      </c>
    </row>
    <row r="61" spans="1:4">
      <c r="A61" s="29" t="str">
        <f t="shared" si="4"/>
        <v>ASUES.ES.ZRU10kV.SHTN10.TEL.aAccelMTZ_</v>
      </c>
      <c r="B61">
        <v>7999</v>
      </c>
      <c r="C61" t="s">
        <v>0</v>
      </c>
      <c r="D61" s="30" t="str">
        <f>"#"&amp;$S$2&amp;"#"&amp;$T$2&amp;""&amp;$P$2&amp;".TS225_240_TS238"</f>
        <v>#15#\\SERVER-ASCUER\Relematika.Modbus.OPCDAServerSHTN10.TS225_240_TS238</v>
      </c>
    </row>
    <row r="62" spans="1:4">
      <c r="A62" s="29" t="str">
        <f t="shared" si="4"/>
        <v>ASUES.ES.ZRU10kV.SHTN10.TEL.aAccelMTZ_</v>
      </c>
      <c r="B62">
        <v>7998</v>
      </c>
      <c r="C62" t="s">
        <v>6</v>
      </c>
      <c r="D62" s="30">
        <v>1</v>
      </c>
    </row>
    <row r="63" spans="1:4">
      <c r="A63" s="29" t="str">
        <f t="shared" si="4"/>
        <v>ASUES.ES.ZRU10kV.SHTN10.TEL.aAccelMTZ_</v>
      </c>
      <c r="B63">
        <v>101</v>
      </c>
      <c r="C63" t="s">
        <v>0</v>
      </c>
      <c r="D63" s="30" t="s">
        <v>1894</v>
      </c>
    </row>
    <row r="64" spans="1:4">
      <c r="A64" s="29" t="str">
        <f t="shared" si="4"/>
        <v>ASUES.ES.ZRU10kV.SHTN10.TEL.aAccelMTZ_</v>
      </c>
      <c r="B64">
        <v>3</v>
      </c>
      <c r="C64" t="s">
        <v>1</v>
      </c>
      <c r="D64" s="30">
        <v>192</v>
      </c>
    </row>
    <row r="65" spans="1:4">
      <c r="A65" s="29" t="str">
        <f t="shared" si="4"/>
        <v>ASUES.ES.ZRU10kV.SHTN10.TEL.aAccelMTZ_</v>
      </c>
      <c r="B65">
        <v>2</v>
      </c>
      <c r="C65" t="s">
        <v>2</v>
      </c>
      <c r="D65" s="30" t="s">
        <v>175</v>
      </c>
    </row>
    <row r="66" spans="1:4">
      <c r="A66" s="26" t="str">
        <f t="shared" si="4"/>
        <v>ASUES.ES.ZRU10kV.SHTN10.TEL.aAccelMTZ_</v>
      </c>
      <c r="B66" s="27">
        <v>1</v>
      </c>
      <c r="C66" s="27" t="s">
        <v>1</v>
      </c>
      <c r="D66" s="28">
        <v>11</v>
      </c>
    </row>
    <row r="67" spans="1:4">
      <c r="A67" s="148" t="str">
        <f t="shared" ref="A67:A76" si="5">$R$2&amp;".aAVR_Trip"</f>
        <v>ASUES.ES.ZRU10kV.SHTN10.TEL.aAVR_Trip</v>
      </c>
      <c r="B67" s="683">
        <v>11154</v>
      </c>
      <c r="C67" s="683" t="s">
        <v>4</v>
      </c>
      <c r="D67" s="535">
        <f>$Q$5</f>
        <v>4</v>
      </c>
    </row>
    <row r="68" spans="1:4">
      <c r="A68" s="148" t="str">
        <f t="shared" si="5"/>
        <v>ASUES.ES.ZRU10kV.SHTN10.TEL.aAVR_Trip</v>
      </c>
      <c r="B68" s="683">
        <v>11150</v>
      </c>
      <c r="C68" s="683" t="s">
        <v>0</v>
      </c>
      <c r="D68" s="125" t="s">
        <v>1530</v>
      </c>
    </row>
    <row r="69" spans="1:4">
      <c r="A69" s="148" t="str">
        <f t="shared" si="5"/>
        <v>ASUES.ES.ZRU10kV.SHTN10.TEL.aAVR_Trip</v>
      </c>
      <c r="B69" s="683">
        <v>11152</v>
      </c>
      <c r="C69" s="683" t="s">
        <v>0</v>
      </c>
      <c r="D69" s="125" t="str">
        <f>$R$5</f>
        <v>Авария</v>
      </c>
    </row>
    <row r="70" spans="1:4">
      <c r="A70" s="148" t="str">
        <f t="shared" si="5"/>
        <v>ASUES.ES.ZRU10kV.SHTN10.TEL.aAVR_Trip</v>
      </c>
      <c r="B70" s="683">
        <v>11000</v>
      </c>
      <c r="C70" s="683" t="s">
        <v>5</v>
      </c>
      <c r="D70" s="125">
        <v>2147483680</v>
      </c>
    </row>
    <row r="71" spans="1:4">
      <c r="A71" s="29" t="str">
        <f t="shared" si="5"/>
        <v>ASUES.ES.ZRU10kV.SHTN10.TEL.aAVR_Trip</v>
      </c>
      <c r="B71">
        <v>7999</v>
      </c>
      <c r="C71" t="s">
        <v>0</v>
      </c>
      <c r="D71" s="30" t="str">
        <f>"#"&amp;$S$2&amp;"#"&amp;$T$2&amp;""&amp;$P$2&amp;".TS177_192_TS183"</f>
        <v>#15#\\SERVER-ASCUER\Relematika.Modbus.OPCDAServerSHTN10.TS177_192_TS183</v>
      </c>
    </row>
    <row r="72" spans="1:4">
      <c r="A72" s="29" t="str">
        <f t="shared" si="5"/>
        <v>ASUES.ES.ZRU10kV.SHTN10.TEL.aAVR_Trip</v>
      </c>
      <c r="B72">
        <v>7998</v>
      </c>
      <c r="C72" t="s">
        <v>6</v>
      </c>
      <c r="D72" s="30">
        <v>1</v>
      </c>
    </row>
    <row r="73" spans="1:4">
      <c r="A73" s="29" t="str">
        <f t="shared" si="5"/>
        <v>ASUES.ES.ZRU10kV.SHTN10.TEL.aAVR_Trip</v>
      </c>
      <c r="B73">
        <v>101</v>
      </c>
      <c r="C73" t="s">
        <v>0</v>
      </c>
      <c r="D73" s="30" t="s">
        <v>1530</v>
      </c>
    </row>
    <row r="74" spans="1:4">
      <c r="A74" s="29" t="str">
        <f t="shared" si="5"/>
        <v>ASUES.ES.ZRU10kV.SHTN10.TEL.aAVR_Trip</v>
      </c>
      <c r="B74">
        <v>3</v>
      </c>
      <c r="C74" t="s">
        <v>1</v>
      </c>
      <c r="D74" s="30">
        <v>192</v>
      </c>
    </row>
    <row r="75" spans="1:4">
      <c r="A75" s="29" t="str">
        <f t="shared" si="5"/>
        <v>ASUES.ES.ZRU10kV.SHTN10.TEL.aAVR_Trip</v>
      </c>
      <c r="B75">
        <v>2</v>
      </c>
      <c r="C75" t="s">
        <v>2</v>
      </c>
      <c r="D75" s="30" t="s">
        <v>175</v>
      </c>
    </row>
    <row r="76" spans="1:4">
      <c r="A76" s="26" t="str">
        <f t="shared" si="5"/>
        <v>ASUES.ES.ZRU10kV.SHTN10.TEL.aAVR_Trip</v>
      </c>
      <c r="B76" s="27">
        <v>1</v>
      </c>
      <c r="C76" s="27" t="s">
        <v>1</v>
      </c>
      <c r="D76" s="28">
        <v>11</v>
      </c>
    </row>
    <row r="77" spans="1:4">
      <c r="A77" s="148" t="str">
        <f t="shared" ref="A77:A86" si="6">$R$2&amp;".aDGZ_UROV"</f>
        <v>ASUES.ES.ZRU10kV.SHTN10.TEL.aDGZ_UROV</v>
      </c>
      <c r="B77" s="683">
        <v>11154</v>
      </c>
      <c r="C77" s="683" t="s">
        <v>4</v>
      </c>
      <c r="D77" s="535">
        <f>$Q$5</f>
        <v>4</v>
      </c>
    </row>
    <row r="78" spans="1:4">
      <c r="A78" s="148" t="str">
        <f t="shared" si="6"/>
        <v>ASUES.ES.ZRU10kV.SHTN10.TEL.aDGZ_UROV</v>
      </c>
      <c r="B78" s="683">
        <v>11150</v>
      </c>
      <c r="C78" s="683" t="s">
        <v>0</v>
      </c>
      <c r="D78" s="125" t="s">
        <v>1895</v>
      </c>
    </row>
    <row r="79" spans="1:4">
      <c r="A79" s="148" t="str">
        <f t="shared" si="6"/>
        <v>ASUES.ES.ZRU10kV.SHTN10.TEL.aDGZ_UROV</v>
      </c>
      <c r="B79" s="683">
        <v>11152</v>
      </c>
      <c r="C79" s="683" t="s">
        <v>0</v>
      </c>
      <c r="D79" s="125" t="str">
        <f>$R$5</f>
        <v>Авария</v>
      </c>
    </row>
    <row r="80" spans="1:4">
      <c r="A80" s="148" t="str">
        <f t="shared" si="6"/>
        <v>ASUES.ES.ZRU10kV.SHTN10.TEL.aDGZ_UROV</v>
      </c>
      <c r="B80" s="683">
        <v>11000</v>
      </c>
      <c r="C80" s="683" t="s">
        <v>5</v>
      </c>
      <c r="D80" s="125">
        <v>2147483680</v>
      </c>
    </row>
    <row r="81" spans="1:4">
      <c r="A81" s="29" t="str">
        <f t="shared" si="6"/>
        <v>ASUES.ES.ZRU10kV.SHTN10.TEL.aDGZ_UROV</v>
      </c>
      <c r="B81">
        <v>7999</v>
      </c>
      <c r="C81" t="s">
        <v>0</v>
      </c>
      <c r="D81" s="30" t="str">
        <f>"#"&amp;$S$2&amp;"#"&amp;$T$2&amp;""&amp;$P$2&amp;".TS177_192_TS177"</f>
        <v>#15#\\SERVER-ASCUER\Relematika.Modbus.OPCDAServerSHTN10.TS177_192_TS177</v>
      </c>
    </row>
    <row r="82" spans="1:4">
      <c r="A82" s="29" t="str">
        <f t="shared" si="6"/>
        <v>ASUES.ES.ZRU10kV.SHTN10.TEL.aDGZ_UROV</v>
      </c>
      <c r="B82">
        <v>7998</v>
      </c>
      <c r="C82" t="s">
        <v>6</v>
      </c>
      <c r="D82" s="30">
        <v>1</v>
      </c>
    </row>
    <row r="83" spans="1:4">
      <c r="A83" s="29" t="str">
        <f t="shared" si="6"/>
        <v>ASUES.ES.ZRU10kV.SHTN10.TEL.aDGZ_UROV</v>
      </c>
      <c r="B83">
        <v>101</v>
      </c>
      <c r="C83" t="s">
        <v>0</v>
      </c>
      <c r="D83" s="30" t="s">
        <v>1895</v>
      </c>
    </row>
    <row r="84" spans="1:4">
      <c r="A84" s="29" t="str">
        <f t="shared" si="6"/>
        <v>ASUES.ES.ZRU10kV.SHTN10.TEL.aDGZ_UROV</v>
      </c>
      <c r="B84">
        <v>3</v>
      </c>
      <c r="C84" t="s">
        <v>1</v>
      </c>
      <c r="D84" s="30">
        <v>192</v>
      </c>
    </row>
    <row r="85" spans="1:4">
      <c r="A85" s="29" t="str">
        <f t="shared" si="6"/>
        <v>ASUES.ES.ZRU10kV.SHTN10.TEL.aDGZ_UROV</v>
      </c>
      <c r="B85">
        <v>2</v>
      </c>
      <c r="C85" t="s">
        <v>2</v>
      </c>
      <c r="D85" s="30" t="s">
        <v>175</v>
      </c>
    </row>
    <row r="86" spans="1:4">
      <c r="A86" s="26" t="str">
        <f t="shared" si="6"/>
        <v>ASUES.ES.ZRU10kV.SHTN10.TEL.aDGZ_UROV</v>
      </c>
      <c r="B86" s="27">
        <v>1</v>
      </c>
      <c r="C86" s="27" t="s">
        <v>1</v>
      </c>
      <c r="D86" s="28">
        <v>11</v>
      </c>
    </row>
    <row r="87" spans="1:4">
      <c r="A87" s="148" t="str">
        <f t="shared" ref="A87:A96" si="7">$R$2&amp;".aDGZ_Valve"</f>
        <v>ASUES.ES.ZRU10kV.SHTN10.TEL.aDGZ_Valve</v>
      </c>
      <c r="B87" s="683">
        <v>11154</v>
      </c>
      <c r="C87" s="683" t="s">
        <v>4</v>
      </c>
      <c r="D87" s="535">
        <f>$Q$5</f>
        <v>4</v>
      </c>
    </row>
    <row r="88" spans="1:4">
      <c r="A88" s="148" t="str">
        <f t="shared" si="7"/>
        <v>ASUES.ES.ZRU10kV.SHTN10.TEL.aDGZ_Valve</v>
      </c>
      <c r="B88" s="683">
        <v>11150</v>
      </c>
      <c r="C88" s="683" t="s">
        <v>0</v>
      </c>
      <c r="D88" s="125" t="s">
        <v>1542</v>
      </c>
    </row>
    <row r="89" spans="1:4">
      <c r="A89" s="148" t="str">
        <f t="shared" si="7"/>
        <v>ASUES.ES.ZRU10kV.SHTN10.TEL.aDGZ_Valve</v>
      </c>
      <c r="B89" s="683">
        <v>11152</v>
      </c>
      <c r="C89" s="683" t="s">
        <v>0</v>
      </c>
      <c r="D89" s="125" t="str">
        <f>$R$5</f>
        <v>Авария</v>
      </c>
    </row>
    <row r="90" spans="1:4">
      <c r="A90" s="148" t="str">
        <f t="shared" si="7"/>
        <v>ASUES.ES.ZRU10kV.SHTN10.TEL.aDGZ_Valve</v>
      </c>
      <c r="B90" s="683">
        <v>11000</v>
      </c>
      <c r="C90" s="683" t="s">
        <v>5</v>
      </c>
      <c r="D90" s="125">
        <v>2147483680</v>
      </c>
    </row>
    <row r="91" spans="1:4">
      <c r="A91" s="29" t="str">
        <f t="shared" si="7"/>
        <v>ASUES.ES.ZRU10kV.SHTN10.TEL.aDGZ_Valve</v>
      </c>
      <c r="B91">
        <v>7999</v>
      </c>
      <c r="C91" t="s">
        <v>0</v>
      </c>
      <c r="D91" s="30" t="str">
        <f>"#"&amp;$S$2&amp;"#"&amp;$T$2&amp;""&amp;$P$2&amp;".TS49_64_TS64"</f>
        <v>#15#\\SERVER-ASCUER\Relematika.Modbus.OPCDAServerSHTN10.TS49_64_TS64</v>
      </c>
    </row>
    <row r="92" spans="1:4">
      <c r="A92" s="29" t="str">
        <f t="shared" si="7"/>
        <v>ASUES.ES.ZRU10kV.SHTN10.TEL.aDGZ_Valve</v>
      </c>
      <c r="B92">
        <v>7998</v>
      </c>
      <c r="C92" t="s">
        <v>6</v>
      </c>
      <c r="D92" s="30">
        <v>1</v>
      </c>
    </row>
    <row r="93" spans="1:4">
      <c r="A93" s="29" t="str">
        <f t="shared" si="7"/>
        <v>ASUES.ES.ZRU10kV.SHTN10.TEL.aDGZ_Valve</v>
      </c>
      <c r="B93">
        <v>101</v>
      </c>
      <c r="C93" t="s">
        <v>0</v>
      </c>
      <c r="D93" s="30" t="s">
        <v>1542</v>
      </c>
    </row>
    <row r="94" spans="1:4">
      <c r="A94" s="29" t="str">
        <f t="shared" si="7"/>
        <v>ASUES.ES.ZRU10kV.SHTN10.TEL.aDGZ_Valve</v>
      </c>
      <c r="B94">
        <v>3</v>
      </c>
      <c r="C94" t="s">
        <v>1</v>
      </c>
      <c r="D94" s="30">
        <v>192</v>
      </c>
    </row>
    <row r="95" spans="1:4">
      <c r="A95" s="29" t="str">
        <f t="shared" si="7"/>
        <v>ASUES.ES.ZRU10kV.SHTN10.TEL.aDGZ_Valve</v>
      </c>
      <c r="B95">
        <v>2</v>
      </c>
      <c r="C95" t="s">
        <v>2</v>
      </c>
      <c r="D95" s="30" t="s">
        <v>175</v>
      </c>
    </row>
    <row r="96" spans="1:4">
      <c r="A96" s="26" t="str">
        <f t="shared" si="7"/>
        <v>ASUES.ES.ZRU10kV.SHTN10.TEL.aDGZ_Valve</v>
      </c>
      <c r="B96" s="27">
        <v>1</v>
      </c>
      <c r="C96" s="27" t="s">
        <v>1</v>
      </c>
      <c r="D96" s="28">
        <v>11</v>
      </c>
    </row>
    <row r="97" spans="1:4">
      <c r="A97" s="148" t="str">
        <f>$R$2&amp;".aAsym1"</f>
        <v>ASUES.ES.ZRU10kV.SHTN10.TEL.aAsym1</v>
      </c>
      <c r="B97" s="683">
        <v>11154</v>
      </c>
      <c r="C97" s="683" t="s">
        <v>4</v>
      </c>
      <c r="D97" s="535">
        <f>$Q$5</f>
        <v>4</v>
      </c>
    </row>
    <row r="98" spans="1:4">
      <c r="A98" s="148" t="str">
        <f t="shared" ref="A98:A106" si="8">$R$2&amp;".aAsym1"</f>
        <v>ASUES.ES.ZRU10kV.SHTN10.TEL.aAsym1</v>
      </c>
      <c r="B98" s="683">
        <v>11150</v>
      </c>
      <c r="C98" s="683" t="s">
        <v>0</v>
      </c>
      <c r="D98" s="125" t="s">
        <v>1896</v>
      </c>
    </row>
    <row r="99" spans="1:4">
      <c r="A99" s="148" t="str">
        <f t="shared" si="8"/>
        <v>ASUES.ES.ZRU10kV.SHTN10.TEL.aAsym1</v>
      </c>
      <c r="B99" s="683">
        <v>11152</v>
      </c>
      <c r="C99" s="683" t="s">
        <v>0</v>
      </c>
      <c r="D99" s="125" t="str">
        <f>$R$5</f>
        <v>Авария</v>
      </c>
    </row>
    <row r="100" spans="1:4">
      <c r="A100" s="148" t="str">
        <f t="shared" si="8"/>
        <v>ASUES.ES.ZRU10kV.SHTN10.TEL.aAsym1</v>
      </c>
      <c r="B100" s="683">
        <v>11000</v>
      </c>
      <c r="C100" s="683" t="s">
        <v>5</v>
      </c>
      <c r="D100" s="125">
        <v>2147483680</v>
      </c>
    </row>
    <row r="101" spans="1:4">
      <c r="A101" s="29" t="str">
        <f t="shared" si="8"/>
        <v>ASUES.ES.ZRU10kV.SHTN10.TEL.aAsym1</v>
      </c>
      <c r="B101">
        <v>7999</v>
      </c>
      <c r="C101" t="s">
        <v>0</v>
      </c>
      <c r="D101" s="30" t="str">
        <f>"#"&amp;$S$2&amp;"#"&amp;$T$2&amp;""&amp;$P$2&amp;".TS177_192_TS182"</f>
        <v>#15#\\SERVER-ASCUER\Relematika.Modbus.OPCDAServerSHTN10.TS177_192_TS182</v>
      </c>
    </row>
    <row r="102" spans="1:4">
      <c r="A102" s="29" t="str">
        <f t="shared" si="8"/>
        <v>ASUES.ES.ZRU10kV.SHTN10.TEL.aAsym1</v>
      </c>
      <c r="B102">
        <v>7998</v>
      </c>
      <c r="C102" t="s">
        <v>6</v>
      </c>
      <c r="D102" s="30">
        <v>1</v>
      </c>
    </row>
    <row r="103" spans="1:4">
      <c r="A103" s="29" t="str">
        <f t="shared" si="8"/>
        <v>ASUES.ES.ZRU10kV.SHTN10.TEL.aAsym1</v>
      </c>
      <c r="B103">
        <v>101</v>
      </c>
      <c r="C103" t="s">
        <v>0</v>
      </c>
      <c r="D103" s="30" t="s">
        <v>1896</v>
      </c>
    </row>
    <row r="104" spans="1:4">
      <c r="A104" s="29" t="str">
        <f t="shared" si="8"/>
        <v>ASUES.ES.ZRU10kV.SHTN10.TEL.aAsym1</v>
      </c>
      <c r="B104">
        <v>3</v>
      </c>
      <c r="C104" t="s">
        <v>1</v>
      </c>
      <c r="D104" s="30">
        <v>192</v>
      </c>
    </row>
    <row r="105" spans="1:4">
      <c r="A105" s="29" t="str">
        <f t="shared" si="8"/>
        <v>ASUES.ES.ZRU10kV.SHTN10.TEL.aAsym1</v>
      </c>
      <c r="B105">
        <v>2</v>
      </c>
      <c r="C105" t="s">
        <v>2</v>
      </c>
      <c r="D105" s="30" t="s">
        <v>175</v>
      </c>
    </row>
    <row r="106" spans="1:4">
      <c r="A106" s="26" t="str">
        <f t="shared" si="8"/>
        <v>ASUES.ES.ZRU10kV.SHTN10.TEL.aAsym1</v>
      </c>
      <c r="B106" s="27">
        <v>1</v>
      </c>
      <c r="C106" s="27" t="s">
        <v>1</v>
      </c>
      <c r="D106" s="28">
        <v>11</v>
      </c>
    </row>
    <row r="107" spans="1:4">
      <c r="A107" s="148" t="str">
        <f t="shared" ref="A107:A116" si="9">$R$2&amp;".aExtTrip2"</f>
        <v>ASUES.ES.ZRU10kV.SHTN10.TEL.aExtTrip2</v>
      </c>
      <c r="B107" s="683">
        <v>11154</v>
      </c>
      <c r="C107" s="683" t="s">
        <v>4</v>
      </c>
      <c r="D107" s="535">
        <f>$Q$5</f>
        <v>4</v>
      </c>
    </row>
    <row r="108" spans="1:4">
      <c r="A108" s="148" t="str">
        <f t="shared" si="9"/>
        <v>ASUES.ES.ZRU10kV.SHTN10.TEL.aExtTrip2</v>
      </c>
      <c r="B108" s="683">
        <v>11150</v>
      </c>
      <c r="C108" s="683" t="s">
        <v>0</v>
      </c>
      <c r="D108" s="125" t="s">
        <v>334</v>
      </c>
    </row>
    <row r="109" spans="1:4">
      <c r="A109" s="148" t="str">
        <f t="shared" si="9"/>
        <v>ASUES.ES.ZRU10kV.SHTN10.TEL.aExtTrip2</v>
      </c>
      <c r="B109" s="683">
        <v>11152</v>
      </c>
      <c r="C109" s="683" t="s">
        <v>0</v>
      </c>
      <c r="D109" s="125" t="str">
        <f>$R$5</f>
        <v>Авария</v>
      </c>
    </row>
    <row r="110" spans="1:4">
      <c r="A110" s="148" t="str">
        <f t="shared" si="9"/>
        <v>ASUES.ES.ZRU10kV.SHTN10.TEL.aExtTrip2</v>
      </c>
      <c r="B110" s="683">
        <v>11000</v>
      </c>
      <c r="C110" s="683" t="s">
        <v>5</v>
      </c>
      <c r="D110" s="125">
        <v>2147483680</v>
      </c>
    </row>
    <row r="111" spans="1:4">
      <c r="A111" s="29" t="str">
        <f t="shared" si="9"/>
        <v>ASUES.ES.ZRU10kV.SHTN10.TEL.aExtTrip2</v>
      </c>
      <c r="B111">
        <v>7999</v>
      </c>
      <c r="C111" t="s">
        <v>0</v>
      </c>
      <c r="D111" s="30" t="str">
        <f>"#"&amp;$S$2&amp;"#"&amp;$T$2&amp;""&amp;$P$2&amp;".TS177_192_TS181"</f>
        <v>#15#\\SERVER-ASCUER\Relematika.Modbus.OPCDAServerSHTN10.TS177_192_TS181</v>
      </c>
    </row>
    <row r="112" spans="1:4">
      <c r="A112" s="29" t="str">
        <f t="shared" si="9"/>
        <v>ASUES.ES.ZRU10kV.SHTN10.TEL.aExtTrip2</v>
      </c>
      <c r="B112">
        <v>7998</v>
      </c>
      <c r="C112" t="s">
        <v>6</v>
      </c>
      <c r="D112" s="30">
        <v>1</v>
      </c>
    </row>
    <row r="113" spans="1:4">
      <c r="A113" s="29" t="str">
        <f t="shared" si="9"/>
        <v>ASUES.ES.ZRU10kV.SHTN10.TEL.aExtTrip2</v>
      </c>
      <c r="B113">
        <v>101</v>
      </c>
      <c r="C113" t="s">
        <v>0</v>
      </c>
      <c r="D113" s="30" t="s">
        <v>334</v>
      </c>
    </row>
    <row r="114" spans="1:4">
      <c r="A114" s="29" t="str">
        <f t="shared" si="9"/>
        <v>ASUES.ES.ZRU10kV.SHTN10.TEL.aExtTrip2</v>
      </c>
      <c r="B114">
        <v>3</v>
      </c>
      <c r="C114" t="s">
        <v>1</v>
      </c>
      <c r="D114" s="30">
        <v>192</v>
      </c>
    </row>
    <row r="115" spans="1:4">
      <c r="A115" s="29" t="str">
        <f t="shared" si="9"/>
        <v>ASUES.ES.ZRU10kV.SHTN10.TEL.aExtTrip2</v>
      </c>
      <c r="B115">
        <v>2</v>
      </c>
      <c r="C115" t="s">
        <v>2</v>
      </c>
      <c r="D115" s="30" t="s">
        <v>175</v>
      </c>
    </row>
    <row r="116" spans="1:4">
      <c r="A116" s="26" t="str">
        <f t="shared" si="9"/>
        <v>ASUES.ES.ZRU10kV.SHTN10.TEL.aExtTrip2</v>
      </c>
      <c r="B116" s="27">
        <v>1</v>
      </c>
      <c r="C116" s="27" t="s">
        <v>1</v>
      </c>
      <c r="D116" s="28">
        <v>11</v>
      </c>
    </row>
    <row r="117" spans="1:4">
      <c r="A117" s="148" t="str">
        <f t="shared" ref="A117:A126" si="10">$R$2&amp;".aMTZ1I"</f>
        <v>ASUES.ES.ZRU10kV.SHTN10.TEL.aMTZ1I</v>
      </c>
      <c r="B117" s="683">
        <v>11154</v>
      </c>
      <c r="C117" s="683" t="s">
        <v>4</v>
      </c>
      <c r="D117" s="535">
        <f>$Q$5</f>
        <v>4</v>
      </c>
    </row>
    <row r="118" spans="1:4">
      <c r="A118" s="148" t="str">
        <f t="shared" si="10"/>
        <v>ASUES.ES.ZRU10kV.SHTN10.TEL.aMTZ1I</v>
      </c>
      <c r="B118" s="683">
        <v>11150</v>
      </c>
      <c r="C118" s="683" t="s">
        <v>0</v>
      </c>
      <c r="D118" s="125" t="s">
        <v>1897</v>
      </c>
    </row>
    <row r="119" spans="1:4">
      <c r="A119" s="148" t="str">
        <f t="shared" si="10"/>
        <v>ASUES.ES.ZRU10kV.SHTN10.TEL.aMTZ1I</v>
      </c>
      <c r="B119" s="683">
        <v>11152</v>
      </c>
      <c r="C119" s="683" t="s">
        <v>0</v>
      </c>
      <c r="D119" s="125" t="str">
        <f>$R$5</f>
        <v>Авария</v>
      </c>
    </row>
    <row r="120" spans="1:4">
      <c r="A120" s="148" t="str">
        <f t="shared" si="10"/>
        <v>ASUES.ES.ZRU10kV.SHTN10.TEL.aMTZ1I</v>
      </c>
      <c r="B120" s="683">
        <v>11000</v>
      </c>
      <c r="C120" s="683" t="s">
        <v>5</v>
      </c>
      <c r="D120" s="125">
        <v>2147483680</v>
      </c>
    </row>
    <row r="121" spans="1:4">
      <c r="A121" s="29" t="str">
        <f t="shared" si="10"/>
        <v>ASUES.ES.ZRU10kV.SHTN10.TEL.aMTZ1I</v>
      </c>
      <c r="B121">
        <v>7999</v>
      </c>
      <c r="C121" t="s">
        <v>0</v>
      </c>
      <c r="D121" s="30" t="str">
        <f>"#"&amp;$S$2&amp;"#"&amp;$T$2&amp;""&amp;$P$2&amp;".TS65_80_TS65"</f>
        <v>#15#\\SERVER-ASCUER\Relematika.Modbus.OPCDAServerSHTN10.TS65_80_TS65</v>
      </c>
    </row>
    <row r="122" spans="1:4">
      <c r="A122" s="29" t="str">
        <f t="shared" si="10"/>
        <v>ASUES.ES.ZRU10kV.SHTN10.TEL.aMTZ1I</v>
      </c>
      <c r="B122">
        <v>7998</v>
      </c>
      <c r="C122" t="s">
        <v>6</v>
      </c>
      <c r="D122" s="30">
        <v>1</v>
      </c>
    </row>
    <row r="123" spans="1:4">
      <c r="A123" s="29" t="str">
        <f t="shared" si="10"/>
        <v>ASUES.ES.ZRU10kV.SHTN10.TEL.aMTZ1I</v>
      </c>
      <c r="B123">
        <v>101</v>
      </c>
      <c r="C123" t="s">
        <v>0</v>
      </c>
      <c r="D123" s="30" t="s">
        <v>1897</v>
      </c>
    </row>
    <row r="124" spans="1:4">
      <c r="A124" s="29" t="str">
        <f t="shared" si="10"/>
        <v>ASUES.ES.ZRU10kV.SHTN10.TEL.aMTZ1I</v>
      </c>
      <c r="B124">
        <v>3</v>
      </c>
      <c r="C124" t="s">
        <v>1</v>
      </c>
      <c r="D124" s="30">
        <v>192</v>
      </c>
    </row>
    <row r="125" spans="1:4">
      <c r="A125" s="29" t="str">
        <f t="shared" si="10"/>
        <v>ASUES.ES.ZRU10kV.SHTN10.TEL.aMTZ1I</v>
      </c>
      <c r="B125">
        <v>2</v>
      </c>
      <c r="C125" t="s">
        <v>2</v>
      </c>
      <c r="D125" s="30" t="s">
        <v>175</v>
      </c>
    </row>
    <row r="126" spans="1:4">
      <c r="A126" s="26" t="str">
        <f t="shared" si="10"/>
        <v>ASUES.ES.ZRU10kV.SHTN10.TEL.aMTZ1I</v>
      </c>
      <c r="B126" s="27">
        <v>1</v>
      </c>
      <c r="C126" s="27" t="s">
        <v>1</v>
      </c>
      <c r="D126" s="28">
        <v>11</v>
      </c>
    </row>
    <row r="127" spans="1:4">
      <c r="A127" s="148" t="str">
        <f t="shared" ref="A127:A136" si="11">$R$2&amp;".aMTZ2I"</f>
        <v>ASUES.ES.ZRU10kV.SHTN10.TEL.aMTZ2I</v>
      </c>
      <c r="B127" s="683">
        <v>11154</v>
      </c>
      <c r="C127" s="683" t="s">
        <v>4</v>
      </c>
      <c r="D127" s="535">
        <f>$Q$5</f>
        <v>4</v>
      </c>
    </row>
    <row r="128" spans="1:4">
      <c r="A128" s="148" t="str">
        <f t="shared" si="11"/>
        <v>ASUES.ES.ZRU10kV.SHTN10.TEL.aMTZ2I</v>
      </c>
      <c r="B128" s="683">
        <v>11150</v>
      </c>
      <c r="C128" s="683" t="s">
        <v>0</v>
      </c>
      <c r="D128" s="125" t="s">
        <v>1898</v>
      </c>
    </row>
    <row r="129" spans="1:4">
      <c r="A129" s="148" t="str">
        <f t="shared" si="11"/>
        <v>ASUES.ES.ZRU10kV.SHTN10.TEL.aMTZ2I</v>
      </c>
      <c r="B129" s="683">
        <v>11152</v>
      </c>
      <c r="C129" s="683" t="s">
        <v>0</v>
      </c>
      <c r="D129" s="125" t="str">
        <f>$R$5</f>
        <v>Авария</v>
      </c>
    </row>
    <row r="130" spans="1:4">
      <c r="A130" s="148" t="str">
        <f t="shared" si="11"/>
        <v>ASUES.ES.ZRU10kV.SHTN10.TEL.aMTZ2I</v>
      </c>
      <c r="B130" s="683">
        <v>11000</v>
      </c>
      <c r="C130" s="683" t="s">
        <v>5</v>
      </c>
      <c r="D130" s="125">
        <v>2147483680</v>
      </c>
    </row>
    <row r="131" spans="1:4">
      <c r="A131" s="29" t="str">
        <f t="shared" si="11"/>
        <v>ASUES.ES.ZRU10kV.SHTN10.TEL.aMTZ2I</v>
      </c>
      <c r="B131">
        <v>7999</v>
      </c>
      <c r="C131" t="s">
        <v>0</v>
      </c>
      <c r="D131" s="30" t="str">
        <f>"#"&amp;$S$2&amp;"#"&amp;$T$2&amp;""&amp;$P$2&amp;".TS65_80_TS66"</f>
        <v>#15#\\SERVER-ASCUER\Relematika.Modbus.OPCDAServerSHTN10.TS65_80_TS66</v>
      </c>
    </row>
    <row r="132" spans="1:4">
      <c r="A132" s="29" t="str">
        <f t="shared" si="11"/>
        <v>ASUES.ES.ZRU10kV.SHTN10.TEL.aMTZ2I</v>
      </c>
      <c r="B132">
        <v>7998</v>
      </c>
      <c r="C132" t="s">
        <v>6</v>
      </c>
      <c r="D132" s="30">
        <v>1</v>
      </c>
    </row>
    <row r="133" spans="1:4">
      <c r="A133" s="29" t="str">
        <f t="shared" si="11"/>
        <v>ASUES.ES.ZRU10kV.SHTN10.TEL.aMTZ2I</v>
      </c>
      <c r="B133">
        <v>101</v>
      </c>
      <c r="C133" t="s">
        <v>0</v>
      </c>
      <c r="D133" s="30" t="s">
        <v>1898</v>
      </c>
    </row>
    <row r="134" spans="1:4">
      <c r="A134" s="29" t="str">
        <f t="shared" si="11"/>
        <v>ASUES.ES.ZRU10kV.SHTN10.TEL.aMTZ2I</v>
      </c>
      <c r="B134">
        <v>3</v>
      </c>
      <c r="C134" t="s">
        <v>1</v>
      </c>
      <c r="D134" s="30">
        <v>192</v>
      </c>
    </row>
    <row r="135" spans="1:4">
      <c r="A135" s="29" t="str">
        <f t="shared" si="11"/>
        <v>ASUES.ES.ZRU10kV.SHTN10.TEL.aMTZ2I</v>
      </c>
      <c r="B135">
        <v>2</v>
      </c>
      <c r="C135" t="s">
        <v>2</v>
      </c>
      <c r="D135" s="30" t="s">
        <v>175</v>
      </c>
    </row>
    <row r="136" spans="1:4">
      <c r="A136" s="29" t="str">
        <f t="shared" si="11"/>
        <v>ASUES.ES.ZRU10kV.SHTN10.TEL.aMTZ2I</v>
      </c>
      <c r="B136">
        <v>1</v>
      </c>
      <c r="C136" t="s">
        <v>1</v>
      </c>
      <c r="D136" s="30">
        <v>11</v>
      </c>
    </row>
    <row r="137" spans="1:4">
      <c r="A137" s="156" t="str">
        <f t="shared" ref="A137:A146" si="12">$R$2&amp;".aPrt"</f>
        <v>ASUES.ES.ZRU10kV.SHTN10.TEL.aPrt</v>
      </c>
      <c r="B137" s="157">
        <v>11154</v>
      </c>
      <c r="C137" s="157" t="s">
        <v>4</v>
      </c>
      <c r="D137" s="684">
        <f>$Q$5</f>
        <v>4</v>
      </c>
    </row>
    <row r="138" spans="1:4">
      <c r="A138" s="148" t="str">
        <f t="shared" si="12"/>
        <v>ASUES.ES.ZRU10kV.SHTN10.TEL.aPrt</v>
      </c>
      <c r="B138" s="683">
        <v>11150</v>
      </c>
      <c r="C138" s="683" t="s">
        <v>0</v>
      </c>
      <c r="D138" s="125" t="s">
        <v>141</v>
      </c>
    </row>
    <row r="139" spans="1:4">
      <c r="A139" s="148" t="str">
        <f t="shared" si="12"/>
        <v>ASUES.ES.ZRU10kV.SHTN10.TEL.aPrt</v>
      </c>
      <c r="B139" s="683">
        <v>11152</v>
      </c>
      <c r="C139" s="683" t="s">
        <v>0</v>
      </c>
      <c r="D139" s="125" t="str">
        <f>$R$5</f>
        <v>Авария</v>
      </c>
    </row>
    <row r="140" spans="1:4">
      <c r="A140" s="148" t="str">
        <f t="shared" si="12"/>
        <v>ASUES.ES.ZRU10kV.SHTN10.TEL.aPrt</v>
      </c>
      <c r="B140" s="683">
        <v>11000</v>
      </c>
      <c r="C140" s="683" t="s">
        <v>5</v>
      </c>
      <c r="D140" s="125">
        <v>2147483680</v>
      </c>
    </row>
    <row r="141" spans="1:4">
      <c r="A141" s="29" t="str">
        <f t="shared" si="12"/>
        <v>ASUES.ES.ZRU10kV.SHTN10.TEL.aPrt</v>
      </c>
      <c r="B141">
        <v>7999</v>
      </c>
      <c r="C141" t="s">
        <v>0</v>
      </c>
      <c r="D141" s="30" t="str">
        <f>"#"&amp;$S$2&amp;"#"&amp;$T$2&amp;""&amp;$P$2&amp;".TS177_192_TS179"</f>
        <v>#15#\\SERVER-ASCUER\Relematika.Modbus.OPCDAServerSHTN10.TS177_192_TS179</v>
      </c>
    </row>
    <row r="142" spans="1:4">
      <c r="A142" s="29" t="str">
        <f t="shared" si="12"/>
        <v>ASUES.ES.ZRU10kV.SHTN10.TEL.aPrt</v>
      </c>
      <c r="B142">
        <v>7998</v>
      </c>
      <c r="C142" t="s">
        <v>6</v>
      </c>
      <c r="D142" s="30">
        <v>1</v>
      </c>
    </row>
    <row r="143" spans="1:4">
      <c r="A143" s="29" t="str">
        <f t="shared" si="12"/>
        <v>ASUES.ES.ZRU10kV.SHTN10.TEL.aPrt</v>
      </c>
      <c r="B143">
        <v>101</v>
      </c>
      <c r="C143" t="s">
        <v>0</v>
      </c>
      <c r="D143" s="30" t="s">
        <v>141</v>
      </c>
    </row>
    <row r="144" spans="1:4">
      <c r="A144" s="29" t="str">
        <f t="shared" si="12"/>
        <v>ASUES.ES.ZRU10kV.SHTN10.TEL.aPrt</v>
      </c>
      <c r="B144">
        <v>3</v>
      </c>
      <c r="C144" t="s">
        <v>1</v>
      </c>
      <c r="D144" s="30">
        <v>192</v>
      </c>
    </row>
    <row r="145" spans="1:4">
      <c r="A145" s="29" t="str">
        <f t="shared" si="12"/>
        <v>ASUES.ES.ZRU10kV.SHTN10.TEL.aPrt</v>
      </c>
      <c r="B145">
        <v>2</v>
      </c>
      <c r="C145" t="s">
        <v>2</v>
      </c>
      <c r="D145" s="30" t="s">
        <v>175</v>
      </c>
    </row>
    <row r="146" spans="1:4">
      <c r="A146" s="26" t="str">
        <f t="shared" si="12"/>
        <v>ASUES.ES.ZRU10kV.SHTN10.TEL.aPrt</v>
      </c>
      <c r="B146" s="27">
        <v>1</v>
      </c>
      <c r="C146" s="27" t="s">
        <v>1</v>
      </c>
      <c r="D146" s="28">
        <v>11</v>
      </c>
    </row>
    <row r="147" spans="1:4">
      <c r="A147" s="148" t="str">
        <f t="shared" ref="A147:A156" si="13">$R$2&amp;".aUROV"</f>
        <v>ASUES.ES.ZRU10kV.SHTN10.TEL.aUROV</v>
      </c>
      <c r="B147" s="683">
        <v>11154</v>
      </c>
      <c r="C147" s="683" t="s">
        <v>4</v>
      </c>
      <c r="D147" s="535">
        <f>$Q$5</f>
        <v>4</v>
      </c>
    </row>
    <row r="148" spans="1:4">
      <c r="A148" s="148" t="str">
        <f t="shared" si="13"/>
        <v>ASUES.ES.ZRU10kV.SHTN10.TEL.aUROV</v>
      </c>
      <c r="B148" s="683">
        <v>11150</v>
      </c>
      <c r="C148" s="683" t="s">
        <v>0</v>
      </c>
      <c r="D148" s="125" t="s">
        <v>1502</v>
      </c>
    </row>
    <row r="149" spans="1:4">
      <c r="A149" s="148" t="str">
        <f t="shared" si="13"/>
        <v>ASUES.ES.ZRU10kV.SHTN10.TEL.aUROV</v>
      </c>
      <c r="B149" s="683">
        <v>11152</v>
      </c>
      <c r="C149" s="683" t="s">
        <v>0</v>
      </c>
      <c r="D149" s="125" t="str">
        <f>$R$5</f>
        <v>Авария</v>
      </c>
    </row>
    <row r="150" spans="1:4">
      <c r="A150" s="148" t="str">
        <f t="shared" si="13"/>
        <v>ASUES.ES.ZRU10kV.SHTN10.TEL.aUROV</v>
      </c>
      <c r="B150" s="683">
        <v>11000</v>
      </c>
      <c r="C150" s="683" t="s">
        <v>5</v>
      </c>
      <c r="D150" s="125">
        <v>2147483680</v>
      </c>
    </row>
    <row r="151" spans="1:4">
      <c r="A151" s="29" t="str">
        <f t="shared" si="13"/>
        <v>ASUES.ES.ZRU10kV.SHTN10.TEL.aUROV</v>
      </c>
      <c r="B151">
        <v>7999</v>
      </c>
      <c r="C151" t="s">
        <v>0</v>
      </c>
      <c r="D151" s="30" t="str">
        <f>"#"&amp;$S$2&amp;"#"&amp;$T$2&amp;""&amp;$P$2&amp;".TS97_112_TS112"</f>
        <v>#15#\\SERVER-ASCUER\Relematika.Modbus.OPCDAServerSHTN10.TS97_112_TS112</v>
      </c>
    </row>
    <row r="152" spans="1:4">
      <c r="A152" s="29" t="str">
        <f t="shared" si="13"/>
        <v>ASUES.ES.ZRU10kV.SHTN10.TEL.aUROV</v>
      </c>
      <c r="B152">
        <v>7998</v>
      </c>
      <c r="C152" t="s">
        <v>6</v>
      </c>
      <c r="D152" s="30">
        <v>1</v>
      </c>
    </row>
    <row r="153" spans="1:4">
      <c r="A153" s="29" t="str">
        <f t="shared" si="13"/>
        <v>ASUES.ES.ZRU10kV.SHTN10.TEL.aUROV</v>
      </c>
      <c r="B153">
        <v>101</v>
      </c>
      <c r="C153" t="s">
        <v>0</v>
      </c>
      <c r="D153" s="30" t="s">
        <v>1502</v>
      </c>
    </row>
    <row r="154" spans="1:4">
      <c r="A154" s="29" t="str">
        <f t="shared" si="13"/>
        <v>ASUES.ES.ZRU10kV.SHTN10.TEL.aUROV</v>
      </c>
      <c r="B154">
        <v>3</v>
      </c>
      <c r="C154" t="s">
        <v>1</v>
      </c>
      <c r="D154" s="30">
        <v>192</v>
      </c>
    </row>
    <row r="155" spans="1:4">
      <c r="A155" s="29" t="str">
        <f t="shared" si="13"/>
        <v>ASUES.ES.ZRU10kV.SHTN10.TEL.aUROV</v>
      </c>
      <c r="B155">
        <v>2</v>
      </c>
      <c r="C155" t="s">
        <v>2</v>
      </c>
      <c r="D155" s="30" t="s">
        <v>175</v>
      </c>
    </row>
    <row r="156" spans="1:4">
      <c r="A156" s="26" t="str">
        <f t="shared" si="13"/>
        <v>ASUES.ES.ZRU10kV.SHTN10.TEL.aUROV</v>
      </c>
      <c r="B156" s="27">
        <v>1</v>
      </c>
      <c r="C156" s="27" t="s">
        <v>1</v>
      </c>
      <c r="D156" s="28">
        <v>11</v>
      </c>
    </row>
    <row r="157" spans="1:4">
      <c r="A157" s="148" t="str">
        <f>$R$2&amp;".aThermProt1"</f>
        <v>ASUES.ES.ZRU10kV.SHTN10.TEL.aThermProt1</v>
      </c>
      <c r="B157" s="683">
        <v>11154</v>
      </c>
      <c r="C157" s="683" t="s">
        <v>4</v>
      </c>
      <c r="D157" s="535">
        <f>$Q$5</f>
        <v>4</v>
      </c>
    </row>
    <row r="158" spans="1:4">
      <c r="A158" s="148" t="str">
        <f t="shared" ref="A158:A166" si="14">$R$2&amp;".aThermProt1"</f>
        <v>ASUES.ES.ZRU10kV.SHTN10.TEL.aThermProt1</v>
      </c>
      <c r="B158" s="683">
        <v>11150</v>
      </c>
      <c r="C158" s="683" t="s">
        <v>0</v>
      </c>
      <c r="D158" s="125" t="s">
        <v>1899</v>
      </c>
    </row>
    <row r="159" spans="1:4">
      <c r="A159" s="148" t="str">
        <f t="shared" si="14"/>
        <v>ASUES.ES.ZRU10kV.SHTN10.TEL.aThermProt1</v>
      </c>
      <c r="B159" s="683">
        <v>11152</v>
      </c>
      <c r="C159" s="683" t="s">
        <v>0</v>
      </c>
      <c r="D159" s="125" t="str">
        <f>$R$5</f>
        <v>Авария</v>
      </c>
    </row>
    <row r="160" spans="1:4">
      <c r="A160" s="148" t="str">
        <f t="shared" si="14"/>
        <v>ASUES.ES.ZRU10kV.SHTN10.TEL.aThermProt1</v>
      </c>
      <c r="B160" s="683">
        <v>11000</v>
      </c>
      <c r="C160" s="683" t="s">
        <v>5</v>
      </c>
      <c r="D160" s="125">
        <v>2147483680</v>
      </c>
    </row>
    <row r="161" spans="1:4">
      <c r="A161" s="29" t="str">
        <f t="shared" si="14"/>
        <v>ASUES.ES.ZRU10kV.SHTN10.TEL.aThermProt1</v>
      </c>
      <c r="B161">
        <v>7999</v>
      </c>
      <c r="C161" t="s">
        <v>0</v>
      </c>
      <c r="D161" s="30" t="str">
        <f>"#"&amp;$S$2&amp;"#"&amp;$T$2&amp;""&amp;$P$2&amp;".TS113_128_TS113"</f>
        <v>#15#\\SERVER-ASCUER\Relematika.Modbus.OPCDAServerSHTN10.TS113_128_TS113</v>
      </c>
    </row>
    <row r="162" spans="1:4">
      <c r="A162" s="29" t="str">
        <f t="shared" si="14"/>
        <v>ASUES.ES.ZRU10kV.SHTN10.TEL.aThermProt1</v>
      </c>
      <c r="B162">
        <v>7998</v>
      </c>
      <c r="C162" t="s">
        <v>6</v>
      </c>
      <c r="D162" s="30">
        <v>1</v>
      </c>
    </row>
    <row r="163" spans="1:4">
      <c r="A163" s="29" t="str">
        <f t="shared" si="14"/>
        <v>ASUES.ES.ZRU10kV.SHTN10.TEL.aThermProt1</v>
      </c>
      <c r="B163">
        <v>101</v>
      </c>
      <c r="C163" t="s">
        <v>0</v>
      </c>
      <c r="D163" s="30" t="s">
        <v>1899</v>
      </c>
    </row>
    <row r="164" spans="1:4">
      <c r="A164" s="29" t="str">
        <f t="shared" si="14"/>
        <v>ASUES.ES.ZRU10kV.SHTN10.TEL.aThermProt1</v>
      </c>
      <c r="B164">
        <v>3</v>
      </c>
      <c r="C164" t="s">
        <v>1</v>
      </c>
      <c r="D164" s="30">
        <v>192</v>
      </c>
    </row>
    <row r="165" spans="1:4">
      <c r="A165" s="29" t="str">
        <f t="shared" si="14"/>
        <v>ASUES.ES.ZRU10kV.SHTN10.TEL.aThermProt1</v>
      </c>
      <c r="B165">
        <v>2</v>
      </c>
      <c r="C165" t="s">
        <v>2</v>
      </c>
      <c r="D165" s="30" t="s">
        <v>175</v>
      </c>
    </row>
    <row r="166" spans="1:4">
      <c r="A166" s="26" t="str">
        <f t="shared" si="14"/>
        <v>ASUES.ES.ZRU10kV.SHTN10.TEL.aThermProt1</v>
      </c>
      <c r="B166" s="27">
        <v>1</v>
      </c>
      <c r="C166" s="27" t="s">
        <v>1</v>
      </c>
      <c r="D166" s="28">
        <v>11</v>
      </c>
    </row>
    <row r="167" spans="1:4">
      <c r="A167" s="148" t="str">
        <f>$R$2&amp;".aThermProt2"</f>
        <v>ASUES.ES.ZRU10kV.SHTN10.TEL.aThermProt2</v>
      </c>
      <c r="B167" s="683">
        <v>11154</v>
      </c>
      <c r="C167" s="683" t="s">
        <v>4</v>
      </c>
      <c r="D167" s="535">
        <f>$Q$5</f>
        <v>4</v>
      </c>
    </row>
    <row r="168" spans="1:4">
      <c r="A168" s="148" t="str">
        <f t="shared" ref="A168:A176" si="15">$R$2&amp;".aThermProt2"</f>
        <v>ASUES.ES.ZRU10kV.SHTN10.TEL.aThermProt2</v>
      </c>
      <c r="B168" s="683">
        <v>11150</v>
      </c>
      <c r="C168" s="683" t="s">
        <v>0</v>
      </c>
      <c r="D168" s="125" t="s">
        <v>1900</v>
      </c>
    </row>
    <row r="169" spans="1:4">
      <c r="A169" s="148" t="str">
        <f t="shared" si="15"/>
        <v>ASUES.ES.ZRU10kV.SHTN10.TEL.aThermProt2</v>
      </c>
      <c r="B169" s="683">
        <v>11152</v>
      </c>
      <c r="C169" s="683" t="s">
        <v>0</v>
      </c>
      <c r="D169" s="125" t="str">
        <f>$R$5</f>
        <v>Авария</v>
      </c>
    </row>
    <row r="170" spans="1:4">
      <c r="A170" s="148" t="str">
        <f t="shared" si="15"/>
        <v>ASUES.ES.ZRU10kV.SHTN10.TEL.aThermProt2</v>
      </c>
      <c r="B170" s="683">
        <v>11000</v>
      </c>
      <c r="C170" s="683" t="s">
        <v>5</v>
      </c>
      <c r="D170" s="125">
        <v>2147483680</v>
      </c>
    </row>
    <row r="171" spans="1:4">
      <c r="A171" s="29" t="str">
        <f t="shared" si="15"/>
        <v>ASUES.ES.ZRU10kV.SHTN10.TEL.aThermProt2</v>
      </c>
      <c r="B171">
        <v>7999</v>
      </c>
      <c r="C171" t="s">
        <v>0</v>
      </c>
      <c r="D171" s="30" t="str">
        <f>"#"&amp;$S$2&amp;"#"&amp;$T$2&amp;""&amp;$P$2&amp;".TS113_128_TS114"</f>
        <v>#15#\\SERVER-ASCUER\Relematika.Modbus.OPCDAServerSHTN10.TS113_128_TS114</v>
      </c>
    </row>
    <row r="172" spans="1:4">
      <c r="A172" s="29" t="str">
        <f t="shared" si="15"/>
        <v>ASUES.ES.ZRU10kV.SHTN10.TEL.aThermProt2</v>
      </c>
      <c r="B172">
        <v>7998</v>
      </c>
      <c r="C172" t="s">
        <v>6</v>
      </c>
      <c r="D172" s="30">
        <v>1</v>
      </c>
    </row>
    <row r="173" spans="1:4">
      <c r="A173" s="29" t="str">
        <f t="shared" si="15"/>
        <v>ASUES.ES.ZRU10kV.SHTN10.TEL.aThermProt2</v>
      </c>
      <c r="B173">
        <v>101</v>
      </c>
      <c r="C173" t="s">
        <v>0</v>
      </c>
      <c r="D173" s="30" t="s">
        <v>1900</v>
      </c>
    </row>
    <row r="174" spans="1:4">
      <c r="A174" s="29" t="str">
        <f t="shared" si="15"/>
        <v>ASUES.ES.ZRU10kV.SHTN10.TEL.aThermProt2</v>
      </c>
      <c r="B174">
        <v>3</v>
      </c>
      <c r="C174" t="s">
        <v>1</v>
      </c>
      <c r="D174" s="30">
        <v>192</v>
      </c>
    </row>
    <row r="175" spans="1:4">
      <c r="A175" s="29" t="str">
        <f t="shared" si="15"/>
        <v>ASUES.ES.ZRU10kV.SHTN10.TEL.aThermProt2</v>
      </c>
      <c r="B175">
        <v>2</v>
      </c>
      <c r="C175" t="s">
        <v>2</v>
      </c>
      <c r="D175" s="30" t="s">
        <v>175</v>
      </c>
    </row>
    <row r="176" spans="1:4">
      <c r="A176" s="26" t="str">
        <f t="shared" si="15"/>
        <v>ASUES.ES.ZRU10kV.SHTN10.TEL.aThermProt2</v>
      </c>
      <c r="B176" s="27">
        <v>1</v>
      </c>
      <c r="C176" s="27" t="s">
        <v>1</v>
      </c>
      <c r="D176" s="28">
        <v>11</v>
      </c>
    </row>
    <row r="177" spans="1:4">
      <c r="A177" s="148" t="str">
        <f>$R$2&amp;".aZmin"</f>
        <v>ASUES.ES.ZRU10kV.SHTN10.TEL.aZmin</v>
      </c>
      <c r="B177" s="683">
        <v>11154</v>
      </c>
      <c r="C177" s="683" t="s">
        <v>4</v>
      </c>
      <c r="D177" s="535">
        <f>$Q$5</f>
        <v>4</v>
      </c>
    </row>
    <row r="178" spans="1:4">
      <c r="A178" s="148" t="str">
        <f t="shared" ref="A178:A186" si="16">$R$2&amp;".aZmin"</f>
        <v>ASUES.ES.ZRU10kV.SHTN10.TEL.aZmin</v>
      </c>
      <c r="B178" s="683">
        <v>11150</v>
      </c>
      <c r="C178" s="683" t="s">
        <v>0</v>
      </c>
      <c r="D178" s="125" t="s">
        <v>1901</v>
      </c>
    </row>
    <row r="179" spans="1:4">
      <c r="A179" s="148" t="str">
        <f t="shared" si="16"/>
        <v>ASUES.ES.ZRU10kV.SHTN10.TEL.aZmin</v>
      </c>
      <c r="B179" s="683">
        <v>11152</v>
      </c>
      <c r="C179" s="683" t="s">
        <v>0</v>
      </c>
      <c r="D179" s="125" t="str">
        <f>$R$5</f>
        <v>Авария</v>
      </c>
    </row>
    <row r="180" spans="1:4">
      <c r="A180" s="148" t="str">
        <f t="shared" si="16"/>
        <v>ASUES.ES.ZRU10kV.SHTN10.TEL.aZmin</v>
      </c>
      <c r="B180" s="683">
        <v>11000</v>
      </c>
      <c r="C180" s="683" t="s">
        <v>5</v>
      </c>
      <c r="D180" s="125">
        <v>2147483680</v>
      </c>
    </row>
    <row r="181" spans="1:4">
      <c r="A181" s="29" t="str">
        <f t="shared" si="16"/>
        <v>ASUES.ES.ZRU10kV.SHTN10.TEL.aZmin</v>
      </c>
      <c r="B181">
        <v>7999</v>
      </c>
      <c r="C181" t="s">
        <v>0</v>
      </c>
      <c r="D181" s="30" t="str">
        <f>"#"&amp;$S$2&amp;"#"&amp;$T$2&amp;""&amp;$P$2&amp;".TS113_128_TS119"</f>
        <v>#15#\\SERVER-ASCUER\Relematika.Modbus.OPCDAServerSHTN10.TS113_128_TS119</v>
      </c>
    </row>
    <row r="182" spans="1:4">
      <c r="A182" s="29" t="str">
        <f t="shared" si="16"/>
        <v>ASUES.ES.ZRU10kV.SHTN10.TEL.aZmin</v>
      </c>
      <c r="B182">
        <v>7998</v>
      </c>
      <c r="C182" t="s">
        <v>6</v>
      </c>
      <c r="D182" s="30">
        <v>1</v>
      </c>
    </row>
    <row r="183" spans="1:4">
      <c r="A183" s="29" t="str">
        <f t="shared" si="16"/>
        <v>ASUES.ES.ZRU10kV.SHTN10.TEL.aZmin</v>
      </c>
      <c r="B183">
        <v>101</v>
      </c>
      <c r="C183" t="s">
        <v>0</v>
      </c>
      <c r="D183" s="30" t="s">
        <v>1901</v>
      </c>
    </row>
    <row r="184" spans="1:4">
      <c r="A184" s="29" t="str">
        <f t="shared" si="16"/>
        <v>ASUES.ES.ZRU10kV.SHTN10.TEL.aZmin</v>
      </c>
      <c r="B184">
        <v>3</v>
      </c>
      <c r="C184" t="s">
        <v>1</v>
      </c>
      <c r="D184" s="30">
        <v>192</v>
      </c>
    </row>
    <row r="185" spans="1:4">
      <c r="A185" s="29" t="str">
        <f t="shared" si="16"/>
        <v>ASUES.ES.ZRU10kV.SHTN10.TEL.aZmin</v>
      </c>
      <c r="B185">
        <v>2</v>
      </c>
      <c r="C185" t="s">
        <v>2</v>
      </c>
      <c r="D185" s="30" t="s">
        <v>175</v>
      </c>
    </row>
    <row r="186" spans="1:4">
      <c r="A186" s="26" t="str">
        <f t="shared" si="16"/>
        <v>ASUES.ES.ZRU10kV.SHTN10.TEL.aZmin</v>
      </c>
      <c r="B186" s="27">
        <v>1</v>
      </c>
      <c r="C186" s="27" t="s">
        <v>1</v>
      </c>
      <c r="D186" s="28">
        <v>11</v>
      </c>
    </row>
    <row r="187" spans="1:4">
      <c r="A187" s="148" t="str">
        <f>$R$2&amp;".aErrOn"</f>
        <v>ASUES.ES.ZRU10kV.SHTN10.TEL.aErrOn</v>
      </c>
      <c r="B187" s="683">
        <v>11154</v>
      </c>
      <c r="C187" s="683" t="s">
        <v>4</v>
      </c>
      <c r="D187" s="535">
        <f>$Q$5</f>
        <v>4</v>
      </c>
    </row>
    <row r="188" spans="1:4">
      <c r="A188" s="148" t="str">
        <f t="shared" ref="A188:A196" si="17">$R$2&amp;".aErrOn"</f>
        <v>ASUES.ES.ZRU10kV.SHTN10.TEL.aErrOn</v>
      </c>
      <c r="B188" s="683">
        <v>11150</v>
      </c>
      <c r="C188" s="683" t="s">
        <v>0</v>
      </c>
      <c r="D188" s="125" t="s">
        <v>1902</v>
      </c>
    </row>
    <row r="189" spans="1:4">
      <c r="A189" s="148" t="str">
        <f t="shared" si="17"/>
        <v>ASUES.ES.ZRU10kV.SHTN10.TEL.aErrOn</v>
      </c>
      <c r="B189" s="683">
        <v>11152</v>
      </c>
      <c r="C189" s="683" t="s">
        <v>0</v>
      </c>
      <c r="D189" s="125" t="str">
        <f>$R$5</f>
        <v>Авария</v>
      </c>
    </row>
    <row r="190" spans="1:4">
      <c r="A190" s="148" t="str">
        <f t="shared" si="17"/>
        <v>ASUES.ES.ZRU10kV.SHTN10.TEL.aErrOn</v>
      </c>
      <c r="B190" s="683">
        <v>11000</v>
      </c>
      <c r="C190" s="683" t="s">
        <v>5</v>
      </c>
      <c r="D190" s="125">
        <v>2147483680</v>
      </c>
    </row>
    <row r="191" spans="1:4">
      <c r="A191" s="29" t="str">
        <f t="shared" si="17"/>
        <v>ASUES.ES.ZRU10kV.SHTN10.TEL.aErrOn</v>
      </c>
      <c r="B191">
        <v>7999</v>
      </c>
      <c r="C191" t="s">
        <v>0</v>
      </c>
      <c r="D191" s="30" t="str">
        <f>"#"&amp;$S$2&amp;"#"&amp;$T$2&amp;""&amp;$P$2&amp;".TS113_128_TS120"</f>
        <v>#15#\\SERVER-ASCUER\Relematika.Modbus.OPCDAServerSHTN10.TS113_128_TS120</v>
      </c>
    </row>
    <row r="192" spans="1:4">
      <c r="A192" s="29" t="str">
        <f t="shared" si="17"/>
        <v>ASUES.ES.ZRU10kV.SHTN10.TEL.aErrOn</v>
      </c>
      <c r="B192">
        <v>7998</v>
      </c>
      <c r="C192" t="s">
        <v>6</v>
      </c>
      <c r="D192" s="30">
        <v>1</v>
      </c>
    </row>
    <row r="193" spans="1:4">
      <c r="A193" s="29" t="str">
        <f t="shared" si="17"/>
        <v>ASUES.ES.ZRU10kV.SHTN10.TEL.aErrOn</v>
      </c>
      <c r="B193">
        <v>101</v>
      </c>
      <c r="C193" t="s">
        <v>0</v>
      </c>
      <c r="D193" s="30" t="s">
        <v>1902</v>
      </c>
    </row>
    <row r="194" spans="1:4">
      <c r="A194" s="29" t="str">
        <f t="shared" si="17"/>
        <v>ASUES.ES.ZRU10kV.SHTN10.TEL.aErrOn</v>
      </c>
      <c r="B194">
        <v>3</v>
      </c>
      <c r="C194" t="s">
        <v>1</v>
      </c>
      <c r="D194" s="30">
        <v>192</v>
      </c>
    </row>
    <row r="195" spans="1:4">
      <c r="A195" s="29" t="str">
        <f t="shared" si="17"/>
        <v>ASUES.ES.ZRU10kV.SHTN10.TEL.aErrOn</v>
      </c>
      <c r="B195">
        <v>2</v>
      </c>
      <c r="C195" t="s">
        <v>2</v>
      </c>
      <c r="D195" s="30" t="s">
        <v>175</v>
      </c>
    </row>
    <row r="196" spans="1:4">
      <c r="A196" s="26" t="str">
        <f t="shared" si="17"/>
        <v>ASUES.ES.ZRU10kV.SHTN10.TEL.aErrOn</v>
      </c>
      <c r="B196" s="27">
        <v>1</v>
      </c>
      <c r="C196" s="27" t="s">
        <v>1</v>
      </c>
      <c r="D196" s="28">
        <v>11</v>
      </c>
    </row>
    <row r="197" spans="1:4">
      <c r="A197" s="148" t="str">
        <f>$R$2&amp;".aProtLossSynch"</f>
        <v>ASUES.ES.ZRU10kV.SHTN10.TEL.aProtLossSynch</v>
      </c>
      <c r="B197" s="683">
        <v>11154</v>
      </c>
      <c r="C197" s="683" t="s">
        <v>4</v>
      </c>
      <c r="D197" s="535">
        <f>$Q$5</f>
        <v>4</v>
      </c>
    </row>
    <row r="198" spans="1:4">
      <c r="A198" s="148" t="str">
        <f t="shared" ref="A198:A206" si="18">$R$2&amp;".aProtLossSynch"</f>
        <v>ASUES.ES.ZRU10kV.SHTN10.TEL.aProtLossSynch</v>
      </c>
      <c r="B198" s="683">
        <v>11150</v>
      </c>
      <c r="C198" s="683" t="s">
        <v>0</v>
      </c>
      <c r="D198" s="125" t="s">
        <v>1903</v>
      </c>
    </row>
    <row r="199" spans="1:4">
      <c r="A199" s="148" t="str">
        <f t="shared" si="18"/>
        <v>ASUES.ES.ZRU10kV.SHTN10.TEL.aProtLossSynch</v>
      </c>
      <c r="B199" s="683">
        <v>11152</v>
      </c>
      <c r="C199" s="683" t="s">
        <v>0</v>
      </c>
      <c r="D199" s="125" t="str">
        <f>$R$5</f>
        <v>Авария</v>
      </c>
    </row>
    <row r="200" spans="1:4">
      <c r="A200" s="148" t="str">
        <f t="shared" si="18"/>
        <v>ASUES.ES.ZRU10kV.SHTN10.TEL.aProtLossSynch</v>
      </c>
      <c r="B200" s="683">
        <v>11000</v>
      </c>
      <c r="C200" s="683" t="s">
        <v>5</v>
      </c>
      <c r="D200" s="125">
        <v>2147483680</v>
      </c>
    </row>
    <row r="201" spans="1:4">
      <c r="A201" s="29" t="str">
        <f t="shared" si="18"/>
        <v>ASUES.ES.ZRU10kV.SHTN10.TEL.aProtLossSynch</v>
      </c>
      <c r="B201">
        <v>7999</v>
      </c>
      <c r="C201" t="s">
        <v>0</v>
      </c>
      <c r="D201" s="30" t="str">
        <f>"#"&amp;$S$2&amp;"#"&amp;$T$2&amp;""&amp;$P$2&amp;".TS113_128_TS123"</f>
        <v>#15#\\SERVER-ASCUER\Relematika.Modbus.OPCDAServerSHTN10.TS113_128_TS123</v>
      </c>
    </row>
    <row r="202" spans="1:4">
      <c r="A202" s="29" t="str">
        <f t="shared" si="18"/>
        <v>ASUES.ES.ZRU10kV.SHTN10.TEL.aProtLossSynch</v>
      </c>
      <c r="B202">
        <v>7998</v>
      </c>
      <c r="C202" t="s">
        <v>6</v>
      </c>
      <c r="D202" s="30">
        <v>1</v>
      </c>
    </row>
    <row r="203" spans="1:4">
      <c r="A203" s="29" t="str">
        <f t="shared" si="18"/>
        <v>ASUES.ES.ZRU10kV.SHTN10.TEL.aProtLossSynch</v>
      </c>
      <c r="B203">
        <v>101</v>
      </c>
      <c r="C203" t="s">
        <v>0</v>
      </c>
      <c r="D203" s="30" t="s">
        <v>1903</v>
      </c>
    </row>
    <row r="204" spans="1:4">
      <c r="A204" s="29" t="str">
        <f t="shared" si="18"/>
        <v>ASUES.ES.ZRU10kV.SHTN10.TEL.aProtLossSynch</v>
      </c>
      <c r="B204">
        <v>3</v>
      </c>
      <c r="C204" t="s">
        <v>1</v>
      </c>
      <c r="D204" s="30">
        <v>192</v>
      </c>
    </row>
    <row r="205" spans="1:4">
      <c r="A205" s="29" t="str">
        <f t="shared" si="18"/>
        <v>ASUES.ES.ZRU10kV.SHTN10.TEL.aProtLossSynch</v>
      </c>
      <c r="B205">
        <v>2</v>
      </c>
      <c r="C205" t="s">
        <v>2</v>
      </c>
      <c r="D205" s="30" t="s">
        <v>175</v>
      </c>
    </row>
    <row r="206" spans="1:4">
      <c r="A206" s="26" t="str">
        <f t="shared" si="18"/>
        <v>ASUES.ES.ZRU10kV.SHTN10.TEL.aProtLossSynch</v>
      </c>
      <c r="B206" s="27">
        <v>1</v>
      </c>
      <c r="C206" s="27" t="s">
        <v>1</v>
      </c>
      <c r="D206" s="28">
        <v>11</v>
      </c>
    </row>
    <row r="207" spans="1:4">
      <c r="A207" s="148" t="str">
        <f>$R$2&amp;".aDyfprot"</f>
        <v>ASUES.ES.ZRU10kV.SHTN10.TEL.aDyfprot</v>
      </c>
      <c r="B207" s="683">
        <v>11154</v>
      </c>
      <c r="C207" s="683" t="s">
        <v>4</v>
      </c>
      <c r="D207" s="535">
        <f>$Q$5</f>
        <v>4</v>
      </c>
    </row>
    <row r="208" spans="1:4">
      <c r="A208" s="148" t="str">
        <f t="shared" ref="A208:A216" si="19">$R$2&amp;".aDyfprot"</f>
        <v>ASUES.ES.ZRU10kV.SHTN10.TEL.aDyfprot</v>
      </c>
      <c r="B208" s="683">
        <v>11150</v>
      </c>
      <c r="C208" s="683" t="s">
        <v>0</v>
      </c>
      <c r="D208" s="125" t="s">
        <v>1904</v>
      </c>
    </row>
    <row r="209" spans="1:4">
      <c r="A209" s="148" t="str">
        <f t="shared" si="19"/>
        <v>ASUES.ES.ZRU10kV.SHTN10.TEL.aDyfprot</v>
      </c>
      <c r="B209" s="683">
        <v>11152</v>
      </c>
      <c r="C209" s="683" t="s">
        <v>0</v>
      </c>
      <c r="D209" s="125" t="str">
        <f>$R$5</f>
        <v>Авария</v>
      </c>
    </row>
    <row r="210" spans="1:4">
      <c r="A210" s="148" t="str">
        <f t="shared" si="19"/>
        <v>ASUES.ES.ZRU10kV.SHTN10.TEL.aDyfprot</v>
      </c>
      <c r="B210" s="683">
        <v>11000</v>
      </c>
      <c r="C210" s="683" t="s">
        <v>5</v>
      </c>
      <c r="D210" s="125">
        <v>2147483680</v>
      </c>
    </row>
    <row r="211" spans="1:4">
      <c r="A211" s="29" t="str">
        <f t="shared" si="19"/>
        <v>ASUES.ES.ZRU10kV.SHTN10.TEL.aDyfprot</v>
      </c>
      <c r="B211">
        <v>7999</v>
      </c>
      <c r="C211" t="s">
        <v>0</v>
      </c>
      <c r="D211" s="30" t="str">
        <f>"#"&amp;$S$2&amp;"#"&amp;$T$2&amp;""&amp;$P$2&amp;".TS113_128_TS127"</f>
        <v>#15#\\SERVER-ASCUER\Relematika.Modbus.OPCDAServerSHTN10.TS113_128_TS127</v>
      </c>
    </row>
    <row r="212" spans="1:4">
      <c r="A212" s="29" t="str">
        <f t="shared" si="19"/>
        <v>ASUES.ES.ZRU10kV.SHTN10.TEL.aDyfprot</v>
      </c>
      <c r="B212">
        <v>7998</v>
      </c>
      <c r="C212" t="s">
        <v>6</v>
      </c>
      <c r="D212" s="30">
        <v>1</v>
      </c>
    </row>
    <row r="213" spans="1:4">
      <c r="A213" s="29" t="str">
        <f t="shared" si="19"/>
        <v>ASUES.ES.ZRU10kV.SHTN10.TEL.aDyfprot</v>
      </c>
      <c r="B213">
        <v>101</v>
      </c>
      <c r="C213" t="s">
        <v>0</v>
      </c>
      <c r="D213" s="30" t="s">
        <v>1905</v>
      </c>
    </row>
    <row r="214" spans="1:4">
      <c r="A214" s="29" t="str">
        <f t="shared" si="19"/>
        <v>ASUES.ES.ZRU10kV.SHTN10.TEL.aDyfprot</v>
      </c>
      <c r="B214">
        <v>3</v>
      </c>
      <c r="C214" t="s">
        <v>1</v>
      </c>
      <c r="D214" s="30">
        <v>192</v>
      </c>
    </row>
    <row r="215" spans="1:4">
      <c r="A215" s="29" t="str">
        <f t="shared" si="19"/>
        <v>ASUES.ES.ZRU10kV.SHTN10.TEL.aDyfprot</v>
      </c>
      <c r="B215">
        <v>2</v>
      </c>
      <c r="C215" t="s">
        <v>2</v>
      </c>
      <c r="D215" s="30" t="s">
        <v>175</v>
      </c>
    </row>
    <row r="216" spans="1:4">
      <c r="A216" s="26" t="str">
        <f t="shared" si="19"/>
        <v>ASUES.ES.ZRU10kV.SHTN10.TEL.aDyfprot</v>
      </c>
      <c r="B216" s="27">
        <v>1</v>
      </c>
      <c r="C216" s="27" t="s">
        <v>1</v>
      </c>
      <c r="D216" s="28">
        <v>11</v>
      </c>
    </row>
    <row r="217" spans="1:4">
      <c r="A217" s="156" t="str">
        <f>$R$2&amp;".aSAU_unitshtdn"</f>
        <v>ASUES.ES.ZRU10kV.SHTN10.TEL.aSAU_unitshtdn</v>
      </c>
      <c r="B217" s="157">
        <v>11154</v>
      </c>
      <c r="C217" s="157" t="s">
        <v>4</v>
      </c>
      <c r="D217" s="684">
        <f>$Q$5</f>
        <v>4</v>
      </c>
    </row>
    <row r="218" spans="1:4">
      <c r="A218" s="148" t="str">
        <f t="shared" ref="A218:A226" si="20">$R$2&amp;".aSAU_unitshtdn"</f>
        <v>ASUES.ES.ZRU10kV.SHTN10.TEL.aSAU_unitshtdn</v>
      </c>
      <c r="B218" s="683">
        <v>11152</v>
      </c>
      <c r="C218" s="683" t="s">
        <v>0</v>
      </c>
      <c r="D218" s="125" t="s">
        <v>1906</v>
      </c>
    </row>
    <row r="219" spans="1:4">
      <c r="A219" s="148" t="str">
        <f t="shared" si="20"/>
        <v>ASUES.ES.ZRU10kV.SHTN10.TEL.aSAU_unitshtdn</v>
      </c>
      <c r="B219" s="683">
        <v>11150</v>
      </c>
      <c r="C219" s="683" t="s">
        <v>0</v>
      </c>
      <c r="D219" s="125" t="str">
        <f>$R$5</f>
        <v>Авария</v>
      </c>
    </row>
    <row r="220" spans="1:4">
      <c r="A220" s="148" t="str">
        <f t="shared" si="20"/>
        <v>ASUES.ES.ZRU10kV.SHTN10.TEL.aSAU_unitshtdn</v>
      </c>
      <c r="B220" s="683">
        <v>11000</v>
      </c>
      <c r="C220" s="683" t="s">
        <v>5</v>
      </c>
      <c r="D220" s="125">
        <v>2147483680</v>
      </c>
    </row>
    <row r="221" spans="1:4">
      <c r="A221" s="29" t="str">
        <f t="shared" si="20"/>
        <v>ASUES.ES.ZRU10kV.SHTN10.TEL.aSAU_unitshtdn</v>
      </c>
      <c r="B221">
        <v>7999</v>
      </c>
      <c r="C221" t="s">
        <v>0</v>
      </c>
      <c r="D221" s="30" t="str">
        <f>"#"&amp;$S$2&amp;"#"&amp;$T$2&amp;""&amp;$P$2&amp;".TS209_224_TS221"</f>
        <v>#15#\\SERVER-ASCUER\Relematika.Modbus.OPCDAServerSHTN10.TS209_224_TS221</v>
      </c>
    </row>
    <row r="222" spans="1:4">
      <c r="A222" s="29" t="str">
        <f t="shared" si="20"/>
        <v>ASUES.ES.ZRU10kV.SHTN10.TEL.aSAU_unitshtdn</v>
      </c>
      <c r="B222">
        <v>7998</v>
      </c>
      <c r="C222" t="s">
        <v>6</v>
      </c>
      <c r="D222" s="30">
        <v>1</v>
      </c>
    </row>
    <row r="223" spans="1:4">
      <c r="A223" s="29" t="str">
        <f t="shared" si="20"/>
        <v>ASUES.ES.ZRU10kV.SHTN10.TEL.aSAU_unitshtdn</v>
      </c>
      <c r="B223">
        <v>101</v>
      </c>
      <c r="C223" t="s">
        <v>0</v>
      </c>
      <c r="D223" s="30" t="s">
        <v>1906</v>
      </c>
    </row>
    <row r="224" spans="1:4">
      <c r="A224" s="29" t="str">
        <f t="shared" si="20"/>
        <v>ASUES.ES.ZRU10kV.SHTN10.TEL.aSAU_unitshtdn</v>
      </c>
      <c r="B224">
        <v>3</v>
      </c>
      <c r="C224" t="s">
        <v>1</v>
      </c>
      <c r="D224" s="30">
        <v>192</v>
      </c>
    </row>
    <row r="225" spans="1:4">
      <c r="A225" s="29" t="str">
        <f t="shared" si="20"/>
        <v>ASUES.ES.ZRU10kV.SHTN10.TEL.aSAU_unitshtdn</v>
      </c>
      <c r="B225">
        <v>2</v>
      </c>
      <c r="C225" t="s">
        <v>2</v>
      </c>
      <c r="D225" s="30" t="s">
        <v>175</v>
      </c>
    </row>
    <row r="226" spans="1:4">
      <c r="A226" s="26" t="str">
        <f t="shared" si="20"/>
        <v>ASUES.ES.ZRU10kV.SHTN10.TEL.aSAU_unitshtdn</v>
      </c>
      <c r="B226" s="27">
        <v>1</v>
      </c>
      <c r="C226" s="27" t="s">
        <v>1</v>
      </c>
      <c r="D226" s="28">
        <v>11</v>
      </c>
    </row>
    <row r="227" spans="1:4">
      <c r="A227" s="156" t="str">
        <f>$R$2&amp;".aOZZ"</f>
        <v>ASUES.ES.ZRU10kV.SHTN10.TEL.aOZZ</v>
      </c>
      <c r="B227" s="157">
        <v>11154</v>
      </c>
      <c r="C227" s="157" t="s">
        <v>4</v>
      </c>
      <c r="D227" s="684">
        <f>$Q$5</f>
        <v>4</v>
      </c>
    </row>
    <row r="228" spans="1:4">
      <c r="A228" s="148" t="str">
        <f t="shared" ref="A228:A236" si="21">$R$2&amp;".aOZZ"</f>
        <v>ASUES.ES.ZRU10kV.SHTN10.TEL.aOZZ</v>
      </c>
      <c r="B228" s="683">
        <v>11152</v>
      </c>
      <c r="C228" s="683" t="s">
        <v>0</v>
      </c>
      <c r="D228" s="125" t="s">
        <v>1907</v>
      </c>
    </row>
    <row r="229" spans="1:4">
      <c r="A229" s="148" t="str">
        <f t="shared" si="21"/>
        <v>ASUES.ES.ZRU10kV.SHTN10.TEL.aOZZ</v>
      </c>
      <c r="B229" s="683">
        <v>11150</v>
      </c>
      <c r="C229" s="683" t="s">
        <v>0</v>
      </c>
      <c r="D229" s="125" t="str">
        <f>$R$5</f>
        <v>Авария</v>
      </c>
    </row>
    <row r="230" spans="1:4">
      <c r="A230" s="148" t="str">
        <f t="shared" si="21"/>
        <v>ASUES.ES.ZRU10kV.SHTN10.TEL.aOZZ</v>
      </c>
      <c r="B230" s="683">
        <v>11000</v>
      </c>
      <c r="C230" s="683" t="s">
        <v>5</v>
      </c>
      <c r="D230" s="125">
        <v>2147483680</v>
      </c>
    </row>
    <row r="231" spans="1:4">
      <c r="A231" s="29" t="str">
        <f t="shared" si="21"/>
        <v>ASUES.ES.ZRU10kV.SHTN10.TEL.aOZZ</v>
      </c>
      <c r="B231">
        <v>7999</v>
      </c>
      <c r="C231" t="s">
        <v>0</v>
      </c>
      <c r="D231" s="30" t="str">
        <f>"#"&amp;$S$2&amp;"#"&amp;$T$2&amp;""&amp;$P$2&amp;".TS65_80_TS73"</f>
        <v>#15#\\SERVER-ASCUER\Relematika.Modbus.OPCDAServerSHTN10.TS65_80_TS73</v>
      </c>
    </row>
    <row r="232" spans="1:4">
      <c r="A232" s="29" t="str">
        <f t="shared" si="21"/>
        <v>ASUES.ES.ZRU10kV.SHTN10.TEL.aOZZ</v>
      </c>
      <c r="B232">
        <v>7998</v>
      </c>
      <c r="C232" t="s">
        <v>6</v>
      </c>
      <c r="D232" s="30">
        <v>1</v>
      </c>
    </row>
    <row r="233" spans="1:4">
      <c r="A233" s="29" t="str">
        <f t="shared" si="21"/>
        <v>ASUES.ES.ZRU10kV.SHTN10.TEL.aOZZ</v>
      </c>
      <c r="B233">
        <v>101</v>
      </c>
      <c r="C233" t="s">
        <v>0</v>
      </c>
      <c r="D233" s="30" t="s">
        <v>1907</v>
      </c>
    </row>
    <row r="234" spans="1:4">
      <c r="A234" s="29" t="str">
        <f t="shared" si="21"/>
        <v>ASUES.ES.ZRU10kV.SHTN10.TEL.aOZZ</v>
      </c>
      <c r="B234">
        <v>3</v>
      </c>
      <c r="C234" t="s">
        <v>1</v>
      </c>
      <c r="D234" s="30">
        <v>192</v>
      </c>
    </row>
    <row r="235" spans="1:4">
      <c r="A235" s="29" t="str">
        <f t="shared" si="21"/>
        <v>ASUES.ES.ZRU10kV.SHTN10.TEL.aOZZ</v>
      </c>
      <c r="B235">
        <v>2</v>
      </c>
      <c r="C235" t="s">
        <v>2</v>
      </c>
      <c r="D235" s="30" t="s">
        <v>175</v>
      </c>
    </row>
    <row r="236" spans="1:4">
      <c r="A236" s="26" t="str">
        <f t="shared" si="21"/>
        <v>ASUES.ES.ZRU10kV.SHTN10.TEL.aOZZ</v>
      </c>
      <c r="B236" s="27">
        <v>1</v>
      </c>
      <c r="C236" s="27" t="s">
        <v>1</v>
      </c>
      <c r="D236" s="28">
        <v>11</v>
      </c>
    </row>
    <row r="237" spans="1:4">
      <c r="A237" s="156" t="str">
        <f>$R$2&amp;".aDblKZ"</f>
        <v>ASUES.ES.ZRU10kV.SHTN10.TEL.aDblKZ</v>
      </c>
      <c r="B237" s="157">
        <v>11154</v>
      </c>
      <c r="C237" s="157" t="s">
        <v>4</v>
      </c>
      <c r="D237" s="684">
        <f>$Q$5</f>
        <v>4</v>
      </c>
    </row>
    <row r="238" spans="1:4">
      <c r="A238" s="148" t="str">
        <f t="shared" ref="A238:A246" si="22">$R$2&amp;".aDblKZ"</f>
        <v>ASUES.ES.ZRU10kV.SHTN10.TEL.aDblKZ</v>
      </c>
      <c r="B238" s="683">
        <v>11152</v>
      </c>
      <c r="C238" s="683" t="s">
        <v>0</v>
      </c>
      <c r="D238" s="125" t="s">
        <v>1908</v>
      </c>
    </row>
    <row r="239" spans="1:4">
      <c r="A239" s="148" t="str">
        <f t="shared" si="22"/>
        <v>ASUES.ES.ZRU10kV.SHTN10.TEL.aDblKZ</v>
      </c>
      <c r="B239" s="683">
        <v>11150</v>
      </c>
      <c r="C239" s="683" t="s">
        <v>0</v>
      </c>
      <c r="D239" s="125" t="str">
        <f>$R$5</f>
        <v>Авария</v>
      </c>
    </row>
    <row r="240" spans="1:4">
      <c r="A240" s="148" t="str">
        <f t="shared" si="22"/>
        <v>ASUES.ES.ZRU10kV.SHTN10.TEL.aDblKZ</v>
      </c>
      <c r="B240" s="683">
        <v>11000</v>
      </c>
      <c r="C240" s="683" t="s">
        <v>5</v>
      </c>
      <c r="D240" s="125">
        <v>2147483680</v>
      </c>
    </row>
    <row r="241" spans="1:4">
      <c r="A241" s="29" t="str">
        <f t="shared" si="22"/>
        <v>ASUES.ES.ZRU10kV.SHTN10.TEL.aDblKZ</v>
      </c>
      <c r="B241">
        <v>7999</v>
      </c>
      <c r="C241" t="s">
        <v>0</v>
      </c>
      <c r="D241" s="30" t="str">
        <f>"#"&amp;$S$2&amp;"#"&amp;$T$2&amp;""&amp;$P$2&amp;".TS65_80_TS74"</f>
        <v>#15#\\SERVER-ASCUER\Relematika.Modbus.OPCDAServerSHTN10.TS65_80_TS74</v>
      </c>
    </row>
    <row r="242" spans="1:4">
      <c r="A242" s="29" t="str">
        <f t="shared" si="22"/>
        <v>ASUES.ES.ZRU10kV.SHTN10.TEL.aDblKZ</v>
      </c>
      <c r="B242">
        <v>7998</v>
      </c>
      <c r="C242" t="s">
        <v>6</v>
      </c>
      <c r="D242" s="30">
        <v>1</v>
      </c>
    </row>
    <row r="243" spans="1:4">
      <c r="A243" s="29" t="str">
        <f t="shared" si="22"/>
        <v>ASUES.ES.ZRU10kV.SHTN10.TEL.aDblKZ</v>
      </c>
      <c r="B243">
        <v>101</v>
      </c>
      <c r="C243" t="s">
        <v>0</v>
      </c>
      <c r="D243" s="30" t="s">
        <v>1909</v>
      </c>
    </row>
    <row r="244" spans="1:4">
      <c r="A244" s="29" t="str">
        <f t="shared" si="22"/>
        <v>ASUES.ES.ZRU10kV.SHTN10.TEL.aDblKZ</v>
      </c>
      <c r="B244">
        <v>3</v>
      </c>
      <c r="C244" t="s">
        <v>1</v>
      </c>
      <c r="D244" s="30">
        <v>192</v>
      </c>
    </row>
    <row r="245" spans="1:4">
      <c r="A245" s="29" t="str">
        <f t="shared" si="22"/>
        <v>ASUES.ES.ZRU10kV.SHTN10.TEL.aDblKZ</v>
      </c>
      <c r="B245">
        <v>2</v>
      </c>
      <c r="C245" t="s">
        <v>2</v>
      </c>
      <c r="D245" s="30" t="s">
        <v>175</v>
      </c>
    </row>
    <row r="246" spans="1:4">
      <c r="A246" s="26" t="str">
        <f t="shared" si="22"/>
        <v>ASUES.ES.ZRU10kV.SHTN10.TEL.aDblKZ</v>
      </c>
      <c r="B246" s="27">
        <v>1</v>
      </c>
      <c r="C246" s="27" t="s">
        <v>1</v>
      </c>
      <c r="D246" s="28">
        <v>11</v>
      </c>
    </row>
    <row r="247" spans="1:4">
      <c r="A247" s="156" t="str">
        <f>$R$2&amp;".aUincr"</f>
        <v>ASUES.ES.ZRU10kV.SHTN10.TEL.aUincr</v>
      </c>
      <c r="B247" s="157">
        <v>11154</v>
      </c>
      <c r="C247" s="157" t="s">
        <v>4</v>
      </c>
      <c r="D247" s="684">
        <f>$Q$5</f>
        <v>4</v>
      </c>
    </row>
    <row r="248" spans="1:4">
      <c r="A248" s="148" t="str">
        <f t="shared" ref="A248:A256" si="23">$R$2&amp;".aUincr"</f>
        <v>ASUES.ES.ZRU10kV.SHTN10.TEL.aUincr</v>
      </c>
      <c r="B248" s="683">
        <v>11152</v>
      </c>
      <c r="C248" s="683" t="s">
        <v>0</v>
      </c>
      <c r="D248" s="125" t="s">
        <v>1910</v>
      </c>
    </row>
    <row r="249" spans="1:4">
      <c r="A249" s="148" t="str">
        <f t="shared" si="23"/>
        <v>ASUES.ES.ZRU10kV.SHTN10.TEL.aUincr</v>
      </c>
      <c r="B249" s="683">
        <v>11150</v>
      </c>
      <c r="C249" s="683" t="s">
        <v>0</v>
      </c>
      <c r="D249" s="125" t="str">
        <f>$R$5</f>
        <v>Авария</v>
      </c>
    </row>
    <row r="250" spans="1:4">
      <c r="A250" s="148" t="str">
        <f t="shared" si="23"/>
        <v>ASUES.ES.ZRU10kV.SHTN10.TEL.aUincr</v>
      </c>
      <c r="B250" s="683">
        <v>11000</v>
      </c>
      <c r="C250" s="683" t="s">
        <v>5</v>
      </c>
      <c r="D250" s="125">
        <v>2147483680</v>
      </c>
    </row>
    <row r="251" spans="1:4">
      <c r="A251" s="29" t="str">
        <f t="shared" si="23"/>
        <v>ASUES.ES.ZRU10kV.SHTN10.TEL.aUincr</v>
      </c>
      <c r="B251">
        <v>7999</v>
      </c>
      <c r="C251" t="s">
        <v>0</v>
      </c>
      <c r="D251" s="30" t="str">
        <f>"#"&amp;$S$2&amp;"#"&amp;$T$2&amp;""&amp;$P$2&amp;".TS81_96_TS89"</f>
        <v>#15#\\SERVER-ASCUER\Relematika.Modbus.OPCDAServerSHTN10.TS81_96_TS89</v>
      </c>
    </row>
    <row r="252" spans="1:4">
      <c r="A252" s="29" t="str">
        <f t="shared" si="23"/>
        <v>ASUES.ES.ZRU10kV.SHTN10.TEL.aUincr</v>
      </c>
      <c r="B252">
        <v>7998</v>
      </c>
      <c r="C252" t="s">
        <v>6</v>
      </c>
      <c r="D252" s="30">
        <v>1</v>
      </c>
    </row>
    <row r="253" spans="1:4">
      <c r="A253" s="29" t="str">
        <f t="shared" si="23"/>
        <v>ASUES.ES.ZRU10kV.SHTN10.TEL.aUincr</v>
      </c>
      <c r="B253">
        <v>101</v>
      </c>
      <c r="C253" t="s">
        <v>0</v>
      </c>
      <c r="D253" s="30" t="s">
        <v>1911</v>
      </c>
    </row>
    <row r="254" spans="1:4">
      <c r="A254" s="29" t="str">
        <f t="shared" si="23"/>
        <v>ASUES.ES.ZRU10kV.SHTN10.TEL.aUincr</v>
      </c>
      <c r="B254">
        <v>3</v>
      </c>
      <c r="C254" t="s">
        <v>1</v>
      </c>
      <c r="D254" s="30">
        <v>192</v>
      </c>
    </row>
    <row r="255" spans="1:4">
      <c r="A255" s="29" t="str">
        <f t="shared" si="23"/>
        <v>ASUES.ES.ZRU10kV.SHTN10.TEL.aUincr</v>
      </c>
      <c r="B255">
        <v>2</v>
      </c>
      <c r="C255" t="s">
        <v>2</v>
      </c>
      <c r="D255" s="30" t="s">
        <v>175</v>
      </c>
    </row>
    <row r="256" spans="1:4">
      <c r="A256" s="26" t="str">
        <f t="shared" si="23"/>
        <v>ASUES.ES.ZRU10kV.SHTN10.TEL.aUincr</v>
      </c>
      <c r="B256" s="27">
        <v>1</v>
      </c>
      <c r="C256" s="27" t="s">
        <v>1</v>
      </c>
      <c r="D256" s="28">
        <v>11</v>
      </c>
    </row>
    <row r="257" spans="1:4">
      <c r="A257" s="156" t="str">
        <f>$R$2&amp;".anOZZ"</f>
        <v>ASUES.ES.ZRU10kV.SHTN10.TEL.anOZZ</v>
      </c>
      <c r="B257" s="157">
        <v>11154</v>
      </c>
      <c r="C257" s="157" t="s">
        <v>4</v>
      </c>
      <c r="D257" s="684">
        <f>$Q$5</f>
        <v>4</v>
      </c>
    </row>
    <row r="258" spans="1:4">
      <c r="A258" s="148" t="str">
        <f t="shared" ref="A258:A266" si="24">$R$2&amp;".anOZZ"</f>
        <v>ASUES.ES.ZRU10kV.SHTN10.TEL.anOZZ</v>
      </c>
      <c r="B258" s="683">
        <v>11152</v>
      </c>
      <c r="C258" s="683" t="s">
        <v>0</v>
      </c>
      <c r="D258" s="125" t="s">
        <v>1912</v>
      </c>
    </row>
    <row r="259" spans="1:4">
      <c r="A259" s="148" t="str">
        <f t="shared" si="24"/>
        <v>ASUES.ES.ZRU10kV.SHTN10.TEL.anOZZ</v>
      </c>
      <c r="B259" s="683">
        <v>11150</v>
      </c>
      <c r="C259" s="683" t="s">
        <v>0</v>
      </c>
      <c r="D259" s="125" t="str">
        <f>$R$5</f>
        <v>Авария</v>
      </c>
    </row>
    <row r="260" spans="1:4">
      <c r="A260" s="148" t="str">
        <f t="shared" si="24"/>
        <v>ASUES.ES.ZRU10kV.SHTN10.TEL.anOZZ</v>
      </c>
      <c r="B260" s="683">
        <v>11000</v>
      </c>
      <c r="C260" s="683" t="s">
        <v>5</v>
      </c>
      <c r="D260" s="125">
        <v>2147483680</v>
      </c>
    </row>
    <row r="261" spans="1:4">
      <c r="A261" s="29" t="str">
        <f t="shared" si="24"/>
        <v>ASUES.ES.ZRU10kV.SHTN10.TEL.anOZZ</v>
      </c>
      <c r="B261">
        <v>7999</v>
      </c>
      <c r="C261" t="s">
        <v>0</v>
      </c>
      <c r="D261" s="30" t="str">
        <f>"#"&amp;$S$2&amp;"#"&amp;$T$2&amp;""&amp;$P$2&amp;".TS97_112_TS99"</f>
        <v>#15#\\SERVER-ASCUER\Relematika.Modbus.OPCDAServerSHTN10.TS97_112_TS99</v>
      </c>
    </row>
    <row r="262" spans="1:4">
      <c r="A262" s="29" t="str">
        <f t="shared" si="24"/>
        <v>ASUES.ES.ZRU10kV.SHTN10.TEL.anOZZ</v>
      </c>
      <c r="B262">
        <v>7998</v>
      </c>
      <c r="C262" t="s">
        <v>6</v>
      </c>
      <c r="D262" s="30">
        <v>1</v>
      </c>
    </row>
    <row r="263" spans="1:4">
      <c r="A263" s="29" t="str">
        <f t="shared" si="24"/>
        <v>ASUES.ES.ZRU10kV.SHTN10.TEL.anOZZ</v>
      </c>
      <c r="B263">
        <v>101</v>
      </c>
      <c r="C263" t="s">
        <v>0</v>
      </c>
      <c r="D263" s="30" t="s">
        <v>1912</v>
      </c>
    </row>
    <row r="264" spans="1:4">
      <c r="A264" s="29" t="str">
        <f t="shared" si="24"/>
        <v>ASUES.ES.ZRU10kV.SHTN10.TEL.anOZZ</v>
      </c>
      <c r="B264">
        <v>3</v>
      </c>
      <c r="C264" t="s">
        <v>1</v>
      </c>
      <c r="D264" s="30">
        <v>192</v>
      </c>
    </row>
    <row r="265" spans="1:4">
      <c r="A265" s="29" t="str">
        <f t="shared" si="24"/>
        <v>ASUES.ES.ZRU10kV.SHTN10.TEL.anOZZ</v>
      </c>
      <c r="B265">
        <v>2</v>
      </c>
      <c r="C265" t="s">
        <v>2</v>
      </c>
      <c r="D265" s="30" t="s">
        <v>175</v>
      </c>
    </row>
    <row r="266" spans="1:4">
      <c r="A266" s="26" t="str">
        <f t="shared" si="24"/>
        <v>ASUES.ES.ZRU10kV.SHTN10.TEL.anOZZ</v>
      </c>
      <c r="B266" s="27">
        <v>1</v>
      </c>
      <c r="C266" s="27" t="s">
        <v>1</v>
      </c>
      <c r="D266" s="28">
        <v>11</v>
      </c>
    </row>
    <row r="267" spans="1:4">
      <c r="A267" s="156" t="str">
        <f>$R$2&amp;".aAsym2"</f>
        <v>ASUES.ES.ZRU10kV.SHTN10.TEL.aAsym2</v>
      </c>
      <c r="B267" s="157">
        <v>11154</v>
      </c>
      <c r="C267" s="157" t="s">
        <v>4</v>
      </c>
      <c r="D267" s="684">
        <f>$Q$5</f>
        <v>4</v>
      </c>
    </row>
    <row r="268" spans="1:4">
      <c r="A268" s="148" t="str">
        <f t="shared" ref="A268:A276" si="25">$R$2&amp;".aAsym2"</f>
        <v>ASUES.ES.ZRU10kV.SHTN10.TEL.aAsym2</v>
      </c>
      <c r="B268" s="683">
        <v>11152</v>
      </c>
      <c r="C268" s="683" t="s">
        <v>0</v>
      </c>
      <c r="D268" s="125" t="s">
        <v>1913</v>
      </c>
    </row>
    <row r="269" spans="1:4">
      <c r="A269" s="148" t="str">
        <f t="shared" si="25"/>
        <v>ASUES.ES.ZRU10kV.SHTN10.TEL.aAsym2</v>
      </c>
      <c r="B269" s="683">
        <v>11150</v>
      </c>
      <c r="C269" s="683" t="s">
        <v>0</v>
      </c>
      <c r="D269" s="125" t="str">
        <f>$R$5</f>
        <v>Авария</v>
      </c>
    </row>
    <row r="270" spans="1:4">
      <c r="A270" s="148" t="str">
        <f t="shared" si="25"/>
        <v>ASUES.ES.ZRU10kV.SHTN10.TEL.aAsym2</v>
      </c>
      <c r="B270" s="683">
        <v>11000</v>
      </c>
      <c r="C270" s="683" t="s">
        <v>5</v>
      </c>
      <c r="D270" s="125">
        <v>2147483680</v>
      </c>
    </row>
    <row r="271" spans="1:4">
      <c r="A271" s="29" t="str">
        <f t="shared" si="25"/>
        <v>ASUES.ES.ZRU10kV.SHTN10.TEL.aAsym2</v>
      </c>
      <c r="B271">
        <v>7999</v>
      </c>
      <c r="C271" t="s">
        <v>0</v>
      </c>
      <c r="D271" s="30" t="str">
        <f>"#"&amp;$S$2&amp;"#"&amp;$T$2&amp;""&amp;$P$2&amp;".TS97_112_TS102"</f>
        <v>#15#\\SERVER-ASCUER\Relematika.Modbus.OPCDAServerSHTN10.TS97_112_TS102</v>
      </c>
    </row>
    <row r="272" spans="1:4">
      <c r="A272" s="29" t="str">
        <f t="shared" si="25"/>
        <v>ASUES.ES.ZRU10kV.SHTN10.TEL.aAsym2</v>
      </c>
      <c r="B272">
        <v>7998</v>
      </c>
      <c r="C272" t="s">
        <v>6</v>
      </c>
      <c r="D272" s="30">
        <v>1</v>
      </c>
    </row>
    <row r="273" spans="1:4">
      <c r="A273" s="29" t="str">
        <f t="shared" si="25"/>
        <v>ASUES.ES.ZRU10kV.SHTN10.TEL.aAsym2</v>
      </c>
      <c r="B273">
        <v>101</v>
      </c>
      <c r="C273" t="s">
        <v>0</v>
      </c>
      <c r="D273" s="30" t="s">
        <v>1913</v>
      </c>
    </row>
    <row r="274" spans="1:4">
      <c r="A274" s="29" t="str">
        <f t="shared" si="25"/>
        <v>ASUES.ES.ZRU10kV.SHTN10.TEL.aAsym2</v>
      </c>
      <c r="B274">
        <v>3</v>
      </c>
      <c r="C274" t="s">
        <v>1</v>
      </c>
      <c r="D274" s="30">
        <v>192</v>
      </c>
    </row>
    <row r="275" spans="1:4">
      <c r="A275" s="29" t="str">
        <f t="shared" si="25"/>
        <v>ASUES.ES.ZRU10kV.SHTN10.TEL.aAsym2</v>
      </c>
      <c r="B275">
        <v>2</v>
      </c>
      <c r="C275" t="s">
        <v>2</v>
      </c>
      <c r="D275" s="30" t="s">
        <v>175</v>
      </c>
    </row>
    <row r="276" spans="1:4">
      <c r="A276" s="26" t="str">
        <f t="shared" si="25"/>
        <v>ASUES.ES.ZRU10kV.SHTN10.TEL.aAsym2</v>
      </c>
      <c r="B276" s="27">
        <v>1</v>
      </c>
      <c r="C276" s="27" t="s">
        <v>1</v>
      </c>
      <c r="D276" s="28">
        <v>11</v>
      </c>
    </row>
    <row r="277" spans="1:4">
      <c r="A277" s="156" t="str">
        <f>$R$2&amp;".aObrP"</f>
        <v>ASUES.ES.ZRU10kV.SHTN10.TEL.aObrP</v>
      </c>
      <c r="B277" s="157">
        <v>11154</v>
      </c>
      <c r="C277" s="157" t="s">
        <v>4</v>
      </c>
      <c r="D277" s="684">
        <f>$Q$5</f>
        <v>4</v>
      </c>
    </row>
    <row r="278" spans="1:4">
      <c r="A278" s="148" t="str">
        <f t="shared" ref="A278:A286" si="26">$R$2&amp;".aObrP"</f>
        <v>ASUES.ES.ZRU10kV.SHTN10.TEL.aObrP</v>
      </c>
      <c r="B278" s="683">
        <v>11152</v>
      </c>
      <c r="C278" s="683" t="s">
        <v>0</v>
      </c>
      <c r="D278" s="125" t="s">
        <v>1914</v>
      </c>
    </row>
    <row r="279" spans="1:4">
      <c r="A279" s="148" t="str">
        <f t="shared" si="26"/>
        <v>ASUES.ES.ZRU10kV.SHTN10.TEL.aObrP</v>
      </c>
      <c r="B279" s="683">
        <v>11150</v>
      </c>
      <c r="C279" s="683" t="s">
        <v>0</v>
      </c>
      <c r="D279" s="125" t="str">
        <f>$R$5</f>
        <v>Авария</v>
      </c>
    </row>
    <row r="280" spans="1:4">
      <c r="A280" s="148" t="str">
        <f t="shared" si="26"/>
        <v>ASUES.ES.ZRU10kV.SHTN10.TEL.aObrP</v>
      </c>
      <c r="B280" s="683">
        <v>11000</v>
      </c>
      <c r="C280" s="683" t="s">
        <v>5</v>
      </c>
      <c r="D280" s="125">
        <v>2147483680</v>
      </c>
    </row>
    <row r="281" spans="1:4">
      <c r="A281" s="29" t="str">
        <f t="shared" si="26"/>
        <v>ASUES.ES.ZRU10kV.SHTN10.TEL.aObrP</v>
      </c>
      <c r="B281">
        <v>7999</v>
      </c>
      <c r="C281" t="s">
        <v>0</v>
      </c>
      <c r="D281" s="30" t="str">
        <f>"#"&amp;$S$2&amp;"#"&amp;$T$2&amp;""&amp;$P$2&amp;".TS97_112_TS105"</f>
        <v>#15#\\SERVER-ASCUER\Relematika.Modbus.OPCDAServerSHTN10.TS97_112_TS105</v>
      </c>
    </row>
    <row r="282" spans="1:4">
      <c r="A282" s="29" t="str">
        <f t="shared" si="26"/>
        <v>ASUES.ES.ZRU10kV.SHTN10.TEL.aObrP</v>
      </c>
      <c r="B282">
        <v>7998</v>
      </c>
      <c r="C282" t="s">
        <v>6</v>
      </c>
      <c r="D282" s="30">
        <v>1</v>
      </c>
    </row>
    <row r="283" spans="1:4">
      <c r="A283" s="29" t="str">
        <f t="shared" si="26"/>
        <v>ASUES.ES.ZRU10kV.SHTN10.TEL.aObrP</v>
      </c>
      <c r="B283">
        <v>101</v>
      </c>
      <c r="C283" t="s">
        <v>0</v>
      </c>
      <c r="D283" s="30" t="s">
        <v>1914</v>
      </c>
    </row>
    <row r="284" spans="1:4">
      <c r="A284" s="29" t="str">
        <f t="shared" si="26"/>
        <v>ASUES.ES.ZRU10kV.SHTN10.TEL.aObrP</v>
      </c>
      <c r="B284">
        <v>3</v>
      </c>
      <c r="C284" t="s">
        <v>1</v>
      </c>
      <c r="D284" s="30">
        <v>192</v>
      </c>
    </row>
    <row r="285" spans="1:4">
      <c r="A285" s="29" t="str">
        <f t="shared" si="26"/>
        <v>ASUES.ES.ZRU10kV.SHTN10.TEL.aObrP</v>
      </c>
      <c r="B285">
        <v>2</v>
      </c>
      <c r="C285" t="s">
        <v>2</v>
      </c>
      <c r="D285" s="30" t="s">
        <v>175</v>
      </c>
    </row>
    <row r="286" spans="1:4">
      <c r="A286" s="26" t="str">
        <f t="shared" si="26"/>
        <v>ASUES.ES.ZRU10kV.SHTN10.TEL.aObrP</v>
      </c>
      <c r="B286" s="27">
        <v>1</v>
      </c>
      <c r="C286" s="27" t="s">
        <v>1</v>
      </c>
      <c r="D286" s="28">
        <v>11</v>
      </c>
    </row>
    <row r="287" spans="1:4">
      <c r="A287" s="156" t="str">
        <f>$R$2&amp;".aObrQ"</f>
        <v>ASUES.ES.ZRU10kV.SHTN10.TEL.aObrQ</v>
      </c>
      <c r="B287" s="157">
        <v>11154</v>
      </c>
      <c r="C287" s="157" t="s">
        <v>4</v>
      </c>
      <c r="D287" s="684">
        <f>$Q$5</f>
        <v>4</v>
      </c>
    </row>
    <row r="288" spans="1:4">
      <c r="A288" s="148" t="str">
        <f t="shared" ref="A288:A296" si="27">$R$2&amp;".aObrQ"</f>
        <v>ASUES.ES.ZRU10kV.SHTN10.TEL.aObrQ</v>
      </c>
      <c r="B288" s="683">
        <v>11152</v>
      </c>
      <c r="C288" s="683" t="s">
        <v>0</v>
      </c>
      <c r="D288" s="125" t="s">
        <v>1915</v>
      </c>
    </row>
    <row r="289" spans="1:4">
      <c r="A289" s="148" t="str">
        <f t="shared" si="27"/>
        <v>ASUES.ES.ZRU10kV.SHTN10.TEL.aObrQ</v>
      </c>
      <c r="B289" s="683">
        <v>11150</v>
      </c>
      <c r="C289" s="683" t="s">
        <v>0</v>
      </c>
      <c r="D289" s="125" t="str">
        <f>$R$5</f>
        <v>Авария</v>
      </c>
    </row>
    <row r="290" spans="1:4">
      <c r="A290" s="148" t="str">
        <f t="shared" si="27"/>
        <v>ASUES.ES.ZRU10kV.SHTN10.TEL.aObrQ</v>
      </c>
      <c r="B290" s="683">
        <v>11000</v>
      </c>
      <c r="C290" s="683" t="s">
        <v>5</v>
      </c>
      <c r="D290" s="125">
        <v>2147483680</v>
      </c>
    </row>
    <row r="291" spans="1:4">
      <c r="A291" s="29" t="str">
        <f t="shared" si="27"/>
        <v>ASUES.ES.ZRU10kV.SHTN10.TEL.aObrQ</v>
      </c>
      <c r="B291">
        <v>7999</v>
      </c>
      <c r="C291" t="s">
        <v>0</v>
      </c>
      <c r="D291" s="30" t="str">
        <f>"#"&amp;$S$2&amp;"#"&amp;$T$2&amp;""&amp;$P$2&amp;".TS97_112_TS107"</f>
        <v>#15#\\SERVER-ASCUER\Relematika.Modbus.OPCDAServerSHTN10.TS97_112_TS107</v>
      </c>
    </row>
    <row r="292" spans="1:4">
      <c r="A292" s="29" t="str">
        <f t="shared" si="27"/>
        <v>ASUES.ES.ZRU10kV.SHTN10.TEL.aObrQ</v>
      </c>
      <c r="B292">
        <v>7998</v>
      </c>
      <c r="C292" t="s">
        <v>6</v>
      </c>
      <c r="D292" s="30">
        <v>1</v>
      </c>
    </row>
    <row r="293" spans="1:4">
      <c r="A293" s="29" t="str">
        <f t="shared" si="27"/>
        <v>ASUES.ES.ZRU10kV.SHTN10.TEL.aObrQ</v>
      </c>
      <c r="B293">
        <v>101</v>
      </c>
      <c r="C293" t="s">
        <v>0</v>
      </c>
      <c r="D293" s="30" t="s">
        <v>1915</v>
      </c>
    </row>
    <row r="294" spans="1:4">
      <c r="A294" s="29" t="str">
        <f t="shared" si="27"/>
        <v>ASUES.ES.ZRU10kV.SHTN10.TEL.aObrQ</v>
      </c>
      <c r="B294">
        <v>3</v>
      </c>
      <c r="C294" t="s">
        <v>1</v>
      </c>
      <c r="D294" s="30">
        <v>192</v>
      </c>
    </row>
    <row r="295" spans="1:4">
      <c r="A295" s="29" t="str">
        <f t="shared" si="27"/>
        <v>ASUES.ES.ZRU10kV.SHTN10.TEL.aObrQ</v>
      </c>
      <c r="B295">
        <v>2</v>
      </c>
      <c r="C295" t="s">
        <v>2</v>
      </c>
      <c r="D295" s="30" t="s">
        <v>175</v>
      </c>
    </row>
    <row r="296" spans="1:4">
      <c r="A296" s="26" t="str">
        <f t="shared" si="27"/>
        <v>ASUES.ES.ZRU10kV.SHTN10.TEL.aObrQ</v>
      </c>
      <c r="B296" s="27">
        <v>1</v>
      </c>
      <c r="C296" s="27" t="s">
        <v>1</v>
      </c>
      <c r="D296" s="28">
        <v>11</v>
      </c>
    </row>
    <row r="297" spans="1:4">
      <c r="A297" s="156" t="str">
        <f>$R$2&amp;".aAsynch"</f>
        <v>ASUES.ES.ZRU10kV.SHTN10.TEL.aAsynch</v>
      </c>
      <c r="B297" s="157">
        <v>11154</v>
      </c>
      <c r="C297" s="157" t="s">
        <v>4</v>
      </c>
      <c r="D297" s="684">
        <f>$Q$5</f>
        <v>4</v>
      </c>
    </row>
    <row r="298" spans="1:4">
      <c r="A298" s="148" t="str">
        <f t="shared" ref="A298:A306" si="28">$R$2&amp;".aAsynch"</f>
        <v>ASUES.ES.ZRU10kV.SHTN10.TEL.aAsynch</v>
      </c>
      <c r="B298" s="683">
        <v>11152</v>
      </c>
      <c r="C298" s="683" t="s">
        <v>0</v>
      </c>
      <c r="D298" s="125" t="s">
        <v>1916</v>
      </c>
    </row>
    <row r="299" spans="1:4">
      <c r="A299" s="148" t="str">
        <f t="shared" si="28"/>
        <v>ASUES.ES.ZRU10kV.SHTN10.TEL.aAsynch</v>
      </c>
      <c r="B299" s="683">
        <v>11150</v>
      </c>
      <c r="C299" s="683" t="s">
        <v>0</v>
      </c>
      <c r="D299" s="125" t="str">
        <f>$R$5</f>
        <v>Авария</v>
      </c>
    </row>
    <row r="300" spans="1:4">
      <c r="A300" s="148" t="str">
        <f t="shared" si="28"/>
        <v>ASUES.ES.ZRU10kV.SHTN10.TEL.aAsynch</v>
      </c>
      <c r="B300" s="683">
        <v>11000</v>
      </c>
      <c r="C300" s="683" t="s">
        <v>5</v>
      </c>
      <c r="D300" s="125">
        <v>2147483680</v>
      </c>
    </row>
    <row r="301" spans="1:4">
      <c r="A301" s="29" t="str">
        <f t="shared" si="28"/>
        <v>ASUES.ES.ZRU10kV.SHTN10.TEL.aAsynch</v>
      </c>
      <c r="B301">
        <v>7999</v>
      </c>
      <c r="C301" t="s">
        <v>0</v>
      </c>
      <c r="D301" s="30" t="str">
        <f>"#"&amp;$S$2&amp;"#"&amp;$T$2&amp;""&amp;$P$2&amp;".TS97_112_TS111"</f>
        <v>#15#\\SERVER-ASCUER\Relematika.Modbus.OPCDAServerSHTN10.TS97_112_TS111</v>
      </c>
    </row>
    <row r="302" spans="1:4">
      <c r="A302" s="29" t="str">
        <f t="shared" si="28"/>
        <v>ASUES.ES.ZRU10kV.SHTN10.TEL.aAsynch</v>
      </c>
      <c r="B302">
        <v>7998</v>
      </c>
      <c r="C302" t="s">
        <v>6</v>
      </c>
      <c r="D302" s="30">
        <v>1</v>
      </c>
    </row>
    <row r="303" spans="1:4">
      <c r="A303" s="29" t="str">
        <f t="shared" si="28"/>
        <v>ASUES.ES.ZRU10kV.SHTN10.TEL.aAsynch</v>
      </c>
      <c r="B303">
        <v>101</v>
      </c>
      <c r="C303" t="s">
        <v>0</v>
      </c>
      <c r="D303" s="30" t="s">
        <v>1916</v>
      </c>
    </row>
    <row r="304" spans="1:4">
      <c r="A304" s="29" t="str">
        <f t="shared" si="28"/>
        <v>ASUES.ES.ZRU10kV.SHTN10.TEL.aAsynch</v>
      </c>
      <c r="B304">
        <v>3</v>
      </c>
      <c r="C304" t="s">
        <v>1</v>
      </c>
      <c r="D304" s="30">
        <v>192</v>
      </c>
    </row>
    <row r="305" spans="1:4">
      <c r="A305" s="29" t="str">
        <f t="shared" si="28"/>
        <v>ASUES.ES.ZRU10kV.SHTN10.TEL.aAsynch</v>
      </c>
      <c r="B305">
        <v>2</v>
      </c>
      <c r="C305" t="s">
        <v>2</v>
      </c>
      <c r="D305" s="30" t="s">
        <v>175</v>
      </c>
    </row>
    <row r="306" spans="1:4">
      <c r="A306" s="26" t="str">
        <f t="shared" si="28"/>
        <v>ASUES.ES.ZRU10kV.SHTN10.TEL.aAsynch</v>
      </c>
      <c r="B306" s="27">
        <v>1</v>
      </c>
      <c r="C306" s="27" t="s">
        <v>1</v>
      </c>
      <c r="D306" s="28">
        <v>11</v>
      </c>
    </row>
    <row r="307" spans="1:4">
      <c r="A307" s="156" t="str">
        <f>$R$2&amp;".aFexc"</f>
        <v>ASUES.ES.ZRU10kV.SHTN10.TEL.aFexc</v>
      </c>
      <c r="B307" s="157">
        <v>11154</v>
      </c>
      <c r="C307" s="157" t="s">
        <v>4</v>
      </c>
      <c r="D307" s="684">
        <f>$Q$5</f>
        <v>4</v>
      </c>
    </row>
    <row r="308" spans="1:4">
      <c r="A308" s="148" t="str">
        <f t="shared" ref="A308:A316" si="29">$R$2&amp;".aFexc"</f>
        <v>ASUES.ES.ZRU10kV.SHTN10.TEL.aFexc</v>
      </c>
      <c r="B308" s="683">
        <v>11152</v>
      </c>
      <c r="C308" s="683" t="s">
        <v>0</v>
      </c>
      <c r="D308" s="125" t="s">
        <v>1917</v>
      </c>
    </row>
    <row r="309" spans="1:4">
      <c r="A309" s="148" t="str">
        <f t="shared" si="29"/>
        <v>ASUES.ES.ZRU10kV.SHTN10.TEL.aFexc</v>
      </c>
      <c r="B309" s="683">
        <v>11150</v>
      </c>
      <c r="C309" s="683" t="s">
        <v>0</v>
      </c>
      <c r="D309" s="125" t="str">
        <f>$R$5</f>
        <v>Авария</v>
      </c>
    </row>
    <row r="310" spans="1:4">
      <c r="A310" s="148" t="str">
        <f t="shared" si="29"/>
        <v>ASUES.ES.ZRU10kV.SHTN10.TEL.aFexc</v>
      </c>
      <c r="B310" s="683">
        <v>11000</v>
      </c>
      <c r="C310" s="683" t="s">
        <v>5</v>
      </c>
      <c r="D310" s="125">
        <v>2147483680</v>
      </c>
    </row>
    <row r="311" spans="1:4">
      <c r="A311" s="29" t="str">
        <f t="shared" si="29"/>
        <v>ASUES.ES.ZRU10kV.SHTN10.TEL.aFexc</v>
      </c>
      <c r="B311">
        <v>7999</v>
      </c>
      <c r="C311" t="s">
        <v>0</v>
      </c>
      <c r="D311" s="30" t="str">
        <f>"#"&amp;$S$2&amp;"#"&amp;$T$2&amp;""&amp;$P$2&amp;".TS129_144_TS129"</f>
        <v>#15#\\SERVER-ASCUER\Relematika.Modbus.OPCDAServerSHTN10.TS129_144_TS129</v>
      </c>
    </row>
    <row r="312" spans="1:4">
      <c r="A312" s="29" t="str">
        <f t="shared" si="29"/>
        <v>ASUES.ES.ZRU10kV.SHTN10.TEL.aFexc</v>
      </c>
      <c r="B312">
        <v>7998</v>
      </c>
      <c r="C312" t="s">
        <v>6</v>
      </c>
      <c r="D312" s="30">
        <v>1</v>
      </c>
    </row>
    <row r="313" spans="1:4">
      <c r="A313" s="29" t="str">
        <f t="shared" si="29"/>
        <v>ASUES.ES.ZRU10kV.SHTN10.TEL.aFexc</v>
      </c>
      <c r="B313">
        <v>101</v>
      </c>
      <c r="C313" t="s">
        <v>0</v>
      </c>
      <c r="D313" s="30" t="s">
        <v>1917</v>
      </c>
    </row>
    <row r="314" spans="1:4">
      <c r="A314" s="29" t="str">
        <f t="shared" si="29"/>
        <v>ASUES.ES.ZRU10kV.SHTN10.TEL.aFexc</v>
      </c>
      <c r="B314">
        <v>3</v>
      </c>
      <c r="C314" t="s">
        <v>1</v>
      </c>
      <c r="D314" s="30">
        <v>192</v>
      </c>
    </row>
    <row r="315" spans="1:4">
      <c r="A315" s="29" t="str">
        <f t="shared" si="29"/>
        <v>ASUES.ES.ZRU10kV.SHTN10.TEL.aFexc</v>
      </c>
      <c r="B315">
        <v>2</v>
      </c>
      <c r="C315" t="s">
        <v>2</v>
      </c>
      <c r="D315" s="30" t="s">
        <v>175</v>
      </c>
    </row>
    <row r="316" spans="1:4">
      <c r="A316" s="26" t="str">
        <f t="shared" si="29"/>
        <v>ASUES.ES.ZRU10kV.SHTN10.TEL.aFexc</v>
      </c>
      <c r="B316" s="27">
        <v>1</v>
      </c>
      <c r="C316" s="27" t="s">
        <v>1</v>
      </c>
      <c r="D316" s="28">
        <v>11</v>
      </c>
    </row>
    <row r="317" spans="1:4">
      <c r="A317" s="156" t="str">
        <f>$R$2&amp;".aFlow"</f>
        <v>ASUES.ES.ZRU10kV.SHTN10.TEL.aFlow</v>
      </c>
      <c r="B317" s="157">
        <v>11154</v>
      </c>
      <c r="C317" s="157" t="s">
        <v>4</v>
      </c>
      <c r="D317" s="684">
        <f>$Q$5</f>
        <v>4</v>
      </c>
    </row>
    <row r="318" spans="1:4">
      <c r="A318" s="148" t="str">
        <f t="shared" ref="A318:A326" si="30">$R$2&amp;".aFlow"</f>
        <v>ASUES.ES.ZRU10kV.SHTN10.TEL.aFlow</v>
      </c>
      <c r="B318" s="683">
        <v>11152</v>
      </c>
      <c r="C318" s="683" t="s">
        <v>0</v>
      </c>
      <c r="D318" s="125" t="s">
        <v>1918</v>
      </c>
    </row>
    <row r="319" spans="1:4">
      <c r="A319" s="148" t="str">
        <f t="shared" si="30"/>
        <v>ASUES.ES.ZRU10kV.SHTN10.TEL.aFlow</v>
      </c>
      <c r="B319" s="683">
        <v>11150</v>
      </c>
      <c r="C319" s="683" t="s">
        <v>0</v>
      </c>
      <c r="D319" s="125" t="str">
        <f>$R$5</f>
        <v>Авария</v>
      </c>
    </row>
    <row r="320" spans="1:4">
      <c r="A320" s="148" t="str">
        <f t="shared" si="30"/>
        <v>ASUES.ES.ZRU10kV.SHTN10.TEL.aFlow</v>
      </c>
      <c r="B320" s="683">
        <v>11000</v>
      </c>
      <c r="C320" s="683" t="s">
        <v>5</v>
      </c>
      <c r="D320" s="125">
        <v>2147483680</v>
      </c>
    </row>
    <row r="321" spans="1:4">
      <c r="A321" s="29" t="str">
        <f t="shared" si="30"/>
        <v>ASUES.ES.ZRU10kV.SHTN10.TEL.aFlow</v>
      </c>
      <c r="B321">
        <v>7999</v>
      </c>
      <c r="C321" t="s">
        <v>0</v>
      </c>
      <c r="D321" s="30" t="str">
        <f>"#"&amp;$S$2&amp;"#"&amp;$T$2&amp;""&amp;$P$2&amp;".TS129_144_TS131"</f>
        <v>#15#\\SERVER-ASCUER\Relematika.Modbus.OPCDAServerSHTN10.TS129_144_TS131</v>
      </c>
    </row>
    <row r="322" spans="1:4">
      <c r="A322" s="29" t="str">
        <f t="shared" si="30"/>
        <v>ASUES.ES.ZRU10kV.SHTN10.TEL.aFlow</v>
      </c>
      <c r="B322">
        <v>7998</v>
      </c>
      <c r="C322" t="s">
        <v>6</v>
      </c>
      <c r="D322" s="30">
        <v>1</v>
      </c>
    </row>
    <row r="323" spans="1:4">
      <c r="A323" s="29" t="str">
        <f t="shared" si="30"/>
        <v>ASUES.ES.ZRU10kV.SHTN10.TEL.aFlow</v>
      </c>
      <c r="B323">
        <v>101</v>
      </c>
      <c r="C323" t="s">
        <v>0</v>
      </c>
      <c r="D323" s="30" t="s">
        <v>1918</v>
      </c>
    </row>
    <row r="324" spans="1:4">
      <c r="A324" s="29" t="str">
        <f t="shared" si="30"/>
        <v>ASUES.ES.ZRU10kV.SHTN10.TEL.aFlow</v>
      </c>
      <c r="B324">
        <v>3</v>
      </c>
      <c r="C324" t="s">
        <v>1</v>
      </c>
      <c r="D324" s="30">
        <v>192</v>
      </c>
    </row>
    <row r="325" spans="1:4">
      <c r="A325" s="29" t="str">
        <f t="shared" si="30"/>
        <v>ASUES.ES.ZRU10kV.SHTN10.TEL.aFlow</v>
      </c>
      <c r="B325">
        <v>2</v>
      </c>
      <c r="C325" t="s">
        <v>2</v>
      </c>
      <c r="D325" s="30" t="s">
        <v>175</v>
      </c>
    </row>
    <row r="326" spans="1:4">
      <c r="A326" s="26" t="str">
        <f t="shared" si="30"/>
        <v>ASUES.ES.ZRU10kV.SHTN10.TEL.aFlow</v>
      </c>
      <c r="B326" s="27">
        <v>1</v>
      </c>
      <c r="C326" s="27" t="s">
        <v>1</v>
      </c>
      <c r="D326" s="28">
        <v>11</v>
      </c>
    </row>
    <row r="327" spans="1:4">
      <c r="A327" s="156" t="str">
        <f>$R$2&amp;".aSat1"</f>
        <v>ASUES.ES.ZRU10kV.SHTN10.TEL.aSat1</v>
      </c>
      <c r="B327" s="157">
        <v>11154</v>
      </c>
      <c r="C327" s="157" t="s">
        <v>4</v>
      </c>
      <c r="D327" s="684">
        <f>$Q$5</f>
        <v>4</v>
      </c>
    </row>
    <row r="328" spans="1:4">
      <c r="A328" s="148" t="str">
        <f t="shared" ref="A328:A336" si="31">$R$2&amp;".aSat1"</f>
        <v>ASUES.ES.ZRU10kV.SHTN10.TEL.aSat1</v>
      </c>
      <c r="B328" s="683">
        <v>11152</v>
      </c>
      <c r="C328" s="683" t="s">
        <v>0</v>
      </c>
      <c r="D328" s="125" t="s">
        <v>1919</v>
      </c>
    </row>
    <row r="329" spans="1:4">
      <c r="A329" s="148" t="str">
        <f t="shared" si="31"/>
        <v>ASUES.ES.ZRU10kV.SHTN10.TEL.aSat1</v>
      </c>
      <c r="B329" s="683">
        <v>11150</v>
      </c>
      <c r="C329" s="683" t="s">
        <v>0</v>
      </c>
      <c r="D329" s="125" t="str">
        <f>$R$5</f>
        <v>Авария</v>
      </c>
    </row>
    <row r="330" spans="1:4">
      <c r="A330" s="148" t="str">
        <f t="shared" si="31"/>
        <v>ASUES.ES.ZRU10kV.SHTN10.TEL.aSat1</v>
      </c>
      <c r="B330" s="683">
        <v>11000</v>
      </c>
      <c r="C330" s="683" t="s">
        <v>5</v>
      </c>
      <c r="D330" s="125">
        <v>2147483680</v>
      </c>
    </row>
    <row r="331" spans="1:4">
      <c r="A331" s="29" t="str">
        <f t="shared" si="31"/>
        <v>ASUES.ES.ZRU10kV.SHTN10.TEL.aSat1</v>
      </c>
      <c r="B331">
        <v>7999</v>
      </c>
      <c r="C331" t="s">
        <v>0</v>
      </c>
      <c r="D331" s="30" t="str">
        <f>"#"&amp;$S$2&amp;"#"&amp;$T$2&amp;""&amp;$P$2&amp;".TS129_144_TS141"</f>
        <v>#15#\\SERVER-ASCUER\Relematika.Modbus.OPCDAServerSHTN10.TS129_144_TS141</v>
      </c>
    </row>
    <row r="332" spans="1:4">
      <c r="A332" s="29" t="str">
        <f t="shared" si="31"/>
        <v>ASUES.ES.ZRU10kV.SHTN10.TEL.aSat1</v>
      </c>
      <c r="B332">
        <v>7998</v>
      </c>
      <c r="C332" t="s">
        <v>6</v>
      </c>
      <c r="D332" s="30">
        <v>1</v>
      </c>
    </row>
    <row r="333" spans="1:4">
      <c r="A333" s="29" t="str">
        <f t="shared" si="31"/>
        <v>ASUES.ES.ZRU10kV.SHTN10.TEL.aSat1</v>
      </c>
      <c r="B333">
        <v>101</v>
      </c>
      <c r="C333" t="s">
        <v>0</v>
      </c>
      <c r="D333" s="30" t="s">
        <v>1919</v>
      </c>
    </row>
    <row r="334" spans="1:4">
      <c r="A334" s="29" t="str">
        <f t="shared" si="31"/>
        <v>ASUES.ES.ZRU10kV.SHTN10.TEL.aSat1</v>
      </c>
      <c r="B334">
        <v>3</v>
      </c>
      <c r="C334" t="s">
        <v>1</v>
      </c>
      <c r="D334" s="30">
        <v>192</v>
      </c>
    </row>
    <row r="335" spans="1:4">
      <c r="A335" s="29" t="str">
        <f t="shared" si="31"/>
        <v>ASUES.ES.ZRU10kV.SHTN10.TEL.aSat1</v>
      </c>
      <c r="B335">
        <v>2</v>
      </c>
      <c r="C335" t="s">
        <v>2</v>
      </c>
      <c r="D335" s="30" t="s">
        <v>175</v>
      </c>
    </row>
    <row r="336" spans="1:4">
      <c r="A336" s="26" t="str">
        <f t="shared" si="31"/>
        <v>ASUES.ES.ZRU10kV.SHTN10.TEL.aSat1</v>
      </c>
      <c r="B336" s="27">
        <v>1</v>
      </c>
      <c r="C336" s="27" t="s">
        <v>1</v>
      </c>
      <c r="D336" s="28">
        <v>11</v>
      </c>
    </row>
    <row r="337" spans="1:4">
      <c r="A337" s="156" t="str">
        <f>$R$2&amp;".aSat2"</f>
        <v>ASUES.ES.ZRU10kV.SHTN10.TEL.aSat2</v>
      </c>
      <c r="B337" s="157">
        <v>11154</v>
      </c>
      <c r="C337" s="157" t="s">
        <v>4</v>
      </c>
      <c r="D337" s="684">
        <f>$Q$5</f>
        <v>4</v>
      </c>
    </row>
    <row r="338" spans="1:4">
      <c r="A338" s="148" t="str">
        <f t="shared" ref="A338:A346" si="32">$R$2&amp;".aSat2"</f>
        <v>ASUES.ES.ZRU10kV.SHTN10.TEL.aSat2</v>
      </c>
      <c r="B338" s="683">
        <v>11152</v>
      </c>
      <c r="C338" s="683" t="s">
        <v>0</v>
      </c>
      <c r="D338" s="125" t="s">
        <v>1920</v>
      </c>
    </row>
    <row r="339" spans="1:4">
      <c r="A339" s="148" t="str">
        <f t="shared" si="32"/>
        <v>ASUES.ES.ZRU10kV.SHTN10.TEL.aSat2</v>
      </c>
      <c r="B339" s="683">
        <v>11150</v>
      </c>
      <c r="C339" s="683" t="s">
        <v>0</v>
      </c>
      <c r="D339" s="125" t="str">
        <f>$R$5</f>
        <v>Авария</v>
      </c>
    </row>
    <row r="340" spans="1:4">
      <c r="A340" s="148" t="str">
        <f t="shared" si="32"/>
        <v>ASUES.ES.ZRU10kV.SHTN10.TEL.aSat2</v>
      </c>
      <c r="B340" s="683">
        <v>11000</v>
      </c>
      <c r="C340" s="683" t="s">
        <v>5</v>
      </c>
      <c r="D340" s="125">
        <v>2147483680</v>
      </c>
    </row>
    <row r="341" spans="1:4">
      <c r="A341" s="29" t="str">
        <f t="shared" si="32"/>
        <v>ASUES.ES.ZRU10kV.SHTN10.TEL.aSat2</v>
      </c>
      <c r="B341">
        <v>7999</v>
      </c>
      <c r="C341" t="s">
        <v>0</v>
      </c>
      <c r="D341" s="30" t="str">
        <f>"#"&amp;$S$2&amp;"#"&amp;$T$2&amp;""&amp;$P$2&amp;".TS129_144_TS142"</f>
        <v>#15#\\SERVER-ASCUER\Relematika.Modbus.OPCDAServerSHTN10.TS129_144_TS142</v>
      </c>
    </row>
    <row r="342" spans="1:4">
      <c r="A342" s="29" t="str">
        <f t="shared" si="32"/>
        <v>ASUES.ES.ZRU10kV.SHTN10.TEL.aSat2</v>
      </c>
      <c r="B342">
        <v>7998</v>
      </c>
      <c r="C342" t="s">
        <v>6</v>
      </c>
      <c r="D342" s="30">
        <v>1</v>
      </c>
    </row>
    <row r="343" spans="1:4">
      <c r="A343" s="29" t="str">
        <f t="shared" si="32"/>
        <v>ASUES.ES.ZRU10kV.SHTN10.TEL.aSat2</v>
      </c>
      <c r="B343">
        <v>101</v>
      </c>
      <c r="C343" t="s">
        <v>0</v>
      </c>
      <c r="D343" s="30" t="s">
        <v>1920</v>
      </c>
    </row>
    <row r="344" spans="1:4">
      <c r="A344" s="29" t="str">
        <f t="shared" si="32"/>
        <v>ASUES.ES.ZRU10kV.SHTN10.TEL.aSat2</v>
      </c>
      <c r="B344">
        <v>3</v>
      </c>
      <c r="C344" t="s">
        <v>1</v>
      </c>
      <c r="D344" s="30">
        <v>192</v>
      </c>
    </row>
    <row r="345" spans="1:4">
      <c r="A345" s="29" t="str">
        <f t="shared" si="32"/>
        <v>ASUES.ES.ZRU10kV.SHTN10.TEL.aSat2</v>
      </c>
      <c r="B345">
        <v>2</v>
      </c>
      <c r="C345" t="s">
        <v>2</v>
      </c>
      <c r="D345" s="30" t="s">
        <v>175</v>
      </c>
    </row>
    <row r="346" spans="1:4">
      <c r="A346" s="26" t="str">
        <f t="shared" si="32"/>
        <v>ASUES.ES.ZRU10kV.SHTN10.TEL.aSat2</v>
      </c>
      <c r="B346" s="27">
        <v>1</v>
      </c>
      <c r="C346" s="27" t="s">
        <v>1</v>
      </c>
      <c r="D346" s="28">
        <v>11</v>
      </c>
    </row>
    <row r="347" spans="1:4">
      <c r="A347" s="156" t="str">
        <f>$R$2&amp;".aGrnd"</f>
        <v>ASUES.ES.ZRU10kV.SHTN10.TEL.aGrnd</v>
      </c>
      <c r="B347" s="157">
        <v>11154</v>
      </c>
      <c r="C347" s="157" t="s">
        <v>4</v>
      </c>
      <c r="D347" s="684">
        <f>$Q$5</f>
        <v>4</v>
      </c>
    </row>
    <row r="348" spans="1:4">
      <c r="A348" s="148" t="str">
        <f t="shared" ref="A348:A356" si="33">$R$2&amp;".aGrnd"</f>
        <v>ASUES.ES.ZRU10kV.SHTN10.TEL.aGrnd</v>
      </c>
      <c r="B348" s="683">
        <v>11152</v>
      </c>
      <c r="C348" s="683" t="s">
        <v>0</v>
      </c>
      <c r="D348" s="125" t="s">
        <v>1577</v>
      </c>
    </row>
    <row r="349" spans="1:4">
      <c r="A349" s="148" t="str">
        <f t="shared" si="33"/>
        <v>ASUES.ES.ZRU10kV.SHTN10.TEL.aGrnd</v>
      </c>
      <c r="B349" s="683">
        <v>11150</v>
      </c>
      <c r="C349" s="683" t="s">
        <v>0</v>
      </c>
      <c r="D349" s="125" t="str">
        <f>$R$5</f>
        <v>Авария</v>
      </c>
    </row>
    <row r="350" spans="1:4">
      <c r="A350" s="148" t="str">
        <f t="shared" si="33"/>
        <v>ASUES.ES.ZRU10kV.SHTN10.TEL.aGrnd</v>
      </c>
      <c r="B350" s="683">
        <v>11000</v>
      </c>
      <c r="C350" s="683" t="s">
        <v>5</v>
      </c>
      <c r="D350" s="125">
        <v>2147483680</v>
      </c>
    </row>
    <row r="351" spans="1:4">
      <c r="A351" s="29" t="str">
        <f t="shared" si="33"/>
        <v>ASUES.ES.ZRU10kV.SHTN10.TEL.aGrnd</v>
      </c>
      <c r="B351">
        <v>7999</v>
      </c>
      <c r="C351" t="s">
        <v>0</v>
      </c>
      <c r="D351" s="30" t="str">
        <f>"#"&amp;$S$2&amp;"#"&amp;$T$2&amp;""&amp;$P$2&amp;".TS129_144_TS144"</f>
        <v>#15#\\SERVER-ASCUER\Relematika.Modbus.OPCDAServerSHTN10.TS129_144_TS144</v>
      </c>
    </row>
    <row r="352" spans="1:4">
      <c r="A352" s="29" t="str">
        <f t="shared" si="33"/>
        <v>ASUES.ES.ZRU10kV.SHTN10.TEL.aGrnd</v>
      </c>
      <c r="B352">
        <v>7998</v>
      </c>
      <c r="C352" t="s">
        <v>6</v>
      </c>
      <c r="D352" s="30">
        <v>1</v>
      </c>
    </row>
    <row r="353" spans="1:4">
      <c r="A353" s="29" t="str">
        <f t="shared" si="33"/>
        <v>ASUES.ES.ZRU10kV.SHTN10.TEL.aGrnd</v>
      </c>
      <c r="B353">
        <v>101</v>
      </c>
      <c r="C353" t="s">
        <v>0</v>
      </c>
      <c r="D353" s="30" t="s">
        <v>1577</v>
      </c>
    </row>
    <row r="354" spans="1:4">
      <c r="A354" s="29" t="str">
        <f t="shared" si="33"/>
        <v>ASUES.ES.ZRU10kV.SHTN10.TEL.aGrnd</v>
      </c>
      <c r="B354">
        <v>3</v>
      </c>
      <c r="C354" t="s">
        <v>1</v>
      </c>
      <c r="D354" s="30">
        <v>192</v>
      </c>
    </row>
    <row r="355" spans="1:4">
      <c r="A355" s="29" t="str">
        <f t="shared" si="33"/>
        <v>ASUES.ES.ZRU10kV.SHTN10.TEL.aGrnd</v>
      </c>
      <c r="B355">
        <v>2</v>
      </c>
      <c r="C355" t="s">
        <v>2</v>
      </c>
      <c r="D355" s="30" t="s">
        <v>175</v>
      </c>
    </row>
    <row r="356" spans="1:4">
      <c r="A356" s="26" t="str">
        <f t="shared" si="33"/>
        <v>ASUES.ES.ZRU10kV.SHTN10.TEL.aGrnd</v>
      </c>
      <c r="B356" s="27">
        <v>1</v>
      </c>
      <c r="C356" s="27" t="s">
        <v>1</v>
      </c>
      <c r="D356" s="28">
        <v>11</v>
      </c>
    </row>
    <row r="357" spans="1:4">
      <c r="A357" s="156" t="str">
        <f>$R$2&amp;".aUnitShutdown"</f>
        <v>ASUES.ES.ZRU10kV.SHTN10.TEL.aUnitShutdown</v>
      </c>
      <c r="B357" s="157">
        <v>11154</v>
      </c>
      <c r="C357" s="157" t="s">
        <v>4</v>
      </c>
      <c r="D357" s="684">
        <f>$Q$5</f>
        <v>4</v>
      </c>
    </row>
    <row r="358" spans="1:4">
      <c r="A358" s="148" t="str">
        <f t="shared" ref="A358:A366" si="34">$R$2&amp;".aUnitShutdown"</f>
        <v>ASUES.ES.ZRU10kV.SHTN10.TEL.aUnitShutdown</v>
      </c>
      <c r="B358" s="683">
        <v>11152</v>
      </c>
      <c r="C358" s="683" t="s">
        <v>0</v>
      </c>
      <c r="D358" s="125" t="s">
        <v>1921</v>
      </c>
    </row>
    <row r="359" spans="1:4">
      <c r="A359" s="148" t="str">
        <f t="shared" si="34"/>
        <v>ASUES.ES.ZRU10kV.SHTN10.TEL.aUnitShutdown</v>
      </c>
      <c r="B359" s="683">
        <v>11150</v>
      </c>
      <c r="C359" s="683" t="s">
        <v>0</v>
      </c>
      <c r="D359" s="125" t="str">
        <f>$R$5</f>
        <v>Авария</v>
      </c>
    </row>
    <row r="360" spans="1:4">
      <c r="A360" s="148" t="str">
        <f t="shared" si="34"/>
        <v>ASUES.ES.ZRU10kV.SHTN10.TEL.aUnitShutdown</v>
      </c>
      <c r="B360" s="683">
        <v>11000</v>
      </c>
      <c r="C360" s="683" t="s">
        <v>5</v>
      </c>
      <c r="D360" s="125">
        <v>2147483680</v>
      </c>
    </row>
    <row r="361" spans="1:4">
      <c r="A361" s="29" t="str">
        <f t="shared" si="34"/>
        <v>ASUES.ES.ZRU10kV.SHTN10.TEL.aUnitShutdown</v>
      </c>
      <c r="B361">
        <v>7999</v>
      </c>
      <c r="C361" t="s">
        <v>0</v>
      </c>
      <c r="D361" s="30" t="str">
        <f>"#"&amp;$S$2&amp;"#"&amp;$T$2&amp;""&amp;$P$2&amp;".TS145_160_TS146"</f>
        <v>#15#\\SERVER-ASCUER\Relematika.Modbus.OPCDAServerSHTN10.TS145_160_TS146</v>
      </c>
    </row>
    <row r="362" spans="1:4">
      <c r="A362" s="29" t="str">
        <f t="shared" si="34"/>
        <v>ASUES.ES.ZRU10kV.SHTN10.TEL.aUnitShutdown</v>
      </c>
      <c r="B362">
        <v>7998</v>
      </c>
      <c r="C362" t="s">
        <v>6</v>
      </c>
      <c r="D362" s="30">
        <v>1</v>
      </c>
    </row>
    <row r="363" spans="1:4">
      <c r="A363" s="29" t="str">
        <f t="shared" si="34"/>
        <v>ASUES.ES.ZRU10kV.SHTN10.TEL.aUnitShutdown</v>
      </c>
      <c r="B363">
        <v>101</v>
      </c>
      <c r="C363" t="s">
        <v>0</v>
      </c>
      <c r="D363" s="30" t="s">
        <v>1921</v>
      </c>
    </row>
    <row r="364" spans="1:4">
      <c r="A364" s="29" t="str">
        <f t="shared" si="34"/>
        <v>ASUES.ES.ZRU10kV.SHTN10.TEL.aUnitShutdown</v>
      </c>
      <c r="B364">
        <v>3</v>
      </c>
      <c r="C364" t="s">
        <v>1</v>
      </c>
      <c r="D364" s="30">
        <v>192</v>
      </c>
    </row>
    <row r="365" spans="1:4">
      <c r="A365" s="29" t="str">
        <f t="shared" si="34"/>
        <v>ASUES.ES.ZRU10kV.SHTN10.TEL.aUnitShutdown</v>
      </c>
      <c r="B365">
        <v>2</v>
      </c>
      <c r="C365" t="s">
        <v>2</v>
      </c>
      <c r="D365" s="30" t="s">
        <v>175</v>
      </c>
    </row>
    <row r="366" spans="1:4">
      <c r="A366" s="26" t="str">
        <f t="shared" si="34"/>
        <v>ASUES.ES.ZRU10kV.SHTN10.TEL.aUnitShutdown</v>
      </c>
      <c r="B366" s="27">
        <v>1</v>
      </c>
      <c r="C366" s="27" t="s">
        <v>1</v>
      </c>
      <c r="D366" s="28">
        <v>11</v>
      </c>
    </row>
    <row r="367" spans="1:4">
      <c r="A367" s="156" t="str">
        <f t="shared" ref="A367:A376" si="35">$R$2&amp;".aDGZ"</f>
        <v>ASUES.ES.ZRU10kV.SHTN10.TEL.aDGZ</v>
      </c>
      <c r="B367" s="157">
        <v>11154</v>
      </c>
      <c r="C367" s="157" t="s">
        <v>4</v>
      </c>
      <c r="D367" s="684">
        <f>$Q$5</f>
        <v>4</v>
      </c>
    </row>
    <row r="368" spans="1:4">
      <c r="A368" s="148" t="str">
        <f t="shared" si="35"/>
        <v>ASUES.ES.ZRU10kV.SHTN10.TEL.aDGZ</v>
      </c>
      <c r="B368" s="683">
        <v>11152</v>
      </c>
      <c r="C368" s="683" t="s">
        <v>0</v>
      </c>
      <c r="D368" s="125" t="s">
        <v>1922</v>
      </c>
    </row>
    <row r="369" spans="1:4">
      <c r="A369" s="148" t="str">
        <f t="shared" si="35"/>
        <v>ASUES.ES.ZRU10kV.SHTN10.TEL.aDGZ</v>
      </c>
      <c r="B369" s="683">
        <v>11150</v>
      </c>
      <c r="C369" s="683" t="s">
        <v>0</v>
      </c>
      <c r="D369" s="125" t="str">
        <f>$R$5</f>
        <v>Авария</v>
      </c>
    </row>
    <row r="370" spans="1:4">
      <c r="A370" s="148" t="str">
        <f t="shared" si="35"/>
        <v>ASUES.ES.ZRU10kV.SHTN10.TEL.aDGZ</v>
      </c>
      <c r="B370" s="683">
        <v>11000</v>
      </c>
      <c r="C370" s="683" t="s">
        <v>5</v>
      </c>
      <c r="D370" s="125">
        <v>2147483680</v>
      </c>
    </row>
    <row r="371" spans="1:4">
      <c r="A371" s="29" t="str">
        <f t="shared" si="35"/>
        <v>ASUES.ES.ZRU10kV.SHTN10.TEL.aDGZ</v>
      </c>
      <c r="B371">
        <v>7999</v>
      </c>
      <c r="C371" t="s">
        <v>0</v>
      </c>
      <c r="D371" s="30" t="str">
        <f>"#"&amp;$S$2&amp;"#"&amp;$T$2&amp;""&amp;$P$2&amp;".TS225_240_TS237"</f>
        <v>#15#\\SERVER-ASCUER\Relematika.Modbus.OPCDAServerSHTN10.TS225_240_TS237</v>
      </c>
    </row>
    <row r="372" spans="1:4">
      <c r="A372" s="29" t="str">
        <f t="shared" si="35"/>
        <v>ASUES.ES.ZRU10kV.SHTN10.TEL.aDGZ</v>
      </c>
      <c r="B372">
        <v>7998</v>
      </c>
      <c r="C372" t="s">
        <v>6</v>
      </c>
      <c r="D372" s="30">
        <v>1</v>
      </c>
    </row>
    <row r="373" spans="1:4">
      <c r="A373" s="29" t="str">
        <f t="shared" si="35"/>
        <v>ASUES.ES.ZRU10kV.SHTN10.TEL.aDGZ</v>
      </c>
      <c r="B373">
        <v>101</v>
      </c>
      <c r="C373" t="s">
        <v>0</v>
      </c>
      <c r="D373" s="30" t="s">
        <v>1922</v>
      </c>
    </row>
    <row r="374" spans="1:4">
      <c r="A374" s="29" t="str">
        <f t="shared" si="35"/>
        <v>ASUES.ES.ZRU10kV.SHTN10.TEL.aDGZ</v>
      </c>
      <c r="B374">
        <v>3</v>
      </c>
      <c r="C374" t="s">
        <v>1</v>
      </c>
      <c r="D374" s="30">
        <v>192</v>
      </c>
    </row>
    <row r="375" spans="1:4">
      <c r="A375" s="29" t="str">
        <f t="shared" si="35"/>
        <v>ASUES.ES.ZRU10kV.SHTN10.TEL.aDGZ</v>
      </c>
      <c r="B375">
        <v>2</v>
      </c>
      <c r="C375" t="s">
        <v>2</v>
      </c>
      <c r="D375" s="30" t="s">
        <v>175</v>
      </c>
    </row>
    <row r="376" spans="1:4">
      <c r="A376" s="26" t="str">
        <f t="shared" si="35"/>
        <v>ASUES.ES.ZRU10kV.SHTN10.TEL.aDGZ</v>
      </c>
      <c r="B376" s="27">
        <v>1</v>
      </c>
      <c r="C376" s="27" t="s">
        <v>1</v>
      </c>
      <c r="D376" s="28">
        <v>11</v>
      </c>
    </row>
    <row r="377" spans="1:4">
      <c r="A377" s="23" t="str">
        <f t="shared" ref="A377:A384" si="36">$R$2&amp;".wCntLimit"</f>
        <v>ASUES.ES.ZRU10kV.SHTN10.TEL.wCntLimit</v>
      </c>
      <c r="B377" s="24">
        <v>3000000</v>
      </c>
      <c r="C377" s="24" t="s">
        <v>0</v>
      </c>
      <c r="D377" s="25" t="s">
        <v>394</v>
      </c>
    </row>
    <row r="378" spans="1:4">
      <c r="A378" s="63" t="str">
        <f t="shared" si="36"/>
        <v>ASUES.ES.ZRU10kV.SHTN10.TEL.wCntLimit</v>
      </c>
      <c r="B378" s="52">
        <v>11154</v>
      </c>
      <c r="C378" s="52" t="s">
        <v>4</v>
      </c>
      <c r="D378" s="65">
        <f>$Q$6</f>
        <v>8</v>
      </c>
    </row>
    <row r="379" spans="1:4">
      <c r="A379" s="63" t="str">
        <f t="shared" si="36"/>
        <v>ASUES.ES.ZRU10kV.SHTN10.TEL.wCntLimit</v>
      </c>
      <c r="B379" s="52">
        <v>11152</v>
      </c>
      <c r="C379" s="52" t="s">
        <v>0</v>
      </c>
      <c r="D379" s="65" t="str">
        <f>$R$6</f>
        <v>Предупреждение</v>
      </c>
    </row>
    <row r="380" spans="1:4">
      <c r="A380" s="63" t="str">
        <f t="shared" si="36"/>
        <v>ASUES.ES.ZRU10kV.SHTN10.TEL.wCntLimit</v>
      </c>
      <c r="B380" s="52">
        <v>11150</v>
      </c>
      <c r="C380" s="52" t="s">
        <v>0</v>
      </c>
      <c r="D380" s="65" t="s">
        <v>391</v>
      </c>
    </row>
    <row r="381" spans="1:4">
      <c r="A381" s="63" t="str">
        <f t="shared" si="36"/>
        <v>ASUES.ES.ZRU10kV.SHTN10.TEL.wCntLimit</v>
      </c>
      <c r="B381" s="52">
        <v>11000</v>
      </c>
      <c r="C381" s="52" t="s">
        <v>5</v>
      </c>
      <c r="D381" s="65">
        <v>2147483680</v>
      </c>
    </row>
    <row r="382" spans="1:4">
      <c r="A382" s="29" t="str">
        <f t="shared" si="36"/>
        <v>ASUES.ES.ZRU10kV.SHTN10.TEL.wCntLimit</v>
      </c>
      <c r="B382">
        <v>3</v>
      </c>
      <c r="C382" t="s">
        <v>1</v>
      </c>
      <c r="D382" s="30">
        <v>192</v>
      </c>
    </row>
    <row r="383" spans="1:4">
      <c r="A383" s="29" t="str">
        <f t="shared" si="36"/>
        <v>ASUES.ES.ZRU10kV.SHTN10.TEL.wCntLimit</v>
      </c>
      <c r="B383">
        <v>2</v>
      </c>
      <c r="C383" t="s">
        <v>2</v>
      </c>
      <c r="D383" s="30" t="s">
        <v>175</v>
      </c>
    </row>
    <row r="384" spans="1:4">
      <c r="A384" s="26" t="str">
        <f t="shared" si="36"/>
        <v>ASUES.ES.ZRU10kV.SHTN10.TEL.wCntLimit</v>
      </c>
      <c r="B384" s="27">
        <v>1</v>
      </c>
      <c r="C384" s="27" t="s">
        <v>1</v>
      </c>
      <c r="D384" s="28">
        <v>11</v>
      </c>
    </row>
    <row r="385" spans="1:4">
      <c r="A385" s="23" t="str">
        <f t="shared" ref="A385:A392" si="37">$R$2&amp;".wCntLimitI"</f>
        <v>ASUES.ES.ZRU10kV.SHTN10.TEL.wCntLimitI</v>
      </c>
      <c r="B385" s="24">
        <v>3000000</v>
      </c>
      <c r="C385" s="24" t="s">
        <v>0</v>
      </c>
      <c r="D385" s="25" t="s">
        <v>395</v>
      </c>
    </row>
    <row r="386" spans="1:4">
      <c r="A386" s="63" t="str">
        <f t="shared" si="37"/>
        <v>ASUES.ES.ZRU10kV.SHTN10.TEL.wCntLimitI</v>
      </c>
      <c r="B386" s="52">
        <v>11154</v>
      </c>
      <c r="C386" s="52" t="s">
        <v>4</v>
      </c>
      <c r="D386" s="65">
        <f>$Q$6</f>
        <v>8</v>
      </c>
    </row>
    <row r="387" spans="1:4">
      <c r="A387" s="63" t="str">
        <f t="shared" si="37"/>
        <v>ASUES.ES.ZRU10kV.SHTN10.TEL.wCntLimitI</v>
      </c>
      <c r="B387" s="52">
        <v>11152</v>
      </c>
      <c r="C387" s="52" t="s">
        <v>0</v>
      </c>
      <c r="D387" s="65" t="str">
        <f>$R$6</f>
        <v>Предупреждение</v>
      </c>
    </row>
    <row r="388" spans="1:4">
      <c r="A388" s="63" t="str">
        <f t="shared" si="37"/>
        <v>ASUES.ES.ZRU10kV.SHTN10.TEL.wCntLimitI</v>
      </c>
      <c r="B388" s="52">
        <v>11150</v>
      </c>
      <c r="C388" s="52" t="s">
        <v>0</v>
      </c>
      <c r="D388" s="65" t="s">
        <v>392</v>
      </c>
    </row>
    <row r="389" spans="1:4">
      <c r="A389" s="63" t="str">
        <f t="shared" si="37"/>
        <v>ASUES.ES.ZRU10kV.SHTN10.TEL.wCntLimitI</v>
      </c>
      <c r="B389" s="52">
        <v>11000</v>
      </c>
      <c r="C389" s="52" t="s">
        <v>5</v>
      </c>
      <c r="D389" s="65">
        <v>2147483680</v>
      </c>
    </row>
    <row r="390" spans="1:4">
      <c r="A390" s="29" t="str">
        <f t="shared" si="37"/>
        <v>ASUES.ES.ZRU10kV.SHTN10.TEL.wCntLimitI</v>
      </c>
      <c r="B390">
        <v>3</v>
      </c>
      <c r="C390" t="s">
        <v>1</v>
      </c>
      <c r="D390" s="30">
        <v>192</v>
      </c>
    </row>
    <row r="391" spans="1:4">
      <c r="A391" s="29" t="str">
        <f t="shared" si="37"/>
        <v>ASUES.ES.ZRU10kV.SHTN10.TEL.wCntLimitI</v>
      </c>
      <c r="B391">
        <v>2</v>
      </c>
      <c r="C391" t="s">
        <v>2</v>
      </c>
      <c r="D391" s="30" t="s">
        <v>175</v>
      </c>
    </row>
    <row r="392" spans="1:4">
      <c r="A392" s="26" t="str">
        <f t="shared" si="37"/>
        <v>ASUES.ES.ZRU10kV.SHTN10.TEL.wCntLimitI</v>
      </c>
      <c r="B392" s="27">
        <v>1</v>
      </c>
      <c r="C392" s="27" t="s">
        <v>1</v>
      </c>
      <c r="D392" s="28">
        <v>11</v>
      </c>
    </row>
    <row r="393" spans="1:4">
      <c r="A393" s="23" t="str">
        <f t="shared" ref="A393:A400" si="38">$R$2&amp;".wCntLimitIKZ"</f>
        <v>ASUES.ES.ZRU10kV.SHTN10.TEL.wCntLimitIKZ</v>
      </c>
      <c r="B393" s="24">
        <v>3000000</v>
      </c>
      <c r="C393" s="24" t="s">
        <v>0</v>
      </c>
      <c r="D393" s="25" t="s">
        <v>1504</v>
      </c>
    </row>
    <row r="394" spans="1:4">
      <c r="A394" s="63" t="str">
        <f t="shared" si="38"/>
        <v>ASUES.ES.ZRU10kV.SHTN10.TEL.wCntLimitIKZ</v>
      </c>
      <c r="B394" s="52">
        <v>11154</v>
      </c>
      <c r="C394" s="52" t="s">
        <v>4</v>
      </c>
      <c r="D394" s="65">
        <f>$Q$6</f>
        <v>8</v>
      </c>
    </row>
    <row r="395" spans="1:4">
      <c r="A395" s="63" t="str">
        <f t="shared" si="38"/>
        <v>ASUES.ES.ZRU10kV.SHTN10.TEL.wCntLimitIKZ</v>
      </c>
      <c r="B395" s="52">
        <v>11152</v>
      </c>
      <c r="C395" s="52" t="s">
        <v>0</v>
      </c>
      <c r="D395" s="65" t="str">
        <f>$R$6</f>
        <v>Предупреждение</v>
      </c>
    </row>
    <row r="396" spans="1:4">
      <c r="A396" s="63" t="str">
        <f t="shared" si="38"/>
        <v>ASUES.ES.ZRU10kV.SHTN10.TEL.wCntLimitIKZ</v>
      </c>
      <c r="B396" s="52">
        <v>11150</v>
      </c>
      <c r="C396" s="52" t="s">
        <v>0</v>
      </c>
      <c r="D396" s="65" t="s">
        <v>393</v>
      </c>
    </row>
    <row r="397" spans="1:4">
      <c r="A397" s="63" t="str">
        <f t="shared" si="38"/>
        <v>ASUES.ES.ZRU10kV.SHTN10.TEL.wCntLimitIKZ</v>
      </c>
      <c r="B397" s="52">
        <v>11000</v>
      </c>
      <c r="C397" s="52" t="s">
        <v>5</v>
      </c>
      <c r="D397" s="65">
        <v>2147483680</v>
      </c>
    </row>
    <row r="398" spans="1:4">
      <c r="A398" s="29" t="str">
        <f t="shared" si="38"/>
        <v>ASUES.ES.ZRU10kV.SHTN10.TEL.wCntLimitIKZ</v>
      </c>
      <c r="B398">
        <v>3</v>
      </c>
      <c r="C398" t="s">
        <v>1</v>
      </c>
      <c r="D398" s="30">
        <v>192</v>
      </c>
    </row>
    <row r="399" spans="1:4">
      <c r="A399" s="29" t="str">
        <f t="shared" si="38"/>
        <v>ASUES.ES.ZRU10kV.SHTN10.TEL.wCntLimitIKZ</v>
      </c>
      <c r="B399">
        <v>2</v>
      </c>
      <c r="C399" t="s">
        <v>2</v>
      </c>
      <c r="D399" s="30" t="s">
        <v>175</v>
      </c>
    </row>
    <row r="400" spans="1:4">
      <c r="A400" s="26" t="str">
        <f t="shared" si="38"/>
        <v>ASUES.ES.ZRU10kV.SHTN10.TEL.wCntLimitIKZ</v>
      </c>
      <c r="B400" s="27">
        <v>1</v>
      </c>
      <c r="C400" s="27" t="s">
        <v>1</v>
      </c>
      <c r="D400" s="28">
        <v>11</v>
      </c>
    </row>
    <row r="401" spans="1:4">
      <c r="A401" s="63" t="str">
        <f t="shared" ref="A401:A411" si="39">$R$2&amp;".wLoc"</f>
        <v>ASUES.ES.ZRU10kV.SHTN10.TEL.wLoc</v>
      </c>
      <c r="B401" s="52">
        <v>11154</v>
      </c>
      <c r="C401" s="52" t="s">
        <v>4</v>
      </c>
      <c r="D401" s="199">
        <f>$Q$6</f>
        <v>8</v>
      </c>
    </row>
    <row r="402" spans="1:4" ht="14.25" customHeight="1">
      <c r="A402" s="63" t="str">
        <f t="shared" si="39"/>
        <v>ASUES.ES.ZRU10kV.SHTN10.TEL.wLoc</v>
      </c>
      <c r="B402" s="52">
        <v>11152</v>
      </c>
      <c r="C402" s="52" t="s">
        <v>0</v>
      </c>
      <c r="D402" s="65" t="str">
        <f>$R$6</f>
        <v>Предупреждение</v>
      </c>
    </row>
    <row r="403" spans="1:4">
      <c r="A403" s="63" t="str">
        <f t="shared" si="39"/>
        <v>ASUES.ES.ZRU10kV.SHTN10.TEL.wLoc</v>
      </c>
      <c r="B403" s="52">
        <v>11150</v>
      </c>
      <c r="C403" s="52" t="s">
        <v>0</v>
      </c>
      <c r="D403" s="65" t="s">
        <v>1923</v>
      </c>
    </row>
    <row r="404" spans="1:4">
      <c r="A404" s="63" t="str">
        <f t="shared" si="39"/>
        <v>ASUES.ES.ZRU10kV.SHTN10.TEL.wLoc</v>
      </c>
      <c r="B404" s="52">
        <v>11000</v>
      </c>
      <c r="C404" s="52" t="s">
        <v>5</v>
      </c>
      <c r="D404" s="65">
        <v>0</v>
      </c>
    </row>
    <row r="405" spans="1:4">
      <c r="A405" s="29" t="str">
        <f t="shared" si="39"/>
        <v>ASUES.ES.ZRU10kV.SHTN10.TEL.wLoc</v>
      </c>
      <c r="B405">
        <v>7999</v>
      </c>
      <c r="C405" t="s">
        <v>0</v>
      </c>
      <c r="D405" s="30" t="str">
        <f>"#"&amp;$S$2&amp;"#"&amp;$T$2&amp;""&amp;$P$2&amp;".TS01_16_TS14"</f>
        <v>#15#\\SERVER-ASCUER\Relematika.Modbus.OPCDAServerSHTN10.TS01_16_TS14</v>
      </c>
    </row>
    <row r="406" spans="1:4">
      <c r="A406" s="29" t="str">
        <f t="shared" si="39"/>
        <v>ASUES.ES.ZRU10kV.SHTN10.TEL.wLoc</v>
      </c>
      <c r="B406">
        <v>7998</v>
      </c>
      <c r="C406" t="s">
        <v>6</v>
      </c>
      <c r="D406" s="30">
        <v>1</v>
      </c>
    </row>
    <row r="407" spans="1:4">
      <c r="A407" s="29" t="str">
        <f t="shared" si="39"/>
        <v>ASUES.ES.ZRU10kV.SHTN10.TEL.wLoc</v>
      </c>
      <c r="B407">
        <v>7200</v>
      </c>
      <c r="C407" t="s">
        <v>2</v>
      </c>
      <c r="D407" s="30" t="s">
        <v>266</v>
      </c>
    </row>
    <row r="408" spans="1:4">
      <c r="A408" s="29" t="str">
        <f t="shared" si="39"/>
        <v>ASUES.ES.ZRU10kV.SHTN10.TEL.wLoc</v>
      </c>
      <c r="B408">
        <v>101</v>
      </c>
      <c r="C408" t="s">
        <v>0</v>
      </c>
      <c r="D408" s="30" t="s">
        <v>1923</v>
      </c>
    </row>
    <row r="409" spans="1:4">
      <c r="A409" s="29" t="str">
        <f t="shared" si="39"/>
        <v>ASUES.ES.ZRU10kV.SHTN10.TEL.wLoc</v>
      </c>
      <c r="B409">
        <v>3</v>
      </c>
      <c r="C409" t="s">
        <v>1</v>
      </c>
      <c r="D409" s="30">
        <v>192</v>
      </c>
    </row>
    <row r="410" spans="1:4">
      <c r="A410" s="29" t="str">
        <f t="shared" si="39"/>
        <v>ASUES.ES.ZRU10kV.SHTN10.TEL.wLoc</v>
      </c>
      <c r="B410">
        <v>2</v>
      </c>
      <c r="C410" t="s">
        <v>2</v>
      </c>
      <c r="D410" s="30" t="s">
        <v>175</v>
      </c>
    </row>
    <row r="411" spans="1:4">
      <c r="A411" s="26" t="str">
        <f t="shared" si="39"/>
        <v>ASUES.ES.ZRU10kV.SHTN10.TEL.wLoc</v>
      </c>
      <c r="B411" s="27">
        <v>1</v>
      </c>
      <c r="C411" s="27" t="s">
        <v>1</v>
      </c>
      <c r="D411" s="28">
        <v>11</v>
      </c>
    </row>
    <row r="412" spans="1:4">
      <c r="A412" s="69" t="str">
        <f t="shared" ref="A412:A421" si="40">$R$2&amp;".wCall"</f>
        <v>ASUES.ES.ZRU10kV.SHTN10.TEL.wCall</v>
      </c>
      <c r="B412" s="70">
        <v>11154</v>
      </c>
      <c r="C412" s="70" t="s">
        <v>4</v>
      </c>
      <c r="D412" s="71">
        <f>$Q$6</f>
        <v>8</v>
      </c>
    </row>
    <row r="413" spans="1:4">
      <c r="A413" s="63" t="str">
        <f t="shared" si="40"/>
        <v>ASUES.ES.ZRU10kV.SHTN10.TEL.wCall</v>
      </c>
      <c r="B413" s="52">
        <v>11152</v>
      </c>
      <c r="C413" s="52" t="s">
        <v>0</v>
      </c>
      <c r="D413" s="65" t="str">
        <f>$R$6</f>
        <v>Предупреждение</v>
      </c>
    </row>
    <row r="414" spans="1:4">
      <c r="A414" s="63" t="str">
        <f t="shared" si="40"/>
        <v>ASUES.ES.ZRU10kV.SHTN10.TEL.wCall</v>
      </c>
      <c r="B414" s="52">
        <v>11150</v>
      </c>
      <c r="C414" s="52" t="s">
        <v>0</v>
      </c>
      <c r="D414" s="65" t="s">
        <v>338</v>
      </c>
    </row>
    <row r="415" spans="1:4">
      <c r="A415" s="63" t="str">
        <f t="shared" si="40"/>
        <v>ASUES.ES.ZRU10kV.SHTN10.TEL.wCall</v>
      </c>
      <c r="B415" s="52">
        <v>11000</v>
      </c>
      <c r="C415" s="52" t="s">
        <v>5</v>
      </c>
      <c r="D415" s="65">
        <v>2147483680</v>
      </c>
    </row>
    <row r="416" spans="1:4">
      <c r="A416" s="29" t="str">
        <f t="shared" si="40"/>
        <v>ASUES.ES.ZRU10kV.SHTN10.TEL.wCall</v>
      </c>
      <c r="B416">
        <v>7999</v>
      </c>
      <c r="C416" t="s">
        <v>0</v>
      </c>
      <c r="D416" s="30" t="str">
        <f>"#"&amp;$S$2&amp;"#"&amp;$T$2&amp;""&amp;$P$2&amp;".TS01_16_TS5"</f>
        <v>#15#\\SERVER-ASCUER\Relematika.Modbus.OPCDAServerSHTN10.TS01_16_TS5</v>
      </c>
    </row>
    <row r="417" spans="1:4">
      <c r="A417" s="29" t="str">
        <f t="shared" si="40"/>
        <v>ASUES.ES.ZRU10kV.SHTN10.TEL.wCall</v>
      </c>
      <c r="B417">
        <v>7998</v>
      </c>
      <c r="C417" t="s">
        <v>6</v>
      </c>
      <c r="D417" s="30">
        <v>1</v>
      </c>
    </row>
    <row r="418" spans="1:4">
      <c r="A418" s="29" t="str">
        <f t="shared" si="40"/>
        <v>ASUES.ES.ZRU10kV.SHTN10.TEL.wCall</v>
      </c>
      <c r="B418">
        <v>101</v>
      </c>
      <c r="C418" t="s">
        <v>0</v>
      </c>
      <c r="D418" s="30" t="s">
        <v>338</v>
      </c>
    </row>
    <row r="419" spans="1:4">
      <c r="A419" s="29" t="str">
        <f t="shared" si="40"/>
        <v>ASUES.ES.ZRU10kV.SHTN10.TEL.wCall</v>
      </c>
      <c r="B419">
        <v>3</v>
      </c>
      <c r="C419" t="s">
        <v>1</v>
      </c>
      <c r="D419" s="30">
        <v>192</v>
      </c>
    </row>
    <row r="420" spans="1:4">
      <c r="A420" s="29" t="str">
        <f t="shared" si="40"/>
        <v>ASUES.ES.ZRU10kV.SHTN10.TEL.wCall</v>
      </c>
      <c r="B420">
        <v>2</v>
      </c>
      <c r="C420" t="s">
        <v>2</v>
      </c>
      <c r="D420" s="30" t="s">
        <v>175</v>
      </c>
    </row>
    <row r="421" spans="1:4">
      <c r="A421" s="26" t="str">
        <f t="shared" si="40"/>
        <v>ASUES.ES.ZRU10kV.SHTN10.TEL.wCall</v>
      </c>
      <c r="B421" s="27">
        <v>1</v>
      </c>
      <c r="C421" s="27" t="s">
        <v>1</v>
      </c>
      <c r="D421" s="28">
        <v>11</v>
      </c>
    </row>
    <row r="422" spans="1:4">
      <c r="A422" s="63" t="str">
        <f t="shared" ref="A422:A431" si="41">$R$2&amp;".wLowBat"</f>
        <v>ASUES.ES.ZRU10kV.SHTN10.TEL.wLowBat</v>
      </c>
      <c r="B422" s="52">
        <v>11154</v>
      </c>
      <c r="C422" s="52" t="s">
        <v>4</v>
      </c>
      <c r="D422" s="199">
        <f>$Q$6</f>
        <v>8</v>
      </c>
    </row>
    <row r="423" spans="1:4">
      <c r="A423" s="63" t="str">
        <f t="shared" si="41"/>
        <v>ASUES.ES.ZRU10kV.SHTN10.TEL.wLowBat</v>
      </c>
      <c r="B423" s="52">
        <v>11152</v>
      </c>
      <c r="C423" s="52" t="s">
        <v>0</v>
      </c>
      <c r="D423" s="65" t="str">
        <f>$R$6</f>
        <v>Предупреждение</v>
      </c>
    </row>
    <row r="424" spans="1:4">
      <c r="A424" s="63" t="str">
        <f t="shared" si="41"/>
        <v>ASUES.ES.ZRU10kV.SHTN10.TEL.wLowBat</v>
      </c>
      <c r="B424" s="52">
        <v>11150</v>
      </c>
      <c r="C424" s="52" t="s">
        <v>0</v>
      </c>
      <c r="D424" s="65" t="s">
        <v>1510</v>
      </c>
    </row>
    <row r="425" spans="1:4">
      <c r="A425" s="63" t="str">
        <f t="shared" si="41"/>
        <v>ASUES.ES.ZRU10kV.SHTN10.TEL.wLowBat</v>
      </c>
      <c r="B425" s="52">
        <v>11000</v>
      </c>
      <c r="C425" s="52" t="s">
        <v>5</v>
      </c>
      <c r="D425" s="65">
        <v>2147483680</v>
      </c>
    </row>
    <row r="426" spans="1:4">
      <c r="A426" s="29" t="str">
        <f t="shared" si="41"/>
        <v>ASUES.ES.ZRU10kV.SHTN10.TEL.wLowBat</v>
      </c>
      <c r="B426">
        <v>7999</v>
      </c>
      <c r="C426" t="s">
        <v>0</v>
      </c>
      <c r="D426" s="30" t="str">
        <f>"#"&amp;$S$2&amp;"#"&amp;$T$2&amp;""&amp;$P$2&amp;".TS209_224_TS219"</f>
        <v>#15#\\SERVER-ASCUER\Relematika.Modbus.OPCDAServerSHTN10.TS209_224_TS219</v>
      </c>
    </row>
    <row r="427" spans="1:4">
      <c r="A427" s="29" t="str">
        <f t="shared" si="41"/>
        <v>ASUES.ES.ZRU10kV.SHTN10.TEL.wLowBat</v>
      </c>
      <c r="B427">
        <v>7998</v>
      </c>
      <c r="C427" t="s">
        <v>6</v>
      </c>
      <c r="D427" s="30">
        <v>1</v>
      </c>
    </row>
    <row r="428" spans="1:4">
      <c r="A428" s="29" t="str">
        <f t="shared" si="41"/>
        <v>ASUES.ES.ZRU10kV.SHTN10.TEL.wLowBat</v>
      </c>
      <c r="B428">
        <v>101</v>
      </c>
      <c r="C428" t="s">
        <v>0</v>
      </c>
      <c r="D428" s="30" t="s">
        <v>1510</v>
      </c>
    </row>
    <row r="429" spans="1:4">
      <c r="A429" s="29" t="str">
        <f t="shared" si="41"/>
        <v>ASUES.ES.ZRU10kV.SHTN10.TEL.wLowBat</v>
      </c>
      <c r="B429">
        <v>3</v>
      </c>
      <c r="C429" t="s">
        <v>1</v>
      </c>
      <c r="D429" s="30">
        <v>192</v>
      </c>
    </row>
    <row r="430" spans="1:4">
      <c r="A430" s="29" t="str">
        <f t="shared" si="41"/>
        <v>ASUES.ES.ZRU10kV.SHTN10.TEL.wLowBat</v>
      </c>
      <c r="B430">
        <v>2</v>
      </c>
      <c r="C430" t="s">
        <v>2</v>
      </c>
      <c r="D430" s="30" t="s">
        <v>175</v>
      </c>
    </row>
    <row r="431" spans="1:4">
      <c r="A431" s="26" t="str">
        <f t="shared" si="41"/>
        <v>ASUES.ES.ZRU10kV.SHTN10.TEL.wLowBat</v>
      </c>
      <c r="B431" s="27">
        <v>1</v>
      </c>
      <c r="C431" s="27" t="s">
        <v>1</v>
      </c>
      <c r="D431" s="28">
        <v>11</v>
      </c>
    </row>
    <row r="432" spans="1:4">
      <c r="A432" s="63" t="str">
        <f t="shared" ref="A432:A441" si="42">$R$2&amp;".wLowU"</f>
        <v>ASUES.ES.ZRU10kV.SHTN10.TEL.wLowU</v>
      </c>
      <c r="B432" s="52">
        <v>11154</v>
      </c>
      <c r="C432" s="52" t="s">
        <v>4</v>
      </c>
      <c r="D432" s="199">
        <f>$Q$6</f>
        <v>8</v>
      </c>
    </row>
    <row r="433" spans="1:4">
      <c r="A433" s="63" t="str">
        <f t="shared" si="42"/>
        <v>ASUES.ES.ZRU10kV.SHTN10.TEL.wLowU</v>
      </c>
      <c r="B433" s="52">
        <v>11152</v>
      </c>
      <c r="C433" s="52" t="s">
        <v>0</v>
      </c>
      <c r="D433" s="65" t="str">
        <f>$R$6</f>
        <v>Предупреждение</v>
      </c>
    </row>
    <row r="434" spans="1:4">
      <c r="A434" s="63" t="str">
        <f t="shared" si="42"/>
        <v>ASUES.ES.ZRU10kV.SHTN10.TEL.wLowU</v>
      </c>
      <c r="B434" s="52">
        <v>11150</v>
      </c>
      <c r="C434" s="52" t="s">
        <v>0</v>
      </c>
      <c r="D434" s="65" t="s">
        <v>1511</v>
      </c>
    </row>
    <row r="435" spans="1:4">
      <c r="A435" s="63" t="str">
        <f t="shared" si="42"/>
        <v>ASUES.ES.ZRU10kV.SHTN10.TEL.wLowU</v>
      </c>
      <c r="B435" s="52">
        <v>11000</v>
      </c>
      <c r="C435" s="52" t="s">
        <v>5</v>
      </c>
      <c r="D435" s="65">
        <v>2147483680</v>
      </c>
    </row>
    <row r="436" spans="1:4">
      <c r="A436" s="29" t="str">
        <f t="shared" si="42"/>
        <v>ASUES.ES.ZRU10kV.SHTN10.TEL.wLowU</v>
      </c>
      <c r="B436">
        <v>7999</v>
      </c>
      <c r="C436" t="s">
        <v>0</v>
      </c>
      <c r="D436" s="30" t="str">
        <f>"#"&amp;$S$2&amp;"#"&amp;$T$2&amp;""&amp;$P$2&amp;".TS209_224_TS217"</f>
        <v>#15#\\SERVER-ASCUER\Relematika.Modbus.OPCDAServerSHTN10.TS209_224_TS217</v>
      </c>
    </row>
    <row r="437" spans="1:4">
      <c r="A437" s="29" t="str">
        <f t="shared" si="42"/>
        <v>ASUES.ES.ZRU10kV.SHTN10.TEL.wLowU</v>
      </c>
      <c r="B437">
        <v>7998</v>
      </c>
      <c r="C437" t="s">
        <v>6</v>
      </c>
      <c r="D437" s="30">
        <v>1</v>
      </c>
    </row>
    <row r="438" spans="1:4">
      <c r="A438" s="29" t="str">
        <f t="shared" si="42"/>
        <v>ASUES.ES.ZRU10kV.SHTN10.TEL.wLowU</v>
      </c>
      <c r="B438">
        <v>101</v>
      </c>
      <c r="C438" t="s">
        <v>0</v>
      </c>
      <c r="D438" s="30" t="s">
        <v>1511</v>
      </c>
    </row>
    <row r="439" spans="1:4">
      <c r="A439" s="29" t="str">
        <f t="shared" si="42"/>
        <v>ASUES.ES.ZRU10kV.SHTN10.TEL.wLowU</v>
      </c>
      <c r="B439">
        <v>3</v>
      </c>
      <c r="C439" t="s">
        <v>1</v>
      </c>
      <c r="D439" s="30">
        <v>192</v>
      </c>
    </row>
    <row r="440" spans="1:4">
      <c r="A440" s="29" t="str">
        <f t="shared" si="42"/>
        <v>ASUES.ES.ZRU10kV.SHTN10.TEL.wLowU</v>
      </c>
      <c r="B440">
        <v>2</v>
      </c>
      <c r="C440" t="s">
        <v>2</v>
      </c>
      <c r="D440" s="30" t="s">
        <v>175</v>
      </c>
    </row>
    <row r="441" spans="1:4">
      <c r="A441" s="26" t="str">
        <f t="shared" si="42"/>
        <v>ASUES.ES.ZRU10kV.SHTN10.TEL.wLowU</v>
      </c>
      <c r="B441" s="27">
        <v>1</v>
      </c>
      <c r="C441" s="27" t="s">
        <v>1</v>
      </c>
      <c r="D441" s="28">
        <v>11</v>
      </c>
    </row>
    <row r="442" spans="1:4">
      <c r="A442" s="63" t="str">
        <f t="shared" ref="A442:A451" si="43">$R$2&amp;".wOscilBlkRec"</f>
        <v>ASUES.ES.ZRU10kV.SHTN10.TEL.wOscilBlkRec</v>
      </c>
      <c r="B442" s="52">
        <v>11154</v>
      </c>
      <c r="C442" s="52" t="s">
        <v>4</v>
      </c>
      <c r="D442" s="199">
        <f>$Q$6</f>
        <v>8</v>
      </c>
    </row>
    <row r="443" spans="1:4">
      <c r="A443" s="63" t="str">
        <f t="shared" si="43"/>
        <v>ASUES.ES.ZRU10kV.SHTN10.TEL.wOscilBlkRec</v>
      </c>
      <c r="B443" s="52">
        <v>11150</v>
      </c>
      <c r="C443" s="52" t="s">
        <v>0</v>
      </c>
      <c r="D443" s="65" t="s">
        <v>1546</v>
      </c>
    </row>
    <row r="444" spans="1:4">
      <c r="A444" s="63" t="str">
        <f t="shared" si="43"/>
        <v>ASUES.ES.ZRU10kV.SHTN10.TEL.wOscilBlkRec</v>
      </c>
      <c r="B444" s="52">
        <v>11152</v>
      </c>
      <c r="C444" s="52" t="s">
        <v>0</v>
      </c>
      <c r="D444" s="65" t="str">
        <f>$R$6</f>
        <v>Предупреждение</v>
      </c>
    </row>
    <row r="445" spans="1:4">
      <c r="A445" s="63" t="str">
        <f t="shared" si="43"/>
        <v>ASUES.ES.ZRU10kV.SHTN10.TEL.wOscilBlkRec</v>
      </c>
      <c r="B445" s="52">
        <v>11000</v>
      </c>
      <c r="C445" s="52" t="s">
        <v>5</v>
      </c>
      <c r="D445" s="65">
        <v>2147483680</v>
      </c>
    </row>
    <row r="446" spans="1:4">
      <c r="A446" s="29" t="str">
        <f t="shared" si="43"/>
        <v>ASUES.ES.ZRU10kV.SHTN10.TEL.wOscilBlkRec</v>
      </c>
      <c r="B446">
        <v>7999</v>
      </c>
      <c r="C446" t="s">
        <v>0</v>
      </c>
      <c r="D446" s="30" t="str">
        <f>"#"&amp;$S$2&amp;"#"&amp;$T$2&amp;""&amp;$P$2&amp;".TS49_64_TS50"</f>
        <v>#15#\\SERVER-ASCUER\Relematika.Modbus.OPCDAServerSHTN10.TS49_64_TS50</v>
      </c>
    </row>
    <row r="447" spans="1:4">
      <c r="A447" s="29" t="str">
        <f t="shared" si="43"/>
        <v>ASUES.ES.ZRU10kV.SHTN10.TEL.wOscilBlkRec</v>
      </c>
      <c r="B447">
        <v>7998</v>
      </c>
      <c r="C447" t="s">
        <v>6</v>
      </c>
      <c r="D447" s="30">
        <v>1</v>
      </c>
    </row>
    <row r="448" spans="1:4">
      <c r="A448" s="29" t="str">
        <f t="shared" si="43"/>
        <v>ASUES.ES.ZRU10kV.SHTN10.TEL.wOscilBlkRec</v>
      </c>
      <c r="B448">
        <v>101</v>
      </c>
      <c r="C448" t="s">
        <v>0</v>
      </c>
      <c r="D448" s="30" t="s">
        <v>1546</v>
      </c>
    </row>
    <row r="449" spans="1:4">
      <c r="A449" s="29" t="str">
        <f t="shared" si="43"/>
        <v>ASUES.ES.ZRU10kV.SHTN10.TEL.wOscilBlkRec</v>
      </c>
      <c r="B449">
        <v>3</v>
      </c>
      <c r="C449" t="s">
        <v>1</v>
      </c>
      <c r="D449" s="30">
        <v>192</v>
      </c>
    </row>
    <row r="450" spans="1:4">
      <c r="A450" s="29" t="str">
        <f t="shared" si="43"/>
        <v>ASUES.ES.ZRU10kV.SHTN10.TEL.wOscilBlkRec</v>
      </c>
      <c r="B450">
        <v>2</v>
      </c>
      <c r="C450" t="s">
        <v>2</v>
      </c>
      <c r="D450" s="30" t="s">
        <v>3</v>
      </c>
    </row>
    <row r="451" spans="1:4">
      <c r="A451" s="26" t="str">
        <f t="shared" si="43"/>
        <v>ASUES.ES.ZRU10kV.SHTN10.TEL.wOscilBlkRec</v>
      </c>
      <c r="B451" s="27">
        <v>1</v>
      </c>
      <c r="C451" s="27" t="s">
        <v>1</v>
      </c>
      <c r="D451" s="28">
        <v>11</v>
      </c>
    </row>
    <row r="452" spans="1:4">
      <c r="A452" s="63" t="str">
        <f t="shared" ref="A452:A461" si="44">$R$2&amp;".wPhaseReverse"</f>
        <v>ASUES.ES.ZRU10kV.SHTN10.TEL.wPhaseReverse</v>
      </c>
      <c r="B452" s="52">
        <v>11154</v>
      </c>
      <c r="C452" s="52" t="s">
        <v>4</v>
      </c>
      <c r="D452" s="199">
        <f>$Q$6</f>
        <v>8</v>
      </c>
    </row>
    <row r="453" spans="1:4">
      <c r="A453" s="63" t="str">
        <f t="shared" si="44"/>
        <v>ASUES.ES.ZRU10kV.SHTN10.TEL.wPhaseReverse</v>
      </c>
      <c r="B453" s="52">
        <v>11152</v>
      </c>
      <c r="C453" s="52" t="s">
        <v>0</v>
      </c>
      <c r="D453" s="65" t="str">
        <f>$R$6</f>
        <v>Предупреждение</v>
      </c>
    </row>
    <row r="454" spans="1:4">
      <c r="A454" s="63" t="str">
        <f t="shared" si="44"/>
        <v>ASUES.ES.ZRU10kV.SHTN10.TEL.wPhaseReverse</v>
      </c>
      <c r="B454" s="52">
        <v>11150</v>
      </c>
      <c r="C454" s="52" t="s">
        <v>0</v>
      </c>
      <c r="D454" s="65" t="s">
        <v>1527</v>
      </c>
    </row>
    <row r="455" spans="1:4">
      <c r="A455" s="63" t="str">
        <f t="shared" si="44"/>
        <v>ASUES.ES.ZRU10kV.SHTN10.TEL.wPhaseReverse</v>
      </c>
      <c r="B455" s="52">
        <v>11000</v>
      </c>
      <c r="C455" s="52" t="s">
        <v>5</v>
      </c>
      <c r="D455" s="65">
        <v>2147483680</v>
      </c>
    </row>
    <row r="456" spans="1:4">
      <c r="A456" s="29" t="str">
        <f t="shared" si="44"/>
        <v>ASUES.ES.ZRU10kV.SHTN10.TEL.wPhaseReverse</v>
      </c>
      <c r="B456">
        <v>7999</v>
      </c>
      <c r="C456" t="s">
        <v>0</v>
      </c>
      <c r="D456" s="30" t="str">
        <f>"#"&amp;$S$2&amp;"#"&amp;$T$2&amp;""&amp;$P$2&amp;".TS193_208_TS196"</f>
        <v>#15#\\SERVER-ASCUER\Relematika.Modbus.OPCDAServerSHTN10.TS193_208_TS196</v>
      </c>
    </row>
    <row r="457" spans="1:4">
      <c r="A457" s="29" t="str">
        <f t="shared" si="44"/>
        <v>ASUES.ES.ZRU10kV.SHTN10.TEL.wPhaseReverse</v>
      </c>
      <c r="B457">
        <v>7998</v>
      </c>
      <c r="C457" t="s">
        <v>6</v>
      </c>
      <c r="D457" s="30">
        <v>1</v>
      </c>
    </row>
    <row r="458" spans="1:4">
      <c r="A458" s="29" t="str">
        <f t="shared" si="44"/>
        <v>ASUES.ES.ZRU10kV.SHTN10.TEL.wPhaseReverse</v>
      </c>
      <c r="B458">
        <v>101</v>
      </c>
      <c r="C458" t="s">
        <v>0</v>
      </c>
      <c r="D458" s="30" t="s">
        <v>1527</v>
      </c>
    </row>
    <row r="459" spans="1:4">
      <c r="A459" s="29" t="str">
        <f t="shared" si="44"/>
        <v>ASUES.ES.ZRU10kV.SHTN10.TEL.wPhaseReverse</v>
      </c>
      <c r="B459">
        <v>3</v>
      </c>
      <c r="C459" t="s">
        <v>1</v>
      </c>
      <c r="D459" s="30">
        <v>192</v>
      </c>
    </row>
    <row r="460" spans="1:4">
      <c r="A460" s="29" t="str">
        <f t="shared" si="44"/>
        <v>ASUES.ES.ZRU10kV.SHTN10.TEL.wPhaseReverse</v>
      </c>
      <c r="B460">
        <v>2</v>
      </c>
      <c r="C460" t="s">
        <v>2</v>
      </c>
      <c r="D460" s="30" t="s">
        <v>175</v>
      </c>
    </row>
    <row r="461" spans="1:4">
      <c r="A461" s="26" t="str">
        <f t="shared" si="44"/>
        <v>ASUES.ES.ZRU10kV.SHTN10.TEL.wPhaseReverse</v>
      </c>
      <c r="B461" s="27">
        <v>1</v>
      </c>
      <c r="C461" s="27" t="s">
        <v>1</v>
      </c>
      <c r="D461" s="28">
        <v>11</v>
      </c>
    </row>
    <row r="462" spans="1:4">
      <c r="A462" s="63" t="str">
        <f t="shared" ref="A462:A471" si="45">$R$2&amp;".wSF6LowPressure"</f>
        <v>ASUES.ES.ZRU10kV.SHTN10.TEL.wSF6LowPressure</v>
      </c>
      <c r="B462" s="52">
        <v>11154</v>
      </c>
      <c r="C462" s="52" t="s">
        <v>4</v>
      </c>
      <c r="D462" s="199">
        <f>$Q$6</f>
        <v>8</v>
      </c>
    </row>
    <row r="463" spans="1:4">
      <c r="A463" s="63" t="str">
        <f t="shared" si="45"/>
        <v>ASUES.ES.ZRU10kV.SHTN10.TEL.wSF6LowPressure</v>
      </c>
      <c r="B463" s="52">
        <v>11152</v>
      </c>
      <c r="C463" s="52" t="s">
        <v>0</v>
      </c>
      <c r="D463" s="65" t="str">
        <f>$R$6</f>
        <v>Предупреждение</v>
      </c>
    </row>
    <row r="464" spans="1:4">
      <c r="A464" s="63" t="str">
        <f t="shared" si="45"/>
        <v>ASUES.ES.ZRU10kV.SHTN10.TEL.wSF6LowPressure</v>
      </c>
      <c r="B464" s="52">
        <v>11150</v>
      </c>
      <c r="C464" s="52" t="s">
        <v>0</v>
      </c>
      <c r="D464" s="65" t="s">
        <v>1528</v>
      </c>
    </row>
    <row r="465" spans="1:4">
      <c r="A465" s="63" t="str">
        <f t="shared" si="45"/>
        <v>ASUES.ES.ZRU10kV.SHTN10.TEL.wSF6LowPressure</v>
      </c>
      <c r="B465" s="52">
        <v>11000</v>
      </c>
      <c r="C465" s="52" t="s">
        <v>5</v>
      </c>
      <c r="D465" s="65">
        <v>2147483680</v>
      </c>
    </row>
    <row r="466" spans="1:4" ht="13.5" customHeight="1">
      <c r="A466" s="29" t="str">
        <f t="shared" si="45"/>
        <v>ASUES.ES.ZRU10kV.SHTN10.TEL.wSF6LowPressure</v>
      </c>
      <c r="B466">
        <v>7999</v>
      </c>
      <c r="C466" t="s">
        <v>0</v>
      </c>
      <c r="D466" s="30" t="str">
        <f>"#"&amp;$S$2&amp;"#"&amp;$T$2&amp;""&amp;$P$2&amp;".TS01_16_TS12"</f>
        <v>#15#\\SERVER-ASCUER\Relematika.Modbus.OPCDAServerSHTN10.TS01_16_TS12</v>
      </c>
    </row>
    <row r="467" spans="1:4">
      <c r="A467" s="29" t="str">
        <f t="shared" si="45"/>
        <v>ASUES.ES.ZRU10kV.SHTN10.TEL.wSF6LowPressure</v>
      </c>
      <c r="B467">
        <v>7998</v>
      </c>
      <c r="C467" t="s">
        <v>6</v>
      </c>
      <c r="D467" s="30">
        <v>1</v>
      </c>
    </row>
    <row r="468" spans="1:4">
      <c r="A468" s="29" t="str">
        <f t="shared" si="45"/>
        <v>ASUES.ES.ZRU10kV.SHTN10.TEL.wSF6LowPressure</v>
      </c>
      <c r="B468">
        <v>101</v>
      </c>
      <c r="C468" t="s">
        <v>0</v>
      </c>
      <c r="D468" s="30" t="s">
        <v>1528</v>
      </c>
    </row>
    <row r="469" spans="1:4">
      <c r="A469" s="29" t="str">
        <f t="shared" si="45"/>
        <v>ASUES.ES.ZRU10kV.SHTN10.TEL.wSF6LowPressure</v>
      </c>
      <c r="B469">
        <v>3</v>
      </c>
      <c r="C469" t="s">
        <v>1</v>
      </c>
      <c r="D469" s="30">
        <v>192</v>
      </c>
    </row>
    <row r="470" spans="1:4">
      <c r="A470" s="29" t="str">
        <f t="shared" si="45"/>
        <v>ASUES.ES.ZRU10kV.SHTN10.TEL.wSF6LowPressure</v>
      </c>
      <c r="B470">
        <v>2</v>
      </c>
      <c r="C470" t="s">
        <v>2</v>
      </c>
      <c r="D470" s="30" t="s">
        <v>175</v>
      </c>
    </row>
    <row r="471" spans="1:4">
      <c r="A471" s="26" t="str">
        <f t="shared" si="45"/>
        <v>ASUES.ES.ZRU10kV.SHTN10.TEL.wSF6LowPressure</v>
      </c>
      <c r="B471" s="27">
        <v>1</v>
      </c>
      <c r="C471" s="27" t="s">
        <v>1</v>
      </c>
      <c r="D471" s="28">
        <v>11</v>
      </c>
    </row>
    <row r="472" spans="1:4">
      <c r="A472" s="63" t="str">
        <f t="shared" ref="A472:A481" si="46">$R$2&amp;".wTN_Flt"</f>
        <v>ASUES.ES.ZRU10kV.SHTN10.TEL.wTN_Flt</v>
      </c>
      <c r="B472" s="52">
        <v>11154</v>
      </c>
      <c r="C472" s="52" t="s">
        <v>4</v>
      </c>
      <c r="D472" s="199">
        <f>$Q$6</f>
        <v>8</v>
      </c>
    </row>
    <row r="473" spans="1:4">
      <c r="A473" s="63" t="str">
        <f t="shared" si="46"/>
        <v>ASUES.ES.ZRU10kV.SHTN10.TEL.wTN_Flt</v>
      </c>
      <c r="B473" s="52">
        <v>11152</v>
      </c>
      <c r="C473" s="52" t="s">
        <v>0</v>
      </c>
      <c r="D473" s="65" t="str">
        <f>$R$6</f>
        <v>Предупреждение</v>
      </c>
    </row>
    <row r="474" spans="1:4">
      <c r="A474" s="63" t="str">
        <f t="shared" si="46"/>
        <v>ASUES.ES.ZRU10kV.SHTN10.TEL.wTN_Flt</v>
      </c>
      <c r="B474" s="52">
        <v>11150</v>
      </c>
      <c r="C474" s="52" t="s">
        <v>0</v>
      </c>
      <c r="D474" s="65" t="s">
        <v>1533</v>
      </c>
    </row>
    <row r="475" spans="1:4">
      <c r="A475" s="63" t="str">
        <f t="shared" si="46"/>
        <v>ASUES.ES.ZRU10kV.SHTN10.TEL.wTN_Flt</v>
      </c>
      <c r="B475" s="52">
        <v>11000</v>
      </c>
      <c r="C475" s="52" t="s">
        <v>5</v>
      </c>
      <c r="D475" s="65">
        <v>2147483680</v>
      </c>
    </row>
    <row r="476" spans="1:4">
      <c r="A476" s="29" t="str">
        <f t="shared" si="46"/>
        <v>ASUES.ES.ZRU10kV.SHTN10.TEL.wTN_Flt</v>
      </c>
      <c r="B476">
        <v>7999</v>
      </c>
      <c r="C476" t="s">
        <v>0</v>
      </c>
      <c r="D476" s="30" t="str">
        <f>"#"&amp;$S$2&amp;"#"&amp;$T$2&amp;""&amp;$P$2&amp;".TS209_224_TS210"</f>
        <v>#15#\\SERVER-ASCUER\Relematika.Modbus.OPCDAServerSHTN10.TS209_224_TS210</v>
      </c>
    </row>
    <row r="477" spans="1:4">
      <c r="A477" s="29" t="str">
        <f t="shared" si="46"/>
        <v>ASUES.ES.ZRU10kV.SHTN10.TEL.wTN_Flt</v>
      </c>
      <c r="B477">
        <v>7998</v>
      </c>
      <c r="C477" t="s">
        <v>6</v>
      </c>
      <c r="D477" s="30">
        <v>1</v>
      </c>
    </row>
    <row r="478" spans="1:4">
      <c r="A478" s="29" t="str">
        <f t="shared" si="46"/>
        <v>ASUES.ES.ZRU10kV.SHTN10.TEL.wTN_Flt</v>
      </c>
      <c r="B478">
        <v>101</v>
      </c>
      <c r="C478" t="s">
        <v>0</v>
      </c>
      <c r="D478" s="30" t="s">
        <v>1533</v>
      </c>
    </row>
    <row r="479" spans="1:4">
      <c r="A479" s="29" t="str">
        <f t="shared" si="46"/>
        <v>ASUES.ES.ZRU10kV.SHTN10.TEL.wTN_Flt</v>
      </c>
      <c r="B479">
        <v>3</v>
      </c>
      <c r="C479" t="s">
        <v>1</v>
      </c>
      <c r="D479" s="30">
        <v>192</v>
      </c>
    </row>
    <row r="480" spans="1:4">
      <c r="A480" s="29" t="str">
        <f t="shared" si="46"/>
        <v>ASUES.ES.ZRU10kV.SHTN10.TEL.wTN_Flt</v>
      </c>
      <c r="B480">
        <v>2</v>
      </c>
      <c r="C480" t="s">
        <v>2</v>
      </c>
      <c r="D480" s="30" t="s">
        <v>175</v>
      </c>
    </row>
    <row r="481" spans="1:4">
      <c r="A481" s="26" t="str">
        <f t="shared" si="46"/>
        <v>ASUES.ES.ZRU10kV.SHTN10.TEL.wTN_Flt</v>
      </c>
      <c r="B481" s="27">
        <v>1</v>
      </c>
      <c r="C481" s="27" t="s">
        <v>1</v>
      </c>
      <c r="D481" s="28">
        <v>11</v>
      </c>
    </row>
    <row r="482" spans="1:4">
      <c r="A482" s="63" t="str">
        <f>$R$2&amp;".wV0"</f>
        <v>ASUES.ES.ZRU10kV.SHTN10.TEL.wV0</v>
      </c>
      <c r="B482" s="52">
        <v>11154</v>
      </c>
      <c r="C482" s="52" t="s">
        <v>4</v>
      </c>
      <c r="D482" s="199">
        <f>$Q$6</f>
        <v>8</v>
      </c>
    </row>
    <row r="483" spans="1:4">
      <c r="A483" s="63" t="str">
        <f t="shared" ref="A483:A491" si="47">$R$2&amp;".wV0"</f>
        <v>ASUES.ES.ZRU10kV.SHTN10.TEL.wV0</v>
      </c>
      <c r="B483" s="52">
        <v>11152</v>
      </c>
      <c r="C483" s="52" t="s">
        <v>0</v>
      </c>
      <c r="D483" s="65" t="str">
        <f>$R$6</f>
        <v>Предупреждение</v>
      </c>
    </row>
    <row r="484" spans="1:4">
      <c r="A484" s="63" t="str">
        <f t="shared" si="47"/>
        <v>ASUES.ES.ZRU10kV.SHTN10.TEL.wV0</v>
      </c>
      <c r="B484" s="52">
        <v>11150</v>
      </c>
      <c r="C484" s="52" t="s">
        <v>0</v>
      </c>
      <c r="D484" s="65" t="s">
        <v>1924</v>
      </c>
    </row>
    <row r="485" spans="1:4">
      <c r="A485" s="63" t="str">
        <f t="shared" si="47"/>
        <v>ASUES.ES.ZRU10kV.SHTN10.TEL.wV0</v>
      </c>
      <c r="B485" s="52">
        <v>11000</v>
      </c>
      <c r="C485" s="52" t="s">
        <v>5</v>
      </c>
      <c r="D485" s="65">
        <v>2147483680</v>
      </c>
    </row>
    <row r="486" spans="1:4">
      <c r="A486" s="29" t="str">
        <f t="shared" si="47"/>
        <v>ASUES.ES.ZRU10kV.SHTN10.TEL.wV0</v>
      </c>
      <c r="B486">
        <v>7999</v>
      </c>
      <c r="C486" t="s">
        <v>0</v>
      </c>
      <c r="D486" s="30" t="str">
        <f>"#"&amp;$S$2&amp;"#"&amp;$T$2&amp;""&amp;$P$2&amp;".TS209_224_TS211"</f>
        <v>#15#\\SERVER-ASCUER\Relematika.Modbus.OPCDAServerSHTN10.TS209_224_TS211</v>
      </c>
    </row>
    <row r="487" spans="1:4">
      <c r="A487" s="29" t="str">
        <f t="shared" si="47"/>
        <v>ASUES.ES.ZRU10kV.SHTN10.TEL.wV0</v>
      </c>
      <c r="B487">
        <v>7998</v>
      </c>
      <c r="C487" t="s">
        <v>6</v>
      </c>
      <c r="D487" s="30">
        <v>1</v>
      </c>
    </row>
    <row r="488" spans="1:4">
      <c r="A488" s="29" t="str">
        <f t="shared" si="47"/>
        <v>ASUES.ES.ZRU10kV.SHTN10.TEL.wV0</v>
      </c>
      <c r="B488">
        <v>101</v>
      </c>
      <c r="C488" t="s">
        <v>0</v>
      </c>
      <c r="D488" s="30" t="s">
        <v>1924</v>
      </c>
    </row>
    <row r="489" spans="1:4">
      <c r="A489" s="29" t="str">
        <f t="shared" si="47"/>
        <v>ASUES.ES.ZRU10kV.SHTN10.TEL.wV0</v>
      </c>
      <c r="B489">
        <v>3</v>
      </c>
      <c r="C489" t="s">
        <v>1</v>
      </c>
      <c r="D489" s="30">
        <v>192</v>
      </c>
    </row>
    <row r="490" spans="1:4">
      <c r="A490" s="29" t="str">
        <f t="shared" si="47"/>
        <v>ASUES.ES.ZRU10kV.SHTN10.TEL.wV0</v>
      </c>
      <c r="B490">
        <v>2</v>
      </c>
      <c r="C490" t="s">
        <v>2</v>
      </c>
      <c r="D490" s="30" t="s">
        <v>175</v>
      </c>
    </row>
    <row r="491" spans="1:4">
      <c r="A491" s="26" t="str">
        <f t="shared" si="47"/>
        <v>ASUES.ES.ZRU10kV.SHTN10.TEL.wV0</v>
      </c>
      <c r="B491" s="27">
        <v>1</v>
      </c>
      <c r="C491" s="27" t="s">
        <v>1</v>
      </c>
      <c r="D491" s="28">
        <v>11</v>
      </c>
    </row>
    <row r="492" spans="1:4">
      <c r="A492" s="63" t="str">
        <f>$R$2&amp;".wTT_add"</f>
        <v>ASUES.ES.ZRU10kV.SHTN10.TEL.wTT_add</v>
      </c>
      <c r="B492" s="52">
        <v>11154</v>
      </c>
      <c r="C492" s="52" t="s">
        <v>4</v>
      </c>
      <c r="D492" s="199">
        <f>$Q$6</f>
        <v>8</v>
      </c>
    </row>
    <row r="493" spans="1:4">
      <c r="A493" s="63" t="str">
        <f t="shared" ref="A493:A501" si="48">$R$2&amp;".wTT_add"</f>
        <v>ASUES.ES.ZRU10kV.SHTN10.TEL.wTT_add</v>
      </c>
      <c r="B493" s="52">
        <v>11152</v>
      </c>
      <c r="C493" s="52" t="s">
        <v>0</v>
      </c>
      <c r="D493" s="65" t="str">
        <f>$R$6</f>
        <v>Предупреждение</v>
      </c>
    </row>
    <row r="494" spans="1:4">
      <c r="A494" s="63" t="str">
        <f t="shared" si="48"/>
        <v>ASUES.ES.ZRU10kV.SHTN10.TEL.wTT_add</v>
      </c>
      <c r="B494" s="52">
        <v>11150</v>
      </c>
      <c r="C494" s="52" t="s">
        <v>0</v>
      </c>
      <c r="D494" s="65" t="s">
        <v>1925</v>
      </c>
    </row>
    <row r="495" spans="1:4">
      <c r="A495" s="63" t="str">
        <f t="shared" si="48"/>
        <v>ASUES.ES.ZRU10kV.SHTN10.TEL.wTT_add</v>
      </c>
      <c r="B495" s="52">
        <v>11000</v>
      </c>
      <c r="C495" s="52" t="s">
        <v>5</v>
      </c>
      <c r="D495" s="65">
        <v>2147483680</v>
      </c>
    </row>
    <row r="496" spans="1:4">
      <c r="A496" s="29" t="str">
        <f t="shared" si="48"/>
        <v>ASUES.ES.ZRU10kV.SHTN10.TEL.wTT_add</v>
      </c>
      <c r="B496">
        <v>7999</v>
      </c>
      <c r="C496" t="s">
        <v>0</v>
      </c>
      <c r="D496" s="30" t="str">
        <f>"#"&amp;$S$2&amp;"#"&amp;$T$2&amp;""&amp;$P$2&amp;".TS209_224_TS212"</f>
        <v>#15#\\SERVER-ASCUER\Relematika.Modbus.OPCDAServerSHTN10.TS209_224_TS212</v>
      </c>
    </row>
    <row r="497" spans="1:4">
      <c r="A497" s="29" t="str">
        <f t="shared" si="48"/>
        <v>ASUES.ES.ZRU10kV.SHTN10.TEL.wTT_add</v>
      </c>
      <c r="B497">
        <v>7998</v>
      </c>
      <c r="C497" t="s">
        <v>6</v>
      </c>
      <c r="D497" s="30">
        <v>1</v>
      </c>
    </row>
    <row r="498" spans="1:4">
      <c r="A498" s="29" t="str">
        <f t="shared" si="48"/>
        <v>ASUES.ES.ZRU10kV.SHTN10.TEL.wTT_add</v>
      </c>
      <c r="B498">
        <v>101</v>
      </c>
      <c r="C498" t="s">
        <v>0</v>
      </c>
      <c r="D498" s="30" t="s">
        <v>1925</v>
      </c>
    </row>
    <row r="499" spans="1:4">
      <c r="A499" s="29" t="str">
        <f t="shared" si="48"/>
        <v>ASUES.ES.ZRU10kV.SHTN10.TEL.wTT_add</v>
      </c>
      <c r="B499">
        <v>3</v>
      </c>
      <c r="C499" t="s">
        <v>1</v>
      </c>
      <c r="D499" s="30">
        <v>192</v>
      </c>
    </row>
    <row r="500" spans="1:4">
      <c r="A500" s="29" t="str">
        <f t="shared" si="48"/>
        <v>ASUES.ES.ZRU10kV.SHTN10.TEL.wTT_add</v>
      </c>
      <c r="B500">
        <v>2</v>
      </c>
      <c r="C500" t="s">
        <v>2</v>
      </c>
      <c r="D500" s="30" t="s">
        <v>175</v>
      </c>
    </row>
    <row r="501" spans="1:4">
      <c r="A501" s="26" t="str">
        <f t="shared" si="48"/>
        <v>ASUES.ES.ZRU10kV.SHTN10.TEL.wTT_add</v>
      </c>
      <c r="B501" s="27">
        <v>1</v>
      </c>
      <c r="C501" s="27" t="s">
        <v>1</v>
      </c>
      <c r="D501" s="28">
        <v>11</v>
      </c>
    </row>
    <row r="502" spans="1:4">
      <c r="A502" s="63" t="str">
        <f t="shared" ref="A502:A511" si="49">$R$2&amp;".wTN_Off"</f>
        <v>ASUES.ES.ZRU10kV.SHTN10.TEL.wTN_Off</v>
      </c>
      <c r="B502" s="52">
        <v>11154</v>
      </c>
      <c r="C502" s="52" t="s">
        <v>4</v>
      </c>
      <c r="D502" s="199">
        <f>$Q$6</f>
        <v>8</v>
      </c>
    </row>
    <row r="503" spans="1:4">
      <c r="A503" s="63" t="str">
        <f t="shared" si="49"/>
        <v>ASUES.ES.ZRU10kV.SHTN10.TEL.wTN_Off</v>
      </c>
      <c r="B503" s="52">
        <v>11152</v>
      </c>
      <c r="C503" s="52" t="s">
        <v>0</v>
      </c>
      <c r="D503" s="65" t="str">
        <f>$R$6</f>
        <v>Предупреждение</v>
      </c>
    </row>
    <row r="504" spans="1:4">
      <c r="A504" s="63" t="str">
        <f t="shared" si="49"/>
        <v>ASUES.ES.ZRU10kV.SHTN10.TEL.wTN_Off</v>
      </c>
      <c r="B504" s="52">
        <v>11150</v>
      </c>
      <c r="C504" s="52" t="s">
        <v>0</v>
      </c>
      <c r="D504" s="65" t="s">
        <v>1534</v>
      </c>
    </row>
    <row r="505" spans="1:4">
      <c r="A505" s="63" t="str">
        <f t="shared" si="49"/>
        <v>ASUES.ES.ZRU10kV.SHTN10.TEL.wTN_Off</v>
      </c>
      <c r="B505" s="52">
        <v>11000</v>
      </c>
      <c r="C505" s="52" t="s">
        <v>5</v>
      </c>
      <c r="D505" s="65">
        <v>2147483680</v>
      </c>
    </row>
    <row r="506" spans="1:4">
      <c r="A506" s="29" t="str">
        <f t="shared" si="49"/>
        <v>ASUES.ES.ZRU10kV.SHTN10.TEL.wTN_Off</v>
      </c>
      <c r="B506">
        <v>7999</v>
      </c>
      <c r="C506" t="s">
        <v>0</v>
      </c>
      <c r="D506" s="30" t="str">
        <f>"#"&amp;$S$2&amp;"#"&amp;$T$2&amp;""&amp;$P$2&amp;".TS209_224_TS220"</f>
        <v>#15#\\SERVER-ASCUER\Relematika.Modbus.OPCDAServerSHTN10.TS209_224_TS220</v>
      </c>
    </row>
    <row r="507" spans="1:4">
      <c r="A507" s="29" t="str">
        <f t="shared" si="49"/>
        <v>ASUES.ES.ZRU10kV.SHTN10.TEL.wTN_Off</v>
      </c>
      <c r="B507">
        <v>7998</v>
      </c>
      <c r="C507" t="s">
        <v>6</v>
      </c>
      <c r="D507" s="30">
        <v>1</v>
      </c>
    </row>
    <row r="508" spans="1:4">
      <c r="A508" s="29" t="str">
        <f t="shared" si="49"/>
        <v>ASUES.ES.ZRU10kV.SHTN10.TEL.wTN_Off</v>
      </c>
      <c r="B508">
        <v>101</v>
      </c>
      <c r="C508" t="s">
        <v>0</v>
      </c>
      <c r="D508" s="30" t="s">
        <v>1534</v>
      </c>
    </row>
    <row r="509" spans="1:4">
      <c r="A509" s="29" t="str">
        <f t="shared" si="49"/>
        <v>ASUES.ES.ZRU10kV.SHTN10.TEL.wTN_Off</v>
      </c>
      <c r="B509">
        <v>3</v>
      </c>
      <c r="C509" t="s">
        <v>1</v>
      </c>
      <c r="D509" s="30">
        <v>192</v>
      </c>
    </row>
    <row r="510" spans="1:4">
      <c r="A510" s="29" t="str">
        <f t="shared" si="49"/>
        <v>ASUES.ES.ZRU10kV.SHTN10.TEL.wTN_Off</v>
      </c>
      <c r="B510">
        <v>2</v>
      </c>
      <c r="C510" t="s">
        <v>2</v>
      </c>
      <c r="D510" s="30" t="s">
        <v>175</v>
      </c>
    </row>
    <row r="511" spans="1:4">
      <c r="A511" s="26" t="str">
        <f t="shared" si="49"/>
        <v>ASUES.ES.ZRU10kV.SHTN10.TEL.wTN_Off</v>
      </c>
      <c r="B511" s="27">
        <v>1</v>
      </c>
      <c r="C511" s="27" t="s">
        <v>1</v>
      </c>
      <c r="D511" s="28">
        <v>11</v>
      </c>
    </row>
    <row r="512" spans="1:4">
      <c r="A512" s="63" t="str">
        <f>$R$2&amp;".wAsym"</f>
        <v>ASUES.ES.ZRU10kV.SHTN10.TEL.wAsym</v>
      </c>
      <c r="B512" s="52">
        <v>11154</v>
      </c>
      <c r="C512" s="52" t="s">
        <v>4</v>
      </c>
      <c r="D512" s="199">
        <f>$Q$6</f>
        <v>8</v>
      </c>
    </row>
    <row r="513" spans="1:4">
      <c r="A513" s="63" t="str">
        <f t="shared" ref="A513:A521" si="50">$R$2&amp;".wAsym"</f>
        <v>ASUES.ES.ZRU10kV.SHTN10.TEL.wAsym</v>
      </c>
      <c r="B513" s="52">
        <v>11152</v>
      </c>
      <c r="C513" s="52" t="s">
        <v>0</v>
      </c>
      <c r="D513" s="65" t="str">
        <f>$R$6</f>
        <v>Предупреждение</v>
      </c>
    </row>
    <row r="514" spans="1:4">
      <c r="A514" s="63" t="str">
        <f t="shared" si="50"/>
        <v>ASUES.ES.ZRU10kV.SHTN10.TEL.wAsym</v>
      </c>
      <c r="B514" s="52">
        <v>11150</v>
      </c>
      <c r="C514" s="52" t="s">
        <v>0</v>
      </c>
      <c r="D514" s="65" t="s">
        <v>1926</v>
      </c>
    </row>
    <row r="515" spans="1:4">
      <c r="A515" s="63" t="str">
        <f t="shared" si="50"/>
        <v>ASUES.ES.ZRU10kV.SHTN10.TEL.wAsym</v>
      </c>
      <c r="B515" s="52">
        <v>11000</v>
      </c>
      <c r="C515" s="52" t="s">
        <v>5</v>
      </c>
      <c r="D515" s="65">
        <v>2147483680</v>
      </c>
    </row>
    <row r="516" spans="1:4">
      <c r="A516" s="29" t="str">
        <f t="shared" si="50"/>
        <v>ASUES.ES.ZRU10kV.SHTN10.TEL.wAsym</v>
      </c>
      <c r="B516">
        <v>7999</v>
      </c>
      <c r="C516" t="s">
        <v>0</v>
      </c>
      <c r="D516" s="30" t="str">
        <f>"#"&amp;$S$2&amp;"#"&amp;$T$2&amp;""&amp;$P$2&amp;".TS97_112_TS101"</f>
        <v>#15#\\SERVER-ASCUER\Relematika.Modbus.OPCDAServerSHTN10.TS97_112_TS101</v>
      </c>
    </row>
    <row r="517" spans="1:4">
      <c r="A517" s="29" t="str">
        <f t="shared" si="50"/>
        <v>ASUES.ES.ZRU10kV.SHTN10.TEL.wAsym</v>
      </c>
      <c r="B517">
        <v>7998</v>
      </c>
      <c r="C517" t="s">
        <v>6</v>
      </c>
      <c r="D517" s="30">
        <v>1</v>
      </c>
    </row>
    <row r="518" spans="1:4">
      <c r="A518" s="29" t="str">
        <f t="shared" si="50"/>
        <v>ASUES.ES.ZRU10kV.SHTN10.TEL.wAsym</v>
      </c>
      <c r="B518">
        <v>101</v>
      </c>
      <c r="C518" t="s">
        <v>0</v>
      </c>
      <c r="D518" s="30" t="s">
        <v>1926</v>
      </c>
    </row>
    <row r="519" spans="1:4">
      <c r="A519" s="29" t="str">
        <f t="shared" si="50"/>
        <v>ASUES.ES.ZRU10kV.SHTN10.TEL.wAsym</v>
      </c>
      <c r="B519">
        <v>3</v>
      </c>
      <c r="C519" t="s">
        <v>1</v>
      </c>
      <c r="D519" s="30">
        <v>192</v>
      </c>
    </row>
    <row r="520" spans="1:4">
      <c r="A520" s="29" t="str">
        <f t="shared" si="50"/>
        <v>ASUES.ES.ZRU10kV.SHTN10.TEL.wAsym</v>
      </c>
      <c r="B520">
        <v>2</v>
      </c>
      <c r="C520" t="s">
        <v>2</v>
      </c>
      <c r="D520" s="30" t="s">
        <v>175</v>
      </c>
    </row>
    <row r="521" spans="1:4">
      <c r="A521" s="26" t="str">
        <f t="shared" si="50"/>
        <v>ASUES.ES.ZRU10kV.SHTN10.TEL.wAsym</v>
      </c>
      <c r="B521" s="27">
        <v>1</v>
      </c>
      <c r="C521" s="27" t="s">
        <v>1</v>
      </c>
      <c r="D521" s="28">
        <v>11</v>
      </c>
    </row>
    <row r="522" spans="1:4">
      <c r="A522" s="63" t="str">
        <f t="shared" ref="A522:A531" si="51">$R$2&amp;".wStOn_block"</f>
        <v>ASUES.ES.ZRU10kV.SHTN10.TEL.wStOn_block</v>
      </c>
      <c r="B522" s="52">
        <v>11154</v>
      </c>
      <c r="C522" s="52" t="s">
        <v>4</v>
      </c>
      <c r="D522" s="199">
        <f>$Q$6</f>
        <v>8</v>
      </c>
    </row>
    <row r="523" spans="1:4">
      <c r="A523" s="63" t="str">
        <f t="shared" si="51"/>
        <v>ASUES.ES.ZRU10kV.SHTN10.TEL.wStOn_block</v>
      </c>
      <c r="B523" s="52">
        <v>11152</v>
      </c>
      <c r="C523" s="52" t="s">
        <v>0</v>
      </c>
      <c r="D523" s="65" t="str">
        <f>$R$6</f>
        <v>Предупреждение</v>
      </c>
    </row>
    <row r="524" spans="1:4">
      <c r="A524" s="63" t="str">
        <f t="shared" si="51"/>
        <v>ASUES.ES.ZRU10kV.SHTN10.TEL.wStOn_block</v>
      </c>
      <c r="B524" s="52">
        <v>11150</v>
      </c>
      <c r="C524" s="52" t="s">
        <v>0</v>
      </c>
      <c r="D524" s="65" t="s">
        <v>1927</v>
      </c>
    </row>
    <row r="525" spans="1:4">
      <c r="A525" s="63" t="str">
        <f t="shared" si="51"/>
        <v>ASUES.ES.ZRU10kV.SHTN10.TEL.wStOn_block</v>
      </c>
      <c r="B525" s="52">
        <v>11000</v>
      </c>
      <c r="C525" s="52" t="s">
        <v>5</v>
      </c>
      <c r="D525" s="65">
        <v>2147483680</v>
      </c>
    </row>
    <row r="526" spans="1:4">
      <c r="A526" s="29" t="str">
        <f t="shared" si="51"/>
        <v>ASUES.ES.ZRU10kV.SHTN10.TEL.wStOn_block</v>
      </c>
      <c r="B526">
        <v>7999</v>
      </c>
      <c r="C526" t="s">
        <v>0</v>
      </c>
      <c r="D526" s="30" t="str">
        <f>"#"&amp;$S$2&amp;"#"&amp;$T$2&amp;""&amp;$P$2&amp;".TS17_32_TS31"</f>
        <v>#15#\\SERVER-ASCUER\Relematika.Modbus.OPCDAServerSHTN10.TS17_32_TS31</v>
      </c>
    </row>
    <row r="527" spans="1:4">
      <c r="A527" s="29" t="str">
        <f t="shared" si="51"/>
        <v>ASUES.ES.ZRU10kV.SHTN10.TEL.wStOn_block</v>
      </c>
      <c r="B527">
        <v>7998</v>
      </c>
      <c r="C527" t="s">
        <v>6</v>
      </c>
      <c r="D527" s="30">
        <v>1</v>
      </c>
    </row>
    <row r="528" spans="1:4">
      <c r="A528" s="29" t="str">
        <f t="shared" si="51"/>
        <v>ASUES.ES.ZRU10kV.SHTN10.TEL.wStOn_block</v>
      </c>
      <c r="B528">
        <v>101</v>
      </c>
      <c r="C528" t="s">
        <v>0</v>
      </c>
      <c r="D528" s="30" t="s">
        <v>1927</v>
      </c>
    </row>
    <row r="529" spans="1:4">
      <c r="A529" s="29" t="str">
        <f t="shared" si="51"/>
        <v>ASUES.ES.ZRU10kV.SHTN10.TEL.wStOn_block</v>
      </c>
      <c r="B529">
        <v>3</v>
      </c>
      <c r="C529" t="s">
        <v>1</v>
      </c>
      <c r="D529" s="30">
        <v>192</v>
      </c>
    </row>
    <row r="530" spans="1:4">
      <c r="A530" s="29" t="str">
        <f t="shared" si="51"/>
        <v>ASUES.ES.ZRU10kV.SHTN10.TEL.wStOn_block</v>
      </c>
      <c r="B530">
        <v>2</v>
      </c>
      <c r="C530" t="s">
        <v>2</v>
      </c>
      <c r="D530" s="30" t="s">
        <v>175</v>
      </c>
    </row>
    <row r="531" spans="1:4">
      <c r="A531" s="26" t="str">
        <f t="shared" si="51"/>
        <v>ASUES.ES.ZRU10kV.SHTN10.TEL.wStOn_block</v>
      </c>
      <c r="B531" s="27">
        <v>1</v>
      </c>
      <c r="C531" s="27" t="s">
        <v>1</v>
      </c>
      <c r="D531" s="28">
        <v>11</v>
      </c>
    </row>
    <row r="532" spans="1:4">
      <c r="A532" s="63" t="str">
        <f>$R$2&amp;".wStOn"</f>
        <v>ASUES.ES.ZRU10kV.SHTN10.TEL.wStOn</v>
      </c>
      <c r="B532" s="52">
        <v>11154</v>
      </c>
      <c r="C532" s="52" t="s">
        <v>4</v>
      </c>
      <c r="D532" s="199">
        <f>$Q$6</f>
        <v>8</v>
      </c>
    </row>
    <row r="533" spans="1:4">
      <c r="A533" s="63" t="str">
        <f t="shared" ref="A533:A541" si="52">$R$2&amp;".wStOn"</f>
        <v>ASUES.ES.ZRU10kV.SHTN10.TEL.wStOn</v>
      </c>
      <c r="B533" s="52">
        <v>11152</v>
      </c>
      <c r="C533" s="52" t="s">
        <v>0</v>
      </c>
      <c r="D533" s="65" t="str">
        <f>$R$6</f>
        <v>Предупреждение</v>
      </c>
    </row>
    <row r="534" spans="1:4">
      <c r="A534" s="63" t="str">
        <f t="shared" si="52"/>
        <v>ASUES.ES.ZRU10kV.SHTN10.TEL.wStOn</v>
      </c>
      <c r="B534" s="52">
        <v>11150</v>
      </c>
      <c r="C534" s="52" t="s">
        <v>0</v>
      </c>
      <c r="D534" s="65" t="s">
        <v>164</v>
      </c>
    </row>
    <row r="535" spans="1:4">
      <c r="A535" s="63" t="str">
        <f t="shared" si="52"/>
        <v>ASUES.ES.ZRU10kV.SHTN10.TEL.wStOn</v>
      </c>
      <c r="B535" s="52">
        <v>11000</v>
      </c>
      <c r="C535" s="52" t="s">
        <v>5</v>
      </c>
      <c r="D535" s="65">
        <v>2147483680</v>
      </c>
    </row>
    <row r="536" spans="1:4">
      <c r="A536" s="29" t="str">
        <f t="shared" si="52"/>
        <v>ASUES.ES.ZRU10kV.SHTN10.TEL.wStOn</v>
      </c>
      <c r="B536">
        <v>7999</v>
      </c>
      <c r="C536" t="s">
        <v>0</v>
      </c>
      <c r="D536" s="30" t="str">
        <f>"#"&amp;$S$2&amp;"#"&amp;$T$2&amp;""&amp;$P$2&amp;".TS113_128_TS128"</f>
        <v>#15#\\SERVER-ASCUER\Relematika.Modbus.OPCDAServerSHTN10.TS113_128_TS128</v>
      </c>
    </row>
    <row r="537" spans="1:4">
      <c r="A537" s="29" t="str">
        <f t="shared" si="52"/>
        <v>ASUES.ES.ZRU10kV.SHTN10.TEL.wStOn</v>
      </c>
      <c r="B537">
        <v>7998</v>
      </c>
      <c r="C537" t="s">
        <v>6</v>
      </c>
      <c r="D537" s="30">
        <v>1</v>
      </c>
    </row>
    <row r="538" spans="1:4">
      <c r="A538" s="29" t="str">
        <f t="shared" si="52"/>
        <v>ASUES.ES.ZRU10kV.SHTN10.TEL.wStOn</v>
      </c>
      <c r="B538">
        <v>101</v>
      </c>
      <c r="C538" t="s">
        <v>0</v>
      </c>
      <c r="D538" s="30" t="s">
        <v>164</v>
      </c>
    </row>
    <row r="539" spans="1:4">
      <c r="A539" s="29" t="str">
        <f t="shared" si="52"/>
        <v>ASUES.ES.ZRU10kV.SHTN10.TEL.wStOn</v>
      </c>
      <c r="B539">
        <v>3</v>
      </c>
      <c r="C539" t="s">
        <v>1</v>
      </c>
      <c r="D539" s="30">
        <v>192</v>
      </c>
    </row>
    <row r="540" spans="1:4">
      <c r="A540" s="29" t="str">
        <f t="shared" si="52"/>
        <v>ASUES.ES.ZRU10kV.SHTN10.TEL.wStOn</v>
      </c>
      <c r="B540">
        <v>2</v>
      </c>
      <c r="C540" t="s">
        <v>2</v>
      </c>
      <c r="D540" s="30" t="s">
        <v>175</v>
      </c>
    </row>
    <row r="541" spans="1:4">
      <c r="A541" s="26" t="str">
        <f t="shared" si="52"/>
        <v>ASUES.ES.ZRU10kV.SHTN10.TEL.wStOn</v>
      </c>
      <c r="B541" s="27">
        <v>1</v>
      </c>
      <c r="C541" s="27" t="s">
        <v>1</v>
      </c>
      <c r="D541" s="28">
        <v>11</v>
      </c>
    </row>
    <row r="542" spans="1:4">
      <c r="A542" s="63" t="str">
        <f>$R$2&amp;".wStimOff"</f>
        <v>ASUES.ES.ZRU10kV.SHTN10.TEL.wStimOff</v>
      </c>
      <c r="B542" s="52">
        <v>11154</v>
      </c>
      <c r="C542" s="52" t="s">
        <v>4</v>
      </c>
      <c r="D542" s="199">
        <f>$Q$6</f>
        <v>8</v>
      </c>
    </row>
    <row r="543" spans="1:4">
      <c r="A543" s="63" t="str">
        <f t="shared" ref="A543:A551" si="53">$R$2&amp;".wStimOff"</f>
        <v>ASUES.ES.ZRU10kV.SHTN10.TEL.wStimOff</v>
      </c>
      <c r="B543" s="52">
        <v>11152</v>
      </c>
      <c r="C543" s="52" t="s">
        <v>0</v>
      </c>
      <c r="D543" s="65" t="str">
        <f>$R$6</f>
        <v>Предупреждение</v>
      </c>
    </row>
    <row r="544" spans="1:4">
      <c r="A544" s="63" t="str">
        <f t="shared" si="53"/>
        <v>ASUES.ES.ZRU10kV.SHTN10.TEL.wStimOff</v>
      </c>
      <c r="B544" s="52">
        <v>11150</v>
      </c>
      <c r="C544" s="52" t="s">
        <v>0</v>
      </c>
      <c r="D544" s="65" t="s">
        <v>1928</v>
      </c>
    </row>
    <row r="545" spans="1:4">
      <c r="A545" s="63" t="str">
        <f t="shared" si="53"/>
        <v>ASUES.ES.ZRU10kV.SHTN10.TEL.wStimOff</v>
      </c>
      <c r="B545" s="52">
        <v>11000</v>
      </c>
      <c r="C545" s="52" t="s">
        <v>5</v>
      </c>
      <c r="D545" s="65">
        <v>2147483680</v>
      </c>
    </row>
    <row r="546" spans="1:4">
      <c r="A546" s="29" t="str">
        <f t="shared" si="53"/>
        <v>ASUES.ES.ZRU10kV.SHTN10.TEL.wStimOff</v>
      </c>
      <c r="B546">
        <v>7999</v>
      </c>
      <c r="C546" t="s">
        <v>0</v>
      </c>
      <c r="D546" s="30" t="str">
        <f>"#"&amp;$S$2&amp;"#"&amp;$T$2&amp;""&amp;$P$2&amp;".TS145_160_TS145"</f>
        <v>#15#\\SERVER-ASCUER\Relematika.Modbus.OPCDAServerSHTN10.TS145_160_TS145</v>
      </c>
    </row>
    <row r="547" spans="1:4">
      <c r="A547" s="29" t="str">
        <f t="shared" si="53"/>
        <v>ASUES.ES.ZRU10kV.SHTN10.TEL.wStimOff</v>
      </c>
      <c r="B547">
        <v>7998</v>
      </c>
      <c r="C547" t="s">
        <v>6</v>
      </c>
      <c r="D547" s="30">
        <v>1</v>
      </c>
    </row>
    <row r="548" spans="1:4">
      <c r="A548" s="29" t="str">
        <f t="shared" si="53"/>
        <v>ASUES.ES.ZRU10kV.SHTN10.TEL.wStimOff</v>
      </c>
      <c r="B548">
        <v>101</v>
      </c>
      <c r="C548" t="s">
        <v>0</v>
      </c>
      <c r="D548" s="30" t="s">
        <v>1928</v>
      </c>
    </row>
    <row r="549" spans="1:4">
      <c r="A549" s="29" t="str">
        <f t="shared" si="53"/>
        <v>ASUES.ES.ZRU10kV.SHTN10.TEL.wStimOff</v>
      </c>
      <c r="B549">
        <v>3</v>
      </c>
      <c r="C549" t="s">
        <v>1</v>
      </c>
      <c r="D549" s="30">
        <v>192</v>
      </c>
    </row>
    <row r="550" spans="1:4">
      <c r="A550" s="29" t="str">
        <f t="shared" si="53"/>
        <v>ASUES.ES.ZRU10kV.SHTN10.TEL.wStimOff</v>
      </c>
      <c r="B550">
        <v>2</v>
      </c>
      <c r="C550" t="s">
        <v>2</v>
      </c>
      <c r="D550" s="30" t="s">
        <v>175</v>
      </c>
    </row>
    <row r="551" spans="1:4">
      <c r="A551" s="26" t="str">
        <f t="shared" si="53"/>
        <v>ASUES.ES.ZRU10kV.SHTN10.TEL.wStimOff</v>
      </c>
      <c r="B551" s="27">
        <v>1</v>
      </c>
      <c r="C551" s="27" t="s">
        <v>1</v>
      </c>
      <c r="D551" s="28">
        <v>11</v>
      </c>
    </row>
    <row r="552" spans="1:4">
      <c r="A552" s="211" t="str">
        <f>$R$2&amp;".NotConnected"</f>
        <v>ASUES.ES.ZRU10kV.SHTN10.TEL.NotConnected</v>
      </c>
      <c r="B552" s="677">
        <v>11154</v>
      </c>
      <c r="C552" s="677" t="s">
        <v>4</v>
      </c>
      <c r="D552" s="213">
        <f>$Q$7</f>
        <v>12</v>
      </c>
    </row>
    <row r="553" spans="1:4">
      <c r="A553" s="211" t="str">
        <f t="shared" ref="A553:A561" si="54">$R$2&amp;".NotConnected"</f>
        <v>ASUES.ES.ZRU10kV.SHTN10.TEL.NotConnected</v>
      </c>
      <c r="B553" s="677">
        <v>11152</v>
      </c>
      <c r="C553" s="677" t="s">
        <v>0</v>
      </c>
      <c r="D553" s="213" t="str">
        <f>$R$7</f>
        <v>Неисправность</v>
      </c>
    </row>
    <row r="554" spans="1:4">
      <c r="A554" s="211" t="str">
        <f t="shared" si="54"/>
        <v>ASUES.ES.ZRU10kV.SHTN10.TEL.NotConnected</v>
      </c>
      <c r="B554" s="677">
        <v>11150</v>
      </c>
      <c r="C554" s="677" t="s">
        <v>0</v>
      </c>
      <c r="D554" s="213" t="s">
        <v>448</v>
      </c>
    </row>
    <row r="555" spans="1:4">
      <c r="A555" s="211" t="str">
        <f t="shared" si="54"/>
        <v>ASUES.ES.ZRU10kV.SHTN10.TEL.NotConnected</v>
      </c>
      <c r="B555" s="677">
        <v>11000</v>
      </c>
      <c r="C555" s="677" t="s">
        <v>5</v>
      </c>
      <c r="D555" s="213">
        <v>2147483680</v>
      </c>
    </row>
    <row r="556" spans="1:4">
      <c r="A556" s="29" t="str">
        <f t="shared" si="54"/>
        <v>ASUES.ES.ZRU10kV.SHTN10.TEL.NotConnected</v>
      </c>
      <c r="B556">
        <v>7999</v>
      </c>
      <c r="C556" t="s">
        <v>0</v>
      </c>
      <c r="D556" s="30" t="str">
        <f>"#"&amp;$S$2&amp;"#"&amp;$T$2&amp;""&amp;$P$2&amp;".NotConnected"</f>
        <v>#15#\\SERVER-ASCUER\Relematika.Modbus.OPCDAServerSHTN10.NotConnected</v>
      </c>
    </row>
    <row r="557" spans="1:4">
      <c r="A557" s="29" t="str">
        <f t="shared" si="54"/>
        <v>ASUES.ES.ZRU10kV.SHTN10.TEL.NotConnected</v>
      </c>
      <c r="B557">
        <v>7998</v>
      </c>
      <c r="C557" t="s">
        <v>6</v>
      </c>
      <c r="D557" s="30">
        <v>1</v>
      </c>
    </row>
    <row r="558" spans="1:4">
      <c r="A558" s="29" t="str">
        <f t="shared" si="54"/>
        <v>ASUES.ES.ZRU10kV.SHTN10.TEL.NotConnected</v>
      </c>
      <c r="B558">
        <v>101</v>
      </c>
      <c r="C558" t="s">
        <v>0</v>
      </c>
      <c r="D558" s="30" t="s">
        <v>448</v>
      </c>
    </row>
    <row r="559" spans="1:4">
      <c r="A559" s="29" t="str">
        <f t="shared" si="54"/>
        <v>ASUES.ES.ZRU10kV.SHTN10.TEL.NotConnected</v>
      </c>
      <c r="B559">
        <v>3</v>
      </c>
      <c r="C559" t="s">
        <v>1</v>
      </c>
      <c r="D559" s="30">
        <v>192</v>
      </c>
    </row>
    <row r="560" spans="1:4">
      <c r="A560" s="29" t="str">
        <f t="shared" si="54"/>
        <v>ASUES.ES.ZRU10kV.SHTN10.TEL.NotConnected</v>
      </c>
      <c r="B560">
        <v>2</v>
      </c>
      <c r="C560" t="s">
        <v>2</v>
      </c>
      <c r="D560" s="30" t="s">
        <v>175</v>
      </c>
    </row>
    <row r="561" spans="1:4">
      <c r="A561" s="26" t="str">
        <f t="shared" si="54"/>
        <v>ASUES.ES.ZRU10kV.SHTN10.TEL.NotConnected</v>
      </c>
      <c r="B561" s="27">
        <v>1</v>
      </c>
      <c r="C561" s="27" t="s">
        <v>1</v>
      </c>
      <c r="D561" s="28">
        <v>11</v>
      </c>
    </row>
    <row r="562" spans="1:4">
      <c r="A562" s="211" t="str">
        <f t="shared" ref="A562:A568" si="55">$R$2&amp;".wDbl"</f>
        <v>ASUES.ES.ZRU10kV.SHTN10.TEL.wDbl</v>
      </c>
      <c r="B562" s="677">
        <v>11154</v>
      </c>
      <c r="C562" s="677" t="s">
        <v>4</v>
      </c>
      <c r="D562" s="213">
        <f>$Q$7</f>
        <v>12</v>
      </c>
    </row>
    <row r="563" spans="1:4">
      <c r="A563" s="211" t="str">
        <f t="shared" si="55"/>
        <v>ASUES.ES.ZRU10kV.SHTN10.TEL.wDbl</v>
      </c>
      <c r="B563" s="677">
        <v>11152</v>
      </c>
      <c r="C563" s="677" t="s">
        <v>0</v>
      </c>
      <c r="D563" s="213" t="str">
        <f>$R$7</f>
        <v>Неисправность</v>
      </c>
    </row>
    <row r="564" spans="1:4">
      <c r="A564" s="211" t="str">
        <f t="shared" si="55"/>
        <v>ASUES.ES.ZRU10kV.SHTN10.TEL.wDbl</v>
      </c>
      <c r="B564" s="677">
        <v>11150</v>
      </c>
      <c r="C564" s="677" t="s">
        <v>0</v>
      </c>
      <c r="D564" s="213" t="s">
        <v>341</v>
      </c>
    </row>
    <row r="565" spans="1:4">
      <c r="A565" s="211" t="str">
        <f t="shared" si="55"/>
        <v>ASUES.ES.ZRU10kV.SHTN10.TEL.wDbl</v>
      </c>
      <c r="B565" s="677">
        <v>11000</v>
      </c>
      <c r="C565" s="677" t="s">
        <v>5</v>
      </c>
      <c r="D565" s="213">
        <v>2147483680</v>
      </c>
    </row>
    <row r="566" spans="1:4">
      <c r="A566" s="29" t="str">
        <f t="shared" si="55"/>
        <v>ASUES.ES.ZRU10kV.SHTN10.TEL.wDbl</v>
      </c>
      <c r="B566">
        <v>3</v>
      </c>
      <c r="C566" t="s">
        <v>1</v>
      </c>
      <c r="D566" s="30">
        <v>192</v>
      </c>
    </row>
    <row r="567" spans="1:4">
      <c r="A567" s="29" t="str">
        <f t="shared" si="55"/>
        <v>ASUES.ES.ZRU10kV.SHTN10.TEL.wDbl</v>
      </c>
      <c r="B567">
        <v>2</v>
      </c>
      <c r="C567" t="s">
        <v>2</v>
      </c>
      <c r="D567" s="30" t="s">
        <v>175</v>
      </c>
    </row>
    <row r="568" spans="1:4">
      <c r="A568" s="26" t="str">
        <f t="shared" si="55"/>
        <v>ASUES.ES.ZRU10kV.SHTN10.TEL.wDbl</v>
      </c>
      <c r="B568" s="27">
        <v>1</v>
      </c>
      <c r="C568" s="27" t="s">
        <v>1</v>
      </c>
      <c r="D568" s="28">
        <v>11</v>
      </c>
    </row>
    <row r="569" spans="1:4">
      <c r="A569" s="211" t="str">
        <f t="shared" ref="A569:A575" si="56">$R$2&amp;".wUnkw"</f>
        <v>ASUES.ES.ZRU10kV.SHTN10.TEL.wUnkw</v>
      </c>
      <c r="B569" s="677">
        <v>11154</v>
      </c>
      <c r="C569" s="677" t="s">
        <v>4</v>
      </c>
      <c r="D569" s="213">
        <f>$Q$7</f>
        <v>12</v>
      </c>
    </row>
    <row r="570" spans="1:4">
      <c r="A570" s="211" t="str">
        <f t="shared" si="56"/>
        <v>ASUES.ES.ZRU10kV.SHTN10.TEL.wUnkw</v>
      </c>
      <c r="B570" s="677">
        <v>11152</v>
      </c>
      <c r="C570" s="677" t="s">
        <v>0</v>
      </c>
      <c r="D570" s="213" t="str">
        <f>$R$7</f>
        <v>Неисправность</v>
      </c>
    </row>
    <row r="571" spans="1:4">
      <c r="A571" s="211" t="str">
        <f t="shared" si="56"/>
        <v>ASUES.ES.ZRU10kV.SHTN10.TEL.wUnkw</v>
      </c>
      <c r="B571" s="677">
        <v>11150</v>
      </c>
      <c r="C571" s="677" t="s">
        <v>0</v>
      </c>
      <c r="D571" s="213" t="s">
        <v>342</v>
      </c>
    </row>
    <row r="572" spans="1:4">
      <c r="A572" s="211" t="str">
        <f t="shared" si="56"/>
        <v>ASUES.ES.ZRU10kV.SHTN10.TEL.wUnkw</v>
      </c>
      <c r="B572" s="677">
        <v>11000</v>
      </c>
      <c r="C572" s="677" t="s">
        <v>5</v>
      </c>
      <c r="D572" s="213">
        <v>2147483680</v>
      </c>
    </row>
    <row r="573" spans="1:4">
      <c r="A573" s="29" t="str">
        <f t="shared" si="56"/>
        <v>ASUES.ES.ZRU10kV.SHTN10.TEL.wUnkw</v>
      </c>
      <c r="B573">
        <v>3</v>
      </c>
      <c r="C573" t="s">
        <v>1</v>
      </c>
      <c r="D573" s="30">
        <v>192</v>
      </c>
    </row>
    <row r="574" spans="1:4">
      <c r="A574" s="29" t="str">
        <f t="shared" si="56"/>
        <v>ASUES.ES.ZRU10kV.SHTN10.TEL.wUnkw</v>
      </c>
      <c r="B574">
        <v>2</v>
      </c>
      <c r="C574" t="s">
        <v>2</v>
      </c>
      <c r="D574" s="30" t="s">
        <v>175</v>
      </c>
    </row>
    <row r="575" spans="1:4">
      <c r="A575" s="26" t="str">
        <f t="shared" si="56"/>
        <v>ASUES.ES.ZRU10kV.SHTN10.TEL.wUnkw</v>
      </c>
      <c r="B575" s="27">
        <v>1</v>
      </c>
      <c r="C575" s="27" t="s">
        <v>1</v>
      </c>
      <c r="D575" s="28">
        <v>11</v>
      </c>
    </row>
    <row r="576" spans="1:4">
      <c r="A576" s="217" t="str">
        <f t="shared" ref="A576:A585" si="57">$R$2&amp;".wCmdCircuitFlt"</f>
        <v>ASUES.ES.ZRU10kV.SHTN10.TEL.wCmdCircuitFlt</v>
      </c>
      <c r="B576" s="218">
        <v>11154</v>
      </c>
      <c r="C576" s="218" t="s">
        <v>4</v>
      </c>
      <c r="D576" s="231">
        <f>$Q$7</f>
        <v>12</v>
      </c>
    </row>
    <row r="577" spans="1:4">
      <c r="A577" s="211" t="str">
        <f t="shared" si="57"/>
        <v>ASUES.ES.ZRU10kV.SHTN10.TEL.wCmdCircuitFlt</v>
      </c>
      <c r="B577" s="677">
        <v>11152</v>
      </c>
      <c r="C577" s="677" t="s">
        <v>0</v>
      </c>
      <c r="D577" s="213" t="str">
        <f>$R$7</f>
        <v>Неисправность</v>
      </c>
    </row>
    <row r="578" spans="1:4">
      <c r="A578" s="211" t="str">
        <f t="shared" si="57"/>
        <v>ASUES.ES.ZRU10kV.SHTN10.TEL.wCmdCircuitFlt</v>
      </c>
      <c r="B578" s="677">
        <v>11150</v>
      </c>
      <c r="C578" s="677" t="s">
        <v>0</v>
      </c>
      <c r="D578" s="213" t="s">
        <v>387</v>
      </c>
    </row>
    <row r="579" spans="1:4">
      <c r="A579" s="211" t="str">
        <f t="shared" si="57"/>
        <v>ASUES.ES.ZRU10kV.SHTN10.TEL.wCmdCircuitFlt</v>
      </c>
      <c r="B579" s="677">
        <v>11000</v>
      </c>
      <c r="C579" s="677" t="s">
        <v>5</v>
      </c>
      <c r="D579" s="213">
        <v>2147483680</v>
      </c>
    </row>
    <row r="580" spans="1:4">
      <c r="A580" s="29" t="str">
        <f t="shared" si="57"/>
        <v>ASUES.ES.ZRU10kV.SHTN10.TEL.wCmdCircuitFlt</v>
      </c>
      <c r="B580">
        <v>7999</v>
      </c>
      <c r="C580" t="s">
        <v>0</v>
      </c>
      <c r="D580" s="30" t="str">
        <f>"#"&amp;$S$2&amp;"#"&amp;$T$2&amp;""&amp;$P$2&amp;".TS01_16_TS1"</f>
        <v>#15#\\SERVER-ASCUER\Relematika.Modbus.OPCDAServerSHTN10.TS01_16_TS1</v>
      </c>
    </row>
    <row r="581" spans="1:4">
      <c r="A581" s="29" t="str">
        <f t="shared" si="57"/>
        <v>ASUES.ES.ZRU10kV.SHTN10.TEL.wCmdCircuitFlt</v>
      </c>
      <c r="B581">
        <v>7998</v>
      </c>
      <c r="C581" t="s">
        <v>6</v>
      </c>
      <c r="D581" s="30">
        <v>1</v>
      </c>
    </row>
    <row r="582" spans="1:4">
      <c r="A582" s="29" t="str">
        <f t="shared" si="57"/>
        <v>ASUES.ES.ZRU10kV.SHTN10.TEL.wCmdCircuitFlt</v>
      </c>
      <c r="B582">
        <v>101</v>
      </c>
      <c r="C582" t="s">
        <v>0</v>
      </c>
      <c r="D582" s="30" t="s">
        <v>387</v>
      </c>
    </row>
    <row r="583" spans="1:4">
      <c r="A583" s="29" t="str">
        <f t="shared" si="57"/>
        <v>ASUES.ES.ZRU10kV.SHTN10.TEL.wCmdCircuitFlt</v>
      </c>
      <c r="B583">
        <v>3</v>
      </c>
      <c r="C583" t="s">
        <v>1</v>
      </c>
      <c r="D583" s="30">
        <v>192</v>
      </c>
    </row>
    <row r="584" spans="1:4">
      <c r="A584" s="29" t="str">
        <f t="shared" si="57"/>
        <v>ASUES.ES.ZRU10kV.SHTN10.TEL.wCmdCircuitFlt</v>
      </c>
      <c r="B584">
        <v>2</v>
      </c>
      <c r="C584" t="s">
        <v>2</v>
      </c>
      <c r="D584" s="30" t="s">
        <v>175</v>
      </c>
    </row>
    <row r="585" spans="1:4">
      <c r="A585" s="26" t="str">
        <f t="shared" si="57"/>
        <v>ASUES.ES.ZRU10kV.SHTN10.TEL.wCmdCircuitFlt</v>
      </c>
      <c r="B585" s="27">
        <v>1</v>
      </c>
      <c r="C585" s="27" t="s">
        <v>1</v>
      </c>
      <c r="D585" s="28">
        <v>11</v>
      </c>
    </row>
    <row r="586" spans="1:4">
      <c r="A586" s="217" t="str">
        <f>$R$2&amp;".wCmdFlt"</f>
        <v>ASUES.ES.ZRU10kV.SHTN10.TEL.wCmdFlt</v>
      </c>
      <c r="B586" s="218">
        <v>11154</v>
      </c>
      <c r="C586" s="218" t="s">
        <v>4</v>
      </c>
      <c r="D586" s="231">
        <f>$Q$7</f>
        <v>12</v>
      </c>
    </row>
    <row r="587" spans="1:4">
      <c r="A587" s="211" t="str">
        <f t="shared" ref="A587:A595" si="58">$R$2&amp;".wCmdFlt"</f>
        <v>ASUES.ES.ZRU10kV.SHTN10.TEL.wCmdFlt</v>
      </c>
      <c r="B587" s="677">
        <v>11152</v>
      </c>
      <c r="C587" s="677" t="s">
        <v>0</v>
      </c>
      <c r="D587" s="213" t="str">
        <f>$R$7</f>
        <v>Неисправность</v>
      </c>
    </row>
    <row r="588" spans="1:4">
      <c r="A588" s="211" t="str">
        <f t="shared" si="58"/>
        <v>ASUES.ES.ZRU10kV.SHTN10.TEL.wCmdFlt</v>
      </c>
      <c r="B588" s="677">
        <v>11150</v>
      </c>
      <c r="C588" s="677" t="s">
        <v>0</v>
      </c>
      <c r="D588" s="213" t="s">
        <v>1547</v>
      </c>
    </row>
    <row r="589" spans="1:4">
      <c r="A589" s="211" t="str">
        <f t="shared" si="58"/>
        <v>ASUES.ES.ZRU10kV.SHTN10.TEL.wCmdFlt</v>
      </c>
      <c r="B589" s="677">
        <v>11000</v>
      </c>
      <c r="C589" s="677" t="s">
        <v>5</v>
      </c>
      <c r="D589" s="213">
        <v>2147483680</v>
      </c>
    </row>
    <row r="590" spans="1:4">
      <c r="A590" s="29" t="str">
        <f t="shared" si="58"/>
        <v>ASUES.ES.ZRU10kV.SHTN10.TEL.wCmdFlt</v>
      </c>
      <c r="B590">
        <v>7999</v>
      </c>
      <c r="C590" t="s">
        <v>0</v>
      </c>
      <c r="D590" s="30" t="str">
        <f>"#"&amp;$S$2&amp;"#"&amp;$T$2&amp;""&amp;$P$2&amp;".TS01_16_TS2"</f>
        <v>#15#\\SERVER-ASCUER\Relematika.Modbus.OPCDAServerSHTN10.TS01_16_TS2</v>
      </c>
    </row>
    <row r="591" spans="1:4">
      <c r="A591" s="29" t="str">
        <f t="shared" si="58"/>
        <v>ASUES.ES.ZRU10kV.SHTN10.TEL.wCmdFlt</v>
      </c>
      <c r="B591">
        <v>7998</v>
      </c>
      <c r="C591" t="s">
        <v>6</v>
      </c>
      <c r="D591" s="30">
        <v>1</v>
      </c>
    </row>
    <row r="592" spans="1:4">
      <c r="A592" s="29" t="str">
        <f t="shared" si="58"/>
        <v>ASUES.ES.ZRU10kV.SHTN10.TEL.wCmdFlt</v>
      </c>
      <c r="B592">
        <v>101</v>
      </c>
      <c r="C592" t="s">
        <v>0</v>
      </c>
      <c r="D592" s="30" t="s">
        <v>1547</v>
      </c>
    </row>
    <row r="593" spans="1:4">
      <c r="A593" s="29" t="str">
        <f t="shared" si="58"/>
        <v>ASUES.ES.ZRU10kV.SHTN10.TEL.wCmdFlt</v>
      </c>
      <c r="B593">
        <v>3</v>
      </c>
      <c r="C593" t="s">
        <v>1</v>
      </c>
      <c r="D593" s="30">
        <v>192</v>
      </c>
    </row>
    <row r="594" spans="1:4">
      <c r="A594" s="29" t="str">
        <f t="shared" si="58"/>
        <v>ASUES.ES.ZRU10kV.SHTN10.TEL.wCmdFlt</v>
      </c>
      <c r="B594">
        <v>2</v>
      </c>
      <c r="C594" t="s">
        <v>2</v>
      </c>
      <c r="D594" s="30" t="s">
        <v>175</v>
      </c>
    </row>
    <row r="595" spans="1:4">
      <c r="A595" s="26" t="str">
        <f t="shared" si="58"/>
        <v>ASUES.ES.ZRU10kV.SHTN10.TEL.wCmdFlt</v>
      </c>
      <c r="B595" s="27">
        <v>1</v>
      </c>
      <c r="C595" s="27" t="s">
        <v>1</v>
      </c>
      <c r="D595" s="28">
        <v>11</v>
      </c>
    </row>
    <row r="596" spans="1:4">
      <c r="A596" s="217" t="str">
        <f>$R$2&amp;".wGenFlt"</f>
        <v>ASUES.ES.ZRU10kV.SHTN10.TEL.wGenFlt</v>
      </c>
      <c r="B596" s="218">
        <v>11154</v>
      </c>
      <c r="C596" s="218" t="s">
        <v>4</v>
      </c>
      <c r="D596" s="231">
        <f>$Q$7</f>
        <v>12</v>
      </c>
    </row>
    <row r="597" spans="1:4">
      <c r="A597" s="211" t="str">
        <f t="shared" ref="A597:A605" si="59">$R$2&amp;".wGenFlt"</f>
        <v>ASUES.ES.ZRU10kV.SHTN10.TEL.wGenFlt</v>
      </c>
      <c r="B597" s="677">
        <v>11152</v>
      </c>
      <c r="C597" s="677" t="s">
        <v>0</v>
      </c>
      <c r="D597" s="213" t="str">
        <f>$R$7</f>
        <v>Неисправность</v>
      </c>
    </row>
    <row r="598" spans="1:4">
      <c r="A598" s="211" t="str">
        <f t="shared" si="59"/>
        <v>ASUES.ES.ZRU10kV.SHTN10.TEL.wGenFlt</v>
      </c>
      <c r="B598" s="677">
        <v>11150</v>
      </c>
      <c r="C598" s="677" t="s">
        <v>0</v>
      </c>
      <c r="D598" s="213" t="s">
        <v>139</v>
      </c>
    </row>
    <row r="599" spans="1:4">
      <c r="A599" s="211" t="str">
        <f t="shared" si="59"/>
        <v>ASUES.ES.ZRU10kV.SHTN10.TEL.wGenFlt</v>
      </c>
      <c r="B599" s="677">
        <v>11000</v>
      </c>
      <c r="C599" s="677" t="s">
        <v>5</v>
      </c>
      <c r="D599" s="213">
        <v>2147483680</v>
      </c>
    </row>
    <row r="600" spans="1:4">
      <c r="A600" s="29" t="str">
        <f t="shared" si="59"/>
        <v>ASUES.ES.ZRU10kV.SHTN10.TEL.wGenFlt</v>
      </c>
      <c r="B600">
        <v>7999</v>
      </c>
      <c r="C600" t="s">
        <v>0</v>
      </c>
      <c r="D600" s="30" t="str">
        <f>"#"&amp;$S$2&amp;"#"&amp;$T$2&amp;""&amp;$P$2&amp;".TS49_64_TS52"</f>
        <v>#15#\\SERVER-ASCUER\Relematika.Modbus.OPCDAServerSHTN10.TS49_64_TS52</v>
      </c>
    </row>
    <row r="601" spans="1:4">
      <c r="A601" s="29" t="str">
        <f t="shared" si="59"/>
        <v>ASUES.ES.ZRU10kV.SHTN10.TEL.wGenFlt</v>
      </c>
      <c r="B601">
        <v>7998</v>
      </c>
      <c r="C601" t="s">
        <v>6</v>
      </c>
      <c r="D601" s="30">
        <v>1</v>
      </c>
    </row>
    <row r="602" spans="1:4">
      <c r="A602" s="29" t="str">
        <f t="shared" si="59"/>
        <v>ASUES.ES.ZRU10kV.SHTN10.TEL.wGenFlt</v>
      </c>
      <c r="B602">
        <v>101</v>
      </c>
      <c r="C602" t="s">
        <v>0</v>
      </c>
      <c r="D602" s="30" t="s">
        <v>139</v>
      </c>
    </row>
    <row r="603" spans="1:4">
      <c r="A603" s="29" t="str">
        <f t="shared" si="59"/>
        <v>ASUES.ES.ZRU10kV.SHTN10.TEL.wGenFlt</v>
      </c>
      <c r="B603">
        <v>3</v>
      </c>
      <c r="C603" t="s">
        <v>1</v>
      </c>
      <c r="D603" s="30">
        <v>192</v>
      </c>
    </row>
    <row r="604" spans="1:4">
      <c r="A604" s="29" t="str">
        <f t="shared" si="59"/>
        <v>ASUES.ES.ZRU10kV.SHTN10.TEL.wGenFlt</v>
      </c>
      <c r="B604">
        <v>2</v>
      </c>
      <c r="C604" t="s">
        <v>2</v>
      </c>
      <c r="D604" s="30" t="s">
        <v>175</v>
      </c>
    </row>
    <row r="605" spans="1:4">
      <c r="A605" s="26" t="str">
        <f t="shared" si="59"/>
        <v>ASUES.ES.ZRU10kV.SHTN10.TEL.wGenFlt</v>
      </c>
      <c r="B605" s="27">
        <v>1</v>
      </c>
      <c r="C605" s="27" t="s">
        <v>1</v>
      </c>
      <c r="D605" s="28">
        <v>11</v>
      </c>
    </row>
    <row r="606" spans="1:4">
      <c r="A606" s="217" t="str">
        <f>$R$2&amp;".wMotorSpringFlt"</f>
        <v>ASUES.ES.ZRU10kV.SHTN10.TEL.wMotorSpringFlt</v>
      </c>
      <c r="B606" s="218">
        <v>11154</v>
      </c>
      <c r="C606" s="218" t="s">
        <v>4</v>
      </c>
      <c r="D606" s="231">
        <f>$Q$7</f>
        <v>12</v>
      </c>
    </row>
    <row r="607" spans="1:4">
      <c r="A607" s="211" t="str">
        <f t="shared" ref="A607:A615" si="60">$R$2&amp;".wMotorSpringFlt"</f>
        <v>ASUES.ES.ZRU10kV.SHTN10.TEL.wMotorSpringFlt</v>
      </c>
      <c r="B607" s="677">
        <v>11152</v>
      </c>
      <c r="C607" s="677" t="s">
        <v>0</v>
      </c>
      <c r="D607" s="213" t="str">
        <f>$R$7</f>
        <v>Неисправность</v>
      </c>
    </row>
    <row r="608" spans="1:4">
      <c r="A608" s="211" t="str">
        <f t="shared" si="60"/>
        <v>ASUES.ES.ZRU10kV.SHTN10.TEL.wMotorSpringFlt</v>
      </c>
      <c r="B608" s="677">
        <v>11150</v>
      </c>
      <c r="C608" s="677" t="s">
        <v>0</v>
      </c>
      <c r="D608" s="213" t="s">
        <v>1548</v>
      </c>
    </row>
    <row r="609" spans="1:4">
      <c r="A609" s="211" t="str">
        <f t="shared" si="60"/>
        <v>ASUES.ES.ZRU10kV.SHTN10.TEL.wMotorSpringFlt</v>
      </c>
      <c r="B609" s="677">
        <v>11000</v>
      </c>
      <c r="C609" s="677" t="s">
        <v>5</v>
      </c>
      <c r="D609" s="213">
        <v>2147483680</v>
      </c>
    </row>
    <row r="610" spans="1:4">
      <c r="A610" s="29" t="str">
        <f t="shared" si="60"/>
        <v>ASUES.ES.ZRU10kV.SHTN10.TEL.wMotorSpringFlt</v>
      </c>
      <c r="B610">
        <v>7999</v>
      </c>
      <c r="C610" t="s">
        <v>0</v>
      </c>
      <c r="D610" s="30" t="str">
        <f>"#"&amp;$S$2&amp;"#"&amp;$T$2&amp;""&amp;$P$2&amp;".TS177_192_TS180"</f>
        <v>#15#\\SERVER-ASCUER\Relematika.Modbus.OPCDAServerSHTN10.TS177_192_TS180</v>
      </c>
    </row>
    <row r="611" spans="1:4">
      <c r="A611" s="29" t="str">
        <f t="shared" si="60"/>
        <v>ASUES.ES.ZRU10kV.SHTN10.TEL.wMotorSpringFlt</v>
      </c>
      <c r="B611">
        <v>7998</v>
      </c>
      <c r="C611" t="s">
        <v>6</v>
      </c>
      <c r="D611" s="30">
        <v>1</v>
      </c>
    </row>
    <row r="612" spans="1:4">
      <c r="A612" s="29" t="str">
        <f t="shared" si="60"/>
        <v>ASUES.ES.ZRU10kV.SHTN10.TEL.wMotorSpringFlt</v>
      </c>
      <c r="B612">
        <v>101</v>
      </c>
      <c r="C612" t="s">
        <v>0</v>
      </c>
      <c r="D612" s="30" t="s">
        <v>1548</v>
      </c>
    </row>
    <row r="613" spans="1:4">
      <c r="A613" s="29" t="str">
        <f t="shared" si="60"/>
        <v>ASUES.ES.ZRU10kV.SHTN10.TEL.wMotorSpringFlt</v>
      </c>
      <c r="B613">
        <v>3</v>
      </c>
      <c r="C613" t="s">
        <v>1</v>
      </c>
      <c r="D613" s="30">
        <v>192</v>
      </c>
    </row>
    <row r="614" spans="1:4">
      <c r="A614" s="29" t="str">
        <f t="shared" si="60"/>
        <v>ASUES.ES.ZRU10kV.SHTN10.TEL.wMotorSpringFlt</v>
      </c>
      <c r="B614">
        <v>2</v>
      </c>
      <c r="C614" t="s">
        <v>2</v>
      </c>
      <c r="D614" s="30" t="s">
        <v>175</v>
      </c>
    </row>
    <row r="615" spans="1:4">
      <c r="A615" s="26" t="str">
        <f t="shared" si="60"/>
        <v>ASUES.ES.ZRU10kV.SHTN10.TEL.wMotorSpringFlt</v>
      </c>
      <c r="B615" s="27">
        <v>1</v>
      </c>
      <c r="C615" s="27" t="s">
        <v>1</v>
      </c>
      <c r="D615" s="28">
        <v>11</v>
      </c>
    </row>
    <row r="616" spans="1:4">
      <c r="A616" s="217" t="str">
        <f t="shared" ref="A616:A625" si="61">$R$2&amp;".wCircuitOnFlt"</f>
        <v>ASUES.ES.ZRU10kV.SHTN10.TEL.wCircuitOnFlt</v>
      </c>
      <c r="B616" s="218">
        <v>11154</v>
      </c>
      <c r="C616" s="218" t="s">
        <v>4</v>
      </c>
      <c r="D616" s="231">
        <f>$Q$7</f>
        <v>12</v>
      </c>
    </row>
    <row r="617" spans="1:4">
      <c r="A617" s="211" t="str">
        <f t="shared" si="61"/>
        <v>ASUES.ES.ZRU10kV.SHTN10.TEL.wCircuitOnFlt</v>
      </c>
      <c r="B617" s="677">
        <v>11152</v>
      </c>
      <c r="C617" s="677" t="s">
        <v>0</v>
      </c>
      <c r="D617" s="213" t="str">
        <f>$R$7</f>
        <v>Неисправность</v>
      </c>
    </row>
    <row r="618" spans="1:4">
      <c r="A618" s="211" t="str">
        <f t="shared" si="61"/>
        <v>ASUES.ES.ZRU10kV.SHTN10.TEL.wCircuitOnFlt</v>
      </c>
      <c r="B618" s="677">
        <v>11150</v>
      </c>
      <c r="C618" s="677" t="s">
        <v>0</v>
      </c>
      <c r="D618" s="213" t="s">
        <v>1515</v>
      </c>
    </row>
    <row r="619" spans="1:4">
      <c r="A619" s="211" t="str">
        <f t="shared" si="61"/>
        <v>ASUES.ES.ZRU10kV.SHTN10.TEL.wCircuitOnFlt</v>
      </c>
      <c r="B619" s="677">
        <v>11000</v>
      </c>
      <c r="C619" s="677" t="s">
        <v>5</v>
      </c>
      <c r="D619" s="213">
        <v>2147483680</v>
      </c>
    </row>
    <row r="620" spans="1:4">
      <c r="A620" s="29" t="str">
        <f t="shared" si="61"/>
        <v>ASUES.ES.ZRU10kV.SHTN10.TEL.wCircuitOnFlt</v>
      </c>
      <c r="B620">
        <v>7999</v>
      </c>
      <c r="C620" t="s">
        <v>0</v>
      </c>
      <c r="D620" s="30" t="str">
        <f>"#"&amp;$S$2&amp;"#"&amp;$T$2&amp;""&amp;$P$2&amp;".TS193_208_TS208"</f>
        <v>#15#\\SERVER-ASCUER\Relematika.Modbus.OPCDAServerSHTN10.TS193_208_TS208</v>
      </c>
    </row>
    <row r="621" spans="1:4">
      <c r="A621" s="29" t="str">
        <f t="shared" si="61"/>
        <v>ASUES.ES.ZRU10kV.SHTN10.TEL.wCircuitOnFlt</v>
      </c>
      <c r="B621">
        <v>7998</v>
      </c>
      <c r="C621" t="s">
        <v>6</v>
      </c>
      <c r="D621" s="30">
        <v>1</v>
      </c>
    </row>
    <row r="622" spans="1:4">
      <c r="A622" s="29" t="str">
        <f t="shared" si="61"/>
        <v>ASUES.ES.ZRU10kV.SHTN10.TEL.wCircuitOnFlt</v>
      </c>
      <c r="B622">
        <v>101</v>
      </c>
      <c r="C622" t="s">
        <v>0</v>
      </c>
      <c r="D622" s="30" t="s">
        <v>1515</v>
      </c>
    </row>
    <row r="623" spans="1:4">
      <c r="A623" s="29" t="str">
        <f t="shared" si="61"/>
        <v>ASUES.ES.ZRU10kV.SHTN10.TEL.wCircuitOnFlt</v>
      </c>
      <c r="B623">
        <v>3</v>
      </c>
      <c r="C623" t="s">
        <v>1</v>
      </c>
      <c r="D623" s="30">
        <v>192</v>
      </c>
    </row>
    <row r="624" spans="1:4">
      <c r="A624" s="29" t="str">
        <f t="shared" si="61"/>
        <v>ASUES.ES.ZRU10kV.SHTN10.TEL.wCircuitOnFlt</v>
      </c>
      <c r="B624">
        <v>2</v>
      </c>
      <c r="C624" t="s">
        <v>2</v>
      </c>
      <c r="D624" s="30" t="s">
        <v>175</v>
      </c>
    </row>
    <row r="625" spans="1:4">
      <c r="A625" s="26" t="str">
        <f t="shared" si="61"/>
        <v>ASUES.ES.ZRU10kV.SHTN10.TEL.wCircuitOnFlt</v>
      </c>
      <c r="B625" s="27">
        <v>1</v>
      </c>
      <c r="C625" s="27" t="s">
        <v>1</v>
      </c>
      <c r="D625" s="28">
        <v>11</v>
      </c>
    </row>
    <row r="626" spans="1:4">
      <c r="A626" s="217" t="str">
        <f>$R$2&amp;".wOverload"</f>
        <v>ASUES.ES.ZRU10kV.SHTN10.TEL.wOverload</v>
      </c>
      <c r="B626" s="218">
        <v>11154</v>
      </c>
      <c r="C626" s="218" t="s">
        <v>4</v>
      </c>
      <c r="D626" s="231">
        <f>$Q$7</f>
        <v>12</v>
      </c>
    </row>
    <row r="627" spans="1:4">
      <c r="A627" s="211" t="str">
        <f t="shared" ref="A627:A635" si="62">$R$2&amp;".wOverload"</f>
        <v>ASUES.ES.ZRU10kV.SHTN10.TEL.wOverload</v>
      </c>
      <c r="B627" s="677">
        <v>11152</v>
      </c>
      <c r="C627" s="677" t="s">
        <v>0</v>
      </c>
      <c r="D627" s="213" t="str">
        <f>$R$7</f>
        <v>Неисправность</v>
      </c>
    </row>
    <row r="628" spans="1:4">
      <c r="A628" s="211" t="str">
        <f t="shared" si="62"/>
        <v>ASUES.ES.ZRU10kV.SHTN10.TEL.wOverload</v>
      </c>
      <c r="B628" s="677">
        <v>11150</v>
      </c>
      <c r="C628" s="677" t="s">
        <v>0</v>
      </c>
      <c r="D628" s="213" t="s">
        <v>509</v>
      </c>
    </row>
    <row r="629" spans="1:4">
      <c r="A629" s="211" t="str">
        <f t="shared" si="62"/>
        <v>ASUES.ES.ZRU10kV.SHTN10.TEL.wOverload</v>
      </c>
      <c r="B629" s="677">
        <v>11000</v>
      </c>
      <c r="C629" s="677" t="s">
        <v>5</v>
      </c>
      <c r="D629" s="213">
        <v>2147483680</v>
      </c>
    </row>
    <row r="630" spans="1:4">
      <c r="A630" s="29" t="str">
        <f t="shared" si="62"/>
        <v>ASUES.ES.ZRU10kV.SHTN10.TEL.wOverload</v>
      </c>
      <c r="B630">
        <v>7999</v>
      </c>
      <c r="C630" t="s">
        <v>0</v>
      </c>
      <c r="D630" s="30" t="str">
        <f>"#"&amp;$S$2&amp;"#"&amp;$T$2&amp;""&amp;$P$2&amp;".TS65_80_TS69"</f>
        <v>#15#\\SERVER-ASCUER\Relematika.Modbus.OPCDAServerSHTN10.TS65_80_TS69</v>
      </c>
    </row>
    <row r="631" spans="1:4">
      <c r="A631" s="29" t="str">
        <f t="shared" si="62"/>
        <v>ASUES.ES.ZRU10kV.SHTN10.TEL.wOverload</v>
      </c>
      <c r="B631">
        <v>7998</v>
      </c>
      <c r="C631" t="s">
        <v>6</v>
      </c>
      <c r="D631" s="30">
        <v>1</v>
      </c>
    </row>
    <row r="632" spans="1:4">
      <c r="A632" s="29" t="str">
        <f t="shared" si="62"/>
        <v>ASUES.ES.ZRU10kV.SHTN10.TEL.wOverload</v>
      </c>
      <c r="B632">
        <v>101</v>
      </c>
      <c r="C632" t="s">
        <v>0</v>
      </c>
      <c r="D632" s="30" t="s">
        <v>509</v>
      </c>
    </row>
    <row r="633" spans="1:4">
      <c r="A633" s="29" t="str">
        <f t="shared" si="62"/>
        <v>ASUES.ES.ZRU10kV.SHTN10.TEL.wOverload</v>
      </c>
      <c r="B633">
        <v>3</v>
      </c>
      <c r="C633" t="s">
        <v>1</v>
      </c>
      <c r="D633" s="30">
        <v>192</v>
      </c>
    </row>
    <row r="634" spans="1:4">
      <c r="A634" s="29" t="str">
        <f t="shared" si="62"/>
        <v>ASUES.ES.ZRU10kV.SHTN10.TEL.wOverload</v>
      </c>
      <c r="B634">
        <v>2</v>
      </c>
      <c r="C634" t="s">
        <v>2</v>
      </c>
      <c r="D634" s="30" t="s">
        <v>175</v>
      </c>
    </row>
    <row r="635" spans="1:4">
      <c r="A635" s="26" t="str">
        <f t="shared" si="62"/>
        <v>ASUES.ES.ZRU10kV.SHTN10.TEL.wOverload</v>
      </c>
      <c r="B635" s="27">
        <v>1</v>
      </c>
      <c r="C635" s="27" t="s">
        <v>1</v>
      </c>
      <c r="D635" s="28">
        <v>11</v>
      </c>
    </row>
    <row r="636" spans="1:4">
      <c r="A636" s="217" t="str">
        <f>$R$2&amp;".wStateMismatch"</f>
        <v>ASUES.ES.ZRU10kV.SHTN10.TEL.wStateMismatch</v>
      </c>
      <c r="B636" s="218">
        <v>11154</v>
      </c>
      <c r="C636" s="218" t="s">
        <v>4</v>
      </c>
      <c r="D636" s="231">
        <f>$Q$7</f>
        <v>12</v>
      </c>
    </row>
    <row r="637" spans="1:4">
      <c r="A637" s="211" t="str">
        <f t="shared" ref="A637:A645" si="63">$R$2&amp;".wStateMismatch"</f>
        <v>ASUES.ES.ZRU10kV.SHTN10.TEL.wStateMismatch</v>
      </c>
      <c r="B637" s="677">
        <v>11152</v>
      </c>
      <c r="C637" s="677" t="s">
        <v>0</v>
      </c>
      <c r="D637" s="213" t="str">
        <f>$R$7</f>
        <v>Неисправность</v>
      </c>
    </row>
    <row r="638" spans="1:4">
      <c r="A638" s="211" t="str">
        <f t="shared" si="63"/>
        <v>ASUES.ES.ZRU10kV.SHTN10.TEL.wStateMismatch</v>
      </c>
      <c r="B638" s="677">
        <v>11150</v>
      </c>
      <c r="C638" s="677" t="s">
        <v>0</v>
      </c>
      <c r="D638" s="213" t="s">
        <v>1516</v>
      </c>
    </row>
    <row r="639" spans="1:4">
      <c r="A639" s="211" t="str">
        <f t="shared" si="63"/>
        <v>ASUES.ES.ZRU10kV.SHTN10.TEL.wStateMismatch</v>
      </c>
      <c r="B639" s="677">
        <v>11000</v>
      </c>
      <c r="C639" s="677" t="s">
        <v>5</v>
      </c>
      <c r="D639" s="213">
        <v>2147483680</v>
      </c>
    </row>
    <row r="640" spans="1:4">
      <c r="A640" s="29" t="str">
        <f t="shared" si="63"/>
        <v>ASUES.ES.ZRU10kV.SHTN10.TEL.wStateMismatch</v>
      </c>
      <c r="B640">
        <v>7999</v>
      </c>
      <c r="C640" t="s">
        <v>0</v>
      </c>
      <c r="D640" s="30" t="str">
        <f>"#"&amp;$S$2&amp;"#"&amp;$T$2&amp;""&amp;$P$2&amp;".TS01_16_TS3"</f>
        <v>#15#\\SERVER-ASCUER\Relematika.Modbus.OPCDAServerSHTN10.TS01_16_TS3</v>
      </c>
    </row>
    <row r="641" spans="1:4">
      <c r="A641" s="29" t="str">
        <f t="shared" si="63"/>
        <v>ASUES.ES.ZRU10kV.SHTN10.TEL.wStateMismatch</v>
      </c>
      <c r="B641">
        <v>7998</v>
      </c>
      <c r="C641" t="s">
        <v>6</v>
      </c>
      <c r="D641" s="30">
        <v>1</v>
      </c>
    </row>
    <row r="642" spans="1:4">
      <c r="A642" s="29" t="str">
        <f t="shared" si="63"/>
        <v>ASUES.ES.ZRU10kV.SHTN10.TEL.wStateMismatch</v>
      </c>
      <c r="B642">
        <v>101</v>
      </c>
      <c r="C642" t="s">
        <v>0</v>
      </c>
      <c r="D642" s="30" t="s">
        <v>1516</v>
      </c>
    </row>
    <row r="643" spans="1:4">
      <c r="A643" s="29" t="str">
        <f t="shared" si="63"/>
        <v>ASUES.ES.ZRU10kV.SHTN10.TEL.wStateMismatch</v>
      </c>
      <c r="B643">
        <v>3</v>
      </c>
      <c r="C643" t="s">
        <v>1</v>
      </c>
      <c r="D643" s="30">
        <v>192</v>
      </c>
    </row>
    <row r="644" spans="1:4">
      <c r="A644" s="29" t="str">
        <f t="shared" si="63"/>
        <v>ASUES.ES.ZRU10kV.SHTN10.TEL.wStateMismatch</v>
      </c>
      <c r="B644">
        <v>2</v>
      </c>
      <c r="C644" t="s">
        <v>2</v>
      </c>
      <c r="D644" s="30" t="s">
        <v>175</v>
      </c>
    </row>
    <row r="645" spans="1:4">
      <c r="A645" s="29" t="str">
        <f t="shared" si="63"/>
        <v>ASUES.ES.ZRU10kV.SHTN10.TEL.wStateMismatch</v>
      </c>
      <c r="B645" s="27">
        <v>1</v>
      </c>
      <c r="C645" s="27" t="s">
        <v>1</v>
      </c>
      <c r="D645" s="28">
        <v>11</v>
      </c>
    </row>
    <row r="646" spans="1:4">
      <c r="A646" s="217" t="str">
        <f>$R$2&amp;".wTT_Flt"</f>
        <v>ASUES.ES.ZRU10kV.SHTN10.TEL.wTT_Flt</v>
      </c>
      <c r="B646" s="218">
        <v>11154</v>
      </c>
      <c r="C646" s="218" t="s">
        <v>4</v>
      </c>
      <c r="D646" s="231">
        <f>$Q$7</f>
        <v>12</v>
      </c>
    </row>
    <row r="647" spans="1:4">
      <c r="A647" s="211" t="str">
        <f t="shared" ref="A647:A655" si="64">$R$2&amp;".wTT_Flt"</f>
        <v>ASUES.ES.ZRU10kV.SHTN10.TEL.wTT_Flt</v>
      </c>
      <c r="B647" s="677">
        <v>11152</v>
      </c>
      <c r="C647" s="677" t="s">
        <v>0</v>
      </c>
      <c r="D647" s="213" t="str">
        <f>$R$7</f>
        <v>Неисправность</v>
      </c>
    </row>
    <row r="648" spans="1:4">
      <c r="A648" s="211" t="str">
        <f t="shared" si="64"/>
        <v>ASUES.ES.ZRU10kV.SHTN10.TEL.wTT_Flt</v>
      </c>
      <c r="B648" s="677">
        <v>11150</v>
      </c>
      <c r="C648" s="677" t="s">
        <v>0</v>
      </c>
      <c r="D648" s="213" t="s">
        <v>1929</v>
      </c>
    </row>
    <row r="649" spans="1:4">
      <c r="A649" s="211" t="str">
        <f t="shared" si="64"/>
        <v>ASUES.ES.ZRU10kV.SHTN10.TEL.wTT_Flt</v>
      </c>
      <c r="B649" s="677">
        <v>11000</v>
      </c>
      <c r="C649" s="677" t="s">
        <v>5</v>
      </c>
      <c r="D649" s="213">
        <v>2147483680</v>
      </c>
    </row>
    <row r="650" spans="1:4">
      <c r="A650" s="29" t="str">
        <f t="shared" si="64"/>
        <v>ASUES.ES.ZRU10kV.SHTN10.TEL.wTT_Flt</v>
      </c>
      <c r="B650">
        <v>7999</v>
      </c>
      <c r="C650" t="s">
        <v>0</v>
      </c>
      <c r="D650" s="30" t="str">
        <f>"#"&amp;$S$2&amp;"#"&amp;$T$2&amp;""&amp;$P$2&amp;".TS209_224_TS209"</f>
        <v>#15#\\SERVER-ASCUER\Relematika.Modbus.OPCDAServerSHTN10.TS209_224_TS209</v>
      </c>
    </row>
    <row r="651" spans="1:4">
      <c r="A651" s="29" t="str">
        <f t="shared" si="64"/>
        <v>ASUES.ES.ZRU10kV.SHTN10.TEL.wTT_Flt</v>
      </c>
      <c r="B651">
        <v>7998</v>
      </c>
      <c r="C651" t="s">
        <v>6</v>
      </c>
      <c r="D651" s="30">
        <v>1</v>
      </c>
    </row>
    <row r="652" spans="1:4">
      <c r="A652" s="29" t="str">
        <f t="shared" si="64"/>
        <v>ASUES.ES.ZRU10kV.SHTN10.TEL.wTT_Flt</v>
      </c>
      <c r="B652">
        <v>101</v>
      </c>
      <c r="C652" t="s">
        <v>0</v>
      </c>
      <c r="D652" s="30" t="s">
        <v>1929</v>
      </c>
    </row>
    <row r="653" spans="1:4">
      <c r="A653" s="29" t="str">
        <f t="shared" si="64"/>
        <v>ASUES.ES.ZRU10kV.SHTN10.TEL.wTT_Flt</v>
      </c>
      <c r="B653">
        <v>3</v>
      </c>
      <c r="C653" t="s">
        <v>1</v>
      </c>
      <c r="D653" s="30">
        <v>192</v>
      </c>
    </row>
    <row r="654" spans="1:4">
      <c r="A654" s="29" t="str">
        <f t="shared" si="64"/>
        <v>ASUES.ES.ZRU10kV.SHTN10.TEL.wTT_Flt</v>
      </c>
      <c r="B654">
        <v>2</v>
      </c>
      <c r="C654" t="s">
        <v>2</v>
      </c>
      <c r="D654" s="30" t="s">
        <v>175</v>
      </c>
    </row>
    <row r="655" spans="1:4">
      <c r="A655" s="26" t="str">
        <f t="shared" si="64"/>
        <v>ASUES.ES.ZRU10kV.SHTN10.TEL.wTT_Flt</v>
      </c>
      <c r="B655" s="27">
        <v>1</v>
      </c>
      <c r="C655" s="27" t="s">
        <v>1</v>
      </c>
      <c r="D655" s="28">
        <v>11</v>
      </c>
    </row>
    <row r="656" spans="1:4">
      <c r="A656" s="29" t="str">
        <f t="shared" ref="A656:A667" si="65">$R$2&amp;".stOff"</f>
        <v>ASUES.ES.ZRU10kV.SHTN10.TEL.stOff</v>
      </c>
      <c r="B656">
        <v>7000000</v>
      </c>
      <c r="C656" t="s">
        <v>6</v>
      </c>
      <c r="D656" s="30">
        <v>1</v>
      </c>
    </row>
    <row r="657" spans="1:4" ht="28.8">
      <c r="A657" s="29" t="str">
        <f t="shared" si="65"/>
        <v>ASUES.ES.ZRU10kV.SHTN10.TEL.stOff</v>
      </c>
      <c r="B657">
        <v>4000000</v>
      </c>
      <c r="C657" t="s">
        <v>0</v>
      </c>
      <c r="D657" s="685" t="s">
        <v>396</v>
      </c>
    </row>
    <row r="658" spans="1:4">
      <c r="A658" s="100" t="str">
        <f t="shared" si="65"/>
        <v>ASUES.ES.ZRU10kV.SHTN10.TEL.stOff</v>
      </c>
      <c r="B658" s="679">
        <v>11154</v>
      </c>
      <c r="C658" s="679" t="s">
        <v>4</v>
      </c>
      <c r="D658" s="536">
        <f>$Q$8</f>
        <v>18</v>
      </c>
    </row>
    <row r="659" spans="1:4">
      <c r="A659" s="100" t="str">
        <f t="shared" si="65"/>
        <v>ASUES.ES.ZRU10kV.SHTN10.TEL.stOff</v>
      </c>
      <c r="B659" s="679">
        <v>11150</v>
      </c>
      <c r="C659" s="679" t="s">
        <v>0</v>
      </c>
      <c r="D659" s="103" t="s">
        <v>336</v>
      </c>
    </row>
    <row r="660" spans="1:4">
      <c r="A660" s="100" t="str">
        <f t="shared" si="65"/>
        <v>ASUES.ES.ZRU10kV.SHTN10.TEL.stOff</v>
      </c>
      <c r="B660" s="679">
        <v>11152</v>
      </c>
      <c r="C660" s="679" t="s">
        <v>0</v>
      </c>
      <c r="D660" s="103" t="str">
        <f>$R$8</f>
        <v>Телесигнализация</v>
      </c>
    </row>
    <row r="661" spans="1:4">
      <c r="A661" s="100" t="str">
        <f t="shared" si="65"/>
        <v>ASUES.ES.ZRU10kV.SHTN10.TEL.stOff</v>
      </c>
      <c r="B661" s="679">
        <v>11000</v>
      </c>
      <c r="C661" s="679" t="s">
        <v>5</v>
      </c>
      <c r="D661" s="103">
        <v>2147483680</v>
      </c>
    </row>
    <row r="662" spans="1:4">
      <c r="A662" s="29" t="str">
        <f t="shared" si="65"/>
        <v>ASUES.ES.ZRU10kV.SHTN10.TEL.stOff</v>
      </c>
      <c r="B662">
        <v>7999</v>
      </c>
      <c r="C662" t="s">
        <v>0</v>
      </c>
      <c r="D662" s="30" t="str">
        <f>"#"&amp;$S$2&amp;"#"&amp;$T$2&amp;""&amp;$P$2&amp;".TS17_32_TS17"</f>
        <v>#15#\\SERVER-ASCUER\Relematika.Modbus.OPCDAServerSHTN10.TS17_32_TS17</v>
      </c>
    </row>
    <row r="663" spans="1:4">
      <c r="A663" s="29" t="str">
        <f t="shared" si="65"/>
        <v>ASUES.ES.ZRU10kV.SHTN10.TEL.stOff</v>
      </c>
      <c r="B663">
        <v>7998</v>
      </c>
      <c r="C663" t="s">
        <v>6</v>
      </c>
      <c r="D663" s="30">
        <v>1</v>
      </c>
    </row>
    <row r="664" spans="1:4">
      <c r="A664" s="29" t="str">
        <f t="shared" si="65"/>
        <v>ASUES.ES.ZRU10kV.SHTN10.TEL.stOff</v>
      </c>
      <c r="B664">
        <v>101</v>
      </c>
      <c r="C664" t="s">
        <v>0</v>
      </c>
      <c r="D664" s="30" t="s">
        <v>336</v>
      </c>
    </row>
    <row r="665" spans="1:4">
      <c r="A665" s="29" t="str">
        <f t="shared" si="65"/>
        <v>ASUES.ES.ZRU10kV.SHTN10.TEL.stOff</v>
      </c>
      <c r="B665">
        <v>3</v>
      </c>
      <c r="C665" t="s">
        <v>1</v>
      </c>
      <c r="D665" s="30">
        <v>192</v>
      </c>
    </row>
    <row r="666" spans="1:4">
      <c r="A666" s="29" t="str">
        <f t="shared" si="65"/>
        <v>ASUES.ES.ZRU10kV.SHTN10.TEL.stOff</v>
      </c>
      <c r="B666">
        <v>2</v>
      </c>
      <c r="C666" t="s">
        <v>2</v>
      </c>
      <c r="D666" s="30" t="s">
        <v>175</v>
      </c>
    </row>
    <row r="667" spans="1:4">
      <c r="A667" s="26" t="str">
        <f t="shared" si="65"/>
        <v>ASUES.ES.ZRU10kV.SHTN10.TEL.stOff</v>
      </c>
      <c r="B667" s="27">
        <v>1</v>
      </c>
      <c r="C667" s="27" t="s">
        <v>1</v>
      </c>
      <c r="D667" s="28">
        <v>11</v>
      </c>
    </row>
    <row r="668" spans="1:4">
      <c r="A668" s="29" t="str">
        <f t="shared" ref="A668:A679" si="66">$R$2&amp;".stOn"</f>
        <v>ASUES.ES.ZRU10kV.SHTN10.TEL.stOn</v>
      </c>
      <c r="B668">
        <v>7000000</v>
      </c>
      <c r="C668" t="s">
        <v>6</v>
      </c>
      <c r="D668" s="30">
        <v>1</v>
      </c>
    </row>
    <row r="669" spans="1:4" ht="28.8">
      <c r="A669" s="29" t="str">
        <f t="shared" si="66"/>
        <v>ASUES.ES.ZRU10kV.SHTN10.TEL.stOn</v>
      </c>
      <c r="B669">
        <v>4000000</v>
      </c>
      <c r="C669" t="s">
        <v>0</v>
      </c>
      <c r="D669" s="685" t="s">
        <v>396</v>
      </c>
    </row>
    <row r="670" spans="1:4">
      <c r="A670" s="100" t="str">
        <f t="shared" si="66"/>
        <v>ASUES.ES.ZRU10kV.SHTN10.TEL.stOn</v>
      </c>
      <c r="B670" s="679">
        <v>11154</v>
      </c>
      <c r="C670" s="679" t="s">
        <v>4</v>
      </c>
      <c r="D670" s="536">
        <f>$Q$8</f>
        <v>18</v>
      </c>
    </row>
    <row r="671" spans="1:4">
      <c r="A671" s="100" t="str">
        <f t="shared" si="66"/>
        <v>ASUES.ES.ZRU10kV.SHTN10.TEL.stOn</v>
      </c>
      <c r="B671" s="679">
        <v>11150</v>
      </c>
      <c r="C671" s="679" t="s">
        <v>0</v>
      </c>
      <c r="D671" s="103" t="s">
        <v>337</v>
      </c>
    </row>
    <row r="672" spans="1:4">
      <c r="A672" s="100" t="str">
        <f t="shared" si="66"/>
        <v>ASUES.ES.ZRU10kV.SHTN10.TEL.stOn</v>
      </c>
      <c r="B672" s="679">
        <v>11152</v>
      </c>
      <c r="C672" s="679" t="s">
        <v>0</v>
      </c>
      <c r="D672" s="103" t="str">
        <f>$R$8</f>
        <v>Телесигнализация</v>
      </c>
    </row>
    <row r="673" spans="1:4">
      <c r="A673" s="100" t="str">
        <f t="shared" si="66"/>
        <v>ASUES.ES.ZRU10kV.SHTN10.TEL.stOn</v>
      </c>
      <c r="B673" s="679">
        <v>11000</v>
      </c>
      <c r="C673" s="679" t="s">
        <v>5</v>
      </c>
      <c r="D673" s="103">
        <v>2147483680</v>
      </c>
    </row>
    <row r="674" spans="1:4">
      <c r="A674" s="29" t="str">
        <f t="shared" si="66"/>
        <v>ASUES.ES.ZRU10kV.SHTN10.TEL.stOn</v>
      </c>
      <c r="B674">
        <v>7999</v>
      </c>
      <c r="C674" t="s">
        <v>0</v>
      </c>
      <c r="D674" s="30" t="str">
        <f>"#"&amp;$S$2&amp;"#"&amp;$T$2&amp;""&amp;$P$2&amp;".TS01_16_TS10"</f>
        <v>#15#\\SERVER-ASCUER\Relematika.Modbus.OPCDAServerSHTN10.TS01_16_TS10</v>
      </c>
    </row>
    <row r="675" spans="1:4">
      <c r="A675" s="29" t="str">
        <f t="shared" si="66"/>
        <v>ASUES.ES.ZRU10kV.SHTN10.TEL.stOn</v>
      </c>
      <c r="B675">
        <v>7998</v>
      </c>
      <c r="C675" t="s">
        <v>6</v>
      </c>
      <c r="D675" s="30">
        <v>1</v>
      </c>
    </row>
    <row r="676" spans="1:4">
      <c r="A676" s="29" t="str">
        <f t="shared" si="66"/>
        <v>ASUES.ES.ZRU10kV.SHTN10.TEL.stOn</v>
      </c>
      <c r="B676">
        <v>101</v>
      </c>
      <c r="C676" t="s">
        <v>0</v>
      </c>
      <c r="D676" s="30" t="s">
        <v>337</v>
      </c>
    </row>
    <row r="677" spans="1:4">
      <c r="A677" s="29" t="str">
        <f t="shared" si="66"/>
        <v>ASUES.ES.ZRU10kV.SHTN10.TEL.stOn</v>
      </c>
      <c r="B677">
        <v>3</v>
      </c>
      <c r="C677" t="s">
        <v>1</v>
      </c>
      <c r="D677" s="30">
        <v>192</v>
      </c>
    </row>
    <row r="678" spans="1:4">
      <c r="A678" s="29" t="str">
        <f t="shared" si="66"/>
        <v>ASUES.ES.ZRU10kV.SHTN10.TEL.stOn</v>
      </c>
      <c r="B678">
        <v>2</v>
      </c>
      <c r="C678" t="s">
        <v>2</v>
      </c>
      <c r="D678" s="30" t="s">
        <v>175</v>
      </c>
    </row>
    <row r="679" spans="1:4">
      <c r="A679" s="26" t="str">
        <f t="shared" si="66"/>
        <v>ASUES.ES.ZRU10kV.SHTN10.TEL.stOn</v>
      </c>
      <c r="B679" s="27">
        <v>1</v>
      </c>
      <c r="C679" s="27" t="s">
        <v>1</v>
      </c>
      <c r="D679" s="28">
        <v>11</v>
      </c>
    </row>
    <row r="680" spans="1:4">
      <c r="A680" s="100" t="str">
        <f>$R$2&amp;".telOff"</f>
        <v>ASUES.ES.ZRU10kV.SHTN10.TEL.telOff</v>
      </c>
      <c r="B680" s="679">
        <v>11154</v>
      </c>
      <c r="C680" s="679" t="s">
        <v>4</v>
      </c>
      <c r="D680" s="536">
        <f>$Q$8</f>
        <v>18</v>
      </c>
    </row>
    <row r="681" spans="1:4">
      <c r="A681" s="100" t="str">
        <f t="shared" ref="A681:A689" si="67">$R$2&amp;".telOff"</f>
        <v>ASUES.ES.ZRU10kV.SHTN10.TEL.telOff</v>
      </c>
      <c r="B681" s="679">
        <v>11150</v>
      </c>
      <c r="C681" s="679" t="s">
        <v>0</v>
      </c>
      <c r="D681" s="103" t="s">
        <v>1930</v>
      </c>
    </row>
    <row r="682" spans="1:4">
      <c r="A682" s="100" t="str">
        <f t="shared" si="67"/>
        <v>ASUES.ES.ZRU10kV.SHTN10.TEL.telOff</v>
      </c>
      <c r="B682" s="679">
        <v>11152</v>
      </c>
      <c r="C682" s="679" t="s">
        <v>0</v>
      </c>
      <c r="D682" s="103" t="str">
        <f>$R$8</f>
        <v>Телесигнализация</v>
      </c>
    </row>
    <row r="683" spans="1:4">
      <c r="A683" s="100" t="str">
        <f t="shared" si="67"/>
        <v>ASUES.ES.ZRU10kV.SHTN10.TEL.telOff</v>
      </c>
      <c r="B683" s="679">
        <v>11000</v>
      </c>
      <c r="C683" s="679" t="s">
        <v>5</v>
      </c>
      <c r="D683" s="103">
        <v>2147483680</v>
      </c>
    </row>
    <row r="684" spans="1:4">
      <c r="A684" s="29" t="str">
        <f t="shared" si="67"/>
        <v>ASUES.ES.ZRU10kV.SHTN10.TEL.telOff</v>
      </c>
      <c r="B684">
        <v>7999</v>
      </c>
      <c r="C684" t="s">
        <v>0</v>
      </c>
      <c r="D684" s="30" t="str">
        <f>"#"&amp;$S$2&amp;"#"&amp;$T$2&amp;""&amp;$P$2&amp;".TS01_16_TS11"</f>
        <v>#15#\\SERVER-ASCUER\Relematika.Modbus.OPCDAServerSHTN10.TS01_16_TS11</v>
      </c>
    </row>
    <row r="685" spans="1:4">
      <c r="A685" s="29" t="str">
        <f t="shared" si="67"/>
        <v>ASUES.ES.ZRU10kV.SHTN10.TEL.telOff</v>
      </c>
      <c r="B685">
        <v>7998</v>
      </c>
      <c r="C685" t="s">
        <v>6</v>
      </c>
      <c r="D685" s="30">
        <v>1</v>
      </c>
    </row>
    <row r="686" spans="1:4">
      <c r="A686" s="29" t="str">
        <f t="shared" si="67"/>
        <v>ASUES.ES.ZRU10kV.SHTN10.TEL.telOff</v>
      </c>
      <c r="B686">
        <v>101</v>
      </c>
      <c r="C686" t="s">
        <v>0</v>
      </c>
      <c r="D686" s="30" t="s">
        <v>1930</v>
      </c>
    </row>
    <row r="687" spans="1:4">
      <c r="A687" s="29" t="str">
        <f t="shared" si="67"/>
        <v>ASUES.ES.ZRU10kV.SHTN10.TEL.telOff</v>
      </c>
      <c r="B687">
        <v>3</v>
      </c>
      <c r="C687" t="s">
        <v>1</v>
      </c>
      <c r="D687" s="30">
        <v>192</v>
      </c>
    </row>
    <row r="688" spans="1:4">
      <c r="A688" s="29" t="str">
        <f t="shared" si="67"/>
        <v>ASUES.ES.ZRU10kV.SHTN10.TEL.telOff</v>
      </c>
      <c r="B688">
        <v>2</v>
      </c>
      <c r="C688" t="s">
        <v>2</v>
      </c>
      <c r="D688" s="30" t="s">
        <v>175</v>
      </c>
    </row>
    <row r="689" spans="1:4">
      <c r="A689" s="26" t="str">
        <f t="shared" si="67"/>
        <v>ASUES.ES.ZRU10kV.SHTN10.TEL.telOff</v>
      </c>
      <c r="B689" s="27">
        <v>1</v>
      </c>
      <c r="C689" s="27" t="s">
        <v>1</v>
      </c>
      <c r="D689" s="28">
        <v>11</v>
      </c>
    </row>
    <row r="690" spans="1:4">
      <c r="A690" s="100" t="str">
        <f t="shared" ref="A690:A699" si="68">$R$2&amp;".stDisTeleregul"</f>
        <v>ASUES.ES.ZRU10kV.SHTN10.TEL.stDisTeleregul</v>
      </c>
      <c r="B690" s="679">
        <v>11154</v>
      </c>
      <c r="C690" s="679" t="s">
        <v>4</v>
      </c>
      <c r="D690" s="536">
        <f>$Q$8</f>
        <v>18</v>
      </c>
    </row>
    <row r="691" spans="1:4">
      <c r="A691" s="100" t="str">
        <f t="shared" si="68"/>
        <v>ASUES.ES.ZRU10kV.SHTN10.TEL.stDisTeleregul</v>
      </c>
      <c r="B691" s="679">
        <v>11152</v>
      </c>
      <c r="C691" s="679" t="s">
        <v>0</v>
      </c>
      <c r="D691" s="103" t="str">
        <f>$R$8</f>
        <v>Телесигнализация</v>
      </c>
    </row>
    <row r="692" spans="1:4">
      <c r="A692" s="100" t="str">
        <f t="shared" si="68"/>
        <v>ASUES.ES.ZRU10kV.SHTN10.TEL.stDisTeleregul</v>
      </c>
      <c r="B692" s="679">
        <v>11150</v>
      </c>
      <c r="C692" s="679" t="s">
        <v>0</v>
      </c>
      <c r="D692" s="103" t="s">
        <v>1550</v>
      </c>
    </row>
    <row r="693" spans="1:4">
      <c r="A693" s="100" t="str">
        <f t="shared" si="68"/>
        <v>ASUES.ES.ZRU10kV.SHTN10.TEL.stDisTeleregul</v>
      </c>
      <c r="B693" s="679">
        <v>11000</v>
      </c>
      <c r="C693" s="679" t="s">
        <v>5</v>
      </c>
      <c r="D693" s="103">
        <v>2147483680</v>
      </c>
    </row>
    <row r="694" spans="1:4">
      <c r="A694" s="29" t="str">
        <f t="shared" si="68"/>
        <v>ASUES.ES.ZRU10kV.SHTN10.TEL.stDisTeleregul</v>
      </c>
      <c r="B694">
        <v>7999</v>
      </c>
      <c r="C694" t="s">
        <v>0</v>
      </c>
      <c r="D694" s="30" t="str">
        <f>"#"&amp;$S$2&amp;"#"&amp;$T$2&amp;""&amp;$P$2&amp;".TS49_64_TS51"</f>
        <v>#15#\\SERVER-ASCUER\Relematika.Modbus.OPCDAServerSHTN10.TS49_64_TS51</v>
      </c>
    </row>
    <row r="695" spans="1:4">
      <c r="A695" s="29" t="str">
        <f t="shared" si="68"/>
        <v>ASUES.ES.ZRU10kV.SHTN10.TEL.stDisTeleregul</v>
      </c>
      <c r="B695">
        <v>7998</v>
      </c>
      <c r="C695" t="s">
        <v>6</v>
      </c>
      <c r="D695" s="30">
        <v>1</v>
      </c>
    </row>
    <row r="696" spans="1:4">
      <c r="A696" s="29" t="str">
        <f t="shared" si="68"/>
        <v>ASUES.ES.ZRU10kV.SHTN10.TEL.stDisTeleregul</v>
      </c>
      <c r="B696">
        <v>101</v>
      </c>
      <c r="C696" t="s">
        <v>0</v>
      </c>
      <c r="D696" s="30" t="s">
        <v>1550</v>
      </c>
    </row>
    <row r="697" spans="1:4">
      <c r="A697" s="29" t="str">
        <f t="shared" si="68"/>
        <v>ASUES.ES.ZRU10kV.SHTN10.TEL.stDisTeleregul</v>
      </c>
      <c r="B697">
        <v>3</v>
      </c>
      <c r="C697" t="s">
        <v>1</v>
      </c>
      <c r="D697" s="30">
        <v>192</v>
      </c>
    </row>
    <row r="698" spans="1:4">
      <c r="A698" s="29" t="str">
        <f t="shared" si="68"/>
        <v>ASUES.ES.ZRU10kV.SHTN10.TEL.stDisTeleregul</v>
      </c>
      <c r="B698">
        <v>2</v>
      </c>
      <c r="C698" t="s">
        <v>2</v>
      </c>
      <c r="D698" s="30" t="s">
        <v>175</v>
      </c>
    </row>
    <row r="699" spans="1:4">
      <c r="A699" s="26" t="str">
        <f t="shared" si="68"/>
        <v>ASUES.ES.ZRU10kV.SHTN10.TEL.stDisTeleregul</v>
      </c>
      <c r="B699" s="27">
        <v>1</v>
      </c>
      <c r="C699" s="27" t="s">
        <v>1</v>
      </c>
      <c r="D699" s="28">
        <v>11</v>
      </c>
    </row>
    <row r="700" spans="1:4">
      <c r="A700" s="100" t="str">
        <f t="shared" ref="A700:A709" si="69">$R$2&amp;".stCtrlCircuitOn"</f>
        <v>ASUES.ES.ZRU10kV.SHTN10.TEL.stCtrlCircuitOn</v>
      </c>
      <c r="B700" s="679">
        <v>11154</v>
      </c>
      <c r="C700" s="679" t="s">
        <v>4</v>
      </c>
      <c r="D700" s="536">
        <f>$Q$8</f>
        <v>18</v>
      </c>
    </row>
    <row r="701" spans="1:4">
      <c r="A701" s="100" t="str">
        <f t="shared" si="69"/>
        <v>ASUES.ES.ZRU10kV.SHTN10.TEL.stCtrlCircuitOn</v>
      </c>
      <c r="B701" s="679">
        <v>11152</v>
      </c>
      <c r="C701" s="679" t="s">
        <v>0</v>
      </c>
      <c r="D701" s="103" t="str">
        <f>$R$8</f>
        <v>Телесигнализация</v>
      </c>
    </row>
    <row r="702" spans="1:4">
      <c r="A702" s="100" t="str">
        <f t="shared" si="69"/>
        <v>ASUES.ES.ZRU10kV.SHTN10.TEL.stCtrlCircuitOn</v>
      </c>
      <c r="B702" s="679">
        <v>11150</v>
      </c>
      <c r="C702" s="679" t="s">
        <v>0</v>
      </c>
      <c r="D702" s="103" t="s">
        <v>1509</v>
      </c>
    </row>
    <row r="703" spans="1:4">
      <c r="A703" s="100" t="str">
        <f t="shared" si="69"/>
        <v>ASUES.ES.ZRU10kV.SHTN10.TEL.stCtrlCircuitOn</v>
      </c>
      <c r="B703" s="679">
        <v>11000</v>
      </c>
      <c r="C703" s="679" t="s">
        <v>5</v>
      </c>
      <c r="D703" s="103">
        <v>2147483680</v>
      </c>
    </row>
    <row r="704" spans="1:4">
      <c r="A704" s="29" t="str">
        <f t="shared" si="69"/>
        <v>ASUES.ES.ZRU10kV.SHTN10.TEL.stCtrlCircuitOn</v>
      </c>
      <c r="B704">
        <v>7999</v>
      </c>
      <c r="C704" t="s">
        <v>0</v>
      </c>
      <c r="D704" s="30" t="str">
        <f>"#"&amp;$S$2&amp;"#"&amp;$T$2&amp;""&amp;$P$2&amp;".TS225_240_TS233"</f>
        <v>#15#\\SERVER-ASCUER\Relematika.Modbus.OPCDAServerSHTN10.TS225_240_TS233</v>
      </c>
    </row>
    <row r="705" spans="1:4">
      <c r="A705" s="29" t="str">
        <f t="shared" si="69"/>
        <v>ASUES.ES.ZRU10kV.SHTN10.TEL.stCtrlCircuitOn</v>
      </c>
      <c r="B705">
        <v>7998</v>
      </c>
      <c r="C705" t="s">
        <v>6</v>
      </c>
      <c r="D705" s="30">
        <v>1</v>
      </c>
    </row>
    <row r="706" spans="1:4">
      <c r="A706" s="29" t="str">
        <f t="shared" si="69"/>
        <v>ASUES.ES.ZRU10kV.SHTN10.TEL.stCtrlCircuitOn</v>
      </c>
      <c r="B706">
        <v>101</v>
      </c>
      <c r="C706" t="s">
        <v>0</v>
      </c>
      <c r="D706" s="30" t="s">
        <v>1509</v>
      </c>
    </row>
    <row r="707" spans="1:4">
      <c r="A707" s="29" t="str">
        <f t="shared" si="69"/>
        <v>ASUES.ES.ZRU10kV.SHTN10.TEL.stCtrlCircuitOn</v>
      </c>
      <c r="B707">
        <v>3</v>
      </c>
      <c r="C707" t="s">
        <v>1</v>
      </c>
      <c r="D707" s="30">
        <v>192</v>
      </c>
    </row>
    <row r="708" spans="1:4">
      <c r="A708" s="29" t="str">
        <f t="shared" si="69"/>
        <v>ASUES.ES.ZRU10kV.SHTN10.TEL.stCtrlCircuitOn</v>
      </c>
      <c r="B708">
        <v>2</v>
      </c>
      <c r="C708" t="s">
        <v>2</v>
      </c>
      <c r="D708" s="30" t="s">
        <v>175</v>
      </c>
    </row>
    <row r="709" spans="1:4">
      <c r="A709" s="26" t="str">
        <f t="shared" si="69"/>
        <v>ASUES.ES.ZRU10kV.SHTN10.TEL.stCtrlCircuitOn</v>
      </c>
      <c r="B709" s="27">
        <v>1</v>
      </c>
      <c r="C709" s="27" t="s">
        <v>1</v>
      </c>
      <c r="D709" s="28">
        <v>11</v>
      </c>
    </row>
    <row r="710" spans="1:4">
      <c r="A710" s="100" t="str">
        <f t="shared" ref="A710:A719" si="70">$R$2&amp;".stOscilAutoDL"</f>
        <v>ASUES.ES.ZRU10kV.SHTN10.TEL.stOscilAutoDL</v>
      </c>
      <c r="B710" s="679">
        <v>11154</v>
      </c>
      <c r="C710" s="679" t="s">
        <v>4</v>
      </c>
      <c r="D710" s="536">
        <f>$Q$8</f>
        <v>18</v>
      </c>
    </row>
    <row r="711" spans="1:4">
      <c r="A711" s="100" t="str">
        <f t="shared" si="70"/>
        <v>ASUES.ES.ZRU10kV.SHTN10.TEL.stOscilAutoDL</v>
      </c>
      <c r="B711" s="679">
        <v>11150</v>
      </c>
      <c r="C711" s="679" t="s">
        <v>0</v>
      </c>
      <c r="D711" s="103" t="s">
        <v>1549</v>
      </c>
    </row>
    <row r="712" spans="1:4">
      <c r="A712" s="100" t="str">
        <f t="shared" si="70"/>
        <v>ASUES.ES.ZRU10kV.SHTN10.TEL.stOscilAutoDL</v>
      </c>
      <c r="B712" s="679">
        <v>11152</v>
      </c>
      <c r="C712" s="679" t="s">
        <v>0</v>
      </c>
      <c r="D712" s="103" t="str">
        <f>$R$8</f>
        <v>Телесигнализация</v>
      </c>
    </row>
    <row r="713" spans="1:4">
      <c r="A713" s="100" t="str">
        <f t="shared" si="70"/>
        <v>ASUES.ES.ZRU10kV.SHTN10.TEL.stOscilAutoDL</v>
      </c>
      <c r="B713" s="679">
        <v>11000</v>
      </c>
      <c r="C713" s="679" t="s">
        <v>5</v>
      </c>
      <c r="D713" s="103">
        <v>2147483680</v>
      </c>
    </row>
    <row r="714" spans="1:4">
      <c r="A714" s="29" t="str">
        <f t="shared" si="70"/>
        <v>ASUES.ES.ZRU10kV.SHTN10.TEL.stOscilAutoDL</v>
      </c>
      <c r="B714">
        <v>7999</v>
      </c>
      <c r="C714" t="s">
        <v>0</v>
      </c>
      <c r="D714" s="30" t="str">
        <f>"#"&amp;$S$2&amp;"#"&amp;$T$2&amp;""&amp;$P$2&amp;".OSCAUTO"</f>
        <v>#15#\\SERVER-ASCUER\Relematika.Modbus.OPCDAServerSHTN10.OSCAUTO</v>
      </c>
    </row>
    <row r="715" spans="1:4">
      <c r="A715" s="29" t="str">
        <f t="shared" si="70"/>
        <v>ASUES.ES.ZRU10kV.SHTN10.TEL.stOscilAutoDL</v>
      </c>
      <c r="B715">
        <v>7998</v>
      </c>
      <c r="C715" t="s">
        <v>6</v>
      </c>
      <c r="D715" s="30">
        <v>1</v>
      </c>
    </row>
    <row r="716" spans="1:4">
      <c r="A716" s="29" t="str">
        <f t="shared" si="70"/>
        <v>ASUES.ES.ZRU10kV.SHTN10.TEL.stOscilAutoDL</v>
      </c>
      <c r="B716">
        <v>101</v>
      </c>
      <c r="C716" t="s">
        <v>0</v>
      </c>
      <c r="D716" s="30" t="s">
        <v>1549</v>
      </c>
    </row>
    <row r="717" spans="1:4">
      <c r="A717" s="29" t="str">
        <f t="shared" si="70"/>
        <v>ASUES.ES.ZRU10kV.SHTN10.TEL.stOscilAutoDL</v>
      </c>
      <c r="B717">
        <v>3</v>
      </c>
      <c r="C717" t="s">
        <v>1</v>
      </c>
      <c r="D717" s="30">
        <v>192</v>
      </c>
    </row>
    <row r="718" spans="1:4">
      <c r="A718" s="29" t="str">
        <f t="shared" si="70"/>
        <v>ASUES.ES.ZRU10kV.SHTN10.TEL.stOscilAutoDL</v>
      </c>
      <c r="B718">
        <v>2</v>
      </c>
      <c r="C718" t="s">
        <v>2</v>
      </c>
      <c r="D718" s="30" t="s">
        <v>175</v>
      </c>
    </row>
    <row r="719" spans="1:4">
      <c r="A719" s="29" t="str">
        <f t="shared" si="70"/>
        <v>ASUES.ES.ZRU10kV.SHTN10.TEL.stOscilAutoDL</v>
      </c>
      <c r="B719">
        <v>1</v>
      </c>
      <c r="C719" t="s">
        <v>1</v>
      </c>
      <c r="D719" s="30">
        <v>11</v>
      </c>
    </row>
    <row r="720" spans="1:4">
      <c r="A720" s="159" t="str">
        <f>$R$2&amp;".stOZZ_on"</f>
        <v>ASUES.ES.ZRU10kV.SHTN10.TEL.stOZZ_on</v>
      </c>
      <c r="B720" s="160">
        <v>11154</v>
      </c>
      <c r="C720" s="160" t="s">
        <v>4</v>
      </c>
      <c r="D720" s="686">
        <f>$Q$8</f>
        <v>18</v>
      </c>
    </row>
    <row r="721" spans="1:4">
      <c r="A721" s="100" t="str">
        <f t="shared" ref="A721:A729" si="71">$R$2&amp;".stOZZ_on"</f>
        <v>ASUES.ES.ZRU10kV.SHTN10.TEL.stOZZ_on</v>
      </c>
      <c r="B721" s="679">
        <v>11150</v>
      </c>
      <c r="C721" s="679" t="s">
        <v>0</v>
      </c>
      <c r="D721" s="103" t="s">
        <v>1931</v>
      </c>
    </row>
    <row r="722" spans="1:4">
      <c r="A722" s="100" t="str">
        <f t="shared" si="71"/>
        <v>ASUES.ES.ZRU10kV.SHTN10.TEL.stOZZ_on</v>
      </c>
      <c r="B722" s="679">
        <v>11152</v>
      </c>
      <c r="C722" s="679" t="s">
        <v>0</v>
      </c>
      <c r="D722" s="103" t="str">
        <f>$R$8</f>
        <v>Телесигнализация</v>
      </c>
    </row>
    <row r="723" spans="1:4">
      <c r="A723" s="100" t="str">
        <f t="shared" si="71"/>
        <v>ASUES.ES.ZRU10kV.SHTN10.TEL.stOZZ_on</v>
      </c>
      <c r="B723" s="679">
        <v>11000</v>
      </c>
      <c r="C723" s="679" t="s">
        <v>5</v>
      </c>
      <c r="D723" s="103">
        <v>2147483680</v>
      </c>
    </row>
    <row r="724" spans="1:4">
      <c r="A724" s="29" t="str">
        <f t="shared" si="71"/>
        <v>ASUES.ES.ZRU10kV.SHTN10.TEL.stOZZ_on</v>
      </c>
      <c r="B724">
        <v>7999</v>
      </c>
      <c r="C724" t="s">
        <v>0</v>
      </c>
      <c r="D724" s="30" t="str">
        <f>"#"&amp;$S$2&amp;"#"&amp;$T$2&amp;""&amp;$P$2&amp;".TS209_224_TS222"</f>
        <v>#15#\\SERVER-ASCUER\Relematika.Modbus.OPCDAServerSHTN10.TS209_224_TS222</v>
      </c>
    </row>
    <row r="725" spans="1:4">
      <c r="A725" s="29" t="str">
        <f t="shared" si="71"/>
        <v>ASUES.ES.ZRU10kV.SHTN10.TEL.stOZZ_on</v>
      </c>
      <c r="B725">
        <v>7998</v>
      </c>
      <c r="C725" t="s">
        <v>6</v>
      </c>
      <c r="D725" s="30">
        <v>1</v>
      </c>
    </row>
    <row r="726" spans="1:4">
      <c r="A726" s="29" t="str">
        <f t="shared" si="71"/>
        <v>ASUES.ES.ZRU10kV.SHTN10.TEL.stOZZ_on</v>
      </c>
      <c r="B726">
        <v>101</v>
      </c>
      <c r="C726" t="s">
        <v>0</v>
      </c>
      <c r="D726" s="30" t="s">
        <v>1931</v>
      </c>
    </row>
    <row r="727" spans="1:4">
      <c r="A727" s="29" t="str">
        <f t="shared" si="71"/>
        <v>ASUES.ES.ZRU10kV.SHTN10.TEL.stOZZ_on</v>
      </c>
      <c r="B727">
        <v>3</v>
      </c>
      <c r="C727" t="s">
        <v>1</v>
      </c>
      <c r="D727" s="30">
        <v>192</v>
      </c>
    </row>
    <row r="728" spans="1:4">
      <c r="A728" s="29" t="str">
        <f t="shared" si="71"/>
        <v>ASUES.ES.ZRU10kV.SHTN10.TEL.stOZZ_on</v>
      </c>
      <c r="B728">
        <v>2</v>
      </c>
      <c r="C728" t="s">
        <v>2</v>
      </c>
      <c r="D728" s="30" t="s">
        <v>175</v>
      </c>
    </row>
    <row r="729" spans="1:4">
      <c r="A729" s="26" t="str">
        <f t="shared" si="71"/>
        <v>ASUES.ES.ZRU10kV.SHTN10.TEL.stOZZ_on</v>
      </c>
      <c r="B729" s="27">
        <v>1</v>
      </c>
      <c r="C729" s="27" t="s">
        <v>1</v>
      </c>
      <c r="D729" s="28">
        <v>11</v>
      </c>
    </row>
    <row r="730" spans="1:4">
      <c r="A730" s="159" t="str">
        <f>$R$2&amp;".stAVRban_on"</f>
        <v>ASUES.ES.ZRU10kV.SHTN10.TEL.stAVRban_on</v>
      </c>
      <c r="B730" s="160">
        <v>11154</v>
      </c>
      <c r="C730" s="160" t="s">
        <v>4</v>
      </c>
      <c r="D730" s="686">
        <f>$Q$8</f>
        <v>18</v>
      </c>
    </row>
    <row r="731" spans="1:4">
      <c r="A731" s="100" t="str">
        <f t="shared" ref="A731:A739" si="72">$R$2&amp;".stAVRban_on"</f>
        <v>ASUES.ES.ZRU10kV.SHTN10.TEL.stAVRban_on</v>
      </c>
      <c r="B731" s="679">
        <v>11150</v>
      </c>
      <c r="C731" s="679" t="s">
        <v>0</v>
      </c>
      <c r="D731" s="103" t="s">
        <v>1932</v>
      </c>
    </row>
    <row r="732" spans="1:4">
      <c r="A732" s="100" t="str">
        <f t="shared" si="72"/>
        <v>ASUES.ES.ZRU10kV.SHTN10.TEL.stAVRban_on</v>
      </c>
      <c r="B732" s="679">
        <v>11152</v>
      </c>
      <c r="C732" s="679" t="s">
        <v>0</v>
      </c>
      <c r="D732" s="103" t="str">
        <f>$R$8</f>
        <v>Телесигнализация</v>
      </c>
    </row>
    <row r="733" spans="1:4">
      <c r="A733" s="100" t="str">
        <f t="shared" si="72"/>
        <v>ASUES.ES.ZRU10kV.SHTN10.TEL.stAVRban_on</v>
      </c>
      <c r="B733" s="679">
        <v>11000</v>
      </c>
      <c r="C733" s="679" t="s">
        <v>5</v>
      </c>
      <c r="D733" s="103">
        <v>2147483680</v>
      </c>
    </row>
    <row r="734" spans="1:4">
      <c r="A734" s="29" t="str">
        <f t="shared" si="72"/>
        <v>ASUES.ES.ZRU10kV.SHTN10.TEL.stAVRban_on</v>
      </c>
      <c r="B734">
        <v>7999</v>
      </c>
      <c r="C734" t="s">
        <v>0</v>
      </c>
      <c r="D734" s="30" t="str">
        <f>"#"&amp;$S$2&amp;"#"&amp;$T$2&amp;""&amp;$P$2&amp;".TS225_240_TS239"</f>
        <v>#15#\\SERVER-ASCUER\Relematika.Modbus.OPCDAServerSHTN10.TS225_240_TS239</v>
      </c>
    </row>
    <row r="735" spans="1:4">
      <c r="A735" s="29" t="str">
        <f t="shared" si="72"/>
        <v>ASUES.ES.ZRU10kV.SHTN10.TEL.stAVRban_on</v>
      </c>
      <c r="B735">
        <v>7998</v>
      </c>
      <c r="C735" t="s">
        <v>6</v>
      </c>
      <c r="D735" s="30">
        <v>1</v>
      </c>
    </row>
    <row r="736" spans="1:4">
      <c r="A736" s="29" t="str">
        <f t="shared" si="72"/>
        <v>ASUES.ES.ZRU10kV.SHTN10.TEL.stAVRban_on</v>
      </c>
      <c r="B736">
        <v>101</v>
      </c>
      <c r="C736" t="s">
        <v>0</v>
      </c>
      <c r="D736" s="30" t="s">
        <v>1932</v>
      </c>
    </row>
    <row r="737" spans="1:4">
      <c r="A737" s="29" t="str">
        <f t="shared" si="72"/>
        <v>ASUES.ES.ZRU10kV.SHTN10.TEL.stAVRban_on</v>
      </c>
      <c r="B737">
        <v>3</v>
      </c>
      <c r="C737" t="s">
        <v>1</v>
      </c>
      <c r="D737" s="30">
        <v>192</v>
      </c>
    </row>
    <row r="738" spans="1:4">
      <c r="A738" s="29" t="str">
        <f t="shared" si="72"/>
        <v>ASUES.ES.ZRU10kV.SHTN10.TEL.stAVRban_on</v>
      </c>
      <c r="B738">
        <v>2</v>
      </c>
      <c r="C738" t="s">
        <v>2</v>
      </c>
      <c r="D738" s="30" t="s">
        <v>175</v>
      </c>
    </row>
    <row r="739" spans="1:4">
      <c r="A739" s="26" t="str">
        <f t="shared" si="72"/>
        <v>ASUES.ES.ZRU10kV.SHTN10.TEL.stAVRban_on</v>
      </c>
      <c r="B739" s="27">
        <v>1</v>
      </c>
      <c r="C739" s="27" t="s">
        <v>1</v>
      </c>
      <c r="D739" s="28">
        <v>11</v>
      </c>
    </row>
    <row r="740" spans="1:4">
      <c r="A740" s="159" t="str">
        <f t="shared" ref="A740:A745" si="73">$R$2&amp;".stOscilStatus"</f>
        <v>ASUES.ES.ZRU10kV.SHTN10.TEL.stOscilStatus</v>
      </c>
      <c r="B740" s="160">
        <v>7999</v>
      </c>
      <c r="C740" s="160" t="s">
        <v>0</v>
      </c>
      <c r="D740" s="201" t="str">
        <f>"#"&amp;$S$2&amp;"#"&amp;$T$2&amp;""&amp;$P$2&amp;".OSCStatus"</f>
        <v>#15#\\SERVER-ASCUER\Relematika.Modbus.OPCDAServerSHTN10.OSCStatus</v>
      </c>
    </row>
    <row r="741" spans="1:4">
      <c r="A741" s="100" t="str">
        <f t="shared" si="73"/>
        <v>ASUES.ES.ZRU10kV.SHTN10.TEL.stOscilStatus</v>
      </c>
      <c r="B741" s="679">
        <v>7998</v>
      </c>
      <c r="C741" s="679" t="s">
        <v>6</v>
      </c>
      <c r="D741" s="103">
        <v>1</v>
      </c>
    </row>
    <row r="742" spans="1:4">
      <c r="A742" s="29" t="str">
        <f t="shared" si="73"/>
        <v>ASUES.ES.ZRU10kV.SHTN10.TEL.stOscilStatus</v>
      </c>
      <c r="B742">
        <v>101</v>
      </c>
      <c r="C742" t="s">
        <v>0</v>
      </c>
      <c r="D742" s="30" t="s">
        <v>1551</v>
      </c>
    </row>
    <row r="743" spans="1:4">
      <c r="A743" s="29" t="str">
        <f t="shared" si="73"/>
        <v>ASUES.ES.ZRU10kV.SHTN10.TEL.stOscilStatus</v>
      </c>
      <c r="B743">
        <v>3</v>
      </c>
      <c r="C743" t="s">
        <v>1</v>
      </c>
      <c r="D743" s="30">
        <v>192</v>
      </c>
    </row>
    <row r="744" spans="1:4">
      <c r="A744" s="29" t="str">
        <f t="shared" si="73"/>
        <v>ASUES.ES.ZRU10kV.SHTN10.TEL.stOscilStatus</v>
      </c>
      <c r="B744">
        <v>2</v>
      </c>
      <c r="C744" t="s">
        <v>0</v>
      </c>
      <c r="D744" s="30">
        <v>0</v>
      </c>
    </row>
    <row r="745" spans="1:4">
      <c r="A745" s="26" t="str">
        <f t="shared" si="73"/>
        <v>ASUES.ES.ZRU10kV.SHTN10.TEL.stOscilStatus</v>
      </c>
      <c r="B745" s="27">
        <v>1</v>
      </c>
      <c r="C745" s="27" t="s">
        <v>1</v>
      </c>
      <c r="D745" s="28">
        <v>8</v>
      </c>
    </row>
    <row r="746" spans="1:4">
      <c r="A746" s="23" t="str">
        <f t="shared" ref="A746:A753" si="74">$R$2&amp;".Commands.coRepair"</f>
        <v>ASUES.ES.ZRU10kV.SHTN10.TEL.Commands.coRepair</v>
      </c>
      <c r="B746" s="24">
        <v>7011</v>
      </c>
      <c r="C746" s="24" t="s">
        <v>2</v>
      </c>
      <c r="D746" s="25" t="s">
        <v>266</v>
      </c>
    </row>
    <row r="747" spans="1:4">
      <c r="A747" s="140" t="str">
        <f t="shared" si="74"/>
        <v>ASUES.ES.ZRU10kV.SHTN10.TEL.Commands.coRepair</v>
      </c>
      <c r="B747" s="687">
        <v>11152</v>
      </c>
      <c r="C747" s="687" t="s">
        <v>0</v>
      </c>
      <c r="D747" s="142" t="str">
        <f>$R$11</f>
        <v>Ремонт</v>
      </c>
    </row>
    <row r="748" spans="1:4">
      <c r="A748" s="140" t="str">
        <f t="shared" si="74"/>
        <v>ASUES.ES.ZRU10kV.SHTN10.TEL.Commands.coRepair</v>
      </c>
      <c r="B748" s="687">
        <v>11154</v>
      </c>
      <c r="C748" s="687" t="s">
        <v>4</v>
      </c>
      <c r="D748" s="142">
        <f>$Q$11</f>
        <v>14</v>
      </c>
    </row>
    <row r="749" spans="1:4">
      <c r="A749" s="140" t="str">
        <f t="shared" si="74"/>
        <v>ASUES.ES.ZRU10kV.SHTN10.TEL.Commands.coRepair</v>
      </c>
      <c r="B749" s="687">
        <v>11150</v>
      </c>
      <c r="C749" s="687" t="s">
        <v>0</v>
      </c>
      <c r="D749" s="142" t="s">
        <v>89</v>
      </c>
    </row>
    <row r="750" spans="1:4">
      <c r="A750" s="140" t="str">
        <f t="shared" si="74"/>
        <v>ASUES.ES.ZRU10kV.SHTN10.TEL.Commands.coRepair</v>
      </c>
      <c r="B750" s="687">
        <v>11000</v>
      </c>
      <c r="C750" s="687" t="s">
        <v>5</v>
      </c>
      <c r="D750" s="142">
        <v>2147483680</v>
      </c>
    </row>
    <row r="751" spans="1:4">
      <c r="A751" s="29" t="str">
        <f t="shared" si="74"/>
        <v>ASUES.ES.ZRU10kV.SHTN10.TEL.Commands.coRepair</v>
      </c>
      <c r="B751">
        <v>1</v>
      </c>
      <c r="C751" t="s">
        <v>1</v>
      </c>
      <c r="D751" s="30">
        <v>11</v>
      </c>
    </row>
    <row r="752" spans="1:4" ht="409.6">
      <c r="A752" s="29" t="str">
        <f t="shared" si="74"/>
        <v>ASUES.ES.ZRU10kV.SHTN10.TEL.Commands.coRepair</v>
      </c>
      <c r="B752">
        <v>4000000</v>
      </c>
      <c r="C752" t="s">
        <v>0</v>
      </c>
      <c r="D752" s="415" t="s">
        <v>2695</v>
      </c>
    </row>
    <row r="753" spans="1:4">
      <c r="A753" s="26" t="str">
        <f t="shared" si="74"/>
        <v>ASUES.ES.ZRU10kV.SHTN10.TEL.Commands.coRepair</v>
      </c>
      <c r="B753" s="27">
        <v>7000000</v>
      </c>
      <c r="C753" s="27" t="s">
        <v>6</v>
      </c>
      <c r="D753" s="28">
        <v>2</v>
      </c>
    </row>
    <row r="754" spans="1:4">
      <c r="A754" s="29" t="str">
        <f>$R$2&amp;".Commands.coResetMaxS"</f>
        <v>ASUES.ES.ZRU10kV.SHTN10.TEL.Commands.coResetMaxS</v>
      </c>
      <c r="B754">
        <v>101</v>
      </c>
      <c r="C754" t="s">
        <v>0</v>
      </c>
      <c r="D754" s="30" t="s">
        <v>381</v>
      </c>
    </row>
    <row r="755" spans="1:4">
      <c r="A755" s="29" t="str">
        <f>$R$2&amp;".Commands.coResetMaxS"</f>
        <v>ASUES.ES.ZRU10kV.SHTN10.TEL.Commands.coResetMaxS</v>
      </c>
      <c r="B755">
        <v>7999</v>
      </c>
      <c r="C755" t="s">
        <v>0</v>
      </c>
      <c r="D755" s="30" t="str">
        <f>"#"&amp;$S$2&amp;"#"&amp;$T$2&amp;""&amp;$P$2&amp;".Commands.TC5"</f>
        <v>#15#\\SERVER-ASCUER\Relematika.Modbus.OPCDAServerSHTN10.Commands.TC5</v>
      </c>
    </row>
    <row r="756" spans="1:4">
      <c r="A756" s="29" t="str">
        <f>$R$2&amp;".Commands.coResetMaxS"</f>
        <v>ASUES.ES.ZRU10kV.SHTN10.TEL.Commands.coResetMaxS</v>
      </c>
      <c r="B756">
        <v>7998</v>
      </c>
      <c r="C756" t="s">
        <v>6</v>
      </c>
      <c r="D756" s="30">
        <v>2</v>
      </c>
    </row>
    <row r="757" spans="1:4">
      <c r="A757" s="26" t="str">
        <f>$R$2&amp;".Commands.coResetMaxS"</f>
        <v>ASUES.ES.ZRU10kV.SHTN10.TEL.Commands.coResetMaxS</v>
      </c>
      <c r="B757" s="27">
        <v>1</v>
      </c>
      <c r="C757" s="27" t="s">
        <v>1</v>
      </c>
      <c r="D757" s="28">
        <v>11</v>
      </c>
    </row>
    <row r="758" spans="1:4">
      <c r="A758" s="23" t="str">
        <f>$R$2&amp;".Commands.coResetMaxI"</f>
        <v>ASUES.ES.ZRU10kV.SHTN10.TEL.Commands.coResetMaxI</v>
      </c>
      <c r="B758" s="24">
        <v>7999</v>
      </c>
      <c r="C758" s="24" t="s">
        <v>0</v>
      </c>
      <c r="D758" s="25" t="str">
        <f>"#"&amp;$S$2&amp;"#"&amp;$T$2&amp;""&amp;$P$2&amp;".Commands.TC4"</f>
        <v>#15#\\SERVER-ASCUER\Relematika.Modbus.OPCDAServerSHTN10.Commands.TC4</v>
      </c>
    </row>
    <row r="759" spans="1:4">
      <c r="A759" s="29" t="str">
        <f>$R$2&amp;".Commands.coResetMaxI"</f>
        <v>ASUES.ES.ZRU10kV.SHTN10.TEL.Commands.coResetMaxI</v>
      </c>
      <c r="B759">
        <v>7998</v>
      </c>
      <c r="C759" t="s">
        <v>6</v>
      </c>
      <c r="D759" s="30">
        <v>2</v>
      </c>
    </row>
    <row r="760" spans="1:4">
      <c r="A760" s="29" t="str">
        <f>$R$2&amp;".Commands.coResetMaxI"</f>
        <v>ASUES.ES.ZRU10kV.SHTN10.TEL.Commands.coResetMaxI</v>
      </c>
      <c r="B760">
        <v>101</v>
      </c>
      <c r="C760" t="s">
        <v>0</v>
      </c>
      <c r="D760" s="30" t="s">
        <v>382</v>
      </c>
    </row>
    <row r="761" spans="1:4">
      <c r="A761" s="26" t="str">
        <f>$R$2&amp;".Commands.coResetMaxI"</f>
        <v>ASUES.ES.ZRU10kV.SHTN10.TEL.Commands.coResetMaxI</v>
      </c>
      <c r="B761" s="27">
        <v>1</v>
      </c>
      <c r="C761" s="27" t="s">
        <v>1</v>
      </c>
      <c r="D761" s="28">
        <v>11</v>
      </c>
    </row>
    <row r="762" spans="1:4">
      <c r="A762" s="23" t="str">
        <f>$R$2&amp;".Commands.coOscilAllow"</f>
        <v>ASUES.ES.ZRU10kV.SHTN10.TEL.Commands.coOscilAllow</v>
      </c>
      <c r="B762" s="24">
        <v>7999</v>
      </c>
      <c r="C762" s="24" t="s">
        <v>0</v>
      </c>
      <c r="D762" s="25" t="str">
        <f>"#"&amp;$S$2&amp;"#"&amp;$T$2&amp;""&amp;$P$2&amp;".Commands.TC19"</f>
        <v>#15#\\SERVER-ASCUER\Relematika.Modbus.OPCDAServerSHTN10.Commands.TC19</v>
      </c>
    </row>
    <row r="763" spans="1:4">
      <c r="A763" s="29" t="str">
        <f>$R$2&amp;".Commands.coOscilAllow"</f>
        <v>ASUES.ES.ZRU10kV.SHTN10.TEL.Commands.coOscilAllow</v>
      </c>
      <c r="B763">
        <v>7998</v>
      </c>
      <c r="C763" t="s">
        <v>6</v>
      </c>
      <c r="D763" s="30">
        <v>2</v>
      </c>
    </row>
    <row r="764" spans="1:4">
      <c r="A764" s="29" t="str">
        <f>$R$2&amp;".Commands.coOscilAllow"</f>
        <v>ASUES.ES.ZRU10kV.SHTN10.TEL.Commands.coOscilAllow</v>
      </c>
      <c r="B764">
        <v>101</v>
      </c>
      <c r="C764" t="s">
        <v>0</v>
      </c>
      <c r="D764" s="30" t="s">
        <v>1552</v>
      </c>
    </row>
    <row r="765" spans="1:4">
      <c r="A765" s="26" t="str">
        <f>$R$2&amp;".Commands.coOscilAllow"</f>
        <v>ASUES.ES.ZRU10kV.SHTN10.TEL.Commands.coOscilAllow</v>
      </c>
      <c r="B765" s="27">
        <v>1</v>
      </c>
      <c r="C765" s="27" t="s">
        <v>1</v>
      </c>
      <c r="D765" s="28">
        <v>11</v>
      </c>
    </row>
    <row r="766" spans="1:4">
      <c r="A766" s="29" t="str">
        <f>$R$2&amp;".Commands.coOscilBlock"</f>
        <v>ASUES.ES.ZRU10kV.SHTN10.TEL.Commands.coOscilBlock</v>
      </c>
      <c r="B766">
        <v>7999</v>
      </c>
      <c r="C766" t="s">
        <v>0</v>
      </c>
      <c r="D766" s="30" t="str">
        <f>"#"&amp;$S$2&amp;"#"&amp;$T$2&amp;""&amp;$P$2&amp;".Commands.TC18"</f>
        <v>#15#\\SERVER-ASCUER\Relematika.Modbus.OPCDAServerSHTN10.Commands.TC18</v>
      </c>
    </row>
    <row r="767" spans="1:4">
      <c r="A767" s="29" t="str">
        <f>$R$2&amp;".Commands.coOscilBlock"</f>
        <v>ASUES.ES.ZRU10kV.SHTN10.TEL.Commands.coOscilBlock</v>
      </c>
      <c r="B767">
        <v>7998</v>
      </c>
      <c r="C767" t="s">
        <v>6</v>
      </c>
      <c r="D767" s="30">
        <v>2</v>
      </c>
    </row>
    <row r="768" spans="1:4">
      <c r="A768" s="29" t="str">
        <f>$R$2&amp;".Commands.coOscilBlock"</f>
        <v>ASUES.ES.ZRU10kV.SHTN10.TEL.Commands.coOscilBlock</v>
      </c>
      <c r="B768">
        <v>101</v>
      </c>
      <c r="C768" t="s">
        <v>0</v>
      </c>
      <c r="D768" s="30" t="s">
        <v>1553</v>
      </c>
    </row>
    <row r="769" spans="1:4">
      <c r="A769" s="26" t="str">
        <f>$R$2&amp;".Commands.coOscilBlock"</f>
        <v>ASUES.ES.ZRU10kV.SHTN10.TEL.Commands.coOscilBlock</v>
      </c>
      <c r="B769" s="27">
        <v>1</v>
      </c>
      <c r="C769" s="27" t="s">
        <v>1</v>
      </c>
      <c r="D769" s="28">
        <v>11</v>
      </c>
    </row>
    <row r="770" spans="1:4">
      <c r="A770" s="29" t="str">
        <f>$R$2&amp;".Commands.coOscilMan"</f>
        <v>ASUES.ES.ZRU10kV.SHTN10.TEL.Commands.coOscilMan</v>
      </c>
      <c r="B770">
        <v>7999</v>
      </c>
      <c r="C770" t="s">
        <v>0</v>
      </c>
      <c r="D770" s="30" t="str">
        <f>"#"&amp;$S$2&amp;"#"&amp;$T$2&amp;""&amp;$P$2&amp;".Commands.TC20"</f>
        <v>#15#\\SERVER-ASCUER\Relematika.Modbus.OPCDAServerSHTN10.Commands.TC20</v>
      </c>
    </row>
    <row r="771" spans="1:4">
      <c r="A771" s="29" t="str">
        <f>$R$2&amp;".Commands.coOscilMan"</f>
        <v>ASUES.ES.ZRU10kV.SHTN10.TEL.Commands.coOscilMan</v>
      </c>
      <c r="B771">
        <v>7998</v>
      </c>
      <c r="C771" t="s">
        <v>6</v>
      </c>
      <c r="D771" s="30">
        <v>2</v>
      </c>
    </row>
    <row r="772" spans="1:4">
      <c r="A772" s="29" t="str">
        <f>$R$2&amp;".Commands.coOscilMan"</f>
        <v>ASUES.ES.ZRU10kV.SHTN10.TEL.Commands.coOscilMan</v>
      </c>
      <c r="B772">
        <v>101</v>
      </c>
      <c r="C772" t="s">
        <v>0</v>
      </c>
      <c r="D772" s="30" t="s">
        <v>1554</v>
      </c>
    </row>
    <row r="773" spans="1:4">
      <c r="A773" s="29" t="str">
        <f>$R$2&amp;".Commands.coOscilMan"</f>
        <v>ASUES.ES.ZRU10kV.SHTN10.TEL.Commands.coOscilMan</v>
      </c>
      <c r="B773">
        <v>1</v>
      </c>
      <c r="C773" t="s">
        <v>1</v>
      </c>
      <c r="D773" s="30">
        <v>11</v>
      </c>
    </row>
    <row r="774" spans="1:4">
      <c r="A774" s="23" t="str">
        <f t="shared" ref="A774:A779" si="75">$R$2&amp;".Commands.coOn"</f>
        <v>ASUES.ES.ZRU10kV.SHTN10.TEL.Commands.coOn</v>
      </c>
      <c r="B774" s="24">
        <v>7000000</v>
      </c>
      <c r="C774" s="24" t="s">
        <v>6</v>
      </c>
      <c r="D774" s="25">
        <v>0</v>
      </c>
    </row>
    <row r="775" spans="1:4">
      <c r="A775" s="29" t="str">
        <f t="shared" si="75"/>
        <v>ASUES.ES.ZRU10kV.SHTN10.TEL.Commands.coOn</v>
      </c>
      <c r="B775">
        <v>4000000</v>
      </c>
      <c r="C775" t="s">
        <v>0</v>
      </c>
      <c r="D775" s="30" t="s">
        <v>2682</v>
      </c>
    </row>
    <row r="776" spans="1:4">
      <c r="A776" s="29" t="str">
        <f t="shared" si="75"/>
        <v>ASUES.ES.ZRU10kV.SHTN10.TEL.Commands.coOn</v>
      </c>
      <c r="B776">
        <v>101</v>
      </c>
      <c r="C776" t="s">
        <v>0</v>
      </c>
      <c r="D776" s="30" t="s">
        <v>383</v>
      </c>
    </row>
    <row r="777" spans="1:4">
      <c r="A777" s="29" t="str">
        <f t="shared" si="75"/>
        <v>ASUES.ES.ZRU10kV.SHTN10.TEL.Commands.coOn</v>
      </c>
      <c r="B777">
        <v>7999</v>
      </c>
      <c r="C777" t="s">
        <v>0</v>
      </c>
      <c r="D777" s="30" t="str">
        <f>"#"&amp;$S$2&amp;"#"&amp;$T$2&amp;""&amp;$P$2&amp;".Commands.TC2"</f>
        <v>#15#\\SERVER-ASCUER\Relematika.Modbus.OPCDAServerSHTN10.Commands.TC2</v>
      </c>
    </row>
    <row r="778" spans="1:4">
      <c r="A778" s="29" t="str">
        <f t="shared" si="75"/>
        <v>ASUES.ES.ZRU10kV.SHTN10.TEL.Commands.coOn</v>
      </c>
      <c r="B778">
        <v>7998</v>
      </c>
      <c r="C778" t="s">
        <v>6</v>
      </c>
      <c r="D778" s="30">
        <v>2</v>
      </c>
    </row>
    <row r="779" spans="1:4">
      <c r="A779" s="26" t="str">
        <f t="shared" si="75"/>
        <v>ASUES.ES.ZRU10kV.SHTN10.TEL.Commands.coOn</v>
      </c>
      <c r="B779" s="27">
        <v>1</v>
      </c>
      <c r="C779" s="27" t="s">
        <v>1</v>
      </c>
      <c r="D779" s="28">
        <v>11</v>
      </c>
    </row>
    <row r="780" spans="1:4">
      <c r="A780" s="29" t="str">
        <f t="shared" ref="A780:A785" si="76">$R$2&amp;".Commands.coOff"</f>
        <v>ASUES.ES.ZRU10kV.SHTN10.TEL.Commands.coOff</v>
      </c>
      <c r="B780" s="24">
        <v>7000000</v>
      </c>
      <c r="C780" s="24" t="s">
        <v>6</v>
      </c>
      <c r="D780" s="25">
        <v>0</v>
      </c>
    </row>
    <row r="781" spans="1:4">
      <c r="A781" s="29" t="str">
        <f t="shared" si="76"/>
        <v>ASUES.ES.ZRU10kV.SHTN10.TEL.Commands.coOff</v>
      </c>
      <c r="B781">
        <v>4000000</v>
      </c>
      <c r="C781" t="s">
        <v>0</v>
      </c>
      <c r="D781" s="30" t="s">
        <v>2683</v>
      </c>
    </row>
    <row r="782" spans="1:4">
      <c r="A782" s="29" t="str">
        <f t="shared" si="76"/>
        <v>ASUES.ES.ZRU10kV.SHTN10.TEL.Commands.coOff</v>
      </c>
      <c r="B782">
        <v>101</v>
      </c>
      <c r="C782" t="s">
        <v>0</v>
      </c>
      <c r="D782" s="30" t="s">
        <v>384</v>
      </c>
    </row>
    <row r="783" spans="1:4">
      <c r="A783" s="29" t="str">
        <f t="shared" si="76"/>
        <v>ASUES.ES.ZRU10kV.SHTN10.TEL.Commands.coOff</v>
      </c>
      <c r="B783">
        <v>7999</v>
      </c>
      <c r="C783" t="s">
        <v>0</v>
      </c>
      <c r="D783" s="30" t="str">
        <f>"#"&amp;$S$2&amp;"#"&amp;$T$2&amp;""&amp;$P$2&amp;".Commands.TC1"</f>
        <v>#15#\\SERVER-ASCUER\Relematika.Modbus.OPCDAServerSHTN10.Commands.TC1</v>
      </c>
    </row>
    <row r="784" spans="1:4">
      <c r="A784" s="29" t="str">
        <f t="shared" si="76"/>
        <v>ASUES.ES.ZRU10kV.SHTN10.TEL.Commands.coOff</v>
      </c>
      <c r="B784">
        <v>7998</v>
      </c>
      <c r="C784" t="s">
        <v>6</v>
      </c>
      <c r="D784" s="30">
        <v>2</v>
      </c>
    </row>
    <row r="785" spans="1:4">
      <c r="A785" s="29" t="str">
        <f t="shared" si="76"/>
        <v>ASUES.ES.ZRU10kV.SHTN10.TEL.Commands.coOff</v>
      </c>
      <c r="B785">
        <v>1</v>
      </c>
      <c r="C785" t="s">
        <v>1</v>
      </c>
      <c r="D785" s="30">
        <v>11</v>
      </c>
    </row>
    <row r="786" spans="1:4">
      <c r="A786" s="23" t="str">
        <f t="shared" ref="A786:A791" si="77">$R$2&amp;".Commands.coRst"</f>
        <v>ASUES.ES.ZRU10kV.SHTN10.TEL.Commands.coRst</v>
      </c>
      <c r="B786" s="24">
        <v>7000000</v>
      </c>
      <c r="C786" s="24" t="s">
        <v>6</v>
      </c>
      <c r="D786" s="25">
        <v>0</v>
      </c>
    </row>
    <row r="787" spans="1:4">
      <c r="A787" s="29" t="str">
        <f t="shared" si="77"/>
        <v>ASUES.ES.ZRU10kV.SHTN10.TEL.Commands.coRst</v>
      </c>
      <c r="B787">
        <v>4000000</v>
      </c>
      <c r="C787" t="s">
        <v>0</v>
      </c>
      <c r="D787" s="30" t="s">
        <v>385</v>
      </c>
    </row>
    <row r="788" spans="1:4">
      <c r="A788" s="29" t="str">
        <f t="shared" si="77"/>
        <v>ASUES.ES.ZRU10kV.SHTN10.TEL.Commands.coRst</v>
      </c>
      <c r="B788">
        <v>101</v>
      </c>
      <c r="C788" t="s">
        <v>0</v>
      </c>
      <c r="D788" s="30" t="s">
        <v>386</v>
      </c>
    </row>
    <row r="789" spans="1:4">
      <c r="A789" s="29" t="str">
        <f t="shared" si="77"/>
        <v>ASUES.ES.ZRU10kV.SHTN10.TEL.Commands.coRst</v>
      </c>
      <c r="B789">
        <v>7999</v>
      </c>
      <c r="C789" t="s">
        <v>0</v>
      </c>
      <c r="D789" s="30" t="str">
        <f>"#"&amp;$S$2&amp;"#"&amp;$T$2&amp;""&amp;$P$2&amp;".Commands.TC3"</f>
        <v>#15#\\SERVER-ASCUER\Relematika.Modbus.OPCDAServerSHTN10.Commands.TC3</v>
      </c>
    </row>
    <row r="790" spans="1:4">
      <c r="A790" s="29" t="str">
        <f t="shared" si="77"/>
        <v>ASUES.ES.ZRU10kV.SHTN10.TEL.Commands.coRst</v>
      </c>
      <c r="B790">
        <v>7998</v>
      </c>
      <c r="C790" t="s">
        <v>6</v>
      </c>
      <c r="D790" s="30">
        <v>2</v>
      </c>
    </row>
    <row r="791" spans="1:4">
      <c r="A791" s="29" t="str">
        <f t="shared" si="77"/>
        <v>ASUES.ES.ZRU10kV.SHTN10.TEL.Commands.coRst</v>
      </c>
      <c r="B791">
        <v>1</v>
      </c>
      <c r="C791" t="s">
        <v>1</v>
      </c>
      <c r="D791" s="30">
        <v>11</v>
      </c>
    </row>
    <row r="792" spans="1:4">
      <c r="A792" s="23" t="str">
        <f t="shared" ref="A792:A797" si="78">$R$2&amp;".Commands.coRst2"</f>
        <v>ASUES.ES.ZRU10kV.SHTN10.TEL.Commands.coRst2</v>
      </c>
      <c r="B792" s="24">
        <v>7000000</v>
      </c>
      <c r="C792" s="24" t="s">
        <v>6</v>
      </c>
      <c r="D792" s="25">
        <v>0</v>
      </c>
    </row>
    <row r="793" spans="1:4">
      <c r="A793" s="29" t="str">
        <f t="shared" si="78"/>
        <v>ASUES.ES.ZRU10kV.SHTN10.TEL.Commands.coRst2</v>
      </c>
      <c r="B793">
        <v>4000000</v>
      </c>
      <c r="C793" t="s">
        <v>0</v>
      </c>
      <c r="D793" s="30" t="s">
        <v>385</v>
      </c>
    </row>
    <row r="794" spans="1:4">
      <c r="A794" s="29" t="str">
        <f t="shared" si="78"/>
        <v>ASUES.ES.ZRU10kV.SHTN10.TEL.Commands.coRst2</v>
      </c>
      <c r="B794">
        <v>101</v>
      </c>
      <c r="C794" t="s">
        <v>0</v>
      </c>
      <c r="D794" s="30" t="s">
        <v>386</v>
      </c>
    </row>
    <row r="795" spans="1:4">
      <c r="A795" s="29" t="str">
        <f t="shared" si="78"/>
        <v>ASUES.ES.ZRU10kV.SHTN10.TEL.Commands.coRst2</v>
      </c>
      <c r="B795">
        <v>7999</v>
      </c>
      <c r="C795" t="s">
        <v>0</v>
      </c>
      <c r="D795" s="30" t="str">
        <f>"#"&amp;$S$2&amp;"#"&amp;$T$2&amp;""&amp;$P$2&amp;".Commands.TC3"</f>
        <v>#15#\\SERVER-ASCUER\Relematika.Modbus.OPCDAServerSHTN10.Commands.TC3</v>
      </c>
    </row>
    <row r="796" spans="1:4">
      <c r="A796" s="29" t="str">
        <f t="shared" si="78"/>
        <v>ASUES.ES.ZRU10kV.SHTN10.TEL.Commands.coRst2</v>
      </c>
      <c r="B796">
        <v>7998</v>
      </c>
      <c r="C796" t="s">
        <v>6</v>
      </c>
      <c r="D796" s="30">
        <v>2</v>
      </c>
    </row>
    <row r="797" spans="1:4">
      <c r="A797" s="26" t="str">
        <f t="shared" si="78"/>
        <v>ASUES.ES.ZRU10kV.SHTN10.TEL.Commands.coRst2</v>
      </c>
      <c r="B797" s="27">
        <v>1</v>
      </c>
      <c r="C797" s="27" t="s">
        <v>1</v>
      </c>
      <c r="D797" s="28">
        <v>11</v>
      </c>
    </row>
    <row r="798" spans="1:4">
      <c r="A798" s="23" t="str">
        <f t="shared" ref="A798:A803" si="79">$R$2&amp;".Commands.coReadCountTrips"</f>
        <v>ASUES.ES.ZRU10kV.SHTN10.TEL.Commands.coReadCountTrips</v>
      </c>
      <c r="B798" s="24">
        <v>7000000</v>
      </c>
      <c r="C798" s="24" t="s">
        <v>6</v>
      </c>
      <c r="D798" s="25">
        <v>0</v>
      </c>
    </row>
    <row r="799" spans="1:4">
      <c r="A799" s="29" t="str">
        <f t="shared" si="79"/>
        <v>ASUES.ES.ZRU10kV.SHTN10.TEL.Commands.coReadCountTrips</v>
      </c>
      <c r="B799">
        <v>4000000</v>
      </c>
      <c r="C799" t="s">
        <v>0</v>
      </c>
      <c r="D799" s="30"/>
    </row>
    <row r="800" spans="1:4">
      <c r="A800" s="29" t="str">
        <f t="shared" si="79"/>
        <v>ASUES.ES.ZRU10kV.SHTN10.TEL.Commands.coReadCountTrips</v>
      </c>
      <c r="B800">
        <v>101</v>
      </c>
      <c r="C800" t="s">
        <v>0</v>
      </c>
      <c r="D800" s="30" t="s">
        <v>1555</v>
      </c>
    </row>
    <row r="801" spans="1:4">
      <c r="A801" s="29" t="str">
        <f t="shared" si="79"/>
        <v>ASUES.ES.ZRU10kV.SHTN10.TEL.Commands.coReadCountTrips</v>
      </c>
      <c r="B801">
        <v>7999</v>
      </c>
      <c r="C801" t="s">
        <v>0</v>
      </c>
      <c r="D801" s="30" t="str">
        <f>"#"&amp;$S$2&amp;"#"&amp;$T$2&amp;""&amp;$P$2&amp;".Commands.ReadZone8"</f>
        <v>#15#\\SERVER-ASCUER\Relematika.Modbus.OPCDAServerSHTN10.Commands.ReadZone8</v>
      </c>
    </row>
    <row r="802" spans="1:4">
      <c r="A802" s="29" t="str">
        <f t="shared" si="79"/>
        <v>ASUES.ES.ZRU10kV.SHTN10.TEL.Commands.coReadCountTrips</v>
      </c>
      <c r="B802">
        <v>7998</v>
      </c>
      <c r="C802" t="s">
        <v>6</v>
      </c>
      <c r="D802" s="30">
        <v>2</v>
      </c>
    </row>
    <row r="803" spans="1:4">
      <c r="A803" s="29" t="str">
        <f t="shared" si="79"/>
        <v>ASUES.ES.ZRU10kV.SHTN10.TEL.Commands.coReadCountTrips</v>
      </c>
      <c r="B803">
        <v>1</v>
      </c>
      <c r="C803" t="s">
        <v>1</v>
      </c>
      <c r="D803" s="30">
        <v>11</v>
      </c>
    </row>
    <row r="804" spans="1:4">
      <c r="A804" s="294" t="str">
        <f>$R$2&amp;".Commands.smCntSumOff"</f>
        <v>ASUES.ES.ZRU10kV.SHTN10.TEL.Commands.smCntSumOff</v>
      </c>
      <c r="B804" s="295">
        <v>7011</v>
      </c>
      <c r="C804" s="295" t="s">
        <v>2</v>
      </c>
      <c r="D804" s="296" t="s">
        <v>266</v>
      </c>
    </row>
    <row r="805" spans="1:4">
      <c r="A805" s="288" t="str">
        <f>$R$2&amp;".Commands.smCntSumOff"</f>
        <v>ASUES.ES.ZRU10kV.SHTN10.TEL.Commands.smCntSumOff</v>
      </c>
      <c r="B805" s="514">
        <v>101</v>
      </c>
      <c r="C805" s="514" t="s">
        <v>0</v>
      </c>
      <c r="D805" s="290" t="s">
        <v>351</v>
      </c>
    </row>
    <row r="806" spans="1:4">
      <c r="A806" s="291" t="str">
        <f>$R$2&amp;".Commands.smCntSumOff"</f>
        <v>ASUES.ES.ZRU10kV.SHTN10.TEL.Commands.smCntSumOff</v>
      </c>
      <c r="B806" s="292">
        <v>1</v>
      </c>
      <c r="C806" s="292" t="s">
        <v>1</v>
      </c>
      <c r="D806" s="293">
        <v>3</v>
      </c>
    </row>
    <row r="807" spans="1:4">
      <c r="A807" s="294" t="str">
        <f>$R$2&amp;".Commands.smCntSumOffI"</f>
        <v>ASUES.ES.ZRU10kV.SHTN10.TEL.Commands.smCntSumOffI</v>
      </c>
      <c r="B807" s="295">
        <v>7011</v>
      </c>
      <c r="C807" s="295" t="s">
        <v>2</v>
      </c>
      <c r="D807" s="296" t="s">
        <v>266</v>
      </c>
    </row>
    <row r="808" spans="1:4">
      <c r="A808" s="288" t="str">
        <f>$R$2&amp;".Commands.smCntSumOffI"</f>
        <v>ASUES.ES.ZRU10kV.SHTN10.TEL.Commands.smCntSumOffI</v>
      </c>
      <c r="B808" s="514">
        <v>101</v>
      </c>
      <c r="C808" s="514" t="s">
        <v>0</v>
      </c>
      <c r="D808" s="290" t="s">
        <v>353</v>
      </c>
    </row>
    <row r="809" spans="1:4">
      <c r="A809" s="291" t="str">
        <f>$R$2&amp;".Commands.smCntSumOffI"</f>
        <v>ASUES.ES.ZRU10kV.SHTN10.TEL.Commands.smCntSumOffI</v>
      </c>
      <c r="B809" s="292">
        <v>1</v>
      </c>
      <c r="C809" s="292" t="s">
        <v>1</v>
      </c>
      <c r="D809" s="293">
        <v>3</v>
      </c>
    </row>
    <row r="810" spans="1:4">
      <c r="A810" s="294" t="str">
        <f>$R$2&amp;".Commands.smCntSumOffIKZ"</f>
        <v>ASUES.ES.ZRU10kV.SHTN10.TEL.Commands.smCntSumOffIKZ</v>
      </c>
      <c r="B810" s="295">
        <v>7011</v>
      </c>
      <c r="C810" s="295" t="s">
        <v>2</v>
      </c>
      <c r="D810" s="296" t="s">
        <v>266</v>
      </c>
    </row>
    <row r="811" spans="1:4">
      <c r="A811" s="288" t="str">
        <f>$R$2&amp;".Commands.smCntSumOffIKZ"</f>
        <v>ASUES.ES.ZRU10kV.SHTN10.TEL.Commands.smCntSumOffIKZ</v>
      </c>
      <c r="B811" s="514">
        <v>101</v>
      </c>
      <c r="C811" s="514" t="s">
        <v>0</v>
      </c>
      <c r="D811" s="290" t="s">
        <v>354</v>
      </c>
    </row>
    <row r="812" spans="1:4">
      <c r="A812" s="291" t="str">
        <f>$R$2&amp;".Commands.smCntSumOffIKZ"</f>
        <v>ASUES.ES.ZRU10kV.SHTN10.TEL.Commands.smCntSumOffIKZ</v>
      </c>
      <c r="B812" s="292">
        <v>1</v>
      </c>
      <c r="C812" s="292" t="s">
        <v>1</v>
      </c>
      <c r="D812" s="293">
        <v>3</v>
      </c>
    </row>
    <row r="813" spans="1:4">
      <c r="A813" s="294" t="str">
        <f t="shared" ref="A813:A818" si="80">$R$2&amp;".mCntSumOff"</f>
        <v>ASUES.ES.ZRU10kV.SHTN10.TEL.mCntSumOff</v>
      </c>
      <c r="B813" s="295">
        <v>7999</v>
      </c>
      <c r="C813" s="295" t="s">
        <v>0</v>
      </c>
      <c r="D813" s="296" t="str">
        <f>"#"&amp;$S$2&amp;"#"&amp;$T$2&amp;""&amp;$P$2&amp;".CommCnt"</f>
        <v>#15#\\SERVER-ASCUER\Relematika.Modbus.OPCDAServerSHTN10.CommCnt</v>
      </c>
    </row>
    <row r="814" spans="1:4">
      <c r="A814" s="288" t="str">
        <f t="shared" si="80"/>
        <v>ASUES.ES.ZRU10kV.SHTN10.TEL.mCntSumOff</v>
      </c>
      <c r="B814" s="514">
        <v>7998</v>
      </c>
      <c r="C814" s="514" t="s">
        <v>6</v>
      </c>
      <c r="D814" s="290">
        <v>1</v>
      </c>
    </row>
    <row r="815" spans="1:4">
      <c r="A815" s="288" t="str">
        <f t="shared" si="80"/>
        <v>ASUES.ES.ZRU10kV.SHTN10.TEL.mCntSumOff</v>
      </c>
      <c r="B815" s="514">
        <v>101</v>
      </c>
      <c r="C815" s="514" t="s">
        <v>0</v>
      </c>
      <c r="D815" s="290" t="s">
        <v>343</v>
      </c>
    </row>
    <row r="816" spans="1:4">
      <c r="A816" s="288" t="str">
        <f t="shared" si="80"/>
        <v>ASUES.ES.ZRU10kV.SHTN10.TEL.mCntSumOff</v>
      </c>
      <c r="B816" s="514">
        <v>3</v>
      </c>
      <c r="C816" s="514" t="s">
        <v>1</v>
      </c>
      <c r="D816" s="290">
        <v>192</v>
      </c>
    </row>
    <row r="817" spans="1:4">
      <c r="A817" s="288" t="str">
        <f t="shared" si="80"/>
        <v>ASUES.ES.ZRU10kV.SHTN10.TEL.mCntSumOff</v>
      </c>
      <c r="B817" s="514">
        <v>2</v>
      </c>
      <c r="C817" s="514" t="s">
        <v>6</v>
      </c>
      <c r="D817" s="290">
        <v>0</v>
      </c>
    </row>
    <row r="818" spans="1:4">
      <c r="A818" s="291" t="str">
        <f t="shared" si="80"/>
        <v>ASUES.ES.ZRU10kV.SHTN10.TEL.mCntSumOff</v>
      </c>
      <c r="B818" s="292">
        <v>1</v>
      </c>
      <c r="C818" s="292" t="s">
        <v>1</v>
      </c>
      <c r="D818" s="293">
        <v>3</v>
      </c>
    </row>
    <row r="819" spans="1:4">
      <c r="A819" s="294" t="str">
        <f t="shared" ref="A819:A824" si="81">$R$2&amp;".mCntSumOffI"</f>
        <v>ASUES.ES.ZRU10kV.SHTN10.TEL.mCntSumOffI</v>
      </c>
      <c r="B819" s="295">
        <v>7999</v>
      </c>
      <c r="C819" s="295" t="s">
        <v>0</v>
      </c>
      <c r="D819" s="296" t="str">
        <f>"#"&amp;$S$2&amp;"#"&amp;$T$2&amp;""&amp;$P$2&amp;".Trip_I_Cnt"</f>
        <v>#15#\\SERVER-ASCUER\Relematika.Modbus.OPCDAServerSHTN10.Trip_I_Cnt</v>
      </c>
    </row>
    <row r="820" spans="1:4">
      <c r="A820" s="288" t="str">
        <f t="shared" si="81"/>
        <v>ASUES.ES.ZRU10kV.SHTN10.TEL.mCntSumOffI</v>
      </c>
      <c r="B820" s="514">
        <v>7998</v>
      </c>
      <c r="C820" s="514" t="s">
        <v>6</v>
      </c>
      <c r="D820" s="290">
        <v>1</v>
      </c>
    </row>
    <row r="821" spans="1:4">
      <c r="A821" s="288" t="str">
        <f t="shared" si="81"/>
        <v>ASUES.ES.ZRU10kV.SHTN10.TEL.mCntSumOffI</v>
      </c>
      <c r="B821" s="514">
        <v>101</v>
      </c>
      <c r="C821" s="514" t="s">
        <v>0</v>
      </c>
      <c r="D821" s="290" t="s">
        <v>344</v>
      </c>
    </row>
    <row r="822" spans="1:4">
      <c r="A822" s="288" t="str">
        <f t="shared" si="81"/>
        <v>ASUES.ES.ZRU10kV.SHTN10.TEL.mCntSumOffI</v>
      </c>
      <c r="B822" s="514">
        <v>3</v>
      </c>
      <c r="C822" s="514" t="s">
        <v>1</v>
      </c>
      <c r="D822" s="290">
        <v>192</v>
      </c>
    </row>
    <row r="823" spans="1:4">
      <c r="A823" s="288" t="str">
        <f t="shared" si="81"/>
        <v>ASUES.ES.ZRU10kV.SHTN10.TEL.mCntSumOffI</v>
      </c>
      <c r="B823" s="514">
        <v>2</v>
      </c>
      <c r="C823" s="514" t="s">
        <v>6</v>
      </c>
      <c r="D823" s="290">
        <v>0</v>
      </c>
    </row>
    <row r="824" spans="1:4">
      <c r="A824" s="291" t="str">
        <f t="shared" si="81"/>
        <v>ASUES.ES.ZRU10kV.SHTN10.TEL.mCntSumOffI</v>
      </c>
      <c r="B824" s="292">
        <v>1</v>
      </c>
      <c r="C824" s="292" t="s">
        <v>1</v>
      </c>
      <c r="D824" s="293">
        <v>3</v>
      </c>
    </row>
    <row r="825" spans="1:4">
      <c r="A825" s="294" t="str">
        <f t="shared" ref="A825:A830" si="82">$R$2&amp;".mCntSumOffIKZ"</f>
        <v>ASUES.ES.ZRU10kV.SHTN10.TEL.mCntSumOffIKZ</v>
      </c>
      <c r="B825" s="295">
        <v>7999</v>
      </c>
      <c r="C825" s="295" t="s">
        <v>0</v>
      </c>
      <c r="D825" s="296" t="str">
        <f>"#"&amp;$S$2&amp;"#"&amp;$T$2&amp;""&amp;$P$2&amp;".Trip_Ikz_Cnt"</f>
        <v>#15#\\SERVER-ASCUER\Relematika.Modbus.OPCDAServerSHTN10.Trip_Ikz_Cnt</v>
      </c>
    </row>
    <row r="826" spans="1:4">
      <c r="A826" s="288" t="str">
        <f t="shared" si="82"/>
        <v>ASUES.ES.ZRU10kV.SHTN10.TEL.mCntSumOffIKZ</v>
      </c>
      <c r="B826" s="514">
        <v>7998</v>
      </c>
      <c r="C826" s="514" t="s">
        <v>6</v>
      </c>
      <c r="D826" s="290">
        <v>1</v>
      </c>
    </row>
    <row r="827" spans="1:4">
      <c r="A827" s="288" t="str">
        <f t="shared" si="82"/>
        <v>ASUES.ES.ZRU10kV.SHTN10.TEL.mCntSumOffIKZ</v>
      </c>
      <c r="B827" s="514">
        <v>101</v>
      </c>
      <c r="C827" s="514" t="s">
        <v>0</v>
      </c>
      <c r="D827" s="290" t="s">
        <v>345</v>
      </c>
    </row>
    <row r="828" spans="1:4">
      <c r="A828" s="288" t="str">
        <f t="shared" si="82"/>
        <v>ASUES.ES.ZRU10kV.SHTN10.TEL.mCntSumOffIKZ</v>
      </c>
      <c r="B828" s="514">
        <v>3</v>
      </c>
      <c r="C828" s="514" t="s">
        <v>1</v>
      </c>
      <c r="D828" s="290">
        <v>192</v>
      </c>
    </row>
    <row r="829" spans="1:4">
      <c r="A829" s="288" t="str">
        <f t="shared" si="82"/>
        <v>ASUES.ES.ZRU10kV.SHTN10.TEL.mCntSumOffIKZ</v>
      </c>
      <c r="B829" s="514">
        <v>2</v>
      </c>
      <c r="C829" s="514" t="s">
        <v>6</v>
      </c>
      <c r="D829" s="290">
        <v>0</v>
      </c>
    </row>
    <row r="830" spans="1:4">
      <c r="A830" s="291" t="str">
        <f t="shared" si="82"/>
        <v>ASUES.ES.ZRU10kV.SHTN10.TEL.mCntSumOffIKZ</v>
      </c>
      <c r="B830" s="292">
        <v>1</v>
      </c>
      <c r="C830" s="292" t="s">
        <v>1</v>
      </c>
      <c r="D830" s="293">
        <v>3</v>
      </c>
    </row>
    <row r="831" spans="1:4">
      <c r="A831" s="294" t="str">
        <f t="shared" ref="A831:A836" si="83">$R$2&amp;".mEaMinus"</f>
        <v>ASUES.ES.ZRU10kV.SHTN10.TEL.mEaMinus</v>
      </c>
      <c r="B831" s="295">
        <v>7999</v>
      </c>
      <c r="C831" s="295" t="s">
        <v>0</v>
      </c>
      <c r="D831" s="296" t="str">
        <f>"#"&amp;$S$2&amp;"#"&amp;$T$2&amp;""&amp;$P$2&amp;".Ea-"</f>
        <v>#15#\\SERVER-ASCUER\Relematika.Modbus.OPCDAServerSHTN10.Ea-</v>
      </c>
    </row>
    <row r="832" spans="1:4">
      <c r="A832" s="288" t="str">
        <f t="shared" si="83"/>
        <v>ASUES.ES.ZRU10kV.SHTN10.TEL.mEaMinus</v>
      </c>
      <c r="B832" s="514">
        <v>7998</v>
      </c>
      <c r="C832" s="514" t="s">
        <v>6</v>
      </c>
      <c r="D832" s="290">
        <v>1</v>
      </c>
    </row>
    <row r="833" spans="1:4">
      <c r="A833" s="288" t="str">
        <f t="shared" si="83"/>
        <v>ASUES.ES.ZRU10kV.SHTN10.TEL.mEaMinus</v>
      </c>
      <c r="B833" s="514">
        <v>101</v>
      </c>
      <c r="C833" s="514" t="s">
        <v>0</v>
      </c>
      <c r="D833" s="290" t="s">
        <v>347</v>
      </c>
    </row>
    <row r="834" spans="1:4">
      <c r="A834" s="288" t="str">
        <f t="shared" si="83"/>
        <v>ASUES.ES.ZRU10kV.SHTN10.TEL.mEaMinus</v>
      </c>
      <c r="B834" s="514">
        <v>3</v>
      </c>
      <c r="C834" s="514" t="s">
        <v>1</v>
      </c>
      <c r="D834" s="290">
        <v>192</v>
      </c>
    </row>
    <row r="835" spans="1:4">
      <c r="A835" s="288" t="str">
        <f t="shared" si="83"/>
        <v>ASUES.ES.ZRU10kV.SHTN10.TEL.mEaMinus</v>
      </c>
      <c r="B835" s="514">
        <v>2</v>
      </c>
      <c r="C835" s="514" t="s">
        <v>6</v>
      </c>
      <c r="D835" s="290">
        <v>0</v>
      </c>
    </row>
    <row r="836" spans="1:4">
      <c r="A836" s="291" t="str">
        <f t="shared" si="83"/>
        <v>ASUES.ES.ZRU10kV.SHTN10.TEL.mEaMinus</v>
      </c>
      <c r="B836" s="292">
        <v>1</v>
      </c>
      <c r="C836" s="292" t="s">
        <v>1</v>
      </c>
      <c r="D836" s="293">
        <v>3</v>
      </c>
    </row>
    <row r="837" spans="1:4">
      <c r="A837" s="294" t="str">
        <f t="shared" ref="A837:A842" si="84">$R$2&amp;".mEaPlus"</f>
        <v>ASUES.ES.ZRU10kV.SHTN10.TEL.mEaPlus</v>
      </c>
      <c r="B837" s="295">
        <v>7999</v>
      </c>
      <c r="C837" s="295" t="s">
        <v>0</v>
      </c>
      <c r="D837" s="296" t="str">
        <f>"#"&amp;$S$2&amp;"#"&amp;$T$2&amp;""&amp;$P$2&amp;".Ea+"</f>
        <v>#15#\\SERVER-ASCUER\Relematika.Modbus.OPCDAServerSHTN10.Ea+</v>
      </c>
    </row>
    <row r="838" spans="1:4">
      <c r="A838" s="288" t="str">
        <f t="shared" si="84"/>
        <v>ASUES.ES.ZRU10kV.SHTN10.TEL.mEaPlus</v>
      </c>
      <c r="B838" s="514">
        <v>7998</v>
      </c>
      <c r="C838" s="514" t="s">
        <v>6</v>
      </c>
      <c r="D838" s="290">
        <v>1</v>
      </c>
    </row>
    <row r="839" spans="1:4">
      <c r="A839" s="288" t="str">
        <f t="shared" si="84"/>
        <v>ASUES.ES.ZRU10kV.SHTN10.TEL.mEaPlus</v>
      </c>
      <c r="B839" s="514">
        <v>101</v>
      </c>
      <c r="C839" s="514" t="s">
        <v>0</v>
      </c>
      <c r="D839" s="290" t="s">
        <v>346</v>
      </c>
    </row>
    <row r="840" spans="1:4">
      <c r="A840" s="288" t="str">
        <f t="shared" si="84"/>
        <v>ASUES.ES.ZRU10kV.SHTN10.TEL.mEaPlus</v>
      </c>
      <c r="B840" s="514">
        <v>3</v>
      </c>
      <c r="C840" s="514" t="s">
        <v>1</v>
      </c>
      <c r="D840" s="290">
        <v>192</v>
      </c>
    </row>
    <row r="841" spans="1:4">
      <c r="A841" s="288" t="str">
        <f t="shared" si="84"/>
        <v>ASUES.ES.ZRU10kV.SHTN10.TEL.mEaPlus</v>
      </c>
      <c r="B841" s="514">
        <v>2</v>
      </c>
      <c r="C841" s="514" t="s">
        <v>6</v>
      </c>
      <c r="D841" s="290">
        <v>0</v>
      </c>
    </row>
    <row r="842" spans="1:4">
      <c r="A842" s="291" t="str">
        <f t="shared" si="84"/>
        <v>ASUES.ES.ZRU10kV.SHTN10.TEL.mEaPlus</v>
      </c>
      <c r="B842" s="292">
        <v>1</v>
      </c>
      <c r="C842" s="292" t="s">
        <v>1</v>
      </c>
      <c r="D842" s="293">
        <v>3</v>
      </c>
    </row>
    <row r="843" spans="1:4">
      <c r="A843" s="294" t="str">
        <f t="shared" ref="A843:A848" si="85">$R$2&amp;".mErMinus"</f>
        <v>ASUES.ES.ZRU10kV.SHTN10.TEL.mErMinus</v>
      </c>
      <c r="B843" s="295">
        <v>7999</v>
      </c>
      <c r="C843" s="295" t="s">
        <v>0</v>
      </c>
      <c r="D843" s="296" t="str">
        <f>"#"&amp;$S$2&amp;"#"&amp;$T$2&amp;""&amp;$P$2&amp;".Er-"</f>
        <v>#15#\\SERVER-ASCUER\Relematika.Modbus.OPCDAServerSHTN10.Er-</v>
      </c>
    </row>
    <row r="844" spans="1:4">
      <c r="A844" s="288" t="str">
        <f t="shared" si="85"/>
        <v>ASUES.ES.ZRU10kV.SHTN10.TEL.mErMinus</v>
      </c>
      <c r="B844" s="514">
        <v>7998</v>
      </c>
      <c r="C844" s="514" t="s">
        <v>6</v>
      </c>
      <c r="D844" s="290">
        <v>1</v>
      </c>
    </row>
    <row r="845" spans="1:4">
      <c r="A845" s="288" t="str">
        <f t="shared" si="85"/>
        <v>ASUES.ES.ZRU10kV.SHTN10.TEL.mErMinus</v>
      </c>
      <c r="B845" s="514">
        <v>101</v>
      </c>
      <c r="C845" s="514" t="s">
        <v>0</v>
      </c>
      <c r="D845" s="290" t="s">
        <v>349</v>
      </c>
    </row>
    <row r="846" spans="1:4">
      <c r="A846" s="288" t="str">
        <f t="shared" si="85"/>
        <v>ASUES.ES.ZRU10kV.SHTN10.TEL.mErMinus</v>
      </c>
      <c r="B846" s="514">
        <v>3</v>
      </c>
      <c r="C846" s="514" t="s">
        <v>1</v>
      </c>
      <c r="D846" s="290">
        <v>192</v>
      </c>
    </row>
    <row r="847" spans="1:4">
      <c r="A847" s="288" t="str">
        <f t="shared" si="85"/>
        <v>ASUES.ES.ZRU10kV.SHTN10.TEL.mErMinus</v>
      </c>
      <c r="B847" s="514">
        <v>2</v>
      </c>
      <c r="C847" s="514" t="s">
        <v>6</v>
      </c>
      <c r="D847" s="290">
        <v>0</v>
      </c>
    </row>
    <row r="848" spans="1:4">
      <c r="A848" s="291" t="str">
        <f t="shared" si="85"/>
        <v>ASUES.ES.ZRU10kV.SHTN10.TEL.mErMinus</v>
      </c>
      <c r="B848" s="292">
        <v>1</v>
      </c>
      <c r="C848" s="292" t="s">
        <v>1</v>
      </c>
      <c r="D848" s="293">
        <v>3</v>
      </c>
    </row>
    <row r="849" spans="1:4">
      <c r="A849" s="294" t="str">
        <f t="shared" ref="A849:A854" si="86">$R$2&amp;".mErPlus"</f>
        <v>ASUES.ES.ZRU10kV.SHTN10.TEL.mErPlus</v>
      </c>
      <c r="B849" s="295">
        <v>7999</v>
      </c>
      <c r="C849" s="295" t="s">
        <v>0</v>
      </c>
      <c r="D849" s="296" t="str">
        <f>"#"&amp;$S$2&amp;"#"&amp;$T$2&amp;""&amp;$P$2&amp;".Er+"</f>
        <v>#15#\\SERVER-ASCUER\Relematika.Modbus.OPCDAServerSHTN10.Er+</v>
      </c>
    </row>
    <row r="850" spans="1:4">
      <c r="A850" s="288" t="str">
        <f t="shared" si="86"/>
        <v>ASUES.ES.ZRU10kV.SHTN10.TEL.mErPlus</v>
      </c>
      <c r="B850" s="514">
        <v>7998</v>
      </c>
      <c r="C850" s="514" t="s">
        <v>6</v>
      </c>
      <c r="D850" s="290">
        <v>1</v>
      </c>
    </row>
    <row r="851" spans="1:4">
      <c r="A851" s="288" t="str">
        <f t="shared" si="86"/>
        <v>ASUES.ES.ZRU10kV.SHTN10.TEL.mErPlus</v>
      </c>
      <c r="B851" s="514">
        <v>101</v>
      </c>
      <c r="C851" s="514" t="s">
        <v>0</v>
      </c>
      <c r="D851" s="290" t="s">
        <v>348</v>
      </c>
    </row>
    <row r="852" spans="1:4">
      <c r="A852" s="288" t="str">
        <f t="shared" si="86"/>
        <v>ASUES.ES.ZRU10kV.SHTN10.TEL.mErPlus</v>
      </c>
      <c r="B852" s="514">
        <v>3</v>
      </c>
      <c r="C852" s="514" t="s">
        <v>1</v>
      </c>
      <c r="D852" s="290">
        <v>192</v>
      </c>
    </row>
    <row r="853" spans="1:4">
      <c r="A853" s="288" t="str">
        <f t="shared" si="86"/>
        <v>ASUES.ES.ZRU10kV.SHTN10.TEL.mErPlus</v>
      </c>
      <c r="B853" s="514">
        <v>2</v>
      </c>
      <c r="C853" s="514" t="s">
        <v>6</v>
      </c>
      <c r="D853" s="290">
        <v>0</v>
      </c>
    </row>
    <row r="854" spans="1:4">
      <c r="A854" s="291" t="str">
        <f t="shared" si="86"/>
        <v>ASUES.ES.ZRU10kV.SHTN10.TEL.mErPlus</v>
      </c>
      <c r="B854" s="292">
        <v>1</v>
      </c>
      <c r="C854" s="292" t="s">
        <v>1</v>
      </c>
      <c r="D854" s="293">
        <v>3</v>
      </c>
    </row>
    <row r="855" spans="1:4">
      <c r="A855" s="288" t="str">
        <f>$R$2&amp;".smCntSumOff"</f>
        <v>ASUES.ES.ZRU10kV.SHTN10.TEL.smCntSumOff</v>
      </c>
      <c r="B855" s="514">
        <v>3000000</v>
      </c>
      <c r="C855" s="514" t="s">
        <v>0</v>
      </c>
      <c r="D855" s="290" t="s">
        <v>350</v>
      </c>
    </row>
    <row r="856" spans="1:4">
      <c r="A856" s="288" t="str">
        <f>$R$2&amp;".smCntSumOff"</f>
        <v>ASUES.ES.ZRU10kV.SHTN10.TEL.smCntSumOff</v>
      </c>
      <c r="B856" s="514">
        <v>101</v>
      </c>
      <c r="C856" s="514" t="s">
        <v>0</v>
      </c>
      <c r="D856" s="290" t="s">
        <v>351</v>
      </c>
    </row>
    <row r="857" spans="1:4">
      <c r="A857" s="288" t="str">
        <f>$R$2&amp;".smCntSumOff"</f>
        <v>ASUES.ES.ZRU10kV.SHTN10.TEL.smCntSumOff</v>
      </c>
      <c r="B857" s="514">
        <v>3</v>
      </c>
      <c r="C857" s="514" t="s">
        <v>1</v>
      </c>
      <c r="D857" s="290">
        <v>192</v>
      </c>
    </row>
    <row r="858" spans="1:4">
      <c r="A858" s="288" t="str">
        <f>$R$2&amp;".smCntSumOff"</f>
        <v>ASUES.ES.ZRU10kV.SHTN10.TEL.smCntSumOff</v>
      </c>
      <c r="B858" s="514">
        <v>2</v>
      </c>
      <c r="C858" s="514" t="s">
        <v>6</v>
      </c>
      <c r="D858" s="290">
        <v>0</v>
      </c>
    </row>
    <row r="859" spans="1:4">
      <c r="A859" s="291" t="str">
        <f>$R$2&amp;".smCntSumOff"</f>
        <v>ASUES.ES.ZRU10kV.SHTN10.TEL.smCntSumOff</v>
      </c>
      <c r="B859" s="292">
        <v>1</v>
      </c>
      <c r="C859" s="292" t="s">
        <v>1</v>
      </c>
      <c r="D859" s="293">
        <v>3</v>
      </c>
    </row>
    <row r="860" spans="1:4">
      <c r="A860" s="288" t="str">
        <f>$R$2&amp;".smCntSumOffI"</f>
        <v>ASUES.ES.ZRU10kV.SHTN10.TEL.smCntSumOffI</v>
      </c>
      <c r="B860" s="514">
        <v>3000000</v>
      </c>
      <c r="C860" s="514" t="s">
        <v>0</v>
      </c>
      <c r="D860" s="290" t="s">
        <v>352</v>
      </c>
    </row>
    <row r="861" spans="1:4">
      <c r="A861" s="288" t="str">
        <f>$R$2&amp;".smCntSumOffI"</f>
        <v>ASUES.ES.ZRU10kV.SHTN10.TEL.smCntSumOffI</v>
      </c>
      <c r="B861" s="514">
        <v>101</v>
      </c>
      <c r="C861" s="514" t="s">
        <v>0</v>
      </c>
      <c r="D861" s="290" t="s">
        <v>353</v>
      </c>
    </row>
    <row r="862" spans="1:4">
      <c r="A862" s="288" t="str">
        <f>$R$2&amp;".smCntSumOffI"</f>
        <v>ASUES.ES.ZRU10kV.SHTN10.TEL.smCntSumOffI</v>
      </c>
      <c r="B862" s="514">
        <v>3</v>
      </c>
      <c r="C862" s="514" t="s">
        <v>1</v>
      </c>
      <c r="D862" s="290">
        <v>192</v>
      </c>
    </row>
    <row r="863" spans="1:4">
      <c r="A863" s="288" t="str">
        <f>$R$2&amp;".smCntSumOffI"</f>
        <v>ASUES.ES.ZRU10kV.SHTN10.TEL.smCntSumOffI</v>
      </c>
      <c r="B863" s="514">
        <v>2</v>
      </c>
      <c r="C863" s="514" t="s">
        <v>6</v>
      </c>
      <c r="D863" s="290">
        <v>0</v>
      </c>
    </row>
    <row r="864" spans="1:4">
      <c r="A864" s="291" t="str">
        <f>$R$2&amp;".smCntSumOffI"</f>
        <v>ASUES.ES.ZRU10kV.SHTN10.TEL.smCntSumOffI</v>
      </c>
      <c r="B864" s="292">
        <v>1</v>
      </c>
      <c r="C864" s="292" t="s">
        <v>1</v>
      </c>
      <c r="D864" s="293">
        <v>3</v>
      </c>
    </row>
    <row r="865" spans="1:4">
      <c r="A865" s="288" t="str">
        <f>$R$2&amp;".smCntSumOffIKZ"</f>
        <v>ASUES.ES.ZRU10kV.SHTN10.TEL.smCntSumOffIKZ</v>
      </c>
      <c r="B865" s="514">
        <v>3000000</v>
      </c>
      <c r="C865" s="514" t="s">
        <v>0</v>
      </c>
      <c r="D865" s="290" t="s">
        <v>1520</v>
      </c>
    </row>
    <row r="866" spans="1:4">
      <c r="A866" s="288" t="str">
        <f>$R$2&amp;".smCntSumOffIKZ"</f>
        <v>ASUES.ES.ZRU10kV.SHTN10.TEL.smCntSumOffIKZ</v>
      </c>
      <c r="B866" s="514">
        <v>101</v>
      </c>
      <c r="C866" s="514" t="s">
        <v>0</v>
      </c>
      <c r="D866" s="290" t="s">
        <v>354</v>
      </c>
    </row>
    <row r="867" spans="1:4">
      <c r="A867" s="288" t="str">
        <f>$R$2&amp;".smCntSumOffIKZ"</f>
        <v>ASUES.ES.ZRU10kV.SHTN10.TEL.smCntSumOffIKZ</v>
      </c>
      <c r="B867" s="514">
        <v>3</v>
      </c>
      <c r="C867" s="514" t="s">
        <v>1</v>
      </c>
      <c r="D867" s="290">
        <v>192</v>
      </c>
    </row>
    <row r="868" spans="1:4">
      <c r="A868" s="288" t="str">
        <f>$R$2&amp;".smCntSumOffIKZ"</f>
        <v>ASUES.ES.ZRU10kV.SHTN10.TEL.smCntSumOffIKZ</v>
      </c>
      <c r="B868" s="514">
        <v>2</v>
      </c>
      <c r="C868" s="514" t="s">
        <v>6</v>
      </c>
      <c r="D868" s="290">
        <v>0</v>
      </c>
    </row>
    <row r="869" spans="1:4">
      <c r="A869" s="291" t="str">
        <f>$R$2&amp;".smCntSumOffIKZ"</f>
        <v>ASUES.ES.ZRU10kV.SHTN10.TEL.smCntSumOffIKZ</v>
      </c>
      <c r="B869" s="292">
        <v>1</v>
      </c>
      <c r="C869" s="292" t="s">
        <v>1</v>
      </c>
      <c r="D869" s="293">
        <v>3</v>
      </c>
    </row>
    <row r="870" spans="1:4">
      <c r="A870" s="275" t="str">
        <f t="shared" ref="A870:A875" si="87">$R$2&amp;".mCosPhi"</f>
        <v>ASUES.ES.ZRU10kV.SHTN10.TEL.mCosPhi</v>
      </c>
      <c r="B870" s="276">
        <v>7999</v>
      </c>
      <c r="C870" s="276" t="s">
        <v>0</v>
      </c>
      <c r="D870" s="277" t="str">
        <f>"#"&amp;$S$2&amp;"#"&amp;$T$2&amp;""&amp;$P$2&amp;".CosF"</f>
        <v>#15#\\SERVER-ASCUER\Relematika.Modbus.OPCDAServerSHTN10.CosF</v>
      </c>
    </row>
    <row r="871" spans="1:4">
      <c r="A871" s="278" t="str">
        <f t="shared" si="87"/>
        <v>ASUES.ES.ZRU10kV.SHTN10.TEL.mCosPhi</v>
      </c>
      <c r="B871" s="688">
        <v>7998</v>
      </c>
      <c r="C871" s="688" t="s">
        <v>6</v>
      </c>
      <c r="D871" s="280">
        <v>1</v>
      </c>
    </row>
    <row r="872" spans="1:4">
      <c r="A872" s="278" t="str">
        <f t="shared" si="87"/>
        <v>ASUES.ES.ZRU10kV.SHTN10.TEL.mCosPhi</v>
      </c>
      <c r="B872" s="688">
        <v>101</v>
      </c>
      <c r="C872" s="688" t="s">
        <v>0</v>
      </c>
      <c r="D872" s="280" t="s">
        <v>355</v>
      </c>
    </row>
    <row r="873" spans="1:4">
      <c r="A873" s="278" t="str">
        <f t="shared" si="87"/>
        <v>ASUES.ES.ZRU10kV.SHTN10.TEL.mCosPhi</v>
      </c>
      <c r="B873" s="688">
        <v>3</v>
      </c>
      <c r="C873" s="688" t="s">
        <v>1</v>
      </c>
      <c r="D873" s="280">
        <v>192</v>
      </c>
    </row>
    <row r="874" spans="1:4">
      <c r="A874" s="278" t="str">
        <f t="shared" si="87"/>
        <v>ASUES.ES.ZRU10kV.SHTN10.TEL.mCosPhi</v>
      </c>
      <c r="B874" s="688">
        <v>2</v>
      </c>
      <c r="C874" s="688" t="s">
        <v>80</v>
      </c>
      <c r="D874" s="280">
        <v>0</v>
      </c>
    </row>
    <row r="875" spans="1:4">
      <c r="A875" s="281" t="str">
        <f t="shared" si="87"/>
        <v>ASUES.ES.ZRU10kV.SHTN10.TEL.mCosPhi</v>
      </c>
      <c r="B875" s="282">
        <v>1</v>
      </c>
      <c r="C875" s="282" t="s">
        <v>1</v>
      </c>
      <c r="D875" s="283">
        <v>4</v>
      </c>
    </row>
    <row r="876" spans="1:4">
      <c r="A876" s="275" t="str">
        <f t="shared" ref="A876:A881" si="88">$R$2&amp;".mFreq"</f>
        <v>ASUES.ES.ZRU10kV.SHTN10.TEL.mFreq</v>
      </c>
      <c r="B876" s="276">
        <v>7999</v>
      </c>
      <c r="C876" s="276" t="s">
        <v>0</v>
      </c>
      <c r="D876" s="277" t="str">
        <f>"#"&amp;$S$2&amp;"#"&amp;$T$2&amp;""&amp;$P$2&amp;".Freq"</f>
        <v>#15#\\SERVER-ASCUER\Relematika.Modbus.OPCDAServerSHTN10.Freq</v>
      </c>
    </row>
    <row r="877" spans="1:4">
      <c r="A877" s="278" t="str">
        <f t="shared" si="88"/>
        <v>ASUES.ES.ZRU10kV.SHTN10.TEL.mFreq</v>
      </c>
      <c r="B877" s="688">
        <v>7998</v>
      </c>
      <c r="C877" s="688" t="s">
        <v>6</v>
      </c>
      <c r="D877" s="280">
        <v>1</v>
      </c>
    </row>
    <row r="878" spans="1:4">
      <c r="A878" s="278" t="str">
        <f t="shared" si="88"/>
        <v>ASUES.ES.ZRU10kV.SHTN10.TEL.mFreq</v>
      </c>
      <c r="B878" s="688">
        <v>101</v>
      </c>
      <c r="C878" s="688" t="s">
        <v>0</v>
      </c>
      <c r="D878" s="280" t="s">
        <v>356</v>
      </c>
    </row>
    <row r="879" spans="1:4">
      <c r="A879" s="278" t="str">
        <f t="shared" si="88"/>
        <v>ASUES.ES.ZRU10kV.SHTN10.TEL.mFreq</v>
      </c>
      <c r="B879" s="688">
        <v>3</v>
      </c>
      <c r="C879" s="688" t="s">
        <v>1</v>
      </c>
      <c r="D879" s="280">
        <v>192</v>
      </c>
    </row>
    <row r="880" spans="1:4">
      <c r="A880" s="278" t="str">
        <f t="shared" si="88"/>
        <v>ASUES.ES.ZRU10kV.SHTN10.TEL.mFreq</v>
      </c>
      <c r="B880" s="688">
        <v>2</v>
      </c>
      <c r="C880" s="688" t="s">
        <v>80</v>
      </c>
      <c r="D880" s="280">
        <v>0</v>
      </c>
    </row>
    <row r="881" spans="1:4">
      <c r="A881" s="281" t="str">
        <f t="shared" si="88"/>
        <v>ASUES.ES.ZRU10kV.SHTN10.TEL.mFreq</v>
      </c>
      <c r="B881" s="282">
        <v>1</v>
      </c>
      <c r="C881" s="282" t="s">
        <v>1</v>
      </c>
      <c r="D881" s="283">
        <v>4</v>
      </c>
    </row>
    <row r="882" spans="1:4">
      <c r="A882" s="275" t="str">
        <f t="shared" ref="A882:A887" si="89">$R$2&amp;".mI0"</f>
        <v>ASUES.ES.ZRU10kV.SHTN10.TEL.mI0</v>
      </c>
      <c r="B882" s="276">
        <v>7999</v>
      </c>
      <c r="C882" s="276" t="s">
        <v>0</v>
      </c>
      <c r="D882" s="277" t="str">
        <f>"#"&amp;$S$2&amp;"#"&amp;$T$2&amp;""&amp;$P$2&amp;".I0"</f>
        <v>#15#\\SERVER-ASCUER\Relematika.Modbus.OPCDAServerSHTN10.I0</v>
      </c>
    </row>
    <row r="883" spans="1:4">
      <c r="A883" s="278" t="str">
        <f t="shared" si="89"/>
        <v>ASUES.ES.ZRU10kV.SHTN10.TEL.mI0</v>
      </c>
      <c r="B883" s="688">
        <v>7998</v>
      </c>
      <c r="C883" s="688" t="s">
        <v>6</v>
      </c>
      <c r="D883" s="280">
        <v>1</v>
      </c>
    </row>
    <row r="884" spans="1:4">
      <c r="A884" s="278" t="str">
        <f t="shared" si="89"/>
        <v>ASUES.ES.ZRU10kV.SHTN10.TEL.mI0</v>
      </c>
      <c r="B884" s="688">
        <v>101</v>
      </c>
      <c r="C884" s="688" t="s">
        <v>0</v>
      </c>
      <c r="D884" s="280" t="s">
        <v>357</v>
      </c>
    </row>
    <row r="885" spans="1:4">
      <c r="A885" s="278" t="str">
        <f t="shared" si="89"/>
        <v>ASUES.ES.ZRU10kV.SHTN10.TEL.mI0</v>
      </c>
      <c r="B885" s="688">
        <v>3</v>
      </c>
      <c r="C885" s="688" t="s">
        <v>1</v>
      </c>
      <c r="D885" s="280">
        <v>192</v>
      </c>
    </row>
    <row r="886" spans="1:4">
      <c r="A886" s="278" t="str">
        <f t="shared" si="89"/>
        <v>ASUES.ES.ZRU10kV.SHTN10.TEL.mI0</v>
      </c>
      <c r="B886" s="688">
        <v>2</v>
      </c>
      <c r="C886" s="688" t="s">
        <v>80</v>
      </c>
      <c r="D886" s="280">
        <v>0</v>
      </c>
    </row>
    <row r="887" spans="1:4">
      <c r="A887" s="281" t="str">
        <f t="shared" si="89"/>
        <v>ASUES.ES.ZRU10kV.SHTN10.TEL.mI0</v>
      </c>
      <c r="B887" s="282">
        <v>1</v>
      </c>
      <c r="C887" s="282" t="s">
        <v>1</v>
      </c>
      <c r="D887" s="283">
        <v>4</v>
      </c>
    </row>
    <row r="888" spans="1:4">
      <c r="A888" s="275" t="str">
        <f t="shared" ref="A888:A893" si="90">$R$2&amp;".mIm1"</f>
        <v>ASUES.ES.ZRU10kV.SHTN10.TEL.mIm1</v>
      </c>
      <c r="B888" s="276">
        <v>7999</v>
      </c>
      <c r="C888" s="276" t="s">
        <v>0</v>
      </c>
      <c r="D888" s="277" t="str">
        <f>"#"&amp;$S$2&amp;"#"&amp;$T$2&amp;""&amp;$P$2&amp;".Im1"</f>
        <v>#15#\\SERVER-ASCUER\Relematika.Modbus.OPCDAServerSHTN10.Im1</v>
      </c>
    </row>
    <row r="889" spans="1:4">
      <c r="A889" s="278" t="str">
        <f t="shared" si="90"/>
        <v>ASUES.ES.ZRU10kV.SHTN10.TEL.mIm1</v>
      </c>
      <c r="B889" s="688">
        <v>7998</v>
      </c>
      <c r="C889" s="688" t="s">
        <v>6</v>
      </c>
      <c r="D889" s="280">
        <v>1</v>
      </c>
    </row>
    <row r="890" spans="1:4">
      <c r="A890" s="278" t="str">
        <f t="shared" si="90"/>
        <v>ASUES.ES.ZRU10kV.SHTN10.TEL.mIm1</v>
      </c>
      <c r="B890" s="688">
        <v>101</v>
      </c>
      <c r="C890" s="688" t="s">
        <v>0</v>
      </c>
      <c r="D890" s="280" t="s">
        <v>358</v>
      </c>
    </row>
    <row r="891" spans="1:4">
      <c r="A891" s="278" t="str">
        <f t="shared" si="90"/>
        <v>ASUES.ES.ZRU10kV.SHTN10.TEL.mIm1</v>
      </c>
      <c r="B891" s="688">
        <v>3</v>
      </c>
      <c r="C891" s="688" t="s">
        <v>1</v>
      </c>
      <c r="D891" s="280">
        <v>192</v>
      </c>
    </row>
    <row r="892" spans="1:4">
      <c r="A892" s="278" t="str">
        <f t="shared" si="90"/>
        <v>ASUES.ES.ZRU10kV.SHTN10.TEL.mIm1</v>
      </c>
      <c r="B892" s="688">
        <v>2</v>
      </c>
      <c r="C892" s="688" t="s">
        <v>80</v>
      </c>
      <c r="D892" s="280">
        <v>0</v>
      </c>
    </row>
    <row r="893" spans="1:4">
      <c r="A893" s="281" t="str">
        <f t="shared" si="90"/>
        <v>ASUES.ES.ZRU10kV.SHTN10.TEL.mIm1</v>
      </c>
      <c r="B893" s="282">
        <v>1</v>
      </c>
      <c r="C893" s="282" t="s">
        <v>1</v>
      </c>
      <c r="D893" s="283">
        <v>4</v>
      </c>
    </row>
    <row r="894" spans="1:4">
      <c r="A894" s="275" t="str">
        <f t="shared" ref="A894:A899" si="91">$R$2&amp;".mIm2"</f>
        <v>ASUES.ES.ZRU10kV.SHTN10.TEL.mIm2</v>
      </c>
      <c r="B894" s="276">
        <v>7999</v>
      </c>
      <c r="C894" s="276" t="s">
        <v>0</v>
      </c>
      <c r="D894" s="277" t="str">
        <f>"#"&amp;$S$2&amp;"#"&amp;$T$2&amp;""&amp;$P$2&amp;".Im2"</f>
        <v>#15#\\SERVER-ASCUER\Relematika.Modbus.OPCDAServerSHTN10.Im2</v>
      </c>
    </row>
    <row r="895" spans="1:4">
      <c r="A895" s="278" t="str">
        <f t="shared" si="91"/>
        <v>ASUES.ES.ZRU10kV.SHTN10.TEL.mIm2</v>
      </c>
      <c r="B895" s="688">
        <v>7998</v>
      </c>
      <c r="C895" s="688" t="s">
        <v>6</v>
      </c>
      <c r="D895" s="280">
        <v>1</v>
      </c>
    </row>
    <row r="896" spans="1:4">
      <c r="A896" s="278" t="str">
        <f t="shared" si="91"/>
        <v>ASUES.ES.ZRU10kV.SHTN10.TEL.mIm2</v>
      </c>
      <c r="B896" s="688">
        <v>101</v>
      </c>
      <c r="C896" s="688" t="s">
        <v>0</v>
      </c>
      <c r="D896" s="280" t="s">
        <v>359</v>
      </c>
    </row>
    <row r="897" spans="1:4">
      <c r="A897" s="278" t="str">
        <f t="shared" si="91"/>
        <v>ASUES.ES.ZRU10kV.SHTN10.TEL.mIm2</v>
      </c>
      <c r="B897" s="688">
        <v>3</v>
      </c>
      <c r="C897" s="688" t="s">
        <v>1</v>
      </c>
      <c r="D897" s="280">
        <v>192</v>
      </c>
    </row>
    <row r="898" spans="1:4">
      <c r="A898" s="278" t="str">
        <f t="shared" si="91"/>
        <v>ASUES.ES.ZRU10kV.SHTN10.TEL.mIm2</v>
      </c>
      <c r="B898" s="688">
        <v>2</v>
      </c>
      <c r="C898" s="688" t="s">
        <v>80</v>
      </c>
      <c r="D898" s="280">
        <v>0</v>
      </c>
    </row>
    <row r="899" spans="1:4">
      <c r="A899" s="281" t="str">
        <f t="shared" si="91"/>
        <v>ASUES.ES.ZRU10kV.SHTN10.TEL.mIm2</v>
      </c>
      <c r="B899" s="282">
        <v>1</v>
      </c>
      <c r="C899" s="282" t="s">
        <v>1</v>
      </c>
      <c r="D899" s="283">
        <v>4</v>
      </c>
    </row>
    <row r="900" spans="1:4">
      <c r="A900" s="275" t="str">
        <f t="shared" ref="A900:A905" si="92">$R$2&amp;".mIm3"</f>
        <v>ASUES.ES.ZRU10kV.SHTN10.TEL.mIm3</v>
      </c>
      <c r="B900" s="276">
        <v>7999</v>
      </c>
      <c r="C900" s="276" t="s">
        <v>0</v>
      </c>
      <c r="D900" s="277" t="str">
        <f>"#"&amp;$S$2&amp;"#"&amp;$T$2&amp;""&amp;$P$2&amp;".Im3"</f>
        <v>#15#\\SERVER-ASCUER\Relematika.Modbus.OPCDAServerSHTN10.Im3</v>
      </c>
    </row>
    <row r="901" spans="1:4">
      <c r="A901" s="278" t="str">
        <f t="shared" si="92"/>
        <v>ASUES.ES.ZRU10kV.SHTN10.TEL.mIm3</v>
      </c>
      <c r="B901" s="688">
        <v>7998</v>
      </c>
      <c r="C901" s="688" t="s">
        <v>6</v>
      </c>
      <c r="D901" s="280">
        <v>1</v>
      </c>
    </row>
    <row r="902" spans="1:4">
      <c r="A902" s="278" t="str">
        <f t="shared" si="92"/>
        <v>ASUES.ES.ZRU10kV.SHTN10.TEL.mIm3</v>
      </c>
      <c r="B902" s="688">
        <v>101</v>
      </c>
      <c r="C902" s="688" t="s">
        <v>0</v>
      </c>
      <c r="D902" s="280" t="s">
        <v>360</v>
      </c>
    </row>
    <row r="903" spans="1:4">
      <c r="A903" s="278" t="str">
        <f t="shared" si="92"/>
        <v>ASUES.ES.ZRU10kV.SHTN10.TEL.mIm3</v>
      </c>
      <c r="B903" s="688">
        <v>3</v>
      </c>
      <c r="C903" s="688" t="s">
        <v>1</v>
      </c>
      <c r="D903" s="280">
        <v>192</v>
      </c>
    </row>
    <row r="904" spans="1:4">
      <c r="A904" s="278" t="str">
        <f t="shared" si="92"/>
        <v>ASUES.ES.ZRU10kV.SHTN10.TEL.mIm3</v>
      </c>
      <c r="B904" s="688">
        <v>2</v>
      </c>
      <c r="C904" s="688" t="s">
        <v>80</v>
      </c>
      <c r="D904" s="280">
        <v>0</v>
      </c>
    </row>
    <row r="905" spans="1:4">
      <c r="A905" s="281" t="str">
        <f t="shared" si="92"/>
        <v>ASUES.ES.ZRU10kV.SHTN10.TEL.mIm3</v>
      </c>
      <c r="B905" s="282">
        <v>1</v>
      </c>
      <c r="C905" s="282" t="s">
        <v>1</v>
      </c>
      <c r="D905" s="283">
        <v>4</v>
      </c>
    </row>
    <row r="906" spans="1:4">
      <c r="A906" s="275" t="str">
        <f t="shared" ref="A906:A911" si="93">$R$2&amp;".mI1"</f>
        <v>ASUES.ES.ZRU10kV.SHTN10.TEL.mI1</v>
      </c>
      <c r="B906" s="276">
        <v>7999</v>
      </c>
      <c r="C906" s="276" t="s">
        <v>0</v>
      </c>
      <c r="D906" s="277" t="str">
        <f>"#"&amp;$S$2&amp;"#"&amp;$T$2&amp;""&amp;$P$2&amp;".I1"</f>
        <v>#15#\\SERVER-ASCUER\Relematika.Modbus.OPCDAServerSHTN10.I1</v>
      </c>
    </row>
    <row r="907" spans="1:4">
      <c r="A907" s="278" t="str">
        <f t="shared" si="93"/>
        <v>ASUES.ES.ZRU10kV.SHTN10.TEL.mI1</v>
      </c>
      <c r="B907" s="688">
        <v>7998</v>
      </c>
      <c r="C907" s="688" t="s">
        <v>6</v>
      </c>
      <c r="D907" s="280">
        <v>1</v>
      </c>
    </row>
    <row r="908" spans="1:4">
      <c r="A908" s="278" t="str">
        <f t="shared" si="93"/>
        <v>ASUES.ES.ZRU10kV.SHTN10.TEL.mI1</v>
      </c>
      <c r="B908" s="688">
        <v>101</v>
      </c>
      <c r="C908" s="688" t="s">
        <v>0</v>
      </c>
      <c r="D908" s="280" t="s">
        <v>361</v>
      </c>
    </row>
    <row r="909" spans="1:4">
      <c r="A909" s="278" t="str">
        <f t="shared" si="93"/>
        <v>ASUES.ES.ZRU10kV.SHTN10.TEL.mI1</v>
      </c>
      <c r="B909" s="688">
        <v>3</v>
      </c>
      <c r="C909" s="688" t="s">
        <v>1</v>
      </c>
      <c r="D909" s="280">
        <v>192</v>
      </c>
    </row>
    <row r="910" spans="1:4">
      <c r="A910" s="278" t="str">
        <f t="shared" si="93"/>
        <v>ASUES.ES.ZRU10kV.SHTN10.TEL.mI1</v>
      </c>
      <c r="B910" s="688">
        <v>2</v>
      </c>
      <c r="C910" s="688" t="s">
        <v>80</v>
      </c>
      <c r="D910" s="280">
        <v>0</v>
      </c>
    </row>
    <row r="911" spans="1:4">
      <c r="A911" s="281" t="str">
        <f t="shared" si="93"/>
        <v>ASUES.ES.ZRU10kV.SHTN10.TEL.mI1</v>
      </c>
      <c r="B911" s="282">
        <v>1</v>
      </c>
      <c r="C911" s="282" t="s">
        <v>1</v>
      </c>
      <c r="D911" s="283">
        <v>4</v>
      </c>
    </row>
    <row r="912" spans="1:4">
      <c r="A912" s="275" t="str">
        <f t="shared" ref="A912:A917" si="94">$R$2&amp;".mI2"</f>
        <v>ASUES.ES.ZRU10kV.SHTN10.TEL.mI2</v>
      </c>
      <c r="B912" s="276">
        <v>7999</v>
      </c>
      <c r="C912" s="276" t="s">
        <v>0</v>
      </c>
      <c r="D912" s="277" t="str">
        <f>"#"&amp;$S$2&amp;"#"&amp;$T$2&amp;""&amp;$P$2&amp;".I2"</f>
        <v>#15#\\SERVER-ASCUER\Relematika.Modbus.OPCDAServerSHTN10.I2</v>
      </c>
    </row>
    <row r="913" spans="1:4">
      <c r="A913" s="278" t="str">
        <f t="shared" si="94"/>
        <v>ASUES.ES.ZRU10kV.SHTN10.TEL.mI2</v>
      </c>
      <c r="B913" s="688">
        <v>7998</v>
      </c>
      <c r="C913" s="688" t="s">
        <v>6</v>
      </c>
      <c r="D913" s="280">
        <v>1</v>
      </c>
    </row>
    <row r="914" spans="1:4">
      <c r="A914" s="278" t="str">
        <f t="shared" si="94"/>
        <v>ASUES.ES.ZRU10kV.SHTN10.TEL.mI2</v>
      </c>
      <c r="B914" s="688">
        <v>101</v>
      </c>
      <c r="C914" s="688" t="s">
        <v>0</v>
      </c>
      <c r="D914" s="280" t="s">
        <v>362</v>
      </c>
    </row>
    <row r="915" spans="1:4">
      <c r="A915" s="278" t="str">
        <f t="shared" si="94"/>
        <v>ASUES.ES.ZRU10kV.SHTN10.TEL.mI2</v>
      </c>
      <c r="B915" s="688">
        <v>3</v>
      </c>
      <c r="C915" s="688" t="s">
        <v>1</v>
      </c>
      <c r="D915" s="280">
        <v>192</v>
      </c>
    </row>
    <row r="916" spans="1:4">
      <c r="A916" s="278" t="str">
        <f t="shared" si="94"/>
        <v>ASUES.ES.ZRU10kV.SHTN10.TEL.mI2</v>
      </c>
      <c r="B916" s="688">
        <v>2</v>
      </c>
      <c r="C916" s="688" t="s">
        <v>80</v>
      </c>
      <c r="D916" s="280">
        <v>0</v>
      </c>
    </row>
    <row r="917" spans="1:4">
      <c r="A917" s="281" t="str">
        <f t="shared" si="94"/>
        <v>ASUES.ES.ZRU10kV.SHTN10.TEL.mI2</v>
      </c>
      <c r="B917" s="282">
        <v>1</v>
      </c>
      <c r="C917" s="282" t="s">
        <v>1</v>
      </c>
      <c r="D917" s="283">
        <v>4</v>
      </c>
    </row>
    <row r="918" spans="1:4">
      <c r="A918" s="275" t="str">
        <f t="shared" ref="A918:A923" si="95">$R$2&amp;".mI3"</f>
        <v>ASUES.ES.ZRU10kV.SHTN10.TEL.mI3</v>
      </c>
      <c r="B918" s="276">
        <v>7999</v>
      </c>
      <c r="C918" s="276" t="s">
        <v>0</v>
      </c>
      <c r="D918" s="277" t="str">
        <f>"#"&amp;$S$2&amp;"#"&amp;$T$2&amp;""&amp;$P$2&amp;".I3"</f>
        <v>#15#\\SERVER-ASCUER\Relematika.Modbus.OPCDAServerSHTN10.I3</v>
      </c>
    </row>
    <row r="919" spans="1:4">
      <c r="A919" s="278" t="str">
        <f t="shared" si="95"/>
        <v>ASUES.ES.ZRU10kV.SHTN10.TEL.mI3</v>
      </c>
      <c r="B919" s="688">
        <v>7998</v>
      </c>
      <c r="C919" s="688" t="s">
        <v>6</v>
      </c>
      <c r="D919" s="280">
        <v>1</v>
      </c>
    </row>
    <row r="920" spans="1:4">
      <c r="A920" s="278" t="str">
        <f t="shared" si="95"/>
        <v>ASUES.ES.ZRU10kV.SHTN10.TEL.mI3</v>
      </c>
      <c r="B920" s="688">
        <v>101</v>
      </c>
      <c r="C920" s="688" t="s">
        <v>0</v>
      </c>
      <c r="D920" s="280" t="s">
        <v>363</v>
      </c>
    </row>
    <row r="921" spans="1:4">
      <c r="A921" s="278" t="str">
        <f t="shared" si="95"/>
        <v>ASUES.ES.ZRU10kV.SHTN10.TEL.mI3</v>
      </c>
      <c r="B921" s="688">
        <v>3</v>
      </c>
      <c r="C921" s="688" t="s">
        <v>1</v>
      </c>
      <c r="D921" s="280">
        <v>192</v>
      </c>
    </row>
    <row r="922" spans="1:4">
      <c r="A922" s="278" t="str">
        <f t="shared" si="95"/>
        <v>ASUES.ES.ZRU10kV.SHTN10.TEL.mI3</v>
      </c>
      <c r="B922" s="688">
        <v>2</v>
      </c>
      <c r="C922" s="688" t="s">
        <v>80</v>
      </c>
      <c r="D922" s="280">
        <v>0</v>
      </c>
    </row>
    <row r="923" spans="1:4">
      <c r="A923" s="281" t="str">
        <f t="shared" si="95"/>
        <v>ASUES.ES.ZRU10kV.SHTN10.TEL.mI3</v>
      </c>
      <c r="B923" s="282">
        <v>1</v>
      </c>
      <c r="C923" s="282" t="s">
        <v>1</v>
      </c>
      <c r="D923" s="283">
        <v>4</v>
      </c>
    </row>
    <row r="924" spans="1:4">
      <c r="A924" s="275" t="str">
        <f t="shared" ref="A924:A929" si="96">$R$2&amp;".mItrip1"</f>
        <v>ASUES.ES.ZRU10kV.SHTN10.TEL.mItrip1</v>
      </c>
      <c r="B924" s="276">
        <v>7999</v>
      </c>
      <c r="C924" s="276" t="s">
        <v>0</v>
      </c>
      <c r="D924" s="277" t="str">
        <f>"#"&amp;$S$2&amp;"#"&amp;$T$2&amp;""&amp;$P$2&amp;".Itrip1"</f>
        <v>#15#\\SERVER-ASCUER\Relematika.Modbus.OPCDAServerSHTN10.Itrip1</v>
      </c>
    </row>
    <row r="925" spans="1:4">
      <c r="A925" s="278" t="str">
        <f t="shared" si="96"/>
        <v>ASUES.ES.ZRU10kV.SHTN10.TEL.mItrip1</v>
      </c>
      <c r="B925" s="688">
        <v>7998</v>
      </c>
      <c r="C925" s="688" t="s">
        <v>6</v>
      </c>
      <c r="D925" s="280">
        <v>1</v>
      </c>
    </row>
    <row r="926" spans="1:4">
      <c r="A926" s="278" t="str">
        <f t="shared" si="96"/>
        <v>ASUES.ES.ZRU10kV.SHTN10.TEL.mItrip1</v>
      </c>
      <c r="B926" s="688">
        <v>101</v>
      </c>
      <c r="C926" s="688" t="s">
        <v>0</v>
      </c>
      <c r="D926" s="280" t="s">
        <v>364</v>
      </c>
    </row>
    <row r="927" spans="1:4">
      <c r="A927" s="278" t="str">
        <f t="shared" si="96"/>
        <v>ASUES.ES.ZRU10kV.SHTN10.TEL.mItrip1</v>
      </c>
      <c r="B927" s="688">
        <v>3</v>
      </c>
      <c r="C927" s="688" t="s">
        <v>1</v>
      </c>
      <c r="D927" s="280">
        <v>192</v>
      </c>
    </row>
    <row r="928" spans="1:4">
      <c r="A928" s="278" t="str">
        <f t="shared" si="96"/>
        <v>ASUES.ES.ZRU10kV.SHTN10.TEL.mItrip1</v>
      </c>
      <c r="B928" s="688">
        <v>2</v>
      </c>
      <c r="C928" s="688" t="s">
        <v>80</v>
      </c>
      <c r="D928" s="280">
        <v>0</v>
      </c>
    </row>
    <row r="929" spans="1:4">
      <c r="A929" s="281" t="str">
        <f t="shared" si="96"/>
        <v>ASUES.ES.ZRU10kV.SHTN10.TEL.mItrip1</v>
      </c>
      <c r="B929" s="282">
        <v>1</v>
      </c>
      <c r="C929" s="282" t="s">
        <v>1</v>
      </c>
      <c r="D929" s="283">
        <v>4</v>
      </c>
    </row>
    <row r="930" spans="1:4">
      <c r="A930" s="275" t="str">
        <f t="shared" ref="A930:A935" si="97">$R$2&amp;".mItrip2"</f>
        <v>ASUES.ES.ZRU10kV.SHTN10.TEL.mItrip2</v>
      </c>
      <c r="B930" s="276">
        <v>7999</v>
      </c>
      <c r="C930" s="276" t="s">
        <v>0</v>
      </c>
      <c r="D930" s="277" t="str">
        <f>"#"&amp;$S$2&amp;"#"&amp;$T$2&amp;""&amp;$P$2&amp;".Itrip2"</f>
        <v>#15#\\SERVER-ASCUER\Relematika.Modbus.OPCDAServerSHTN10.Itrip2</v>
      </c>
    </row>
    <row r="931" spans="1:4">
      <c r="A931" s="278" t="str">
        <f t="shared" si="97"/>
        <v>ASUES.ES.ZRU10kV.SHTN10.TEL.mItrip2</v>
      </c>
      <c r="B931" s="688">
        <v>7998</v>
      </c>
      <c r="C931" s="688" t="s">
        <v>6</v>
      </c>
      <c r="D931" s="280">
        <v>1</v>
      </c>
    </row>
    <row r="932" spans="1:4">
      <c r="A932" s="278" t="str">
        <f t="shared" si="97"/>
        <v>ASUES.ES.ZRU10kV.SHTN10.TEL.mItrip2</v>
      </c>
      <c r="B932" s="688">
        <v>101</v>
      </c>
      <c r="C932" s="688" t="s">
        <v>0</v>
      </c>
      <c r="D932" s="280" t="s">
        <v>365</v>
      </c>
    </row>
    <row r="933" spans="1:4">
      <c r="A933" s="278" t="str">
        <f t="shared" si="97"/>
        <v>ASUES.ES.ZRU10kV.SHTN10.TEL.mItrip2</v>
      </c>
      <c r="B933" s="688">
        <v>3</v>
      </c>
      <c r="C933" s="688" t="s">
        <v>1</v>
      </c>
      <c r="D933" s="280">
        <v>192</v>
      </c>
    </row>
    <row r="934" spans="1:4">
      <c r="A934" s="278" t="str">
        <f t="shared" si="97"/>
        <v>ASUES.ES.ZRU10kV.SHTN10.TEL.mItrip2</v>
      </c>
      <c r="B934" s="688">
        <v>2</v>
      </c>
      <c r="C934" s="688" t="s">
        <v>80</v>
      </c>
      <c r="D934" s="280">
        <v>0</v>
      </c>
    </row>
    <row r="935" spans="1:4">
      <c r="A935" s="281" t="str">
        <f t="shared" si="97"/>
        <v>ASUES.ES.ZRU10kV.SHTN10.TEL.mItrip2</v>
      </c>
      <c r="B935" s="282">
        <v>1</v>
      </c>
      <c r="C935" s="282" t="s">
        <v>1</v>
      </c>
      <c r="D935" s="283">
        <v>4</v>
      </c>
    </row>
    <row r="936" spans="1:4">
      <c r="A936" s="275" t="str">
        <f t="shared" ref="A936:A941" si="98">$R$2&amp;".mItrip3"</f>
        <v>ASUES.ES.ZRU10kV.SHTN10.TEL.mItrip3</v>
      </c>
      <c r="B936" s="276">
        <v>7999</v>
      </c>
      <c r="C936" s="276" t="s">
        <v>0</v>
      </c>
      <c r="D936" s="277" t="str">
        <f>"#"&amp;$S$2&amp;"#"&amp;$T$2&amp;""&amp;$P$2&amp;".Itrip3"</f>
        <v>#15#\\SERVER-ASCUER\Relematika.Modbus.OPCDAServerSHTN10.Itrip3</v>
      </c>
    </row>
    <row r="937" spans="1:4">
      <c r="A937" s="278" t="str">
        <f t="shared" si="98"/>
        <v>ASUES.ES.ZRU10kV.SHTN10.TEL.mItrip3</v>
      </c>
      <c r="B937" s="688">
        <v>7998</v>
      </c>
      <c r="C937" s="688" t="s">
        <v>6</v>
      </c>
      <c r="D937" s="280">
        <v>1</v>
      </c>
    </row>
    <row r="938" spans="1:4">
      <c r="A938" s="278" t="str">
        <f t="shared" si="98"/>
        <v>ASUES.ES.ZRU10kV.SHTN10.TEL.mItrip3</v>
      </c>
      <c r="B938" s="688">
        <v>101</v>
      </c>
      <c r="C938" s="688" t="s">
        <v>0</v>
      </c>
      <c r="D938" s="280" t="s">
        <v>366</v>
      </c>
    </row>
    <row r="939" spans="1:4">
      <c r="A939" s="278" t="str">
        <f t="shared" si="98"/>
        <v>ASUES.ES.ZRU10kV.SHTN10.TEL.mItrip3</v>
      </c>
      <c r="B939" s="688">
        <v>3</v>
      </c>
      <c r="C939" s="688" t="s">
        <v>1</v>
      </c>
      <c r="D939" s="280">
        <v>192</v>
      </c>
    </row>
    <row r="940" spans="1:4">
      <c r="A940" s="278" t="str">
        <f t="shared" si="98"/>
        <v>ASUES.ES.ZRU10kV.SHTN10.TEL.mItrip3</v>
      </c>
      <c r="B940" s="688">
        <v>2</v>
      </c>
      <c r="C940" s="688" t="s">
        <v>80</v>
      </c>
      <c r="D940" s="280">
        <v>0</v>
      </c>
    </row>
    <row r="941" spans="1:4">
      <c r="A941" s="281" t="str">
        <f t="shared" si="98"/>
        <v>ASUES.ES.ZRU10kV.SHTN10.TEL.mItrip3</v>
      </c>
      <c r="B941" s="282">
        <v>1</v>
      </c>
      <c r="C941" s="282" t="s">
        <v>1</v>
      </c>
      <c r="D941" s="283">
        <v>4</v>
      </c>
    </row>
    <row r="942" spans="1:4">
      <c r="A942" s="275" t="str">
        <f t="shared" ref="A942:A947" si="99">$R$2&amp;".mMaxI1"</f>
        <v>ASUES.ES.ZRU10kV.SHTN10.TEL.mMaxI1</v>
      </c>
      <c r="B942" s="276">
        <v>7999</v>
      </c>
      <c r="C942" s="276" t="s">
        <v>0</v>
      </c>
      <c r="D942" s="277" t="str">
        <f>"#"&amp;$S$2&amp;"#"&amp;$T$2&amp;""&amp;$P$2&amp;".MaxI1"</f>
        <v>#15#\\SERVER-ASCUER\Relematika.Modbus.OPCDAServerSHTN10.MaxI1</v>
      </c>
    </row>
    <row r="943" spans="1:4">
      <c r="A943" s="278" t="str">
        <f t="shared" si="99"/>
        <v>ASUES.ES.ZRU10kV.SHTN10.TEL.mMaxI1</v>
      </c>
      <c r="B943" s="688">
        <v>7998</v>
      </c>
      <c r="C943" s="688" t="s">
        <v>6</v>
      </c>
      <c r="D943" s="280">
        <v>1</v>
      </c>
    </row>
    <row r="944" spans="1:4">
      <c r="A944" s="278" t="str">
        <f t="shared" si="99"/>
        <v>ASUES.ES.ZRU10kV.SHTN10.TEL.mMaxI1</v>
      </c>
      <c r="B944" s="688">
        <v>101</v>
      </c>
      <c r="C944" s="688" t="s">
        <v>0</v>
      </c>
      <c r="D944" s="280" t="s">
        <v>367</v>
      </c>
    </row>
    <row r="945" spans="1:4">
      <c r="A945" s="278" t="str">
        <f t="shared" si="99"/>
        <v>ASUES.ES.ZRU10kV.SHTN10.TEL.mMaxI1</v>
      </c>
      <c r="B945" s="688">
        <v>3</v>
      </c>
      <c r="C945" s="688" t="s">
        <v>1</v>
      </c>
      <c r="D945" s="280">
        <v>192</v>
      </c>
    </row>
    <row r="946" spans="1:4">
      <c r="A946" s="278" t="str">
        <f t="shared" si="99"/>
        <v>ASUES.ES.ZRU10kV.SHTN10.TEL.mMaxI1</v>
      </c>
      <c r="B946" s="688">
        <v>2</v>
      </c>
      <c r="C946" s="688" t="s">
        <v>80</v>
      </c>
      <c r="D946" s="280">
        <v>0</v>
      </c>
    </row>
    <row r="947" spans="1:4">
      <c r="A947" s="281" t="str">
        <f t="shared" si="99"/>
        <v>ASUES.ES.ZRU10kV.SHTN10.TEL.mMaxI1</v>
      </c>
      <c r="B947" s="282">
        <v>1</v>
      </c>
      <c r="C947" s="282" t="s">
        <v>1</v>
      </c>
      <c r="D947" s="283">
        <v>4</v>
      </c>
    </row>
    <row r="948" spans="1:4">
      <c r="A948" s="275" t="str">
        <f t="shared" ref="A948:A953" si="100">$R$2&amp;".mMaxI2"</f>
        <v>ASUES.ES.ZRU10kV.SHTN10.TEL.mMaxI2</v>
      </c>
      <c r="B948" s="276">
        <v>7999</v>
      </c>
      <c r="C948" s="276" t="s">
        <v>0</v>
      </c>
      <c r="D948" s="277" t="str">
        <f>"#"&amp;$S$2&amp;"#"&amp;$T$2&amp;""&amp;$P$2&amp;".MaxI2"</f>
        <v>#15#\\SERVER-ASCUER\Relematika.Modbus.OPCDAServerSHTN10.MaxI2</v>
      </c>
    </row>
    <row r="949" spans="1:4">
      <c r="A949" s="278" t="str">
        <f t="shared" si="100"/>
        <v>ASUES.ES.ZRU10kV.SHTN10.TEL.mMaxI2</v>
      </c>
      <c r="B949" s="688">
        <v>7998</v>
      </c>
      <c r="C949" s="688" t="s">
        <v>6</v>
      </c>
      <c r="D949" s="280">
        <v>1</v>
      </c>
    </row>
    <row r="950" spans="1:4">
      <c r="A950" s="278" t="str">
        <f t="shared" si="100"/>
        <v>ASUES.ES.ZRU10kV.SHTN10.TEL.mMaxI2</v>
      </c>
      <c r="B950" s="688">
        <v>101</v>
      </c>
      <c r="C950" s="688" t="s">
        <v>0</v>
      </c>
      <c r="D950" s="280" t="s">
        <v>368</v>
      </c>
    </row>
    <row r="951" spans="1:4">
      <c r="A951" s="278" t="str">
        <f t="shared" si="100"/>
        <v>ASUES.ES.ZRU10kV.SHTN10.TEL.mMaxI2</v>
      </c>
      <c r="B951" s="688">
        <v>3</v>
      </c>
      <c r="C951" s="688" t="s">
        <v>1</v>
      </c>
      <c r="D951" s="280">
        <v>192</v>
      </c>
    </row>
    <row r="952" spans="1:4">
      <c r="A952" s="278" t="str">
        <f t="shared" si="100"/>
        <v>ASUES.ES.ZRU10kV.SHTN10.TEL.mMaxI2</v>
      </c>
      <c r="B952" s="688">
        <v>2</v>
      </c>
      <c r="C952" s="688" t="s">
        <v>80</v>
      </c>
      <c r="D952" s="280">
        <v>0</v>
      </c>
    </row>
    <row r="953" spans="1:4">
      <c r="A953" s="281" t="str">
        <f t="shared" si="100"/>
        <v>ASUES.ES.ZRU10kV.SHTN10.TEL.mMaxI2</v>
      </c>
      <c r="B953" s="282">
        <v>1</v>
      </c>
      <c r="C953" s="282" t="s">
        <v>1</v>
      </c>
      <c r="D953" s="283">
        <v>4</v>
      </c>
    </row>
    <row r="954" spans="1:4">
      <c r="A954" s="275" t="str">
        <f t="shared" ref="A954:A959" si="101">$R$2&amp;".mMaxI3"</f>
        <v>ASUES.ES.ZRU10kV.SHTN10.TEL.mMaxI3</v>
      </c>
      <c r="B954" s="276">
        <v>7999</v>
      </c>
      <c r="C954" s="276" t="s">
        <v>0</v>
      </c>
      <c r="D954" s="277" t="str">
        <f>"#"&amp;$S$2&amp;"#"&amp;$T$2&amp;""&amp;$P$2&amp;".MaxI3"</f>
        <v>#15#\\SERVER-ASCUER\Relematika.Modbus.OPCDAServerSHTN10.MaxI3</v>
      </c>
    </row>
    <row r="955" spans="1:4">
      <c r="A955" s="278" t="str">
        <f t="shared" si="101"/>
        <v>ASUES.ES.ZRU10kV.SHTN10.TEL.mMaxI3</v>
      </c>
      <c r="B955" s="688">
        <v>7998</v>
      </c>
      <c r="C955" s="688" t="s">
        <v>6</v>
      </c>
      <c r="D955" s="280">
        <v>1</v>
      </c>
    </row>
    <row r="956" spans="1:4">
      <c r="A956" s="278" t="str">
        <f t="shared" si="101"/>
        <v>ASUES.ES.ZRU10kV.SHTN10.TEL.mMaxI3</v>
      </c>
      <c r="B956" s="688">
        <v>101</v>
      </c>
      <c r="C956" s="688" t="s">
        <v>0</v>
      </c>
      <c r="D956" s="280" t="s">
        <v>369</v>
      </c>
    </row>
    <row r="957" spans="1:4">
      <c r="A957" s="278" t="str">
        <f t="shared" si="101"/>
        <v>ASUES.ES.ZRU10kV.SHTN10.TEL.mMaxI3</v>
      </c>
      <c r="B957" s="688">
        <v>3</v>
      </c>
      <c r="C957" s="688" t="s">
        <v>1</v>
      </c>
      <c r="D957" s="280">
        <v>192</v>
      </c>
    </row>
    <row r="958" spans="1:4">
      <c r="A958" s="278" t="str">
        <f t="shared" si="101"/>
        <v>ASUES.ES.ZRU10kV.SHTN10.TEL.mMaxI3</v>
      </c>
      <c r="B958" s="688">
        <v>2</v>
      </c>
      <c r="C958" s="688" t="s">
        <v>80</v>
      </c>
      <c r="D958" s="280">
        <v>0</v>
      </c>
    </row>
    <row r="959" spans="1:4">
      <c r="A959" s="281" t="str">
        <f t="shared" si="101"/>
        <v>ASUES.ES.ZRU10kV.SHTN10.TEL.mMaxI3</v>
      </c>
      <c r="B959" s="282">
        <v>1</v>
      </c>
      <c r="C959" s="282" t="s">
        <v>1</v>
      </c>
      <c r="D959" s="283">
        <v>4</v>
      </c>
    </row>
    <row r="960" spans="1:4">
      <c r="A960" s="275" t="str">
        <f t="shared" ref="A960:A965" si="102">$R$2&amp;".mMaxPM"</f>
        <v>ASUES.ES.ZRU10kV.SHTN10.TEL.mMaxPM</v>
      </c>
      <c r="B960" s="276">
        <v>7999</v>
      </c>
      <c r="C960" s="276" t="s">
        <v>0</v>
      </c>
      <c r="D960" s="277" t="str">
        <f>"#"&amp;$S$2&amp;"#"&amp;$T$2&amp;""&amp;$P$2&amp;".MaxPM"</f>
        <v>#15#\\SERVER-ASCUER\Relematika.Modbus.OPCDAServerSHTN10.MaxPM</v>
      </c>
    </row>
    <row r="961" spans="1:4">
      <c r="A961" s="278" t="str">
        <f t="shared" si="102"/>
        <v>ASUES.ES.ZRU10kV.SHTN10.TEL.mMaxPM</v>
      </c>
      <c r="B961" s="688">
        <v>7998</v>
      </c>
      <c r="C961" s="688" t="s">
        <v>6</v>
      </c>
      <c r="D961" s="280">
        <v>1</v>
      </c>
    </row>
    <row r="962" spans="1:4">
      <c r="A962" s="278" t="str">
        <f t="shared" si="102"/>
        <v>ASUES.ES.ZRU10kV.SHTN10.TEL.mMaxPM</v>
      </c>
      <c r="B962" s="688">
        <v>101</v>
      </c>
      <c r="C962" s="688" t="s">
        <v>0</v>
      </c>
      <c r="D962" s="280" t="s">
        <v>370</v>
      </c>
    </row>
    <row r="963" spans="1:4">
      <c r="A963" s="278" t="str">
        <f t="shared" si="102"/>
        <v>ASUES.ES.ZRU10kV.SHTN10.TEL.mMaxPM</v>
      </c>
      <c r="B963" s="688">
        <v>3</v>
      </c>
      <c r="C963" s="688" t="s">
        <v>1</v>
      </c>
      <c r="D963" s="280">
        <v>192</v>
      </c>
    </row>
    <row r="964" spans="1:4">
      <c r="A964" s="278" t="str">
        <f t="shared" si="102"/>
        <v>ASUES.ES.ZRU10kV.SHTN10.TEL.mMaxPM</v>
      </c>
      <c r="B964" s="688">
        <v>2</v>
      </c>
      <c r="C964" s="688" t="s">
        <v>80</v>
      </c>
      <c r="D964" s="280">
        <v>0</v>
      </c>
    </row>
    <row r="965" spans="1:4">
      <c r="A965" s="281" t="str">
        <f t="shared" si="102"/>
        <v>ASUES.ES.ZRU10kV.SHTN10.TEL.mMaxPM</v>
      </c>
      <c r="B965" s="282">
        <v>1</v>
      </c>
      <c r="C965" s="282" t="s">
        <v>1</v>
      </c>
      <c r="D965" s="283">
        <v>4</v>
      </c>
    </row>
    <row r="966" spans="1:4">
      <c r="A966" s="275" t="str">
        <f t="shared" ref="A966:A971" si="103">$R$2&amp;".mMaxQM"</f>
        <v>ASUES.ES.ZRU10kV.SHTN10.TEL.mMaxQM</v>
      </c>
      <c r="B966" s="276">
        <v>7999</v>
      </c>
      <c r="C966" s="276" t="s">
        <v>0</v>
      </c>
      <c r="D966" s="277" t="str">
        <f>"#"&amp;$S$2&amp;"#"&amp;$T$2&amp;""&amp;$P$2&amp;".MaxQM"</f>
        <v>#15#\\SERVER-ASCUER\Relematika.Modbus.OPCDAServerSHTN10.MaxQM</v>
      </c>
    </row>
    <row r="967" spans="1:4">
      <c r="A967" s="278" t="str">
        <f t="shared" si="103"/>
        <v>ASUES.ES.ZRU10kV.SHTN10.TEL.mMaxQM</v>
      </c>
      <c r="B967" s="688">
        <v>7998</v>
      </c>
      <c r="C967" s="688" t="s">
        <v>6</v>
      </c>
      <c r="D967" s="280">
        <v>1</v>
      </c>
    </row>
    <row r="968" spans="1:4">
      <c r="A968" s="278" t="str">
        <f t="shared" si="103"/>
        <v>ASUES.ES.ZRU10kV.SHTN10.TEL.mMaxQM</v>
      </c>
      <c r="B968" s="688">
        <v>101</v>
      </c>
      <c r="C968" s="688" t="s">
        <v>0</v>
      </c>
      <c r="D968" s="280" t="s">
        <v>371</v>
      </c>
    </row>
    <row r="969" spans="1:4">
      <c r="A969" s="278" t="str">
        <f t="shared" si="103"/>
        <v>ASUES.ES.ZRU10kV.SHTN10.TEL.mMaxQM</v>
      </c>
      <c r="B969" s="688">
        <v>3</v>
      </c>
      <c r="C969" s="688" t="s">
        <v>1</v>
      </c>
      <c r="D969" s="280">
        <v>192</v>
      </c>
    </row>
    <row r="970" spans="1:4">
      <c r="A970" s="278" t="str">
        <f t="shared" si="103"/>
        <v>ASUES.ES.ZRU10kV.SHTN10.TEL.mMaxQM</v>
      </c>
      <c r="B970" s="688">
        <v>2</v>
      </c>
      <c r="C970" s="688" t="s">
        <v>80</v>
      </c>
      <c r="D970" s="280">
        <v>0</v>
      </c>
    </row>
    <row r="971" spans="1:4">
      <c r="A971" s="281" t="str">
        <f t="shared" si="103"/>
        <v>ASUES.ES.ZRU10kV.SHTN10.TEL.mMaxQM</v>
      </c>
      <c r="B971" s="282">
        <v>1</v>
      </c>
      <c r="C971" s="282" t="s">
        <v>1</v>
      </c>
      <c r="D971" s="283">
        <v>4</v>
      </c>
    </row>
    <row r="972" spans="1:4">
      <c r="A972" s="275" t="str">
        <f t="shared" ref="A972:A977" si="104">$R$2&amp;".mVi"</f>
        <v>ASUES.ES.ZRU10kV.SHTN10.TEL.mVi</v>
      </c>
      <c r="B972" s="276">
        <v>7999</v>
      </c>
      <c r="C972" s="276" t="s">
        <v>0</v>
      </c>
      <c r="D972" s="277" t="str">
        <f>"#"&amp;$S$2&amp;"#"&amp;$T$2&amp;""&amp;$P$2&amp;".Vi"</f>
        <v>#15#\\SERVER-ASCUER\Relematika.Modbus.OPCDAServerSHTN10.Vi</v>
      </c>
    </row>
    <row r="973" spans="1:4">
      <c r="A973" s="278" t="str">
        <f t="shared" si="104"/>
        <v>ASUES.ES.ZRU10kV.SHTN10.TEL.mVi</v>
      </c>
      <c r="B973" s="688">
        <v>7998</v>
      </c>
      <c r="C973" s="688" t="s">
        <v>6</v>
      </c>
      <c r="D973" s="280">
        <v>1</v>
      </c>
    </row>
    <row r="974" spans="1:4">
      <c r="A974" s="278" t="str">
        <f t="shared" si="104"/>
        <v>ASUES.ES.ZRU10kV.SHTN10.TEL.mVi</v>
      </c>
      <c r="B974" s="688">
        <v>101</v>
      </c>
      <c r="C974" s="688" t="s">
        <v>0</v>
      </c>
      <c r="D974" s="280" t="s">
        <v>372</v>
      </c>
    </row>
    <row r="975" spans="1:4">
      <c r="A975" s="278" t="str">
        <f t="shared" si="104"/>
        <v>ASUES.ES.ZRU10kV.SHTN10.TEL.mVi</v>
      </c>
      <c r="B975" s="688">
        <v>3</v>
      </c>
      <c r="C975" s="688" t="s">
        <v>1</v>
      </c>
      <c r="D975" s="280">
        <v>192</v>
      </c>
    </row>
    <row r="976" spans="1:4">
      <c r="A976" s="278" t="str">
        <f t="shared" si="104"/>
        <v>ASUES.ES.ZRU10kV.SHTN10.TEL.mVi</v>
      </c>
      <c r="B976" s="688">
        <v>2</v>
      </c>
      <c r="C976" s="688" t="s">
        <v>80</v>
      </c>
      <c r="D976" s="280">
        <v>0</v>
      </c>
    </row>
    <row r="977" spans="1:4">
      <c r="A977" s="281" t="str">
        <f t="shared" si="104"/>
        <v>ASUES.ES.ZRU10kV.SHTN10.TEL.mVi</v>
      </c>
      <c r="B977" s="282">
        <v>1</v>
      </c>
      <c r="C977" s="282" t="s">
        <v>1</v>
      </c>
      <c r="D977" s="283">
        <v>4</v>
      </c>
    </row>
    <row r="978" spans="1:4">
      <c r="A978" s="275" t="str">
        <f t="shared" ref="A978:A983" si="105">$R$2&amp;".mVo"</f>
        <v>ASUES.ES.ZRU10kV.SHTN10.TEL.mVo</v>
      </c>
      <c r="B978" s="276">
        <v>7999</v>
      </c>
      <c r="C978" s="276" t="s">
        <v>0</v>
      </c>
      <c r="D978" s="277" t="str">
        <f>"#"&amp;$S$2&amp;"#"&amp;$T$2&amp;""&amp;$P$2&amp;".V0"</f>
        <v>#15#\\SERVER-ASCUER\Relematika.Modbus.OPCDAServerSHTN10.V0</v>
      </c>
    </row>
    <row r="979" spans="1:4">
      <c r="A979" s="278" t="str">
        <f t="shared" si="105"/>
        <v>ASUES.ES.ZRU10kV.SHTN10.TEL.mVo</v>
      </c>
      <c r="B979" s="688">
        <v>7998</v>
      </c>
      <c r="C979" s="688" t="s">
        <v>6</v>
      </c>
      <c r="D979" s="280">
        <v>1</v>
      </c>
    </row>
    <row r="980" spans="1:4">
      <c r="A980" s="278" t="str">
        <f t="shared" si="105"/>
        <v>ASUES.ES.ZRU10kV.SHTN10.TEL.mVo</v>
      </c>
      <c r="B980" s="688">
        <v>101</v>
      </c>
      <c r="C980" s="688" t="s">
        <v>0</v>
      </c>
      <c r="D980" s="280" t="s">
        <v>373</v>
      </c>
    </row>
    <row r="981" spans="1:4">
      <c r="A981" s="278" t="str">
        <f t="shared" si="105"/>
        <v>ASUES.ES.ZRU10kV.SHTN10.TEL.mVo</v>
      </c>
      <c r="B981" s="688">
        <v>3</v>
      </c>
      <c r="C981" s="688" t="s">
        <v>1</v>
      </c>
      <c r="D981" s="280">
        <v>192</v>
      </c>
    </row>
    <row r="982" spans="1:4">
      <c r="A982" s="278" t="str">
        <f t="shared" si="105"/>
        <v>ASUES.ES.ZRU10kV.SHTN10.TEL.mVo</v>
      </c>
      <c r="B982" s="688">
        <v>2</v>
      </c>
      <c r="C982" s="688" t="s">
        <v>80</v>
      </c>
      <c r="D982" s="280">
        <v>0</v>
      </c>
    </row>
    <row r="983" spans="1:4">
      <c r="A983" s="281" t="str">
        <f t="shared" si="105"/>
        <v>ASUES.ES.ZRU10kV.SHTN10.TEL.mVo</v>
      </c>
      <c r="B983" s="282">
        <v>1</v>
      </c>
      <c r="C983" s="282" t="s">
        <v>1</v>
      </c>
      <c r="D983" s="283">
        <v>4</v>
      </c>
    </row>
    <row r="984" spans="1:4">
      <c r="A984" s="275" t="str">
        <f t="shared" ref="A984:A989" si="106">$R$2&amp;".mVd"</f>
        <v>ASUES.ES.ZRU10kV.SHTN10.TEL.mVd</v>
      </c>
      <c r="B984" s="276">
        <v>7999</v>
      </c>
      <c r="C984" s="276" t="s">
        <v>0</v>
      </c>
      <c r="D984" s="277" t="str">
        <f>"#"&amp;$S$2&amp;"#"&amp;$T$2&amp;""&amp;$P$2&amp;".Vd"</f>
        <v>#15#\\SERVER-ASCUER\Relematika.Modbus.OPCDAServerSHTN10.Vd</v>
      </c>
    </row>
    <row r="985" spans="1:4">
      <c r="A985" s="278" t="str">
        <f t="shared" si="106"/>
        <v>ASUES.ES.ZRU10kV.SHTN10.TEL.mVd</v>
      </c>
      <c r="B985" s="688">
        <v>7998</v>
      </c>
      <c r="C985" s="688" t="s">
        <v>6</v>
      </c>
      <c r="D985" s="280">
        <v>1</v>
      </c>
    </row>
    <row r="986" spans="1:4">
      <c r="A986" s="278" t="str">
        <f t="shared" si="106"/>
        <v>ASUES.ES.ZRU10kV.SHTN10.TEL.mVd</v>
      </c>
      <c r="B986" s="688">
        <v>101</v>
      </c>
      <c r="C986" s="688" t="s">
        <v>0</v>
      </c>
      <c r="D986" s="280" t="s">
        <v>374</v>
      </c>
    </row>
    <row r="987" spans="1:4">
      <c r="A987" s="278" t="str">
        <f t="shared" si="106"/>
        <v>ASUES.ES.ZRU10kV.SHTN10.TEL.mVd</v>
      </c>
      <c r="B987" s="688">
        <v>3</v>
      </c>
      <c r="C987" s="688" t="s">
        <v>1</v>
      </c>
      <c r="D987" s="280">
        <v>192</v>
      </c>
    </row>
    <row r="988" spans="1:4">
      <c r="A988" s="278" t="str">
        <f t="shared" si="106"/>
        <v>ASUES.ES.ZRU10kV.SHTN10.TEL.mVd</v>
      </c>
      <c r="B988" s="688">
        <v>2</v>
      </c>
      <c r="C988" s="688" t="s">
        <v>80</v>
      </c>
      <c r="D988" s="280">
        <v>0</v>
      </c>
    </row>
    <row r="989" spans="1:4">
      <c r="A989" s="281" t="str">
        <f t="shared" si="106"/>
        <v>ASUES.ES.ZRU10kV.SHTN10.TEL.mVd</v>
      </c>
      <c r="B989" s="282">
        <v>1</v>
      </c>
      <c r="C989" s="282" t="s">
        <v>1</v>
      </c>
      <c r="D989" s="283">
        <v>4</v>
      </c>
    </row>
    <row r="990" spans="1:4">
      <c r="A990" s="275" t="str">
        <f t="shared" ref="A990:A995" si="107">$R$2&amp;".mP"</f>
        <v>ASUES.ES.ZRU10kV.SHTN10.TEL.mP</v>
      </c>
      <c r="B990" s="276">
        <v>7999</v>
      </c>
      <c r="C990" s="276" t="s">
        <v>0</v>
      </c>
      <c r="D990" s="277" t="str">
        <f>"#"&amp;$S$2&amp;"#"&amp;$T$2&amp;""&amp;$P$2&amp;".P"</f>
        <v>#15#\\SERVER-ASCUER\Relematika.Modbus.OPCDAServerSHTN10.P</v>
      </c>
    </row>
    <row r="991" spans="1:4">
      <c r="A991" s="278" t="str">
        <f t="shared" si="107"/>
        <v>ASUES.ES.ZRU10kV.SHTN10.TEL.mP</v>
      </c>
      <c r="B991" s="688">
        <v>7998</v>
      </c>
      <c r="C991" s="688" t="s">
        <v>6</v>
      </c>
      <c r="D991" s="280">
        <v>1</v>
      </c>
    </row>
    <row r="992" spans="1:4">
      <c r="A992" s="278" t="str">
        <f t="shared" si="107"/>
        <v>ASUES.ES.ZRU10kV.SHTN10.TEL.mP</v>
      </c>
      <c r="B992" s="688">
        <v>101</v>
      </c>
      <c r="C992" s="688" t="s">
        <v>0</v>
      </c>
      <c r="D992" s="280" t="s">
        <v>375</v>
      </c>
    </row>
    <row r="993" spans="1:4">
      <c r="A993" s="278" t="str">
        <f t="shared" si="107"/>
        <v>ASUES.ES.ZRU10kV.SHTN10.TEL.mP</v>
      </c>
      <c r="B993" s="688">
        <v>3</v>
      </c>
      <c r="C993" s="688" t="s">
        <v>1</v>
      </c>
      <c r="D993" s="280">
        <v>192</v>
      </c>
    </row>
    <row r="994" spans="1:4">
      <c r="A994" s="278" t="str">
        <f t="shared" si="107"/>
        <v>ASUES.ES.ZRU10kV.SHTN10.TEL.mP</v>
      </c>
      <c r="B994" s="688">
        <v>2</v>
      </c>
      <c r="C994" s="688" t="s">
        <v>80</v>
      </c>
      <c r="D994" s="280">
        <v>0</v>
      </c>
    </row>
    <row r="995" spans="1:4">
      <c r="A995" s="281" t="str">
        <f t="shared" si="107"/>
        <v>ASUES.ES.ZRU10kV.SHTN10.TEL.mP</v>
      </c>
      <c r="B995" s="282">
        <v>1</v>
      </c>
      <c r="C995" s="282" t="s">
        <v>1</v>
      </c>
      <c r="D995" s="283">
        <v>4</v>
      </c>
    </row>
    <row r="996" spans="1:4">
      <c r="A996" s="275" t="str">
        <f t="shared" ref="A996:A1001" si="108">$R$2&amp;".mQ"</f>
        <v>ASUES.ES.ZRU10kV.SHTN10.TEL.mQ</v>
      </c>
      <c r="B996" s="276">
        <v>7999</v>
      </c>
      <c r="C996" s="276" t="s">
        <v>0</v>
      </c>
      <c r="D996" s="277" t="str">
        <f>"#"&amp;$S$2&amp;"#"&amp;$T$2&amp;""&amp;$P$2&amp;".Q"</f>
        <v>#15#\\SERVER-ASCUER\Relematika.Modbus.OPCDAServerSHTN10.Q</v>
      </c>
    </row>
    <row r="997" spans="1:4">
      <c r="A997" s="278" t="str">
        <f t="shared" si="108"/>
        <v>ASUES.ES.ZRU10kV.SHTN10.TEL.mQ</v>
      </c>
      <c r="B997" s="688">
        <v>7998</v>
      </c>
      <c r="C997" s="688" t="s">
        <v>6</v>
      </c>
      <c r="D997" s="280">
        <v>1</v>
      </c>
    </row>
    <row r="998" spans="1:4">
      <c r="A998" s="278" t="str">
        <f t="shared" si="108"/>
        <v>ASUES.ES.ZRU10kV.SHTN10.TEL.mQ</v>
      </c>
      <c r="B998" s="688">
        <v>101</v>
      </c>
      <c r="C998" s="688" t="s">
        <v>0</v>
      </c>
      <c r="D998" s="280" t="s">
        <v>376</v>
      </c>
    </row>
    <row r="999" spans="1:4">
      <c r="A999" s="278" t="str">
        <f t="shared" si="108"/>
        <v>ASUES.ES.ZRU10kV.SHTN10.TEL.mQ</v>
      </c>
      <c r="B999" s="688">
        <v>3</v>
      </c>
      <c r="C999" s="688" t="s">
        <v>1</v>
      </c>
      <c r="D999" s="280">
        <v>192</v>
      </c>
    </row>
    <row r="1000" spans="1:4">
      <c r="A1000" s="278" t="str">
        <f t="shared" si="108"/>
        <v>ASUES.ES.ZRU10kV.SHTN10.TEL.mQ</v>
      </c>
      <c r="B1000" s="688">
        <v>2</v>
      </c>
      <c r="C1000" s="688" t="s">
        <v>80</v>
      </c>
      <c r="D1000" s="280">
        <v>0</v>
      </c>
    </row>
    <row r="1001" spans="1:4">
      <c r="A1001" s="281" t="str">
        <f t="shared" si="108"/>
        <v>ASUES.ES.ZRU10kV.SHTN10.TEL.mQ</v>
      </c>
      <c r="B1001" s="282">
        <v>1</v>
      </c>
      <c r="C1001" s="282" t="s">
        <v>1</v>
      </c>
      <c r="D1001" s="283">
        <v>4</v>
      </c>
    </row>
    <row r="1002" spans="1:4">
      <c r="A1002" s="275" t="str">
        <f t="shared" ref="A1002:A1007" si="109">$R$2&amp;".mS"</f>
        <v>ASUES.ES.ZRU10kV.SHTN10.TEL.mS</v>
      </c>
      <c r="B1002" s="276">
        <v>7999</v>
      </c>
      <c r="C1002" s="276" t="s">
        <v>0</v>
      </c>
      <c r="D1002" s="277" t="str">
        <f>"#"&amp;$S$2&amp;"#"&amp;$T$2&amp;""&amp;$P$2&amp;".S"</f>
        <v>#15#\\SERVER-ASCUER\Relematika.Modbus.OPCDAServerSHTN10.S</v>
      </c>
    </row>
    <row r="1003" spans="1:4">
      <c r="A1003" s="278" t="str">
        <f t="shared" si="109"/>
        <v>ASUES.ES.ZRU10kV.SHTN10.TEL.mS</v>
      </c>
      <c r="B1003" s="688">
        <v>7998</v>
      </c>
      <c r="C1003" s="688" t="s">
        <v>6</v>
      </c>
      <c r="D1003" s="280">
        <v>1</v>
      </c>
    </row>
    <row r="1004" spans="1:4">
      <c r="A1004" s="278" t="str">
        <f t="shared" si="109"/>
        <v>ASUES.ES.ZRU10kV.SHTN10.TEL.mS</v>
      </c>
      <c r="B1004" s="688">
        <v>101</v>
      </c>
      <c r="C1004" s="688" t="s">
        <v>0</v>
      </c>
      <c r="D1004" s="280" t="s">
        <v>377</v>
      </c>
    </row>
    <row r="1005" spans="1:4">
      <c r="A1005" s="278" t="str">
        <f t="shared" si="109"/>
        <v>ASUES.ES.ZRU10kV.SHTN10.TEL.mS</v>
      </c>
      <c r="B1005" s="688">
        <v>3</v>
      </c>
      <c r="C1005" s="688" t="s">
        <v>1</v>
      </c>
      <c r="D1005" s="280">
        <v>192</v>
      </c>
    </row>
    <row r="1006" spans="1:4">
      <c r="A1006" s="278" t="str">
        <f t="shared" si="109"/>
        <v>ASUES.ES.ZRU10kV.SHTN10.TEL.mS</v>
      </c>
      <c r="B1006" s="688">
        <v>2</v>
      </c>
      <c r="C1006" s="688" t="s">
        <v>80</v>
      </c>
      <c r="D1006" s="280">
        <v>0</v>
      </c>
    </row>
    <row r="1007" spans="1:4">
      <c r="A1007" s="281" t="str">
        <f t="shared" si="109"/>
        <v>ASUES.ES.ZRU10kV.SHTN10.TEL.mS</v>
      </c>
      <c r="B1007" s="282">
        <v>1</v>
      </c>
      <c r="C1007" s="282" t="s">
        <v>1</v>
      </c>
      <c r="D1007" s="283">
        <v>4</v>
      </c>
    </row>
    <row r="1008" spans="1:4">
      <c r="A1008" s="275" t="str">
        <f t="shared" ref="A1008:A1013" si="110">$R$2&amp;".mU13"</f>
        <v>ASUES.ES.ZRU10kV.SHTN10.TEL.mU13</v>
      </c>
      <c r="B1008" s="276">
        <v>7999</v>
      </c>
      <c r="C1008" s="276" t="s">
        <v>0</v>
      </c>
      <c r="D1008" s="277" t="str">
        <f>"#"&amp;$S$2&amp;"#"&amp;$T$2&amp;""&amp;$P$2&amp;".U13"</f>
        <v>#15#\\SERVER-ASCUER\Relematika.Modbus.OPCDAServerSHTN10.U13</v>
      </c>
    </row>
    <row r="1009" spans="1:4">
      <c r="A1009" s="278" t="str">
        <f t="shared" si="110"/>
        <v>ASUES.ES.ZRU10kV.SHTN10.TEL.mU13</v>
      </c>
      <c r="B1009" s="688">
        <v>7998</v>
      </c>
      <c r="C1009" s="688" t="s">
        <v>6</v>
      </c>
      <c r="D1009" s="280">
        <v>1</v>
      </c>
    </row>
    <row r="1010" spans="1:4">
      <c r="A1010" s="278" t="str">
        <f t="shared" si="110"/>
        <v>ASUES.ES.ZRU10kV.SHTN10.TEL.mU13</v>
      </c>
      <c r="B1010" s="688">
        <v>101</v>
      </c>
      <c r="C1010" s="688" t="s">
        <v>0</v>
      </c>
      <c r="D1010" s="280" t="s">
        <v>378</v>
      </c>
    </row>
    <row r="1011" spans="1:4">
      <c r="A1011" s="278" t="str">
        <f t="shared" si="110"/>
        <v>ASUES.ES.ZRU10kV.SHTN10.TEL.mU13</v>
      </c>
      <c r="B1011" s="688">
        <v>3</v>
      </c>
      <c r="C1011" s="688" t="s">
        <v>1</v>
      </c>
      <c r="D1011" s="280">
        <v>192</v>
      </c>
    </row>
    <row r="1012" spans="1:4">
      <c r="A1012" s="278" t="str">
        <f t="shared" si="110"/>
        <v>ASUES.ES.ZRU10kV.SHTN10.TEL.mU13</v>
      </c>
      <c r="B1012" s="688">
        <v>2</v>
      </c>
      <c r="C1012" s="688" t="s">
        <v>80</v>
      </c>
      <c r="D1012" s="280">
        <v>0</v>
      </c>
    </row>
    <row r="1013" spans="1:4">
      <c r="A1013" s="281" t="str">
        <f t="shared" si="110"/>
        <v>ASUES.ES.ZRU10kV.SHTN10.TEL.mU13</v>
      </c>
      <c r="B1013" s="282">
        <v>1</v>
      </c>
      <c r="C1013" s="282" t="s">
        <v>1</v>
      </c>
      <c r="D1013" s="283">
        <v>4</v>
      </c>
    </row>
    <row r="1014" spans="1:4">
      <c r="A1014" s="275" t="str">
        <f t="shared" ref="A1014:A1019" si="111">$R$2&amp;".mU21"</f>
        <v>ASUES.ES.ZRU10kV.SHTN10.TEL.mU21</v>
      </c>
      <c r="B1014" s="276">
        <v>7999</v>
      </c>
      <c r="C1014" s="276" t="s">
        <v>0</v>
      </c>
      <c r="D1014" s="277" t="str">
        <f>"#"&amp;$S$2&amp;"#"&amp;$T$2&amp;""&amp;$P$2&amp;".U21"</f>
        <v>#15#\\SERVER-ASCUER\Relematika.Modbus.OPCDAServerSHTN10.U21</v>
      </c>
    </row>
    <row r="1015" spans="1:4">
      <c r="A1015" s="278" t="str">
        <f t="shared" si="111"/>
        <v>ASUES.ES.ZRU10kV.SHTN10.TEL.mU21</v>
      </c>
      <c r="B1015" s="688">
        <v>7998</v>
      </c>
      <c r="C1015" s="688" t="s">
        <v>6</v>
      </c>
      <c r="D1015" s="280">
        <v>1</v>
      </c>
    </row>
    <row r="1016" spans="1:4">
      <c r="A1016" s="278" t="str">
        <f t="shared" si="111"/>
        <v>ASUES.ES.ZRU10kV.SHTN10.TEL.mU21</v>
      </c>
      <c r="B1016" s="688">
        <v>101</v>
      </c>
      <c r="C1016" s="688" t="s">
        <v>0</v>
      </c>
      <c r="D1016" s="280" t="s">
        <v>379</v>
      </c>
    </row>
    <row r="1017" spans="1:4">
      <c r="A1017" s="278" t="str">
        <f t="shared" si="111"/>
        <v>ASUES.ES.ZRU10kV.SHTN10.TEL.mU21</v>
      </c>
      <c r="B1017" s="688">
        <v>3</v>
      </c>
      <c r="C1017" s="688" t="s">
        <v>1</v>
      </c>
      <c r="D1017" s="280">
        <v>192</v>
      </c>
    </row>
    <row r="1018" spans="1:4">
      <c r="A1018" s="278" t="str">
        <f t="shared" si="111"/>
        <v>ASUES.ES.ZRU10kV.SHTN10.TEL.mU21</v>
      </c>
      <c r="B1018" s="688">
        <v>2</v>
      </c>
      <c r="C1018" s="688" t="s">
        <v>80</v>
      </c>
      <c r="D1018" s="280">
        <v>0</v>
      </c>
    </row>
    <row r="1019" spans="1:4">
      <c r="A1019" s="281" t="str">
        <f t="shared" si="111"/>
        <v>ASUES.ES.ZRU10kV.SHTN10.TEL.mU21</v>
      </c>
      <c r="B1019" s="282">
        <v>1</v>
      </c>
      <c r="C1019" s="282" t="s">
        <v>1</v>
      </c>
      <c r="D1019" s="283">
        <v>4</v>
      </c>
    </row>
    <row r="1020" spans="1:4">
      <c r="A1020" s="275" t="str">
        <f t="shared" ref="A1020:A1025" si="112">$R$2&amp;".mU32"</f>
        <v>ASUES.ES.ZRU10kV.SHTN10.TEL.mU32</v>
      </c>
      <c r="B1020" s="276">
        <v>7999</v>
      </c>
      <c r="C1020" s="276" t="s">
        <v>0</v>
      </c>
      <c r="D1020" s="277" t="str">
        <f>"#"&amp;$S$2&amp;"#"&amp;$T$2&amp;""&amp;$P$2&amp;".U32"</f>
        <v>#15#\\SERVER-ASCUER\Relematika.Modbus.OPCDAServerSHTN10.U32</v>
      </c>
    </row>
    <row r="1021" spans="1:4">
      <c r="A1021" s="278" t="str">
        <f t="shared" si="112"/>
        <v>ASUES.ES.ZRU10kV.SHTN10.TEL.mU32</v>
      </c>
      <c r="B1021" s="688">
        <v>7998</v>
      </c>
      <c r="C1021" s="688" t="s">
        <v>6</v>
      </c>
      <c r="D1021" s="280">
        <v>1</v>
      </c>
    </row>
    <row r="1022" spans="1:4">
      <c r="A1022" s="278" t="str">
        <f t="shared" si="112"/>
        <v>ASUES.ES.ZRU10kV.SHTN10.TEL.mU32</v>
      </c>
      <c r="B1022" s="688">
        <v>101</v>
      </c>
      <c r="C1022" s="688" t="s">
        <v>0</v>
      </c>
      <c r="D1022" s="280" t="s">
        <v>380</v>
      </c>
    </row>
    <row r="1023" spans="1:4">
      <c r="A1023" s="278" t="str">
        <f t="shared" si="112"/>
        <v>ASUES.ES.ZRU10kV.SHTN10.TEL.mU32</v>
      </c>
      <c r="B1023" s="688">
        <v>3</v>
      </c>
      <c r="C1023" s="688" t="s">
        <v>1</v>
      </c>
      <c r="D1023" s="280">
        <v>192</v>
      </c>
    </row>
    <row r="1024" spans="1:4">
      <c r="A1024" s="278" t="str">
        <f t="shared" si="112"/>
        <v>ASUES.ES.ZRU10kV.SHTN10.TEL.mU32</v>
      </c>
      <c r="B1024" s="688">
        <v>2</v>
      </c>
      <c r="C1024" s="688" t="s">
        <v>80</v>
      </c>
      <c r="D1024" s="280">
        <v>0</v>
      </c>
    </row>
    <row r="1025" spans="1:4">
      <c r="A1025" s="281" t="str">
        <f t="shared" si="112"/>
        <v>ASUES.ES.ZRU10kV.SHTN10.TEL.mU32</v>
      </c>
      <c r="B1025" s="282">
        <v>1</v>
      </c>
      <c r="C1025" s="282" t="s">
        <v>1</v>
      </c>
      <c r="D1025" s="283">
        <v>4</v>
      </c>
    </row>
  </sheetData>
  <mergeCells count="1">
    <mergeCell ref="D19:E19"/>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Лист190">
    <tabColor rgb="FFFFC000"/>
  </sheetPr>
  <dimension ref="A1:BP511"/>
  <sheetViews>
    <sheetView zoomScale="80" zoomScaleNormal="80" workbookViewId="0">
      <selection activeCell="D2" sqref="D2:D4"/>
    </sheetView>
  </sheetViews>
  <sheetFormatPr defaultRowHeight="14.4"/>
  <cols>
    <col min="1" max="1" width="66.4414062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1" s="258" customFormat="1" ht="204.6" thickBot="1">
      <c r="A1" s="257"/>
      <c r="B1" s="260" t="s">
        <v>84</v>
      </c>
      <c r="C1" s="257"/>
      <c r="D1" s="257"/>
      <c r="E1" s="257"/>
      <c r="F1" s="257"/>
      <c r="P1" s="263" t="str">
        <f>Таблица!D1</f>
        <v>Префикс для TREI
Тэг ОРС для INFINITY</v>
      </c>
      <c r="Q1" s="263" t="str">
        <f>Таблица!E1</f>
        <v>Комментарий для TREI и INFINITY</v>
      </c>
      <c r="R1" s="263" t="str">
        <f>Таблица!F1</f>
        <v>ТЭГ в дереве INFINITY Server</v>
      </c>
      <c r="S1" s="263"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540" t="str">
        <f>Таблица!H1</f>
        <v>OPC путь 
№ маршрута Modbus TCP, Modbus RTU, Modbus over TCP (1-255)
№ КП IEC104 (1-65534)</v>
      </c>
      <c r="U1" s="263" t="str">
        <f>Таблица!I1</f>
        <v>OPC путь</v>
      </c>
      <c r="V1" s="263" t="str">
        <f>Таблица!J1</f>
        <v>Мнемосхема</v>
      </c>
      <c r="W1" s="263"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63"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63" t="str">
        <f>Таблица!M1</f>
        <v>FB_IMt_MON_S, IMt_MON: Только для трансформатора. Цвет нижних обмоток(-ки) при наличии напряжения</v>
      </c>
      <c r="Z1" s="263"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63"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63" t="str">
        <f>Таблица!P1</f>
        <v xml:space="preserve">FB_DI_S, FB_DO_S, DI, DI_DIAG, FB_DO_STB_S: Тип сигнализации (Авария, предупреждение, телесигнализация и тд.)
FB_SHPS_S(SB), FB_BTF_S: Тип сигнализации XFRX
</v>
      </c>
      <c r="AC1" s="263"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63" t="str">
        <f>Таблица!R1</f>
        <v>SEPAM: Тип ячейки (OL,SV,VV,TN)
BMRZ: Тип ячейки (VV,AV)
TOR: Тип ячейки (OL,SV,VV,TN,BK)</v>
      </c>
      <c r="AE1" s="263" t="str">
        <f>Таблица!S1</f>
        <v>Формула для fNoLink.Device</v>
      </c>
      <c r="AF1" s="263">
        <f>Таблица!T1</f>
        <v>0</v>
      </c>
      <c r="AG1" s="263">
        <f>Таблица!U1</f>
        <v>0</v>
      </c>
      <c r="AH1" s="263">
        <f>Таблица!V1</f>
        <v>0</v>
      </c>
      <c r="AI1" s="263">
        <f>Таблица!W1</f>
        <v>0</v>
      </c>
      <c r="AJ1" s="263">
        <f>Таблица!X1</f>
        <v>0</v>
      </c>
      <c r="AK1" s="541" t="str">
        <f>Таблица!Y1</f>
        <v>FB_AI_S, FB_DI_S, FB_QSA_S, FB_DO_S, FB_SHPS_S, FB_SHOP_S, FB_BTF_S: IVXX
FB_KL_UPT_S: ISON
SW_S301, SW_MES3508: Подключение к порту 1
SW_MAYAK: Подключение к порту 1,2 (через "\")
DI_DIAG, DO_DIAG: XVLX</v>
      </c>
      <c r="AL1" s="541"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541"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541" t="str">
        <f>Таблица!AB1</f>
        <v>FB_IMstp_S, FB_IMsp_S, FB_IMs_S, FB_REG_S, FB_IM_ADES_S : ILCX
SW_S301: Подключение к порту 4
SW_MAYAK, SW_MES3508: Подключение к порту 7,8 (через "\")</v>
      </c>
      <c r="AO1" s="542" t="str">
        <f>Таблица!AC1</f>
        <v xml:space="preserve">FB_IMstp_S, FB_IMsp_S, FB_IMs_S, FB_IMp_S, FB_IMv_S, FB_REG_S, FB_IM_ADES_S, FB_DO_S : IRCX
SW_S301, SW_MES3508: Подключение к порту 5
SW_MAYAK: Подключение к порту 9,10 (через "\")
</v>
      </c>
      <c r="AP1" s="542"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542"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542" t="str">
        <f>Таблица!AF1</f>
        <v xml:space="preserve">FB_IMstp_S, FB_IMsp_S, FB_IMs_S, FB_IMp_S, FB_IMv_S, FB_IM_ADES_S, FB_OZK_KD_S, FB_DO_S: OXOF
SW_S301, SW_MES3508: Подключение к порту 8
SW_MAYAK: Подключение к порту 15,16 (через "\")
</v>
      </c>
      <c r="AS1" s="542" t="str">
        <f>Таблица!AG1</f>
        <v xml:space="preserve">FB_IM_ADES_S, FB_IMp_S, FB_IMv_S: OXSP
FB_IMstp_S, FB_IMsp_S, FB_IMsp_MON_S: IPTC
SW_S301, SW_MES3508: Подключение к порту 9
SW_MAYAK: Подключение к порту 17,18 (через "\")
</v>
      </c>
      <c r="AT1" s="542" t="str">
        <f>Таблица!AH1</f>
        <v xml:space="preserve">FB_IMstp_S, FB_IMst_MON_S, FB_IMt_MON_S: ITON
FB_IM_ADES_S: IOLD
SW_S301, SW_MES3508: Подключение к порту 10
SW_MAYAK: Подключение к порту 19,20 (через "\")
</v>
      </c>
      <c r="AU1" s="542" t="str">
        <f>Таблица!AI1</f>
        <v>FB_IMstp_S, FB_IMst_MON_S, FB_IMt_MON_S: ITOF
FB_IM_ADES_S: IRAD
SW_MAYAK: Подключение к порту 21,22 (через "\")</v>
      </c>
      <c r="AV1" s="542" t="str">
        <f>Таблица!AJ1</f>
        <v xml:space="preserve">FB_IMstp_S, FB_IMsp_S, FB_IMsp_MON_S, FB_IM_ADES_S: IPTO
SW_MAYAK: Подключение к порту 23,24 (через "\")
</v>
      </c>
      <c r="AW1" s="261"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61" t="str">
        <f>Таблица!AL1</f>
        <v>Для TREI
FB_IMstp_S, FB_IMs_S, FB_IMp_S, FB_IMv_S, FB_IM_ADES_S: Настройка перехода ручной-/автоматический-(TRUE/FALSE) 
FB_DI_S: Генерировать метки времени (TRUE/FALSE)</v>
      </c>
      <c r="AY1" s="261"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61" t="str">
        <f>Таблица!AN1</f>
        <v>Для TREI
FB_AI_S, FB_QSA_S: Верхний предел датчика
FB_IMp_S, FB_IMv_S, FB_IM_ADES_S, FB_OZK_KD_S: Время перестановки</v>
      </c>
      <c r="BA1" s="261"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F1" s="259"/>
      <c r="BG1" s="259"/>
      <c r="BH1" s="259"/>
      <c r="BI1" s="259"/>
    </row>
    <row r="2" spans="1:61" ht="15" customHeight="1">
      <c r="A2" s="9"/>
      <c r="B2" s="9"/>
      <c r="C2" s="9"/>
      <c r="D2" s="9"/>
      <c r="E2" s="9"/>
      <c r="F2" s="9"/>
      <c r="P2" s="2" t="s">
        <v>1564</v>
      </c>
      <c r="Q2" s="2" t="s">
        <v>1565</v>
      </c>
      <c r="R2" s="2" t="s">
        <v>1566</v>
      </c>
      <c r="S2" s="3">
        <v>15</v>
      </c>
      <c r="T2" s="3" t="s">
        <v>1539</v>
      </c>
      <c r="U2" s="3" t="s">
        <v>1556</v>
      </c>
      <c r="V2" s="3" t="s">
        <v>1540</v>
      </c>
      <c r="W2" s="12"/>
      <c r="X2" s="12"/>
      <c r="Y2" s="12"/>
      <c r="Z2" s="12"/>
      <c r="AA2" s="12"/>
      <c r="AB2" s="2"/>
      <c r="AC2" s="2"/>
      <c r="AD2" s="2" t="s">
        <v>1476</v>
      </c>
      <c r="AE2" s="2" t="s">
        <v>1541</v>
      </c>
      <c r="AF2" s="2"/>
      <c r="AG2" s="2"/>
      <c r="AH2" s="2"/>
      <c r="AI2" s="2"/>
      <c r="AJ2" s="2"/>
      <c r="AK2" s="2"/>
      <c r="AL2" s="2"/>
      <c r="AM2" s="2"/>
      <c r="AN2" s="2"/>
      <c r="AO2" s="2"/>
      <c r="AP2" s="2"/>
      <c r="AQ2" s="2"/>
      <c r="AR2" s="2"/>
      <c r="AS2" s="2"/>
      <c r="AT2" s="2"/>
      <c r="AU2" s="2"/>
      <c r="AV2" s="2"/>
      <c r="AW2" s="2"/>
      <c r="AX2" s="2"/>
      <c r="AY2" s="2"/>
      <c r="AZ2" s="2"/>
      <c r="BA2" s="2"/>
      <c r="BF2" s="4"/>
      <c r="BG2" s="4"/>
      <c r="BH2" s="4"/>
      <c r="BI2" s="4"/>
    </row>
    <row r="3" spans="1:61" ht="15" customHeight="1">
      <c r="A3" s="9"/>
      <c r="B3" s="9"/>
      <c r="C3" s="9"/>
      <c r="D3" s="9"/>
      <c r="E3" s="9"/>
      <c r="F3" s="9"/>
      <c r="P3" s="10"/>
      <c r="Q3" s="10"/>
      <c r="R3" s="10"/>
      <c r="S3" s="10"/>
      <c r="T3" s="10"/>
      <c r="U3" s="10"/>
      <c r="V3" s="10"/>
      <c r="W3" s="10"/>
      <c r="X3" s="10"/>
      <c r="Y3" s="10"/>
      <c r="Z3" s="10"/>
      <c r="AA3" s="10"/>
      <c r="BF3" s="4"/>
      <c r="BG3" s="4"/>
      <c r="BH3" s="4"/>
      <c r="BI3" s="4"/>
    </row>
    <row r="4" spans="1:61"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609"/>
      <c r="V4" s="10"/>
      <c r="W4" s="10"/>
      <c r="X4" s="10"/>
      <c r="Y4" s="10"/>
      <c r="Z4" s="10"/>
      <c r="AA4" s="10"/>
      <c r="BF4" s="4"/>
      <c r="BG4" s="4"/>
      <c r="BH4" s="4"/>
      <c r="BI4" s="4"/>
    </row>
    <row r="5" spans="1:61" ht="15" customHeight="1">
      <c r="A5" s="9"/>
      <c r="B5" s="9"/>
      <c r="C5" s="9"/>
      <c r="D5" s="9"/>
      <c r="E5" s="9"/>
      <c r="F5" s="9"/>
      <c r="P5" s="6" t="str">
        <f>Настройки!A2</f>
        <v>Авария</v>
      </c>
      <c r="Q5" s="5">
        <f>Настройки!B2</f>
        <v>4</v>
      </c>
      <c r="R5" s="543" t="str">
        <f>Настройки!C2</f>
        <v>Авария</v>
      </c>
      <c r="S5" s="10"/>
      <c r="T5" s="458">
        <f>Настройки!M12</f>
        <v>1</v>
      </c>
      <c r="U5" s="610"/>
      <c r="V5" s="10"/>
      <c r="W5" s="10"/>
      <c r="X5" s="10"/>
      <c r="Y5" s="10"/>
      <c r="Z5" s="10"/>
      <c r="AA5" s="10"/>
      <c r="BF5" s="4"/>
      <c r="BG5" s="4"/>
      <c r="BH5" s="4"/>
      <c r="BI5" s="4"/>
    </row>
    <row r="6" spans="1:61" ht="15" customHeight="1">
      <c r="A6" s="9"/>
      <c r="B6" s="9"/>
      <c r="C6" s="9"/>
      <c r="D6" s="9"/>
      <c r="E6" s="9"/>
      <c r="F6" s="9"/>
      <c r="P6" s="6" t="str">
        <f>Настройки!A3</f>
        <v>Предупреждение</v>
      </c>
      <c r="Q6" s="5">
        <f>Настройки!B3</f>
        <v>8</v>
      </c>
      <c r="R6" s="543" t="str">
        <f>Настройки!C3</f>
        <v>Предупреждение</v>
      </c>
      <c r="S6" s="10"/>
      <c r="T6" s="608" t="str">
        <f>Настройки!$M$7</f>
        <v>Отображение Таблицы подлючений в диаг.</v>
      </c>
      <c r="U6" s="10"/>
      <c r="V6" s="10"/>
      <c r="W6" s="10"/>
      <c r="X6" s="10"/>
      <c r="Y6" s="10"/>
      <c r="Z6" s="10"/>
      <c r="AA6" s="10"/>
      <c r="BF6" s="4"/>
      <c r="BG6" s="4"/>
      <c r="BH6" s="4"/>
      <c r="BI6" s="4"/>
    </row>
    <row r="7" spans="1:61" ht="15" customHeight="1">
      <c r="A7" s="9"/>
      <c r="B7" s="9"/>
      <c r="C7" s="9"/>
      <c r="D7" s="9"/>
      <c r="E7" s="9"/>
      <c r="F7" s="9"/>
      <c r="P7" s="6" t="str">
        <f>Настройки!A4</f>
        <v>Неисправность</v>
      </c>
      <c r="Q7" s="5">
        <f>Настройки!B4</f>
        <v>12</v>
      </c>
      <c r="R7" s="543" t="str">
        <f>Настройки!C4</f>
        <v>Неисправность</v>
      </c>
      <c r="S7" s="10"/>
      <c r="T7" s="458" t="b">
        <f>Настройки!$M$8</f>
        <v>0</v>
      </c>
      <c r="U7" s="10"/>
      <c r="V7" s="10"/>
      <c r="W7" s="10"/>
      <c r="X7" s="10"/>
      <c r="Y7" s="10"/>
      <c r="Z7" s="10"/>
      <c r="AA7" s="10"/>
      <c r="BF7" s="4"/>
      <c r="BG7" s="4"/>
      <c r="BH7" s="4"/>
      <c r="BI7" s="4"/>
    </row>
    <row r="8" spans="1:61" ht="15" customHeight="1">
      <c r="A8" s="9"/>
      <c r="B8" s="9"/>
      <c r="C8" s="9"/>
      <c r="D8" s="9"/>
      <c r="E8" s="9"/>
      <c r="F8" s="9"/>
      <c r="P8" s="6" t="str">
        <f>Настройки!A5</f>
        <v>Телесигнализация</v>
      </c>
      <c r="Q8" s="5">
        <f>Настройки!B5</f>
        <v>18</v>
      </c>
      <c r="R8" s="543" t="str">
        <f>Настройки!C5</f>
        <v>Телесигнализация</v>
      </c>
      <c r="S8" s="10"/>
      <c r="T8" s="10"/>
      <c r="U8" s="10"/>
      <c r="V8" s="10"/>
      <c r="W8" s="10"/>
      <c r="X8" s="10"/>
      <c r="Y8" s="10"/>
      <c r="Z8" s="10"/>
      <c r="AA8" s="10"/>
      <c r="BF8" s="4"/>
      <c r="BG8" s="4"/>
      <c r="BH8" s="4"/>
      <c r="BI8" s="4"/>
    </row>
    <row r="9" spans="1:61" ht="15" customHeight="1">
      <c r="A9" s="9"/>
      <c r="B9" s="9"/>
      <c r="C9" s="9"/>
      <c r="D9" s="9"/>
      <c r="E9" s="9"/>
      <c r="F9" s="9"/>
      <c r="P9" s="6" t="str">
        <f>Настройки!A6</f>
        <v>Недостоверность</v>
      </c>
      <c r="Q9" s="5">
        <f>Настройки!B6</f>
        <v>10</v>
      </c>
      <c r="R9" s="543" t="str">
        <f>Настройки!C6</f>
        <v>Недостоверность</v>
      </c>
      <c r="S9" s="10"/>
      <c r="T9" s="10"/>
      <c r="U9" s="10"/>
      <c r="V9" s="10"/>
      <c r="W9" s="10"/>
      <c r="X9" s="10"/>
      <c r="Y9" s="10"/>
      <c r="Z9" s="10"/>
      <c r="AA9" s="10"/>
      <c r="BF9" s="4"/>
      <c r="BG9" s="4"/>
      <c r="BH9" s="4"/>
      <c r="BI9" s="4"/>
    </row>
    <row r="10" spans="1:61" ht="15" customHeight="1">
      <c r="A10" s="9"/>
      <c r="B10" s="9"/>
      <c r="C10" s="9"/>
      <c r="D10" s="9"/>
      <c r="E10" s="9"/>
      <c r="F10" s="9"/>
      <c r="P10" s="6" t="str">
        <f>Настройки!A7</f>
        <v>Имитация</v>
      </c>
      <c r="Q10" s="5">
        <f>Настройки!B7</f>
        <v>16</v>
      </c>
      <c r="R10" s="543" t="str">
        <f>Настройки!C7</f>
        <v>Имитация</v>
      </c>
      <c r="S10" s="10"/>
      <c r="T10" s="10"/>
      <c r="U10" s="10"/>
      <c r="V10" s="10"/>
      <c r="W10" s="10"/>
      <c r="X10" s="10"/>
      <c r="Y10" s="10"/>
      <c r="Z10" s="10"/>
      <c r="AA10" s="10"/>
      <c r="BF10" s="4"/>
      <c r="BG10" s="4"/>
      <c r="BH10" s="4"/>
      <c r="BI10" s="4"/>
    </row>
    <row r="11" spans="1:61" ht="15" customHeight="1">
      <c r="A11" s="9"/>
      <c r="B11" s="9"/>
      <c r="C11" s="9"/>
      <c r="D11" s="9"/>
      <c r="E11" s="9"/>
      <c r="F11" s="9"/>
      <c r="P11" s="6" t="str">
        <f>Настройки!A8</f>
        <v>Ремонт</v>
      </c>
      <c r="Q11" s="5">
        <f>Настройки!B8</f>
        <v>14</v>
      </c>
      <c r="R11" s="543" t="str">
        <f>Настройки!C8</f>
        <v>Ремонт</v>
      </c>
      <c r="S11" s="10"/>
      <c r="T11" s="10"/>
      <c r="U11" s="10"/>
      <c r="V11" s="10"/>
      <c r="W11" s="10"/>
      <c r="X11" s="10"/>
      <c r="Y11" s="10"/>
      <c r="Z11" s="10"/>
      <c r="AA11" s="10"/>
      <c r="BF11" s="4"/>
      <c r="BG11" s="4"/>
      <c r="BH11" s="4"/>
      <c r="BI11" s="4"/>
    </row>
    <row r="12" spans="1:61" ht="15" customHeight="1">
      <c r="A12" s="9"/>
      <c r="B12" s="9"/>
      <c r="C12" s="9"/>
      <c r="D12" s="9"/>
      <c r="E12" s="9"/>
      <c r="F12" s="9"/>
      <c r="P12" s="6" t="str">
        <f>Настройки!A9</f>
        <v>Команда оператора</v>
      </c>
      <c r="Q12" s="5">
        <f>Настройки!B9</f>
        <v>20</v>
      </c>
      <c r="R12" s="543" t="str">
        <f>Настройки!C9</f>
        <v>Команда оператора</v>
      </c>
      <c r="S12" s="10"/>
      <c r="T12" s="10"/>
      <c r="U12" s="10"/>
      <c r="V12" s="10"/>
      <c r="W12" s="10"/>
      <c r="X12" s="10"/>
      <c r="Y12" s="10"/>
      <c r="Z12" s="10"/>
      <c r="AA12" s="10"/>
      <c r="BF12" s="4"/>
      <c r="BG12" s="4"/>
      <c r="BH12" s="4"/>
      <c r="BI12" s="4"/>
    </row>
    <row r="13" spans="1:61"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F13" s="4"/>
      <c r="BG13" s="4"/>
      <c r="BH13" s="4"/>
      <c r="BI13" s="4"/>
    </row>
    <row r="14" spans="1:61"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F14" s="4"/>
      <c r="BG14" s="4"/>
      <c r="BH14" s="4"/>
      <c r="BI14" s="4"/>
    </row>
    <row r="15" spans="1:61"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F15" s="4"/>
      <c r="BG15" s="4"/>
      <c r="BH15" s="4"/>
      <c r="BI15" s="4"/>
    </row>
    <row r="16" spans="1:61"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F16" s="4"/>
      <c r="BG16" s="4"/>
      <c r="BH16" s="4"/>
      <c r="BI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F17" s="4"/>
      <c r="BG17" s="4"/>
      <c r="BH17" s="4"/>
      <c r="BI17" s="4"/>
    </row>
    <row r="18" spans="1:68" ht="15" customHeight="1" thickBo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F18" s="4"/>
      <c r="BG18" s="4"/>
      <c r="BH18" s="4"/>
      <c r="BI18" s="4"/>
    </row>
    <row r="19" spans="1:68" ht="15" customHeight="1" thickBot="1">
      <c r="A19" s="9"/>
      <c r="B19" s="9"/>
      <c r="C19" s="9"/>
      <c r="D19" s="783" t="s">
        <v>1933</v>
      </c>
      <c r="E19" s="782"/>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F19" s="4"/>
      <c r="BG19" s="4"/>
      <c r="BH19" s="4"/>
      <c r="BI19" s="4"/>
    </row>
    <row r="20" spans="1:68" ht="15" customHeight="1">
      <c r="A20" s="23" t="str">
        <f>$R$2</f>
        <v>ASUES.ES.ZRU10kV.SHTN10.TEL</v>
      </c>
      <c r="B20" s="24">
        <v>100</v>
      </c>
      <c r="C20" s="24" t="s">
        <v>0</v>
      </c>
      <c r="D20" s="25" t="b">
        <f>$T$7</f>
        <v>0</v>
      </c>
      <c r="BM20" s="4"/>
      <c r="BN20" s="4"/>
      <c r="BO20" s="4"/>
      <c r="BP20" s="4"/>
    </row>
    <row r="21" spans="1:68" ht="15" customHeight="1">
      <c r="A21" s="29" t="str">
        <f>$R$2</f>
        <v>ASUES.ES.ZRU10kV.SHTN10.TEL</v>
      </c>
      <c r="B21">
        <v>11127</v>
      </c>
      <c r="C21" t="s">
        <v>0</v>
      </c>
      <c r="D21" s="30">
        <f>$AK$2</f>
        <v>0</v>
      </c>
      <c r="BM21" s="4"/>
      <c r="BN21" s="4"/>
      <c r="BO21" s="4"/>
      <c r="BP21" s="4"/>
    </row>
    <row r="22" spans="1:68">
      <c r="A22" s="23" t="str">
        <f t="shared" ref="A22:A27" si="0">$R$2</f>
        <v>ASUES.ES.ZRU10kV.SHTN10.TEL</v>
      </c>
      <c r="B22" s="24">
        <v>203</v>
      </c>
      <c r="C22" s="24" t="s">
        <v>2</v>
      </c>
      <c r="D22" s="25" t="s">
        <v>3</v>
      </c>
    </row>
    <row r="23" spans="1:68">
      <c r="A23" s="29" t="str">
        <f t="shared" si="0"/>
        <v>ASUES.ES.ZRU10kV.SHTN10.TEL</v>
      </c>
      <c r="B23">
        <v>7011</v>
      </c>
      <c r="C23" t="s">
        <v>2</v>
      </c>
      <c r="D23" s="30" t="s">
        <v>266</v>
      </c>
    </row>
    <row r="24" spans="1:68" ht="15" customHeight="1">
      <c r="A24" s="29" t="str">
        <f t="shared" si="0"/>
        <v>ASUES.ES.ZRU10kV.SHTN10.TEL</v>
      </c>
      <c r="B24">
        <v>9218</v>
      </c>
      <c r="C24" t="s">
        <v>2</v>
      </c>
      <c r="D24" s="30" t="s">
        <v>3</v>
      </c>
      <c r="BF24" s="4"/>
      <c r="BG24" s="4"/>
      <c r="BH24" s="4"/>
      <c r="BI24" s="4"/>
    </row>
    <row r="25" spans="1:68" ht="15" customHeight="1">
      <c r="A25" s="29" t="str">
        <f t="shared" si="0"/>
        <v>ASUES.ES.ZRU10kV.SHTN10.TEL</v>
      </c>
      <c r="B25">
        <v>3000203</v>
      </c>
      <c r="C25" t="s">
        <v>0</v>
      </c>
      <c r="D25" s="30" t="str">
        <f>$AE$2</f>
        <v>DIAG.PING.USO_E2.Comm_1.noLink &amp; DIAG.PING.USO_E2.Comm_3.noLink</v>
      </c>
      <c r="BF25" s="4"/>
      <c r="BG25" s="4"/>
      <c r="BH25" s="4"/>
      <c r="BI25" s="4"/>
    </row>
    <row r="26" spans="1:68" ht="15" customHeight="1">
      <c r="A26" s="29" t="str">
        <f t="shared" si="0"/>
        <v>ASUES.ES.ZRU10kV.SHTN10.TEL</v>
      </c>
      <c r="B26">
        <v>4000203</v>
      </c>
      <c r="C26" t="s">
        <v>0</v>
      </c>
      <c r="D26" s="30" t="s">
        <v>1775</v>
      </c>
      <c r="BF26" s="4"/>
      <c r="BG26" s="4"/>
      <c r="BH26" s="4"/>
      <c r="BI26" s="4"/>
    </row>
    <row r="27" spans="1:68" ht="15" customHeight="1">
      <c r="A27" s="26" t="str">
        <f t="shared" si="0"/>
        <v>ASUES.ES.ZRU10kV.SHTN10.TEL</v>
      </c>
      <c r="B27" s="27">
        <v>7000203</v>
      </c>
      <c r="C27" s="27" t="s">
        <v>6</v>
      </c>
      <c r="D27" s="28">
        <v>2</v>
      </c>
      <c r="BF27" s="4"/>
      <c r="BG27" s="4"/>
      <c r="BH27" s="4"/>
      <c r="BI27" s="4"/>
    </row>
    <row r="28" spans="1:68" ht="15" customHeight="1">
      <c r="A28" s="23" t="str">
        <f>$R$2&amp;".Commands"</f>
        <v>ASUES.ES.ZRU10kV.SHTN10.TEL.Commands</v>
      </c>
      <c r="B28" s="24">
        <v>1</v>
      </c>
      <c r="C28" s="24" t="s">
        <v>1</v>
      </c>
      <c r="D28" s="25">
        <v>17</v>
      </c>
      <c r="BF28" s="4"/>
      <c r="BG28" s="4"/>
      <c r="BH28" s="4"/>
      <c r="BI28" s="4"/>
    </row>
    <row r="29" spans="1:68" ht="15" customHeight="1">
      <c r="A29" s="29" t="str">
        <f>$R$2&amp;".Commands"</f>
        <v>ASUES.ES.ZRU10kV.SHTN10.TEL.Commands</v>
      </c>
      <c r="B29">
        <v>7011</v>
      </c>
      <c r="C29" t="s">
        <v>2</v>
      </c>
      <c r="D29" s="30" t="s">
        <v>266</v>
      </c>
      <c r="BF29" s="4"/>
      <c r="BG29" s="4"/>
      <c r="BH29" s="4"/>
      <c r="BI29" s="4"/>
    </row>
    <row r="30" spans="1:68" ht="15" customHeight="1">
      <c r="A30" s="29" t="str">
        <f>$R$2&amp;".Commands"</f>
        <v>ASUES.ES.ZRU10kV.SHTN10.TEL.Commands</v>
      </c>
      <c r="B30">
        <v>9213</v>
      </c>
      <c r="C30" t="s">
        <v>2583</v>
      </c>
      <c r="D30" s="30">
        <v>2</v>
      </c>
      <c r="BF30" s="4"/>
      <c r="BG30" s="4"/>
      <c r="BH30" s="4"/>
      <c r="BI30" s="4"/>
    </row>
    <row r="31" spans="1:68" ht="15" customHeight="1">
      <c r="A31" s="29" t="str">
        <f>$R$2&amp;".Commands"</f>
        <v>ASUES.ES.ZRU10kV.SHTN10.TEL.Commands</v>
      </c>
      <c r="B31">
        <v>9214</v>
      </c>
      <c r="C31" t="s">
        <v>2</v>
      </c>
      <c r="D31" s="30" t="s">
        <v>3</v>
      </c>
      <c r="BF31" s="4"/>
      <c r="BG31" s="4"/>
      <c r="BH31" s="4"/>
      <c r="BI31" s="4"/>
    </row>
    <row r="32" spans="1:68">
      <c r="A32" s="29" t="str">
        <f t="shared" ref="A32:A34" si="1">$R$2&amp;".Commands"</f>
        <v>ASUES.ES.ZRU10kV.SHTN10.TEL.Commands</v>
      </c>
      <c r="B32">
        <v>9215</v>
      </c>
      <c r="C32" t="s">
        <v>2</v>
      </c>
      <c r="D32" s="30" t="s">
        <v>3</v>
      </c>
    </row>
    <row r="33" spans="1:4">
      <c r="A33" s="29" t="str">
        <f t="shared" si="1"/>
        <v>ASUES.ES.ZRU10kV.SHTN10.TEL.Commands</v>
      </c>
      <c r="B33">
        <v>9216</v>
      </c>
      <c r="C33" t="s">
        <v>2</v>
      </c>
      <c r="D33" s="30" t="s">
        <v>3</v>
      </c>
    </row>
    <row r="34" spans="1:4">
      <c r="A34" s="26" t="str">
        <f t="shared" si="1"/>
        <v>ASUES.ES.ZRU10kV.SHTN10.TEL.Commands</v>
      </c>
      <c r="B34" s="27">
        <v>9217</v>
      </c>
      <c r="C34" s="27" t="s">
        <v>2</v>
      </c>
      <c r="D34" s="28" t="s">
        <v>3</v>
      </c>
    </row>
    <row r="35" spans="1:4">
      <c r="A35" s="148" t="str">
        <f t="shared" ref="A35:A44" si="2">$R$2&amp;".aDGZ_Valve"</f>
        <v>ASUES.ES.ZRU10kV.SHTN10.TEL.aDGZ_Valve</v>
      </c>
      <c r="B35" s="683">
        <v>11154</v>
      </c>
      <c r="C35" s="683" t="s">
        <v>4</v>
      </c>
      <c r="D35" s="535">
        <f>$Q$5</f>
        <v>4</v>
      </c>
    </row>
    <row r="36" spans="1:4">
      <c r="A36" s="148" t="str">
        <f t="shared" si="2"/>
        <v>ASUES.ES.ZRU10kV.SHTN10.TEL.aDGZ_Valve</v>
      </c>
      <c r="B36" s="683">
        <v>11150</v>
      </c>
      <c r="C36" s="683" t="s">
        <v>0</v>
      </c>
      <c r="D36" s="125" t="s">
        <v>1542</v>
      </c>
    </row>
    <row r="37" spans="1:4">
      <c r="A37" s="148" t="str">
        <f t="shared" si="2"/>
        <v>ASUES.ES.ZRU10kV.SHTN10.TEL.aDGZ_Valve</v>
      </c>
      <c r="B37" s="683">
        <v>11152</v>
      </c>
      <c r="C37" s="683" t="s">
        <v>0</v>
      </c>
      <c r="D37" s="125" t="str">
        <f>$R$5</f>
        <v>Авария</v>
      </c>
    </row>
    <row r="38" spans="1:4">
      <c r="A38" s="148" t="str">
        <f t="shared" si="2"/>
        <v>ASUES.ES.ZRU10kV.SHTN10.TEL.aDGZ_Valve</v>
      </c>
      <c r="B38" s="683">
        <v>11000</v>
      </c>
      <c r="C38" s="683" t="s">
        <v>5</v>
      </c>
      <c r="D38" s="125">
        <v>2147483680</v>
      </c>
    </row>
    <row r="39" spans="1:4">
      <c r="A39" s="29" t="str">
        <f t="shared" si="2"/>
        <v>ASUES.ES.ZRU10kV.SHTN10.TEL.aDGZ_Valve</v>
      </c>
      <c r="B39">
        <v>7999</v>
      </c>
      <c r="C39" t="s">
        <v>0</v>
      </c>
      <c r="D39" s="30" t="str">
        <f>"#"&amp;$S$2&amp;"#"&amp;$T$2&amp;""&amp;$P$2&amp;".TS49_64_TS64"</f>
        <v>#15#\\SERVER-ASCUER\Relematika.Modbus.OPCDAServerSHTN10.TS49_64_TS64</v>
      </c>
    </row>
    <row r="40" spans="1:4">
      <c r="A40" s="29" t="str">
        <f t="shared" si="2"/>
        <v>ASUES.ES.ZRU10kV.SHTN10.TEL.aDGZ_Valve</v>
      </c>
      <c r="B40">
        <v>7998</v>
      </c>
      <c r="C40" t="s">
        <v>6</v>
      </c>
      <c r="D40" s="30">
        <v>1</v>
      </c>
    </row>
    <row r="41" spans="1:4">
      <c r="A41" s="29" t="str">
        <f t="shared" si="2"/>
        <v>ASUES.ES.ZRU10kV.SHTN10.TEL.aDGZ_Valve</v>
      </c>
      <c r="B41">
        <v>101</v>
      </c>
      <c r="C41" t="s">
        <v>0</v>
      </c>
      <c r="D41" s="30" t="s">
        <v>1542</v>
      </c>
    </row>
    <row r="42" spans="1:4">
      <c r="A42" s="29" t="str">
        <f t="shared" si="2"/>
        <v>ASUES.ES.ZRU10kV.SHTN10.TEL.aDGZ_Valve</v>
      </c>
      <c r="B42">
        <v>3</v>
      </c>
      <c r="C42" t="s">
        <v>1</v>
      </c>
      <c r="D42" s="30">
        <v>192</v>
      </c>
    </row>
    <row r="43" spans="1:4">
      <c r="A43" s="29" t="str">
        <f t="shared" si="2"/>
        <v>ASUES.ES.ZRU10kV.SHTN10.TEL.aDGZ_Valve</v>
      </c>
      <c r="B43">
        <v>2</v>
      </c>
      <c r="C43" t="s">
        <v>2</v>
      </c>
      <c r="D43" s="30" t="s">
        <v>175</v>
      </c>
    </row>
    <row r="44" spans="1:4">
      <c r="A44" s="26" t="str">
        <f t="shared" si="2"/>
        <v>ASUES.ES.ZRU10kV.SHTN10.TEL.aDGZ_Valve</v>
      </c>
      <c r="B44" s="27">
        <v>1</v>
      </c>
      <c r="C44" s="27" t="s">
        <v>1</v>
      </c>
      <c r="D44" s="28">
        <v>11</v>
      </c>
    </row>
    <row r="45" spans="1:4">
      <c r="A45" s="148" t="str">
        <f>$R$2&amp;".aCur_cutoff"</f>
        <v>ASUES.ES.ZRU10kV.SHTN10.TEL.aCur_cutoff</v>
      </c>
      <c r="B45" s="683">
        <v>11154</v>
      </c>
      <c r="C45" s="683" t="s">
        <v>4</v>
      </c>
      <c r="D45" s="535">
        <f>$Q$5</f>
        <v>4</v>
      </c>
    </row>
    <row r="46" spans="1:4">
      <c r="A46" s="148" t="str">
        <f t="shared" ref="A46:A54" si="3">$R$2&amp;".aCur_cutoff"</f>
        <v>ASUES.ES.ZRU10kV.SHTN10.TEL.aCur_cutoff</v>
      </c>
      <c r="B46" s="683">
        <v>11150</v>
      </c>
      <c r="C46" s="683" t="s">
        <v>0</v>
      </c>
      <c r="D46" s="125" t="s">
        <v>1934</v>
      </c>
    </row>
    <row r="47" spans="1:4">
      <c r="A47" s="148" t="str">
        <f t="shared" si="3"/>
        <v>ASUES.ES.ZRU10kV.SHTN10.TEL.aCur_cutoff</v>
      </c>
      <c r="B47" s="683">
        <v>11152</v>
      </c>
      <c r="C47" s="683" t="s">
        <v>0</v>
      </c>
      <c r="D47" s="125" t="str">
        <f>$R$5</f>
        <v>Авария</v>
      </c>
    </row>
    <row r="48" spans="1:4">
      <c r="A48" s="148" t="str">
        <f t="shared" si="3"/>
        <v>ASUES.ES.ZRU10kV.SHTN10.TEL.aCur_cutoff</v>
      </c>
      <c r="B48" s="683">
        <v>11000</v>
      </c>
      <c r="C48" s="683" t="s">
        <v>5</v>
      </c>
      <c r="D48" s="125">
        <v>2147483680</v>
      </c>
    </row>
    <row r="49" spans="1:4">
      <c r="A49" s="29" t="str">
        <f t="shared" si="3"/>
        <v>ASUES.ES.ZRU10kV.SHTN10.TEL.aCur_cutoff</v>
      </c>
      <c r="B49">
        <v>7999</v>
      </c>
      <c r="C49" t="s">
        <v>0</v>
      </c>
      <c r="D49" s="30" t="str">
        <f>"#"&amp;$S$2&amp;"#"&amp;$T$2&amp;""&amp;$P$2&amp;".TS65_80_TS65"</f>
        <v>#15#\\SERVER-ASCUER\Relematika.Modbus.OPCDAServerSHTN10.TS65_80_TS65</v>
      </c>
    </row>
    <row r="50" spans="1:4">
      <c r="A50" s="29" t="str">
        <f t="shared" si="3"/>
        <v>ASUES.ES.ZRU10kV.SHTN10.TEL.aCur_cutoff</v>
      </c>
      <c r="B50">
        <v>7998</v>
      </c>
      <c r="C50" t="s">
        <v>6</v>
      </c>
      <c r="D50" s="30">
        <v>1</v>
      </c>
    </row>
    <row r="51" spans="1:4">
      <c r="A51" s="29" t="str">
        <f t="shared" si="3"/>
        <v>ASUES.ES.ZRU10kV.SHTN10.TEL.aCur_cutoff</v>
      </c>
      <c r="B51">
        <v>101</v>
      </c>
      <c r="C51" t="s">
        <v>0</v>
      </c>
      <c r="D51" s="30" t="s">
        <v>1934</v>
      </c>
    </row>
    <row r="52" spans="1:4">
      <c r="A52" s="29" t="str">
        <f t="shared" si="3"/>
        <v>ASUES.ES.ZRU10kV.SHTN10.TEL.aCur_cutoff</v>
      </c>
      <c r="B52">
        <v>3</v>
      </c>
      <c r="C52" t="s">
        <v>1</v>
      </c>
      <c r="D52" s="30">
        <v>192</v>
      </c>
    </row>
    <row r="53" spans="1:4">
      <c r="A53" s="29" t="str">
        <f t="shared" si="3"/>
        <v>ASUES.ES.ZRU10kV.SHTN10.TEL.aCur_cutoff</v>
      </c>
      <c r="B53">
        <v>2</v>
      </c>
      <c r="C53" t="s">
        <v>2</v>
      </c>
      <c r="D53" s="30" t="s">
        <v>175</v>
      </c>
    </row>
    <row r="54" spans="1:4">
      <c r="A54" s="26" t="str">
        <f t="shared" si="3"/>
        <v>ASUES.ES.ZRU10kV.SHTN10.TEL.aCur_cutoff</v>
      </c>
      <c r="B54" s="27">
        <v>1</v>
      </c>
      <c r="C54" s="27" t="s">
        <v>1</v>
      </c>
      <c r="D54" s="28">
        <v>11</v>
      </c>
    </row>
    <row r="55" spans="1:4">
      <c r="A55" s="148" t="str">
        <f>$R$2&amp;".aMTZ"</f>
        <v>ASUES.ES.ZRU10kV.SHTN10.TEL.aMTZ</v>
      </c>
      <c r="B55" s="683">
        <v>11154</v>
      </c>
      <c r="C55" s="683" t="s">
        <v>4</v>
      </c>
      <c r="D55" s="535">
        <f>$Q$5</f>
        <v>4</v>
      </c>
    </row>
    <row r="56" spans="1:4">
      <c r="A56" s="148" t="str">
        <f t="shared" ref="A56:A64" si="4">$R$2&amp;".aMTZ"</f>
        <v>ASUES.ES.ZRU10kV.SHTN10.TEL.aMTZ</v>
      </c>
      <c r="B56" s="683">
        <v>11150</v>
      </c>
      <c r="C56" s="683" t="s">
        <v>0</v>
      </c>
      <c r="D56" s="125" t="s">
        <v>1525</v>
      </c>
    </row>
    <row r="57" spans="1:4">
      <c r="A57" s="148" t="str">
        <f t="shared" si="4"/>
        <v>ASUES.ES.ZRU10kV.SHTN10.TEL.aMTZ</v>
      </c>
      <c r="B57" s="683">
        <v>11152</v>
      </c>
      <c r="C57" s="683" t="s">
        <v>0</v>
      </c>
      <c r="D57" s="125" t="str">
        <f>$R$5</f>
        <v>Авария</v>
      </c>
    </row>
    <row r="58" spans="1:4">
      <c r="A58" s="148" t="str">
        <f t="shared" si="4"/>
        <v>ASUES.ES.ZRU10kV.SHTN10.TEL.aMTZ</v>
      </c>
      <c r="B58" s="683">
        <v>11000</v>
      </c>
      <c r="C58" s="683" t="s">
        <v>5</v>
      </c>
      <c r="D58" s="125">
        <v>2147483680</v>
      </c>
    </row>
    <row r="59" spans="1:4">
      <c r="A59" s="29" t="str">
        <f t="shared" si="4"/>
        <v>ASUES.ES.ZRU10kV.SHTN10.TEL.aMTZ</v>
      </c>
      <c r="B59">
        <v>7999</v>
      </c>
      <c r="C59" t="s">
        <v>0</v>
      </c>
      <c r="D59" s="30" t="str">
        <f>"#"&amp;$S$2&amp;"#"&amp;$T$2&amp;""&amp;$P$2&amp;".TS65_80_TS66"</f>
        <v>#15#\\SERVER-ASCUER\Relematika.Modbus.OPCDAServerSHTN10.TS65_80_TS66</v>
      </c>
    </row>
    <row r="60" spans="1:4">
      <c r="A60" s="29" t="str">
        <f t="shared" si="4"/>
        <v>ASUES.ES.ZRU10kV.SHTN10.TEL.aMTZ</v>
      </c>
      <c r="B60">
        <v>7998</v>
      </c>
      <c r="C60" t="s">
        <v>6</v>
      </c>
      <c r="D60" s="30">
        <v>1</v>
      </c>
    </row>
    <row r="61" spans="1:4">
      <c r="A61" s="29" t="str">
        <f t="shared" si="4"/>
        <v>ASUES.ES.ZRU10kV.SHTN10.TEL.aMTZ</v>
      </c>
      <c r="B61">
        <v>101</v>
      </c>
      <c r="C61" t="s">
        <v>0</v>
      </c>
      <c r="D61" s="30" t="s">
        <v>1525</v>
      </c>
    </row>
    <row r="62" spans="1:4">
      <c r="A62" s="29" t="str">
        <f t="shared" si="4"/>
        <v>ASUES.ES.ZRU10kV.SHTN10.TEL.aMTZ</v>
      </c>
      <c r="B62">
        <v>3</v>
      </c>
      <c r="C62" t="s">
        <v>1</v>
      </c>
      <c r="D62" s="30">
        <v>192</v>
      </c>
    </row>
    <row r="63" spans="1:4">
      <c r="A63" s="29" t="str">
        <f t="shared" si="4"/>
        <v>ASUES.ES.ZRU10kV.SHTN10.TEL.aMTZ</v>
      </c>
      <c r="B63">
        <v>2</v>
      </c>
      <c r="C63" t="s">
        <v>2</v>
      </c>
      <c r="D63" s="30" t="s">
        <v>175</v>
      </c>
    </row>
    <row r="64" spans="1:4">
      <c r="A64" s="26" t="str">
        <f t="shared" si="4"/>
        <v>ASUES.ES.ZRU10kV.SHTN10.TEL.aMTZ</v>
      </c>
      <c r="B64" s="27">
        <v>1</v>
      </c>
      <c r="C64" s="27" t="s">
        <v>1</v>
      </c>
      <c r="D64" s="28">
        <v>11</v>
      </c>
    </row>
    <row r="65" spans="1:4">
      <c r="A65" s="148" t="str">
        <f>$R$2&amp;".aOZZ1"</f>
        <v>ASUES.ES.ZRU10kV.SHTN10.TEL.aOZZ1</v>
      </c>
      <c r="B65" s="683">
        <v>11154</v>
      </c>
      <c r="C65" s="683" t="s">
        <v>4</v>
      </c>
      <c r="D65" s="535">
        <f>$Q$5</f>
        <v>4</v>
      </c>
    </row>
    <row r="66" spans="1:4">
      <c r="A66" s="148" t="str">
        <f t="shared" ref="A66:A74" si="5">$R$2&amp;".aOZZ1"</f>
        <v>ASUES.ES.ZRU10kV.SHTN10.TEL.aOZZ1</v>
      </c>
      <c r="B66" s="683">
        <v>11150</v>
      </c>
      <c r="C66" s="683" t="s">
        <v>0</v>
      </c>
      <c r="D66" s="125" t="s">
        <v>1935</v>
      </c>
    </row>
    <row r="67" spans="1:4">
      <c r="A67" s="148" t="str">
        <f t="shared" si="5"/>
        <v>ASUES.ES.ZRU10kV.SHTN10.TEL.aOZZ1</v>
      </c>
      <c r="B67" s="683">
        <v>11152</v>
      </c>
      <c r="C67" s="683" t="s">
        <v>0</v>
      </c>
      <c r="D67" s="125" t="str">
        <f>$R$5</f>
        <v>Авария</v>
      </c>
    </row>
    <row r="68" spans="1:4">
      <c r="A68" s="148" t="str">
        <f t="shared" si="5"/>
        <v>ASUES.ES.ZRU10kV.SHTN10.TEL.aOZZ1</v>
      </c>
      <c r="B68" s="683">
        <v>11000</v>
      </c>
      <c r="C68" s="683" t="s">
        <v>5</v>
      </c>
      <c r="D68" s="125">
        <v>2147483680</v>
      </c>
    </row>
    <row r="69" spans="1:4">
      <c r="A69" s="29" t="str">
        <f t="shared" si="5"/>
        <v>ASUES.ES.ZRU10kV.SHTN10.TEL.aOZZ1</v>
      </c>
      <c r="B69">
        <v>7999</v>
      </c>
      <c r="C69" t="s">
        <v>0</v>
      </c>
      <c r="D69" s="30" t="str">
        <f>"#"&amp;$S$2&amp;"#"&amp;$T$2&amp;""&amp;$P$2&amp;".TS65_80_TS75"</f>
        <v>#15#\\SERVER-ASCUER\Relematika.Modbus.OPCDAServerSHTN10.TS65_80_TS75</v>
      </c>
    </row>
    <row r="70" spans="1:4">
      <c r="A70" s="29" t="str">
        <f t="shared" si="5"/>
        <v>ASUES.ES.ZRU10kV.SHTN10.TEL.aOZZ1</v>
      </c>
      <c r="B70">
        <v>7998</v>
      </c>
      <c r="C70" t="s">
        <v>6</v>
      </c>
      <c r="D70" s="30">
        <v>1</v>
      </c>
    </row>
    <row r="71" spans="1:4">
      <c r="A71" s="29" t="str">
        <f t="shared" si="5"/>
        <v>ASUES.ES.ZRU10kV.SHTN10.TEL.aOZZ1</v>
      </c>
      <c r="B71">
        <v>101</v>
      </c>
      <c r="C71" t="s">
        <v>0</v>
      </c>
      <c r="D71" s="30" t="s">
        <v>1935</v>
      </c>
    </row>
    <row r="72" spans="1:4">
      <c r="A72" s="29" t="str">
        <f t="shared" si="5"/>
        <v>ASUES.ES.ZRU10kV.SHTN10.TEL.aOZZ1</v>
      </c>
      <c r="B72">
        <v>3</v>
      </c>
      <c r="C72" t="s">
        <v>1</v>
      </c>
      <c r="D72" s="30">
        <v>192</v>
      </c>
    </row>
    <row r="73" spans="1:4">
      <c r="A73" s="29" t="str">
        <f t="shared" si="5"/>
        <v>ASUES.ES.ZRU10kV.SHTN10.TEL.aOZZ1</v>
      </c>
      <c r="B73">
        <v>2</v>
      </c>
      <c r="C73" t="s">
        <v>2</v>
      </c>
      <c r="D73" s="30" t="s">
        <v>175</v>
      </c>
    </row>
    <row r="74" spans="1:4">
      <c r="A74" s="26" t="str">
        <f t="shared" si="5"/>
        <v>ASUES.ES.ZRU10kV.SHTN10.TEL.aOZZ1</v>
      </c>
      <c r="B74" s="27">
        <v>1</v>
      </c>
      <c r="C74" s="27" t="s">
        <v>1</v>
      </c>
      <c r="D74" s="28">
        <v>11</v>
      </c>
    </row>
    <row r="75" spans="1:4">
      <c r="A75" s="148" t="str">
        <f>$R$2&amp;".aOZZ2"</f>
        <v>ASUES.ES.ZRU10kV.SHTN10.TEL.aOZZ2</v>
      </c>
      <c r="B75" s="683">
        <v>11154</v>
      </c>
      <c r="C75" s="683" t="s">
        <v>4</v>
      </c>
      <c r="D75" s="535">
        <f>$Q$5</f>
        <v>4</v>
      </c>
    </row>
    <row r="76" spans="1:4">
      <c r="A76" s="148" t="str">
        <f t="shared" ref="A76:A84" si="6">$R$2&amp;".aOZZ2"</f>
        <v>ASUES.ES.ZRU10kV.SHTN10.TEL.aOZZ2</v>
      </c>
      <c r="B76" s="683">
        <v>11150</v>
      </c>
      <c r="C76" s="683" t="s">
        <v>0</v>
      </c>
      <c r="D76" s="125" t="s">
        <v>1936</v>
      </c>
    </row>
    <row r="77" spans="1:4">
      <c r="A77" s="148" t="str">
        <f t="shared" si="6"/>
        <v>ASUES.ES.ZRU10kV.SHTN10.TEL.aOZZ2</v>
      </c>
      <c r="B77" s="683">
        <v>11152</v>
      </c>
      <c r="C77" s="683" t="s">
        <v>0</v>
      </c>
      <c r="D77" s="125" t="str">
        <f>$R$5</f>
        <v>Авария</v>
      </c>
    </row>
    <row r="78" spans="1:4">
      <c r="A78" s="148" t="str">
        <f t="shared" si="6"/>
        <v>ASUES.ES.ZRU10kV.SHTN10.TEL.aOZZ2</v>
      </c>
      <c r="B78" s="683">
        <v>11000</v>
      </c>
      <c r="C78" s="683" t="s">
        <v>5</v>
      </c>
      <c r="D78" s="125">
        <v>2147483680</v>
      </c>
    </row>
    <row r="79" spans="1:4">
      <c r="A79" s="29" t="str">
        <f t="shared" si="6"/>
        <v>ASUES.ES.ZRU10kV.SHTN10.TEL.aOZZ2</v>
      </c>
      <c r="B79">
        <v>7999</v>
      </c>
      <c r="C79" t="s">
        <v>0</v>
      </c>
      <c r="D79" s="30" t="str">
        <f>"#"&amp;$S$2&amp;"#"&amp;$T$2&amp;""&amp;$P$2&amp;".TS65_80_TS76"</f>
        <v>#15#\\SERVER-ASCUER\Relematika.Modbus.OPCDAServerSHTN10.TS65_80_TS76</v>
      </c>
    </row>
    <row r="80" spans="1:4">
      <c r="A80" s="29" t="str">
        <f t="shared" si="6"/>
        <v>ASUES.ES.ZRU10kV.SHTN10.TEL.aOZZ2</v>
      </c>
      <c r="B80">
        <v>7998</v>
      </c>
      <c r="C80" t="s">
        <v>6</v>
      </c>
      <c r="D80" s="30">
        <v>1</v>
      </c>
    </row>
    <row r="81" spans="1:4">
      <c r="A81" s="29" t="str">
        <f t="shared" si="6"/>
        <v>ASUES.ES.ZRU10kV.SHTN10.TEL.aOZZ2</v>
      </c>
      <c r="B81">
        <v>101</v>
      </c>
      <c r="C81" t="s">
        <v>0</v>
      </c>
      <c r="D81" s="30" t="s">
        <v>1936</v>
      </c>
    </row>
    <row r="82" spans="1:4">
      <c r="A82" s="29" t="str">
        <f t="shared" si="6"/>
        <v>ASUES.ES.ZRU10kV.SHTN10.TEL.aOZZ2</v>
      </c>
      <c r="B82">
        <v>3</v>
      </c>
      <c r="C82" t="s">
        <v>1</v>
      </c>
      <c r="D82" s="30">
        <v>192</v>
      </c>
    </row>
    <row r="83" spans="1:4">
      <c r="A83" s="29" t="str">
        <f t="shared" si="6"/>
        <v>ASUES.ES.ZRU10kV.SHTN10.TEL.aOZZ2</v>
      </c>
      <c r="B83">
        <v>2</v>
      </c>
      <c r="C83" t="s">
        <v>2</v>
      </c>
      <c r="D83" s="30" t="s">
        <v>175</v>
      </c>
    </row>
    <row r="84" spans="1:4">
      <c r="A84" s="26" t="str">
        <f t="shared" si="6"/>
        <v>ASUES.ES.ZRU10kV.SHTN10.TEL.aOZZ2</v>
      </c>
      <c r="B84" s="27">
        <v>1</v>
      </c>
      <c r="C84" s="27" t="s">
        <v>1</v>
      </c>
      <c r="D84" s="28">
        <v>11</v>
      </c>
    </row>
    <row r="85" spans="1:4">
      <c r="A85" s="148" t="str">
        <f>$R$2&amp;".aOZZ_1st"</f>
        <v>ASUES.ES.ZRU10kV.SHTN10.TEL.aOZZ_1st</v>
      </c>
      <c r="B85" s="683">
        <v>11154</v>
      </c>
      <c r="C85" s="683" t="s">
        <v>4</v>
      </c>
      <c r="D85" s="535">
        <f>$Q$5</f>
        <v>4</v>
      </c>
    </row>
    <row r="86" spans="1:4">
      <c r="A86" s="148" t="str">
        <f t="shared" ref="A86:A94" si="7">$R$2&amp;".aOZZ_1st"</f>
        <v>ASUES.ES.ZRU10kV.SHTN10.TEL.aOZZ_1st</v>
      </c>
      <c r="B86" s="683">
        <v>11150</v>
      </c>
      <c r="C86" s="683" t="s">
        <v>0</v>
      </c>
      <c r="D86" s="125" t="s">
        <v>1937</v>
      </c>
    </row>
    <row r="87" spans="1:4">
      <c r="A87" s="148" t="str">
        <f t="shared" si="7"/>
        <v>ASUES.ES.ZRU10kV.SHTN10.TEL.aOZZ_1st</v>
      </c>
      <c r="B87" s="683">
        <v>11152</v>
      </c>
      <c r="C87" s="683" t="s">
        <v>0</v>
      </c>
      <c r="D87" s="125" t="str">
        <f>$R$5</f>
        <v>Авария</v>
      </c>
    </row>
    <row r="88" spans="1:4">
      <c r="A88" s="148" t="str">
        <f t="shared" si="7"/>
        <v>ASUES.ES.ZRU10kV.SHTN10.TEL.aOZZ_1st</v>
      </c>
      <c r="B88" s="683">
        <v>11000</v>
      </c>
      <c r="C88" s="683" t="s">
        <v>5</v>
      </c>
      <c r="D88" s="125">
        <v>2147483680</v>
      </c>
    </row>
    <row r="89" spans="1:4">
      <c r="A89" s="29" t="str">
        <f t="shared" si="7"/>
        <v>ASUES.ES.ZRU10kV.SHTN10.TEL.aOZZ_1st</v>
      </c>
      <c r="B89">
        <v>7999</v>
      </c>
      <c r="C89" t="s">
        <v>0</v>
      </c>
      <c r="D89" s="30" t="str">
        <f>"#"&amp;$S$2&amp;"#"&amp;$T$2&amp;""&amp;$P$2&amp;".TS65_80_TS77"</f>
        <v>#15#\\SERVER-ASCUER\Relematika.Modbus.OPCDAServerSHTN10.TS65_80_TS77</v>
      </c>
    </row>
    <row r="90" spans="1:4">
      <c r="A90" s="29" t="str">
        <f t="shared" si="7"/>
        <v>ASUES.ES.ZRU10kV.SHTN10.TEL.aOZZ_1st</v>
      </c>
      <c r="B90">
        <v>7998</v>
      </c>
      <c r="C90" t="s">
        <v>6</v>
      </c>
      <c r="D90" s="30">
        <v>1</v>
      </c>
    </row>
    <row r="91" spans="1:4">
      <c r="A91" s="29" t="str">
        <f t="shared" si="7"/>
        <v>ASUES.ES.ZRU10kV.SHTN10.TEL.aOZZ_1st</v>
      </c>
      <c r="B91">
        <v>101</v>
      </c>
      <c r="C91" t="s">
        <v>0</v>
      </c>
      <c r="D91" s="30" t="s">
        <v>1937</v>
      </c>
    </row>
    <row r="92" spans="1:4">
      <c r="A92" s="29" t="str">
        <f t="shared" si="7"/>
        <v>ASUES.ES.ZRU10kV.SHTN10.TEL.aOZZ_1st</v>
      </c>
      <c r="B92">
        <v>3</v>
      </c>
      <c r="C92" t="s">
        <v>1</v>
      </c>
      <c r="D92" s="30">
        <v>192</v>
      </c>
    </row>
    <row r="93" spans="1:4">
      <c r="A93" s="29" t="str">
        <f t="shared" si="7"/>
        <v>ASUES.ES.ZRU10kV.SHTN10.TEL.aOZZ_1st</v>
      </c>
      <c r="B93">
        <v>2</v>
      </c>
      <c r="C93" t="s">
        <v>2</v>
      </c>
      <c r="D93" s="30" t="s">
        <v>175</v>
      </c>
    </row>
    <row r="94" spans="1:4">
      <c r="A94" s="26" t="str">
        <f t="shared" si="7"/>
        <v>ASUES.ES.ZRU10kV.SHTN10.TEL.aOZZ_1st</v>
      </c>
      <c r="B94" s="27">
        <v>1</v>
      </c>
      <c r="C94" s="27" t="s">
        <v>1</v>
      </c>
      <c r="D94" s="28">
        <v>11</v>
      </c>
    </row>
    <row r="95" spans="1:4">
      <c r="A95" s="148" t="str">
        <f>$R$2&amp;".aOZZ_2st"</f>
        <v>ASUES.ES.ZRU10kV.SHTN10.TEL.aOZZ_2st</v>
      </c>
      <c r="B95" s="683">
        <v>11154</v>
      </c>
      <c r="C95" s="683" t="s">
        <v>4</v>
      </c>
      <c r="D95" s="535">
        <f>$Q$5</f>
        <v>4</v>
      </c>
    </row>
    <row r="96" spans="1:4">
      <c r="A96" s="148" t="str">
        <f t="shared" ref="A96:A104" si="8">$R$2&amp;".aOZZ_2st"</f>
        <v>ASUES.ES.ZRU10kV.SHTN10.TEL.aOZZ_2st</v>
      </c>
      <c r="B96" s="683">
        <v>11150</v>
      </c>
      <c r="C96" s="683" t="s">
        <v>0</v>
      </c>
      <c r="D96" s="125" t="s">
        <v>1938</v>
      </c>
    </row>
    <row r="97" spans="1:4">
      <c r="A97" s="148" t="str">
        <f t="shared" si="8"/>
        <v>ASUES.ES.ZRU10kV.SHTN10.TEL.aOZZ_2st</v>
      </c>
      <c r="B97" s="683">
        <v>11152</v>
      </c>
      <c r="C97" s="683" t="s">
        <v>0</v>
      </c>
      <c r="D97" s="125" t="str">
        <f>$R$5</f>
        <v>Авария</v>
      </c>
    </row>
    <row r="98" spans="1:4">
      <c r="A98" s="148" t="str">
        <f t="shared" si="8"/>
        <v>ASUES.ES.ZRU10kV.SHTN10.TEL.aOZZ_2st</v>
      </c>
      <c r="B98" s="683">
        <v>11000</v>
      </c>
      <c r="C98" s="683" t="s">
        <v>5</v>
      </c>
      <c r="D98" s="125">
        <v>2147483680</v>
      </c>
    </row>
    <row r="99" spans="1:4">
      <c r="A99" s="29" t="str">
        <f t="shared" si="8"/>
        <v>ASUES.ES.ZRU10kV.SHTN10.TEL.aOZZ_2st</v>
      </c>
      <c r="B99">
        <v>7999</v>
      </c>
      <c r="C99" t="s">
        <v>0</v>
      </c>
      <c r="D99" s="30" t="str">
        <f>"#"&amp;$S$2&amp;"#"&amp;$T$2&amp;""&amp;$P$2&amp;".TS65_80_TS78"</f>
        <v>#15#\\SERVER-ASCUER\Relematika.Modbus.OPCDAServerSHTN10.TS65_80_TS78</v>
      </c>
    </row>
    <row r="100" spans="1:4">
      <c r="A100" s="29" t="str">
        <f t="shared" si="8"/>
        <v>ASUES.ES.ZRU10kV.SHTN10.TEL.aOZZ_2st</v>
      </c>
      <c r="B100">
        <v>7998</v>
      </c>
      <c r="C100" t="s">
        <v>6</v>
      </c>
      <c r="D100" s="30">
        <v>1</v>
      </c>
    </row>
    <row r="101" spans="1:4">
      <c r="A101" s="29" t="str">
        <f t="shared" si="8"/>
        <v>ASUES.ES.ZRU10kV.SHTN10.TEL.aOZZ_2st</v>
      </c>
      <c r="B101">
        <v>101</v>
      </c>
      <c r="C101" t="s">
        <v>0</v>
      </c>
      <c r="D101" s="30" t="s">
        <v>1938</v>
      </c>
    </row>
    <row r="102" spans="1:4">
      <c r="A102" s="29" t="str">
        <f t="shared" si="8"/>
        <v>ASUES.ES.ZRU10kV.SHTN10.TEL.aOZZ_2st</v>
      </c>
      <c r="B102">
        <v>3</v>
      </c>
      <c r="C102" t="s">
        <v>1</v>
      </c>
      <c r="D102" s="30">
        <v>192</v>
      </c>
    </row>
    <row r="103" spans="1:4">
      <c r="A103" s="29" t="str">
        <f t="shared" si="8"/>
        <v>ASUES.ES.ZRU10kV.SHTN10.TEL.aOZZ_2st</v>
      </c>
      <c r="B103">
        <v>2</v>
      </c>
      <c r="C103" t="s">
        <v>2</v>
      </c>
      <c r="D103" s="30" t="s">
        <v>175</v>
      </c>
    </row>
    <row r="104" spans="1:4">
      <c r="A104" s="26" t="str">
        <f t="shared" si="8"/>
        <v>ASUES.ES.ZRU10kV.SHTN10.TEL.aOZZ_2st</v>
      </c>
      <c r="B104" s="27">
        <v>1</v>
      </c>
      <c r="C104" s="27" t="s">
        <v>1</v>
      </c>
      <c r="D104" s="28">
        <v>11</v>
      </c>
    </row>
    <row r="105" spans="1:4">
      <c r="A105" s="148" t="str">
        <f t="shared" ref="A105:A114" si="9">$R$2&amp;".aUROV"</f>
        <v>ASUES.ES.ZRU10kV.SHTN10.TEL.aUROV</v>
      </c>
      <c r="B105" s="683">
        <v>11154</v>
      </c>
      <c r="C105" s="683" t="s">
        <v>4</v>
      </c>
      <c r="D105" s="535">
        <f>$Q$5</f>
        <v>4</v>
      </c>
    </row>
    <row r="106" spans="1:4">
      <c r="A106" s="148" t="str">
        <f t="shared" si="9"/>
        <v>ASUES.ES.ZRU10kV.SHTN10.TEL.aUROV</v>
      </c>
      <c r="B106" s="683">
        <v>11150</v>
      </c>
      <c r="C106" s="683" t="s">
        <v>0</v>
      </c>
      <c r="D106" s="125" t="s">
        <v>1502</v>
      </c>
    </row>
    <row r="107" spans="1:4">
      <c r="A107" s="148" t="str">
        <f t="shared" si="9"/>
        <v>ASUES.ES.ZRU10kV.SHTN10.TEL.aUROV</v>
      </c>
      <c r="B107" s="683">
        <v>11152</v>
      </c>
      <c r="C107" s="683" t="s">
        <v>0</v>
      </c>
      <c r="D107" s="125" t="str">
        <f>$R$5</f>
        <v>Авария</v>
      </c>
    </row>
    <row r="108" spans="1:4">
      <c r="A108" s="148" t="str">
        <f t="shared" si="9"/>
        <v>ASUES.ES.ZRU10kV.SHTN10.TEL.aUROV</v>
      </c>
      <c r="B108" s="683">
        <v>11000</v>
      </c>
      <c r="C108" s="683" t="s">
        <v>5</v>
      </c>
      <c r="D108" s="125">
        <v>2147483680</v>
      </c>
    </row>
    <row r="109" spans="1:4">
      <c r="A109" s="29" t="str">
        <f t="shared" si="9"/>
        <v>ASUES.ES.ZRU10kV.SHTN10.TEL.aUROV</v>
      </c>
      <c r="B109">
        <v>7999</v>
      </c>
      <c r="C109" t="s">
        <v>0</v>
      </c>
      <c r="D109" s="30" t="str">
        <f>"#"&amp;$S$2&amp;"#"&amp;$T$2&amp;""&amp;$P$2&amp;".TS97_112_TS112"</f>
        <v>#15#\\SERVER-ASCUER\Relematika.Modbus.OPCDAServerSHTN10.TS97_112_TS112</v>
      </c>
    </row>
    <row r="110" spans="1:4">
      <c r="A110" s="29" t="str">
        <f t="shared" si="9"/>
        <v>ASUES.ES.ZRU10kV.SHTN10.TEL.aUROV</v>
      </c>
      <c r="B110">
        <v>7998</v>
      </c>
      <c r="C110" t="s">
        <v>6</v>
      </c>
      <c r="D110" s="30">
        <v>1</v>
      </c>
    </row>
    <row r="111" spans="1:4">
      <c r="A111" s="29" t="str">
        <f t="shared" si="9"/>
        <v>ASUES.ES.ZRU10kV.SHTN10.TEL.aUROV</v>
      </c>
      <c r="B111">
        <v>101</v>
      </c>
      <c r="C111" t="s">
        <v>0</v>
      </c>
      <c r="D111" s="30" t="s">
        <v>1502</v>
      </c>
    </row>
    <row r="112" spans="1:4">
      <c r="A112" s="29" t="str">
        <f t="shared" si="9"/>
        <v>ASUES.ES.ZRU10kV.SHTN10.TEL.aUROV</v>
      </c>
      <c r="B112">
        <v>3</v>
      </c>
      <c r="C112" t="s">
        <v>1</v>
      </c>
      <c r="D112" s="30">
        <v>192</v>
      </c>
    </row>
    <row r="113" spans="1:4">
      <c r="A113" s="29" t="str">
        <f t="shared" si="9"/>
        <v>ASUES.ES.ZRU10kV.SHTN10.TEL.aUROV</v>
      </c>
      <c r="B113">
        <v>2</v>
      </c>
      <c r="C113" t="s">
        <v>2</v>
      </c>
      <c r="D113" s="30" t="s">
        <v>175</v>
      </c>
    </row>
    <row r="114" spans="1:4">
      <c r="A114" s="26" t="str">
        <f t="shared" si="9"/>
        <v>ASUES.ES.ZRU10kV.SHTN10.TEL.aUROV</v>
      </c>
      <c r="B114" s="27">
        <v>1</v>
      </c>
      <c r="C114" s="27" t="s">
        <v>1</v>
      </c>
      <c r="D114" s="28">
        <v>11</v>
      </c>
    </row>
    <row r="115" spans="1:4">
      <c r="A115" s="148" t="str">
        <f t="shared" ref="A115:A124" si="10">$R$2&amp;".aPrt"</f>
        <v>ASUES.ES.ZRU10kV.SHTN10.TEL.aPrt</v>
      </c>
      <c r="B115" s="683">
        <v>11154</v>
      </c>
      <c r="C115" s="683" t="s">
        <v>4</v>
      </c>
      <c r="D115" s="535">
        <f>$Q$5</f>
        <v>4</v>
      </c>
    </row>
    <row r="116" spans="1:4">
      <c r="A116" s="148" t="str">
        <f t="shared" si="10"/>
        <v>ASUES.ES.ZRU10kV.SHTN10.TEL.aPrt</v>
      </c>
      <c r="B116" s="683">
        <v>11150</v>
      </c>
      <c r="C116" s="683" t="s">
        <v>0</v>
      </c>
      <c r="D116" s="125" t="s">
        <v>141</v>
      </c>
    </row>
    <row r="117" spans="1:4">
      <c r="A117" s="148" t="str">
        <f t="shared" si="10"/>
        <v>ASUES.ES.ZRU10kV.SHTN10.TEL.aPrt</v>
      </c>
      <c r="B117" s="683">
        <v>11152</v>
      </c>
      <c r="C117" s="683" t="s">
        <v>0</v>
      </c>
      <c r="D117" s="125" t="str">
        <f>$R$5</f>
        <v>Авария</v>
      </c>
    </row>
    <row r="118" spans="1:4">
      <c r="A118" s="148" t="str">
        <f t="shared" si="10"/>
        <v>ASUES.ES.ZRU10kV.SHTN10.TEL.aPrt</v>
      </c>
      <c r="B118" s="683">
        <v>11000</v>
      </c>
      <c r="C118" s="683" t="s">
        <v>5</v>
      </c>
      <c r="D118" s="125">
        <v>2147483680</v>
      </c>
    </row>
    <row r="119" spans="1:4">
      <c r="A119" s="29" t="str">
        <f t="shared" si="10"/>
        <v>ASUES.ES.ZRU10kV.SHTN10.TEL.aPrt</v>
      </c>
      <c r="B119">
        <v>7999</v>
      </c>
      <c r="C119" t="s">
        <v>0</v>
      </c>
      <c r="D119" s="30" t="str">
        <f>"#"&amp;$S$2&amp;"#"&amp;$T$2&amp;""&amp;$P$2&amp;".TS177_192_TS179"</f>
        <v>#15#\\SERVER-ASCUER\Relematika.Modbus.OPCDAServerSHTN10.TS177_192_TS179</v>
      </c>
    </row>
    <row r="120" spans="1:4">
      <c r="A120" s="29" t="str">
        <f t="shared" si="10"/>
        <v>ASUES.ES.ZRU10kV.SHTN10.TEL.aPrt</v>
      </c>
      <c r="B120">
        <v>7998</v>
      </c>
      <c r="C120" t="s">
        <v>6</v>
      </c>
      <c r="D120" s="30">
        <v>1</v>
      </c>
    </row>
    <row r="121" spans="1:4">
      <c r="A121" s="29" t="str">
        <f t="shared" si="10"/>
        <v>ASUES.ES.ZRU10kV.SHTN10.TEL.aPrt</v>
      </c>
      <c r="B121">
        <v>101</v>
      </c>
      <c r="C121" t="s">
        <v>0</v>
      </c>
      <c r="D121" s="30" t="s">
        <v>141</v>
      </c>
    </row>
    <row r="122" spans="1:4">
      <c r="A122" s="29" t="str">
        <f t="shared" si="10"/>
        <v>ASUES.ES.ZRU10kV.SHTN10.TEL.aPrt</v>
      </c>
      <c r="B122">
        <v>3</v>
      </c>
      <c r="C122" t="s">
        <v>1</v>
      </c>
      <c r="D122" s="30">
        <v>192</v>
      </c>
    </row>
    <row r="123" spans="1:4">
      <c r="A123" s="29" t="str">
        <f t="shared" si="10"/>
        <v>ASUES.ES.ZRU10kV.SHTN10.TEL.aPrt</v>
      </c>
      <c r="B123">
        <v>2</v>
      </c>
      <c r="C123" t="s">
        <v>2</v>
      </c>
      <c r="D123" s="30" t="s">
        <v>175</v>
      </c>
    </row>
    <row r="124" spans="1:4">
      <c r="A124" s="26" t="str">
        <f t="shared" si="10"/>
        <v>ASUES.ES.ZRU10kV.SHTN10.TEL.aPrt</v>
      </c>
      <c r="B124" s="27">
        <v>1</v>
      </c>
      <c r="C124" s="27" t="s">
        <v>1</v>
      </c>
      <c r="D124" s="28">
        <v>11</v>
      </c>
    </row>
    <row r="125" spans="1:4">
      <c r="A125" s="148" t="str">
        <f>$R$2&amp;".aTZNauto"</f>
        <v>ASUES.ES.ZRU10kV.SHTN10.TEL.aTZNauto</v>
      </c>
      <c r="B125" s="683">
        <v>11154</v>
      </c>
      <c r="C125" s="683" t="s">
        <v>4</v>
      </c>
      <c r="D125" s="535">
        <f>$Q$5</f>
        <v>4</v>
      </c>
    </row>
    <row r="126" spans="1:4">
      <c r="A126" s="148" t="str">
        <f t="shared" ref="A126:A134" si="11">$R$2&amp;".aTZNauto"</f>
        <v>ASUES.ES.ZRU10kV.SHTN10.TEL.aTZNauto</v>
      </c>
      <c r="B126" s="683">
        <v>11150</v>
      </c>
      <c r="C126" s="683" t="s">
        <v>0</v>
      </c>
      <c r="D126" s="125" t="s">
        <v>1939</v>
      </c>
    </row>
    <row r="127" spans="1:4">
      <c r="A127" s="148" t="str">
        <f t="shared" si="11"/>
        <v>ASUES.ES.ZRU10kV.SHTN10.TEL.aTZNauto</v>
      </c>
      <c r="B127" s="683">
        <v>11152</v>
      </c>
      <c r="C127" s="683" t="s">
        <v>0</v>
      </c>
      <c r="D127" s="125" t="str">
        <f>$R$5</f>
        <v>Авария</v>
      </c>
    </row>
    <row r="128" spans="1:4">
      <c r="A128" s="148" t="str">
        <f t="shared" si="11"/>
        <v>ASUES.ES.ZRU10kV.SHTN10.TEL.aTZNauto</v>
      </c>
      <c r="B128" s="683">
        <v>11000</v>
      </c>
      <c r="C128" s="683" t="s">
        <v>5</v>
      </c>
      <c r="D128" s="125">
        <v>2147483680</v>
      </c>
    </row>
    <row r="129" spans="1:4">
      <c r="A129" s="29" t="str">
        <f t="shared" si="11"/>
        <v>ASUES.ES.ZRU10kV.SHTN10.TEL.aTZNauto</v>
      </c>
      <c r="B129">
        <v>7999</v>
      </c>
      <c r="C129" t="s">
        <v>0</v>
      </c>
      <c r="D129" s="30" t="str">
        <f>"#"&amp;$S$2&amp;"#"&amp;$T$2&amp;""&amp;$P$2&amp;".TS177_192_TS181"</f>
        <v>#15#\\SERVER-ASCUER\Relematika.Modbus.OPCDAServerSHTN10.TS177_192_TS181</v>
      </c>
    </row>
    <row r="130" spans="1:4">
      <c r="A130" s="29" t="str">
        <f t="shared" si="11"/>
        <v>ASUES.ES.ZRU10kV.SHTN10.TEL.aTZNauto</v>
      </c>
      <c r="B130">
        <v>7998</v>
      </c>
      <c r="C130" t="s">
        <v>6</v>
      </c>
      <c r="D130" s="30">
        <v>1</v>
      </c>
    </row>
    <row r="131" spans="1:4">
      <c r="A131" s="29" t="str">
        <f t="shared" si="11"/>
        <v>ASUES.ES.ZRU10kV.SHTN10.TEL.aTZNauto</v>
      </c>
      <c r="B131">
        <v>101</v>
      </c>
      <c r="C131" t="s">
        <v>0</v>
      </c>
      <c r="D131" s="30" t="s">
        <v>1939</v>
      </c>
    </row>
    <row r="132" spans="1:4">
      <c r="A132" s="29" t="str">
        <f t="shared" si="11"/>
        <v>ASUES.ES.ZRU10kV.SHTN10.TEL.aTZNauto</v>
      </c>
      <c r="B132">
        <v>3</v>
      </c>
      <c r="C132" t="s">
        <v>1</v>
      </c>
      <c r="D132" s="30">
        <v>192</v>
      </c>
    </row>
    <row r="133" spans="1:4">
      <c r="A133" s="29" t="str">
        <f t="shared" si="11"/>
        <v>ASUES.ES.ZRU10kV.SHTN10.TEL.aTZNauto</v>
      </c>
      <c r="B133">
        <v>2</v>
      </c>
      <c r="C133" t="s">
        <v>2</v>
      </c>
      <c r="D133" s="30" t="s">
        <v>175</v>
      </c>
    </row>
    <row r="134" spans="1:4">
      <c r="A134" s="26" t="str">
        <f t="shared" si="11"/>
        <v>ASUES.ES.ZRU10kV.SHTN10.TEL.aTZNauto</v>
      </c>
      <c r="B134" s="27">
        <v>1</v>
      </c>
      <c r="C134" s="27" t="s">
        <v>1</v>
      </c>
      <c r="D134" s="28">
        <v>11</v>
      </c>
    </row>
    <row r="135" spans="1:4">
      <c r="A135" s="148" t="str">
        <f t="shared" ref="A135:A144" si="12">$R$2&amp;".aDGZ_KZ"</f>
        <v>ASUES.ES.ZRU10kV.SHTN10.TEL.aDGZ_KZ</v>
      </c>
      <c r="B135" s="683">
        <v>11154</v>
      </c>
      <c r="C135" s="683" t="s">
        <v>4</v>
      </c>
      <c r="D135" s="535">
        <f>$Q$5</f>
        <v>4</v>
      </c>
    </row>
    <row r="136" spans="1:4">
      <c r="A136" s="148" t="str">
        <f t="shared" si="12"/>
        <v>ASUES.ES.ZRU10kV.SHTN10.TEL.aDGZ_KZ</v>
      </c>
      <c r="B136" s="683">
        <v>11150</v>
      </c>
      <c r="C136" s="683" t="s">
        <v>0</v>
      </c>
      <c r="D136" s="125" t="s">
        <v>1499</v>
      </c>
    </row>
    <row r="137" spans="1:4">
      <c r="A137" s="148" t="str">
        <f t="shared" si="12"/>
        <v>ASUES.ES.ZRU10kV.SHTN10.TEL.aDGZ_KZ</v>
      </c>
      <c r="B137" s="683">
        <v>11152</v>
      </c>
      <c r="C137" s="683" t="s">
        <v>0</v>
      </c>
      <c r="D137" s="125" t="str">
        <f>$R$5</f>
        <v>Авария</v>
      </c>
    </row>
    <row r="138" spans="1:4">
      <c r="A138" s="148" t="str">
        <f t="shared" si="12"/>
        <v>ASUES.ES.ZRU10kV.SHTN10.TEL.aDGZ_KZ</v>
      </c>
      <c r="B138" s="683">
        <v>11000</v>
      </c>
      <c r="C138" s="683" t="s">
        <v>5</v>
      </c>
      <c r="D138" s="125">
        <v>2147483680</v>
      </c>
    </row>
    <row r="139" spans="1:4">
      <c r="A139" s="29" t="str">
        <f t="shared" si="12"/>
        <v>ASUES.ES.ZRU10kV.SHTN10.TEL.aDGZ_KZ</v>
      </c>
      <c r="B139">
        <v>7999</v>
      </c>
      <c r="C139" t="s">
        <v>0</v>
      </c>
      <c r="D139" s="30" t="str">
        <f>"#"&amp;$S$2&amp;"#"&amp;$T$2&amp;""&amp;$P$2&amp;".TS225_240_TS239"</f>
        <v>#15#\\SERVER-ASCUER\Relematika.Modbus.OPCDAServerSHTN10.TS225_240_TS239</v>
      </c>
    </row>
    <row r="140" spans="1:4">
      <c r="A140" s="29" t="str">
        <f t="shared" si="12"/>
        <v>ASUES.ES.ZRU10kV.SHTN10.TEL.aDGZ_KZ</v>
      </c>
      <c r="B140">
        <v>7998</v>
      </c>
      <c r="C140" t="s">
        <v>6</v>
      </c>
      <c r="D140" s="30">
        <v>1</v>
      </c>
    </row>
    <row r="141" spans="1:4">
      <c r="A141" s="29" t="str">
        <f t="shared" si="12"/>
        <v>ASUES.ES.ZRU10kV.SHTN10.TEL.aDGZ_KZ</v>
      </c>
      <c r="B141">
        <v>101</v>
      </c>
      <c r="C141" t="s">
        <v>0</v>
      </c>
      <c r="D141" s="30" t="s">
        <v>1499</v>
      </c>
    </row>
    <row r="142" spans="1:4">
      <c r="A142" s="29" t="str">
        <f t="shared" si="12"/>
        <v>ASUES.ES.ZRU10kV.SHTN10.TEL.aDGZ_KZ</v>
      </c>
      <c r="B142">
        <v>3</v>
      </c>
      <c r="C142" t="s">
        <v>1</v>
      </c>
      <c r="D142" s="30">
        <v>192</v>
      </c>
    </row>
    <row r="143" spans="1:4">
      <c r="A143" s="29" t="str">
        <f t="shared" si="12"/>
        <v>ASUES.ES.ZRU10kV.SHTN10.TEL.aDGZ_KZ</v>
      </c>
      <c r="B143">
        <v>2</v>
      </c>
      <c r="C143" t="s">
        <v>2</v>
      </c>
      <c r="D143" s="30" t="s">
        <v>175</v>
      </c>
    </row>
    <row r="144" spans="1:4">
      <c r="A144" s="26" t="str">
        <f t="shared" si="12"/>
        <v>ASUES.ES.ZRU10kV.SHTN10.TEL.aDGZ_KZ</v>
      </c>
      <c r="B144" s="27">
        <v>1</v>
      </c>
      <c r="C144" s="27" t="s">
        <v>1</v>
      </c>
      <c r="D144" s="28">
        <v>11</v>
      </c>
    </row>
    <row r="145" spans="1:4">
      <c r="A145" s="23" t="str">
        <f t="shared" ref="A145:A152" si="13">$R$2&amp;".wCntLimit"</f>
        <v>ASUES.ES.ZRU10kV.SHTN10.TEL.wCntLimit</v>
      </c>
      <c r="B145" s="24">
        <v>3000000</v>
      </c>
      <c r="C145" s="24" t="s">
        <v>0</v>
      </c>
      <c r="D145" s="25" t="s">
        <v>394</v>
      </c>
    </row>
    <row r="146" spans="1:4">
      <c r="A146" s="63" t="str">
        <f t="shared" si="13"/>
        <v>ASUES.ES.ZRU10kV.SHTN10.TEL.wCntLimit</v>
      </c>
      <c r="B146" s="52">
        <v>11154</v>
      </c>
      <c r="C146" s="52" t="s">
        <v>4</v>
      </c>
      <c r="D146" s="65">
        <f>$Q$6</f>
        <v>8</v>
      </c>
    </row>
    <row r="147" spans="1:4">
      <c r="A147" s="63" t="str">
        <f t="shared" si="13"/>
        <v>ASUES.ES.ZRU10kV.SHTN10.TEL.wCntLimit</v>
      </c>
      <c r="B147" s="52">
        <v>11152</v>
      </c>
      <c r="C147" s="52" t="s">
        <v>0</v>
      </c>
      <c r="D147" s="65" t="str">
        <f>$R$6</f>
        <v>Предупреждение</v>
      </c>
    </row>
    <row r="148" spans="1:4">
      <c r="A148" s="63" t="str">
        <f t="shared" si="13"/>
        <v>ASUES.ES.ZRU10kV.SHTN10.TEL.wCntLimit</v>
      </c>
      <c r="B148" s="52">
        <v>11150</v>
      </c>
      <c r="C148" s="52" t="s">
        <v>0</v>
      </c>
      <c r="D148" s="65" t="s">
        <v>391</v>
      </c>
    </row>
    <row r="149" spans="1:4">
      <c r="A149" s="63" t="str">
        <f t="shared" si="13"/>
        <v>ASUES.ES.ZRU10kV.SHTN10.TEL.wCntLimit</v>
      </c>
      <c r="B149" s="52">
        <v>11000</v>
      </c>
      <c r="C149" s="52" t="s">
        <v>5</v>
      </c>
      <c r="D149" s="65">
        <v>2147483680</v>
      </c>
    </row>
    <row r="150" spans="1:4">
      <c r="A150" s="29" t="str">
        <f t="shared" si="13"/>
        <v>ASUES.ES.ZRU10kV.SHTN10.TEL.wCntLimit</v>
      </c>
      <c r="B150">
        <v>3</v>
      </c>
      <c r="C150" t="s">
        <v>1</v>
      </c>
      <c r="D150" s="30">
        <v>192</v>
      </c>
    </row>
    <row r="151" spans="1:4">
      <c r="A151" s="29" t="str">
        <f t="shared" si="13"/>
        <v>ASUES.ES.ZRU10kV.SHTN10.TEL.wCntLimit</v>
      </c>
      <c r="B151">
        <v>2</v>
      </c>
      <c r="C151" t="s">
        <v>2</v>
      </c>
      <c r="D151" s="30" t="s">
        <v>175</v>
      </c>
    </row>
    <row r="152" spans="1:4">
      <c r="A152" s="26" t="str">
        <f t="shared" si="13"/>
        <v>ASUES.ES.ZRU10kV.SHTN10.TEL.wCntLimit</v>
      </c>
      <c r="B152" s="27">
        <v>1</v>
      </c>
      <c r="C152" s="27" t="s">
        <v>1</v>
      </c>
      <c r="D152" s="28">
        <v>11</v>
      </c>
    </row>
    <row r="153" spans="1:4">
      <c r="A153" s="23" t="str">
        <f t="shared" ref="A153:A160" si="14">$R$2&amp;".wCntLimitI"</f>
        <v>ASUES.ES.ZRU10kV.SHTN10.TEL.wCntLimitI</v>
      </c>
      <c r="B153" s="24">
        <v>3000000</v>
      </c>
      <c r="C153" s="24" t="s">
        <v>0</v>
      </c>
      <c r="D153" s="25" t="s">
        <v>395</v>
      </c>
    </row>
    <row r="154" spans="1:4">
      <c r="A154" s="63" t="str">
        <f t="shared" si="14"/>
        <v>ASUES.ES.ZRU10kV.SHTN10.TEL.wCntLimitI</v>
      </c>
      <c r="B154" s="52">
        <v>11154</v>
      </c>
      <c r="C154" s="52" t="s">
        <v>4</v>
      </c>
      <c r="D154" s="65">
        <f>$Q$6</f>
        <v>8</v>
      </c>
    </row>
    <row r="155" spans="1:4">
      <c r="A155" s="63" t="str">
        <f t="shared" si="14"/>
        <v>ASUES.ES.ZRU10kV.SHTN10.TEL.wCntLimitI</v>
      </c>
      <c r="B155" s="52">
        <v>11152</v>
      </c>
      <c r="C155" s="52" t="s">
        <v>0</v>
      </c>
      <c r="D155" s="65" t="str">
        <f>$R$6</f>
        <v>Предупреждение</v>
      </c>
    </row>
    <row r="156" spans="1:4">
      <c r="A156" s="63" t="str">
        <f t="shared" si="14"/>
        <v>ASUES.ES.ZRU10kV.SHTN10.TEL.wCntLimitI</v>
      </c>
      <c r="B156" s="52">
        <v>11150</v>
      </c>
      <c r="C156" s="52" t="s">
        <v>0</v>
      </c>
      <c r="D156" s="65" t="s">
        <v>392</v>
      </c>
    </row>
    <row r="157" spans="1:4">
      <c r="A157" s="63" t="str">
        <f t="shared" si="14"/>
        <v>ASUES.ES.ZRU10kV.SHTN10.TEL.wCntLimitI</v>
      </c>
      <c r="B157" s="52">
        <v>11000</v>
      </c>
      <c r="C157" s="52" t="s">
        <v>5</v>
      </c>
      <c r="D157" s="65">
        <v>2147483680</v>
      </c>
    </row>
    <row r="158" spans="1:4">
      <c r="A158" s="29" t="str">
        <f t="shared" si="14"/>
        <v>ASUES.ES.ZRU10kV.SHTN10.TEL.wCntLimitI</v>
      </c>
      <c r="B158">
        <v>3</v>
      </c>
      <c r="C158" t="s">
        <v>1</v>
      </c>
      <c r="D158" s="30">
        <v>192</v>
      </c>
    </row>
    <row r="159" spans="1:4">
      <c r="A159" s="29" t="str">
        <f t="shared" si="14"/>
        <v>ASUES.ES.ZRU10kV.SHTN10.TEL.wCntLimitI</v>
      </c>
      <c r="B159">
        <v>2</v>
      </c>
      <c r="C159" t="s">
        <v>2</v>
      </c>
      <c r="D159" s="30" t="s">
        <v>175</v>
      </c>
    </row>
    <row r="160" spans="1:4">
      <c r="A160" s="26" t="str">
        <f t="shared" si="14"/>
        <v>ASUES.ES.ZRU10kV.SHTN10.TEL.wCntLimitI</v>
      </c>
      <c r="B160" s="27">
        <v>1</v>
      </c>
      <c r="C160" s="27" t="s">
        <v>1</v>
      </c>
      <c r="D160" s="28">
        <v>11</v>
      </c>
    </row>
    <row r="161" spans="1:4">
      <c r="A161" s="23" t="str">
        <f t="shared" ref="A161:A168" si="15">$R$2&amp;".wCntLimitIKZ"</f>
        <v>ASUES.ES.ZRU10kV.SHTN10.TEL.wCntLimitIKZ</v>
      </c>
      <c r="B161" s="24">
        <v>3000000</v>
      </c>
      <c r="C161" s="24" t="s">
        <v>0</v>
      </c>
      <c r="D161" s="25" t="s">
        <v>1504</v>
      </c>
    </row>
    <row r="162" spans="1:4">
      <c r="A162" s="63" t="str">
        <f t="shared" si="15"/>
        <v>ASUES.ES.ZRU10kV.SHTN10.TEL.wCntLimitIKZ</v>
      </c>
      <c r="B162" s="52">
        <v>11154</v>
      </c>
      <c r="C162" s="52" t="s">
        <v>4</v>
      </c>
      <c r="D162" s="65">
        <f>$Q$6</f>
        <v>8</v>
      </c>
    </row>
    <row r="163" spans="1:4">
      <c r="A163" s="63" t="str">
        <f t="shared" si="15"/>
        <v>ASUES.ES.ZRU10kV.SHTN10.TEL.wCntLimitIKZ</v>
      </c>
      <c r="B163" s="52">
        <v>11152</v>
      </c>
      <c r="C163" s="52" t="s">
        <v>0</v>
      </c>
      <c r="D163" s="65" t="str">
        <f>$R$6</f>
        <v>Предупреждение</v>
      </c>
    </row>
    <row r="164" spans="1:4">
      <c r="A164" s="63" t="str">
        <f t="shared" si="15"/>
        <v>ASUES.ES.ZRU10kV.SHTN10.TEL.wCntLimitIKZ</v>
      </c>
      <c r="B164" s="52">
        <v>11150</v>
      </c>
      <c r="C164" s="52" t="s">
        <v>0</v>
      </c>
      <c r="D164" s="65" t="s">
        <v>393</v>
      </c>
    </row>
    <row r="165" spans="1:4">
      <c r="A165" s="63" t="str">
        <f t="shared" si="15"/>
        <v>ASUES.ES.ZRU10kV.SHTN10.TEL.wCntLimitIKZ</v>
      </c>
      <c r="B165" s="52">
        <v>11000</v>
      </c>
      <c r="C165" s="52" t="s">
        <v>5</v>
      </c>
      <c r="D165" s="65">
        <v>2147483680</v>
      </c>
    </row>
    <row r="166" spans="1:4">
      <c r="A166" s="29" t="str">
        <f t="shared" si="15"/>
        <v>ASUES.ES.ZRU10kV.SHTN10.TEL.wCntLimitIKZ</v>
      </c>
      <c r="B166">
        <v>3</v>
      </c>
      <c r="C166" t="s">
        <v>1</v>
      </c>
      <c r="D166" s="30">
        <v>192</v>
      </c>
    </row>
    <row r="167" spans="1:4">
      <c r="A167" s="29" t="str">
        <f t="shared" si="15"/>
        <v>ASUES.ES.ZRU10kV.SHTN10.TEL.wCntLimitIKZ</v>
      </c>
      <c r="B167">
        <v>2</v>
      </c>
      <c r="C167" t="s">
        <v>2</v>
      </c>
      <c r="D167" s="30" t="s">
        <v>175</v>
      </c>
    </row>
    <row r="168" spans="1:4">
      <c r="A168" s="26" t="str">
        <f t="shared" si="15"/>
        <v>ASUES.ES.ZRU10kV.SHTN10.TEL.wCntLimitIKZ</v>
      </c>
      <c r="B168" s="27">
        <v>1</v>
      </c>
      <c r="C168" s="27" t="s">
        <v>1</v>
      </c>
      <c r="D168" s="28">
        <v>11</v>
      </c>
    </row>
    <row r="169" spans="1:4">
      <c r="A169" s="69" t="str">
        <f t="shared" ref="A169:A178" si="16">$R$2&amp;".wCall"</f>
        <v>ASUES.ES.ZRU10kV.SHTN10.TEL.wCall</v>
      </c>
      <c r="B169" s="70">
        <v>11154</v>
      </c>
      <c r="C169" s="70" t="s">
        <v>4</v>
      </c>
      <c r="D169" s="71">
        <f>$Q$6</f>
        <v>8</v>
      </c>
    </row>
    <row r="170" spans="1:4">
      <c r="A170" s="63" t="str">
        <f t="shared" si="16"/>
        <v>ASUES.ES.ZRU10kV.SHTN10.TEL.wCall</v>
      </c>
      <c r="B170" s="52">
        <v>11152</v>
      </c>
      <c r="C170" s="52" t="s">
        <v>0</v>
      </c>
      <c r="D170" s="65" t="str">
        <f>$R$6</f>
        <v>Предупреждение</v>
      </c>
    </row>
    <row r="171" spans="1:4">
      <c r="A171" s="63" t="str">
        <f t="shared" si="16"/>
        <v>ASUES.ES.ZRU10kV.SHTN10.TEL.wCall</v>
      </c>
      <c r="B171" s="52">
        <v>11150</v>
      </c>
      <c r="C171" s="52" t="s">
        <v>0</v>
      </c>
      <c r="D171" s="65" t="s">
        <v>338</v>
      </c>
    </row>
    <row r="172" spans="1:4">
      <c r="A172" s="63" t="str">
        <f t="shared" si="16"/>
        <v>ASUES.ES.ZRU10kV.SHTN10.TEL.wCall</v>
      </c>
      <c r="B172" s="52">
        <v>11000</v>
      </c>
      <c r="C172" s="52" t="s">
        <v>5</v>
      </c>
      <c r="D172" s="65">
        <v>2147483680</v>
      </c>
    </row>
    <row r="173" spans="1:4">
      <c r="A173" s="29" t="str">
        <f t="shared" si="16"/>
        <v>ASUES.ES.ZRU10kV.SHTN10.TEL.wCall</v>
      </c>
      <c r="B173">
        <v>7999</v>
      </c>
      <c r="C173" t="s">
        <v>0</v>
      </c>
      <c r="D173" s="30" t="str">
        <f>"#"&amp;$S$2&amp;"#"&amp;$T$2&amp;""&amp;$P$2&amp;".TS01_16_TS5"</f>
        <v>#15#\\SERVER-ASCUER\Relematika.Modbus.OPCDAServerSHTN10.TS01_16_TS5</v>
      </c>
    </row>
    <row r="174" spans="1:4">
      <c r="A174" s="29" t="str">
        <f t="shared" si="16"/>
        <v>ASUES.ES.ZRU10kV.SHTN10.TEL.wCall</v>
      </c>
      <c r="B174">
        <v>7998</v>
      </c>
      <c r="C174" t="s">
        <v>6</v>
      </c>
      <c r="D174" s="30">
        <v>1</v>
      </c>
    </row>
    <row r="175" spans="1:4">
      <c r="A175" s="29" t="str">
        <f t="shared" si="16"/>
        <v>ASUES.ES.ZRU10kV.SHTN10.TEL.wCall</v>
      </c>
      <c r="B175">
        <v>101</v>
      </c>
      <c r="C175" t="s">
        <v>0</v>
      </c>
      <c r="D175" s="30" t="s">
        <v>338</v>
      </c>
    </row>
    <row r="176" spans="1:4">
      <c r="A176" s="29" t="str">
        <f t="shared" si="16"/>
        <v>ASUES.ES.ZRU10kV.SHTN10.TEL.wCall</v>
      </c>
      <c r="B176">
        <v>3</v>
      </c>
      <c r="C176" t="s">
        <v>1</v>
      </c>
      <c r="D176" s="30">
        <v>192</v>
      </c>
    </row>
    <row r="177" spans="1:4">
      <c r="A177" s="29" t="str">
        <f t="shared" si="16"/>
        <v>ASUES.ES.ZRU10kV.SHTN10.TEL.wCall</v>
      </c>
      <c r="B177">
        <v>2</v>
      </c>
      <c r="C177" t="s">
        <v>2</v>
      </c>
      <c r="D177" s="30" t="s">
        <v>175</v>
      </c>
    </row>
    <row r="178" spans="1:4">
      <c r="A178" s="26" t="str">
        <f t="shared" si="16"/>
        <v>ASUES.ES.ZRU10kV.SHTN10.TEL.wCall</v>
      </c>
      <c r="B178" s="27">
        <v>1</v>
      </c>
      <c r="C178" s="27" t="s">
        <v>1</v>
      </c>
      <c r="D178" s="28">
        <v>11</v>
      </c>
    </row>
    <row r="179" spans="1:4">
      <c r="A179" s="63" t="str">
        <f t="shared" ref="A179:A189" si="17">$R$2&amp;".wLoc"</f>
        <v>ASUES.ES.ZRU10kV.SHTN10.TEL.wLoc</v>
      </c>
      <c r="B179" s="52">
        <v>11154</v>
      </c>
      <c r="C179" s="52" t="s">
        <v>4</v>
      </c>
      <c r="D179" s="199">
        <f>$Q$6</f>
        <v>8</v>
      </c>
    </row>
    <row r="180" spans="1:4">
      <c r="A180" s="63" t="str">
        <f t="shared" si="17"/>
        <v>ASUES.ES.ZRU10kV.SHTN10.TEL.wLoc</v>
      </c>
      <c r="B180" s="52">
        <v>11152</v>
      </c>
      <c r="C180" s="52" t="s">
        <v>0</v>
      </c>
      <c r="D180" s="65" t="str">
        <f>$R$6</f>
        <v>Предупреждение</v>
      </c>
    </row>
    <row r="181" spans="1:4">
      <c r="A181" s="63" t="str">
        <f t="shared" si="17"/>
        <v>ASUES.ES.ZRU10kV.SHTN10.TEL.wLoc</v>
      </c>
      <c r="B181" s="52">
        <v>11150</v>
      </c>
      <c r="C181" s="52" t="s">
        <v>0</v>
      </c>
      <c r="D181" s="65" t="s">
        <v>1923</v>
      </c>
    </row>
    <row r="182" spans="1:4">
      <c r="A182" s="63" t="str">
        <f t="shared" si="17"/>
        <v>ASUES.ES.ZRU10kV.SHTN10.TEL.wLoc</v>
      </c>
      <c r="B182" s="52">
        <v>11000</v>
      </c>
      <c r="C182" s="52" t="s">
        <v>5</v>
      </c>
      <c r="D182" s="65">
        <v>0</v>
      </c>
    </row>
    <row r="183" spans="1:4">
      <c r="A183" s="29" t="str">
        <f t="shared" si="17"/>
        <v>ASUES.ES.ZRU10kV.SHTN10.TEL.wLoc</v>
      </c>
      <c r="B183">
        <v>7999</v>
      </c>
      <c r="C183" t="s">
        <v>0</v>
      </c>
      <c r="D183" s="30" t="str">
        <f>"#"&amp;$S$2&amp;"#"&amp;$T$2&amp;""&amp;$P$2&amp;".TS01_16_TS14"</f>
        <v>#15#\\SERVER-ASCUER\Relematika.Modbus.OPCDAServerSHTN10.TS01_16_TS14</v>
      </c>
    </row>
    <row r="184" spans="1:4">
      <c r="A184" s="29" t="str">
        <f t="shared" si="17"/>
        <v>ASUES.ES.ZRU10kV.SHTN10.TEL.wLoc</v>
      </c>
      <c r="B184">
        <v>7998</v>
      </c>
      <c r="C184" t="s">
        <v>6</v>
      </c>
      <c r="D184" s="30">
        <v>1</v>
      </c>
    </row>
    <row r="185" spans="1:4">
      <c r="A185" s="29" t="str">
        <f t="shared" si="17"/>
        <v>ASUES.ES.ZRU10kV.SHTN10.TEL.wLoc</v>
      </c>
      <c r="B185">
        <v>7200</v>
      </c>
      <c r="C185" t="s">
        <v>2</v>
      </c>
      <c r="D185" s="30" t="s">
        <v>266</v>
      </c>
    </row>
    <row r="186" spans="1:4">
      <c r="A186" s="29" t="str">
        <f t="shared" si="17"/>
        <v>ASUES.ES.ZRU10kV.SHTN10.TEL.wLoc</v>
      </c>
      <c r="B186">
        <v>101</v>
      </c>
      <c r="C186" t="s">
        <v>0</v>
      </c>
      <c r="D186" s="30" t="s">
        <v>1923</v>
      </c>
    </row>
    <row r="187" spans="1:4">
      <c r="A187" s="29" t="str">
        <f t="shared" si="17"/>
        <v>ASUES.ES.ZRU10kV.SHTN10.TEL.wLoc</v>
      </c>
      <c r="B187">
        <v>3</v>
      </c>
      <c r="C187" t="s">
        <v>1</v>
      </c>
      <c r="D187" s="30">
        <v>192</v>
      </c>
    </row>
    <row r="188" spans="1:4">
      <c r="A188" s="29" t="str">
        <f t="shared" si="17"/>
        <v>ASUES.ES.ZRU10kV.SHTN10.TEL.wLoc</v>
      </c>
      <c r="B188">
        <v>2</v>
      </c>
      <c r="C188" t="s">
        <v>2</v>
      </c>
      <c r="D188" s="30" t="s">
        <v>175</v>
      </c>
    </row>
    <row r="189" spans="1:4">
      <c r="A189" s="26" t="str">
        <f t="shared" si="17"/>
        <v>ASUES.ES.ZRU10kV.SHTN10.TEL.wLoc</v>
      </c>
      <c r="B189" s="27">
        <v>1</v>
      </c>
      <c r="C189" s="27" t="s">
        <v>1</v>
      </c>
      <c r="D189" s="28">
        <v>11</v>
      </c>
    </row>
    <row r="190" spans="1:4">
      <c r="A190" s="63" t="str">
        <f t="shared" ref="A190:A199" si="18">$R$2&amp;".wLowBat"</f>
        <v>ASUES.ES.ZRU10kV.SHTN10.TEL.wLowBat</v>
      </c>
      <c r="B190" s="52">
        <v>11154</v>
      </c>
      <c r="C190" s="52" t="s">
        <v>4</v>
      </c>
      <c r="D190" s="199">
        <f>$Q$6</f>
        <v>8</v>
      </c>
    </row>
    <row r="191" spans="1:4">
      <c r="A191" s="63" t="str">
        <f t="shared" si="18"/>
        <v>ASUES.ES.ZRU10kV.SHTN10.TEL.wLowBat</v>
      </c>
      <c r="B191" s="52">
        <v>11152</v>
      </c>
      <c r="C191" s="52" t="s">
        <v>0</v>
      </c>
      <c r="D191" s="65" t="str">
        <f>$R$6</f>
        <v>Предупреждение</v>
      </c>
    </row>
    <row r="192" spans="1:4">
      <c r="A192" s="63" t="str">
        <f t="shared" si="18"/>
        <v>ASUES.ES.ZRU10kV.SHTN10.TEL.wLowBat</v>
      </c>
      <c r="B192" s="52">
        <v>11150</v>
      </c>
      <c r="C192" s="52" t="s">
        <v>0</v>
      </c>
      <c r="D192" s="65" t="s">
        <v>1510</v>
      </c>
    </row>
    <row r="193" spans="1:4">
      <c r="A193" s="63" t="str">
        <f t="shared" si="18"/>
        <v>ASUES.ES.ZRU10kV.SHTN10.TEL.wLowBat</v>
      </c>
      <c r="B193" s="52">
        <v>11000</v>
      </c>
      <c r="C193" s="52" t="s">
        <v>5</v>
      </c>
      <c r="D193" s="65">
        <v>2147483680</v>
      </c>
    </row>
    <row r="194" spans="1:4">
      <c r="A194" s="29" t="str">
        <f t="shared" si="18"/>
        <v>ASUES.ES.ZRU10kV.SHTN10.TEL.wLowBat</v>
      </c>
      <c r="B194">
        <v>7999</v>
      </c>
      <c r="C194" t="s">
        <v>0</v>
      </c>
      <c r="D194" s="30" t="str">
        <f>"#"&amp;$S$2&amp;"#"&amp;$T$2&amp;""&amp;$P$2&amp;".TS209_224_TS219"</f>
        <v>#15#\\SERVER-ASCUER\Relematika.Modbus.OPCDAServerSHTN10.TS209_224_TS219</v>
      </c>
    </row>
    <row r="195" spans="1:4">
      <c r="A195" s="29" t="str">
        <f t="shared" si="18"/>
        <v>ASUES.ES.ZRU10kV.SHTN10.TEL.wLowBat</v>
      </c>
      <c r="B195">
        <v>7998</v>
      </c>
      <c r="C195" t="s">
        <v>6</v>
      </c>
      <c r="D195" s="30">
        <v>1</v>
      </c>
    </row>
    <row r="196" spans="1:4">
      <c r="A196" s="29" t="str">
        <f t="shared" si="18"/>
        <v>ASUES.ES.ZRU10kV.SHTN10.TEL.wLowBat</v>
      </c>
      <c r="B196">
        <v>101</v>
      </c>
      <c r="C196" t="s">
        <v>0</v>
      </c>
      <c r="D196" s="30" t="s">
        <v>1510</v>
      </c>
    </row>
    <row r="197" spans="1:4">
      <c r="A197" s="29" t="str">
        <f t="shared" si="18"/>
        <v>ASUES.ES.ZRU10kV.SHTN10.TEL.wLowBat</v>
      </c>
      <c r="B197">
        <v>3</v>
      </c>
      <c r="C197" t="s">
        <v>1</v>
      </c>
      <c r="D197" s="30">
        <v>192</v>
      </c>
    </row>
    <row r="198" spans="1:4">
      <c r="A198" s="29" t="str">
        <f t="shared" si="18"/>
        <v>ASUES.ES.ZRU10kV.SHTN10.TEL.wLowBat</v>
      </c>
      <c r="B198">
        <v>2</v>
      </c>
      <c r="C198" t="s">
        <v>2</v>
      </c>
      <c r="D198" s="30" t="s">
        <v>175</v>
      </c>
    </row>
    <row r="199" spans="1:4">
      <c r="A199" s="26" t="str">
        <f t="shared" si="18"/>
        <v>ASUES.ES.ZRU10kV.SHTN10.TEL.wLowBat</v>
      </c>
      <c r="B199" s="27">
        <v>1</v>
      </c>
      <c r="C199" s="27" t="s">
        <v>1</v>
      </c>
      <c r="D199" s="28">
        <v>11</v>
      </c>
    </row>
    <row r="200" spans="1:4">
      <c r="A200" s="63" t="str">
        <f t="shared" ref="A200:A209" si="19">$R$2&amp;".wLowU"</f>
        <v>ASUES.ES.ZRU10kV.SHTN10.TEL.wLowU</v>
      </c>
      <c r="B200" s="52">
        <v>11154</v>
      </c>
      <c r="C200" s="52" t="s">
        <v>4</v>
      </c>
      <c r="D200" s="199">
        <f>$Q$6</f>
        <v>8</v>
      </c>
    </row>
    <row r="201" spans="1:4">
      <c r="A201" s="63" t="str">
        <f t="shared" si="19"/>
        <v>ASUES.ES.ZRU10kV.SHTN10.TEL.wLowU</v>
      </c>
      <c r="B201" s="52">
        <v>11152</v>
      </c>
      <c r="C201" s="52" t="s">
        <v>0</v>
      </c>
      <c r="D201" s="65" t="str">
        <f>$R$6</f>
        <v>Предупреждение</v>
      </c>
    </row>
    <row r="202" spans="1:4">
      <c r="A202" s="63" t="str">
        <f t="shared" si="19"/>
        <v>ASUES.ES.ZRU10kV.SHTN10.TEL.wLowU</v>
      </c>
      <c r="B202" s="52">
        <v>11150</v>
      </c>
      <c r="C202" s="52" t="s">
        <v>0</v>
      </c>
      <c r="D202" s="65" t="s">
        <v>1511</v>
      </c>
    </row>
    <row r="203" spans="1:4">
      <c r="A203" s="63" t="str">
        <f t="shared" si="19"/>
        <v>ASUES.ES.ZRU10kV.SHTN10.TEL.wLowU</v>
      </c>
      <c r="B203" s="52">
        <v>11000</v>
      </c>
      <c r="C203" s="52" t="s">
        <v>5</v>
      </c>
      <c r="D203" s="65">
        <v>2147483680</v>
      </c>
    </row>
    <row r="204" spans="1:4">
      <c r="A204" s="29" t="str">
        <f t="shared" si="19"/>
        <v>ASUES.ES.ZRU10kV.SHTN10.TEL.wLowU</v>
      </c>
      <c r="B204">
        <v>7999</v>
      </c>
      <c r="C204" t="s">
        <v>0</v>
      </c>
      <c r="D204" s="30" t="str">
        <f>"#"&amp;$S$2&amp;"#"&amp;$T$2&amp;""&amp;$P$2&amp;".TS209_224_TS217"</f>
        <v>#15#\\SERVER-ASCUER\Relematika.Modbus.OPCDAServerSHTN10.TS209_224_TS217</v>
      </c>
    </row>
    <row r="205" spans="1:4">
      <c r="A205" s="29" t="str">
        <f t="shared" si="19"/>
        <v>ASUES.ES.ZRU10kV.SHTN10.TEL.wLowU</v>
      </c>
      <c r="B205">
        <v>7998</v>
      </c>
      <c r="C205" t="s">
        <v>6</v>
      </c>
      <c r="D205" s="30">
        <v>1</v>
      </c>
    </row>
    <row r="206" spans="1:4">
      <c r="A206" s="29" t="str">
        <f t="shared" si="19"/>
        <v>ASUES.ES.ZRU10kV.SHTN10.TEL.wLowU</v>
      </c>
      <c r="B206">
        <v>101</v>
      </c>
      <c r="C206" t="s">
        <v>0</v>
      </c>
      <c r="D206" s="30" t="s">
        <v>1511</v>
      </c>
    </row>
    <row r="207" spans="1:4">
      <c r="A207" s="29" t="str">
        <f t="shared" si="19"/>
        <v>ASUES.ES.ZRU10kV.SHTN10.TEL.wLowU</v>
      </c>
      <c r="B207">
        <v>3</v>
      </c>
      <c r="C207" t="s">
        <v>1</v>
      </c>
      <c r="D207" s="30">
        <v>192</v>
      </c>
    </row>
    <row r="208" spans="1:4">
      <c r="A208" s="29" t="str">
        <f t="shared" si="19"/>
        <v>ASUES.ES.ZRU10kV.SHTN10.TEL.wLowU</v>
      </c>
      <c r="B208">
        <v>2</v>
      </c>
      <c r="C208" t="s">
        <v>2</v>
      </c>
      <c r="D208" s="30" t="s">
        <v>175</v>
      </c>
    </row>
    <row r="209" spans="1:4">
      <c r="A209" s="26" t="str">
        <f t="shared" si="19"/>
        <v>ASUES.ES.ZRU10kV.SHTN10.TEL.wLowU</v>
      </c>
      <c r="B209" s="27">
        <v>1</v>
      </c>
      <c r="C209" s="27" t="s">
        <v>1</v>
      </c>
      <c r="D209" s="28">
        <v>11</v>
      </c>
    </row>
    <row r="210" spans="1:4">
      <c r="A210" s="63" t="str">
        <f t="shared" ref="A210:A219" si="20">$R$2&amp;".wOscilBlkRec"</f>
        <v>ASUES.ES.ZRU10kV.SHTN10.TEL.wOscilBlkRec</v>
      </c>
      <c r="B210" s="52">
        <v>11154</v>
      </c>
      <c r="C210" s="52" t="s">
        <v>4</v>
      </c>
      <c r="D210" s="199">
        <f>$Q$6</f>
        <v>8</v>
      </c>
    </row>
    <row r="211" spans="1:4">
      <c r="A211" s="63" t="str">
        <f t="shared" si="20"/>
        <v>ASUES.ES.ZRU10kV.SHTN10.TEL.wOscilBlkRec</v>
      </c>
      <c r="B211" s="52">
        <v>11150</v>
      </c>
      <c r="C211" s="52" t="s">
        <v>0</v>
      </c>
      <c r="D211" s="65" t="str">
        <f>$R$6</f>
        <v>Предупреждение</v>
      </c>
    </row>
    <row r="212" spans="1:4">
      <c r="A212" s="63" t="str">
        <f t="shared" si="20"/>
        <v>ASUES.ES.ZRU10kV.SHTN10.TEL.wOscilBlkRec</v>
      </c>
      <c r="B212" s="52">
        <v>11152</v>
      </c>
      <c r="C212" s="52" t="s">
        <v>0</v>
      </c>
      <c r="D212" s="65" t="s">
        <v>1546</v>
      </c>
    </row>
    <row r="213" spans="1:4">
      <c r="A213" s="63" t="str">
        <f t="shared" si="20"/>
        <v>ASUES.ES.ZRU10kV.SHTN10.TEL.wOscilBlkRec</v>
      </c>
      <c r="B213" s="52">
        <v>11000</v>
      </c>
      <c r="C213" s="52" t="s">
        <v>5</v>
      </c>
      <c r="D213" s="65">
        <v>2147483680</v>
      </c>
    </row>
    <row r="214" spans="1:4">
      <c r="A214" s="29" t="str">
        <f t="shared" si="20"/>
        <v>ASUES.ES.ZRU10kV.SHTN10.TEL.wOscilBlkRec</v>
      </c>
      <c r="B214">
        <v>7999</v>
      </c>
      <c r="C214" t="s">
        <v>0</v>
      </c>
      <c r="D214" s="30" t="str">
        <f>"#"&amp;$S$2&amp;"#"&amp;$T$2&amp;""&amp;$P$2&amp;".TS49_64_TS50"</f>
        <v>#15#\\SERVER-ASCUER\Relematika.Modbus.OPCDAServerSHTN10.TS49_64_TS50</v>
      </c>
    </row>
    <row r="215" spans="1:4">
      <c r="A215" s="29" t="str">
        <f t="shared" si="20"/>
        <v>ASUES.ES.ZRU10kV.SHTN10.TEL.wOscilBlkRec</v>
      </c>
      <c r="B215">
        <v>7998</v>
      </c>
      <c r="C215" t="s">
        <v>6</v>
      </c>
      <c r="D215" s="30">
        <v>1</v>
      </c>
    </row>
    <row r="216" spans="1:4">
      <c r="A216" s="29" t="str">
        <f t="shared" si="20"/>
        <v>ASUES.ES.ZRU10kV.SHTN10.TEL.wOscilBlkRec</v>
      </c>
      <c r="B216">
        <v>101</v>
      </c>
      <c r="C216" t="s">
        <v>0</v>
      </c>
      <c r="D216" s="30" t="s">
        <v>1546</v>
      </c>
    </row>
    <row r="217" spans="1:4">
      <c r="A217" s="29" t="str">
        <f t="shared" si="20"/>
        <v>ASUES.ES.ZRU10kV.SHTN10.TEL.wOscilBlkRec</v>
      </c>
      <c r="B217">
        <v>3</v>
      </c>
      <c r="C217" t="s">
        <v>1</v>
      </c>
      <c r="D217" s="30">
        <v>192</v>
      </c>
    </row>
    <row r="218" spans="1:4">
      <c r="A218" s="29" t="str">
        <f t="shared" si="20"/>
        <v>ASUES.ES.ZRU10kV.SHTN10.TEL.wOscilBlkRec</v>
      </c>
      <c r="B218">
        <v>2</v>
      </c>
      <c r="C218" t="s">
        <v>2</v>
      </c>
      <c r="D218" s="30" t="s">
        <v>3</v>
      </c>
    </row>
    <row r="219" spans="1:4">
      <c r="A219" s="26" t="str">
        <f t="shared" si="20"/>
        <v>ASUES.ES.ZRU10kV.SHTN10.TEL.wOscilBlkRec</v>
      </c>
      <c r="B219" s="27">
        <v>1</v>
      </c>
      <c r="C219" s="27" t="s">
        <v>1</v>
      </c>
      <c r="D219" s="28">
        <v>11</v>
      </c>
    </row>
    <row r="220" spans="1:4">
      <c r="A220" s="63" t="str">
        <f t="shared" ref="A220:A229" si="21">$R$2&amp;".wPhaseReverse"</f>
        <v>ASUES.ES.ZRU10kV.SHTN10.TEL.wPhaseReverse</v>
      </c>
      <c r="B220" s="52">
        <v>11154</v>
      </c>
      <c r="C220" s="52" t="s">
        <v>4</v>
      </c>
      <c r="D220" s="199">
        <f>$Q$6</f>
        <v>8</v>
      </c>
    </row>
    <row r="221" spans="1:4">
      <c r="A221" s="63" t="str">
        <f t="shared" si="21"/>
        <v>ASUES.ES.ZRU10kV.SHTN10.TEL.wPhaseReverse</v>
      </c>
      <c r="B221" s="52">
        <v>11152</v>
      </c>
      <c r="C221" s="52" t="s">
        <v>0</v>
      </c>
      <c r="D221" s="65" t="str">
        <f>$R$6</f>
        <v>Предупреждение</v>
      </c>
    </row>
    <row r="222" spans="1:4">
      <c r="A222" s="63" t="str">
        <f t="shared" si="21"/>
        <v>ASUES.ES.ZRU10kV.SHTN10.TEL.wPhaseReverse</v>
      </c>
      <c r="B222" s="52">
        <v>11150</v>
      </c>
      <c r="C222" s="52" t="s">
        <v>0</v>
      </c>
      <c r="D222" s="65" t="s">
        <v>1527</v>
      </c>
    </row>
    <row r="223" spans="1:4">
      <c r="A223" s="63" t="str">
        <f t="shared" si="21"/>
        <v>ASUES.ES.ZRU10kV.SHTN10.TEL.wPhaseReverse</v>
      </c>
      <c r="B223" s="52">
        <v>11000</v>
      </c>
      <c r="C223" s="52" t="s">
        <v>5</v>
      </c>
      <c r="D223" s="65">
        <v>2147483680</v>
      </c>
    </row>
    <row r="224" spans="1:4">
      <c r="A224" s="29" t="str">
        <f t="shared" si="21"/>
        <v>ASUES.ES.ZRU10kV.SHTN10.TEL.wPhaseReverse</v>
      </c>
      <c r="B224">
        <v>7999</v>
      </c>
      <c r="C224" t="s">
        <v>0</v>
      </c>
      <c r="D224" s="30" t="str">
        <f>"#"&amp;$S$2&amp;"#"&amp;$T$2&amp;""&amp;$P$2&amp;".TS193_208_TS196"</f>
        <v>#15#\\SERVER-ASCUER\Relematika.Modbus.OPCDAServerSHTN10.TS193_208_TS196</v>
      </c>
    </row>
    <row r="225" spans="1:4">
      <c r="A225" s="29" t="str">
        <f t="shared" si="21"/>
        <v>ASUES.ES.ZRU10kV.SHTN10.TEL.wPhaseReverse</v>
      </c>
      <c r="B225">
        <v>7998</v>
      </c>
      <c r="C225" t="s">
        <v>6</v>
      </c>
      <c r="D225" s="30">
        <v>1</v>
      </c>
    </row>
    <row r="226" spans="1:4">
      <c r="A226" s="29" t="str">
        <f t="shared" si="21"/>
        <v>ASUES.ES.ZRU10kV.SHTN10.TEL.wPhaseReverse</v>
      </c>
      <c r="B226">
        <v>101</v>
      </c>
      <c r="C226" t="s">
        <v>0</v>
      </c>
      <c r="D226" s="30" t="s">
        <v>1527</v>
      </c>
    </row>
    <row r="227" spans="1:4">
      <c r="A227" s="29" t="str">
        <f t="shared" si="21"/>
        <v>ASUES.ES.ZRU10kV.SHTN10.TEL.wPhaseReverse</v>
      </c>
      <c r="B227">
        <v>3</v>
      </c>
      <c r="C227" t="s">
        <v>1</v>
      </c>
      <c r="D227" s="30">
        <v>192</v>
      </c>
    </row>
    <row r="228" spans="1:4">
      <c r="A228" s="29" t="str">
        <f t="shared" si="21"/>
        <v>ASUES.ES.ZRU10kV.SHTN10.TEL.wPhaseReverse</v>
      </c>
      <c r="B228">
        <v>2</v>
      </c>
      <c r="C228" t="s">
        <v>2</v>
      </c>
      <c r="D228" s="30" t="s">
        <v>175</v>
      </c>
    </row>
    <row r="229" spans="1:4">
      <c r="A229" s="26" t="str">
        <f t="shared" si="21"/>
        <v>ASUES.ES.ZRU10kV.SHTN10.TEL.wPhaseReverse</v>
      </c>
      <c r="B229" s="27">
        <v>1</v>
      </c>
      <c r="C229" s="27" t="s">
        <v>1</v>
      </c>
      <c r="D229" s="28">
        <v>11</v>
      </c>
    </row>
    <row r="230" spans="1:4">
      <c r="A230" s="217" t="str">
        <f>$R$2&amp;".NotConnected"</f>
        <v>ASUES.ES.ZRU10kV.SHTN10.TEL.NotConnected</v>
      </c>
      <c r="B230" s="218">
        <v>11154</v>
      </c>
      <c r="C230" s="218" t="s">
        <v>4</v>
      </c>
      <c r="D230" s="231">
        <f>$Q$7</f>
        <v>12</v>
      </c>
    </row>
    <row r="231" spans="1:4">
      <c r="A231" s="211" t="str">
        <f t="shared" ref="A231:A239" si="22">$R$2&amp;".NotConnected"</f>
        <v>ASUES.ES.ZRU10kV.SHTN10.TEL.NotConnected</v>
      </c>
      <c r="B231" s="677">
        <v>11152</v>
      </c>
      <c r="C231" s="677" t="s">
        <v>0</v>
      </c>
      <c r="D231" s="213" t="str">
        <f>$R$7</f>
        <v>Неисправность</v>
      </c>
    </row>
    <row r="232" spans="1:4">
      <c r="A232" s="211" t="str">
        <f t="shared" si="22"/>
        <v>ASUES.ES.ZRU10kV.SHTN10.TEL.NotConnected</v>
      </c>
      <c r="B232" s="677">
        <v>11150</v>
      </c>
      <c r="C232" s="677" t="s">
        <v>0</v>
      </c>
      <c r="D232" s="213" t="s">
        <v>448</v>
      </c>
    </row>
    <row r="233" spans="1:4">
      <c r="A233" s="211" t="str">
        <f t="shared" si="22"/>
        <v>ASUES.ES.ZRU10kV.SHTN10.TEL.NotConnected</v>
      </c>
      <c r="B233" s="677">
        <v>11000</v>
      </c>
      <c r="C233" s="677" t="s">
        <v>5</v>
      </c>
      <c r="D233" s="213">
        <v>2147483680</v>
      </c>
    </row>
    <row r="234" spans="1:4">
      <c r="A234" s="29" t="str">
        <f t="shared" si="22"/>
        <v>ASUES.ES.ZRU10kV.SHTN10.TEL.NotConnected</v>
      </c>
      <c r="B234">
        <v>7999</v>
      </c>
      <c r="C234" t="s">
        <v>0</v>
      </c>
      <c r="D234" s="30" t="str">
        <f>"#"&amp;$S$2&amp;"#"&amp;$T$2&amp;""&amp;$P$2&amp;".NotConnected"</f>
        <v>#15#\\SERVER-ASCUER\Relematika.Modbus.OPCDAServerSHTN10.NotConnected</v>
      </c>
    </row>
    <row r="235" spans="1:4">
      <c r="A235" s="29" t="str">
        <f t="shared" si="22"/>
        <v>ASUES.ES.ZRU10kV.SHTN10.TEL.NotConnected</v>
      </c>
      <c r="B235">
        <v>7998</v>
      </c>
      <c r="C235" t="s">
        <v>6</v>
      </c>
      <c r="D235" s="30">
        <v>1</v>
      </c>
    </row>
    <row r="236" spans="1:4">
      <c r="A236" s="29" t="str">
        <f t="shared" si="22"/>
        <v>ASUES.ES.ZRU10kV.SHTN10.TEL.NotConnected</v>
      </c>
      <c r="B236">
        <v>101</v>
      </c>
      <c r="C236" t="s">
        <v>0</v>
      </c>
      <c r="D236" s="30" t="s">
        <v>448</v>
      </c>
    </row>
    <row r="237" spans="1:4">
      <c r="A237" s="29" t="str">
        <f t="shared" si="22"/>
        <v>ASUES.ES.ZRU10kV.SHTN10.TEL.NotConnected</v>
      </c>
      <c r="B237">
        <v>3</v>
      </c>
      <c r="C237" t="s">
        <v>1</v>
      </c>
      <c r="D237" s="30">
        <v>192</v>
      </c>
    </row>
    <row r="238" spans="1:4">
      <c r="A238" s="29" t="str">
        <f t="shared" si="22"/>
        <v>ASUES.ES.ZRU10kV.SHTN10.TEL.NotConnected</v>
      </c>
      <c r="B238">
        <v>2</v>
      </c>
      <c r="C238" t="s">
        <v>2</v>
      </c>
      <c r="D238" s="30" t="s">
        <v>175</v>
      </c>
    </row>
    <row r="239" spans="1:4">
      <c r="A239" s="26" t="str">
        <f t="shared" si="22"/>
        <v>ASUES.ES.ZRU10kV.SHTN10.TEL.NotConnected</v>
      </c>
      <c r="B239" s="27">
        <v>1</v>
      </c>
      <c r="C239" s="27" t="s">
        <v>1</v>
      </c>
      <c r="D239" s="28">
        <v>11</v>
      </c>
    </row>
    <row r="240" spans="1:4">
      <c r="A240" s="211" t="str">
        <f t="shared" ref="A240:A246" si="23">$R$2&amp;".wDbl"</f>
        <v>ASUES.ES.ZRU10kV.SHTN10.TEL.wDbl</v>
      </c>
      <c r="B240" s="677">
        <v>11154</v>
      </c>
      <c r="C240" s="677" t="s">
        <v>4</v>
      </c>
      <c r="D240" s="213">
        <f>$Q$7</f>
        <v>12</v>
      </c>
    </row>
    <row r="241" spans="1:4">
      <c r="A241" s="211" t="str">
        <f t="shared" si="23"/>
        <v>ASUES.ES.ZRU10kV.SHTN10.TEL.wDbl</v>
      </c>
      <c r="B241" s="677">
        <v>11152</v>
      </c>
      <c r="C241" s="677" t="s">
        <v>0</v>
      </c>
      <c r="D241" s="213" t="str">
        <f>$R$7</f>
        <v>Неисправность</v>
      </c>
    </row>
    <row r="242" spans="1:4">
      <c r="A242" s="211" t="str">
        <f t="shared" si="23"/>
        <v>ASUES.ES.ZRU10kV.SHTN10.TEL.wDbl</v>
      </c>
      <c r="B242" s="677">
        <v>11150</v>
      </c>
      <c r="C242" s="677" t="s">
        <v>0</v>
      </c>
      <c r="D242" s="213" t="s">
        <v>341</v>
      </c>
    </row>
    <row r="243" spans="1:4">
      <c r="A243" s="211" t="str">
        <f t="shared" si="23"/>
        <v>ASUES.ES.ZRU10kV.SHTN10.TEL.wDbl</v>
      </c>
      <c r="B243" s="677">
        <v>11000</v>
      </c>
      <c r="C243" s="677" t="s">
        <v>5</v>
      </c>
      <c r="D243" s="213">
        <v>2147483680</v>
      </c>
    </row>
    <row r="244" spans="1:4">
      <c r="A244" s="29" t="str">
        <f t="shared" si="23"/>
        <v>ASUES.ES.ZRU10kV.SHTN10.TEL.wDbl</v>
      </c>
      <c r="B244">
        <v>3</v>
      </c>
      <c r="C244" t="s">
        <v>1</v>
      </c>
      <c r="D244" s="30">
        <v>192</v>
      </c>
    </row>
    <row r="245" spans="1:4">
      <c r="A245" s="29" t="str">
        <f t="shared" si="23"/>
        <v>ASUES.ES.ZRU10kV.SHTN10.TEL.wDbl</v>
      </c>
      <c r="B245">
        <v>2</v>
      </c>
      <c r="C245" t="s">
        <v>2</v>
      </c>
      <c r="D245" s="30" t="s">
        <v>175</v>
      </c>
    </row>
    <row r="246" spans="1:4">
      <c r="A246" s="26" t="str">
        <f t="shared" si="23"/>
        <v>ASUES.ES.ZRU10kV.SHTN10.TEL.wDbl</v>
      </c>
      <c r="B246" s="27">
        <v>1</v>
      </c>
      <c r="C246" s="27" t="s">
        <v>1</v>
      </c>
      <c r="D246" s="28">
        <v>11</v>
      </c>
    </row>
    <row r="247" spans="1:4">
      <c r="A247" s="211" t="str">
        <f t="shared" ref="A247:A253" si="24">$R$2&amp;".wUnkw"</f>
        <v>ASUES.ES.ZRU10kV.SHTN10.TEL.wUnkw</v>
      </c>
      <c r="B247" s="677">
        <v>11154</v>
      </c>
      <c r="C247" s="677" t="s">
        <v>4</v>
      </c>
      <c r="D247" s="213">
        <f>$Q$7</f>
        <v>12</v>
      </c>
    </row>
    <row r="248" spans="1:4">
      <c r="A248" s="211" t="str">
        <f t="shared" si="24"/>
        <v>ASUES.ES.ZRU10kV.SHTN10.TEL.wUnkw</v>
      </c>
      <c r="B248" s="677">
        <v>11152</v>
      </c>
      <c r="C248" s="677" t="s">
        <v>0</v>
      </c>
      <c r="D248" s="213" t="str">
        <f>$R$7</f>
        <v>Неисправность</v>
      </c>
    </row>
    <row r="249" spans="1:4">
      <c r="A249" s="211" t="str">
        <f t="shared" si="24"/>
        <v>ASUES.ES.ZRU10kV.SHTN10.TEL.wUnkw</v>
      </c>
      <c r="B249" s="677">
        <v>11150</v>
      </c>
      <c r="C249" s="677" t="s">
        <v>0</v>
      </c>
      <c r="D249" s="213" t="s">
        <v>342</v>
      </c>
    </row>
    <row r="250" spans="1:4">
      <c r="A250" s="211" t="str">
        <f t="shared" si="24"/>
        <v>ASUES.ES.ZRU10kV.SHTN10.TEL.wUnkw</v>
      </c>
      <c r="B250" s="677">
        <v>11000</v>
      </c>
      <c r="C250" s="677" t="s">
        <v>5</v>
      </c>
      <c r="D250" s="213">
        <v>2147483680</v>
      </c>
    </row>
    <row r="251" spans="1:4">
      <c r="A251" s="29" t="str">
        <f t="shared" si="24"/>
        <v>ASUES.ES.ZRU10kV.SHTN10.TEL.wUnkw</v>
      </c>
      <c r="B251">
        <v>3</v>
      </c>
      <c r="C251" t="s">
        <v>1</v>
      </c>
      <c r="D251" s="30">
        <v>192</v>
      </c>
    </row>
    <row r="252" spans="1:4">
      <c r="A252" s="29" t="str">
        <f t="shared" si="24"/>
        <v>ASUES.ES.ZRU10kV.SHTN10.TEL.wUnkw</v>
      </c>
      <c r="B252">
        <v>2</v>
      </c>
      <c r="C252" t="s">
        <v>2</v>
      </c>
      <c r="D252" s="30" t="s">
        <v>175</v>
      </c>
    </row>
    <row r="253" spans="1:4">
      <c r="A253" s="26" t="str">
        <f t="shared" si="24"/>
        <v>ASUES.ES.ZRU10kV.SHTN10.TEL.wUnkw</v>
      </c>
      <c r="B253" s="27">
        <v>1</v>
      </c>
      <c r="C253" s="27" t="s">
        <v>1</v>
      </c>
      <c r="D253" s="28">
        <v>11</v>
      </c>
    </row>
    <row r="254" spans="1:4">
      <c r="A254" s="217" t="str">
        <f>$R$2&amp;".wCmdCircuitFlt"</f>
        <v>ASUES.ES.ZRU10kV.SHTN10.TEL.wCmdCircuitFlt</v>
      </c>
      <c r="B254" s="218">
        <v>11154</v>
      </c>
      <c r="C254" s="218" t="s">
        <v>4</v>
      </c>
      <c r="D254" s="231">
        <f>$Q$7</f>
        <v>12</v>
      </c>
    </row>
    <row r="255" spans="1:4">
      <c r="A255" s="211" t="str">
        <f t="shared" ref="A255:A263" si="25">$R$2&amp;".wCmdCircuitFlt"</f>
        <v>ASUES.ES.ZRU10kV.SHTN10.TEL.wCmdCircuitFlt</v>
      </c>
      <c r="B255" s="677">
        <v>11152</v>
      </c>
      <c r="C255" s="677" t="s">
        <v>0</v>
      </c>
      <c r="D255" s="213" t="str">
        <f>$R$7</f>
        <v>Неисправность</v>
      </c>
    </row>
    <row r="256" spans="1:4">
      <c r="A256" s="211" t="str">
        <f t="shared" si="25"/>
        <v>ASUES.ES.ZRU10kV.SHTN10.TEL.wCmdCircuitFlt</v>
      </c>
      <c r="B256" s="677">
        <v>11150</v>
      </c>
      <c r="C256" s="677" t="s">
        <v>0</v>
      </c>
      <c r="D256" s="213" t="s">
        <v>1940</v>
      </c>
    </row>
    <row r="257" spans="1:4">
      <c r="A257" s="211" t="str">
        <f t="shared" si="25"/>
        <v>ASUES.ES.ZRU10kV.SHTN10.TEL.wCmdCircuitFlt</v>
      </c>
      <c r="B257" s="677">
        <v>11000</v>
      </c>
      <c r="C257" s="677" t="s">
        <v>5</v>
      </c>
      <c r="D257" s="213">
        <v>2147483680</v>
      </c>
    </row>
    <row r="258" spans="1:4">
      <c r="A258" s="29" t="str">
        <f t="shared" si="25"/>
        <v>ASUES.ES.ZRU10kV.SHTN10.TEL.wCmdCircuitFlt</v>
      </c>
      <c r="B258">
        <v>7999</v>
      </c>
      <c r="C258" t="s">
        <v>0</v>
      </c>
      <c r="D258" s="30" t="str">
        <f>"#"&amp;$S$2&amp;"#"&amp;$T$2&amp;""&amp;$P$2&amp;".TS01_16_TS1"</f>
        <v>#15#\\SERVER-ASCUER\Relematika.Modbus.OPCDAServerSHTN10.TS01_16_TS1</v>
      </c>
    </row>
    <row r="259" spans="1:4">
      <c r="A259" s="29" t="str">
        <f t="shared" si="25"/>
        <v>ASUES.ES.ZRU10kV.SHTN10.TEL.wCmdCircuitFlt</v>
      </c>
      <c r="B259">
        <v>7998</v>
      </c>
      <c r="C259" t="s">
        <v>6</v>
      </c>
      <c r="D259" s="30">
        <v>1</v>
      </c>
    </row>
    <row r="260" spans="1:4">
      <c r="A260" s="29" t="str">
        <f t="shared" si="25"/>
        <v>ASUES.ES.ZRU10kV.SHTN10.TEL.wCmdCircuitFlt</v>
      </c>
      <c r="B260">
        <v>101</v>
      </c>
      <c r="C260" t="s">
        <v>0</v>
      </c>
      <c r="D260" s="30" t="s">
        <v>1940</v>
      </c>
    </row>
    <row r="261" spans="1:4">
      <c r="A261" s="29" t="str">
        <f t="shared" si="25"/>
        <v>ASUES.ES.ZRU10kV.SHTN10.TEL.wCmdCircuitFlt</v>
      </c>
      <c r="B261">
        <v>3</v>
      </c>
      <c r="C261" t="s">
        <v>1</v>
      </c>
      <c r="D261" s="30">
        <v>192</v>
      </c>
    </row>
    <row r="262" spans="1:4">
      <c r="A262" s="29" t="str">
        <f t="shared" si="25"/>
        <v>ASUES.ES.ZRU10kV.SHTN10.TEL.wCmdCircuitFlt</v>
      </c>
      <c r="B262">
        <v>2</v>
      </c>
      <c r="C262" t="s">
        <v>2</v>
      </c>
      <c r="D262" s="30" t="s">
        <v>175</v>
      </c>
    </row>
    <row r="263" spans="1:4">
      <c r="A263" s="26" t="str">
        <f t="shared" si="25"/>
        <v>ASUES.ES.ZRU10kV.SHTN10.TEL.wCmdCircuitFlt</v>
      </c>
      <c r="B263" s="27">
        <v>1</v>
      </c>
      <c r="C263" s="27" t="s">
        <v>1</v>
      </c>
      <c r="D263" s="28">
        <v>11</v>
      </c>
    </row>
    <row r="264" spans="1:4">
      <c r="A264" s="217" t="str">
        <f>$R$2&amp;".wCmdFlt"</f>
        <v>ASUES.ES.ZRU10kV.SHTN10.TEL.wCmdFlt</v>
      </c>
      <c r="B264" s="218">
        <v>11154</v>
      </c>
      <c r="C264" s="218" t="s">
        <v>4</v>
      </c>
      <c r="D264" s="231">
        <f>$Q$7</f>
        <v>12</v>
      </c>
    </row>
    <row r="265" spans="1:4">
      <c r="A265" s="211" t="str">
        <f t="shared" ref="A265:A273" si="26">$R$2&amp;".wCmdFlt"</f>
        <v>ASUES.ES.ZRU10kV.SHTN10.TEL.wCmdFlt</v>
      </c>
      <c r="B265" s="677">
        <v>11152</v>
      </c>
      <c r="C265" s="677" t="s">
        <v>0</v>
      </c>
      <c r="D265" s="213" t="str">
        <f>$R$7</f>
        <v>Неисправность</v>
      </c>
    </row>
    <row r="266" spans="1:4">
      <c r="A266" s="211" t="str">
        <f t="shared" si="26"/>
        <v>ASUES.ES.ZRU10kV.SHTN10.TEL.wCmdFlt</v>
      </c>
      <c r="B266" s="677">
        <v>11150</v>
      </c>
      <c r="C266" s="677" t="s">
        <v>0</v>
      </c>
      <c r="D266" s="213" t="s">
        <v>1547</v>
      </c>
    </row>
    <row r="267" spans="1:4">
      <c r="A267" s="211" t="str">
        <f t="shared" si="26"/>
        <v>ASUES.ES.ZRU10kV.SHTN10.TEL.wCmdFlt</v>
      </c>
      <c r="B267" s="677">
        <v>11000</v>
      </c>
      <c r="C267" s="677" t="s">
        <v>5</v>
      </c>
      <c r="D267" s="213">
        <v>2147483680</v>
      </c>
    </row>
    <row r="268" spans="1:4">
      <c r="A268" s="29" t="str">
        <f t="shared" si="26"/>
        <v>ASUES.ES.ZRU10kV.SHTN10.TEL.wCmdFlt</v>
      </c>
      <c r="B268">
        <v>7999</v>
      </c>
      <c r="C268" t="s">
        <v>0</v>
      </c>
      <c r="D268" s="30" t="str">
        <f>"#"&amp;$S$2&amp;"#"&amp;$T$2&amp;""&amp;$P$2&amp;".TS01_16_TS2"</f>
        <v>#15#\\SERVER-ASCUER\Relematika.Modbus.OPCDAServerSHTN10.TS01_16_TS2</v>
      </c>
    </row>
    <row r="269" spans="1:4">
      <c r="A269" s="29" t="str">
        <f t="shared" si="26"/>
        <v>ASUES.ES.ZRU10kV.SHTN10.TEL.wCmdFlt</v>
      </c>
      <c r="B269">
        <v>7998</v>
      </c>
      <c r="C269" t="s">
        <v>6</v>
      </c>
      <c r="D269" s="30">
        <v>1</v>
      </c>
    </row>
    <row r="270" spans="1:4">
      <c r="A270" s="29" t="str">
        <f t="shared" si="26"/>
        <v>ASUES.ES.ZRU10kV.SHTN10.TEL.wCmdFlt</v>
      </c>
      <c r="B270">
        <v>101</v>
      </c>
      <c r="C270" t="s">
        <v>0</v>
      </c>
      <c r="D270" s="30" t="s">
        <v>1547</v>
      </c>
    </row>
    <row r="271" spans="1:4">
      <c r="A271" s="29" t="str">
        <f t="shared" si="26"/>
        <v>ASUES.ES.ZRU10kV.SHTN10.TEL.wCmdFlt</v>
      </c>
      <c r="B271">
        <v>3</v>
      </c>
      <c r="C271" t="s">
        <v>1</v>
      </c>
      <c r="D271" s="30">
        <v>192</v>
      </c>
    </row>
    <row r="272" spans="1:4">
      <c r="A272" s="29" t="str">
        <f t="shared" si="26"/>
        <v>ASUES.ES.ZRU10kV.SHTN10.TEL.wCmdFlt</v>
      </c>
      <c r="B272">
        <v>2</v>
      </c>
      <c r="C272" t="s">
        <v>2</v>
      </c>
      <c r="D272" s="30" t="s">
        <v>175</v>
      </c>
    </row>
    <row r="273" spans="1:4">
      <c r="A273" s="26" t="str">
        <f t="shared" si="26"/>
        <v>ASUES.ES.ZRU10kV.SHTN10.TEL.wCmdFlt</v>
      </c>
      <c r="B273" s="27">
        <v>1</v>
      </c>
      <c r="C273" s="27" t="s">
        <v>1</v>
      </c>
      <c r="D273" s="28">
        <v>11</v>
      </c>
    </row>
    <row r="274" spans="1:4">
      <c r="A274" s="217" t="str">
        <f>$R$2&amp;".wStateMismatch"</f>
        <v>ASUES.ES.ZRU10kV.SHTN10.TEL.wStateMismatch</v>
      </c>
      <c r="B274" s="218">
        <v>11154</v>
      </c>
      <c r="C274" s="218" t="s">
        <v>4</v>
      </c>
      <c r="D274" s="231">
        <f>$Q$7</f>
        <v>12</v>
      </c>
    </row>
    <row r="275" spans="1:4">
      <c r="A275" s="211" t="str">
        <f t="shared" ref="A275:A283" si="27">$R$2&amp;".wStateMismatch"</f>
        <v>ASUES.ES.ZRU10kV.SHTN10.TEL.wStateMismatch</v>
      </c>
      <c r="B275" s="677">
        <v>11152</v>
      </c>
      <c r="C275" s="677" t="s">
        <v>0</v>
      </c>
      <c r="D275" s="213" t="str">
        <f>$R$7</f>
        <v>Неисправность</v>
      </c>
    </row>
    <row r="276" spans="1:4">
      <c r="A276" s="211" t="str">
        <f t="shared" si="27"/>
        <v>ASUES.ES.ZRU10kV.SHTN10.TEL.wStateMismatch</v>
      </c>
      <c r="B276" s="677">
        <v>11150</v>
      </c>
      <c r="C276" s="677" t="s">
        <v>0</v>
      </c>
      <c r="D276" s="213" t="s">
        <v>1941</v>
      </c>
    </row>
    <row r="277" spans="1:4">
      <c r="A277" s="211" t="str">
        <f t="shared" si="27"/>
        <v>ASUES.ES.ZRU10kV.SHTN10.TEL.wStateMismatch</v>
      </c>
      <c r="B277" s="677">
        <v>11000</v>
      </c>
      <c r="C277" s="677" t="s">
        <v>5</v>
      </c>
      <c r="D277" s="213">
        <v>2147483680</v>
      </c>
    </row>
    <row r="278" spans="1:4">
      <c r="A278" s="29" t="str">
        <f t="shared" si="27"/>
        <v>ASUES.ES.ZRU10kV.SHTN10.TEL.wStateMismatch</v>
      </c>
      <c r="B278">
        <v>7999</v>
      </c>
      <c r="C278" t="s">
        <v>0</v>
      </c>
      <c r="D278" s="30" t="str">
        <f>"#"&amp;$S$2&amp;"#"&amp;$T$2&amp;""&amp;$P$2&amp;".TS01_16_TS3"</f>
        <v>#15#\\SERVER-ASCUER\Relematika.Modbus.OPCDAServerSHTN10.TS01_16_TS3</v>
      </c>
    </row>
    <row r="279" spans="1:4">
      <c r="A279" s="29" t="str">
        <f t="shared" si="27"/>
        <v>ASUES.ES.ZRU10kV.SHTN10.TEL.wStateMismatch</v>
      </c>
      <c r="B279">
        <v>7998</v>
      </c>
      <c r="C279" t="s">
        <v>6</v>
      </c>
      <c r="D279" s="30">
        <v>1</v>
      </c>
    </row>
    <row r="280" spans="1:4">
      <c r="A280" s="29" t="str">
        <f t="shared" si="27"/>
        <v>ASUES.ES.ZRU10kV.SHTN10.TEL.wStateMismatch</v>
      </c>
      <c r="B280">
        <v>101</v>
      </c>
      <c r="C280" t="s">
        <v>0</v>
      </c>
      <c r="D280" s="30" t="s">
        <v>1941</v>
      </c>
    </row>
    <row r="281" spans="1:4">
      <c r="A281" s="29" t="str">
        <f t="shared" si="27"/>
        <v>ASUES.ES.ZRU10kV.SHTN10.TEL.wStateMismatch</v>
      </c>
      <c r="B281">
        <v>3</v>
      </c>
      <c r="C281" t="s">
        <v>1</v>
      </c>
      <c r="D281" s="30">
        <v>192</v>
      </c>
    </row>
    <row r="282" spans="1:4">
      <c r="A282" s="29" t="str">
        <f t="shared" si="27"/>
        <v>ASUES.ES.ZRU10kV.SHTN10.TEL.wStateMismatch</v>
      </c>
      <c r="B282">
        <v>2</v>
      </c>
      <c r="C282" t="s">
        <v>2</v>
      </c>
      <c r="D282" s="30" t="s">
        <v>175</v>
      </c>
    </row>
    <row r="283" spans="1:4">
      <c r="A283" s="26" t="str">
        <f t="shared" si="27"/>
        <v>ASUES.ES.ZRU10kV.SHTN10.TEL.wStateMismatch</v>
      </c>
      <c r="B283" s="27">
        <v>1</v>
      </c>
      <c r="C283" s="27" t="s">
        <v>1</v>
      </c>
      <c r="D283" s="28">
        <v>11</v>
      </c>
    </row>
    <row r="284" spans="1:4">
      <c r="A284" s="217" t="str">
        <f>$R$2&amp;".wMotorSpringFlt"</f>
        <v>ASUES.ES.ZRU10kV.SHTN10.TEL.wMotorSpringFlt</v>
      </c>
      <c r="B284" s="218">
        <v>11154</v>
      </c>
      <c r="C284" s="218" t="s">
        <v>4</v>
      </c>
      <c r="D284" s="231">
        <f>$Q$7</f>
        <v>12</v>
      </c>
    </row>
    <row r="285" spans="1:4">
      <c r="A285" s="211" t="str">
        <f t="shared" ref="A285:A293" si="28">$R$2&amp;".wMotorSpringFlt"</f>
        <v>ASUES.ES.ZRU10kV.SHTN10.TEL.wMotorSpringFlt</v>
      </c>
      <c r="B285" s="677">
        <v>11152</v>
      </c>
      <c r="C285" s="677" t="s">
        <v>0</v>
      </c>
      <c r="D285" s="213" t="str">
        <f>$R$7</f>
        <v>Неисправность</v>
      </c>
    </row>
    <row r="286" spans="1:4">
      <c r="A286" s="211" t="str">
        <f t="shared" si="28"/>
        <v>ASUES.ES.ZRU10kV.SHTN10.TEL.wMotorSpringFlt</v>
      </c>
      <c r="B286" s="677">
        <v>11150</v>
      </c>
      <c r="C286" s="677" t="s">
        <v>0</v>
      </c>
      <c r="D286" s="213" t="s">
        <v>1548</v>
      </c>
    </row>
    <row r="287" spans="1:4">
      <c r="A287" s="211" t="str">
        <f t="shared" si="28"/>
        <v>ASUES.ES.ZRU10kV.SHTN10.TEL.wMotorSpringFlt</v>
      </c>
      <c r="B287" s="677">
        <v>11000</v>
      </c>
      <c r="C287" s="677" t="s">
        <v>5</v>
      </c>
      <c r="D287" s="213">
        <v>2147483680</v>
      </c>
    </row>
    <row r="288" spans="1:4">
      <c r="A288" s="29" t="str">
        <f t="shared" si="28"/>
        <v>ASUES.ES.ZRU10kV.SHTN10.TEL.wMotorSpringFlt</v>
      </c>
      <c r="B288">
        <v>7999</v>
      </c>
      <c r="C288" t="s">
        <v>0</v>
      </c>
      <c r="D288" s="30" t="str">
        <f>"#"&amp;$S$2&amp;"#"&amp;$T$2&amp;""&amp;$P$2&amp;".TS177_192_TS180"</f>
        <v>#15#\\SERVER-ASCUER\Relematika.Modbus.OPCDAServerSHTN10.TS177_192_TS180</v>
      </c>
    </row>
    <row r="289" spans="1:4">
      <c r="A289" s="29" t="str">
        <f t="shared" si="28"/>
        <v>ASUES.ES.ZRU10kV.SHTN10.TEL.wMotorSpringFlt</v>
      </c>
      <c r="B289">
        <v>7998</v>
      </c>
      <c r="C289" t="s">
        <v>6</v>
      </c>
      <c r="D289" s="30">
        <v>1</v>
      </c>
    </row>
    <row r="290" spans="1:4">
      <c r="A290" s="29" t="str">
        <f t="shared" si="28"/>
        <v>ASUES.ES.ZRU10kV.SHTN10.TEL.wMotorSpringFlt</v>
      </c>
      <c r="B290">
        <v>101</v>
      </c>
      <c r="C290" t="s">
        <v>0</v>
      </c>
      <c r="D290" s="30" t="s">
        <v>1548</v>
      </c>
    </row>
    <row r="291" spans="1:4">
      <c r="A291" s="29" t="str">
        <f t="shared" si="28"/>
        <v>ASUES.ES.ZRU10kV.SHTN10.TEL.wMotorSpringFlt</v>
      </c>
      <c r="B291">
        <v>3</v>
      </c>
      <c r="C291" t="s">
        <v>1</v>
      </c>
      <c r="D291" s="30">
        <v>192</v>
      </c>
    </row>
    <row r="292" spans="1:4">
      <c r="A292" s="29" t="str">
        <f t="shared" si="28"/>
        <v>ASUES.ES.ZRU10kV.SHTN10.TEL.wMotorSpringFlt</v>
      </c>
      <c r="B292">
        <v>2</v>
      </c>
      <c r="C292" t="s">
        <v>2</v>
      </c>
      <c r="D292" s="30" t="s">
        <v>175</v>
      </c>
    </row>
    <row r="293" spans="1:4">
      <c r="A293" s="26" t="str">
        <f t="shared" si="28"/>
        <v>ASUES.ES.ZRU10kV.SHTN10.TEL.wMotorSpringFlt</v>
      </c>
      <c r="B293" s="27">
        <v>1</v>
      </c>
      <c r="C293" s="27" t="s">
        <v>1</v>
      </c>
      <c r="D293" s="28">
        <v>11</v>
      </c>
    </row>
    <row r="294" spans="1:4">
      <c r="A294" s="217" t="str">
        <f t="shared" ref="A294:A303" si="29">$R$2&amp;".wCircuitOnFlt"</f>
        <v>ASUES.ES.ZRU10kV.SHTN10.TEL.wCircuitOnFlt</v>
      </c>
      <c r="B294" s="218">
        <v>11154</v>
      </c>
      <c r="C294" s="218" t="s">
        <v>4</v>
      </c>
      <c r="D294" s="231">
        <f>$Q$7</f>
        <v>12</v>
      </c>
    </row>
    <row r="295" spans="1:4">
      <c r="A295" s="211" t="str">
        <f t="shared" si="29"/>
        <v>ASUES.ES.ZRU10kV.SHTN10.TEL.wCircuitOnFlt</v>
      </c>
      <c r="B295" s="677">
        <v>11152</v>
      </c>
      <c r="C295" s="677" t="s">
        <v>0</v>
      </c>
      <c r="D295" s="213" t="str">
        <f>$R$7</f>
        <v>Неисправность</v>
      </c>
    </row>
    <row r="296" spans="1:4">
      <c r="A296" s="211" t="str">
        <f t="shared" si="29"/>
        <v>ASUES.ES.ZRU10kV.SHTN10.TEL.wCircuitOnFlt</v>
      </c>
      <c r="B296" s="677">
        <v>11150</v>
      </c>
      <c r="C296" s="677" t="s">
        <v>0</v>
      </c>
      <c r="D296" s="213" t="s">
        <v>1515</v>
      </c>
    </row>
    <row r="297" spans="1:4">
      <c r="A297" s="211" t="str">
        <f t="shared" si="29"/>
        <v>ASUES.ES.ZRU10kV.SHTN10.TEL.wCircuitOnFlt</v>
      </c>
      <c r="B297" s="677">
        <v>11000</v>
      </c>
      <c r="C297" s="677" t="s">
        <v>5</v>
      </c>
      <c r="D297" s="213">
        <v>2147483680</v>
      </c>
    </row>
    <row r="298" spans="1:4">
      <c r="A298" s="29" t="str">
        <f t="shared" si="29"/>
        <v>ASUES.ES.ZRU10kV.SHTN10.TEL.wCircuitOnFlt</v>
      </c>
      <c r="B298">
        <v>7999</v>
      </c>
      <c r="C298" t="s">
        <v>0</v>
      </c>
      <c r="D298" s="30" t="str">
        <f>"#"&amp;$S$2&amp;"#"&amp;$T$2&amp;""&amp;$P$2&amp;".TS193_208_TS208"</f>
        <v>#15#\\SERVER-ASCUER\Relematika.Modbus.OPCDAServerSHTN10.TS193_208_TS208</v>
      </c>
    </row>
    <row r="299" spans="1:4">
      <c r="A299" s="29" t="str">
        <f t="shared" si="29"/>
        <v>ASUES.ES.ZRU10kV.SHTN10.TEL.wCircuitOnFlt</v>
      </c>
      <c r="B299">
        <v>7998</v>
      </c>
      <c r="C299" t="s">
        <v>6</v>
      </c>
      <c r="D299" s="30">
        <v>1</v>
      </c>
    </row>
    <row r="300" spans="1:4">
      <c r="A300" s="29" t="str">
        <f t="shared" si="29"/>
        <v>ASUES.ES.ZRU10kV.SHTN10.TEL.wCircuitOnFlt</v>
      </c>
      <c r="B300">
        <v>101</v>
      </c>
      <c r="C300" t="s">
        <v>0</v>
      </c>
      <c r="D300" s="30" t="s">
        <v>1515</v>
      </c>
    </row>
    <row r="301" spans="1:4">
      <c r="A301" s="29" t="str">
        <f t="shared" si="29"/>
        <v>ASUES.ES.ZRU10kV.SHTN10.TEL.wCircuitOnFlt</v>
      </c>
      <c r="B301">
        <v>3</v>
      </c>
      <c r="C301" t="s">
        <v>1</v>
      </c>
      <c r="D301" s="30">
        <v>192</v>
      </c>
    </row>
    <row r="302" spans="1:4">
      <c r="A302" s="29" t="str">
        <f t="shared" si="29"/>
        <v>ASUES.ES.ZRU10kV.SHTN10.TEL.wCircuitOnFlt</v>
      </c>
      <c r="B302">
        <v>2</v>
      </c>
      <c r="C302" t="s">
        <v>2</v>
      </c>
      <c r="D302" s="30" t="s">
        <v>175</v>
      </c>
    </row>
    <row r="303" spans="1:4">
      <c r="A303" s="26" t="str">
        <f t="shared" si="29"/>
        <v>ASUES.ES.ZRU10kV.SHTN10.TEL.wCircuitOnFlt</v>
      </c>
      <c r="B303" s="27">
        <v>1</v>
      </c>
      <c r="C303" s="27" t="s">
        <v>1</v>
      </c>
      <c r="D303" s="28">
        <v>11</v>
      </c>
    </row>
    <row r="304" spans="1:4">
      <c r="A304" s="217" t="str">
        <f>$R$2&amp;".wTT_Flt"</f>
        <v>ASUES.ES.ZRU10kV.SHTN10.TEL.wTT_Flt</v>
      </c>
      <c r="B304" s="218">
        <v>11154</v>
      </c>
      <c r="C304" s="218" t="s">
        <v>4</v>
      </c>
      <c r="D304" s="231">
        <f>$Q$7</f>
        <v>12</v>
      </c>
    </row>
    <row r="305" spans="1:4">
      <c r="A305" s="211" t="str">
        <f t="shared" ref="A305:A313" si="30">$R$2&amp;".wTT_Flt"</f>
        <v>ASUES.ES.ZRU10kV.SHTN10.TEL.wTT_Flt</v>
      </c>
      <c r="B305" s="677">
        <v>11152</v>
      </c>
      <c r="C305" s="677" t="s">
        <v>0</v>
      </c>
      <c r="D305" s="213" t="str">
        <f>$R$7</f>
        <v>Неисправность</v>
      </c>
    </row>
    <row r="306" spans="1:4">
      <c r="A306" s="211" t="str">
        <f t="shared" si="30"/>
        <v>ASUES.ES.ZRU10kV.SHTN10.TEL.wTT_Flt</v>
      </c>
      <c r="B306" s="677">
        <v>11150</v>
      </c>
      <c r="C306" s="677" t="s">
        <v>0</v>
      </c>
      <c r="D306" s="213" t="s">
        <v>1517</v>
      </c>
    </row>
    <row r="307" spans="1:4">
      <c r="A307" s="211" t="str">
        <f t="shared" si="30"/>
        <v>ASUES.ES.ZRU10kV.SHTN10.TEL.wTT_Flt</v>
      </c>
      <c r="B307" s="677">
        <v>11000</v>
      </c>
      <c r="C307" s="677" t="s">
        <v>5</v>
      </c>
      <c r="D307" s="213">
        <v>2147483680</v>
      </c>
    </row>
    <row r="308" spans="1:4">
      <c r="A308" s="29" t="str">
        <f t="shared" si="30"/>
        <v>ASUES.ES.ZRU10kV.SHTN10.TEL.wTT_Flt</v>
      </c>
      <c r="B308">
        <v>7999</v>
      </c>
      <c r="C308" t="s">
        <v>0</v>
      </c>
      <c r="D308" s="30" t="str">
        <f>"#"&amp;$S$2&amp;"#"&amp;$T$2&amp;""&amp;$P$2&amp;".TS209_224_TS209"</f>
        <v>#15#\\SERVER-ASCUER\Relematika.Modbus.OPCDAServerSHTN10.TS209_224_TS209</v>
      </c>
    </row>
    <row r="309" spans="1:4">
      <c r="A309" s="29" t="str">
        <f t="shared" si="30"/>
        <v>ASUES.ES.ZRU10kV.SHTN10.TEL.wTT_Flt</v>
      </c>
      <c r="B309">
        <v>7998</v>
      </c>
      <c r="C309" t="s">
        <v>6</v>
      </c>
      <c r="D309" s="30">
        <v>1</v>
      </c>
    </row>
    <row r="310" spans="1:4">
      <c r="A310" s="29" t="str">
        <f t="shared" si="30"/>
        <v>ASUES.ES.ZRU10kV.SHTN10.TEL.wTT_Flt</v>
      </c>
      <c r="B310">
        <v>101</v>
      </c>
      <c r="C310" t="s">
        <v>0</v>
      </c>
      <c r="D310" s="30" t="s">
        <v>1517</v>
      </c>
    </row>
    <row r="311" spans="1:4">
      <c r="A311" s="29" t="str">
        <f t="shared" si="30"/>
        <v>ASUES.ES.ZRU10kV.SHTN10.TEL.wTT_Flt</v>
      </c>
      <c r="B311">
        <v>3</v>
      </c>
      <c r="C311" t="s">
        <v>1</v>
      </c>
      <c r="D311" s="30">
        <v>192</v>
      </c>
    </row>
    <row r="312" spans="1:4">
      <c r="A312" s="29" t="str">
        <f t="shared" si="30"/>
        <v>ASUES.ES.ZRU10kV.SHTN10.TEL.wTT_Flt</v>
      </c>
      <c r="B312">
        <v>2</v>
      </c>
      <c r="C312" t="s">
        <v>2</v>
      </c>
      <c r="D312" s="30" t="s">
        <v>175</v>
      </c>
    </row>
    <row r="313" spans="1:4">
      <c r="A313" s="26" t="str">
        <f t="shared" si="30"/>
        <v>ASUES.ES.ZRU10kV.SHTN10.TEL.wTT_Flt</v>
      </c>
      <c r="B313" s="27">
        <v>1</v>
      </c>
      <c r="C313" s="27" t="s">
        <v>1</v>
      </c>
      <c r="D313" s="28">
        <v>11</v>
      </c>
    </row>
    <row r="314" spans="1:4">
      <c r="A314" s="217" t="str">
        <f>$R$2&amp;".wGenFlt"</f>
        <v>ASUES.ES.ZRU10kV.SHTN10.TEL.wGenFlt</v>
      </c>
      <c r="B314" s="218">
        <v>11154</v>
      </c>
      <c r="C314" s="218" t="s">
        <v>4</v>
      </c>
      <c r="D314" s="231">
        <f>$Q$7</f>
        <v>12</v>
      </c>
    </row>
    <row r="315" spans="1:4">
      <c r="A315" s="211" t="str">
        <f t="shared" ref="A315:A323" si="31">$R$2&amp;".wGenFlt"</f>
        <v>ASUES.ES.ZRU10kV.SHTN10.TEL.wGenFlt</v>
      </c>
      <c r="B315" s="677">
        <v>11152</v>
      </c>
      <c r="C315" s="677" t="s">
        <v>0</v>
      </c>
      <c r="D315" s="213" t="str">
        <f>$R$7</f>
        <v>Неисправность</v>
      </c>
    </row>
    <row r="316" spans="1:4">
      <c r="A316" s="211" t="str">
        <f t="shared" si="31"/>
        <v>ASUES.ES.ZRU10kV.SHTN10.TEL.wGenFlt</v>
      </c>
      <c r="B316" s="677">
        <v>11150</v>
      </c>
      <c r="C316" s="677" t="s">
        <v>0</v>
      </c>
      <c r="D316" s="213" t="s">
        <v>139</v>
      </c>
    </row>
    <row r="317" spans="1:4">
      <c r="A317" s="211" t="str">
        <f t="shared" si="31"/>
        <v>ASUES.ES.ZRU10kV.SHTN10.TEL.wGenFlt</v>
      </c>
      <c r="B317" s="677">
        <v>11000</v>
      </c>
      <c r="C317" s="677" t="s">
        <v>5</v>
      </c>
      <c r="D317" s="213">
        <v>2147483680</v>
      </c>
    </row>
    <row r="318" spans="1:4">
      <c r="A318" s="29" t="str">
        <f t="shared" si="31"/>
        <v>ASUES.ES.ZRU10kV.SHTN10.TEL.wGenFlt</v>
      </c>
      <c r="B318">
        <v>7999</v>
      </c>
      <c r="C318" t="s">
        <v>0</v>
      </c>
      <c r="D318" s="30" t="str">
        <f>"#"&amp;$S$2&amp;"#"&amp;$T$2&amp;""&amp;$P$2&amp;".TS49_64_TS52"</f>
        <v>#15#\\SERVER-ASCUER\Relematika.Modbus.OPCDAServerSHTN10.TS49_64_TS52</v>
      </c>
    </row>
    <row r="319" spans="1:4">
      <c r="A319" s="29" t="str">
        <f t="shared" si="31"/>
        <v>ASUES.ES.ZRU10kV.SHTN10.TEL.wGenFlt</v>
      </c>
      <c r="B319">
        <v>7998</v>
      </c>
      <c r="C319" t="s">
        <v>6</v>
      </c>
      <c r="D319" s="30">
        <v>1</v>
      </c>
    </row>
    <row r="320" spans="1:4">
      <c r="A320" s="29" t="str">
        <f t="shared" si="31"/>
        <v>ASUES.ES.ZRU10kV.SHTN10.TEL.wGenFlt</v>
      </c>
      <c r="B320">
        <v>101</v>
      </c>
      <c r="C320" t="s">
        <v>0</v>
      </c>
      <c r="D320" s="30" t="s">
        <v>139</v>
      </c>
    </row>
    <row r="321" spans="1:4">
      <c r="A321" s="29" t="str">
        <f t="shared" si="31"/>
        <v>ASUES.ES.ZRU10kV.SHTN10.TEL.wGenFlt</v>
      </c>
      <c r="B321">
        <v>3</v>
      </c>
      <c r="C321" t="s">
        <v>1</v>
      </c>
      <c r="D321" s="30">
        <v>192</v>
      </c>
    </row>
    <row r="322" spans="1:4">
      <c r="A322" s="29" t="str">
        <f t="shared" si="31"/>
        <v>ASUES.ES.ZRU10kV.SHTN10.TEL.wGenFlt</v>
      </c>
      <c r="B322">
        <v>2</v>
      </c>
      <c r="C322" t="s">
        <v>2</v>
      </c>
      <c r="D322" s="30" t="s">
        <v>175</v>
      </c>
    </row>
    <row r="323" spans="1:4">
      <c r="A323" s="26" t="str">
        <f t="shared" si="31"/>
        <v>ASUES.ES.ZRU10kV.SHTN10.TEL.wGenFlt</v>
      </c>
      <c r="B323" s="27">
        <v>1</v>
      </c>
      <c r="C323" s="27" t="s">
        <v>1</v>
      </c>
      <c r="D323" s="28">
        <v>11</v>
      </c>
    </row>
    <row r="324" spans="1:4">
      <c r="A324" s="29" t="str">
        <f t="shared" ref="A324:A335" si="32">$R$2&amp;".stOff"</f>
        <v>ASUES.ES.ZRU10kV.SHTN10.TEL.stOff</v>
      </c>
      <c r="B324">
        <v>7000000</v>
      </c>
      <c r="C324" t="s">
        <v>6</v>
      </c>
      <c r="D324" s="30">
        <v>1</v>
      </c>
    </row>
    <row r="325" spans="1:4" ht="28.8">
      <c r="A325" s="29" t="str">
        <f t="shared" si="32"/>
        <v>ASUES.ES.ZRU10kV.SHTN10.TEL.stOff</v>
      </c>
      <c r="B325">
        <v>4000000</v>
      </c>
      <c r="C325" t="s">
        <v>0</v>
      </c>
      <c r="D325" s="685" t="s">
        <v>396</v>
      </c>
    </row>
    <row r="326" spans="1:4">
      <c r="A326" s="100" t="str">
        <f t="shared" si="32"/>
        <v>ASUES.ES.ZRU10kV.SHTN10.TEL.stOff</v>
      </c>
      <c r="B326" s="679">
        <v>11154</v>
      </c>
      <c r="C326" s="679" t="s">
        <v>4</v>
      </c>
      <c r="D326" s="536">
        <f>$Q$8</f>
        <v>18</v>
      </c>
    </row>
    <row r="327" spans="1:4">
      <c r="A327" s="100" t="str">
        <f t="shared" si="32"/>
        <v>ASUES.ES.ZRU10kV.SHTN10.TEL.stOff</v>
      </c>
      <c r="B327" s="679">
        <v>11150</v>
      </c>
      <c r="C327" s="679" t="s">
        <v>0</v>
      </c>
      <c r="D327" s="103" t="s">
        <v>336</v>
      </c>
    </row>
    <row r="328" spans="1:4">
      <c r="A328" s="100" t="str">
        <f t="shared" si="32"/>
        <v>ASUES.ES.ZRU10kV.SHTN10.TEL.stOff</v>
      </c>
      <c r="B328" s="679">
        <v>11152</v>
      </c>
      <c r="C328" s="679" t="s">
        <v>0</v>
      </c>
      <c r="D328" s="103" t="str">
        <f>$R$8</f>
        <v>Телесигнализация</v>
      </c>
    </row>
    <row r="329" spans="1:4">
      <c r="A329" s="100" t="str">
        <f t="shared" si="32"/>
        <v>ASUES.ES.ZRU10kV.SHTN10.TEL.stOff</v>
      </c>
      <c r="B329" s="679">
        <v>11000</v>
      </c>
      <c r="C329" s="679" t="s">
        <v>5</v>
      </c>
      <c r="D329" s="103">
        <v>2147483680</v>
      </c>
    </row>
    <row r="330" spans="1:4">
      <c r="A330" s="29" t="str">
        <f t="shared" si="32"/>
        <v>ASUES.ES.ZRU10kV.SHTN10.TEL.stOff</v>
      </c>
      <c r="B330">
        <v>7999</v>
      </c>
      <c r="C330" t="s">
        <v>0</v>
      </c>
      <c r="D330" s="30" t="str">
        <f>"#"&amp;$S$2&amp;"#"&amp;$T$2&amp;""&amp;$P$2&amp;".TS17_32_TS17"</f>
        <v>#15#\\SERVER-ASCUER\Relematika.Modbus.OPCDAServerSHTN10.TS17_32_TS17</v>
      </c>
    </row>
    <row r="331" spans="1:4">
      <c r="A331" s="29" t="str">
        <f t="shared" si="32"/>
        <v>ASUES.ES.ZRU10kV.SHTN10.TEL.stOff</v>
      </c>
      <c r="B331">
        <v>7998</v>
      </c>
      <c r="C331" t="s">
        <v>6</v>
      </c>
      <c r="D331" s="30">
        <v>1</v>
      </c>
    </row>
    <row r="332" spans="1:4">
      <c r="A332" s="29" t="str">
        <f t="shared" si="32"/>
        <v>ASUES.ES.ZRU10kV.SHTN10.TEL.stOff</v>
      </c>
      <c r="B332">
        <v>101</v>
      </c>
      <c r="C332" t="s">
        <v>0</v>
      </c>
      <c r="D332" s="30" t="s">
        <v>336</v>
      </c>
    </row>
    <row r="333" spans="1:4">
      <c r="A333" s="29" t="str">
        <f t="shared" si="32"/>
        <v>ASUES.ES.ZRU10kV.SHTN10.TEL.stOff</v>
      </c>
      <c r="B333">
        <v>3</v>
      </c>
      <c r="C333" t="s">
        <v>1</v>
      </c>
      <c r="D333" s="30">
        <v>192</v>
      </c>
    </row>
    <row r="334" spans="1:4">
      <c r="A334" s="29" t="str">
        <f t="shared" si="32"/>
        <v>ASUES.ES.ZRU10kV.SHTN10.TEL.stOff</v>
      </c>
      <c r="B334">
        <v>2</v>
      </c>
      <c r="C334" t="s">
        <v>2</v>
      </c>
      <c r="D334" s="30" t="s">
        <v>175</v>
      </c>
    </row>
    <row r="335" spans="1:4">
      <c r="A335" s="26" t="str">
        <f t="shared" si="32"/>
        <v>ASUES.ES.ZRU10kV.SHTN10.TEL.stOff</v>
      </c>
      <c r="B335" s="27">
        <v>1</v>
      </c>
      <c r="C335" s="27" t="s">
        <v>1</v>
      </c>
      <c r="D335" s="28">
        <v>11</v>
      </c>
    </row>
    <row r="336" spans="1:4">
      <c r="A336" s="29" t="str">
        <f t="shared" ref="A336:A347" si="33">$R$2&amp;".stOn"</f>
        <v>ASUES.ES.ZRU10kV.SHTN10.TEL.stOn</v>
      </c>
      <c r="B336">
        <v>7000000</v>
      </c>
      <c r="C336" t="s">
        <v>6</v>
      </c>
      <c r="D336" s="30">
        <v>1</v>
      </c>
    </row>
    <row r="337" spans="1:4" ht="28.8">
      <c r="A337" s="29" t="str">
        <f t="shared" si="33"/>
        <v>ASUES.ES.ZRU10kV.SHTN10.TEL.stOn</v>
      </c>
      <c r="B337">
        <v>4000000</v>
      </c>
      <c r="C337" t="s">
        <v>0</v>
      </c>
      <c r="D337" s="685" t="s">
        <v>396</v>
      </c>
    </row>
    <row r="338" spans="1:4">
      <c r="A338" s="100" t="str">
        <f t="shared" si="33"/>
        <v>ASUES.ES.ZRU10kV.SHTN10.TEL.stOn</v>
      </c>
      <c r="B338" s="679">
        <v>11154</v>
      </c>
      <c r="C338" s="679" t="s">
        <v>4</v>
      </c>
      <c r="D338" s="536">
        <f>$Q$8</f>
        <v>18</v>
      </c>
    </row>
    <row r="339" spans="1:4">
      <c r="A339" s="100" t="str">
        <f t="shared" si="33"/>
        <v>ASUES.ES.ZRU10kV.SHTN10.TEL.stOn</v>
      </c>
      <c r="B339" s="679">
        <v>11150</v>
      </c>
      <c r="C339" s="679" t="s">
        <v>0</v>
      </c>
      <c r="D339" s="103" t="s">
        <v>337</v>
      </c>
    </row>
    <row r="340" spans="1:4">
      <c r="A340" s="100" t="str">
        <f t="shared" si="33"/>
        <v>ASUES.ES.ZRU10kV.SHTN10.TEL.stOn</v>
      </c>
      <c r="B340" s="679">
        <v>11152</v>
      </c>
      <c r="C340" s="679" t="s">
        <v>0</v>
      </c>
      <c r="D340" s="103" t="str">
        <f>$R$8</f>
        <v>Телесигнализация</v>
      </c>
    </row>
    <row r="341" spans="1:4">
      <c r="A341" s="100" t="str">
        <f t="shared" si="33"/>
        <v>ASUES.ES.ZRU10kV.SHTN10.TEL.stOn</v>
      </c>
      <c r="B341" s="679">
        <v>11000</v>
      </c>
      <c r="C341" s="679" t="s">
        <v>5</v>
      </c>
      <c r="D341" s="103">
        <v>2147483680</v>
      </c>
    </row>
    <row r="342" spans="1:4">
      <c r="A342" s="29" t="str">
        <f t="shared" si="33"/>
        <v>ASUES.ES.ZRU10kV.SHTN10.TEL.stOn</v>
      </c>
      <c r="B342">
        <v>7999</v>
      </c>
      <c r="C342" t="s">
        <v>0</v>
      </c>
      <c r="D342" s="30" t="str">
        <f>"#"&amp;$S$2&amp;"#"&amp;$T$2&amp;""&amp;$P$2&amp;".TS01_16_TS10"</f>
        <v>#15#\\SERVER-ASCUER\Relematika.Modbus.OPCDAServerSHTN10.TS01_16_TS10</v>
      </c>
    </row>
    <row r="343" spans="1:4">
      <c r="A343" s="29" t="str">
        <f t="shared" si="33"/>
        <v>ASUES.ES.ZRU10kV.SHTN10.TEL.stOn</v>
      </c>
      <c r="B343">
        <v>7998</v>
      </c>
      <c r="C343" t="s">
        <v>6</v>
      </c>
      <c r="D343" s="30">
        <v>1</v>
      </c>
    </row>
    <row r="344" spans="1:4">
      <c r="A344" s="29" t="str">
        <f t="shared" si="33"/>
        <v>ASUES.ES.ZRU10kV.SHTN10.TEL.stOn</v>
      </c>
      <c r="B344">
        <v>101</v>
      </c>
      <c r="C344" t="s">
        <v>0</v>
      </c>
      <c r="D344" s="30" t="s">
        <v>337</v>
      </c>
    </row>
    <row r="345" spans="1:4">
      <c r="A345" s="29" t="str">
        <f t="shared" si="33"/>
        <v>ASUES.ES.ZRU10kV.SHTN10.TEL.stOn</v>
      </c>
      <c r="B345">
        <v>3</v>
      </c>
      <c r="C345" t="s">
        <v>1</v>
      </c>
      <c r="D345" s="30">
        <v>192</v>
      </c>
    </row>
    <row r="346" spans="1:4">
      <c r="A346" s="29" t="str">
        <f t="shared" si="33"/>
        <v>ASUES.ES.ZRU10kV.SHTN10.TEL.stOn</v>
      </c>
      <c r="B346">
        <v>2</v>
      </c>
      <c r="C346" t="s">
        <v>2</v>
      </c>
      <c r="D346" s="30" t="s">
        <v>175</v>
      </c>
    </row>
    <row r="347" spans="1:4">
      <c r="A347" s="26" t="str">
        <f t="shared" si="33"/>
        <v>ASUES.ES.ZRU10kV.SHTN10.TEL.stOn</v>
      </c>
      <c r="B347" s="27">
        <v>1</v>
      </c>
      <c r="C347" s="27" t="s">
        <v>1</v>
      </c>
      <c r="D347" s="28">
        <v>11</v>
      </c>
    </row>
    <row r="348" spans="1:4">
      <c r="A348" s="100" t="str">
        <f>$R$2&amp;".telOff"</f>
        <v>ASUES.ES.ZRU10kV.SHTN10.TEL.telOff</v>
      </c>
      <c r="B348" s="679">
        <v>11154</v>
      </c>
      <c r="C348" s="679" t="s">
        <v>4</v>
      </c>
      <c r="D348" s="536">
        <f>$Q$8</f>
        <v>18</v>
      </c>
    </row>
    <row r="349" spans="1:4">
      <c r="A349" s="100" t="str">
        <f t="shared" ref="A349:A357" si="34">$R$2&amp;".telOff"</f>
        <v>ASUES.ES.ZRU10kV.SHTN10.TEL.telOff</v>
      </c>
      <c r="B349" s="679">
        <v>11152</v>
      </c>
      <c r="C349" s="679" t="s">
        <v>0</v>
      </c>
      <c r="D349" s="103" t="str">
        <f>$R$8</f>
        <v>Телесигнализация</v>
      </c>
    </row>
    <row r="350" spans="1:4">
      <c r="A350" s="100" t="str">
        <f t="shared" si="34"/>
        <v>ASUES.ES.ZRU10kV.SHTN10.TEL.telOff</v>
      </c>
      <c r="B350" s="679">
        <v>11150</v>
      </c>
      <c r="C350" s="679" t="s">
        <v>0</v>
      </c>
      <c r="D350" s="103" t="s">
        <v>1930</v>
      </c>
    </row>
    <row r="351" spans="1:4">
      <c r="A351" s="100" t="str">
        <f t="shared" si="34"/>
        <v>ASUES.ES.ZRU10kV.SHTN10.TEL.telOff</v>
      </c>
      <c r="B351" s="679">
        <v>11000</v>
      </c>
      <c r="C351" s="679" t="s">
        <v>5</v>
      </c>
      <c r="D351" s="103">
        <v>2147483680</v>
      </c>
    </row>
    <row r="352" spans="1:4">
      <c r="A352" s="29" t="str">
        <f t="shared" si="34"/>
        <v>ASUES.ES.ZRU10kV.SHTN10.TEL.telOff</v>
      </c>
      <c r="B352">
        <v>7999</v>
      </c>
      <c r="C352" t="s">
        <v>0</v>
      </c>
      <c r="D352" s="30" t="str">
        <f>"#"&amp;$S$2&amp;"#"&amp;$T$2&amp;""&amp;$P$2&amp;".TS01_16_TS11"</f>
        <v>#15#\\SERVER-ASCUER\Relematika.Modbus.OPCDAServerSHTN10.TS01_16_TS11</v>
      </c>
    </row>
    <row r="353" spans="1:4">
      <c r="A353" s="29" t="str">
        <f t="shared" si="34"/>
        <v>ASUES.ES.ZRU10kV.SHTN10.TEL.telOff</v>
      </c>
      <c r="B353">
        <v>7998</v>
      </c>
      <c r="C353" t="s">
        <v>6</v>
      </c>
      <c r="D353" s="30">
        <v>1</v>
      </c>
    </row>
    <row r="354" spans="1:4">
      <c r="A354" s="29" t="str">
        <f t="shared" si="34"/>
        <v>ASUES.ES.ZRU10kV.SHTN10.TEL.telOff</v>
      </c>
      <c r="B354">
        <v>101</v>
      </c>
      <c r="C354" t="s">
        <v>0</v>
      </c>
      <c r="D354" s="30" t="s">
        <v>1930</v>
      </c>
    </row>
    <row r="355" spans="1:4">
      <c r="A355" s="29" t="str">
        <f t="shared" si="34"/>
        <v>ASUES.ES.ZRU10kV.SHTN10.TEL.telOff</v>
      </c>
      <c r="B355">
        <v>3</v>
      </c>
      <c r="C355" t="s">
        <v>1</v>
      </c>
      <c r="D355" s="30">
        <v>192</v>
      </c>
    </row>
    <row r="356" spans="1:4">
      <c r="A356" s="29" t="str">
        <f t="shared" si="34"/>
        <v>ASUES.ES.ZRU10kV.SHTN10.TEL.telOff</v>
      </c>
      <c r="B356">
        <v>2</v>
      </c>
      <c r="C356" t="s">
        <v>2</v>
      </c>
      <c r="D356" s="30" t="s">
        <v>175</v>
      </c>
    </row>
    <row r="357" spans="1:4">
      <c r="A357" s="26" t="str">
        <f t="shared" si="34"/>
        <v>ASUES.ES.ZRU10kV.SHTN10.TEL.telOff</v>
      </c>
      <c r="B357" s="27">
        <v>1</v>
      </c>
      <c r="C357" s="27" t="s">
        <v>1</v>
      </c>
      <c r="D357" s="28">
        <v>11</v>
      </c>
    </row>
    <row r="358" spans="1:4">
      <c r="A358" s="100" t="str">
        <f>$R$2&amp;".stTZNauto_on"</f>
        <v>ASUES.ES.ZRU10kV.SHTN10.TEL.stTZNauto_on</v>
      </c>
      <c r="B358" s="679">
        <v>11154</v>
      </c>
      <c r="C358" s="679" t="s">
        <v>4</v>
      </c>
      <c r="D358" s="536">
        <f>$Q$8</f>
        <v>18</v>
      </c>
    </row>
    <row r="359" spans="1:4">
      <c r="A359" s="100" t="str">
        <f t="shared" ref="A359:A367" si="35">$R$2&amp;".stTZNauto_on"</f>
        <v>ASUES.ES.ZRU10kV.SHTN10.TEL.stTZNauto_on</v>
      </c>
      <c r="B359" s="679">
        <v>11152</v>
      </c>
      <c r="C359" s="679" t="s">
        <v>0</v>
      </c>
      <c r="D359" s="103" t="str">
        <f>$R$8</f>
        <v>Телесигнализация</v>
      </c>
    </row>
    <row r="360" spans="1:4">
      <c r="A360" s="100" t="str">
        <f t="shared" si="35"/>
        <v>ASUES.ES.ZRU10kV.SHTN10.TEL.stTZNauto_on</v>
      </c>
      <c r="B360" s="679">
        <v>11150</v>
      </c>
      <c r="C360" s="679" t="s">
        <v>0</v>
      </c>
      <c r="D360" s="103" t="s">
        <v>1942</v>
      </c>
    </row>
    <row r="361" spans="1:4">
      <c r="A361" s="100" t="str">
        <f t="shared" si="35"/>
        <v>ASUES.ES.ZRU10kV.SHTN10.TEL.stTZNauto_on</v>
      </c>
      <c r="B361" s="679">
        <v>11000</v>
      </c>
      <c r="C361" s="679" t="s">
        <v>5</v>
      </c>
      <c r="D361" s="103">
        <v>2147483680</v>
      </c>
    </row>
    <row r="362" spans="1:4">
      <c r="A362" s="29" t="str">
        <f t="shared" si="35"/>
        <v>ASUES.ES.ZRU10kV.SHTN10.TEL.stTZNauto_on</v>
      </c>
      <c r="B362">
        <v>7999</v>
      </c>
      <c r="C362" t="s">
        <v>0</v>
      </c>
      <c r="D362" s="30" t="str">
        <f>"#"&amp;$S$2&amp;"#"&amp;$T$2&amp;""&amp;$P$2&amp;".TS177_192_TS178"</f>
        <v>#15#\\SERVER-ASCUER\Relematika.Modbus.OPCDAServerSHTN10.TS177_192_TS178</v>
      </c>
    </row>
    <row r="363" spans="1:4">
      <c r="A363" s="29" t="str">
        <f t="shared" si="35"/>
        <v>ASUES.ES.ZRU10kV.SHTN10.TEL.stTZNauto_on</v>
      </c>
      <c r="B363">
        <v>7998</v>
      </c>
      <c r="C363" t="s">
        <v>6</v>
      </c>
      <c r="D363" s="30">
        <v>1</v>
      </c>
    </row>
    <row r="364" spans="1:4">
      <c r="A364" s="29" t="str">
        <f t="shared" si="35"/>
        <v>ASUES.ES.ZRU10kV.SHTN10.TEL.stTZNauto_on</v>
      </c>
      <c r="B364">
        <v>101</v>
      </c>
      <c r="C364" t="s">
        <v>0</v>
      </c>
      <c r="D364" s="30" t="s">
        <v>1942</v>
      </c>
    </row>
    <row r="365" spans="1:4">
      <c r="A365" s="29" t="str">
        <f t="shared" si="35"/>
        <v>ASUES.ES.ZRU10kV.SHTN10.TEL.stTZNauto_on</v>
      </c>
      <c r="B365">
        <v>3</v>
      </c>
      <c r="C365" t="s">
        <v>1</v>
      </c>
      <c r="D365" s="30">
        <v>192</v>
      </c>
    </row>
    <row r="366" spans="1:4">
      <c r="A366" s="29" t="str">
        <f t="shared" si="35"/>
        <v>ASUES.ES.ZRU10kV.SHTN10.TEL.stTZNauto_on</v>
      </c>
      <c r="B366">
        <v>2</v>
      </c>
      <c r="C366" t="s">
        <v>2</v>
      </c>
      <c r="D366" s="30" t="s">
        <v>175</v>
      </c>
    </row>
    <row r="367" spans="1:4">
      <c r="A367" s="26" t="str">
        <f t="shared" si="35"/>
        <v>ASUES.ES.ZRU10kV.SHTN10.TEL.stTZNauto_on</v>
      </c>
      <c r="B367" s="27">
        <v>1</v>
      </c>
      <c r="C367" s="27" t="s">
        <v>1</v>
      </c>
      <c r="D367" s="28">
        <v>11</v>
      </c>
    </row>
    <row r="368" spans="1:4">
      <c r="A368" s="100" t="str">
        <f>$R$2&amp;".stTZNpar"</f>
        <v>ASUES.ES.ZRU10kV.SHTN10.TEL.stTZNpar</v>
      </c>
      <c r="B368" s="679">
        <v>11154</v>
      </c>
      <c r="C368" s="679" t="s">
        <v>4</v>
      </c>
      <c r="D368" s="536">
        <f>$Q$8</f>
        <v>18</v>
      </c>
    </row>
    <row r="369" spans="1:4">
      <c r="A369" s="100" t="str">
        <f t="shared" ref="A369:A377" si="36">$R$2&amp;".stTZNpar"</f>
        <v>ASUES.ES.ZRU10kV.SHTN10.TEL.stTZNpar</v>
      </c>
      <c r="B369" s="679">
        <v>11152</v>
      </c>
      <c r="C369" s="679" t="s">
        <v>0</v>
      </c>
      <c r="D369" s="103" t="str">
        <f>$R$8</f>
        <v>Телесигнализация</v>
      </c>
    </row>
    <row r="370" spans="1:4">
      <c r="A370" s="100" t="str">
        <f t="shared" si="36"/>
        <v>ASUES.ES.ZRU10kV.SHTN10.TEL.stTZNpar</v>
      </c>
      <c r="B370" s="679">
        <v>11150</v>
      </c>
      <c r="C370" s="679" t="s">
        <v>0</v>
      </c>
      <c r="D370" s="103" t="s">
        <v>1943</v>
      </c>
    </row>
    <row r="371" spans="1:4">
      <c r="A371" s="100" t="str">
        <f t="shared" si="36"/>
        <v>ASUES.ES.ZRU10kV.SHTN10.TEL.stTZNpar</v>
      </c>
      <c r="B371" s="679">
        <v>11000</v>
      </c>
      <c r="C371" s="679" t="s">
        <v>5</v>
      </c>
      <c r="D371" s="103">
        <v>2147483680</v>
      </c>
    </row>
    <row r="372" spans="1:4">
      <c r="A372" s="29" t="str">
        <f t="shared" si="36"/>
        <v>ASUES.ES.ZRU10kV.SHTN10.TEL.stTZNpar</v>
      </c>
      <c r="B372">
        <v>7999</v>
      </c>
      <c r="C372" t="s">
        <v>0</v>
      </c>
      <c r="D372" s="30" t="str">
        <f>"#"&amp;$S$2&amp;"#"&amp;$T$2&amp;""&amp;$P$2&amp;".TS177_192_TS182"</f>
        <v>#15#\\SERVER-ASCUER\Relematika.Modbus.OPCDAServerSHTN10.TS177_192_TS182</v>
      </c>
    </row>
    <row r="373" spans="1:4">
      <c r="A373" s="29" t="str">
        <f t="shared" si="36"/>
        <v>ASUES.ES.ZRU10kV.SHTN10.TEL.stTZNpar</v>
      </c>
      <c r="B373">
        <v>7998</v>
      </c>
      <c r="C373" t="s">
        <v>6</v>
      </c>
      <c r="D373" s="30">
        <v>1</v>
      </c>
    </row>
    <row r="374" spans="1:4">
      <c r="A374" s="29" t="str">
        <f t="shared" si="36"/>
        <v>ASUES.ES.ZRU10kV.SHTN10.TEL.stTZNpar</v>
      </c>
      <c r="B374">
        <v>101</v>
      </c>
      <c r="C374" t="s">
        <v>0</v>
      </c>
      <c r="D374" s="30" t="s">
        <v>1943</v>
      </c>
    </row>
    <row r="375" spans="1:4">
      <c r="A375" s="29" t="str">
        <f t="shared" si="36"/>
        <v>ASUES.ES.ZRU10kV.SHTN10.TEL.stTZNpar</v>
      </c>
      <c r="B375">
        <v>3</v>
      </c>
      <c r="C375" t="s">
        <v>1</v>
      </c>
      <c r="D375" s="30">
        <v>192</v>
      </c>
    </row>
    <row r="376" spans="1:4">
      <c r="A376" s="29" t="str">
        <f t="shared" si="36"/>
        <v>ASUES.ES.ZRU10kV.SHTN10.TEL.stTZNpar</v>
      </c>
      <c r="B376">
        <v>2</v>
      </c>
      <c r="C376" t="s">
        <v>2</v>
      </c>
      <c r="D376" s="30" t="s">
        <v>175</v>
      </c>
    </row>
    <row r="377" spans="1:4">
      <c r="A377" s="26" t="str">
        <f t="shared" si="36"/>
        <v>ASUES.ES.ZRU10kV.SHTN10.TEL.stTZNpar</v>
      </c>
      <c r="B377" s="27">
        <v>1</v>
      </c>
      <c r="C377" s="27" t="s">
        <v>1</v>
      </c>
      <c r="D377" s="28">
        <v>11</v>
      </c>
    </row>
    <row r="378" spans="1:4">
      <c r="A378" s="100" t="str">
        <f t="shared" ref="A378:A387" si="37">$R$2&amp;".stCtrlCircuitOn"</f>
        <v>ASUES.ES.ZRU10kV.SHTN10.TEL.stCtrlCircuitOn</v>
      </c>
      <c r="B378" s="679">
        <v>11154</v>
      </c>
      <c r="C378" s="679" t="s">
        <v>4</v>
      </c>
      <c r="D378" s="536">
        <f>$Q$8</f>
        <v>18</v>
      </c>
    </row>
    <row r="379" spans="1:4">
      <c r="A379" s="100" t="str">
        <f t="shared" si="37"/>
        <v>ASUES.ES.ZRU10kV.SHTN10.TEL.stCtrlCircuitOn</v>
      </c>
      <c r="B379" s="679">
        <v>11152</v>
      </c>
      <c r="C379" s="679" t="s">
        <v>0</v>
      </c>
      <c r="D379" s="103" t="str">
        <f>$R$8</f>
        <v>Телесигнализация</v>
      </c>
    </row>
    <row r="380" spans="1:4">
      <c r="A380" s="100" t="str">
        <f t="shared" si="37"/>
        <v>ASUES.ES.ZRU10kV.SHTN10.TEL.stCtrlCircuitOn</v>
      </c>
      <c r="B380" s="679">
        <v>11150</v>
      </c>
      <c r="C380" s="679" t="s">
        <v>0</v>
      </c>
      <c r="D380" s="103" t="s">
        <v>1509</v>
      </c>
    </row>
    <row r="381" spans="1:4">
      <c r="A381" s="100" t="str">
        <f t="shared" si="37"/>
        <v>ASUES.ES.ZRU10kV.SHTN10.TEL.stCtrlCircuitOn</v>
      </c>
      <c r="B381" s="679">
        <v>11000</v>
      </c>
      <c r="C381" s="679" t="s">
        <v>5</v>
      </c>
      <c r="D381" s="103">
        <v>2147483680</v>
      </c>
    </row>
    <row r="382" spans="1:4">
      <c r="A382" s="29" t="str">
        <f t="shared" si="37"/>
        <v>ASUES.ES.ZRU10kV.SHTN10.TEL.stCtrlCircuitOn</v>
      </c>
      <c r="B382">
        <v>7999</v>
      </c>
      <c r="C382" t="s">
        <v>0</v>
      </c>
      <c r="D382" s="30" t="str">
        <f>"#"&amp;$S$2&amp;"#"&amp;$T$2&amp;""&amp;$P$2&amp;".TS225_240_TS233"</f>
        <v>#15#\\SERVER-ASCUER\Relematika.Modbus.OPCDAServerSHTN10.TS225_240_TS233</v>
      </c>
    </row>
    <row r="383" spans="1:4">
      <c r="A383" s="29" t="str">
        <f t="shared" si="37"/>
        <v>ASUES.ES.ZRU10kV.SHTN10.TEL.stCtrlCircuitOn</v>
      </c>
      <c r="B383">
        <v>7998</v>
      </c>
      <c r="C383" t="s">
        <v>6</v>
      </c>
      <c r="D383" s="30">
        <v>1</v>
      </c>
    </row>
    <row r="384" spans="1:4">
      <c r="A384" s="29" t="str">
        <f t="shared" si="37"/>
        <v>ASUES.ES.ZRU10kV.SHTN10.TEL.stCtrlCircuitOn</v>
      </c>
      <c r="B384">
        <v>101</v>
      </c>
      <c r="C384" t="s">
        <v>0</v>
      </c>
      <c r="D384" s="30" t="s">
        <v>1509</v>
      </c>
    </row>
    <row r="385" spans="1:4">
      <c r="A385" s="29" t="str">
        <f t="shared" si="37"/>
        <v>ASUES.ES.ZRU10kV.SHTN10.TEL.stCtrlCircuitOn</v>
      </c>
      <c r="B385">
        <v>3</v>
      </c>
      <c r="C385" t="s">
        <v>1</v>
      </c>
      <c r="D385" s="30">
        <v>192</v>
      </c>
    </row>
    <row r="386" spans="1:4">
      <c r="A386" s="29" t="str">
        <f t="shared" si="37"/>
        <v>ASUES.ES.ZRU10kV.SHTN10.TEL.stCtrlCircuitOn</v>
      </c>
      <c r="B386">
        <v>2</v>
      </c>
      <c r="C386" t="s">
        <v>2</v>
      </c>
      <c r="D386" s="30" t="s">
        <v>175</v>
      </c>
    </row>
    <row r="387" spans="1:4">
      <c r="A387" s="26" t="str">
        <f t="shared" si="37"/>
        <v>ASUES.ES.ZRU10kV.SHTN10.TEL.stCtrlCircuitOn</v>
      </c>
      <c r="B387" s="27">
        <v>1</v>
      </c>
      <c r="C387" s="27" t="s">
        <v>1</v>
      </c>
      <c r="D387" s="28">
        <v>11</v>
      </c>
    </row>
    <row r="388" spans="1:4">
      <c r="A388" s="100" t="str">
        <f t="shared" ref="A388:A397" si="38">$R$2&amp;".stDisTeleregul"</f>
        <v>ASUES.ES.ZRU10kV.SHTN10.TEL.stDisTeleregul</v>
      </c>
      <c r="B388" s="679">
        <v>11154</v>
      </c>
      <c r="C388" s="679" t="s">
        <v>4</v>
      </c>
      <c r="D388" s="536">
        <f>$Q$8</f>
        <v>18</v>
      </c>
    </row>
    <row r="389" spans="1:4">
      <c r="A389" s="100" t="str">
        <f t="shared" si="38"/>
        <v>ASUES.ES.ZRU10kV.SHTN10.TEL.stDisTeleregul</v>
      </c>
      <c r="B389" s="679">
        <v>11152</v>
      </c>
      <c r="C389" s="679" t="s">
        <v>0</v>
      </c>
      <c r="D389" s="103" t="str">
        <f>$R$8</f>
        <v>Телесигнализация</v>
      </c>
    </row>
    <row r="390" spans="1:4">
      <c r="A390" s="100" t="str">
        <f t="shared" si="38"/>
        <v>ASUES.ES.ZRU10kV.SHTN10.TEL.stDisTeleregul</v>
      </c>
      <c r="B390" s="679">
        <v>11150</v>
      </c>
      <c r="C390" s="679" t="s">
        <v>0</v>
      </c>
      <c r="D390" s="103" t="s">
        <v>1550</v>
      </c>
    </row>
    <row r="391" spans="1:4">
      <c r="A391" s="100" t="str">
        <f t="shared" si="38"/>
        <v>ASUES.ES.ZRU10kV.SHTN10.TEL.stDisTeleregul</v>
      </c>
      <c r="B391" s="679">
        <v>11000</v>
      </c>
      <c r="C391" s="679" t="s">
        <v>5</v>
      </c>
      <c r="D391" s="103">
        <v>2147483680</v>
      </c>
    </row>
    <row r="392" spans="1:4">
      <c r="A392" s="29" t="str">
        <f t="shared" si="38"/>
        <v>ASUES.ES.ZRU10kV.SHTN10.TEL.stDisTeleregul</v>
      </c>
      <c r="B392">
        <v>7999</v>
      </c>
      <c r="C392" t="s">
        <v>0</v>
      </c>
      <c r="D392" s="30" t="str">
        <f>"#"&amp;$S$2&amp;"#"&amp;$T$2&amp;""&amp;$P$2&amp;".TS49_64_TS51"</f>
        <v>#15#\\SERVER-ASCUER\Relematika.Modbus.OPCDAServerSHTN10.TS49_64_TS51</v>
      </c>
    </row>
    <row r="393" spans="1:4">
      <c r="A393" s="29" t="str">
        <f t="shared" si="38"/>
        <v>ASUES.ES.ZRU10kV.SHTN10.TEL.stDisTeleregul</v>
      </c>
      <c r="B393">
        <v>7998</v>
      </c>
      <c r="C393" t="s">
        <v>6</v>
      </c>
      <c r="D393" s="30">
        <v>1</v>
      </c>
    </row>
    <row r="394" spans="1:4">
      <c r="A394" s="29" t="str">
        <f t="shared" si="38"/>
        <v>ASUES.ES.ZRU10kV.SHTN10.TEL.stDisTeleregul</v>
      </c>
      <c r="B394">
        <v>101</v>
      </c>
      <c r="C394" t="s">
        <v>0</v>
      </c>
      <c r="D394" s="30" t="s">
        <v>1550</v>
      </c>
    </row>
    <row r="395" spans="1:4">
      <c r="A395" s="29" t="str">
        <f t="shared" si="38"/>
        <v>ASUES.ES.ZRU10kV.SHTN10.TEL.stDisTeleregul</v>
      </c>
      <c r="B395">
        <v>3</v>
      </c>
      <c r="C395" t="s">
        <v>1</v>
      </c>
      <c r="D395" s="30">
        <v>192</v>
      </c>
    </row>
    <row r="396" spans="1:4">
      <c r="A396" s="29" t="str">
        <f t="shared" si="38"/>
        <v>ASUES.ES.ZRU10kV.SHTN10.TEL.stDisTeleregul</v>
      </c>
      <c r="B396">
        <v>2</v>
      </c>
      <c r="C396" t="s">
        <v>2</v>
      </c>
      <c r="D396" s="30" t="s">
        <v>175</v>
      </c>
    </row>
    <row r="397" spans="1:4">
      <c r="A397" s="26" t="str">
        <f t="shared" si="38"/>
        <v>ASUES.ES.ZRU10kV.SHTN10.TEL.stDisTeleregul</v>
      </c>
      <c r="B397" s="27">
        <v>1</v>
      </c>
      <c r="C397" s="27" t="s">
        <v>1</v>
      </c>
      <c r="D397" s="28">
        <v>11</v>
      </c>
    </row>
    <row r="398" spans="1:4">
      <c r="A398" s="100" t="str">
        <f t="shared" ref="A398:A407" si="39">$R$2&amp;".stOscilAutoDL"</f>
        <v>ASUES.ES.ZRU10kV.SHTN10.TEL.stOscilAutoDL</v>
      </c>
      <c r="B398" s="679">
        <v>11154</v>
      </c>
      <c r="C398" s="679" t="s">
        <v>4</v>
      </c>
      <c r="D398" s="536">
        <f>$Q$8</f>
        <v>18</v>
      </c>
    </row>
    <row r="399" spans="1:4">
      <c r="A399" s="100" t="str">
        <f t="shared" si="39"/>
        <v>ASUES.ES.ZRU10kV.SHTN10.TEL.stOscilAutoDL</v>
      </c>
      <c r="B399" s="679">
        <v>11150</v>
      </c>
      <c r="C399" s="679" t="s">
        <v>0</v>
      </c>
      <c r="D399" s="103" t="s">
        <v>1549</v>
      </c>
    </row>
    <row r="400" spans="1:4" ht="14.25" customHeight="1">
      <c r="A400" s="100" t="str">
        <f t="shared" si="39"/>
        <v>ASUES.ES.ZRU10kV.SHTN10.TEL.stOscilAutoDL</v>
      </c>
      <c r="B400" s="679">
        <v>11152</v>
      </c>
      <c r="C400" s="679" t="s">
        <v>0</v>
      </c>
      <c r="D400" s="103" t="str">
        <f>$R$8</f>
        <v>Телесигнализация</v>
      </c>
    </row>
    <row r="401" spans="1:4">
      <c r="A401" s="100" t="str">
        <f t="shared" si="39"/>
        <v>ASUES.ES.ZRU10kV.SHTN10.TEL.stOscilAutoDL</v>
      </c>
      <c r="B401" s="679">
        <v>11000</v>
      </c>
      <c r="C401" s="679" t="s">
        <v>5</v>
      </c>
      <c r="D401" s="103">
        <v>2147483680</v>
      </c>
    </row>
    <row r="402" spans="1:4">
      <c r="A402" s="29" t="str">
        <f t="shared" si="39"/>
        <v>ASUES.ES.ZRU10kV.SHTN10.TEL.stOscilAutoDL</v>
      </c>
      <c r="B402">
        <v>7999</v>
      </c>
      <c r="C402" t="s">
        <v>0</v>
      </c>
      <c r="D402" s="30" t="str">
        <f>"#"&amp;$S$2&amp;"#"&amp;$T$2&amp;""&amp;$P$2&amp;".OSCAUTO"</f>
        <v>#15#\\SERVER-ASCUER\Relematika.Modbus.OPCDAServerSHTN10.OSCAUTO</v>
      </c>
    </row>
    <row r="403" spans="1:4">
      <c r="A403" s="29" t="str">
        <f t="shared" si="39"/>
        <v>ASUES.ES.ZRU10kV.SHTN10.TEL.stOscilAutoDL</v>
      </c>
      <c r="B403">
        <v>7998</v>
      </c>
      <c r="C403" t="s">
        <v>6</v>
      </c>
      <c r="D403" s="30">
        <v>1</v>
      </c>
    </row>
    <row r="404" spans="1:4">
      <c r="A404" s="29" t="str">
        <f t="shared" si="39"/>
        <v>ASUES.ES.ZRU10kV.SHTN10.TEL.stOscilAutoDL</v>
      </c>
      <c r="B404">
        <v>101</v>
      </c>
      <c r="C404" t="s">
        <v>0</v>
      </c>
      <c r="D404" s="30" t="s">
        <v>1549</v>
      </c>
    </row>
    <row r="405" spans="1:4">
      <c r="A405" s="29" t="str">
        <f t="shared" si="39"/>
        <v>ASUES.ES.ZRU10kV.SHTN10.TEL.stOscilAutoDL</v>
      </c>
      <c r="B405">
        <v>3</v>
      </c>
      <c r="C405" t="s">
        <v>1</v>
      </c>
      <c r="D405" s="30">
        <v>192</v>
      </c>
    </row>
    <row r="406" spans="1:4">
      <c r="A406" s="29" t="str">
        <f t="shared" si="39"/>
        <v>ASUES.ES.ZRU10kV.SHTN10.TEL.stOscilAutoDL</v>
      </c>
      <c r="B406">
        <v>2</v>
      </c>
      <c r="C406" t="s">
        <v>2</v>
      </c>
      <c r="D406" s="30" t="s">
        <v>175</v>
      </c>
    </row>
    <row r="407" spans="1:4">
      <c r="A407" s="26" t="str">
        <f t="shared" si="39"/>
        <v>ASUES.ES.ZRU10kV.SHTN10.TEL.stOscilAutoDL</v>
      </c>
      <c r="B407" s="27">
        <v>1</v>
      </c>
      <c r="C407" s="27" t="s">
        <v>1</v>
      </c>
      <c r="D407" s="28">
        <v>11</v>
      </c>
    </row>
    <row r="408" spans="1:4">
      <c r="A408" s="100" t="str">
        <f t="shared" ref="A408:A413" si="40">$R$2&amp;".stOscilStatus"</f>
        <v>ASUES.ES.ZRU10kV.SHTN10.TEL.stOscilStatus</v>
      </c>
      <c r="B408" s="679">
        <v>7999</v>
      </c>
      <c r="C408" s="679" t="s">
        <v>0</v>
      </c>
      <c r="D408" s="103" t="str">
        <f>"#"&amp;$S$2&amp;"#"&amp;$T$2&amp;""&amp;$P$2&amp;".OSCStatus"</f>
        <v>#15#\\SERVER-ASCUER\Relematika.Modbus.OPCDAServerSHTN10.OSCStatus</v>
      </c>
    </row>
    <row r="409" spans="1:4">
      <c r="A409" s="100" t="str">
        <f t="shared" si="40"/>
        <v>ASUES.ES.ZRU10kV.SHTN10.TEL.stOscilStatus</v>
      </c>
      <c r="B409" s="679">
        <v>7998</v>
      </c>
      <c r="C409" s="679" t="s">
        <v>6</v>
      </c>
      <c r="D409" s="103">
        <v>1</v>
      </c>
    </row>
    <row r="410" spans="1:4">
      <c r="A410" s="29" t="str">
        <f t="shared" si="40"/>
        <v>ASUES.ES.ZRU10kV.SHTN10.TEL.stOscilStatus</v>
      </c>
      <c r="B410">
        <v>101</v>
      </c>
      <c r="C410" t="s">
        <v>0</v>
      </c>
      <c r="D410" s="30" t="s">
        <v>1551</v>
      </c>
    </row>
    <row r="411" spans="1:4">
      <c r="A411" s="29" t="str">
        <f t="shared" si="40"/>
        <v>ASUES.ES.ZRU10kV.SHTN10.TEL.stOscilStatus</v>
      </c>
      <c r="B411">
        <v>3</v>
      </c>
      <c r="C411" t="s">
        <v>1</v>
      </c>
      <c r="D411" s="30">
        <v>192</v>
      </c>
    </row>
    <row r="412" spans="1:4">
      <c r="A412" s="29" t="str">
        <f t="shared" si="40"/>
        <v>ASUES.ES.ZRU10kV.SHTN10.TEL.stOscilStatus</v>
      </c>
      <c r="B412">
        <v>2</v>
      </c>
      <c r="C412" t="s">
        <v>0</v>
      </c>
      <c r="D412" s="30">
        <v>0</v>
      </c>
    </row>
    <row r="413" spans="1:4">
      <c r="A413" s="26" t="str">
        <f t="shared" si="40"/>
        <v>ASUES.ES.ZRU10kV.SHTN10.TEL.stOscilStatus</v>
      </c>
      <c r="B413" s="27">
        <v>1</v>
      </c>
      <c r="C413" s="27" t="s">
        <v>1</v>
      </c>
      <c r="D413" s="28">
        <v>8</v>
      </c>
    </row>
    <row r="414" spans="1:4">
      <c r="A414" s="23" t="str">
        <f t="shared" ref="A414:A421" si="41">$R$2&amp;".Commands.coRepair"</f>
        <v>ASUES.ES.ZRU10kV.SHTN10.TEL.Commands.coRepair</v>
      </c>
      <c r="B414" s="24">
        <v>7011</v>
      </c>
      <c r="C414" s="24" t="s">
        <v>2</v>
      </c>
      <c r="D414" s="25" t="s">
        <v>266</v>
      </c>
    </row>
    <row r="415" spans="1:4">
      <c r="A415" s="140" t="str">
        <f t="shared" si="41"/>
        <v>ASUES.ES.ZRU10kV.SHTN10.TEL.Commands.coRepair</v>
      </c>
      <c r="B415" s="687">
        <v>11152</v>
      </c>
      <c r="C415" s="687" t="s">
        <v>0</v>
      </c>
      <c r="D415" s="142" t="str">
        <f>$R$11</f>
        <v>Ремонт</v>
      </c>
    </row>
    <row r="416" spans="1:4">
      <c r="A416" s="140" t="str">
        <f t="shared" si="41"/>
        <v>ASUES.ES.ZRU10kV.SHTN10.TEL.Commands.coRepair</v>
      </c>
      <c r="B416" s="687">
        <v>11154</v>
      </c>
      <c r="C416" s="687" t="s">
        <v>4</v>
      </c>
      <c r="D416" s="142">
        <f>$Q$11</f>
        <v>14</v>
      </c>
    </row>
    <row r="417" spans="1:4">
      <c r="A417" s="140" t="str">
        <f t="shared" si="41"/>
        <v>ASUES.ES.ZRU10kV.SHTN10.TEL.Commands.coRepair</v>
      </c>
      <c r="B417" s="687">
        <v>11150</v>
      </c>
      <c r="C417" s="687" t="s">
        <v>0</v>
      </c>
      <c r="D417" s="142" t="s">
        <v>89</v>
      </c>
    </row>
    <row r="418" spans="1:4">
      <c r="A418" s="140" t="str">
        <f t="shared" si="41"/>
        <v>ASUES.ES.ZRU10kV.SHTN10.TEL.Commands.coRepair</v>
      </c>
      <c r="B418" s="687">
        <v>11000</v>
      </c>
      <c r="C418" s="687" t="s">
        <v>5</v>
      </c>
      <c r="D418" s="142">
        <v>2147483680</v>
      </c>
    </row>
    <row r="419" spans="1:4">
      <c r="A419" s="29" t="str">
        <f t="shared" si="41"/>
        <v>ASUES.ES.ZRU10kV.SHTN10.TEL.Commands.coRepair</v>
      </c>
      <c r="B419">
        <v>1</v>
      </c>
      <c r="C419" t="s">
        <v>1</v>
      </c>
      <c r="D419" s="30">
        <v>11</v>
      </c>
    </row>
    <row r="420" spans="1:4" ht="409.6">
      <c r="A420" s="29" t="str">
        <f t="shared" si="41"/>
        <v>ASUES.ES.ZRU10kV.SHTN10.TEL.Commands.coRepair</v>
      </c>
      <c r="B420">
        <v>4000000</v>
      </c>
      <c r="C420" t="s">
        <v>0</v>
      </c>
      <c r="D420" s="415" t="s">
        <v>2681</v>
      </c>
    </row>
    <row r="421" spans="1:4">
      <c r="A421" s="26" t="str">
        <f t="shared" si="41"/>
        <v>ASUES.ES.ZRU10kV.SHTN10.TEL.Commands.coRepair</v>
      </c>
      <c r="B421" s="27">
        <v>7000000</v>
      </c>
      <c r="C421" s="27" t="s">
        <v>6</v>
      </c>
      <c r="D421" s="28">
        <v>2</v>
      </c>
    </row>
    <row r="422" spans="1:4">
      <c r="A422" s="23" t="str">
        <f>$R$2&amp;".Commands.coOscilAllow"</f>
        <v>ASUES.ES.ZRU10kV.SHTN10.TEL.Commands.coOscilAllow</v>
      </c>
      <c r="B422" s="24">
        <v>7999</v>
      </c>
      <c r="C422" s="24" t="s">
        <v>0</v>
      </c>
      <c r="D422" s="25" t="str">
        <f>"#"&amp;$S$2&amp;"#"&amp;$T$2&amp;""&amp;$P$2&amp;".Commands.TC19"</f>
        <v>#15#\\SERVER-ASCUER\Relematika.Modbus.OPCDAServerSHTN10.Commands.TC19</v>
      </c>
    </row>
    <row r="423" spans="1:4">
      <c r="A423" s="29" t="str">
        <f>$R$2&amp;".Commands.coOscilAllow"</f>
        <v>ASUES.ES.ZRU10kV.SHTN10.TEL.Commands.coOscilAllow</v>
      </c>
      <c r="B423">
        <v>7998</v>
      </c>
      <c r="C423" t="s">
        <v>6</v>
      </c>
      <c r="D423" s="30">
        <v>2</v>
      </c>
    </row>
    <row r="424" spans="1:4">
      <c r="A424" s="29" t="str">
        <f>$R$2&amp;".Commands.coOscilAllow"</f>
        <v>ASUES.ES.ZRU10kV.SHTN10.TEL.Commands.coOscilAllow</v>
      </c>
      <c r="B424">
        <v>101</v>
      </c>
      <c r="C424" t="s">
        <v>0</v>
      </c>
      <c r="D424" s="30" t="s">
        <v>1552</v>
      </c>
    </row>
    <row r="425" spans="1:4">
      <c r="A425" s="26" t="str">
        <f>$R$2&amp;".Commands.coOscilAllow"</f>
        <v>ASUES.ES.ZRU10kV.SHTN10.TEL.Commands.coOscilAllow</v>
      </c>
      <c r="B425" s="27">
        <v>1</v>
      </c>
      <c r="C425" s="27" t="s">
        <v>1</v>
      </c>
      <c r="D425" s="28">
        <v>11</v>
      </c>
    </row>
    <row r="426" spans="1:4">
      <c r="A426" s="29" t="str">
        <f>$R$2&amp;".Commands.coOscilBlock"</f>
        <v>ASUES.ES.ZRU10kV.SHTN10.TEL.Commands.coOscilBlock</v>
      </c>
      <c r="B426">
        <v>7999</v>
      </c>
      <c r="C426" t="s">
        <v>0</v>
      </c>
      <c r="D426" s="30" t="str">
        <f>"#"&amp;$S$2&amp;"#"&amp;$T$2&amp;""&amp;$P$2&amp;".Commands.TC18"</f>
        <v>#15#\\SERVER-ASCUER\Relematika.Modbus.OPCDAServerSHTN10.Commands.TC18</v>
      </c>
    </row>
    <row r="427" spans="1:4">
      <c r="A427" s="29" t="str">
        <f>$R$2&amp;".Commands.coOscilBlock"</f>
        <v>ASUES.ES.ZRU10kV.SHTN10.TEL.Commands.coOscilBlock</v>
      </c>
      <c r="B427">
        <v>7998</v>
      </c>
      <c r="C427" t="s">
        <v>6</v>
      </c>
      <c r="D427" s="30">
        <v>2</v>
      </c>
    </row>
    <row r="428" spans="1:4">
      <c r="A428" s="29" t="str">
        <f>$R$2&amp;".Commands.coOscilBlock"</f>
        <v>ASUES.ES.ZRU10kV.SHTN10.TEL.Commands.coOscilBlock</v>
      </c>
      <c r="B428">
        <v>101</v>
      </c>
      <c r="C428" t="s">
        <v>0</v>
      </c>
      <c r="D428" s="30" t="s">
        <v>1553</v>
      </c>
    </row>
    <row r="429" spans="1:4">
      <c r="A429" s="26" t="str">
        <f>$R$2&amp;".Commands.coOscilBlock"</f>
        <v>ASUES.ES.ZRU10kV.SHTN10.TEL.Commands.coOscilBlock</v>
      </c>
      <c r="B429" s="27">
        <v>1</v>
      </c>
      <c r="C429" s="27" t="s">
        <v>1</v>
      </c>
      <c r="D429" s="28">
        <v>11</v>
      </c>
    </row>
    <row r="430" spans="1:4">
      <c r="A430" s="29" t="str">
        <f>$R$2&amp;".Commands.coOscilMan"</f>
        <v>ASUES.ES.ZRU10kV.SHTN10.TEL.Commands.coOscilMan</v>
      </c>
      <c r="B430">
        <v>7999</v>
      </c>
      <c r="C430" t="s">
        <v>0</v>
      </c>
      <c r="D430" s="30" t="str">
        <f>"#"&amp;$S$2&amp;"#"&amp;$T$2&amp;""&amp;$P$2&amp;".Commands.TC20"</f>
        <v>#15#\\SERVER-ASCUER\Relematika.Modbus.OPCDAServerSHTN10.Commands.TC20</v>
      </c>
    </row>
    <row r="431" spans="1:4">
      <c r="A431" s="29" t="str">
        <f>$R$2&amp;".Commands.coOscilMan"</f>
        <v>ASUES.ES.ZRU10kV.SHTN10.TEL.Commands.coOscilMan</v>
      </c>
      <c r="B431">
        <v>7998</v>
      </c>
      <c r="C431" t="s">
        <v>6</v>
      </c>
      <c r="D431" s="30">
        <v>2</v>
      </c>
    </row>
    <row r="432" spans="1:4">
      <c r="A432" s="29" t="str">
        <f>$R$2&amp;".Commands.coOscilMan"</f>
        <v>ASUES.ES.ZRU10kV.SHTN10.TEL.Commands.coOscilMan</v>
      </c>
      <c r="B432">
        <v>101</v>
      </c>
      <c r="C432" t="s">
        <v>0</v>
      </c>
      <c r="D432" s="30" t="s">
        <v>1554</v>
      </c>
    </row>
    <row r="433" spans="1:4">
      <c r="A433" s="29" t="str">
        <f>$R$2&amp;".Commands.coOscilMan"</f>
        <v>ASUES.ES.ZRU10kV.SHTN10.TEL.Commands.coOscilMan</v>
      </c>
      <c r="B433">
        <v>1</v>
      </c>
      <c r="C433" t="s">
        <v>1</v>
      </c>
      <c r="D433" s="30">
        <v>11</v>
      </c>
    </row>
    <row r="434" spans="1:4">
      <c r="A434" s="23" t="str">
        <f t="shared" ref="A434:A439" si="42">$R$2&amp;".Commands.coRst"</f>
        <v>ASUES.ES.ZRU10kV.SHTN10.TEL.Commands.coRst</v>
      </c>
      <c r="B434" s="24">
        <v>7000000</v>
      </c>
      <c r="C434" s="24" t="s">
        <v>6</v>
      </c>
      <c r="D434" s="25">
        <v>0</v>
      </c>
    </row>
    <row r="435" spans="1:4">
      <c r="A435" s="29" t="str">
        <f t="shared" si="42"/>
        <v>ASUES.ES.ZRU10kV.SHTN10.TEL.Commands.coRst</v>
      </c>
      <c r="B435">
        <v>4000000</v>
      </c>
      <c r="C435" t="s">
        <v>0</v>
      </c>
      <c r="D435" s="30" t="s">
        <v>385</v>
      </c>
    </row>
    <row r="436" spans="1:4">
      <c r="A436" s="29" t="str">
        <f t="shared" si="42"/>
        <v>ASUES.ES.ZRU10kV.SHTN10.TEL.Commands.coRst</v>
      </c>
      <c r="B436">
        <v>101</v>
      </c>
      <c r="C436" t="s">
        <v>0</v>
      </c>
      <c r="D436" s="30" t="s">
        <v>386</v>
      </c>
    </row>
    <row r="437" spans="1:4">
      <c r="A437" s="29" t="str">
        <f t="shared" si="42"/>
        <v>ASUES.ES.ZRU10kV.SHTN10.TEL.Commands.coRst</v>
      </c>
      <c r="B437">
        <v>7999</v>
      </c>
      <c r="C437" t="s">
        <v>0</v>
      </c>
      <c r="D437" s="30" t="str">
        <f>"#"&amp;$S$2&amp;"#"&amp;$T$2&amp;""&amp;$P$2&amp;".Commands.TC3"</f>
        <v>#15#\\SERVER-ASCUER\Relematika.Modbus.OPCDAServerSHTN10.Commands.TC3</v>
      </c>
    </row>
    <row r="438" spans="1:4">
      <c r="A438" s="29" t="str">
        <f t="shared" si="42"/>
        <v>ASUES.ES.ZRU10kV.SHTN10.TEL.Commands.coRst</v>
      </c>
      <c r="B438">
        <v>7998</v>
      </c>
      <c r="C438" t="s">
        <v>6</v>
      </c>
      <c r="D438" s="30">
        <v>2</v>
      </c>
    </row>
    <row r="439" spans="1:4">
      <c r="A439" s="29" t="str">
        <f t="shared" si="42"/>
        <v>ASUES.ES.ZRU10kV.SHTN10.TEL.Commands.coRst</v>
      </c>
      <c r="B439">
        <v>1</v>
      </c>
      <c r="C439" t="s">
        <v>1</v>
      </c>
      <c r="D439" s="30">
        <v>11</v>
      </c>
    </row>
    <row r="440" spans="1:4" ht="13.5" customHeight="1">
      <c r="A440" s="23" t="str">
        <f t="shared" ref="A440:A445" si="43">$R$2&amp;".Commands.coReadCountTrips"</f>
        <v>ASUES.ES.ZRU10kV.SHTN10.TEL.Commands.coReadCountTrips</v>
      </c>
      <c r="B440" s="24">
        <v>7000000</v>
      </c>
      <c r="C440" s="24" t="s">
        <v>6</v>
      </c>
      <c r="D440" s="25">
        <v>0</v>
      </c>
    </row>
    <row r="441" spans="1:4">
      <c r="A441" s="29" t="str">
        <f t="shared" si="43"/>
        <v>ASUES.ES.ZRU10kV.SHTN10.TEL.Commands.coReadCountTrips</v>
      </c>
      <c r="B441">
        <v>4000000</v>
      </c>
      <c r="C441" t="s">
        <v>0</v>
      </c>
      <c r="D441" s="30"/>
    </row>
    <row r="442" spans="1:4">
      <c r="A442" s="29" t="str">
        <f t="shared" si="43"/>
        <v>ASUES.ES.ZRU10kV.SHTN10.TEL.Commands.coReadCountTrips</v>
      </c>
      <c r="B442">
        <v>101</v>
      </c>
      <c r="C442" t="s">
        <v>0</v>
      </c>
      <c r="D442" s="30" t="s">
        <v>1555</v>
      </c>
    </row>
    <row r="443" spans="1:4">
      <c r="A443" s="29" t="str">
        <f t="shared" si="43"/>
        <v>ASUES.ES.ZRU10kV.SHTN10.TEL.Commands.coReadCountTrips</v>
      </c>
      <c r="B443">
        <v>7999</v>
      </c>
      <c r="C443" t="s">
        <v>0</v>
      </c>
      <c r="D443" s="30" t="str">
        <f>"#"&amp;$S$2&amp;"#"&amp;$T$2&amp;""&amp;$P$2&amp;".Commands.ReadZone8"</f>
        <v>#15#\\SERVER-ASCUER\Relematika.Modbus.OPCDAServerSHTN10.Commands.ReadZone8</v>
      </c>
    </row>
    <row r="444" spans="1:4">
      <c r="A444" s="29" t="str">
        <f t="shared" si="43"/>
        <v>ASUES.ES.ZRU10kV.SHTN10.TEL.Commands.coReadCountTrips</v>
      </c>
      <c r="B444">
        <v>7998</v>
      </c>
      <c r="C444" t="s">
        <v>6</v>
      </c>
      <c r="D444" s="30">
        <v>2</v>
      </c>
    </row>
    <row r="445" spans="1:4">
      <c r="A445" s="29" t="str">
        <f t="shared" si="43"/>
        <v>ASUES.ES.ZRU10kV.SHTN10.TEL.Commands.coReadCountTrips</v>
      </c>
      <c r="B445">
        <v>1</v>
      </c>
      <c r="C445" t="s">
        <v>1</v>
      </c>
      <c r="D445" s="30">
        <v>11</v>
      </c>
    </row>
    <row r="446" spans="1:4">
      <c r="A446" s="294" t="str">
        <f>$R$2&amp;".Commands.smCntSumOff"</f>
        <v>ASUES.ES.ZRU10kV.SHTN10.TEL.Commands.smCntSumOff</v>
      </c>
      <c r="B446" s="295">
        <v>7011</v>
      </c>
      <c r="C446" s="295" t="s">
        <v>2</v>
      </c>
      <c r="D446" s="296" t="s">
        <v>266</v>
      </c>
    </row>
    <row r="447" spans="1:4">
      <c r="A447" s="288" t="str">
        <f>$R$2&amp;".Commands.smCntSumOff"</f>
        <v>ASUES.ES.ZRU10kV.SHTN10.TEL.Commands.smCntSumOff</v>
      </c>
      <c r="B447" s="514">
        <v>101</v>
      </c>
      <c r="C447" s="514" t="s">
        <v>0</v>
      </c>
      <c r="D447" s="290" t="s">
        <v>351</v>
      </c>
    </row>
    <row r="448" spans="1:4">
      <c r="A448" s="291" t="str">
        <f>$R$2&amp;".Commands.smCntSumOff"</f>
        <v>ASUES.ES.ZRU10kV.SHTN10.TEL.Commands.smCntSumOff</v>
      </c>
      <c r="B448" s="292">
        <v>1</v>
      </c>
      <c r="C448" s="292" t="s">
        <v>1</v>
      </c>
      <c r="D448" s="293">
        <v>3</v>
      </c>
    </row>
    <row r="449" spans="1:4">
      <c r="A449" s="294" t="str">
        <f>$R$2&amp;".Commands.smCntSumOffI"</f>
        <v>ASUES.ES.ZRU10kV.SHTN10.TEL.Commands.smCntSumOffI</v>
      </c>
      <c r="B449" s="295">
        <v>7011</v>
      </c>
      <c r="C449" s="295" t="s">
        <v>2</v>
      </c>
      <c r="D449" s="296" t="s">
        <v>266</v>
      </c>
    </row>
    <row r="450" spans="1:4">
      <c r="A450" s="288" t="str">
        <f>$R$2&amp;".Commands.smCntSumOffI"</f>
        <v>ASUES.ES.ZRU10kV.SHTN10.TEL.Commands.smCntSumOffI</v>
      </c>
      <c r="B450" s="514">
        <v>101</v>
      </c>
      <c r="C450" s="514" t="s">
        <v>0</v>
      </c>
      <c r="D450" s="290" t="s">
        <v>353</v>
      </c>
    </row>
    <row r="451" spans="1:4">
      <c r="A451" s="291" t="str">
        <f>$R$2&amp;".Commands.smCntSumOffI"</f>
        <v>ASUES.ES.ZRU10kV.SHTN10.TEL.Commands.smCntSumOffI</v>
      </c>
      <c r="B451" s="292">
        <v>1</v>
      </c>
      <c r="C451" s="292" t="s">
        <v>1</v>
      </c>
      <c r="D451" s="293">
        <v>3</v>
      </c>
    </row>
    <row r="452" spans="1:4">
      <c r="A452" s="294" t="str">
        <f>$R$2&amp;".Commands.smCntSumOffIKZ"</f>
        <v>ASUES.ES.ZRU10kV.SHTN10.TEL.Commands.smCntSumOffIKZ</v>
      </c>
      <c r="B452" s="295">
        <v>7011</v>
      </c>
      <c r="C452" s="295" t="s">
        <v>2</v>
      </c>
      <c r="D452" s="296" t="s">
        <v>266</v>
      </c>
    </row>
    <row r="453" spans="1:4">
      <c r="A453" s="288" t="str">
        <f>$R$2&amp;".Commands.smCntSumOffIKZ"</f>
        <v>ASUES.ES.ZRU10kV.SHTN10.TEL.Commands.smCntSumOffIKZ</v>
      </c>
      <c r="B453" s="514">
        <v>101</v>
      </c>
      <c r="C453" s="514" t="s">
        <v>0</v>
      </c>
      <c r="D453" s="290" t="s">
        <v>354</v>
      </c>
    </row>
    <row r="454" spans="1:4">
      <c r="A454" s="291" t="str">
        <f>$R$2&amp;".Commands.smCntSumOffIKZ"</f>
        <v>ASUES.ES.ZRU10kV.SHTN10.TEL.Commands.smCntSumOffIKZ</v>
      </c>
      <c r="B454" s="292">
        <v>1</v>
      </c>
      <c r="C454" s="292" t="s">
        <v>1</v>
      </c>
      <c r="D454" s="293">
        <v>3</v>
      </c>
    </row>
    <row r="455" spans="1:4">
      <c r="A455" s="294" t="str">
        <f t="shared" ref="A455:A460" si="44">$R$2&amp;".mCntSumOff"</f>
        <v>ASUES.ES.ZRU10kV.SHTN10.TEL.mCntSumOff</v>
      </c>
      <c r="B455" s="295">
        <v>7999</v>
      </c>
      <c r="C455" s="295" t="s">
        <v>0</v>
      </c>
      <c r="D455" s="296" t="str">
        <f>"#"&amp;$S$2&amp;"#"&amp;$T$2&amp;""&amp;$P$2&amp;".CommCnt"</f>
        <v>#15#\\SERVER-ASCUER\Relematika.Modbus.OPCDAServerSHTN10.CommCnt</v>
      </c>
    </row>
    <row r="456" spans="1:4">
      <c r="A456" s="288" t="str">
        <f t="shared" si="44"/>
        <v>ASUES.ES.ZRU10kV.SHTN10.TEL.mCntSumOff</v>
      </c>
      <c r="B456" s="514">
        <v>7998</v>
      </c>
      <c r="C456" s="514" t="s">
        <v>6</v>
      </c>
      <c r="D456" s="290">
        <v>1</v>
      </c>
    </row>
    <row r="457" spans="1:4">
      <c r="A457" s="288" t="str">
        <f t="shared" si="44"/>
        <v>ASUES.ES.ZRU10kV.SHTN10.TEL.mCntSumOff</v>
      </c>
      <c r="B457" s="514">
        <v>101</v>
      </c>
      <c r="C457" s="514" t="s">
        <v>0</v>
      </c>
      <c r="D457" s="290" t="s">
        <v>343</v>
      </c>
    </row>
    <row r="458" spans="1:4">
      <c r="A458" s="288" t="str">
        <f t="shared" si="44"/>
        <v>ASUES.ES.ZRU10kV.SHTN10.TEL.mCntSumOff</v>
      </c>
      <c r="B458" s="514">
        <v>3</v>
      </c>
      <c r="C458" s="514" t="s">
        <v>1</v>
      </c>
      <c r="D458" s="290">
        <v>192</v>
      </c>
    </row>
    <row r="459" spans="1:4">
      <c r="A459" s="288" t="str">
        <f t="shared" si="44"/>
        <v>ASUES.ES.ZRU10kV.SHTN10.TEL.mCntSumOff</v>
      </c>
      <c r="B459" s="514">
        <v>2</v>
      </c>
      <c r="C459" s="514" t="s">
        <v>6</v>
      </c>
      <c r="D459" s="290">
        <v>0</v>
      </c>
    </row>
    <row r="460" spans="1:4">
      <c r="A460" s="291" t="str">
        <f t="shared" si="44"/>
        <v>ASUES.ES.ZRU10kV.SHTN10.TEL.mCntSumOff</v>
      </c>
      <c r="B460" s="292">
        <v>1</v>
      </c>
      <c r="C460" s="292" t="s">
        <v>1</v>
      </c>
      <c r="D460" s="293">
        <v>3</v>
      </c>
    </row>
    <row r="461" spans="1:4">
      <c r="A461" s="294" t="str">
        <f t="shared" ref="A461:A466" si="45">$R$2&amp;".mCntSumOffI"</f>
        <v>ASUES.ES.ZRU10kV.SHTN10.TEL.mCntSumOffI</v>
      </c>
      <c r="B461" s="295">
        <v>7999</v>
      </c>
      <c r="C461" s="295" t="s">
        <v>0</v>
      </c>
      <c r="D461" s="296" t="str">
        <f>"#"&amp;$S$2&amp;"#"&amp;$T$2&amp;""&amp;$P$2&amp;".Trip_I_Cnt"</f>
        <v>#15#\\SERVER-ASCUER\Relematika.Modbus.OPCDAServerSHTN10.Trip_I_Cnt</v>
      </c>
    </row>
    <row r="462" spans="1:4">
      <c r="A462" s="288" t="str">
        <f t="shared" si="45"/>
        <v>ASUES.ES.ZRU10kV.SHTN10.TEL.mCntSumOffI</v>
      </c>
      <c r="B462" s="514">
        <v>7998</v>
      </c>
      <c r="C462" s="514" t="s">
        <v>6</v>
      </c>
      <c r="D462" s="290">
        <v>1</v>
      </c>
    </row>
    <row r="463" spans="1:4">
      <c r="A463" s="288" t="str">
        <f t="shared" si="45"/>
        <v>ASUES.ES.ZRU10kV.SHTN10.TEL.mCntSumOffI</v>
      </c>
      <c r="B463" s="514">
        <v>101</v>
      </c>
      <c r="C463" s="514" t="s">
        <v>0</v>
      </c>
      <c r="D463" s="290" t="s">
        <v>344</v>
      </c>
    </row>
    <row r="464" spans="1:4">
      <c r="A464" s="288" t="str">
        <f t="shared" si="45"/>
        <v>ASUES.ES.ZRU10kV.SHTN10.TEL.mCntSumOffI</v>
      </c>
      <c r="B464" s="514">
        <v>3</v>
      </c>
      <c r="C464" s="514" t="s">
        <v>1</v>
      </c>
      <c r="D464" s="290">
        <v>192</v>
      </c>
    </row>
    <row r="465" spans="1:4">
      <c r="A465" s="288" t="str">
        <f t="shared" si="45"/>
        <v>ASUES.ES.ZRU10kV.SHTN10.TEL.mCntSumOffI</v>
      </c>
      <c r="B465" s="514">
        <v>2</v>
      </c>
      <c r="C465" s="514" t="s">
        <v>6</v>
      </c>
      <c r="D465" s="290">
        <v>0</v>
      </c>
    </row>
    <row r="466" spans="1:4">
      <c r="A466" s="291" t="str">
        <f t="shared" si="45"/>
        <v>ASUES.ES.ZRU10kV.SHTN10.TEL.mCntSumOffI</v>
      </c>
      <c r="B466" s="292">
        <v>1</v>
      </c>
      <c r="C466" s="292" t="s">
        <v>1</v>
      </c>
      <c r="D466" s="293">
        <v>3</v>
      </c>
    </row>
    <row r="467" spans="1:4">
      <c r="A467" s="294" t="str">
        <f t="shared" ref="A467:A472" si="46">$R$2&amp;".mCntSumOffIKZ"</f>
        <v>ASUES.ES.ZRU10kV.SHTN10.TEL.mCntSumOffIKZ</v>
      </c>
      <c r="B467" s="295">
        <v>7999</v>
      </c>
      <c r="C467" s="295" t="s">
        <v>0</v>
      </c>
      <c r="D467" s="296" t="str">
        <f>"#"&amp;$S$2&amp;"#"&amp;$T$2&amp;""&amp;$P$2&amp;".Trip_Ikz_Cnt"</f>
        <v>#15#\\SERVER-ASCUER\Relematika.Modbus.OPCDAServerSHTN10.Trip_Ikz_Cnt</v>
      </c>
    </row>
    <row r="468" spans="1:4">
      <c r="A468" s="288" t="str">
        <f t="shared" si="46"/>
        <v>ASUES.ES.ZRU10kV.SHTN10.TEL.mCntSumOffIKZ</v>
      </c>
      <c r="B468" s="514">
        <v>7998</v>
      </c>
      <c r="C468" s="514" t="s">
        <v>6</v>
      </c>
      <c r="D468" s="290">
        <v>1</v>
      </c>
    </row>
    <row r="469" spans="1:4">
      <c r="A469" s="288" t="str">
        <f t="shared" si="46"/>
        <v>ASUES.ES.ZRU10kV.SHTN10.TEL.mCntSumOffIKZ</v>
      </c>
      <c r="B469" s="514">
        <v>101</v>
      </c>
      <c r="C469" s="514" t="s">
        <v>0</v>
      </c>
      <c r="D469" s="290" t="s">
        <v>345</v>
      </c>
    </row>
    <row r="470" spans="1:4">
      <c r="A470" s="288" t="str">
        <f t="shared" si="46"/>
        <v>ASUES.ES.ZRU10kV.SHTN10.TEL.mCntSumOffIKZ</v>
      </c>
      <c r="B470" s="514">
        <v>3</v>
      </c>
      <c r="C470" s="514" t="s">
        <v>1</v>
      </c>
      <c r="D470" s="290">
        <v>192</v>
      </c>
    </row>
    <row r="471" spans="1:4">
      <c r="A471" s="288" t="str">
        <f t="shared" si="46"/>
        <v>ASUES.ES.ZRU10kV.SHTN10.TEL.mCntSumOffIKZ</v>
      </c>
      <c r="B471" s="514">
        <v>2</v>
      </c>
      <c r="C471" s="514" t="s">
        <v>6</v>
      </c>
      <c r="D471" s="290">
        <v>0</v>
      </c>
    </row>
    <row r="472" spans="1:4">
      <c r="A472" s="291" t="str">
        <f t="shared" si="46"/>
        <v>ASUES.ES.ZRU10kV.SHTN10.TEL.mCntSumOffIKZ</v>
      </c>
      <c r="B472" s="292">
        <v>1</v>
      </c>
      <c r="C472" s="292" t="s">
        <v>1</v>
      </c>
      <c r="D472" s="293">
        <v>3</v>
      </c>
    </row>
    <row r="473" spans="1:4">
      <c r="A473" s="288" t="str">
        <f>$R$2&amp;".smCntSumOff"</f>
        <v>ASUES.ES.ZRU10kV.SHTN10.TEL.smCntSumOff</v>
      </c>
      <c r="B473" s="514">
        <v>3000000</v>
      </c>
      <c r="C473" s="514" t="s">
        <v>0</v>
      </c>
      <c r="D473" s="290" t="s">
        <v>350</v>
      </c>
    </row>
    <row r="474" spans="1:4">
      <c r="A474" s="288" t="str">
        <f>$R$2&amp;".smCntSumOff"</f>
        <v>ASUES.ES.ZRU10kV.SHTN10.TEL.smCntSumOff</v>
      </c>
      <c r="B474" s="514">
        <v>101</v>
      </c>
      <c r="C474" s="514" t="s">
        <v>0</v>
      </c>
      <c r="D474" s="290" t="s">
        <v>351</v>
      </c>
    </row>
    <row r="475" spans="1:4">
      <c r="A475" s="288" t="str">
        <f>$R$2&amp;".smCntSumOff"</f>
        <v>ASUES.ES.ZRU10kV.SHTN10.TEL.smCntSumOff</v>
      </c>
      <c r="B475" s="514">
        <v>3</v>
      </c>
      <c r="C475" s="514" t="s">
        <v>1</v>
      </c>
      <c r="D475" s="290">
        <v>192</v>
      </c>
    </row>
    <row r="476" spans="1:4">
      <c r="A476" s="288" t="str">
        <f>$R$2&amp;".smCntSumOff"</f>
        <v>ASUES.ES.ZRU10kV.SHTN10.TEL.smCntSumOff</v>
      </c>
      <c r="B476" s="514">
        <v>2</v>
      </c>
      <c r="C476" s="514" t="s">
        <v>6</v>
      </c>
      <c r="D476" s="290">
        <v>0</v>
      </c>
    </row>
    <row r="477" spans="1:4">
      <c r="A477" s="291" t="str">
        <f>$R$2&amp;".smCntSumOff"</f>
        <v>ASUES.ES.ZRU10kV.SHTN10.TEL.smCntSumOff</v>
      </c>
      <c r="B477" s="292">
        <v>1</v>
      </c>
      <c r="C477" s="292" t="s">
        <v>1</v>
      </c>
      <c r="D477" s="293">
        <v>3</v>
      </c>
    </row>
    <row r="478" spans="1:4">
      <c r="A478" s="288" t="str">
        <f>$R$2&amp;".smCntSumOffI"</f>
        <v>ASUES.ES.ZRU10kV.SHTN10.TEL.smCntSumOffI</v>
      </c>
      <c r="B478" s="514">
        <v>3000000</v>
      </c>
      <c r="C478" s="514" t="s">
        <v>0</v>
      </c>
      <c r="D478" s="290" t="s">
        <v>352</v>
      </c>
    </row>
    <row r="479" spans="1:4">
      <c r="A479" s="288" t="str">
        <f>$R$2&amp;".smCntSumOffI"</f>
        <v>ASUES.ES.ZRU10kV.SHTN10.TEL.smCntSumOffI</v>
      </c>
      <c r="B479" s="514">
        <v>101</v>
      </c>
      <c r="C479" s="514" t="s">
        <v>0</v>
      </c>
      <c r="D479" s="290" t="s">
        <v>353</v>
      </c>
    </row>
    <row r="480" spans="1:4">
      <c r="A480" s="288" t="str">
        <f>$R$2&amp;".smCntSumOffI"</f>
        <v>ASUES.ES.ZRU10kV.SHTN10.TEL.smCntSumOffI</v>
      </c>
      <c r="B480" s="514">
        <v>3</v>
      </c>
      <c r="C480" s="514" t="s">
        <v>1</v>
      </c>
      <c r="D480" s="290">
        <v>192</v>
      </c>
    </row>
    <row r="481" spans="1:4">
      <c r="A481" s="288" t="str">
        <f>$R$2&amp;".smCntSumOffI"</f>
        <v>ASUES.ES.ZRU10kV.SHTN10.TEL.smCntSumOffI</v>
      </c>
      <c r="B481" s="514">
        <v>2</v>
      </c>
      <c r="C481" s="514" t="s">
        <v>6</v>
      </c>
      <c r="D481" s="290">
        <v>0</v>
      </c>
    </row>
    <row r="482" spans="1:4">
      <c r="A482" s="291" t="str">
        <f>$R$2&amp;".smCntSumOffI"</f>
        <v>ASUES.ES.ZRU10kV.SHTN10.TEL.smCntSumOffI</v>
      </c>
      <c r="B482" s="292">
        <v>1</v>
      </c>
      <c r="C482" s="292" t="s">
        <v>1</v>
      </c>
      <c r="D482" s="293">
        <v>3</v>
      </c>
    </row>
    <row r="483" spans="1:4">
      <c r="A483" s="288" t="str">
        <f>$R$2&amp;".smCntSumOffIKZ"</f>
        <v>ASUES.ES.ZRU10kV.SHTN10.TEL.smCntSumOffIKZ</v>
      </c>
      <c r="B483" s="514">
        <v>3000000</v>
      </c>
      <c r="C483" s="514" t="s">
        <v>0</v>
      </c>
      <c r="D483" s="290" t="s">
        <v>1520</v>
      </c>
    </row>
    <row r="484" spans="1:4">
      <c r="A484" s="288" t="str">
        <f>$R$2&amp;".smCntSumOffIKZ"</f>
        <v>ASUES.ES.ZRU10kV.SHTN10.TEL.smCntSumOffIKZ</v>
      </c>
      <c r="B484" s="514">
        <v>101</v>
      </c>
      <c r="C484" s="514" t="s">
        <v>0</v>
      </c>
      <c r="D484" s="290" t="s">
        <v>354</v>
      </c>
    </row>
    <row r="485" spans="1:4">
      <c r="A485" s="288" t="str">
        <f>$R$2&amp;".smCntSumOffIKZ"</f>
        <v>ASUES.ES.ZRU10kV.SHTN10.TEL.smCntSumOffIKZ</v>
      </c>
      <c r="B485" s="514">
        <v>3</v>
      </c>
      <c r="C485" s="514" t="s">
        <v>1</v>
      </c>
      <c r="D485" s="290">
        <v>192</v>
      </c>
    </row>
    <row r="486" spans="1:4">
      <c r="A486" s="288" t="str">
        <f>$R$2&amp;".smCntSumOffIKZ"</f>
        <v>ASUES.ES.ZRU10kV.SHTN10.TEL.smCntSumOffIKZ</v>
      </c>
      <c r="B486" s="514">
        <v>2</v>
      </c>
      <c r="C486" s="514" t="s">
        <v>6</v>
      </c>
      <c r="D486" s="290">
        <v>0</v>
      </c>
    </row>
    <row r="487" spans="1:4">
      <c r="A487" s="291" t="str">
        <f>$R$2&amp;".smCntSumOffIKZ"</f>
        <v>ASUES.ES.ZRU10kV.SHTN10.TEL.smCntSumOffIKZ</v>
      </c>
      <c r="B487" s="292">
        <v>1</v>
      </c>
      <c r="C487" s="292" t="s">
        <v>1</v>
      </c>
      <c r="D487" s="293">
        <v>3</v>
      </c>
    </row>
    <row r="488" spans="1:4">
      <c r="A488" s="275" t="str">
        <f t="shared" ref="A488:A493" si="47">$R$2&amp;".mFreq"</f>
        <v>ASUES.ES.ZRU10kV.SHTN10.TEL.mFreq</v>
      </c>
      <c r="B488" s="276">
        <v>7999</v>
      </c>
      <c r="C488" s="276" t="s">
        <v>0</v>
      </c>
      <c r="D488" s="277" t="str">
        <f>"#"&amp;$S$2&amp;"#"&amp;$T$2&amp;""&amp;$P$2&amp;".Freq"</f>
        <v>#15#\\SERVER-ASCUER\Relematika.Modbus.OPCDAServerSHTN10.Freq</v>
      </c>
    </row>
    <row r="489" spans="1:4">
      <c r="A489" s="278" t="str">
        <f t="shared" si="47"/>
        <v>ASUES.ES.ZRU10kV.SHTN10.TEL.mFreq</v>
      </c>
      <c r="B489" s="688">
        <v>7998</v>
      </c>
      <c r="C489" s="688" t="s">
        <v>6</v>
      </c>
      <c r="D489" s="280">
        <v>1</v>
      </c>
    </row>
    <row r="490" spans="1:4">
      <c r="A490" s="278" t="str">
        <f t="shared" si="47"/>
        <v>ASUES.ES.ZRU10kV.SHTN10.TEL.mFreq</v>
      </c>
      <c r="B490" s="688">
        <v>101</v>
      </c>
      <c r="C490" s="688" t="s">
        <v>0</v>
      </c>
      <c r="D490" s="280" t="s">
        <v>356</v>
      </c>
    </row>
    <row r="491" spans="1:4">
      <c r="A491" s="278" t="str">
        <f t="shared" si="47"/>
        <v>ASUES.ES.ZRU10kV.SHTN10.TEL.mFreq</v>
      </c>
      <c r="B491" s="688">
        <v>3</v>
      </c>
      <c r="C491" s="688" t="s">
        <v>1</v>
      </c>
      <c r="D491" s="280">
        <v>192</v>
      </c>
    </row>
    <row r="492" spans="1:4">
      <c r="A492" s="278" t="str">
        <f t="shared" si="47"/>
        <v>ASUES.ES.ZRU10kV.SHTN10.TEL.mFreq</v>
      </c>
      <c r="B492" s="688">
        <v>2</v>
      </c>
      <c r="C492" s="688" t="s">
        <v>80</v>
      </c>
      <c r="D492" s="280">
        <v>0</v>
      </c>
    </row>
    <row r="493" spans="1:4">
      <c r="A493" s="281" t="str">
        <f t="shared" si="47"/>
        <v>ASUES.ES.ZRU10kV.SHTN10.TEL.mFreq</v>
      </c>
      <c r="B493" s="282">
        <v>1</v>
      </c>
      <c r="C493" s="282" t="s">
        <v>1</v>
      </c>
      <c r="D493" s="283">
        <v>4</v>
      </c>
    </row>
    <row r="494" spans="1:4">
      <c r="A494" s="275" t="str">
        <f t="shared" ref="A494:A499" si="48">$R$2&amp;".mU13"</f>
        <v>ASUES.ES.ZRU10kV.SHTN10.TEL.mU13</v>
      </c>
      <c r="B494" s="276">
        <v>7999</v>
      </c>
      <c r="C494" s="276" t="s">
        <v>0</v>
      </c>
      <c r="D494" s="277" t="str">
        <f>"#"&amp;$S$2&amp;"#"&amp;$T$2&amp;""&amp;$P$2&amp;".U13"</f>
        <v>#15#\\SERVER-ASCUER\Relematika.Modbus.OPCDAServerSHTN10.U13</v>
      </c>
    </row>
    <row r="495" spans="1:4">
      <c r="A495" s="278" t="str">
        <f t="shared" si="48"/>
        <v>ASUES.ES.ZRU10kV.SHTN10.TEL.mU13</v>
      </c>
      <c r="B495" s="688">
        <v>7998</v>
      </c>
      <c r="C495" s="688" t="s">
        <v>6</v>
      </c>
      <c r="D495" s="280">
        <v>1</v>
      </c>
    </row>
    <row r="496" spans="1:4">
      <c r="A496" s="278" t="str">
        <f t="shared" si="48"/>
        <v>ASUES.ES.ZRU10kV.SHTN10.TEL.mU13</v>
      </c>
      <c r="B496" s="688">
        <v>101</v>
      </c>
      <c r="C496" s="688" t="s">
        <v>0</v>
      </c>
      <c r="D496" s="280" t="s">
        <v>378</v>
      </c>
    </row>
    <row r="497" spans="1:4">
      <c r="A497" s="278" t="str">
        <f t="shared" si="48"/>
        <v>ASUES.ES.ZRU10kV.SHTN10.TEL.mU13</v>
      </c>
      <c r="B497" s="688">
        <v>3</v>
      </c>
      <c r="C497" s="688" t="s">
        <v>1</v>
      </c>
      <c r="D497" s="280">
        <v>192</v>
      </c>
    </row>
    <row r="498" spans="1:4">
      <c r="A498" s="278" t="str">
        <f t="shared" si="48"/>
        <v>ASUES.ES.ZRU10kV.SHTN10.TEL.mU13</v>
      </c>
      <c r="B498" s="688">
        <v>2</v>
      </c>
      <c r="C498" s="688" t="s">
        <v>80</v>
      </c>
      <c r="D498" s="280">
        <v>0</v>
      </c>
    </row>
    <row r="499" spans="1:4">
      <c r="A499" s="281" t="str">
        <f t="shared" si="48"/>
        <v>ASUES.ES.ZRU10kV.SHTN10.TEL.mU13</v>
      </c>
      <c r="B499" s="282">
        <v>1</v>
      </c>
      <c r="C499" s="282" t="s">
        <v>1</v>
      </c>
      <c r="D499" s="283">
        <v>4</v>
      </c>
    </row>
    <row r="500" spans="1:4">
      <c r="A500" s="275" t="str">
        <f t="shared" ref="A500:A505" si="49">$R$2&amp;".mU21"</f>
        <v>ASUES.ES.ZRU10kV.SHTN10.TEL.mU21</v>
      </c>
      <c r="B500" s="276">
        <v>7999</v>
      </c>
      <c r="C500" s="276" t="s">
        <v>0</v>
      </c>
      <c r="D500" s="277" t="str">
        <f>"#"&amp;$S$2&amp;"#"&amp;$T$2&amp;""&amp;$P$2&amp;".U21"</f>
        <v>#15#\\SERVER-ASCUER\Relematika.Modbus.OPCDAServerSHTN10.U21</v>
      </c>
    </row>
    <row r="501" spans="1:4">
      <c r="A501" s="278" t="str">
        <f t="shared" si="49"/>
        <v>ASUES.ES.ZRU10kV.SHTN10.TEL.mU21</v>
      </c>
      <c r="B501" s="688">
        <v>7998</v>
      </c>
      <c r="C501" s="688" t="s">
        <v>6</v>
      </c>
      <c r="D501" s="280">
        <v>1</v>
      </c>
    </row>
    <row r="502" spans="1:4">
      <c r="A502" s="278" t="str">
        <f t="shared" si="49"/>
        <v>ASUES.ES.ZRU10kV.SHTN10.TEL.mU21</v>
      </c>
      <c r="B502" s="688">
        <v>101</v>
      </c>
      <c r="C502" s="688" t="s">
        <v>0</v>
      </c>
      <c r="D502" s="280" t="s">
        <v>379</v>
      </c>
    </row>
    <row r="503" spans="1:4">
      <c r="A503" s="278" t="str">
        <f t="shared" si="49"/>
        <v>ASUES.ES.ZRU10kV.SHTN10.TEL.mU21</v>
      </c>
      <c r="B503" s="688">
        <v>3</v>
      </c>
      <c r="C503" s="688" t="s">
        <v>1</v>
      </c>
      <c r="D503" s="280">
        <v>192</v>
      </c>
    </row>
    <row r="504" spans="1:4">
      <c r="A504" s="278" t="str">
        <f t="shared" si="49"/>
        <v>ASUES.ES.ZRU10kV.SHTN10.TEL.mU21</v>
      </c>
      <c r="B504" s="688">
        <v>2</v>
      </c>
      <c r="C504" s="688" t="s">
        <v>80</v>
      </c>
      <c r="D504" s="280">
        <v>0</v>
      </c>
    </row>
    <row r="505" spans="1:4">
      <c r="A505" s="281" t="str">
        <f t="shared" si="49"/>
        <v>ASUES.ES.ZRU10kV.SHTN10.TEL.mU21</v>
      </c>
      <c r="B505" s="282">
        <v>1</v>
      </c>
      <c r="C505" s="282" t="s">
        <v>1</v>
      </c>
      <c r="D505" s="283">
        <v>4</v>
      </c>
    </row>
    <row r="506" spans="1:4">
      <c r="A506" s="275" t="str">
        <f t="shared" ref="A506:A511" si="50">$R$2&amp;".mU32"</f>
        <v>ASUES.ES.ZRU10kV.SHTN10.TEL.mU32</v>
      </c>
      <c r="B506" s="276">
        <v>7999</v>
      </c>
      <c r="C506" s="276" t="s">
        <v>0</v>
      </c>
      <c r="D506" s="277" t="str">
        <f>"#"&amp;$S$2&amp;"#"&amp;$T$2&amp;""&amp;$P$2&amp;".U32"</f>
        <v>#15#\\SERVER-ASCUER\Relematika.Modbus.OPCDAServerSHTN10.U32</v>
      </c>
    </row>
    <row r="507" spans="1:4">
      <c r="A507" s="278" t="str">
        <f t="shared" si="50"/>
        <v>ASUES.ES.ZRU10kV.SHTN10.TEL.mU32</v>
      </c>
      <c r="B507" s="688">
        <v>7998</v>
      </c>
      <c r="C507" s="688" t="s">
        <v>6</v>
      </c>
      <c r="D507" s="280">
        <v>1</v>
      </c>
    </row>
    <row r="508" spans="1:4">
      <c r="A508" s="278" t="str">
        <f t="shared" si="50"/>
        <v>ASUES.ES.ZRU10kV.SHTN10.TEL.mU32</v>
      </c>
      <c r="B508" s="688">
        <v>101</v>
      </c>
      <c r="C508" s="688" t="s">
        <v>0</v>
      </c>
      <c r="D508" s="280" t="s">
        <v>380</v>
      </c>
    </row>
    <row r="509" spans="1:4">
      <c r="A509" s="278" t="str">
        <f t="shared" si="50"/>
        <v>ASUES.ES.ZRU10kV.SHTN10.TEL.mU32</v>
      </c>
      <c r="B509" s="688">
        <v>3</v>
      </c>
      <c r="C509" s="688" t="s">
        <v>1</v>
      </c>
      <c r="D509" s="280">
        <v>192</v>
      </c>
    </row>
    <row r="510" spans="1:4">
      <c r="A510" s="278" t="str">
        <f t="shared" si="50"/>
        <v>ASUES.ES.ZRU10kV.SHTN10.TEL.mU32</v>
      </c>
      <c r="B510" s="688">
        <v>2</v>
      </c>
      <c r="C510" s="688" t="s">
        <v>80</v>
      </c>
      <c r="D510" s="280">
        <v>0</v>
      </c>
    </row>
    <row r="511" spans="1:4">
      <c r="A511" s="281" t="str">
        <f t="shared" si="50"/>
        <v>ASUES.ES.ZRU10kV.SHTN10.TEL.mU32</v>
      </c>
      <c r="B511" s="282">
        <v>1</v>
      </c>
      <c r="C511" s="282" t="s">
        <v>1</v>
      </c>
      <c r="D511" s="283">
        <v>4</v>
      </c>
    </row>
  </sheetData>
  <mergeCells count="1">
    <mergeCell ref="D19:E19"/>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Лист221">
    <tabColor rgb="FFFFC000"/>
  </sheetPr>
  <dimension ref="A1:BP577"/>
  <sheetViews>
    <sheetView topLeftCell="A329" zoomScaleNormal="100" workbookViewId="0">
      <selection activeCell="D2" sqref="D2:D4"/>
    </sheetView>
  </sheetViews>
  <sheetFormatPr defaultRowHeight="14.4"/>
  <cols>
    <col min="1" max="1" width="66.4414062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64.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57" t="s">
        <v>84</v>
      </c>
      <c r="C1" s="257"/>
      <c r="D1" s="257"/>
      <c r="E1" s="257"/>
      <c r="F1" s="257"/>
      <c r="P1" s="753" t="str">
        <f>Таблица!D1</f>
        <v>Префикс для TREI
Тэг ОРС для INFINITY</v>
      </c>
      <c r="Q1" s="753" t="str">
        <f>Таблица!E1</f>
        <v>Комментарий для TREI и INFINITY</v>
      </c>
      <c r="R1" s="754" t="str">
        <f>Таблица!F1</f>
        <v>ТЭГ в дереве INFINITY Server</v>
      </c>
      <c r="S1" s="753"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755" t="str">
        <f>Таблица!H1</f>
        <v>OPC путь 
№ маршрута Modbus TCP, Modbus RTU, Modbus over TCP (1-255)
№ КП IEC104 (1-65534)</v>
      </c>
      <c r="U1" s="756" t="str">
        <f>Таблица!I1</f>
        <v>OPC путь</v>
      </c>
      <c r="V1" s="756" t="str">
        <f>Таблица!J1</f>
        <v>Мнемосхема</v>
      </c>
      <c r="W1" s="757"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757"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757" t="str">
        <f>Таблица!M1</f>
        <v>FB_IMt_MON_S, IMt_MON: Только для трансформатора. Цвет нижних обмоток(-ки) при наличии напряжения</v>
      </c>
      <c r="Z1" s="757"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757"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757" t="str">
        <f>Таблица!P1</f>
        <v xml:space="preserve">FB_DI_S, FB_DO_S, DI, DI_DIAG, FB_DO_STB_S: Тип сигнализации (Авария, предупреждение, телесигнализация и тд.)
FB_SHPS_S(SB), FB_BTF_S: Тип сигнализации XFRX
</v>
      </c>
      <c r="AC1" s="757"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757" t="str">
        <f>Таблица!R1</f>
        <v>SEPAM: Тип ячейки (OL,SV,VV,TN)
BMRZ: Тип ячейки (VV,AV)
TOR: Тип ячейки (OL,SV,VV,TN,BK)</v>
      </c>
      <c r="AE1" s="757" t="str">
        <f>Таблица!S1</f>
        <v>Формула для fNoLink.Device</v>
      </c>
      <c r="AF1" s="757">
        <f>Таблица!T1</f>
        <v>0</v>
      </c>
      <c r="AG1" s="757">
        <f>Таблица!U1</f>
        <v>0</v>
      </c>
      <c r="AH1" s="757">
        <f>Таблица!V1</f>
        <v>0</v>
      </c>
      <c r="AI1" s="757">
        <f>Таблица!W1</f>
        <v>0</v>
      </c>
      <c r="AJ1" s="757">
        <f>Таблица!X1</f>
        <v>0</v>
      </c>
      <c r="AK1" s="758" t="str">
        <f>Таблица!Y1</f>
        <v>FB_AI_S, FB_DI_S, FB_QSA_S, FB_DO_S, FB_SHPS_S, FB_SHOP_S, FB_BTF_S: IVXX
FB_KL_UPT_S: ISON
SW_S301, SW_MES3508: Подключение к порту 1
SW_MAYAK: Подключение к порту 1,2 (через "\")
DI_DIAG, DO_DIAG: XVLX</v>
      </c>
      <c r="AL1" s="758"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758"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758" t="str">
        <f>Таблица!AB1</f>
        <v>FB_IMstp_S, FB_IMsp_S, FB_IMs_S, FB_REG_S, FB_IM_ADES_S : ILCX
SW_S301: Подключение к порту 4
SW_MAYAK, SW_MES3508: Подключение к порту 7,8 (через "\")</v>
      </c>
      <c r="AO1" s="758" t="str">
        <f>Таблица!AC1</f>
        <v xml:space="preserve">FB_IMstp_S, FB_IMsp_S, FB_IMs_S, FB_IMp_S, FB_IMv_S, FB_REG_S, FB_IM_ADES_S, FB_DO_S : IRCX
SW_S301, SW_MES3508: Подключение к порту 5
SW_MAYAK: Подключение к порту 9,10 (через "\")
</v>
      </c>
      <c r="AP1" s="758"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758"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758" t="str">
        <f>Таблица!AF1</f>
        <v xml:space="preserve">FB_IMstp_S, FB_IMsp_S, FB_IMs_S, FB_IMp_S, FB_IMv_S, FB_IM_ADES_S, FB_OZK_KD_S, FB_DO_S: OXOF
SW_S301, SW_MES3508: Подключение к порту 8
SW_MAYAK: Подключение к порту 15,16 (через "\")
</v>
      </c>
      <c r="AS1" s="758" t="str">
        <f>Таблица!AG1</f>
        <v xml:space="preserve">FB_IM_ADES_S, FB_IMp_S, FB_IMv_S: OXSP
FB_IMstp_S, FB_IMsp_S, FB_IMsp_MON_S: IPTC
SW_S301, SW_MES3508: Подключение к порту 9
SW_MAYAK: Подключение к порту 17,18 (через "\")
</v>
      </c>
      <c r="AT1" s="758" t="str">
        <f>Таблица!AH1</f>
        <v xml:space="preserve">FB_IMstp_S, FB_IMst_MON_S, FB_IMt_MON_S: ITON
FB_IM_ADES_S: IOLD
SW_S301, SW_MES3508: Подключение к порту 10
SW_MAYAK: Подключение к порту 19,20 (через "\")
</v>
      </c>
      <c r="AU1" s="758" t="str">
        <f>Таблица!AI1</f>
        <v>FB_IMstp_S, FB_IMst_MON_S, FB_IMt_MON_S: ITOF
FB_IM_ADES_S: IRAD
SW_MAYAK: Подключение к порту 21,22 (через "\")</v>
      </c>
      <c r="AV1" s="758" t="str">
        <f>Таблица!AJ1</f>
        <v xml:space="preserve">FB_IMstp_S, FB_IMsp_S, FB_IMsp_MON_S, FB_IM_ADES_S: IPTO
SW_MAYAK: Подключение к порту 23,24 (через "\")
</v>
      </c>
      <c r="AW1" s="759"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759" t="str">
        <f>Таблица!AL1</f>
        <v>Для TREI
FB_IMstp_S, FB_IMs_S, FB_IMp_S, FB_IMv_S, FB_IM_ADES_S: Настройка перехода ручной-/автоматический-(TRUE/FALSE) 
FB_DI_S: Генерировать метки времени (TRUE/FALSE)</v>
      </c>
      <c r="AY1" s="759"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759" t="str">
        <f>Таблица!AN1</f>
        <v>Для TREI
FB_AI_S, FB_QSA_S: Верхний предел датчика
FB_IMp_S, FB_IMv_S, FB_IM_ADES_S, FB_OZK_KD_S: Время перестановки</v>
      </c>
      <c r="BA1" s="759"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t="s">
        <v>2760</v>
      </c>
      <c r="Q2" s="2" t="s">
        <v>2850</v>
      </c>
      <c r="R2" s="2" t="s">
        <v>2849</v>
      </c>
      <c r="S2" s="3">
        <v>3</v>
      </c>
      <c r="T2" s="3" t="s">
        <v>1699</v>
      </c>
      <c r="U2" s="3"/>
      <c r="V2" s="3" t="s">
        <v>569</v>
      </c>
      <c r="W2" s="12" t="s">
        <v>326</v>
      </c>
      <c r="X2" s="12" t="s">
        <v>327</v>
      </c>
      <c r="Y2" s="12"/>
      <c r="Z2" s="12"/>
      <c r="AA2" s="12"/>
      <c r="AB2" s="2"/>
      <c r="AC2" s="2" t="s">
        <v>307</v>
      </c>
      <c r="AD2" s="2" t="s">
        <v>1473</v>
      </c>
      <c r="AE2" s="2" t="s">
        <v>1414</v>
      </c>
      <c r="AF2" s="2"/>
      <c r="AG2" s="2"/>
      <c r="AH2" s="2"/>
      <c r="AI2" s="2"/>
      <c r="AJ2" s="2"/>
      <c r="AK2" s="2"/>
      <c r="AL2" s="2"/>
      <c r="AM2" s="2"/>
      <c r="AN2" s="2"/>
      <c r="AO2" s="2"/>
      <c r="AP2" s="2"/>
      <c r="AQ2" s="2"/>
      <c r="AR2" s="2"/>
      <c r="AS2" s="2"/>
      <c r="AT2" s="2"/>
      <c r="AU2" s="2"/>
      <c r="AV2" s="2"/>
      <c r="AW2" s="2"/>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3"/>
      <c r="V4" s="10"/>
      <c r="W4" s="10"/>
      <c r="X4" s="10"/>
      <c r="Y4" s="10"/>
      <c r="Z4" s="10"/>
      <c r="AA4" s="10"/>
      <c r="BM4" s="4"/>
      <c r="BN4" s="4"/>
      <c r="BO4" s="4"/>
      <c r="BP4" s="4"/>
    </row>
    <row r="5" spans="1:68" ht="15" customHeight="1">
      <c r="A5" s="9"/>
      <c r="B5" s="9"/>
      <c r="C5" s="9"/>
      <c r="D5" s="9"/>
      <c r="E5" s="9"/>
      <c r="F5" s="9"/>
      <c r="P5" s="6" t="str">
        <f>Настройки!A2</f>
        <v>Авария</v>
      </c>
      <c r="Q5" s="5">
        <f>Настройки!B2</f>
        <v>4</v>
      </c>
      <c r="R5" s="543" t="str">
        <f>Настройки!C2</f>
        <v>Авария</v>
      </c>
      <c r="S5" s="10"/>
      <c r="T5" s="458">
        <f>Настройки!M12</f>
        <v>1</v>
      </c>
      <c r="U5" s="14"/>
      <c r="V5" s="10"/>
      <c r="W5" s="10"/>
      <c r="X5" s="10"/>
      <c r="Y5" s="10"/>
      <c r="Z5" s="10"/>
      <c r="AA5" s="10"/>
      <c r="BM5" s="4"/>
      <c r="BN5" s="4"/>
      <c r="BO5" s="4"/>
      <c r="BP5" s="4"/>
    </row>
    <row r="6" spans="1:68" ht="15" customHeight="1">
      <c r="A6" s="9"/>
      <c r="B6" s="9"/>
      <c r="C6" s="9"/>
      <c r="D6" s="9"/>
      <c r="E6" s="9"/>
      <c r="F6" s="9"/>
      <c r="P6" s="6" t="str">
        <f>Настройки!A3</f>
        <v>Предупреждение</v>
      </c>
      <c r="Q6" s="5">
        <f>Настройки!B3</f>
        <v>8</v>
      </c>
      <c r="R6" s="543" t="str">
        <f>Настройки!C3</f>
        <v>Предупреждение</v>
      </c>
      <c r="S6" s="10"/>
      <c r="T6" s="562" t="str">
        <f>Настройки!M7</f>
        <v>Отображение Таблицы подлючений в диаг.</v>
      </c>
      <c r="U6" s="10"/>
      <c r="V6" s="10"/>
      <c r="W6" s="10"/>
      <c r="X6" s="10"/>
      <c r="Y6" s="10"/>
      <c r="Z6" s="10"/>
      <c r="AA6" s="10"/>
      <c r="BM6" s="4"/>
      <c r="BN6" s="4"/>
      <c r="BO6" s="4"/>
      <c r="BP6" s="4"/>
    </row>
    <row r="7" spans="1:68" ht="15" customHeight="1">
      <c r="A7" s="9"/>
      <c r="B7" s="9"/>
      <c r="C7" s="9"/>
      <c r="D7" s="9"/>
      <c r="E7" s="9"/>
      <c r="F7" s="9"/>
      <c r="P7" s="6" t="str">
        <f>Настройки!A4</f>
        <v>Неисправность</v>
      </c>
      <c r="Q7" s="5">
        <f>Настройки!B4</f>
        <v>12</v>
      </c>
      <c r="R7" s="543" t="str">
        <f>Настройки!C4</f>
        <v>Неисправность</v>
      </c>
      <c r="S7" s="10"/>
      <c r="T7" s="4" t="b">
        <f>Настройки!M8</f>
        <v>0</v>
      </c>
      <c r="U7" s="10"/>
      <c r="V7" s="10"/>
      <c r="W7" s="10"/>
      <c r="X7" s="10"/>
      <c r="Y7" s="10"/>
      <c r="Z7" s="10"/>
      <c r="AA7" s="10"/>
      <c r="BM7" s="4"/>
      <c r="BN7" s="4"/>
      <c r="BO7" s="4"/>
      <c r="BP7" s="4"/>
    </row>
    <row r="8" spans="1:68" ht="15" customHeight="1">
      <c r="A8" s="9"/>
      <c r="B8" s="9"/>
      <c r="C8" s="9"/>
      <c r="D8" s="9"/>
      <c r="E8" s="9"/>
      <c r="F8" s="9"/>
      <c r="P8" s="6" t="str">
        <f>Настройки!A5</f>
        <v>Телесигнализация</v>
      </c>
      <c r="Q8" s="5">
        <f>Настройки!B5</f>
        <v>18</v>
      </c>
      <c r="R8" s="543" t="str">
        <f>Настройки!C5</f>
        <v>Телесигнализация</v>
      </c>
      <c r="S8" s="10"/>
      <c r="T8" s="10"/>
      <c r="U8" s="10"/>
      <c r="V8" s="10"/>
      <c r="W8" s="10"/>
      <c r="X8" s="10"/>
      <c r="Y8" s="10"/>
      <c r="Z8" s="10"/>
      <c r="AA8" s="10"/>
      <c r="BM8" s="4"/>
      <c r="BN8" s="4"/>
      <c r="BO8" s="4"/>
      <c r="BP8" s="4"/>
    </row>
    <row r="9" spans="1:68" ht="15" customHeight="1">
      <c r="A9" s="9"/>
      <c r="B9" s="9"/>
      <c r="C9" s="9"/>
      <c r="D9" s="9"/>
      <c r="E9" s="9"/>
      <c r="F9" s="9"/>
      <c r="P9" s="6" t="str">
        <f>Настройки!A6</f>
        <v>Недостоверность</v>
      </c>
      <c r="Q9" s="5">
        <f>Настройки!B6</f>
        <v>10</v>
      </c>
      <c r="R9" s="543" t="str">
        <f>Настройки!C6</f>
        <v>Недостоверность</v>
      </c>
      <c r="S9" s="10"/>
      <c r="T9" s="10"/>
      <c r="U9" s="10"/>
      <c r="V9" s="10"/>
      <c r="W9" s="10"/>
      <c r="X9" s="10"/>
      <c r="Y9" s="10"/>
      <c r="Z9" s="10"/>
      <c r="AA9" s="10"/>
      <c r="BM9" s="4"/>
      <c r="BN9" s="4"/>
      <c r="BO9" s="4"/>
      <c r="BP9" s="4"/>
    </row>
    <row r="10" spans="1:68" ht="15" customHeight="1">
      <c r="A10" s="9"/>
      <c r="B10" s="9"/>
      <c r="C10" s="9"/>
      <c r="D10" s="9"/>
      <c r="E10" s="9"/>
      <c r="F10" s="9"/>
      <c r="P10" s="6" t="str">
        <f>Настройки!A7</f>
        <v>Имитация</v>
      </c>
      <c r="Q10" s="5">
        <f>Настройки!B7</f>
        <v>16</v>
      </c>
      <c r="R10" s="543" t="str">
        <f>Настройки!C7</f>
        <v>Имитация</v>
      </c>
      <c r="S10" s="10"/>
      <c r="T10" s="10"/>
      <c r="U10" s="10"/>
      <c r="V10" s="10"/>
      <c r="W10" s="10"/>
      <c r="X10" s="10"/>
      <c r="Y10" s="10"/>
      <c r="Z10" s="10"/>
      <c r="AA10" s="10"/>
      <c r="BM10" s="4"/>
      <c r="BN10" s="4"/>
      <c r="BO10" s="4"/>
      <c r="BP10" s="4"/>
    </row>
    <row r="11" spans="1:68" ht="15" customHeight="1">
      <c r="A11" s="9"/>
      <c r="B11" s="9"/>
      <c r="C11" s="9"/>
      <c r="D11" s="9"/>
      <c r="E11" s="9"/>
      <c r="F11" s="9"/>
      <c r="P11" s="6" t="str">
        <f>Настройки!A8</f>
        <v>Ремонт</v>
      </c>
      <c r="Q11" s="5">
        <f>Настройки!B8</f>
        <v>14</v>
      </c>
      <c r="R11" s="543" t="str">
        <f>Настройки!C8</f>
        <v>Ремонт</v>
      </c>
      <c r="S11" s="10"/>
      <c r="T11" s="10"/>
      <c r="U11" s="10"/>
      <c r="V11" s="10"/>
      <c r="W11" s="10"/>
      <c r="X11" s="10"/>
      <c r="Y11" s="10"/>
      <c r="Z11" s="10"/>
      <c r="AA11" s="10"/>
      <c r="BM11" s="4"/>
      <c r="BN11" s="4"/>
      <c r="BO11" s="4"/>
      <c r="BP11" s="4"/>
    </row>
    <row r="12" spans="1:68" ht="15" customHeight="1">
      <c r="A12" s="9"/>
      <c r="B12" s="9"/>
      <c r="C12" s="9"/>
      <c r="D12" s="9"/>
      <c r="E12" s="9"/>
      <c r="F12" s="9"/>
      <c r="P12" s="6" t="str">
        <f>Настройки!A9</f>
        <v>Команда оператора</v>
      </c>
      <c r="Q12" s="5">
        <f>Настройки!B9</f>
        <v>20</v>
      </c>
      <c r="R12" s="543" t="str">
        <f>Настройки!C9</f>
        <v>Команда оператора</v>
      </c>
      <c r="S12" s="10"/>
      <c r="T12" s="10"/>
      <c r="U12" s="10"/>
      <c r="V12" s="10"/>
      <c r="W12" s="10"/>
      <c r="X12" s="10"/>
      <c r="Y12" s="10"/>
      <c r="Z12" s="10"/>
      <c r="AA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M17" s="4"/>
      <c r="BN17" s="4"/>
      <c r="BO17" s="4"/>
      <c r="BP17" s="4"/>
    </row>
    <row r="18" spans="1:68" ht="15" customHeight="1" thickBo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M18" s="4"/>
      <c r="BN18" s="4"/>
      <c r="BO18" s="4"/>
      <c r="BP18" s="4"/>
    </row>
    <row r="19" spans="1:68" ht="15" customHeight="1" thickBot="1">
      <c r="A19" s="9"/>
      <c r="B19" s="9"/>
      <c r="C19" s="9"/>
      <c r="D19" s="783" t="s">
        <v>2768</v>
      </c>
      <c r="E19" s="782"/>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M19" s="4"/>
      <c r="BN19" s="4"/>
      <c r="BO19" s="4"/>
      <c r="BP19" s="4"/>
    </row>
    <row r="20" spans="1:68">
      <c r="A20" s="23" t="str">
        <f t="shared" ref="A20:A22" si="0">$R$2</f>
        <v>АСУЭ.TOR_VV</v>
      </c>
      <c r="B20" s="24">
        <v>1</v>
      </c>
      <c r="C20" s="24" t="s">
        <v>1</v>
      </c>
      <c r="D20" s="25">
        <v>17</v>
      </c>
    </row>
    <row r="21" spans="1:68">
      <c r="A21" s="29" t="str">
        <f t="shared" si="0"/>
        <v>АСУЭ.TOR_VV</v>
      </c>
      <c r="B21" s="1">
        <v>11001</v>
      </c>
      <c r="C21" s="1" t="s">
        <v>0</v>
      </c>
      <c r="D21" s="30" t="str">
        <f>$Q$2&amp;". "</f>
        <v xml:space="preserve">ТОР 200-16 ВВР. </v>
      </c>
    </row>
    <row r="22" spans="1:68">
      <c r="A22" s="29" t="str">
        <f t="shared" si="0"/>
        <v>АСУЭ.TOR_VV</v>
      </c>
      <c r="B22" s="1">
        <v>11156</v>
      </c>
      <c r="C22" s="1" t="s">
        <v>0</v>
      </c>
      <c r="D22" s="30" t="str">
        <f>$V$2</f>
        <v>Тестовый экран</v>
      </c>
    </row>
    <row r="23" spans="1:68" ht="15" customHeight="1">
      <c r="A23" s="16" t="str">
        <f>$R$2</f>
        <v>АСУЭ.TOR_VV</v>
      </c>
      <c r="B23" s="17">
        <v>100</v>
      </c>
      <c r="C23" s="17" t="s">
        <v>0</v>
      </c>
      <c r="D23" s="18" t="b">
        <f>$T$7</f>
        <v>0</v>
      </c>
      <c r="BF23" s="4"/>
      <c r="BG23" s="4"/>
      <c r="BH23" s="4"/>
      <c r="BI23" s="4"/>
    </row>
    <row r="24" spans="1:68">
      <c r="A24" s="29" t="str">
        <f>$R$2</f>
        <v>АСУЭ.TOR_VV</v>
      </c>
      <c r="B24" s="1">
        <v>7011</v>
      </c>
      <c r="C24" s="1" t="s">
        <v>2</v>
      </c>
      <c r="D24" s="30" t="s">
        <v>266</v>
      </c>
    </row>
    <row r="25" spans="1:68">
      <c r="A25" s="19" t="str">
        <f t="shared" ref="A25" si="1">$R$2</f>
        <v>АСУЭ.TOR_VV</v>
      </c>
      <c r="B25" s="11">
        <v>9218</v>
      </c>
      <c r="C25" s="11" t="s">
        <v>2</v>
      </c>
      <c r="D25" s="20" t="s">
        <v>175</v>
      </c>
    </row>
    <row r="26" spans="1:68" ht="15" customHeight="1">
      <c r="A26" s="19" t="str">
        <f>$R$2</f>
        <v>АСУЭ.TOR_VV</v>
      </c>
      <c r="B26" s="11">
        <v>11127</v>
      </c>
      <c r="C26" s="11" t="s">
        <v>0</v>
      </c>
      <c r="D26" s="20">
        <f>$AK$2</f>
        <v>0</v>
      </c>
      <c r="BM26" s="4"/>
      <c r="BN26" s="4"/>
      <c r="BO26" s="4"/>
      <c r="BP26" s="4"/>
    </row>
    <row r="27" spans="1:68">
      <c r="A27" s="19" t="str">
        <f t="shared" ref="A27" si="2">$R$2</f>
        <v>АСУЭ.TOR_VV</v>
      </c>
      <c r="B27" s="11">
        <v>11126</v>
      </c>
      <c r="C27" s="11" t="s">
        <v>0</v>
      </c>
      <c r="D27" s="20" t="str">
        <f>$AC$2</f>
        <v>Синий</v>
      </c>
    </row>
    <row r="28" spans="1:68">
      <c r="A28" s="23" t="str">
        <f>$R$2</f>
        <v>АСУЭ.TOR_VV</v>
      </c>
      <c r="B28" s="24">
        <v>9219</v>
      </c>
      <c r="C28" s="24" t="s">
        <v>2</v>
      </c>
      <c r="D28" s="25" t="s">
        <v>3</v>
      </c>
      <c r="Q28" s="778" t="s">
        <v>224</v>
      </c>
    </row>
    <row r="29" spans="1:68">
      <c r="A29" s="29" t="str">
        <f>$R$2</f>
        <v>АСУЭ.TOR_VV</v>
      </c>
      <c r="B29" s="27">
        <v>3009219</v>
      </c>
      <c r="C29" s="27" t="s">
        <v>0</v>
      </c>
      <c r="D29" s="28" t="str">
        <f>$X$2</f>
        <v>!АСУЭ.ЗРУиКТП.DI_1.XVLX.value &amp;&amp; АСУЭ.ЗРУиКТП.IMstp_1.XONX.value &amp;&amp; АСУЭ.ЗРУиКТП.IMstp_1.XTON.value</v>
      </c>
      <c r="Q29" s="779"/>
    </row>
    <row r="30" spans="1:68">
      <c r="A30" s="23" t="str">
        <f>$R$2</f>
        <v>АСУЭ.TOR_VV</v>
      </c>
      <c r="B30" s="1">
        <v>9220</v>
      </c>
      <c r="C30" s="1" t="s">
        <v>2</v>
      </c>
      <c r="D30" s="30" t="s">
        <v>3</v>
      </c>
      <c r="Q30" s="778" t="s">
        <v>223</v>
      </c>
    </row>
    <row r="31" spans="1:68">
      <c r="A31" s="26" t="str">
        <f>$R$2</f>
        <v>АСУЭ.TOR_VV</v>
      </c>
      <c r="B31" s="27">
        <v>3009220</v>
      </c>
      <c r="C31" s="27" t="s">
        <v>0</v>
      </c>
      <c r="D31" s="28" t="str">
        <f>$W$2</f>
        <v>!АСУЭ.ЗРУиКТП.DI_1.XVLX.value &amp;&amp; АСУЭ.ЗРУиКТП.IMstp_1.XTON.value</v>
      </c>
      <c r="Q31" s="779"/>
    </row>
    <row r="32" spans="1:68">
      <c r="A32" s="16" t="str">
        <f t="shared" ref="A32:A35" si="3">$R$2</f>
        <v>АСУЭ.TOR_VV</v>
      </c>
      <c r="B32" s="17">
        <v>203</v>
      </c>
      <c r="C32" s="17" t="s">
        <v>2</v>
      </c>
      <c r="D32" s="18" t="s">
        <v>3</v>
      </c>
    </row>
    <row r="33" spans="1:61" ht="15" customHeight="1">
      <c r="A33" s="19" t="str">
        <f t="shared" si="3"/>
        <v>АСУЭ.TOR_VV</v>
      </c>
      <c r="B33" s="11">
        <v>3000203</v>
      </c>
      <c r="C33" s="11" t="s">
        <v>0</v>
      </c>
      <c r="D33" s="18" t="s">
        <v>3</v>
      </c>
      <c r="BF33" s="4"/>
      <c r="BG33" s="4"/>
      <c r="BH33" s="4"/>
      <c r="BI33" s="4"/>
    </row>
    <row r="34" spans="1:61" ht="15" customHeight="1">
      <c r="A34" s="19" t="str">
        <f t="shared" si="3"/>
        <v>АСУЭ.TOR_VV</v>
      </c>
      <c r="B34" s="11">
        <v>4000203</v>
      </c>
      <c r="C34" s="11" t="s">
        <v>0</v>
      </c>
      <c r="D34" s="20" t="s">
        <v>1775</v>
      </c>
      <c r="BF34" s="4"/>
      <c r="BG34" s="4"/>
      <c r="BH34" s="4"/>
      <c r="BI34" s="4"/>
    </row>
    <row r="35" spans="1:61" ht="15" customHeight="1">
      <c r="A35" s="21" t="str">
        <f t="shared" si="3"/>
        <v>АСУЭ.TOR_VV</v>
      </c>
      <c r="B35" s="8">
        <v>7000203</v>
      </c>
      <c r="C35" s="8" t="s">
        <v>6</v>
      </c>
      <c r="D35" s="22">
        <v>2</v>
      </c>
      <c r="BF35" s="4"/>
      <c r="BG35" s="4"/>
      <c r="BH35" s="4"/>
      <c r="BI35" s="4"/>
    </row>
    <row r="36" spans="1:61">
      <c r="A36" s="16" t="str">
        <f>$R$2&amp;".Commands"</f>
        <v>АСУЭ.TOR_VV.Commands</v>
      </c>
      <c r="B36" s="24">
        <v>1</v>
      </c>
      <c r="C36" s="24" t="s">
        <v>1</v>
      </c>
      <c r="D36" s="25">
        <v>17</v>
      </c>
    </row>
    <row r="37" spans="1:61">
      <c r="A37" s="29" t="str">
        <f>$R$2&amp;".Commands"</f>
        <v>АСУЭ.TOR_VV.Commands</v>
      </c>
      <c r="B37" s="1">
        <v>7011</v>
      </c>
      <c r="C37" s="1" t="s">
        <v>2</v>
      </c>
      <c r="D37" s="30" t="s">
        <v>266</v>
      </c>
    </row>
    <row r="38" spans="1:61" ht="15" customHeight="1">
      <c r="A38" s="29" t="str">
        <f>$R$2&amp;".Commands"</f>
        <v>АСУЭ.TOR_VV.Commands</v>
      </c>
      <c r="B38">
        <v>9213</v>
      </c>
      <c r="C38" s="11" t="s">
        <v>2583</v>
      </c>
      <c r="D38" s="30">
        <v>2</v>
      </c>
      <c r="BF38" s="4"/>
      <c r="BG38" s="4"/>
      <c r="BH38" s="4"/>
      <c r="BI38" s="4"/>
    </row>
    <row r="39" spans="1:61">
      <c r="A39" s="19" t="str">
        <f>$R$2&amp;".Commands"</f>
        <v>АСУЭ.TOR_VV.Commands</v>
      </c>
      <c r="B39" s="11">
        <v>9214</v>
      </c>
      <c r="C39" s="11" t="s">
        <v>2</v>
      </c>
      <c r="D39" s="20" t="s">
        <v>3</v>
      </c>
    </row>
    <row r="40" spans="1:61">
      <c r="A40" s="19" t="str">
        <f t="shared" ref="A40:A42" si="4">$R$2&amp;".Commands"</f>
        <v>АСУЭ.TOR_VV.Commands</v>
      </c>
      <c r="B40" s="11">
        <v>9215</v>
      </c>
      <c r="C40" s="11" t="s">
        <v>2</v>
      </c>
      <c r="D40" s="20" t="s">
        <v>3</v>
      </c>
    </row>
    <row r="41" spans="1:61">
      <c r="A41" s="19" t="str">
        <f t="shared" si="4"/>
        <v>АСУЭ.TOR_VV.Commands</v>
      </c>
      <c r="B41" s="11">
        <v>9216</v>
      </c>
      <c r="C41" s="11" t="s">
        <v>2</v>
      </c>
      <c r="D41" s="20" t="s">
        <v>3</v>
      </c>
    </row>
    <row r="42" spans="1:61">
      <c r="A42" s="21" t="str">
        <f t="shared" si="4"/>
        <v>АСУЭ.TOR_VV.Commands</v>
      </c>
      <c r="B42" s="8">
        <v>9217</v>
      </c>
      <c r="C42" s="8" t="s">
        <v>2</v>
      </c>
      <c r="D42" s="22" t="s">
        <v>3</v>
      </c>
    </row>
    <row r="43" spans="1:61">
      <c r="A43" s="156" t="str">
        <f>$R$2&amp;".aCall"</f>
        <v>АСУЭ.TOR_VV.aCall</v>
      </c>
      <c r="B43" s="157">
        <v>11154</v>
      </c>
      <c r="C43" s="157" t="s">
        <v>4</v>
      </c>
      <c r="D43" s="760">
        <f>$Q$5</f>
        <v>4</v>
      </c>
    </row>
    <row r="44" spans="1:61">
      <c r="A44" s="148" t="str">
        <f t="shared" ref="A44:A52" si="5">$R$2&amp;".aCall"</f>
        <v>АСУЭ.TOR_VV.aCall</v>
      </c>
      <c r="B44" s="149">
        <v>11150</v>
      </c>
      <c r="C44" s="149" t="s">
        <v>0</v>
      </c>
      <c r="D44" s="125" t="s">
        <v>2769</v>
      </c>
    </row>
    <row r="45" spans="1:61">
      <c r="A45" s="148" t="str">
        <f t="shared" si="5"/>
        <v>АСУЭ.TOR_VV.aCall</v>
      </c>
      <c r="B45" s="149">
        <v>11152</v>
      </c>
      <c r="C45" s="149" t="s">
        <v>0</v>
      </c>
      <c r="D45" s="158" t="str">
        <f>$R$5</f>
        <v>Авария</v>
      </c>
    </row>
    <row r="46" spans="1:61" ht="14.25" customHeight="1">
      <c r="A46" s="148" t="str">
        <f t="shared" si="5"/>
        <v>АСУЭ.TOR_VV.aCall</v>
      </c>
      <c r="B46" s="149">
        <v>11000</v>
      </c>
      <c r="C46" s="149" t="s">
        <v>5</v>
      </c>
      <c r="D46" s="125">
        <v>2147483680</v>
      </c>
    </row>
    <row r="47" spans="1:61">
      <c r="A47" s="19" t="str">
        <f t="shared" si="5"/>
        <v>АСУЭ.TOR_VV.aCall</v>
      </c>
      <c r="B47" s="11">
        <v>7999</v>
      </c>
      <c r="C47" s="11" t="s">
        <v>0</v>
      </c>
      <c r="D47" s="20" t="str">
        <f>"#"&amp;$S$2&amp;"#"&amp;$T$2&amp;"."&amp;$P$2&amp;".aCall"</f>
        <v>#3#\\Setup_rza\Modbus.OPCServer\ZRU_Sepam.VV1_TOR.aCall</v>
      </c>
    </row>
    <row r="48" spans="1:61">
      <c r="A48" s="19" t="str">
        <f t="shared" si="5"/>
        <v>АСУЭ.TOR_VV.aCall</v>
      </c>
      <c r="B48" s="11">
        <v>7998</v>
      </c>
      <c r="C48" s="11" t="s">
        <v>6</v>
      </c>
      <c r="D48" s="20">
        <v>1</v>
      </c>
    </row>
    <row r="49" spans="1:4">
      <c r="A49" s="19" t="str">
        <f t="shared" si="5"/>
        <v>АСУЭ.TOR_VV.aCall</v>
      </c>
      <c r="B49" s="11">
        <v>101</v>
      </c>
      <c r="C49" s="11" t="s">
        <v>0</v>
      </c>
      <c r="D49" s="20" t="s">
        <v>2769</v>
      </c>
    </row>
    <row r="50" spans="1:4">
      <c r="A50" s="19" t="str">
        <f t="shared" si="5"/>
        <v>АСУЭ.TOR_VV.aCall</v>
      </c>
      <c r="B50" s="11">
        <v>3</v>
      </c>
      <c r="C50" s="11" t="s">
        <v>1</v>
      </c>
      <c r="D50" s="20">
        <v>192</v>
      </c>
    </row>
    <row r="51" spans="1:4">
      <c r="A51" s="19" t="str">
        <f t="shared" si="5"/>
        <v>АСУЭ.TOR_VV.aCall</v>
      </c>
      <c r="B51" s="11">
        <v>2</v>
      </c>
      <c r="C51" s="11" t="s">
        <v>2</v>
      </c>
      <c r="D51" s="20" t="s">
        <v>3</v>
      </c>
    </row>
    <row r="52" spans="1:4">
      <c r="A52" s="21" t="str">
        <f t="shared" si="5"/>
        <v>АСУЭ.TOR_VV.aCall</v>
      </c>
      <c r="B52" s="8">
        <v>1</v>
      </c>
      <c r="C52" s="8" t="s">
        <v>1</v>
      </c>
      <c r="D52" s="22">
        <v>11</v>
      </c>
    </row>
    <row r="53" spans="1:4">
      <c r="A53" s="156" t="str">
        <f>$R$2&amp;".aDGZ"</f>
        <v>АСУЭ.TOR_VV.aDGZ</v>
      </c>
      <c r="B53" s="157">
        <v>11154</v>
      </c>
      <c r="C53" s="157" t="s">
        <v>4</v>
      </c>
      <c r="D53" s="760">
        <f>$Q$5</f>
        <v>4</v>
      </c>
    </row>
    <row r="54" spans="1:4">
      <c r="A54" s="148" t="str">
        <f t="shared" ref="A54:A62" si="6">$R$2&amp;".aDGZ"</f>
        <v>АСУЭ.TOR_VV.aDGZ</v>
      </c>
      <c r="B54" s="149">
        <v>11150</v>
      </c>
      <c r="C54" s="149" t="s">
        <v>0</v>
      </c>
      <c r="D54" s="125" t="s">
        <v>2770</v>
      </c>
    </row>
    <row r="55" spans="1:4">
      <c r="A55" s="148" t="str">
        <f t="shared" si="6"/>
        <v>АСУЭ.TOR_VV.aDGZ</v>
      </c>
      <c r="B55" s="149">
        <v>11152</v>
      </c>
      <c r="C55" s="149" t="s">
        <v>0</v>
      </c>
      <c r="D55" s="158" t="str">
        <f>$R$5</f>
        <v>Авария</v>
      </c>
    </row>
    <row r="56" spans="1:4">
      <c r="A56" s="148" t="str">
        <f t="shared" si="6"/>
        <v>АСУЭ.TOR_VV.aDGZ</v>
      </c>
      <c r="B56" s="149">
        <v>11000</v>
      </c>
      <c r="C56" s="149" t="s">
        <v>5</v>
      </c>
      <c r="D56" s="125">
        <v>2147483680</v>
      </c>
    </row>
    <row r="57" spans="1:4">
      <c r="A57" s="19" t="str">
        <f t="shared" si="6"/>
        <v>АСУЭ.TOR_VV.aDGZ</v>
      </c>
      <c r="B57" s="11">
        <v>7999</v>
      </c>
      <c r="C57" s="11" t="s">
        <v>0</v>
      </c>
      <c r="D57" s="20" t="str">
        <f>"#"&amp;$S$2&amp;"#"&amp;$T$2&amp;"."&amp;$P$2&amp;".aDGZ"</f>
        <v>#3#\\Setup_rza\Modbus.OPCServer\ZRU_Sepam.VV1_TOR.aDGZ</v>
      </c>
    </row>
    <row r="58" spans="1:4">
      <c r="A58" s="19" t="str">
        <f t="shared" si="6"/>
        <v>АСУЭ.TOR_VV.aDGZ</v>
      </c>
      <c r="B58" s="11">
        <v>7998</v>
      </c>
      <c r="C58" s="11" t="s">
        <v>6</v>
      </c>
      <c r="D58" s="20">
        <v>1</v>
      </c>
    </row>
    <row r="59" spans="1:4">
      <c r="A59" s="19" t="str">
        <f t="shared" si="6"/>
        <v>АСУЭ.TOR_VV.aDGZ</v>
      </c>
      <c r="B59" s="11">
        <v>101</v>
      </c>
      <c r="C59" s="11" t="s">
        <v>0</v>
      </c>
      <c r="D59" s="20" t="s">
        <v>2770</v>
      </c>
    </row>
    <row r="60" spans="1:4">
      <c r="A60" s="19" t="str">
        <f t="shared" si="6"/>
        <v>АСУЭ.TOR_VV.aDGZ</v>
      </c>
      <c r="B60" s="11">
        <v>3</v>
      </c>
      <c r="C60" s="11" t="s">
        <v>1</v>
      </c>
      <c r="D60" s="20">
        <v>192</v>
      </c>
    </row>
    <row r="61" spans="1:4">
      <c r="A61" s="19" t="str">
        <f t="shared" si="6"/>
        <v>АСУЭ.TOR_VV.aDGZ</v>
      </c>
      <c r="B61" s="11">
        <v>2</v>
      </c>
      <c r="C61" s="11" t="s">
        <v>2</v>
      </c>
      <c r="D61" s="20" t="s">
        <v>3</v>
      </c>
    </row>
    <row r="62" spans="1:4">
      <c r="A62" s="21" t="str">
        <f t="shared" si="6"/>
        <v>АСУЭ.TOR_VV.aDGZ</v>
      </c>
      <c r="B62" s="8">
        <v>1</v>
      </c>
      <c r="C62" s="8" t="s">
        <v>1</v>
      </c>
      <c r="D62" s="22">
        <v>11</v>
      </c>
    </row>
    <row r="63" spans="1:4">
      <c r="A63" s="156" t="str">
        <f>$R$2&amp;".aMTZ1st"</f>
        <v>АСУЭ.TOR_VV.aMTZ1st</v>
      </c>
      <c r="B63" s="157">
        <v>11154</v>
      </c>
      <c r="C63" s="157" t="s">
        <v>4</v>
      </c>
      <c r="D63" s="760">
        <f>$Q$5</f>
        <v>4</v>
      </c>
    </row>
    <row r="64" spans="1:4">
      <c r="A64" s="148" t="str">
        <f t="shared" ref="A64:A72" si="7">$R$2&amp;".aMTZ1st"</f>
        <v>АСУЭ.TOR_VV.aMTZ1st</v>
      </c>
      <c r="B64" s="149">
        <v>11150</v>
      </c>
      <c r="C64" s="149" t="s">
        <v>0</v>
      </c>
      <c r="D64" s="125" t="s">
        <v>2771</v>
      </c>
    </row>
    <row r="65" spans="1:4">
      <c r="A65" s="148" t="str">
        <f t="shared" si="7"/>
        <v>АСУЭ.TOR_VV.aMTZ1st</v>
      </c>
      <c r="B65" s="149">
        <v>11152</v>
      </c>
      <c r="C65" s="149" t="s">
        <v>0</v>
      </c>
      <c r="D65" s="158" t="str">
        <f>$R$5</f>
        <v>Авария</v>
      </c>
    </row>
    <row r="66" spans="1:4">
      <c r="A66" s="148" t="str">
        <f t="shared" si="7"/>
        <v>АСУЭ.TOR_VV.aMTZ1st</v>
      </c>
      <c r="B66" s="149">
        <v>11000</v>
      </c>
      <c r="C66" s="149" t="s">
        <v>5</v>
      </c>
      <c r="D66" s="125">
        <v>2147483680</v>
      </c>
    </row>
    <row r="67" spans="1:4">
      <c r="A67" s="19" t="str">
        <f t="shared" si="7"/>
        <v>АСУЭ.TOR_VV.aMTZ1st</v>
      </c>
      <c r="B67" s="11">
        <v>7999</v>
      </c>
      <c r="C67" s="11" t="s">
        <v>0</v>
      </c>
      <c r="D67" s="20" t="str">
        <f>"#"&amp;$S$2&amp;"#"&amp;$T$2&amp;"."&amp;$P$2&amp;".aMTZ1st"</f>
        <v>#3#\\Setup_rza\Modbus.OPCServer\ZRU_Sepam.VV1_TOR.aMTZ1st</v>
      </c>
    </row>
    <row r="68" spans="1:4">
      <c r="A68" s="19" t="str">
        <f t="shared" si="7"/>
        <v>АСУЭ.TOR_VV.aMTZ1st</v>
      </c>
      <c r="B68" s="11">
        <v>7998</v>
      </c>
      <c r="C68" s="11" t="s">
        <v>6</v>
      </c>
      <c r="D68" s="20">
        <v>1</v>
      </c>
    </row>
    <row r="69" spans="1:4">
      <c r="A69" s="19" t="str">
        <f t="shared" si="7"/>
        <v>АСУЭ.TOR_VV.aMTZ1st</v>
      </c>
      <c r="B69" s="11">
        <v>101</v>
      </c>
      <c r="C69" s="11" t="s">
        <v>0</v>
      </c>
      <c r="D69" s="20" t="s">
        <v>2771</v>
      </c>
    </row>
    <row r="70" spans="1:4">
      <c r="A70" s="19" t="str">
        <f t="shared" si="7"/>
        <v>АСУЭ.TOR_VV.aMTZ1st</v>
      </c>
      <c r="B70" s="11">
        <v>3</v>
      </c>
      <c r="C70" s="11" t="s">
        <v>1</v>
      </c>
      <c r="D70" s="20">
        <v>192</v>
      </c>
    </row>
    <row r="71" spans="1:4">
      <c r="A71" s="19" t="str">
        <f t="shared" si="7"/>
        <v>АСУЭ.TOR_VV.aMTZ1st</v>
      </c>
      <c r="B71" s="11">
        <v>2</v>
      </c>
      <c r="C71" s="11" t="s">
        <v>2</v>
      </c>
      <c r="D71" s="20" t="s">
        <v>3</v>
      </c>
    </row>
    <row r="72" spans="1:4">
      <c r="A72" s="21" t="str">
        <f t="shared" si="7"/>
        <v>АСУЭ.TOR_VV.aMTZ1st</v>
      </c>
      <c r="B72" s="8">
        <v>1</v>
      </c>
      <c r="C72" s="8" t="s">
        <v>1</v>
      </c>
      <c r="D72" s="22">
        <v>11</v>
      </c>
    </row>
    <row r="73" spans="1:4">
      <c r="A73" s="156" t="str">
        <f>$R$2&amp;".aMTZ1st_SVoff"</f>
        <v>АСУЭ.TOR_VV.aMTZ1st_SVoff</v>
      </c>
      <c r="B73" s="157">
        <v>11154</v>
      </c>
      <c r="C73" s="157" t="s">
        <v>4</v>
      </c>
      <c r="D73" s="760">
        <f>$Q$5</f>
        <v>4</v>
      </c>
    </row>
    <row r="74" spans="1:4">
      <c r="A74" s="148" t="str">
        <f t="shared" ref="A74:A82" si="8">$R$2&amp;".aMTZ1st_SVoff"</f>
        <v>АСУЭ.TOR_VV.aMTZ1st_SVoff</v>
      </c>
      <c r="B74" s="149">
        <v>11150</v>
      </c>
      <c r="C74" s="149" t="s">
        <v>0</v>
      </c>
      <c r="D74" s="125" t="s">
        <v>2772</v>
      </c>
    </row>
    <row r="75" spans="1:4">
      <c r="A75" s="148" t="str">
        <f t="shared" si="8"/>
        <v>АСУЭ.TOR_VV.aMTZ1st_SVoff</v>
      </c>
      <c r="B75" s="149">
        <v>11152</v>
      </c>
      <c r="C75" s="149" t="s">
        <v>0</v>
      </c>
      <c r="D75" s="158" t="str">
        <f>$R$5</f>
        <v>Авария</v>
      </c>
    </row>
    <row r="76" spans="1:4">
      <c r="A76" s="148" t="str">
        <f t="shared" si="8"/>
        <v>АСУЭ.TOR_VV.aMTZ1st_SVoff</v>
      </c>
      <c r="B76" s="149">
        <v>11000</v>
      </c>
      <c r="C76" s="149" t="s">
        <v>5</v>
      </c>
      <c r="D76" s="125">
        <v>2147483680</v>
      </c>
    </row>
    <row r="77" spans="1:4">
      <c r="A77" s="19" t="str">
        <f t="shared" si="8"/>
        <v>АСУЭ.TOR_VV.aMTZ1st_SVoff</v>
      </c>
      <c r="B77" s="11">
        <v>7999</v>
      </c>
      <c r="C77" s="11" t="s">
        <v>0</v>
      </c>
      <c r="D77" s="20" t="str">
        <f>"#"&amp;$S$2&amp;"#"&amp;$T$2&amp;"."&amp;$P$2&amp;".aMTZ1st_SVoff"</f>
        <v>#3#\\Setup_rza\Modbus.OPCServer\ZRU_Sepam.VV1_TOR.aMTZ1st_SVoff</v>
      </c>
    </row>
    <row r="78" spans="1:4">
      <c r="A78" s="19" t="str">
        <f t="shared" si="8"/>
        <v>АСУЭ.TOR_VV.aMTZ1st_SVoff</v>
      </c>
      <c r="B78" s="11">
        <v>7998</v>
      </c>
      <c r="C78" s="11" t="s">
        <v>6</v>
      </c>
      <c r="D78" s="20">
        <v>1</v>
      </c>
    </row>
    <row r="79" spans="1:4">
      <c r="A79" s="19" t="str">
        <f t="shared" si="8"/>
        <v>АСУЭ.TOR_VV.aMTZ1st_SVoff</v>
      </c>
      <c r="B79" s="11">
        <v>101</v>
      </c>
      <c r="C79" s="11" t="s">
        <v>0</v>
      </c>
      <c r="D79" s="20" t="s">
        <v>2772</v>
      </c>
    </row>
    <row r="80" spans="1:4">
      <c r="A80" s="19" t="str">
        <f t="shared" si="8"/>
        <v>АСУЭ.TOR_VV.aMTZ1st_SVoff</v>
      </c>
      <c r="B80" s="11">
        <v>3</v>
      </c>
      <c r="C80" s="11" t="s">
        <v>1</v>
      </c>
      <c r="D80" s="20">
        <v>192</v>
      </c>
    </row>
    <row r="81" spans="1:4">
      <c r="A81" s="19" t="str">
        <f t="shared" si="8"/>
        <v>АСУЭ.TOR_VV.aMTZ1st_SVoff</v>
      </c>
      <c r="B81" s="11">
        <v>2</v>
      </c>
      <c r="C81" s="11" t="s">
        <v>2</v>
      </c>
      <c r="D81" s="20" t="s">
        <v>3</v>
      </c>
    </row>
    <row r="82" spans="1:4">
      <c r="A82" s="21" t="str">
        <f t="shared" si="8"/>
        <v>АСУЭ.TOR_VV.aMTZ1st_SVoff</v>
      </c>
      <c r="B82" s="8">
        <v>1</v>
      </c>
      <c r="C82" s="8" t="s">
        <v>1</v>
      </c>
      <c r="D82" s="22">
        <v>11</v>
      </c>
    </row>
    <row r="83" spans="1:4">
      <c r="A83" s="156" t="str">
        <f>$R$2&amp;".aMTZ2st"</f>
        <v>АСУЭ.TOR_VV.aMTZ2st</v>
      </c>
      <c r="B83" s="157">
        <v>11154</v>
      </c>
      <c r="C83" s="157" t="s">
        <v>4</v>
      </c>
      <c r="D83" s="760">
        <f>$Q$5</f>
        <v>4</v>
      </c>
    </row>
    <row r="84" spans="1:4">
      <c r="A84" s="148" t="str">
        <f t="shared" ref="A84:A92" si="9">$R$2&amp;".aMTZ2st"</f>
        <v>АСУЭ.TOR_VV.aMTZ2st</v>
      </c>
      <c r="B84" s="149">
        <v>11150</v>
      </c>
      <c r="C84" s="149" t="s">
        <v>0</v>
      </c>
      <c r="D84" s="125" t="s">
        <v>2773</v>
      </c>
    </row>
    <row r="85" spans="1:4">
      <c r="A85" s="148" t="str">
        <f t="shared" si="9"/>
        <v>АСУЭ.TOR_VV.aMTZ2st</v>
      </c>
      <c r="B85" s="149">
        <v>11152</v>
      </c>
      <c r="C85" s="149" t="s">
        <v>0</v>
      </c>
      <c r="D85" s="158" t="str">
        <f>$R$5</f>
        <v>Авария</v>
      </c>
    </row>
    <row r="86" spans="1:4">
      <c r="A86" s="148" t="str">
        <f t="shared" si="9"/>
        <v>АСУЭ.TOR_VV.aMTZ2st</v>
      </c>
      <c r="B86" s="149">
        <v>11000</v>
      </c>
      <c r="C86" s="149" t="s">
        <v>5</v>
      </c>
      <c r="D86" s="125">
        <v>2147483680</v>
      </c>
    </row>
    <row r="87" spans="1:4">
      <c r="A87" s="19" t="str">
        <f t="shared" si="9"/>
        <v>АСУЭ.TOR_VV.aMTZ2st</v>
      </c>
      <c r="B87" s="11">
        <v>7999</v>
      </c>
      <c r="C87" s="11" t="s">
        <v>0</v>
      </c>
      <c r="D87" s="20" t="str">
        <f>"#"&amp;$S$2&amp;"#"&amp;$T$2&amp;"."&amp;$P$2&amp;".aMTZ2st"</f>
        <v>#3#\\Setup_rza\Modbus.OPCServer\ZRU_Sepam.VV1_TOR.aMTZ2st</v>
      </c>
    </row>
    <row r="88" spans="1:4">
      <c r="A88" s="19" t="str">
        <f t="shared" si="9"/>
        <v>АСУЭ.TOR_VV.aMTZ2st</v>
      </c>
      <c r="B88" s="11">
        <v>7998</v>
      </c>
      <c r="C88" s="11" t="s">
        <v>6</v>
      </c>
      <c r="D88" s="20">
        <v>1</v>
      </c>
    </row>
    <row r="89" spans="1:4">
      <c r="A89" s="19" t="str">
        <f t="shared" si="9"/>
        <v>АСУЭ.TOR_VV.aMTZ2st</v>
      </c>
      <c r="B89" s="11">
        <v>101</v>
      </c>
      <c r="C89" s="11" t="s">
        <v>0</v>
      </c>
      <c r="D89" s="20" t="s">
        <v>2773</v>
      </c>
    </row>
    <row r="90" spans="1:4">
      <c r="A90" s="19" t="str">
        <f t="shared" si="9"/>
        <v>АСУЭ.TOR_VV.aMTZ2st</v>
      </c>
      <c r="B90" s="11">
        <v>3</v>
      </c>
      <c r="C90" s="11" t="s">
        <v>1</v>
      </c>
      <c r="D90" s="20">
        <v>192</v>
      </c>
    </row>
    <row r="91" spans="1:4">
      <c r="A91" s="19" t="str">
        <f t="shared" si="9"/>
        <v>АСУЭ.TOR_VV.aMTZ2st</v>
      </c>
      <c r="B91" s="11">
        <v>2</v>
      </c>
      <c r="C91" s="11" t="s">
        <v>2</v>
      </c>
      <c r="D91" s="20" t="s">
        <v>3</v>
      </c>
    </row>
    <row r="92" spans="1:4">
      <c r="A92" s="21" t="str">
        <f t="shared" si="9"/>
        <v>АСУЭ.TOR_VV.aMTZ2st</v>
      </c>
      <c r="B92" s="8">
        <v>1</v>
      </c>
      <c r="C92" s="8" t="s">
        <v>1</v>
      </c>
      <c r="D92" s="22">
        <v>11</v>
      </c>
    </row>
    <row r="93" spans="1:4">
      <c r="A93" s="156" t="str">
        <f>$R$2&amp;".aAccelMTZ"</f>
        <v>АСУЭ.TOR_VV.aAccelMTZ</v>
      </c>
      <c r="B93" s="157">
        <v>11154</v>
      </c>
      <c r="C93" s="157" t="s">
        <v>4</v>
      </c>
      <c r="D93" s="760">
        <f>$Q$5</f>
        <v>4</v>
      </c>
    </row>
    <row r="94" spans="1:4">
      <c r="A94" s="148" t="str">
        <f t="shared" ref="A94:A102" si="10">$R$2&amp;".aAccelMTZ"</f>
        <v>АСУЭ.TOR_VV.aAccelMTZ</v>
      </c>
      <c r="B94" s="149">
        <v>11150</v>
      </c>
      <c r="C94" s="149" t="s">
        <v>0</v>
      </c>
      <c r="D94" s="125" t="s">
        <v>2774</v>
      </c>
    </row>
    <row r="95" spans="1:4">
      <c r="A95" s="148" t="str">
        <f t="shared" si="10"/>
        <v>АСУЭ.TOR_VV.aAccelMTZ</v>
      </c>
      <c r="B95" s="149">
        <v>11152</v>
      </c>
      <c r="C95" s="149" t="s">
        <v>0</v>
      </c>
      <c r="D95" s="158" t="str">
        <f>$R$5</f>
        <v>Авария</v>
      </c>
    </row>
    <row r="96" spans="1:4">
      <c r="A96" s="148" t="str">
        <f t="shared" si="10"/>
        <v>АСУЭ.TOR_VV.aAccelMTZ</v>
      </c>
      <c r="B96" s="149">
        <v>11000</v>
      </c>
      <c r="C96" s="149" t="s">
        <v>5</v>
      </c>
      <c r="D96" s="125">
        <v>2147483680</v>
      </c>
    </row>
    <row r="97" spans="1:4">
      <c r="A97" s="19" t="str">
        <f t="shared" si="10"/>
        <v>АСУЭ.TOR_VV.aAccelMTZ</v>
      </c>
      <c r="B97" s="11">
        <v>7999</v>
      </c>
      <c r="C97" s="11" t="s">
        <v>0</v>
      </c>
      <c r="D97" s="20" t="str">
        <f>"#"&amp;$S$2&amp;"#"&amp;$T$2&amp;"."&amp;$P$2&amp;".aAccelMTZ"</f>
        <v>#3#\\Setup_rza\Modbus.OPCServer\ZRU_Sepam.VV1_TOR.aAccelMTZ</v>
      </c>
    </row>
    <row r="98" spans="1:4">
      <c r="A98" s="19" t="str">
        <f t="shared" si="10"/>
        <v>АСУЭ.TOR_VV.aAccelMTZ</v>
      </c>
      <c r="B98" s="11">
        <v>7998</v>
      </c>
      <c r="C98" s="11" t="s">
        <v>6</v>
      </c>
      <c r="D98" s="20">
        <v>1</v>
      </c>
    </row>
    <row r="99" spans="1:4">
      <c r="A99" s="19" t="str">
        <f t="shared" si="10"/>
        <v>АСУЭ.TOR_VV.aAccelMTZ</v>
      </c>
      <c r="B99" s="11">
        <v>101</v>
      </c>
      <c r="C99" s="11" t="s">
        <v>0</v>
      </c>
      <c r="D99" s="20" t="s">
        <v>2774</v>
      </c>
    </row>
    <row r="100" spans="1:4">
      <c r="A100" s="19" t="str">
        <f t="shared" si="10"/>
        <v>АСУЭ.TOR_VV.aAccelMTZ</v>
      </c>
      <c r="B100" s="11">
        <v>3</v>
      </c>
      <c r="C100" s="11" t="s">
        <v>1</v>
      </c>
      <c r="D100" s="20">
        <v>192</v>
      </c>
    </row>
    <row r="101" spans="1:4">
      <c r="A101" s="19" t="str">
        <f t="shared" si="10"/>
        <v>АСУЭ.TOR_VV.aAccelMTZ</v>
      </c>
      <c r="B101" s="11">
        <v>2</v>
      </c>
      <c r="C101" s="11" t="s">
        <v>2</v>
      </c>
      <c r="D101" s="20" t="s">
        <v>3</v>
      </c>
    </row>
    <row r="102" spans="1:4">
      <c r="A102" s="21" t="str">
        <f t="shared" si="10"/>
        <v>АСУЭ.TOR_VV.aAccelMTZ</v>
      </c>
      <c r="B102" s="8">
        <v>1</v>
      </c>
      <c r="C102" s="8" t="s">
        <v>1</v>
      </c>
      <c r="D102" s="22">
        <v>11</v>
      </c>
    </row>
    <row r="103" spans="1:4">
      <c r="A103" s="156" t="str">
        <f>$R$2&amp;".aOverload"</f>
        <v>АСУЭ.TOR_VV.aOverload</v>
      </c>
      <c r="B103" s="157">
        <v>11154</v>
      </c>
      <c r="C103" s="157" t="s">
        <v>4</v>
      </c>
      <c r="D103" s="760">
        <f>$Q$5</f>
        <v>4</v>
      </c>
    </row>
    <row r="104" spans="1:4">
      <c r="A104" s="148" t="str">
        <f t="shared" ref="A104:A111" si="11">$R$2&amp;".aOverload"</f>
        <v>АСУЭ.TOR_VV.aOverload</v>
      </c>
      <c r="B104" s="149">
        <v>11150</v>
      </c>
      <c r="C104" s="149" t="s">
        <v>0</v>
      </c>
      <c r="D104" s="125" t="s">
        <v>509</v>
      </c>
    </row>
    <row r="105" spans="1:4">
      <c r="A105" s="148" t="str">
        <f t="shared" si="11"/>
        <v>АСУЭ.TOR_VV.aOverload</v>
      </c>
      <c r="B105" s="149">
        <v>11152</v>
      </c>
      <c r="C105" s="149" t="s">
        <v>0</v>
      </c>
      <c r="D105" s="158" t="str">
        <f>$R$5</f>
        <v>Авария</v>
      </c>
    </row>
    <row r="106" spans="1:4">
      <c r="A106" s="148" t="str">
        <f t="shared" si="11"/>
        <v>АСУЭ.TOR_VV.aOverload</v>
      </c>
      <c r="B106" s="149">
        <v>11000</v>
      </c>
      <c r="C106" s="149" t="s">
        <v>5</v>
      </c>
      <c r="D106" s="125">
        <v>2147483680</v>
      </c>
    </row>
    <row r="107" spans="1:4">
      <c r="A107" s="19" t="str">
        <f t="shared" si="11"/>
        <v>АСУЭ.TOR_VV.aOverload</v>
      </c>
      <c r="B107" s="11">
        <v>7999</v>
      </c>
      <c r="C107" s="11" t="s">
        <v>0</v>
      </c>
      <c r="D107" s="20" t="str">
        <f>"#"&amp;$S$2&amp;"#"&amp;$T$2&amp;"."&amp;$P$2&amp;".aOverload"</f>
        <v>#3#\\Setup_rza\Modbus.OPCServer\ZRU_Sepam.VV1_TOR.aOverload</v>
      </c>
    </row>
    <row r="108" spans="1:4">
      <c r="A108" s="19" t="str">
        <f t="shared" si="11"/>
        <v>АСУЭ.TOR_VV.aOverload</v>
      </c>
      <c r="B108" s="11">
        <v>7998</v>
      </c>
      <c r="C108" s="11" t="s">
        <v>6</v>
      </c>
      <c r="D108" s="20">
        <v>1</v>
      </c>
    </row>
    <row r="109" spans="1:4">
      <c r="A109" s="19" t="str">
        <f t="shared" si="11"/>
        <v>АСУЭ.TOR_VV.aOverload</v>
      </c>
      <c r="B109" s="11">
        <v>101</v>
      </c>
      <c r="C109" s="11" t="s">
        <v>0</v>
      </c>
      <c r="D109" s="20" t="s">
        <v>509</v>
      </c>
    </row>
    <row r="110" spans="1:4">
      <c r="A110" s="19" t="str">
        <f t="shared" si="11"/>
        <v>АСУЭ.TOR_VV.aOverload</v>
      </c>
      <c r="B110" s="11">
        <v>3</v>
      </c>
      <c r="C110" s="11" t="s">
        <v>1</v>
      </c>
      <c r="D110" s="20">
        <v>192</v>
      </c>
    </row>
    <row r="111" spans="1:4">
      <c r="A111" s="19" t="str">
        <f t="shared" si="11"/>
        <v>АСУЭ.TOR_VV.aOverload</v>
      </c>
      <c r="B111" s="11">
        <v>2</v>
      </c>
      <c r="C111" s="11" t="s">
        <v>2</v>
      </c>
      <c r="D111" s="20" t="s">
        <v>3</v>
      </c>
    </row>
    <row r="112" spans="1:4">
      <c r="A112" s="21" t="str">
        <f>$R$2&amp;".aOverload"</f>
        <v>АСУЭ.TOR_VV.aOverload</v>
      </c>
      <c r="B112" s="8">
        <v>1</v>
      </c>
      <c r="C112" s="8" t="s">
        <v>1</v>
      </c>
      <c r="D112" s="22">
        <v>11</v>
      </c>
    </row>
    <row r="113" spans="1:4">
      <c r="A113" s="156" t="str">
        <f>$R$2&amp;".aOZZ_dir"</f>
        <v>АСУЭ.TOR_VV.aOZZ_dir</v>
      </c>
      <c r="B113" s="157">
        <v>11154</v>
      </c>
      <c r="C113" s="157" t="s">
        <v>4</v>
      </c>
      <c r="D113" s="760">
        <f>$Q$5</f>
        <v>4</v>
      </c>
    </row>
    <row r="114" spans="1:4">
      <c r="A114" s="148" t="str">
        <f t="shared" ref="A114:A122" si="12">$R$2&amp;".aOZZ_dir"</f>
        <v>АСУЭ.TOR_VV.aOZZ_dir</v>
      </c>
      <c r="B114" s="149">
        <v>11150</v>
      </c>
      <c r="C114" s="149" t="s">
        <v>0</v>
      </c>
      <c r="D114" s="125" t="s">
        <v>2775</v>
      </c>
    </row>
    <row r="115" spans="1:4">
      <c r="A115" s="148" t="str">
        <f t="shared" si="12"/>
        <v>АСУЭ.TOR_VV.aOZZ_dir</v>
      </c>
      <c r="B115" s="149">
        <v>11152</v>
      </c>
      <c r="C115" s="149" t="s">
        <v>0</v>
      </c>
      <c r="D115" s="158" t="str">
        <f>$R$5</f>
        <v>Авария</v>
      </c>
    </row>
    <row r="116" spans="1:4">
      <c r="A116" s="148" t="str">
        <f t="shared" si="12"/>
        <v>АСУЭ.TOR_VV.aOZZ_dir</v>
      </c>
      <c r="B116" s="149">
        <v>11000</v>
      </c>
      <c r="C116" s="149" t="s">
        <v>5</v>
      </c>
      <c r="D116" s="125">
        <v>2147483680</v>
      </c>
    </row>
    <row r="117" spans="1:4">
      <c r="A117" s="19" t="str">
        <f t="shared" si="12"/>
        <v>АСУЭ.TOR_VV.aOZZ_dir</v>
      </c>
      <c r="B117" s="11">
        <v>7999</v>
      </c>
      <c r="C117" s="11" t="s">
        <v>0</v>
      </c>
      <c r="D117" s="20" t="str">
        <f>"#"&amp;$S$2&amp;"#"&amp;$T$2&amp;"."&amp;$P$2&amp;".aOZZ_dir"</f>
        <v>#3#\\Setup_rza\Modbus.OPCServer\ZRU_Sepam.VV1_TOR.aOZZ_dir</v>
      </c>
    </row>
    <row r="118" spans="1:4">
      <c r="A118" s="19" t="str">
        <f t="shared" si="12"/>
        <v>АСУЭ.TOR_VV.aOZZ_dir</v>
      </c>
      <c r="B118" s="11">
        <v>7998</v>
      </c>
      <c r="C118" s="11" t="s">
        <v>6</v>
      </c>
      <c r="D118" s="20">
        <v>1</v>
      </c>
    </row>
    <row r="119" spans="1:4">
      <c r="A119" s="19" t="str">
        <f t="shared" si="12"/>
        <v>АСУЭ.TOR_VV.aOZZ_dir</v>
      </c>
      <c r="B119" s="11">
        <v>101</v>
      </c>
      <c r="C119" s="11" t="s">
        <v>0</v>
      </c>
      <c r="D119" s="20" t="s">
        <v>2775</v>
      </c>
    </row>
    <row r="120" spans="1:4">
      <c r="A120" s="19" t="str">
        <f t="shared" si="12"/>
        <v>АСУЭ.TOR_VV.aOZZ_dir</v>
      </c>
      <c r="B120" s="11">
        <v>3</v>
      </c>
      <c r="C120" s="11" t="s">
        <v>1</v>
      </c>
      <c r="D120" s="20">
        <v>192</v>
      </c>
    </row>
    <row r="121" spans="1:4">
      <c r="A121" s="19" t="str">
        <f t="shared" si="12"/>
        <v>АСУЭ.TOR_VV.aOZZ_dir</v>
      </c>
      <c r="B121" s="11">
        <v>2</v>
      </c>
      <c r="C121" s="11" t="s">
        <v>2</v>
      </c>
      <c r="D121" s="20" t="s">
        <v>3</v>
      </c>
    </row>
    <row r="122" spans="1:4">
      <c r="A122" s="21" t="str">
        <f t="shared" si="12"/>
        <v>АСУЭ.TOR_VV.aOZZ_dir</v>
      </c>
      <c r="B122" s="8">
        <v>1</v>
      </c>
      <c r="C122" s="8" t="s">
        <v>1</v>
      </c>
      <c r="D122" s="22">
        <v>11</v>
      </c>
    </row>
    <row r="123" spans="1:4">
      <c r="A123" s="156" t="str">
        <f>$R$2&amp;".aUROV"</f>
        <v>АСУЭ.TOR_VV.aUROV</v>
      </c>
      <c r="B123" s="157">
        <v>11154</v>
      </c>
      <c r="C123" s="157" t="s">
        <v>4</v>
      </c>
      <c r="D123" s="760">
        <f>$Q$5</f>
        <v>4</v>
      </c>
    </row>
    <row r="124" spans="1:4">
      <c r="A124" s="148" t="str">
        <f t="shared" ref="A124:A132" si="13">$R$2&amp;".aUROV"</f>
        <v>АСУЭ.TOR_VV.aUROV</v>
      </c>
      <c r="B124" s="149">
        <v>11150</v>
      </c>
      <c r="C124" s="149" t="s">
        <v>0</v>
      </c>
      <c r="D124" s="125" t="s">
        <v>2776</v>
      </c>
    </row>
    <row r="125" spans="1:4">
      <c r="A125" s="148" t="str">
        <f t="shared" si="13"/>
        <v>АСУЭ.TOR_VV.aUROV</v>
      </c>
      <c r="B125" s="149">
        <v>11152</v>
      </c>
      <c r="C125" s="149" t="s">
        <v>0</v>
      </c>
      <c r="D125" s="158" t="str">
        <f>$R$5</f>
        <v>Авария</v>
      </c>
    </row>
    <row r="126" spans="1:4">
      <c r="A126" s="148" t="str">
        <f t="shared" si="13"/>
        <v>АСУЭ.TOR_VV.aUROV</v>
      </c>
      <c r="B126" s="149">
        <v>11000</v>
      </c>
      <c r="C126" s="149" t="s">
        <v>5</v>
      </c>
      <c r="D126" s="125">
        <v>2147483680</v>
      </c>
    </row>
    <row r="127" spans="1:4">
      <c r="A127" s="19" t="str">
        <f t="shared" si="13"/>
        <v>АСУЭ.TOR_VV.aUROV</v>
      </c>
      <c r="B127" s="11">
        <v>7999</v>
      </c>
      <c r="C127" s="11" t="s">
        <v>0</v>
      </c>
      <c r="D127" s="20" t="str">
        <f>"#"&amp;$S$2&amp;"#"&amp;$T$2&amp;"."&amp;$P$2&amp;".aUROV"</f>
        <v>#3#\\Setup_rza\Modbus.OPCServer\ZRU_Sepam.VV1_TOR.aUROV</v>
      </c>
    </row>
    <row r="128" spans="1:4">
      <c r="A128" s="19" t="str">
        <f t="shared" si="13"/>
        <v>АСУЭ.TOR_VV.aUROV</v>
      </c>
      <c r="B128" s="11">
        <v>7998</v>
      </c>
      <c r="C128" s="11" t="s">
        <v>6</v>
      </c>
      <c r="D128" s="20">
        <v>1</v>
      </c>
    </row>
    <row r="129" spans="1:4">
      <c r="A129" s="19" t="str">
        <f t="shared" si="13"/>
        <v>АСУЭ.TOR_VV.aUROV</v>
      </c>
      <c r="B129" s="11">
        <v>101</v>
      </c>
      <c r="C129" s="11" t="s">
        <v>0</v>
      </c>
      <c r="D129" s="20" t="s">
        <v>2776</v>
      </c>
    </row>
    <row r="130" spans="1:4">
      <c r="A130" s="19" t="str">
        <f t="shared" si="13"/>
        <v>АСУЭ.TOR_VV.aUROV</v>
      </c>
      <c r="B130" s="11">
        <v>3</v>
      </c>
      <c r="C130" s="11" t="s">
        <v>1</v>
      </c>
      <c r="D130" s="20">
        <v>192</v>
      </c>
    </row>
    <row r="131" spans="1:4">
      <c r="A131" s="19" t="str">
        <f t="shared" si="13"/>
        <v>АСУЭ.TOR_VV.aUROV</v>
      </c>
      <c r="B131" s="11">
        <v>2</v>
      </c>
      <c r="C131" s="11" t="s">
        <v>2</v>
      </c>
      <c r="D131" s="20" t="s">
        <v>3</v>
      </c>
    </row>
    <row r="132" spans="1:4">
      <c r="A132" s="21" t="str">
        <f t="shared" si="13"/>
        <v>АСУЭ.TOR_VV.aUROV</v>
      </c>
      <c r="B132" s="8">
        <v>1</v>
      </c>
      <c r="C132" s="8" t="s">
        <v>1</v>
      </c>
      <c r="D132" s="22">
        <v>11</v>
      </c>
    </row>
    <row r="133" spans="1:4">
      <c r="A133" s="156" t="str">
        <f>$R$2&amp;".aZMN"</f>
        <v>АСУЭ.TOR_VV.aZMN</v>
      </c>
      <c r="B133" s="157">
        <v>11154</v>
      </c>
      <c r="C133" s="157" t="s">
        <v>4</v>
      </c>
      <c r="D133" s="760">
        <f>$Q$5</f>
        <v>4</v>
      </c>
    </row>
    <row r="134" spans="1:4">
      <c r="A134" s="148" t="str">
        <f t="shared" ref="A134:A142" si="14">$R$2&amp;".aZMN"</f>
        <v>АСУЭ.TOR_VV.aZMN</v>
      </c>
      <c r="B134" s="149">
        <v>11150</v>
      </c>
      <c r="C134" s="149" t="s">
        <v>0</v>
      </c>
      <c r="D134" s="125" t="s">
        <v>2777</v>
      </c>
    </row>
    <row r="135" spans="1:4">
      <c r="A135" s="148" t="str">
        <f t="shared" si="14"/>
        <v>АСУЭ.TOR_VV.aZMN</v>
      </c>
      <c r="B135" s="149">
        <v>11152</v>
      </c>
      <c r="C135" s="149" t="s">
        <v>0</v>
      </c>
      <c r="D135" s="158" t="str">
        <f>$R$5</f>
        <v>Авария</v>
      </c>
    </row>
    <row r="136" spans="1:4">
      <c r="A136" s="148" t="str">
        <f t="shared" si="14"/>
        <v>АСУЭ.TOR_VV.aZMN</v>
      </c>
      <c r="B136" s="149">
        <v>11000</v>
      </c>
      <c r="C136" s="149" t="s">
        <v>5</v>
      </c>
      <c r="D136" s="125">
        <v>2147483680</v>
      </c>
    </row>
    <row r="137" spans="1:4">
      <c r="A137" s="19" t="str">
        <f t="shared" si="14"/>
        <v>АСУЭ.TOR_VV.aZMN</v>
      </c>
      <c r="B137" s="11">
        <v>7999</v>
      </c>
      <c r="C137" s="11" t="s">
        <v>0</v>
      </c>
      <c r="D137" s="20" t="str">
        <f>"#"&amp;$S$2&amp;"#"&amp;$T$2&amp;"."&amp;$P$2&amp;".aZMN"</f>
        <v>#3#\\Setup_rza\Modbus.OPCServer\ZRU_Sepam.VV1_TOR.aZMN</v>
      </c>
    </row>
    <row r="138" spans="1:4">
      <c r="A138" s="19" t="str">
        <f t="shared" si="14"/>
        <v>АСУЭ.TOR_VV.aZMN</v>
      </c>
      <c r="B138" s="11">
        <v>7998</v>
      </c>
      <c r="C138" s="11" t="s">
        <v>6</v>
      </c>
      <c r="D138" s="20">
        <v>1</v>
      </c>
    </row>
    <row r="139" spans="1:4">
      <c r="A139" s="19" t="str">
        <f t="shared" si="14"/>
        <v>АСУЭ.TOR_VV.aZMN</v>
      </c>
      <c r="B139" s="11">
        <v>101</v>
      </c>
      <c r="C139" s="11" t="s">
        <v>0</v>
      </c>
      <c r="D139" s="20" t="s">
        <v>2777</v>
      </c>
    </row>
    <row r="140" spans="1:4">
      <c r="A140" s="19" t="str">
        <f t="shared" si="14"/>
        <v>АСУЭ.TOR_VV.aZMN</v>
      </c>
      <c r="B140" s="11">
        <v>3</v>
      </c>
      <c r="C140" s="11" t="s">
        <v>1</v>
      </c>
      <c r="D140" s="20">
        <v>192</v>
      </c>
    </row>
    <row r="141" spans="1:4">
      <c r="A141" s="19" t="str">
        <f t="shared" si="14"/>
        <v>АСУЭ.TOR_VV.aZMN</v>
      </c>
      <c r="B141" s="11">
        <v>2</v>
      </c>
      <c r="C141" s="11" t="s">
        <v>2</v>
      </c>
      <c r="D141" s="20" t="s">
        <v>3</v>
      </c>
    </row>
    <row r="142" spans="1:4">
      <c r="A142" s="21" t="str">
        <f t="shared" si="14"/>
        <v>АСУЭ.TOR_VV.aZMN</v>
      </c>
      <c r="B142" s="8">
        <v>1</v>
      </c>
      <c r="C142" s="8" t="s">
        <v>1</v>
      </c>
      <c r="D142" s="22">
        <v>11</v>
      </c>
    </row>
    <row r="143" spans="1:4">
      <c r="A143" s="156" t="str">
        <f>$R$2&amp;".aACHR"</f>
        <v>АСУЭ.TOR_VV.aACHR</v>
      </c>
      <c r="B143" s="157">
        <v>11154</v>
      </c>
      <c r="C143" s="157" t="s">
        <v>4</v>
      </c>
      <c r="D143" s="760">
        <f>$Q$5</f>
        <v>4</v>
      </c>
    </row>
    <row r="144" spans="1:4">
      <c r="A144" s="148" t="str">
        <f t="shared" ref="A144:A152" si="15">$R$2&amp;".aACHR"</f>
        <v>АСУЭ.TOR_VV.aACHR</v>
      </c>
      <c r="B144" s="149">
        <v>11150</v>
      </c>
      <c r="C144" s="149" t="s">
        <v>0</v>
      </c>
      <c r="D144" s="125" t="s">
        <v>2778</v>
      </c>
    </row>
    <row r="145" spans="1:4">
      <c r="A145" s="148" t="str">
        <f t="shared" si="15"/>
        <v>АСУЭ.TOR_VV.aACHR</v>
      </c>
      <c r="B145" s="149">
        <v>11152</v>
      </c>
      <c r="C145" s="149" t="s">
        <v>0</v>
      </c>
      <c r="D145" s="158" t="str">
        <f>$R$5</f>
        <v>Авария</v>
      </c>
    </row>
    <row r="146" spans="1:4">
      <c r="A146" s="148" t="str">
        <f t="shared" si="15"/>
        <v>АСУЭ.TOR_VV.aACHR</v>
      </c>
      <c r="B146" s="149">
        <v>11000</v>
      </c>
      <c r="C146" s="149" t="s">
        <v>5</v>
      </c>
      <c r="D146" s="125">
        <v>2147483680</v>
      </c>
    </row>
    <row r="147" spans="1:4">
      <c r="A147" s="19" t="str">
        <f t="shared" si="15"/>
        <v>АСУЭ.TOR_VV.aACHR</v>
      </c>
      <c r="B147" s="11">
        <v>7999</v>
      </c>
      <c r="C147" s="11" t="s">
        <v>0</v>
      </c>
      <c r="D147" s="20" t="str">
        <f>"#"&amp;$S$2&amp;"#"&amp;$T$2&amp;"."&amp;$P$2&amp;".aACHR"</f>
        <v>#3#\\Setup_rza\Modbus.OPCServer\ZRU_Sepam.VV1_TOR.aACHR</v>
      </c>
    </row>
    <row r="148" spans="1:4">
      <c r="A148" s="19" t="str">
        <f t="shared" si="15"/>
        <v>АСУЭ.TOR_VV.aACHR</v>
      </c>
      <c r="B148" s="11">
        <v>7998</v>
      </c>
      <c r="C148" s="11" t="s">
        <v>6</v>
      </c>
      <c r="D148" s="20">
        <v>1</v>
      </c>
    </row>
    <row r="149" spans="1:4">
      <c r="A149" s="19" t="str">
        <f t="shared" si="15"/>
        <v>АСУЭ.TOR_VV.aACHR</v>
      </c>
      <c r="B149" s="11">
        <v>101</v>
      </c>
      <c r="C149" s="11" t="s">
        <v>0</v>
      </c>
      <c r="D149" s="20" t="s">
        <v>2778</v>
      </c>
    </row>
    <row r="150" spans="1:4">
      <c r="A150" s="19" t="str">
        <f t="shared" si="15"/>
        <v>АСУЭ.TOR_VV.aACHR</v>
      </c>
      <c r="B150" s="11">
        <v>3</v>
      </c>
      <c r="C150" s="11" t="s">
        <v>1</v>
      </c>
      <c r="D150" s="20">
        <v>192</v>
      </c>
    </row>
    <row r="151" spans="1:4">
      <c r="A151" s="19" t="str">
        <f t="shared" si="15"/>
        <v>АСУЭ.TOR_VV.aACHR</v>
      </c>
      <c r="B151" s="11">
        <v>2</v>
      </c>
      <c r="C151" s="11" t="s">
        <v>2</v>
      </c>
      <c r="D151" s="20" t="s">
        <v>3</v>
      </c>
    </row>
    <row r="152" spans="1:4">
      <c r="A152" s="21" t="str">
        <f t="shared" si="15"/>
        <v>АСУЭ.TOR_VV.aACHR</v>
      </c>
      <c r="B152" s="8">
        <v>1</v>
      </c>
      <c r="C152" s="8" t="s">
        <v>1</v>
      </c>
      <c r="D152" s="22">
        <v>11</v>
      </c>
    </row>
    <row r="153" spans="1:4">
      <c r="A153" s="156" t="str">
        <f>$R$2&amp;".aPrt"</f>
        <v>АСУЭ.TOR_VV.aPrt</v>
      </c>
      <c r="B153" s="157">
        <v>11154</v>
      </c>
      <c r="C153" s="157" t="s">
        <v>4</v>
      </c>
      <c r="D153" s="760">
        <f>$Q$5</f>
        <v>4</v>
      </c>
    </row>
    <row r="154" spans="1:4">
      <c r="A154" s="148" t="str">
        <f t="shared" ref="A154:A162" si="16">$R$2&amp;".aPrt"</f>
        <v>АСУЭ.TOR_VV.aPrt</v>
      </c>
      <c r="B154" s="149">
        <v>11150</v>
      </c>
      <c r="C154" s="149" t="s">
        <v>0</v>
      </c>
      <c r="D154" s="125" t="s">
        <v>141</v>
      </c>
    </row>
    <row r="155" spans="1:4">
      <c r="A155" s="148" t="str">
        <f t="shared" si="16"/>
        <v>АСУЭ.TOR_VV.aPrt</v>
      </c>
      <c r="B155" s="149">
        <v>11152</v>
      </c>
      <c r="C155" s="149" t="s">
        <v>0</v>
      </c>
      <c r="D155" s="158" t="str">
        <f>$R$5</f>
        <v>Авария</v>
      </c>
    </row>
    <row r="156" spans="1:4">
      <c r="A156" s="148" t="str">
        <f t="shared" si="16"/>
        <v>АСУЭ.TOR_VV.aPrt</v>
      </c>
      <c r="B156" s="149">
        <v>11000</v>
      </c>
      <c r="C156" s="149" t="s">
        <v>5</v>
      </c>
      <c r="D156" s="125">
        <v>2147483680</v>
      </c>
    </row>
    <row r="157" spans="1:4">
      <c r="A157" s="19" t="str">
        <f t="shared" si="16"/>
        <v>АСУЭ.TOR_VV.aPrt</v>
      </c>
      <c r="B157" s="11">
        <v>7999</v>
      </c>
      <c r="C157" s="11" t="s">
        <v>0</v>
      </c>
      <c r="D157" s="20" t="str">
        <f>"#"&amp;$S$2&amp;"#"&amp;$T$2&amp;"."&amp;$P$2&amp;".aPrt"</f>
        <v>#3#\\Setup_rza\Modbus.OPCServer\ZRU_Sepam.VV1_TOR.aPrt</v>
      </c>
    </row>
    <row r="158" spans="1:4">
      <c r="A158" s="19" t="str">
        <f t="shared" si="16"/>
        <v>АСУЭ.TOR_VV.aPrt</v>
      </c>
      <c r="B158" s="11">
        <v>7998</v>
      </c>
      <c r="C158" s="11" t="s">
        <v>6</v>
      </c>
      <c r="D158" s="20">
        <v>1</v>
      </c>
    </row>
    <row r="159" spans="1:4">
      <c r="A159" s="19" t="str">
        <f t="shared" si="16"/>
        <v>АСУЭ.TOR_VV.aPrt</v>
      </c>
      <c r="B159" s="11">
        <v>101</v>
      </c>
      <c r="C159" s="11" t="s">
        <v>0</v>
      </c>
      <c r="D159" s="20" t="s">
        <v>141</v>
      </c>
    </row>
    <row r="160" spans="1:4">
      <c r="A160" s="19" t="str">
        <f t="shared" si="16"/>
        <v>АСУЭ.TOR_VV.aPrt</v>
      </c>
      <c r="B160" s="11">
        <v>3</v>
      </c>
      <c r="C160" s="11" t="s">
        <v>1</v>
      </c>
      <c r="D160" s="20">
        <v>192</v>
      </c>
    </row>
    <row r="161" spans="1:4">
      <c r="A161" s="19" t="str">
        <f t="shared" si="16"/>
        <v>АСУЭ.TOR_VV.aPrt</v>
      </c>
      <c r="B161" s="11">
        <v>2</v>
      </c>
      <c r="C161" s="11" t="s">
        <v>2</v>
      </c>
      <c r="D161" s="20" t="s">
        <v>3</v>
      </c>
    </row>
    <row r="162" spans="1:4">
      <c r="A162" s="21" t="str">
        <f t="shared" si="16"/>
        <v>АСУЭ.TOR_VV.aPrt</v>
      </c>
      <c r="B162" s="8">
        <v>1</v>
      </c>
      <c r="C162" s="8" t="s">
        <v>1</v>
      </c>
      <c r="D162" s="22">
        <v>11</v>
      </c>
    </row>
    <row r="163" spans="1:4">
      <c r="A163" s="156" t="str">
        <f>$R$2&amp;".aExtTrip"</f>
        <v>АСУЭ.TOR_VV.aExtTrip</v>
      </c>
      <c r="B163" s="157">
        <v>11154</v>
      </c>
      <c r="C163" s="157" t="s">
        <v>4</v>
      </c>
      <c r="D163" s="760">
        <f>$Q$5</f>
        <v>4</v>
      </c>
    </row>
    <row r="164" spans="1:4">
      <c r="A164" s="148" t="str">
        <f t="shared" ref="A164:A172" si="17">$R$2&amp;".aExtTrip"</f>
        <v>АСУЭ.TOR_VV.aExtTrip</v>
      </c>
      <c r="B164" s="149">
        <v>11150</v>
      </c>
      <c r="C164" s="149" t="s">
        <v>0</v>
      </c>
      <c r="D164" s="125" t="s">
        <v>334</v>
      </c>
    </row>
    <row r="165" spans="1:4">
      <c r="A165" s="148" t="str">
        <f t="shared" si="17"/>
        <v>АСУЭ.TOR_VV.aExtTrip</v>
      </c>
      <c r="B165" s="149">
        <v>11152</v>
      </c>
      <c r="C165" s="149" t="s">
        <v>0</v>
      </c>
      <c r="D165" s="158" t="str">
        <f>$R$5</f>
        <v>Авария</v>
      </c>
    </row>
    <row r="166" spans="1:4">
      <c r="A166" s="148" t="str">
        <f t="shared" si="17"/>
        <v>АСУЭ.TOR_VV.aExtTrip</v>
      </c>
      <c r="B166" s="149">
        <v>11000</v>
      </c>
      <c r="C166" s="149" t="s">
        <v>5</v>
      </c>
      <c r="D166" s="125">
        <v>2147483680</v>
      </c>
    </row>
    <row r="167" spans="1:4">
      <c r="A167" s="19" t="str">
        <f t="shared" si="17"/>
        <v>АСУЭ.TOR_VV.aExtTrip</v>
      </c>
      <c r="B167" s="11">
        <v>7999</v>
      </c>
      <c r="C167" s="11" t="s">
        <v>0</v>
      </c>
      <c r="D167" s="20" t="str">
        <f>"#"&amp;$S$2&amp;"#"&amp;$T$2&amp;"."&amp;$P$2&amp;".aExtTrip"</f>
        <v>#3#\\Setup_rza\Modbus.OPCServer\ZRU_Sepam.VV1_TOR.aExtTrip</v>
      </c>
    </row>
    <row r="168" spans="1:4">
      <c r="A168" s="19" t="str">
        <f t="shared" si="17"/>
        <v>АСУЭ.TOR_VV.aExtTrip</v>
      </c>
      <c r="B168" s="11">
        <v>7998</v>
      </c>
      <c r="C168" s="11" t="s">
        <v>6</v>
      </c>
      <c r="D168" s="20">
        <v>1</v>
      </c>
    </row>
    <row r="169" spans="1:4">
      <c r="A169" s="19" t="str">
        <f t="shared" si="17"/>
        <v>АСУЭ.TOR_VV.aExtTrip</v>
      </c>
      <c r="B169" s="11">
        <v>101</v>
      </c>
      <c r="C169" s="11" t="s">
        <v>0</v>
      </c>
      <c r="D169" s="20" t="s">
        <v>334</v>
      </c>
    </row>
    <row r="170" spans="1:4">
      <c r="A170" s="19" t="str">
        <f t="shared" si="17"/>
        <v>АСУЭ.TOR_VV.aExtTrip</v>
      </c>
      <c r="B170" s="11">
        <v>3</v>
      </c>
      <c r="C170" s="11" t="s">
        <v>1</v>
      </c>
      <c r="D170" s="20">
        <v>192</v>
      </c>
    </row>
    <row r="171" spans="1:4">
      <c r="A171" s="19" t="str">
        <f t="shared" si="17"/>
        <v>АСУЭ.TOR_VV.aExtTrip</v>
      </c>
      <c r="B171" s="11">
        <v>2</v>
      </c>
      <c r="C171" s="11" t="s">
        <v>2</v>
      </c>
      <c r="D171" s="20" t="s">
        <v>3</v>
      </c>
    </row>
    <row r="172" spans="1:4">
      <c r="A172" s="21" t="str">
        <f t="shared" si="17"/>
        <v>АСУЭ.TOR_VV.aExtTrip</v>
      </c>
      <c r="B172" s="8">
        <v>1</v>
      </c>
      <c r="C172" s="8" t="s">
        <v>1</v>
      </c>
      <c r="D172" s="22">
        <v>11</v>
      </c>
    </row>
    <row r="173" spans="1:4">
      <c r="A173" s="156" t="str">
        <f>$R$2&amp;".aCmdCircuitFlt_on"</f>
        <v>АСУЭ.TOR_VV.aCmdCircuitFlt_on</v>
      </c>
      <c r="B173" s="157">
        <v>11154</v>
      </c>
      <c r="C173" s="157" t="s">
        <v>4</v>
      </c>
      <c r="D173" s="760">
        <f>$Q$5</f>
        <v>4</v>
      </c>
    </row>
    <row r="174" spans="1:4">
      <c r="A174" s="148" t="str">
        <f t="shared" ref="A174:A182" si="18">$R$2&amp;".aCmdCircuitFlt_on"</f>
        <v>АСУЭ.TOR_VV.aCmdCircuitFlt_on</v>
      </c>
      <c r="B174" s="149">
        <v>11150</v>
      </c>
      <c r="C174" s="149" t="s">
        <v>0</v>
      </c>
      <c r="D174" s="125" t="s">
        <v>1515</v>
      </c>
    </row>
    <row r="175" spans="1:4">
      <c r="A175" s="148" t="str">
        <f t="shared" si="18"/>
        <v>АСУЭ.TOR_VV.aCmdCircuitFlt_on</v>
      </c>
      <c r="B175" s="149">
        <v>11152</v>
      </c>
      <c r="C175" s="149" t="s">
        <v>0</v>
      </c>
      <c r="D175" s="158" t="str">
        <f>$R$5</f>
        <v>Авария</v>
      </c>
    </row>
    <row r="176" spans="1:4">
      <c r="A176" s="148" t="str">
        <f t="shared" si="18"/>
        <v>АСУЭ.TOR_VV.aCmdCircuitFlt_on</v>
      </c>
      <c r="B176" s="149">
        <v>11000</v>
      </c>
      <c r="C176" s="149" t="s">
        <v>5</v>
      </c>
      <c r="D176" s="125">
        <v>2147483680</v>
      </c>
    </row>
    <row r="177" spans="1:16">
      <c r="A177" s="19" t="str">
        <f t="shared" si="18"/>
        <v>АСУЭ.TOR_VV.aCmdCircuitFlt_on</v>
      </c>
      <c r="B177" s="11">
        <v>7999</v>
      </c>
      <c r="C177" s="11" t="s">
        <v>0</v>
      </c>
      <c r="D177" s="20" t="str">
        <f>"#"&amp;$S$2&amp;"#"&amp;$T$2&amp;"."&amp;$P$2&amp;".aCmdCircuitFlt_on"</f>
        <v>#3#\\Setup_rza\Modbus.OPCServer\ZRU_Sepam.VV1_TOR.aCmdCircuitFlt_on</v>
      </c>
    </row>
    <row r="178" spans="1:16">
      <c r="A178" s="19" t="str">
        <f t="shared" si="18"/>
        <v>АСУЭ.TOR_VV.aCmdCircuitFlt_on</v>
      </c>
      <c r="B178" s="11">
        <v>7998</v>
      </c>
      <c r="C178" s="11" t="s">
        <v>6</v>
      </c>
      <c r="D178" s="20">
        <v>1</v>
      </c>
    </row>
    <row r="179" spans="1:16">
      <c r="A179" s="19" t="str">
        <f t="shared" si="18"/>
        <v>АСУЭ.TOR_VV.aCmdCircuitFlt_on</v>
      </c>
      <c r="B179" s="11">
        <v>101</v>
      </c>
      <c r="C179" s="11" t="s">
        <v>0</v>
      </c>
      <c r="D179" s="20" t="s">
        <v>1515</v>
      </c>
    </row>
    <row r="180" spans="1:16">
      <c r="A180" s="19" t="str">
        <f t="shared" si="18"/>
        <v>АСУЭ.TOR_VV.aCmdCircuitFlt_on</v>
      </c>
      <c r="B180" s="11">
        <v>3</v>
      </c>
      <c r="C180" s="11" t="s">
        <v>1</v>
      </c>
      <c r="D180" s="20">
        <v>192</v>
      </c>
    </row>
    <row r="181" spans="1:16">
      <c r="A181" s="19" t="str">
        <f t="shared" si="18"/>
        <v>АСУЭ.TOR_VV.aCmdCircuitFlt_on</v>
      </c>
      <c r="B181" s="11">
        <v>2</v>
      </c>
      <c r="C181" s="11" t="s">
        <v>2</v>
      </c>
      <c r="D181" s="20" t="s">
        <v>3</v>
      </c>
    </row>
    <row r="182" spans="1:16">
      <c r="A182" s="21" t="str">
        <f t="shared" si="18"/>
        <v>АСУЭ.TOR_VV.aCmdCircuitFlt_on</v>
      </c>
      <c r="B182" s="8">
        <v>1</v>
      </c>
      <c r="C182" s="8" t="s">
        <v>1</v>
      </c>
      <c r="D182" s="22">
        <v>11</v>
      </c>
    </row>
    <row r="183" spans="1:16">
      <c r="A183" s="69" t="str">
        <f>$R$2&amp;".wCmdCircuitFlt_con"</f>
        <v>АСУЭ.TOR_VV.wCmdCircuitFlt_con</v>
      </c>
      <c r="B183" s="70">
        <v>11154</v>
      </c>
      <c r="C183" s="70" t="s">
        <v>4</v>
      </c>
      <c r="D183" s="71">
        <f>$Q$6</f>
        <v>8</v>
      </c>
      <c r="P183" s="4"/>
    </row>
    <row r="184" spans="1:16">
      <c r="A184" s="63" t="str">
        <f t="shared" ref="A184:A192" si="19">$R$2&amp;".wCmdCircuitFlt_con"</f>
        <v>АСУЭ.TOR_VV.wCmdCircuitFlt_con</v>
      </c>
      <c r="B184" s="64">
        <v>11152</v>
      </c>
      <c r="C184" s="64" t="s">
        <v>0</v>
      </c>
      <c r="D184" s="65" t="str">
        <f>$R$6</f>
        <v>Предупреждение</v>
      </c>
      <c r="P184" s="4"/>
    </row>
    <row r="185" spans="1:16">
      <c r="A185" s="63" t="str">
        <f t="shared" si="19"/>
        <v>АСУЭ.TOR_VV.wCmdCircuitFlt_con</v>
      </c>
      <c r="B185" s="64">
        <v>11150</v>
      </c>
      <c r="C185" s="64" t="s">
        <v>0</v>
      </c>
      <c r="D185" s="65" t="s">
        <v>387</v>
      </c>
      <c r="P185" s="4"/>
    </row>
    <row r="186" spans="1:16">
      <c r="A186" s="63" t="str">
        <f t="shared" si="19"/>
        <v>АСУЭ.TOR_VV.wCmdCircuitFlt_con</v>
      </c>
      <c r="B186" s="64">
        <v>11000</v>
      </c>
      <c r="C186" s="64" t="s">
        <v>5</v>
      </c>
      <c r="D186" s="65">
        <v>2147483680</v>
      </c>
      <c r="P186" s="4"/>
    </row>
    <row r="187" spans="1:16">
      <c r="A187" s="19" t="str">
        <f t="shared" si="19"/>
        <v>АСУЭ.TOR_VV.wCmdCircuitFlt_con</v>
      </c>
      <c r="B187" s="11">
        <v>7999</v>
      </c>
      <c r="C187" s="11" t="s">
        <v>0</v>
      </c>
      <c r="D187" s="20" t="str">
        <f>"#"&amp;$S$2&amp;"#"&amp;$T$2&amp;"."&amp;$P$2&amp;".wCmdCircuitFlt_con"</f>
        <v>#3#\\Setup_rza\Modbus.OPCServer\ZRU_Sepam.VV1_TOR.wCmdCircuitFlt_con</v>
      </c>
      <c r="P187" s="4"/>
    </row>
    <row r="188" spans="1:16" ht="15" customHeight="1">
      <c r="A188" s="19" t="str">
        <f t="shared" si="19"/>
        <v>АСУЭ.TOR_VV.wCmdCircuitFlt_con</v>
      </c>
      <c r="B188" s="11">
        <v>7998</v>
      </c>
      <c r="C188" s="11" t="s">
        <v>6</v>
      </c>
      <c r="D188" s="20">
        <v>1</v>
      </c>
      <c r="P188" s="4"/>
    </row>
    <row r="189" spans="1:16">
      <c r="A189" s="19" t="str">
        <f t="shared" si="19"/>
        <v>АСУЭ.TOR_VV.wCmdCircuitFlt_con</v>
      </c>
      <c r="B189" s="11">
        <v>101</v>
      </c>
      <c r="C189" s="11" t="s">
        <v>0</v>
      </c>
      <c r="D189" s="20" t="s">
        <v>387</v>
      </c>
      <c r="P189" s="4"/>
    </row>
    <row r="190" spans="1:16">
      <c r="A190" s="19" t="str">
        <f t="shared" si="19"/>
        <v>АСУЭ.TOR_VV.wCmdCircuitFlt_con</v>
      </c>
      <c r="B190" s="11">
        <v>3</v>
      </c>
      <c r="C190" s="11" t="s">
        <v>1</v>
      </c>
      <c r="D190" s="20">
        <v>192</v>
      </c>
      <c r="P190" s="4"/>
    </row>
    <row r="191" spans="1:16">
      <c r="A191" s="19" t="str">
        <f t="shared" si="19"/>
        <v>АСУЭ.TOR_VV.wCmdCircuitFlt_con</v>
      </c>
      <c r="B191" s="11">
        <v>2</v>
      </c>
      <c r="C191" s="11" t="s">
        <v>2</v>
      </c>
      <c r="D191" s="20" t="s">
        <v>3</v>
      </c>
      <c r="P191" s="4"/>
    </row>
    <row r="192" spans="1:16">
      <c r="A192" s="19" t="str">
        <f t="shared" si="19"/>
        <v>АСУЭ.TOR_VV.wCmdCircuitFlt_con</v>
      </c>
      <c r="B192" s="11">
        <v>1</v>
      </c>
      <c r="C192" s="11" t="s">
        <v>1</v>
      </c>
      <c r="D192" s="20">
        <v>11</v>
      </c>
      <c r="P192" s="4"/>
    </row>
    <row r="193" spans="1:16">
      <c r="A193" s="69" t="str">
        <f>$R$2&amp;".wStateMismatch"</f>
        <v>АСУЭ.TOR_VV.wStateMismatch</v>
      </c>
      <c r="B193" s="70">
        <v>11154</v>
      </c>
      <c r="C193" s="70" t="s">
        <v>4</v>
      </c>
      <c r="D193" s="71">
        <f>$Q$6</f>
        <v>8</v>
      </c>
      <c r="P193" s="4"/>
    </row>
    <row r="194" spans="1:16">
      <c r="A194" s="63" t="str">
        <f t="shared" ref="A194:A202" si="20">$R$2&amp;".wStateMismatch"</f>
        <v>АСУЭ.TOR_VV.wStateMismatch</v>
      </c>
      <c r="B194" s="64">
        <v>11152</v>
      </c>
      <c r="C194" s="64" t="s">
        <v>0</v>
      </c>
      <c r="D194" s="65" t="str">
        <f>$R$6</f>
        <v>Предупреждение</v>
      </c>
      <c r="P194" s="4"/>
    </row>
    <row r="195" spans="1:16">
      <c r="A195" s="63" t="str">
        <f t="shared" si="20"/>
        <v>АСУЭ.TOR_VV.wStateMismatch</v>
      </c>
      <c r="B195" s="64">
        <v>11150</v>
      </c>
      <c r="C195" s="64" t="s">
        <v>0</v>
      </c>
      <c r="D195" s="65" t="s">
        <v>2779</v>
      </c>
      <c r="P195" s="4"/>
    </row>
    <row r="196" spans="1:16">
      <c r="A196" s="63" t="str">
        <f t="shared" si="20"/>
        <v>АСУЭ.TOR_VV.wStateMismatch</v>
      </c>
      <c r="B196" s="64">
        <v>11000</v>
      </c>
      <c r="C196" s="64" t="s">
        <v>5</v>
      </c>
      <c r="D196" s="65">
        <v>2147483680</v>
      </c>
      <c r="P196" s="4"/>
    </row>
    <row r="197" spans="1:16">
      <c r="A197" s="19" t="str">
        <f t="shared" si="20"/>
        <v>АСУЭ.TOR_VV.wStateMismatch</v>
      </c>
      <c r="B197" s="11">
        <v>7999</v>
      </c>
      <c r="C197" s="11" t="s">
        <v>0</v>
      </c>
      <c r="D197" s="20" t="str">
        <f>"#"&amp;$S$2&amp;"#"&amp;$T$2&amp;"."&amp;$P$2&amp;".wStateMismatch"</f>
        <v>#3#\\Setup_rza\Modbus.OPCServer\ZRU_Sepam.VV1_TOR.wStateMismatch</v>
      </c>
      <c r="P197" s="4"/>
    </row>
    <row r="198" spans="1:16">
      <c r="A198" s="19" t="str">
        <f t="shared" si="20"/>
        <v>АСУЭ.TOR_VV.wStateMismatch</v>
      </c>
      <c r="B198" s="11">
        <v>7998</v>
      </c>
      <c r="C198" s="11" t="s">
        <v>6</v>
      </c>
      <c r="D198" s="20">
        <v>1</v>
      </c>
      <c r="P198" s="4"/>
    </row>
    <row r="199" spans="1:16">
      <c r="A199" s="19" t="str">
        <f t="shared" si="20"/>
        <v>АСУЭ.TOR_VV.wStateMismatch</v>
      </c>
      <c r="B199" s="11">
        <v>101</v>
      </c>
      <c r="C199" s="11" t="s">
        <v>0</v>
      </c>
      <c r="D199" s="20" t="s">
        <v>2779</v>
      </c>
      <c r="P199" s="4"/>
    </row>
    <row r="200" spans="1:16">
      <c r="A200" s="19" t="str">
        <f t="shared" si="20"/>
        <v>АСУЭ.TOR_VV.wStateMismatch</v>
      </c>
      <c r="B200" s="11">
        <v>3</v>
      </c>
      <c r="C200" s="11" t="s">
        <v>1</v>
      </c>
      <c r="D200" s="20">
        <v>192</v>
      </c>
      <c r="P200" s="4"/>
    </row>
    <row r="201" spans="1:16">
      <c r="A201" s="19" t="str">
        <f t="shared" si="20"/>
        <v>АСУЭ.TOR_VV.wStateMismatch</v>
      </c>
      <c r="B201" s="11">
        <v>2</v>
      </c>
      <c r="C201" s="11" t="s">
        <v>2</v>
      </c>
      <c r="D201" s="20" t="s">
        <v>3</v>
      </c>
      <c r="P201" s="4"/>
    </row>
    <row r="202" spans="1:16">
      <c r="A202" s="19" t="str">
        <f t="shared" si="20"/>
        <v>АСУЭ.TOR_VV.wStateMismatch</v>
      </c>
      <c r="B202" s="11">
        <v>1</v>
      </c>
      <c r="C202" s="11" t="s">
        <v>1</v>
      </c>
      <c r="D202" s="20">
        <v>11</v>
      </c>
      <c r="P202" s="4"/>
    </row>
    <row r="203" spans="1:16">
      <c r="A203" s="69" t="str">
        <f>$R$2&amp;".wP_low"</f>
        <v>АСУЭ.TOR_VV.wP_low</v>
      </c>
      <c r="B203" s="70">
        <v>11154</v>
      </c>
      <c r="C203" s="70" t="s">
        <v>4</v>
      </c>
      <c r="D203" s="71">
        <f>$Q$6</f>
        <v>8</v>
      </c>
      <c r="P203" s="4"/>
    </row>
    <row r="204" spans="1:16">
      <c r="A204" s="63" t="str">
        <f t="shared" ref="A204:A212" si="21">$R$2&amp;".wP_low"</f>
        <v>АСУЭ.TOR_VV.wP_low</v>
      </c>
      <c r="B204" s="64">
        <v>11152</v>
      </c>
      <c r="C204" s="64" t="s">
        <v>0</v>
      </c>
      <c r="D204" s="65" t="str">
        <f>$R$6</f>
        <v>Предупреждение</v>
      </c>
      <c r="P204" s="4"/>
    </row>
    <row r="205" spans="1:16">
      <c r="A205" s="63" t="str">
        <f t="shared" si="21"/>
        <v>АСУЭ.TOR_VV.wP_low</v>
      </c>
      <c r="B205" s="64">
        <v>11150</v>
      </c>
      <c r="C205" s="64" t="s">
        <v>0</v>
      </c>
      <c r="D205" s="65" t="s">
        <v>2780</v>
      </c>
      <c r="P205" s="4"/>
    </row>
    <row r="206" spans="1:16">
      <c r="A206" s="63" t="str">
        <f t="shared" si="21"/>
        <v>АСУЭ.TOR_VV.wP_low</v>
      </c>
      <c r="B206" s="64">
        <v>11000</v>
      </c>
      <c r="C206" s="64" t="s">
        <v>5</v>
      </c>
      <c r="D206" s="65">
        <v>2147483680</v>
      </c>
      <c r="P206" s="4"/>
    </row>
    <row r="207" spans="1:16">
      <c r="A207" s="19" t="str">
        <f t="shared" si="21"/>
        <v>АСУЭ.TOR_VV.wP_low</v>
      </c>
      <c r="B207" s="11">
        <v>7999</v>
      </c>
      <c r="C207" s="11" t="s">
        <v>0</v>
      </c>
      <c r="D207" s="20" t="str">
        <f>"#"&amp;$S$2&amp;"#"&amp;$T$2&amp;"."&amp;$P$2&amp;".wP_low"</f>
        <v>#3#\\Setup_rza\Modbus.OPCServer\ZRU_Sepam.VV1_TOR.wP_low</v>
      </c>
      <c r="P207" s="4"/>
    </row>
    <row r="208" spans="1:16">
      <c r="A208" s="19" t="str">
        <f t="shared" si="21"/>
        <v>АСУЭ.TOR_VV.wP_low</v>
      </c>
      <c r="B208" s="11">
        <v>7998</v>
      </c>
      <c r="C208" s="11" t="s">
        <v>6</v>
      </c>
      <c r="D208" s="20">
        <v>1</v>
      </c>
      <c r="P208" s="4"/>
    </row>
    <row r="209" spans="1:16">
      <c r="A209" s="19" t="str">
        <f t="shared" si="21"/>
        <v>АСУЭ.TOR_VV.wP_low</v>
      </c>
      <c r="B209" s="11">
        <v>101</v>
      </c>
      <c r="C209" s="11" t="s">
        <v>0</v>
      </c>
      <c r="D209" s="20" t="s">
        <v>2780</v>
      </c>
      <c r="P209" s="4"/>
    </row>
    <row r="210" spans="1:16">
      <c r="A210" s="19" t="str">
        <f t="shared" si="21"/>
        <v>АСУЭ.TOR_VV.wP_low</v>
      </c>
      <c r="B210" s="11">
        <v>3</v>
      </c>
      <c r="C210" s="11" t="s">
        <v>1</v>
      </c>
      <c r="D210" s="20">
        <v>192</v>
      </c>
      <c r="P210" s="4"/>
    </row>
    <row r="211" spans="1:16">
      <c r="A211" s="19" t="str">
        <f t="shared" si="21"/>
        <v>АСУЭ.TOR_VV.wP_low</v>
      </c>
      <c r="B211" s="11">
        <v>2</v>
      </c>
      <c r="C211" s="11" t="s">
        <v>2</v>
      </c>
      <c r="D211" s="20" t="s">
        <v>3</v>
      </c>
      <c r="P211" s="4"/>
    </row>
    <row r="212" spans="1:16">
      <c r="A212" s="19" t="str">
        <f t="shared" si="21"/>
        <v>АСУЭ.TOR_VV.wP_low</v>
      </c>
      <c r="B212" s="11">
        <v>1</v>
      </c>
      <c r="C212" s="11" t="s">
        <v>1</v>
      </c>
      <c r="D212" s="20">
        <v>11</v>
      </c>
      <c r="P212" s="4"/>
    </row>
    <row r="213" spans="1:16">
      <c r="A213" s="69" t="str">
        <f>$R$2&amp;".wGenFlt"</f>
        <v>АСУЭ.TOR_VV.wGenFlt</v>
      </c>
      <c r="B213" s="70">
        <v>11154</v>
      </c>
      <c r="C213" s="70" t="s">
        <v>4</v>
      </c>
      <c r="D213" s="71">
        <f>$Q$6</f>
        <v>8</v>
      </c>
      <c r="P213" s="4"/>
    </row>
    <row r="214" spans="1:16">
      <c r="A214" s="63" t="str">
        <f t="shared" ref="A214:A222" si="22">$R$2&amp;".wGenFlt"</f>
        <v>АСУЭ.TOR_VV.wGenFlt</v>
      </c>
      <c r="B214" s="64">
        <v>11152</v>
      </c>
      <c r="C214" s="64" t="s">
        <v>0</v>
      </c>
      <c r="D214" s="65" t="str">
        <f>$R$6</f>
        <v>Предупреждение</v>
      </c>
      <c r="P214" s="4"/>
    </row>
    <row r="215" spans="1:16">
      <c r="A215" s="63" t="str">
        <f t="shared" si="22"/>
        <v>АСУЭ.TOR_VV.wGenFlt</v>
      </c>
      <c r="B215" s="64">
        <v>11150</v>
      </c>
      <c r="C215" s="64" t="s">
        <v>0</v>
      </c>
      <c r="D215" s="65" t="s">
        <v>2781</v>
      </c>
      <c r="P215" s="4"/>
    </row>
    <row r="216" spans="1:16">
      <c r="A216" s="63" t="str">
        <f t="shared" si="22"/>
        <v>АСУЭ.TOR_VV.wGenFlt</v>
      </c>
      <c r="B216" s="64">
        <v>11000</v>
      </c>
      <c r="C216" s="64" t="s">
        <v>5</v>
      </c>
      <c r="D216" s="65">
        <v>2147483680</v>
      </c>
      <c r="P216" s="4"/>
    </row>
    <row r="217" spans="1:16">
      <c r="A217" s="19" t="str">
        <f t="shared" si="22"/>
        <v>АСУЭ.TOR_VV.wGenFlt</v>
      </c>
      <c r="B217" s="11">
        <v>7999</v>
      </c>
      <c r="C217" s="11" t="s">
        <v>0</v>
      </c>
      <c r="D217" s="20" t="str">
        <f>"#"&amp;$S$2&amp;"#"&amp;$T$2&amp;"."&amp;$P$2&amp;".wGenFlt"</f>
        <v>#3#\\Setup_rza\Modbus.OPCServer\ZRU_Sepam.VV1_TOR.wGenFlt</v>
      </c>
      <c r="P217" s="4"/>
    </row>
    <row r="218" spans="1:16">
      <c r="A218" s="19" t="str">
        <f t="shared" si="22"/>
        <v>АСУЭ.TOR_VV.wGenFlt</v>
      </c>
      <c r="B218" s="11">
        <v>7998</v>
      </c>
      <c r="C218" s="11" t="s">
        <v>6</v>
      </c>
      <c r="D218" s="20">
        <v>1</v>
      </c>
      <c r="P218" s="4"/>
    </row>
    <row r="219" spans="1:16">
      <c r="A219" s="19" t="str">
        <f t="shared" si="22"/>
        <v>АСУЭ.TOR_VV.wGenFlt</v>
      </c>
      <c r="B219" s="11">
        <v>101</v>
      </c>
      <c r="C219" s="11" t="s">
        <v>0</v>
      </c>
      <c r="D219" s="20" t="s">
        <v>2781</v>
      </c>
      <c r="P219" s="4"/>
    </row>
    <row r="220" spans="1:16">
      <c r="A220" s="19" t="str">
        <f t="shared" si="22"/>
        <v>АСУЭ.TOR_VV.wGenFlt</v>
      </c>
      <c r="B220" s="11">
        <v>3</v>
      </c>
      <c r="C220" s="11" t="s">
        <v>1</v>
      </c>
      <c r="D220" s="20">
        <v>192</v>
      </c>
      <c r="P220" s="4"/>
    </row>
    <row r="221" spans="1:16">
      <c r="A221" s="19" t="str">
        <f t="shared" si="22"/>
        <v>АСУЭ.TOR_VV.wGenFlt</v>
      </c>
      <c r="B221" s="11">
        <v>2</v>
      </c>
      <c r="C221" s="11" t="s">
        <v>2</v>
      </c>
      <c r="D221" s="20" t="s">
        <v>3</v>
      </c>
      <c r="P221" s="4"/>
    </row>
    <row r="222" spans="1:16">
      <c r="A222" s="19" t="str">
        <f t="shared" si="22"/>
        <v>АСУЭ.TOR_VV.wGenFlt</v>
      </c>
      <c r="B222" s="11">
        <v>1</v>
      </c>
      <c r="C222" s="11" t="s">
        <v>1</v>
      </c>
      <c r="D222" s="20">
        <v>11</v>
      </c>
      <c r="P222" s="4"/>
    </row>
    <row r="223" spans="1:16">
      <c r="A223" s="69" t="str">
        <f>$R$2&amp;".wOZZ"</f>
        <v>АСУЭ.TOR_VV.wOZZ</v>
      </c>
      <c r="B223" s="70">
        <v>11154</v>
      </c>
      <c r="C223" s="70" t="s">
        <v>4</v>
      </c>
      <c r="D223" s="71">
        <f>$Q$6</f>
        <v>8</v>
      </c>
      <c r="P223" s="4"/>
    </row>
    <row r="224" spans="1:16">
      <c r="A224" s="63" t="str">
        <f t="shared" ref="A224:A232" si="23">$R$2&amp;".wOZZ"</f>
        <v>АСУЭ.TOR_VV.wOZZ</v>
      </c>
      <c r="B224" s="64">
        <v>11152</v>
      </c>
      <c r="C224" s="64" t="s">
        <v>0</v>
      </c>
      <c r="D224" s="65" t="str">
        <f>$R$6</f>
        <v>Предупреждение</v>
      </c>
      <c r="P224" s="4"/>
    </row>
    <row r="225" spans="1:16">
      <c r="A225" s="63" t="str">
        <f t="shared" si="23"/>
        <v>АСУЭ.TOR_VV.wOZZ</v>
      </c>
      <c r="B225" s="64">
        <v>11150</v>
      </c>
      <c r="C225" s="64" t="s">
        <v>0</v>
      </c>
      <c r="D225" s="65" t="s">
        <v>2782</v>
      </c>
      <c r="P225" s="4"/>
    </row>
    <row r="226" spans="1:16">
      <c r="A226" s="63" t="str">
        <f t="shared" si="23"/>
        <v>АСУЭ.TOR_VV.wOZZ</v>
      </c>
      <c r="B226" s="64">
        <v>11000</v>
      </c>
      <c r="C226" s="64" t="s">
        <v>5</v>
      </c>
      <c r="D226" s="65">
        <v>2147483680</v>
      </c>
      <c r="P226" s="4"/>
    </row>
    <row r="227" spans="1:16">
      <c r="A227" s="19" t="str">
        <f t="shared" si="23"/>
        <v>АСУЭ.TOR_VV.wOZZ</v>
      </c>
      <c r="B227" s="11">
        <v>7999</v>
      </c>
      <c r="C227" s="11" t="s">
        <v>0</v>
      </c>
      <c r="D227" s="20" t="str">
        <f>"#"&amp;$S$2&amp;"#"&amp;$T$2&amp;"."&amp;$P$2&amp;".wOZZ"</f>
        <v>#3#\\Setup_rza\Modbus.OPCServer\ZRU_Sepam.VV1_TOR.wOZZ</v>
      </c>
      <c r="P227" s="4"/>
    </row>
    <row r="228" spans="1:16">
      <c r="A228" s="19" t="str">
        <f t="shared" si="23"/>
        <v>АСУЭ.TOR_VV.wOZZ</v>
      </c>
      <c r="B228" s="11">
        <v>7998</v>
      </c>
      <c r="C228" s="11" t="s">
        <v>6</v>
      </c>
      <c r="D228" s="20">
        <v>1</v>
      </c>
      <c r="P228" s="4"/>
    </row>
    <row r="229" spans="1:16">
      <c r="A229" s="19" t="str">
        <f t="shared" si="23"/>
        <v>АСУЭ.TOR_VV.wOZZ</v>
      </c>
      <c r="B229" s="11">
        <v>101</v>
      </c>
      <c r="C229" s="11" t="s">
        <v>0</v>
      </c>
      <c r="D229" s="20" t="s">
        <v>2782</v>
      </c>
      <c r="P229" s="4"/>
    </row>
    <row r="230" spans="1:16">
      <c r="A230" s="19" t="str">
        <f t="shared" si="23"/>
        <v>АСУЭ.TOR_VV.wOZZ</v>
      </c>
      <c r="B230" s="11">
        <v>3</v>
      </c>
      <c r="C230" s="11" t="s">
        <v>1</v>
      </c>
      <c r="D230" s="20">
        <v>192</v>
      </c>
      <c r="P230" s="4"/>
    </row>
    <row r="231" spans="1:16">
      <c r="A231" s="19" t="str">
        <f t="shared" si="23"/>
        <v>АСУЭ.TOR_VV.wOZZ</v>
      </c>
      <c r="B231" s="11">
        <v>2</v>
      </c>
      <c r="C231" s="11" t="s">
        <v>2</v>
      </c>
      <c r="D231" s="20" t="s">
        <v>3</v>
      </c>
      <c r="P231" s="4"/>
    </row>
    <row r="232" spans="1:16">
      <c r="A232" s="19" t="str">
        <f t="shared" si="23"/>
        <v>АСУЭ.TOR_VV.wOZZ</v>
      </c>
      <c r="B232" s="11">
        <v>1</v>
      </c>
      <c r="C232" s="11" t="s">
        <v>1</v>
      </c>
      <c r="D232" s="20">
        <v>11</v>
      </c>
      <c r="P232" s="4"/>
    </row>
    <row r="233" spans="1:16">
      <c r="A233" s="69" t="str">
        <f>$R$2&amp;".wCHAPV"</f>
        <v>АСУЭ.TOR_VV.wCHAPV</v>
      </c>
      <c r="B233" s="70">
        <v>11154</v>
      </c>
      <c r="C233" s="70" t="s">
        <v>4</v>
      </c>
      <c r="D233" s="71">
        <f>$Q$6</f>
        <v>8</v>
      </c>
      <c r="P233" s="4"/>
    </row>
    <row r="234" spans="1:16">
      <c r="A234" s="63" t="str">
        <f t="shared" ref="A234:A242" si="24">$R$2&amp;".wCHAPV"</f>
        <v>АСУЭ.TOR_VV.wCHAPV</v>
      </c>
      <c r="B234" s="64">
        <v>11152</v>
      </c>
      <c r="C234" s="64" t="s">
        <v>0</v>
      </c>
      <c r="D234" s="65" t="str">
        <f>$R$6</f>
        <v>Предупреждение</v>
      </c>
      <c r="P234" s="4"/>
    </row>
    <row r="235" spans="1:16">
      <c r="A235" s="63" t="str">
        <f t="shared" si="24"/>
        <v>АСУЭ.TOR_VV.wCHAPV</v>
      </c>
      <c r="B235" s="64">
        <v>11150</v>
      </c>
      <c r="C235" s="64" t="s">
        <v>0</v>
      </c>
      <c r="D235" s="65" t="s">
        <v>2783</v>
      </c>
      <c r="P235" s="4"/>
    </row>
    <row r="236" spans="1:16">
      <c r="A236" s="63" t="str">
        <f t="shared" si="24"/>
        <v>АСУЭ.TOR_VV.wCHAPV</v>
      </c>
      <c r="B236" s="64">
        <v>11000</v>
      </c>
      <c r="C236" s="64" t="s">
        <v>5</v>
      </c>
      <c r="D236" s="65">
        <v>2147483680</v>
      </c>
      <c r="P236" s="4"/>
    </row>
    <row r="237" spans="1:16">
      <c r="A237" s="19" t="str">
        <f t="shared" si="24"/>
        <v>АСУЭ.TOR_VV.wCHAPV</v>
      </c>
      <c r="B237" s="11">
        <v>7999</v>
      </c>
      <c r="C237" s="11" t="s">
        <v>0</v>
      </c>
      <c r="D237" s="20" t="str">
        <f>"#"&amp;$S$2&amp;"#"&amp;$T$2&amp;"."&amp;$P$2&amp;".wCHAPV"</f>
        <v>#3#\\Setup_rza\Modbus.OPCServer\ZRU_Sepam.VV1_TOR.wCHAPV</v>
      </c>
      <c r="P237" s="4"/>
    </row>
    <row r="238" spans="1:16">
      <c r="A238" s="19" t="str">
        <f t="shared" si="24"/>
        <v>АСУЭ.TOR_VV.wCHAPV</v>
      </c>
      <c r="B238" s="11">
        <v>7998</v>
      </c>
      <c r="C238" s="11" t="s">
        <v>6</v>
      </c>
      <c r="D238" s="20">
        <v>1</v>
      </c>
      <c r="P238" s="4"/>
    </row>
    <row r="239" spans="1:16">
      <c r="A239" s="19" t="str">
        <f t="shared" si="24"/>
        <v>АСУЭ.TOR_VV.wCHAPV</v>
      </c>
      <c r="B239" s="11">
        <v>101</v>
      </c>
      <c r="C239" s="11" t="s">
        <v>0</v>
      </c>
      <c r="D239" s="20" t="s">
        <v>2783</v>
      </c>
      <c r="P239" s="4"/>
    </row>
    <row r="240" spans="1:16">
      <c r="A240" s="19" t="str">
        <f t="shared" si="24"/>
        <v>АСУЭ.TOR_VV.wCHAPV</v>
      </c>
      <c r="B240" s="11">
        <v>3</v>
      </c>
      <c r="C240" s="11" t="s">
        <v>1</v>
      </c>
      <c r="D240" s="20">
        <v>192</v>
      </c>
      <c r="P240" s="4"/>
    </row>
    <row r="241" spans="1:16">
      <c r="A241" s="19" t="str">
        <f t="shared" si="24"/>
        <v>АСУЭ.TOR_VV.wCHAPV</v>
      </c>
      <c r="B241" s="11">
        <v>2</v>
      </c>
      <c r="C241" s="11" t="s">
        <v>2</v>
      </c>
      <c r="D241" s="20" t="s">
        <v>3</v>
      </c>
      <c r="P241" s="4"/>
    </row>
    <row r="242" spans="1:16">
      <c r="A242" s="19" t="str">
        <f t="shared" si="24"/>
        <v>АСУЭ.TOR_VV.wCHAPV</v>
      </c>
      <c r="B242" s="11">
        <v>1</v>
      </c>
      <c r="C242" s="11" t="s">
        <v>1</v>
      </c>
      <c r="D242" s="20">
        <v>11</v>
      </c>
      <c r="P242" s="4"/>
    </row>
    <row r="243" spans="1:16">
      <c r="A243" s="69" t="str">
        <f>$R$2&amp;".wAPV"</f>
        <v>АСУЭ.TOR_VV.wAPV</v>
      </c>
      <c r="B243" s="70">
        <v>11154</v>
      </c>
      <c r="C243" s="70" t="s">
        <v>4</v>
      </c>
      <c r="D243" s="71">
        <f>$Q$6</f>
        <v>8</v>
      </c>
      <c r="P243" s="4"/>
    </row>
    <row r="244" spans="1:16">
      <c r="A244" s="63" t="str">
        <f t="shared" ref="A244:A252" si="25">$R$2&amp;".wAPV"</f>
        <v>АСУЭ.TOR_VV.wAPV</v>
      </c>
      <c r="B244" s="64">
        <v>11152</v>
      </c>
      <c r="C244" s="64" t="s">
        <v>0</v>
      </c>
      <c r="D244" s="65" t="str">
        <f>$R$6</f>
        <v>Предупреждение</v>
      </c>
      <c r="P244" s="4"/>
    </row>
    <row r="245" spans="1:16">
      <c r="A245" s="63" t="str">
        <f t="shared" si="25"/>
        <v>АСУЭ.TOR_VV.wAPV</v>
      </c>
      <c r="B245" s="64">
        <v>11150</v>
      </c>
      <c r="C245" s="64" t="s">
        <v>0</v>
      </c>
      <c r="D245" s="65" t="s">
        <v>1505</v>
      </c>
      <c r="P245" s="4"/>
    </row>
    <row r="246" spans="1:16">
      <c r="A246" s="63" t="str">
        <f t="shared" si="25"/>
        <v>АСУЭ.TOR_VV.wAPV</v>
      </c>
      <c r="B246" s="64">
        <v>11000</v>
      </c>
      <c r="C246" s="64" t="s">
        <v>5</v>
      </c>
      <c r="D246" s="65">
        <v>2147483680</v>
      </c>
      <c r="P246" s="4"/>
    </row>
    <row r="247" spans="1:16">
      <c r="A247" s="19" t="str">
        <f t="shared" si="25"/>
        <v>АСУЭ.TOR_VV.wAPV</v>
      </c>
      <c r="B247" s="11">
        <v>7999</v>
      </c>
      <c r="C247" s="11" t="s">
        <v>0</v>
      </c>
      <c r="D247" s="20" t="str">
        <f>"#"&amp;$S$2&amp;"#"&amp;$T$2&amp;"."&amp;$P$2&amp;".wAPV"</f>
        <v>#3#\\Setup_rza\Modbus.OPCServer\ZRU_Sepam.VV1_TOR.wAPV</v>
      </c>
      <c r="P247" s="4"/>
    </row>
    <row r="248" spans="1:16">
      <c r="A248" s="19" t="str">
        <f t="shared" si="25"/>
        <v>АСУЭ.TOR_VV.wAPV</v>
      </c>
      <c r="B248" s="11">
        <v>7998</v>
      </c>
      <c r="C248" s="11" t="s">
        <v>6</v>
      </c>
      <c r="D248" s="20">
        <v>1</v>
      </c>
      <c r="P248" s="4"/>
    </row>
    <row r="249" spans="1:16">
      <c r="A249" s="19" t="str">
        <f t="shared" si="25"/>
        <v>АСУЭ.TOR_VV.wAPV</v>
      </c>
      <c r="B249" s="11">
        <v>101</v>
      </c>
      <c r="C249" s="11" t="s">
        <v>0</v>
      </c>
      <c r="D249" s="20" t="s">
        <v>1505</v>
      </c>
      <c r="P249" s="4"/>
    </row>
    <row r="250" spans="1:16">
      <c r="A250" s="19" t="str">
        <f t="shared" si="25"/>
        <v>АСУЭ.TOR_VV.wAPV</v>
      </c>
      <c r="B250" s="11">
        <v>3</v>
      </c>
      <c r="C250" s="11" t="s">
        <v>1</v>
      </c>
      <c r="D250" s="20">
        <v>192</v>
      </c>
      <c r="P250" s="4"/>
    </row>
    <row r="251" spans="1:16">
      <c r="A251" s="19" t="str">
        <f t="shared" si="25"/>
        <v>АСУЭ.TOR_VV.wAPV</v>
      </c>
      <c r="B251" s="11">
        <v>2</v>
      </c>
      <c r="C251" s="11" t="s">
        <v>2</v>
      </c>
      <c r="D251" s="20" t="s">
        <v>3</v>
      </c>
      <c r="P251" s="4"/>
    </row>
    <row r="252" spans="1:16">
      <c r="A252" s="19" t="str">
        <f t="shared" si="25"/>
        <v>АСУЭ.TOR_VV.wAPV</v>
      </c>
      <c r="B252" s="11">
        <v>1</v>
      </c>
      <c r="C252" s="11" t="s">
        <v>1</v>
      </c>
      <c r="D252" s="20">
        <v>11</v>
      </c>
      <c r="P252" s="4"/>
    </row>
    <row r="253" spans="1:16">
      <c r="A253" s="69" t="str">
        <f>$R$2&amp;".wAPV_rdy"</f>
        <v>АСУЭ.TOR_VV.wAPV_rdy</v>
      </c>
      <c r="B253" s="70">
        <v>11154</v>
      </c>
      <c r="C253" s="70" t="s">
        <v>4</v>
      </c>
      <c r="D253" s="71">
        <f>$Q$6</f>
        <v>8</v>
      </c>
      <c r="P253" s="4"/>
    </row>
    <row r="254" spans="1:16">
      <c r="A254" s="63" t="str">
        <f t="shared" ref="A254:A262" si="26">$R$2&amp;".wAPV_rdy"</f>
        <v>АСУЭ.TOR_VV.wAPV_rdy</v>
      </c>
      <c r="B254" s="64">
        <v>11152</v>
      </c>
      <c r="C254" s="64" t="s">
        <v>0</v>
      </c>
      <c r="D254" s="65" t="str">
        <f>$R$6</f>
        <v>Предупреждение</v>
      </c>
      <c r="P254" s="4"/>
    </row>
    <row r="255" spans="1:16">
      <c r="A255" s="63" t="str">
        <f t="shared" si="26"/>
        <v>АСУЭ.TOR_VV.wAPV_rdy</v>
      </c>
      <c r="B255" s="64">
        <v>11150</v>
      </c>
      <c r="C255" s="64" t="s">
        <v>0</v>
      </c>
      <c r="D255" s="65" t="s">
        <v>1518</v>
      </c>
      <c r="P255" s="4"/>
    </row>
    <row r="256" spans="1:16">
      <c r="A256" s="63" t="str">
        <f t="shared" si="26"/>
        <v>АСУЭ.TOR_VV.wAPV_rdy</v>
      </c>
      <c r="B256" s="64">
        <v>11000</v>
      </c>
      <c r="C256" s="64" t="s">
        <v>5</v>
      </c>
      <c r="D256" s="65">
        <v>2147483680</v>
      </c>
      <c r="P256" s="4"/>
    </row>
    <row r="257" spans="1:16">
      <c r="A257" s="19" t="str">
        <f t="shared" si="26"/>
        <v>АСУЭ.TOR_VV.wAPV_rdy</v>
      </c>
      <c r="B257" s="11">
        <v>7999</v>
      </c>
      <c r="C257" s="11" t="s">
        <v>0</v>
      </c>
      <c r="D257" s="20" t="str">
        <f>"#"&amp;$S$2&amp;"#"&amp;$T$2&amp;"."&amp;$P$2&amp;".wAPV_rdy"</f>
        <v>#3#\\Setup_rza\Modbus.OPCServer\ZRU_Sepam.VV1_TOR.wAPV_rdy</v>
      </c>
      <c r="P257" s="4"/>
    </row>
    <row r="258" spans="1:16">
      <c r="A258" s="19" t="str">
        <f t="shared" si="26"/>
        <v>АСУЭ.TOR_VV.wAPV_rdy</v>
      </c>
      <c r="B258" s="11">
        <v>7998</v>
      </c>
      <c r="C258" s="11" t="s">
        <v>6</v>
      </c>
      <c r="D258" s="20">
        <v>1</v>
      </c>
      <c r="P258" s="4"/>
    </row>
    <row r="259" spans="1:16">
      <c r="A259" s="19" t="str">
        <f t="shared" si="26"/>
        <v>АСУЭ.TOR_VV.wAPV_rdy</v>
      </c>
      <c r="B259" s="11">
        <v>101</v>
      </c>
      <c r="C259" s="11" t="s">
        <v>0</v>
      </c>
      <c r="D259" s="20" t="s">
        <v>1518</v>
      </c>
      <c r="P259" s="4"/>
    </row>
    <row r="260" spans="1:16">
      <c r="A260" s="19" t="str">
        <f t="shared" si="26"/>
        <v>АСУЭ.TOR_VV.wAPV_rdy</v>
      </c>
      <c r="B260" s="11">
        <v>3</v>
      </c>
      <c r="C260" s="11" t="s">
        <v>1</v>
      </c>
      <c r="D260" s="20">
        <v>192</v>
      </c>
      <c r="P260" s="4"/>
    </row>
    <row r="261" spans="1:16">
      <c r="A261" s="19" t="str">
        <f t="shared" si="26"/>
        <v>АСУЭ.TOR_VV.wAPV_rdy</v>
      </c>
      <c r="B261" s="11">
        <v>2</v>
      </c>
      <c r="C261" s="11" t="s">
        <v>2</v>
      </c>
      <c r="D261" s="20" t="s">
        <v>3</v>
      </c>
      <c r="P261" s="4"/>
    </row>
    <row r="262" spans="1:16">
      <c r="A262" s="19" t="str">
        <f t="shared" si="26"/>
        <v>АСУЭ.TOR_VV.wAPV_rdy</v>
      </c>
      <c r="B262" s="11">
        <v>1</v>
      </c>
      <c r="C262" s="11" t="s">
        <v>1</v>
      </c>
      <c r="D262" s="20">
        <v>11</v>
      </c>
      <c r="P262" s="4"/>
    </row>
    <row r="263" spans="1:16">
      <c r="A263" s="69" t="str">
        <f>$R$2&amp;".wAPV1"</f>
        <v>АСУЭ.TOR_VV.wAPV1</v>
      </c>
      <c r="B263" s="70">
        <v>11154</v>
      </c>
      <c r="C263" s="70" t="s">
        <v>4</v>
      </c>
      <c r="D263" s="71">
        <f>$Q$6</f>
        <v>8</v>
      </c>
      <c r="P263" s="4"/>
    </row>
    <row r="264" spans="1:16">
      <c r="A264" s="63" t="str">
        <f t="shared" ref="A264:A272" si="27">$R$2&amp;".wAPV1"</f>
        <v>АСУЭ.TOR_VV.wAPV1</v>
      </c>
      <c r="B264" s="64">
        <v>11152</v>
      </c>
      <c r="C264" s="64" t="s">
        <v>0</v>
      </c>
      <c r="D264" s="65" t="str">
        <f>$R$6</f>
        <v>Предупреждение</v>
      </c>
      <c r="P264" s="4"/>
    </row>
    <row r="265" spans="1:16">
      <c r="A265" s="63" t="str">
        <f t="shared" si="27"/>
        <v>АСУЭ.TOR_VV.wAPV1</v>
      </c>
      <c r="B265" s="64">
        <v>11150</v>
      </c>
      <c r="C265" s="64" t="s">
        <v>0</v>
      </c>
      <c r="D265" s="65" t="s">
        <v>2784</v>
      </c>
      <c r="P265" s="4"/>
    </row>
    <row r="266" spans="1:16">
      <c r="A266" s="63" t="str">
        <f t="shared" si="27"/>
        <v>АСУЭ.TOR_VV.wAPV1</v>
      </c>
      <c r="B266" s="64">
        <v>11000</v>
      </c>
      <c r="C266" s="64" t="s">
        <v>5</v>
      </c>
      <c r="D266" s="65">
        <v>2147483680</v>
      </c>
      <c r="P266" s="4"/>
    </row>
    <row r="267" spans="1:16">
      <c r="A267" s="19" t="str">
        <f t="shared" si="27"/>
        <v>АСУЭ.TOR_VV.wAPV1</v>
      </c>
      <c r="B267" s="11">
        <v>7999</v>
      </c>
      <c r="C267" s="11" t="s">
        <v>0</v>
      </c>
      <c r="D267" s="20" t="str">
        <f>"#"&amp;$S$2&amp;"#"&amp;$T$2&amp;"."&amp;$P$2&amp;".wAPV1"</f>
        <v>#3#\\Setup_rza\Modbus.OPCServer\ZRU_Sepam.VV1_TOR.wAPV1</v>
      </c>
      <c r="P267" s="4"/>
    </row>
    <row r="268" spans="1:16">
      <c r="A268" s="19" t="str">
        <f t="shared" si="27"/>
        <v>АСУЭ.TOR_VV.wAPV1</v>
      </c>
      <c r="B268" s="11">
        <v>7998</v>
      </c>
      <c r="C268" s="11" t="s">
        <v>6</v>
      </c>
      <c r="D268" s="20">
        <v>1</v>
      </c>
      <c r="P268" s="4"/>
    </row>
    <row r="269" spans="1:16">
      <c r="A269" s="19" t="str">
        <f t="shared" si="27"/>
        <v>АСУЭ.TOR_VV.wAPV1</v>
      </c>
      <c r="B269" s="11">
        <v>101</v>
      </c>
      <c r="C269" s="11" t="s">
        <v>0</v>
      </c>
      <c r="D269" s="20" t="s">
        <v>2784</v>
      </c>
      <c r="P269" s="4"/>
    </row>
    <row r="270" spans="1:16">
      <c r="A270" s="19" t="str">
        <f t="shared" si="27"/>
        <v>АСУЭ.TOR_VV.wAPV1</v>
      </c>
      <c r="B270" s="11">
        <v>3</v>
      </c>
      <c r="C270" s="11" t="s">
        <v>1</v>
      </c>
      <c r="D270" s="20">
        <v>192</v>
      </c>
      <c r="P270" s="4"/>
    </row>
    <row r="271" spans="1:16">
      <c r="A271" s="19" t="str">
        <f t="shared" si="27"/>
        <v>АСУЭ.TOR_VV.wAPV1</v>
      </c>
      <c r="B271" s="11">
        <v>2</v>
      </c>
      <c r="C271" s="11" t="s">
        <v>2</v>
      </c>
      <c r="D271" s="20" t="s">
        <v>3</v>
      </c>
      <c r="P271" s="4"/>
    </row>
    <row r="272" spans="1:16">
      <c r="A272" s="19" t="str">
        <f t="shared" si="27"/>
        <v>АСУЭ.TOR_VV.wAPV1</v>
      </c>
      <c r="B272" s="11">
        <v>1</v>
      </c>
      <c r="C272" s="11" t="s">
        <v>1</v>
      </c>
      <c r="D272" s="20">
        <v>11</v>
      </c>
      <c r="P272" s="4"/>
    </row>
    <row r="273" spans="1:16">
      <c r="A273" s="69" t="str">
        <f>$R$2&amp;".wAPV2"</f>
        <v>АСУЭ.TOR_VV.wAPV2</v>
      </c>
      <c r="B273" s="70">
        <v>11154</v>
      </c>
      <c r="C273" s="70" t="s">
        <v>4</v>
      </c>
      <c r="D273" s="71">
        <f>$Q$6</f>
        <v>8</v>
      </c>
      <c r="P273" s="4"/>
    </row>
    <row r="274" spans="1:16">
      <c r="A274" s="63" t="str">
        <f t="shared" ref="A274:A282" si="28">$R$2&amp;".wAPV2"</f>
        <v>АСУЭ.TOR_VV.wAPV2</v>
      </c>
      <c r="B274" s="64">
        <v>11152</v>
      </c>
      <c r="C274" s="64" t="s">
        <v>0</v>
      </c>
      <c r="D274" s="65" t="str">
        <f>$R$6</f>
        <v>Предупреждение</v>
      </c>
      <c r="P274" s="4"/>
    </row>
    <row r="275" spans="1:16">
      <c r="A275" s="63" t="str">
        <f t="shared" si="28"/>
        <v>АСУЭ.TOR_VV.wAPV2</v>
      </c>
      <c r="B275" s="64">
        <v>11150</v>
      </c>
      <c r="C275" s="64" t="s">
        <v>0</v>
      </c>
      <c r="D275" s="65" t="s">
        <v>2785</v>
      </c>
      <c r="P275" s="4"/>
    </row>
    <row r="276" spans="1:16">
      <c r="A276" s="63" t="str">
        <f t="shared" si="28"/>
        <v>АСУЭ.TOR_VV.wAPV2</v>
      </c>
      <c r="B276" s="64">
        <v>11000</v>
      </c>
      <c r="C276" s="64" t="s">
        <v>5</v>
      </c>
      <c r="D276" s="65">
        <v>2147483680</v>
      </c>
      <c r="P276" s="4"/>
    </row>
    <row r="277" spans="1:16">
      <c r="A277" s="19" t="str">
        <f t="shared" si="28"/>
        <v>АСУЭ.TOR_VV.wAPV2</v>
      </c>
      <c r="B277" s="11">
        <v>7999</v>
      </c>
      <c r="C277" s="11" t="s">
        <v>0</v>
      </c>
      <c r="D277" s="20" t="str">
        <f>"#"&amp;$S$2&amp;"#"&amp;$T$2&amp;"."&amp;$P$2&amp;".wAPV2"</f>
        <v>#3#\\Setup_rza\Modbus.OPCServer\ZRU_Sepam.VV1_TOR.wAPV2</v>
      </c>
      <c r="P277" s="4"/>
    </row>
    <row r="278" spans="1:16">
      <c r="A278" s="19" t="str">
        <f t="shared" si="28"/>
        <v>АСУЭ.TOR_VV.wAPV2</v>
      </c>
      <c r="B278" s="11">
        <v>7998</v>
      </c>
      <c r="C278" s="11" t="s">
        <v>6</v>
      </c>
      <c r="D278" s="20">
        <v>1</v>
      </c>
      <c r="P278" s="4"/>
    </row>
    <row r="279" spans="1:16">
      <c r="A279" s="19" t="str">
        <f t="shared" si="28"/>
        <v>АСУЭ.TOR_VV.wAPV2</v>
      </c>
      <c r="B279" s="11">
        <v>101</v>
      </c>
      <c r="C279" s="11" t="s">
        <v>0</v>
      </c>
      <c r="D279" s="20" t="s">
        <v>2785</v>
      </c>
      <c r="P279" s="4"/>
    </row>
    <row r="280" spans="1:16">
      <c r="A280" s="19" t="str">
        <f t="shared" si="28"/>
        <v>АСУЭ.TOR_VV.wAPV2</v>
      </c>
      <c r="B280" s="11">
        <v>3</v>
      </c>
      <c r="C280" s="11" t="s">
        <v>1</v>
      </c>
      <c r="D280" s="20">
        <v>192</v>
      </c>
      <c r="P280" s="4"/>
    </row>
    <row r="281" spans="1:16">
      <c r="A281" s="19" t="str">
        <f t="shared" si="28"/>
        <v>АСУЭ.TOR_VV.wAPV2</v>
      </c>
      <c r="B281" s="11">
        <v>2</v>
      </c>
      <c r="C281" s="11" t="s">
        <v>2</v>
      </c>
      <c r="D281" s="20" t="s">
        <v>3</v>
      </c>
      <c r="P281" s="4"/>
    </row>
    <row r="282" spans="1:16">
      <c r="A282" s="19" t="str">
        <f t="shared" si="28"/>
        <v>АСУЭ.TOR_VV.wAPV2</v>
      </c>
      <c r="B282" s="11">
        <v>1</v>
      </c>
      <c r="C282" s="11" t="s">
        <v>1</v>
      </c>
      <c r="D282" s="20">
        <v>11</v>
      </c>
      <c r="P282" s="4"/>
    </row>
    <row r="283" spans="1:16">
      <c r="A283" s="69" t="str">
        <f>$R$2&amp;".wTT_Flt"</f>
        <v>АСУЭ.TOR_VV.wTT_Flt</v>
      </c>
      <c r="B283" s="70">
        <v>11154</v>
      </c>
      <c r="C283" s="70" t="s">
        <v>4</v>
      </c>
      <c r="D283" s="71">
        <f>$Q$6</f>
        <v>8</v>
      </c>
    </row>
    <row r="284" spans="1:16">
      <c r="A284" s="63" t="str">
        <f t="shared" ref="A284:A292" si="29">$R$2&amp;".wTT_Flt"</f>
        <v>АСУЭ.TOR_VV.wTT_Flt</v>
      </c>
      <c r="B284" s="64">
        <v>11152</v>
      </c>
      <c r="C284" s="64" t="s">
        <v>0</v>
      </c>
      <c r="D284" s="65" t="str">
        <f>$R$6</f>
        <v>Предупреждение</v>
      </c>
    </row>
    <row r="285" spans="1:16">
      <c r="A285" s="63" t="str">
        <f t="shared" si="29"/>
        <v>АСУЭ.TOR_VV.wTT_Flt</v>
      </c>
      <c r="B285" s="64">
        <v>11150</v>
      </c>
      <c r="C285" s="64" t="s">
        <v>0</v>
      </c>
      <c r="D285" s="65" t="s">
        <v>1517</v>
      </c>
    </row>
    <row r="286" spans="1:16">
      <c r="A286" s="63" t="str">
        <f t="shared" si="29"/>
        <v>АСУЭ.TOR_VV.wTT_Flt</v>
      </c>
      <c r="B286" s="64">
        <v>11000</v>
      </c>
      <c r="C286" s="64" t="s">
        <v>5</v>
      </c>
      <c r="D286" s="65">
        <v>2147483680</v>
      </c>
    </row>
    <row r="287" spans="1:16">
      <c r="A287" s="19" t="str">
        <f t="shared" si="29"/>
        <v>АСУЭ.TOR_VV.wTT_Flt</v>
      </c>
      <c r="B287" s="11">
        <v>7999</v>
      </c>
      <c r="C287" s="11" t="s">
        <v>0</v>
      </c>
      <c r="D287" s="20" t="str">
        <f>"#"&amp;$S$2&amp;"#"&amp;$T$2&amp;"."&amp;$P$2&amp;".wTT_Flt"</f>
        <v>#3#\\Setup_rza\Modbus.OPCServer\ZRU_Sepam.VV1_TOR.wTT_Flt</v>
      </c>
    </row>
    <row r="288" spans="1:16">
      <c r="A288" s="19" t="str">
        <f t="shared" si="29"/>
        <v>АСУЭ.TOR_VV.wTT_Flt</v>
      </c>
      <c r="B288" s="11">
        <v>7998</v>
      </c>
      <c r="C288" s="11" t="s">
        <v>6</v>
      </c>
      <c r="D288" s="20">
        <v>1</v>
      </c>
    </row>
    <row r="289" spans="1:4">
      <c r="A289" s="19" t="str">
        <f t="shared" si="29"/>
        <v>АСУЭ.TOR_VV.wTT_Flt</v>
      </c>
      <c r="B289" s="11">
        <v>101</v>
      </c>
      <c r="C289" s="11" t="s">
        <v>0</v>
      </c>
      <c r="D289" s="20" t="s">
        <v>1517</v>
      </c>
    </row>
    <row r="290" spans="1:4">
      <c r="A290" s="19" t="str">
        <f t="shared" si="29"/>
        <v>АСУЭ.TOR_VV.wTT_Flt</v>
      </c>
      <c r="B290" s="11">
        <v>3</v>
      </c>
      <c r="C290" s="11" t="s">
        <v>1</v>
      </c>
      <c r="D290" s="20">
        <v>192</v>
      </c>
    </row>
    <row r="291" spans="1:4">
      <c r="A291" s="19" t="str">
        <f t="shared" si="29"/>
        <v>АСУЭ.TOR_VV.wTT_Flt</v>
      </c>
      <c r="B291" s="11">
        <v>2</v>
      </c>
      <c r="C291" s="11" t="s">
        <v>2</v>
      </c>
      <c r="D291" s="20" t="s">
        <v>3</v>
      </c>
    </row>
    <row r="292" spans="1:4">
      <c r="A292" s="19" t="str">
        <f t="shared" si="29"/>
        <v>АСУЭ.TOR_VV.wTT_Flt</v>
      </c>
      <c r="B292" s="11">
        <v>1</v>
      </c>
      <c r="C292" s="11" t="s">
        <v>1</v>
      </c>
      <c r="D292" s="20">
        <v>11</v>
      </c>
    </row>
    <row r="293" spans="1:4">
      <c r="A293" s="217" t="str">
        <f>$R$2&amp;".NotConnected"</f>
        <v>АСУЭ.TOR_VV.NotConnected</v>
      </c>
      <c r="B293" s="218">
        <v>11154</v>
      </c>
      <c r="C293" s="218" t="s">
        <v>4</v>
      </c>
      <c r="D293" s="231">
        <f>$Q$7</f>
        <v>12</v>
      </c>
    </row>
    <row r="294" spans="1:4">
      <c r="A294" s="211" t="str">
        <f t="shared" ref="A294:A302" si="30">$R$2&amp;".NotConnected"</f>
        <v>АСУЭ.TOR_VV.NotConnected</v>
      </c>
      <c r="B294" s="212">
        <v>11152</v>
      </c>
      <c r="C294" s="212" t="s">
        <v>0</v>
      </c>
      <c r="D294" s="213" t="str">
        <f>$R$7</f>
        <v>Неисправность</v>
      </c>
    </row>
    <row r="295" spans="1:4">
      <c r="A295" s="211" t="str">
        <f t="shared" si="30"/>
        <v>АСУЭ.TOR_VV.NotConnected</v>
      </c>
      <c r="B295" s="212">
        <v>11150</v>
      </c>
      <c r="C295" s="212" t="s">
        <v>0</v>
      </c>
      <c r="D295" s="213" t="s">
        <v>448</v>
      </c>
    </row>
    <row r="296" spans="1:4">
      <c r="A296" s="211" t="str">
        <f t="shared" si="30"/>
        <v>АСУЭ.TOR_VV.NotConnected</v>
      </c>
      <c r="B296" s="212">
        <v>11000</v>
      </c>
      <c r="C296" s="212" t="s">
        <v>5</v>
      </c>
      <c r="D296" s="213">
        <v>2147483680</v>
      </c>
    </row>
    <row r="297" spans="1:4">
      <c r="A297" s="19" t="str">
        <f t="shared" si="30"/>
        <v>АСУЭ.TOR_VV.NotConnected</v>
      </c>
      <c r="B297" s="11">
        <v>7999</v>
      </c>
      <c r="C297" s="11" t="s">
        <v>0</v>
      </c>
      <c r="D297" s="20" t="str">
        <f>"#"&amp;$S$2&amp;"#"&amp;$T$2&amp;"."&amp;$P$2&amp;".NotConnected"</f>
        <v>#3#\\Setup_rza\Modbus.OPCServer\ZRU_Sepam.VV1_TOR.NotConnected</v>
      </c>
    </row>
    <row r="298" spans="1:4">
      <c r="A298" s="19" t="str">
        <f t="shared" si="30"/>
        <v>АСУЭ.TOR_VV.NotConnected</v>
      </c>
      <c r="B298" s="11">
        <v>7998</v>
      </c>
      <c r="C298" s="11" t="s">
        <v>6</v>
      </c>
      <c r="D298" s="20">
        <v>1</v>
      </c>
    </row>
    <row r="299" spans="1:4">
      <c r="A299" s="19" t="str">
        <f t="shared" si="30"/>
        <v>АСУЭ.TOR_VV.NotConnected</v>
      </c>
      <c r="B299" s="11">
        <v>101</v>
      </c>
      <c r="C299" s="11" t="s">
        <v>0</v>
      </c>
      <c r="D299" s="20" t="s">
        <v>448</v>
      </c>
    </row>
    <row r="300" spans="1:4">
      <c r="A300" s="19" t="str">
        <f t="shared" si="30"/>
        <v>АСУЭ.TOR_VV.NotConnected</v>
      </c>
      <c r="B300" s="11">
        <v>3</v>
      </c>
      <c r="C300" s="11" t="s">
        <v>1</v>
      </c>
      <c r="D300" s="20">
        <v>192</v>
      </c>
    </row>
    <row r="301" spans="1:4">
      <c r="A301" s="19" t="str">
        <f t="shared" si="30"/>
        <v>АСУЭ.TOR_VV.NotConnected</v>
      </c>
      <c r="B301" s="11">
        <v>2</v>
      </c>
      <c r="C301" s="11" t="s">
        <v>2</v>
      </c>
      <c r="D301" s="20" t="s">
        <v>3</v>
      </c>
    </row>
    <row r="302" spans="1:4">
      <c r="A302" s="21" t="str">
        <f t="shared" si="30"/>
        <v>АСУЭ.TOR_VV.NotConnected</v>
      </c>
      <c r="B302" s="8">
        <v>1</v>
      </c>
      <c r="C302" s="8" t="s">
        <v>1</v>
      </c>
      <c r="D302" s="22">
        <v>11</v>
      </c>
    </row>
    <row r="303" spans="1:4">
      <c r="A303" s="211" t="str">
        <f t="shared" ref="A303:A310" si="31">$R$2&amp;".wNotOff"</f>
        <v>АСУЭ.TOR_VV.wNotOff</v>
      </c>
      <c r="B303" s="212">
        <v>11154</v>
      </c>
      <c r="C303" s="212" t="s">
        <v>4</v>
      </c>
      <c r="D303" s="213">
        <f>$Q$7</f>
        <v>12</v>
      </c>
    </row>
    <row r="304" spans="1:4">
      <c r="A304" s="211" t="str">
        <f t="shared" si="31"/>
        <v>АСУЭ.TOR_VV.wNotOff</v>
      </c>
      <c r="B304" s="212">
        <v>11152</v>
      </c>
      <c r="C304" s="212" t="s">
        <v>0</v>
      </c>
      <c r="D304" s="213" t="str">
        <f>$R$7</f>
        <v>Неисправность</v>
      </c>
    </row>
    <row r="305" spans="1:4">
      <c r="A305" s="211" t="str">
        <f t="shared" si="31"/>
        <v>АСУЭ.TOR_VV.wNotOff</v>
      </c>
      <c r="B305" s="212">
        <v>11150</v>
      </c>
      <c r="C305" s="212" t="s">
        <v>0</v>
      </c>
      <c r="D305" s="213" t="s">
        <v>339</v>
      </c>
    </row>
    <row r="306" spans="1:4">
      <c r="A306" s="211" t="str">
        <f t="shared" si="31"/>
        <v>АСУЭ.TOR_VV.wNotOff</v>
      </c>
      <c r="B306" s="212">
        <v>11000</v>
      </c>
      <c r="C306" s="212" t="s">
        <v>5</v>
      </c>
      <c r="D306" s="213">
        <v>2147483680</v>
      </c>
    </row>
    <row r="307" spans="1:4">
      <c r="A307" s="19" t="str">
        <f t="shared" si="31"/>
        <v>АСУЭ.TOR_VV.wNotOff</v>
      </c>
      <c r="B307" s="11">
        <v>101</v>
      </c>
      <c r="C307" s="11" t="s">
        <v>0</v>
      </c>
      <c r="D307" s="20" t="s">
        <v>339</v>
      </c>
    </row>
    <row r="308" spans="1:4">
      <c r="A308" s="19" t="str">
        <f t="shared" si="31"/>
        <v>АСУЭ.TOR_VV.wNotOff</v>
      </c>
      <c r="B308" s="11">
        <v>3</v>
      </c>
      <c r="C308" s="11" t="s">
        <v>1</v>
      </c>
      <c r="D308" s="20">
        <v>192</v>
      </c>
    </row>
    <row r="309" spans="1:4">
      <c r="A309" s="19" t="str">
        <f t="shared" si="31"/>
        <v>АСУЭ.TOR_VV.wNotOff</v>
      </c>
      <c r="B309" s="11">
        <v>2</v>
      </c>
      <c r="C309" s="11" t="s">
        <v>2</v>
      </c>
      <c r="D309" s="20" t="s">
        <v>3</v>
      </c>
    </row>
    <row r="310" spans="1:4">
      <c r="A310" s="21" t="str">
        <f t="shared" si="31"/>
        <v>АСУЭ.TOR_VV.wNotOff</v>
      </c>
      <c r="B310" s="8">
        <v>1</v>
      </c>
      <c r="C310" s="8" t="s">
        <v>1</v>
      </c>
      <c r="D310" s="22">
        <v>11</v>
      </c>
    </row>
    <row r="311" spans="1:4">
      <c r="A311" s="211" t="str">
        <f t="shared" ref="A311:A318" si="32">$R$2&amp;".wNotOn"</f>
        <v>АСУЭ.TOR_VV.wNotOn</v>
      </c>
      <c r="B311" s="212">
        <v>11154</v>
      </c>
      <c r="C311" s="212" t="s">
        <v>4</v>
      </c>
      <c r="D311" s="213">
        <f>$Q$7</f>
        <v>12</v>
      </c>
    </row>
    <row r="312" spans="1:4">
      <c r="A312" s="211" t="str">
        <f t="shared" si="32"/>
        <v>АСУЭ.TOR_VV.wNotOn</v>
      </c>
      <c r="B312" s="212">
        <v>11152</v>
      </c>
      <c r="C312" s="212" t="s">
        <v>0</v>
      </c>
      <c r="D312" s="213" t="str">
        <f>$R$7</f>
        <v>Неисправность</v>
      </c>
    </row>
    <row r="313" spans="1:4">
      <c r="A313" s="211" t="str">
        <f t="shared" si="32"/>
        <v>АСУЭ.TOR_VV.wNotOn</v>
      </c>
      <c r="B313" s="212">
        <v>11150</v>
      </c>
      <c r="C313" s="212" t="s">
        <v>0</v>
      </c>
      <c r="D313" s="213" t="s">
        <v>340</v>
      </c>
    </row>
    <row r="314" spans="1:4">
      <c r="A314" s="211" t="str">
        <f t="shared" si="32"/>
        <v>АСУЭ.TOR_VV.wNotOn</v>
      </c>
      <c r="B314" s="212">
        <v>11000</v>
      </c>
      <c r="C314" s="212" t="s">
        <v>5</v>
      </c>
      <c r="D314" s="213">
        <v>2147483680</v>
      </c>
    </row>
    <row r="315" spans="1:4">
      <c r="A315" s="19" t="str">
        <f t="shared" si="32"/>
        <v>АСУЭ.TOR_VV.wNotOn</v>
      </c>
      <c r="B315" s="11">
        <v>101</v>
      </c>
      <c r="C315" s="11" t="s">
        <v>0</v>
      </c>
      <c r="D315" s="20" t="s">
        <v>340</v>
      </c>
    </row>
    <row r="316" spans="1:4">
      <c r="A316" s="19" t="str">
        <f t="shared" si="32"/>
        <v>АСУЭ.TOR_VV.wNotOn</v>
      </c>
      <c r="B316" s="11">
        <v>3</v>
      </c>
      <c r="C316" s="11" t="s">
        <v>1</v>
      </c>
      <c r="D316" s="20">
        <v>192</v>
      </c>
    </row>
    <row r="317" spans="1:4">
      <c r="A317" s="19" t="str">
        <f t="shared" si="32"/>
        <v>АСУЭ.TOR_VV.wNotOn</v>
      </c>
      <c r="B317" s="11">
        <v>2</v>
      </c>
      <c r="C317" s="11" t="s">
        <v>2</v>
      </c>
      <c r="D317" s="20" t="s">
        <v>3</v>
      </c>
    </row>
    <row r="318" spans="1:4">
      <c r="A318" s="21" t="str">
        <f t="shared" si="32"/>
        <v>АСУЭ.TOR_VV.wNotOn</v>
      </c>
      <c r="B318" s="8">
        <v>1</v>
      </c>
      <c r="C318" s="8" t="s">
        <v>1</v>
      </c>
      <c r="D318" s="22">
        <v>11</v>
      </c>
    </row>
    <row r="319" spans="1:4">
      <c r="A319" s="211" t="str">
        <f t="shared" ref="A319:A325" si="33">$R$2&amp;".wDbl"</f>
        <v>АСУЭ.TOR_VV.wDbl</v>
      </c>
      <c r="B319" s="212">
        <v>11154</v>
      </c>
      <c r="C319" s="212" t="s">
        <v>4</v>
      </c>
      <c r="D319" s="213">
        <f>$Q$7</f>
        <v>12</v>
      </c>
    </row>
    <row r="320" spans="1:4">
      <c r="A320" s="211" t="str">
        <f t="shared" si="33"/>
        <v>АСУЭ.TOR_VV.wDbl</v>
      </c>
      <c r="B320" s="212">
        <v>11152</v>
      </c>
      <c r="C320" s="212" t="s">
        <v>0</v>
      </c>
      <c r="D320" s="213" t="str">
        <f>$R$7</f>
        <v>Неисправность</v>
      </c>
    </row>
    <row r="321" spans="1:4">
      <c r="A321" s="211" t="str">
        <f t="shared" si="33"/>
        <v>АСУЭ.TOR_VV.wDbl</v>
      </c>
      <c r="B321" s="212">
        <v>11150</v>
      </c>
      <c r="C321" s="212" t="s">
        <v>0</v>
      </c>
      <c r="D321" s="213" t="s">
        <v>341</v>
      </c>
    </row>
    <row r="322" spans="1:4">
      <c r="A322" s="211" t="str">
        <f t="shared" si="33"/>
        <v>АСУЭ.TOR_VV.wDbl</v>
      </c>
      <c r="B322" s="212">
        <v>11000</v>
      </c>
      <c r="C322" s="212" t="s">
        <v>5</v>
      </c>
      <c r="D322" s="213">
        <v>2147483680</v>
      </c>
    </row>
    <row r="323" spans="1:4">
      <c r="A323" s="19" t="str">
        <f t="shared" si="33"/>
        <v>АСУЭ.TOR_VV.wDbl</v>
      </c>
      <c r="B323" s="11">
        <v>3</v>
      </c>
      <c r="C323" s="11" t="s">
        <v>1</v>
      </c>
      <c r="D323" s="20">
        <v>192</v>
      </c>
    </row>
    <row r="324" spans="1:4">
      <c r="A324" s="19" t="str">
        <f t="shared" si="33"/>
        <v>АСУЭ.TOR_VV.wDbl</v>
      </c>
      <c r="B324" s="11">
        <v>2</v>
      </c>
      <c r="C324" s="11" t="s">
        <v>2</v>
      </c>
      <c r="D324" s="20" t="s">
        <v>3</v>
      </c>
    </row>
    <row r="325" spans="1:4">
      <c r="A325" s="21" t="str">
        <f t="shared" si="33"/>
        <v>АСУЭ.TOR_VV.wDbl</v>
      </c>
      <c r="B325" s="8">
        <v>1</v>
      </c>
      <c r="C325" s="8" t="s">
        <v>1</v>
      </c>
      <c r="D325" s="22">
        <v>11</v>
      </c>
    </row>
    <row r="326" spans="1:4">
      <c r="A326" s="211" t="str">
        <f t="shared" ref="A326:A332" si="34">$R$2&amp;".wUnkw"</f>
        <v>АСУЭ.TOR_VV.wUnkw</v>
      </c>
      <c r="B326" s="212">
        <v>11154</v>
      </c>
      <c r="C326" s="212" t="s">
        <v>4</v>
      </c>
      <c r="D326" s="213">
        <f>$Q$7</f>
        <v>12</v>
      </c>
    </row>
    <row r="327" spans="1:4">
      <c r="A327" s="211" t="str">
        <f t="shared" si="34"/>
        <v>АСУЭ.TOR_VV.wUnkw</v>
      </c>
      <c r="B327" s="212">
        <v>11152</v>
      </c>
      <c r="C327" s="212" t="s">
        <v>0</v>
      </c>
      <c r="D327" s="213" t="str">
        <f>$R$7</f>
        <v>Неисправность</v>
      </c>
    </row>
    <row r="328" spans="1:4">
      <c r="A328" s="211" t="str">
        <f t="shared" si="34"/>
        <v>АСУЭ.TOR_VV.wUnkw</v>
      </c>
      <c r="B328" s="212">
        <v>11150</v>
      </c>
      <c r="C328" s="212" t="s">
        <v>0</v>
      </c>
      <c r="D328" s="213" t="s">
        <v>342</v>
      </c>
    </row>
    <row r="329" spans="1:4">
      <c r="A329" s="211" t="str">
        <f t="shared" si="34"/>
        <v>АСУЭ.TOR_VV.wUnkw</v>
      </c>
      <c r="B329" s="212">
        <v>11000</v>
      </c>
      <c r="C329" s="212" t="s">
        <v>5</v>
      </c>
      <c r="D329" s="213">
        <v>2147483680</v>
      </c>
    </row>
    <row r="330" spans="1:4">
      <c r="A330" s="19" t="str">
        <f t="shared" si="34"/>
        <v>АСУЭ.TOR_VV.wUnkw</v>
      </c>
      <c r="B330" s="11">
        <v>3</v>
      </c>
      <c r="C330" s="11" t="s">
        <v>1</v>
      </c>
      <c r="D330" s="20">
        <v>192</v>
      </c>
    </row>
    <row r="331" spans="1:4">
      <c r="A331" s="19" t="str">
        <f t="shared" si="34"/>
        <v>АСУЭ.TOR_VV.wUnkw</v>
      </c>
      <c r="B331" s="11">
        <v>2</v>
      </c>
      <c r="C331" s="11" t="s">
        <v>2</v>
      </c>
      <c r="D331" s="20" t="s">
        <v>3</v>
      </c>
    </row>
    <row r="332" spans="1:4">
      <c r="A332" s="21" t="str">
        <f t="shared" si="34"/>
        <v>АСУЭ.TOR_VV.wUnkw</v>
      </c>
      <c r="B332" s="8">
        <v>1</v>
      </c>
      <c r="C332" s="8" t="s">
        <v>1</v>
      </c>
      <c r="D332" s="22">
        <v>11</v>
      </c>
    </row>
    <row r="333" spans="1:4">
      <c r="A333" s="19" t="str">
        <f t="shared" ref="A333:A344" si="35">$R$2&amp;".stOff"</f>
        <v>АСУЭ.TOR_VV.stOff</v>
      </c>
      <c r="B333" s="11">
        <v>7000000</v>
      </c>
      <c r="C333" s="11" t="s">
        <v>6</v>
      </c>
      <c r="D333" s="20">
        <v>1</v>
      </c>
    </row>
    <row r="334" spans="1:4" ht="15.75" customHeight="1">
      <c r="A334" s="19" t="str">
        <f t="shared" si="35"/>
        <v>АСУЭ.TOR_VV.stOff</v>
      </c>
      <c r="B334" s="11">
        <v>4000000</v>
      </c>
      <c r="C334" s="11" t="s">
        <v>0</v>
      </c>
      <c r="D334" s="72" t="s">
        <v>396</v>
      </c>
    </row>
    <row r="335" spans="1:4">
      <c r="A335" s="100" t="str">
        <f t="shared" si="35"/>
        <v>АСУЭ.TOR_VV.stOff</v>
      </c>
      <c r="B335" s="101">
        <v>11154</v>
      </c>
      <c r="C335" s="101" t="s">
        <v>4</v>
      </c>
      <c r="D335" s="102">
        <f>$Q$8</f>
        <v>18</v>
      </c>
    </row>
    <row r="336" spans="1:4">
      <c r="A336" s="100" t="str">
        <f t="shared" si="35"/>
        <v>АСУЭ.TOR_VV.stOff</v>
      </c>
      <c r="B336" s="101">
        <v>11150</v>
      </c>
      <c r="C336" s="101" t="s">
        <v>0</v>
      </c>
      <c r="D336" s="103" t="s">
        <v>336</v>
      </c>
    </row>
    <row r="337" spans="1:4">
      <c r="A337" s="100" t="str">
        <f t="shared" si="35"/>
        <v>АСУЭ.TOR_VV.stOff</v>
      </c>
      <c r="B337" s="101">
        <v>11152</v>
      </c>
      <c r="C337" s="101" t="s">
        <v>0</v>
      </c>
      <c r="D337" s="104" t="str">
        <f>$R$8</f>
        <v>Телесигнализация</v>
      </c>
    </row>
    <row r="338" spans="1:4">
      <c r="A338" s="100" t="str">
        <f t="shared" si="35"/>
        <v>АСУЭ.TOR_VV.stOff</v>
      </c>
      <c r="B338" s="101">
        <v>11000</v>
      </c>
      <c r="C338" s="101" t="s">
        <v>5</v>
      </c>
      <c r="D338" s="103">
        <v>2147483680</v>
      </c>
    </row>
    <row r="339" spans="1:4">
      <c r="A339" s="19" t="str">
        <f t="shared" si="35"/>
        <v>АСУЭ.TOR_VV.stOff</v>
      </c>
      <c r="B339" s="11">
        <v>7999</v>
      </c>
      <c r="C339" s="11" t="s">
        <v>0</v>
      </c>
      <c r="D339" s="20" t="str">
        <f>"#"&amp;$S$2&amp;"#"&amp;$T$2&amp;"."&amp;$P$2&amp;".stOff"</f>
        <v>#3#\\Setup_rza\Modbus.OPCServer\ZRU_Sepam.VV1_TOR.stOff</v>
      </c>
    </row>
    <row r="340" spans="1:4">
      <c r="A340" s="19" t="str">
        <f t="shared" si="35"/>
        <v>АСУЭ.TOR_VV.stOff</v>
      </c>
      <c r="B340" s="11">
        <v>7998</v>
      </c>
      <c r="C340" s="11" t="s">
        <v>6</v>
      </c>
      <c r="D340" s="20">
        <v>1</v>
      </c>
    </row>
    <row r="341" spans="1:4">
      <c r="A341" s="19" t="str">
        <f t="shared" si="35"/>
        <v>АСУЭ.TOR_VV.stOff</v>
      </c>
      <c r="B341" s="11">
        <v>101</v>
      </c>
      <c r="C341" s="11" t="s">
        <v>0</v>
      </c>
      <c r="D341" s="20" t="s">
        <v>336</v>
      </c>
    </row>
    <row r="342" spans="1:4">
      <c r="A342" s="19" t="str">
        <f t="shared" si="35"/>
        <v>АСУЭ.TOR_VV.stOff</v>
      </c>
      <c r="B342" s="11">
        <v>3</v>
      </c>
      <c r="C342" s="11" t="s">
        <v>1</v>
      </c>
      <c r="D342" s="20">
        <v>192</v>
      </c>
    </row>
    <row r="343" spans="1:4">
      <c r="A343" s="19" t="str">
        <f t="shared" si="35"/>
        <v>АСУЭ.TOR_VV.stOff</v>
      </c>
      <c r="B343" s="11">
        <v>2</v>
      </c>
      <c r="C343" s="11" t="s">
        <v>2</v>
      </c>
      <c r="D343" s="20" t="s">
        <v>3</v>
      </c>
    </row>
    <row r="344" spans="1:4">
      <c r="A344" s="21" t="str">
        <f t="shared" si="35"/>
        <v>АСУЭ.TOR_VV.stOff</v>
      </c>
      <c r="B344" s="8">
        <v>1</v>
      </c>
      <c r="C344" s="8" t="s">
        <v>1</v>
      </c>
      <c r="D344" s="22">
        <v>11</v>
      </c>
    </row>
    <row r="345" spans="1:4">
      <c r="A345" s="19" t="str">
        <f t="shared" ref="A345:A356" si="36">$R$2&amp;".stOn"</f>
        <v>АСУЭ.TOR_VV.stOn</v>
      </c>
      <c r="B345" s="11">
        <v>7000000</v>
      </c>
      <c r="C345" s="11" t="s">
        <v>6</v>
      </c>
      <c r="D345" s="20">
        <v>1</v>
      </c>
    </row>
    <row r="346" spans="1:4" ht="15.75" customHeight="1">
      <c r="A346" s="19" t="str">
        <f t="shared" si="36"/>
        <v>АСУЭ.TOR_VV.stOn</v>
      </c>
      <c r="B346" s="11">
        <v>4000000</v>
      </c>
      <c r="C346" s="11" t="s">
        <v>0</v>
      </c>
      <c r="D346" s="72" t="s">
        <v>396</v>
      </c>
    </row>
    <row r="347" spans="1:4">
      <c r="A347" s="100" t="str">
        <f t="shared" si="36"/>
        <v>АСУЭ.TOR_VV.stOn</v>
      </c>
      <c r="B347" s="101">
        <v>11154</v>
      </c>
      <c r="C347" s="101" t="s">
        <v>4</v>
      </c>
      <c r="D347" s="102">
        <f>$Q$8</f>
        <v>18</v>
      </c>
    </row>
    <row r="348" spans="1:4">
      <c r="A348" s="100" t="str">
        <f t="shared" si="36"/>
        <v>АСУЭ.TOR_VV.stOn</v>
      </c>
      <c r="B348" s="101">
        <v>11150</v>
      </c>
      <c r="C348" s="101" t="s">
        <v>0</v>
      </c>
      <c r="D348" s="103" t="s">
        <v>337</v>
      </c>
    </row>
    <row r="349" spans="1:4">
      <c r="A349" s="100" t="str">
        <f t="shared" si="36"/>
        <v>АСУЭ.TOR_VV.stOn</v>
      </c>
      <c r="B349" s="101">
        <v>11152</v>
      </c>
      <c r="C349" s="101" t="s">
        <v>0</v>
      </c>
      <c r="D349" s="104" t="str">
        <f>$R$8</f>
        <v>Телесигнализация</v>
      </c>
    </row>
    <row r="350" spans="1:4">
      <c r="A350" s="100" t="str">
        <f t="shared" si="36"/>
        <v>АСУЭ.TOR_VV.stOn</v>
      </c>
      <c r="B350" s="101">
        <v>11000</v>
      </c>
      <c r="C350" s="101" t="s">
        <v>5</v>
      </c>
      <c r="D350" s="103">
        <v>2147483680</v>
      </c>
    </row>
    <row r="351" spans="1:4">
      <c r="A351" s="19" t="str">
        <f t="shared" si="36"/>
        <v>АСУЭ.TOR_VV.stOn</v>
      </c>
      <c r="B351" s="11">
        <v>7999</v>
      </c>
      <c r="C351" s="11" t="s">
        <v>0</v>
      </c>
      <c r="D351" s="20" t="str">
        <f>"#"&amp;$S$2&amp;"#"&amp;$T$2&amp;"."&amp;$P$2&amp;".stOn"</f>
        <v>#3#\\Setup_rza\Modbus.OPCServer\ZRU_Sepam.VV1_TOR.stOn</v>
      </c>
    </row>
    <row r="352" spans="1:4">
      <c r="A352" s="19" t="str">
        <f t="shared" si="36"/>
        <v>АСУЭ.TOR_VV.stOn</v>
      </c>
      <c r="B352" s="11">
        <v>7998</v>
      </c>
      <c r="C352" s="11" t="s">
        <v>6</v>
      </c>
      <c r="D352" s="20">
        <v>1</v>
      </c>
    </row>
    <row r="353" spans="1:4">
      <c r="A353" s="19" t="str">
        <f>$R$2&amp;".stOn"</f>
        <v>АСУЭ.TOR_VV.stOn</v>
      </c>
      <c r="B353" s="11">
        <v>101</v>
      </c>
      <c r="C353" s="11" t="s">
        <v>0</v>
      </c>
      <c r="D353" s="20" t="s">
        <v>337</v>
      </c>
    </row>
    <row r="354" spans="1:4">
      <c r="A354" s="19" t="str">
        <f t="shared" si="36"/>
        <v>АСУЭ.TOR_VV.stOn</v>
      </c>
      <c r="B354" s="11">
        <v>3</v>
      </c>
      <c r="C354" s="11" t="s">
        <v>1</v>
      </c>
      <c r="D354" s="20">
        <v>192</v>
      </c>
    </row>
    <row r="355" spans="1:4">
      <c r="A355" s="19" t="str">
        <f t="shared" si="36"/>
        <v>АСУЭ.TOR_VV.stOn</v>
      </c>
      <c r="B355" s="11">
        <v>2</v>
      </c>
      <c r="C355" s="11" t="s">
        <v>2</v>
      </c>
      <c r="D355" s="20" t="s">
        <v>3</v>
      </c>
    </row>
    <row r="356" spans="1:4">
      <c r="A356" s="21" t="str">
        <f t="shared" si="36"/>
        <v>АСУЭ.TOR_VV.stOn</v>
      </c>
      <c r="B356" s="8">
        <v>1</v>
      </c>
      <c r="C356" s="8" t="s">
        <v>1</v>
      </c>
      <c r="D356" s="22">
        <v>11</v>
      </c>
    </row>
    <row r="357" spans="1:4">
      <c r="A357" s="159" t="str">
        <f>$R$2&amp;".stLoc"</f>
        <v>АСУЭ.TOR_VV.stLoc</v>
      </c>
      <c r="B357" s="160">
        <v>11154</v>
      </c>
      <c r="C357" s="160" t="s">
        <v>4</v>
      </c>
      <c r="D357" s="686">
        <f>$Q$6</f>
        <v>8</v>
      </c>
    </row>
    <row r="358" spans="1:4">
      <c r="A358" s="100" t="str">
        <f t="shared" ref="A358:A366" si="37">$R$2&amp;".stLoc"</f>
        <v>АСУЭ.TOR_VV.stLoc</v>
      </c>
      <c r="B358" s="101">
        <v>11152</v>
      </c>
      <c r="C358" s="101" t="s">
        <v>0</v>
      </c>
      <c r="D358" s="761" t="str">
        <f>$R$8</f>
        <v>Телесигнализация</v>
      </c>
    </row>
    <row r="359" spans="1:4">
      <c r="A359" s="100" t="str">
        <f t="shared" si="37"/>
        <v>АСУЭ.TOR_VV.stLoc</v>
      </c>
      <c r="B359" s="101">
        <v>11150</v>
      </c>
      <c r="C359" s="101" t="s">
        <v>0</v>
      </c>
      <c r="D359" s="103" t="s">
        <v>2787</v>
      </c>
    </row>
    <row r="360" spans="1:4">
      <c r="A360" s="100" t="str">
        <f t="shared" si="37"/>
        <v>АСУЭ.TOR_VV.stLoc</v>
      </c>
      <c r="B360" s="101">
        <v>11000</v>
      </c>
      <c r="C360" s="101" t="s">
        <v>5</v>
      </c>
      <c r="D360" s="103">
        <v>0</v>
      </c>
    </row>
    <row r="361" spans="1:4">
      <c r="A361" s="29" t="str">
        <f t="shared" si="37"/>
        <v>АСУЭ.TOR_VV.stLoc</v>
      </c>
      <c r="B361" s="1">
        <v>7999</v>
      </c>
      <c r="C361" s="1" t="s">
        <v>0</v>
      </c>
      <c r="D361" s="30" t="str">
        <f>"#"&amp;$S$2&amp;"#"&amp;$T$2&amp;"."&amp;$P$2&amp;".stLoc"</f>
        <v>#3#\\Setup_rza\Modbus.OPCServer\ZRU_Sepam.VV1_TOR.stLoc</v>
      </c>
    </row>
    <row r="362" spans="1:4">
      <c r="A362" s="29" t="str">
        <f t="shared" si="37"/>
        <v>АСУЭ.TOR_VV.stLoc</v>
      </c>
      <c r="B362" s="1">
        <v>7998</v>
      </c>
      <c r="C362" s="1" t="s">
        <v>6</v>
      </c>
      <c r="D362" s="30">
        <v>1</v>
      </c>
    </row>
    <row r="363" spans="1:4">
      <c r="A363" s="29" t="str">
        <f t="shared" si="37"/>
        <v>АСУЭ.TOR_VV.stLoc</v>
      </c>
      <c r="B363" s="1">
        <v>101</v>
      </c>
      <c r="C363" s="1" t="s">
        <v>0</v>
      </c>
      <c r="D363" s="30" t="s">
        <v>2787</v>
      </c>
    </row>
    <row r="364" spans="1:4">
      <c r="A364" s="29" t="str">
        <f t="shared" si="37"/>
        <v>АСУЭ.TOR_VV.stLoc</v>
      </c>
      <c r="B364" s="1">
        <v>3</v>
      </c>
      <c r="C364" s="1" t="s">
        <v>1</v>
      </c>
      <c r="D364" s="30">
        <v>192</v>
      </c>
    </row>
    <row r="365" spans="1:4">
      <c r="A365" s="29" t="str">
        <f t="shared" si="37"/>
        <v>АСУЭ.TOR_VV.stLoc</v>
      </c>
      <c r="B365" s="1">
        <v>2</v>
      </c>
      <c r="C365" s="1" t="s">
        <v>2</v>
      </c>
      <c r="D365" s="30" t="s">
        <v>175</v>
      </c>
    </row>
    <row r="366" spans="1:4">
      <c r="A366" s="26" t="str">
        <f t="shared" si="37"/>
        <v>АСУЭ.TOR_VV.stLoc</v>
      </c>
      <c r="B366" s="27">
        <v>1</v>
      </c>
      <c r="C366" s="27" t="s">
        <v>1</v>
      </c>
      <c r="D366" s="28">
        <v>11</v>
      </c>
    </row>
    <row r="367" spans="1:4">
      <c r="A367" s="159" t="str">
        <f>$R$2&amp;".stCHAPV_on"</f>
        <v>АСУЭ.TOR_VV.stCHAPV_on</v>
      </c>
      <c r="B367" s="160">
        <v>11154</v>
      </c>
      <c r="C367" s="160" t="s">
        <v>4</v>
      </c>
      <c r="D367" s="686">
        <f>$Q$6</f>
        <v>8</v>
      </c>
    </row>
    <row r="368" spans="1:4">
      <c r="A368" s="100" t="str">
        <f t="shared" ref="A368:A377" si="38">$R$2&amp;".stCHAPV_on"</f>
        <v>АСУЭ.TOR_VV.stCHAPV_on</v>
      </c>
      <c r="B368" s="101">
        <v>11152</v>
      </c>
      <c r="C368" s="101" t="s">
        <v>0</v>
      </c>
      <c r="D368" s="761" t="str">
        <f>$R$8</f>
        <v>Телесигнализация</v>
      </c>
    </row>
    <row r="369" spans="1:4">
      <c r="A369" s="100" t="str">
        <f t="shared" si="38"/>
        <v>АСУЭ.TOR_VV.stCHAPV_on</v>
      </c>
      <c r="B369" s="101">
        <v>11150</v>
      </c>
      <c r="C369" s="101" t="s">
        <v>0</v>
      </c>
      <c r="D369" s="103" t="s">
        <v>1508</v>
      </c>
    </row>
    <row r="370" spans="1:4">
      <c r="A370" s="100" t="str">
        <f t="shared" si="38"/>
        <v>АСУЭ.TOR_VV.stCHAPV_on</v>
      </c>
      <c r="B370" s="101">
        <v>11000</v>
      </c>
      <c r="C370" s="101" t="s">
        <v>5</v>
      </c>
      <c r="D370" s="103">
        <v>0</v>
      </c>
    </row>
    <row r="371" spans="1:4">
      <c r="A371" s="29" t="str">
        <f t="shared" si="38"/>
        <v>АСУЭ.TOR_VV.stCHAPV_on</v>
      </c>
      <c r="B371" s="1">
        <v>7999</v>
      </c>
      <c r="C371" s="1" t="s">
        <v>0</v>
      </c>
      <c r="D371" s="30" t="str">
        <f>"#"&amp;$S$2&amp;"#"&amp;$T$2&amp;"."&amp;$P$2&amp;".stCHAPV_on"</f>
        <v>#3#\\Setup_rza\Modbus.OPCServer\ZRU_Sepam.VV1_TOR.stCHAPV_on</v>
      </c>
    </row>
    <row r="372" spans="1:4">
      <c r="A372" s="29" t="str">
        <f t="shared" si="38"/>
        <v>АСУЭ.TOR_VV.stCHAPV_on</v>
      </c>
      <c r="B372" s="1">
        <v>7998</v>
      </c>
      <c r="C372" s="1" t="s">
        <v>6</v>
      </c>
      <c r="D372" s="30">
        <v>1</v>
      </c>
    </row>
    <row r="373" spans="1:4">
      <c r="A373" s="29" t="str">
        <f t="shared" si="38"/>
        <v>АСУЭ.TOR_VV.stCHAPV_on</v>
      </c>
      <c r="B373" s="1">
        <v>7200</v>
      </c>
      <c r="C373" s="1" t="s">
        <v>2</v>
      </c>
      <c r="D373" s="30" t="s">
        <v>266</v>
      </c>
    </row>
    <row r="374" spans="1:4">
      <c r="A374" s="29" t="str">
        <f t="shared" si="38"/>
        <v>АСУЭ.TOR_VV.stCHAPV_on</v>
      </c>
      <c r="B374" s="1">
        <v>101</v>
      </c>
      <c r="C374" s="1" t="s">
        <v>0</v>
      </c>
      <c r="D374" s="30" t="s">
        <v>1508</v>
      </c>
    </row>
    <row r="375" spans="1:4">
      <c r="A375" s="29" t="str">
        <f t="shared" si="38"/>
        <v>АСУЭ.TOR_VV.stCHAPV_on</v>
      </c>
      <c r="B375" s="1">
        <v>3</v>
      </c>
      <c r="C375" s="1" t="s">
        <v>1</v>
      </c>
      <c r="D375" s="30">
        <v>192</v>
      </c>
    </row>
    <row r="376" spans="1:4">
      <c r="A376" s="29" t="str">
        <f t="shared" si="38"/>
        <v>АСУЭ.TOR_VV.stCHAPV_on</v>
      </c>
      <c r="B376" s="1">
        <v>2</v>
      </c>
      <c r="C376" s="1" t="s">
        <v>2</v>
      </c>
      <c r="D376" s="30" t="s">
        <v>175</v>
      </c>
    </row>
    <row r="377" spans="1:4">
      <c r="A377" s="26" t="str">
        <f t="shared" si="38"/>
        <v>АСУЭ.TOR_VV.stCHAPV_on</v>
      </c>
      <c r="B377" s="27">
        <v>1</v>
      </c>
      <c r="C377" s="27" t="s">
        <v>1</v>
      </c>
      <c r="D377" s="28">
        <v>11</v>
      </c>
    </row>
    <row r="378" spans="1:4">
      <c r="A378" s="100" t="str">
        <f>$R$2&amp;".stBan_On"</f>
        <v>АСУЭ.TOR_VV.stBan_On</v>
      </c>
      <c r="B378" s="101">
        <v>11154</v>
      </c>
      <c r="C378" s="101" t="s">
        <v>4</v>
      </c>
      <c r="D378" s="102">
        <f>$Q$8</f>
        <v>18</v>
      </c>
    </row>
    <row r="379" spans="1:4">
      <c r="A379" s="100" t="str">
        <f t="shared" ref="A379:A387" si="39">$R$2&amp;".stBan_On"</f>
        <v>АСУЭ.TOR_VV.stBan_On</v>
      </c>
      <c r="B379" s="101">
        <v>11150</v>
      </c>
      <c r="C379" s="101" t="s">
        <v>0</v>
      </c>
      <c r="D379" s="103" t="s">
        <v>1927</v>
      </c>
    </row>
    <row r="380" spans="1:4">
      <c r="A380" s="100" t="str">
        <f t="shared" si="39"/>
        <v>АСУЭ.TOR_VV.stBan_On</v>
      </c>
      <c r="B380" s="101">
        <v>11152</v>
      </c>
      <c r="C380" s="101" t="s">
        <v>0</v>
      </c>
      <c r="D380" s="104" t="str">
        <f>$R$8</f>
        <v>Телесигнализация</v>
      </c>
    </row>
    <row r="381" spans="1:4">
      <c r="A381" s="100" t="str">
        <f t="shared" si="39"/>
        <v>АСУЭ.TOR_VV.stBan_On</v>
      </c>
      <c r="B381" s="101">
        <v>11000</v>
      </c>
      <c r="C381" s="101" t="s">
        <v>5</v>
      </c>
      <c r="D381" s="103">
        <v>2147483680</v>
      </c>
    </row>
    <row r="382" spans="1:4">
      <c r="A382" s="19" t="str">
        <f t="shared" si="39"/>
        <v>АСУЭ.TOR_VV.stBan_On</v>
      </c>
      <c r="B382" s="11">
        <v>7999</v>
      </c>
      <c r="C382" s="11" t="s">
        <v>0</v>
      </c>
      <c r="D382" s="20" t="str">
        <f>"#"&amp;$S$2&amp;"#"&amp;$T$2&amp;"."&amp;$P$2&amp;".stBan_On"</f>
        <v>#3#\\Setup_rza\Modbus.OPCServer\ZRU_Sepam.VV1_TOR.stBan_On</v>
      </c>
    </row>
    <row r="383" spans="1:4">
      <c r="A383" s="19" t="str">
        <f t="shared" si="39"/>
        <v>АСУЭ.TOR_VV.stBan_On</v>
      </c>
      <c r="B383" s="11">
        <v>7998</v>
      </c>
      <c r="C383" s="11" t="s">
        <v>6</v>
      </c>
      <c r="D383" s="20">
        <v>1</v>
      </c>
    </row>
    <row r="384" spans="1:4">
      <c r="A384" s="19" t="str">
        <f t="shared" si="39"/>
        <v>АСУЭ.TOR_VV.stBan_On</v>
      </c>
      <c r="B384" s="11">
        <v>101</v>
      </c>
      <c r="C384" s="11" t="s">
        <v>0</v>
      </c>
      <c r="D384" s="20" t="s">
        <v>1927</v>
      </c>
    </row>
    <row r="385" spans="1:4">
      <c r="A385" s="19" t="str">
        <f t="shared" si="39"/>
        <v>АСУЭ.TOR_VV.stBan_On</v>
      </c>
      <c r="B385" s="11">
        <v>3</v>
      </c>
      <c r="C385" s="11" t="s">
        <v>1</v>
      </c>
      <c r="D385" s="20">
        <v>192</v>
      </c>
    </row>
    <row r="386" spans="1:4">
      <c r="A386" s="19" t="str">
        <f t="shared" si="39"/>
        <v>АСУЭ.TOR_VV.stBan_On</v>
      </c>
      <c r="B386" s="11">
        <v>2</v>
      </c>
      <c r="C386" s="11" t="s">
        <v>2</v>
      </c>
      <c r="D386" s="20" t="s">
        <v>3</v>
      </c>
    </row>
    <row r="387" spans="1:4">
      <c r="A387" s="21" t="str">
        <f t="shared" si="39"/>
        <v>АСУЭ.TOR_VV.stBan_On</v>
      </c>
      <c r="B387" s="8">
        <v>1</v>
      </c>
      <c r="C387" s="8" t="s">
        <v>1</v>
      </c>
      <c r="D387" s="22">
        <v>11</v>
      </c>
    </row>
    <row r="388" spans="1:4">
      <c r="A388" s="100" t="str">
        <f t="shared" ref="A388:A396" si="40">$R$2&amp;".stMotorOff"</f>
        <v>АСУЭ.TOR_VV.stMotorOff</v>
      </c>
      <c r="B388" s="101">
        <v>11150</v>
      </c>
      <c r="C388" s="101" t="s">
        <v>0</v>
      </c>
      <c r="D388" s="103" t="s">
        <v>2788</v>
      </c>
    </row>
    <row r="389" spans="1:4">
      <c r="A389" s="100" t="str">
        <f t="shared" si="40"/>
        <v>АСУЭ.TOR_VV.stMotorOff</v>
      </c>
      <c r="B389" s="101">
        <v>11152</v>
      </c>
      <c r="C389" s="101" t="s">
        <v>0</v>
      </c>
      <c r="D389" s="104" t="str">
        <f>$R$8</f>
        <v>Телесигнализация</v>
      </c>
    </row>
    <row r="390" spans="1:4">
      <c r="A390" s="100" t="str">
        <f t="shared" si="40"/>
        <v>АСУЭ.TOR_VV.stMotorOff</v>
      </c>
      <c r="B390" s="101">
        <v>11000</v>
      </c>
      <c r="C390" s="101" t="s">
        <v>5</v>
      </c>
      <c r="D390" s="103">
        <v>2147483680</v>
      </c>
    </row>
    <row r="391" spans="1:4">
      <c r="A391" s="19" t="str">
        <f t="shared" si="40"/>
        <v>АСУЭ.TOR_VV.stMotorOff</v>
      </c>
      <c r="B391" s="11">
        <v>7999</v>
      </c>
      <c r="C391" s="11" t="s">
        <v>0</v>
      </c>
      <c r="D391" s="20" t="str">
        <f>"#"&amp;$S$2&amp;"#"&amp;$T$2&amp;"."&amp;$P$2&amp;".stMotorOff"</f>
        <v>#3#\\Setup_rza\Modbus.OPCServer\ZRU_Sepam.VV1_TOR.stMotorOff</v>
      </c>
    </row>
    <row r="392" spans="1:4">
      <c r="A392" s="19" t="str">
        <f t="shared" si="40"/>
        <v>АСУЭ.TOR_VV.stMotorOff</v>
      </c>
      <c r="B392" s="11">
        <v>7998</v>
      </c>
      <c r="C392" s="11" t="s">
        <v>6</v>
      </c>
      <c r="D392" s="20">
        <v>1</v>
      </c>
    </row>
    <row r="393" spans="1:4">
      <c r="A393" s="19" t="str">
        <f t="shared" si="40"/>
        <v>АСУЭ.TOR_VV.stMotorOff</v>
      </c>
      <c r="B393" s="11">
        <v>101</v>
      </c>
      <c r="C393" s="11" t="s">
        <v>0</v>
      </c>
      <c r="D393" s="20" t="s">
        <v>2788</v>
      </c>
    </row>
    <row r="394" spans="1:4">
      <c r="A394" s="19" t="str">
        <f t="shared" si="40"/>
        <v>АСУЭ.TOR_VV.stMotorOff</v>
      </c>
      <c r="B394" s="11">
        <v>3</v>
      </c>
      <c r="C394" s="11" t="s">
        <v>1</v>
      </c>
      <c r="D394" s="20">
        <v>192</v>
      </c>
    </row>
    <row r="395" spans="1:4">
      <c r="A395" s="19" t="str">
        <f t="shared" si="40"/>
        <v>АСУЭ.TOR_VV.stMotorOff</v>
      </c>
      <c r="B395" s="11">
        <v>2</v>
      </c>
      <c r="C395" s="11" t="s">
        <v>2</v>
      </c>
      <c r="D395" s="20" t="s">
        <v>3</v>
      </c>
    </row>
    <row r="396" spans="1:4">
      <c r="A396" s="21" t="str">
        <f t="shared" si="40"/>
        <v>АСУЭ.TOR_VV.stMotorOff</v>
      </c>
      <c r="B396" s="8">
        <v>1</v>
      </c>
      <c r="C396" s="8" t="s">
        <v>1</v>
      </c>
      <c r="D396" s="22">
        <v>11</v>
      </c>
    </row>
    <row r="397" spans="1:4">
      <c r="A397" s="100" t="str">
        <f>$R$2&amp;".stCircuitOnFlt"</f>
        <v>АСУЭ.TOR_VV.stCircuitOnFlt</v>
      </c>
      <c r="B397" s="101">
        <v>11154</v>
      </c>
      <c r="C397" s="101" t="s">
        <v>4</v>
      </c>
      <c r="D397" s="102">
        <f>$Q$8</f>
        <v>18</v>
      </c>
    </row>
    <row r="398" spans="1:4">
      <c r="A398" s="100" t="str">
        <f t="shared" ref="A398:A406" si="41">$R$2&amp;".stCircuitOnFlt"</f>
        <v>АСУЭ.TOR_VV.stCircuitOnFlt</v>
      </c>
      <c r="B398" s="101">
        <v>11150</v>
      </c>
      <c r="C398" s="101" t="s">
        <v>0</v>
      </c>
      <c r="D398" s="103" t="s">
        <v>2789</v>
      </c>
    </row>
    <row r="399" spans="1:4">
      <c r="A399" s="100" t="str">
        <f t="shared" si="41"/>
        <v>АСУЭ.TOR_VV.stCircuitOnFlt</v>
      </c>
      <c r="B399" s="101">
        <v>11152</v>
      </c>
      <c r="C399" s="101" t="s">
        <v>0</v>
      </c>
      <c r="D399" s="104" t="str">
        <f>$R$8</f>
        <v>Телесигнализация</v>
      </c>
    </row>
    <row r="400" spans="1:4">
      <c r="A400" s="100" t="str">
        <f t="shared" si="41"/>
        <v>АСУЭ.TOR_VV.stCircuitOnFlt</v>
      </c>
      <c r="B400" s="101">
        <v>11000</v>
      </c>
      <c r="C400" s="101" t="s">
        <v>5</v>
      </c>
      <c r="D400" s="103">
        <v>2147483680</v>
      </c>
    </row>
    <row r="401" spans="1:4">
      <c r="A401" s="19" t="str">
        <f t="shared" si="41"/>
        <v>АСУЭ.TOR_VV.stCircuitOnFlt</v>
      </c>
      <c r="B401" s="11">
        <v>7999</v>
      </c>
      <c r="C401" s="11" t="s">
        <v>0</v>
      </c>
      <c r="D401" s="20" t="str">
        <f>"#"&amp;$S$2&amp;"#"&amp;$T$2&amp;"."&amp;$P$2&amp;".stCircuitOnFlt"</f>
        <v>#3#\\Setup_rza\Modbus.OPCServer\ZRU_Sepam.VV1_TOR.stCircuitOnFlt</v>
      </c>
    </row>
    <row r="402" spans="1:4">
      <c r="A402" s="19" t="str">
        <f t="shared" si="41"/>
        <v>АСУЭ.TOR_VV.stCircuitOnFlt</v>
      </c>
      <c r="B402" s="11">
        <v>7998</v>
      </c>
      <c r="C402" s="11" t="s">
        <v>6</v>
      </c>
      <c r="D402" s="20">
        <v>1</v>
      </c>
    </row>
    <row r="403" spans="1:4">
      <c r="A403" s="19" t="str">
        <f t="shared" si="41"/>
        <v>АСУЭ.TOR_VV.stCircuitOnFlt</v>
      </c>
      <c r="B403" s="11">
        <v>101</v>
      </c>
      <c r="C403" s="11" t="s">
        <v>0</v>
      </c>
      <c r="D403" s="20" t="s">
        <v>2789</v>
      </c>
    </row>
    <row r="404" spans="1:4">
      <c r="A404" s="19" t="str">
        <f t="shared" si="41"/>
        <v>АСУЭ.TOR_VV.stCircuitOnFlt</v>
      </c>
      <c r="B404" s="11">
        <v>3</v>
      </c>
      <c r="C404" s="11" t="s">
        <v>1</v>
      </c>
      <c r="D404" s="20">
        <v>192</v>
      </c>
    </row>
    <row r="405" spans="1:4">
      <c r="A405" s="19" t="str">
        <f t="shared" si="41"/>
        <v>АСУЭ.TOR_VV.stCircuitOnFlt</v>
      </c>
      <c r="B405" s="11">
        <v>2</v>
      </c>
      <c r="C405" s="11" t="s">
        <v>2</v>
      </c>
      <c r="D405" s="20" t="s">
        <v>3</v>
      </c>
    </row>
    <row r="406" spans="1:4">
      <c r="A406" s="21" t="str">
        <f t="shared" si="41"/>
        <v>АСУЭ.TOR_VV.stCircuitOnFlt</v>
      </c>
      <c r="B406" s="8">
        <v>1</v>
      </c>
      <c r="C406" s="8" t="s">
        <v>1</v>
      </c>
      <c r="D406" s="22">
        <v>11</v>
      </c>
    </row>
    <row r="407" spans="1:4">
      <c r="A407" s="100" t="str">
        <f>$R$2&amp;".stRPV"</f>
        <v>АСУЭ.TOR_VV.stRPV</v>
      </c>
      <c r="B407" s="101">
        <v>11154</v>
      </c>
      <c r="C407" s="101" t="s">
        <v>4</v>
      </c>
      <c r="D407" s="102">
        <f>$Q$8</f>
        <v>18</v>
      </c>
    </row>
    <row r="408" spans="1:4">
      <c r="A408" s="100" t="str">
        <f t="shared" ref="A408:A416" si="42">$R$2&amp;".stRPV"</f>
        <v>АСУЭ.TOR_VV.stRPV</v>
      </c>
      <c r="B408" s="101">
        <v>11150</v>
      </c>
      <c r="C408" s="101" t="s">
        <v>0</v>
      </c>
      <c r="D408" s="103" t="s">
        <v>2790</v>
      </c>
    </row>
    <row r="409" spans="1:4">
      <c r="A409" s="100" t="str">
        <f t="shared" si="42"/>
        <v>АСУЭ.TOR_VV.stRPV</v>
      </c>
      <c r="B409" s="101">
        <v>11152</v>
      </c>
      <c r="C409" s="101" t="s">
        <v>0</v>
      </c>
      <c r="D409" s="104" t="str">
        <f>$R$8</f>
        <v>Телесигнализация</v>
      </c>
    </row>
    <row r="410" spans="1:4">
      <c r="A410" s="100" t="str">
        <f t="shared" si="42"/>
        <v>АСУЭ.TOR_VV.stRPV</v>
      </c>
      <c r="B410" s="101">
        <v>11000</v>
      </c>
      <c r="C410" s="101" t="s">
        <v>5</v>
      </c>
      <c r="D410" s="103">
        <v>2147483680</v>
      </c>
    </row>
    <row r="411" spans="1:4">
      <c r="A411" s="19" t="str">
        <f t="shared" si="42"/>
        <v>АСУЭ.TOR_VV.stRPV</v>
      </c>
      <c r="B411" s="11">
        <v>7999</v>
      </c>
      <c r="C411" s="11" t="s">
        <v>0</v>
      </c>
      <c r="D411" s="20" t="str">
        <f>"#"&amp;$S$2&amp;"#"&amp;$T$2&amp;"."&amp;$P$2&amp;".stRPV"</f>
        <v>#3#\\Setup_rza\Modbus.OPCServer\ZRU_Sepam.VV1_TOR.stRPV</v>
      </c>
    </row>
    <row r="412" spans="1:4">
      <c r="A412" s="19" t="str">
        <f t="shared" si="42"/>
        <v>АСУЭ.TOR_VV.stRPV</v>
      </c>
      <c r="B412" s="11">
        <v>7998</v>
      </c>
      <c r="C412" s="11" t="s">
        <v>6</v>
      </c>
      <c r="D412" s="20">
        <v>1</v>
      </c>
    </row>
    <row r="413" spans="1:4">
      <c r="A413" s="19" t="str">
        <f t="shared" si="42"/>
        <v>АСУЭ.TOR_VV.stRPV</v>
      </c>
      <c r="B413" s="11">
        <v>101</v>
      </c>
      <c r="C413" s="11" t="s">
        <v>0</v>
      </c>
      <c r="D413" s="20" t="s">
        <v>2790</v>
      </c>
    </row>
    <row r="414" spans="1:4">
      <c r="A414" s="19" t="str">
        <f t="shared" si="42"/>
        <v>АСУЭ.TOR_VV.stRPV</v>
      </c>
      <c r="B414" s="11">
        <v>3</v>
      </c>
      <c r="C414" s="11" t="s">
        <v>1</v>
      </c>
      <c r="D414" s="20">
        <v>192</v>
      </c>
    </row>
    <row r="415" spans="1:4">
      <c r="A415" s="19" t="str">
        <f t="shared" si="42"/>
        <v>АСУЭ.TOR_VV.stRPV</v>
      </c>
      <c r="B415" s="11">
        <v>2</v>
      </c>
      <c r="C415" s="11" t="s">
        <v>2</v>
      </c>
      <c r="D415" s="20" t="s">
        <v>3</v>
      </c>
    </row>
    <row r="416" spans="1:4">
      <c r="A416" s="21" t="str">
        <f t="shared" si="42"/>
        <v>АСУЭ.TOR_VV.stRPV</v>
      </c>
      <c r="B416" s="8">
        <v>1</v>
      </c>
      <c r="C416" s="8" t="s">
        <v>1</v>
      </c>
      <c r="D416" s="22">
        <v>11</v>
      </c>
    </row>
    <row r="417" spans="1:4">
      <c r="A417" s="100" t="str">
        <f>$R$2&amp;".stRPO"</f>
        <v>АСУЭ.TOR_VV.stRPO</v>
      </c>
      <c r="B417" s="101">
        <v>11154</v>
      </c>
      <c r="C417" s="101" t="s">
        <v>4</v>
      </c>
      <c r="D417" s="102">
        <f>$Q$8</f>
        <v>18</v>
      </c>
    </row>
    <row r="418" spans="1:4">
      <c r="A418" s="100" t="str">
        <f t="shared" ref="A418:A426" si="43">$R$2&amp;".stRPO"</f>
        <v>АСУЭ.TOR_VV.stRPO</v>
      </c>
      <c r="B418" s="101">
        <v>11150</v>
      </c>
      <c r="C418" s="101" t="s">
        <v>0</v>
      </c>
      <c r="D418" s="103" t="s">
        <v>2791</v>
      </c>
    </row>
    <row r="419" spans="1:4">
      <c r="A419" s="100" t="str">
        <f t="shared" si="43"/>
        <v>АСУЭ.TOR_VV.stRPO</v>
      </c>
      <c r="B419" s="101">
        <v>11152</v>
      </c>
      <c r="C419" s="101" t="s">
        <v>0</v>
      </c>
      <c r="D419" s="104" t="str">
        <f>$R$8</f>
        <v>Телесигнализация</v>
      </c>
    </row>
    <row r="420" spans="1:4">
      <c r="A420" s="100" t="str">
        <f t="shared" si="43"/>
        <v>АСУЭ.TOR_VV.stRPO</v>
      </c>
      <c r="B420" s="101">
        <v>11000</v>
      </c>
      <c r="C420" s="101" t="s">
        <v>5</v>
      </c>
      <c r="D420" s="103">
        <v>2147483680</v>
      </c>
    </row>
    <row r="421" spans="1:4">
      <c r="A421" s="19" t="str">
        <f t="shared" si="43"/>
        <v>АСУЭ.TOR_VV.stRPO</v>
      </c>
      <c r="B421" s="11">
        <v>7999</v>
      </c>
      <c r="C421" s="11" t="s">
        <v>0</v>
      </c>
      <c r="D421" s="20" t="str">
        <f>"#"&amp;$S$2&amp;"#"&amp;$T$2&amp;"."&amp;$P$2&amp;".stRPO"</f>
        <v>#3#\\Setup_rza\Modbus.OPCServer\ZRU_Sepam.VV1_TOR.stRPO</v>
      </c>
    </row>
    <row r="422" spans="1:4">
      <c r="A422" s="19" t="str">
        <f t="shared" si="43"/>
        <v>АСУЭ.TOR_VV.stRPO</v>
      </c>
      <c r="B422" s="11">
        <v>7998</v>
      </c>
      <c r="C422" s="11" t="s">
        <v>6</v>
      </c>
      <c r="D422" s="20">
        <v>1</v>
      </c>
    </row>
    <row r="423" spans="1:4">
      <c r="A423" s="19" t="str">
        <f t="shared" si="43"/>
        <v>АСУЭ.TOR_VV.stRPO</v>
      </c>
      <c r="B423" s="11">
        <v>101</v>
      </c>
      <c r="C423" s="11" t="s">
        <v>0</v>
      </c>
      <c r="D423" s="20" t="s">
        <v>2791</v>
      </c>
    </row>
    <row r="424" spans="1:4">
      <c r="A424" s="19" t="str">
        <f t="shared" si="43"/>
        <v>АСУЭ.TOR_VV.stRPO</v>
      </c>
      <c r="B424" s="11">
        <v>3</v>
      </c>
      <c r="C424" s="11" t="s">
        <v>1</v>
      </c>
      <c r="D424" s="20">
        <v>192</v>
      </c>
    </row>
    <row r="425" spans="1:4">
      <c r="A425" s="19" t="str">
        <f t="shared" si="43"/>
        <v>АСУЭ.TOR_VV.stRPO</v>
      </c>
      <c r="B425" s="11">
        <v>2</v>
      </c>
      <c r="C425" s="11" t="s">
        <v>2</v>
      </c>
      <c r="D425" s="20" t="s">
        <v>3</v>
      </c>
    </row>
    <row r="426" spans="1:4">
      <c r="A426" s="21" t="str">
        <f t="shared" si="43"/>
        <v>АСУЭ.TOR_VV.stRPO</v>
      </c>
      <c r="B426" s="8">
        <v>1</v>
      </c>
      <c r="C426" s="8" t="s">
        <v>1</v>
      </c>
      <c r="D426" s="22">
        <v>11</v>
      </c>
    </row>
    <row r="427" spans="1:4">
      <c r="A427" s="100" t="str">
        <f>$R$2&amp;".stCtrlCircuitOn"</f>
        <v>АСУЭ.TOR_VV.stCtrlCircuitOn</v>
      </c>
      <c r="B427" s="101">
        <v>11154</v>
      </c>
      <c r="C427" s="101" t="s">
        <v>4</v>
      </c>
      <c r="D427" s="102">
        <f>$Q$8</f>
        <v>18</v>
      </c>
    </row>
    <row r="428" spans="1:4">
      <c r="A428" s="100" t="str">
        <f t="shared" ref="A428:A436" si="44">$R$2&amp;".stCtrlCircuitOn"</f>
        <v>АСУЭ.TOR_VV.stCtrlCircuitOn</v>
      </c>
      <c r="B428" s="101">
        <v>11150</v>
      </c>
      <c r="C428" s="101" t="s">
        <v>0</v>
      </c>
      <c r="D428" s="103" t="s">
        <v>2792</v>
      </c>
    </row>
    <row r="429" spans="1:4">
      <c r="A429" s="100" t="str">
        <f t="shared" si="44"/>
        <v>АСУЭ.TOR_VV.stCtrlCircuitOn</v>
      </c>
      <c r="B429" s="101">
        <v>11152</v>
      </c>
      <c r="C429" s="101" t="s">
        <v>0</v>
      </c>
      <c r="D429" s="104" t="str">
        <f>$R$8</f>
        <v>Телесигнализация</v>
      </c>
    </row>
    <row r="430" spans="1:4">
      <c r="A430" s="100" t="str">
        <f t="shared" si="44"/>
        <v>АСУЭ.TOR_VV.stCtrlCircuitOn</v>
      </c>
      <c r="B430" s="101">
        <v>11000</v>
      </c>
      <c r="C430" s="101" t="s">
        <v>5</v>
      </c>
      <c r="D430" s="103">
        <v>2147483680</v>
      </c>
    </row>
    <row r="431" spans="1:4">
      <c r="A431" s="19" t="str">
        <f t="shared" si="44"/>
        <v>АСУЭ.TOR_VV.stCtrlCircuitOn</v>
      </c>
      <c r="B431" s="11">
        <v>7999</v>
      </c>
      <c r="C431" s="11" t="s">
        <v>0</v>
      </c>
      <c r="D431" s="20" t="str">
        <f>"#"&amp;$S$2&amp;"#"&amp;$T$2&amp;"."&amp;$P$2&amp;".stCtrlCircuitOn"</f>
        <v>#3#\\Setup_rza\Modbus.OPCServer\ZRU_Sepam.VV1_TOR.stCtrlCircuitOn</v>
      </c>
    </row>
    <row r="432" spans="1:4">
      <c r="A432" s="19" t="str">
        <f t="shared" si="44"/>
        <v>АСУЭ.TOR_VV.stCtrlCircuitOn</v>
      </c>
      <c r="B432" s="11">
        <v>7998</v>
      </c>
      <c r="C432" s="11" t="s">
        <v>6</v>
      </c>
      <c r="D432" s="20">
        <v>1</v>
      </c>
    </row>
    <row r="433" spans="1:4">
      <c r="A433" s="19" t="str">
        <f t="shared" si="44"/>
        <v>АСУЭ.TOR_VV.stCtrlCircuitOn</v>
      </c>
      <c r="B433" s="11">
        <v>101</v>
      </c>
      <c r="C433" s="11" t="s">
        <v>0</v>
      </c>
      <c r="D433" s="20" t="s">
        <v>2792</v>
      </c>
    </row>
    <row r="434" spans="1:4">
      <c r="A434" s="19" t="str">
        <f t="shared" si="44"/>
        <v>АСУЭ.TOR_VV.stCtrlCircuitOn</v>
      </c>
      <c r="B434" s="11">
        <v>3</v>
      </c>
      <c r="C434" s="11" t="s">
        <v>1</v>
      </c>
      <c r="D434" s="20">
        <v>192</v>
      </c>
    </row>
    <row r="435" spans="1:4">
      <c r="A435" s="19" t="str">
        <f t="shared" si="44"/>
        <v>АСУЭ.TOR_VV.stCtrlCircuitOn</v>
      </c>
      <c r="B435" s="11">
        <v>2</v>
      </c>
      <c r="C435" s="11" t="s">
        <v>2</v>
      </c>
      <c r="D435" s="20" t="s">
        <v>3</v>
      </c>
    </row>
    <row r="436" spans="1:4">
      <c r="A436" s="21" t="str">
        <f t="shared" si="44"/>
        <v>АСУЭ.TOR_VV.stCtrlCircuitOn</v>
      </c>
      <c r="B436" s="8">
        <v>1</v>
      </c>
      <c r="C436" s="8" t="s">
        <v>1</v>
      </c>
      <c r="D436" s="22">
        <v>11</v>
      </c>
    </row>
    <row r="437" spans="1:4">
      <c r="A437" s="19" t="str">
        <f t="shared" ref="A437:A438" si="45">$R$2&amp;".stTOn"</f>
        <v>АСУЭ.TOR_VV.stTOn</v>
      </c>
      <c r="B437" s="11">
        <v>7000000</v>
      </c>
      <c r="C437" s="11" t="s">
        <v>6</v>
      </c>
      <c r="D437" s="20">
        <v>1</v>
      </c>
    </row>
    <row r="438" spans="1:4">
      <c r="A438" s="19" t="str">
        <f t="shared" si="45"/>
        <v>АСУЭ.TOR_VV.stTOn</v>
      </c>
      <c r="B438" s="11">
        <v>4000000</v>
      </c>
      <c r="C438" s="11" t="s">
        <v>0</v>
      </c>
      <c r="D438" s="72" t="s">
        <v>1877</v>
      </c>
    </row>
    <row r="439" spans="1:4">
      <c r="A439" s="100" t="str">
        <f>$R$2&amp;".stTOn"</f>
        <v>АСУЭ.TOR_VV.stTOn</v>
      </c>
      <c r="B439" s="101">
        <v>11154</v>
      </c>
      <c r="C439" s="101" t="s">
        <v>4</v>
      </c>
      <c r="D439" s="102">
        <f>$Q$8</f>
        <v>18</v>
      </c>
    </row>
    <row r="440" spans="1:4">
      <c r="A440" s="100" t="str">
        <f t="shared" ref="A440:A448" si="46">$R$2&amp;".stTOn"</f>
        <v>АСУЭ.TOR_VV.stTOn</v>
      </c>
      <c r="B440" s="101">
        <v>11150</v>
      </c>
      <c r="C440" s="101" t="s">
        <v>0</v>
      </c>
      <c r="D440" s="103" t="s">
        <v>2853</v>
      </c>
    </row>
    <row r="441" spans="1:4">
      <c r="A441" s="100" t="str">
        <f t="shared" si="46"/>
        <v>АСУЭ.TOR_VV.stTOn</v>
      </c>
      <c r="B441" s="101">
        <v>11152</v>
      </c>
      <c r="C441" s="101" t="s">
        <v>0</v>
      </c>
      <c r="D441" s="104" t="str">
        <f>$R$8</f>
        <v>Телесигнализация</v>
      </c>
    </row>
    <row r="442" spans="1:4">
      <c r="A442" s="100" t="str">
        <f t="shared" si="46"/>
        <v>АСУЭ.TOR_VV.stTOn</v>
      </c>
      <c r="B442" s="101">
        <v>11000</v>
      </c>
      <c r="C442" s="101" t="s">
        <v>5</v>
      </c>
      <c r="D442" s="103">
        <v>2147483680</v>
      </c>
    </row>
    <row r="443" spans="1:4">
      <c r="A443" s="19" t="str">
        <f t="shared" si="46"/>
        <v>АСУЭ.TOR_VV.stTOn</v>
      </c>
      <c r="B443" s="11">
        <v>7999</v>
      </c>
      <c r="C443" s="11" t="s">
        <v>0</v>
      </c>
      <c r="D443" s="20" t="str">
        <f>"#"&amp;$S$2&amp;"#"&amp;$T$2&amp;"."&amp;$P$2&amp;".stTOn"</f>
        <v>#3#\\Setup_rza\Modbus.OPCServer\ZRU_Sepam.VV1_TOR.stTOn</v>
      </c>
    </row>
    <row r="444" spans="1:4">
      <c r="A444" s="19" t="str">
        <f t="shared" si="46"/>
        <v>АСУЭ.TOR_VV.stTOn</v>
      </c>
      <c r="B444" s="11">
        <v>7998</v>
      </c>
      <c r="C444" s="11" t="s">
        <v>6</v>
      </c>
      <c r="D444" s="20">
        <v>1</v>
      </c>
    </row>
    <row r="445" spans="1:4">
      <c r="A445" s="19" t="str">
        <f t="shared" si="46"/>
        <v>АСУЭ.TOR_VV.stTOn</v>
      </c>
      <c r="B445" s="11">
        <v>101</v>
      </c>
      <c r="C445" s="11" t="s">
        <v>0</v>
      </c>
      <c r="D445" s="20" t="s">
        <v>1850</v>
      </c>
    </row>
    <row r="446" spans="1:4">
      <c r="A446" s="19" t="str">
        <f t="shared" si="46"/>
        <v>АСУЭ.TOR_VV.stTOn</v>
      </c>
      <c r="B446" s="11">
        <v>3</v>
      </c>
      <c r="C446" s="11" t="s">
        <v>1</v>
      </c>
      <c r="D446" s="20">
        <v>192</v>
      </c>
    </row>
    <row r="447" spans="1:4">
      <c r="A447" s="19" t="str">
        <f t="shared" si="46"/>
        <v>АСУЭ.TOR_VV.stTOn</v>
      </c>
      <c r="B447" s="11">
        <v>2</v>
      </c>
      <c r="C447" s="11" t="s">
        <v>2</v>
      </c>
      <c r="D447" s="20" t="s">
        <v>3</v>
      </c>
    </row>
    <row r="448" spans="1:4">
      <c r="A448" s="21" t="str">
        <f t="shared" si="46"/>
        <v>АСУЭ.TOR_VV.stTOn</v>
      </c>
      <c r="B448" s="8">
        <v>1</v>
      </c>
      <c r="C448" s="8" t="s">
        <v>1</v>
      </c>
      <c r="D448" s="22">
        <v>11</v>
      </c>
    </row>
    <row r="449" spans="1:4">
      <c r="A449" s="100" t="str">
        <f>$R$2&amp;".stTOff"</f>
        <v>АСУЭ.TOR_VV.stTOff</v>
      </c>
      <c r="B449" s="101">
        <v>11154</v>
      </c>
      <c r="C449" s="101" t="s">
        <v>4</v>
      </c>
      <c r="D449" s="102">
        <f>$Q$8</f>
        <v>18</v>
      </c>
    </row>
    <row r="450" spans="1:4">
      <c r="A450" s="100" t="str">
        <f t="shared" ref="A450:A458" si="47">$R$2&amp;".stTOff"</f>
        <v>АСУЭ.TOR_VV.stTOff</v>
      </c>
      <c r="B450" s="101">
        <v>11150</v>
      </c>
      <c r="C450" s="101" t="s">
        <v>0</v>
      </c>
      <c r="D450" s="103" t="s">
        <v>2854</v>
      </c>
    </row>
    <row r="451" spans="1:4">
      <c r="A451" s="100" t="str">
        <f t="shared" si="47"/>
        <v>АСУЭ.TOR_VV.stTOff</v>
      </c>
      <c r="B451" s="101">
        <v>11152</v>
      </c>
      <c r="C451" s="101" t="s">
        <v>0</v>
      </c>
      <c r="D451" s="104" t="str">
        <f>$R$8</f>
        <v>Телесигнализация</v>
      </c>
    </row>
    <row r="452" spans="1:4">
      <c r="A452" s="100" t="str">
        <f t="shared" si="47"/>
        <v>АСУЭ.TOR_VV.stTOff</v>
      </c>
      <c r="B452" s="101">
        <v>11000</v>
      </c>
      <c r="C452" s="101" t="s">
        <v>5</v>
      </c>
      <c r="D452" s="103">
        <v>2147483680</v>
      </c>
    </row>
    <row r="453" spans="1:4">
      <c r="A453" s="19" t="str">
        <f t="shared" si="47"/>
        <v>АСУЭ.TOR_VV.stTOff</v>
      </c>
      <c r="B453" s="11">
        <v>7999</v>
      </c>
      <c r="C453" s="11" t="s">
        <v>0</v>
      </c>
      <c r="D453" s="20" t="str">
        <f>"#"&amp;$S$2&amp;"#"&amp;$T$2&amp;"."&amp;$P$2&amp;".stTOff"</f>
        <v>#3#\\Setup_rza\Modbus.OPCServer\ZRU_Sepam.VV1_TOR.stTOff</v>
      </c>
    </row>
    <row r="454" spans="1:4">
      <c r="A454" s="19" t="str">
        <f t="shared" si="47"/>
        <v>АСУЭ.TOR_VV.stTOff</v>
      </c>
      <c r="B454" s="11">
        <v>7998</v>
      </c>
      <c r="C454" s="11" t="s">
        <v>6</v>
      </c>
      <c r="D454" s="20">
        <v>1</v>
      </c>
    </row>
    <row r="455" spans="1:4">
      <c r="A455" s="19" t="str">
        <f t="shared" si="47"/>
        <v>АСУЭ.TOR_VV.stTOff</v>
      </c>
      <c r="B455" s="11">
        <v>101</v>
      </c>
      <c r="C455" s="11" t="s">
        <v>0</v>
      </c>
      <c r="D455" s="20" t="s">
        <v>1851</v>
      </c>
    </row>
    <row r="456" spans="1:4">
      <c r="A456" s="19" t="str">
        <f t="shared" si="47"/>
        <v>АСУЭ.TOR_VV.stTOff</v>
      </c>
      <c r="B456" s="11">
        <v>3</v>
      </c>
      <c r="C456" s="11" t="s">
        <v>1</v>
      </c>
      <c r="D456" s="20">
        <v>192</v>
      </c>
    </row>
    <row r="457" spans="1:4">
      <c r="A457" s="19" t="str">
        <f t="shared" si="47"/>
        <v>АСУЭ.TOR_VV.stTOff</v>
      </c>
      <c r="B457" s="11">
        <v>2</v>
      </c>
      <c r="C457" s="11" t="s">
        <v>2</v>
      </c>
      <c r="D457" s="20" t="s">
        <v>3</v>
      </c>
    </row>
    <row r="458" spans="1:4">
      <c r="A458" s="21" t="str">
        <f t="shared" si="47"/>
        <v>АСУЭ.TOR_VV.stTOff</v>
      </c>
      <c r="B458" s="8">
        <v>1</v>
      </c>
      <c r="C458" s="8" t="s">
        <v>1</v>
      </c>
      <c r="D458" s="22">
        <v>11</v>
      </c>
    </row>
    <row r="459" spans="1:4">
      <c r="A459" s="100" t="str">
        <f>$R$2&amp;".stZROff"</f>
        <v>АСУЭ.TOR_VV.stZROff</v>
      </c>
      <c r="B459" s="101">
        <v>11154</v>
      </c>
      <c r="C459" s="101" t="s">
        <v>4</v>
      </c>
      <c r="D459" s="102">
        <f>$Q$8</f>
        <v>18</v>
      </c>
    </row>
    <row r="460" spans="1:4">
      <c r="A460" s="100" t="str">
        <f t="shared" ref="A460:A468" si="48">$R$2&amp;".stZROff"</f>
        <v>АСУЭ.TOR_VV.stZROff</v>
      </c>
      <c r="B460" s="101">
        <v>11150</v>
      </c>
      <c r="C460" s="101" t="s">
        <v>0</v>
      </c>
      <c r="D460" s="103" t="s">
        <v>2793</v>
      </c>
    </row>
    <row r="461" spans="1:4">
      <c r="A461" s="100" t="str">
        <f t="shared" si="48"/>
        <v>АСУЭ.TOR_VV.stZROff</v>
      </c>
      <c r="B461" s="101">
        <v>11152</v>
      </c>
      <c r="C461" s="101" t="s">
        <v>0</v>
      </c>
      <c r="D461" s="104" t="str">
        <f>$R$8</f>
        <v>Телесигнализация</v>
      </c>
    </row>
    <row r="462" spans="1:4">
      <c r="A462" s="100" t="str">
        <f t="shared" si="48"/>
        <v>АСУЭ.TOR_VV.stZROff</v>
      </c>
      <c r="B462" s="101">
        <v>11000</v>
      </c>
      <c r="C462" s="101" t="s">
        <v>5</v>
      </c>
      <c r="D462" s="103">
        <v>2147483680</v>
      </c>
    </row>
    <row r="463" spans="1:4">
      <c r="A463" s="19" t="str">
        <f t="shared" si="48"/>
        <v>АСУЭ.TOR_VV.stZROff</v>
      </c>
      <c r="B463" s="11">
        <v>7999</v>
      </c>
      <c r="C463" s="11" t="s">
        <v>0</v>
      </c>
      <c r="D463" s="20" t="str">
        <f>"#"&amp;$S$2&amp;"#"&amp;$T$2&amp;"."&amp;$P$2&amp;".stZROff"</f>
        <v>#3#\\Setup_rza\Modbus.OPCServer\ZRU_Sepam.VV1_TOR.stZROff</v>
      </c>
    </row>
    <row r="464" spans="1:4" ht="15" customHeight="1">
      <c r="A464" s="19" t="str">
        <f t="shared" si="48"/>
        <v>АСУЭ.TOR_VV.stZROff</v>
      </c>
      <c r="B464" s="11">
        <v>7998</v>
      </c>
      <c r="C464" s="11" t="s">
        <v>6</v>
      </c>
      <c r="D464" s="20">
        <v>1</v>
      </c>
    </row>
    <row r="465" spans="1:4">
      <c r="A465" s="19" t="str">
        <f t="shared" si="48"/>
        <v>АСУЭ.TOR_VV.stZROff</v>
      </c>
      <c r="B465" s="11">
        <v>101</v>
      </c>
      <c r="C465" s="11" t="s">
        <v>0</v>
      </c>
      <c r="D465" s="20" t="s">
        <v>2793</v>
      </c>
    </row>
    <row r="466" spans="1:4">
      <c r="A466" s="19" t="str">
        <f t="shared" si="48"/>
        <v>АСУЭ.TOR_VV.stZROff</v>
      </c>
      <c r="B466" s="11">
        <v>3</v>
      </c>
      <c r="C466" s="11" t="s">
        <v>1</v>
      </c>
      <c r="D466" s="20">
        <v>192</v>
      </c>
    </row>
    <row r="467" spans="1:4">
      <c r="A467" s="19" t="str">
        <f t="shared" si="48"/>
        <v>АСУЭ.TOR_VV.stZROff</v>
      </c>
      <c r="B467" s="11">
        <v>2</v>
      </c>
      <c r="C467" s="11" t="s">
        <v>2</v>
      </c>
      <c r="D467" s="20" t="s">
        <v>3</v>
      </c>
    </row>
    <row r="468" spans="1:4">
      <c r="A468" s="21" t="str">
        <f t="shared" si="48"/>
        <v>АСУЭ.TOR_VV.stZROff</v>
      </c>
      <c r="B468" s="8">
        <v>1</v>
      </c>
      <c r="C468" s="8" t="s">
        <v>1</v>
      </c>
      <c r="D468" s="22">
        <v>11</v>
      </c>
    </row>
    <row r="469" spans="1:4">
      <c r="A469" s="16" t="str">
        <f t="shared" ref="A469:A476" si="49">$R$2&amp;".Commands.coRepair"</f>
        <v>АСУЭ.TOR_VV.Commands.coRepair</v>
      </c>
      <c r="B469" s="17">
        <v>7011</v>
      </c>
      <c r="C469" s="17" t="s">
        <v>2</v>
      </c>
      <c r="D469" s="18" t="s">
        <v>266</v>
      </c>
    </row>
    <row r="470" spans="1:4" ht="14.25" customHeight="1">
      <c r="A470" s="140" t="str">
        <f t="shared" si="49"/>
        <v>АСУЭ.TOR_VV.Commands.coRepair</v>
      </c>
      <c r="B470" s="141">
        <v>11152</v>
      </c>
      <c r="C470" s="141" t="s">
        <v>0</v>
      </c>
      <c r="D470" s="142" t="str">
        <f>$R$11</f>
        <v>Ремонт</v>
      </c>
    </row>
    <row r="471" spans="1:4">
      <c r="A471" s="140" t="str">
        <f t="shared" si="49"/>
        <v>АСУЭ.TOR_VV.Commands.coRepair</v>
      </c>
      <c r="B471" s="141">
        <v>11154</v>
      </c>
      <c r="C471" s="141" t="s">
        <v>4</v>
      </c>
      <c r="D471" s="142">
        <f>$Q$11</f>
        <v>14</v>
      </c>
    </row>
    <row r="472" spans="1:4">
      <c r="A472" s="140" t="str">
        <f t="shared" si="49"/>
        <v>АСУЭ.TOR_VV.Commands.coRepair</v>
      </c>
      <c r="B472" s="141">
        <v>11150</v>
      </c>
      <c r="C472" s="141" t="s">
        <v>0</v>
      </c>
      <c r="D472" s="142" t="s">
        <v>89</v>
      </c>
    </row>
    <row r="473" spans="1:4">
      <c r="A473" s="140" t="str">
        <f t="shared" si="49"/>
        <v>АСУЭ.TOR_VV.Commands.coRepair</v>
      </c>
      <c r="B473" s="141">
        <v>11000</v>
      </c>
      <c r="C473" s="141" t="s">
        <v>5</v>
      </c>
      <c r="D473" s="142">
        <v>2147483680</v>
      </c>
    </row>
    <row r="474" spans="1:4">
      <c r="A474" s="19" t="str">
        <f t="shared" si="49"/>
        <v>АСУЭ.TOR_VV.Commands.coRepair</v>
      </c>
      <c r="B474" s="11">
        <v>1</v>
      </c>
      <c r="C474" s="11" t="s">
        <v>1</v>
      </c>
      <c r="D474" s="20">
        <v>11</v>
      </c>
    </row>
    <row r="475" spans="1:4" ht="409.6">
      <c r="A475" s="29" t="str">
        <f t="shared" si="49"/>
        <v>АСУЭ.TOR_VV.Commands.coRepair</v>
      </c>
      <c r="B475" s="1">
        <v>4000000</v>
      </c>
      <c r="C475" s="1" t="s">
        <v>0</v>
      </c>
      <c r="D475" s="749" t="s">
        <v>2794</v>
      </c>
    </row>
    <row r="476" spans="1:4">
      <c r="A476" s="26" t="str">
        <f t="shared" si="49"/>
        <v>АСУЭ.TOR_VV.Commands.coRepair</v>
      </c>
      <c r="B476" s="27">
        <v>7000000</v>
      </c>
      <c r="C476" s="27" t="s">
        <v>6</v>
      </c>
      <c r="D476" s="28">
        <v>2</v>
      </c>
    </row>
    <row r="477" spans="1:4">
      <c r="A477" s="16" t="str">
        <f t="shared" ref="A477:A482" si="50">$R$2&amp;".Commands.coOn"</f>
        <v>АСУЭ.TOR_VV.Commands.coOn</v>
      </c>
      <c r="B477" s="17">
        <v>7000000</v>
      </c>
      <c r="C477" s="17" t="s">
        <v>6</v>
      </c>
      <c r="D477" s="18">
        <v>0</v>
      </c>
    </row>
    <row r="478" spans="1:4">
      <c r="A478" s="19" t="str">
        <f t="shared" si="50"/>
        <v>АСУЭ.TOR_VV.Commands.coOn</v>
      </c>
      <c r="B478" s="11">
        <v>4000000</v>
      </c>
      <c r="C478" s="11" t="s">
        <v>0</v>
      </c>
      <c r="D478" s="20" t="s">
        <v>2682</v>
      </c>
    </row>
    <row r="479" spans="1:4">
      <c r="A479" s="19" t="str">
        <f t="shared" si="50"/>
        <v>АСУЭ.TOR_VV.Commands.coOn</v>
      </c>
      <c r="B479" s="11">
        <v>101</v>
      </c>
      <c r="C479" s="11" t="s">
        <v>0</v>
      </c>
      <c r="D479" s="20" t="s">
        <v>383</v>
      </c>
    </row>
    <row r="480" spans="1:4">
      <c r="A480" s="19" t="str">
        <f t="shared" si="50"/>
        <v>АСУЭ.TOR_VV.Commands.coOn</v>
      </c>
      <c r="B480" s="11">
        <v>7999</v>
      </c>
      <c r="C480" s="11" t="s">
        <v>0</v>
      </c>
      <c r="D480" s="20" t="str">
        <f>"#"&amp;$S$2&amp;"#"&amp;$T$2&amp;"."&amp;$P$2&amp;".Commands.Net_Comm_On"</f>
        <v>#3#\\Setup_rza\Modbus.OPCServer\ZRU_Sepam.VV1_TOR.Commands.Net_Comm_On</v>
      </c>
    </row>
    <row r="481" spans="1:4">
      <c r="A481" s="19" t="str">
        <f t="shared" si="50"/>
        <v>АСУЭ.TOR_VV.Commands.coOn</v>
      </c>
      <c r="B481" s="11">
        <v>7998</v>
      </c>
      <c r="C481" s="11" t="s">
        <v>6</v>
      </c>
      <c r="D481" s="20">
        <v>2</v>
      </c>
    </row>
    <row r="482" spans="1:4">
      <c r="A482" s="21" t="str">
        <f t="shared" si="50"/>
        <v>АСУЭ.TOR_VV.Commands.coOn</v>
      </c>
      <c r="B482" s="8">
        <v>1</v>
      </c>
      <c r="C482" s="8" t="s">
        <v>1</v>
      </c>
      <c r="D482" s="22">
        <v>11</v>
      </c>
    </row>
    <row r="483" spans="1:4">
      <c r="A483" s="19" t="str">
        <f t="shared" ref="A483:A488" si="51">$R$2&amp;".Commands.coOff"</f>
        <v>АСУЭ.TOR_VV.Commands.coOff</v>
      </c>
      <c r="B483" s="17">
        <v>7000000</v>
      </c>
      <c r="C483" s="17" t="s">
        <v>6</v>
      </c>
      <c r="D483" s="18">
        <v>0</v>
      </c>
    </row>
    <row r="484" spans="1:4">
      <c r="A484" s="19" t="str">
        <f t="shared" si="51"/>
        <v>АСУЭ.TOR_VV.Commands.coOff</v>
      </c>
      <c r="B484" s="11">
        <v>4000000</v>
      </c>
      <c r="C484" s="11" t="s">
        <v>0</v>
      </c>
      <c r="D484" s="20" t="s">
        <v>2683</v>
      </c>
    </row>
    <row r="485" spans="1:4">
      <c r="A485" s="19" t="str">
        <f t="shared" si="51"/>
        <v>АСУЭ.TOR_VV.Commands.coOff</v>
      </c>
      <c r="B485" s="11">
        <v>101</v>
      </c>
      <c r="C485" s="11" t="s">
        <v>0</v>
      </c>
      <c r="D485" s="20" t="s">
        <v>384</v>
      </c>
    </row>
    <row r="486" spans="1:4">
      <c r="A486" s="19" t="str">
        <f t="shared" si="51"/>
        <v>АСУЭ.TOR_VV.Commands.coOff</v>
      </c>
      <c r="B486" s="11">
        <v>7999</v>
      </c>
      <c r="C486" s="11" t="s">
        <v>0</v>
      </c>
      <c r="D486" s="20" t="str">
        <f>"#"&amp;$S$2&amp;"#"&amp;$T$2&amp;"."&amp;$P$2&amp;".Commands.Net_Comm_Off"</f>
        <v>#3#\\Setup_rza\Modbus.OPCServer\ZRU_Sepam.VV1_TOR.Commands.Net_Comm_Off</v>
      </c>
    </row>
    <row r="487" spans="1:4">
      <c r="A487" s="19" t="str">
        <f t="shared" si="51"/>
        <v>АСУЭ.TOR_VV.Commands.coOff</v>
      </c>
      <c r="B487" s="11">
        <v>7998</v>
      </c>
      <c r="C487" s="11" t="s">
        <v>6</v>
      </c>
      <c r="D487" s="20">
        <v>2</v>
      </c>
    </row>
    <row r="488" spans="1:4">
      <c r="A488" s="19" t="str">
        <f t="shared" si="51"/>
        <v>АСУЭ.TOR_VV.Commands.coOff</v>
      </c>
      <c r="B488" s="11">
        <v>1</v>
      </c>
      <c r="C488" s="11" t="s">
        <v>1</v>
      </c>
      <c r="D488" s="20">
        <v>11</v>
      </c>
    </row>
    <row r="489" spans="1:4">
      <c r="A489" s="16" t="str">
        <f t="shared" ref="A489:A494" si="52">$R$2&amp;".Commands.coRst"</f>
        <v>АСУЭ.TOR_VV.Commands.coRst</v>
      </c>
      <c r="B489" s="17">
        <v>7000000</v>
      </c>
      <c r="C489" s="17" t="s">
        <v>6</v>
      </c>
      <c r="D489" s="18">
        <v>0</v>
      </c>
    </row>
    <row r="490" spans="1:4">
      <c r="A490" s="19" t="str">
        <f t="shared" si="52"/>
        <v>АСУЭ.TOR_VV.Commands.coRst</v>
      </c>
      <c r="B490" s="11">
        <v>4000000</v>
      </c>
      <c r="C490" s="11" t="s">
        <v>0</v>
      </c>
      <c r="D490" s="20" t="s">
        <v>385</v>
      </c>
    </row>
    <row r="491" spans="1:4">
      <c r="A491" s="19" t="str">
        <f t="shared" si="52"/>
        <v>АСУЭ.TOR_VV.Commands.coRst</v>
      </c>
      <c r="B491" s="11">
        <v>101</v>
      </c>
      <c r="C491" s="11" t="s">
        <v>0</v>
      </c>
      <c r="D491" s="20" t="s">
        <v>2795</v>
      </c>
    </row>
    <row r="492" spans="1:4">
      <c r="A492" s="19" t="str">
        <f t="shared" si="52"/>
        <v>АСУЭ.TOR_VV.Commands.coRst</v>
      </c>
      <c r="B492" s="11">
        <v>7999</v>
      </c>
      <c r="C492" s="11" t="s">
        <v>0</v>
      </c>
      <c r="D492" s="20" t="str">
        <f>"#"&amp;$S$2&amp;"#"&amp;$T$2&amp;"."&amp;$P$2&amp;".Commands.coRst"</f>
        <v>#3#\\Setup_rza\Modbus.OPCServer\ZRU_Sepam.VV1_TOR.Commands.coRst</v>
      </c>
    </row>
    <row r="493" spans="1:4">
      <c r="A493" s="19" t="str">
        <f t="shared" si="52"/>
        <v>АСУЭ.TOR_VV.Commands.coRst</v>
      </c>
      <c r="B493" s="11">
        <v>7998</v>
      </c>
      <c r="C493" s="11" t="s">
        <v>6</v>
      </c>
      <c r="D493" s="20">
        <v>2</v>
      </c>
    </row>
    <row r="494" spans="1:4">
      <c r="A494" s="21" t="str">
        <f t="shared" si="52"/>
        <v>АСУЭ.TOR_VV.Commands.coRst</v>
      </c>
      <c r="B494" s="8">
        <v>1</v>
      </c>
      <c r="C494" s="8" t="s">
        <v>1</v>
      </c>
      <c r="D494" s="22">
        <v>11</v>
      </c>
    </row>
    <row r="495" spans="1:4">
      <c r="A495" s="16" t="str">
        <f>$R$2&amp;".Commands.coOSC"</f>
        <v>АСУЭ.TOR_VV.Commands.coOSC</v>
      </c>
      <c r="B495" s="17">
        <v>7000000</v>
      </c>
      <c r="C495" s="17" t="s">
        <v>6</v>
      </c>
      <c r="D495" s="18">
        <v>0</v>
      </c>
    </row>
    <row r="496" spans="1:4">
      <c r="A496" s="19" t="str">
        <f t="shared" ref="A496:A499" si="53">$R$2&amp;".Commands.coOSC"</f>
        <v>АСУЭ.TOR_VV.Commands.coOSC</v>
      </c>
      <c r="B496" s="11">
        <v>101</v>
      </c>
      <c r="C496" s="11" t="s">
        <v>0</v>
      </c>
      <c r="D496" s="20" t="s">
        <v>2796</v>
      </c>
    </row>
    <row r="497" spans="1:16">
      <c r="A497" s="19" t="str">
        <f t="shared" si="53"/>
        <v>АСУЭ.TOR_VV.Commands.coOSC</v>
      </c>
      <c r="B497" s="11">
        <v>7999</v>
      </c>
      <c r="C497" s="11" t="s">
        <v>0</v>
      </c>
      <c r="D497" s="20" t="str">
        <f>"#"&amp;$S$2&amp;"#"&amp;$T$2&amp;"."&amp;$P$2&amp;".Commands.coOSC"</f>
        <v>#3#\\Setup_rza\Modbus.OPCServer\ZRU_Sepam.VV1_TOR.Commands.coOSC</v>
      </c>
    </row>
    <row r="498" spans="1:16">
      <c r="A498" s="19" t="str">
        <f t="shared" si="53"/>
        <v>АСУЭ.TOR_VV.Commands.coOSC</v>
      </c>
      <c r="B498" s="11">
        <v>7998</v>
      </c>
      <c r="C498" s="11" t="s">
        <v>6</v>
      </c>
      <c r="D498" s="20">
        <v>2</v>
      </c>
    </row>
    <row r="499" spans="1:16">
      <c r="A499" s="21" t="str">
        <f t="shared" si="53"/>
        <v>АСУЭ.TOR_VV.Commands.coOSC</v>
      </c>
      <c r="B499" s="8">
        <v>1</v>
      </c>
      <c r="C499" s="8" t="s">
        <v>1</v>
      </c>
      <c r="D499" s="22">
        <v>11</v>
      </c>
      <c r="P499" s="4"/>
    </row>
    <row r="500" spans="1:16">
      <c r="A500" s="275" t="str">
        <f t="shared" ref="A500:A505" si="54">$R$2&amp;".mFreq"</f>
        <v>АСУЭ.TOR_VV.mFreq</v>
      </c>
      <c r="B500" s="276">
        <v>7999</v>
      </c>
      <c r="C500" s="276" t="s">
        <v>0</v>
      </c>
      <c r="D500" s="277" t="str">
        <f>"#"&amp;$S$2&amp;"#"&amp;$T$2&amp;"."&amp;$P$2&amp;".mFreq"</f>
        <v>#3#\\Setup_rza\Modbus.OPCServer\ZRU_Sepam.VV1_TOR.mFreq</v>
      </c>
      <c r="P500" s="4"/>
    </row>
    <row r="501" spans="1:16">
      <c r="A501" s="278" t="str">
        <f t="shared" si="54"/>
        <v>АСУЭ.TOR_VV.mFreq</v>
      </c>
      <c r="B501" s="279">
        <v>7998</v>
      </c>
      <c r="C501" s="279" t="s">
        <v>6</v>
      </c>
      <c r="D501" s="280">
        <v>1</v>
      </c>
      <c r="P501" s="4"/>
    </row>
    <row r="502" spans="1:16">
      <c r="A502" s="278" t="str">
        <f t="shared" si="54"/>
        <v>АСУЭ.TOR_VV.mFreq</v>
      </c>
      <c r="B502" s="279">
        <v>101</v>
      </c>
      <c r="C502" s="279" t="s">
        <v>0</v>
      </c>
      <c r="D502" s="280" t="s">
        <v>356</v>
      </c>
    </row>
    <row r="503" spans="1:16">
      <c r="A503" s="278" t="str">
        <f t="shared" si="54"/>
        <v>АСУЭ.TOR_VV.mFreq</v>
      </c>
      <c r="B503" s="279">
        <v>3</v>
      </c>
      <c r="C503" s="279" t="s">
        <v>1</v>
      </c>
      <c r="D503" s="280">
        <v>192</v>
      </c>
    </row>
    <row r="504" spans="1:16">
      <c r="A504" s="278" t="str">
        <f t="shared" si="54"/>
        <v>АСУЭ.TOR_VV.mFreq</v>
      </c>
      <c r="B504" s="279">
        <v>2</v>
      </c>
      <c r="C504" s="279" t="s">
        <v>80</v>
      </c>
      <c r="D504" s="280">
        <v>0</v>
      </c>
    </row>
    <row r="505" spans="1:16">
      <c r="A505" s="281" t="str">
        <f t="shared" si="54"/>
        <v>АСУЭ.TOR_VV.mFreq</v>
      </c>
      <c r="B505" s="282">
        <v>1</v>
      </c>
      <c r="C505" s="282" t="s">
        <v>1</v>
      </c>
      <c r="D505" s="283">
        <v>4</v>
      </c>
    </row>
    <row r="506" spans="1:16">
      <c r="A506" s="275" t="str">
        <f>$R$2&amp;".mIa"</f>
        <v>АСУЭ.TOR_VV.mIa</v>
      </c>
      <c r="B506" s="276">
        <v>7999</v>
      </c>
      <c r="C506" s="276" t="s">
        <v>0</v>
      </c>
      <c r="D506" s="277" t="str">
        <f>"#"&amp;$S$2&amp;"#"&amp;$T$2&amp;"."&amp;$P$2&amp;".mIa"</f>
        <v>#3#\\Setup_rza\Modbus.OPCServer\ZRU_Sepam.VV1_TOR.mIa</v>
      </c>
    </row>
    <row r="507" spans="1:16">
      <c r="A507" s="278" t="str">
        <f t="shared" ref="A507:A511" si="55">$R$2&amp;".mIa"</f>
        <v>АСУЭ.TOR_VV.mIa</v>
      </c>
      <c r="B507" s="279">
        <v>7998</v>
      </c>
      <c r="C507" s="279" t="s">
        <v>6</v>
      </c>
      <c r="D507" s="280">
        <v>1</v>
      </c>
    </row>
    <row r="508" spans="1:16">
      <c r="A508" s="278" t="str">
        <f t="shared" si="55"/>
        <v>АСУЭ.TOR_VV.mIa</v>
      </c>
      <c r="B508" s="279">
        <v>101</v>
      </c>
      <c r="C508" s="279" t="s">
        <v>0</v>
      </c>
      <c r="D508" s="280" t="s">
        <v>361</v>
      </c>
    </row>
    <row r="509" spans="1:16">
      <c r="A509" s="278" t="str">
        <f t="shared" si="55"/>
        <v>АСУЭ.TOR_VV.mIa</v>
      </c>
      <c r="B509" s="279">
        <v>3</v>
      </c>
      <c r="C509" s="279" t="s">
        <v>1</v>
      </c>
      <c r="D509" s="280">
        <v>192</v>
      </c>
    </row>
    <row r="510" spans="1:16">
      <c r="A510" s="278" t="str">
        <f t="shared" si="55"/>
        <v>АСУЭ.TOR_VV.mIa</v>
      </c>
      <c r="B510" s="279">
        <v>2</v>
      </c>
      <c r="C510" s="279" t="s">
        <v>80</v>
      </c>
      <c r="D510" s="280">
        <v>0</v>
      </c>
    </row>
    <row r="511" spans="1:16">
      <c r="A511" s="281" t="str">
        <f t="shared" si="55"/>
        <v>АСУЭ.TOR_VV.mIa</v>
      </c>
      <c r="B511" s="282">
        <v>1</v>
      </c>
      <c r="C511" s="282" t="s">
        <v>1</v>
      </c>
      <c r="D511" s="283">
        <v>4</v>
      </c>
    </row>
    <row r="512" spans="1:16">
      <c r="A512" s="275" t="str">
        <f>$R$2&amp;".mIb"</f>
        <v>АСУЭ.TOR_VV.mIb</v>
      </c>
      <c r="B512" s="276">
        <v>7999</v>
      </c>
      <c r="C512" s="276" t="s">
        <v>0</v>
      </c>
      <c r="D512" s="277" t="str">
        <f>"#"&amp;$S$2&amp;"#"&amp;$T$2&amp;"."&amp;$P$2&amp;".mIb"</f>
        <v>#3#\\Setup_rza\Modbus.OPCServer\ZRU_Sepam.VV1_TOR.mIb</v>
      </c>
    </row>
    <row r="513" spans="1:20">
      <c r="A513" s="278" t="str">
        <f t="shared" ref="A513:A517" si="56">$R$2&amp;".mIb"</f>
        <v>АСУЭ.TOR_VV.mIb</v>
      </c>
      <c r="B513" s="279">
        <v>7998</v>
      </c>
      <c r="C513" s="279" t="s">
        <v>6</v>
      </c>
      <c r="D513" s="280">
        <v>1</v>
      </c>
    </row>
    <row r="514" spans="1:20">
      <c r="A514" s="278" t="str">
        <f t="shared" si="56"/>
        <v>АСУЭ.TOR_VV.mIb</v>
      </c>
      <c r="B514" s="279">
        <v>101</v>
      </c>
      <c r="C514" s="279" t="s">
        <v>0</v>
      </c>
      <c r="D514" s="280" t="s">
        <v>362</v>
      </c>
    </row>
    <row r="515" spans="1:20">
      <c r="A515" s="278" t="str">
        <f t="shared" si="56"/>
        <v>АСУЭ.TOR_VV.mIb</v>
      </c>
      <c r="B515" s="279">
        <v>3</v>
      </c>
      <c r="C515" s="279" t="s">
        <v>1</v>
      </c>
      <c r="D515" s="280">
        <v>192</v>
      </c>
    </row>
    <row r="516" spans="1:20">
      <c r="A516" s="278" t="str">
        <f t="shared" si="56"/>
        <v>АСУЭ.TOR_VV.mIb</v>
      </c>
      <c r="B516" s="279">
        <v>2</v>
      </c>
      <c r="C516" s="279" t="s">
        <v>80</v>
      </c>
      <c r="D516" s="280">
        <v>0</v>
      </c>
    </row>
    <row r="517" spans="1:20">
      <c r="A517" s="281" t="str">
        <f t="shared" si="56"/>
        <v>АСУЭ.TOR_VV.mIb</v>
      </c>
      <c r="B517" s="282">
        <v>1</v>
      </c>
      <c r="C517" s="282" t="s">
        <v>1</v>
      </c>
      <c r="D517" s="283">
        <v>4</v>
      </c>
    </row>
    <row r="518" spans="1:20">
      <c r="A518" s="275" t="str">
        <f>$R$2&amp;".mIc"</f>
        <v>АСУЭ.TOR_VV.mIc</v>
      </c>
      <c r="B518" s="276">
        <v>7999</v>
      </c>
      <c r="C518" s="276" t="s">
        <v>0</v>
      </c>
      <c r="D518" s="277" t="str">
        <f>"#"&amp;$S$2&amp;"#"&amp;$T$2&amp;"."&amp;$P$2&amp;".mIc"</f>
        <v>#3#\\Setup_rza\Modbus.OPCServer\ZRU_Sepam.VV1_TOR.mIc</v>
      </c>
    </row>
    <row r="519" spans="1:20">
      <c r="A519" s="278" t="str">
        <f t="shared" ref="A519:A523" si="57">$R$2&amp;".mIc"</f>
        <v>АСУЭ.TOR_VV.mIc</v>
      </c>
      <c r="B519" s="279">
        <v>7998</v>
      </c>
      <c r="C519" s="279" t="s">
        <v>6</v>
      </c>
      <c r="D519" s="280">
        <v>1</v>
      </c>
    </row>
    <row r="520" spans="1:20">
      <c r="A520" s="278" t="str">
        <f t="shared" si="57"/>
        <v>АСУЭ.TOR_VV.mIc</v>
      </c>
      <c r="B520" s="279">
        <v>101</v>
      </c>
      <c r="C520" s="279" t="s">
        <v>0</v>
      </c>
      <c r="D520" s="280" t="s">
        <v>363</v>
      </c>
      <c r="Q520" s="1"/>
      <c r="R520" s="1"/>
      <c r="S520" s="1"/>
      <c r="T520" s="1"/>
    </row>
    <row r="521" spans="1:20">
      <c r="A521" s="278" t="str">
        <f t="shared" si="57"/>
        <v>АСУЭ.TOR_VV.mIc</v>
      </c>
      <c r="B521" s="279">
        <v>3</v>
      </c>
      <c r="C521" s="279" t="s">
        <v>1</v>
      </c>
      <c r="D521" s="280">
        <v>192</v>
      </c>
      <c r="Q521" s="1"/>
      <c r="R521" s="1"/>
      <c r="S521" s="1"/>
      <c r="T521" s="1"/>
    </row>
    <row r="522" spans="1:20">
      <c r="A522" s="278" t="str">
        <f t="shared" si="57"/>
        <v>АСУЭ.TOR_VV.mIc</v>
      </c>
      <c r="B522" s="279">
        <v>2</v>
      </c>
      <c r="C522" s="279" t="s">
        <v>80</v>
      </c>
      <c r="D522" s="280">
        <v>0</v>
      </c>
      <c r="Q522" s="1"/>
      <c r="R522" s="1"/>
      <c r="S522" s="1"/>
      <c r="T522" s="1"/>
    </row>
    <row r="523" spans="1:20">
      <c r="A523" s="281" t="str">
        <f t="shared" si="57"/>
        <v>АСУЭ.TOR_VV.mIc</v>
      </c>
      <c r="B523" s="282">
        <v>1</v>
      </c>
      <c r="C523" s="282" t="s">
        <v>1</v>
      </c>
      <c r="D523" s="283">
        <v>4</v>
      </c>
      <c r="Q523" s="1"/>
      <c r="R523" s="1"/>
      <c r="S523" s="1"/>
      <c r="T523" s="1"/>
    </row>
    <row r="524" spans="1:20">
      <c r="A524" s="275" t="str">
        <f>$R$2&amp;".mUab"</f>
        <v>АСУЭ.TOR_VV.mUab</v>
      </c>
      <c r="B524" s="276">
        <v>7999</v>
      </c>
      <c r="C524" s="276" t="s">
        <v>0</v>
      </c>
      <c r="D524" s="277" t="str">
        <f>"#"&amp;$S$2&amp;"#"&amp;$T$2&amp;"."&amp;$P$2&amp;".mUab"</f>
        <v>#3#\\Setup_rza\Modbus.OPCServer\ZRU_Sepam.VV1_TOR.mUab</v>
      </c>
      <c r="Q524" s="1"/>
      <c r="R524" s="1"/>
      <c r="S524" s="1"/>
      <c r="T524" s="1"/>
    </row>
    <row r="525" spans="1:20">
      <c r="A525" s="278" t="str">
        <f t="shared" ref="A525:A529" si="58">$R$2&amp;".mUab"</f>
        <v>АСУЭ.TOR_VV.mUab</v>
      </c>
      <c r="B525" s="279">
        <v>7998</v>
      </c>
      <c r="C525" s="279" t="s">
        <v>6</v>
      </c>
      <c r="D525" s="280">
        <v>1</v>
      </c>
      <c r="Q525" s="1"/>
      <c r="R525" s="1"/>
      <c r="S525" s="1"/>
      <c r="T525" s="1"/>
    </row>
    <row r="526" spans="1:20">
      <c r="A526" s="278" t="str">
        <f t="shared" si="58"/>
        <v>АСУЭ.TOR_VV.mUab</v>
      </c>
      <c r="B526" s="279">
        <v>101</v>
      </c>
      <c r="C526" s="279" t="s">
        <v>0</v>
      </c>
      <c r="D526" s="280" t="s">
        <v>2797</v>
      </c>
      <c r="Q526" s="1"/>
      <c r="R526" s="1"/>
      <c r="S526" s="1"/>
      <c r="T526" s="1"/>
    </row>
    <row r="527" spans="1:20">
      <c r="A527" s="278" t="str">
        <f t="shared" si="58"/>
        <v>АСУЭ.TOR_VV.mUab</v>
      </c>
      <c r="B527" s="279">
        <v>3</v>
      </c>
      <c r="C527" s="279" t="s">
        <v>1</v>
      </c>
      <c r="D527" s="280">
        <v>192</v>
      </c>
      <c r="Q527" s="1"/>
      <c r="R527" s="1"/>
      <c r="S527" s="1"/>
      <c r="T527" s="1"/>
    </row>
    <row r="528" spans="1:20">
      <c r="A528" s="278" t="str">
        <f t="shared" si="58"/>
        <v>АСУЭ.TOR_VV.mUab</v>
      </c>
      <c r="B528" s="279">
        <v>2</v>
      </c>
      <c r="C528" s="279" t="s">
        <v>80</v>
      </c>
      <c r="D528" s="280">
        <v>0</v>
      </c>
      <c r="Q528" s="1"/>
      <c r="R528" s="1"/>
      <c r="S528" s="1"/>
      <c r="T528" s="1"/>
    </row>
    <row r="529" spans="1:20">
      <c r="A529" s="281" t="str">
        <f t="shared" si="58"/>
        <v>АСУЭ.TOR_VV.mUab</v>
      </c>
      <c r="B529" s="282">
        <v>1</v>
      </c>
      <c r="C529" s="282" t="s">
        <v>1</v>
      </c>
      <c r="D529" s="283">
        <v>4</v>
      </c>
      <c r="Q529" s="1"/>
      <c r="R529" s="1"/>
      <c r="S529" s="1"/>
      <c r="T529" s="1"/>
    </row>
    <row r="530" spans="1:20">
      <c r="A530" s="275" t="str">
        <f>$R$2&amp;".mUbc"</f>
        <v>АСУЭ.TOR_VV.mUbc</v>
      </c>
      <c r="B530" s="276">
        <v>7999</v>
      </c>
      <c r="C530" s="276" t="s">
        <v>0</v>
      </c>
      <c r="D530" s="277" t="str">
        <f>"#"&amp;$S$2&amp;"#"&amp;$T$2&amp;"."&amp;$P$2&amp;".mUbc"</f>
        <v>#3#\\Setup_rza\Modbus.OPCServer\ZRU_Sepam.VV1_TOR.mUbc</v>
      </c>
      <c r="Q530" s="1"/>
      <c r="R530" s="1"/>
      <c r="S530" s="1"/>
      <c r="T530" s="1"/>
    </row>
    <row r="531" spans="1:20">
      <c r="A531" s="278" t="str">
        <f t="shared" ref="A531:A535" si="59">$R$2&amp;".mUbc"</f>
        <v>АСУЭ.TOR_VV.mUbc</v>
      </c>
      <c r="B531" s="279">
        <v>7998</v>
      </c>
      <c r="C531" s="279" t="s">
        <v>6</v>
      </c>
      <c r="D531" s="280">
        <v>1</v>
      </c>
    </row>
    <row r="532" spans="1:20">
      <c r="A532" s="278" t="str">
        <f t="shared" si="59"/>
        <v>АСУЭ.TOR_VV.mUbc</v>
      </c>
      <c r="B532" s="279">
        <v>101</v>
      </c>
      <c r="C532" s="279" t="s">
        <v>0</v>
      </c>
      <c r="D532" s="280" t="s">
        <v>2798</v>
      </c>
    </row>
    <row r="533" spans="1:20">
      <c r="A533" s="278" t="str">
        <f t="shared" si="59"/>
        <v>АСУЭ.TOR_VV.mUbc</v>
      </c>
      <c r="B533" s="279">
        <v>3</v>
      </c>
      <c r="C533" s="279" t="s">
        <v>1</v>
      </c>
      <c r="D533" s="280">
        <v>192</v>
      </c>
    </row>
    <row r="534" spans="1:20">
      <c r="A534" s="278" t="str">
        <f t="shared" si="59"/>
        <v>АСУЭ.TOR_VV.mUbc</v>
      </c>
      <c r="B534" s="279">
        <v>2</v>
      </c>
      <c r="C534" s="279" t="s">
        <v>80</v>
      </c>
      <c r="D534" s="280">
        <v>0</v>
      </c>
    </row>
    <row r="535" spans="1:20">
      <c r="A535" s="281" t="str">
        <f t="shared" si="59"/>
        <v>АСУЭ.TOR_VV.mUbc</v>
      </c>
      <c r="B535" s="282">
        <v>1</v>
      </c>
      <c r="C535" s="282" t="s">
        <v>1</v>
      </c>
      <c r="D535" s="283">
        <v>4</v>
      </c>
    </row>
    <row r="536" spans="1:20">
      <c r="A536" s="275" t="str">
        <f>$R$2&amp;".mUac"</f>
        <v>АСУЭ.TOR_VV.mUac</v>
      </c>
      <c r="B536" s="276">
        <v>7999</v>
      </c>
      <c r="C536" s="276" t="s">
        <v>0</v>
      </c>
      <c r="D536" s="277" t="str">
        <f>"#"&amp;$S$2&amp;"#"&amp;$T$2&amp;"."&amp;$P$2&amp;".mUac"</f>
        <v>#3#\\Setup_rza\Modbus.OPCServer\ZRU_Sepam.VV1_TOR.mUac</v>
      </c>
    </row>
    <row r="537" spans="1:20">
      <c r="A537" s="278" t="str">
        <f t="shared" ref="A537:A541" si="60">$R$2&amp;".mUac"</f>
        <v>АСУЭ.TOR_VV.mUac</v>
      </c>
      <c r="B537" s="279">
        <v>7998</v>
      </c>
      <c r="C537" s="279" t="s">
        <v>6</v>
      </c>
      <c r="D537" s="280">
        <v>1</v>
      </c>
    </row>
    <row r="538" spans="1:20">
      <c r="A538" s="278" t="str">
        <f t="shared" si="60"/>
        <v>АСУЭ.TOR_VV.mUac</v>
      </c>
      <c r="B538" s="279">
        <v>101</v>
      </c>
      <c r="C538" s="279" t="s">
        <v>0</v>
      </c>
      <c r="D538" s="280" t="s">
        <v>2799</v>
      </c>
    </row>
    <row r="539" spans="1:20">
      <c r="A539" s="278" t="str">
        <f t="shared" si="60"/>
        <v>АСУЭ.TOR_VV.mUac</v>
      </c>
      <c r="B539" s="279">
        <v>3</v>
      </c>
      <c r="C539" s="279" t="s">
        <v>1</v>
      </c>
      <c r="D539" s="280">
        <v>192</v>
      </c>
    </row>
    <row r="540" spans="1:20">
      <c r="A540" s="278" t="str">
        <f t="shared" si="60"/>
        <v>АСУЭ.TOR_VV.mUac</v>
      </c>
      <c r="B540" s="279">
        <v>2</v>
      </c>
      <c r="C540" s="279" t="s">
        <v>80</v>
      </c>
      <c r="D540" s="280">
        <v>0</v>
      </c>
    </row>
    <row r="541" spans="1:20">
      <c r="A541" s="281" t="str">
        <f t="shared" si="60"/>
        <v>АСУЭ.TOR_VV.mUac</v>
      </c>
      <c r="B541" s="282">
        <v>1</v>
      </c>
      <c r="C541" s="282" t="s">
        <v>1</v>
      </c>
      <c r="D541" s="283">
        <v>4</v>
      </c>
    </row>
    <row r="542" spans="1:20">
      <c r="A542" s="275" t="str">
        <f>$R$2&amp;".mP"</f>
        <v>АСУЭ.TOR_VV.mP</v>
      </c>
      <c r="B542" s="276">
        <v>7999</v>
      </c>
      <c r="C542" s="276" t="s">
        <v>0</v>
      </c>
      <c r="D542" s="277" t="str">
        <f>"#"&amp;$S$2&amp;"#"&amp;$T$2&amp;"."&amp;$P$2&amp;".mP"</f>
        <v>#3#\\Setup_rza\Modbus.OPCServer\ZRU_Sepam.VV1_TOR.mP</v>
      </c>
    </row>
    <row r="543" spans="1:20">
      <c r="A543" s="278" t="str">
        <f t="shared" ref="A543:A547" si="61">$R$2&amp;".mP"</f>
        <v>АСУЭ.TOR_VV.mP</v>
      </c>
      <c r="B543" s="279">
        <v>7998</v>
      </c>
      <c r="C543" s="279" t="s">
        <v>6</v>
      </c>
      <c r="D543" s="280">
        <v>1</v>
      </c>
    </row>
    <row r="544" spans="1:20">
      <c r="A544" s="278" t="str">
        <f t="shared" si="61"/>
        <v>АСУЭ.TOR_VV.mP</v>
      </c>
      <c r="B544" s="279">
        <v>101</v>
      </c>
      <c r="C544" s="279" t="s">
        <v>0</v>
      </c>
      <c r="D544" s="280" t="s">
        <v>1686</v>
      </c>
    </row>
    <row r="545" spans="1:4">
      <c r="A545" s="278" t="str">
        <f t="shared" si="61"/>
        <v>АСУЭ.TOR_VV.mP</v>
      </c>
      <c r="B545" s="279">
        <v>3</v>
      </c>
      <c r="C545" s="279" t="s">
        <v>1</v>
      </c>
      <c r="D545" s="280">
        <v>192</v>
      </c>
    </row>
    <row r="546" spans="1:4">
      <c r="A546" s="278" t="str">
        <f t="shared" si="61"/>
        <v>АСУЭ.TOR_VV.mP</v>
      </c>
      <c r="B546" s="279">
        <v>2</v>
      </c>
      <c r="C546" s="279" t="s">
        <v>80</v>
      </c>
      <c r="D546" s="280">
        <v>0</v>
      </c>
    </row>
    <row r="547" spans="1:4">
      <c r="A547" s="281" t="str">
        <f t="shared" si="61"/>
        <v>АСУЭ.TOR_VV.mP</v>
      </c>
      <c r="B547" s="282">
        <v>1</v>
      </c>
      <c r="C547" s="282" t="s">
        <v>1</v>
      </c>
      <c r="D547" s="283">
        <v>4</v>
      </c>
    </row>
    <row r="548" spans="1:4">
      <c r="A548" s="275" t="str">
        <f>$R$2&amp;".mQ"</f>
        <v>АСУЭ.TOR_VV.mQ</v>
      </c>
      <c r="B548" s="276">
        <v>7999</v>
      </c>
      <c r="C548" s="276" t="s">
        <v>0</v>
      </c>
      <c r="D548" s="277" t="str">
        <f>"#"&amp;$S$2&amp;"#"&amp;$T$2&amp;"."&amp;$P$2&amp;".mQ"</f>
        <v>#3#\\Setup_rza\Modbus.OPCServer\ZRU_Sepam.VV1_TOR.mQ</v>
      </c>
    </row>
    <row r="549" spans="1:4">
      <c r="A549" s="278" t="str">
        <f t="shared" ref="A549:A553" si="62">$R$2&amp;".mQ"</f>
        <v>АСУЭ.TOR_VV.mQ</v>
      </c>
      <c r="B549" s="279">
        <v>7998</v>
      </c>
      <c r="C549" s="279" t="s">
        <v>6</v>
      </c>
      <c r="D549" s="280">
        <v>1</v>
      </c>
    </row>
    <row r="550" spans="1:4">
      <c r="A550" s="278" t="str">
        <f t="shared" si="62"/>
        <v>АСУЭ.TOR_VV.mQ</v>
      </c>
      <c r="B550" s="279">
        <v>101</v>
      </c>
      <c r="C550" s="279" t="s">
        <v>0</v>
      </c>
      <c r="D550" s="280" t="s">
        <v>1687</v>
      </c>
    </row>
    <row r="551" spans="1:4">
      <c r="A551" s="278" t="str">
        <f t="shared" si="62"/>
        <v>АСУЭ.TOR_VV.mQ</v>
      </c>
      <c r="B551" s="279">
        <v>3</v>
      </c>
      <c r="C551" s="279" t="s">
        <v>1</v>
      </c>
      <c r="D551" s="280">
        <v>192</v>
      </c>
    </row>
    <row r="552" spans="1:4">
      <c r="A552" s="278" t="str">
        <f t="shared" si="62"/>
        <v>АСУЭ.TOR_VV.mQ</v>
      </c>
      <c r="B552" s="279">
        <v>2</v>
      </c>
      <c r="C552" s="279" t="s">
        <v>80</v>
      </c>
      <c r="D552" s="280">
        <v>0</v>
      </c>
    </row>
    <row r="553" spans="1:4">
      <c r="A553" s="281" t="str">
        <f t="shared" si="62"/>
        <v>АСУЭ.TOR_VV.mQ</v>
      </c>
      <c r="B553" s="282">
        <v>1</v>
      </c>
      <c r="C553" s="282" t="s">
        <v>1</v>
      </c>
      <c r="D553" s="283">
        <v>4</v>
      </c>
    </row>
    <row r="554" spans="1:4">
      <c r="A554" s="275" t="str">
        <f>$R$2&amp;".mS"</f>
        <v>АСУЭ.TOR_VV.mS</v>
      </c>
      <c r="B554" s="276">
        <v>7999</v>
      </c>
      <c r="C554" s="276" t="s">
        <v>0</v>
      </c>
      <c r="D554" s="277" t="str">
        <f>"#"&amp;$S$2&amp;"#"&amp;$T$2&amp;"."&amp;$P$2&amp;".mS"</f>
        <v>#3#\\Setup_rza\Modbus.OPCServer\ZRU_Sepam.VV1_TOR.mS</v>
      </c>
    </row>
    <row r="555" spans="1:4">
      <c r="A555" s="278" t="str">
        <f t="shared" ref="A555:A559" si="63">$R$2&amp;".mS"</f>
        <v>АСУЭ.TOR_VV.mS</v>
      </c>
      <c r="B555" s="279">
        <v>7998</v>
      </c>
      <c r="C555" s="279" t="s">
        <v>6</v>
      </c>
      <c r="D555" s="280">
        <v>1</v>
      </c>
    </row>
    <row r="556" spans="1:4">
      <c r="A556" s="278" t="str">
        <f t="shared" si="63"/>
        <v>АСУЭ.TOR_VV.mS</v>
      </c>
      <c r="B556" s="279">
        <v>101</v>
      </c>
      <c r="C556" s="279" t="s">
        <v>0</v>
      </c>
      <c r="D556" s="280" t="s">
        <v>1688</v>
      </c>
    </row>
    <row r="557" spans="1:4">
      <c r="A557" s="278" t="str">
        <f t="shared" si="63"/>
        <v>АСУЭ.TOR_VV.mS</v>
      </c>
      <c r="B557" s="279">
        <v>3</v>
      </c>
      <c r="C557" s="279" t="s">
        <v>1</v>
      </c>
      <c r="D557" s="280">
        <v>192</v>
      </c>
    </row>
    <row r="558" spans="1:4">
      <c r="A558" s="278" t="str">
        <f t="shared" si="63"/>
        <v>АСУЭ.TOR_VV.mS</v>
      </c>
      <c r="B558" s="279">
        <v>2</v>
      </c>
      <c r="C558" s="279" t="s">
        <v>80</v>
      </c>
      <c r="D558" s="280">
        <v>0</v>
      </c>
    </row>
    <row r="559" spans="1:4">
      <c r="A559" s="281" t="str">
        <f t="shared" si="63"/>
        <v>АСУЭ.TOR_VV.mS</v>
      </c>
      <c r="B559" s="282">
        <v>1</v>
      </c>
      <c r="C559" s="282" t="s">
        <v>1</v>
      </c>
      <c r="D559" s="283">
        <v>4</v>
      </c>
    </row>
    <row r="560" spans="1:4">
      <c r="A560" s="275" t="str">
        <f>$R$2&amp;".mCos"</f>
        <v>АСУЭ.TOR_VV.mCos</v>
      </c>
      <c r="B560" s="276">
        <v>7999</v>
      </c>
      <c r="C560" s="276" t="s">
        <v>0</v>
      </c>
      <c r="D560" s="277" t="str">
        <f>"#"&amp;$S$2&amp;"#"&amp;$T$2&amp;"."&amp;$P$2&amp;".mCos"</f>
        <v>#3#\\Setup_rza\Modbus.OPCServer\ZRU_Sepam.VV1_TOR.mCos</v>
      </c>
    </row>
    <row r="561" spans="1:4">
      <c r="A561" s="278" t="str">
        <f t="shared" ref="A561:A565" si="64">$R$2&amp;".mCos"</f>
        <v>АСУЭ.TOR_VV.mCos</v>
      </c>
      <c r="B561" s="279">
        <v>7998</v>
      </c>
      <c r="C561" s="279" t="s">
        <v>6</v>
      </c>
      <c r="D561" s="280">
        <v>1</v>
      </c>
    </row>
    <row r="562" spans="1:4">
      <c r="A562" s="278" t="str">
        <f t="shared" si="64"/>
        <v>АСУЭ.TOR_VV.mCos</v>
      </c>
      <c r="B562" s="279">
        <v>101</v>
      </c>
      <c r="C562" s="279" t="s">
        <v>0</v>
      </c>
      <c r="D562" s="280" t="s">
        <v>2800</v>
      </c>
    </row>
    <row r="563" spans="1:4">
      <c r="A563" s="278" t="str">
        <f t="shared" si="64"/>
        <v>АСУЭ.TOR_VV.mCos</v>
      </c>
      <c r="B563" s="279">
        <v>3</v>
      </c>
      <c r="C563" s="279" t="s">
        <v>1</v>
      </c>
      <c r="D563" s="280">
        <v>192</v>
      </c>
    </row>
    <row r="564" spans="1:4">
      <c r="A564" s="278" t="str">
        <f t="shared" si="64"/>
        <v>АСУЭ.TOR_VV.mCos</v>
      </c>
      <c r="B564" s="279">
        <v>2</v>
      </c>
      <c r="C564" s="279" t="s">
        <v>80</v>
      </c>
      <c r="D564" s="280">
        <v>0</v>
      </c>
    </row>
    <row r="565" spans="1:4">
      <c r="A565" s="281" t="str">
        <f t="shared" si="64"/>
        <v>АСУЭ.TOR_VV.mCos</v>
      </c>
      <c r="B565" s="282">
        <v>1</v>
      </c>
      <c r="C565" s="282" t="s">
        <v>1</v>
      </c>
      <c r="D565" s="283">
        <v>4</v>
      </c>
    </row>
    <row r="566" spans="1:4">
      <c r="A566" s="275" t="str">
        <f>$R$2&amp;".mComNum"</f>
        <v>АСУЭ.TOR_VV.mComNum</v>
      </c>
      <c r="B566" s="276">
        <v>7999</v>
      </c>
      <c r="C566" s="276" t="s">
        <v>0</v>
      </c>
      <c r="D566" s="277" t="str">
        <f>"#"&amp;$S$2&amp;"#"&amp;$T$2&amp;"."&amp;$P$2&amp;".mComNum"</f>
        <v>#3#\\Setup_rza\Modbus.OPCServer\ZRU_Sepam.VV1_TOR.mComNum</v>
      </c>
    </row>
    <row r="567" spans="1:4">
      <c r="A567" s="278" t="str">
        <f t="shared" ref="A567:A571" si="65">$R$2&amp;".mComNum"</f>
        <v>АСУЭ.TOR_VV.mComNum</v>
      </c>
      <c r="B567" s="279">
        <v>7998</v>
      </c>
      <c r="C567" s="279" t="s">
        <v>6</v>
      </c>
      <c r="D567" s="280">
        <v>1</v>
      </c>
    </row>
    <row r="568" spans="1:4">
      <c r="A568" s="278" t="str">
        <f t="shared" si="65"/>
        <v>АСУЭ.TOR_VV.mComNum</v>
      </c>
      <c r="B568" s="279">
        <v>101</v>
      </c>
      <c r="C568" s="279" t="s">
        <v>0</v>
      </c>
      <c r="D568" s="280" t="s">
        <v>2801</v>
      </c>
    </row>
    <row r="569" spans="1:4">
      <c r="A569" s="278" t="str">
        <f t="shared" si="65"/>
        <v>АСУЭ.TOR_VV.mComNum</v>
      </c>
      <c r="B569" s="279">
        <v>3</v>
      </c>
      <c r="C569" s="279" t="s">
        <v>1</v>
      </c>
      <c r="D569" s="280">
        <v>192</v>
      </c>
    </row>
    <row r="570" spans="1:4">
      <c r="A570" s="278" t="str">
        <f t="shared" si="65"/>
        <v>АСУЭ.TOR_VV.mComNum</v>
      </c>
      <c r="B570" s="279">
        <v>2</v>
      </c>
      <c r="C570" s="279" t="s">
        <v>80</v>
      </c>
      <c r="D570" s="280">
        <v>0</v>
      </c>
    </row>
    <row r="571" spans="1:4">
      <c r="A571" s="281" t="str">
        <f t="shared" si="65"/>
        <v>АСУЭ.TOR_VV.mComNum</v>
      </c>
      <c r="B571" s="282">
        <v>1</v>
      </c>
      <c r="C571" s="282" t="s">
        <v>1</v>
      </c>
      <c r="D571" s="283">
        <v>4</v>
      </c>
    </row>
    <row r="572" spans="1:4">
      <c r="A572" s="275" t="str">
        <f>$R$2&amp;".mComNum_KZ"</f>
        <v>АСУЭ.TOR_VV.mComNum_KZ</v>
      </c>
      <c r="B572" s="276">
        <v>7999</v>
      </c>
      <c r="C572" s="276" t="s">
        <v>0</v>
      </c>
      <c r="D572" s="277" t="str">
        <f>"#"&amp;$S$2&amp;"#"&amp;$T$2&amp;"."&amp;$P$2&amp;".mComNum_KZ"</f>
        <v>#3#\\Setup_rza\Modbus.OPCServer\ZRU_Sepam.VV1_TOR.mComNum_KZ</v>
      </c>
    </row>
    <row r="573" spans="1:4">
      <c r="A573" s="278" t="str">
        <f t="shared" ref="A573:A577" si="66">$R$2&amp;".mComNum_KZ"</f>
        <v>АСУЭ.TOR_VV.mComNum_KZ</v>
      </c>
      <c r="B573" s="279">
        <v>7998</v>
      </c>
      <c r="C573" s="279" t="s">
        <v>6</v>
      </c>
      <c r="D573" s="280">
        <v>1</v>
      </c>
    </row>
    <row r="574" spans="1:4">
      <c r="A574" s="278" t="str">
        <f t="shared" si="66"/>
        <v>АСУЭ.TOR_VV.mComNum_KZ</v>
      </c>
      <c r="B574" s="279">
        <v>101</v>
      </c>
      <c r="C574" s="279" t="s">
        <v>0</v>
      </c>
      <c r="D574" s="280" t="s">
        <v>2802</v>
      </c>
    </row>
    <row r="575" spans="1:4">
      <c r="A575" s="278" t="str">
        <f t="shared" si="66"/>
        <v>АСУЭ.TOR_VV.mComNum_KZ</v>
      </c>
      <c r="B575" s="279">
        <v>3</v>
      </c>
      <c r="C575" s="279" t="s">
        <v>1</v>
      </c>
      <c r="D575" s="280">
        <v>192</v>
      </c>
    </row>
    <row r="576" spans="1:4">
      <c r="A576" s="278" t="str">
        <f t="shared" si="66"/>
        <v>АСУЭ.TOR_VV.mComNum_KZ</v>
      </c>
      <c r="B576" s="279">
        <v>2</v>
      </c>
      <c r="C576" s="279" t="s">
        <v>80</v>
      </c>
      <c r="D576" s="280">
        <v>0</v>
      </c>
    </row>
    <row r="577" spans="1:4">
      <c r="A577" s="281" t="str">
        <f t="shared" si="66"/>
        <v>АСУЭ.TOR_VV.mComNum_KZ</v>
      </c>
      <c r="B577" s="282">
        <v>1</v>
      </c>
      <c r="C577" s="282" t="s">
        <v>1</v>
      </c>
      <c r="D577" s="283">
        <v>4</v>
      </c>
    </row>
  </sheetData>
  <autoFilter ref="B1:B554" xr:uid="{00000000-0009-0000-0000-000032000000}"/>
  <mergeCells count="3">
    <mergeCell ref="D19:E19"/>
    <mergeCell ref="Q28:Q29"/>
    <mergeCell ref="Q30:Q31"/>
  </mergeCell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Лист206">
    <tabColor rgb="FFFFC000"/>
  </sheetPr>
  <dimension ref="A1:BP465"/>
  <sheetViews>
    <sheetView topLeftCell="A429" zoomScaleNormal="100" workbookViewId="0">
      <selection activeCell="D2" sqref="D2:D4"/>
    </sheetView>
  </sheetViews>
  <sheetFormatPr defaultRowHeight="14.4"/>
  <cols>
    <col min="1" max="1" width="66.4414062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64.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57" t="s">
        <v>84</v>
      </c>
      <c r="C1" s="257"/>
      <c r="D1" s="257"/>
      <c r="E1" s="257"/>
      <c r="F1" s="257"/>
      <c r="P1" s="753" t="str">
        <f>Таблица!D1</f>
        <v>Префикс для TREI
Тэг ОРС для INFINITY</v>
      </c>
      <c r="Q1" s="753" t="str">
        <f>Таблица!E1</f>
        <v>Комментарий для TREI и INFINITY</v>
      </c>
      <c r="R1" s="754" t="str">
        <f>Таблица!F1</f>
        <v>ТЭГ в дереве INFINITY Server</v>
      </c>
      <c r="S1" s="753"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755" t="str">
        <f>Таблица!H1</f>
        <v>OPC путь 
№ маршрута Modbus TCP, Modbus RTU, Modbus over TCP (1-255)
№ КП IEC104 (1-65534)</v>
      </c>
      <c r="U1" s="756" t="str">
        <f>Таблица!I1</f>
        <v>OPC путь</v>
      </c>
      <c r="V1" s="756" t="str">
        <f>Таблица!J1</f>
        <v>Мнемосхема</v>
      </c>
      <c r="W1" s="757"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757"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757" t="str">
        <f>Таблица!M1</f>
        <v>FB_IMt_MON_S, IMt_MON: Только для трансформатора. Цвет нижних обмоток(-ки) при наличии напряжения</v>
      </c>
      <c r="Z1" s="757"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757"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757" t="str">
        <f>Таблица!P1</f>
        <v xml:space="preserve">FB_DI_S, FB_DO_S, DI, DI_DIAG, FB_DO_STB_S: Тип сигнализации (Авария, предупреждение, телесигнализация и тд.)
FB_SHPS_S(SB), FB_BTF_S: Тип сигнализации XFRX
</v>
      </c>
      <c r="AC1" s="757"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757" t="str">
        <f>Таблица!R1</f>
        <v>SEPAM: Тип ячейки (OL,SV,VV,TN)
BMRZ: Тип ячейки (VV,AV)
TOR: Тип ячейки (OL,SV,VV,TN,BK)</v>
      </c>
      <c r="AE1" s="757" t="str">
        <f>Таблица!S1</f>
        <v>Формула для fNoLink.Device</v>
      </c>
      <c r="AF1" s="757">
        <f>Таблица!T1</f>
        <v>0</v>
      </c>
      <c r="AG1" s="757">
        <f>Таблица!U1</f>
        <v>0</v>
      </c>
      <c r="AH1" s="757">
        <f>Таблица!V1</f>
        <v>0</v>
      </c>
      <c r="AI1" s="757">
        <f>Таблица!W1</f>
        <v>0</v>
      </c>
      <c r="AJ1" s="757">
        <f>Таблица!X1</f>
        <v>0</v>
      </c>
      <c r="AK1" s="758" t="str">
        <f>Таблица!Y1</f>
        <v>FB_AI_S, FB_DI_S, FB_QSA_S, FB_DO_S, FB_SHPS_S, FB_SHOP_S, FB_BTF_S: IVXX
FB_KL_UPT_S: ISON
SW_S301, SW_MES3508: Подключение к порту 1
SW_MAYAK: Подключение к порту 1,2 (через "\")
DI_DIAG, DO_DIAG: XVLX</v>
      </c>
      <c r="AL1" s="758"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758"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758" t="str">
        <f>Таблица!AB1</f>
        <v>FB_IMstp_S, FB_IMsp_S, FB_IMs_S, FB_REG_S, FB_IM_ADES_S : ILCX
SW_S301: Подключение к порту 4
SW_MAYAK, SW_MES3508: Подключение к порту 7,8 (через "\")</v>
      </c>
      <c r="AO1" s="758" t="str">
        <f>Таблица!AC1</f>
        <v xml:space="preserve">FB_IMstp_S, FB_IMsp_S, FB_IMs_S, FB_IMp_S, FB_IMv_S, FB_REG_S, FB_IM_ADES_S, FB_DO_S : IRCX
SW_S301, SW_MES3508: Подключение к порту 5
SW_MAYAK: Подключение к порту 9,10 (через "\")
</v>
      </c>
      <c r="AP1" s="758"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758"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758" t="str">
        <f>Таблица!AF1</f>
        <v xml:space="preserve">FB_IMstp_S, FB_IMsp_S, FB_IMs_S, FB_IMp_S, FB_IMv_S, FB_IM_ADES_S, FB_OZK_KD_S, FB_DO_S: OXOF
SW_S301, SW_MES3508: Подключение к порту 8
SW_MAYAK: Подключение к порту 15,16 (через "\")
</v>
      </c>
      <c r="AS1" s="758" t="str">
        <f>Таблица!AG1</f>
        <v xml:space="preserve">FB_IM_ADES_S, FB_IMp_S, FB_IMv_S: OXSP
FB_IMstp_S, FB_IMsp_S, FB_IMsp_MON_S: IPTC
SW_S301, SW_MES3508: Подключение к порту 9
SW_MAYAK: Подключение к порту 17,18 (через "\")
</v>
      </c>
      <c r="AT1" s="758" t="str">
        <f>Таблица!AH1</f>
        <v xml:space="preserve">FB_IMstp_S, FB_IMst_MON_S, FB_IMt_MON_S: ITON
FB_IM_ADES_S: IOLD
SW_S301, SW_MES3508: Подключение к порту 10
SW_MAYAK: Подключение к порту 19,20 (через "\")
</v>
      </c>
      <c r="AU1" s="758" t="str">
        <f>Таблица!AI1</f>
        <v>FB_IMstp_S, FB_IMst_MON_S, FB_IMt_MON_S: ITOF
FB_IM_ADES_S: IRAD
SW_MAYAK: Подключение к порту 21,22 (через "\")</v>
      </c>
      <c r="AV1" s="758" t="str">
        <f>Таблица!AJ1</f>
        <v xml:space="preserve">FB_IMstp_S, FB_IMsp_S, FB_IMsp_MON_S, FB_IM_ADES_S: IPTO
SW_MAYAK: Подключение к порту 23,24 (через "\")
</v>
      </c>
      <c r="AW1" s="759"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759" t="str">
        <f>Таблица!AL1</f>
        <v>Для TREI
FB_IMstp_S, FB_IMs_S, FB_IMp_S, FB_IMv_S, FB_IM_ADES_S: Настройка перехода ручной-/автоматический-(TRUE/FALSE) 
FB_DI_S: Генерировать метки времени (TRUE/FALSE)</v>
      </c>
      <c r="AY1" s="759"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759" t="str">
        <f>Таблица!AN1</f>
        <v>Для TREI
FB_AI_S, FB_QSA_S: Верхний предел датчика
FB_IMp_S, FB_IMv_S, FB_IM_ADES_S, FB_OZK_KD_S: Время перестановки</v>
      </c>
      <c r="BA1" s="759"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t="s">
        <v>2760</v>
      </c>
      <c r="Q2" s="2" t="s">
        <v>2850</v>
      </c>
      <c r="R2" s="2" t="s">
        <v>2849</v>
      </c>
      <c r="S2" s="3">
        <v>3</v>
      </c>
      <c r="T2" s="3" t="s">
        <v>1699</v>
      </c>
      <c r="U2" s="3"/>
      <c r="V2" s="3" t="s">
        <v>569</v>
      </c>
      <c r="W2" s="12" t="s">
        <v>326</v>
      </c>
      <c r="X2" s="12" t="s">
        <v>327</v>
      </c>
      <c r="Y2" s="12"/>
      <c r="Z2" s="12"/>
      <c r="AA2" s="12"/>
      <c r="AB2" s="2"/>
      <c r="AC2" s="2" t="s">
        <v>307</v>
      </c>
      <c r="AD2" s="2" t="s">
        <v>1475</v>
      </c>
      <c r="AE2" s="2" t="s">
        <v>1414</v>
      </c>
      <c r="AF2" s="2"/>
      <c r="AG2" s="2"/>
      <c r="AH2" s="2"/>
      <c r="AI2" s="2"/>
      <c r="AJ2" s="2"/>
      <c r="AK2" s="2"/>
      <c r="AL2" s="2"/>
      <c r="AM2" s="2"/>
      <c r="AN2" s="2"/>
      <c r="AO2" s="2"/>
      <c r="AP2" s="2"/>
      <c r="AQ2" s="2"/>
      <c r="AR2" s="2"/>
      <c r="AS2" s="2"/>
      <c r="AT2" s="2"/>
      <c r="AU2" s="2"/>
      <c r="AV2" s="2"/>
      <c r="AW2" s="2"/>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3"/>
      <c r="V4" s="10"/>
      <c r="W4" s="10"/>
      <c r="X4" s="10"/>
      <c r="Y4" s="10"/>
      <c r="Z4" s="10"/>
      <c r="AA4" s="10"/>
      <c r="BM4" s="4"/>
      <c r="BN4" s="4"/>
      <c r="BO4" s="4"/>
      <c r="BP4" s="4"/>
    </row>
    <row r="5" spans="1:68" ht="15" customHeight="1">
      <c r="A5" s="9"/>
      <c r="B5" s="9"/>
      <c r="C5" s="9"/>
      <c r="D5" s="9"/>
      <c r="E5" s="9"/>
      <c r="F5" s="9"/>
      <c r="P5" s="6" t="str">
        <f>Настройки!A2</f>
        <v>Авария</v>
      </c>
      <c r="Q5" s="5">
        <f>Настройки!B2</f>
        <v>4</v>
      </c>
      <c r="R5" s="543" t="str">
        <f>Настройки!C2</f>
        <v>Авария</v>
      </c>
      <c r="S5" s="10"/>
      <c r="T5" s="458">
        <f>Настройки!M12</f>
        <v>1</v>
      </c>
      <c r="U5" s="14"/>
      <c r="V5" s="10"/>
      <c r="W5" s="10"/>
      <c r="X5" s="10"/>
      <c r="Y5" s="10"/>
      <c r="Z5" s="10"/>
      <c r="AA5" s="10"/>
      <c r="BM5" s="4"/>
      <c r="BN5" s="4"/>
      <c r="BO5" s="4"/>
      <c r="BP5" s="4"/>
    </row>
    <row r="6" spans="1:68" ht="15" customHeight="1">
      <c r="A6" s="9"/>
      <c r="B6" s="9"/>
      <c r="C6" s="9"/>
      <c r="D6" s="9"/>
      <c r="E6" s="9"/>
      <c r="F6" s="9"/>
      <c r="P6" s="6" t="str">
        <f>Настройки!A3</f>
        <v>Предупреждение</v>
      </c>
      <c r="Q6" s="5">
        <f>Настройки!B3</f>
        <v>8</v>
      </c>
      <c r="R6" s="543" t="str">
        <f>Настройки!C3</f>
        <v>Предупреждение</v>
      </c>
      <c r="S6" s="10"/>
      <c r="T6" s="562" t="str">
        <f>Настройки!M7</f>
        <v>Отображение Таблицы подлючений в диаг.</v>
      </c>
      <c r="U6" s="10"/>
      <c r="V6" s="10"/>
      <c r="W6" s="10"/>
      <c r="X6" s="10"/>
      <c r="Y6" s="10"/>
      <c r="Z6" s="10"/>
      <c r="AA6" s="10"/>
      <c r="BM6" s="4"/>
      <c r="BN6" s="4"/>
      <c r="BO6" s="4"/>
      <c r="BP6" s="4"/>
    </row>
    <row r="7" spans="1:68" ht="15" customHeight="1">
      <c r="A7" s="9"/>
      <c r="B7" s="9"/>
      <c r="C7" s="9"/>
      <c r="D7" s="9"/>
      <c r="E7" s="9"/>
      <c r="F7" s="9"/>
      <c r="P7" s="6" t="str">
        <f>Настройки!A4</f>
        <v>Неисправность</v>
      </c>
      <c r="Q7" s="5">
        <f>Настройки!B4</f>
        <v>12</v>
      </c>
      <c r="R7" s="543" t="str">
        <f>Настройки!C4</f>
        <v>Неисправность</v>
      </c>
      <c r="S7" s="10"/>
      <c r="T7" s="4" t="b">
        <f>Настройки!M8</f>
        <v>0</v>
      </c>
      <c r="U7" s="10"/>
      <c r="V7" s="10"/>
      <c r="W7" s="10"/>
      <c r="X7" s="10"/>
      <c r="Y7" s="10"/>
      <c r="Z7" s="10"/>
      <c r="AA7" s="10"/>
      <c r="BM7" s="4"/>
      <c r="BN7" s="4"/>
      <c r="BO7" s="4"/>
      <c r="BP7" s="4"/>
    </row>
    <row r="8" spans="1:68" ht="15" customHeight="1">
      <c r="A8" s="9"/>
      <c r="B8" s="9"/>
      <c r="C8" s="9"/>
      <c r="D8" s="9"/>
      <c r="E8" s="9"/>
      <c r="F8" s="9"/>
      <c r="P8" s="6" t="str">
        <f>Настройки!A5</f>
        <v>Телесигнализация</v>
      </c>
      <c r="Q8" s="5">
        <f>Настройки!B5</f>
        <v>18</v>
      </c>
      <c r="R8" s="543" t="str">
        <f>Настройки!C5</f>
        <v>Телесигнализация</v>
      </c>
      <c r="S8" s="10"/>
      <c r="T8" s="10"/>
      <c r="U8" s="10"/>
      <c r="V8" s="10"/>
      <c r="W8" s="10"/>
      <c r="X8" s="10"/>
      <c r="Y8" s="10"/>
      <c r="Z8" s="10"/>
      <c r="AA8" s="10"/>
      <c r="BM8" s="4"/>
      <c r="BN8" s="4"/>
      <c r="BO8" s="4"/>
      <c r="BP8" s="4"/>
    </row>
    <row r="9" spans="1:68" ht="15" customHeight="1">
      <c r="A9" s="9"/>
      <c r="B9" s="9"/>
      <c r="C9" s="9"/>
      <c r="D9" s="9"/>
      <c r="E9" s="9"/>
      <c r="F9" s="9"/>
      <c r="P9" s="6" t="str">
        <f>Настройки!A6</f>
        <v>Недостоверность</v>
      </c>
      <c r="Q9" s="5">
        <f>Настройки!B6</f>
        <v>10</v>
      </c>
      <c r="R9" s="543" t="str">
        <f>Настройки!C6</f>
        <v>Недостоверность</v>
      </c>
      <c r="S9" s="10"/>
      <c r="T9" s="10"/>
      <c r="U9" s="10"/>
      <c r="V9" s="10"/>
      <c r="W9" s="10"/>
      <c r="X9" s="10"/>
      <c r="Y9" s="10"/>
      <c r="Z9" s="10"/>
      <c r="AA9" s="10"/>
      <c r="BM9" s="4"/>
      <c r="BN9" s="4"/>
      <c r="BO9" s="4"/>
      <c r="BP9" s="4"/>
    </row>
    <row r="10" spans="1:68" ht="15" customHeight="1">
      <c r="A10" s="9"/>
      <c r="B10" s="9"/>
      <c r="C10" s="9"/>
      <c r="D10" s="9"/>
      <c r="E10" s="9"/>
      <c r="F10" s="9"/>
      <c r="P10" s="6" t="str">
        <f>Настройки!A7</f>
        <v>Имитация</v>
      </c>
      <c r="Q10" s="5">
        <f>Настройки!B7</f>
        <v>16</v>
      </c>
      <c r="R10" s="543" t="str">
        <f>Настройки!C7</f>
        <v>Имитация</v>
      </c>
      <c r="S10" s="10"/>
      <c r="T10" s="10"/>
      <c r="U10" s="10"/>
      <c r="V10" s="10"/>
      <c r="W10" s="10"/>
      <c r="X10" s="10"/>
      <c r="Y10" s="10"/>
      <c r="Z10" s="10"/>
      <c r="AA10" s="10"/>
      <c r="BM10" s="4"/>
      <c r="BN10" s="4"/>
      <c r="BO10" s="4"/>
      <c r="BP10" s="4"/>
    </row>
    <row r="11" spans="1:68" ht="15" customHeight="1">
      <c r="A11" s="9"/>
      <c r="B11" s="9"/>
      <c r="C11" s="9"/>
      <c r="D11" s="9"/>
      <c r="E11" s="9"/>
      <c r="F11" s="9"/>
      <c r="P11" s="6" t="str">
        <f>Настройки!A8</f>
        <v>Ремонт</v>
      </c>
      <c r="Q11" s="5">
        <f>Настройки!B8</f>
        <v>14</v>
      </c>
      <c r="R11" s="543" t="str">
        <f>Настройки!C8</f>
        <v>Ремонт</v>
      </c>
      <c r="S11" s="10"/>
      <c r="T11" s="10"/>
      <c r="U11" s="10"/>
      <c r="V11" s="10"/>
      <c r="W11" s="10"/>
      <c r="X11" s="10"/>
      <c r="Y11" s="10"/>
      <c r="Z11" s="10"/>
      <c r="AA11" s="10"/>
      <c r="BM11" s="4"/>
      <c r="BN11" s="4"/>
      <c r="BO11" s="4"/>
      <c r="BP11" s="4"/>
    </row>
    <row r="12" spans="1:68" ht="15" customHeight="1">
      <c r="A12" s="9"/>
      <c r="B12" s="9"/>
      <c r="C12" s="9"/>
      <c r="D12" s="9"/>
      <c r="E12" s="9"/>
      <c r="F12" s="9"/>
      <c r="P12" s="6" t="str">
        <f>Настройки!A9</f>
        <v>Команда оператора</v>
      </c>
      <c r="Q12" s="5">
        <f>Настройки!B9</f>
        <v>20</v>
      </c>
      <c r="R12" s="543" t="str">
        <f>Настройки!C9</f>
        <v>Команда оператора</v>
      </c>
      <c r="S12" s="10"/>
      <c r="T12" s="10"/>
      <c r="U12" s="10"/>
      <c r="V12" s="10"/>
      <c r="W12" s="10"/>
      <c r="X12" s="10"/>
      <c r="Y12" s="10"/>
      <c r="Z12" s="10"/>
      <c r="AA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M17" s="4"/>
      <c r="BN17" s="4"/>
      <c r="BO17" s="4"/>
      <c r="BP17" s="4"/>
    </row>
    <row r="18" spans="1:68" ht="15" customHeight="1" thickBo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M18" s="4"/>
      <c r="BN18" s="4"/>
      <c r="BO18" s="4"/>
      <c r="BP18" s="4"/>
    </row>
    <row r="19" spans="1:68" ht="15" customHeight="1" thickBot="1">
      <c r="A19" s="9"/>
      <c r="B19" s="9"/>
      <c r="C19" s="9"/>
      <c r="D19" s="783" t="s">
        <v>2803</v>
      </c>
      <c r="E19" s="782"/>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M19" s="4"/>
      <c r="BN19" s="4"/>
      <c r="BO19" s="4"/>
      <c r="BP19" s="4"/>
    </row>
    <row r="20" spans="1:68">
      <c r="A20" s="23" t="str">
        <f t="shared" ref="A20:A22" si="0">$R$2</f>
        <v>АСУЭ.TOR_VV</v>
      </c>
      <c r="B20" s="24">
        <v>1</v>
      </c>
      <c r="C20" s="24" t="s">
        <v>1</v>
      </c>
      <c r="D20" s="25">
        <v>17</v>
      </c>
    </row>
    <row r="21" spans="1:68">
      <c r="A21" s="29" t="str">
        <f t="shared" si="0"/>
        <v>АСУЭ.TOR_VV</v>
      </c>
      <c r="B21" s="1">
        <v>11001</v>
      </c>
      <c r="C21" s="1" t="s">
        <v>0</v>
      </c>
      <c r="D21" s="30" t="str">
        <f>$Q$2&amp;". "</f>
        <v xml:space="preserve">ТОР 200-16 ВВР. </v>
      </c>
    </row>
    <row r="22" spans="1:68">
      <c r="A22" s="29" t="str">
        <f t="shared" si="0"/>
        <v>АСУЭ.TOR_VV</v>
      </c>
      <c r="B22" s="1">
        <v>11156</v>
      </c>
      <c r="C22" s="1" t="s">
        <v>0</v>
      </c>
      <c r="D22" s="30" t="str">
        <f>$V$2</f>
        <v>Тестовый экран</v>
      </c>
    </row>
    <row r="23" spans="1:68" ht="15" customHeight="1">
      <c r="A23" s="16" t="str">
        <f>$R$2</f>
        <v>АСУЭ.TOR_VV</v>
      </c>
      <c r="B23" s="17">
        <v>100</v>
      </c>
      <c r="C23" s="17" t="s">
        <v>0</v>
      </c>
      <c r="D23" s="18" t="b">
        <f>$T$7</f>
        <v>0</v>
      </c>
      <c r="BF23" s="4"/>
      <c r="BG23" s="4"/>
      <c r="BH23" s="4"/>
      <c r="BI23" s="4"/>
    </row>
    <row r="24" spans="1:68">
      <c r="A24" s="29" t="str">
        <f>$R$2</f>
        <v>АСУЭ.TOR_VV</v>
      </c>
      <c r="B24" s="1">
        <v>7011</v>
      </c>
      <c r="C24" s="1" t="s">
        <v>2</v>
      </c>
      <c r="D24" s="30" t="s">
        <v>266</v>
      </c>
    </row>
    <row r="25" spans="1:68">
      <c r="A25" s="19" t="str">
        <f t="shared" ref="A25" si="1">$R$2</f>
        <v>АСУЭ.TOR_VV</v>
      </c>
      <c r="B25" s="11">
        <v>9218</v>
      </c>
      <c r="C25" s="11" t="s">
        <v>2</v>
      </c>
      <c r="D25" s="20" t="s">
        <v>175</v>
      </c>
    </row>
    <row r="26" spans="1:68" ht="15" customHeight="1">
      <c r="A26" s="19" t="str">
        <f>$R$2</f>
        <v>АСУЭ.TOR_VV</v>
      </c>
      <c r="B26" s="11">
        <v>11127</v>
      </c>
      <c r="C26" s="11" t="s">
        <v>0</v>
      </c>
      <c r="D26" s="20">
        <f>$AK$2</f>
        <v>0</v>
      </c>
      <c r="BM26" s="4"/>
      <c r="BN26" s="4"/>
      <c r="BO26" s="4"/>
      <c r="BP26" s="4"/>
    </row>
    <row r="27" spans="1:68">
      <c r="A27" s="19" t="str">
        <f t="shared" ref="A27" si="2">$R$2</f>
        <v>АСУЭ.TOR_VV</v>
      </c>
      <c r="B27" s="11">
        <v>11126</v>
      </c>
      <c r="C27" s="11" t="s">
        <v>0</v>
      </c>
      <c r="D27" s="20" t="str">
        <f>$AC$2</f>
        <v>Синий</v>
      </c>
    </row>
    <row r="28" spans="1:68">
      <c r="A28" s="23" t="str">
        <f>$R$2</f>
        <v>АСУЭ.TOR_VV</v>
      </c>
      <c r="B28" s="24">
        <v>9219</v>
      </c>
      <c r="C28" s="24" t="s">
        <v>2</v>
      </c>
      <c r="D28" s="25" t="s">
        <v>3</v>
      </c>
      <c r="Q28" s="778" t="s">
        <v>224</v>
      </c>
    </row>
    <row r="29" spans="1:68">
      <c r="A29" s="29" t="str">
        <f>$R$2</f>
        <v>АСУЭ.TOR_VV</v>
      </c>
      <c r="B29" s="27">
        <v>3009219</v>
      </c>
      <c r="C29" s="27" t="s">
        <v>0</v>
      </c>
      <c r="D29" s="28" t="str">
        <f>$X$2</f>
        <v>!АСУЭ.ЗРУиКТП.DI_1.XVLX.value &amp;&amp; АСУЭ.ЗРУиКТП.IMstp_1.XONX.value &amp;&amp; АСУЭ.ЗРУиКТП.IMstp_1.XTON.value</v>
      </c>
      <c r="Q29" s="779"/>
    </row>
    <row r="30" spans="1:68">
      <c r="A30" s="23" t="str">
        <f>$R$2</f>
        <v>АСУЭ.TOR_VV</v>
      </c>
      <c r="B30" s="1">
        <v>9220</v>
      </c>
      <c r="C30" s="1" t="s">
        <v>2</v>
      </c>
      <c r="D30" s="30" t="s">
        <v>3</v>
      </c>
      <c r="Q30" s="778" t="s">
        <v>223</v>
      </c>
    </row>
    <row r="31" spans="1:68">
      <c r="A31" s="26" t="str">
        <f>$R$2</f>
        <v>АСУЭ.TOR_VV</v>
      </c>
      <c r="B31" s="27">
        <v>3009220</v>
      </c>
      <c r="C31" s="27" t="s">
        <v>0</v>
      </c>
      <c r="D31" s="28" t="str">
        <f>$W$2</f>
        <v>!АСУЭ.ЗРУиКТП.DI_1.XVLX.value &amp;&amp; АСУЭ.ЗРУиКТП.IMstp_1.XTON.value</v>
      </c>
      <c r="Q31" s="779"/>
    </row>
    <row r="32" spans="1:68">
      <c r="A32" s="16" t="str">
        <f t="shared" ref="A32:A35" si="3">$R$2</f>
        <v>АСУЭ.TOR_VV</v>
      </c>
      <c r="B32" s="17">
        <v>203</v>
      </c>
      <c r="C32" s="17" t="s">
        <v>2</v>
      </c>
      <c r="D32" s="18" t="s">
        <v>3</v>
      </c>
    </row>
    <row r="33" spans="1:61" ht="15" customHeight="1">
      <c r="A33" s="19" t="str">
        <f t="shared" si="3"/>
        <v>АСУЭ.TOR_VV</v>
      </c>
      <c r="B33" s="11">
        <v>3000203</v>
      </c>
      <c r="C33" s="11" t="s">
        <v>0</v>
      </c>
      <c r="D33" s="18" t="s">
        <v>3</v>
      </c>
      <c r="BF33" s="4"/>
      <c r="BG33" s="4"/>
      <c r="BH33" s="4"/>
      <c r="BI33" s="4"/>
    </row>
    <row r="34" spans="1:61" ht="15" customHeight="1">
      <c r="A34" s="19" t="str">
        <f t="shared" si="3"/>
        <v>АСУЭ.TOR_VV</v>
      </c>
      <c r="B34" s="11">
        <v>4000203</v>
      </c>
      <c r="C34" s="11" t="s">
        <v>0</v>
      </c>
      <c r="D34" s="20" t="s">
        <v>1775</v>
      </c>
      <c r="BF34" s="4"/>
      <c r="BG34" s="4"/>
      <c r="BH34" s="4"/>
      <c r="BI34" s="4"/>
    </row>
    <row r="35" spans="1:61" ht="15" customHeight="1">
      <c r="A35" s="21" t="str">
        <f t="shared" si="3"/>
        <v>АСУЭ.TOR_VV</v>
      </c>
      <c r="B35" s="8">
        <v>7000203</v>
      </c>
      <c r="C35" s="8" t="s">
        <v>6</v>
      </c>
      <c r="D35" s="22">
        <v>2</v>
      </c>
      <c r="BF35" s="4"/>
      <c r="BG35" s="4"/>
      <c r="BH35" s="4"/>
      <c r="BI35" s="4"/>
    </row>
    <row r="36" spans="1:61">
      <c r="A36" s="16" t="str">
        <f>$R$2&amp;".Commands"</f>
        <v>АСУЭ.TOR_VV.Commands</v>
      </c>
      <c r="B36" s="24">
        <v>1</v>
      </c>
      <c r="C36" s="24" t="s">
        <v>1</v>
      </c>
      <c r="D36" s="25">
        <v>17</v>
      </c>
    </row>
    <row r="37" spans="1:61">
      <c r="A37" s="29" t="str">
        <f>$R$2&amp;".Commands"</f>
        <v>АСУЭ.TOR_VV.Commands</v>
      </c>
      <c r="B37" s="1">
        <v>7011</v>
      </c>
      <c r="C37" s="1" t="s">
        <v>2</v>
      </c>
      <c r="D37" s="30" t="s">
        <v>266</v>
      </c>
    </row>
    <row r="38" spans="1:61" ht="15" customHeight="1">
      <c r="A38" s="29" t="str">
        <f>$R$2&amp;".Commands"</f>
        <v>АСУЭ.TOR_VV.Commands</v>
      </c>
      <c r="B38">
        <v>9213</v>
      </c>
      <c r="C38" s="11" t="s">
        <v>2583</v>
      </c>
      <c r="D38" s="30">
        <v>2</v>
      </c>
      <c r="BF38" s="4"/>
      <c r="BG38" s="4"/>
      <c r="BH38" s="4"/>
      <c r="BI38" s="4"/>
    </row>
    <row r="39" spans="1:61">
      <c r="A39" s="19" t="str">
        <f>$R$2&amp;".Commands"</f>
        <v>АСУЭ.TOR_VV.Commands</v>
      </c>
      <c r="B39" s="11">
        <v>9214</v>
      </c>
      <c r="C39" s="11" t="s">
        <v>2</v>
      </c>
      <c r="D39" s="20" t="s">
        <v>3</v>
      </c>
    </row>
    <row r="40" spans="1:61">
      <c r="A40" s="19" t="str">
        <f t="shared" ref="A40:A42" si="4">$R$2&amp;".Commands"</f>
        <v>АСУЭ.TOR_VV.Commands</v>
      </c>
      <c r="B40" s="11">
        <v>9215</v>
      </c>
      <c r="C40" s="11" t="s">
        <v>2</v>
      </c>
      <c r="D40" s="20" t="s">
        <v>3</v>
      </c>
    </row>
    <row r="41" spans="1:61">
      <c r="A41" s="19" t="str">
        <f t="shared" si="4"/>
        <v>АСУЭ.TOR_VV.Commands</v>
      </c>
      <c r="B41" s="11">
        <v>9216</v>
      </c>
      <c r="C41" s="11" t="s">
        <v>2</v>
      </c>
      <c r="D41" s="20" t="s">
        <v>3</v>
      </c>
    </row>
    <row r="42" spans="1:61">
      <c r="A42" s="21" t="str">
        <f t="shared" si="4"/>
        <v>АСУЭ.TOR_VV.Commands</v>
      </c>
      <c r="B42" s="8">
        <v>9217</v>
      </c>
      <c r="C42" s="8" t="s">
        <v>2</v>
      </c>
      <c r="D42" s="22" t="s">
        <v>3</v>
      </c>
    </row>
    <row r="43" spans="1:61">
      <c r="A43" s="156" t="str">
        <f>$R$2&amp;".aCall"</f>
        <v>АСУЭ.TOR_VV.aCall</v>
      </c>
      <c r="B43" s="157">
        <v>11154</v>
      </c>
      <c r="C43" s="157" t="s">
        <v>4</v>
      </c>
      <c r="D43" s="760">
        <f>$Q$5</f>
        <v>4</v>
      </c>
    </row>
    <row r="44" spans="1:61">
      <c r="A44" s="148" t="str">
        <f t="shared" ref="A44:A52" si="5">$R$2&amp;".aCall"</f>
        <v>АСУЭ.TOR_VV.aCall</v>
      </c>
      <c r="B44" s="149">
        <v>11150</v>
      </c>
      <c r="C44" s="149" t="s">
        <v>0</v>
      </c>
      <c r="D44" s="125" t="s">
        <v>2769</v>
      </c>
    </row>
    <row r="45" spans="1:61">
      <c r="A45" s="148" t="str">
        <f t="shared" si="5"/>
        <v>АСУЭ.TOR_VV.aCall</v>
      </c>
      <c r="B45" s="149">
        <v>11152</v>
      </c>
      <c r="C45" s="149" t="s">
        <v>0</v>
      </c>
      <c r="D45" s="158" t="str">
        <f>$R$5</f>
        <v>Авария</v>
      </c>
    </row>
    <row r="46" spans="1:61" ht="14.25" customHeight="1">
      <c r="A46" s="148" t="str">
        <f t="shared" si="5"/>
        <v>АСУЭ.TOR_VV.aCall</v>
      </c>
      <c r="B46" s="149">
        <v>11000</v>
      </c>
      <c r="C46" s="149" t="s">
        <v>5</v>
      </c>
      <c r="D46" s="125">
        <v>2147483680</v>
      </c>
    </row>
    <row r="47" spans="1:61">
      <c r="A47" s="19" t="str">
        <f t="shared" si="5"/>
        <v>АСУЭ.TOR_VV.aCall</v>
      </c>
      <c r="B47" s="11">
        <v>7999</v>
      </c>
      <c r="C47" s="11" t="s">
        <v>0</v>
      </c>
      <c r="D47" s="20" t="str">
        <f>"#"&amp;$S$2&amp;"#"&amp;$T$2&amp;"."&amp;$P$2&amp;".aCall"</f>
        <v>#3#\\Setup_rza\Modbus.OPCServer\ZRU_Sepam.VV1_TOR.aCall</v>
      </c>
    </row>
    <row r="48" spans="1:61">
      <c r="A48" s="19" t="str">
        <f t="shared" si="5"/>
        <v>АСУЭ.TOR_VV.aCall</v>
      </c>
      <c r="B48" s="11">
        <v>7998</v>
      </c>
      <c r="C48" s="11" t="s">
        <v>6</v>
      </c>
      <c r="D48" s="20">
        <v>1</v>
      </c>
    </row>
    <row r="49" spans="1:4">
      <c r="A49" s="19" t="str">
        <f t="shared" si="5"/>
        <v>АСУЭ.TOR_VV.aCall</v>
      </c>
      <c r="B49" s="11">
        <v>101</v>
      </c>
      <c r="C49" s="11" t="s">
        <v>0</v>
      </c>
      <c r="D49" s="20" t="s">
        <v>2769</v>
      </c>
    </row>
    <row r="50" spans="1:4">
      <c r="A50" s="19" t="str">
        <f t="shared" si="5"/>
        <v>АСУЭ.TOR_VV.aCall</v>
      </c>
      <c r="B50" s="11">
        <v>3</v>
      </c>
      <c r="C50" s="11" t="s">
        <v>1</v>
      </c>
      <c r="D50" s="20">
        <v>192</v>
      </c>
    </row>
    <row r="51" spans="1:4">
      <c r="A51" s="19" t="str">
        <f t="shared" si="5"/>
        <v>АСУЭ.TOR_VV.aCall</v>
      </c>
      <c r="B51" s="11">
        <v>2</v>
      </c>
      <c r="C51" s="11" t="s">
        <v>2</v>
      </c>
      <c r="D51" s="20" t="s">
        <v>3</v>
      </c>
    </row>
    <row r="52" spans="1:4">
      <c r="A52" s="21" t="str">
        <f t="shared" si="5"/>
        <v>АСУЭ.TOR_VV.aCall</v>
      </c>
      <c r="B52" s="8">
        <v>1</v>
      </c>
      <c r="C52" s="8" t="s">
        <v>1</v>
      </c>
      <c r="D52" s="22">
        <v>11</v>
      </c>
    </row>
    <row r="53" spans="1:4">
      <c r="A53" s="156" t="str">
        <f>$R$2&amp;".aDGZ"</f>
        <v>АСУЭ.TOR_VV.aDGZ</v>
      </c>
      <c r="B53" s="157">
        <v>11154</v>
      </c>
      <c r="C53" s="157" t="s">
        <v>4</v>
      </c>
      <c r="D53" s="760">
        <f>$Q$5</f>
        <v>4</v>
      </c>
    </row>
    <row r="54" spans="1:4">
      <c r="A54" s="148" t="str">
        <f t="shared" ref="A54:A62" si="6">$R$2&amp;".aDGZ"</f>
        <v>АСУЭ.TOR_VV.aDGZ</v>
      </c>
      <c r="B54" s="149">
        <v>11150</v>
      </c>
      <c r="C54" s="149" t="s">
        <v>0</v>
      </c>
      <c r="D54" s="125" t="s">
        <v>2770</v>
      </c>
    </row>
    <row r="55" spans="1:4">
      <c r="A55" s="148" t="str">
        <f t="shared" si="6"/>
        <v>АСУЭ.TOR_VV.aDGZ</v>
      </c>
      <c r="B55" s="149">
        <v>11152</v>
      </c>
      <c r="C55" s="149" t="s">
        <v>0</v>
      </c>
      <c r="D55" s="158" t="str">
        <f>$R$5</f>
        <v>Авария</v>
      </c>
    </row>
    <row r="56" spans="1:4">
      <c r="A56" s="148" t="str">
        <f t="shared" si="6"/>
        <v>АСУЭ.TOR_VV.aDGZ</v>
      </c>
      <c r="B56" s="149">
        <v>11000</v>
      </c>
      <c r="C56" s="149" t="s">
        <v>5</v>
      </c>
      <c r="D56" s="125">
        <v>2147483680</v>
      </c>
    </row>
    <row r="57" spans="1:4">
      <c r="A57" s="19" t="str">
        <f t="shared" si="6"/>
        <v>АСУЭ.TOR_VV.aDGZ</v>
      </c>
      <c r="B57" s="11">
        <v>7999</v>
      </c>
      <c r="C57" s="11" t="s">
        <v>0</v>
      </c>
      <c r="D57" s="20" t="str">
        <f>"#"&amp;$S$2&amp;"#"&amp;$T$2&amp;"."&amp;$P$2&amp;".aDGZ"</f>
        <v>#3#\\Setup_rza\Modbus.OPCServer\ZRU_Sepam.VV1_TOR.aDGZ</v>
      </c>
    </row>
    <row r="58" spans="1:4">
      <c r="A58" s="19" t="str">
        <f t="shared" si="6"/>
        <v>АСУЭ.TOR_VV.aDGZ</v>
      </c>
      <c r="B58" s="11">
        <v>7998</v>
      </c>
      <c r="C58" s="11" t="s">
        <v>6</v>
      </c>
      <c r="D58" s="20">
        <v>1</v>
      </c>
    </row>
    <row r="59" spans="1:4">
      <c r="A59" s="19" t="str">
        <f t="shared" si="6"/>
        <v>АСУЭ.TOR_VV.aDGZ</v>
      </c>
      <c r="B59" s="11">
        <v>101</v>
      </c>
      <c r="C59" s="11" t="s">
        <v>0</v>
      </c>
      <c r="D59" s="20" t="s">
        <v>2770</v>
      </c>
    </row>
    <row r="60" spans="1:4">
      <c r="A60" s="19" t="str">
        <f t="shared" si="6"/>
        <v>АСУЭ.TOR_VV.aDGZ</v>
      </c>
      <c r="B60" s="11">
        <v>3</v>
      </c>
      <c r="C60" s="11" t="s">
        <v>1</v>
      </c>
      <c r="D60" s="20">
        <v>192</v>
      </c>
    </row>
    <row r="61" spans="1:4">
      <c r="A61" s="19" t="str">
        <f t="shared" si="6"/>
        <v>АСУЭ.TOR_VV.aDGZ</v>
      </c>
      <c r="B61" s="11">
        <v>2</v>
      </c>
      <c r="C61" s="11" t="s">
        <v>2</v>
      </c>
      <c r="D61" s="20" t="s">
        <v>3</v>
      </c>
    </row>
    <row r="62" spans="1:4">
      <c r="A62" s="21" t="str">
        <f t="shared" si="6"/>
        <v>АСУЭ.TOR_VV.aDGZ</v>
      </c>
      <c r="B62" s="8">
        <v>1</v>
      </c>
      <c r="C62" s="8" t="s">
        <v>1</v>
      </c>
      <c r="D62" s="22">
        <v>11</v>
      </c>
    </row>
    <row r="63" spans="1:4">
      <c r="A63" s="156" t="str">
        <f>$R$2&amp;".aMTZ2st"</f>
        <v>АСУЭ.TOR_VV.aMTZ2st</v>
      </c>
      <c r="B63" s="157">
        <v>11154</v>
      </c>
      <c r="C63" s="157" t="s">
        <v>4</v>
      </c>
      <c r="D63" s="760">
        <f>$Q$5</f>
        <v>4</v>
      </c>
    </row>
    <row r="64" spans="1:4">
      <c r="A64" s="148" t="str">
        <f t="shared" ref="A64:A72" si="7">$R$2&amp;".aMTZ2st"</f>
        <v>АСУЭ.TOR_VV.aMTZ2st</v>
      </c>
      <c r="B64" s="149">
        <v>11150</v>
      </c>
      <c r="C64" s="149" t="s">
        <v>0</v>
      </c>
      <c r="D64" s="125" t="s">
        <v>2773</v>
      </c>
    </row>
    <row r="65" spans="1:4">
      <c r="A65" s="148" t="str">
        <f t="shared" si="7"/>
        <v>АСУЭ.TOR_VV.aMTZ2st</v>
      </c>
      <c r="B65" s="149">
        <v>11152</v>
      </c>
      <c r="C65" s="149" t="s">
        <v>0</v>
      </c>
      <c r="D65" s="158" t="str">
        <f>$R$5</f>
        <v>Авария</v>
      </c>
    </row>
    <row r="66" spans="1:4">
      <c r="A66" s="148" t="str">
        <f t="shared" si="7"/>
        <v>АСУЭ.TOR_VV.aMTZ2st</v>
      </c>
      <c r="B66" s="149">
        <v>11000</v>
      </c>
      <c r="C66" s="149" t="s">
        <v>5</v>
      </c>
      <c r="D66" s="125">
        <v>2147483680</v>
      </c>
    </row>
    <row r="67" spans="1:4">
      <c r="A67" s="19" t="str">
        <f t="shared" si="7"/>
        <v>АСУЭ.TOR_VV.aMTZ2st</v>
      </c>
      <c r="B67" s="11">
        <v>7999</v>
      </c>
      <c r="C67" s="11" t="s">
        <v>0</v>
      </c>
      <c r="D67" s="20" t="str">
        <f>"#"&amp;$S$2&amp;"#"&amp;$T$2&amp;"."&amp;$P$2&amp;".aMTZ2st"</f>
        <v>#3#\\Setup_rza\Modbus.OPCServer\ZRU_Sepam.VV1_TOR.aMTZ2st</v>
      </c>
    </row>
    <row r="68" spans="1:4">
      <c r="A68" s="19" t="str">
        <f t="shared" si="7"/>
        <v>АСУЭ.TOR_VV.aMTZ2st</v>
      </c>
      <c r="B68" s="11">
        <v>7998</v>
      </c>
      <c r="C68" s="11" t="s">
        <v>6</v>
      </c>
      <c r="D68" s="20">
        <v>1</v>
      </c>
    </row>
    <row r="69" spans="1:4">
      <c r="A69" s="19" t="str">
        <f t="shared" si="7"/>
        <v>АСУЭ.TOR_VV.aMTZ2st</v>
      </c>
      <c r="B69" s="11">
        <v>101</v>
      </c>
      <c r="C69" s="11" t="s">
        <v>0</v>
      </c>
      <c r="D69" s="20" t="s">
        <v>2773</v>
      </c>
    </row>
    <row r="70" spans="1:4">
      <c r="A70" s="19" t="str">
        <f t="shared" si="7"/>
        <v>АСУЭ.TOR_VV.aMTZ2st</v>
      </c>
      <c r="B70" s="11">
        <v>3</v>
      </c>
      <c r="C70" s="11" t="s">
        <v>1</v>
      </c>
      <c r="D70" s="20">
        <v>192</v>
      </c>
    </row>
    <row r="71" spans="1:4">
      <c r="A71" s="19" t="str">
        <f t="shared" si="7"/>
        <v>АСУЭ.TOR_VV.aMTZ2st</v>
      </c>
      <c r="B71" s="11">
        <v>2</v>
      </c>
      <c r="C71" s="11" t="s">
        <v>2</v>
      </c>
      <c r="D71" s="20" t="s">
        <v>3</v>
      </c>
    </row>
    <row r="72" spans="1:4">
      <c r="A72" s="21" t="str">
        <f t="shared" si="7"/>
        <v>АСУЭ.TOR_VV.aMTZ2st</v>
      </c>
      <c r="B72" s="8">
        <v>1</v>
      </c>
      <c r="C72" s="8" t="s">
        <v>1</v>
      </c>
      <c r="D72" s="22">
        <v>11</v>
      </c>
    </row>
    <row r="73" spans="1:4">
      <c r="A73" s="156" t="str">
        <f>$R$2&amp;".aAccelMTZ"</f>
        <v>АСУЭ.TOR_VV.aAccelMTZ</v>
      </c>
      <c r="B73" s="157">
        <v>11154</v>
      </c>
      <c r="C73" s="157" t="s">
        <v>4</v>
      </c>
      <c r="D73" s="760">
        <f>$Q$5</f>
        <v>4</v>
      </c>
    </row>
    <row r="74" spans="1:4">
      <c r="A74" s="148" t="str">
        <f t="shared" ref="A74:A82" si="8">$R$2&amp;".aAccelMTZ"</f>
        <v>АСУЭ.TOR_VV.aAccelMTZ</v>
      </c>
      <c r="B74" s="149">
        <v>11150</v>
      </c>
      <c r="C74" s="149" t="s">
        <v>0</v>
      </c>
      <c r="D74" s="125" t="s">
        <v>2774</v>
      </c>
    </row>
    <row r="75" spans="1:4">
      <c r="A75" s="148" t="str">
        <f t="shared" si="8"/>
        <v>АСУЭ.TOR_VV.aAccelMTZ</v>
      </c>
      <c r="B75" s="149">
        <v>11152</v>
      </c>
      <c r="C75" s="149" t="s">
        <v>0</v>
      </c>
      <c r="D75" s="158" t="str">
        <f>$R$5</f>
        <v>Авария</v>
      </c>
    </row>
    <row r="76" spans="1:4">
      <c r="A76" s="148" t="str">
        <f t="shared" si="8"/>
        <v>АСУЭ.TOR_VV.aAccelMTZ</v>
      </c>
      <c r="B76" s="149">
        <v>11000</v>
      </c>
      <c r="C76" s="149" t="s">
        <v>5</v>
      </c>
      <c r="D76" s="125">
        <v>2147483680</v>
      </c>
    </row>
    <row r="77" spans="1:4">
      <c r="A77" s="19" t="str">
        <f t="shared" si="8"/>
        <v>АСУЭ.TOR_VV.aAccelMTZ</v>
      </c>
      <c r="B77" s="11">
        <v>7999</v>
      </c>
      <c r="C77" s="11" t="s">
        <v>0</v>
      </c>
      <c r="D77" s="20" t="str">
        <f>"#"&amp;$S$2&amp;"#"&amp;$T$2&amp;"."&amp;$P$2&amp;".aAccelMTZ"</f>
        <v>#3#\\Setup_rza\Modbus.OPCServer\ZRU_Sepam.VV1_TOR.aAccelMTZ</v>
      </c>
    </row>
    <row r="78" spans="1:4">
      <c r="A78" s="19" t="str">
        <f t="shared" si="8"/>
        <v>АСУЭ.TOR_VV.aAccelMTZ</v>
      </c>
      <c r="B78" s="11">
        <v>7998</v>
      </c>
      <c r="C78" s="11" t="s">
        <v>6</v>
      </c>
      <c r="D78" s="20">
        <v>1</v>
      </c>
    </row>
    <row r="79" spans="1:4">
      <c r="A79" s="19" t="str">
        <f t="shared" si="8"/>
        <v>АСУЭ.TOR_VV.aAccelMTZ</v>
      </c>
      <c r="B79" s="11">
        <v>101</v>
      </c>
      <c r="C79" s="11" t="s">
        <v>0</v>
      </c>
      <c r="D79" s="20" t="s">
        <v>2774</v>
      </c>
    </row>
    <row r="80" spans="1:4">
      <c r="A80" s="19" t="str">
        <f t="shared" si="8"/>
        <v>АСУЭ.TOR_VV.aAccelMTZ</v>
      </c>
      <c r="B80" s="11">
        <v>3</v>
      </c>
      <c r="C80" s="11" t="s">
        <v>1</v>
      </c>
      <c r="D80" s="20">
        <v>192</v>
      </c>
    </row>
    <row r="81" spans="1:4">
      <c r="A81" s="19" t="str">
        <f t="shared" si="8"/>
        <v>АСУЭ.TOR_VV.aAccelMTZ</v>
      </c>
      <c r="B81" s="11">
        <v>2</v>
      </c>
      <c r="C81" s="11" t="s">
        <v>2</v>
      </c>
      <c r="D81" s="20" t="s">
        <v>3</v>
      </c>
    </row>
    <row r="82" spans="1:4">
      <c r="A82" s="21" t="str">
        <f t="shared" si="8"/>
        <v>АСУЭ.TOR_VV.aAccelMTZ</v>
      </c>
      <c r="B82" s="8">
        <v>1</v>
      </c>
      <c r="C82" s="8" t="s">
        <v>1</v>
      </c>
      <c r="D82" s="22">
        <v>11</v>
      </c>
    </row>
    <row r="83" spans="1:4">
      <c r="A83" s="156" t="str">
        <f>$R$2&amp;".aOverload"</f>
        <v>АСУЭ.TOR_VV.aOverload</v>
      </c>
      <c r="B83" s="157">
        <v>11154</v>
      </c>
      <c r="C83" s="157" t="s">
        <v>4</v>
      </c>
      <c r="D83" s="760">
        <f>$Q$5</f>
        <v>4</v>
      </c>
    </row>
    <row r="84" spans="1:4">
      <c r="A84" s="148" t="str">
        <f t="shared" ref="A84:A91" si="9">$R$2&amp;".aOverload"</f>
        <v>АСУЭ.TOR_VV.aOverload</v>
      </c>
      <c r="B84" s="149">
        <v>11150</v>
      </c>
      <c r="C84" s="149" t="s">
        <v>0</v>
      </c>
      <c r="D84" s="125" t="s">
        <v>509</v>
      </c>
    </row>
    <row r="85" spans="1:4">
      <c r="A85" s="148" t="str">
        <f t="shared" si="9"/>
        <v>АСУЭ.TOR_VV.aOverload</v>
      </c>
      <c r="B85" s="149">
        <v>11152</v>
      </c>
      <c r="C85" s="149" t="s">
        <v>0</v>
      </c>
      <c r="D85" s="158" t="str">
        <f>$R$5</f>
        <v>Авария</v>
      </c>
    </row>
    <row r="86" spans="1:4">
      <c r="A86" s="148" t="str">
        <f t="shared" si="9"/>
        <v>АСУЭ.TOR_VV.aOverload</v>
      </c>
      <c r="B86" s="149">
        <v>11000</v>
      </c>
      <c r="C86" s="149" t="s">
        <v>5</v>
      </c>
      <c r="D86" s="125">
        <v>2147483680</v>
      </c>
    </row>
    <row r="87" spans="1:4">
      <c r="A87" s="19" t="str">
        <f t="shared" si="9"/>
        <v>АСУЭ.TOR_VV.aOverload</v>
      </c>
      <c r="B87" s="11">
        <v>7999</v>
      </c>
      <c r="C87" s="11" t="s">
        <v>0</v>
      </c>
      <c r="D87" s="20" t="str">
        <f>"#"&amp;$S$2&amp;"#"&amp;$T$2&amp;"."&amp;$P$2&amp;".aOverload"</f>
        <v>#3#\\Setup_rza\Modbus.OPCServer\ZRU_Sepam.VV1_TOR.aOverload</v>
      </c>
    </row>
    <row r="88" spans="1:4">
      <c r="A88" s="19" t="str">
        <f t="shared" si="9"/>
        <v>АСУЭ.TOR_VV.aOverload</v>
      </c>
      <c r="B88" s="11">
        <v>7998</v>
      </c>
      <c r="C88" s="11" t="s">
        <v>6</v>
      </c>
      <c r="D88" s="20">
        <v>1</v>
      </c>
    </row>
    <row r="89" spans="1:4">
      <c r="A89" s="19" t="str">
        <f t="shared" si="9"/>
        <v>АСУЭ.TOR_VV.aOverload</v>
      </c>
      <c r="B89" s="11">
        <v>101</v>
      </c>
      <c r="C89" s="11" t="s">
        <v>0</v>
      </c>
      <c r="D89" s="20" t="s">
        <v>509</v>
      </c>
    </row>
    <row r="90" spans="1:4">
      <c r="A90" s="19" t="str">
        <f t="shared" si="9"/>
        <v>АСУЭ.TOR_VV.aOverload</v>
      </c>
      <c r="B90" s="11">
        <v>3</v>
      </c>
      <c r="C90" s="11" t="s">
        <v>1</v>
      </c>
      <c r="D90" s="20">
        <v>192</v>
      </c>
    </row>
    <row r="91" spans="1:4">
      <c r="A91" s="19" t="str">
        <f t="shared" si="9"/>
        <v>АСУЭ.TOR_VV.aOverload</v>
      </c>
      <c r="B91" s="11">
        <v>2</v>
      </c>
      <c r="C91" s="11" t="s">
        <v>2</v>
      </c>
      <c r="D91" s="20" t="s">
        <v>3</v>
      </c>
    </row>
    <row r="92" spans="1:4">
      <c r="A92" s="21" t="str">
        <f>$R$2&amp;".aOverload"</f>
        <v>АСУЭ.TOR_VV.aOverload</v>
      </c>
      <c r="B92" s="8">
        <v>1</v>
      </c>
      <c r="C92" s="8" t="s">
        <v>1</v>
      </c>
      <c r="D92" s="22">
        <v>11</v>
      </c>
    </row>
    <row r="93" spans="1:4">
      <c r="A93" s="156" t="str">
        <f>$R$2&amp;".aUROV"</f>
        <v>АСУЭ.TOR_VV.aUROV</v>
      </c>
      <c r="B93" s="157">
        <v>11154</v>
      </c>
      <c r="C93" s="157" t="s">
        <v>4</v>
      </c>
      <c r="D93" s="760">
        <f>$Q$5</f>
        <v>4</v>
      </c>
    </row>
    <row r="94" spans="1:4">
      <c r="A94" s="148" t="str">
        <f t="shared" ref="A94:A102" si="10">$R$2&amp;".aUROV"</f>
        <v>АСУЭ.TOR_VV.aUROV</v>
      </c>
      <c r="B94" s="149">
        <v>11150</v>
      </c>
      <c r="C94" s="149" t="s">
        <v>0</v>
      </c>
      <c r="D94" s="125" t="s">
        <v>2776</v>
      </c>
    </row>
    <row r="95" spans="1:4">
      <c r="A95" s="148" t="str">
        <f t="shared" si="10"/>
        <v>АСУЭ.TOR_VV.aUROV</v>
      </c>
      <c r="B95" s="149">
        <v>11152</v>
      </c>
      <c r="C95" s="149" t="s">
        <v>0</v>
      </c>
      <c r="D95" s="158" t="str">
        <f>$R$5</f>
        <v>Авария</v>
      </c>
    </row>
    <row r="96" spans="1:4">
      <c r="A96" s="148" t="str">
        <f t="shared" si="10"/>
        <v>АСУЭ.TOR_VV.aUROV</v>
      </c>
      <c r="B96" s="149">
        <v>11000</v>
      </c>
      <c r="C96" s="149" t="s">
        <v>5</v>
      </c>
      <c r="D96" s="125">
        <v>2147483680</v>
      </c>
    </row>
    <row r="97" spans="1:4">
      <c r="A97" s="19" t="str">
        <f t="shared" si="10"/>
        <v>АСУЭ.TOR_VV.aUROV</v>
      </c>
      <c r="B97" s="11">
        <v>7999</v>
      </c>
      <c r="C97" s="11" t="s">
        <v>0</v>
      </c>
      <c r="D97" s="20" t="str">
        <f>"#"&amp;$S$2&amp;"#"&amp;$T$2&amp;"."&amp;$P$2&amp;".aUROV"</f>
        <v>#3#\\Setup_rza\Modbus.OPCServer\ZRU_Sepam.VV1_TOR.aUROV</v>
      </c>
    </row>
    <row r="98" spans="1:4">
      <c r="A98" s="19" t="str">
        <f t="shared" si="10"/>
        <v>АСУЭ.TOR_VV.aUROV</v>
      </c>
      <c r="B98" s="11">
        <v>7998</v>
      </c>
      <c r="C98" s="11" t="s">
        <v>6</v>
      </c>
      <c r="D98" s="20">
        <v>1</v>
      </c>
    </row>
    <row r="99" spans="1:4">
      <c r="A99" s="19" t="str">
        <f t="shared" si="10"/>
        <v>АСУЭ.TOR_VV.aUROV</v>
      </c>
      <c r="B99" s="11">
        <v>101</v>
      </c>
      <c r="C99" s="11" t="s">
        <v>0</v>
      </c>
      <c r="D99" s="20" t="s">
        <v>2776</v>
      </c>
    </row>
    <row r="100" spans="1:4">
      <c r="A100" s="19" t="str">
        <f t="shared" si="10"/>
        <v>АСУЭ.TOR_VV.aUROV</v>
      </c>
      <c r="B100" s="11">
        <v>3</v>
      </c>
      <c r="C100" s="11" t="s">
        <v>1</v>
      </c>
      <c r="D100" s="20">
        <v>192</v>
      </c>
    </row>
    <row r="101" spans="1:4">
      <c r="A101" s="19" t="str">
        <f t="shared" si="10"/>
        <v>АСУЭ.TOR_VV.aUROV</v>
      </c>
      <c r="B101" s="11">
        <v>2</v>
      </c>
      <c r="C101" s="11" t="s">
        <v>2</v>
      </c>
      <c r="D101" s="20" t="s">
        <v>3</v>
      </c>
    </row>
    <row r="102" spans="1:4">
      <c r="A102" s="21" t="str">
        <f t="shared" si="10"/>
        <v>АСУЭ.TOR_VV.aUROV</v>
      </c>
      <c r="B102" s="8">
        <v>1</v>
      </c>
      <c r="C102" s="8" t="s">
        <v>1</v>
      </c>
      <c r="D102" s="22">
        <v>11</v>
      </c>
    </row>
    <row r="103" spans="1:4">
      <c r="A103" s="156" t="str">
        <f>$R$2&amp;".aPrt"</f>
        <v>АСУЭ.TOR_VV.aPrt</v>
      </c>
      <c r="B103" s="157">
        <v>11154</v>
      </c>
      <c r="C103" s="157" t="s">
        <v>4</v>
      </c>
      <c r="D103" s="760">
        <f>$Q$5</f>
        <v>4</v>
      </c>
    </row>
    <row r="104" spans="1:4">
      <c r="A104" s="148" t="str">
        <f t="shared" ref="A104:A112" si="11">$R$2&amp;".aPrt"</f>
        <v>АСУЭ.TOR_VV.aPrt</v>
      </c>
      <c r="B104" s="149">
        <v>11150</v>
      </c>
      <c r="C104" s="149" t="s">
        <v>0</v>
      </c>
      <c r="D104" s="125" t="s">
        <v>141</v>
      </c>
    </row>
    <row r="105" spans="1:4">
      <c r="A105" s="148" t="str">
        <f t="shared" si="11"/>
        <v>АСУЭ.TOR_VV.aPrt</v>
      </c>
      <c r="B105" s="149">
        <v>11152</v>
      </c>
      <c r="C105" s="149" t="s">
        <v>0</v>
      </c>
      <c r="D105" s="158" t="str">
        <f>$R$5</f>
        <v>Авария</v>
      </c>
    </row>
    <row r="106" spans="1:4">
      <c r="A106" s="148" t="str">
        <f t="shared" si="11"/>
        <v>АСУЭ.TOR_VV.aPrt</v>
      </c>
      <c r="B106" s="149">
        <v>11000</v>
      </c>
      <c r="C106" s="149" t="s">
        <v>5</v>
      </c>
      <c r="D106" s="125">
        <v>2147483680</v>
      </c>
    </row>
    <row r="107" spans="1:4">
      <c r="A107" s="19" t="str">
        <f t="shared" si="11"/>
        <v>АСУЭ.TOR_VV.aPrt</v>
      </c>
      <c r="B107" s="11">
        <v>7999</v>
      </c>
      <c r="C107" s="11" t="s">
        <v>0</v>
      </c>
      <c r="D107" s="20" t="str">
        <f>"#"&amp;$S$2&amp;"#"&amp;$T$2&amp;"."&amp;$P$2&amp;".aPrt"</f>
        <v>#3#\\Setup_rza\Modbus.OPCServer\ZRU_Sepam.VV1_TOR.aPrt</v>
      </c>
    </row>
    <row r="108" spans="1:4">
      <c r="A108" s="19" t="str">
        <f t="shared" si="11"/>
        <v>АСУЭ.TOR_VV.aPrt</v>
      </c>
      <c r="B108" s="11">
        <v>7998</v>
      </c>
      <c r="C108" s="11" t="s">
        <v>6</v>
      </c>
      <c r="D108" s="20">
        <v>1</v>
      </c>
    </row>
    <row r="109" spans="1:4">
      <c r="A109" s="19" t="str">
        <f t="shared" si="11"/>
        <v>АСУЭ.TOR_VV.aPrt</v>
      </c>
      <c r="B109" s="11">
        <v>101</v>
      </c>
      <c r="C109" s="11" t="s">
        <v>0</v>
      </c>
      <c r="D109" s="20" t="s">
        <v>141</v>
      </c>
    </row>
    <row r="110" spans="1:4">
      <c r="A110" s="19" t="str">
        <f t="shared" si="11"/>
        <v>АСУЭ.TOR_VV.aPrt</v>
      </c>
      <c r="B110" s="11">
        <v>3</v>
      </c>
      <c r="C110" s="11" t="s">
        <v>1</v>
      </c>
      <c r="D110" s="20">
        <v>192</v>
      </c>
    </row>
    <row r="111" spans="1:4">
      <c r="A111" s="19" t="str">
        <f t="shared" si="11"/>
        <v>АСУЭ.TOR_VV.aPrt</v>
      </c>
      <c r="B111" s="11">
        <v>2</v>
      </c>
      <c r="C111" s="11" t="s">
        <v>2</v>
      </c>
      <c r="D111" s="20" t="s">
        <v>3</v>
      </c>
    </row>
    <row r="112" spans="1:4">
      <c r="A112" s="21" t="str">
        <f t="shared" si="11"/>
        <v>АСУЭ.TOR_VV.aPrt</v>
      </c>
      <c r="B112" s="8">
        <v>1</v>
      </c>
      <c r="C112" s="8" t="s">
        <v>1</v>
      </c>
      <c r="D112" s="22">
        <v>11</v>
      </c>
    </row>
    <row r="113" spans="1:4">
      <c r="A113" s="156" t="str">
        <f>$R$2&amp;".aExtTrip"</f>
        <v>АСУЭ.TOR_VV.aExtTrip</v>
      </c>
      <c r="B113" s="157">
        <v>11154</v>
      </c>
      <c r="C113" s="157" t="s">
        <v>4</v>
      </c>
      <c r="D113" s="760">
        <f>$Q$5</f>
        <v>4</v>
      </c>
    </row>
    <row r="114" spans="1:4">
      <c r="A114" s="148" t="str">
        <f t="shared" ref="A114:A122" si="12">$R$2&amp;".aExtTrip"</f>
        <v>АСУЭ.TOR_VV.aExtTrip</v>
      </c>
      <c r="B114" s="149">
        <v>11150</v>
      </c>
      <c r="C114" s="149" t="s">
        <v>0</v>
      </c>
      <c r="D114" s="125" t="s">
        <v>334</v>
      </c>
    </row>
    <row r="115" spans="1:4">
      <c r="A115" s="148" t="str">
        <f t="shared" si="12"/>
        <v>АСУЭ.TOR_VV.aExtTrip</v>
      </c>
      <c r="B115" s="149">
        <v>11152</v>
      </c>
      <c r="C115" s="149" t="s">
        <v>0</v>
      </c>
      <c r="D115" s="158" t="str">
        <f>$R$5</f>
        <v>Авария</v>
      </c>
    </row>
    <row r="116" spans="1:4">
      <c r="A116" s="148" t="str">
        <f t="shared" si="12"/>
        <v>АСУЭ.TOR_VV.aExtTrip</v>
      </c>
      <c r="B116" s="149">
        <v>11000</v>
      </c>
      <c r="C116" s="149" t="s">
        <v>5</v>
      </c>
      <c r="D116" s="125">
        <v>2147483680</v>
      </c>
    </row>
    <row r="117" spans="1:4">
      <c r="A117" s="19" t="str">
        <f t="shared" si="12"/>
        <v>АСУЭ.TOR_VV.aExtTrip</v>
      </c>
      <c r="B117" s="11">
        <v>7999</v>
      </c>
      <c r="C117" s="11" t="s">
        <v>0</v>
      </c>
      <c r="D117" s="20" t="str">
        <f>"#"&amp;$S$2&amp;"#"&amp;$T$2&amp;"."&amp;$P$2&amp;".aExtTrip"</f>
        <v>#3#\\Setup_rza\Modbus.OPCServer\ZRU_Sepam.VV1_TOR.aExtTrip</v>
      </c>
    </row>
    <row r="118" spans="1:4">
      <c r="A118" s="19" t="str">
        <f t="shared" si="12"/>
        <v>АСУЭ.TOR_VV.aExtTrip</v>
      </c>
      <c r="B118" s="11">
        <v>7998</v>
      </c>
      <c r="C118" s="11" t="s">
        <v>6</v>
      </c>
      <c r="D118" s="20">
        <v>1</v>
      </c>
    </row>
    <row r="119" spans="1:4">
      <c r="A119" s="19" t="str">
        <f t="shared" si="12"/>
        <v>АСУЭ.TOR_VV.aExtTrip</v>
      </c>
      <c r="B119" s="11">
        <v>101</v>
      </c>
      <c r="C119" s="11" t="s">
        <v>0</v>
      </c>
      <c r="D119" s="20" t="s">
        <v>334</v>
      </c>
    </row>
    <row r="120" spans="1:4">
      <c r="A120" s="19" t="str">
        <f t="shared" si="12"/>
        <v>АСУЭ.TOR_VV.aExtTrip</v>
      </c>
      <c r="B120" s="11">
        <v>3</v>
      </c>
      <c r="C120" s="11" t="s">
        <v>1</v>
      </c>
      <c r="D120" s="20">
        <v>192</v>
      </c>
    </row>
    <row r="121" spans="1:4">
      <c r="A121" s="19" t="str">
        <f t="shared" si="12"/>
        <v>АСУЭ.TOR_VV.aExtTrip</v>
      </c>
      <c r="B121" s="11">
        <v>2</v>
      </c>
      <c r="C121" s="11" t="s">
        <v>2</v>
      </c>
      <c r="D121" s="20" t="s">
        <v>3</v>
      </c>
    </row>
    <row r="122" spans="1:4">
      <c r="A122" s="21" t="str">
        <f t="shared" si="12"/>
        <v>АСУЭ.TOR_VV.aExtTrip</v>
      </c>
      <c r="B122" s="8">
        <v>1</v>
      </c>
      <c r="C122" s="8" t="s">
        <v>1</v>
      </c>
      <c r="D122" s="22">
        <v>11</v>
      </c>
    </row>
    <row r="123" spans="1:4">
      <c r="A123" s="156" t="str">
        <f>$R$2&amp;".aCmdCircuitFlt_on"</f>
        <v>АСУЭ.TOR_VV.aCmdCircuitFlt_on</v>
      </c>
      <c r="B123" s="157">
        <v>11154</v>
      </c>
      <c r="C123" s="157" t="s">
        <v>4</v>
      </c>
      <c r="D123" s="760">
        <f>$Q$5</f>
        <v>4</v>
      </c>
    </row>
    <row r="124" spans="1:4">
      <c r="A124" s="148" t="str">
        <f t="shared" ref="A124:A132" si="13">$R$2&amp;".aCmdCircuitFlt_on"</f>
        <v>АСУЭ.TOR_VV.aCmdCircuitFlt_on</v>
      </c>
      <c r="B124" s="149">
        <v>11150</v>
      </c>
      <c r="C124" s="149" t="s">
        <v>0</v>
      </c>
      <c r="D124" s="125" t="s">
        <v>1515</v>
      </c>
    </row>
    <row r="125" spans="1:4">
      <c r="A125" s="148" t="str">
        <f t="shared" si="13"/>
        <v>АСУЭ.TOR_VV.aCmdCircuitFlt_on</v>
      </c>
      <c r="B125" s="149">
        <v>11152</v>
      </c>
      <c r="C125" s="149" t="s">
        <v>0</v>
      </c>
      <c r="D125" s="158" t="str">
        <f>$R$5</f>
        <v>Авария</v>
      </c>
    </row>
    <row r="126" spans="1:4">
      <c r="A126" s="148" t="str">
        <f t="shared" si="13"/>
        <v>АСУЭ.TOR_VV.aCmdCircuitFlt_on</v>
      </c>
      <c r="B126" s="149">
        <v>11000</v>
      </c>
      <c r="C126" s="149" t="s">
        <v>5</v>
      </c>
      <c r="D126" s="125">
        <v>2147483680</v>
      </c>
    </row>
    <row r="127" spans="1:4">
      <c r="A127" s="19" t="str">
        <f t="shared" si="13"/>
        <v>АСУЭ.TOR_VV.aCmdCircuitFlt_on</v>
      </c>
      <c r="B127" s="11">
        <v>7999</v>
      </c>
      <c r="C127" s="11" t="s">
        <v>0</v>
      </c>
      <c r="D127" s="20" t="str">
        <f>"#"&amp;$S$2&amp;"#"&amp;$T$2&amp;"."&amp;$P$2&amp;".aCmdCircuitFlt_on"</f>
        <v>#3#\\Setup_rza\Modbus.OPCServer\ZRU_Sepam.VV1_TOR.aCmdCircuitFlt_on</v>
      </c>
    </row>
    <row r="128" spans="1:4">
      <c r="A128" s="19" t="str">
        <f t="shared" si="13"/>
        <v>АСУЭ.TOR_VV.aCmdCircuitFlt_on</v>
      </c>
      <c r="B128" s="11">
        <v>7998</v>
      </c>
      <c r="C128" s="11" t="s">
        <v>6</v>
      </c>
      <c r="D128" s="20">
        <v>1</v>
      </c>
    </row>
    <row r="129" spans="1:16">
      <c r="A129" s="19" t="str">
        <f t="shared" si="13"/>
        <v>АСУЭ.TOR_VV.aCmdCircuitFlt_on</v>
      </c>
      <c r="B129" s="11">
        <v>101</v>
      </c>
      <c r="C129" s="11" t="s">
        <v>0</v>
      </c>
      <c r="D129" s="20" t="s">
        <v>1515</v>
      </c>
    </row>
    <row r="130" spans="1:16">
      <c r="A130" s="19" t="str">
        <f t="shared" si="13"/>
        <v>АСУЭ.TOR_VV.aCmdCircuitFlt_on</v>
      </c>
      <c r="B130" s="11">
        <v>3</v>
      </c>
      <c r="C130" s="11" t="s">
        <v>1</v>
      </c>
      <c r="D130" s="20">
        <v>192</v>
      </c>
    </row>
    <row r="131" spans="1:16">
      <c r="A131" s="19" t="str">
        <f t="shared" si="13"/>
        <v>АСУЭ.TOR_VV.aCmdCircuitFlt_on</v>
      </c>
      <c r="B131" s="11">
        <v>2</v>
      </c>
      <c r="C131" s="11" t="s">
        <v>2</v>
      </c>
      <c r="D131" s="20" t="s">
        <v>3</v>
      </c>
    </row>
    <row r="132" spans="1:16">
      <c r="A132" s="21" t="str">
        <f t="shared" si="13"/>
        <v>АСУЭ.TOR_VV.aCmdCircuitFlt_on</v>
      </c>
      <c r="B132" s="8">
        <v>1</v>
      </c>
      <c r="C132" s="8" t="s">
        <v>1</v>
      </c>
      <c r="D132" s="22">
        <v>11</v>
      </c>
    </row>
    <row r="133" spans="1:16">
      <c r="A133" s="69" t="str">
        <f>$R$2&amp;".wCmdCircuitFlt_con"</f>
        <v>АСУЭ.TOR_VV.wCmdCircuitFlt_con</v>
      </c>
      <c r="B133" s="70">
        <v>11154</v>
      </c>
      <c r="C133" s="70" t="s">
        <v>4</v>
      </c>
      <c r="D133" s="71">
        <f>$Q$6</f>
        <v>8</v>
      </c>
      <c r="P133" s="4"/>
    </row>
    <row r="134" spans="1:16">
      <c r="A134" s="63" t="str">
        <f t="shared" ref="A134:A141" si="14">$R$2&amp;".wCmdCircuitFlt_con"</f>
        <v>АСУЭ.TOR_VV.wCmdCircuitFlt_con</v>
      </c>
      <c r="B134" s="64">
        <v>11152</v>
      </c>
      <c r="C134" s="64" t="s">
        <v>0</v>
      </c>
      <c r="D134" s="65" t="str">
        <f>$R$6</f>
        <v>Предупреждение</v>
      </c>
      <c r="P134" s="4"/>
    </row>
    <row r="135" spans="1:16">
      <c r="A135" s="63" t="str">
        <f t="shared" si="14"/>
        <v>АСУЭ.TOR_VV.wCmdCircuitFlt_con</v>
      </c>
      <c r="B135" s="64">
        <v>11150</v>
      </c>
      <c r="C135" s="64" t="s">
        <v>0</v>
      </c>
      <c r="D135" s="65" t="s">
        <v>387</v>
      </c>
      <c r="P135" s="4"/>
    </row>
    <row r="136" spans="1:16">
      <c r="A136" s="63" t="str">
        <f t="shared" si="14"/>
        <v>АСУЭ.TOR_VV.wCmdCircuitFlt_con</v>
      </c>
      <c r="B136" s="64">
        <v>11000</v>
      </c>
      <c r="C136" s="64" t="s">
        <v>5</v>
      </c>
      <c r="D136" s="65">
        <v>2147483680</v>
      </c>
      <c r="P136" s="4"/>
    </row>
    <row r="137" spans="1:16">
      <c r="A137" s="19" t="str">
        <f t="shared" si="14"/>
        <v>АСУЭ.TOR_VV.wCmdCircuitFlt_con</v>
      </c>
      <c r="B137" s="11">
        <v>7999</v>
      </c>
      <c r="C137" s="11" t="s">
        <v>0</v>
      </c>
      <c r="D137" s="20" t="str">
        <f>"#"&amp;$S$2&amp;"#"&amp;$T$2&amp;"."&amp;$P$2&amp;".wCmdCircuitFlt_con"</f>
        <v>#3#\\Setup_rza\Modbus.OPCServer\ZRU_Sepam.VV1_TOR.wCmdCircuitFlt_con</v>
      </c>
      <c r="P137" s="4"/>
    </row>
    <row r="138" spans="1:16">
      <c r="A138" s="19" t="str">
        <f t="shared" si="14"/>
        <v>АСУЭ.TOR_VV.wCmdCircuitFlt_con</v>
      </c>
      <c r="B138" s="11">
        <v>7998</v>
      </c>
      <c r="C138" s="11" t="s">
        <v>6</v>
      </c>
      <c r="D138" s="20">
        <v>1</v>
      </c>
      <c r="P138" s="4"/>
    </row>
    <row r="139" spans="1:16">
      <c r="A139" s="19" t="str">
        <f t="shared" si="14"/>
        <v>АСУЭ.TOR_VV.wCmdCircuitFlt_con</v>
      </c>
      <c r="B139" s="11">
        <v>101</v>
      </c>
      <c r="C139" s="11" t="s">
        <v>0</v>
      </c>
      <c r="D139" s="20" t="s">
        <v>387</v>
      </c>
      <c r="P139" s="4"/>
    </row>
    <row r="140" spans="1:16">
      <c r="A140" s="19" t="str">
        <f t="shared" si="14"/>
        <v>АСУЭ.TOR_VV.wCmdCircuitFlt_con</v>
      </c>
      <c r="B140" s="11">
        <v>3</v>
      </c>
      <c r="C140" s="11" t="s">
        <v>1</v>
      </c>
      <c r="D140" s="20">
        <v>192</v>
      </c>
      <c r="P140" s="4"/>
    </row>
    <row r="141" spans="1:16">
      <c r="A141" s="19" t="str">
        <f t="shared" si="14"/>
        <v>АСУЭ.TOR_VV.wCmdCircuitFlt_con</v>
      </c>
      <c r="B141" s="11">
        <v>2</v>
      </c>
      <c r="C141" s="11" t="s">
        <v>2</v>
      </c>
      <c r="D141" s="20" t="s">
        <v>3</v>
      </c>
      <c r="P141" s="4"/>
    </row>
    <row r="142" spans="1:16">
      <c r="A142" s="19" t="str">
        <f>$R$2&amp;".wCmdCircuitFlt_con"</f>
        <v>АСУЭ.TOR_VV.wCmdCircuitFlt_con</v>
      </c>
      <c r="B142" s="11">
        <v>1</v>
      </c>
      <c r="C142" s="11" t="s">
        <v>1</v>
      </c>
      <c r="D142" s="20">
        <v>11</v>
      </c>
      <c r="P142" s="4"/>
    </row>
    <row r="143" spans="1:16">
      <c r="A143" s="69" t="str">
        <f>$R$2&amp;".wStateMismatch"</f>
        <v>АСУЭ.TOR_VV.wStateMismatch</v>
      </c>
      <c r="B143" s="70">
        <v>11154</v>
      </c>
      <c r="C143" s="70" t="s">
        <v>4</v>
      </c>
      <c r="D143" s="71">
        <f>$Q$6</f>
        <v>8</v>
      </c>
      <c r="P143" s="4"/>
    </row>
    <row r="144" spans="1:16">
      <c r="A144" s="63" t="str">
        <f t="shared" ref="A144:A152" si="15">$R$2&amp;".wStateMismatch"</f>
        <v>АСУЭ.TOR_VV.wStateMismatch</v>
      </c>
      <c r="B144" s="64">
        <v>11152</v>
      </c>
      <c r="C144" s="64" t="s">
        <v>0</v>
      </c>
      <c r="D144" s="65" t="str">
        <f>$R$6</f>
        <v>Предупреждение</v>
      </c>
      <c r="P144" s="4"/>
    </row>
    <row r="145" spans="1:16">
      <c r="A145" s="63" t="str">
        <f t="shared" si="15"/>
        <v>АСУЭ.TOR_VV.wStateMismatch</v>
      </c>
      <c r="B145" s="64">
        <v>11150</v>
      </c>
      <c r="C145" s="64" t="s">
        <v>0</v>
      </c>
      <c r="D145" s="65" t="s">
        <v>2779</v>
      </c>
      <c r="P145" s="4"/>
    </row>
    <row r="146" spans="1:16">
      <c r="A146" s="63" t="str">
        <f t="shared" si="15"/>
        <v>АСУЭ.TOR_VV.wStateMismatch</v>
      </c>
      <c r="B146" s="64">
        <v>11000</v>
      </c>
      <c r="C146" s="64" t="s">
        <v>5</v>
      </c>
      <c r="D146" s="65">
        <v>2147483680</v>
      </c>
      <c r="P146" s="4"/>
    </row>
    <row r="147" spans="1:16">
      <c r="A147" s="19" t="str">
        <f t="shared" si="15"/>
        <v>АСУЭ.TOR_VV.wStateMismatch</v>
      </c>
      <c r="B147" s="11">
        <v>7999</v>
      </c>
      <c r="C147" s="11" t="s">
        <v>0</v>
      </c>
      <c r="D147" s="20" t="str">
        <f>"#"&amp;$S$2&amp;"#"&amp;$T$2&amp;"."&amp;$P$2&amp;".wStateMismatch"</f>
        <v>#3#\\Setup_rza\Modbus.OPCServer\ZRU_Sepam.VV1_TOR.wStateMismatch</v>
      </c>
      <c r="P147" s="4"/>
    </row>
    <row r="148" spans="1:16">
      <c r="A148" s="19" t="str">
        <f t="shared" si="15"/>
        <v>АСУЭ.TOR_VV.wStateMismatch</v>
      </c>
      <c r="B148" s="11">
        <v>7998</v>
      </c>
      <c r="C148" s="11" t="s">
        <v>6</v>
      </c>
      <c r="D148" s="20">
        <v>1</v>
      </c>
      <c r="P148" s="4"/>
    </row>
    <row r="149" spans="1:16">
      <c r="A149" s="19" t="str">
        <f t="shared" si="15"/>
        <v>АСУЭ.TOR_VV.wStateMismatch</v>
      </c>
      <c r="B149" s="11">
        <v>101</v>
      </c>
      <c r="C149" s="11" t="s">
        <v>0</v>
      </c>
      <c r="D149" s="20" t="s">
        <v>2779</v>
      </c>
      <c r="P149" s="4"/>
    </row>
    <row r="150" spans="1:16">
      <c r="A150" s="19" t="str">
        <f t="shared" si="15"/>
        <v>АСУЭ.TOR_VV.wStateMismatch</v>
      </c>
      <c r="B150" s="11">
        <v>3</v>
      </c>
      <c r="C150" s="11" t="s">
        <v>1</v>
      </c>
      <c r="D150" s="20">
        <v>192</v>
      </c>
      <c r="P150" s="4"/>
    </row>
    <row r="151" spans="1:16">
      <c r="A151" s="19" t="str">
        <f t="shared" si="15"/>
        <v>АСУЭ.TOR_VV.wStateMismatch</v>
      </c>
      <c r="B151" s="11">
        <v>2</v>
      </c>
      <c r="C151" s="11" t="s">
        <v>2</v>
      </c>
      <c r="D151" s="20" t="s">
        <v>3</v>
      </c>
      <c r="P151" s="4"/>
    </row>
    <row r="152" spans="1:16">
      <c r="A152" s="19" t="str">
        <f t="shared" si="15"/>
        <v>АСУЭ.TOR_VV.wStateMismatch</v>
      </c>
      <c r="B152" s="11">
        <v>1</v>
      </c>
      <c r="C152" s="11" t="s">
        <v>1</v>
      </c>
      <c r="D152" s="20">
        <v>11</v>
      </c>
      <c r="P152" s="4"/>
    </row>
    <row r="153" spans="1:16">
      <c r="A153" s="69" t="str">
        <f>$R$2&amp;".wGenFlt"</f>
        <v>АСУЭ.TOR_VV.wGenFlt</v>
      </c>
      <c r="B153" s="70">
        <v>11154</v>
      </c>
      <c r="C153" s="70" t="s">
        <v>4</v>
      </c>
      <c r="D153" s="71">
        <f>$Q$6</f>
        <v>8</v>
      </c>
      <c r="P153" s="4"/>
    </row>
    <row r="154" spans="1:16">
      <c r="A154" s="63" t="str">
        <f t="shared" ref="A154:A162" si="16">$R$2&amp;".wGenFlt"</f>
        <v>АСУЭ.TOR_VV.wGenFlt</v>
      </c>
      <c r="B154" s="64">
        <v>11152</v>
      </c>
      <c r="C154" s="64" t="s">
        <v>0</v>
      </c>
      <c r="D154" s="65" t="str">
        <f>$R$6</f>
        <v>Предупреждение</v>
      </c>
      <c r="P154" s="4"/>
    </row>
    <row r="155" spans="1:16">
      <c r="A155" s="63" t="str">
        <f t="shared" si="16"/>
        <v>АСУЭ.TOR_VV.wGenFlt</v>
      </c>
      <c r="B155" s="64">
        <v>11150</v>
      </c>
      <c r="C155" s="64" t="s">
        <v>0</v>
      </c>
      <c r="D155" s="65" t="s">
        <v>2781</v>
      </c>
      <c r="P155" s="4"/>
    </row>
    <row r="156" spans="1:16">
      <c r="A156" s="63" t="str">
        <f t="shared" si="16"/>
        <v>АСУЭ.TOR_VV.wGenFlt</v>
      </c>
      <c r="B156" s="64">
        <v>11000</v>
      </c>
      <c r="C156" s="64" t="s">
        <v>5</v>
      </c>
      <c r="D156" s="65">
        <v>2147483680</v>
      </c>
      <c r="P156" s="4"/>
    </row>
    <row r="157" spans="1:16">
      <c r="A157" s="19" t="str">
        <f t="shared" si="16"/>
        <v>АСУЭ.TOR_VV.wGenFlt</v>
      </c>
      <c r="B157" s="11">
        <v>7999</v>
      </c>
      <c r="C157" s="11" t="s">
        <v>0</v>
      </c>
      <c r="D157" s="20" t="str">
        <f>"#"&amp;$S$2&amp;"#"&amp;$T$2&amp;"."&amp;$P$2&amp;".wGenFlt"</f>
        <v>#3#\\Setup_rza\Modbus.OPCServer\ZRU_Sepam.VV1_TOR.wGenFlt</v>
      </c>
      <c r="P157" s="4"/>
    </row>
    <row r="158" spans="1:16">
      <c r="A158" s="19" t="str">
        <f t="shared" si="16"/>
        <v>АСУЭ.TOR_VV.wGenFlt</v>
      </c>
      <c r="B158" s="11">
        <v>7998</v>
      </c>
      <c r="C158" s="11" t="s">
        <v>6</v>
      </c>
      <c r="D158" s="20">
        <v>1</v>
      </c>
      <c r="P158" s="4"/>
    </row>
    <row r="159" spans="1:16">
      <c r="A159" s="19" t="str">
        <f t="shared" si="16"/>
        <v>АСУЭ.TOR_VV.wGenFlt</v>
      </c>
      <c r="B159" s="11">
        <v>101</v>
      </c>
      <c r="C159" s="11" t="s">
        <v>0</v>
      </c>
      <c r="D159" s="20" t="s">
        <v>2781</v>
      </c>
      <c r="P159" s="4"/>
    </row>
    <row r="160" spans="1:16">
      <c r="A160" s="19" t="str">
        <f t="shared" si="16"/>
        <v>АСУЭ.TOR_VV.wGenFlt</v>
      </c>
      <c r="B160" s="11">
        <v>3</v>
      </c>
      <c r="C160" s="11" t="s">
        <v>1</v>
      </c>
      <c r="D160" s="20">
        <v>192</v>
      </c>
      <c r="P160" s="4"/>
    </row>
    <row r="161" spans="1:16">
      <c r="A161" s="19" t="str">
        <f t="shared" si="16"/>
        <v>АСУЭ.TOR_VV.wGenFlt</v>
      </c>
      <c r="B161" s="11">
        <v>2</v>
      </c>
      <c r="C161" s="11" t="s">
        <v>2</v>
      </c>
      <c r="D161" s="20" t="s">
        <v>3</v>
      </c>
      <c r="P161" s="4"/>
    </row>
    <row r="162" spans="1:16">
      <c r="A162" s="19" t="str">
        <f t="shared" si="16"/>
        <v>АСУЭ.TOR_VV.wGenFlt</v>
      </c>
      <c r="B162" s="11">
        <v>1</v>
      </c>
      <c r="C162" s="11" t="s">
        <v>1</v>
      </c>
      <c r="D162" s="20">
        <v>11</v>
      </c>
      <c r="P162" s="4"/>
    </row>
    <row r="163" spans="1:16">
      <c r="A163" s="69" t="str">
        <f>$R$2&amp;".wTT_Flt"</f>
        <v>АСУЭ.TOR_VV.wTT_Flt</v>
      </c>
      <c r="B163" s="70">
        <v>11154</v>
      </c>
      <c r="C163" s="70" t="s">
        <v>4</v>
      </c>
      <c r="D163" s="71">
        <f>$Q$6</f>
        <v>8</v>
      </c>
      <c r="P163" s="4"/>
    </row>
    <row r="164" spans="1:16">
      <c r="A164" s="63" t="str">
        <f t="shared" ref="A164:A172" si="17">$R$2&amp;".wTT_Flt"</f>
        <v>АСУЭ.TOR_VV.wTT_Flt</v>
      </c>
      <c r="B164" s="64">
        <v>11152</v>
      </c>
      <c r="C164" s="64" t="s">
        <v>0</v>
      </c>
      <c r="D164" s="65" t="str">
        <f>$R$6</f>
        <v>Предупреждение</v>
      </c>
      <c r="P164" s="4"/>
    </row>
    <row r="165" spans="1:16">
      <c r="A165" s="63" t="str">
        <f t="shared" si="17"/>
        <v>АСУЭ.TOR_VV.wTT_Flt</v>
      </c>
      <c r="B165" s="64">
        <v>11150</v>
      </c>
      <c r="C165" s="64" t="s">
        <v>0</v>
      </c>
      <c r="D165" s="65" t="s">
        <v>1517</v>
      </c>
      <c r="P165" s="4"/>
    </row>
    <row r="166" spans="1:16">
      <c r="A166" s="63" t="str">
        <f t="shared" si="17"/>
        <v>АСУЭ.TOR_VV.wTT_Flt</v>
      </c>
      <c r="B166" s="64">
        <v>11000</v>
      </c>
      <c r="C166" s="64" t="s">
        <v>5</v>
      </c>
      <c r="D166" s="65">
        <v>2147483680</v>
      </c>
      <c r="P166" s="4"/>
    </row>
    <row r="167" spans="1:16">
      <c r="A167" s="19" t="str">
        <f t="shared" si="17"/>
        <v>АСУЭ.TOR_VV.wTT_Flt</v>
      </c>
      <c r="B167" s="11">
        <v>7999</v>
      </c>
      <c r="C167" s="11" t="s">
        <v>0</v>
      </c>
      <c r="D167" s="20" t="str">
        <f>"#"&amp;$S$2&amp;"#"&amp;$T$2&amp;"."&amp;$P$2&amp;".wTT_Flt"</f>
        <v>#3#\\Setup_rza\Modbus.OPCServer\ZRU_Sepam.VV1_TOR.wTT_Flt</v>
      </c>
      <c r="P167" s="4"/>
    </row>
    <row r="168" spans="1:16">
      <c r="A168" s="19" t="str">
        <f t="shared" si="17"/>
        <v>АСУЭ.TOR_VV.wTT_Flt</v>
      </c>
      <c r="B168" s="11">
        <v>7998</v>
      </c>
      <c r="C168" s="11" t="s">
        <v>6</v>
      </c>
      <c r="D168" s="20">
        <v>1</v>
      </c>
      <c r="P168" s="4"/>
    </row>
    <row r="169" spans="1:16">
      <c r="A169" s="19" t="str">
        <f t="shared" si="17"/>
        <v>АСУЭ.TOR_VV.wTT_Flt</v>
      </c>
      <c r="B169" s="11">
        <v>101</v>
      </c>
      <c r="C169" s="11" t="s">
        <v>0</v>
      </c>
      <c r="D169" s="20" t="s">
        <v>1517</v>
      </c>
      <c r="P169" s="4"/>
    </row>
    <row r="170" spans="1:16">
      <c r="A170" s="19" t="str">
        <f t="shared" si="17"/>
        <v>АСУЭ.TOR_VV.wTT_Flt</v>
      </c>
      <c r="B170" s="11">
        <v>3</v>
      </c>
      <c r="C170" s="11" t="s">
        <v>1</v>
      </c>
      <c r="D170" s="20">
        <v>192</v>
      </c>
      <c r="P170" s="4"/>
    </row>
    <row r="171" spans="1:16">
      <c r="A171" s="19" t="str">
        <f t="shared" si="17"/>
        <v>АСУЭ.TOR_VV.wTT_Flt</v>
      </c>
      <c r="B171" s="11">
        <v>2</v>
      </c>
      <c r="C171" s="11" t="s">
        <v>2</v>
      </c>
      <c r="D171" s="20" t="s">
        <v>3</v>
      </c>
      <c r="P171" s="4"/>
    </row>
    <row r="172" spans="1:16">
      <c r="A172" s="19" t="str">
        <f t="shared" si="17"/>
        <v>АСУЭ.TOR_VV.wTT_Flt</v>
      </c>
      <c r="B172" s="11">
        <v>1</v>
      </c>
      <c r="C172" s="11" t="s">
        <v>1</v>
      </c>
      <c r="D172" s="20">
        <v>11</v>
      </c>
      <c r="P172" s="4"/>
    </row>
    <row r="173" spans="1:16">
      <c r="A173" s="69" t="str">
        <f>$R$2&amp;".wTN_Flt"</f>
        <v>АСУЭ.TOR_VV.wTN_Flt</v>
      </c>
      <c r="B173" s="70">
        <v>11154</v>
      </c>
      <c r="C173" s="70" t="s">
        <v>4</v>
      </c>
      <c r="D173" s="71">
        <f>$Q$6</f>
        <v>8</v>
      </c>
      <c r="P173" s="4"/>
    </row>
    <row r="174" spans="1:16">
      <c r="A174" s="63" t="str">
        <f t="shared" ref="A174:A182" si="18">$R$2&amp;".wTN_Flt"</f>
        <v>АСУЭ.TOR_VV.wTN_Flt</v>
      </c>
      <c r="B174" s="64">
        <v>11152</v>
      </c>
      <c r="C174" s="64" t="s">
        <v>0</v>
      </c>
      <c r="D174" s="65" t="str">
        <f>$R$6</f>
        <v>Предупреждение</v>
      </c>
      <c r="P174" s="4"/>
    </row>
    <row r="175" spans="1:16">
      <c r="A175" s="63" t="str">
        <f t="shared" si="18"/>
        <v>АСУЭ.TOR_VV.wTN_Flt</v>
      </c>
      <c r="B175" s="64">
        <v>11150</v>
      </c>
      <c r="C175" s="64" t="s">
        <v>0</v>
      </c>
      <c r="D175" s="65" t="s">
        <v>2804</v>
      </c>
      <c r="P175" s="4"/>
    </row>
    <row r="176" spans="1:16">
      <c r="A176" s="63" t="str">
        <f t="shared" si="18"/>
        <v>АСУЭ.TOR_VV.wTN_Flt</v>
      </c>
      <c r="B176" s="64">
        <v>11000</v>
      </c>
      <c r="C176" s="64" t="s">
        <v>5</v>
      </c>
      <c r="D176" s="65">
        <v>2147483680</v>
      </c>
      <c r="P176" s="4"/>
    </row>
    <row r="177" spans="1:16">
      <c r="A177" s="19" t="str">
        <f t="shared" si="18"/>
        <v>АСУЭ.TOR_VV.wTN_Flt</v>
      </c>
      <c r="B177" s="11">
        <v>7999</v>
      </c>
      <c r="C177" s="11" t="s">
        <v>0</v>
      </c>
      <c r="D177" s="20" t="str">
        <f>"#"&amp;$S$2&amp;"#"&amp;$T$2&amp;"."&amp;$P$2&amp;".wTN_Flt"</f>
        <v>#3#\\Setup_rza\Modbus.OPCServer\ZRU_Sepam.VV1_TOR.wTN_Flt</v>
      </c>
      <c r="P177" s="4"/>
    </row>
    <row r="178" spans="1:16">
      <c r="A178" s="19" t="str">
        <f t="shared" si="18"/>
        <v>АСУЭ.TOR_VV.wTN_Flt</v>
      </c>
      <c r="B178" s="11">
        <v>7998</v>
      </c>
      <c r="C178" s="11" t="s">
        <v>6</v>
      </c>
      <c r="D178" s="20">
        <v>1</v>
      </c>
      <c r="P178" s="4"/>
    </row>
    <row r="179" spans="1:16">
      <c r="A179" s="19" t="str">
        <f t="shared" si="18"/>
        <v>АСУЭ.TOR_VV.wTN_Flt</v>
      </c>
      <c r="B179" s="11">
        <v>101</v>
      </c>
      <c r="C179" s="11" t="s">
        <v>0</v>
      </c>
      <c r="D179" s="20" t="s">
        <v>2805</v>
      </c>
      <c r="P179" s="4"/>
    </row>
    <row r="180" spans="1:16">
      <c r="A180" s="19" t="str">
        <f t="shared" si="18"/>
        <v>АСУЭ.TOR_VV.wTN_Flt</v>
      </c>
      <c r="B180" s="11">
        <v>3</v>
      </c>
      <c r="C180" s="11" t="s">
        <v>1</v>
      </c>
      <c r="D180" s="20">
        <v>192</v>
      </c>
      <c r="P180" s="4"/>
    </row>
    <row r="181" spans="1:16">
      <c r="A181" s="19" t="str">
        <f t="shared" si="18"/>
        <v>АСУЭ.TOR_VV.wTN_Flt</v>
      </c>
      <c r="B181" s="11">
        <v>2</v>
      </c>
      <c r="C181" s="11" t="s">
        <v>2</v>
      </c>
      <c r="D181" s="20" t="s">
        <v>3</v>
      </c>
      <c r="P181" s="4"/>
    </row>
    <row r="182" spans="1:16">
      <c r="A182" s="19" t="str">
        <f t="shared" si="18"/>
        <v>АСУЭ.TOR_VV.wTN_Flt</v>
      </c>
      <c r="B182" s="11">
        <v>1</v>
      </c>
      <c r="C182" s="11" t="s">
        <v>1</v>
      </c>
      <c r="D182" s="20">
        <v>11</v>
      </c>
      <c r="P182" s="4"/>
    </row>
    <row r="183" spans="1:16">
      <c r="A183" s="69" t="str">
        <f>$R$2&amp;".wTN_FU"</f>
        <v>АСУЭ.TOR_VV.wTN_FU</v>
      </c>
      <c r="B183" s="70">
        <v>11154</v>
      </c>
      <c r="C183" s="70" t="s">
        <v>4</v>
      </c>
      <c r="D183" s="71">
        <f>$Q$6</f>
        <v>8</v>
      </c>
    </row>
    <row r="184" spans="1:16">
      <c r="A184" s="63" t="str">
        <f t="shared" ref="A184:A192" si="19">$R$2&amp;".wTN_FU"</f>
        <v>АСУЭ.TOR_VV.wTN_FU</v>
      </c>
      <c r="B184" s="64">
        <v>11152</v>
      </c>
      <c r="C184" s="64" t="s">
        <v>0</v>
      </c>
      <c r="D184" s="65" t="str">
        <f>$R$6</f>
        <v>Предупреждение</v>
      </c>
    </row>
    <row r="185" spans="1:16">
      <c r="A185" s="63" t="str">
        <f t="shared" si="19"/>
        <v>АСУЭ.TOR_VV.wTN_FU</v>
      </c>
      <c r="B185" s="64">
        <v>11150</v>
      </c>
      <c r="C185" s="64" t="s">
        <v>0</v>
      </c>
      <c r="D185" s="65" t="s">
        <v>2806</v>
      </c>
    </row>
    <row r="186" spans="1:16">
      <c r="A186" s="63" t="str">
        <f t="shared" si="19"/>
        <v>АСУЭ.TOR_VV.wTN_FU</v>
      </c>
      <c r="B186" s="64">
        <v>11000</v>
      </c>
      <c r="C186" s="64" t="s">
        <v>5</v>
      </c>
      <c r="D186" s="65">
        <v>2147483680</v>
      </c>
    </row>
    <row r="187" spans="1:16">
      <c r="A187" s="19" t="str">
        <f t="shared" si="19"/>
        <v>АСУЭ.TOR_VV.wTN_FU</v>
      </c>
      <c r="B187" s="11">
        <v>7999</v>
      </c>
      <c r="C187" s="11" t="s">
        <v>0</v>
      </c>
      <c r="D187" s="20" t="str">
        <f>"#"&amp;$S$2&amp;"#"&amp;$T$2&amp;"."&amp;$P$2&amp;".wTN_FU"</f>
        <v>#3#\\Setup_rza\Modbus.OPCServer\ZRU_Sepam.VV1_TOR.wTN_FU</v>
      </c>
    </row>
    <row r="188" spans="1:16">
      <c r="A188" s="19" t="str">
        <f t="shared" si="19"/>
        <v>АСУЭ.TOR_VV.wTN_FU</v>
      </c>
      <c r="B188" s="11">
        <v>7998</v>
      </c>
      <c r="C188" s="11" t="s">
        <v>6</v>
      </c>
      <c r="D188" s="20">
        <v>1</v>
      </c>
    </row>
    <row r="189" spans="1:16">
      <c r="A189" s="19" t="str">
        <f t="shared" si="19"/>
        <v>АСУЭ.TOR_VV.wTN_FU</v>
      </c>
      <c r="B189" s="11">
        <v>101</v>
      </c>
      <c r="C189" s="11" t="s">
        <v>0</v>
      </c>
      <c r="D189" s="20" t="s">
        <v>2806</v>
      </c>
    </row>
    <row r="190" spans="1:16">
      <c r="A190" s="19" t="str">
        <f t="shared" si="19"/>
        <v>АСУЭ.TOR_VV.wTN_FU</v>
      </c>
      <c r="B190" s="11">
        <v>3</v>
      </c>
      <c r="C190" s="11" t="s">
        <v>1</v>
      </c>
      <c r="D190" s="20">
        <v>192</v>
      </c>
    </row>
    <row r="191" spans="1:16">
      <c r="A191" s="19" t="str">
        <f t="shared" si="19"/>
        <v>АСУЭ.TOR_VV.wTN_FU</v>
      </c>
      <c r="B191" s="11">
        <v>2</v>
      </c>
      <c r="C191" s="11" t="s">
        <v>2</v>
      </c>
      <c r="D191" s="20" t="s">
        <v>3</v>
      </c>
    </row>
    <row r="192" spans="1:16">
      <c r="A192" s="19" t="str">
        <f t="shared" si="19"/>
        <v>АСУЭ.TOR_VV.wTN_FU</v>
      </c>
      <c r="B192" s="11">
        <v>1</v>
      </c>
      <c r="C192" s="11" t="s">
        <v>1</v>
      </c>
      <c r="D192" s="20">
        <v>11</v>
      </c>
    </row>
    <row r="193" spans="1:4">
      <c r="A193" s="217" t="str">
        <f>$R$2&amp;".NotConnected"</f>
        <v>АСУЭ.TOR_VV.NotConnected</v>
      </c>
      <c r="B193" s="218">
        <v>11154</v>
      </c>
      <c r="C193" s="218" t="s">
        <v>4</v>
      </c>
      <c r="D193" s="231">
        <f>$Q$7</f>
        <v>12</v>
      </c>
    </row>
    <row r="194" spans="1:4">
      <c r="A194" s="211" t="str">
        <f t="shared" ref="A194:A202" si="20">$R$2&amp;".NotConnected"</f>
        <v>АСУЭ.TOR_VV.NotConnected</v>
      </c>
      <c r="B194" s="212">
        <v>11152</v>
      </c>
      <c r="C194" s="212" t="s">
        <v>0</v>
      </c>
      <c r="D194" s="213" t="str">
        <f>$R$7</f>
        <v>Неисправность</v>
      </c>
    </row>
    <row r="195" spans="1:4">
      <c r="A195" s="211" t="str">
        <f t="shared" si="20"/>
        <v>АСУЭ.TOR_VV.NotConnected</v>
      </c>
      <c r="B195" s="212">
        <v>11150</v>
      </c>
      <c r="C195" s="212" t="s">
        <v>0</v>
      </c>
      <c r="D195" s="213" t="s">
        <v>448</v>
      </c>
    </row>
    <row r="196" spans="1:4">
      <c r="A196" s="211" t="str">
        <f t="shared" si="20"/>
        <v>АСУЭ.TOR_VV.NotConnected</v>
      </c>
      <c r="B196" s="212">
        <v>11000</v>
      </c>
      <c r="C196" s="212" t="s">
        <v>5</v>
      </c>
      <c r="D196" s="213">
        <v>2147483680</v>
      </c>
    </row>
    <row r="197" spans="1:4">
      <c r="A197" s="19" t="str">
        <f t="shared" si="20"/>
        <v>АСУЭ.TOR_VV.NotConnected</v>
      </c>
      <c r="B197" s="11">
        <v>7999</v>
      </c>
      <c r="C197" s="11" t="s">
        <v>0</v>
      </c>
      <c r="D197" s="20" t="str">
        <f>"#"&amp;$S$2&amp;"#"&amp;$T$2&amp;"."&amp;$P$2&amp;".NotConnected"</f>
        <v>#3#\\Setup_rza\Modbus.OPCServer\ZRU_Sepam.VV1_TOR.NotConnected</v>
      </c>
    </row>
    <row r="198" spans="1:4">
      <c r="A198" s="19" t="str">
        <f t="shared" si="20"/>
        <v>АСУЭ.TOR_VV.NotConnected</v>
      </c>
      <c r="B198" s="11">
        <v>7998</v>
      </c>
      <c r="C198" s="11" t="s">
        <v>6</v>
      </c>
      <c r="D198" s="20">
        <v>1</v>
      </c>
    </row>
    <row r="199" spans="1:4">
      <c r="A199" s="19" t="str">
        <f t="shared" si="20"/>
        <v>АСУЭ.TOR_VV.NotConnected</v>
      </c>
      <c r="B199" s="11">
        <v>101</v>
      </c>
      <c r="C199" s="11" t="s">
        <v>0</v>
      </c>
      <c r="D199" s="20" t="s">
        <v>448</v>
      </c>
    </row>
    <row r="200" spans="1:4">
      <c r="A200" s="19" t="str">
        <f t="shared" si="20"/>
        <v>АСУЭ.TOR_VV.NotConnected</v>
      </c>
      <c r="B200" s="11">
        <v>3</v>
      </c>
      <c r="C200" s="11" t="s">
        <v>1</v>
      </c>
      <c r="D200" s="20">
        <v>192</v>
      </c>
    </row>
    <row r="201" spans="1:4">
      <c r="A201" s="19" t="str">
        <f t="shared" si="20"/>
        <v>АСУЭ.TOR_VV.NotConnected</v>
      </c>
      <c r="B201" s="11">
        <v>2</v>
      </c>
      <c r="C201" s="11" t="s">
        <v>2</v>
      </c>
      <c r="D201" s="20" t="s">
        <v>3</v>
      </c>
    </row>
    <row r="202" spans="1:4">
      <c r="A202" s="21" t="str">
        <f t="shared" si="20"/>
        <v>АСУЭ.TOR_VV.NotConnected</v>
      </c>
      <c r="B202" s="8">
        <v>1</v>
      </c>
      <c r="C202" s="8" t="s">
        <v>1</v>
      </c>
      <c r="D202" s="22">
        <v>11</v>
      </c>
    </row>
    <row r="203" spans="1:4">
      <c r="A203" s="211" t="str">
        <f t="shared" ref="A203:A210" si="21">$R$2&amp;".wNotOff"</f>
        <v>АСУЭ.TOR_VV.wNotOff</v>
      </c>
      <c r="B203" s="212">
        <v>11154</v>
      </c>
      <c r="C203" s="212" t="s">
        <v>4</v>
      </c>
      <c r="D203" s="213">
        <f>$Q$7</f>
        <v>12</v>
      </c>
    </row>
    <row r="204" spans="1:4">
      <c r="A204" s="211" t="str">
        <f t="shared" si="21"/>
        <v>АСУЭ.TOR_VV.wNotOff</v>
      </c>
      <c r="B204" s="212">
        <v>11152</v>
      </c>
      <c r="C204" s="212" t="s">
        <v>0</v>
      </c>
      <c r="D204" s="213" t="str">
        <f>$R$7</f>
        <v>Неисправность</v>
      </c>
    </row>
    <row r="205" spans="1:4">
      <c r="A205" s="211" t="str">
        <f t="shared" si="21"/>
        <v>АСУЭ.TOR_VV.wNotOff</v>
      </c>
      <c r="B205" s="212">
        <v>11150</v>
      </c>
      <c r="C205" s="212" t="s">
        <v>0</v>
      </c>
      <c r="D205" s="213" t="s">
        <v>339</v>
      </c>
    </row>
    <row r="206" spans="1:4">
      <c r="A206" s="211" t="str">
        <f t="shared" si="21"/>
        <v>АСУЭ.TOR_VV.wNotOff</v>
      </c>
      <c r="B206" s="212">
        <v>11000</v>
      </c>
      <c r="C206" s="212" t="s">
        <v>5</v>
      </c>
      <c r="D206" s="213">
        <v>2147483680</v>
      </c>
    </row>
    <row r="207" spans="1:4">
      <c r="A207" s="19" t="str">
        <f t="shared" si="21"/>
        <v>АСУЭ.TOR_VV.wNotOff</v>
      </c>
      <c r="B207" s="11">
        <v>101</v>
      </c>
      <c r="C207" s="11" t="s">
        <v>0</v>
      </c>
      <c r="D207" s="20" t="s">
        <v>339</v>
      </c>
    </row>
    <row r="208" spans="1:4">
      <c r="A208" s="19" t="str">
        <f t="shared" si="21"/>
        <v>АСУЭ.TOR_VV.wNotOff</v>
      </c>
      <c r="B208" s="11">
        <v>3</v>
      </c>
      <c r="C208" s="11" t="s">
        <v>1</v>
      </c>
      <c r="D208" s="20">
        <v>192</v>
      </c>
    </row>
    <row r="209" spans="1:4">
      <c r="A209" s="19" t="str">
        <f t="shared" si="21"/>
        <v>АСУЭ.TOR_VV.wNotOff</v>
      </c>
      <c r="B209" s="11">
        <v>2</v>
      </c>
      <c r="C209" s="11" t="s">
        <v>2</v>
      </c>
      <c r="D209" s="20" t="s">
        <v>3</v>
      </c>
    </row>
    <row r="210" spans="1:4">
      <c r="A210" s="21" t="str">
        <f t="shared" si="21"/>
        <v>АСУЭ.TOR_VV.wNotOff</v>
      </c>
      <c r="B210" s="8">
        <v>1</v>
      </c>
      <c r="C210" s="8" t="s">
        <v>1</v>
      </c>
      <c r="D210" s="22">
        <v>11</v>
      </c>
    </row>
    <row r="211" spans="1:4">
      <c r="A211" s="211" t="str">
        <f t="shared" ref="A211:A218" si="22">$R$2&amp;".wNotOn"</f>
        <v>АСУЭ.TOR_VV.wNotOn</v>
      </c>
      <c r="B211" s="212">
        <v>11154</v>
      </c>
      <c r="C211" s="212" t="s">
        <v>4</v>
      </c>
      <c r="D211" s="213">
        <f>$Q$7</f>
        <v>12</v>
      </c>
    </row>
    <row r="212" spans="1:4">
      <c r="A212" s="211" t="str">
        <f t="shared" si="22"/>
        <v>АСУЭ.TOR_VV.wNotOn</v>
      </c>
      <c r="B212" s="212">
        <v>11152</v>
      </c>
      <c r="C212" s="212" t="s">
        <v>0</v>
      </c>
      <c r="D212" s="213" t="str">
        <f>$R$7</f>
        <v>Неисправность</v>
      </c>
    </row>
    <row r="213" spans="1:4">
      <c r="A213" s="211" t="str">
        <f t="shared" si="22"/>
        <v>АСУЭ.TOR_VV.wNotOn</v>
      </c>
      <c r="B213" s="212">
        <v>11150</v>
      </c>
      <c r="C213" s="212" t="s">
        <v>0</v>
      </c>
      <c r="D213" s="213" t="s">
        <v>340</v>
      </c>
    </row>
    <row r="214" spans="1:4">
      <c r="A214" s="211" t="str">
        <f t="shared" si="22"/>
        <v>АСУЭ.TOR_VV.wNotOn</v>
      </c>
      <c r="B214" s="212">
        <v>11000</v>
      </c>
      <c r="C214" s="212" t="s">
        <v>5</v>
      </c>
      <c r="D214" s="213">
        <v>2147483680</v>
      </c>
    </row>
    <row r="215" spans="1:4">
      <c r="A215" s="19" t="str">
        <f t="shared" si="22"/>
        <v>АСУЭ.TOR_VV.wNotOn</v>
      </c>
      <c r="B215" s="11">
        <v>101</v>
      </c>
      <c r="C215" s="11" t="s">
        <v>0</v>
      </c>
      <c r="D215" s="20" t="s">
        <v>340</v>
      </c>
    </row>
    <row r="216" spans="1:4">
      <c r="A216" s="19" t="str">
        <f t="shared" si="22"/>
        <v>АСУЭ.TOR_VV.wNotOn</v>
      </c>
      <c r="B216" s="11">
        <v>3</v>
      </c>
      <c r="C216" s="11" t="s">
        <v>1</v>
      </c>
      <c r="D216" s="20">
        <v>192</v>
      </c>
    </row>
    <row r="217" spans="1:4">
      <c r="A217" s="19" t="str">
        <f t="shared" si="22"/>
        <v>АСУЭ.TOR_VV.wNotOn</v>
      </c>
      <c r="B217" s="11">
        <v>2</v>
      </c>
      <c r="C217" s="11" t="s">
        <v>2</v>
      </c>
      <c r="D217" s="20" t="s">
        <v>3</v>
      </c>
    </row>
    <row r="218" spans="1:4">
      <c r="A218" s="21" t="str">
        <f t="shared" si="22"/>
        <v>АСУЭ.TOR_VV.wNotOn</v>
      </c>
      <c r="B218" s="8">
        <v>1</v>
      </c>
      <c r="C218" s="8" t="s">
        <v>1</v>
      </c>
      <c r="D218" s="22">
        <v>11</v>
      </c>
    </row>
    <row r="219" spans="1:4">
      <c r="A219" s="211" t="str">
        <f t="shared" ref="A219:A225" si="23">$R$2&amp;".wDbl"</f>
        <v>АСУЭ.TOR_VV.wDbl</v>
      </c>
      <c r="B219" s="212">
        <v>11154</v>
      </c>
      <c r="C219" s="212" t="s">
        <v>4</v>
      </c>
      <c r="D219" s="213">
        <f>$Q$7</f>
        <v>12</v>
      </c>
    </row>
    <row r="220" spans="1:4">
      <c r="A220" s="211" t="str">
        <f t="shared" si="23"/>
        <v>АСУЭ.TOR_VV.wDbl</v>
      </c>
      <c r="B220" s="212">
        <v>11152</v>
      </c>
      <c r="C220" s="212" t="s">
        <v>0</v>
      </c>
      <c r="D220" s="213" t="str">
        <f>$R$7</f>
        <v>Неисправность</v>
      </c>
    </row>
    <row r="221" spans="1:4">
      <c r="A221" s="211" t="str">
        <f t="shared" si="23"/>
        <v>АСУЭ.TOR_VV.wDbl</v>
      </c>
      <c r="B221" s="212">
        <v>11150</v>
      </c>
      <c r="C221" s="212" t="s">
        <v>0</v>
      </c>
      <c r="D221" s="213" t="s">
        <v>341</v>
      </c>
    </row>
    <row r="222" spans="1:4">
      <c r="A222" s="211" t="str">
        <f t="shared" si="23"/>
        <v>АСУЭ.TOR_VV.wDbl</v>
      </c>
      <c r="B222" s="212">
        <v>11000</v>
      </c>
      <c r="C222" s="212" t="s">
        <v>5</v>
      </c>
      <c r="D222" s="213">
        <v>2147483680</v>
      </c>
    </row>
    <row r="223" spans="1:4">
      <c r="A223" s="19" t="str">
        <f t="shared" si="23"/>
        <v>АСУЭ.TOR_VV.wDbl</v>
      </c>
      <c r="B223" s="11">
        <v>3</v>
      </c>
      <c r="C223" s="11" t="s">
        <v>1</v>
      </c>
      <c r="D223" s="20">
        <v>192</v>
      </c>
    </row>
    <row r="224" spans="1:4" ht="15.75" customHeight="1">
      <c r="A224" s="19" t="str">
        <f t="shared" si="23"/>
        <v>АСУЭ.TOR_VV.wDbl</v>
      </c>
      <c r="B224" s="11">
        <v>2</v>
      </c>
      <c r="C224" s="11" t="s">
        <v>2</v>
      </c>
      <c r="D224" s="20" t="s">
        <v>3</v>
      </c>
    </row>
    <row r="225" spans="1:4">
      <c r="A225" s="21" t="str">
        <f t="shared" si="23"/>
        <v>АСУЭ.TOR_VV.wDbl</v>
      </c>
      <c r="B225" s="8">
        <v>1</v>
      </c>
      <c r="C225" s="8" t="s">
        <v>1</v>
      </c>
      <c r="D225" s="22">
        <v>11</v>
      </c>
    </row>
    <row r="226" spans="1:4">
      <c r="A226" s="211" t="str">
        <f t="shared" ref="A226:A232" si="24">$R$2&amp;".wUnkw"</f>
        <v>АСУЭ.TOR_VV.wUnkw</v>
      </c>
      <c r="B226" s="212">
        <v>11154</v>
      </c>
      <c r="C226" s="212" t="s">
        <v>4</v>
      </c>
      <c r="D226" s="213">
        <f>$Q$7</f>
        <v>12</v>
      </c>
    </row>
    <row r="227" spans="1:4">
      <c r="A227" s="211" t="str">
        <f t="shared" si="24"/>
        <v>АСУЭ.TOR_VV.wUnkw</v>
      </c>
      <c r="B227" s="212">
        <v>11152</v>
      </c>
      <c r="C227" s="212" t="s">
        <v>0</v>
      </c>
      <c r="D227" s="213" t="str">
        <f>$R$7</f>
        <v>Неисправность</v>
      </c>
    </row>
    <row r="228" spans="1:4">
      <c r="A228" s="211" t="str">
        <f t="shared" si="24"/>
        <v>АСУЭ.TOR_VV.wUnkw</v>
      </c>
      <c r="B228" s="212">
        <v>11150</v>
      </c>
      <c r="C228" s="212" t="s">
        <v>0</v>
      </c>
      <c r="D228" s="213" t="s">
        <v>342</v>
      </c>
    </row>
    <row r="229" spans="1:4">
      <c r="A229" s="211" t="str">
        <f t="shared" si="24"/>
        <v>АСУЭ.TOR_VV.wUnkw</v>
      </c>
      <c r="B229" s="212">
        <v>11000</v>
      </c>
      <c r="C229" s="212" t="s">
        <v>5</v>
      </c>
      <c r="D229" s="213">
        <v>2147483680</v>
      </c>
    </row>
    <row r="230" spans="1:4">
      <c r="A230" s="19" t="str">
        <f t="shared" si="24"/>
        <v>АСУЭ.TOR_VV.wUnkw</v>
      </c>
      <c r="B230" s="11">
        <v>3</v>
      </c>
      <c r="C230" s="11" t="s">
        <v>1</v>
      </c>
      <c r="D230" s="20">
        <v>192</v>
      </c>
    </row>
    <row r="231" spans="1:4">
      <c r="A231" s="19" t="str">
        <f t="shared" si="24"/>
        <v>АСУЭ.TOR_VV.wUnkw</v>
      </c>
      <c r="B231" s="11">
        <v>2</v>
      </c>
      <c r="C231" s="11" t="s">
        <v>2</v>
      </c>
      <c r="D231" s="20" t="s">
        <v>3</v>
      </c>
    </row>
    <row r="232" spans="1:4">
      <c r="A232" s="21" t="str">
        <f t="shared" si="24"/>
        <v>АСУЭ.TOR_VV.wUnkw</v>
      </c>
      <c r="B232" s="8">
        <v>1</v>
      </c>
      <c r="C232" s="8" t="s">
        <v>1</v>
      </c>
      <c r="D232" s="22">
        <v>11</v>
      </c>
    </row>
    <row r="233" spans="1:4">
      <c r="A233" s="19" t="str">
        <f t="shared" ref="A233:A244" si="25">$R$2&amp;".stOff"</f>
        <v>АСУЭ.TOR_VV.stOff</v>
      </c>
      <c r="B233" s="11">
        <v>7000000</v>
      </c>
      <c r="C233" s="11" t="s">
        <v>6</v>
      </c>
      <c r="D233" s="20">
        <v>1</v>
      </c>
    </row>
    <row r="234" spans="1:4" ht="28.8">
      <c r="A234" s="19" t="str">
        <f t="shared" si="25"/>
        <v>АСУЭ.TOR_VV.stOff</v>
      </c>
      <c r="B234" s="11">
        <v>4000000</v>
      </c>
      <c r="C234" s="11" t="s">
        <v>0</v>
      </c>
      <c r="D234" s="72" t="s">
        <v>396</v>
      </c>
    </row>
    <row r="235" spans="1:4">
      <c r="A235" s="100" t="str">
        <f t="shared" si="25"/>
        <v>АСУЭ.TOR_VV.stOff</v>
      </c>
      <c r="B235" s="101">
        <v>11154</v>
      </c>
      <c r="C235" s="101" t="s">
        <v>4</v>
      </c>
      <c r="D235" s="102">
        <f>$Q$8</f>
        <v>18</v>
      </c>
    </row>
    <row r="236" spans="1:4" ht="15.75" customHeight="1">
      <c r="A236" s="100" t="str">
        <f t="shared" si="25"/>
        <v>АСУЭ.TOR_VV.stOff</v>
      </c>
      <c r="B236" s="101">
        <v>11150</v>
      </c>
      <c r="C236" s="101" t="s">
        <v>0</v>
      </c>
      <c r="D236" s="103" t="s">
        <v>336</v>
      </c>
    </row>
    <row r="237" spans="1:4">
      <c r="A237" s="100" t="str">
        <f t="shared" si="25"/>
        <v>АСУЭ.TOR_VV.stOff</v>
      </c>
      <c r="B237" s="101">
        <v>11152</v>
      </c>
      <c r="C237" s="101" t="s">
        <v>0</v>
      </c>
      <c r="D237" s="104" t="str">
        <f>$R$8</f>
        <v>Телесигнализация</v>
      </c>
    </row>
    <row r="238" spans="1:4">
      <c r="A238" s="100" t="str">
        <f t="shared" si="25"/>
        <v>АСУЭ.TOR_VV.stOff</v>
      </c>
      <c r="B238" s="101">
        <v>11000</v>
      </c>
      <c r="C238" s="101" t="s">
        <v>5</v>
      </c>
      <c r="D238" s="103">
        <v>2147483680</v>
      </c>
    </row>
    <row r="239" spans="1:4">
      <c r="A239" s="19" t="str">
        <f t="shared" si="25"/>
        <v>АСУЭ.TOR_VV.stOff</v>
      </c>
      <c r="B239" s="11">
        <v>7999</v>
      </c>
      <c r="C239" s="11" t="s">
        <v>0</v>
      </c>
      <c r="D239" s="20" t="str">
        <f>"#"&amp;$S$2&amp;"#"&amp;$T$2&amp;"."&amp;$P$2&amp;".stOff"</f>
        <v>#3#\\Setup_rza\Modbus.OPCServer\ZRU_Sepam.VV1_TOR.stOff</v>
      </c>
    </row>
    <row r="240" spans="1:4">
      <c r="A240" s="19" t="str">
        <f t="shared" si="25"/>
        <v>АСУЭ.TOR_VV.stOff</v>
      </c>
      <c r="B240" s="11">
        <v>7998</v>
      </c>
      <c r="C240" s="11" t="s">
        <v>6</v>
      </c>
      <c r="D240" s="20">
        <v>1</v>
      </c>
    </row>
    <row r="241" spans="1:4">
      <c r="A241" s="19" t="str">
        <f t="shared" si="25"/>
        <v>АСУЭ.TOR_VV.stOff</v>
      </c>
      <c r="B241" s="11">
        <v>101</v>
      </c>
      <c r="C241" s="11" t="s">
        <v>0</v>
      </c>
      <c r="D241" s="20" t="s">
        <v>336</v>
      </c>
    </row>
    <row r="242" spans="1:4">
      <c r="A242" s="19" t="str">
        <f t="shared" si="25"/>
        <v>АСУЭ.TOR_VV.stOff</v>
      </c>
      <c r="B242" s="11">
        <v>3</v>
      </c>
      <c r="C242" s="11" t="s">
        <v>1</v>
      </c>
      <c r="D242" s="20">
        <v>192</v>
      </c>
    </row>
    <row r="243" spans="1:4">
      <c r="A243" s="19" t="str">
        <f t="shared" si="25"/>
        <v>АСУЭ.TOR_VV.stOff</v>
      </c>
      <c r="B243" s="11">
        <v>2</v>
      </c>
      <c r="C243" s="11" t="s">
        <v>2</v>
      </c>
      <c r="D243" s="20" t="s">
        <v>3</v>
      </c>
    </row>
    <row r="244" spans="1:4">
      <c r="A244" s="21" t="str">
        <f t="shared" si="25"/>
        <v>АСУЭ.TOR_VV.stOff</v>
      </c>
      <c r="B244" s="8">
        <v>1</v>
      </c>
      <c r="C244" s="8" t="s">
        <v>1</v>
      </c>
      <c r="D244" s="22">
        <v>11</v>
      </c>
    </row>
    <row r="245" spans="1:4">
      <c r="A245" s="19" t="str">
        <f t="shared" ref="A245:A256" si="26">$R$2&amp;".stOn"</f>
        <v>АСУЭ.TOR_VV.stOn</v>
      </c>
      <c r="B245" s="11">
        <v>7000000</v>
      </c>
      <c r="C245" s="11" t="s">
        <v>6</v>
      </c>
      <c r="D245" s="20">
        <v>1</v>
      </c>
    </row>
    <row r="246" spans="1:4" ht="28.8">
      <c r="A246" s="19" t="str">
        <f t="shared" si="26"/>
        <v>АСУЭ.TOR_VV.stOn</v>
      </c>
      <c r="B246" s="11">
        <v>4000000</v>
      </c>
      <c r="C246" s="11" t="s">
        <v>0</v>
      </c>
      <c r="D246" s="72" t="s">
        <v>396</v>
      </c>
    </row>
    <row r="247" spans="1:4">
      <c r="A247" s="100" t="str">
        <f t="shared" si="26"/>
        <v>АСУЭ.TOR_VV.stOn</v>
      </c>
      <c r="B247" s="101">
        <v>11154</v>
      </c>
      <c r="C247" s="101" t="s">
        <v>4</v>
      </c>
      <c r="D247" s="102">
        <f>$Q$8</f>
        <v>18</v>
      </c>
    </row>
    <row r="248" spans="1:4">
      <c r="A248" s="100" t="str">
        <f t="shared" si="26"/>
        <v>АСУЭ.TOR_VV.stOn</v>
      </c>
      <c r="B248" s="101">
        <v>11150</v>
      </c>
      <c r="C248" s="101" t="s">
        <v>0</v>
      </c>
      <c r="D248" s="103" t="s">
        <v>337</v>
      </c>
    </row>
    <row r="249" spans="1:4">
      <c r="A249" s="100" t="str">
        <f t="shared" si="26"/>
        <v>АСУЭ.TOR_VV.stOn</v>
      </c>
      <c r="B249" s="101">
        <v>11152</v>
      </c>
      <c r="C249" s="101" t="s">
        <v>0</v>
      </c>
      <c r="D249" s="104" t="str">
        <f>$R$8</f>
        <v>Телесигнализация</v>
      </c>
    </row>
    <row r="250" spans="1:4">
      <c r="A250" s="100" t="str">
        <f t="shared" si="26"/>
        <v>АСУЭ.TOR_VV.stOn</v>
      </c>
      <c r="B250" s="101">
        <v>11000</v>
      </c>
      <c r="C250" s="101" t="s">
        <v>5</v>
      </c>
      <c r="D250" s="103">
        <v>2147483680</v>
      </c>
    </row>
    <row r="251" spans="1:4">
      <c r="A251" s="19" t="str">
        <f t="shared" si="26"/>
        <v>АСУЭ.TOR_VV.stOn</v>
      </c>
      <c r="B251" s="11">
        <v>7999</v>
      </c>
      <c r="C251" s="11" t="s">
        <v>0</v>
      </c>
      <c r="D251" s="20" t="str">
        <f>"#"&amp;$S$2&amp;"#"&amp;$T$2&amp;"."&amp;$P$2&amp;".stOn"</f>
        <v>#3#\\Setup_rza\Modbus.OPCServer\ZRU_Sepam.VV1_TOR.stOn</v>
      </c>
    </row>
    <row r="252" spans="1:4">
      <c r="A252" s="19" t="str">
        <f t="shared" si="26"/>
        <v>АСУЭ.TOR_VV.stOn</v>
      </c>
      <c r="B252" s="11">
        <v>7998</v>
      </c>
      <c r="C252" s="11" t="s">
        <v>6</v>
      </c>
      <c r="D252" s="20">
        <v>1</v>
      </c>
    </row>
    <row r="253" spans="1:4">
      <c r="A253" s="19" t="str">
        <f>$R$2&amp;".stOn"</f>
        <v>АСУЭ.TOR_VV.stOn</v>
      </c>
      <c r="B253" s="11">
        <v>101</v>
      </c>
      <c r="C253" s="11" t="s">
        <v>0</v>
      </c>
      <c r="D253" s="20" t="s">
        <v>337</v>
      </c>
    </row>
    <row r="254" spans="1:4">
      <c r="A254" s="19" t="str">
        <f t="shared" si="26"/>
        <v>АСУЭ.TOR_VV.stOn</v>
      </c>
      <c r="B254" s="11">
        <v>3</v>
      </c>
      <c r="C254" s="11" t="s">
        <v>1</v>
      </c>
      <c r="D254" s="20">
        <v>192</v>
      </c>
    </row>
    <row r="255" spans="1:4">
      <c r="A255" s="19" t="str">
        <f t="shared" si="26"/>
        <v>АСУЭ.TOR_VV.stOn</v>
      </c>
      <c r="B255" s="11">
        <v>2</v>
      </c>
      <c r="C255" s="11" t="s">
        <v>2</v>
      </c>
      <c r="D255" s="20" t="s">
        <v>3</v>
      </c>
    </row>
    <row r="256" spans="1:4">
      <c r="A256" s="21" t="str">
        <f t="shared" si="26"/>
        <v>АСУЭ.TOR_VV.stOn</v>
      </c>
      <c r="B256" s="8">
        <v>1</v>
      </c>
      <c r="C256" s="8" t="s">
        <v>1</v>
      </c>
      <c r="D256" s="22">
        <v>11</v>
      </c>
    </row>
    <row r="257" spans="1:4">
      <c r="A257" s="159" t="str">
        <f>$R$2&amp;".stLoc"</f>
        <v>АСУЭ.TOR_VV.stLoc</v>
      </c>
      <c r="B257" s="160">
        <v>11154</v>
      </c>
      <c r="C257" s="160" t="s">
        <v>4</v>
      </c>
      <c r="D257" s="686">
        <f>$Q$6</f>
        <v>8</v>
      </c>
    </row>
    <row r="258" spans="1:4">
      <c r="A258" s="100" t="str">
        <f t="shared" ref="A258:A266" si="27">$R$2&amp;".stLoc"</f>
        <v>АСУЭ.TOR_VV.stLoc</v>
      </c>
      <c r="B258" s="101">
        <v>11152</v>
      </c>
      <c r="C258" s="101" t="s">
        <v>0</v>
      </c>
      <c r="D258" s="761" t="str">
        <f>$R$8</f>
        <v>Телесигнализация</v>
      </c>
    </row>
    <row r="259" spans="1:4">
      <c r="A259" s="100" t="str">
        <f t="shared" si="27"/>
        <v>АСУЭ.TOR_VV.stLoc</v>
      </c>
      <c r="B259" s="101">
        <v>11150</v>
      </c>
      <c r="C259" s="101" t="s">
        <v>0</v>
      </c>
      <c r="D259" s="103" t="s">
        <v>2787</v>
      </c>
    </row>
    <row r="260" spans="1:4">
      <c r="A260" s="100" t="str">
        <f t="shared" si="27"/>
        <v>АСУЭ.TOR_VV.stLoc</v>
      </c>
      <c r="B260" s="101">
        <v>11000</v>
      </c>
      <c r="C260" s="101" t="s">
        <v>5</v>
      </c>
      <c r="D260" s="103">
        <v>0</v>
      </c>
    </row>
    <row r="261" spans="1:4">
      <c r="A261" s="29" t="str">
        <f t="shared" si="27"/>
        <v>АСУЭ.TOR_VV.stLoc</v>
      </c>
      <c r="B261" s="1">
        <v>7999</v>
      </c>
      <c r="C261" s="1" t="s">
        <v>0</v>
      </c>
      <c r="D261" s="30" t="str">
        <f>"#"&amp;$S$2&amp;"#"&amp;$T$2&amp;"."&amp;$P$2&amp;".stLoc"</f>
        <v>#3#\\Setup_rza\Modbus.OPCServer\ZRU_Sepam.VV1_TOR.stLoc</v>
      </c>
    </row>
    <row r="262" spans="1:4">
      <c r="A262" s="29" t="str">
        <f t="shared" si="27"/>
        <v>АСУЭ.TOR_VV.stLoc</v>
      </c>
      <c r="B262" s="1">
        <v>7998</v>
      </c>
      <c r="C262" s="1" t="s">
        <v>6</v>
      </c>
      <c r="D262" s="30">
        <v>1</v>
      </c>
    </row>
    <row r="263" spans="1:4">
      <c r="A263" s="29" t="str">
        <f t="shared" si="27"/>
        <v>АСУЭ.TOR_VV.stLoc</v>
      </c>
      <c r="B263" s="1">
        <v>101</v>
      </c>
      <c r="C263" s="1" t="s">
        <v>0</v>
      </c>
      <c r="D263" s="30" t="s">
        <v>2787</v>
      </c>
    </row>
    <row r="264" spans="1:4">
      <c r="A264" s="29" t="str">
        <f t="shared" si="27"/>
        <v>АСУЭ.TOR_VV.stLoc</v>
      </c>
      <c r="B264" s="1">
        <v>3</v>
      </c>
      <c r="C264" s="1" t="s">
        <v>1</v>
      </c>
      <c r="D264" s="30">
        <v>192</v>
      </c>
    </row>
    <row r="265" spans="1:4">
      <c r="A265" s="29" t="str">
        <f t="shared" si="27"/>
        <v>АСУЭ.TOR_VV.stLoc</v>
      </c>
      <c r="B265" s="1">
        <v>2</v>
      </c>
      <c r="C265" s="1" t="s">
        <v>2</v>
      </c>
      <c r="D265" s="30" t="s">
        <v>175</v>
      </c>
    </row>
    <row r="266" spans="1:4">
      <c r="A266" s="26" t="str">
        <f t="shared" si="27"/>
        <v>АСУЭ.TOR_VV.stLoc</v>
      </c>
      <c r="B266" s="27">
        <v>1</v>
      </c>
      <c r="C266" s="27" t="s">
        <v>1</v>
      </c>
      <c r="D266" s="28">
        <v>11</v>
      </c>
    </row>
    <row r="267" spans="1:4">
      <c r="A267" s="100" t="str">
        <f>$R$2&amp;".stBan_TU"</f>
        <v>АСУЭ.TOR_VV.stBan_TU</v>
      </c>
      <c r="B267" s="101">
        <v>11154</v>
      </c>
      <c r="C267" s="101" t="s">
        <v>4</v>
      </c>
      <c r="D267" s="102">
        <f>$Q$8</f>
        <v>18</v>
      </c>
    </row>
    <row r="268" spans="1:4">
      <c r="A268" s="100" t="str">
        <f t="shared" ref="A268:A276" si="28">$R$2&amp;".stBan_TU"</f>
        <v>АСУЭ.TOR_VV.stBan_TU</v>
      </c>
      <c r="B268" s="101">
        <v>11150</v>
      </c>
      <c r="C268" s="101" t="s">
        <v>0</v>
      </c>
      <c r="D268" s="103" t="s">
        <v>2855</v>
      </c>
    </row>
    <row r="269" spans="1:4">
      <c r="A269" s="100" t="str">
        <f t="shared" si="28"/>
        <v>АСУЭ.TOR_VV.stBan_TU</v>
      </c>
      <c r="B269" s="101">
        <v>11152</v>
      </c>
      <c r="C269" s="101" t="s">
        <v>0</v>
      </c>
      <c r="D269" s="104" t="str">
        <f>$R$8</f>
        <v>Телесигнализация</v>
      </c>
    </row>
    <row r="270" spans="1:4">
      <c r="A270" s="100" t="str">
        <f t="shared" si="28"/>
        <v>АСУЭ.TOR_VV.stBan_TU</v>
      </c>
      <c r="B270" s="101">
        <v>11000</v>
      </c>
      <c r="C270" s="101" t="s">
        <v>5</v>
      </c>
      <c r="D270" s="103">
        <v>2147483680</v>
      </c>
    </row>
    <row r="271" spans="1:4">
      <c r="A271" s="19" t="str">
        <f t="shared" si="28"/>
        <v>АСУЭ.TOR_VV.stBan_TU</v>
      </c>
      <c r="B271" s="11">
        <v>7999</v>
      </c>
      <c r="C271" s="11" t="s">
        <v>0</v>
      </c>
      <c r="D271" s="20" t="str">
        <f>"#"&amp;$S$2&amp;"#"&amp;$T$2&amp;"."&amp;$P$2&amp;".stBan_TU"</f>
        <v>#3#\\Setup_rza\Modbus.OPCServer\ZRU_Sepam.VV1_TOR.stBan_TU</v>
      </c>
    </row>
    <row r="272" spans="1:4">
      <c r="A272" s="19" t="str">
        <f t="shared" si="28"/>
        <v>АСУЭ.TOR_VV.stBan_TU</v>
      </c>
      <c r="B272" s="11">
        <v>7998</v>
      </c>
      <c r="C272" s="11" t="s">
        <v>6</v>
      </c>
      <c r="D272" s="20">
        <v>1</v>
      </c>
    </row>
    <row r="273" spans="1:4">
      <c r="A273" s="19" t="str">
        <f t="shared" si="28"/>
        <v>АСУЭ.TOR_VV.stBan_TU</v>
      </c>
      <c r="B273" s="11">
        <v>101</v>
      </c>
      <c r="C273" s="11" t="s">
        <v>0</v>
      </c>
      <c r="D273" s="20" t="s">
        <v>2855</v>
      </c>
    </row>
    <row r="274" spans="1:4">
      <c r="A274" s="19" t="str">
        <f t="shared" si="28"/>
        <v>АСУЭ.TOR_VV.stBan_TU</v>
      </c>
      <c r="B274" s="11">
        <v>3</v>
      </c>
      <c r="C274" s="11" t="s">
        <v>1</v>
      </c>
      <c r="D274" s="20">
        <v>192</v>
      </c>
    </row>
    <row r="275" spans="1:4">
      <c r="A275" s="19" t="str">
        <f t="shared" si="28"/>
        <v>АСУЭ.TOR_VV.stBan_TU</v>
      </c>
      <c r="B275" s="11">
        <v>2</v>
      </c>
      <c r="C275" s="11" t="s">
        <v>2</v>
      </c>
      <c r="D275" s="20" t="s">
        <v>3</v>
      </c>
    </row>
    <row r="276" spans="1:4">
      <c r="A276" s="21" t="str">
        <f t="shared" si="28"/>
        <v>АСУЭ.TOR_VV.stBan_TU</v>
      </c>
      <c r="B276" s="8">
        <v>1</v>
      </c>
      <c r="C276" s="8" t="s">
        <v>1</v>
      </c>
      <c r="D276" s="22">
        <v>11</v>
      </c>
    </row>
    <row r="277" spans="1:4">
      <c r="A277" s="100" t="str">
        <f>$R$2&amp;".stMotorOff"</f>
        <v>АСУЭ.TOR_VV.stMotorOff</v>
      </c>
      <c r="B277" s="101">
        <v>11154</v>
      </c>
      <c r="C277" s="101" t="s">
        <v>4</v>
      </c>
      <c r="D277" s="102">
        <f>$Q$8</f>
        <v>18</v>
      </c>
    </row>
    <row r="278" spans="1:4">
      <c r="A278" s="100" t="str">
        <f t="shared" ref="A278:A286" si="29">$R$2&amp;".stMotorOff"</f>
        <v>АСУЭ.TOR_VV.stMotorOff</v>
      </c>
      <c r="B278" s="101">
        <v>11150</v>
      </c>
      <c r="C278" s="101" t="s">
        <v>0</v>
      </c>
      <c r="D278" s="103" t="s">
        <v>2788</v>
      </c>
    </row>
    <row r="279" spans="1:4">
      <c r="A279" s="100" t="str">
        <f t="shared" si="29"/>
        <v>АСУЭ.TOR_VV.stMotorOff</v>
      </c>
      <c r="B279" s="101">
        <v>11152</v>
      </c>
      <c r="C279" s="101" t="s">
        <v>0</v>
      </c>
      <c r="D279" s="104" t="str">
        <f>$R$8</f>
        <v>Телесигнализация</v>
      </c>
    </row>
    <row r="280" spans="1:4">
      <c r="A280" s="100" t="str">
        <f t="shared" si="29"/>
        <v>АСУЭ.TOR_VV.stMotorOff</v>
      </c>
      <c r="B280" s="101">
        <v>11000</v>
      </c>
      <c r="C280" s="101" t="s">
        <v>5</v>
      </c>
      <c r="D280" s="103">
        <v>2147483680</v>
      </c>
    </row>
    <row r="281" spans="1:4">
      <c r="A281" s="19" t="str">
        <f t="shared" si="29"/>
        <v>АСУЭ.TOR_VV.stMotorOff</v>
      </c>
      <c r="B281" s="11">
        <v>7999</v>
      </c>
      <c r="C281" s="11" t="s">
        <v>0</v>
      </c>
      <c r="D281" s="20" t="str">
        <f>"#"&amp;$S$2&amp;"#"&amp;$T$2&amp;"."&amp;$P$2&amp;".stMotorOff"</f>
        <v>#3#\\Setup_rza\Modbus.OPCServer\ZRU_Sepam.VV1_TOR.stMotorOff</v>
      </c>
    </row>
    <row r="282" spans="1:4">
      <c r="A282" s="19" t="str">
        <f t="shared" si="29"/>
        <v>АСУЭ.TOR_VV.stMotorOff</v>
      </c>
      <c r="B282" s="11">
        <v>7998</v>
      </c>
      <c r="C282" s="11" t="s">
        <v>6</v>
      </c>
      <c r="D282" s="20">
        <v>1</v>
      </c>
    </row>
    <row r="283" spans="1:4">
      <c r="A283" s="19" t="str">
        <f t="shared" si="29"/>
        <v>АСУЭ.TOR_VV.stMotorOff</v>
      </c>
      <c r="B283" s="11">
        <v>101</v>
      </c>
      <c r="C283" s="11" t="s">
        <v>0</v>
      </c>
      <c r="D283" s="20" t="s">
        <v>2788</v>
      </c>
    </row>
    <row r="284" spans="1:4">
      <c r="A284" s="19" t="str">
        <f t="shared" si="29"/>
        <v>АСУЭ.TOR_VV.stMotorOff</v>
      </c>
      <c r="B284" s="11">
        <v>3</v>
      </c>
      <c r="C284" s="11" t="s">
        <v>1</v>
      </c>
      <c r="D284" s="20">
        <v>192</v>
      </c>
    </row>
    <row r="285" spans="1:4">
      <c r="A285" s="19" t="str">
        <f t="shared" si="29"/>
        <v>АСУЭ.TOR_VV.stMotorOff</v>
      </c>
      <c r="B285" s="11">
        <v>2</v>
      </c>
      <c r="C285" s="11" t="s">
        <v>2</v>
      </c>
      <c r="D285" s="20" t="s">
        <v>3</v>
      </c>
    </row>
    <row r="286" spans="1:4">
      <c r="A286" s="21" t="str">
        <f t="shared" si="29"/>
        <v>АСУЭ.TOR_VV.stMotorOff</v>
      </c>
      <c r="B286" s="8">
        <v>1</v>
      </c>
      <c r="C286" s="8" t="s">
        <v>1</v>
      </c>
      <c r="D286" s="22">
        <v>11</v>
      </c>
    </row>
    <row r="287" spans="1:4">
      <c r="A287" s="100" t="str">
        <f>$R$2&amp;".stCircuitOnFlt"</f>
        <v>АСУЭ.TOR_VV.stCircuitOnFlt</v>
      </c>
      <c r="B287" s="101">
        <v>11154</v>
      </c>
      <c r="C287" s="101" t="s">
        <v>4</v>
      </c>
      <c r="D287" s="102">
        <f>$Q$8</f>
        <v>18</v>
      </c>
    </row>
    <row r="288" spans="1:4">
      <c r="A288" s="100" t="str">
        <f t="shared" ref="A288:A296" si="30">$R$2&amp;".stCircuitOnFlt"</f>
        <v>АСУЭ.TOR_VV.stCircuitOnFlt</v>
      </c>
      <c r="B288" s="101">
        <v>11150</v>
      </c>
      <c r="C288" s="101" t="s">
        <v>0</v>
      </c>
      <c r="D288" s="103" t="s">
        <v>2789</v>
      </c>
    </row>
    <row r="289" spans="1:4">
      <c r="A289" s="100" t="str">
        <f t="shared" si="30"/>
        <v>АСУЭ.TOR_VV.stCircuitOnFlt</v>
      </c>
      <c r="B289" s="101">
        <v>11152</v>
      </c>
      <c r="C289" s="101" t="s">
        <v>0</v>
      </c>
      <c r="D289" s="104" t="str">
        <f>$R$8</f>
        <v>Телесигнализация</v>
      </c>
    </row>
    <row r="290" spans="1:4">
      <c r="A290" s="100" t="str">
        <f t="shared" si="30"/>
        <v>АСУЭ.TOR_VV.stCircuitOnFlt</v>
      </c>
      <c r="B290" s="101">
        <v>11000</v>
      </c>
      <c r="C290" s="101" t="s">
        <v>5</v>
      </c>
      <c r="D290" s="103">
        <v>2147483680</v>
      </c>
    </row>
    <row r="291" spans="1:4">
      <c r="A291" s="19" t="str">
        <f t="shared" si="30"/>
        <v>АСУЭ.TOR_VV.stCircuitOnFlt</v>
      </c>
      <c r="B291" s="11">
        <v>7999</v>
      </c>
      <c r="C291" s="11" t="s">
        <v>0</v>
      </c>
      <c r="D291" s="20" t="str">
        <f>"#"&amp;$S$2&amp;"#"&amp;$T$2&amp;"."&amp;$P$2&amp;".stCircuitOnFlt"</f>
        <v>#3#\\Setup_rza\Modbus.OPCServer\ZRU_Sepam.VV1_TOR.stCircuitOnFlt</v>
      </c>
    </row>
    <row r="292" spans="1:4">
      <c r="A292" s="19" t="str">
        <f t="shared" si="30"/>
        <v>АСУЭ.TOR_VV.stCircuitOnFlt</v>
      </c>
      <c r="B292" s="11">
        <v>7998</v>
      </c>
      <c r="C292" s="11" t="s">
        <v>6</v>
      </c>
      <c r="D292" s="20">
        <v>1</v>
      </c>
    </row>
    <row r="293" spans="1:4">
      <c r="A293" s="19" t="str">
        <f t="shared" si="30"/>
        <v>АСУЭ.TOR_VV.stCircuitOnFlt</v>
      </c>
      <c r="B293" s="11">
        <v>101</v>
      </c>
      <c r="C293" s="11" t="s">
        <v>0</v>
      </c>
      <c r="D293" s="20" t="s">
        <v>2789</v>
      </c>
    </row>
    <row r="294" spans="1:4">
      <c r="A294" s="19" t="str">
        <f t="shared" si="30"/>
        <v>АСУЭ.TOR_VV.stCircuitOnFlt</v>
      </c>
      <c r="B294" s="11">
        <v>3</v>
      </c>
      <c r="C294" s="11" t="s">
        <v>1</v>
      </c>
      <c r="D294" s="20">
        <v>192</v>
      </c>
    </row>
    <row r="295" spans="1:4">
      <c r="A295" s="19" t="str">
        <f t="shared" si="30"/>
        <v>АСУЭ.TOR_VV.stCircuitOnFlt</v>
      </c>
      <c r="B295" s="11">
        <v>2</v>
      </c>
      <c r="C295" s="11" t="s">
        <v>2</v>
      </c>
      <c r="D295" s="20" t="s">
        <v>3</v>
      </c>
    </row>
    <row r="296" spans="1:4">
      <c r="A296" s="21" t="str">
        <f t="shared" si="30"/>
        <v>АСУЭ.TOR_VV.stCircuitOnFlt</v>
      </c>
      <c r="B296" s="8">
        <v>1</v>
      </c>
      <c r="C296" s="8" t="s">
        <v>1</v>
      </c>
      <c r="D296" s="22">
        <v>11</v>
      </c>
    </row>
    <row r="297" spans="1:4">
      <c r="A297" s="100" t="str">
        <f>$R$2&amp;".stRPV"</f>
        <v>АСУЭ.TOR_VV.stRPV</v>
      </c>
      <c r="B297" s="101">
        <v>11154</v>
      </c>
      <c r="C297" s="101" t="s">
        <v>4</v>
      </c>
      <c r="D297" s="102">
        <f>$Q$8</f>
        <v>18</v>
      </c>
    </row>
    <row r="298" spans="1:4">
      <c r="A298" s="100" t="str">
        <f t="shared" ref="A298:A306" si="31">$R$2&amp;".stRPV"</f>
        <v>АСУЭ.TOR_VV.stRPV</v>
      </c>
      <c r="B298" s="101">
        <v>11150</v>
      </c>
      <c r="C298" s="101" t="s">
        <v>0</v>
      </c>
      <c r="D298" s="103" t="s">
        <v>2790</v>
      </c>
    </row>
    <row r="299" spans="1:4">
      <c r="A299" s="100" t="str">
        <f t="shared" si="31"/>
        <v>АСУЭ.TOR_VV.stRPV</v>
      </c>
      <c r="B299" s="101">
        <v>11152</v>
      </c>
      <c r="C299" s="101" t="s">
        <v>0</v>
      </c>
      <c r="D299" s="104" t="str">
        <f>$R$8</f>
        <v>Телесигнализация</v>
      </c>
    </row>
    <row r="300" spans="1:4">
      <c r="A300" s="100" t="str">
        <f t="shared" si="31"/>
        <v>АСУЭ.TOR_VV.stRPV</v>
      </c>
      <c r="B300" s="101">
        <v>11000</v>
      </c>
      <c r="C300" s="101" t="s">
        <v>5</v>
      </c>
      <c r="D300" s="103">
        <v>2147483680</v>
      </c>
    </row>
    <row r="301" spans="1:4">
      <c r="A301" s="19" t="str">
        <f t="shared" si="31"/>
        <v>АСУЭ.TOR_VV.stRPV</v>
      </c>
      <c r="B301" s="11">
        <v>7999</v>
      </c>
      <c r="C301" s="11" t="s">
        <v>0</v>
      </c>
      <c r="D301" s="20" t="str">
        <f>"#"&amp;$S$2&amp;"#"&amp;$T$2&amp;"."&amp;$P$2&amp;".stRPV"</f>
        <v>#3#\\Setup_rza\Modbus.OPCServer\ZRU_Sepam.VV1_TOR.stRPV</v>
      </c>
    </row>
    <row r="302" spans="1:4">
      <c r="A302" s="19" t="str">
        <f t="shared" si="31"/>
        <v>АСУЭ.TOR_VV.stRPV</v>
      </c>
      <c r="B302" s="11">
        <v>7998</v>
      </c>
      <c r="C302" s="11" t="s">
        <v>6</v>
      </c>
      <c r="D302" s="20">
        <v>1</v>
      </c>
    </row>
    <row r="303" spans="1:4">
      <c r="A303" s="19" t="str">
        <f t="shared" si="31"/>
        <v>АСУЭ.TOR_VV.stRPV</v>
      </c>
      <c r="B303" s="11">
        <v>101</v>
      </c>
      <c r="C303" s="11" t="s">
        <v>0</v>
      </c>
      <c r="D303" s="20" t="s">
        <v>2790</v>
      </c>
    </row>
    <row r="304" spans="1:4">
      <c r="A304" s="19" t="str">
        <f t="shared" si="31"/>
        <v>АСУЭ.TOR_VV.stRPV</v>
      </c>
      <c r="B304" s="11">
        <v>3</v>
      </c>
      <c r="C304" s="11" t="s">
        <v>1</v>
      </c>
      <c r="D304" s="20">
        <v>192</v>
      </c>
    </row>
    <row r="305" spans="1:4">
      <c r="A305" s="19" t="str">
        <f t="shared" si="31"/>
        <v>АСУЭ.TOR_VV.stRPV</v>
      </c>
      <c r="B305" s="11">
        <v>2</v>
      </c>
      <c r="C305" s="11" t="s">
        <v>2</v>
      </c>
      <c r="D305" s="20" t="s">
        <v>3</v>
      </c>
    </row>
    <row r="306" spans="1:4">
      <c r="A306" s="21" t="str">
        <f t="shared" si="31"/>
        <v>АСУЭ.TOR_VV.stRPV</v>
      </c>
      <c r="B306" s="8">
        <v>1</v>
      </c>
      <c r="C306" s="8" t="s">
        <v>1</v>
      </c>
      <c r="D306" s="22">
        <v>11</v>
      </c>
    </row>
    <row r="307" spans="1:4">
      <c r="A307" s="100" t="str">
        <f>$R$2&amp;".stRPO"</f>
        <v>АСУЭ.TOR_VV.stRPO</v>
      </c>
      <c r="B307" s="101">
        <v>11154</v>
      </c>
      <c r="C307" s="101" t="s">
        <v>4</v>
      </c>
      <c r="D307" s="102">
        <f>$Q$8</f>
        <v>18</v>
      </c>
    </row>
    <row r="308" spans="1:4">
      <c r="A308" s="100" t="str">
        <f t="shared" ref="A308:A316" si="32">$R$2&amp;".stRPO"</f>
        <v>АСУЭ.TOR_VV.stRPO</v>
      </c>
      <c r="B308" s="101">
        <v>11150</v>
      </c>
      <c r="C308" s="101" t="s">
        <v>0</v>
      </c>
      <c r="D308" s="103" t="s">
        <v>2791</v>
      </c>
    </row>
    <row r="309" spans="1:4">
      <c r="A309" s="100" t="str">
        <f t="shared" si="32"/>
        <v>АСУЭ.TOR_VV.stRPO</v>
      </c>
      <c r="B309" s="101">
        <v>11152</v>
      </c>
      <c r="C309" s="101" t="s">
        <v>0</v>
      </c>
      <c r="D309" s="104" t="str">
        <f>$R$8</f>
        <v>Телесигнализация</v>
      </c>
    </row>
    <row r="310" spans="1:4">
      <c r="A310" s="100" t="str">
        <f t="shared" si="32"/>
        <v>АСУЭ.TOR_VV.stRPO</v>
      </c>
      <c r="B310" s="101">
        <v>11000</v>
      </c>
      <c r="C310" s="101" t="s">
        <v>5</v>
      </c>
      <c r="D310" s="103">
        <v>2147483680</v>
      </c>
    </row>
    <row r="311" spans="1:4">
      <c r="A311" s="19" t="str">
        <f t="shared" si="32"/>
        <v>АСУЭ.TOR_VV.stRPO</v>
      </c>
      <c r="B311" s="11">
        <v>7999</v>
      </c>
      <c r="C311" s="11" t="s">
        <v>0</v>
      </c>
      <c r="D311" s="20" t="str">
        <f>"#"&amp;$S$2&amp;"#"&amp;$T$2&amp;"."&amp;$P$2&amp;".stRPO"</f>
        <v>#3#\\Setup_rza\Modbus.OPCServer\ZRU_Sepam.VV1_TOR.stRPO</v>
      </c>
    </row>
    <row r="312" spans="1:4">
      <c r="A312" s="19" t="str">
        <f t="shared" si="32"/>
        <v>АСУЭ.TOR_VV.stRPO</v>
      </c>
      <c r="B312" s="11">
        <v>7998</v>
      </c>
      <c r="C312" s="11" t="s">
        <v>6</v>
      </c>
      <c r="D312" s="20">
        <v>1</v>
      </c>
    </row>
    <row r="313" spans="1:4">
      <c r="A313" s="19" t="str">
        <f t="shared" si="32"/>
        <v>АСУЭ.TOR_VV.stRPO</v>
      </c>
      <c r="B313" s="11">
        <v>101</v>
      </c>
      <c r="C313" s="11" t="s">
        <v>0</v>
      </c>
      <c r="D313" s="20" t="s">
        <v>2791</v>
      </c>
    </row>
    <row r="314" spans="1:4">
      <c r="A314" s="19" t="str">
        <f t="shared" si="32"/>
        <v>АСУЭ.TOR_VV.stRPO</v>
      </c>
      <c r="B314" s="11">
        <v>3</v>
      </c>
      <c r="C314" s="11" t="s">
        <v>1</v>
      </c>
      <c r="D314" s="20">
        <v>192</v>
      </c>
    </row>
    <row r="315" spans="1:4">
      <c r="A315" s="19" t="str">
        <f t="shared" si="32"/>
        <v>АСУЭ.TOR_VV.stRPO</v>
      </c>
      <c r="B315" s="11">
        <v>2</v>
      </c>
      <c r="C315" s="11" t="s">
        <v>2</v>
      </c>
      <c r="D315" s="20" t="s">
        <v>3</v>
      </c>
    </row>
    <row r="316" spans="1:4">
      <c r="A316" s="21" t="str">
        <f t="shared" si="32"/>
        <v>АСУЭ.TOR_VV.stRPO</v>
      </c>
      <c r="B316" s="8">
        <v>1</v>
      </c>
      <c r="C316" s="8" t="s">
        <v>1</v>
      </c>
      <c r="D316" s="22">
        <v>11</v>
      </c>
    </row>
    <row r="317" spans="1:4">
      <c r="A317" s="100" t="str">
        <f>$R$2&amp;".stCtrlCircuitOn"</f>
        <v>АСУЭ.TOR_VV.stCtrlCircuitOn</v>
      </c>
      <c r="B317" s="101">
        <v>11154</v>
      </c>
      <c r="C317" s="101" t="s">
        <v>4</v>
      </c>
      <c r="D317" s="102">
        <f>$Q$8</f>
        <v>18</v>
      </c>
    </row>
    <row r="318" spans="1:4">
      <c r="A318" s="100" t="str">
        <f t="shared" ref="A318:A326" si="33">$R$2&amp;".stCtrlCircuitOn"</f>
        <v>АСУЭ.TOR_VV.stCtrlCircuitOn</v>
      </c>
      <c r="B318" s="101">
        <v>11150</v>
      </c>
      <c r="C318" s="101" t="s">
        <v>0</v>
      </c>
      <c r="D318" s="103" t="s">
        <v>2792</v>
      </c>
    </row>
    <row r="319" spans="1:4">
      <c r="A319" s="100" t="str">
        <f t="shared" si="33"/>
        <v>АСУЭ.TOR_VV.stCtrlCircuitOn</v>
      </c>
      <c r="B319" s="101">
        <v>11152</v>
      </c>
      <c r="C319" s="101" t="s">
        <v>0</v>
      </c>
      <c r="D319" s="104" t="str">
        <f>$R$8</f>
        <v>Телесигнализация</v>
      </c>
    </row>
    <row r="320" spans="1:4">
      <c r="A320" s="100" t="str">
        <f t="shared" si="33"/>
        <v>АСУЭ.TOR_VV.stCtrlCircuitOn</v>
      </c>
      <c r="B320" s="101">
        <v>11000</v>
      </c>
      <c r="C320" s="101" t="s">
        <v>5</v>
      </c>
      <c r="D320" s="103">
        <v>2147483680</v>
      </c>
    </row>
    <row r="321" spans="1:4">
      <c r="A321" s="19" t="str">
        <f t="shared" si="33"/>
        <v>АСУЭ.TOR_VV.stCtrlCircuitOn</v>
      </c>
      <c r="B321" s="11">
        <v>7999</v>
      </c>
      <c r="C321" s="11" t="s">
        <v>0</v>
      </c>
      <c r="D321" s="20" t="str">
        <f>"#"&amp;$S$2&amp;"#"&amp;$T$2&amp;"."&amp;$P$2&amp;".stCtrlCircuitOn"</f>
        <v>#3#\\Setup_rza\Modbus.OPCServer\ZRU_Sepam.VV1_TOR.stCtrlCircuitOn</v>
      </c>
    </row>
    <row r="322" spans="1:4">
      <c r="A322" s="19" t="str">
        <f t="shared" si="33"/>
        <v>АСУЭ.TOR_VV.stCtrlCircuitOn</v>
      </c>
      <c r="B322" s="11">
        <v>7998</v>
      </c>
      <c r="C322" s="11" t="s">
        <v>6</v>
      </c>
      <c r="D322" s="20">
        <v>1</v>
      </c>
    </row>
    <row r="323" spans="1:4">
      <c r="A323" s="19" t="str">
        <f t="shared" si="33"/>
        <v>АСУЭ.TOR_VV.stCtrlCircuitOn</v>
      </c>
      <c r="B323" s="11">
        <v>101</v>
      </c>
      <c r="C323" s="11" t="s">
        <v>0</v>
      </c>
      <c r="D323" s="20" t="s">
        <v>2792</v>
      </c>
    </row>
    <row r="324" spans="1:4">
      <c r="A324" s="19" t="str">
        <f t="shared" si="33"/>
        <v>АСУЭ.TOR_VV.stCtrlCircuitOn</v>
      </c>
      <c r="B324" s="11">
        <v>3</v>
      </c>
      <c r="C324" s="11" t="s">
        <v>1</v>
      </c>
      <c r="D324" s="20">
        <v>192</v>
      </c>
    </row>
    <row r="325" spans="1:4">
      <c r="A325" s="19" t="str">
        <f t="shared" si="33"/>
        <v>АСУЭ.TOR_VV.stCtrlCircuitOn</v>
      </c>
      <c r="B325" s="11">
        <v>2</v>
      </c>
      <c r="C325" s="11" t="s">
        <v>2</v>
      </c>
      <c r="D325" s="20" t="s">
        <v>3</v>
      </c>
    </row>
    <row r="326" spans="1:4">
      <c r="A326" s="21" t="str">
        <f t="shared" si="33"/>
        <v>АСУЭ.TOR_VV.stCtrlCircuitOn</v>
      </c>
      <c r="B326" s="8">
        <v>1</v>
      </c>
      <c r="C326" s="8" t="s">
        <v>1</v>
      </c>
      <c r="D326" s="22">
        <v>11</v>
      </c>
    </row>
    <row r="327" spans="1:4">
      <c r="A327" s="100" t="str">
        <f>$R$2&amp;".stTOn"</f>
        <v>АСУЭ.TOR_VV.stTOn</v>
      </c>
      <c r="B327" s="101">
        <v>11154</v>
      </c>
      <c r="C327" s="101" t="s">
        <v>4</v>
      </c>
      <c r="D327" s="102">
        <f>$Q$8</f>
        <v>18</v>
      </c>
    </row>
    <row r="328" spans="1:4">
      <c r="A328" s="100" t="str">
        <f t="shared" ref="A328:A336" si="34">$R$2&amp;".stTOn"</f>
        <v>АСУЭ.TOR_VV.stTOn</v>
      </c>
      <c r="B328" s="101">
        <v>11150</v>
      </c>
      <c r="C328" s="101" t="s">
        <v>0</v>
      </c>
      <c r="D328" s="103" t="s">
        <v>2856</v>
      </c>
    </row>
    <row r="329" spans="1:4">
      <c r="A329" s="100" t="str">
        <f t="shared" si="34"/>
        <v>АСУЭ.TOR_VV.stTOn</v>
      </c>
      <c r="B329" s="101">
        <v>11152</v>
      </c>
      <c r="C329" s="101" t="s">
        <v>0</v>
      </c>
      <c r="D329" s="104" t="str">
        <f>$R$8</f>
        <v>Телесигнализация</v>
      </c>
    </row>
    <row r="330" spans="1:4">
      <c r="A330" s="100" t="str">
        <f t="shared" si="34"/>
        <v>АСУЭ.TOR_VV.stTOn</v>
      </c>
      <c r="B330" s="101">
        <v>11000</v>
      </c>
      <c r="C330" s="101" t="s">
        <v>5</v>
      </c>
      <c r="D330" s="103">
        <v>2147483680</v>
      </c>
    </row>
    <row r="331" spans="1:4">
      <c r="A331" s="19" t="str">
        <f t="shared" si="34"/>
        <v>АСУЭ.TOR_VV.stTOn</v>
      </c>
      <c r="B331" s="11">
        <v>7999</v>
      </c>
      <c r="C331" s="11" t="s">
        <v>0</v>
      </c>
      <c r="D331" s="20" t="str">
        <f>"#"&amp;$S$2&amp;"#"&amp;$T$2&amp;"."&amp;$P$2&amp;".stTOn"</f>
        <v>#3#\\Setup_rza\Modbus.OPCServer\ZRU_Sepam.VV1_TOR.stTOn</v>
      </c>
    </row>
    <row r="332" spans="1:4">
      <c r="A332" s="19" t="str">
        <f t="shared" si="34"/>
        <v>АСУЭ.TOR_VV.stTOn</v>
      </c>
      <c r="B332" s="11">
        <v>7998</v>
      </c>
      <c r="C332" s="11" t="s">
        <v>6</v>
      </c>
      <c r="D332" s="20">
        <v>1</v>
      </c>
    </row>
    <row r="333" spans="1:4">
      <c r="A333" s="19" t="str">
        <f t="shared" si="34"/>
        <v>АСУЭ.TOR_VV.stTOn</v>
      </c>
      <c r="B333" s="11">
        <v>101</v>
      </c>
      <c r="C333" s="11" t="s">
        <v>0</v>
      </c>
      <c r="D333" s="20" t="s">
        <v>1850</v>
      </c>
    </row>
    <row r="334" spans="1:4">
      <c r="A334" s="19" t="str">
        <f t="shared" si="34"/>
        <v>АСУЭ.TOR_VV.stTOn</v>
      </c>
      <c r="B334" s="11">
        <v>3</v>
      </c>
      <c r="C334" s="11" t="s">
        <v>1</v>
      </c>
      <c r="D334" s="20">
        <v>192</v>
      </c>
    </row>
    <row r="335" spans="1:4">
      <c r="A335" s="19" t="str">
        <f t="shared" si="34"/>
        <v>АСУЭ.TOR_VV.stTOn</v>
      </c>
      <c r="B335" s="11">
        <v>2</v>
      </c>
      <c r="C335" s="11" t="s">
        <v>2</v>
      </c>
      <c r="D335" s="20" t="s">
        <v>3</v>
      </c>
    </row>
    <row r="336" spans="1:4">
      <c r="A336" s="21" t="str">
        <f t="shared" si="34"/>
        <v>АСУЭ.TOR_VV.stTOn</v>
      </c>
      <c r="B336" s="8">
        <v>1</v>
      </c>
      <c r="C336" s="8" t="s">
        <v>1</v>
      </c>
      <c r="D336" s="22">
        <v>11</v>
      </c>
    </row>
    <row r="337" spans="1:4">
      <c r="A337" s="100" t="str">
        <f>$R$2&amp;".stTOff"</f>
        <v>АСУЭ.TOR_VV.stTOff</v>
      </c>
      <c r="B337" s="101">
        <v>11154</v>
      </c>
      <c r="C337" s="101" t="s">
        <v>4</v>
      </c>
      <c r="D337" s="102">
        <f>$Q$8</f>
        <v>18</v>
      </c>
    </row>
    <row r="338" spans="1:4">
      <c r="A338" s="100" t="str">
        <f t="shared" ref="A338:A346" si="35">$R$2&amp;".stTOff"</f>
        <v>АСУЭ.TOR_VV.stTOff</v>
      </c>
      <c r="B338" s="101">
        <v>11150</v>
      </c>
      <c r="C338" s="101" t="s">
        <v>0</v>
      </c>
      <c r="D338" s="103" t="s">
        <v>2857</v>
      </c>
    </row>
    <row r="339" spans="1:4">
      <c r="A339" s="100" t="str">
        <f t="shared" si="35"/>
        <v>АСУЭ.TOR_VV.stTOff</v>
      </c>
      <c r="B339" s="101">
        <v>11152</v>
      </c>
      <c r="C339" s="101" t="s">
        <v>0</v>
      </c>
      <c r="D339" s="104" t="str">
        <f>$R$8</f>
        <v>Телесигнализация</v>
      </c>
    </row>
    <row r="340" spans="1:4">
      <c r="A340" s="100" t="str">
        <f t="shared" si="35"/>
        <v>АСУЭ.TOR_VV.stTOff</v>
      </c>
      <c r="B340" s="101">
        <v>11000</v>
      </c>
      <c r="C340" s="101" t="s">
        <v>5</v>
      </c>
      <c r="D340" s="103">
        <v>2147483680</v>
      </c>
    </row>
    <row r="341" spans="1:4">
      <c r="A341" s="19" t="str">
        <f t="shared" si="35"/>
        <v>АСУЭ.TOR_VV.stTOff</v>
      </c>
      <c r="B341" s="11">
        <v>7999</v>
      </c>
      <c r="C341" s="11" t="s">
        <v>0</v>
      </c>
      <c r="D341" s="20" t="str">
        <f>"#"&amp;$S$2&amp;"#"&amp;$T$2&amp;"."&amp;$P$2&amp;".stTOff"</f>
        <v>#3#\\Setup_rza\Modbus.OPCServer\ZRU_Sepam.VV1_TOR.stTOff</v>
      </c>
    </row>
    <row r="342" spans="1:4">
      <c r="A342" s="19" t="str">
        <f t="shared" si="35"/>
        <v>АСУЭ.TOR_VV.stTOff</v>
      </c>
      <c r="B342" s="11">
        <v>7998</v>
      </c>
      <c r="C342" s="11" t="s">
        <v>6</v>
      </c>
      <c r="D342" s="20">
        <v>1</v>
      </c>
    </row>
    <row r="343" spans="1:4">
      <c r="A343" s="19" t="str">
        <f t="shared" si="35"/>
        <v>АСУЭ.TOR_VV.stTOff</v>
      </c>
      <c r="B343" s="11">
        <v>101</v>
      </c>
      <c r="C343" s="11" t="s">
        <v>0</v>
      </c>
      <c r="D343" s="20" t="s">
        <v>1851</v>
      </c>
    </row>
    <row r="344" spans="1:4" ht="15" customHeight="1">
      <c r="A344" s="19" t="str">
        <f t="shared" si="35"/>
        <v>АСУЭ.TOR_VV.stTOff</v>
      </c>
      <c r="B344" s="11">
        <v>3</v>
      </c>
      <c r="C344" s="11" t="s">
        <v>1</v>
      </c>
      <c r="D344" s="20">
        <v>192</v>
      </c>
    </row>
    <row r="345" spans="1:4">
      <c r="A345" s="19" t="str">
        <f t="shared" si="35"/>
        <v>АСУЭ.TOR_VV.stTOff</v>
      </c>
      <c r="B345" s="11">
        <v>2</v>
      </c>
      <c r="C345" s="11" t="s">
        <v>2</v>
      </c>
      <c r="D345" s="20" t="s">
        <v>3</v>
      </c>
    </row>
    <row r="346" spans="1:4">
      <c r="A346" s="21" t="str">
        <f t="shared" si="35"/>
        <v>АСУЭ.TOR_VV.stTOff</v>
      </c>
      <c r="B346" s="8">
        <v>1</v>
      </c>
      <c r="C346" s="8" t="s">
        <v>1</v>
      </c>
      <c r="D346" s="22">
        <v>11</v>
      </c>
    </row>
    <row r="347" spans="1:4">
      <c r="A347" s="100" t="str">
        <f>$R$2&amp;".stZROff"</f>
        <v>АСУЭ.TOR_VV.stZROff</v>
      </c>
      <c r="B347" s="101">
        <v>11154</v>
      </c>
      <c r="C347" s="101" t="s">
        <v>4</v>
      </c>
      <c r="D347" s="102">
        <f>$Q$8</f>
        <v>18</v>
      </c>
    </row>
    <row r="348" spans="1:4">
      <c r="A348" s="100" t="str">
        <f t="shared" ref="A348:A356" si="36">$R$2&amp;".stZROff"</f>
        <v>АСУЭ.TOR_VV.stZROff</v>
      </c>
      <c r="B348" s="101">
        <v>11150</v>
      </c>
      <c r="C348" s="101" t="s">
        <v>0</v>
      </c>
      <c r="D348" s="103" t="s">
        <v>2793</v>
      </c>
    </row>
    <row r="349" spans="1:4">
      <c r="A349" s="100" t="str">
        <f t="shared" si="36"/>
        <v>АСУЭ.TOR_VV.stZROff</v>
      </c>
      <c r="B349" s="101">
        <v>11152</v>
      </c>
      <c r="C349" s="101" t="s">
        <v>0</v>
      </c>
      <c r="D349" s="104" t="str">
        <f>$R$8</f>
        <v>Телесигнализация</v>
      </c>
    </row>
    <row r="350" spans="1:4" ht="14.25" customHeight="1">
      <c r="A350" s="100" t="str">
        <f t="shared" si="36"/>
        <v>АСУЭ.TOR_VV.stZROff</v>
      </c>
      <c r="B350" s="101">
        <v>11000</v>
      </c>
      <c r="C350" s="101" t="s">
        <v>5</v>
      </c>
      <c r="D350" s="103">
        <v>2147483680</v>
      </c>
    </row>
    <row r="351" spans="1:4">
      <c r="A351" s="19" t="str">
        <f t="shared" si="36"/>
        <v>АСУЭ.TOR_VV.stZROff</v>
      </c>
      <c r="B351" s="11">
        <v>7999</v>
      </c>
      <c r="C351" s="11" t="s">
        <v>0</v>
      </c>
      <c r="D351" s="20" t="str">
        <f>"#"&amp;$S$2&amp;"#"&amp;$T$2&amp;"."&amp;$P$2&amp;".stZROff"</f>
        <v>#3#\\Setup_rza\Modbus.OPCServer\ZRU_Sepam.VV1_TOR.stZROff</v>
      </c>
    </row>
    <row r="352" spans="1:4">
      <c r="A352" s="19" t="str">
        <f t="shared" si="36"/>
        <v>АСУЭ.TOR_VV.stZROff</v>
      </c>
      <c r="B352" s="11">
        <v>7998</v>
      </c>
      <c r="C352" s="11" t="s">
        <v>6</v>
      </c>
      <c r="D352" s="20">
        <v>1</v>
      </c>
    </row>
    <row r="353" spans="1:4">
      <c r="A353" s="19" t="str">
        <f t="shared" si="36"/>
        <v>АСУЭ.TOR_VV.stZROff</v>
      </c>
      <c r="B353" s="11">
        <v>101</v>
      </c>
      <c r="C353" s="11" t="s">
        <v>0</v>
      </c>
      <c r="D353" s="20" t="s">
        <v>2793</v>
      </c>
    </row>
    <row r="354" spans="1:4">
      <c r="A354" s="19" t="str">
        <f t="shared" si="36"/>
        <v>АСУЭ.TOR_VV.stZROff</v>
      </c>
      <c r="B354" s="11">
        <v>3</v>
      </c>
      <c r="C354" s="11" t="s">
        <v>1</v>
      </c>
      <c r="D354" s="20">
        <v>192</v>
      </c>
    </row>
    <row r="355" spans="1:4">
      <c r="A355" s="19" t="str">
        <f t="shared" si="36"/>
        <v>АСУЭ.TOR_VV.stZROff</v>
      </c>
      <c r="B355" s="11">
        <v>2</v>
      </c>
      <c r="C355" s="11" t="s">
        <v>2</v>
      </c>
      <c r="D355" s="20" t="s">
        <v>3</v>
      </c>
    </row>
    <row r="356" spans="1:4">
      <c r="A356" s="21" t="str">
        <f t="shared" si="36"/>
        <v>АСУЭ.TOR_VV.stZROff</v>
      </c>
      <c r="B356" s="8">
        <v>1</v>
      </c>
      <c r="C356" s="8" t="s">
        <v>1</v>
      </c>
      <c r="D356" s="22">
        <v>11</v>
      </c>
    </row>
    <row r="357" spans="1:4">
      <c r="A357" s="16" t="str">
        <f t="shared" ref="A357:A364" si="37">$R$2&amp;".Commands.coRepair"</f>
        <v>АСУЭ.TOR_VV.Commands.coRepair</v>
      </c>
      <c r="B357" s="17">
        <v>7011</v>
      </c>
      <c r="C357" s="17" t="s">
        <v>2</v>
      </c>
      <c r="D357" s="18" t="s">
        <v>266</v>
      </c>
    </row>
    <row r="358" spans="1:4">
      <c r="A358" s="140" t="str">
        <f t="shared" si="37"/>
        <v>АСУЭ.TOR_VV.Commands.coRepair</v>
      </c>
      <c r="B358" s="141">
        <v>11152</v>
      </c>
      <c r="C358" s="141" t="s">
        <v>0</v>
      </c>
      <c r="D358" s="142" t="str">
        <f>$R$11</f>
        <v>Ремонт</v>
      </c>
    </row>
    <row r="359" spans="1:4">
      <c r="A359" s="140" t="str">
        <f t="shared" si="37"/>
        <v>АСУЭ.TOR_VV.Commands.coRepair</v>
      </c>
      <c r="B359" s="141">
        <v>11154</v>
      </c>
      <c r="C359" s="141" t="s">
        <v>4</v>
      </c>
      <c r="D359" s="142">
        <f>$Q$11</f>
        <v>14</v>
      </c>
    </row>
    <row r="360" spans="1:4">
      <c r="A360" s="140" t="str">
        <f t="shared" si="37"/>
        <v>АСУЭ.TOR_VV.Commands.coRepair</v>
      </c>
      <c r="B360" s="141">
        <v>11150</v>
      </c>
      <c r="C360" s="141" t="s">
        <v>0</v>
      </c>
      <c r="D360" s="142" t="s">
        <v>89</v>
      </c>
    </row>
    <row r="361" spans="1:4">
      <c r="A361" s="140" t="str">
        <f t="shared" si="37"/>
        <v>АСУЭ.TOR_VV.Commands.coRepair</v>
      </c>
      <c r="B361" s="141">
        <v>11000</v>
      </c>
      <c r="C361" s="141" t="s">
        <v>5</v>
      </c>
      <c r="D361" s="142">
        <v>2147483680</v>
      </c>
    </row>
    <row r="362" spans="1:4">
      <c r="A362" s="19" t="str">
        <f t="shared" si="37"/>
        <v>АСУЭ.TOR_VV.Commands.coRepair</v>
      </c>
      <c r="B362" s="11">
        <v>1</v>
      </c>
      <c r="C362" s="11" t="s">
        <v>1</v>
      </c>
      <c r="D362" s="20">
        <v>11</v>
      </c>
    </row>
    <row r="363" spans="1:4" ht="409.6">
      <c r="A363" s="29" t="str">
        <f t="shared" si="37"/>
        <v>АСУЭ.TOR_VV.Commands.coRepair</v>
      </c>
      <c r="B363" s="1">
        <v>4000000</v>
      </c>
      <c r="C363" s="1" t="s">
        <v>0</v>
      </c>
      <c r="D363" s="749" t="s">
        <v>2807</v>
      </c>
    </row>
    <row r="364" spans="1:4">
      <c r="A364" s="26" t="str">
        <f t="shared" si="37"/>
        <v>АСУЭ.TOR_VV.Commands.coRepair</v>
      </c>
      <c r="B364" s="27">
        <v>7000000</v>
      </c>
      <c r="C364" s="27" t="s">
        <v>6</v>
      </c>
      <c r="D364" s="28">
        <v>2</v>
      </c>
    </row>
    <row r="365" spans="1:4">
      <c r="A365" s="16" t="str">
        <f t="shared" ref="A365:A370" si="38">$R$2&amp;".Commands.coOn"</f>
        <v>АСУЭ.TOR_VV.Commands.coOn</v>
      </c>
      <c r="B365" s="17">
        <v>7000000</v>
      </c>
      <c r="C365" s="17" t="s">
        <v>6</v>
      </c>
      <c r="D365" s="18">
        <v>0</v>
      </c>
    </row>
    <row r="366" spans="1:4">
      <c r="A366" s="19" t="str">
        <f t="shared" si="38"/>
        <v>АСУЭ.TOR_VV.Commands.coOn</v>
      </c>
      <c r="B366" s="11">
        <v>4000000</v>
      </c>
      <c r="C366" s="11" t="s">
        <v>0</v>
      </c>
      <c r="D366" s="20" t="s">
        <v>2682</v>
      </c>
    </row>
    <row r="367" spans="1:4">
      <c r="A367" s="19" t="str">
        <f t="shared" si="38"/>
        <v>АСУЭ.TOR_VV.Commands.coOn</v>
      </c>
      <c r="B367" s="11">
        <v>101</v>
      </c>
      <c r="C367" s="11" t="s">
        <v>0</v>
      </c>
      <c r="D367" s="20" t="s">
        <v>383</v>
      </c>
    </row>
    <row r="368" spans="1:4">
      <c r="A368" s="19" t="str">
        <f t="shared" si="38"/>
        <v>АСУЭ.TOR_VV.Commands.coOn</v>
      </c>
      <c r="B368" s="11">
        <v>7999</v>
      </c>
      <c r="C368" s="11" t="s">
        <v>0</v>
      </c>
      <c r="D368" s="20" t="str">
        <f>"#"&amp;$S$2&amp;"#"&amp;$T$2&amp;"."&amp;$P$2&amp;".Commands.Net_Comm_On"</f>
        <v>#3#\\Setup_rza\Modbus.OPCServer\ZRU_Sepam.VV1_TOR.Commands.Net_Comm_On</v>
      </c>
    </row>
    <row r="369" spans="1:16">
      <c r="A369" s="19" t="str">
        <f t="shared" si="38"/>
        <v>АСУЭ.TOR_VV.Commands.coOn</v>
      </c>
      <c r="B369" s="11">
        <v>7998</v>
      </c>
      <c r="C369" s="11" t="s">
        <v>6</v>
      </c>
      <c r="D369" s="20">
        <v>2</v>
      </c>
    </row>
    <row r="370" spans="1:16">
      <c r="A370" s="21" t="str">
        <f t="shared" si="38"/>
        <v>АСУЭ.TOR_VV.Commands.coOn</v>
      </c>
      <c r="B370" s="8">
        <v>1</v>
      </c>
      <c r="C370" s="8" t="s">
        <v>1</v>
      </c>
      <c r="D370" s="22">
        <v>11</v>
      </c>
    </row>
    <row r="371" spans="1:16">
      <c r="A371" s="19" t="str">
        <f t="shared" ref="A371:A376" si="39">$R$2&amp;".Commands.coOff"</f>
        <v>АСУЭ.TOR_VV.Commands.coOff</v>
      </c>
      <c r="B371" s="17">
        <v>7000000</v>
      </c>
      <c r="C371" s="17" t="s">
        <v>6</v>
      </c>
      <c r="D371" s="18">
        <v>0</v>
      </c>
    </row>
    <row r="372" spans="1:16">
      <c r="A372" s="19" t="str">
        <f t="shared" si="39"/>
        <v>АСУЭ.TOR_VV.Commands.coOff</v>
      </c>
      <c r="B372" s="11">
        <v>4000000</v>
      </c>
      <c r="C372" s="11" t="s">
        <v>0</v>
      </c>
      <c r="D372" s="20" t="s">
        <v>2683</v>
      </c>
    </row>
    <row r="373" spans="1:16">
      <c r="A373" s="19" t="str">
        <f t="shared" si="39"/>
        <v>АСУЭ.TOR_VV.Commands.coOff</v>
      </c>
      <c r="B373" s="11">
        <v>101</v>
      </c>
      <c r="C373" s="11" t="s">
        <v>0</v>
      </c>
      <c r="D373" s="20" t="s">
        <v>384</v>
      </c>
    </row>
    <row r="374" spans="1:16">
      <c r="A374" s="19" t="str">
        <f t="shared" si="39"/>
        <v>АСУЭ.TOR_VV.Commands.coOff</v>
      </c>
      <c r="B374" s="11">
        <v>7999</v>
      </c>
      <c r="C374" s="11" t="s">
        <v>0</v>
      </c>
      <c r="D374" s="20" t="str">
        <f>"#"&amp;$S$2&amp;"#"&amp;$T$2&amp;"."&amp;$P$2&amp;".Commands.Net_Comm_Off"</f>
        <v>#3#\\Setup_rza\Modbus.OPCServer\ZRU_Sepam.VV1_TOR.Commands.Net_Comm_Off</v>
      </c>
    </row>
    <row r="375" spans="1:16">
      <c r="A375" s="19" t="str">
        <f t="shared" si="39"/>
        <v>АСУЭ.TOR_VV.Commands.coOff</v>
      </c>
      <c r="B375" s="11">
        <v>7998</v>
      </c>
      <c r="C375" s="11" t="s">
        <v>6</v>
      </c>
      <c r="D375" s="20">
        <v>2</v>
      </c>
    </row>
    <row r="376" spans="1:16">
      <c r="A376" s="19" t="str">
        <f t="shared" si="39"/>
        <v>АСУЭ.TOR_VV.Commands.coOff</v>
      </c>
      <c r="B376" s="11">
        <v>1</v>
      </c>
      <c r="C376" s="11" t="s">
        <v>1</v>
      </c>
      <c r="D376" s="20">
        <v>11</v>
      </c>
    </row>
    <row r="377" spans="1:16">
      <c r="A377" s="16" t="str">
        <f t="shared" ref="A377:A382" si="40">$R$2&amp;".Commands.coRst"</f>
        <v>АСУЭ.TOR_VV.Commands.coRst</v>
      </c>
      <c r="B377" s="17">
        <v>7000000</v>
      </c>
      <c r="C377" s="17" t="s">
        <v>6</v>
      </c>
      <c r="D377" s="18">
        <v>0</v>
      </c>
    </row>
    <row r="378" spans="1:16">
      <c r="A378" s="19" t="str">
        <f t="shared" si="40"/>
        <v>АСУЭ.TOR_VV.Commands.coRst</v>
      </c>
      <c r="B378" s="11">
        <v>4000000</v>
      </c>
      <c r="C378" s="11" t="s">
        <v>0</v>
      </c>
      <c r="D378" s="20" t="s">
        <v>385</v>
      </c>
    </row>
    <row r="379" spans="1:16">
      <c r="A379" s="19" t="str">
        <f t="shared" si="40"/>
        <v>АСУЭ.TOR_VV.Commands.coRst</v>
      </c>
      <c r="B379" s="11">
        <v>101</v>
      </c>
      <c r="C379" s="11" t="s">
        <v>0</v>
      </c>
      <c r="D379" s="20" t="s">
        <v>2795</v>
      </c>
      <c r="P379" s="4"/>
    </row>
    <row r="380" spans="1:16">
      <c r="A380" s="19" t="str">
        <f t="shared" si="40"/>
        <v>АСУЭ.TOR_VV.Commands.coRst</v>
      </c>
      <c r="B380" s="11">
        <v>7999</v>
      </c>
      <c r="C380" s="11" t="s">
        <v>0</v>
      </c>
      <c r="D380" s="20" t="str">
        <f>"#"&amp;$S$2&amp;"#"&amp;$T$2&amp;"."&amp;$P$2&amp;".Commands.coRst"</f>
        <v>#3#\\Setup_rza\Modbus.OPCServer\ZRU_Sepam.VV1_TOR.Commands.coRst</v>
      </c>
      <c r="P380" s="4"/>
    </row>
    <row r="381" spans="1:16">
      <c r="A381" s="19" t="str">
        <f t="shared" si="40"/>
        <v>АСУЭ.TOR_VV.Commands.coRst</v>
      </c>
      <c r="B381" s="11">
        <v>7998</v>
      </c>
      <c r="C381" s="11" t="s">
        <v>6</v>
      </c>
      <c r="D381" s="20">
        <v>2</v>
      </c>
      <c r="P381" s="4"/>
    </row>
    <row r="382" spans="1:16">
      <c r="A382" s="21" t="str">
        <f t="shared" si="40"/>
        <v>АСУЭ.TOR_VV.Commands.coRst</v>
      </c>
      <c r="B382" s="8">
        <v>1</v>
      </c>
      <c r="C382" s="8" t="s">
        <v>1</v>
      </c>
      <c r="D382" s="22">
        <v>11</v>
      </c>
    </row>
    <row r="383" spans="1:16">
      <c r="A383" s="16" t="str">
        <f>$R$2&amp;".Commands.coOSC"</f>
        <v>АСУЭ.TOR_VV.Commands.coOSC</v>
      </c>
      <c r="B383" s="17">
        <v>7000000</v>
      </c>
      <c r="C383" s="17" t="s">
        <v>6</v>
      </c>
      <c r="D383" s="18">
        <v>0</v>
      </c>
    </row>
    <row r="384" spans="1:16">
      <c r="A384" s="19" t="str">
        <f t="shared" ref="A384:A387" si="41">$R$2&amp;".Commands.coOSC"</f>
        <v>АСУЭ.TOR_VV.Commands.coOSC</v>
      </c>
      <c r="B384" s="11">
        <v>101</v>
      </c>
      <c r="C384" s="11" t="s">
        <v>0</v>
      </c>
      <c r="D384" s="20" t="s">
        <v>2796</v>
      </c>
    </row>
    <row r="385" spans="1:20">
      <c r="A385" s="19" t="str">
        <f t="shared" si="41"/>
        <v>АСУЭ.TOR_VV.Commands.coOSC</v>
      </c>
      <c r="B385" s="11">
        <v>7999</v>
      </c>
      <c r="C385" s="11" t="s">
        <v>0</v>
      </c>
      <c r="D385" s="20" t="str">
        <f>"#"&amp;$S$2&amp;"#"&amp;$T$2&amp;"."&amp;$P$2&amp;".Commands.coOSC"</f>
        <v>#3#\\Setup_rza\Modbus.OPCServer\ZRU_Sepam.VV1_TOR.Commands.coOSC</v>
      </c>
    </row>
    <row r="386" spans="1:20">
      <c r="A386" s="19" t="str">
        <f t="shared" si="41"/>
        <v>АСУЭ.TOR_VV.Commands.coOSC</v>
      </c>
      <c r="B386" s="11">
        <v>7998</v>
      </c>
      <c r="C386" s="11" t="s">
        <v>6</v>
      </c>
      <c r="D386" s="20">
        <v>2</v>
      </c>
    </row>
    <row r="387" spans="1:20">
      <c r="A387" s="21" t="str">
        <f t="shared" si="41"/>
        <v>АСУЭ.TOR_VV.Commands.coOSC</v>
      </c>
      <c r="B387" s="8">
        <v>1</v>
      </c>
      <c r="C387" s="8" t="s">
        <v>1</v>
      </c>
      <c r="D387" s="22">
        <v>11</v>
      </c>
    </row>
    <row r="388" spans="1:20">
      <c r="A388" s="275" t="str">
        <f t="shared" ref="A388:A393" si="42">$R$2&amp;".mFreq"</f>
        <v>АСУЭ.TOR_VV.mFreq</v>
      </c>
      <c r="B388" s="276">
        <v>7999</v>
      </c>
      <c r="C388" s="276" t="s">
        <v>0</v>
      </c>
      <c r="D388" s="277" t="str">
        <f>"#"&amp;$S$2&amp;"#"&amp;$T$2&amp;"."&amp;$P$2&amp;".mFreq"</f>
        <v>#3#\\Setup_rza\Modbus.OPCServer\ZRU_Sepam.VV1_TOR.mFreq</v>
      </c>
    </row>
    <row r="389" spans="1:20">
      <c r="A389" s="278" t="str">
        <f t="shared" si="42"/>
        <v>АСУЭ.TOR_VV.mFreq</v>
      </c>
      <c r="B389" s="279">
        <v>7998</v>
      </c>
      <c r="C389" s="279" t="s">
        <v>6</v>
      </c>
      <c r="D389" s="280">
        <v>1</v>
      </c>
    </row>
    <row r="390" spans="1:20">
      <c r="A390" s="278" t="str">
        <f t="shared" si="42"/>
        <v>АСУЭ.TOR_VV.mFreq</v>
      </c>
      <c r="B390" s="279">
        <v>101</v>
      </c>
      <c r="C390" s="279" t="s">
        <v>0</v>
      </c>
      <c r="D390" s="280" t="s">
        <v>356</v>
      </c>
    </row>
    <row r="391" spans="1:20">
      <c r="A391" s="278" t="str">
        <f t="shared" si="42"/>
        <v>АСУЭ.TOR_VV.mFreq</v>
      </c>
      <c r="B391" s="279">
        <v>3</v>
      </c>
      <c r="C391" s="279" t="s">
        <v>1</v>
      </c>
      <c r="D391" s="280">
        <v>192</v>
      </c>
    </row>
    <row r="392" spans="1:20">
      <c r="A392" s="278" t="str">
        <f t="shared" si="42"/>
        <v>АСУЭ.TOR_VV.mFreq</v>
      </c>
      <c r="B392" s="279">
        <v>2</v>
      </c>
      <c r="C392" s="279" t="s">
        <v>80</v>
      </c>
      <c r="D392" s="280">
        <v>0</v>
      </c>
    </row>
    <row r="393" spans="1:20">
      <c r="A393" s="281" t="str">
        <f t="shared" si="42"/>
        <v>АСУЭ.TOR_VV.mFreq</v>
      </c>
      <c r="B393" s="282">
        <v>1</v>
      </c>
      <c r="C393" s="282" t="s">
        <v>1</v>
      </c>
      <c r="D393" s="283">
        <v>4</v>
      </c>
    </row>
    <row r="394" spans="1:20">
      <c r="A394" s="275" t="str">
        <f>$R$2&amp;".mIa"</f>
        <v>АСУЭ.TOR_VV.mIa</v>
      </c>
      <c r="B394" s="276">
        <v>7999</v>
      </c>
      <c r="C394" s="276" t="s">
        <v>0</v>
      </c>
      <c r="D394" s="277" t="str">
        <f>"#"&amp;$S$2&amp;"#"&amp;$T$2&amp;"."&amp;$P$2&amp;".mIa"</f>
        <v>#3#\\Setup_rza\Modbus.OPCServer\ZRU_Sepam.VV1_TOR.mIa</v>
      </c>
    </row>
    <row r="395" spans="1:20">
      <c r="A395" s="278" t="str">
        <f t="shared" ref="A395:A399" si="43">$R$2&amp;".mIa"</f>
        <v>АСУЭ.TOR_VV.mIa</v>
      </c>
      <c r="B395" s="279">
        <v>7998</v>
      </c>
      <c r="C395" s="279" t="s">
        <v>6</v>
      </c>
      <c r="D395" s="280">
        <v>1</v>
      </c>
    </row>
    <row r="396" spans="1:20">
      <c r="A396" s="278" t="str">
        <f t="shared" si="43"/>
        <v>АСУЭ.TOR_VV.mIa</v>
      </c>
      <c r="B396" s="279">
        <v>101</v>
      </c>
      <c r="C396" s="279" t="s">
        <v>0</v>
      </c>
      <c r="D396" s="280" t="s">
        <v>361</v>
      </c>
    </row>
    <row r="397" spans="1:20">
      <c r="A397" s="278" t="str">
        <f t="shared" si="43"/>
        <v>АСУЭ.TOR_VV.mIa</v>
      </c>
      <c r="B397" s="279">
        <v>3</v>
      </c>
      <c r="C397" s="279" t="s">
        <v>1</v>
      </c>
      <c r="D397" s="280">
        <v>192</v>
      </c>
    </row>
    <row r="398" spans="1:20">
      <c r="A398" s="278" t="str">
        <f t="shared" si="43"/>
        <v>АСУЭ.TOR_VV.mIa</v>
      </c>
      <c r="B398" s="279">
        <v>2</v>
      </c>
      <c r="C398" s="279" t="s">
        <v>80</v>
      </c>
      <c r="D398" s="280">
        <v>0</v>
      </c>
    </row>
    <row r="399" spans="1:20">
      <c r="A399" s="281" t="str">
        <f t="shared" si="43"/>
        <v>АСУЭ.TOR_VV.mIa</v>
      </c>
      <c r="B399" s="282">
        <v>1</v>
      </c>
      <c r="C399" s="282" t="s">
        <v>1</v>
      </c>
      <c r="D399" s="283">
        <v>4</v>
      </c>
    </row>
    <row r="400" spans="1:20">
      <c r="A400" s="275" t="str">
        <f>$R$2&amp;".mIb"</f>
        <v>АСУЭ.TOR_VV.mIb</v>
      </c>
      <c r="B400" s="276">
        <v>7999</v>
      </c>
      <c r="C400" s="276" t="s">
        <v>0</v>
      </c>
      <c r="D400" s="277" t="str">
        <f>"#"&amp;$S$2&amp;"#"&amp;$T$2&amp;"."&amp;$P$2&amp;".mIb"</f>
        <v>#3#\\Setup_rza\Modbus.OPCServer\ZRU_Sepam.VV1_TOR.mIb</v>
      </c>
      <c r="Q400" s="1"/>
      <c r="R400" s="1"/>
      <c r="S400" s="1"/>
      <c r="T400" s="1"/>
    </row>
    <row r="401" spans="1:20">
      <c r="A401" s="278" t="str">
        <f t="shared" ref="A401:A405" si="44">$R$2&amp;".mIb"</f>
        <v>АСУЭ.TOR_VV.mIb</v>
      </c>
      <c r="B401" s="279">
        <v>7998</v>
      </c>
      <c r="C401" s="279" t="s">
        <v>6</v>
      </c>
      <c r="D401" s="280">
        <v>1</v>
      </c>
      <c r="Q401" s="1"/>
      <c r="R401" s="1"/>
      <c r="S401" s="1"/>
      <c r="T401" s="1"/>
    </row>
    <row r="402" spans="1:20">
      <c r="A402" s="278" t="str">
        <f t="shared" si="44"/>
        <v>АСУЭ.TOR_VV.mIb</v>
      </c>
      <c r="B402" s="279">
        <v>101</v>
      </c>
      <c r="C402" s="279" t="s">
        <v>0</v>
      </c>
      <c r="D402" s="280" t="s">
        <v>362</v>
      </c>
      <c r="Q402" s="1"/>
      <c r="R402" s="1"/>
      <c r="S402" s="1"/>
      <c r="T402" s="1"/>
    </row>
    <row r="403" spans="1:20">
      <c r="A403" s="278" t="str">
        <f t="shared" si="44"/>
        <v>АСУЭ.TOR_VV.mIb</v>
      </c>
      <c r="B403" s="279">
        <v>3</v>
      </c>
      <c r="C403" s="279" t="s">
        <v>1</v>
      </c>
      <c r="D403" s="280">
        <v>192</v>
      </c>
      <c r="Q403" s="1"/>
      <c r="R403" s="1"/>
      <c r="S403" s="1"/>
      <c r="T403" s="1"/>
    </row>
    <row r="404" spans="1:20">
      <c r="A404" s="278" t="str">
        <f t="shared" si="44"/>
        <v>АСУЭ.TOR_VV.mIb</v>
      </c>
      <c r="B404" s="279">
        <v>2</v>
      </c>
      <c r="C404" s="279" t="s">
        <v>80</v>
      </c>
      <c r="D404" s="280">
        <v>0</v>
      </c>
      <c r="Q404" s="1"/>
      <c r="R404" s="1"/>
      <c r="S404" s="1"/>
      <c r="T404" s="1"/>
    </row>
    <row r="405" spans="1:20">
      <c r="A405" s="281" t="str">
        <f t="shared" si="44"/>
        <v>АСУЭ.TOR_VV.mIb</v>
      </c>
      <c r="B405" s="282">
        <v>1</v>
      </c>
      <c r="C405" s="282" t="s">
        <v>1</v>
      </c>
      <c r="D405" s="283">
        <v>4</v>
      </c>
      <c r="Q405" s="1"/>
      <c r="R405" s="1"/>
      <c r="S405" s="1"/>
      <c r="T405" s="1"/>
    </row>
    <row r="406" spans="1:20">
      <c r="A406" s="275" t="str">
        <f>$R$2&amp;".mIc"</f>
        <v>АСУЭ.TOR_VV.mIc</v>
      </c>
      <c r="B406" s="276">
        <v>7999</v>
      </c>
      <c r="C406" s="276" t="s">
        <v>0</v>
      </c>
      <c r="D406" s="277" t="str">
        <f>"#"&amp;$S$2&amp;"#"&amp;$T$2&amp;"."&amp;$P$2&amp;".mIc"</f>
        <v>#3#\\Setup_rza\Modbus.OPCServer\ZRU_Sepam.VV1_TOR.mIc</v>
      </c>
      <c r="Q406" s="1"/>
      <c r="R406" s="1"/>
      <c r="S406" s="1"/>
      <c r="T406" s="1"/>
    </row>
    <row r="407" spans="1:20">
      <c r="A407" s="278" t="str">
        <f t="shared" ref="A407:A411" si="45">$R$2&amp;".mIc"</f>
        <v>АСУЭ.TOR_VV.mIc</v>
      </c>
      <c r="B407" s="279">
        <v>7998</v>
      </c>
      <c r="C407" s="279" t="s">
        <v>6</v>
      </c>
      <c r="D407" s="280">
        <v>1</v>
      </c>
      <c r="Q407" s="1"/>
      <c r="R407" s="1"/>
      <c r="S407" s="1"/>
      <c r="T407" s="1"/>
    </row>
    <row r="408" spans="1:20">
      <c r="A408" s="278" t="str">
        <f t="shared" si="45"/>
        <v>АСУЭ.TOR_VV.mIc</v>
      </c>
      <c r="B408" s="279">
        <v>101</v>
      </c>
      <c r="C408" s="279" t="s">
        <v>0</v>
      </c>
      <c r="D408" s="280" t="s">
        <v>363</v>
      </c>
      <c r="Q408" s="1"/>
      <c r="R408" s="1"/>
      <c r="S408" s="1"/>
      <c r="T408" s="1"/>
    </row>
    <row r="409" spans="1:20">
      <c r="A409" s="278" t="str">
        <f t="shared" si="45"/>
        <v>АСУЭ.TOR_VV.mIc</v>
      </c>
      <c r="B409" s="279">
        <v>3</v>
      </c>
      <c r="C409" s="279" t="s">
        <v>1</v>
      </c>
      <c r="D409" s="280">
        <v>192</v>
      </c>
      <c r="Q409" s="1"/>
      <c r="R409" s="1"/>
      <c r="S409" s="1"/>
      <c r="T409" s="1"/>
    </row>
    <row r="410" spans="1:20">
      <c r="A410" s="278" t="str">
        <f t="shared" si="45"/>
        <v>АСУЭ.TOR_VV.mIc</v>
      </c>
      <c r="B410" s="279">
        <v>2</v>
      </c>
      <c r="C410" s="279" t="s">
        <v>80</v>
      </c>
      <c r="D410" s="280">
        <v>0</v>
      </c>
      <c r="Q410" s="1"/>
      <c r="R410" s="1"/>
      <c r="S410" s="1"/>
      <c r="T410" s="1"/>
    </row>
    <row r="411" spans="1:20">
      <c r="A411" s="281" t="str">
        <f t="shared" si="45"/>
        <v>АСУЭ.TOR_VV.mIc</v>
      </c>
      <c r="B411" s="282">
        <v>1</v>
      </c>
      <c r="C411" s="282" t="s">
        <v>1</v>
      </c>
      <c r="D411" s="283">
        <v>4</v>
      </c>
      <c r="Q411" s="1"/>
      <c r="R411" s="1"/>
      <c r="S411" s="1"/>
      <c r="T411" s="1"/>
    </row>
    <row r="412" spans="1:20">
      <c r="A412" s="275" t="str">
        <f>$R$2&amp;".mUab"</f>
        <v>АСУЭ.TOR_VV.mUab</v>
      </c>
      <c r="B412" s="276">
        <v>7999</v>
      </c>
      <c r="C412" s="276" t="s">
        <v>0</v>
      </c>
      <c r="D412" s="277" t="str">
        <f>"#"&amp;$S$2&amp;"#"&amp;$T$2&amp;"."&amp;$P$2&amp;".mUab"</f>
        <v>#3#\\Setup_rza\Modbus.OPCServer\ZRU_Sepam.VV1_TOR.mUab</v>
      </c>
      <c r="Q412" s="1"/>
      <c r="R412" s="1"/>
      <c r="S412" s="1"/>
      <c r="T412" s="1"/>
    </row>
    <row r="413" spans="1:20">
      <c r="A413" s="278" t="str">
        <f t="shared" ref="A413:A417" si="46">$R$2&amp;".mUab"</f>
        <v>АСУЭ.TOR_VV.mUab</v>
      </c>
      <c r="B413" s="279">
        <v>7998</v>
      </c>
      <c r="C413" s="279" t="s">
        <v>6</v>
      </c>
      <c r="D413" s="280">
        <v>1</v>
      </c>
      <c r="Q413" s="1"/>
      <c r="R413" s="1"/>
      <c r="S413" s="1"/>
      <c r="T413" s="1"/>
    </row>
    <row r="414" spans="1:20">
      <c r="A414" s="278" t="str">
        <f t="shared" si="46"/>
        <v>АСУЭ.TOR_VV.mUab</v>
      </c>
      <c r="B414" s="279">
        <v>101</v>
      </c>
      <c r="C414" s="279" t="s">
        <v>0</v>
      </c>
      <c r="D414" s="280" t="s">
        <v>2797</v>
      </c>
      <c r="Q414" s="1"/>
      <c r="R414" s="1"/>
      <c r="S414" s="1"/>
      <c r="T414" s="1"/>
    </row>
    <row r="415" spans="1:20">
      <c r="A415" s="278" t="str">
        <f t="shared" si="46"/>
        <v>АСУЭ.TOR_VV.mUab</v>
      </c>
      <c r="B415" s="279">
        <v>3</v>
      </c>
      <c r="C415" s="279" t="s">
        <v>1</v>
      </c>
      <c r="D415" s="280">
        <v>192</v>
      </c>
      <c r="Q415" s="1"/>
      <c r="R415" s="1"/>
      <c r="S415" s="1"/>
      <c r="T415" s="1"/>
    </row>
    <row r="416" spans="1:20">
      <c r="A416" s="278" t="str">
        <f t="shared" si="46"/>
        <v>АСУЭ.TOR_VV.mUab</v>
      </c>
      <c r="B416" s="279">
        <v>2</v>
      </c>
      <c r="C416" s="279" t="s">
        <v>80</v>
      </c>
      <c r="D416" s="280">
        <v>0</v>
      </c>
      <c r="Q416" s="1"/>
      <c r="R416" s="1"/>
      <c r="S416" s="1"/>
      <c r="T416" s="1"/>
    </row>
    <row r="417" spans="1:20">
      <c r="A417" s="281" t="str">
        <f t="shared" si="46"/>
        <v>АСУЭ.TOR_VV.mUab</v>
      </c>
      <c r="B417" s="282">
        <v>1</v>
      </c>
      <c r="C417" s="282" t="s">
        <v>1</v>
      </c>
      <c r="D417" s="283">
        <v>4</v>
      </c>
      <c r="Q417" s="1"/>
      <c r="R417" s="1"/>
      <c r="S417" s="1"/>
      <c r="T417" s="1"/>
    </row>
    <row r="418" spans="1:20">
      <c r="A418" s="275" t="str">
        <f>$R$2&amp;".mUbc"</f>
        <v>АСУЭ.TOR_VV.mUbc</v>
      </c>
      <c r="B418" s="276">
        <v>7999</v>
      </c>
      <c r="C418" s="276" t="s">
        <v>0</v>
      </c>
      <c r="D418" s="277" t="str">
        <f>"#"&amp;$S$2&amp;"#"&amp;$T$2&amp;"."&amp;$P$2&amp;".mUbc"</f>
        <v>#3#\\Setup_rza\Modbus.OPCServer\ZRU_Sepam.VV1_TOR.mUbc</v>
      </c>
      <c r="Q418" s="1"/>
      <c r="R418" s="1"/>
      <c r="S418" s="1"/>
      <c r="T418" s="1"/>
    </row>
    <row r="419" spans="1:20">
      <c r="A419" s="278" t="str">
        <f t="shared" ref="A419:A423" si="47">$R$2&amp;".mUbc"</f>
        <v>АСУЭ.TOR_VV.mUbc</v>
      </c>
      <c r="B419" s="279">
        <v>7998</v>
      </c>
      <c r="C419" s="279" t="s">
        <v>6</v>
      </c>
      <c r="D419" s="280">
        <v>1</v>
      </c>
      <c r="Q419" s="1"/>
      <c r="R419" s="1"/>
      <c r="S419" s="1"/>
      <c r="T419" s="1"/>
    </row>
    <row r="420" spans="1:20">
      <c r="A420" s="278" t="str">
        <f t="shared" si="47"/>
        <v>АСУЭ.TOR_VV.mUbc</v>
      </c>
      <c r="B420" s="279">
        <v>101</v>
      </c>
      <c r="C420" s="279" t="s">
        <v>0</v>
      </c>
      <c r="D420" s="280" t="s">
        <v>2798</v>
      </c>
      <c r="Q420" s="1"/>
      <c r="R420" s="1"/>
      <c r="S420" s="1"/>
      <c r="T420" s="1"/>
    </row>
    <row r="421" spans="1:20">
      <c r="A421" s="278" t="str">
        <f t="shared" si="47"/>
        <v>АСУЭ.TOR_VV.mUbc</v>
      </c>
      <c r="B421" s="279">
        <v>3</v>
      </c>
      <c r="C421" s="279" t="s">
        <v>1</v>
      </c>
      <c r="D421" s="280">
        <v>192</v>
      </c>
    </row>
    <row r="422" spans="1:20">
      <c r="A422" s="278" t="str">
        <f t="shared" si="47"/>
        <v>АСУЭ.TOR_VV.mUbc</v>
      </c>
      <c r="B422" s="279">
        <v>2</v>
      </c>
      <c r="C422" s="279" t="s">
        <v>80</v>
      </c>
      <c r="D422" s="280">
        <v>0</v>
      </c>
    </row>
    <row r="423" spans="1:20">
      <c r="A423" s="281" t="str">
        <f t="shared" si="47"/>
        <v>АСУЭ.TOR_VV.mUbc</v>
      </c>
      <c r="B423" s="282">
        <v>1</v>
      </c>
      <c r="C423" s="282" t="s">
        <v>1</v>
      </c>
      <c r="D423" s="283">
        <v>4</v>
      </c>
    </row>
    <row r="424" spans="1:20">
      <c r="A424" s="275" t="str">
        <f>$R$2&amp;".mUac"</f>
        <v>АСУЭ.TOR_VV.mUac</v>
      </c>
      <c r="B424" s="276">
        <v>7999</v>
      </c>
      <c r="C424" s="276" t="s">
        <v>0</v>
      </c>
      <c r="D424" s="277" t="str">
        <f>"#"&amp;$S$2&amp;"#"&amp;$T$2&amp;"."&amp;$P$2&amp;".mUac"</f>
        <v>#3#\\Setup_rza\Modbus.OPCServer\ZRU_Sepam.VV1_TOR.mUac</v>
      </c>
    </row>
    <row r="425" spans="1:20">
      <c r="A425" s="278" t="str">
        <f t="shared" ref="A425:A429" si="48">$R$2&amp;".mUac"</f>
        <v>АСУЭ.TOR_VV.mUac</v>
      </c>
      <c r="B425" s="279">
        <v>7998</v>
      </c>
      <c r="C425" s="279" t="s">
        <v>6</v>
      </c>
      <c r="D425" s="280">
        <v>1</v>
      </c>
    </row>
    <row r="426" spans="1:20">
      <c r="A426" s="278" t="str">
        <f t="shared" si="48"/>
        <v>АСУЭ.TOR_VV.mUac</v>
      </c>
      <c r="B426" s="279">
        <v>101</v>
      </c>
      <c r="C426" s="279" t="s">
        <v>0</v>
      </c>
      <c r="D426" s="280" t="s">
        <v>2799</v>
      </c>
    </row>
    <row r="427" spans="1:20">
      <c r="A427" s="278" t="str">
        <f t="shared" si="48"/>
        <v>АСУЭ.TOR_VV.mUac</v>
      </c>
      <c r="B427" s="279">
        <v>3</v>
      </c>
      <c r="C427" s="279" t="s">
        <v>1</v>
      </c>
      <c r="D427" s="280">
        <v>192</v>
      </c>
    </row>
    <row r="428" spans="1:20">
      <c r="A428" s="278" t="str">
        <f t="shared" si="48"/>
        <v>АСУЭ.TOR_VV.mUac</v>
      </c>
      <c r="B428" s="279">
        <v>2</v>
      </c>
      <c r="C428" s="279" t="s">
        <v>80</v>
      </c>
      <c r="D428" s="280">
        <v>0</v>
      </c>
    </row>
    <row r="429" spans="1:20">
      <c r="A429" s="281" t="str">
        <f t="shared" si="48"/>
        <v>АСУЭ.TOR_VV.mUac</v>
      </c>
      <c r="B429" s="282">
        <v>1</v>
      </c>
      <c r="C429" s="282" t="s">
        <v>1</v>
      </c>
      <c r="D429" s="283">
        <v>4</v>
      </c>
    </row>
    <row r="430" spans="1:20">
      <c r="A430" s="275" t="str">
        <f>$R$2&amp;".mP"</f>
        <v>АСУЭ.TOR_VV.mP</v>
      </c>
      <c r="B430" s="276">
        <v>7999</v>
      </c>
      <c r="C430" s="276" t="s">
        <v>0</v>
      </c>
      <c r="D430" s="277" t="str">
        <f>"#"&amp;$S$2&amp;"#"&amp;$T$2&amp;"."&amp;$P$2&amp;".mP"</f>
        <v>#3#\\Setup_rza\Modbus.OPCServer\ZRU_Sepam.VV1_TOR.mP</v>
      </c>
    </row>
    <row r="431" spans="1:20">
      <c r="A431" s="278" t="str">
        <f t="shared" ref="A431:A435" si="49">$R$2&amp;".mP"</f>
        <v>АСУЭ.TOR_VV.mP</v>
      </c>
      <c r="B431" s="279">
        <v>7998</v>
      </c>
      <c r="C431" s="279" t="s">
        <v>6</v>
      </c>
      <c r="D431" s="280">
        <v>1</v>
      </c>
    </row>
    <row r="432" spans="1:20">
      <c r="A432" s="278" t="str">
        <f t="shared" si="49"/>
        <v>АСУЭ.TOR_VV.mP</v>
      </c>
      <c r="B432" s="279">
        <v>101</v>
      </c>
      <c r="C432" s="279" t="s">
        <v>0</v>
      </c>
      <c r="D432" s="280" t="s">
        <v>1686</v>
      </c>
    </row>
    <row r="433" spans="1:4">
      <c r="A433" s="278" t="str">
        <f t="shared" si="49"/>
        <v>АСУЭ.TOR_VV.mP</v>
      </c>
      <c r="B433" s="279">
        <v>3</v>
      </c>
      <c r="C433" s="279" t="s">
        <v>1</v>
      </c>
      <c r="D433" s="280">
        <v>192</v>
      </c>
    </row>
    <row r="434" spans="1:4">
      <c r="A434" s="278" t="str">
        <f t="shared" si="49"/>
        <v>АСУЭ.TOR_VV.mP</v>
      </c>
      <c r="B434" s="279">
        <v>2</v>
      </c>
      <c r="C434" s="279" t="s">
        <v>80</v>
      </c>
      <c r="D434" s="280">
        <v>0</v>
      </c>
    </row>
    <row r="435" spans="1:4">
      <c r="A435" s="281" t="str">
        <f t="shared" si="49"/>
        <v>АСУЭ.TOR_VV.mP</v>
      </c>
      <c r="B435" s="282">
        <v>1</v>
      </c>
      <c r="C435" s="282" t="s">
        <v>1</v>
      </c>
      <c r="D435" s="283">
        <v>4</v>
      </c>
    </row>
    <row r="436" spans="1:4">
      <c r="A436" s="275" t="str">
        <f>$R$2&amp;".mQ"</f>
        <v>АСУЭ.TOR_VV.mQ</v>
      </c>
      <c r="B436" s="276">
        <v>7999</v>
      </c>
      <c r="C436" s="276" t="s">
        <v>0</v>
      </c>
      <c r="D436" s="277" t="str">
        <f>"#"&amp;$S$2&amp;"#"&amp;$T$2&amp;"."&amp;$P$2&amp;".mQ"</f>
        <v>#3#\\Setup_rza\Modbus.OPCServer\ZRU_Sepam.VV1_TOR.mQ</v>
      </c>
    </row>
    <row r="437" spans="1:4">
      <c r="A437" s="278" t="str">
        <f t="shared" ref="A437:A441" si="50">$R$2&amp;".mQ"</f>
        <v>АСУЭ.TOR_VV.mQ</v>
      </c>
      <c r="B437" s="279">
        <v>7998</v>
      </c>
      <c r="C437" s="279" t="s">
        <v>6</v>
      </c>
      <c r="D437" s="280">
        <v>1</v>
      </c>
    </row>
    <row r="438" spans="1:4">
      <c r="A438" s="278" t="str">
        <f t="shared" si="50"/>
        <v>АСУЭ.TOR_VV.mQ</v>
      </c>
      <c r="B438" s="279">
        <v>101</v>
      </c>
      <c r="C438" s="279" t="s">
        <v>0</v>
      </c>
      <c r="D438" s="280" t="s">
        <v>1687</v>
      </c>
    </row>
    <row r="439" spans="1:4">
      <c r="A439" s="278" t="str">
        <f t="shared" si="50"/>
        <v>АСУЭ.TOR_VV.mQ</v>
      </c>
      <c r="B439" s="279">
        <v>3</v>
      </c>
      <c r="C439" s="279" t="s">
        <v>1</v>
      </c>
      <c r="D439" s="280">
        <v>192</v>
      </c>
    </row>
    <row r="440" spans="1:4">
      <c r="A440" s="278" t="str">
        <f t="shared" si="50"/>
        <v>АСУЭ.TOR_VV.mQ</v>
      </c>
      <c r="B440" s="279">
        <v>2</v>
      </c>
      <c r="C440" s="279" t="s">
        <v>80</v>
      </c>
      <c r="D440" s="280">
        <v>0</v>
      </c>
    </row>
    <row r="441" spans="1:4">
      <c r="A441" s="281" t="str">
        <f t="shared" si="50"/>
        <v>АСУЭ.TOR_VV.mQ</v>
      </c>
      <c r="B441" s="282">
        <v>1</v>
      </c>
      <c r="C441" s="282" t="s">
        <v>1</v>
      </c>
      <c r="D441" s="283">
        <v>4</v>
      </c>
    </row>
    <row r="442" spans="1:4">
      <c r="A442" s="275" t="str">
        <f>$R$2&amp;".mS"</f>
        <v>АСУЭ.TOR_VV.mS</v>
      </c>
      <c r="B442" s="276">
        <v>7999</v>
      </c>
      <c r="C442" s="276" t="s">
        <v>0</v>
      </c>
      <c r="D442" s="277" t="str">
        <f>"#"&amp;$S$2&amp;"#"&amp;$T$2&amp;"."&amp;$P$2&amp;".mS"</f>
        <v>#3#\\Setup_rza\Modbus.OPCServer\ZRU_Sepam.VV1_TOR.mS</v>
      </c>
    </row>
    <row r="443" spans="1:4">
      <c r="A443" s="278" t="str">
        <f t="shared" ref="A443:A447" si="51">$R$2&amp;".mS"</f>
        <v>АСУЭ.TOR_VV.mS</v>
      </c>
      <c r="B443" s="279">
        <v>7998</v>
      </c>
      <c r="C443" s="279" t="s">
        <v>6</v>
      </c>
      <c r="D443" s="280">
        <v>1</v>
      </c>
    </row>
    <row r="444" spans="1:4">
      <c r="A444" s="278" t="str">
        <f t="shared" si="51"/>
        <v>АСУЭ.TOR_VV.mS</v>
      </c>
      <c r="B444" s="279">
        <v>101</v>
      </c>
      <c r="C444" s="279" t="s">
        <v>0</v>
      </c>
      <c r="D444" s="280" t="s">
        <v>1688</v>
      </c>
    </row>
    <row r="445" spans="1:4">
      <c r="A445" s="278" t="str">
        <f t="shared" si="51"/>
        <v>АСУЭ.TOR_VV.mS</v>
      </c>
      <c r="B445" s="279">
        <v>3</v>
      </c>
      <c r="C445" s="279" t="s">
        <v>1</v>
      </c>
      <c r="D445" s="280">
        <v>192</v>
      </c>
    </row>
    <row r="446" spans="1:4">
      <c r="A446" s="278" t="str">
        <f t="shared" si="51"/>
        <v>АСУЭ.TOR_VV.mS</v>
      </c>
      <c r="B446" s="279">
        <v>2</v>
      </c>
      <c r="C446" s="279" t="s">
        <v>80</v>
      </c>
      <c r="D446" s="280">
        <v>0</v>
      </c>
    </row>
    <row r="447" spans="1:4">
      <c r="A447" s="281" t="str">
        <f t="shared" si="51"/>
        <v>АСУЭ.TOR_VV.mS</v>
      </c>
      <c r="B447" s="282">
        <v>1</v>
      </c>
      <c r="C447" s="282" t="s">
        <v>1</v>
      </c>
      <c r="D447" s="283">
        <v>4</v>
      </c>
    </row>
    <row r="448" spans="1:4">
      <c r="A448" s="275" t="str">
        <f>$R$2&amp;".mCos"</f>
        <v>АСУЭ.TOR_VV.mCos</v>
      </c>
      <c r="B448" s="276">
        <v>7999</v>
      </c>
      <c r="C448" s="276" t="s">
        <v>0</v>
      </c>
      <c r="D448" s="277" t="str">
        <f>"#"&amp;$S$2&amp;"#"&amp;$T$2&amp;"."&amp;$P$2&amp;".mCos"</f>
        <v>#3#\\Setup_rza\Modbus.OPCServer\ZRU_Sepam.VV1_TOR.mCos</v>
      </c>
    </row>
    <row r="449" spans="1:4">
      <c r="A449" s="278" t="str">
        <f t="shared" ref="A449:A453" si="52">$R$2&amp;".mCos"</f>
        <v>АСУЭ.TOR_VV.mCos</v>
      </c>
      <c r="B449" s="279">
        <v>7998</v>
      </c>
      <c r="C449" s="279" t="s">
        <v>6</v>
      </c>
      <c r="D449" s="280">
        <v>1</v>
      </c>
    </row>
    <row r="450" spans="1:4">
      <c r="A450" s="278" t="str">
        <f t="shared" si="52"/>
        <v>АСУЭ.TOR_VV.mCos</v>
      </c>
      <c r="B450" s="279">
        <v>101</v>
      </c>
      <c r="C450" s="279" t="s">
        <v>0</v>
      </c>
      <c r="D450" s="280" t="s">
        <v>2800</v>
      </c>
    </row>
    <row r="451" spans="1:4">
      <c r="A451" s="278" t="str">
        <f t="shared" si="52"/>
        <v>АСУЭ.TOR_VV.mCos</v>
      </c>
      <c r="B451" s="279">
        <v>3</v>
      </c>
      <c r="C451" s="279" t="s">
        <v>1</v>
      </c>
      <c r="D451" s="280">
        <v>192</v>
      </c>
    </row>
    <row r="452" spans="1:4">
      <c r="A452" s="278" t="str">
        <f t="shared" si="52"/>
        <v>АСУЭ.TOR_VV.mCos</v>
      </c>
      <c r="B452" s="279">
        <v>2</v>
      </c>
      <c r="C452" s="279" t="s">
        <v>80</v>
      </c>
      <c r="D452" s="280">
        <v>0</v>
      </c>
    </row>
    <row r="453" spans="1:4">
      <c r="A453" s="281" t="str">
        <f t="shared" si="52"/>
        <v>АСУЭ.TOR_VV.mCos</v>
      </c>
      <c r="B453" s="282">
        <v>1</v>
      </c>
      <c r="C453" s="282" t="s">
        <v>1</v>
      </c>
      <c r="D453" s="283">
        <v>4</v>
      </c>
    </row>
    <row r="454" spans="1:4">
      <c r="A454" s="275" t="str">
        <f>$R$2&amp;".mComNum"</f>
        <v>АСУЭ.TOR_VV.mComNum</v>
      </c>
      <c r="B454" s="276">
        <v>7999</v>
      </c>
      <c r="C454" s="276" t="s">
        <v>0</v>
      </c>
      <c r="D454" s="277" t="str">
        <f>"#"&amp;$S$2&amp;"#"&amp;$T$2&amp;"."&amp;$P$2&amp;".mComNum"</f>
        <v>#3#\\Setup_rza\Modbus.OPCServer\ZRU_Sepam.VV1_TOR.mComNum</v>
      </c>
    </row>
    <row r="455" spans="1:4">
      <c r="A455" s="278" t="str">
        <f t="shared" ref="A455:A459" si="53">$R$2&amp;".mComNum"</f>
        <v>АСУЭ.TOR_VV.mComNum</v>
      </c>
      <c r="B455" s="279">
        <v>7998</v>
      </c>
      <c r="C455" s="279" t="s">
        <v>6</v>
      </c>
      <c r="D455" s="280">
        <v>1</v>
      </c>
    </row>
    <row r="456" spans="1:4">
      <c r="A456" s="278" t="str">
        <f t="shared" si="53"/>
        <v>АСУЭ.TOR_VV.mComNum</v>
      </c>
      <c r="B456" s="279">
        <v>101</v>
      </c>
      <c r="C456" s="279" t="s">
        <v>0</v>
      </c>
      <c r="D456" s="280" t="s">
        <v>2801</v>
      </c>
    </row>
    <row r="457" spans="1:4">
      <c r="A457" s="278" t="str">
        <f t="shared" si="53"/>
        <v>АСУЭ.TOR_VV.mComNum</v>
      </c>
      <c r="B457" s="279">
        <v>3</v>
      </c>
      <c r="C457" s="279" t="s">
        <v>1</v>
      </c>
      <c r="D457" s="280">
        <v>192</v>
      </c>
    </row>
    <row r="458" spans="1:4">
      <c r="A458" s="278" t="str">
        <f t="shared" si="53"/>
        <v>АСУЭ.TOR_VV.mComNum</v>
      </c>
      <c r="B458" s="279">
        <v>2</v>
      </c>
      <c r="C458" s="279" t="s">
        <v>80</v>
      </c>
      <c r="D458" s="280">
        <v>0</v>
      </c>
    </row>
    <row r="459" spans="1:4">
      <c r="A459" s="281" t="str">
        <f t="shared" si="53"/>
        <v>АСУЭ.TOR_VV.mComNum</v>
      </c>
      <c r="B459" s="282">
        <v>1</v>
      </c>
      <c r="C459" s="282" t="s">
        <v>1</v>
      </c>
      <c r="D459" s="283">
        <v>4</v>
      </c>
    </row>
    <row r="460" spans="1:4">
      <c r="A460" s="275" t="str">
        <f>$R$2&amp;".mComNum_KZ"</f>
        <v>АСУЭ.TOR_VV.mComNum_KZ</v>
      </c>
      <c r="B460" s="276">
        <v>7999</v>
      </c>
      <c r="C460" s="276" t="s">
        <v>0</v>
      </c>
      <c r="D460" s="277" t="str">
        <f>"#"&amp;$S$2&amp;"#"&amp;$T$2&amp;"."&amp;$P$2&amp;".mComNum_KZ"</f>
        <v>#3#\\Setup_rza\Modbus.OPCServer\ZRU_Sepam.VV1_TOR.mComNum_KZ</v>
      </c>
    </row>
    <row r="461" spans="1:4">
      <c r="A461" s="278" t="str">
        <f t="shared" ref="A461:A465" si="54">$R$2&amp;".mComNum_KZ"</f>
        <v>АСУЭ.TOR_VV.mComNum_KZ</v>
      </c>
      <c r="B461" s="279">
        <v>7998</v>
      </c>
      <c r="C461" s="279" t="s">
        <v>6</v>
      </c>
      <c r="D461" s="280">
        <v>1</v>
      </c>
    </row>
    <row r="462" spans="1:4">
      <c r="A462" s="278" t="str">
        <f t="shared" si="54"/>
        <v>АСУЭ.TOR_VV.mComNum_KZ</v>
      </c>
      <c r="B462" s="279">
        <v>101</v>
      </c>
      <c r="C462" s="279" t="s">
        <v>0</v>
      </c>
      <c r="D462" s="280" t="s">
        <v>2802</v>
      </c>
    </row>
    <row r="463" spans="1:4">
      <c r="A463" s="278" t="str">
        <f t="shared" si="54"/>
        <v>АСУЭ.TOR_VV.mComNum_KZ</v>
      </c>
      <c r="B463" s="279">
        <v>3</v>
      </c>
      <c r="C463" s="279" t="s">
        <v>1</v>
      </c>
      <c r="D463" s="280">
        <v>192</v>
      </c>
    </row>
    <row r="464" spans="1:4">
      <c r="A464" s="278" t="str">
        <f t="shared" si="54"/>
        <v>АСУЭ.TOR_VV.mComNum_KZ</v>
      </c>
      <c r="B464" s="279">
        <v>2</v>
      </c>
      <c r="C464" s="279" t="s">
        <v>80</v>
      </c>
      <c r="D464" s="280">
        <v>0</v>
      </c>
    </row>
    <row r="465" spans="1:4">
      <c r="A465" s="281" t="str">
        <f t="shared" si="54"/>
        <v>АСУЭ.TOR_VV.mComNum_KZ</v>
      </c>
      <c r="B465" s="282">
        <v>1</v>
      </c>
      <c r="C465" s="282" t="s">
        <v>1</v>
      </c>
      <c r="D465" s="283">
        <v>4</v>
      </c>
    </row>
  </sheetData>
  <autoFilter ref="B1:B434" xr:uid="{00000000-0009-0000-0000-000033000000}"/>
  <mergeCells count="3">
    <mergeCell ref="D19:E19"/>
    <mergeCell ref="Q28:Q29"/>
    <mergeCell ref="Q30:Q31"/>
  </mergeCell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Лист207">
    <tabColor rgb="FFFFC000"/>
  </sheetPr>
  <dimension ref="A1:BP457"/>
  <sheetViews>
    <sheetView topLeftCell="A28" zoomScaleNormal="100" workbookViewId="0">
      <selection activeCell="D2" sqref="D2:D4"/>
    </sheetView>
  </sheetViews>
  <sheetFormatPr defaultRowHeight="14.4"/>
  <cols>
    <col min="1" max="1" width="66.4414062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64.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57" t="s">
        <v>84</v>
      </c>
      <c r="C1" s="257"/>
      <c r="D1" s="257"/>
      <c r="E1" s="257"/>
      <c r="F1" s="257"/>
      <c r="P1" s="753" t="str">
        <f>Таблица!D1</f>
        <v>Префикс для TREI
Тэг ОРС для INFINITY</v>
      </c>
      <c r="Q1" s="753" t="str">
        <f>Таблица!E1</f>
        <v>Комментарий для TREI и INFINITY</v>
      </c>
      <c r="R1" s="754" t="str">
        <f>Таблица!F1</f>
        <v>ТЭГ в дереве INFINITY Server</v>
      </c>
      <c r="S1" s="753"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755" t="str">
        <f>Таблица!H1</f>
        <v>OPC путь 
№ маршрута Modbus TCP, Modbus RTU, Modbus over TCP (1-255)
№ КП IEC104 (1-65534)</v>
      </c>
      <c r="U1" s="756" t="str">
        <f>Таблица!I1</f>
        <v>OPC путь</v>
      </c>
      <c r="V1" s="756" t="str">
        <f>Таблица!J1</f>
        <v>Мнемосхема</v>
      </c>
      <c r="W1" s="757"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757"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757" t="str">
        <f>Таблица!M1</f>
        <v>FB_IMt_MON_S, IMt_MON: Только для трансформатора. Цвет нижних обмоток(-ки) при наличии напряжения</v>
      </c>
      <c r="Z1" s="757"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757"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757" t="str">
        <f>Таблица!P1</f>
        <v xml:space="preserve">FB_DI_S, FB_DO_S, DI, DI_DIAG, FB_DO_STB_S: Тип сигнализации (Авария, предупреждение, телесигнализация и тд.)
FB_SHPS_S(SB), FB_BTF_S: Тип сигнализации XFRX
</v>
      </c>
      <c r="AC1" s="757"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757" t="str">
        <f>Таблица!R1</f>
        <v>SEPAM: Тип ячейки (OL,SV,VV,TN)
BMRZ: Тип ячейки (VV,AV)
TOR: Тип ячейки (OL,SV,VV,TN,BK)</v>
      </c>
      <c r="AE1" s="757" t="str">
        <f>Таблица!S1</f>
        <v>Формула для fNoLink.Device</v>
      </c>
      <c r="AF1" s="757">
        <f>Таблица!T1</f>
        <v>0</v>
      </c>
      <c r="AG1" s="757">
        <f>Таблица!U1</f>
        <v>0</v>
      </c>
      <c r="AH1" s="757">
        <f>Таблица!V1</f>
        <v>0</v>
      </c>
      <c r="AI1" s="757">
        <f>Таблица!W1</f>
        <v>0</v>
      </c>
      <c r="AJ1" s="757">
        <f>Таблица!X1</f>
        <v>0</v>
      </c>
      <c r="AK1" s="758" t="str">
        <f>Таблица!Y1</f>
        <v>FB_AI_S, FB_DI_S, FB_QSA_S, FB_DO_S, FB_SHPS_S, FB_SHOP_S, FB_BTF_S: IVXX
FB_KL_UPT_S: ISON
SW_S301, SW_MES3508: Подключение к порту 1
SW_MAYAK: Подключение к порту 1,2 (через "\")
DI_DIAG, DO_DIAG: XVLX</v>
      </c>
      <c r="AL1" s="758"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758"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758" t="str">
        <f>Таблица!AB1</f>
        <v>FB_IMstp_S, FB_IMsp_S, FB_IMs_S, FB_REG_S, FB_IM_ADES_S : ILCX
SW_S301: Подключение к порту 4
SW_MAYAK, SW_MES3508: Подключение к порту 7,8 (через "\")</v>
      </c>
      <c r="AO1" s="758" t="str">
        <f>Таблица!AC1</f>
        <v xml:space="preserve">FB_IMstp_S, FB_IMsp_S, FB_IMs_S, FB_IMp_S, FB_IMv_S, FB_REG_S, FB_IM_ADES_S, FB_DO_S : IRCX
SW_S301, SW_MES3508: Подключение к порту 5
SW_MAYAK: Подключение к порту 9,10 (через "\")
</v>
      </c>
      <c r="AP1" s="758"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758"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758" t="str">
        <f>Таблица!AF1</f>
        <v xml:space="preserve">FB_IMstp_S, FB_IMsp_S, FB_IMs_S, FB_IMp_S, FB_IMv_S, FB_IM_ADES_S, FB_OZK_KD_S, FB_DO_S: OXOF
SW_S301, SW_MES3508: Подключение к порту 8
SW_MAYAK: Подключение к порту 15,16 (через "\")
</v>
      </c>
      <c r="AS1" s="758" t="str">
        <f>Таблица!AG1</f>
        <v xml:space="preserve">FB_IM_ADES_S, FB_IMp_S, FB_IMv_S: OXSP
FB_IMstp_S, FB_IMsp_S, FB_IMsp_MON_S: IPTC
SW_S301, SW_MES3508: Подключение к порту 9
SW_MAYAK: Подключение к порту 17,18 (через "\")
</v>
      </c>
      <c r="AT1" s="758" t="str">
        <f>Таблица!AH1</f>
        <v xml:space="preserve">FB_IMstp_S, FB_IMst_MON_S, FB_IMt_MON_S: ITON
FB_IM_ADES_S: IOLD
SW_S301, SW_MES3508: Подключение к порту 10
SW_MAYAK: Подключение к порту 19,20 (через "\")
</v>
      </c>
      <c r="AU1" s="758" t="str">
        <f>Таблица!AI1</f>
        <v>FB_IMstp_S, FB_IMst_MON_S, FB_IMt_MON_S: ITOF
FB_IM_ADES_S: IRAD
SW_MAYAK: Подключение к порту 21,22 (через "\")</v>
      </c>
      <c r="AV1" s="758" t="str">
        <f>Таблица!AJ1</f>
        <v xml:space="preserve">FB_IMstp_S, FB_IMsp_S, FB_IMsp_MON_S, FB_IM_ADES_S: IPTO
SW_MAYAK: Подключение к порту 23,24 (через "\")
</v>
      </c>
      <c r="AW1" s="759"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759" t="str">
        <f>Таблица!AL1</f>
        <v>Для TREI
FB_IMstp_S, FB_IMs_S, FB_IMp_S, FB_IMv_S, FB_IM_ADES_S: Настройка перехода ручной-/автоматический-(TRUE/FALSE) 
FB_DI_S: Генерировать метки времени (TRUE/FALSE)</v>
      </c>
      <c r="AY1" s="759"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759" t="str">
        <f>Таблица!AN1</f>
        <v>Для TREI
FB_AI_S, FB_QSA_S: Верхний предел датчика
FB_IMp_S, FB_IMv_S, FB_IM_ADES_S, FB_OZK_KD_S: Время перестановки</v>
      </c>
      <c r="BA1" s="759"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t="s">
        <v>2765</v>
      </c>
      <c r="Q2" s="2" t="s">
        <v>2766</v>
      </c>
      <c r="R2" s="2" t="s">
        <v>2767</v>
      </c>
      <c r="S2" s="3">
        <v>3</v>
      </c>
      <c r="T2" s="3" t="s">
        <v>1700</v>
      </c>
      <c r="U2" s="3"/>
      <c r="V2" s="3" t="s">
        <v>569</v>
      </c>
      <c r="W2" s="12" t="s">
        <v>326</v>
      </c>
      <c r="X2" s="12" t="s">
        <v>327</v>
      </c>
      <c r="Y2" s="12"/>
      <c r="Z2" s="12"/>
      <c r="AA2" s="12"/>
      <c r="AB2" s="2"/>
      <c r="AC2" s="2" t="s">
        <v>305</v>
      </c>
      <c r="AD2" s="2" t="s">
        <v>1475</v>
      </c>
      <c r="AE2" s="2" t="s">
        <v>1414</v>
      </c>
      <c r="AF2" s="2"/>
      <c r="AG2" s="2"/>
      <c r="AH2" s="2"/>
      <c r="AI2" s="2"/>
      <c r="AJ2" s="2"/>
      <c r="AK2" s="2"/>
      <c r="AL2" s="2"/>
      <c r="AM2" s="2"/>
      <c r="AN2" s="2"/>
      <c r="AO2" s="2"/>
      <c r="AP2" s="2"/>
      <c r="AQ2" s="2"/>
      <c r="AR2" s="2"/>
      <c r="AS2" s="2"/>
      <c r="AT2" s="2"/>
      <c r="AU2" s="2"/>
      <c r="AV2" s="2"/>
      <c r="AW2" s="2"/>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3"/>
      <c r="V4" s="10"/>
      <c r="W4" s="10"/>
      <c r="X4" s="10"/>
      <c r="Y4" s="10"/>
      <c r="Z4" s="10"/>
      <c r="AA4" s="10"/>
      <c r="BM4" s="4"/>
      <c r="BN4" s="4"/>
      <c r="BO4" s="4"/>
      <c r="BP4" s="4"/>
    </row>
    <row r="5" spans="1:68" ht="15" customHeight="1">
      <c r="A5" s="9"/>
      <c r="B5" s="9"/>
      <c r="C5" s="9"/>
      <c r="D5" s="9"/>
      <c r="E5" s="9"/>
      <c r="F5" s="9"/>
      <c r="P5" s="6" t="str">
        <f>Настройки!A2</f>
        <v>Авария</v>
      </c>
      <c r="Q5" s="5">
        <f>Настройки!B2</f>
        <v>4</v>
      </c>
      <c r="R5" s="543" t="str">
        <f>Настройки!C2</f>
        <v>Авария</v>
      </c>
      <c r="S5" s="10"/>
      <c r="T5" s="458">
        <f>Настройки!M12</f>
        <v>1</v>
      </c>
      <c r="U5" s="14"/>
      <c r="V5" s="10"/>
      <c r="W5" s="10"/>
      <c r="X5" s="10"/>
      <c r="Y5" s="10"/>
      <c r="Z5" s="10"/>
      <c r="AA5" s="10"/>
      <c r="BM5" s="4"/>
      <c r="BN5" s="4"/>
      <c r="BO5" s="4"/>
      <c r="BP5" s="4"/>
    </row>
    <row r="6" spans="1:68" ht="15" customHeight="1">
      <c r="A6" s="9"/>
      <c r="B6" s="9"/>
      <c r="C6" s="9"/>
      <c r="D6" s="9"/>
      <c r="E6" s="9"/>
      <c r="F6" s="9"/>
      <c r="P6" s="6" t="str">
        <f>Настройки!A3</f>
        <v>Предупреждение</v>
      </c>
      <c r="Q6" s="5">
        <f>Настройки!B3</f>
        <v>8</v>
      </c>
      <c r="R6" s="543" t="str">
        <f>Настройки!C3</f>
        <v>Предупреждение</v>
      </c>
      <c r="S6" s="10"/>
      <c r="T6" s="562" t="str">
        <f>Настройки!M7</f>
        <v>Отображение Таблицы подлючений в диаг.</v>
      </c>
      <c r="U6" s="10"/>
      <c r="V6" s="10"/>
      <c r="W6" s="10"/>
      <c r="X6" s="10"/>
      <c r="Y6" s="10"/>
      <c r="Z6" s="10"/>
      <c r="AA6" s="10"/>
      <c r="BM6" s="4"/>
      <c r="BN6" s="4"/>
      <c r="BO6" s="4"/>
      <c r="BP6" s="4"/>
    </row>
    <row r="7" spans="1:68" ht="15" customHeight="1">
      <c r="A7" s="9"/>
      <c r="B7" s="9"/>
      <c r="C7" s="9"/>
      <c r="D7" s="9"/>
      <c r="E7" s="9"/>
      <c r="F7" s="9"/>
      <c r="P7" s="6" t="str">
        <f>Настройки!A4</f>
        <v>Неисправность</v>
      </c>
      <c r="Q7" s="5">
        <f>Настройки!B4</f>
        <v>12</v>
      </c>
      <c r="R7" s="543" t="str">
        <f>Настройки!C4</f>
        <v>Неисправность</v>
      </c>
      <c r="S7" s="10"/>
      <c r="T7" s="4" t="b">
        <f>Настройки!M8</f>
        <v>0</v>
      </c>
      <c r="U7" s="10"/>
      <c r="V7" s="10"/>
      <c r="W7" s="10"/>
      <c r="X7" s="10"/>
      <c r="Y7" s="10"/>
      <c r="Z7" s="10"/>
      <c r="AA7" s="10"/>
      <c r="BM7" s="4"/>
      <c r="BN7" s="4"/>
      <c r="BO7" s="4"/>
      <c r="BP7" s="4"/>
    </row>
    <row r="8" spans="1:68" ht="15" customHeight="1">
      <c r="A8" s="9"/>
      <c r="B8" s="9"/>
      <c r="C8" s="9"/>
      <c r="D8" s="9"/>
      <c r="E8" s="9"/>
      <c r="F8" s="9"/>
      <c r="P8" s="6" t="str">
        <f>Настройки!A5</f>
        <v>Телесигнализация</v>
      </c>
      <c r="Q8" s="5">
        <f>Настройки!B5</f>
        <v>18</v>
      </c>
      <c r="R8" s="543" t="str">
        <f>Настройки!C5</f>
        <v>Телесигнализация</v>
      </c>
      <c r="S8" s="10"/>
      <c r="T8" s="10"/>
      <c r="U8" s="10"/>
      <c r="V8" s="10"/>
      <c r="W8" s="10"/>
      <c r="X8" s="10"/>
      <c r="Y8" s="10"/>
      <c r="Z8" s="10"/>
      <c r="AA8" s="10"/>
      <c r="BM8" s="4"/>
      <c r="BN8" s="4"/>
      <c r="BO8" s="4"/>
      <c r="BP8" s="4"/>
    </row>
    <row r="9" spans="1:68" ht="15" customHeight="1">
      <c r="A9" s="9"/>
      <c r="B9" s="9"/>
      <c r="C9" s="9"/>
      <c r="D9" s="9"/>
      <c r="E9" s="9"/>
      <c r="F9" s="9"/>
      <c r="P9" s="6" t="str">
        <f>Настройки!A6</f>
        <v>Недостоверность</v>
      </c>
      <c r="Q9" s="5">
        <f>Настройки!B6</f>
        <v>10</v>
      </c>
      <c r="R9" s="543" t="str">
        <f>Настройки!C6</f>
        <v>Недостоверность</v>
      </c>
      <c r="S9" s="10"/>
      <c r="T9" s="10"/>
      <c r="U9" s="10"/>
      <c r="V9" s="10"/>
      <c r="W9" s="10"/>
      <c r="X9" s="10"/>
      <c r="Y9" s="10"/>
      <c r="Z9" s="10"/>
      <c r="AA9" s="10"/>
      <c r="BM9" s="4"/>
      <c r="BN9" s="4"/>
      <c r="BO9" s="4"/>
      <c r="BP9" s="4"/>
    </row>
    <row r="10" spans="1:68" ht="15" customHeight="1">
      <c r="A10" s="9"/>
      <c r="B10" s="9"/>
      <c r="C10" s="9"/>
      <c r="D10" s="9"/>
      <c r="E10" s="9"/>
      <c r="F10" s="9"/>
      <c r="P10" s="6" t="str">
        <f>Настройки!A7</f>
        <v>Имитация</v>
      </c>
      <c r="Q10" s="5">
        <f>Настройки!B7</f>
        <v>16</v>
      </c>
      <c r="R10" s="543" t="str">
        <f>Настройки!C7</f>
        <v>Имитация</v>
      </c>
      <c r="S10" s="10"/>
      <c r="T10" s="10"/>
      <c r="U10" s="10"/>
      <c r="V10" s="10"/>
      <c r="W10" s="10"/>
      <c r="X10" s="10"/>
      <c r="Y10" s="10"/>
      <c r="Z10" s="10"/>
      <c r="AA10" s="10"/>
      <c r="BM10" s="4"/>
      <c r="BN10" s="4"/>
      <c r="BO10" s="4"/>
      <c r="BP10" s="4"/>
    </row>
    <row r="11" spans="1:68" ht="15" customHeight="1">
      <c r="A11" s="9"/>
      <c r="B11" s="9"/>
      <c r="C11" s="9"/>
      <c r="D11" s="9"/>
      <c r="E11" s="9"/>
      <c r="F11" s="9"/>
      <c r="P11" s="6" t="str">
        <f>Настройки!A8</f>
        <v>Ремонт</v>
      </c>
      <c r="Q11" s="5">
        <f>Настройки!B8</f>
        <v>14</v>
      </c>
      <c r="R11" s="543" t="str">
        <f>Настройки!C8</f>
        <v>Ремонт</v>
      </c>
      <c r="S11" s="10"/>
      <c r="T11" s="10"/>
      <c r="U11" s="10"/>
      <c r="V11" s="10"/>
      <c r="W11" s="10"/>
      <c r="X11" s="10"/>
      <c r="Y11" s="10"/>
      <c r="Z11" s="10"/>
      <c r="AA11" s="10"/>
      <c r="BM11" s="4"/>
      <c r="BN11" s="4"/>
      <c r="BO11" s="4"/>
      <c r="BP11" s="4"/>
    </row>
    <row r="12" spans="1:68" ht="15" customHeight="1">
      <c r="A12" s="9"/>
      <c r="B12" s="9"/>
      <c r="C12" s="9"/>
      <c r="D12" s="9"/>
      <c r="E12" s="9"/>
      <c r="F12" s="9"/>
      <c r="P12" s="6" t="str">
        <f>Настройки!A9</f>
        <v>Команда оператора</v>
      </c>
      <c r="Q12" s="5">
        <f>Настройки!B9</f>
        <v>20</v>
      </c>
      <c r="R12" s="543" t="str">
        <f>Настройки!C9</f>
        <v>Команда оператора</v>
      </c>
      <c r="S12" s="10"/>
      <c r="T12" s="10"/>
      <c r="U12" s="10"/>
      <c r="V12" s="10"/>
      <c r="W12" s="10"/>
      <c r="X12" s="10"/>
      <c r="Y12" s="10"/>
      <c r="Z12" s="10"/>
      <c r="AA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M17" s="4"/>
      <c r="BN17" s="4"/>
      <c r="BO17" s="4"/>
      <c r="BP17" s="4"/>
    </row>
    <row r="18" spans="1:68" ht="15" customHeight="1" thickBo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M18" s="4"/>
      <c r="BN18" s="4"/>
      <c r="BO18" s="4"/>
      <c r="BP18" s="4"/>
    </row>
    <row r="19" spans="1:68" ht="15" customHeight="1" thickBot="1">
      <c r="A19" s="9"/>
      <c r="B19" s="9"/>
      <c r="C19" s="9"/>
      <c r="D19" s="783" t="s">
        <v>2808</v>
      </c>
      <c r="E19" s="782"/>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M19" s="4"/>
      <c r="BN19" s="4"/>
      <c r="BO19" s="4"/>
      <c r="BP19" s="4"/>
    </row>
    <row r="20" spans="1:68">
      <c r="A20" s="23" t="str">
        <f t="shared" ref="A20:A22" si="0">$R$2</f>
        <v>АСУЭ.TOR.VVR</v>
      </c>
      <c r="B20" s="24">
        <v>1</v>
      </c>
      <c r="C20" s="24" t="s">
        <v>1</v>
      </c>
      <c r="D20" s="25">
        <v>17</v>
      </c>
    </row>
    <row r="21" spans="1:68">
      <c r="A21" s="29" t="str">
        <f t="shared" si="0"/>
        <v>АСУЭ.TOR.VVR</v>
      </c>
      <c r="B21" s="1">
        <v>11001</v>
      </c>
      <c r="C21" s="1" t="s">
        <v>0</v>
      </c>
      <c r="D21" s="30" t="str">
        <f>$Q$2&amp;". "</f>
        <v xml:space="preserve">ТОР 200 16 ВВР. </v>
      </c>
    </row>
    <row r="22" spans="1:68">
      <c r="A22" s="29" t="str">
        <f t="shared" si="0"/>
        <v>АСУЭ.TOR.VVR</v>
      </c>
      <c r="B22" s="1">
        <v>11156</v>
      </c>
      <c r="C22" s="1" t="s">
        <v>0</v>
      </c>
      <c r="D22" s="30" t="str">
        <f>$V$2</f>
        <v>Тестовый экран</v>
      </c>
    </row>
    <row r="23" spans="1:68" ht="15" customHeight="1">
      <c r="A23" s="16" t="str">
        <f>$R$2</f>
        <v>АСУЭ.TOR.VVR</v>
      </c>
      <c r="B23" s="17">
        <v>100</v>
      </c>
      <c r="C23" s="17" t="s">
        <v>0</v>
      </c>
      <c r="D23" s="18" t="b">
        <f>$T$7</f>
        <v>0</v>
      </c>
      <c r="BF23" s="4"/>
      <c r="BG23" s="4"/>
      <c r="BH23" s="4"/>
      <c r="BI23" s="4"/>
    </row>
    <row r="24" spans="1:68">
      <c r="A24" s="29" t="str">
        <f>$R$2</f>
        <v>АСУЭ.TOR.VVR</v>
      </c>
      <c r="B24" s="1">
        <v>7011</v>
      </c>
      <c r="C24" s="1" t="s">
        <v>2</v>
      </c>
      <c r="D24" s="30" t="s">
        <v>266</v>
      </c>
    </row>
    <row r="25" spans="1:68">
      <c r="A25" s="19" t="str">
        <f t="shared" ref="A25" si="1">$R$2</f>
        <v>АСУЭ.TOR.VVR</v>
      </c>
      <c r="B25" s="11">
        <v>9218</v>
      </c>
      <c r="C25" s="11" t="s">
        <v>2</v>
      </c>
      <c r="D25" s="20" t="s">
        <v>175</v>
      </c>
    </row>
    <row r="26" spans="1:68" ht="15" customHeight="1">
      <c r="A26" s="19" t="str">
        <f>$R$2</f>
        <v>АСУЭ.TOR.VVR</v>
      </c>
      <c r="B26" s="11">
        <v>11127</v>
      </c>
      <c r="C26" s="11" t="s">
        <v>0</v>
      </c>
      <c r="D26" s="20">
        <f>$AK$2</f>
        <v>0</v>
      </c>
      <c r="BM26" s="4"/>
      <c r="BN26" s="4"/>
      <c r="BO26" s="4"/>
      <c r="BP26" s="4"/>
    </row>
    <row r="27" spans="1:68">
      <c r="A27" s="19" t="str">
        <f t="shared" ref="A27" si="2">$R$2</f>
        <v>АСУЭ.TOR.VVR</v>
      </c>
      <c r="B27" s="11">
        <v>11126</v>
      </c>
      <c r="C27" s="11" t="s">
        <v>0</v>
      </c>
      <c r="D27" s="20" t="str">
        <f>$AC$2</f>
        <v>Фиолетовый</v>
      </c>
    </row>
    <row r="28" spans="1:68">
      <c r="A28" s="23" t="str">
        <f>$R$2</f>
        <v>АСУЭ.TOR.VVR</v>
      </c>
      <c r="B28" s="24">
        <v>9219</v>
      </c>
      <c r="C28" s="24" t="s">
        <v>2</v>
      </c>
      <c r="D28" s="25" t="s">
        <v>3</v>
      </c>
      <c r="Q28" s="778" t="s">
        <v>224</v>
      </c>
    </row>
    <row r="29" spans="1:68">
      <c r="A29" s="29" t="str">
        <f>$R$2</f>
        <v>АСУЭ.TOR.VVR</v>
      </c>
      <c r="B29" s="27">
        <v>3009219</v>
      </c>
      <c r="C29" s="27" t="s">
        <v>0</v>
      </c>
      <c r="D29" s="28" t="str">
        <f>$X$2</f>
        <v>!АСУЭ.ЗРУиКТП.DI_1.XVLX.value &amp;&amp; АСУЭ.ЗРУиКТП.IMstp_1.XONX.value &amp;&amp; АСУЭ.ЗРУиКТП.IMstp_1.XTON.value</v>
      </c>
      <c r="Q29" s="779"/>
    </row>
    <row r="30" spans="1:68">
      <c r="A30" s="23" t="str">
        <f>$R$2</f>
        <v>АСУЭ.TOR.VVR</v>
      </c>
      <c r="B30" s="1">
        <v>9220</v>
      </c>
      <c r="C30" s="1" t="s">
        <v>2</v>
      </c>
      <c r="D30" s="30" t="s">
        <v>3</v>
      </c>
      <c r="Q30" s="778" t="s">
        <v>223</v>
      </c>
    </row>
    <row r="31" spans="1:68">
      <c r="A31" s="26" t="str">
        <f>$R$2</f>
        <v>АСУЭ.TOR.VVR</v>
      </c>
      <c r="B31" s="27">
        <v>3009220</v>
      </c>
      <c r="C31" s="27" t="s">
        <v>0</v>
      </c>
      <c r="D31" s="28" t="str">
        <f>$W$2</f>
        <v>!АСУЭ.ЗРУиКТП.DI_1.XVLX.value &amp;&amp; АСУЭ.ЗРУиКТП.IMstp_1.XTON.value</v>
      </c>
      <c r="Q31" s="779"/>
    </row>
    <row r="32" spans="1:68">
      <c r="A32" s="16" t="str">
        <f t="shared" ref="A32:A35" si="3">$R$2</f>
        <v>АСУЭ.TOR.VVR</v>
      </c>
      <c r="B32" s="17">
        <v>203</v>
      </c>
      <c r="C32" s="17" t="s">
        <v>2</v>
      </c>
      <c r="D32" s="18" t="s">
        <v>3</v>
      </c>
    </row>
    <row r="33" spans="1:61" ht="15" customHeight="1">
      <c r="A33" s="19" t="str">
        <f t="shared" si="3"/>
        <v>АСУЭ.TOR.VVR</v>
      </c>
      <c r="B33" s="11">
        <v>3000203</v>
      </c>
      <c r="C33" s="11" t="s">
        <v>0</v>
      </c>
      <c r="D33" s="18" t="s">
        <v>3</v>
      </c>
      <c r="BF33" s="4"/>
      <c r="BG33" s="4"/>
      <c r="BH33" s="4"/>
      <c r="BI33" s="4"/>
    </row>
    <row r="34" spans="1:61" ht="15" customHeight="1">
      <c r="A34" s="19" t="str">
        <f t="shared" si="3"/>
        <v>АСУЭ.TOR.VVR</v>
      </c>
      <c r="B34" s="11">
        <v>4000203</v>
      </c>
      <c r="C34" s="11" t="s">
        <v>0</v>
      </c>
      <c r="D34" s="20" t="s">
        <v>1775</v>
      </c>
      <c r="BF34" s="4"/>
      <c r="BG34" s="4"/>
      <c r="BH34" s="4"/>
      <c r="BI34" s="4"/>
    </row>
    <row r="35" spans="1:61" ht="15" customHeight="1">
      <c r="A35" s="21" t="str">
        <f t="shared" si="3"/>
        <v>АСУЭ.TOR.VVR</v>
      </c>
      <c r="B35" s="8">
        <v>7000203</v>
      </c>
      <c r="C35" s="8" t="s">
        <v>6</v>
      </c>
      <c r="D35" s="22">
        <v>2</v>
      </c>
      <c r="BF35" s="4"/>
      <c r="BG35" s="4"/>
      <c r="BH35" s="4"/>
      <c r="BI35" s="4"/>
    </row>
    <row r="36" spans="1:61">
      <c r="A36" s="16" t="str">
        <f>$R$2&amp;".Commands"</f>
        <v>АСУЭ.TOR.VVR.Commands</v>
      </c>
      <c r="B36" s="24">
        <v>1</v>
      </c>
      <c r="C36" s="24" t="s">
        <v>1</v>
      </c>
      <c r="D36" s="25">
        <v>17</v>
      </c>
    </row>
    <row r="37" spans="1:61">
      <c r="A37" s="29" t="str">
        <f>$R$2&amp;".Commands"</f>
        <v>АСУЭ.TOR.VVR.Commands</v>
      </c>
      <c r="B37" s="1">
        <v>7011</v>
      </c>
      <c r="C37" s="1" t="s">
        <v>2</v>
      </c>
      <c r="D37" s="30" t="s">
        <v>266</v>
      </c>
    </row>
    <row r="38" spans="1:61" ht="15" customHeight="1">
      <c r="A38" s="29" t="str">
        <f>$R$2&amp;".Commands"</f>
        <v>АСУЭ.TOR.VVR.Commands</v>
      </c>
      <c r="B38">
        <v>9213</v>
      </c>
      <c r="C38" s="11" t="s">
        <v>2583</v>
      </c>
      <c r="D38" s="30">
        <v>2</v>
      </c>
      <c r="BF38" s="4"/>
      <c r="BG38" s="4"/>
      <c r="BH38" s="4"/>
      <c r="BI38" s="4"/>
    </row>
    <row r="39" spans="1:61">
      <c r="A39" s="19" t="str">
        <f>$R$2&amp;".Commands"</f>
        <v>АСУЭ.TOR.VVR.Commands</v>
      </c>
      <c r="B39" s="11">
        <v>9214</v>
      </c>
      <c r="C39" s="11" t="s">
        <v>2</v>
      </c>
      <c r="D39" s="20" t="s">
        <v>3</v>
      </c>
    </row>
    <row r="40" spans="1:61">
      <c r="A40" s="19" t="str">
        <f t="shared" ref="A40:A42" si="4">$R$2&amp;".Commands"</f>
        <v>АСУЭ.TOR.VVR.Commands</v>
      </c>
      <c r="B40" s="11">
        <v>9215</v>
      </c>
      <c r="C40" s="11" t="s">
        <v>2</v>
      </c>
      <c r="D40" s="20" t="s">
        <v>3</v>
      </c>
    </row>
    <row r="41" spans="1:61">
      <c r="A41" s="19" t="str">
        <f t="shared" si="4"/>
        <v>АСУЭ.TOR.VVR.Commands</v>
      </c>
      <c r="B41" s="11">
        <v>9216</v>
      </c>
      <c r="C41" s="11" t="s">
        <v>2</v>
      </c>
      <c r="D41" s="20" t="s">
        <v>3</v>
      </c>
    </row>
    <row r="42" spans="1:61">
      <c r="A42" s="21" t="str">
        <f t="shared" si="4"/>
        <v>АСУЭ.TOR.VVR.Commands</v>
      </c>
      <c r="B42" s="8">
        <v>9217</v>
      </c>
      <c r="C42" s="8" t="s">
        <v>2</v>
      </c>
      <c r="D42" s="22" t="s">
        <v>3</v>
      </c>
    </row>
    <row r="43" spans="1:61">
      <c r="A43" s="156" t="str">
        <f>$R$2&amp;".aCall"</f>
        <v>АСУЭ.TOR.VVR.aCall</v>
      </c>
      <c r="B43" s="157">
        <v>11154</v>
      </c>
      <c r="C43" s="157" t="s">
        <v>4</v>
      </c>
      <c r="D43" s="760">
        <f>$Q$5</f>
        <v>4</v>
      </c>
    </row>
    <row r="44" spans="1:61">
      <c r="A44" s="148" t="str">
        <f t="shared" ref="A44:A52" si="5">$R$2&amp;".aCall"</f>
        <v>АСУЭ.TOR.VVR.aCall</v>
      </c>
      <c r="B44" s="149">
        <v>11150</v>
      </c>
      <c r="C44" s="149" t="s">
        <v>0</v>
      </c>
      <c r="D44" s="125" t="s">
        <v>2769</v>
      </c>
    </row>
    <row r="45" spans="1:61">
      <c r="A45" s="148" t="str">
        <f t="shared" si="5"/>
        <v>АСУЭ.TOR.VVR.aCall</v>
      </c>
      <c r="B45" s="149">
        <v>11152</v>
      </c>
      <c r="C45" s="149" t="s">
        <v>0</v>
      </c>
      <c r="D45" s="158" t="str">
        <f>$R$5</f>
        <v>Авария</v>
      </c>
    </row>
    <row r="46" spans="1:61" ht="14.25" customHeight="1">
      <c r="A46" s="148" t="str">
        <f t="shared" si="5"/>
        <v>АСУЭ.TOR.VVR.aCall</v>
      </c>
      <c r="B46" s="149">
        <v>11000</v>
      </c>
      <c r="C46" s="149" t="s">
        <v>5</v>
      </c>
      <c r="D46" s="125">
        <v>2147483680</v>
      </c>
    </row>
    <row r="47" spans="1:61">
      <c r="A47" s="19" t="str">
        <f t="shared" si="5"/>
        <v>АСУЭ.TOR.VVR.aCall</v>
      </c>
      <c r="B47" s="11">
        <v>7999</v>
      </c>
      <c r="C47" s="11" t="s">
        <v>0</v>
      </c>
      <c r="D47" s="20" t="str">
        <f>"#"&amp;$S$2&amp;"#"&amp;$T$2&amp;"."&amp;$P$2&amp;".aCall"</f>
        <v>#3#\\Setup_rza\Modbus.OPCServer\KTP_BMRZ.TOR200_VVR.aCall</v>
      </c>
    </row>
    <row r="48" spans="1:61">
      <c r="A48" s="19" t="str">
        <f t="shared" si="5"/>
        <v>АСУЭ.TOR.VVR.aCall</v>
      </c>
      <c r="B48" s="11">
        <v>7998</v>
      </c>
      <c r="C48" s="11" t="s">
        <v>6</v>
      </c>
      <c r="D48" s="20">
        <v>1</v>
      </c>
    </row>
    <row r="49" spans="1:4">
      <c r="A49" s="19" t="str">
        <f t="shared" si="5"/>
        <v>АСУЭ.TOR.VVR.aCall</v>
      </c>
      <c r="B49" s="11">
        <v>101</v>
      </c>
      <c r="C49" s="11" t="s">
        <v>0</v>
      </c>
      <c r="D49" s="20" t="s">
        <v>2769</v>
      </c>
    </row>
    <row r="50" spans="1:4">
      <c r="A50" s="19" t="str">
        <f t="shared" si="5"/>
        <v>АСУЭ.TOR.VVR.aCall</v>
      </c>
      <c r="B50" s="11">
        <v>3</v>
      </c>
      <c r="C50" s="11" t="s">
        <v>1</v>
      </c>
      <c r="D50" s="20">
        <v>192</v>
      </c>
    </row>
    <row r="51" spans="1:4">
      <c r="A51" s="19" t="str">
        <f t="shared" si="5"/>
        <v>АСУЭ.TOR.VVR.aCall</v>
      </c>
      <c r="B51" s="11">
        <v>2</v>
      </c>
      <c r="C51" s="11" t="s">
        <v>2</v>
      </c>
      <c r="D51" s="20" t="s">
        <v>3</v>
      </c>
    </row>
    <row r="52" spans="1:4">
      <c r="A52" s="21" t="str">
        <f t="shared" si="5"/>
        <v>АСУЭ.TOR.VVR.aCall</v>
      </c>
      <c r="B52" s="8">
        <v>1</v>
      </c>
      <c r="C52" s="8" t="s">
        <v>1</v>
      </c>
      <c r="D52" s="22">
        <v>11</v>
      </c>
    </row>
    <row r="53" spans="1:4">
      <c r="A53" s="156" t="str">
        <f>$R$2&amp;".aDGZ"</f>
        <v>АСУЭ.TOR.VVR.aDGZ</v>
      </c>
      <c r="B53" s="157">
        <v>11154</v>
      </c>
      <c r="C53" s="157" t="s">
        <v>4</v>
      </c>
      <c r="D53" s="760">
        <f>$Q$5</f>
        <v>4</v>
      </c>
    </row>
    <row r="54" spans="1:4">
      <c r="A54" s="148" t="str">
        <f t="shared" ref="A54:A62" si="6">$R$2&amp;".aDGZ"</f>
        <v>АСУЭ.TOR.VVR.aDGZ</v>
      </c>
      <c r="B54" s="149">
        <v>11150</v>
      </c>
      <c r="C54" s="149" t="s">
        <v>0</v>
      </c>
      <c r="D54" s="125" t="s">
        <v>2770</v>
      </c>
    </row>
    <row r="55" spans="1:4">
      <c r="A55" s="148" t="str">
        <f t="shared" si="6"/>
        <v>АСУЭ.TOR.VVR.aDGZ</v>
      </c>
      <c r="B55" s="149">
        <v>11152</v>
      </c>
      <c r="C55" s="149" t="s">
        <v>0</v>
      </c>
      <c r="D55" s="158" t="str">
        <f>$R$5</f>
        <v>Авария</v>
      </c>
    </row>
    <row r="56" spans="1:4">
      <c r="A56" s="148" t="str">
        <f t="shared" si="6"/>
        <v>АСУЭ.TOR.VVR.aDGZ</v>
      </c>
      <c r="B56" s="149">
        <v>11000</v>
      </c>
      <c r="C56" s="149" t="s">
        <v>5</v>
      </c>
      <c r="D56" s="125">
        <v>2147483680</v>
      </c>
    </row>
    <row r="57" spans="1:4">
      <c r="A57" s="19" t="str">
        <f t="shared" si="6"/>
        <v>АСУЭ.TOR.VVR.aDGZ</v>
      </c>
      <c r="B57" s="11">
        <v>7999</v>
      </c>
      <c r="C57" s="11" t="s">
        <v>0</v>
      </c>
      <c r="D57" s="20" t="str">
        <f>"#"&amp;$S$2&amp;"#"&amp;$T$2&amp;"."&amp;$P$2&amp;".aDGZ"</f>
        <v>#3#\\Setup_rza\Modbus.OPCServer\KTP_BMRZ.TOR200_VVR.aDGZ</v>
      </c>
    </row>
    <row r="58" spans="1:4">
      <c r="A58" s="19" t="str">
        <f t="shared" si="6"/>
        <v>АСУЭ.TOR.VVR.aDGZ</v>
      </c>
      <c r="B58" s="11">
        <v>7998</v>
      </c>
      <c r="C58" s="11" t="s">
        <v>6</v>
      </c>
      <c r="D58" s="20">
        <v>1</v>
      </c>
    </row>
    <row r="59" spans="1:4">
      <c r="A59" s="19" t="str">
        <f t="shared" si="6"/>
        <v>АСУЭ.TOR.VVR.aDGZ</v>
      </c>
      <c r="B59" s="11">
        <v>101</v>
      </c>
      <c r="C59" s="11" t="s">
        <v>0</v>
      </c>
      <c r="D59" s="20" t="s">
        <v>2770</v>
      </c>
    </row>
    <row r="60" spans="1:4">
      <c r="A60" s="19" t="str">
        <f t="shared" si="6"/>
        <v>АСУЭ.TOR.VVR.aDGZ</v>
      </c>
      <c r="B60" s="11">
        <v>3</v>
      </c>
      <c r="C60" s="11" t="s">
        <v>1</v>
      </c>
      <c r="D60" s="20">
        <v>192</v>
      </c>
    </row>
    <row r="61" spans="1:4">
      <c r="A61" s="19" t="str">
        <f t="shared" si="6"/>
        <v>АСУЭ.TOR.VVR.aDGZ</v>
      </c>
      <c r="B61" s="11">
        <v>2</v>
      </c>
      <c r="C61" s="11" t="s">
        <v>2</v>
      </c>
      <c r="D61" s="20" t="s">
        <v>3</v>
      </c>
    </row>
    <row r="62" spans="1:4">
      <c r="A62" s="21" t="str">
        <f t="shared" si="6"/>
        <v>АСУЭ.TOR.VVR.aDGZ</v>
      </c>
      <c r="B62" s="8">
        <v>1</v>
      </c>
      <c r="C62" s="8" t="s">
        <v>1</v>
      </c>
      <c r="D62" s="22">
        <v>11</v>
      </c>
    </row>
    <row r="63" spans="1:4">
      <c r="A63" s="156" t="str">
        <f>$R$2&amp;".aAccelMTZ"</f>
        <v>АСУЭ.TOR.VVR.aAccelMTZ</v>
      </c>
      <c r="B63" s="157">
        <v>11154</v>
      </c>
      <c r="C63" s="157" t="s">
        <v>4</v>
      </c>
      <c r="D63" s="760">
        <f>$Q$5</f>
        <v>4</v>
      </c>
    </row>
    <row r="64" spans="1:4">
      <c r="A64" s="148" t="str">
        <f t="shared" ref="A64:A72" si="7">$R$2&amp;".aAccelMTZ"</f>
        <v>АСУЭ.TOR.VVR.aAccelMTZ</v>
      </c>
      <c r="B64" s="149">
        <v>11150</v>
      </c>
      <c r="C64" s="149" t="s">
        <v>0</v>
      </c>
      <c r="D64" s="125" t="s">
        <v>2774</v>
      </c>
    </row>
    <row r="65" spans="1:4">
      <c r="A65" s="148" t="str">
        <f t="shared" si="7"/>
        <v>АСУЭ.TOR.VVR.aAccelMTZ</v>
      </c>
      <c r="B65" s="149">
        <v>11152</v>
      </c>
      <c r="C65" s="149" t="s">
        <v>0</v>
      </c>
      <c r="D65" s="158" t="str">
        <f>$R$5</f>
        <v>Авария</v>
      </c>
    </row>
    <row r="66" spans="1:4">
      <c r="A66" s="148" t="str">
        <f t="shared" si="7"/>
        <v>АСУЭ.TOR.VVR.aAccelMTZ</v>
      </c>
      <c r="B66" s="149">
        <v>11000</v>
      </c>
      <c r="C66" s="149" t="s">
        <v>5</v>
      </c>
      <c r="D66" s="125">
        <v>2147483680</v>
      </c>
    </row>
    <row r="67" spans="1:4">
      <c r="A67" s="19" t="str">
        <f t="shared" si="7"/>
        <v>АСУЭ.TOR.VVR.aAccelMTZ</v>
      </c>
      <c r="B67" s="11">
        <v>7999</v>
      </c>
      <c r="C67" s="11" t="s">
        <v>0</v>
      </c>
      <c r="D67" s="20" t="str">
        <f>"#"&amp;$S$2&amp;"#"&amp;$T$2&amp;"."&amp;$P$2&amp;".aAccelMTZ"</f>
        <v>#3#\\Setup_rza\Modbus.OPCServer\KTP_BMRZ.TOR200_VVR.aAccelMTZ</v>
      </c>
    </row>
    <row r="68" spans="1:4">
      <c r="A68" s="19" t="str">
        <f t="shared" si="7"/>
        <v>АСУЭ.TOR.VVR.aAccelMTZ</v>
      </c>
      <c r="B68" s="11">
        <v>7998</v>
      </c>
      <c r="C68" s="11" t="s">
        <v>6</v>
      </c>
      <c r="D68" s="20">
        <v>1</v>
      </c>
    </row>
    <row r="69" spans="1:4">
      <c r="A69" s="19" t="str">
        <f t="shared" si="7"/>
        <v>АСУЭ.TOR.VVR.aAccelMTZ</v>
      </c>
      <c r="B69" s="11">
        <v>101</v>
      </c>
      <c r="C69" s="11" t="s">
        <v>0</v>
      </c>
      <c r="D69" s="20" t="s">
        <v>2774</v>
      </c>
    </row>
    <row r="70" spans="1:4">
      <c r="A70" s="19" t="str">
        <f t="shared" si="7"/>
        <v>АСУЭ.TOR.VVR.aAccelMTZ</v>
      </c>
      <c r="B70" s="11">
        <v>3</v>
      </c>
      <c r="C70" s="11" t="s">
        <v>1</v>
      </c>
      <c r="D70" s="20">
        <v>192</v>
      </c>
    </row>
    <row r="71" spans="1:4">
      <c r="A71" s="19" t="str">
        <f t="shared" si="7"/>
        <v>АСУЭ.TOR.VVR.aAccelMTZ</v>
      </c>
      <c r="B71" s="11">
        <v>2</v>
      </c>
      <c r="C71" s="11" t="s">
        <v>2</v>
      </c>
      <c r="D71" s="20" t="s">
        <v>3</v>
      </c>
    </row>
    <row r="72" spans="1:4">
      <c r="A72" s="21" t="str">
        <f t="shared" si="7"/>
        <v>АСУЭ.TOR.VVR.aAccelMTZ</v>
      </c>
      <c r="B72" s="8">
        <v>1</v>
      </c>
      <c r="C72" s="8" t="s">
        <v>1</v>
      </c>
      <c r="D72" s="22">
        <v>11</v>
      </c>
    </row>
    <row r="73" spans="1:4">
      <c r="A73" s="156" t="str">
        <f>$R$2&amp;".aUROV"</f>
        <v>АСУЭ.TOR.VVR.aUROV</v>
      </c>
      <c r="B73" s="157">
        <v>11154</v>
      </c>
      <c r="C73" s="157" t="s">
        <v>4</v>
      </c>
      <c r="D73" s="760">
        <f>$Q$5</f>
        <v>4</v>
      </c>
    </row>
    <row r="74" spans="1:4">
      <c r="A74" s="148" t="str">
        <f t="shared" ref="A74:A82" si="8">$R$2&amp;".aUROV"</f>
        <v>АСУЭ.TOR.VVR.aUROV</v>
      </c>
      <c r="B74" s="149">
        <v>11150</v>
      </c>
      <c r="C74" s="149" t="s">
        <v>0</v>
      </c>
      <c r="D74" s="125" t="s">
        <v>2776</v>
      </c>
    </row>
    <row r="75" spans="1:4">
      <c r="A75" s="148" t="str">
        <f t="shared" si="8"/>
        <v>АСУЭ.TOR.VVR.aUROV</v>
      </c>
      <c r="B75" s="149">
        <v>11152</v>
      </c>
      <c r="C75" s="149" t="s">
        <v>0</v>
      </c>
      <c r="D75" s="158" t="str">
        <f>$R$5</f>
        <v>Авария</v>
      </c>
    </row>
    <row r="76" spans="1:4">
      <c r="A76" s="148" t="str">
        <f t="shared" si="8"/>
        <v>АСУЭ.TOR.VVR.aUROV</v>
      </c>
      <c r="B76" s="149">
        <v>11000</v>
      </c>
      <c r="C76" s="149" t="s">
        <v>5</v>
      </c>
      <c r="D76" s="125">
        <v>2147483680</v>
      </c>
    </row>
    <row r="77" spans="1:4">
      <c r="A77" s="19" t="str">
        <f t="shared" si="8"/>
        <v>АСУЭ.TOR.VVR.aUROV</v>
      </c>
      <c r="B77" s="11">
        <v>7999</v>
      </c>
      <c r="C77" s="11" t="s">
        <v>0</v>
      </c>
      <c r="D77" s="20" t="str">
        <f>"#"&amp;$S$2&amp;"#"&amp;$T$2&amp;"."&amp;$P$2&amp;".aUROV"</f>
        <v>#3#\\Setup_rza\Modbus.OPCServer\KTP_BMRZ.TOR200_VVR.aUROV</v>
      </c>
    </row>
    <row r="78" spans="1:4">
      <c r="A78" s="19" t="str">
        <f t="shared" si="8"/>
        <v>АСУЭ.TOR.VVR.aUROV</v>
      </c>
      <c r="B78" s="11">
        <v>7998</v>
      </c>
      <c r="C78" s="11" t="s">
        <v>6</v>
      </c>
      <c r="D78" s="20">
        <v>1</v>
      </c>
    </row>
    <row r="79" spans="1:4">
      <c r="A79" s="19" t="str">
        <f t="shared" si="8"/>
        <v>АСУЭ.TOR.VVR.aUROV</v>
      </c>
      <c r="B79" s="11">
        <v>101</v>
      </c>
      <c r="C79" s="11" t="s">
        <v>0</v>
      </c>
      <c r="D79" s="20" t="s">
        <v>2776</v>
      </c>
    </row>
    <row r="80" spans="1:4">
      <c r="A80" s="19" t="str">
        <f t="shared" si="8"/>
        <v>АСУЭ.TOR.VVR.aUROV</v>
      </c>
      <c r="B80" s="11">
        <v>3</v>
      </c>
      <c r="C80" s="11" t="s">
        <v>1</v>
      </c>
      <c r="D80" s="20">
        <v>192</v>
      </c>
    </row>
    <row r="81" spans="1:4">
      <c r="A81" s="19" t="str">
        <f t="shared" si="8"/>
        <v>АСУЭ.TOR.VVR.aUROV</v>
      </c>
      <c r="B81" s="11">
        <v>2</v>
      </c>
      <c r="C81" s="11" t="s">
        <v>2</v>
      </c>
      <c r="D81" s="20" t="s">
        <v>3</v>
      </c>
    </row>
    <row r="82" spans="1:4">
      <c r="A82" s="21" t="str">
        <f t="shared" si="8"/>
        <v>АСУЭ.TOR.VVR.aUROV</v>
      </c>
      <c r="B82" s="8">
        <v>1</v>
      </c>
      <c r="C82" s="8" t="s">
        <v>1</v>
      </c>
      <c r="D82" s="22">
        <v>11</v>
      </c>
    </row>
    <row r="83" spans="1:4">
      <c r="A83" s="156" t="str">
        <f>$R$2&amp;".aPrt"</f>
        <v>АСУЭ.TOR.VVR.aPrt</v>
      </c>
      <c r="B83" s="157">
        <v>11154</v>
      </c>
      <c r="C83" s="157" t="s">
        <v>4</v>
      </c>
      <c r="D83" s="760">
        <f>$Q$5</f>
        <v>4</v>
      </c>
    </row>
    <row r="84" spans="1:4">
      <c r="A84" s="148" t="str">
        <f t="shared" ref="A84:A92" si="9">$R$2&amp;".aPrt"</f>
        <v>АСУЭ.TOR.VVR.aPrt</v>
      </c>
      <c r="B84" s="149">
        <v>11150</v>
      </c>
      <c r="C84" s="149" t="s">
        <v>0</v>
      </c>
      <c r="D84" s="125" t="s">
        <v>141</v>
      </c>
    </row>
    <row r="85" spans="1:4">
      <c r="A85" s="148" t="str">
        <f t="shared" si="9"/>
        <v>АСУЭ.TOR.VVR.aPrt</v>
      </c>
      <c r="B85" s="149">
        <v>11152</v>
      </c>
      <c r="C85" s="149" t="s">
        <v>0</v>
      </c>
      <c r="D85" s="158" t="str">
        <f>$R$5</f>
        <v>Авария</v>
      </c>
    </row>
    <row r="86" spans="1:4">
      <c r="A86" s="148" t="str">
        <f t="shared" si="9"/>
        <v>АСУЭ.TOR.VVR.aPrt</v>
      </c>
      <c r="B86" s="149">
        <v>11000</v>
      </c>
      <c r="C86" s="149" t="s">
        <v>5</v>
      </c>
      <c r="D86" s="125">
        <v>2147483680</v>
      </c>
    </row>
    <row r="87" spans="1:4">
      <c r="A87" s="19" t="str">
        <f t="shared" si="9"/>
        <v>АСУЭ.TOR.VVR.aPrt</v>
      </c>
      <c r="B87" s="11">
        <v>7999</v>
      </c>
      <c r="C87" s="11" t="s">
        <v>0</v>
      </c>
      <c r="D87" s="20" t="str">
        <f>"#"&amp;$S$2&amp;"#"&amp;$T$2&amp;"."&amp;$P$2&amp;".aPrt"</f>
        <v>#3#\\Setup_rza\Modbus.OPCServer\KTP_BMRZ.TOR200_VVR.aPrt</v>
      </c>
    </row>
    <row r="88" spans="1:4">
      <c r="A88" s="19" t="str">
        <f t="shared" si="9"/>
        <v>АСУЭ.TOR.VVR.aPrt</v>
      </c>
      <c r="B88" s="11">
        <v>7998</v>
      </c>
      <c r="C88" s="11" t="s">
        <v>6</v>
      </c>
      <c r="D88" s="20">
        <v>1</v>
      </c>
    </row>
    <row r="89" spans="1:4">
      <c r="A89" s="19" t="str">
        <f t="shared" si="9"/>
        <v>АСУЭ.TOR.VVR.aPrt</v>
      </c>
      <c r="B89" s="11">
        <v>101</v>
      </c>
      <c r="C89" s="11" t="s">
        <v>0</v>
      </c>
      <c r="D89" s="20" t="s">
        <v>141</v>
      </c>
    </row>
    <row r="90" spans="1:4">
      <c r="A90" s="19" t="str">
        <f t="shared" si="9"/>
        <v>АСУЭ.TOR.VVR.aPrt</v>
      </c>
      <c r="B90" s="11">
        <v>3</v>
      </c>
      <c r="C90" s="11" t="s">
        <v>1</v>
      </c>
      <c r="D90" s="20">
        <v>192</v>
      </c>
    </row>
    <row r="91" spans="1:4">
      <c r="A91" s="19" t="str">
        <f t="shared" si="9"/>
        <v>АСУЭ.TOR.VVR.aPrt</v>
      </c>
      <c r="B91" s="11">
        <v>2</v>
      </c>
      <c r="C91" s="11" t="s">
        <v>2</v>
      </c>
      <c r="D91" s="20" t="s">
        <v>3</v>
      </c>
    </row>
    <row r="92" spans="1:4">
      <c r="A92" s="21" t="str">
        <f t="shared" si="9"/>
        <v>АСУЭ.TOR.VVR.aPrt</v>
      </c>
      <c r="B92" s="8">
        <v>1</v>
      </c>
      <c r="C92" s="8" t="s">
        <v>1</v>
      </c>
      <c r="D92" s="22">
        <v>11</v>
      </c>
    </row>
    <row r="93" spans="1:4">
      <c r="A93" s="156" t="str">
        <f>$R$2&amp;".aExtTrip"</f>
        <v>АСУЭ.TOR.VVR.aExtTrip</v>
      </c>
      <c r="B93" s="157">
        <v>11154</v>
      </c>
      <c r="C93" s="157" t="s">
        <v>4</v>
      </c>
      <c r="D93" s="760">
        <f>$Q$5</f>
        <v>4</v>
      </c>
    </row>
    <row r="94" spans="1:4">
      <c r="A94" s="148" t="str">
        <f t="shared" ref="A94:A102" si="10">$R$2&amp;".aExtTrip"</f>
        <v>АСУЭ.TOR.VVR.aExtTrip</v>
      </c>
      <c r="B94" s="149">
        <v>11150</v>
      </c>
      <c r="C94" s="149" t="s">
        <v>0</v>
      </c>
      <c r="D94" s="125" t="s">
        <v>334</v>
      </c>
    </row>
    <row r="95" spans="1:4">
      <c r="A95" s="148" t="str">
        <f t="shared" si="10"/>
        <v>АСУЭ.TOR.VVR.aExtTrip</v>
      </c>
      <c r="B95" s="149">
        <v>11152</v>
      </c>
      <c r="C95" s="149" t="s">
        <v>0</v>
      </c>
      <c r="D95" s="158" t="str">
        <f>$R$5</f>
        <v>Авария</v>
      </c>
    </row>
    <row r="96" spans="1:4">
      <c r="A96" s="148" t="str">
        <f t="shared" si="10"/>
        <v>АСУЭ.TOR.VVR.aExtTrip</v>
      </c>
      <c r="B96" s="149">
        <v>11000</v>
      </c>
      <c r="C96" s="149" t="s">
        <v>5</v>
      </c>
      <c r="D96" s="125">
        <v>2147483680</v>
      </c>
    </row>
    <row r="97" spans="1:4">
      <c r="A97" s="19" t="str">
        <f t="shared" si="10"/>
        <v>АСУЭ.TOR.VVR.aExtTrip</v>
      </c>
      <c r="B97" s="11">
        <v>7999</v>
      </c>
      <c r="C97" s="11" t="s">
        <v>0</v>
      </c>
      <c r="D97" s="20" t="str">
        <f>"#"&amp;$S$2&amp;"#"&amp;$T$2&amp;"."&amp;$P$2&amp;".aExtTrip"</f>
        <v>#3#\\Setup_rza\Modbus.OPCServer\KTP_BMRZ.TOR200_VVR.aExtTrip</v>
      </c>
    </row>
    <row r="98" spans="1:4">
      <c r="A98" s="19" t="str">
        <f t="shared" si="10"/>
        <v>АСУЭ.TOR.VVR.aExtTrip</v>
      </c>
      <c r="B98" s="11">
        <v>7998</v>
      </c>
      <c r="C98" s="11" t="s">
        <v>6</v>
      </c>
      <c r="D98" s="20">
        <v>1</v>
      </c>
    </row>
    <row r="99" spans="1:4">
      <c r="A99" s="19" t="str">
        <f t="shared" si="10"/>
        <v>АСУЭ.TOR.VVR.aExtTrip</v>
      </c>
      <c r="B99" s="11">
        <v>101</v>
      </c>
      <c r="C99" s="11" t="s">
        <v>0</v>
      </c>
      <c r="D99" s="20" t="s">
        <v>334</v>
      </c>
    </row>
    <row r="100" spans="1:4">
      <c r="A100" s="19" t="str">
        <f t="shared" si="10"/>
        <v>АСУЭ.TOR.VVR.aExtTrip</v>
      </c>
      <c r="B100" s="11">
        <v>3</v>
      </c>
      <c r="C100" s="11" t="s">
        <v>1</v>
      </c>
      <c r="D100" s="20">
        <v>192</v>
      </c>
    </row>
    <row r="101" spans="1:4">
      <c r="A101" s="19" t="str">
        <f t="shared" si="10"/>
        <v>АСУЭ.TOR.VVR.aExtTrip</v>
      </c>
      <c r="B101" s="11">
        <v>2</v>
      </c>
      <c r="C101" s="11" t="s">
        <v>2</v>
      </c>
      <c r="D101" s="20" t="s">
        <v>3</v>
      </c>
    </row>
    <row r="102" spans="1:4">
      <c r="A102" s="21" t="str">
        <f t="shared" si="10"/>
        <v>АСУЭ.TOR.VVR.aExtTrip</v>
      </c>
      <c r="B102" s="8">
        <v>1</v>
      </c>
      <c r="C102" s="8" t="s">
        <v>1</v>
      </c>
      <c r="D102" s="22">
        <v>11</v>
      </c>
    </row>
    <row r="103" spans="1:4">
      <c r="A103" s="156" t="str">
        <f>$R$2&amp;".aCmdCircuitFlt_on"</f>
        <v>АСУЭ.TOR.VVR.aCmdCircuitFlt_on</v>
      </c>
      <c r="B103" s="157">
        <v>11154</v>
      </c>
      <c r="C103" s="157" t="s">
        <v>4</v>
      </c>
      <c r="D103" s="760">
        <f>$Q$5</f>
        <v>4</v>
      </c>
    </row>
    <row r="104" spans="1:4">
      <c r="A104" s="148" t="str">
        <f t="shared" ref="A104:A112" si="11">$R$2&amp;".aCmdCircuitFlt_on"</f>
        <v>АСУЭ.TOR.VVR.aCmdCircuitFlt_on</v>
      </c>
      <c r="B104" s="149">
        <v>11150</v>
      </c>
      <c r="C104" s="149" t="s">
        <v>0</v>
      </c>
      <c r="D104" s="125" t="s">
        <v>1515</v>
      </c>
    </row>
    <row r="105" spans="1:4">
      <c r="A105" s="148" t="str">
        <f t="shared" si="11"/>
        <v>АСУЭ.TOR.VVR.aCmdCircuitFlt_on</v>
      </c>
      <c r="B105" s="149">
        <v>11152</v>
      </c>
      <c r="C105" s="149" t="s">
        <v>0</v>
      </c>
      <c r="D105" s="158" t="str">
        <f>$R$5</f>
        <v>Авария</v>
      </c>
    </row>
    <row r="106" spans="1:4">
      <c r="A106" s="148" t="str">
        <f t="shared" si="11"/>
        <v>АСУЭ.TOR.VVR.aCmdCircuitFlt_on</v>
      </c>
      <c r="B106" s="149">
        <v>11000</v>
      </c>
      <c r="C106" s="149" t="s">
        <v>5</v>
      </c>
      <c r="D106" s="125">
        <v>2147483680</v>
      </c>
    </row>
    <row r="107" spans="1:4">
      <c r="A107" s="19" t="str">
        <f t="shared" si="11"/>
        <v>АСУЭ.TOR.VVR.aCmdCircuitFlt_on</v>
      </c>
      <c r="B107" s="11">
        <v>7999</v>
      </c>
      <c r="C107" s="11" t="s">
        <v>0</v>
      </c>
      <c r="D107" s="20" t="str">
        <f>"#"&amp;$S$2&amp;"#"&amp;$T$2&amp;"."&amp;$P$2&amp;".aCmdCircuitFlt_on"</f>
        <v>#3#\\Setup_rza\Modbus.OPCServer\KTP_BMRZ.TOR200_VVR.aCmdCircuitFlt_on</v>
      </c>
    </row>
    <row r="108" spans="1:4">
      <c r="A108" s="19" t="str">
        <f t="shared" si="11"/>
        <v>АСУЭ.TOR.VVR.aCmdCircuitFlt_on</v>
      </c>
      <c r="B108" s="11">
        <v>7998</v>
      </c>
      <c r="C108" s="11" t="s">
        <v>6</v>
      </c>
      <c r="D108" s="20">
        <v>1</v>
      </c>
    </row>
    <row r="109" spans="1:4">
      <c r="A109" s="19" t="str">
        <f t="shared" si="11"/>
        <v>АСУЭ.TOR.VVR.aCmdCircuitFlt_on</v>
      </c>
      <c r="B109" s="11">
        <v>101</v>
      </c>
      <c r="C109" s="11" t="s">
        <v>0</v>
      </c>
      <c r="D109" s="20" t="s">
        <v>1515</v>
      </c>
    </row>
    <row r="110" spans="1:4">
      <c r="A110" s="19" t="str">
        <f t="shared" si="11"/>
        <v>АСУЭ.TOR.VVR.aCmdCircuitFlt_on</v>
      </c>
      <c r="B110" s="11">
        <v>3</v>
      </c>
      <c r="C110" s="11" t="s">
        <v>1</v>
      </c>
      <c r="D110" s="20">
        <v>192</v>
      </c>
    </row>
    <row r="111" spans="1:4">
      <c r="A111" s="19" t="str">
        <f t="shared" si="11"/>
        <v>АСУЭ.TOR.VVR.aCmdCircuitFlt_on</v>
      </c>
      <c r="B111" s="11">
        <v>2</v>
      </c>
      <c r="C111" s="11" t="s">
        <v>2</v>
      </c>
      <c r="D111" s="20" t="s">
        <v>3</v>
      </c>
    </row>
    <row r="112" spans="1:4">
      <c r="A112" s="21" t="str">
        <f t="shared" si="11"/>
        <v>АСУЭ.TOR.VVR.aCmdCircuitFlt_on</v>
      </c>
      <c r="B112" s="8">
        <v>1</v>
      </c>
      <c r="C112" s="8" t="s">
        <v>1</v>
      </c>
      <c r="D112" s="22">
        <v>11</v>
      </c>
    </row>
    <row r="113" spans="1:16">
      <c r="A113" s="69" t="str">
        <f>$R$2&amp;".wCmdCircuitFlt_con"</f>
        <v>АСУЭ.TOR.VVR.wCmdCircuitFlt_con</v>
      </c>
      <c r="B113" s="70">
        <v>11154</v>
      </c>
      <c r="C113" s="70" t="s">
        <v>4</v>
      </c>
      <c r="D113" s="71">
        <f>$Q$6</f>
        <v>8</v>
      </c>
      <c r="P113" s="4"/>
    </row>
    <row r="114" spans="1:16">
      <c r="A114" s="63" t="str">
        <f t="shared" ref="A114:A122" si="12">$R$2&amp;".wCmdCircuitFlt_con"</f>
        <v>АСУЭ.TOR.VVR.wCmdCircuitFlt_con</v>
      </c>
      <c r="B114" s="64">
        <v>11152</v>
      </c>
      <c r="C114" s="64" t="s">
        <v>0</v>
      </c>
      <c r="D114" s="65" t="str">
        <f>$R$6</f>
        <v>Предупреждение</v>
      </c>
      <c r="P114" s="4"/>
    </row>
    <row r="115" spans="1:16">
      <c r="A115" s="63" t="str">
        <f t="shared" si="12"/>
        <v>АСУЭ.TOR.VVR.wCmdCircuitFlt_con</v>
      </c>
      <c r="B115" s="64">
        <v>11150</v>
      </c>
      <c r="C115" s="64" t="s">
        <v>0</v>
      </c>
      <c r="D115" s="65" t="s">
        <v>387</v>
      </c>
      <c r="P115" s="4"/>
    </row>
    <row r="116" spans="1:16">
      <c r="A116" s="63" t="str">
        <f t="shared" si="12"/>
        <v>АСУЭ.TOR.VVR.wCmdCircuitFlt_con</v>
      </c>
      <c r="B116" s="64">
        <v>11000</v>
      </c>
      <c r="C116" s="64" t="s">
        <v>5</v>
      </c>
      <c r="D116" s="65">
        <v>2147483680</v>
      </c>
      <c r="P116" s="4"/>
    </row>
    <row r="117" spans="1:16">
      <c r="A117" s="19" t="str">
        <f t="shared" si="12"/>
        <v>АСУЭ.TOR.VVR.wCmdCircuitFlt_con</v>
      </c>
      <c r="B117" s="11">
        <v>7999</v>
      </c>
      <c r="C117" s="11" t="s">
        <v>0</v>
      </c>
      <c r="D117" s="20" t="str">
        <f>"#"&amp;$S$2&amp;"#"&amp;$T$2&amp;"."&amp;$P$2&amp;".wCmdCircuitFlt_con"</f>
        <v>#3#\\Setup_rza\Modbus.OPCServer\KTP_BMRZ.TOR200_VVR.wCmdCircuitFlt_con</v>
      </c>
      <c r="P117" s="4"/>
    </row>
    <row r="118" spans="1:16" ht="15" customHeight="1">
      <c r="A118" s="19" t="str">
        <f t="shared" si="12"/>
        <v>АСУЭ.TOR.VVR.wCmdCircuitFlt_con</v>
      </c>
      <c r="B118" s="11">
        <v>7998</v>
      </c>
      <c r="C118" s="11" t="s">
        <v>6</v>
      </c>
      <c r="D118" s="20">
        <v>1</v>
      </c>
      <c r="P118" s="4"/>
    </row>
    <row r="119" spans="1:16">
      <c r="A119" s="19" t="str">
        <f t="shared" si="12"/>
        <v>АСУЭ.TOR.VVR.wCmdCircuitFlt_con</v>
      </c>
      <c r="B119" s="11">
        <v>101</v>
      </c>
      <c r="C119" s="11" t="s">
        <v>0</v>
      </c>
      <c r="D119" s="20" t="s">
        <v>387</v>
      </c>
      <c r="P119" s="4"/>
    </row>
    <row r="120" spans="1:16">
      <c r="A120" s="19" t="str">
        <f t="shared" si="12"/>
        <v>АСУЭ.TOR.VVR.wCmdCircuitFlt_con</v>
      </c>
      <c r="B120" s="11">
        <v>3</v>
      </c>
      <c r="C120" s="11" t="s">
        <v>1</v>
      </c>
      <c r="D120" s="20">
        <v>192</v>
      </c>
      <c r="P120" s="4"/>
    </row>
    <row r="121" spans="1:16">
      <c r="A121" s="19" t="str">
        <f t="shared" si="12"/>
        <v>АСУЭ.TOR.VVR.wCmdCircuitFlt_con</v>
      </c>
      <c r="B121" s="11">
        <v>2</v>
      </c>
      <c r="C121" s="11" t="s">
        <v>2</v>
      </c>
      <c r="D121" s="20" t="s">
        <v>3</v>
      </c>
      <c r="P121" s="4"/>
    </row>
    <row r="122" spans="1:16">
      <c r="A122" s="19" t="str">
        <f t="shared" si="12"/>
        <v>АСУЭ.TOR.VVR.wCmdCircuitFlt_con</v>
      </c>
      <c r="B122" s="11">
        <v>1</v>
      </c>
      <c r="C122" s="11" t="s">
        <v>1</v>
      </c>
      <c r="D122" s="20">
        <v>11</v>
      </c>
      <c r="P122" s="4"/>
    </row>
    <row r="123" spans="1:16">
      <c r="A123" s="69" t="str">
        <f>$R$2&amp;".wStateMismatch"</f>
        <v>АСУЭ.TOR.VVR.wStateMismatch</v>
      </c>
      <c r="B123" s="70">
        <v>11154</v>
      </c>
      <c r="C123" s="70" t="s">
        <v>4</v>
      </c>
      <c r="D123" s="71">
        <f>$Q$6</f>
        <v>8</v>
      </c>
      <c r="P123" s="4"/>
    </row>
    <row r="124" spans="1:16">
      <c r="A124" s="63" t="str">
        <f t="shared" ref="A124:A132" si="13">$R$2&amp;".wStateMismatch"</f>
        <v>АСУЭ.TOR.VVR.wStateMismatch</v>
      </c>
      <c r="B124" s="64">
        <v>11152</v>
      </c>
      <c r="C124" s="64" t="s">
        <v>0</v>
      </c>
      <c r="D124" s="65" t="str">
        <f>$R$6</f>
        <v>Предупреждение</v>
      </c>
      <c r="P124" s="4"/>
    </row>
    <row r="125" spans="1:16">
      <c r="A125" s="63" t="str">
        <f t="shared" si="13"/>
        <v>АСУЭ.TOR.VVR.wStateMismatch</v>
      </c>
      <c r="B125" s="64">
        <v>11150</v>
      </c>
      <c r="C125" s="64" t="s">
        <v>0</v>
      </c>
      <c r="D125" s="65" t="s">
        <v>2779</v>
      </c>
      <c r="P125" s="4"/>
    </row>
    <row r="126" spans="1:16">
      <c r="A126" s="63" t="str">
        <f t="shared" si="13"/>
        <v>АСУЭ.TOR.VVR.wStateMismatch</v>
      </c>
      <c r="B126" s="64">
        <v>11000</v>
      </c>
      <c r="C126" s="64" t="s">
        <v>5</v>
      </c>
      <c r="D126" s="65">
        <v>2147483680</v>
      </c>
      <c r="P126" s="4"/>
    </row>
    <row r="127" spans="1:16">
      <c r="A127" s="19" t="str">
        <f t="shared" si="13"/>
        <v>АСУЭ.TOR.VVR.wStateMismatch</v>
      </c>
      <c r="B127" s="11">
        <v>7999</v>
      </c>
      <c r="C127" s="11" t="s">
        <v>0</v>
      </c>
      <c r="D127" s="20" t="str">
        <f>"#"&amp;$S$2&amp;"#"&amp;$T$2&amp;"."&amp;$P$2&amp;".wStateMismatch"</f>
        <v>#3#\\Setup_rza\Modbus.OPCServer\KTP_BMRZ.TOR200_VVR.wStateMismatch</v>
      </c>
      <c r="P127" s="4"/>
    </row>
    <row r="128" spans="1:16">
      <c r="A128" s="19" t="str">
        <f t="shared" si="13"/>
        <v>АСУЭ.TOR.VVR.wStateMismatch</v>
      </c>
      <c r="B128" s="11">
        <v>7998</v>
      </c>
      <c r="C128" s="11" t="s">
        <v>6</v>
      </c>
      <c r="D128" s="20">
        <v>1</v>
      </c>
      <c r="P128" s="4"/>
    </row>
    <row r="129" spans="1:16">
      <c r="A129" s="19" t="str">
        <f t="shared" si="13"/>
        <v>АСУЭ.TOR.VVR.wStateMismatch</v>
      </c>
      <c r="B129" s="11">
        <v>101</v>
      </c>
      <c r="C129" s="11" t="s">
        <v>0</v>
      </c>
      <c r="D129" s="20" t="s">
        <v>2779</v>
      </c>
      <c r="P129" s="4"/>
    </row>
    <row r="130" spans="1:16">
      <c r="A130" s="19" t="str">
        <f t="shared" si="13"/>
        <v>АСУЭ.TOR.VVR.wStateMismatch</v>
      </c>
      <c r="B130" s="11">
        <v>3</v>
      </c>
      <c r="C130" s="11" t="s">
        <v>1</v>
      </c>
      <c r="D130" s="20">
        <v>192</v>
      </c>
      <c r="P130" s="4"/>
    </row>
    <row r="131" spans="1:16">
      <c r="A131" s="19" t="str">
        <f t="shared" si="13"/>
        <v>АСУЭ.TOR.VVR.wStateMismatch</v>
      </c>
      <c r="B131" s="11">
        <v>2</v>
      </c>
      <c r="C131" s="11" t="s">
        <v>2</v>
      </c>
      <c r="D131" s="20" t="s">
        <v>3</v>
      </c>
      <c r="P131" s="4"/>
    </row>
    <row r="132" spans="1:16">
      <c r="A132" s="19" t="str">
        <f t="shared" si="13"/>
        <v>АСУЭ.TOR.VVR.wStateMismatch</v>
      </c>
      <c r="B132" s="11">
        <v>1</v>
      </c>
      <c r="C132" s="11" t="s">
        <v>1</v>
      </c>
      <c r="D132" s="20">
        <v>11</v>
      </c>
      <c r="P132" s="4"/>
    </row>
    <row r="133" spans="1:16">
      <c r="A133" s="69" t="str">
        <f>$R$2&amp;".wGenFlt"</f>
        <v>АСУЭ.TOR.VVR.wGenFlt</v>
      </c>
      <c r="B133" s="70">
        <v>11154</v>
      </c>
      <c r="C133" s="70" t="s">
        <v>4</v>
      </c>
      <c r="D133" s="71">
        <f>$Q$6</f>
        <v>8</v>
      </c>
      <c r="P133" s="4"/>
    </row>
    <row r="134" spans="1:16">
      <c r="A134" s="63" t="str">
        <f t="shared" ref="A134:A142" si="14">$R$2&amp;".wGenFlt"</f>
        <v>АСУЭ.TOR.VVR.wGenFlt</v>
      </c>
      <c r="B134" s="64">
        <v>11152</v>
      </c>
      <c r="C134" s="64" t="s">
        <v>0</v>
      </c>
      <c r="D134" s="65" t="str">
        <f>$R$6</f>
        <v>Предупреждение</v>
      </c>
      <c r="P134" s="4"/>
    </row>
    <row r="135" spans="1:16">
      <c r="A135" s="63" t="str">
        <f t="shared" si="14"/>
        <v>АСУЭ.TOR.VVR.wGenFlt</v>
      </c>
      <c r="B135" s="64">
        <v>11150</v>
      </c>
      <c r="C135" s="64" t="s">
        <v>0</v>
      </c>
      <c r="D135" s="65" t="s">
        <v>2781</v>
      </c>
      <c r="P135" s="4"/>
    </row>
    <row r="136" spans="1:16">
      <c r="A136" s="63" t="str">
        <f t="shared" si="14"/>
        <v>АСУЭ.TOR.VVR.wGenFlt</v>
      </c>
      <c r="B136" s="64">
        <v>11000</v>
      </c>
      <c r="C136" s="64" t="s">
        <v>5</v>
      </c>
      <c r="D136" s="65">
        <v>2147483680</v>
      </c>
      <c r="P136" s="4"/>
    </row>
    <row r="137" spans="1:16">
      <c r="A137" s="19" t="str">
        <f t="shared" si="14"/>
        <v>АСУЭ.TOR.VVR.wGenFlt</v>
      </c>
      <c r="B137" s="11">
        <v>7999</v>
      </c>
      <c r="C137" s="11" t="s">
        <v>0</v>
      </c>
      <c r="D137" s="20" t="str">
        <f>"#"&amp;$S$2&amp;"#"&amp;$T$2&amp;"."&amp;$P$2&amp;".wGenFlt"</f>
        <v>#3#\\Setup_rza\Modbus.OPCServer\KTP_BMRZ.TOR200_VVR.wGenFlt</v>
      </c>
      <c r="P137" s="4"/>
    </row>
    <row r="138" spans="1:16">
      <c r="A138" s="19" t="str">
        <f t="shared" si="14"/>
        <v>АСУЭ.TOR.VVR.wGenFlt</v>
      </c>
      <c r="B138" s="11">
        <v>7998</v>
      </c>
      <c r="C138" s="11" t="s">
        <v>6</v>
      </c>
      <c r="D138" s="20">
        <v>1</v>
      </c>
      <c r="P138" s="4"/>
    </row>
    <row r="139" spans="1:16">
      <c r="A139" s="19" t="str">
        <f t="shared" si="14"/>
        <v>АСУЭ.TOR.VVR.wGenFlt</v>
      </c>
      <c r="B139" s="11">
        <v>101</v>
      </c>
      <c r="C139" s="11" t="s">
        <v>0</v>
      </c>
      <c r="D139" s="20" t="s">
        <v>2781</v>
      </c>
      <c r="P139" s="4"/>
    </row>
    <row r="140" spans="1:16">
      <c r="A140" s="19" t="str">
        <f t="shared" si="14"/>
        <v>АСУЭ.TOR.VVR.wGenFlt</v>
      </c>
      <c r="B140" s="11">
        <v>3</v>
      </c>
      <c r="C140" s="11" t="s">
        <v>1</v>
      </c>
      <c r="D140" s="20">
        <v>192</v>
      </c>
      <c r="P140" s="4"/>
    </row>
    <row r="141" spans="1:16">
      <c r="A141" s="19" t="str">
        <f t="shared" si="14"/>
        <v>АСУЭ.TOR.VVR.wGenFlt</v>
      </c>
      <c r="B141" s="11">
        <v>2</v>
      </c>
      <c r="C141" s="11" t="s">
        <v>2</v>
      </c>
      <c r="D141" s="20" t="s">
        <v>3</v>
      </c>
      <c r="P141" s="4"/>
    </row>
    <row r="142" spans="1:16">
      <c r="A142" s="19" t="str">
        <f t="shared" si="14"/>
        <v>АСУЭ.TOR.VVR.wGenFlt</v>
      </c>
      <c r="B142" s="11">
        <v>1</v>
      </c>
      <c r="C142" s="11" t="s">
        <v>1</v>
      </c>
      <c r="D142" s="20">
        <v>11</v>
      </c>
      <c r="P142" s="4"/>
    </row>
    <row r="143" spans="1:16">
      <c r="A143" s="69" t="str">
        <f>$R$2&amp;".wVNR"</f>
        <v>АСУЭ.TOR.VVR.wVNR</v>
      </c>
      <c r="B143" s="70">
        <v>11154</v>
      </c>
      <c r="C143" s="70" t="s">
        <v>4</v>
      </c>
      <c r="D143" s="71">
        <f>$Q$6</f>
        <v>8</v>
      </c>
      <c r="P143" s="4"/>
    </row>
    <row r="144" spans="1:16">
      <c r="A144" s="63" t="str">
        <f t="shared" ref="A144:A152" si="15">$R$2&amp;".wVNR"</f>
        <v>АСУЭ.TOR.VVR.wVNR</v>
      </c>
      <c r="B144" s="64">
        <v>11152</v>
      </c>
      <c r="C144" s="64" t="s">
        <v>0</v>
      </c>
      <c r="D144" s="65" t="str">
        <f>$R$6</f>
        <v>Предупреждение</v>
      </c>
      <c r="P144" s="4"/>
    </row>
    <row r="145" spans="1:16">
      <c r="A145" s="63" t="str">
        <f t="shared" si="15"/>
        <v>АСУЭ.TOR.VVR.wVNR</v>
      </c>
      <c r="B145" s="64">
        <v>11150</v>
      </c>
      <c r="C145" s="64" t="s">
        <v>0</v>
      </c>
      <c r="D145" s="65" t="s">
        <v>2809</v>
      </c>
      <c r="P145" s="4"/>
    </row>
    <row r="146" spans="1:16">
      <c r="A146" s="63" t="str">
        <f t="shared" si="15"/>
        <v>АСУЭ.TOR.VVR.wVNR</v>
      </c>
      <c r="B146" s="64">
        <v>11000</v>
      </c>
      <c r="C146" s="64" t="s">
        <v>5</v>
      </c>
      <c r="D146" s="65">
        <v>2147483680</v>
      </c>
      <c r="P146" s="4"/>
    </row>
    <row r="147" spans="1:16">
      <c r="A147" s="19" t="str">
        <f t="shared" si="15"/>
        <v>АСУЭ.TOR.VVR.wVNR</v>
      </c>
      <c r="B147" s="11">
        <v>7999</v>
      </c>
      <c r="C147" s="11" t="s">
        <v>0</v>
      </c>
      <c r="D147" s="20" t="str">
        <f>"#"&amp;$S$2&amp;"#"&amp;$T$2&amp;"."&amp;$P$2&amp;".wVNR"</f>
        <v>#3#\\Setup_rza\Modbus.OPCServer\KTP_BMRZ.TOR200_VVR.wVNR</v>
      </c>
      <c r="P147" s="4"/>
    </row>
    <row r="148" spans="1:16">
      <c r="A148" s="19" t="str">
        <f t="shared" si="15"/>
        <v>АСУЭ.TOR.VVR.wVNR</v>
      </c>
      <c r="B148" s="11">
        <v>7998</v>
      </c>
      <c r="C148" s="11" t="s">
        <v>6</v>
      </c>
      <c r="D148" s="20">
        <v>1</v>
      </c>
      <c r="P148" s="4"/>
    </row>
    <row r="149" spans="1:16">
      <c r="A149" s="19" t="str">
        <f t="shared" si="15"/>
        <v>АСУЭ.TOR.VVR.wVNR</v>
      </c>
      <c r="B149" s="11">
        <v>101</v>
      </c>
      <c r="C149" s="11" t="s">
        <v>0</v>
      </c>
      <c r="D149" s="20" t="s">
        <v>2809</v>
      </c>
      <c r="P149" s="4"/>
    </row>
    <row r="150" spans="1:16">
      <c r="A150" s="19" t="str">
        <f t="shared" si="15"/>
        <v>АСУЭ.TOR.VVR.wVNR</v>
      </c>
      <c r="B150" s="11">
        <v>3</v>
      </c>
      <c r="C150" s="11" t="s">
        <v>1</v>
      </c>
      <c r="D150" s="20">
        <v>192</v>
      </c>
      <c r="P150" s="4"/>
    </row>
    <row r="151" spans="1:16">
      <c r="A151" s="19" t="str">
        <f t="shared" si="15"/>
        <v>АСУЭ.TOR.VVR.wVNR</v>
      </c>
      <c r="B151" s="11">
        <v>2</v>
      </c>
      <c r="C151" s="11" t="s">
        <v>2</v>
      </c>
      <c r="D151" s="20" t="s">
        <v>3</v>
      </c>
      <c r="P151" s="4"/>
    </row>
    <row r="152" spans="1:16">
      <c r="A152" s="19" t="str">
        <f t="shared" si="15"/>
        <v>АСУЭ.TOR.VVR.wVNR</v>
      </c>
      <c r="B152" s="11">
        <v>1</v>
      </c>
      <c r="C152" s="11" t="s">
        <v>1</v>
      </c>
      <c r="D152" s="20">
        <v>11</v>
      </c>
      <c r="P152" s="4"/>
    </row>
    <row r="153" spans="1:16">
      <c r="A153" s="69" t="str">
        <f>$R$2&amp;".wSV_On_From_AVR"</f>
        <v>АСУЭ.TOR.VVR.wSV_On_From_AVR</v>
      </c>
      <c r="B153" s="70">
        <v>11154</v>
      </c>
      <c r="C153" s="70" t="s">
        <v>4</v>
      </c>
      <c r="D153" s="71">
        <f>$Q$6</f>
        <v>8</v>
      </c>
      <c r="P153" s="4"/>
    </row>
    <row r="154" spans="1:16">
      <c r="A154" s="63" t="str">
        <f t="shared" ref="A154:A162" si="16">$R$2&amp;".wSV_On_From_AVR"</f>
        <v>АСУЭ.TOR.VVR.wSV_On_From_AVR</v>
      </c>
      <c r="B154" s="64">
        <v>11152</v>
      </c>
      <c r="C154" s="64" t="s">
        <v>0</v>
      </c>
      <c r="D154" s="65" t="str">
        <f>$R$6</f>
        <v>Предупреждение</v>
      </c>
      <c r="P154" s="4"/>
    </row>
    <row r="155" spans="1:16">
      <c r="A155" s="63" t="str">
        <f t="shared" si="16"/>
        <v>АСУЭ.TOR.VVR.wSV_On_From_AVR</v>
      </c>
      <c r="B155" s="64">
        <v>11150</v>
      </c>
      <c r="C155" s="64" t="s">
        <v>0</v>
      </c>
      <c r="D155" s="65" t="s">
        <v>2810</v>
      </c>
      <c r="P155" s="4"/>
    </row>
    <row r="156" spans="1:16">
      <c r="A156" s="63" t="str">
        <f t="shared" si="16"/>
        <v>АСУЭ.TOR.VVR.wSV_On_From_AVR</v>
      </c>
      <c r="B156" s="64">
        <v>11000</v>
      </c>
      <c r="C156" s="64" t="s">
        <v>5</v>
      </c>
      <c r="D156" s="65">
        <v>2147483680</v>
      </c>
      <c r="P156" s="4"/>
    </row>
    <row r="157" spans="1:16">
      <c r="A157" s="19" t="str">
        <f t="shared" si="16"/>
        <v>АСУЭ.TOR.VVR.wSV_On_From_AVR</v>
      </c>
      <c r="B157" s="11">
        <v>7999</v>
      </c>
      <c r="C157" s="11" t="s">
        <v>0</v>
      </c>
      <c r="D157" s="20" t="str">
        <f>"#"&amp;$S$2&amp;"#"&amp;$T$2&amp;"."&amp;$P$2&amp;".wSV_On_From_AVR"</f>
        <v>#3#\\Setup_rza\Modbus.OPCServer\KTP_BMRZ.TOR200_VVR.wSV_On_From_AVR</v>
      </c>
      <c r="P157" s="4"/>
    </row>
    <row r="158" spans="1:16">
      <c r="A158" s="19" t="str">
        <f t="shared" si="16"/>
        <v>АСУЭ.TOR.VVR.wSV_On_From_AVR</v>
      </c>
      <c r="B158" s="11">
        <v>7998</v>
      </c>
      <c r="C158" s="11" t="s">
        <v>6</v>
      </c>
      <c r="D158" s="20">
        <v>1</v>
      </c>
      <c r="P158" s="4"/>
    </row>
    <row r="159" spans="1:16">
      <c r="A159" s="19" t="str">
        <f t="shared" si="16"/>
        <v>АСУЭ.TOR.VVR.wSV_On_From_AVR</v>
      </c>
      <c r="B159" s="11">
        <v>101</v>
      </c>
      <c r="C159" s="11" t="s">
        <v>0</v>
      </c>
      <c r="D159" s="20" t="s">
        <v>2810</v>
      </c>
      <c r="P159" s="4"/>
    </row>
    <row r="160" spans="1:16">
      <c r="A160" s="19" t="str">
        <f t="shared" si="16"/>
        <v>АСУЭ.TOR.VVR.wSV_On_From_AVR</v>
      </c>
      <c r="B160" s="11">
        <v>3</v>
      </c>
      <c r="C160" s="11" t="s">
        <v>1</v>
      </c>
      <c r="D160" s="20">
        <v>192</v>
      </c>
      <c r="P160" s="4"/>
    </row>
    <row r="161" spans="1:16">
      <c r="A161" s="19" t="str">
        <f t="shared" si="16"/>
        <v>АСУЭ.TOR.VVR.wSV_On_From_AVR</v>
      </c>
      <c r="B161" s="11">
        <v>2</v>
      </c>
      <c r="C161" s="11" t="s">
        <v>2</v>
      </c>
      <c r="D161" s="20" t="s">
        <v>3</v>
      </c>
      <c r="P161" s="4"/>
    </row>
    <row r="162" spans="1:16">
      <c r="A162" s="19" t="str">
        <f t="shared" si="16"/>
        <v>АСУЭ.TOR.VVR.wSV_On_From_AVR</v>
      </c>
      <c r="B162" s="11">
        <v>1</v>
      </c>
      <c r="C162" s="11" t="s">
        <v>1</v>
      </c>
      <c r="D162" s="20">
        <v>11</v>
      </c>
      <c r="P162" s="4"/>
    </row>
    <row r="163" spans="1:16">
      <c r="A163" s="69" t="str">
        <f>$R$2&amp;".wTT_Flt"</f>
        <v>АСУЭ.TOR.VVR.wTT_Flt</v>
      </c>
      <c r="B163" s="70">
        <v>11154</v>
      </c>
      <c r="C163" s="70" t="s">
        <v>4</v>
      </c>
      <c r="D163" s="71">
        <f>$Q$6</f>
        <v>8</v>
      </c>
      <c r="P163" s="4"/>
    </row>
    <row r="164" spans="1:16">
      <c r="A164" s="63" t="str">
        <f t="shared" ref="A164:A172" si="17">$R$2&amp;".wTT_Flt"</f>
        <v>АСУЭ.TOR.VVR.wTT_Flt</v>
      </c>
      <c r="B164" s="64">
        <v>11152</v>
      </c>
      <c r="C164" s="64" t="s">
        <v>0</v>
      </c>
      <c r="D164" s="65" t="str">
        <f>$R$6</f>
        <v>Предупреждение</v>
      </c>
      <c r="P164" s="4"/>
    </row>
    <row r="165" spans="1:16">
      <c r="A165" s="63" t="str">
        <f t="shared" si="17"/>
        <v>АСУЭ.TOR.VVR.wTT_Flt</v>
      </c>
      <c r="B165" s="64">
        <v>11150</v>
      </c>
      <c r="C165" s="64" t="s">
        <v>0</v>
      </c>
      <c r="D165" s="65" t="s">
        <v>1517</v>
      </c>
      <c r="P165" s="4"/>
    </row>
    <row r="166" spans="1:16">
      <c r="A166" s="63" t="str">
        <f t="shared" si="17"/>
        <v>АСУЭ.TOR.VVR.wTT_Flt</v>
      </c>
      <c r="B166" s="64">
        <v>11000</v>
      </c>
      <c r="C166" s="64" t="s">
        <v>5</v>
      </c>
      <c r="D166" s="65">
        <v>2147483680</v>
      </c>
      <c r="P166" s="4"/>
    </row>
    <row r="167" spans="1:16">
      <c r="A167" s="19" t="str">
        <f t="shared" si="17"/>
        <v>АСУЭ.TOR.VVR.wTT_Flt</v>
      </c>
      <c r="B167" s="11">
        <v>7999</v>
      </c>
      <c r="C167" s="11" t="s">
        <v>0</v>
      </c>
      <c r="D167" s="20" t="str">
        <f>"#"&amp;$S$2&amp;"#"&amp;$T$2&amp;"."&amp;$P$2&amp;".wTT_Flt"</f>
        <v>#3#\\Setup_rza\Modbus.OPCServer\KTP_BMRZ.TOR200_VVR.wTT_Flt</v>
      </c>
      <c r="P167" s="4"/>
    </row>
    <row r="168" spans="1:16">
      <c r="A168" s="19" t="str">
        <f t="shared" si="17"/>
        <v>АСУЭ.TOR.VVR.wTT_Flt</v>
      </c>
      <c r="B168" s="11">
        <v>7998</v>
      </c>
      <c r="C168" s="11" t="s">
        <v>6</v>
      </c>
      <c r="D168" s="20">
        <v>1</v>
      </c>
      <c r="P168" s="4"/>
    </row>
    <row r="169" spans="1:16">
      <c r="A169" s="19" t="str">
        <f t="shared" si="17"/>
        <v>АСУЭ.TOR.VVR.wTT_Flt</v>
      </c>
      <c r="B169" s="11">
        <v>101</v>
      </c>
      <c r="C169" s="11" t="s">
        <v>0</v>
      </c>
      <c r="D169" s="20" t="s">
        <v>1517</v>
      </c>
      <c r="P169" s="4"/>
    </row>
    <row r="170" spans="1:16">
      <c r="A170" s="19" t="str">
        <f t="shared" si="17"/>
        <v>АСУЭ.TOR.VVR.wTT_Flt</v>
      </c>
      <c r="B170" s="11">
        <v>3</v>
      </c>
      <c r="C170" s="11" t="s">
        <v>1</v>
      </c>
      <c r="D170" s="20">
        <v>192</v>
      </c>
      <c r="P170" s="4"/>
    </row>
    <row r="171" spans="1:16">
      <c r="A171" s="19" t="str">
        <f t="shared" si="17"/>
        <v>АСУЭ.TOR.VVR.wTT_Flt</v>
      </c>
      <c r="B171" s="11">
        <v>2</v>
      </c>
      <c r="C171" s="11" t="s">
        <v>2</v>
      </c>
      <c r="D171" s="20" t="s">
        <v>3</v>
      </c>
      <c r="P171" s="4"/>
    </row>
    <row r="172" spans="1:16">
      <c r="A172" s="19" t="str">
        <f t="shared" si="17"/>
        <v>АСУЭ.TOR.VVR.wTT_Flt</v>
      </c>
      <c r="B172" s="11">
        <v>1</v>
      </c>
      <c r="C172" s="11" t="s">
        <v>1</v>
      </c>
      <c r="D172" s="20">
        <v>11</v>
      </c>
      <c r="P172" s="4"/>
    </row>
    <row r="173" spans="1:16">
      <c r="A173" s="217" t="str">
        <f>$R$2&amp;".NotConnected"</f>
        <v>АСУЭ.TOR.VVR.NotConnected</v>
      </c>
      <c r="B173" s="218">
        <v>11154</v>
      </c>
      <c r="C173" s="218" t="s">
        <v>4</v>
      </c>
      <c r="D173" s="231">
        <f>$Q$7</f>
        <v>12</v>
      </c>
    </row>
    <row r="174" spans="1:16">
      <c r="A174" s="211" t="str">
        <f t="shared" ref="A174:A182" si="18">$R$2&amp;".NotConnected"</f>
        <v>АСУЭ.TOR.VVR.NotConnected</v>
      </c>
      <c r="B174" s="212">
        <v>11152</v>
      </c>
      <c r="C174" s="212" t="s">
        <v>0</v>
      </c>
      <c r="D174" s="213" t="str">
        <f>$R$7</f>
        <v>Неисправность</v>
      </c>
    </row>
    <row r="175" spans="1:16">
      <c r="A175" s="211" t="str">
        <f t="shared" si="18"/>
        <v>АСУЭ.TOR.VVR.NotConnected</v>
      </c>
      <c r="B175" s="212">
        <v>11150</v>
      </c>
      <c r="C175" s="212" t="s">
        <v>0</v>
      </c>
      <c r="D175" s="213" t="s">
        <v>448</v>
      </c>
    </row>
    <row r="176" spans="1:16">
      <c r="A176" s="211" t="str">
        <f t="shared" si="18"/>
        <v>АСУЭ.TOR.VVR.NotConnected</v>
      </c>
      <c r="B176" s="212">
        <v>11000</v>
      </c>
      <c r="C176" s="212" t="s">
        <v>5</v>
      </c>
      <c r="D176" s="213">
        <v>2147483680</v>
      </c>
    </row>
    <row r="177" spans="1:4">
      <c r="A177" s="19" t="str">
        <f t="shared" si="18"/>
        <v>АСУЭ.TOR.VVR.NotConnected</v>
      </c>
      <c r="B177" s="11">
        <v>7999</v>
      </c>
      <c r="C177" s="11" t="s">
        <v>0</v>
      </c>
      <c r="D177" s="20" t="str">
        <f>"#"&amp;$S$2&amp;"#"&amp;$T$2&amp;"."&amp;$P$2&amp;".NotConnected"</f>
        <v>#3#\\Setup_rza\Modbus.OPCServer\KTP_BMRZ.TOR200_VVR.NotConnected</v>
      </c>
    </row>
    <row r="178" spans="1:4">
      <c r="A178" s="19" t="str">
        <f t="shared" si="18"/>
        <v>АСУЭ.TOR.VVR.NotConnected</v>
      </c>
      <c r="B178" s="11">
        <v>7998</v>
      </c>
      <c r="C178" s="11" t="s">
        <v>6</v>
      </c>
      <c r="D178" s="20">
        <v>1</v>
      </c>
    </row>
    <row r="179" spans="1:4">
      <c r="A179" s="19" t="str">
        <f t="shared" si="18"/>
        <v>АСУЭ.TOR.VVR.NotConnected</v>
      </c>
      <c r="B179" s="11">
        <v>101</v>
      </c>
      <c r="C179" s="11" t="s">
        <v>0</v>
      </c>
      <c r="D179" s="20" t="s">
        <v>448</v>
      </c>
    </row>
    <row r="180" spans="1:4">
      <c r="A180" s="19" t="str">
        <f t="shared" si="18"/>
        <v>АСУЭ.TOR.VVR.NotConnected</v>
      </c>
      <c r="B180" s="11">
        <v>3</v>
      </c>
      <c r="C180" s="11" t="s">
        <v>1</v>
      </c>
      <c r="D180" s="20">
        <v>192</v>
      </c>
    </row>
    <row r="181" spans="1:4">
      <c r="A181" s="19" t="str">
        <f t="shared" si="18"/>
        <v>АСУЭ.TOR.VVR.NotConnected</v>
      </c>
      <c r="B181" s="11">
        <v>2</v>
      </c>
      <c r="C181" s="11" t="s">
        <v>2</v>
      </c>
      <c r="D181" s="20" t="s">
        <v>3</v>
      </c>
    </row>
    <row r="182" spans="1:4">
      <c r="A182" s="21" t="str">
        <f t="shared" si="18"/>
        <v>АСУЭ.TOR.VVR.NotConnected</v>
      </c>
      <c r="B182" s="8">
        <v>1</v>
      </c>
      <c r="C182" s="8" t="s">
        <v>1</v>
      </c>
      <c r="D182" s="22">
        <v>11</v>
      </c>
    </row>
    <row r="183" spans="1:4">
      <c r="A183" s="211" t="str">
        <f t="shared" ref="A183:A190" si="19">$R$2&amp;".wNotOff"</f>
        <v>АСУЭ.TOR.VVR.wNotOff</v>
      </c>
      <c r="B183" s="212">
        <v>11154</v>
      </c>
      <c r="C183" s="212" t="s">
        <v>4</v>
      </c>
      <c r="D183" s="213">
        <f>$Q$7</f>
        <v>12</v>
      </c>
    </row>
    <row r="184" spans="1:4">
      <c r="A184" s="211" t="str">
        <f t="shared" si="19"/>
        <v>АСУЭ.TOR.VVR.wNotOff</v>
      </c>
      <c r="B184" s="212">
        <v>11152</v>
      </c>
      <c r="C184" s="212" t="s">
        <v>0</v>
      </c>
      <c r="D184" s="213" t="str">
        <f>$R$7</f>
        <v>Неисправность</v>
      </c>
    </row>
    <row r="185" spans="1:4">
      <c r="A185" s="211" t="str">
        <f t="shared" si="19"/>
        <v>АСУЭ.TOR.VVR.wNotOff</v>
      </c>
      <c r="B185" s="212">
        <v>11150</v>
      </c>
      <c r="C185" s="212" t="s">
        <v>0</v>
      </c>
      <c r="D185" s="213" t="s">
        <v>339</v>
      </c>
    </row>
    <row r="186" spans="1:4">
      <c r="A186" s="211" t="str">
        <f t="shared" si="19"/>
        <v>АСУЭ.TOR.VVR.wNotOff</v>
      </c>
      <c r="B186" s="212">
        <v>11000</v>
      </c>
      <c r="C186" s="212" t="s">
        <v>5</v>
      </c>
      <c r="D186" s="213">
        <v>2147483680</v>
      </c>
    </row>
    <row r="187" spans="1:4">
      <c r="A187" s="19" t="str">
        <f t="shared" si="19"/>
        <v>АСУЭ.TOR.VVR.wNotOff</v>
      </c>
      <c r="B187" s="11">
        <v>101</v>
      </c>
      <c r="C187" s="11" t="s">
        <v>0</v>
      </c>
      <c r="D187" s="20" t="s">
        <v>339</v>
      </c>
    </row>
    <row r="188" spans="1:4">
      <c r="A188" s="19" t="str">
        <f t="shared" si="19"/>
        <v>АСУЭ.TOR.VVR.wNotOff</v>
      </c>
      <c r="B188" s="11">
        <v>3</v>
      </c>
      <c r="C188" s="11" t="s">
        <v>1</v>
      </c>
      <c r="D188" s="20">
        <v>192</v>
      </c>
    </row>
    <row r="189" spans="1:4">
      <c r="A189" s="19" t="str">
        <f t="shared" si="19"/>
        <v>АСУЭ.TOR.VVR.wNotOff</v>
      </c>
      <c r="B189" s="11">
        <v>2</v>
      </c>
      <c r="C189" s="11" t="s">
        <v>2</v>
      </c>
      <c r="D189" s="20" t="s">
        <v>3</v>
      </c>
    </row>
    <row r="190" spans="1:4">
      <c r="A190" s="21" t="str">
        <f t="shared" si="19"/>
        <v>АСУЭ.TOR.VVR.wNotOff</v>
      </c>
      <c r="B190" s="8">
        <v>1</v>
      </c>
      <c r="C190" s="8" t="s">
        <v>1</v>
      </c>
      <c r="D190" s="22">
        <v>11</v>
      </c>
    </row>
    <row r="191" spans="1:4">
      <c r="A191" s="211" t="str">
        <f t="shared" ref="A191:A198" si="20">$R$2&amp;".wNotOn"</f>
        <v>АСУЭ.TOR.VVR.wNotOn</v>
      </c>
      <c r="B191" s="212">
        <v>11154</v>
      </c>
      <c r="C191" s="212" t="s">
        <v>4</v>
      </c>
      <c r="D191" s="213">
        <f>$Q$7</f>
        <v>12</v>
      </c>
    </row>
    <row r="192" spans="1:4">
      <c r="A192" s="211" t="str">
        <f t="shared" si="20"/>
        <v>АСУЭ.TOR.VVR.wNotOn</v>
      </c>
      <c r="B192" s="212">
        <v>11152</v>
      </c>
      <c r="C192" s="212" t="s">
        <v>0</v>
      </c>
      <c r="D192" s="213" t="str">
        <f>$R$7</f>
        <v>Неисправность</v>
      </c>
    </row>
    <row r="193" spans="1:4">
      <c r="A193" s="211" t="str">
        <f t="shared" si="20"/>
        <v>АСУЭ.TOR.VVR.wNotOn</v>
      </c>
      <c r="B193" s="212">
        <v>11150</v>
      </c>
      <c r="C193" s="212" t="s">
        <v>0</v>
      </c>
      <c r="D193" s="213" t="s">
        <v>340</v>
      </c>
    </row>
    <row r="194" spans="1:4">
      <c r="A194" s="211" t="str">
        <f t="shared" si="20"/>
        <v>АСУЭ.TOR.VVR.wNotOn</v>
      </c>
      <c r="B194" s="212">
        <v>11000</v>
      </c>
      <c r="C194" s="212" t="s">
        <v>5</v>
      </c>
      <c r="D194" s="213">
        <v>2147483680</v>
      </c>
    </row>
    <row r="195" spans="1:4">
      <c r="A195" s="19" t="str">
        <f t="shared" si="20"/>
        <v>АСУЭ.TOR.VVR.wNotOn</v>
      </c>
      <c r="B195" s="11">
        <v>101</v>
      </c>
      <c r="C195" s="11" t="s">
        <v>0</v>
      </c>
      <c r="D195" s="20" t="s">
        <v>340</v>
      </c>
    </row>
    <row r="196" spans="1:4">
      <c r="A196" s="19" t="str">
        <f t="shared" si="20"/>
        <v>АСУЭ.TOR.VVR.wNotOn</v>
      </c>
      <c r="B196" s="11">
        <v>3</v>
      </c>
      <c r="C196" s="11" t="s">
        <v>1</v>
      </c>
      <c r="D196" s="20">
        <v>192</v>
      </c>
    </row>
    <row r="197" spans="1:4">
      <c r="A197" s="19" t="str">
        <f t="shared" si="20"/>
        <v>АСУЭ.TOR.VVR.wNotOn</v>
      </c>
      <c r="B197" s="11">
        <v>2</v>
      </c>
      <c r="C197" s="11" t="s">
        <v>2</v>
      </c>
      <c r="D197" s="20" t="s">
        <v>3</v>
      </c>
    </row>
    <row r="198" spans="1:4">
      <c r="A198" s="21" t="str">
        <f t="shared" si="20"/>
        <v>АСУЭ.TOR.VVR.wNotOn</v>
      </c>
      <c r="B198" s="8">
        <v>1</v>
      </c>
      <c r="C198" s="8" t="s">
        <v>1</v>
      </c>
      <c r="D198" s="22">
        <v>11</v>
      </c>
    </row>
    <row r="199" spans="1:4">
      <c r="A199" s="211" t="str">
        <f t="shared" ref="A199:A205" si="21">$R$2&amp;".wDbl"</f>
        <v>АСУЭ.TOR.VVR.wDbl</v>
      </c>
      <c r="B199" s="212">
        <v>11154</v>
      </c>
      <c r="C199" s="212" t="s">
        <v>4</v>
      </c>
      <c r="D199" s="213">
        <f>$Q$7</f>
        <v>12</v>
      </c>
    </row>
    <row r="200" spans="1:4">
      <c r="A200" s="211" t="str">
        <f t="shared" si="21"/>
        <v>АСУЭ.TOR.VVR.wDbl</v>
      </c>
      <c r="B200" s="212">
        <v>11152</v>
      </c>
      <c r="C200" s="212" t="s">
        <v>0</v>
      </c>
      <c r="D200" s="213" t="str">
        <f>$R$7</f>
        <v>Неисправность</v>
      </c>
    </row>
    <row r="201" spans="1:4">
      <c r="A201" s="211" t="str">
        <f t="shared" si="21"/>
        <v>АСУЭ.TOR.VVR.wDbl</v>
      </c>
      <c r="B201" s="212">
        <v>11150</v>
      </c>
      <c r="C201" s="212" t="s">
        <v>0</v>
      </c>
      <c r="D201" s="213" t="s">
        <v>341</v>
      </c>
    </row>
    <row r="202" spans="1:4">
      <c r="A202" s="211" t="str">
        <f t="shared" si="21"/>
        <v>АСУЭ.TOR.VVR.wDbl</v>
      </c>
      <c r="B202" s="212">
        <v>11000</v>
      </c>
      <c r="C202" s="212" t="s">
        <v>5</v>
      </c>
      <c r="D202" s="213">
        <v>2147483680</v>
      </c>
    </row>
    <row r="203" spans="1:4">
      <c r="A203" s="19" t="str">
        <f t="shared" si="21"/>
        <v>АСУЭ.TOR.VVR.wDbl</v>
      </c>
      <c r="B203" s="11">
        <v>3</v>
      </c>
      <c r="C203" s="11" t="s">
        <v>1</v>
      </c>
      <c r="D203" s="20">
        <v>192</v>
      </c>
    </row>
    <row r="204" spans="1:4">
      <c r="A204" s="19" t="str">
        <f t="shared" si="21"/>
        <v>АСУЭ.TOR.VVR.wDbl</v>
      </c>
      <c r="B204" s="11">
        <v>2</v>
      </c>
      <c r="C204" s="11" t="s">
        <v>2</v>
      </c>
      <c r="D204" s="20" t="s">
        <v>3</v>
      </c>
    </row>
    <row r="205" spans="1:4">
      <c r="A205" s="21" t="str">
        <f t="shared" si="21"/>
        <v>АСУЭ.TOR.VVR.wDbl</v>
      </c>
      <c r="B205" s="8">
        <v>1</v>
      </c>
      <c r="C205" s="8" t="s">
        <v>1</v>
      </c>
      <c r="D205" s="22">
        <v>11</v>
      </c>
    </row>
    <row r="206" spans="1:4">
      <c r="A206" s="211" t="str">
        <f t="shared" ref="A206:A212" si="22">$R$2&amp;".wUnkw"</f>
        <v>АСУЭ.TOR.VVR.wUnkw</v>
      </c>
      <c r="B206" s="212">
        <v>11154</v>
      </c>
      <c r="C206" s="212" t="s">
        <v>4</v>
      </c>
      <c r="D206" s="213">
        <f>$Q$7</f>
        <v>12</v>
      </c>
    </row>
    <row r="207" spans="1:4">
      <c r="A207" s="211" t="str">
        <f t="shared" si="22"/>
        <v>АСУЭ.TOR.VVR.wUnkw</v>
      </c>
      <c r="B207" s="212">
        <v>11152</v>
      </c>
      <c r="C207" s="212" t="s">
        <v>0</v>
      </c>
      <c r="D207" s="213" t="str">
        <f>$R$7</f>
        <v>Неисправность</v>
      </c>
    </row>
    <row r="208" spans="1:4">
      <c r="A208" s="211" t="str">
        <f t="shared" si="22"/>
        <v>АСУЭ.TOR.VVR.wUnkw</v>
      </c>
      <c r="B208" s="212">
        <v>11150</v>
      </c>
      <c r="C208" s="212" t="s">
        <v>0</v>
      </c>
      <c r="D208" s="213" t="s">
        <v>342</v>
      </c>
    </row>
    <row r="209" spans="1:4">
      <c r="A209" s="211" t="str">
        <f t="shared" si="22"/>
        <v>АСУЭ.TOR.VVR.wUnkw</v>
      </c>
      <c r="B209" s="212">
        <v>11000</v>
      </c>
      <c r="C209" s="212" t="s">
        <v>5</v>
      </c>
      <c r="D209" s="213">
        <v>2147483680</v>
      </c>
    </row>
    <row r="210" spans="1:4">
      <c r="A210" s="19" t="str">
        <f t="shared" si="22"/>
        <v>АСУЭ.TOR.VVR.wUnkw</v>
      </c>
      <c r="B210" s="11">
        <v>3</v>
      </c>
      <c r="C210" s="11" t="s">
        <v>1</v>
      </c>
      <c r="D210" s="20">
        <v>192</v>
      </c>
    </row>
    <row r="211" spans="1:4">
      <c r="A211" s="19" t="str">
        <f t="shared" si="22"/>
        <v>АСУЭ.TOR.VVR.wUnkw</v>
      </c>
      <c r="B211" s="11">
        <v>2</v>
      </c>
      <c r="C211" s="11" t="s">
        <v>2</v>
      </c>
      <c r="D211" s="20" t="s">
        <v>3</v>
      </c>
    </row>
    <row r="212" spans="1:4">
      <c r="A212" s="21" t="str">
        <f t="shared" si="22"/>
        <v>АСУЭ.TOR.VVR.wUnkw</v>
      </c>
      <c r="B212" s="8">
        <v>1</v>
      </c>
      <c r="C212" s="8" t="s">
        <v>1</v>
      </c>
      <c r="D212" s="22">
        <v>11</v>
      </c>
    </row>
    <row r="213" spans="1:4">
      <c r="A213" s="19" t="str">
        <f t="shared" ref="A213:A224" si="23">$R$2&amp;".stOff"</f>
        <v>АСУЭ.TOR.VVR.stOff</v>
      </c>
      <c r="B213" s="11">
        <v>7000000</v>
      </c>
      <c r="C213" s="11" t="s">
        <v>6</v>
      </c>
      <c r="D213" s="20">
        <v>1</v>
      </c>
    </row>
    <row r="214" spans="1:4" ht="15.75" customHeight="1">
      <c r="A214" s="19" t="str">
        <f t="shared" si="23"/>
        <v>АСУЭ.TOR.VVR.stOff</v>
      </c>
      <c r="B214" s="11">
        <v>4000000</v>
      </c>
      <c r="C214" s="11" t="s">
        <v>0</v>
      </c>
      <c r="D214" s="72" t="s">
        <v>396</v>
      </c>
    </row>
    <row r="215" spans="1:4">
      <c r="A215" s="100" t="str">
        <f t="shared" si="23"/>
        <v>АСУЭ.TOR.VVR.stOff</v>
      </c>
      <c r="B215" s="101">
        <v>11154</v>
      </c>
      <c r="C215" s="101" t="s">
        <v>4</v>
      </c>
      <c r="D215" s="102">
        <f>$Q$8</f>
        <v>18</v>
      </c>
    </row>
    <row r="216" spans="1:4">
      <c r="A216" s="100" t="str">
        <f t="shared" si="23"/>
        <v>АСУЭ.TOR.VVR.stOff</v>
      </c>
      <c r="B216" s="101">
        <v>11150</v>
      </c>
      <c r="C216" s="101" t="s">
        <v>0</v>
      </c>
      <c r="D216" s="103" t="s">
        <v>336</v>
      </c>
    </row>
    <row r="217" spans="1:4">
      <c r="A217" s="100" t="str">
        <f t="shared" si="23"/>
        <v>АСУЭ.TOR.VVR.stOff</v>
      </c>
      <c r="B217" s="101">
        <v>11152</v>
      </c>
      <c r="C217" s="101" t="s">
        <v>0</v>
      </c>
      <c r="D217" s="104" t="str">
        <f>$R$8</f>
        <v>Телесигнализация</v>
      </c>
    </row>
    <row r="218" spans="1:4">
      <c r="A218" s="100" t="str">
        <f t="shared" si="23"/>
        <v>АСУЭ.TOR.VVR.stOff</v>
      </c>
      <c r="B218" s="101">
        <v>11000</v>
      </c>
      <c r="C218" s="101" t="s">
        <v>5</v>
      </c>
      <c r="D218" s="103">
        <v>2147483680</v>
      </c>
    </row>
    <row r="219" spans="1:4">
      <c r="A219" s="19" t="str">
        <f t="shared" si="23"/>
        <v>АСУЭ.TOR.VVR.stOff</v>
      </c>
      <c r="B219" s="11">
        <v>7999</v>
      </c>
      <c r="C219" s="11" t="s">
        <v>0</v>
      </c>
      <c r="D219" s="20" t="str">
        <f>"#"&amp;$S$2&amp;"#"&amp;$T$2&amp;"."&amp;$P$2&amp;".stOff"</f>
        <v>#3#\\Setup_rza\Modbus.OPCServer\KTP_BMRZ.TOR200_VVR.stOff</v>
      </c>
    </row>
    <row r="220" spans="1:4">
      <c r="A220" s="19" t="str">
        <f t="shared" si="23"/>
        <v>АСУЭ.TOR.VVR.stOff</v>
      </c>
      <c r="B220" s="11">
        <v>7998</v>
      </c>
      <c r="C220" s="11" t="s">
        <v>6</v>
      </c>
      <c r="D220" s="20">
        <v>1</v>
      </c>
    </row>
    <row r="221" spans="1:4">
      <c r="A221" s="19" t="str">
        <f t="shared" si="23"/>
        <v>АСУЭ.TOR.VVR.stOff</v>
      </c>
      <c r="B221" s="11">
        <v>101</v>
      </c>
      <c r="C221" s="11" t="s">
        <v>0</v>
      </c>
      <c r="D221" s="20" t="s">
        <v>336</v>
      </c>
    </row>
    <row r="222" spans="1:4">
      <c r="A222" s="19" t="str">
        <f t="shared" si="23"/>
        <v>АСУЭ.TOR.VVR.stOff</v>
      </c>
      <c r="B222" s="11">
        <v>3</v>
      </c>
      <c r="C222" s="11" t="s">
        <v>1</v>
      </c>
      <c r="D222" s="20">
        <v>192</v>
      </c>
    </row>
    <row r="223" spans="1:4">
      <c r="A223" s="19" t="str">
        <f t="shared" si="23"/>
        <v>АСУЭ.TOR.VVR.stOff</v>
      </c>
      <c r="B223" s="11">
        <v>2</v>
      </c>
      <c r="C223" s="11" t="s">
        <v>2</v>
      </c>
      <c r="D223" s="20" t="s">
        <v>3</v>
      </c>
    </row>
    <row r="224" spans="1:4">
      <c r="A224" s="21" t="str">
        <f t="shared" si="23"/>
        <v>АСУЭ.TOR.VVR.stOff</v>
      </c>
      <c r="B224" s="8">
        <v>1</v>
      </c>
      <c r="C224" s="8" t="s">
        <v>1</v>
      </c>
      <c r="D224" s="22">
        <v>11</v>
      </c>
    </row>
    <row r="225" spans="1:4">
      <c r="A225" s="19" t="str">
        <f t="shared" ref="A225:A236" si="24">$R$2&amp;".stOn"</f>
        <v>АСУЭ.TOR.VVR.stOn</v>
      </c>
      <c r="B225" s="11">
        <v>7000000</v>
      </c>
      <c r="C225" s="11" t="s">
        <v>6</v>
      </c>
      <c r="D225" s="20">
        <v>1</v>
      </c>
    </row>
    <row r="226" spans="1:4" ht="15.75" customHeight="1">
      <c r="A226" s="19" t="str">
        <f t="shared" si="24"/>
        <v>АСУЭ.TOR.VVR.stOn</v>
      </c>
      <c r="B226" s="11">
        <v>4000000</v>
      </c>
      <c r="C226" s="11" t="s">
        <v>0</v>
      </c>
      <c r="D226" s="72" t="s">
        <v>396</v>
      </c>
    </row>
    <row r="227" spans="1:4">
      <c r="A227" s="100" t="str">
        <f t="shared" si="24"/>
        <v>АСУЭ.TOR.VVR.stOn</v>
      </c>
      <c r="B227" s="101">
        <v>11154</v>
      </c>
      <c r="C227" s="101" t="s">
        <v>4</v>
      </c>
      <c r="D227" s="102">
        <f>$Q$8</f>
        <v>18</v>
      </c>
    </row>
    <row r="228" spans="1:4">
      <c r="A228" s="100" t="str">
        <f t="shared" si="24"/>
        <v>АСУЭ.TOR.VVR.stOn</v>
      </c>
      <c r="B228" s="101">
        <v>11150</v>
      </c>
      <c r="C228" s="101" t="s">
        <v>0</v>
      </c>
      <c r="D228" s="103" t="s">
        <v>337</v>
      </c>
    </row>
    <row r="229" spans="1:4">
      <c r="A229" s="100" t="str">
        <f t="shared" si="24"/>
        <v>АСУЭ.TOR.VVR.stOn</v>
      </c>
      <c r="B229" s="101">
        <v>11152</v>
      </c>
      <c r="C229" s="101" t="s">
        <v>0</v>
      </c>
      <c r="D229" s="104" t="str">
        <f>$R$8</f>
        <v>Телесигнализация</v>
      </c>
    </row>
    <row r="230" spans="1:4">
      <c r="A230" s="100" t="str">
        <f t="shared" si="24"/>
        <v>АСУЭ.TOR.VVR.stOn</v>
      </c>
      <c r="B230" s="101">
        <v>11000</v>
      </c>
      <c r="C230" s="101" t="s">
        <v>5</v>
      </c>
      <c r="D230" s="103">
        <v>2147483680</v>
      </c>
    </row>
    <row r="231" spans="1:4">
      <c r="A231" s="19" t="str">
        <f t="shared" si="24"/>
        <v>АСУЭ.TOR.VVR.stOn</v>
      </c>
      <c r="B231" s="11">
        <v>7999</v>
      </c>
      <c r="C231" s="11" t="s">
        <v>0</v>
      </c>
      <c r="D231" s="20" t="str">
        <f>"#"&amp;$S$2&amp;"#"&amp;$T$2&amp;"."&amp;$P$2&amp;".stOn"</f>
        <v>#3#\\Setup_rza\Modbus.OPCServer\KTP_BMRZ.TOR200_VVR.stOn</v>
      </c>
    </row>
    <row r="232" spans="1:4">
      <c r="A232" s="19" t="str">
        <f t="shared" si="24"/>
        <v>АСУЭ.TOR.VVR.stOn</v>
      </c>
      <c r="B232" s="11">
        <v>7998</v>
      </c>
      <c r="C232" s="11" t="s">
        <v>6</v>
      </c>
      <c r="D232" s="20">
        <v>1</v>
      </c>
    </row>
    <row r="233" spans="1:4">
      <c r="A233" s="19" t="str">
        <f>$R$2&amp;".stOn"</f>
        <v>АСУЭ.TOR.VVR.stOn</v>
      </c>
      <c r="B233" s="11">
        <v>101</v>
      </c>
      <c r="C233" s="11" t="s">
        <v>0</v>
      </c>
      <c r="D233" s="20" t="s">
        <v>337</v>
      </c>
    </row>
    <row r="234" spans="1:4">
      <c r="A234" s="19" t="str">
        <f t="shared" si="24"/>
        <v>АСУЭ.TOR.VVR.stOn</v>
      </c>
      <c r="B234" s="11">
        <v>3</v>
      </c>
      <c r="C234" s="11" t="s">
        <v>1</v>
      </c>
      <c r="D234" s="20">
        <v>192</v>
      </c>
    </row>
    <row r="235" spans="1:4">
      <c r="A235" s="19" t="str">
        <f t="shared" si="24"/>
        <v>АСУЭ.TOR.VVR.stOn</v>
      </c>
      <c r="B235" s="11">
        <v>2</v>
      </c>
      <c r="C235" s="11" t="s">
        <v>2</v>
      </c>
      <c r="D235" s="20" t="s">
        <v>3</v>
      </c>
    </row>
    <row r="236" spans="1:4">
      <c r="A236" s="21" t="str">
        <f t="shared" si="24"/>
        <v>АСУЭ.TOR.VVR.stOn</v>
      </c>
      <c r="B236" s="8">
        <v>1</v>
      </c>
      <c r="C236" s="8" t="s">
        <v>1</v>
      </c>
      <c r="D236" s="22">
        <v>11</v>
      </c>
    </row>
    <row r="237" spans="1:4">
      <c r="A237" s="100" t="str">
        <f>$R$2&amp;".stBan_TU"</f>
        <v>АСУЭ.TOR.VVR.stBan_TU</v>
      </c>
      <c r="B237" s="101">
        <v>11154</v>
      </c>
      <c r="C237" s="101" t="s">
        <v>4</v>
      </c>
      <c r="D237" s="102">
        <f>$Q$8</f>
        <v>18</v>
      </c>
    </row>
    <row r="238" spans="1:4">
      <c r="A238" s="100" t="str">
        <f t="shared" ref="A238:A246" si="25">$R$2&amp;".stBan_TU"</f>
        <v>АСУЭ.TOR.VVR.stBan_TU</v>
      </c>
      <c r="B238" s="101">
        <v>11150</v>
      </c>
      <c r="C238" s="101" t="s">
        <v>0</v>
      </c>
      <c r="D238" s="103" t="s">
        <v>1927</v>
      </c>
    </row>
    <row r="239" spans="1:4">
      <c r="A239" s="100" t="str">
        <f t="shared" si="25"/>
        <v>АСУЭ.TOR.VVR.stBan_TU</v>
      </c>
      <c r="B239" s="101">
        <v>11152</v>
      </c>
      <c r="C239" s="101" t="s">
        <v>0</v>
      </c>
      <c r="D239" s="104" t="str">
        <f>$R$8</f>
        <v>Телесигнализация</v>
      </c>
    </row>
    <row r="240" spans="1:4">
      <c r="A240" s="100" t="str">
        <f t="shared" si="25"/>
        <v>АСУЭ.TOR.VVR.stBan_TU</v>
      </c>
      <c r="B240" s="101">
        <v>11000</v>
      </c>
      <c r="C240" s="101" t="s">
        <v>5</v>
      </c>
      <c r="D240" s="103">
        <v>2147483680</v>
      </c>
    </row>
    <row r="241" spans="1:4">
      <c r="A241" s="19" t="str">
        <f t="shared" si="25"/>
        <v>АСУЭ.TOR.VVR.stBan_TU</v>
      </c>
      <c r="B241" s="11">
        <v>7999</v>
      </c>
      <c r="C241" s="11" t="s">
        <v>0</v>
      </c>
      <c r="D241" s="20" t="str">
        <f>"#"&amp;$S$2&amp;"#"&amp;$T$2&amp;"."&amp;$P$2&amp;".stBan_TU"</f>
        <v>#3#\\Setup_rza\Modbus.OPCServer\KTP_BMRZ.TOR200_VVR.stBan_TU</v>
      </c>
    </row>
    <row r="242" spans="1:4">
      <c r="A242" s="19" t="str">
        <f t="shared" si="25"/>
        <v>АСУЭ.TOR.VVR.stBan_TU</v>
      </c>
      <c r="B242" s="11">
        <v>7998</v>
      </c>
      <c r="C242" s="11" t="s">
        <v>6</v>
      </c>
      <c r="D242" s="20">
        <v>1</v>
      </c>
    </row>
    <row r="243" spans="1:4">
      <c r="A243" s="19" t="str">
        <f t="shared" si="25"/>
        <v>АСУЭ.TOR.VVR.stBan_TU</v>
      </c>
      <c r="B243" s="11">
        <v>101</v>
      </c>
      <c r="C243" s="11" t="s">
        <v>0</v>
      </c>
      <c r="D243" s="20" t="s">
        <v>1927</v>
      </c>
    </row>
    <row r="244" spans="1:4">
      <c r="A244" s="19" t="str">
        <f t="shared" si="25"/>
        <v>АСУЭ.TOR.VVR.stBan_TU</v>
      </c>
      <c r="B244" s="11">
        <v>3</v>
      </c>
      <c r="C244" s="11" t="s">
        <v>1</v>
      </c>
      <c r="D244" s="20">
        <v>192</v>
      </c>
    </row>
    <row r="245" spans="1:4">
      <c r="A245" s="19" t="str">
        <f t="shared" si="25"/>
        <v>АСУЭ.TOR.VVR.stBan_TU</v>
      </c>
      <c r="B245" s="11">
        <v>2</v>
      </c>
      <c r="C245" s="11" t="s">
        <v>2</v>
      </c>
      <c r="D245" s="20" t="s">
        <v>3</v>
      </c>
    </row>
    <row r="246" spans="1:4">
      <c r="A246" s="21" t="str">
        <f t="shared" si="25"/>
        <v>АСУЭ.TOR.VVR.stBan_TU</v>
      </c>
      <c r="B246" s="8">
        <v>1</v>
      </c>
      <c r="C246" s="8" t="s">
        <v>1</v>
      </c>
      <c r="D246" s="22">
        <v>11</v>
      </c>
    </row>
    <row r="247" spans="1:4">
      <c r="A247" s="159" t="str">
        <f>$R$2&amp;".stLoc"</f>
        <v>АСУЭ.TOR.VVR.stLoc</v>
      </c>
      <c r="B247" s="160">
        <v>11154</v>
      </c>
      <c r="C247" s="160" t="s">
        <v>4</v>
      </c>
      <c r="D247" s="686">
        <f>$Q$6</f>
        <v>8</v>
      </c>
    </row>
    <row r="248" spans="1:4">
      <c r="A248" s="100" t="str">
        <f t="shared" ref="A248:A256" si="26">$R$2&amp;".stLoc"</f>
        <v>АСУЭ.TOR.VVR.stLoc</v>
      </c>
      <c r="B248" s="101">
        <v>11152</v>
      </c>
      <c r="C248" s="101" t="s">
        <v>0</v>
      </c>
      <c r="D248" s="761" t="str">
        <f>$R$8</f>
        <v>Телесигнализация</v>
      </c>
    </row>
    <row r="249" spans="1:4">
      <c r="A249" s="100" t="str">
        <f t="shared" si="26"/>
        <v>АСУЭ.TOR.VVR.stLoc</v>
      </c>
      <c r="B249" s="101">
        <v>11150</v>
      </c>
      <c r="C249" s="101" t="s">
        <v>0</v>
      </c>
      <c r="D249" s="103" t="s">
        <v>2787</v>
      </c>
    </row>
    <row r="250" spans="1:4">
      <c r="A250" s="100" t="str">
        <f t="shared" si="26"/>
        <v>АСУЭ.TOR.VVR.stLoc</v>
      </c>
      <c r="B250" s="101">
        <v>11000</v>
      </c>
      <c r="C250" s="101" t="s">
        <v>5</v>
      </c>
      <c r="D250" s="103">
        <v>0</v>
      </c>
    </row>
    <row r="251" spans="1:4">
      <c r="A251" s="29" t="str">
        <f t="shared" si="26"/>
        <v>АСУЭ.TOR.VVR.stLoc</v>
      </c>
      <c r="B251" s="1">
        <v>7999</v>
      </c>
      <c r="C251" s="1" t="s">
        <v>0</v>
      </c>
      <c r="D251" s="30" t="str">
        <f>"#"&amp;$S$2&amp;"#"&amp;$T$2&amp;"."&amp;$P$2&amp;".stLoc"</f>
        <v>#3#\\Setup_rza\Modbus.OPCServer\KTP_BMRZ.TOR200_VVR.stLoc</v>
      </c>
    </row>
    <row r="252" spans="1:4">
      <c r="A252" s="29" t="str">
        <f t="shared" si="26"/>
        <v>АСУЭ.TOR.VVR.stLoc</v>
      </c>
      <c r="B252" s="1">
        <v>7998</v>
      </c>
      <c r="C252" s="1" t="s">
        <v>6</v>
      </c>
      <c r="D252" s="30">
        <v>1</v>
      </c>
    </row>
    <row r="253" spans="1:4">
      <c r="A253" s="29" t="str">
        <f t="shared" si="26"/>
        <v>АСУЭ.TOR.VVR.stLoc</v>
      </c>
      <c r="B253" s="1">
        <v>101</v>
      </c>
      <c r="C253" s="1" t="s">
        <v>0</v>
      </c>
      <c r="D253" s="30" t="s">
        <v>2787</v>
      </c>
    </row>
    <row r="254" spans="1:4">
      <c r="A254" s="29" t="str">
        <f t="shared" si="26"/>
        <v>АСУЭ.TOR.VVR.stLoc</v>
      </c>
      <c r="B254" s="1">
        <v>3</v>
      </c>
      <c r="C254" s="1" t="s">
        <v>1</v>
      </c>
      <c r="D254" s="30">
        <v>192</v>
      </c>
    </row>
    <row r="255" spans="1:4">
      <c r="A255" s="29" t="str">
        <f t="shared" si="26"/>
        <v>АСУЭ.TOR.VVR.stLoc</v>
      </c>
      <c r="B255" s="1">
        <v>2</v>
      </c>
      <c r="C255" s="1" t="s">
        <v>2</v>
      </c>
      <c r="D255" s="30" t="s">
        <v>175</v>
      </c>
    </row>
    <row r="256" spans="1:4">
      <c r="A256" s="26" t="str">
        <f t="shared" si="26"/>
        <v>АСУЭ.TOR.VVR.stLoc</v>
      </c>
      <c r="B256" s="27">
        <v>1</v>
      </c>
      <c r="C256" s="27" t="s">
        <v>1</v>
      </c>
      <c r="D256" s="28">
        <v>11</v>
      </c>
    </row>
    <row r="257" spans="1:4">
      <c r="A257" s="100" t="str">
        <f>$R$2&amp;".stMotorOff"</f>
        <v>АСУЭ.TOR.VVR.stMotorOff</v>
      </c>
      <c r="B257" s="101">
        <v>11154</v>
      </c>
      <c r="C257" s="101" t="s">
        <v>4</v>
      </c>
      <c r="D257" s="102">
        <f>$Q$8</f>
        <v>18</v>
      </c>
    </row>
    <row r="258" spans="1:4">
      <c r="A258" s="100" t="str">
        <f t="shared" ref="A258:A266" si="27">$R$2&amp;".stMotorOff"</f>
        <v>АСУЭ.TOR.VVR.stMotorOff</v>
      </c>
      <c r="B258" s="101">
        <v>11150</v>
      </c>
      <c r="C258" s="101" t="s">
        <v>0</v>
      </c>
      <c r="D258" s="103" t="s">
        <v>2788</v>
      </c>
    </row>
    <row r="259" spans="1:4">
      <c r="A259" s="100" t="str">
        <f t="shared" si="27"/>
        <v>АСУЭ.TOR.VVR.stMotorOff</v>
      </c>
      <c r="B259" s="101">
        <v>11152</v>
      </c>
      <c r="C259" s="101" t="s">
        <v>0</v>
      </c>
      <c r="D259" s="104" t="str">
        <f>$R$8</f>
        <v>Телесигнализация</v>
      </c>
    </row>
    <row r="260" spans="1:4">
      <c r="A260" s="100" t="str">
        <f t="shared" si="27"/>
        <v>АСУЭ.TOR.VVR.stMotorOff</v>
      </c>
      <c r="B260" s="101">
        <v>11000</v>
      </c>
      <c r="C260" s="101" t="s">
        <v>5</v>
      </c>
      <c r="D260" s="103">
        <v>2147483680</v>
      </c>
    </row>
    <row r="261" spans="1:4">
      <c r="A261" s="19" t="str">
        <f t="shared" si="27"/>
        <v>АСУЭ.TOR.VVR.stMotorOff</v>
      </c>
      <c r="B261" s="11">
        <v>7999</v>
      </c>
      <c r="C261" s="11" t="s">
        <v>0</v>
      </c>
      <c r="D261" s="20" t="str">
        <f>"#"&amp;$S$2&amp;"#"&amp;$T$2&amp;"."&amp;$P$2&amp;".stMotorOff"</f>
        <v>#3#\\Setup_rza\Modbus.OPCServer\KTP_BMRZ.TOR200_VVR.stMotorOff</v>
      </c>
    </row>
    <row r="262" spans="1:4">
      <c r="A262" s="19" t="str">
        <f t="shared" si="27"/>
        <v>АСУЭ.TOR.VVR.stMotorOff</v>
      </c>
      <c r="B262" s="11">
        <v>7998</v>
      </c>
      <c r="C262" s="11" t="s">
        <v>6</v>
      </c>
      <c r="D262" s="20">
        <v>1</v>
      </c>
    </row>
    <row r="263" spans="1:4">
      <c r="A263" s="19" t="str">
        <f t="shared" si="27"/>
        <v>АСУЭ.TOR.VVR.stMotorOff</v>
      </c>
      <c r="B263" s="11">
        <v>101</v>
      </c>
      <c r="C263" s="11" t="s">
        <v>0</v>
      </c>
      <c r="D263" s="20" t="s">
        <v>2788</v>
      </c>
    </row>
    <row r="264" spans="1:4">
      <c r="A264" s="19" t="str">
        <f t="shared" si="27"/>
        <v>АСУЭ.TOR.VVR.stMotorOff</v>
      </c>
      <c r="B264" s="11">
        <v>3</v>
      </c>
      <c r="C264" s="11" t="s">
        <v>1</v>
      </c>
      <c r="D264" s="20">
        <v>192</v>
      </c>
    </row>
    <row r="265" spans="1:4">
      <c r="A265" s="19" t="str">
        <f t="shared" si="27"/>
        <v>АСУЭ.TOR.VVR.stMotorOff</v>
      </c>
      <c r="B265" s="11">
        <v>2</v>
      </c>
      <c r="C265" s="11" t="s">
        <v>2</v>
      </c>
      <c r="D265" s="20" t="s">
        <v>3</v>
      </c>
    </row>
    <row r="266" spans="1:4">
      <c r="A266" s="21" t="str">
        <f t="shared" si="27"/>
        <v>АСУЭ.TOR.VVR.stMotorOff</v>
      </c>
      <c r="B266" s="8">
        <v>1</v>
      </c>
      <c r="C266" s="8" t="s">
        <v>1</v>
      </c>
      <c r="D266" s="22">
        <v>11</v>
      </c>
    </row>
    <row r="267" spans="1:4">
      <c r="A267" s="100" t="str">
        <f>$R$2&amp;".stCircuitOnFlt"</f>
        <v>АСУЭ.TOR.VVR.stCircuitOnFlt</v>
      </c>
      <c r="B267" s="101">
        <v>11154</v>
      </c>
      <c r="C267" s="101" t="s">
        <v>4</v>
      </c>
      <c r="D267" s="102">
        <f>$Q$8</f>
        <v>18</v>
      </c>
    </row>
    <row r="268" spans="1:4">
      <c r="A268" s="100" t="str">
        <f t="shared" ref="A268:A276" si="28">$R$2&amp;".stCircuitOnFlt"</f>
        <v>АСУЭ.TOR.VVR.stCircuitOnFlt</v>
      </c>
      <c r="B268" s="101">
        <v>11150</v>
      </c>
      <c r="C268" s="101" t="s">
        <v>0</v>
      </c>
      <c r="D268" s="103" t="s">
        <v>2789</v>
      </c>
    </row>
    <row r="269" spans="1:4">
      <c r="A269" s="100" t="str">
        <f t="shared" si="28"/>
        <v>АСУЭ.TOR.VVR.stCircuitOnFlt</v>
      </c>
      <c r="B269" s="101">
        <v>11152</v>
      </c>
      <c r="C269" s="101" t="s">
        <v>0</v>
      </c>
      <c r="D269" s="104" t="str">
        <f>$R$8</f>
        <v>Телесигнализация</v>
      </c>
    </row>
    <row r="270" spans="1:4">
      <c r="A270" s="100" t="str">
        <f t="shared" si="28"/>
        <v>АСУЭ.TOR.VVR.stCircuitOnFlt</v>
      </c>
      <c r="B270" s="101">
        <v>11000</v>
      </c>
      <c r="C270" s="101" t="s">
        <v>5</v>
      </c>
      <c r="D270" s="103">
        <v>2147483680</v>
      </c>
    </row>
    <row r="271" spans="1:4">
      <c r="A271" s="19" t="str">
        <f t="shared" si="28"/>
        <v>АСУЭ.TOR.VVR.stCircuitOnFlt</v>
      </c>
      <c r="B271" s="11">
        <v>7999</v>
      </c>
      <c r="C271" s="11" t="s">
        <v>0</v>
      </c>
      <c r="D271" s="20" t="str">
        <f>"#"&amp;$S$2&amp;"#"&amp;$T$2&amp;"."&amp;$P$2&amp;".stCircuitOnFlt"</f>
        <v>#3#\\Setup_rza\Modbus.OPCServer\KTP_BMRZ.TOR200_VVR.stCircuitOnFlt</v>
      </c>
    </row>
    <row r="272" spans="1:4">
      <c r="A272" s="19" t="str">
        <f t="shared" si="28"/>
        <v>АСУЭ.TOR.VVR.stCircuitOnFlt</v>
      </c>
      <c r="B272" s="11">
        <v>7998</v>
      </c>
      <c r="C272" s="11" t="s">
        <v>6</v>
      </c>
      <c r="D272" s="20">
        <v>1</v>
      </c>
    </row>
    <row r="273" spans="1:4">
      <c r="A273" s="19" t="str">
        <f t="shared" si="28"/>
        <v>АСУЭ.TOR.VVR.stCircuitOnFlt</v>
      </c>
      <c r="B273" s="11">
        <v>101</v>
      </c>
      <c r="C273" s="11" t="s">
        <v>0</v>
      </c>
      <c r="D273" s="20" t="s">
        <v>2789</v>
      </c>
    </row>
    <row r="274" spans="1:4">
      <c r="A274" s="19" t="str">
        <f t="shared" si="28"/>
        <v>АСУЭ.TOR.VVR.stCircuitOnFlt</v>
      </c>
      <c r="B274" s="11">
        <v>3</v>
      </c>
      <c r="C274" s="11" t="s">
        <v>1</v>
      </c>
      <c r="D274" s="20">
        <v>192</v>
      </c>
    </row>
    <row r="275" spans="1:4">
      <c r="A275" s="19" t="str">
        <f t="shared" si="28"/>
        <v>АСУЭ.TOR.VVR.stCircuitOnFlt</v>
      </c>
      <c r="B275" s="11">
        <v>2</v>
      </c>
      <c r="C275" s="11" t="s">
        <v>2</v>
      </c>
      <c r="D275" s="20" t="s">
        <v>3</v>
      </c>
    </row>
    <row r="276" spans="1:4">
      <c r="A276" s="21" t="str">
        <f t="shared" si="28"/>
        <v>АСУЭ.TOR.VVR.stCircuitOnFlt</v>
      </c>
      <c r="B276" s="8">
        <v>1</v>
      </c>
      <c r="C276" s="8" t="s">
        <v>1</v>
      </c>
      <c r="D276" s="22">
        <v>11</v>
      </c>
    </row>
    <row r="277" spans="1:4">
      <c r="A277" s="100" t="str">
        <f>$R$2&amp;".stAVR_SV_on"</f>
        <v>АСУЭ.TOR.VVR.stAVR_SV_on</v>
      </c>
      <c r="B277" s="101">
        <v>11154</v>
      </c>
      <c r="C277" s="101" t="s">
        <v>4</v>
      </c>
      <c r="D277" s="102">
        <f>$Q$8</f>
        <v>18</v>
      </c>
    </row>
    <row r="278" spans="1:4">
      <c r="A278" s="100" t="str">
        <f t="shared" ref="A278:A286" si="29">$R$2&amp;".stAVR_SV_on"</f>
        <v>АСУЭ.TOR.VVR.stAVR_SV_on</v>
      </c>
      <c r="B278" s="101">
        <v>11150</v>
      </c>
      <c r="C278" s="101" t="s">
        <v>0</v>
      </c>
      <c r="D278" s="103" t="s">
        <v>2811</v>
      </c>
    </row>
    <row r="279" spans="1:4">
      <c r="A279" s="100" t="str">
        <f t="shared" si="29"/>
        <v>АСУЭ.TOR.VVR.stAVR_SV_on</v>
      </c>
      <c r="B279" s="101">
        <v>11152</v>
      </c>
      <c r="C279" s="101" t="s">
        <v>0</v>
      </c>
      <c r="D279" s="104" t="str">
        <f>$R$8</f>
        <v>Телесигнализация</v>
      </c>
    </row>
    <row r="280" spans="1:4">
      <c r="A280" s="100" t="str">
        <f t="shared" si="29"/>
        <v>АСУЭ.TOR.VVR.stAVR_SV_on</v>
      </c>
      <c r="B280" s="101">
        <v>11000</v>
      </c>
      <c r="C280" s="101" t="s">
        <v>5</v>
      </c>
      <c r="D280" s="103">
        <v>2147483680</v>
      </c>
    </row>
    <row r="281" spans="1:4">
      <c r="A281" s="19" t="str">
        <f t="shared" si="29"/>
        <v>АСУЭ.TOR.VVR.stAVR_SV_on</v>
      </c>
      <c r="B281" s="11">
        <v>7999</v>
      </c>
      <c r="C281" s="11" t="s">
        <v>0</v>
      </c>
      <c r="D281" s="20" t="str">
        <f>"#"&amp;$S$2&amp;"#"&amp;$T$2&amp;"."&amp;$P$2&amp;".stAVR_SV_on"</f>
        <v>#3#\\Setup_rza\Modbus.OPCServer\KTP_BMRZ.TOR200_VVR.stAVR_SV_on</v>
      </c>
    </row>
    <row r="282" spans="1:4">
      <c r="A282" s="19" t="str">
        <f t="shared" si="29"/>
        <v>АСУЭ.TOR.VVR.stAVR_SV_on</v>
      </c>
      <c r="B282" s="11">
        <v>7998</v>
      </c>
      <c r="C282" s="11" t="s">
        <v>6</v>
      </c>
      <c r="D282" s="20">
        <v>1</v>
      </c>
    </row>
    <row r="283" spans="1:4">
      <c r="A283" s="19" t="str">
        <f t="shared" si="29"/>
        <v>АСУЭ.TOR.VVR.stAVR_SV_on</v>
      </c>
      <c r="B283" s="11">
        <v>101</v>
      </c>
      <c r="C283" s="11" t="s">
        <v>0</v>
      </c>
      <c r="D283" s="20" t="s">
        <v>2811</v>
      </c>
    </row>
    <row r="284" spans="1:4">
      <c r="A284" s="19" t="str">
        <f t="shared" si="29"/>
        <v>АСУЭ.TOR.VVR.stAVR_SV_on</v>
      </c>
      <c r="B284" s="11">
        <v>3</v>
      </c>
      <c r="C284" s="11" t="s">
        <v>1</v>
      </c>
      <c r="D284" s="20">
        <v>192</v>
      </c>
    </row>
    <row r="285" spans="1:4">
      <c r="A285" s="19" t="str">
        <f t="shared" si="29"/>
        <v>АСУЭ.TOR.VVR.stAVR_SV_on</v>
      </c>
      <c r="B285" s="11">
        <v>2</v>
      </c>
      <c r="C285" s="11" t="s">
        <v>2</v>
      </c>
      <c r="D285" s="20" t="s">
        <v>3</v>
      </c>
    </row>
    <row r="286" spans="1:4">
      <c r="A286" s="21" t="str">
        <f t="shared" si="29"/>
        <v>АСУЭ.TOR.VVR.stAVR_SV_on</v>
      </c>
      <c r="B286" s="8">
        <v>1</v>
      </c>
      <c r="C286" s="8" t="s">
        <v>1</v>
      </c>
      <c r="D286" s="22">
        <v>11</v>
      </c>
    </row>
    <row r="287" spans="1:4">
      <c r="A287" s="100" t="str">
        <f>$R$2&amp;".stAVR_SV_off"</f>
        <v>АСУЭ.TOR.VVR.stAVR_SV_off</v>
      </c>
      <c r="B287" s="101">
        <v>11154</v>
      </c>
      <c r="C287" s="101" t="s">
        <v>4</v>
      </c>
      <c r="D287" s="102">
        <f>$Q$8</f>
        <v>18</v>
      </c>
    </row>
    <row r="288" spans="1:4">
      <c r="A288" s="100" t="str">
        <f t="shared" ref="A288:A296" si="30">$R$2&amp;".stAVR_SV_off"</f>
        <v>АСУЭ.TOR.VVR.stAVR_SV_off</v>
      </c>
      <c r="B288" s="101">
        <v>11150</v>
      </c>
      <c r="C288" s="101" t="s">
        <v>0</v>
      </c>
      <c r="D288" s="103" t="s">
        <v>2812</v>
      </c>
    </row>
    <row r="289" spans="1:4">
      <c r="A289" s="100" t="str">
        <f t="shared" si="30"/>
        <v>АСУЭ.TOR.VVR.stAVR_SV_off</v>
      </c>
      <c r="B289" s="101">
        <v>11152</v>
      </c>
      <c r="C289" s="101" t="s">
        <v>0</v>
      </c>
      <c r="D289" s="104" t="str">
        <f>$R$8</f>
        <v>Телесигнализация</v>
      </c>
    </row>
    <row r="290" spans="1:4">
      <c r="A290" s="100" t="str">
        <f t="shared" si="30"/>
        <v>АСУЭ.TOR.VVR.stAVR_SV_off</v>
      </c>
      <c r="B290" s="101">
        <v>11000</v>
      </c>
      <c r="C290" s="101" t="s">
        <v>5</v>
      </c>
      <c r="D290" s="103">
        <v>2147483680</v>
      </c>
    </row>
    <row r="291" spans="1:4">
      <c r="A291" s="19" t="str">
        <f t="shared" si="30"/>
        <v>АСУЭ.TOR.VVR.stAVR_SV_off</v>
      </c>
      <c r="B291" s="11">
        <v>7999</v>
      </c>
      <c r="C291" s="11" t="s">
        <v>0</v>
      </c>
      <c r="D291" s="20" t="str">
        <f>"#"&amp;$S$2&amp;"#"&amp;$T$2&amp;"."&amp;$P$2&amp;".stAVR_SV_off"</f>
        <v>#3#\\Setup_rza\Modbus.OPCServer\KTP_BMRZ.TOR200_VVR.stAVR_SV_off</v>
      </c>
    </row>
    <row r="292" spans="1:4">
      <c r="A292" s="19" t="str">
        <f t="shared" si="30"/>
        <v>АСУЭ.TOR.VVR.stAVR_SV_off</v>
      </c>
      <c r="B292" s="11">
        <v>7998</v>
      </c>
      <c r="C292" s="11" t="s">
        <v>6</v>
      </c>
      <c r="D292" s="20">
        <v>1</v>
      </c>
    </row>
    <row r="293" spans="1:4">
      <c r="A293" s="19" t="str">
        <f t="shared" si="30"/>
        <v>АСУЭ.TOR.VVR.stAVR_SV_off</v>
      </c>
      <c r="B293" s="11">
        <v>101</v>
      </c>
      <c r="C293" s="11" t="s">
        <v>0</v>
      </c>
      <c r="D293" s="20" t="s">
        <v>2812</v>
      </c>
    </row>
    <row r="294" spans="1:4">
      <c r="A294" s="19" t="str">
        <f t="shared" si="30"/>
        <v>АСУЭ.TOR.VVR.stAVR_SV_off</v>
      </c>
      <c r="B294" s="11">
        <v>3</v>
      </c>
      <c r="C294" s="11" t="s">
        <v>1</v>
      </c>
      <c r="D294" s="20">
        <v>192</v>
      </c>
    </row>
    <row r="295" spans="1:4">
      <c r="A295" s="19" t="str">
        <f t="shared" si="30"/>
        <v>АСУЭ.TOR.VVR.stAVR_SV_off</v>
      </c>
      <c r="B295" s="11">
        <v>2</v>
      </c>
      <c r="C295" s="11" t="s">
        <v>2</v>
      </c>
      <c r="D295" s="20" t="s">
        <v>3</v>
      </c>
    </row>
    <row r="296" spans="1:4">
      <c r="A296" s="21" t="str">
        <f t="shared" si="30"/>
        <v>АСУЭ.TOR.VVR.stAVR_SV_off</v>
      </c>
      <c r="B296" s="8">
        <v>1</v>
      </c>
      <c r="C296" s="8" t="s">
        <v>1</v>
      </c>
      <c r="D296" s="22">
        <v>11</v>
      </c>
    </row>
    <row r="297" spans="1:4">
      <c r="A297" s="100" t="str">
        <f>$R$2&amp;".stRPV"</f>
        <v>АСУЭ.TOR.VVR.stRPV</v>
      </c>
      <c r="B297" s="101">
        <v>11154</v>
      </c>
      <c r="C297" s="101" t="s">
        <v>4</v>
      </c>
      <c r="D297" s="102">
        <f>$Q$8</f>
        <v>18</v>
      </c>
    </row>
    <row r="298" spans="1:4">
      <c r="A298" s="100" t="str">
        <f t="shared" ref="A298:A306" si="31">$R$2&amp;".stRPV"</f>
        <v>АСУЭ.TOR.VVR.stRPV</v>
      </c>
      <c r="B298" s="101">
        <v>11150</v>
      </c>
      <c r="C298" s="101" t="s">
        <v>0</v>
      </c>
      <c r="D298" s="103" t="s">
        <v>2790</v>
      </c>
    </row>
    <row r="299" spans="1:4">
      <c r="A299" s="100" t="str">
        <f t="shared" si="31"/>
        <v>АСУЭ.TOR.VVR.stRPV</v>
      </c>
      <c r="B299" s="101">
        <v>11152</v>
      </c>
      <c r="C299" s="101" t="s">
        <v>0</v>
      </c>
      <c r="D299" s="104" t="str">
        <f>$R$8</f>
        <v>Телесигнализация</v>
      </c>
    </row>
    <row r="300" spans="1:4">
      <c r="A300" s="100" t="str">
        <f t="shared" si="31"/>
        <v>АСУЭ.TOR.VVR.stRPV</v>
      </c>
      <c r="B300" s="101">
        <v>11000</v>
      </c>
      <c r="C300" s="101" t="s">
        <v>5</v>
      </c>
      <c r="D300" s="103">
        <v>2147483680</v>
      </c>
    </row>
    <row r="301" spans="1:4">
      <c r="A301" s="19" t="str">
        <f t="shared" si="31"/>
        <v>АСУЭ.TOR.VVR.stRPV</v>
      </c>
      <c r="B301" s="11">
        <v>7999</v>
      </c>
      <c r="C301" s="11" t="s">
        <v>0</v>
      </c>
      <c r="D301" s="20" t="str">
        <f>"#"&amp;$S$2&amp;"#"&amp;$T$2&amp;"."&amp;$P$2&amp;".stRPV"</f>
        <v>#3#\\Setup_rza\Modbus.OPCServer\KTP_BMRZ.TOR200_VVR.stRPV</v>
      </c>
    </row>
    <row r="302" spans="1:4">
      <c r="A302" s="19" t="str">
        <f t="shared" si="31"/>
        <v>АСУЭ.TOR.VVR.stRPV</v>
      </c>
      <c r="B302" s="11">
        <v>7998</v>
      </c>
      <c r="C302" s="11" t="s">
        <v>6</v>
      </c>
      <c r="D302" s="20">
        <v>1</v>
      </c>
    </row>
    <row r="303" spans="1:4">
      <c r="A303" s="19" t="str">
        <f t="shared" si="31"/>
        <v>АСУЭ.TOR.VVR.stRPV</v>
      </c>
      <c r="B303" s="11">
        <v>101</v>
      </c>
      <c r="C303" s="11" t="s">
        <v>0</v>
      </c>
      <c r="D303" s="20" t="s">
        <v>2790</v>
      </c>
    </row>
    <row r="304" spans="1:4">
      <c r="A304" s="19" t="str">
        <f t="shared" si="31"/>
        <v>АСУЭ.TOR.VVR.stRPV</v>
      </c>
      <c r="B304" s="11">
        <v>3</v>
      </c>
      <c r="C304" s="11" t="s">
        <v>1</v>
      </c>
      <c r="D304" s="20">
        <v>192</v>
      </c>
    </row>
    <row r="305" spans="1:4">
      <c r="A305" s="19" t="str">
        <f t="shared" si="31"/>
        <v>АСУЭ.TOR.VVR.stRPV</v>
      </c>
      <c r="B305" s="11">
        <v>2</v>
      </c>
      <c r="C305" s="11" t="s">
        <v>2</v>
      </c>
      <c r="D305" s="20" t="s">
        <v>3</v>
      </c>
    </row>
    <row r="306" spans="1:4">
      <c r="A306" s="21" t="str">
        <f t="shared" si="31"/>
        <v>АСУЭ.TOR.VVR.stRPV</v>
      </c>
      <c r="B306" s="8">
        <v>1</v>
      </c>
      <c r="C306" s="8" t="s">
        <v>1</v>
      </c>
      <c r="D306" s="22">
        <v>11</v>
      </c>
    </row>
    <row r="307" spans="1:4">
      <c r="A307" s="100" t="str">
        <f>$R$2&amp;".stRPO"</f>
        <v>АСУЭ.TOR.VVR.stRPO</v>
      </c>
      <c r="B307" s="101">
        <v>11154</v>
      </c>
      <c r="C307" s="101" t="s">
        <v>4</v>
      </c>
      <c r="D307" s="102">
        <f>$Q$8</f>
        <v>18</v>
      </c>
    </row>
    <row r="308" spans="1:4">
      <c r="A308" s="100" t="str">
        <f t="shared" ref="A308:A316" si="32">$R$2&amp;".stRPO"</f>
        <v>АСУЭ.TOR.VVR.stRPO</v>
      </c>
      <c r="B308" s="101">
        <v>11150</v>
      </c>
      <c r="C308" s="101" t="s">
        <v>0</v>
      </c>
      <c r="D308" s="103" t="s">
        <v>2791</v>
      </c>
    </row>
    <row r="309" spans="1:4">
      <c r="A309" s="100" t="str">
        <f t="shared" si="32"/>
        <v>АСУЭ.TOR.VVR.stRPO</v>
      </c>
      <c r="B309" s="101">
        <v>11152</v>
      </c>
      <c r="C309" s="101" t="s">
        <v>0</v>
      </c>
      <c r="D309" s="104" t="str">
        <f>$R$8</f>
        <v>Телесигнализация</v>
      </c>
    </row>
    <row r="310" spans="1:4">
      <c r="A310" s="100" t="str">
        <f t="shared" si="32"/>
        <v>АСУЭ.TOR.VVR.stRPO</v>
      </c>
      <c r="B310" s="101">
        <v>11000</v>
      </c>
      <c r="C310" s="101" t="s">
        <v>5</v>
      </c>
      <c r="D310" s="103">
        <v>2147483680</v>
      </c>
    </row>
    <row r="311" spans="1:4">
      <c r="A311" s="19" t="str">
        <f t="shared" si="32"/>
        <v>АСУЭ.TOR.VVR.stRPO</v>
      </c>
      <c r="B311" s="11">
        <v>7999</v>
      </c>
      <c r="C311" s="11" t="s">
        <v>0</v>
      </c>
      <c r="D311" s="20" t="str">
        <f>"#"&amp;$S$2&amp;"#"&amp;$T$2&amp;"."&amp;$P$2&amp;".stRPO"</f>
        <v>#3#\\Setup_rza\Modbus.OPCServer\KTP_BMRZ.TOR200_VVR.stRPO</v>
      </c>
    </row>
    <row r="312" spans="1:4">
      <c r="A312" s="19" t="str">
        <f t="shared" si="32"/>
        <v>АСУЭ.TOR.VVR.stRPO</v>
      </c>
      <c r="B312" s="11">
        <v>7998</v>
      </c>
      <c r="C312" s="11" t="s">
        <v>6</v>
      </c>
      <c r="D312" s="20">
        <v>1</v>
      </c>
    </row>
    <row r="313" spans="1:4">
      <c r="A313" s="19" t="str">
        <f t="shared" si="32"/>
        <v>АСУЭ.TOR.VVR.stRPO</v>
      </c>
      <c r="B313" s="11">
        <v>101</v>
      </c>
      <c r="C313" s="11" t="s">
        <v>0</v>
      </c>
      <c r="D313" s="20" t="s">
        <v>2791</v>
      </c>
    </row>
    <row r="314" spans="1:4">
      <c r="A314" s="19" t="str">
        <f t="shared" si="32"/>
        <v>АСУЭ.TOR.VVR.stRPO</v>
      </c>
      <c r="B314" s="11">
        <v>3</v>
      </c>
      <c r="C314" s="11" t="s">
        <v>1</v>
      </c>
      <c r="D314" s="20">
        <v>192</v>
      </c>
    </row>
    <row r="315" spans="1:4">
      <c r="A315" s="19" t="str">
        <f t="shared" si="32"/>
        <v>АСУЭ.TOR.VVR.stRPO</v>
      </c>
      <c r="B315" s="11">
        <v>2</v>
      </c>
      <c r="C315" s="11" t="s">
        <v>2</v>
      </c>
      <c r="D315" s="20" t="s">
        <v>3</v>
      </c>
    </row>
    <row r="316" spans="1:4">
      <c r="A316" s="21" t="str">
        <f t="shared" si="32"/>
        <v>АСУЭ.TOR.VVR.stRPO</v>
      </c>
      <c r="B316" s="8">
        <v>1</v>
      </c>
      <c r="C316" s="8" t="s">
        <v>1</v>
      </c>
      <c r="D316" s="22">
        <v>11</v>
      </c>
    </row>
    <row r="317" spans="1:4">
      <c r="A317" s="100" t="str">
        <f>$R$2&amp;".stUvv_ssh"</f>
        <v>АСУЭ.TOR.VVR.stUvv_ssh</v>
      </c>
      <c r="B317" s="101">
        <v>11154</v>
      </c>
      <c r="C317" s="101" t="s">
        <v>4</v>
      </c>
      <c r="D317" s="102">
        <f>$Q$8</f>
        <v>18</v>
      </c>
    </row>
    <row r="318" spans="1:4">
      <c r="A318" s="100" t="str">
        <f t="shared" ref="A318:A326" si="33">$R$2&amp;".stUvv_ssh"</f>
        <v>АСУЭ.TOR.VVR.stUvv_ssh</v>
      </c>
      <c r="B318" s="101">
        <v>11150</v>
      </c>
      <c r="C318" s="101" t="s">
        <v>0</v>
      </c>
      <c r="D318" s="103" t="s">
        <v>2813</v>
      </c>
    </row>
    <row r="319" spans="1:4">
      <c r="A319" s="100" t="str">
        <f t="shared" si="33"/>
        <v>АСУЭ.TOR.VVR.stUvv_ssh</v>
      </c>
      <c r="B319" s="101">
        <v>11152</v>
      </c>
      <c r="C319" s="101" t="s">
        <v>0</v>
      </c>
      <c r="D319" s="104" t="str">
        <f>$R$8</f>
        <v>Телесигнализация</v>
      </c>
    </row>
    <row r="320" spans="1:4">
      <c r="A320" s="100" t="str">
        <f t="shared" si="33"/>
        <v>АСУЭ.TOR.VVR.stUvv_ssh</v>
      </c>
      <c r="B320" s="101">
        <v>11000</v>
      </c>
      <c r="C320" s="101" t="s">
        <v>5</v>
      </c>
      <c r="D320" s="103">
        <v>2147483680</v>
      </c>
    </row>
    <row r="321" spans="1:4">
      <c r="A321" s="19" t="str">
        <f t="shared" si="33"/>
        <v>АСУЭ.TOR.VVR.stUvv_ssh</v>
      </c>
      <c r="B321" s="11">
        <v>7999</v>
      </c>
      <c r="C321" s="11" t="s">
        <v>0</v>
      </c>
      <c r="D321" s="20" t="str">
        <f>"#"&amp;$S$2&amp;"#"&amp;$T$2&amp;"."&amp;$P$2&amp;".stUvv_ssh"</f>
        <v>#3#\\Setup_rza\Modbus.OPCServer\KTP_BMRZ.TOR200_VVR.stUvv_ssh</v>
      </c>
    </row>
    <row r="322" spans="1:4">
      <c r="A322" s="19" t="str">
        <f t="shared" si="33"/>
        <v>АСУЭ.TOR.VVR.stUvv_ssh</v>
      </c>
      <c r="B322" s="11">
        <v>7998</v>
      </c>
      <c r="C322" s="11" t="s">
        <v>6</v>
      </c>
      <c r="D322" s="20">
        <v>1</v>
      </c>
    </row>
    <row r="323" spans="1:4">
      <c r="A323" s="19" t="str">
        <f t="shared" si="33"/>
        <v>АСУЭ.TOR.VVR.stUvv_ssh</v>
      </c>
      <c r="B323" s="11">
        <v>101</v>
      </c>
      <c r="C323" s="11" t="s">
        <v>0</v>
      </c>
      <c r="D323" s="20" t="s">
        <v>2813</v>
      </c>
    </row>
    <row r="324" spans="1:4">
      <c r="A324" s="19" t="str">
        <f t="shared" si="33"/>
        <v>АСУЭ.TOR.VVR.stUvv_ssh</v>
      </c>
      <c r="B324" s="11">
        <v>3</v>
      </c>
      <c r="C324" s="11" t="s">
        <v>1</v>
      </c>
      <c r="D324" s="20">
        <v>192</v>
      </c>
    </row>
    <row r="325" spans="1:4">
      <c r="A325" s="19" t="str">
        <f t="shared" si="33"/>
        <v>АСУЭ.TOR.VVR.stUvv_ssh</v>
      </c>
      <c r="B325" s="11">
        <v>2</v>
      </c>
      <c r="C325" s="11" t="s">
        <v>2</v>
      </c>
      <c r="D325" s="20" t="s">
        <v>3</v>
      </c>
    </row>
    <row r="326" spans="1:4">
      <c r="A326" s="21" t="str">
        <f t="shared" si="33"/>
        <v>АСУЭ.TOR.VVR.stUvv_ssh</v>
      </c>
      <c r="B326" s="8">
        <v>1</v>
      </c>
      <c r="C326" s="8" t="s">
        <v>1</v>
      </c>
      <c r="D326" s="22">
        <v>11</v>
      </c>
    </row>
    <row r="327" spans="1:4">
      <c r="A327" s="100" t="str">
        <f>$R$2&amp;".stOn_sev_ssh"</f>
        <v>АСУЭ.TOR.VVR.stOn_sev_ssh</v>
      </c>
      <c r="B327" s="101">
        <v>11154</v>
      </c>
      <c r="C327" s="101" t="s">
        <v>4</v>
      </c>
      <c r="D327" s="102">
        <f>$Q$8</f>
        <v>18</v>
      </c>
    </row>
    <row r="328" spans="1:4">
      <c r="A328" s="100" t="str">
        <f t="shared" ref="A328:A336" si="34">$R$2&amp;".stOn_sev_ssh"</f>
        <v>АСУЭ.TOR.VVR.stOn_sev_ssh</v>
      </c>
      <c r="B328" s="101">
        <v>11150</v>
      </c>
      <c r="C328" s="101" t="s">
        <v>0</v>
      </c>
      <c r="D328" s="103" t="s">
        <v>2814</v>
      </c>
    </row>
    <row r="329" spans="1:4">
      <c r="A329" s="100" t="str">
        <f t="shared" si="34"/>
        <v>АСУЭ.TOR.VVR.stOn_sev_ssh</v>
      </c>
      <c r="B329" s="101">
        <v>11152</v>
      </c>
      <c r="C329" s="101" t="s">
        <v>0</v>
      </c>
      <c r="D329" s="104" t="str">
        <f>$R$8</f>
        <v>Телесигнализация</v>
      </c>
    </row>
    <row r="330" spans="1:4">
      <c r="A330" s="100" t="str">
        <f t="shared" si="34"/>
        <v>АСУЭ.TOR.VVR.stOn_sev_ssh</v>
      </c>
      <c r="B330" s="101">
        <v>11000</v>
      </c>
      <c r="C330" s="101" t="s">
        <v>5</v>
      </c>
      <c r="D330" s="103">
        <v>2147483680</v>
      </c>
    </row>
    <row r="331" spans="1:4">
      <c r="A331" s="19" t="str">
        <f t="shared" si="34"/>
        <v>АСУЭ.TOR.VVR.stOn_sev_ssh</v>
      </c>
      <c r="B331" s="11">
        <v>7999</v>
      </c>
      <c r="C331" s="11" t="s">
        <v>0</v>
      </c>
      <c r="D331" s="20" t="str">
        <f>"#"&amp;$S$2&amp;"#"&amp;$T$2&amp;"."&amp;$P$2&amp;".stOn_sev_ssh"</f>
        <v>#3#\\Setup_rza\Modbus.OPCServer\KTP_BMRZ.TOR200_VVR.stOn_sev_ssh</v>
      </c>
    </row>
    <row r="332" spans="1:4">
      <c r="A332" s="19" t="str">
        <f t="shared" si="34"/>
        <v>АСУЭ.TOR.VVR.stOn_sev_ssh</v>
      </c>
      <c r="B332" s="11">
        <v>7998</v>
      </c>
      <c r="C332" s="11" t="s">
        <v>6</v>
      </c>
      <c r="D332" s="20">
        <v>1</v>
      </c>
    </row>
    <row r="333" spans="1:4">
      <c r="A333" s="19" t="str">
        <f t="shared" si="34"/>
        <v>АСУЭ.TOR.VVR.stOn_sev_ssh</v>
      </c>
      <c r="B333" s="11">
        <v>101</v>
      </c>
      <c r="C333" s="11" t="s">
        <v>0</v>
      </c>
      <c r="D333" s="20" t="s">
        <v>2814</v>
      </c>
    </row>
    <row r="334" spans="1:4">
      <c r="A334" s="19" t="str">
        <f t="shared" si="34"/>
        <v>АСУЭ.TOR.VVR.stOn_sev_ssh</v>
      </c>
      <c r="B334" s="11">
        <v>3</v>
      </c>
      <c r="C334" s="11" t="s">
        <v>1</v>
      </c>
      <c r="D334" s="20">
        <v>192</v>
      </c>
    </row>
    <row r="335" spans="1:4">
      <c r="A335" s="19" t="str">
        <f t="shared" si="34"/>
        <v>АСУЭ.TOR.VVR.stOn_sev_ssh</v>
      </c>
      <c r="B335" s="11">
        <v>2</v>
      </c>
      <c r="C335" s="11" t="s">
        <v>2</v>
      </c>
      <c r="D335" s="20" t="s">
        <v>3</v>
      </c>
    </row>
    <row r="336" spans="1:4">
      <c r="A336" s="21" t="str">
        <f t="shared" si="34"/>
        <v>АСУЭ.TOR.VVR.stOn_sev_ssh</v>
      </c>
      <c r="B336" s="8">
        <v>1</v>
      </c>
      <c r="C336" s="8" t="s">
        <v>1</v>
      </c>
      <c r="D336" s="22">
        <v>11</v>
      </c>
    </row>
    <row r="337" spans="1:4">
      <c r="A337" s="100" t="str">
        <f>$R$2&amp;".stOn_neigh_ssh"</f>
        <v>АСУЭ.TOR.VVR.stOn_neigh_ssh</v>
      </c>
      <c r="B337" s="101">
        <v>11154</v>
      </c>
      <c r="C337" s="101" t="s">
        <v>4</v>
      </c>
      <c r="D337" s="102">
        <f>$Q$8</f>
        <v>18</v>
      </c>
    </row>
    <row r="338" spans="1:4">
      <c r="A338" s="100" t="str">
        <f t="shared" ref="A338:A346" si="35">$R$2&amp;".stOn_neigh_ssh"</f>
        <v>АСУЭ.TOR.VVR.stOn_neigh_ssh</v>
      </c>
      <c r="B338" s="101">
        <v>11150</v>
      </c>
      <c r="C338" s="101" t="s">
        <v>0</v>
      </c>
      <c r="D338" s="103" t="s">
        <v>2815</v>
      </c>
    </row>
    <row r="339" spans="1:4">
      <c r="A339" s="100" t="str">
        <f t="shared" si="35"/>
        <v>АСУЭ.TOR.VVR.stOn_neigh_ssh</v>
      </c>
      <c r="B339" s="101">
        <v>11152</v>
      </c>
      <c r="C339" s="101" t="s">
        <v>0</v>
      </c>
      <c r="D339" s="104" t="str">
        <f>$R$8</f>
        <v>Телесигнализация</v>
      </c>
    </row>
    <row r="340" spans="1:4">
      <c r="A340" s="100" t="str">
        <f t="shared" si="35"/>
        <v>АСУЭ.TOR.VVR.stOn_neigh_ssh</v>
      </c>
      <c r="B340" s="101">
        <v>11000</v>
      </c>
      <c r="C340" s="101" t="s">
        <v>5</v>
      </c>
      <c r="D340" s="103">
        <v>2147483680</v>
      </c>
    </row>
    <row r="341" spans="1:4">
      <c r="A341" s="19" t="str">
        <f t="shared" si="35"/>
        <v>АСУЭ.TOR.VVR.stOn_neigh_ssh</v>
      </c>
      <c r="B341" s="11">
        <v>7999</v>
      </c>
      <c r="C341" s="11" t="s">
        <v>0</v>
      </c>
      <c r="D341" s="20" t="str">
        <f>"#"&amp;$S$2&amp;"#"&amp;$T$2&amp;"."&amp;$P$2&amp;".stOn_neigh_ssh"</f>
        <v>#3#\\Setup_rza\Modbus.OPCServer\KTP_BMRZ.TOR200_VVR.stOn_neigh_ssh</v>
      </c>
    </row>
    <row r="342" spans="1:4">
      <c r="A342" s="19" t="str">
        <f t="shared" si="35"/>
        <v>АСУЭ.TOR.VVR.stOn_neigh_ssh</v>
      </c>
      <c r="B342" s="11">
        <v>7998</v>
      </c>
      <c r="C342" s="11" t="s">
        <v>6</v>
      </c>
      <c r="D342" s="20">
        <v>1</v>
      </c>
    </row>
    <row r="343" spans="1:4">
      <c r="A343" s="19" t="str">
        <f t="shared" si="35"/>
        <v>АСУЭ.TOR.VVR.stOn_neigh_ssh</v>
      </c>
      <c r="B343" s="11">
        <v>101</v>
      </c>
      <c r="C343" s="11" t="s">
        <v>0</v>
      </c>
      <c r="D343" s="20" t="s">
        <v>2815</v>
      </c>
    </row>
    <row r="344" spans="1:4">
      <c r="A344" s="19" t="str">
        <f t="shared" si="35"/>
        <v>АСУЭ.TOR.VVR.stOn_neigh_ssh</v>
      </c>
      <c r="B344" s="11">
        <v>3</v>
      </c>
      <c r="C344" s="11" t="s">
        <v>1</v>
      </c>
      <c r="D344" s="20">
        <v>192</v>
      </c>
    </row>
    <row r="345" spans="1:4">
      <c r="A345" s="19" t="str">
        <f t="shared" si="35"/>
        <v>АСУЭ.TOR.VVR.stOn_neigh_ssh</v>
      </c>
      <c r="B345" s="11">
        <v>2</v>
      </c>
      <c r="C345" s="11" t="s">
        <v>2</v>
      </c>
      <c r="D345" s="20" t="s">
        <v>3</v>
      </c>
    </row>
    <row r="346" spans="1:4">
      <c r="A346" s="21" t="str">
        <f t="shared" si="35"/>
        <v>АСУЭ.TOR.VVR.stOn_neigh_ssh</v>
      </c>
      <c r="B346" s="8">
        <v>1</v>
      </c>
      <c r="C346" s="8" t="s">
        <v>1</v>
      </c>
      <c r="D346" s="22">
        <v>11</v>
      </c>
    </row>
    <row r="347" spans="1:4">
      <c r="A347" s="100" t="str">
        <f>$R$2&amp;".stUvv_sev_ssh"</f>
        <v>АСУЭ.TOR.VVR.stUvv_sev_ssh</v>
      </c>
      <c r="B347" s="101">
        <v>11154</v>
      </c>
      <c r="C347" s="101" t="s">
        <v>4</v>
      </c>
      <c r="D347" s="102">
        <f>$Q$8</f>
        <v>18</v>
      </c>
    </row>
    <row r="348" spans="1:4">
      <c r="A348" s="100" t="str">
        <f t="shared" ref="A348:A356" si="36">$R$2&amp;".stUvv_sev_ssh"</f>
        <v>АСУЭ.TOR.VVR.stUvv_sev_ssh</v>
      </c>
      <c r="B348" s="101">
        <v>11150</v>
      </c>
      <c r="C348" s="101" t="s">
        <v>0</v>
      </c>
      <c r="D348" s="103" t="s">
        <v>2816</v>
      </c>
    </row>
    <row r="349" spans="1:4">
      <c r="A349" s="100" t="str">
        <f t="shared" si="36"/>
        <v>АСУЭ.TOR.VVR.stUvv_sev_ssh</v>
      </c>
      <c r="B349" s="101">
        <v>11152</v>
      </c>
      <c r="C349" s="101" t="s">
        <v>0</v>
      </c>
      <c r="D349" s="104" t="str">
        <f>$R$8</f>
        <v>Телесигнализация</v>
      </c>
    </row>
    <row r="350" spans="1:4">
      <c r="A350" s="100" t="str">
        <f t="shared" si="36"/>
        <v>АСУЭ.TOR.VVR.stUvv_sev_ssh</v>
      </c>
      <c r="B350" s="101">
        <v>11000</v>
      </c>
      <c r="C350" s="101" t="s">
        <v>5</v>
      </c>
      <c r="D350" s="103">
        <v>2147483680</v>
      </c>
    </row>
    <row r="351" spans="1:4">
      <c r="A351" s="19" t="str">
        <f t="shared" si="36"/>
        <v>АСУЭ.TOR.VVR.stUvv_sev_ssh</v>
      </c>
      <c r="B351" s="11">
        <v>7999</v>
      </c>
      <c r="C351" s="11" t="s">
        <v>0</v>
      </c>
      <c r="D351" s="20" t="str">
        <f>"#"&amp;$S$2&amp;"#"&amp;$T$2&amp;"."&amp;$P$2&amp;".stUvv_sev_ssh"</f>
        <v>#3#\\Setup_rza\Modbus.OPCServer\KTP_BMRZ.TOR200_VVR.stUvv_sev_ssh</v>
      </c>
    </row>
    <row r="352" spans="1:4">
      <c r="A352" s="19" t="str">
        <f t="shared" si="36"/>
        <v>АСУЭ.TOR.VVR.stUvv_sev_ssh</v>
      </c>
      <c r="B352" s="11">
        <v>7998</v>
      </c>
      <c r="C352" s="11" t="s">
        <v>6</v>
      </c>
      <c r="D352" s="20">
        <v>1</v>
      </c>
    </row>
    <row r="353" spans="1:4">
      <c r="A353" s="19" t="str">
        <f t="shared" si="36"/>
        <v>АСУЭ.TOR.VVR.stUvv_sev_ssh</v>
      </c>
      <c r="B353" s="11">
        <v>101</v>
      </c>
      <c r="C353" s="11" t="s">
        <v>0</v>
      </c>
      <c r="D353" s="20" t="s">
        <v>2816</v>
      </c>
    </row>
    <row r="354" spans="1:4">
      <c r="A354" s="19" t="str">
        <f t="shared" si="36"/>
        <v>АСУЭ.TOR.VVR.stUvv_sev_ssh</v>
      </c>
      <c r="B354" s="11">
        <v>3</v>
      </c>
      <c r="C354" s="11" t="s">
        <v>1</v>
      </c>
      <c r="D354" s="20">
        <v>192</v>
      </c>
    </row>
    <row r="355" spans="1:4">
      <c r="A355" s="19" t="str">
        <f t="shared" si="36"/>
        <v>АСУЭ.TOR.VVR.stUvv_sev_ssh</v>
      </c>
      <c r="B355" s="11">
        <v>2</v>
      </c>
      <c r="C355" s="11" t="s">
        <v>2</v>
      </c>
      <c r="D355" s="20" t="s">
        <v>3</v>
      </c>
    </row>
    <row r="356" spans="1:4">
      <c r="A356" s="21" t="str">
        <f t="shared" si="36"/>
        <v>АСУЭ.TOR.VVR.stUvv_sev_ssh</v>
      </c>
      <c r="B356" s="8">
        <v>1</v>
      </c>
      <c r="C356" s="8" t="s">
        <v>1</v>
      </c>
      <c r="D356" s="22">
        <v>11</v>
      </c>
    </row>
    <row r="357" spans="1:4">
      <c r="A357" s="19" t="str">
        <f t="shared" ref="A357:A358" si="37">$R$2&amp;".stTOn"</f>
        <v>АСУЭ.TOR.VVR.stTOn</v>
      </c>
      <c r="B357" s="11">
        <v>7000000</v>
      </c>
      <c r="C357" s="11" t="s">
        <v>6</v>
      </c>
      <c r="D357" s="20">
        <v>1</v>
      </c>
    </row>
    <row r="358" spans="1:4">
      <c r="A358" s="19" t="str">
        <f t="shared" si="37"/>
        <v>АСУЭ.TOR.VVR.stTOn</v>
      </c>
      <c r="B358" s="11">
        <v>4000000</v>
      </c>
      <c r="C358" s="11" t="s">
        <v>0</v>
      </c>
      <c r="D358" s="72" t="s">
        <v>1877</v>
      </c>
    </row>
    <row r="359" spans="1:4">
      <c r="A359" s="100" t="str">
        <f>$R$2&amp;".stTOn"</f>
        <v>АСУЭ.TOR.VVR.stTOn</v>
      </c>
      <c r="B359" s="101">
        <v>11154</v>
      </c>
      <c r="C359" s="101" t="s">
        <v>4</v>
      </c>
      <c r="D359" s="102">
        <f>$Q$8</f>
        <v>18</v>
      </c>
    </row>
    <row r="360" spans="1:4">
      <c r="A360" s="100" t="str">
        <f t="shared" ref="A360:A368" si="38">$R$2&amp;".stTOn"</f>
        <v>АСУЭ.TOR.VVR.stTOn</v>
      </c>
      <c r="B360" s="101">
        <v>11150</v>
      </c>
      <c r="C360" s="101" t="s">
        <v>0</v>
      </c>
      <c r="D360" s="103" t="s">
        <v>2853</v>
      </c>
    </row>
    <row r="361" spans="1:4">
      <c r="A361" s="100" t="str">
        <f t="shared" si="38"/>
        <v>АСУЭ.TOR.VVR.stTOn</v>
      </c>
      <c r="B361" s="101">
        <v>11152</v>
      </c>
      <c r="C361" s="101" t="s">
        <v>0</v>
      </c>
      <c r="D361" s="104" t="str">
        <f>$R$8</f>
        <v>Телесигнализация</v>
      </c>
    </row>
    <row r="362" spans="1:4">
      <c r="A362" s="100" t="str">
        <f t="shared" si="38"/>
        <v>АСУЭ.TOR.VVR.stTOn</v>
      </c>
      <c r="B362" s="101">
        <v>11000</v>
      </c>
      <c r="C362" s="101" t="s">
        <v>5</v>
      </c>
      <c r="D362" s="103">
        <v>2147483680</v>
      </c>
    </row>
    <row r="363" spans="1:4">
      <c r="A363" s="19" t="str">
        <f t="shared" si="38"/>
        <v>АСУЭ.TOR.VVR.stTOn</v>
      </c>
      <c r="B363" s="11">
        <v>7999</v>
      </c>
      <c r="C363" s="11" t="s">
        <v>0</v>
      </c>
      <c r="D363" s="20" t="str">
        <f>"#"&amp;$S$2&amp;"#"&amp;$T$2&amp;"."&amp;$P$2&amp;".stTOn"</f>
        <v>#3#\\Setup_rza\Modbus.OPCServer\KTP_BMRZ.TOR200_VVR.stTOn</v>
      </c>
    </row>
    <row r="364" spans="1:4">
      <c r="A364" s="19" t="str">
        <f t="shared" si="38"/>
        <v>АСУЭ.TOR.VVR.stTOn</v>
      </c>
      <c r="B364" s="11">
        <v>7998</v>
      </c>
      <c r="C364" s="11" t="s">
        <v>6</v>
      </c>
      <c r="D364" s="20">
        <v>1</v>
      </c>
    </row>
    <row r="365" spans="1:4">
      <c r="A365" s="19" t="str">
        <f t="shared" si="38"/>
        <v>АСУЭ.TOR.VVR.stTOn</v>
      </c>
      <c r="B365" s="11">
        <v>101</v>
      </c>
      <c r="C365" s="11" t="s">
        <v>0</v>
      </c>
      <c r="D365" s="20" t="s">
        <v>2853</v>
      </c>
    </row>
    <row r="366" spans="1:4">
      <c r="A366" s="19" t="str">
        <f t="shared" si="38"/>
        <v>АСУЭ.TOR.VVR.stTOn</v>
      </c>
      <c r="B366" s="11">
        <v>3</v>
      </c>
      <c r="C366" s="11" t="s">
        <v>1</v>
      </c>
      <c r="D366" s="20">
        <v>192</v>
      </c>
    </row>
    <row r="367" spans="1:4">
      <c r="A367" s="19" t="str">
        <f t="shared" si="38"/>
        <v>АСУЭ.TOR.VVR.stTOn</v>
      </c>
      <c r="B367" s="11">
        <v>2</v>
      </c>
      <c r="C367" s="11" t="s">
        <v>2</v>
      </c>
      <c r="D367" s="20" t="s">
        <v>3</v>
      </c>
    </row>
    <row r="368" spans="1:4">
      <c r="A368" s="21" t="str">
        <f t="shared" si="38"/>
        <v>АСУЭ.TOR.VVR.stTOn</v>
      </c>
      <c r="B368" s="8">
        <v>1</v>
      </c>
      <c r="C368" s="8" t="s">
        <v>1</v>
      </c>
      <c r="D368" s="22">
        <v>11</v>
      </c>
    </row>
    <row r="369" spans="1:4">
      <c r="A369" s="100" t="str">
        <f>$R$2&amp;".stTOff"</f>
        <v>АСУЭ.TOR.VVR.stTOff</v>
      </c>
      <c r="B369" s="101">
        <v>11154</v>
      </c>
      <c r="C369" s="101" t="s">
        <v>4</v>
      </c>
      <c r="D369" s="102">
        <f>$Q$8</f>
        <v>18</v>
      </c>
    </row>
    <row r="370" spans="1:4">
      <c r="A370" s="100" t="str">
        <f t="shared" ref="A370:A378" si="39">$R$2&amp;".stTOff"</f>
        <v>АСУЭ.TOR.VVR.stTOff</v>
      </c>
      <c r="B370" s="101">
        <v>11150</v>
      </c>
      <c r="C370" s="101" t="s">
        <v>0</v>
      </c>
      <c r="D370" s="103" t="s">
        <v>2854</v>
      </c>
    </row>
    <row r="371" spans="1:4">
      <c r="A371" s="100" t="str">
        <f t="shared" si="39"/>
        <v>АСУЭ.TOR.VVR.stTOff</v>
      </c>
      <c r="B371" s="101">
        <v>11152</v>
      </c>
      <c r="C371" s="101" t="s">
        <v>0</v>
      </c>
      <c r="D371" s="104" t="str">
        <f>$R$8</f>
        <v>Телесигнализация</v>
      </c>
    </row>
    <row r="372" spans="1:4">
      <c r="A372" s="100" t="str">
        <f t="shared" si="39"/>
        <v>АСУЭ.TOR.VVR.stTOff</v>
      </c>
      <c r="B372" s="101">
        <v>11000</v>
      </c>
      <c r="C372" s="101" t="s">
        <v>5</v>
      </c>
      <c r="D372" s="103">
        <v>2147483680</v>
      </c>
    </row>
    <row r="373" spans="1:4">
      <c r="A373" s="19" t="str">
        <f t="shared" si="39"/>
        <v>АСУЭ.TOR.VVR.stTOff</v>
      </c>
      <c r="B373" s="11">
        <v>7999</v>
      </c>
      <c r="C373" s="11" t="s">
        <v>0</v>
      </c>
      <c r="D373" s="20" t="str">
        <f>"#"&amp;$S$2&amp;"#"&amp;$T$2&amp;"."&amp;$P$2&amp;".stTOff"</f>
        <v>#3#\\Setup_rza\Modbus.OPCServer\KTP_BMRZ.TOR200_VVR.stTOff</v>
      </c>
    </row>
    <row r="374" spans="1:4">
      <c r="A374" s="19" t="str">
        <f t="shared" si="39"/>
        <v>АСУЭ.TOR.VVR.stTOff</v>
      </c>
      <c r="B374" s="11">
        <v>7998</v>
      </c>
      <c r="C374" s="11" t="s">
        <v>6</v>
      </c>
      <c r="D374" s="20">
        <v>1</v>
      </c>
    </row>
    <row r="375" spans="1:4">
      <c r="A375" s="19" t="str">
        <f t="shared" si="39"/>
        <v>АСУЭ.TOR.VVR.stTOff</v>
      </c>
      <c r="B375" s="11">
        <v>101</v>
      </c>
      <c r="C375" s="11" t="s">
        <v>0</v>
      </c>
      <c r="D375" s="20" t="s">
        <v>2854</v>
      </c>
    </row>
    <row r="376" spans="1:4">
      <c r="A376" s="19" t="str">
        <f t="shared" si="39"/>
        <v>АСУЭ.TOR.VVR.stTOff</v>
      </c>
      <c r="B376" s="11">
        <v>3</v>
      </c>
      <c r="C376" s="11" t="s">
        <v>1</v>
      </c>
      <c r="D376" s="20">
        <v>192</v>
      </c>
    </row>
    <row r="377" spans="1:4">
      <c r="A377" s="19" t="str">
        <f t="shared" si="39"/>
        <v>АСУЭ.TOR.VVR.stTOff</v>
      </c>
      <c r="B377" s="11">
        <v>2</v>
      </c>
      <c r="C377" s="11" t="s">
        <v>2</v>
      </c>
      <c r="D377" s="20" t="s">
        <v>3</v>
      </c>
    </row>
    <row r="378" spans="1:4">
      <c r="A378" s="21" t="str">
        <f t="shared" si="39"/>
        <v>АСУЭ.TOR.VVR.stTOff</v>
      </c>
      <c r="B378" s="8">
        <v>1</v>
      </c>
      <c r="C378" s="8" t="s">
        <v>1</v>
      </c>
      <c r="D378" s="22">
        <v>11</v>
      </c>
    </row>
    <row r="379" spans="1:4">
      <c r="A379" s="100" t="str">
        <f>$R$2&amp;".stZROff"</f>
        <v>АСУЭ.TOR.VVR.stZROff</v>
      </c>
      <c r="B379" s="101">
        <v>11154</v>
      </c>
      <c r="C379" s="101" t="s">
        <v>4</v>
      </c>
      <c r="D379" s="102">
        <f>$Q$8</f>
        <v>18</v>
      </c>
    </row>
    <row r="380" spans="1:4">
      <c r="A380" s="100" t="str">
        <f t="shared" ref="A380:A388" si="40">$R$2&amp;".stZROff"</f>
        <v>АСУЭ.TOR.VVR.stZROff</v>
      </c>
      <c r="B380" s="101">
        <v>11150</v>
      </c>
      <c r="C380" s="101" t="s">
        <v>0</v>
      </c>
      <c r="D380" s="103" t="s">
        <v>2793</v>
      </c>
    </row>
    <row r="381" spans="1:4">
      <c r="A381" s="100" t="str">
        <f t="shared" si="40"/>
        <v>АСУЭ.TOR.VVR.stZROff</v>
      </c>
      <c r="B381" s="101">
        <v>11152</v>
      </c>
      <c r="C381" s="101" t="s">
        <v>0</v>
      </c>
      <c r="D381" s="104" t="str">
        <f>$R$8</f>
        <v>Телесигнализация</v>
      </c>
    </row>
    <row r="382" spans="1:4">
      <c r="A382" s="100" t="str">
        <f t="shared" si="40"/>
        <v>АСУЭ.TOR.VVR.stZROff</v>
      </c>
      <c r="B382" s="101">
        <v>11000</v>
      </c>
      <c r="C382" s="101" t="s">
        <v>5</v>
      </c>
      <c r="D382" s="103">
        <v>2147483680</v>
      </c>
    </row>
    <row r="383" spans="1:4">
      <c r="A383" s="19" t="str">
        <f t="shared" si="40"/>
        <v>АСУЭ.TOR.VVR.stZROff</v>
      </c>
      <c r="B383" s="11">
        <v>7999</v>
      </c>
      <c r="C383" s="11" t="s">
        <v>0</v>
      </c>
      <c r="D383" s="20" t="str">
        <f>"#"&amp;$S$2&amp;"#"&amp;$T$2&amp;"."&amp;$P$2&amp;".stZROff"</f>
        <v>#3#\\Setup_rza\Modbus.OPCServer\KTP_BMRZ.TOR200_VVR.stZROff</v>
      </c>
    </row>
    <row r="384" spans="1:4" ht="15" customHeight="1">
      <c r="A384" s="19" t="str">
        <f t="shared" si="40"/>
        <v>АСУЭ.TOR.VVR.stZROff</v>
      </c>
      <c r="B384" s="11">
        <v>7998</v>
      </c>
      <c r="C384" s="11" t="s">
        <v>6</v>
      </c>
      <c r="D384" s="20">
        <v>1</v>
      </c>
    </row>
    <row r="385" spans="1:4">
      <c r="A385" s="19" t="str">
        <f t="shared" si="40"/>
        <v>АСУЭ.TOR.VVR.stZROff</v>
      </c>
      <c r="B385" s="11">
        <v>101</v>
      </c>
      <c r="C385" s="11" t="s">
        <v>0</v>
      </c>
      <c r="D385" s="20" t="s">
        <v>2793</v>
      </c>
    </row>
    <row r="386" spans="1:4">
      <c r="A386" s="19" t="str">
        <f t="shared" si="40"/>
        <v>АСУЭ.TOR.VVR.stZROff</v>
      </c>
      <c r="B386" s="11">
        <v>3</v>
      </c>
      <c r="C386" s="11" t="s">
        <v>1</v>
      </c>
      <c r="D386" s="20">
        <v>192</v>
      </c>
    </row>
    <row r="387" spans="1:4">
      <c r="A387" s="19" t="str">
        <f t="shared" si="40"/>
        <v>АСУЭ.TOR.VVR.stZROff</v>
      </c>
      <c r="B387" s="11">
        <v>2</v>
      </c>
      <c r="C387" s="11" t="s">
        <v>2</v>
      </c>
      <c r="D387" s="20" t="s">
        <v>3</v>
      </c>
    </row>
    <row r="388" spans="1:4">
      <c r="A388" s="21" t="str">
        <f t="shared" si="40"/>
        <v>АСУЭ.TOR.VVR.stZROff</v>
      </c>
      <c r="B388" s="8">
        <v>1</v>
      </c>
      <c r="C388" s="8" t="s">
        <v>1</v>
      </c>
      <c r="D388" s="22">
        <v>11</v>
      </c>
    </row>
    <row r="389" spans="1:4">
      <c r="A389" s="16" t="str">
        <f t="shared" ref="A389:A396" si="41">$R$2&amp;".Commands.coRepair"</f>
        <v>АСУЭ.TOR.VVR.Commands.coRepair</v>
      </c>
      <c r="B389" s="17">
        <v>7011</v>
      </c>
      <c r="C389" s="17" t="s">
        <v>2</v>
      </c>
      <c r="D389" s="18" t="s">
        <v>266</v>
      </c>
    </row>
    <row r="390" spans="1:4" ht="14.25" customHeight="1">
      <c r="A390" s="140" t="str">
        <f t="shared" si="41"/>
        <v>АСУЭ.TOR.VVR.Commands.coRepair</v>
      </c>
      <c r="B390" s="141">
        <v>11152</v>
      </c>
      <c r="C390" s="141" t="s">
        <v>0</v>
      </c>
      <c r="D390" s="142" t="str">
        <f>$R$11</f>
        <v>Ремонт</v>
      </c>
    </row>
    <row r="391" spans="1:4">
      <c r="A391" s="140" t="str">
        <f t="shared" si="41"/>
        <v>АСУЭ.TOR.VVR.Commands.coRepair</v>
      </c>
      <c r="B391" s="141">
        <v>11154</v>
      </c>
      <c r="C391" s="141" t="s">
        <v>4</v>
      </c>
      <c r="D391" s="142">
        <f>$Q$11</f>
        <v>14</v>
      </c>
    </row>
    <row r="392" spans="1:4">
      <c r="A392" s="140" t="str">
        <f t="shared" si="41"/>
        <v>АСУЭ.TOR.VVR.Commands.coRepair</v>
      </c>
      <c r="B392" s="141">
        <v>11150</v>
      </c>
      <c r="C392" s="141" t="s">
        <v>0</v>
      </c>
      <c r="D392" s="142" t="s">
        <v>89</v>
      </c>
    </row>
    <row r="393" spans="1:4">
      <c r="A393" s="140" t="str">
        <f t="shared" si="41"/>
        <v>АСУЭ.TOR.VVR.Commands.coRepair</v>
      </c>
      <c r="B393" s="141">
        <v>11000</v>
      </c>
      <c r="C393" s="141" t="s">
        <v>5</v>
      </c>
      <c r="D393" s="142">
        <v>2147483680</v>
      </c>
    </row>
    <row r="394" spans="1:4">
      <c r="A394" s="19" t="str">
        <f t="shared" si="41"/>
        <v>АСУЭ.TOR.VVR.Commands.coRepair</v>
      </c>
      <c r="B394" s="11">
        <v>1</v>
      </c>
      <c r="C394" s="11" t="s">
        <v>1</v>
      </c>
      <c r="D394" s="20">
        <v>11</v>
      </c>
    </row>
    <row r="395" spans="1:4" ht="409.6">
      <c r="A395" s="29" t="str">
        <f t="shared" si="41"/>
        <v>АСУЭ.TOR.VVR.Commands.coRepair</v>
      </c>
      <c r="B395" s="1">
        <v>4000000</v>
      </c>
      <c r="C395" s="1" t="s">
        <v>0</v>
      </c>
      <c r="D395" s="749" t="s">
        <v>2817</v>
      </c>
    </row>
    <row r="396" spans="1:4">
      <c r="A396" s="26" t="str">
        <f t="shared" si="41"/>
        <v>АСУЭ.TOR.VVR.Commands.coRepair</v>
      </c>
      <c r="B396" s="27">
        <v>7000000</v>
      </c>
      <c r="C396" s="27" t="s">
        <v>6</v>
      </c>
      <c r="D396" s="28">
        <v>2</v>
      </c>
    </row>
    <row r="397" spans="1:4">
      <c r="A397" s="16" t="str">
        <f t="shared" ref="A397:A402" si="42">$R$2&amp;".Commands.coOn"</f>
        <v>АСУЭ.TOR.VVR.Commands.coOn</v>
      </c>
      <c r="B397" s="17">
        <v>7000000</v>
      </c>
      <c r="C397" s="17" t="s">
        <v>6</v>
      </c>
      <c r="D397" s="18">
        <v>0</v>
      </c>
    </row>
    <row r="398" spans="1:4">
      <c r="A398" s="19" t="str">
        <f t="shared" si="42"/>
        <v>АСУЭ.TOR.VVR.Commands.coOn</v>
      </c>
      <c r="B398" s="11">
        <v>4000000</v>
      </c>
      <c r="C398" s="11" t="s">
        <v>0</v>
      </c>
      <c r="D398" s="20" t="s">
        <v>2682</v>
      </c>
    </row>
    <row r="399" spans="1:4">
      <c r="A399" s="19" t="str">
        <f t="shared" si="42"/>
        <v>АСУЭ.TOR.VVR.Commands.coOn</v>
      </c>
      <c r="B399" s="11">
        <v>101</v>
      </c>
      <c r="C399" s="11" t="s">
        <v>0</v>
      </c>
      <c r="D399" s="20" t="s">
        <v>383</v>
      </c>
    </row>
    <row r="400" spans="1:4">
      <c r="A400" s="19" t="str">
        <f t="shared" si="42"/>
        <v>АСУЭ.TOR.VVR.Commands.coOn</v>
      </c>
      <c r="B400" s="11">
        <v>7999</v>
      </c>
      <c r="C400" s="11" t="s">
        <v>0</v>
      </c>
      <c r="D400" s="20" t="str">
        <f>"#"&amp;$S$2&amp;"#"&amp;$T$2&amp;"."&amp;$P$2&amp;".Commands.Net_Comm_On"</f>
        <v>#3#\\Setup_rza\Modbus.OPCServer\KTP_BMRZ.TOR200_VVR.Commands.Net_Comm_On</v>
      </c>
    </row>
    <row r="401" spans="1:4">
      <c r="A401" s="19" t="str">
        <f t="shared" si="42"/>
        <v>АСУЭ.TOR.VVR.Commands.coOn</v>
      </c>
      <c r="B401" s="11">
        <v>7998</v>
      </c>
      <c r="C401" s="11" t="s">
        <v>6</v>
      </c>
      <c r="D401" s="20">
        <v>2</v>
      </c>
    </row>
    <row r="402" spans="1:4">
      <c r="A402" s="21" t="str">
        <f t="shared" si="42"/>
        <v>АСУЭ.TOR.VVR.Commands.coOn</v>
      </c>
      <c r="B402" s="8">
        <v>1</v>
      </c>
      <c r="C402" s="8" t="s">
        <v>1</v>
      </c>
      <c r="D402" s="22">
        <v>11</v>
      </c>
    </row>
    <row r="403" spans="1:4">
      <c r="A403" s="19" t="str">
        <f t="shared" ref="A403:A408" si="43">$R$2&amp;".Commands.coOff"</f>
        <v>АСУЭ.TOR.VVR.Commands.coOff</v>
      </c>
      <c r="B403" s="17">
        <v>7000000</v>
      </c>
      <c r="C403" s="17" t="s">
        <v>6</v>
      </c>
      <c r="D403" s="18">
        <v>0</v>
      </c>
    </row>
    <row r="404" spans="1:4">
      <c r="A404" s="19" t="str">
        <f t="shared" si="43"/>
        <v>АСУЭ.TOR.VVR.Commands.coOff</v>
      </c>
      <c r="B404" s="11">
        <v>4000000</v>
      </c>
      <c r="C404" s="11" t="s">
        <v>0</v>
      </c>
      <c r="D404" s="20" t="s">
        <v>2683</v>
      </c>
    </row>
    <row r="405" spans="1:4">
      <c r="A405" s="19" t="str">
        <f t="shared" si="43"/>
        <v>АСУЭ.TOR.VVR.Commands.coOff</v>
      </c>
      <c r="B405" s="11">
        <v>101</v>
      </c>
      <c r="C405" s="11" t="s">
        <v>0</v>
      </c>
      <c r="D405" s="20" t="s">
        <v>384</v>
      </c>
    </row>
    <row r="406" spans="1:4">
      <c r="A406" s="19" t="str">
        <f t="shared" si="43"/>
        <v>АСУЭ.TOR.VVR.Commands.coOff</v>
      </c>
      <c r="B406" s="11">
        <v>7999</v>
      </c>
      <c r="C406" s="11" t="s">
        <v>0</v>
      </c>
      <c r="D406" s="20" t="str">
        <f>"#"&amp;$S$2&amp;"#"&amp;$T$2&amp;"."&amp;$P$2&amp;".Commands.Net_Comm_Off"</f>
        <v>#3#\\Setup_rza\Modbus.OPCServer\KTP_BMRZ.TOR200_VVR.Commands.Net_Comm_Off</v>
      </c>
    </row>
    <row r="407" spans="1:4">
      <c r="A407" s="19" t="str">
        <f t="shared" si="43"/>
        <v>АСУЭ.TOR.VVR.Commands.coOff</v>
      </c>
      <c r="B407" s="11">
        <v>7998</v>
      </c>
      <c r="C407" s="11" t="s">
        <v>6</v>
      </c>
      <c r="D407" s="20">
        <v>2</v>
      </c>
    </row>
    <row r="408" spans="1:4">
      <c r="A408" s="19" t="str">
        <f t="shared" si="43"/>
        <v>АСУЭ.TOR.VVR.Commands.coOff</v>
      </c>
      <c r="B408" s="11">
        <v>1</v>
      </c>
      <c r="C408" s="11" t="s">
        <v>1</v>
      </c>
      <c r="D408" s="20">
        <v>11</v>
      </c>
    </row>
    <row r="409" spans="1:4">
      <c r="A409" s="16" t="str">
        <f>$R$2&amp;".Commands.coAVR_SV_On"</f>
        <v>АСУЭ.TOR.VVR.Commands.coAVR_SV_On</v>
      </c>
      <c r="B409" s="17">
        <v>101</v>
      </c>
      <c r="C409" s="17" t="s">
        <v>0</v>
      </c>
      <c r="D409" s="18" t="s">
        <v>2818</v>
      </c>
    </row>
    <row r="410" spans="1:4">
      <c r="A410" s="19" t="str">
        <f t="shared" ref="A410:A412" si="44">$R$2&amp;".Commands.coAVR_SV_On"</f>
        <v>АСУЭ.TOR.VVR.Commands.coAVR_SV_On</v>
      </c>
      <c r="B410" s="11">
        <v>7999</v>
      </c>
      <c r="C410" s="11" t="s">
        <v>0</v>
      </c>
      <c r="D410" s="20" t="str">
        <f>"#"&amp;$S$2&amp;"#"&amp;$T$2&amp;"."&amp;$P$2&amp;".Commands.coAVR_SV_On"</f>
        <v>#3#\\Setup_rza\Modbus.OPCServer\KTP_BMRZ.TOR200_VVR.Commands.coAVR_SV_On</v>
      </c>
    </row>
    <row r="411" spans="1:4">
      <c r="A411" s="19" t="str">
        <f t="shared" si="44"/>
        <v>АСУЭ.TOR.VVR.Commands.coAVR_SV_On</v>
      </c>
      <c r="B411" s="11">
        <v>7998</v>
      </c>
      <c r="C411" s="11" t="s">
        <v>6</v>
      </c>
      <c r="D411" s="20">
        <v>2</v>
      </c>
    </row>
    <row r="412" spans="1:4">
      <c r="A412" s="21" t="str">
        <f t="shared" si="44"/>
        <v>АСУЭ.TOR.VVR.Commands.coAVR_SV_On</v>
      </c>
      <c r="B412" s="8">
        <v>1</v>
      </c>
      <c r="C412" s="8" t="s">
        <v>1</v>
      </c>
      <c r="D412" s="22">
        <v>11</v>
      </c>
    </row>
    <row r="413" spans="1:4">
      <c r="A413" s="16" t="str">
        <f>$R$2&amp;".Commands.coAVR_SV_Off"</f>
        <v>АСУЭ.TOR.VVR.Commands.coAVR_SV_Off</v>
      </c>
      <c r="B413" s="17">
        <v>101</v>
      </c>
      <c r="C413" s="17" t="s">
        <v>0</v>
      </c>
      <c r="D413" s="18" t="s">
        <v>2819</v>
      </c>
    </row>
    <row r="414" spans="1:4">
      <c r="A414" s="19" t="str">
        <f t="shared" ref="A414:A416" si="45">$R$2&amp;".Commands.coAVR_SV_Off"</f>
        <v>АСУЭ.TOR.VVR.Commands.coAVR_SV_Off</v>
      </c>
      <c r="B414" s="11">
        <v>7999</v>
      </c>
      <c r="C414" s="11" t="s">
        <v>0</v>
      </c>
      <c r="D414" s="20" t="str">
        <f>"#"&amp;$S$2&amp;"#"&amp;$T$2&amp;"."&amp;$P$2&amp;".Commands.coAVR_SV_Off"</f>
        <v>#3#\\Setup_rza\Modbus.OPCServer\KTP_BMRZ.TOR200_VVR.Commands.coAVR_SV_Off</v>
      </c>
    </row>
    <row r="415" spans="1:4">
      <c r="A415" s="19" t="str">
        <f t="shared" si="45"/>
        <v>АСУЭ.TOR.VVR.Commands.coAVR_SV_Off</v>
      </c>
      <c r="B415" s="11">
        <v>7998</v>
      </c>
      <c r="C415" s="11" t="s">
        <v>6</v>
      </c>
      <c r="D415" s="20">
        <v>2</v>
      </c>
    </row>
    <row r="416" spans="1:4">
      <c r="A416" s="21" t="str">
        <f t="shared" si="45"/>
        <v>АСУЭ.TOR.VVR.Commands.coAVR_SV_Off</v>
      </c>
      <c r="B416" s="8">
        <v>1</v>
      </c>
      <c r="C416" s="8" t="s">
        <v>1</v>
      </c>
      <c r="D416" s="22">
        <v>11</v>
      </c>
    </row>
    <row r="417" spans="1:16">
      <c r="A417" s="16" t="str">
        <f t="shared" ref="A417:A422" si="46">$R$2&amp;".Commands.coRst"</f>
        <v>АСУЭ.TOR.VVR.Commands.coRst</v>
      </c>
      <c r="B417" s="17">
        <v>7000000</v>
      </c>
      <c r="C417" s="17" t="s">
        <v>6</v>
      </c>
      <c r="D417" s="18">
        <v>0</v>
      </c>
    </row>
    <row r="418" spans="1:16">
      <c r="A418" s="19" t="str">
        <f t="shared" si="46"/>
        <v>АСУЭ.TOR.VVR.Commands.coRst</v>
      </c>
      <c r="B418" s="11">
        <v>4000000</v>
      </c>
      <c r="C418" s="11" t="s">
        <v>0</v>
      </c>
      <c r="D418" s="20" t="s">
        <v>385</v>
      </c>
    </row>
    <row r="419" spans="1:16">
      <c r="A419" s="19" t="str">
        <f t="shared" si="46"/>
        <v>АСУЭ.TOR.VVR.Commands.coRst</v>
      </c>
      <c r="B419" s="11">
        <v>101</v>
      </c>
      <c r="C419" s="11" t="s">
        <v>0</v>
      </c>
      <c r="D419" s="20" t="s">
        <v>2795</v>
      </c>
    </row>
    <row r="420" spans="1:16">
      <c r="A420" s="19" t="str">
        <f t="shared" si="46"/>
        <v>АСУЭ.TOR.VVR.Commands.coRst</v>
      </c>
      <c r="B420" s="11">
        <v>7999</v>
      </c>
      <c r="C420" s="11" t="s">
        <v>0</v>
      </c>
      <c r="D420" s="20" t="str">
        <f>"#"&amp;$S$2&amp;"#"&amp;$T$2&amp;"."&amp;$P$2&amp;".Commands.coRst"</f>
        <v>#3#\\Setup_rza\Modbus.OPCServer\KTP_BMRZ.TOR200_VVR.Commands.coRst</v>
      </c>
    </row>
    <row r="421" spans="1:16">
      <c r="A421" s="19" t="str">
        <f t="shared" si="46"/>
        <v>АСУЭ.TOR.VVR.Commands.coRst</v>
      </c>
      <c r="B421" s="11">
        <v>7998</v>
      </c>
      <c r="C421" s="11" t="s">
        <v>6</v>
      </c>
      <c r="D421" s="20">
        <v>2</v>
      </c>
      <c r="P421" s="4"/>
    </row>
    <row r="422" spans="1:16">
      <c r="A422" s="21" t="str">
        <f t="shared" si="46"/>
        <v>АСУЭ.TOR.VVR.Commands.coRst</v>
      </c>
      <c r="B422" s="8">
        <v>1</v>
      </c>
      <c r="C422" s="8" t="s">
        <v>1</v>
      </c>
      <c r="D422" s="22">
        <v>11</v>
      </c>
      <c r="P422" s="4"/>
    </row>
    <row r="423" spans="1:16">
      <c r="A423" s="16" t="str">
        <f>$R$2&amp;".Commands.coOSC"</f>
        <v>АСУЭ.TOR.VVR.Commands.coOSC</v>
      </c>
      <c r="B423" s="17">
        <v>7000000</v>
      </c>
      <c r="C423" s="17" t="s">
        <v>6</v>
      </c>
      <c r="D423" s="18">
        <v>0</v>
      </c>
      <c r="P423" s="4"/>
    </row>
    <row r="424" spans="1:16">
      <c r="A424" s="19" t="str">
        <f t="shared" ref="A424:A427" si="47">$R$2&amp;".Commands.coOSC"</f>
        <v>АСУЭ.TOR.VVR.Commands.coOSC</v>
      </c>
      <c r="B424" s="11">
        <v>101</v>
      </c>
      <c r="C424" s="11" t="s">
        <v>0</v>
      </c>
      <c r="D424" s="20" t="s">
        <v>2796</v>
      </c>
    </row>
    <row r="425" spans="1:16">
      <c r="A425" s="19" t="str">
        <f t="shared" si="47"/>
        <v>АСУЭ.TOR.VVR.Commands.coOSC</v>
      </c>
      <c r="B425" s="11">
        <v>7999</v>
      </c>
      <c r="C425" s="11" t="s">
        <v>0</v>
      </c>
      <c r="D425" s="20" t="str">
        <f>"#"&amp;$S$2&amp;"#"&amp;$T$2&amp;"."&amp;$P$2&amp;".Commands.coOSC"</f>
        <v>#3#\\Setup_rza\Modbus.OPCServer\KTP_BMRZ.TOR200_VVR.Commands.coOSC</v>
      </c>
    </row>
    <row r="426" spans="1:16">
      <c r="A426" s="19" t="str">
        <f t="shared" si="47"/>
        <v>АСУЭ.TOR.VVR.Commands.coOSC</v>
      </c>
      <c r="B426" s="11">
        <v>7998</v>
      </c>
      <c r="C426" s="11" t="s">
        <v>6</v>
      </c>
      <c r="D426" s="20">
        <v>2</v>
      </c>
    </row>
    <row r="427" spans="1:16">
      <c r="A427" s="21" t="str">
        <f t="shared" si="47"/>
        <v>АСУЭ.TOR.VVR.Commands.coOSC</v>
      </c>
      <c r="B427" s="8">
        <v>1</v>
      </c>
      <c r="C427" s="8" t="s">
        <v>1</v>
      </c>
      <c r="D427" s="22">
        <v>11</v>
      </c>
    </row>
    <row r="428" spans="1:16">
      <c r="A428" s="275" t="str">
        <f>$R$2&amp;".mIa"</f>
        <v>АСУЭ.TOR.VVR.mIa</v>
      </c>
      <c r="B428" s="276">
        <v>7999</v>
      </c>
      <c r="C428" s="276" t="s">
        <v>0</v>
      </c>
      <c r="D428" s="277" t="str">
        <f>"#"&amp;$S$2&amp;"#"&amp;$T$2&amp;"."&amp;$P$2&amp;".mIa"</f>
        <v>#3#\\Setup_rza\Modbus.OPCServer\KTP_BMRZ.TOR200_VVR.mIa</v>
      </c>
    </row>
    <row r="429" spans="1:16">
      <c r="A429" s="278" t="str">
        <f t="shared" ref="A429:A433" si="48">$R$2&amp;".mIa"</f>
        <v>АСУЭ.TOR.VVR.mIa</v>
      </c>
      <c r="B429" s="279">
        <v>7998</v>
      </c>
      <c r="C429" s="279" t="s">
        <v>6</v>
      </c>
      <c r="D429" s="280">
        <v>1</v>
      </c>
    </row>
    <row r="430" spans="1:16">
      <c r="A430" s="278" t="str">
        <f t="shared" si="48"/>
        <v>АСУЭ.TOR.VVR.mIa</v>
      </c>
      <c r="B430" s="279">
        <v>101</v>
      </c>
      <c r="C430" s="279" t="s">
        <v>0</v>
      </c>
      <c r="D430" s="280" t="s">
        <v>361</v>
      </c>
    </row>
    <row r="431" spans="1:16">
      <c r="A431" s="278" t="str">
        <f t="shared" si="48"/>
        <v>АСУЭ.TOR.VVR.mIa</v>
      </c>
      <c r="B431" s="279">
        <v>3</v>
      </c>
      <c r="C431" s="279" t="s">
        <v>1</v>
      </c>
      <c r="D431" s="280">
        <v>192</v>
      </c>
    </row>
    <row r="432" spans="1:16">
      <c r="A432" s="278" t="str">
        <f t="shared" si="48"/>
        <v>АСУЭ.TOR.VVR.mIa</v>
      </c>
      <c r="B432" s="279">
        <v>2</v>
      </c>
      <c r="C432" s="279" t="s">
        <v>80</v>
      </c>
      <c r="D432" s="280">
        <v>0</v>
      </c>
    </row>
    <row r="433" spans="1:4">
      <c r="A433" s="281" t="str">
        <f t="shared" si="48"/>
        <v>АСУЭ.TOR.VVR.mIa</v>
      </c>
      <c r="B433" s="282">
        <v>1</v>
      </c>
      <c r="C433" s="282" t="s">
        <v>1</v>
      </c>
      <c r="D433" s="283">
        <v>4</v>
      </c>
    </row>
    <row r="434" spans="1:4">
      <c r="A434" s="275" t="str">
        <f>$R$2&amp;".mIb"</f>
        <v>АСУЭ.TOR.VVR.mIb</v>
      </c>
      <c r="B434" s="276">
        <v>7999</v>
      </c>
      <c r="C434" s="276" t="s">
        <v>0</v>
      </c>
      <c r="D434" s="277" t="str">
        <f>"#"&amp;$S$2&amp;"#"&amp;$T$2&amp;"."&amp;$P$2&amp;".mIb"</f>
        <v>#3#\\Setup_rza\Modbus.OPCServer\KTP_BMRZ.TOR200_VVR.mIb</v>
      </c>
    </row>
    <row r="435" spans="1:4">
      <c r="A435" s="278" t="str">
        <f t="shared" ref="A435:A439" si="49">$R$2&amp;".mIb"</f>
        <v>АСУЭ.TOR.VVR.mIb</v>
      </c>
      <c r="B435" s="279">
        <v>7998</v>
      </c>
      <c r="C435" s="279" t="s">
        <v>6</v>
      </c>
      <c r="D435" s="280">
        <v>1</v>
      </c>
    </row>
    <row r="436" spans="1:4">
      <c r="A436" s="278" t="str">
        <f t="shared" si="49"/>
        <v>АСУЭ.TOR.VVR.mIb</v>
      </c>
      <c r="B436" s="279">
        <v>101</v>
      </c>
      <c r="C436" s="279" t="s">
        <v>0</v>
      </c>
      <c r="D436" s="280" t="s">
        <v>362</v>
      </c>
    </row>
    <row r="437" spans="1:4">
      <c r="A437" s="278" t="str">
        <f t="shared" si="49"/>
        <v>АСУЭ.TOR.VVR.mIb</v>
      </c>
      <c r="B437" s="279">
        <v>3</v>
      </c>
      <c r="C437" s="279" t="s">
        <v>1</v>
      </c>
      <c r="D437" s="280">
        <v>192</v>
      </c>
    </row>
    <row r="438" spans="1:4">
      <c r="A438" s="278" t="str">
        <f t="shared" si="49"/>
        <v>АСУЭ.TOR.VVR.mIb</v>
      </c>
      <c r="B438" s="279">
        <v>2</v>
      </c>
      <c r="C438" s="279" t="s">
        <v>80</v>
      </c>
      <c r="D438" s="280">
        <v>0</v>
      </c>
    </row>
    <row r="439" spans="1:4">
      <c r="A439" s="281" t="str">
        <f t="shared" si="49"/>
        <v>АСУЭ.TOR.VVR.mIb</v>
      </c>
      <c r="B439" s="282">
        <v>1</v>
      </c>
      <c r="C439" s="282" t="s">
        <v>1</v>
      </c>
      <c r="D439" s="283">
        <v>4</v>
      </c>
    </row>
    <row r="440" spans="1:4">
      <c r="A440" s="275" t="str">
        <f>$R$2&amp;".mIc"</f>
        <v>АСУЭ.TOR.VVR.mIc</v>
      </c>
      <c r="B440" s="276">
        <v>7999</v>
      </c>
      <c r="C440" s="276" t="s">
        <v>0</v>
      </c>
      <c r="D440" s="277" t="str">
        <f>"#"&amp;$S$2&amp;"#"&amp;$T$2&amp;"."&amp;$P$2&amp;".mIc"</f>
        <v>#3#\\Setup_rza\Modbus.OPCServer\KTP_BMRZ.TOR200_VVR.mIc</v>
      </c>
    </row>
    <row r="441" spans="1:4">
      <c r="A441" s="278" t="str">
        <f t="shared" ref="A441:A445" si="50">$R$2&amp;".mIc"</f>
        <v>АСУЭ.TOR.VVR.mIc</v>
      </c>
      <c r="B441" s="279">
        <v>7998</v>
      </c>
      <c r="C441" s="279" t="s">
        <v>6</v>
      </c>
      <c r="D441" s="280">
        <v>1</v>
      </c>
    </row>
    <row r="442" spans="1:4">
      <c r="A442" s="278" t="str">
        <f t="shared" si="50"/>
        <v>АСУЭ.TOR.VVR.mIc</v>
      </c>
      <c r="B442" s="279">
        <v>101</v>
      </c>
      <c r="C442" s="279" t="s">
        <v>0</v>
      </c>
      <c r="D442" s="280" t="s">
        <v>363</v>
      </c>
    </row>
    <row r="443" spans="1:4">
      <c r="A443" s="278" t="str">
        <f t="shared" si="50"/>
        <v>АСУЭ.TOR.VVR.mIc</v>
      </c>
      <c r="B443" s="279">
        <v>3</v>
      </c>
      <c r="C443" s="279" t="s">
        <v>1</v>
      </c>
      <c r="D443" s="280">
        <v>192</v>
      </c>
    </row>
    <row r="444" spans="1:4">
      <c r="A444" s="278" t="str">
        <f t="shared" si="50"/>
        <v>АСУЭ.TOR.VVR.mIc</v>
      </c>
      <c r="B444" s="279">
        <v>2</v>
      </c>
      <c r="C444" s="279" t="s">
        <v>80</v>
      </c>
      <c r="D444" s="280">
        <v>0</v>
      </c>
    </row>
    <row r="445" spans="1:4">
      <c r="A445" s="281" t="str">
        <f t="shared" si="50"/>
        <v>АСУЭ.TOR.VVR.mIc</v>
      </c>
      <c r="B445" s="282">
        <v>1</v>
      </c>
      <c r="C445" s="282" t="s">
        <v>1</v>
      </c>
      <c r="D445" s="283">
        <v>4</v>
      </c>
    </row>
    <row r="446" spans="1:4">
      <c r="A446" s="275" t="str">
        <f>$R$2&amp;".mComNum"</f>
        <v>АСУЭ.TOR.VVR.mComNum</v>
      </c>
      <c r="B446" s="276">
        <v>7999</v>
      </c>
      <c r="C446" s="276" t="s">
        <v>0</v>
      </c>
      <c r="D446" s="277" t="str">
        <f>"#"&amp;$S$2&amp;"#"&amp;$T$2&amp;"."&amp;$P$2&amp;".mComNum"</f>
        <v>#3#\\Setup_rza\Modbus.OPCServer\KTP_BMRZ.TOR200_VVR.mComNum</v>
      </c>
    </row>
    <row r="447" spans="1:4">
      <c r="A447" s="278" t="str">
        <f t="shared" ref="A447:A451" si="51">$R$2&amp;".mComNum"</f>
        <v>АСУЭ.TOR.VVR.mComNum</v>
      </c>
      <c r="B447" s="279">
        <v>7998</v>
      </c>
      <c r="C447" s="279" t="s">
        <v>6</v>
      </c>
      <c r="D447" s="280">
        <v>1</v>
      </c>
    </row>
    <row r="448" spans="1:4">
      <c r="A448" s="278" t="str">
        <f t="shared" si="51"/>
        <v>АСУЭ.TOR.VVR.mComNum</v>
      </c>
      <c r="B448" s="279">
        <v>101</v>
      </c>
      <c r="C448" s="279" t="s">
        <v>0</v>
      </c>
      <c r="D448" s="280" t="s">
        <v>2801</v>
      </c>
    </row>
    <row r="449" spans="1:4">
      <c r="A449" s="278" t="str">
        <f t="shared" si="51"/>
        <v>АСУЭ.TOR.VVR.mComNum</v>
      </c>
      <c r="B449" s="279">
        <v>3</v>
      </c>
      <c r="C449" s="279" t="s">
        <v>1</v>
      </c>
      <c r="D449" s="280">
        <v>192</v>
      </c>
    </row>
    <row r="450" spans="1:4">
      <c r="A450" s="278" t="str">
        <f t="shared" si="51"/>
        <v>АСУЭ.TOR.VVR.mComNum</v>
      </c>
      <c r="B450" s="279">
        <v>2</v>
      </c>
      <c r="C450" s="279" t="s">
        <v>80</v>
      </c>
      <c r="D450" s="280">
        <v>0</v>
      </c>
    </row>
    <row r="451" spans="1:4">
      <c r="A451" s="281" t="str">
        <f t="shared" si="51"/>
        <v>АСУЭ.TOR.VVR.mComNum</v>
      </c>
      <c r="B451" s="282">
        <v>1</v>
      </c>
      <c r="C451" s="282" t="s">
        <v>1</v>
      </c>
      <c r="D451" s="283">
        <v>4</v>
      </c>
    </row>
    <row r="452" spans="1:4">
      <c r="A452" s="275" t="str">
        <f>$R$2&amp;".mComNum_KZ"</f>
        <v>АСУЭ.TOR.VVR.mComNum_KZ</v>
      </c>
      <c r="B452" s="276">
        <v>7999</v>
      </c>
      <c r="C452" s="276" t="s">
        <v>0</v>
      </c>
      <c r="D452" s="277" t="str">
        <f>"#"&amp;$S$2&amp;"#"&amp;$T$2&amp;"."&amp;$P$2&amp;".mComNum_KZ"</f>
        <v>#3#\\Setup_rza\Modbus.OPCServer\KTP_BMRZ.TOR200_VVR.mComNum_KZ</v>
      </c>
    </row>
    <row r="453" spans="1:4">
      <c r="A453" s="278" t="str">
        <f t="shared" ref="A453:A457" si="52">$R$2&amp;".mComNum_KZ"</f>
        <v>АСУЭ.TOR.VVR.mComNum_KZ</v>
      </c>
      <c r="B453" s="279">
        <v>7998</v>
      </c>
      <c r="C453" s="279" t="s">
        <v>6</v>
      </c>
      <c r="D453" s="280">
        <v>1</v>
      </c>
    </row>
    <row r="454" spans="1:4">
      <c r="A454" s="278" t="str">
        <f t="shared" si="52"/>
        <v>АСУЭ.TOR.VVR.mComNum_KZ</v>
      </c>
      <c r="B454" s="279">
        <v>101</v>
      </c>
      <c r="C454" s="279" t="s">
        <v>0</v>
      </c>
      <c r="D454" s="280" t="s">
        <v>2802</v>
      </c>
    </row>
    <row r="455" spans="1:4">
      <c r="A455" s="278" t="str">
        <f t="shared" si="52"/>
        <v>АСУЭ.TOR.VVR.mComNum_KZ</v>
      </c>
      <c r="B455" s="279">
        <v>3</v>
      </c>
      <c r="C455" s="279" t="s">
        <v>1</v>
      </c>
      <c r="D455" s="280">
        <v>192</v>
      </c>
    </row>
    <row r="456" spans="1:4">
      <c r="A456" s="278" t="str">
        <f t="shared" si="52"/>
        <v>АСУЭ.TOR.VVR.mComNum_KZ</v>
      </c>
      <c r="B456" s="279">
        <v>2</v>
      </c>
      <c r="C456" s="279" t="s">
        <v>80</v>
      </c>
      <c r="D456" s="280">
        <v>0</v>
      </c>
    </row>
    <row r="457" spans="1:4">
      <c r="A457" s="281" t="str">
        <f t="shared" si="52"/>
        <v>АСУЭ.TOR.VVR.mComNum_KZ</v>
      </c>
      <c r="B457" s="282">
        <v>1</v>
      </c>
      <c r="C457" s="282" t="s">
        <v>1</v>
      </c>
      <c r="D457" s="283">
        <v>4</v>
      </c>
    </row>
  </sheetData>
  <autoFilter ref="B1:B434" xr:uid="{00000000-0009-0000-0000-000034000000}"/>
  <mergeCells count="3">
    <mergeCell ref="D19:E19"/>
    <mergeCell ref="Q28:Q29"/>
    <mergeCell ref="Q30:Q31"/>
  </mergeCell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Лист222">
    <tabColor rgb="FFFFC000"/>
  </sheetPr>
  <dimension ref="A1:BP427"/>
  <sheetViews>
    <sheetView zoomScaleNormal="100" workbookViewId="0">
      <selection activeCell="D2" sqref="D2:D4"/>
    </sheetView>
  </sheetViews>
  <sheetFormatPr defaultRowHeight="14.4"/>
  <cols>
    <col min="1" max="1" width="66.4414062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64.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57" t="s">
        <v>84</v>
      </c>
      <c r="C1" s="257"/>
      <c r="D1" s="257"/>
      <c r="E1" s="257"/>
      <c r="F1" s="257"/>
      <c r="P1" s="753" t="str">
        <f>Таблица!D1</f>
        <v>Префикс для TREI
Тэг ОРС для INFINITY</v>
      </c>
      <c r="Q1" s="753" t="str">
        <f>Таблица!E1</f>
        <v>Комментарий для TREI и INFINITY</v>
      </c>
      <c r="R1" s="754" t="str">
        <f>Таблица!F1</f>
        <v>ТЭГ в дереве INFINITY Server</v>
      </c>
      <c r="S1" s="753"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755" t="str">
        <f>Таблица!H1</f>
        <v>OPC путь 
№ маршрута Modbus TCP, Modbus RTU, Modbus over TCP (1-255)
№ КП IEC104 (1-65534)</v>
      </c>
      <c r="U1" s="756" t="str">
        <f>Таблица!I1</f>
        <v>OPC путь</v>
      </c>
      <c r="V1" s="756" t="str">
        <f>Таблица!J1</f>
        <v>Мнемосхема</v>
      </c>
      <c r="W1" s="757"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757"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757" t="str">
        <f>Таблица!M1</f>
        <v>FB_IMt_MON_S, IMt_MON: Только для трансформатора. Цвет нижних обмоток(-ки) при наличии напряжения</v>
      </c>
      <c r="Z1" s="757"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757"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757" t="str">
        <f>Таблица!P1</f>
        <v xml:space="preserve">FB_DI_S, FB_DO_S, DI, DI_DIAG, FB_DO_STB_S: Тип сигнализации (Авария, предупреждение, телесигнализация и тд.)
FB_SHPS_S(SB), FB_BTF_S: Тип сигнализации XFRX
</v>
      </c>
      <c r="AC1" s="757"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757" t="str">
        <f>Таблица!R1</f>
        <v>SEPAM: Тип ячейки (OL,SV,VV,TN)
BMRZ: Тип ячейки (VV,AV)
TOR: Тип ячейки (OL,SV,VV,TN,BK)</v>
      </c>
      <c r="AE1" s="757" t="str">
        <f>Таблица!S1</f>
        <v>Формула для fNoLink.Device</v>
      </c>
      <c r="AF1" s="757">
        <f>Таблица!T1</f>
        <v>0</v>
      </c>
      <c r="AG1" s="757">
        <f>Таблица!U1</f>
        <v>0</v>
      </c>
      <c r="AH1" s="757">
        <f>Таблица!V1</f>
        <v>0</v>
      </c>
      <c r="AI1" s="757">
        <f>Таблица!W1</f>
        <v>0</v>
      </c>
      <c r="AJ1" s="757">
        <f>Таблица!X1</f>
        <v>0</v>
      </c>
      <c r="AK1" s="758" t="str">
        <f>Таблица!Y1</f>
        <v>FB_AI_S, FB_DI_S, FB_QSA_S, FB_DO_S, FB_SHPS_S, FB_SHOP_S, FB_BTF_S: IVXX
FB_KL_UPT_S: ISON
SW_S301, SW_MES3508: Подключение к порту 1
SW_MAYAK: Подключение к порту 1,2 (через "\")
DI_DIAG, DO_DIAG: XVLX</v>
      </c>
      <c r="AL1" s="758"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758"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758" t="str">
        <f>Таблица!AB1</f>
        <v>FB_IMstp_S, FB_IMsp_S, FB_IMs_S, FB_REG_S, FB_IM_ADES_S : ILCX
SW_S301: Подключение к порту 4
SW_MAYAK, SW_MES3508: Подключение к порту 7,8 (через "\")</v>
      </c>
      <c r="AO1" s="758" t="str">
        <f>Таблица!AC1</f>
        <v xml:space="preserve">FB_IMstp_S, FB_IMsp_S, FB_IMs_S, FB_IMp_S, FB_IMv_S, FB_REG_S, FB_IM_ADES_S, FB_DO_S : IRCX
SW_S301, SW_MES3508: Подключение к порту 5
SW_MAYAK: Подключение к порту 9,10 (через "\")
</v>
      </c>
      <c r="AP1" s="758"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758"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758" t="str">
        <f>Таблица!AF1</f>
        <v xml:space="preserve">FB_IMstp_S, FB_IMsp_S, FB_IMs_S, FB_IMp_S, FB_IMv_S, FB_IM_ADES_S, FB_OZK_KD_S, FB_DO_S: OXOF
SW_S301, SW_MES3508: Подключение к порту 8
SW_MAYAK: Подключение к порту 15,16 (через "\")
</v>
      </c>
      <c r="AS1" s="758" t="str">
        <f>Таблица!AG1</f>
        <v xml:space="preserve">FB_IM_ADES_S, FB_IMp_S, FB_IMv_S: OXSP
FB_IMstp_S, FB_IMsp_S, FB_IMsp_MON_S: IPTC
SW_S301, SW_MES3508: Подключение к порту 9
SW_MAYAK: Подключение к порту 17,18 (через "\")
</v>
      </c>
      <c r="AT1" s="758" t="str">
        <f>Таблица!AH1</f>
        <v xml:space="preserve">FB_IMstp_S, FB_IMst_MON_S, FB_IMt_MON_S: ITON
FB_IM_ADES_S: IOLD
SW_S301, SW_MES3508: Подключение к порту 10
SW_MAYAK: Подключение к порту 19,20 (через "\")
</v>
      </c>
      <c r="AU1" s="758" t="str">
        <f>Таблица!AI1</f>
        <v>FB_IMstp_S, FB_IMst_MON_S, FB_IMt_MON_S: ITOF
FB_IM_ADES_S: IRAD
SW_MAYAK: Подключение к порту 21,22 (через "\")</v>
      </c>
      <c r="AV1" s="758" t="str">
        <f>Таблица!AJ1</f>
        <v xml:space="preserve">FB_IMstp_S, FB_IMsp_S, FB_IMsp_MON_S, FB_IM_ADES_S: IPTO
SW_MAYAK: Подключение к порту 23,24 (через "\")
</v>
      </c>
      <c r="AW1" s="759"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759" t="str">
        <f>Таблица!AL1</f>
        <v>Для TREI
FB_IMstp_S, FB_IMs_S, FB_IMp_S, FB_IMv_S, FB_IM_ADES_S: Настройка перехода ручной-/автоматический-(TRUE/FALSE) 
FB_DI_S: Генерировать метки времени (TRUE/FALSE)</v>
      </c>
      <c r="AY1" s="759"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759" t="str">
        <f>Таблица!AN1</f>
        <v>Для TREI
FB_AI_S, FB_QSA_S: Верхний предел датчика
FB_IMp_S, FB_IMv_S, FB_IM_ADES_S, FB_OZK_KD_S: Время перестановки</v>
      </c>
      <c r="BA1" s="759"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t="s">
        <v>2760</v>
      </c>
      <c r="Q2" s="2" t="s">
        <v>2759</v>
      </c>
      <c r="R2" s="2" t="s">
        <v>2761</v>
      </c>
      <c r="S2" s="3">
        <v>3</v>
      </c>
      <c r="T2" s="3" t="s">
        <v>1699</v>
      </c>
      <c r="U2" s="3"/>
      <c r="V2" s="3" t="s">
        <v>569</v>
      </c>
      <c r="W2" s="12" t="s">
        <v>326</v>
      </c>
      <c r="X2" s="12" t="s">
        <v>327</v>
      </c>
      <c r="Y2" s="12"/>
      <c r="Z2" s="12"/>
      <c r="AA2" s="12"/>
      <c r="AB2" s="2"/>
      <c r="AC2" s="2" t="s">
        <v>307</v>
      </c>
      <c r="AD2" s="2" t="s">
        <v>1476</v>
      </c>
      <c r="AE2" s="2" t="s">
        <v>1414</v>
      </c>
      <c r="AF2" s="2"/>
      <c r="AG2" s="2"/>
      <c r="AH2" s="2"/>
      <c r="AI2" s="2"/>
      <c r="AJ2" s="2"/>
      <c r="AK2" s="2"/>
      <c r="AL2" s="2"/>
      <c r="AM2" s="2"/>
      <c r="AN2" s="2"/>
      <c r="AO2" s="2"/>
      <c r="AP2" s="2"/>
      <c r="AQ2" s="2"/>
      <c r="AR2" s="2"/>
      <c r="AS2" s="2"/>
      <c r="AT2" s="2"/>
      <c r="AU2" s="2"/>
      <c r="AV2" s="2"/>
      <c r="AW2" s="2"/>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3"/>
      <c r="V4" s="10"/>
      <c r="W4" s="10"/>
      <c r="X4" s="10"/>
      <c r="Y4" s="10"/>
      <c r="Z4" s="10"/>
      <c r="AA4" s="10"/>
      <c r="BM4" s="4"/>
      <c r="BN4" s="4"/>
      <c r="BO4" s="4"/>
      <c r="BP4" s="4"/>
    </row>
    <row r="5" spans="1:68" ht="15" customHeight="1">
      <c r="A5" s="9"/>
      <c r="B5" s="9"/>
      <c r="C5" s="9"/>
      <c r="D5" s="9"/>
      <c r="E5" s="9"/>
      <c r="F5" s="9"/>
      <c r="P5" s="6" t="str">
        <f>Настройки!A2</f>
        <v>Авария</v>
      </c>
      <c r="Q5" s="5">
        <f>Настройки!B2</f>
        <v>4</v>
      </c>
      <c r="R5" s="543" t="str">
        <f>Настройки!C2</f>
        <v>Авария</v>
      </c>
      <c r="S5" s="10"/>
      <c r="T5" s="458">
        <f>Настройки!M12</f>
        <v>1</v>
      </c>
      <c r="U5" s="14"/>
      <c r="V5" s="10"/>
      <c r="W5" s="10"/>
      <c r="X5" s="10"/>
      <c r="Y5" s="10"/>
      <c r="Z5" s="10"/>
      <c r="AA5" s="10"/>
      <c r="BM5" s="4"/>
      <c r="BN5" s="4"/>
      <c r="BO5" s="4"/>
      <c r="BP5" s="4"/>
    </row>
    <row r="6" spans="1:68" ht="15" customHeight="1">
      <c r="A6" s="9"/>
      <c r="B6" s="9"/>
      <c r="C6" s="9"/>
      <c r="D6" s="9"/>
      <c r="E6" s="9"/>
      <c r="F6" s="9"/>
      <c r="P6" s="6" t="str">
        <f>Настройки!A3</f>
        <v>Предупреждение</v>
      </c>
      <c r="Q6" s="5">
        <f>Настройки!B3</f>
        <v>8</v>
      </c>
      <c r="R6" s="543" t="str">
        <f>Настройки!C3</f>
        <v>Предупреждение</v>
      </c>
      <c r="S6" s="10"/>
      <c r="T6" s="562" t="str">
        <f>Настройки!M7</f>
        <v>Отображение Таблицы подлючений в диаг.</v>
      </c>
      <c r="U6" s="10"/>
      <c r="V6" s="10"/>
      <c r="W6" s="10"/>
      <c r="X6" s="10"/>
      <c r="Y6" s="10"/>
      <c r="Z6" s="10"/>
      <c r="AA6" s="10"/>
      <c r="BM6" s="4"/>
      <c r="BN6" s="4"/>
      <c r="BO6" s="4"/>
      <c r="BP6" s="4"/>
    </row>
    <row r="7" spans="1:68" ht="15" customHeight="1">
      <c r="A7" s="9"/>
      <c r="B7" s="9"/>
      <c r="C7" s="9"/>
      <c r="D7" s="9"/>
      <c r="E7" s="9"/>
      <c r="F7" s="9"/>
      <c r="P7" s="6" t="str">
        <f>Настройки!A4</f>
        <v>Неисправность</v>
      </c>
      <c r="Q7" s="5">
        <f>Настройки!B4</f>
        <v>12</v>
      </c>
      <c r="R7" s="543" t="str">
        <f>Настройки!C4</f>
        <v>Неисправность</v>
      </c>
      <c r="S7" s="10"/>
      <c r="T7" s="4" t="b">
        <f>Настройки!M8</f>
        <v>0</v>
      </c>
      <c r="U7" s="10"/>
      <c r="V7" s="10"/>
      <c r="W7" s="10"/>
      <c r="X7" s="10"/>
      <c r="Y7" s="10"/>
      <c r="Z7" s="10"/>
      <c r="AA7" s="10"/>
      <c r="BM7" s="4"/>
      <c r="BN7" s="4"/>
      <c r="BO7" s="4"/>
      <c r="BP7" s="4"/>
    </row>
    <row r="8" spans="1:68" ht="15" customHeight="1">
      <c r="A8" s="9"/>
      <c r="B8" s="9"/>
      <c r="C8" s="9"/>
      <c r="D8" s="9"/>
      <c r="E8" s="9"/>
      <c r="F8" s="9"/>
      <c r="P8" s="6" t="str">
        <f>Настройки!A5</f>
        <v>Телесигнализация</v>
      </c>
      <c r="Q8" s="5">
        <f>Настройки!B5</f>
        <v>18</v>
      </c>
      <c r="R8" s="543" t="str">
        <f>Настройки!C5</f>
        <v>Телесигнализация</v>
      </c>
      <c r="S8" s="10"/>
      <c r="T8" s="10"/>
      <c r="U8" s="10"/>
      <c r="V8" s="10"/>
      <c r="W8" s="10"/>
      <c r="X8" s="10"/>
      <c r="Y8" s="10"/>
      <c r="Z8" s="10"/>
      <c r="AA8" s="10"/>
      <c r="BM8" s="4"/>
      <c r="BN8" s="4"/>
      <c r="BO8" s="4"/>
      <c r="BP8" s="4"/>
    </row>
    <row r="9" spans="1:68" ht="15" customHeight="1">
      <c r="A9" s="9"/>
      <c r="B9" s="9"/>
      <c r="C9" s="9"/>
      <c r="D9" s="9"/>
      <c r="E9" s="9"/>
      <c r="F9" s="9"/>
      <c r="P9" s="6" t="str">
        <f>Настройки!A6</f>
        <v>Недостоверность</v>
      </c>
      <c r="Q9" s="5">
        <f>Настройки!B6</f>
        <v>10</v>
      </c>
      <c r="R9" s="543" t="str">
        <f>Настройки!C6</f>
        <v>Недостоверность</v>
      </c>
      <c r="S9" s="10"/>
      <c r="T9" s="10"/>
      <c r="U9" s="10"/>
      <c r="V9" s="10"/>
      <c r="W9" s="10"/>
      <c r="X9" s="10"/>
      <c r="Y9" s="10"/>
      <c r="Z9" s="10"/>
      <c r="AA9" s="10"/>
      <c r="BM9" s="4"/>
      <c r="BN9" s="4"/>
      <c r="BO9" s="4"/>
      <c r="BP9" s="4"/>
    </row>
    <row r="10" spans="1:68" ht="15" customHeight="1">
      <c r="A10" s="9"/>
      <c r="B10" s="9"/>
      <c r="C10" s="9"/>
      <c r="D10" s="9"/>
      <c r="E10" s="9"/>
      <c r="F10" s="9"/>
      <c r="P10" s="6" t="str">
        <f>Настройки!A7</f>
        <v>Имитация</v>
      </c>
      <c r="Q10" s="5">
        <f>Настройки!B7</f>
        <v>16</v>
      </c>
      <c r="R10" s="543" t="str">
        <f>Настройки!C7</f>
        <v>Имитация</v>
      </c>
      <c r="S10" s="10"/>
      <c r="T10" s="10"/>
      <c r="U10" s="10"/>
      <c r="V10" s="10"/>
      <c r="W10" s="10"/>
      <c r="X10" s="10"/>
      <c r="Y10" s="10"/>
      <c r="Z10" s="10"/>
      <c r="AA10" s="10"/>
      <c r="BM10" s="4"/>
      <c r="BN10" s="4"/>
      <c r="BO10" s="4"/>
      <c r="BP10" s="4"/>
    </row>
    <row r="11" spans="1:68" ht="15" customHeight="1">
      <c r="A11" s="9"/>
      <c r="B11" s="9"/>
      <c r="C11" s="9"/>
      <c r="D11" s="9"/>
      <c r="E11" s="9"/>
      <c r="F11" s="9"/>
      <c r="P11" s="6" t="str">
        <f>Настройки!A8</f>
        <v>Ремонт</v>
      </c>
      <c r="Q11" s="5">
        <f>Настройки!B8</f>
        <v>14</v>
      </c>
      <c r="R11" s="543" t="str">
        <f>Настройки!C8</f>
        <v>Ремонт</v>
      </c>
      <c r="S11" s="10"/>
      <c r="T11" s="10"/>
      <c r="U11" s="10"/>
      <c r="V11" s="10"/>
      <c r="W11" s="10"/>
      <c r="X11" s="10"/>
      <c r="Y11" s="10"/>
      <c r="Z11" s="10"/>
      <c r="AA11" s="10"/>
      <c r="BM11" s="4"/>
      <c r="BN11" s="4"/>
      <c r="BO11" s="4"/>
      <c r="BP11" s="4"/>
    </row>
    <row r="12" spans="1:68" ht="15" customHeight="1">
      <c r="A12" s="9"/>
      <c r="B12" s="9"/>
      <c r="C12" s="9"/>
      <c r="D12" s="9"/>
      <c r="E12" s="9"/>
      <c r="F12" s="9"/>
      <c r="P12" s="6" t="str">
        <f>Настройки!A9</f>
        <v>Команда оператора</v>
      </c>
      <c r="Q12" s="5">
        <f>Настройки!B9</f>
        <v>20</v>
      </c>
      <c r="R12" s="543" t="str">
        <f>Настройки!C9</f>
        <v>Команда оператора</v>
      </c>
      <c r="S12" s="10"/>
      <c r="T12" s="10"/>
      <c r="U12" s="10"/>
      <c r="V12" s="10"/>
      <c r="W12" s="10"/>
      <c r="X12" s="10"/>
      <c r="Y12" s="10"/>
      <c r="Z12" s="10"/>
      <c r="AA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M17" s="4"/>
      <c r="BN17" s="4"/>
      <c r="BO17" s="4"/>
      <c r="BP17" s="4"/>
    </row>
    <row r="18" spans="1:68" ht="15" customHeight="1" thickBo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M18" s="4"/>
      <c r="BN18" s="4"/>
      <c r="BO18" s="4"/>
      <c r="BP18" s="4"/>
    </row>
    <row r="19" spans="1:68" ht="15" customHeight="1" thickBot="1">
      <c r="A19" s="9"/>
      <c r="B19" s="9"/>
      <c r="C19" s="9"/>
      <c r="D19" s="783" t="s">
        <v>2820</v>
      </c>
      <c r="E19" s="782"/>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M19" s="4"/>
      <c r="BN19" s="4"/>
      <c r="BO19" s="4"/>
      <c r="BP19" s="4"/>
    </row>
    <row r="20" spans="1:68">
      <c r="A20" s="23" t="str">
        <f t="shared" ref="A20:A22" si="0">$R$2</f>
        <v>АСУЭ.TOR</v>
      </c>
      <c r="B20" s="24">
        <v>1</v>
      </c>
      <c r="C20" s="24" t="s">
        <v>1</v>
      </c>
      <c r="D20" s="25">
        <v>17</v>
      </c>
    </row>
    <row r="21" spans="1:68">
      <c r="A21" s="29" t="str">
        <f t="shared" si="0"/>
        <v>АСУЭ.TOR</v>
      </c>
      <c r="B21" s="1">
        <v>11001</v>
      </c>
      <c r="C21" s="1" t="s">
        <v>0</v>
      </c>
      <c r="D21" s="30" t="str">
        <f>$Q$2&amp;". "</f>
        <v xml:space="preserve">TOR. </v>
      </c>
    </row>
    <row r="22" spans="1:68">
      <c r="A22" s="29" t="str">
        <f t="shared" si="0"/>
        <v>АСУЭ.TOR</v>
      </c>
      <c r="B22" s="1">
        <v>11156</v>
      </c>
      <c r="C22" s="1" t="s">
        <v>0</v>
      </c>
      <c r="D22" s="30" t="str">
        <f>$V$2</f>
        <v>Тестовый экран</v>
      </c>
    </row>
    <row r="23" spans="1:68" ht="15" customHeight="1">
      <c r="A23" s="16" t="str">
        <f>$R$2</f>
        <v>АСУЭ.TOR</v>
      </c>
      <c r="B23" s="17">
        <v>100</v>
      </c>
      <c r="C23" s="17" t="s">
        <v>0</v>
      </c>
      <c r="D23" s="18" t="b">
        <f>$T$7</f>
        <v>0</v>
      </c>
      <c r="BF23" s="4"/>
      <c r="BG23" s="4"/>
      <c r="BH23" s="4"/>
      <c r="BI23" s="4"/>
    </row>
    <row r="24" spans="1:68">
      <c r="A24" s="29" t="str">
        <f>$R$2</f>
        <v>АСУЭ.TOR</v>
      </c>
      <c r="B24" s="1">
        <v>7011</v>
      </c>
      <c r="C24" s="1" t="s">
        <v>2</v>
      </c>
      <c r="D24" s="30" t="s">
        <v>266</v>
      </c>
    </row>
    <row r="25" spans="1:68">
      <c r="A25" s="19" t="str">
        <f t="shared" ref="A25" si="1">$R$2</f>
        <v>АСУЭ.TOR</v>
      </c>
      <c r="B25" s="11">
        <v>9218</v>
      </c>
      <c r="C25" s="11" t="s">
        <v>2</v>
      </c>
      <c r="D25" s="20" t="s">
        <v>175</v>
      </c>
    </row>
    <row r="26" spans="1:68" ht="15" customHeight="1">
      <c r="A26" s="19" t="str">
        <f>$R$2</f>
        <v>АСУЭ.TOR</v>
      </c>
      <c r="B26" s="11">
        <v>11127</v>
      </c>
      <c r="C26" s="11" t="s">
        <v>0</v>
      </c>
      <c r="D26" s="20">
        <f>$AK$2</f>
        <v>0</v>
      </c>
      <c r="BM26" s="4"/>
      <c r="BN26" s="4"/>
      <c r="BO26" s="4"/>
      <c r="BP26" s="4"/>
    </row>
    <row r="27" spans="1:68">
      <c r="A27" s="19" t="str">
        <f t="shared" ref="A27" si="2">$R$2</f>
        <v>АСУЭ.TOR</v>
      </c>
      <c r="B27" s="11">
        <v>11126</v>
      </c>
      <c r="C27" s="11" t="s">
        <v>0</v>
      </c>
      <c r="D27" s="20" t="str">
        <f>$AC$2</f>
        <v>Синий</v>
      </c>
    </row>
    <row r="28" spans="1:68">
      <c r="A28" s="23" t="str">
        <f>$R$2</f>
        <v>АСУЭ.TOR</v>
      </c>
      <c r="B28" s="24">
        <v>9219</v>
      </c>
      <c r="C28" s="24" t="s">
        <v>2</v>
      </c>
      <c r="D28" s="25" t="s">
        <v>3</v>
      </c>
      <c r="Q28" s="778" t="s">
        <v>224</v>
      </c>
    </row>
    <row r="29" spans="1:68">
      <c r="A29" s="29" t="str">
        <f>$R$2</f>
        <v>АСУЭ.TOR</v>
      </c>
      <c r="B29" s="27">
        <v>3009219</v>
      </c>
      <c r="C29" s="27" t="s">
        <v>0</v>
      </c>
      <c r="D29" s="28" t="str">
        <f>$X$2</f>
        <v>!АСУЭ.ЗРУиКТП.DI_1.XVLX.value &amp;&amp; АСУЭ.ЗРУиКТП.IMstp_1.XONX.value &amp;&amp; АСУЭ.ЗРУиКТП.IMstp_1.XTON.value</v>
      </c>
      <c r="Q29" s="779"/>
    </row>
    <row r="30" spans="1:68">
      <c r="A30" s="23" t="str">
        <f>$R$2</f>
        <v>АСУЭ.TOR</v>
      </c>
      <c r="B30" s="1">
        <v>9220</v>
      </c>
      <c r="C30" s="1" t="s">
        <v>2</v>
      </c>
      <c r="D30" s="30" t="s">
        <v>3</v>
      </c>
      <c r="Q30" s="778" t="s">
        <v>223</v>
      </c>
    </row>
    <row r="31" spans="1:68">
      <c r="A31" s="26" t="str">
        <f>$R$2</f>
        <v>АСУЭ.TOR</v>
      </c>
      <c r="B31" s="27">
        <v>3009220</v>
      </c>
      <c r="C31" s="27" t="s">
        <v>0</v>
      </c>
      <c r="D31" s="28" t="str">
        <f>$W$2</f>
        <v>!АСУЭ.ЗРУиКТП.DI_1.XVLX.value &amp;&amp; АСУЭ.ЗРУиКТП.IMstp_1.XTON.value</v>
      </c>
      <c r="Q31" s="779"/>
    </row>
    <row r="32" spans="1:68">
      <c r="A32" s="16" t="str">
        <f t="shared" ref="A32:A35" si="3">$R$2</f>
        <v>АСУЭ.TOR</v>
      </c>
      <c r="B32" s="17">
        <v>203</v>
      </c>
      <c r="C32" s="17" t="s">
        <v>2</v>
      </c>
      <c r="D32" s="18" t="s">
        <v>3</v>
      </c>
    </row>
    <row r="33" spans="1:61" ht="15" customHeight="1">
      <c r="A33" s="19" t="str">
        <f t="shared" si="3"/>
        <v>АСУЭ.TOR</v>
      </c>
      <c r="B33" s="11">
        <v>3000203</v>
      </c>
      <c r="C33" s="11" t="s">
        <v>0</v>
      </c>
      <c r="D33" s="18" t="s">
        <v>3</v>
      </c>
      <c r="BF33" s="4"/>
      <c r="BG33" s="4"/>
      <c r="BH33" s="4"/>
      <c r="BI33" s="4"/>
    </row>
    <row r="34" spans="1:61" ht="15" customHeight="1">
      <c r="A34" s="19" t="str">
        <f t="shared" si="3"/>
        <v>АСУЭ.TOR</v>
      </c>
      <c r="B34" s="11">
        <v>4000203</v>
      </c>
      <c r="C34" s="11" t="s">
        <v>0</v>
      </c>
      <c r="D34" s="20" t="s">
        <v>1775</v>
      </c>
      <c r="BF34" s="4"/>
      <c r="BG34" s="4"/>
      <c r="BH34" s="4"/>
      <c r="BI34" s="4"/>
    </row>
    <row r="35" spans="1:61" ht="15" customHeight="1">
      <c r="A35" s="21" t="str">
        <f t="shared" si="3"/>
        <v>АСУЭ.TOR</v>
      </c>
      <c r="B35" s="8">
        <v>7000203</v>
      </c>
      <c r="C35" s="8" t="s">
        <v>6</v>
      </c>
      <c r="D35" s="22">
        <v>2</v>
      </c>
      <c r="BF35" s="4"/>
      <c r="BG35" s="4"/>
      <c r="BH35" s="4"/>
      <c r="BI35" s="4"/>
    </row>
    <row r="36" spans="1:61">
      <c r="A36" s="16" t="str">
        <f>$R$2&amp;".Commands"</f>
        <v>АСУЭ.TOR.Commands</v>
      </c>
      <c r="B36" s="24">
        <v>1</v>
      </c>
      <c r="C36" s="24" t="s">
        <v>1</v>
      </c>
      <c r="D36" s="25">
        <v>17</v>
      </c>
    </row>
    <row r="37" spans="1:61">
      <c r="A37" s="29" t="str">
        <f>$R$2&amp;".Commands"</f>
        <v>АСУЭ.TOR.Commands</v>
      </c>
      <c r="B37" s="1">
        <v>7011</v>
      </c>
      <c r="C37" s="1" t="s">
        <v>2</v>
      </c>
      <c r="D37" s="30" t="s">
        <v>266</v>
      </c>
    </row>
    <row r="38" spans="1:61" ht="15" customHeight="1">
      <c r="A38" s="29" t="str">
        <f>$R$2&amp;".Commands"</f>
        <v>АСУЭ.TOR.Commands</v>
      </c>
      <c r="B38">
        <v>9213</v>
      </c>
      <c r="C38" s="11" t="s">
        <v>2583</v>
      </c>
      <c r="D38" s="30">
        <v>2</v>
      </c>
      <c r="BF38" s="4"/>
      <c r="BG38" s="4"/>
      <c r="BH38" s="4"/>
      <c r="BI38" s="4"/>
    </row>
    <row r="39" spans="1:61">
      <c r="A39" s="19" t="str">
        <f>$R$2&amp;".Commands"</f>
        <v>АСУЭ.TOR.Commands</v>
      </c>
      <c r="B39" s="11">
        <v>9214</v>
      </c>
      <c r="C39" s="11" t="s">
        <v>2</v>
      </c>
      <c r="D39" s="20" t="s">
        <v>3</v>
      </c>
    </row>
    <row r="40" spans="1:61">
      <c r="A40" s="19" t="str">
        <f t="shared" ref="A40:A42" si="4">$R$2&amp;".Commands"</f>
        <v>АСУЭ.TOR.Commands</v>
      </c>
      <c r="B40" s="11">
        <v>9215</v>
      </c>
      <c r="C40" s="11" t="s">
        <v>2</v>
      </c>
      <c r="D40" s="20" t="s">
        <v>3</v>
      </c>
    </row>
    <row r="41" spans="1:61">
      <c r="A41" s="19" t="str">
        <f t="shared" si="4"/>
        <v>АСУЭ.TOR.Commands</v>
      </c>
      <c r="B41" s="11">
        <v>9216</v>
      </c>
      <c r="C41" s="11" t="s">
        <v>2</v>
      </c>
      <c r="D41" s="20" t="s">
        <v>3</v>
      </c>
    </row>
    <row r="42" spans="1:61">
      <c r="A42" s="21" t="str">
        <f t="shared" si="4"/>
        <v>АСУЭ.TOR.Commands</v>
      </c>
      <c r="B42" s="8">
        <v>9217</v>
      </c>
      <c r="C42" s="8" t="s">
        <v>2</v>
      </c>
      <c r="D42" s="22" t="s">
        <v>3</v>
      </c>
    </row>
    <row r="43" spans="1:61">
      <c r="A43" s="156" t="str">
        <f>$R$2&amp;".aGenFlt"</f>
        <v>АСУЭ.TOR.aGenFlt</v>
      </c>
      <c r="B43" s="157">
        <v>11154</v>
      </c>
      <c r="C43" s="157" t="s">
        <v>4</v>
      </c>
      <c r="D43" s="760">
        <f>$Q$5</f>
        <v>4</v>
      </c>
    </row>
    <row r="44" spans="1:61">
      <c r="A44" s="148" t="str">
        <f t="shared" ref="A44:A52" si="5">$R$2&amp;".aGenFlt"</f>
        <v>АСУЭ.TOR.aGenFlt</v>
      </c>
      <c r="B44" s="149">
        <v>11150</v>
      </c>
      <c r="C44" s="149" t="s">
        <v>0</v>
      </c>
      <c r="D44" s="125" t="s">
        <v>2781</v>
      </c>
    </row>
    <row r="45" spans="1:61">
      <c r="A45" s="148" t="str">
        <f t="shared" si="5"/>
        <v>АСУЭ.TOR.aGenFlt</v>
      </c>
      <c r="B45" s="149">
        <v>11152</v>
      </c>
      <c r="C45" s="149" t="s">
        <v>0</v>
      </c>
      <c r="D45" s="158" t="str">
        <f>$R$5</f>
        <v>Авария</v>
      </c>
    </row>
    <row r="46" spans="1:61">
      <c r="A46" s="148" t="str">
        <f t="shared" si="5"/>
        <v>АСУЭ.TOR.aGenFlt</v>
      </c>
      <c r="B46" s="149">
        <v>11000</v>
      </c>
      <c r="C46" s="149" t="s">
        <v>5</v>
      </c>
      <c r="D46" s="125">
        <v>2147483680</v>
      </c>
    </row>
    <row r="47" spans="1:61">
      <c r="A47" s="19" t="str">
        <f t="shared" si="5"/>
        <v>АСУЭ.TOR.aGenFlt</v>
      </c>
      <c r="B47" s="11">
        <v>7999</v>
      </c>
      <c r="C47" s="11" t="s">
        <v>0</v>
      </c>
      <c r="D47" s="20" t="str">
        <f>"#"&amp;$S$2&amp;"#"&amp;$T$2&amp;"."&amp;$P$2&amp;".aGenFlt"</f>
        <v>#3#\\Setup_rza\Modbus.OPCServer\ZRU_Sepam.VV1_TOR.aGenFlt</v>
      </c>
    </row>
    <row r="48" spans="1:61">
      <c r="A48" s="19" t="str">
        <f t="shared" si="5"/>
        <v>АСУЭ.TOR.aGenFlt</v>
      </c>
      <c r="B48" s="11">
        <v>7998</v>
      </c>
      <c r="C48" s="11" t="s">
        <v>6</v>
      </c>
      <c r="D48" s="20">
        <v>1</v>
      </c>
    </row>
    <row r="49" spans="1:4">
      <c r="A49" s="19" t="str">
        <f t="shared" si="5"/>
        <v>АСУЭ.TOR.aGenFlt</v>
      </c>
      <c r="B49" s="11">
        <v>101</v>
      </c>
      <c r="C49" s="11" t="s">
        <v>0</v>
      </c>
      <c r="D49" s="20" t="s">
        <v>2781</v>
      </c>
    </row>
    <row r="50" spans="1:4">
      <c r="A50" s="19" t="str">
        <f t="shared" si="5"/>
        <v>АСУЭ.TOR.aGenFlt</v>
      </c>
      <c r="B50" s="11">
        <v>3</v>
      </c>
      <c r="C50" s="11" t="s">
        <v>1</v>
      </c>
      <c r="D50" s="20">
        <v>192</v>
      </c>
    </row>
    <row r="51" spans="1:4">
      <c r="A51" s="19" t="str">
        <f t="shared" si="5"/>
        <v>АСУЭ.TOR.aGenFlt</v>
      </c>
      <c r="B51" s="11">
        <v>2</v>
      </c>
      <c r="C51" s="11" t="s">
        <v>2</v>
      </c>
      <c r="D51" s="20" t="s">
        <v>3</v>
      </c>
    </row>
    <row r="52" spans="1:4">
      <c r="A52" s="21" t="str">
        <f t="shared" si="5"/>
        <v>АСУЭ.TOR.aGenFlt</v>
      </c>
      <c r="B52" s="8">
        <v>1</v>
      </c>
      <c r="C52" s="8" t="s">
        <v>1</v>
      </c>
      <c r="D52" s="22">
        <v>11</v>
      </c>
    </row>
    <row r="53" spans="1:4">
      <c r="A53" s="156" t="str">
        <f>$R$2&amp;".aGnd"</f>
        <v>АСУЭ.TOR.aGnd</v>
      </c>
      <c r="B53" s="157">
        <v>11154</v>
      </c>
      <c r="C53" s="157" t="s">
        <v>4</v>
      </c>
      <c r="D53" s="760">
        <f>$Q$5</f>
        <v>4</v>
      </c>
    </row>
    <row r="54" spans="1:4">
      <c r="A54" s="148" t="str">
        <f t="shared" ref="A54:A62" si="6">$R$2&amp;".aGnd"</f>
        <v>АСУЭ.TOR.aGnd</v>
      </c>
      <c r="B54" s="149">
        <v>11150</v>
      </c>
      <c r="C54" s="149" t="s">
        <v>0</v>
      </c>
      <c r="D54" s="125" t="s">
        <v>2858</v>
      </c>
    </row>
    <row r="55" spans="1:4">
      <c r="A55" s="148" t="str">
        <f t="shared" si="6"/>
        <v>АСУЭ.TOR.aGnd</v>
      </c>
      <c r="B55" s="149">
        <v>11152</v>
      </c>
      <c r="C55" s="149" t="s">
        <v>0</v>
      </c>
      <c r="D55" s="158" t="str">
        <f>$R$5</f>
        <v>Авария</v>
      </c>
    </row>
    <row r="56" spans="1:4" ht="14.25" customHeight="1">
      <c r="A56" s="148" t="str">
        <f t="shared" si="6"/>
        <v>АСУЭ.TOR.aGnd</v>
      </c>
      <c r="B56" s="149">
        <v>11000</v>
      </c>
      <c r="C56" s="149" t="s">
        <v>5</v>
      </c>
      <c r="D56" s="125">
        <v>2147483680</v>
      </c>
    </row>
    <row r="57" spans="1:4">
      <c r="A57" s="19" t="str">
        <f t="shared" si="6"/>
        <v>АСУЭ.TOR.aGnd</v>
      </c>
      <c r="B57" s="11">
        <v>7999</v>
      </c>
      <c r="C57" s="11" t="s">
        <v>0</v>
      </c>
      <c r="D57" s="20" t="str">
        <f>"#"&amp;$S$2&amp;"#"&amp;$T$2&amp;"."&amp;$P$2&amp;".aGnd"</f>
        <v>#3#\\Setup_rza\Modbus.OPCServer\ZRU_Sepam.VV1_TOR.aGnd</v>
      </c>
    </row>
    <row r="58" spans="1:4">
      <c r="A58" s="19" t="str">
        <f t="shared" si="6"/>
        <v>АСУЭ.TOR.aGnd</v>
      </c>
      <c r="B58" s="11">
        <v>7998</v>
      </c>
      <c r="C58" s="11" t="s">
        <v>6</v>
      </c>
      <c r="D58" s="20">
        <v>1</v>
      </c>
    </row>
    <row r="59" spans="1:4">
      <c r="A59" s="19" t="str">
        <f t="shared" si="6"/>
        <v>АСУЭ.TOR.aGnd</v>
      </c>
      <c r="B59" s="11">
        <v>101</v>
      </c>
      <c r="C59" s="11" t="s">
        <v>0</v>
      </c>
      <c r="D59" s="20" t="s">
        <v>2858</v>
      </c>
    </row>
    <row r="60" spans="1:4">
      <c r="A60" s="19" t="str">
        <f t="shared" si="6"/>
        <v>АСУЭ.TOR.aGnd</v>
      </c>
      <c r="B60" s="11">
        <v>3</v>
      </c>
      <c r="C60" s="11" t="s">
        <v>1</v>
      </c>
      <c r="D60" s="20">
        <v>192</v>
      </c>
    </row>
    <row r="61" spans="1:4">
      <c r="A61" s="19" t="str">
        <f t="shared" si="6"/>
        <v>АСУЭ.TOR.aGnd</v>
      </c>
      <c r="B61" s="11">
        <v>2</v>
      </c>
      <c r="C61" s="11" t="s">
        <v>2</v>
      </c>
      <c r="D61" s="20" t="s">
        <v>3</v>
      </c>
    </row>
    <row r="62" spans="1:4">
      <c r="A62" s="21" t="str">
        <f t="shared" si="6"/>
        <v>АСУЭ.TOR.aGnd</v>
      </c>
      <c r="B62" s="8">
        <v>1</v>
      </c>
      <c r="C62" s="8" t="s">
        <v>1</v>
      </c>
      <c r="D62" s="22">
        <v>11</v>
      </c>
    </row>
    <row r="63" spans="1:4">
      <c r="A63" s="156" t="str">
        <f>$R$2&amp;".aACHR1"</f>
        <v>АСУЭ.TOR.aACHR1</v>
      </c>
      <c r="B63" s="157">
        <v>11154</v>
      </c>
      <c r="C63" s="157" t="s">
        <v>4</v>
      </c>
      <c r="D63" s="760">
        <f>$Q$5</f>
        <v>4</v>
      </c>
    </row>
    <row r="64" spans="1:4">
      <c r="A64" s="148" t="str">
        <f t="shared" ref="A64:A72" si="7">$R$2&amp;".aACHR1"</f>
        <v>АСУЭ.TOR.aACHR1</v>
      </c>
      <c r="B64" s="149">
        <v>11150</v>
      </c>
      <c r="C64" s="149" t="s">
        <v>0</v>
      </c>
      <c r="D64" s="125" t="s">
        <v>2821</v>
      </c>
    </row>
    <row r="65" spans="1:4">
      <c r="A65" s="148" t="str">
        <f t="shared" si="7"/>
        <v>АСУЭ.TOR.aACHR1</v>
      </c>
      <c r="B65" s="149">
        <v>11152</v>
      </c>
      <c r="C65" s="149" t="s">
        <v>0</v>
      </c>
      <c r="D65" s="158" t="str">
        <f>$R$5</f>
        <v>Авария</v>
      </c>
    </row>
    <row r="66" spans="1:4">
      <c r="A66" s="148" t="str">
        <f t="shared" si="7"/>
        <v>АСУЭ.TOR.aACHR1</v>
      </c>
      <c r="B66" s="149">
        <v>11000</v>
      </c>
      <c r="C66" s="149" t="s">
        <v>5</v>
      </c>
      <c r="D66" s="125">
        <v>2147483680</v>
      </c>
    </row>
    <row r="67" spans="1:4">
      <c r="A67" s="19" t="str">
        <f t="shared" si="7"/>
        <v>АСУЭ.TOR.aACHR1</v>
      </c>
      <c r="B67" s="11">
        <v>7999</v>
      </c>
      <c r="C67" s="11" t="s">
        <v>0</v>
      </c>
      <c r="D67" s="20" t="str">
        <f>"#"&amp;$S$2&amp;"#"&amp;$T$2&amp;"."&amp;$P$2&amp;".aACHR1"</f>
        <v>#3#\\Setup_rza\Modbus.OPCServer\ZRU_Sepam.VV1_TOR.aACHR1</v>
      </c>
    </row>
    <row r="68" spans="1:4">
      <c r="A68" s="19" t="str">
        <f t="shared" si="7"/>
        <v>АСУЭ.TOR.aACHR1</v>
      </c>
      <c r="B68" s="11">
        <v>7998</v>
      </c>
      <c r="C68" s="11" t="s">
        <v>6</v>
      </c>
      <c r="D68" s="20">
        <v>1</v>
      </c>
    </row>
    <row r="69" spans="1:4">
      <c r="A69" s="19" t="str">
        <f t="shared" si="7"/>
        <v>АСУЭ.TOR.aACHR1</v>
      </c>
      <c r="B69" s="11">
        <v>101</v>
      </c>
      <c r="C69" s="11" t="s">
        <v>0</v>
      </c>
      <c r="D69" s="20" t="s">
        <v>2821</v>
      </c>
    </row>
    <row r="70" spans="1:4">
      <c r="A70" s="19" t="str">
        <f t="shared" si="7"/>
        <v>АСУЭ.TOR.aACHR1</v>
      </c>
      <c r="B70" s="11">
        <v>3</v>
      </c>
      <c r="C70" s="11" t="s">
        <v>1</v>
      </c>
      <c r="D70" s="20">
        <v>192</v>
      </c>
    </row>
    <row r="71" spans="1:4">
      <c r="A71" s="19" t="str">
        <f t="shared" si="7"/>
        <v>АСУЭ.TOR.aACHR1</v>
      </c>
      <c r="B71" s="11">
        <v>2</v>
      </c>
      <c r="C71" s="11" t="s">
        <v>2</v>
      </c>
      <c r="D71" s="20" t="s">
        <v>3</v>
      </c>
    </row>
    <row r="72" spans="1:4">
      <c r="A72" s="21" t="str">
        <f t="shared" si="7"/>
        <v>АСУЭ.TOR.aACHR1</v>
      </c>
      <c r="B72" s="8">
        <v>1</v>
      </c>
      <c r="C72" s="8" t="s">
        <v>1</v>
      </c>
      <c r="D72" s="22">
        <v>11</v>
      </c>
    </row>
    <row r="73" spans="1:4">
      <c r="A73" s="156" t="str">
        <f>$R$2&amp;".aACHR2"</f>
        <v>АСУЭ.TOR.aACHR2</v>
      </c>
      <c r="B73" s="157">
        <v>11154</v>
      </c>
      <c r="C73" s="157" t="s">
        <v>4</v>
      </c>
      <c r="D73" s="760">
        <f>$Q$5</f>
        <v>4</v>
      </c>
    </row>
    <row r="74" spans="1:4">
      <c r="A74" s="148" t="str">
        <f t="shared" ref="A74:A82" si="8">$R$2&amp;".aACHR2"</f>
        <v>АСУЭ.TOR.aACHR2</v>
      </c>
      <c r="B74" s="149">
        <v>11150</v>
      </c>
      <c r="C74" s="149" t="s">
        <v>0</v>
      </c>
      <c r="D74" s="125" t="s">
        <v>2822</v>
      </c>
    </row>
    <row r="75" spans="1:4">
      <c r="A75" s="148" t="str">
        <f t="shared" si="8"/>
        <v>АСУЭ.TOR.aACHR2</v>
      </c>
      <c r="B75" s="149">
        <v>11152</v>
      </c>
      <c r="C75" s="149" t="s">
        <v>0</v>
      </c>
      <c r="D75" s="158" t="str">
        <f>$R$5</f>
        <v>Авария</v>
      </c>
    </row>
    <row r="76" spans="1:4">
      <c r="A76" s="148" t="str">
        <f t="shared" si="8"/>
        <v>АСУЭ.TOR.aACHR2</v>
      </c>
      <c r="B76" s="149">
        <v>11000</v>
      </c>
      <c r="C76" s="149" t="s">
        <v>5</v>
      </c>
      <c r="D76" s="125">
        <v>2147483680</v>
      </c>
    </row>
    <row r="77" spans="1:4">
      <c r="A77" s="19" t="str">
        <f t="shared" si="8"/>
        <v>АСУЭ.TOR.aACHR2</v>
      </c>
      <c r="B77" s="11">
        <v>7999</v>
      </c>
      <c r="C77" s="11" t="s">
        <v>0</v>
      </c>
      <c r="D77" s="20" t="str">
        <f>"#"&amp;$S$2&amp;"#"&amp;$T$2&amp;"."&amp;$P$2&amp;".aACHR2"</f>
        <v>#3#\\Setup_rza\Modbus.OPCServer\ZRU_Sepam.VV1_TOR.aACHR2</v>
      </c>
    </row>
    <row r="78" spans="1:4">
      <c r="A78" s="19" t="str">
        <f t="shared" si="8"/>
        <v>АСУЭ.TOR.aACHR2</v>
      </c>
      <c r="B78" s="11">
        <v>7998</v>
      </c>
      <c r="C78" s="11" t="s">
        <v>6</v>
      </c>
      <c r="D78" s="20">
        <v>1</v>
      </c>
    </row>
    <row r="79" spans="1:4">
      <c r="A79" s="19" t="str">
        <f t="shared" si="8"/>
        <v>АСУЭ.TOR.aACHR2</v>
      </c>
      <c r="B79" s="11">
        <v>101</v>
      </c>
      <c r="C79" s="11" t="s">
        <v>0</v>
      </c>
      <c r="D79" s="20" t="s">
        <v>2822</v>
      </c>
    </row>
    <row r="80" spans="1:4">
      <c r="A80" s="19" t="str">
        <f t="shared" si="8"/>
        <v>АСУЭ.TOR.aACHR2</v>
      </c>
      <c r="B80" s="11">
        <v>3</v>
      </c>
      <c r="C80" s="11" t="s">
        <v>1</v>
      </c>
      <c r="D80" s="20">
        <v>192</v>
      </c>
    </row>
    <row r="81" spans="1:4">
      <c r="A81" s="19" t="str">
        <f t="shared" si="8"/>
        <v>АСУЭ.TOR.aACHR2</v>
      </c>
      <c r="B81" s="11">
        <v>2</v>
      </c>
      <c r="C81" s="11" t="s">
        <v>2</v>
      </c>
      <c r="D81" s="20" t="s">
        <v>3</v>
      </c>
    </row>
    <row r="82" spans="1:4">
      <c r="A82" s="21" t="str">
        <f t="shared" si="8"/>
        <v>АСУЭ.TOR.aACHR2</v>
      </c>
      <c r="B82" s="8">
        <v>1</v>
      </c>
      <c r="C82" s="8" t="s">
        <v>1</v>
      </c>
      <c r="D82" s="22">
        <v>11</v>
      </c>
    </row>
    <row r="83" spans="1:4">
      <c r="A83" s="156" t="str">
        <f>$R$2&amp;".aZMN1st"</f>
        <v>АСУЭ.TOR.aZMN1st</v>
      </c>
      <c r="B83" s="157">
        <v>11154</v>
      </c>
      <c r="C83" s="157" t="s">
        <v>4</v>
      </c>
      <c r="D83" s="760">
        <f>$Q$5</f>
        <v>4</v>
      </c>
    </row>
    <row r="84" spans="1:4">
      <c r="A84" s="148" t="str">
        <f t="shared" ref="A84:A92" si="9">$R$2&amp;".aZMN1st"</f>
        <v>АСУЭ.TOR.aZMN1st</v>
      </c>
      <c r="B84" s="149">
        <v>11150</v>
      </c>
      <c r="C84" s="149" t="s">
        <v>0</v>
      </c>
      <c r="D84" s="125" t="s">
        <v>2823</v>
      </c>
    </row>
    <row r="85" spans="1:4">
      <c r="A85" s="148" t="str">
        <f t="shared" si="9"/>
        <v>АСУЭ.TOR.aZMN1st</v>
      </c>
      <c r="B85" s="149">
        <v>11152</v>
      </c>
      <c r="C85" s="149" t="s">
        <v>0</v>
      </c>
      <c r="D85" s="158" t="str">
        <f>$R$5</f>
        <v>Авария</v>
      </c>
    </row>
    <row r="86" spans="1:4">
      <c r="A86" s="148" t="str">
        <f t="shared" si="9"/>
        <v>АСУЭ.TOR.aZMN1st</v>
      </c>
      <c r="B86" s="149">
        <v>11000</v>
      </c>
      <c r="C86" s="149" t="s">
        <v>5</v>
      </c>
      <c r="D86" s="125">
        <v>2147483680</v>
      </c>
    </row>
    <row r="87" spans="1:4">
      <c r="A87" s="19" t="str">
        <f t="shared" si="9"/>
        <v>АСУЭ.TOR.aZMN1st</v>
      </c>
      <c r="B87" s="11">
        <v>7999</v>
      </c>
      <c r="C87" s="11" t="s">
        <v>0</v>
      </c>
      <c r="D87" s="20" t="str">
        <f>"#"&amp;$S$2&amp;"#"&amp;$T$2&amp;"."&amp;$P$2&amp;".aZMN1st"</f>
        <v>#3#\\Setup_rza\Modbus.OPCServer\ZRU_Sepam.VV1_TOR.aZMN1st</v>
      </c>
    </row>
    <row r="88" spans="1:4">
      <c r="A88" s="19" t="str">
        <f t="shared" si="9"/>
        <v>АСУЭ.TOR.aZMN1st</v>
      </c>
      <c r="B88" s="11">
        <v>7998</v>
      </c>
      <c r="C88" s="11" t="s">
        <v>6</v>
      </c>
      <c r="D88" s="20">
        <v>1</v>
      </c>
    </row>
    <row r="89" spans="1:4">
      <c r="A89" s="19" t="str">
        <f t="shared" si="9"/>
        <v>АСУЭ.TOR.aZMN1st</v>
      </c>
      <c r="B89" s="11">
        <v>101</v>
      </c>
      <c r="C89" s="11" t="s">
        <v>0</v>
      </c>
      <c r="D89" s="20" t="s">
        <v>2823</v>
      </c>
    </row>
    <row r="90" spans="1:4">
      <c r="A90" s="19" t="str">
        <f t="shared" si="9"/>
        <v>АСУЭ.TOR.aZMN1st</v>
      </c>
      <c r="B90" s="11">
        <v>3</v>
      </c>
      <c r="C90" s="11" t="s">
        <v>1</v>
      </c>
      <c r="D90" s="20">
        <v>192</v>
      </c>
    </row>
    <row r="91" spans="1:4">
      <c r="A91" s="19" t="str">
        <f t="shared" si="9"/>
        <v>АСУЭ.TOR.aZMN1st</v>
      </c>
      <c r="B91" s="11">
        <v>2</v>
      </c>
      <c r="C91" s="11" t="s">
        <v>2</v>
      </c>
      <c r="D91" s="20" t="s">
        <v>3</v>
      </c>
    </row>
    <row r="92" spans="1:4">
      <c r="A92" s="21" t="str">
        <f t="shared" si="9"/>
        <v>АСУЭ.TOR.aZMN1st</v>
      </c>
      <c r="B92" s="8">
        <v>1</v>
      </c>
      <c r="C92" s="8" t="s">
        <v>1</v>
      </c>
      <c r="D92" s="22">
        <v>11</v>
      </c>
    </row>
    <row r="93" spans="1:4">
      <c r="A93" s="156" t="str">
        <f>$R$2&amp;".aZMN2st"</f>
        <v>АСУЭ.TOR.aZMN2st</v>
      </c>
      <c r="B93" s="157">
        <v>11154</v>
      </c>
      <c r="C93" s="157" t="s">
        <v>4</v>
      </c>
      <c r="D93" s="760">
        <f>$Q$5</f>
        <v>4</v>
      </c>
    </row>
    <row r="94" spans="1:4">
      <c r="A94" s="148" t="str">
        <f t="shared" ref="A94:A102" si="10">$R$2&amp;".aZMN2st"</f>
        <v>АСУЭ.TOR.aZMN2st</v>
      </c>
      <c r="B94" s="149">
        <v>11150</v>
      </c>
      <c r="C94" s="149" t="s">
        <v>0</v>
      </c>
      <c r="D94" s="125" t="s">
        <v>2824</v>
      </c>
    </row>
    <row r="95" spans="1:4">
      <c r="A95" s="148" t="str">
        <f t="shared" si="10"/>
        <v>АСУЭ.TOR.aZMN2st</v>
      </c>
      <c r="B95" s="149">
        <v>11152</v>
      </c>
      <c r="C95" s="149" t="s">
        <v>0</v>
      </c>
      <c r="D95" s="158" t="str">
        <f>$R$5</f>
        <v>Авария</v>
      </c>
    </row>
    <row r="96" spans="1:4">
      <c r="A96" s="148" t="str">
        <f t="shared" si="10"/>
        <v>АСУЭ.TOR.aZMN2st</v>
      </c>
      <c r="B96" s="149">
        <v>11000</v>
      </c>
      <c r="C96" s="149" t="s">
        <v>5</v>
      </c>
      <c r="D96" s="125">
        <v>2147483680</v>
      </c>
    </row>
    <row r="97" spans="1:4">
      <c r="A97" s="19" t="str">
        <f t="shared" si="10"/>
        <v>АСУЭ.TOR.aZMN2st</v>
      </c>
      <c r="B97" s="11">
        <v>7999</v>
      </c>
      <c r="C97" s="11" t="s">
        <v>0</v>
      </c>
      <c r="D97" s="20" t="str">
        <f>"#"&amp;$S$2&amp;"#"&amp;$T$2&amp;"."&amp;$P$2&amp;".aZMN2st"</f>
        <v>#3#\\Setup_rza\Modbus.OPCServer\ZRU_Sepam.VV1_TOR.aZMN2st</v>
      </c>
    </row>
    <row r="98" spans="1:4">
      <c r="A98" s="19" t="str">
        <f t="shared" si="10"/>
        <v>АСУЭ.TOR.aZMN2st</v>
      </c>
      <c r="B98" s="11">
        <v>7998</v>
      </c>
      <c r="C98" s="11" t="s">
        <v>6</v>
      </c>
      <c r="D98" s="20">
        <v>1</v>
      </c>
    </row>
    <row r="99" spans="1:4">
      <c r="A99" s="19" t="str">
        <f t="shared" si="10"/>
        <v>АСУЭ.TOR.aZMN2st</v>
      </c>
      <c r="B99" s="11">
        <v>101</v>
      </c>
      <c r="C99" s="11" t="s">
        <v>0</v>
      </c>
      <c r="D99" s="20" t="s">
        <v>2824</v>
      </c>
    </row>
    <row r="100" spans="1:4">
      <c r="A100" s="19" t="str">
        <f t="shared" si="10"/>
        <v>АСУЭ.TOR.aZMN2st</v>
      </c>
      <c r="B100" s="11">
        <v>3</v>
      </c>
      <c r="C100" s="11" t="s">
        <v>1</v>
      </c>
      <c r="D100" s="20">
        <v>192</v>
      </c>
    </row>
    <row r="101" spans="1:4">
      <c r="A101" s="19" t="str">
        <f t="shared" si="10"/>
        <v>АСУЭ.TOR.aZMN2st</v>
      </c>
      <c r="B101" s="11">
        <v>2</v>
      </c>
      <c r="C101" s="11" t="s">
        <v>2</v>
      </c>
      <c r="D101" s="20" t="s">
        <v>3</v>
      </c>
    </row>
    <row r="102" spans="1:4">
      <c r="A102" s="21" t="str">
        <f t="shared" si="10"/>
        <v>АСУЭ.TOR.aZMN2st</v>
      </c>
      <c r="B102" s="8">
        <v>1</v>
      </c>
      <c r="C102" s="8" t="s">
        <v>1</v>
      </c>
      <c r="D102" s="22">
        <v>11</v>
      </c>
    </row>
    <row r="103" spans="1:4">
      <c r="A103" s="69" t="str">
        <f>$R$2&amp;".wDGZ"</f>
        <v>АСУЭ.TOR.wDGZ</v>
      </c>
      <c r="B103" s="70">
        <v>11154</v>
      </c>
      <c r="C103" s="70" t="s">
        <v>4</v>
      </c>
      <c r="D103" s="71">
        <f>$Q$6</f>
        <v>8</v>
      </c>
    </row>
    <row r="104" spans="1:4">
      <c r="A104" s="63" t="str">
        <f t="shared" ref="A104:A112" si="11">$R$2&amp;".wDGZ"</f>
        <v>АСУЭ.TOR.wDGZ</v>
      </c>
      <c r="B104" s="64">
        <v>11152</v>
      </c>
      <c r="C104" s="64" t="s">
        <v>0</v>
      </c>
      <c r="D104" s="65" t="str">
        <f>$R$6</f>
        <v>Предупреждение</v>
      </c>
    </row>
    <row r="105" spans="1:4">
      <c r="A105" s="63" t="str">
        <f t="shared" si="11"/>
        <v>АСУЭ.TOR.wDGZ</v>
      </c>
      <c r="B105" s="64">
        <v>11150</v>
      </c>
      <c r="C105" s="64" t="s">
        <v>0</v>
      </c>
      <c r="D105" s="65" t="s">
        <v>2770</v>
      </c>
    </row>
    <row r="106" spans="1:4">
      <c r="A106" s="63" t="str">
        <f t="shared" si="11"/>
        <v>АСУЭ.TOR.wDGZ</v>
      </c>
      <c r="B106" s="64">
        <v>11000</v>
      </c>
      <c r="C106" s="64" t="s">
        <v>5</v>
      </c>
      <c r="D106" s="65">
        <v>2147483680</v>
      </c>
    </row>
    <row r="107" spans="1:4">
      <c r="A107" s="19" t="str">
        <f t="shared" si="11"/>
        <v>АСУЭ.TOR.wDGZ</v>
      </c>
      <c r="B107" s="11">
        <v>7999</v>
      </c>
      <c r="C107" s="11" t="s">
        <v>0</v>
      </c>
      <c r="D107" s="20" t="str">
        <f>"#"&amp;$S$2&amp;"#"&amp;$T$2&amp;"."&amp;$P$2&amp;".wDGZ"</f>
        <v>#3#\\Setup_rza\Modbus.OPCServer\ZRU_Sepam.VV1_TOR.wDGZ</v>
      </c>
    </row>
    <row r="108" spans="1:4">
      <c r="A108" s="19" t="str">
        <f t="shared" si="11"/>
        <v>АСУЭ.TOR.wDGZ</v>
      </c>
      <c r="B108" s="11">
        <v>7998</v>
      </c>
      <c r="C108" s="11" t="s">
        <v>6</v>
      </c>
      <c r="D108" s="20">
        <v>1</v>
      </c>
    </row>
    <row r="109" spans="1:4">
      <c r="A109" s="19" t="str">
        <f t="shared" si="11"/>
        <v>АСУЭ.TOR.wDGZ</v>
      </c>
      <c r="B109" s="11">
        <v>101</v>
      </c>
      <c r="C109" s="11" t="s">
        <v>0</v>
      </c>
      <c r="D109" s="20" t="s">
        <v>2770</v>
      </c>
    </row>
    <row r="110" spans="1:4">
      <c r="A110" s="19" t="str">
        <f t="shared" si="11"/>
        <v>АСУЭ.TOR.wDGZ</v>
      </c>
      <c r="B110" s="11">
        <v>3</v>
      </c>
      <c r="C110" s="11" t="s">
        <v>1</v>
      </c>
      <c r="D110" s="20">
        <v>192</v>
      </c>
    </row>
    <row r="111" spans="1:4">
      <c r="A111" s="19" t="str">
        <f t="shared" si="11"/>
        <v>АСУЭ.TOR.wDGZ</v>
      </c>
      <c r="B111" s="11">
        <v>2</v>
      </c>
      <c r="C111" s="11" t="s">
        <v>2</v>
      </c>
      <c r="D111" s="20" t="s">
        <v>3</v>
      </c>
    </row>
    <row r="112" spans="1:4">
      <c r="A112" s="19" t="str">
        <f t="shared" si="11"/>
        <v>АСУЭ.TOR.wDGZ</v>
      </c>
      <c r="B112" s="11">
        <v>1</v>
      </c>
      <c r="C112" s="11" t="s">
        <v>1</v>
      </c>
      <c r="D112" s="20">
        <v>11</v>
      </c>
    </row>
    <row r="113" spans="1:4">
      <c r="A113" s="69" t="str">
        <f>$R$2&amp;".wAVR_Ulow"</f>
        <v>АСУЭ.TOR.wAVR_Ulow</v>
      </c>
      <c r="B113" s="70">
        <v>11154</v>
      </c>
      <c r="C113" s="70" t="s">
        <v>4</v>
      </c>
      <c r="D113" s="71">
        <f>$Q$6</f>
        <v>8</v>
      </c>
    </row>
    <row r="114" spans="1:4">
      <c r="A114" s="63" t="str">
        <f t="shared" ref="A114:A122" si="12">$R$2&amp;".wAVR_Ulow"</f>
        <v>АСУЭ.TOR.wAVR_Ulow</v>
      </c>
      <c r="B114" s="64">
        <v>11152</v>
      </c>
      <c r="C114" s="64" t="s">
        <v>0</v>
      </c>
      <c r="D114" s="65" t="str">
        <f>$R$6</f>
        <v>Предупреждение</v>
      </c>
    </row>
    <row r="115" spans="1:4">
      <c r="A115" s="63" t="str">
        <f t="shared" si="12"/>
        <v>АСУЭ.TOR.wAVR_Ulow</v>
      </c>
      <c r="B115" s="64">
        <v>11150</v>
      </c>
      <c r="C115" s="64" t="s">
        <v>0</v>
      </c>
      <c r="D115" s="65" t="s">
        <v>2825</v>
      </c>
    </row>
    <row r="116" spans="1:4">
      <c r="A116" s="63" t="str">
        <f t="shared" si="12"/>
        <v>АСУЭ.TOR.wAVR_Ulow</v>
      </c>
      <c r="B116" s="64">
        <v>11000</v>
      </c>
      <c r="C116" s="64" t="s">
        <v>5</v>
      </c>
      <c r="D116" s="65">
        <v>2147483680</v>
      </c>
    </row>
    <row r="117" spans="1:4">
      <c r="A117" s="19" t="str">
        <f t="shared" si="12"/>
        <v>АСУЭ.TOR.wAVR_Ulow</v>
      </c>
      <c r="B117" s="11">
        <v>7999</v>
      </c>
      <c r="C117" s="11" t="s">
        <v>0</v>
      </c>
      <c r="D117" s="20" t="str">
        <f>"#"&amp;$S$2&amp;"#"&amp;$T$2&amp;"."&amp;$P$2&amp;".wAVR_Ulow"</f>
        <v>#3#\\Setup_rza\Modbus.OPCServer\ZRU_Sepam.VV1_TOR.wAVR_Ulow</v>
      </c>
    </row>
    <row r="118" spans="1:4">
      <c r="A118" s="19" t="str">
        <f t="shared" si="12"/>
        <v>АСУЭ.TOR.wAVR_Ulow</v>
      </c>
      <c r="B118" s="11">
        <v>7998</v>
      </c>
      <c r="C118" s="11" t="s">
        <v>6</v>
      </c>
      <c r="D118" s="20">
        <v>1</v>
      </c>
    </row>
    <row r="119" spans="1:4">
      <c r="A119" s="19" t="str">
        <f t="shared" si="12"/>
        <v>АСУЭ.TOR.wAVR_Ulow</v>
      </c>
      <c r="B119" s="11">
        <v>101</v>
      </c>
      <c r="C119" s="11" t="s">
        <v>0</v>
      </c>
      <c r="D119" s="20" t="s">
        <v>2825</v>
      </c>
    </row>
    <row r="120" spans="1:4">
      <c r="A120" s="19" t="str">
        <f t="shared" si="12"/>
        <v>АСУЭ.TOR.wAVR_Ulow</v>
      </c>
      <c r="B120" s="11">
        <v>3</v>
      </c>
      <c r="C120" s="11" t="s">
        <v>1</v>
      </c>
      <c r="D120" s="20">
        <v>192</v>
      </c>
    </row>
    <row r="121" spans="1:4">
      <c r="A121" s="19" t="str">
        <f t="shared" si="12"/>
        <v>АСУЭ.TOR.wAVR_Ulow</v>
      </c>
      <c r="B121" s="11">
        <v>2</v>
      </c>
      <c r="C121" s="11" t="s">
        <v>2</v>
      </c>
      <c r="D121" s="20" t="s">
        <v>3</v>
      </c>
    </row>
    <row r="122" spans="1:4">
      <c r="A122" s="19" t="str">
        <f t="shared" si="12"/>
        <v>АСУЭ.TOR.wAVR_Ulow</v>
      </c>
      <c r="B122" s="11">
        <v>1</v>
      </c>
      <c r="C122" s="11" t="s">
        <v>1</v>
      </c>
      <c r="D122" s="20">
        <v>11</v>
      </c>
    </row>
    <row r="123" spans="1:4">
      <c r="A123" s="69" t="str">
        <f>$R$2&amp;".wTN_Flt"</f>
        <v>АСУЭ.TOR.wTN_Flt</v>
      </c>
      <c r="B123" s="70">
        <v>11154</v>
      </c>
      <c r="C123" s="70" t="s">
        <v>4</v>
      </c>
      <c r="D123" s="71">
        <f>$Q$6</f>
        <v>8</v>
      </c>
    </row>
    <row r="124" spans="1:4">
      <c r="A124" s="63" t="str">
        <f t="shared" ref="A124:A132" si="13">$R$2&amp;".wTN_Flt"</f>
        <v>АСУЭ.TOR.wTN_Flt</v>
      </c>
      <c r="B124" s="64">
        <v>11152</v>
      </c>
      <c r="C124" s="64" t="s">
        <v>0</v>
      </c>
      <c r="D124" s="65" t="str">
        <f>$R$6</f>
        <v>Предупреждение</v>
      </c>
    </row>
    <row r="125" spans="1:4">
      <c r="A125" s="63" t="str">
        <f t="shared" si="13"/>
        <v>АСУЭ.TOR.wTN_Flt</v>
      </c>
      <c r="B125" s="64">
        <v>11150</v>
      </c>
      <c r="C125" s="64" t="s">
        <v>0</v>
      </c>
      <c r="D125" s="65" t="s">
        <v>2804</v>
      </c>
    </row>
    <row r="126" spans="1:4">
      <c r="A126" s="63" t="str">
        <f t="shared" si="13"/>
        <v>АСУЭ.TOR.wTN_Flt</v>
      </c>
      <c r="B126" s="64">
        <v>11000</v>
      </c>
      <c r="C126" s="64" t="s">
        <v>5</v>
      </c>
      <c r="D126" s="65">
        <v>2147483680</v>
      </c>
    </row>
    <row r="127" spans="1:4">
      <c r="A127" s="19" t="str">
        <f t="shared" si="13"/>
        <v>АСУЭ.TOR.wTN_Flt</v>
      </c>
      <c r="B127" s="11">
        <v>7999</v>
      </c>
      <c r="C127" s="11" t="s">
        <v>0</v>
      </c>
      <c r="D127" s="20" t="str">
        <f>"#"&amp;$S$2&amp;"#"&amp;$T$2&amp;"."&amp;$P$2&amp;".wTN_Flt"</f>
        <v>#3#\\Setup_rza\Modbus.OPCServer\ZRU_Sepam.VV1_TOR.wTN_Flt</v>
      </c>
    </row>
    <row r="128" spans="1:4">
      <c r="A128" s="19" t="str">
        <f t="shared" si="13"/>
        <v>АСУЭ.TOR.wTN_Flt</v>
      </c>
      <c r="B128" s="11">
        <v>7998</v>
      </c>
      <c r="C128" s="11" t="s">
        <v>6</v>
      </c>
      <c r="D128" s="20">
        <v>1</v>
      </c>
    </row>
    <row r="129" spans="1:16">
      <c r="A129" s="19" t="str">
        <f t="shared" si="13"/>
        <v>АСУЭ.TOR.wTN_Flt</v>
      </c>
      <c r="B129" s="11">
        <v>101</v>
      </c>
      <c r="C129" s="11" t="s">
        <v>0</v>
      </c>
      <c r="D129" s="20" t="s">
        <v>2804</v>
      </c>
    </row>
    <row r="130" spans="1:16">
      <c r="A130" s="19" t="str">
        <f t="shared" si="13"/>
        <v>АСУЭ.TOR.wTN_Flt</v>
      </c>
      <c r="B130" s="11">
        <v>3</v>
      </c>
      <c r="C130" s="11" t="s">
        <v>1</v>
      </c>
      <c r="D130" s="20">
        <v>192</v>
      </c>
    </row>
    <row r="131" spans="1:16">
      <c r="A131" s="19" t="str">
        <f t="shared" si="13"/>
        <v>АСУЭ.TOR.wTN_Flt</v>
      </c>
      <c r="B131" s="11">
        <v>2</v>
      </c>
      <c r="C131" s="11" t="s">
        <v>2</v>
      </c>
      <c r="D131" s="20" t="s">
        <v>3</v>
      </c>
    </row>
    <row r="132" spans="1:16">
      <c r="A132" s="19" t="str">
        <f t="shared" si="13"/>
        <v>АСУЭ.TOR.wTN_Flt</v>
      </c>
      <c r="B132" s="11">
        <v>1</v>
      </c>
      <c r="C132" s="11" t="s">
        <v>1</v>
      </c>
      <c r="D132" s="20">
        <v>11</v>
      </c>
    </row>
    <row r="133" spans="1:16">
      <c r="A133" s="69" t="str">
        <f>$R$2&amp;".wAVR_U2high"</f>
        <v>АСУЭ.TOR.wAVR_U2high</v>
      </c>
      <c r="B133" s="70">
        <v>11154</v>
      </c>
      <c r="C133" s="70" t="s">
        <v>4</v>
      </c>
      <c r="D133" s="71">
        <f>$Q$6</f>
        <v>8</v>
      </c>
    </row>
    <row r="134" spans="1:16">
      <c r="A134" s="63" t="str">
        <f t="shared" ref="A134:A142" si="14">$R$2&amp;".wAVR_U2high"</f>
        <v>АСУЭ.TOR.wAVR_U2high</v>
      </c>
      <c r="B134" s="64">
        <v>11152</v>
      </c>
      <c r="C134" s="64" t="s">
        <v>0</v>
      </c>
      <c r="D134" s="65" t="str">
        <f>$R$6</f>
        <v>Предупреждение</v>
      </c>
    </row>
    <row r="135" spans="1:16">
      <c r="A135" s="63" t="str">
        <f t="shared" si="14"/>
        <v>АСУЭ.TOR.wAVR_U2high</v>
      </c>
      <c r="B135" s="64">
        <v>11150</v>
      </c>
      <c r="C135" s="64" t="s">
        <v>0</v>
      </c>
      <c r="D135" s="65" t="s">
        <v>2826</v>
      </c>
    </row>
    <row r="136" spans="1:16">
      <c r="A136" s="63" t="str">
        <f t="shared" si="14"/>
        <v>АСУЭ.TOR.wAVR_U2high</v>
      </c>
      <c r="B136" s="64">
        <v>11000</v>
      </c>
      <c r="C136" s="64" t="s">
        <v>5</v>
      </c>
      <c r="D136" s="65">
        <v>2147483680</v>
      </c>
    </row>
    <row r="137" spans="1:16">
      <c r="A137" s="19" t="str">
        <f t="shared" si="14"/>
        <v>АСУЭ.TOR.wAVR_U2high</v>
      </c>
      <c r="B137" s="11">
        <v>7999</v>
      </c>
      <c r="C137" s="11" t="s">
        <v>0</v>
      </c>
      <c r="D137" s="20" t="str">
        <f>"#"&amp;$S$2&amp;"#"&amp;$T$2&amp;"."&amp;$P$2&amp;".wAVR_U2high"</f>
        <v>#3#\\Setup_rza\Modbus.OPCServer\ZRU_Sepam.VV1_TOR.wAVR_U2high</v>
      </c>
    </row>
    <row r="138" spans="1:16">
      <c r="A138" s="19" t="str">
        <f t="shared" si="14"/>
        <v>АСУЭ.TOR.wAVR_U2high</v>
      </c>
      <c r="B138" s="11">
        <v>7998</v>
      </c>
      <c r="C138" s="11" t="s">
        <v>6</v>
      </c>
      <c r="D138" s="20">
        <v>1</v>
      </c>
    </row>
    <row r="139" spans="1:16">
      <c r="A139" s="19" t="str">
        <f t="shared" si="14"/>
        <v>АСУЭ.TOR.wAVR_U2high</v>
      </c>
      <c r="B139" s="11">
        <v>101</v>
      </c>
      <c r="C139" s="11" t="s">
        <v>0</v>
      </c>
      <c r="D139" s="20" t="s">
        <v>2826</v>
      </c>
    </row>
    <row r="140" spans="1:16">
      <c r="A140" s="19" t="str">
        <f t="shared" si="14"/>
        <v>АСУЭ.TOR.wAVR_U2high</v>
      </c>
      <c r="B140" s="11">
        <v>3</v>
      </c>
      <c r="C140" s="11" t="s">
        <v>1</v>
      </c>
      <c r="D140" s="20">
        <v>192</v>
      </c>
    </row>
    <row r="141" spans="1:16">
      <c r="A141" s="19" t="str">
        <f t="shared" si="14"/>
        <v>АСУЭ.TOR.wAVR_U2high</v>
      </c>
      <c r="B141" s="11">
        <v>2</v>
      </c>
      <c r="C141" s="11" t="s">
        <v>2</v>
      </c>
      <c r="D141" s="20" t="s">
        <v>3</v>
      </c>
    </row>
    <row r="142" spans="1:16">
      <c r="A142" s="19" t="str">
        <f t="shared" si="14"/>
        <v>АСУЭ.TOR.wAVR_U2high</v>
      </c>
      <c r="B142" s="11">
        <v>1</v>
      </c>
      <c r="C142" s="11" t="s">
        <v>1</v>
      </c>
      <c r="D142" s="20">
        <v>11</v>
      </c>
    </row>
    <row r="143" spans="1:16">
      <c r="A143" s="69" t="str">
        <f>$R$2&amp;".wWarning_alrm"</f>
        <v>АСУЭ.TOR.wWarning_alrm</v>
      </c>
      <c r="B143" s="70">
        <v>11154</v>
      </c>
      <c r="C143" s="70" t="s">
        <v>4</v>
      </c>
      <c r="D143" s="71">
        <f>$Q$6</f>
        <v>8</v>
      </c>
      <c r="P143" s="4"/>
    </row>
    <row r="144" spans="1:16">
      <c r="A144" s="63" t="str">
        <f t="shared" ref="A144:A152" si="15">$R$2&amp;".wWarning_alrm"</f>
        <v>АСУЭ.TOR.wWarning_alrm</v>
      </c>
      <c r="B144" s="64">
        <v>11152</v>
      </c>
      <c r="C144" s="64" t="s">
        <v>0</v>
      </c>
      <c r="D144" s="65" t="str">
        <f>$R$6</f>
        <v>Предупреждение</v>
      </c>
      <c r="P144" s="4"/>
    </row>
    <row r="145" spans="1:16">
      <c r="A145" s="63" t="str">
        <f t="shared" si="15"/>
        <v>АСУЭ.TOR.wWarning_alrm</v>
      </c>
      <c r="B145" s="64">
        <v>11150</v>
      </c>
      <c r="C145" s="64" t="s">
        <v>0</v>
      </c>
      <c r="D145" s="65" t="s">
        <v>2827</v>
      </c>
      <c r="P145" s="4"/>
    </row>
    <row r="146" spans="1:16">
      <c r="A146" s="63" t="str">
        <f t="shared" si="15"/>
        <v>АСУЭ.TOR.wWarning_alrm</v>
      </c>
      <c r="B146" s="64">
        <v>11000</v>
      </c>
      <c r="C146" s="64" t="s">
        <v>5</v>
      </c>
      <c r="D146" s="65">
        <v>2147483680</v>
      </c>
      <c r="P146" s="4"/>
    </row>
    <row r="147" spans="1:16">
      <c r="A147" s="19" t="str">
        <f t="shared" si="15"/>
        <v>АСУЭ.TOR.wWarning_alrm</v>
      </c>
      <c r="B147" s="11">
        <v>7999</v>
      </c>
      <c r="C147" s="11" t="s">
        <v>0</v>
      </c>
      <c r="D147" s="20" t="str">
        <f>"#"&amp;$S$2&amp;"#"&amp;$T$2&amp;"."&amp;$P$2&amp;".wWarning_alrm"</f>
        <v>#3#\\Setup_rza\Modbus.OPCServer\ZRU_Sepam.VV1_TOR.wWarning_alrm</v>
      </c>
      <c r="P147" s="4"/>
    </row>
    <row r="148" spans="1:16" ht="15" customHeight="1">
      <c r="A148" s="19" t="str">
        <f t="shared" si="15"/>
        <v>АСУЭ.TOR.wWarning_alrm</v>
      </c>
      <c r="B148" s="11">
        <v>7998</v>
      </c>
      <c r="C148" s="11" t="s">
        <v>6</v>
      </c>
      <c r="D148" s="20">
        <v>1</v>
      </c>
      <c r="P148" s="4"/>
    </row>
    <row r="149" spans="1:16">
      <c r="A149" s="19" t="str">
        <f t="shared" si="15"/>
        <v>АСУЭ.TOR.wWarning_alrm</v>
      </c>
      <c r="B149" s="11">
        <v>101</v>
      </c>
      <c r="C149" s="11" t="s">
        <v>0</v>
      </c>
      <c r="D149" s="20" t="s">
        <v>2827</v>
      </c>
      <c r="P149" s="4"/>
    </row>
    <row r="150" spans="1:16">
      <c r="A150" s="19" t="str">
        <f t="shared" si="15"/>
        <v>АСУЭ.TOR.wWarning_alrm</v>
      </c>
      <c r="B150" s="11">
        <v>3</v>
      </c>
      <c r="C150" s="11" t="s">
        <v>1</v>
      </c>
      <c r="D150" s="20">
        <v>192</v>
      </c>
      <c r="P150" s="4"/>
    </row>
    <row r="151" spans="1:16">
      <c r="A151" s="19" t="str">
        <f t="shared" si="15"/>
        <v>АСУЭ.TOR.wWarning_alrm</v>
      </c>
      <c r="B151" s="11">
        <v>2</v>
      </c>
      <c r="C151" s="11" t="s">
        <v>2</v>
      </c>
      <c r="D151" s="20" t="s">
        <v>3</v>
      </c>
      <c r="P151" s="4"/>
    </row>
    <row r="152" spans="1:16">
      <c r="A152" s="19" t="str">
        <f t="shared" si="15"/>
        <v>АСУЭ.TOR.wWarning_alrm</v>
      </c>
      <c r="B152" s="11">
        <v>1</v>
      </c>
      <c r="C152" s="11" t="s">
        <v>1</v>
      </c>
      <c r="D152" s="20">
        <v>11</v>
      </c>
      <c r="P152" s="4"/>
    </row>
    <row r="153" spans="1:16">
      <c r="A153" s="217" t="str">
        <f>$R$2&amp;".NotConnected"</f>
        <v>АСУЭ.TOR.NotConnected</v>
      </c>
      <c r="B153" s="218">
        <v>11154</v>
      </c>
      <c r="C153" s="218" t="s">
        <v>4</v>
      </c>
      <c r="D153" s="231">
        <f>$Q$7</f>
        <v>12</v>
      </c>
    </row>
    <row r="154" spans="1:16">
      <c r="A154" s="211" t="str">
        <f t="shared" ref="A154:A162" si="16">$R$2&amp;".NotConnected"</f>
        <v>АСУЭ.TOR.NotConnected</v>
      </c>
      <c r="B154" s="212">
        <v>11152</v>
      </c>
      <c r="C154" s="212" t="s">
        <v>0</v>
      </c>
      <c r="D154" s="213" t="str">
        <f>$R$7</f>
        <v>Неисправность</v>
      </c>
    </row>
    <row r="155" spans="1:16">
      <c r="A155" s="211" t="str">
        <f t="shared" si="16"/>
        <v>АСУЭ.TOR.NotConnected</v>
      </c>
      <c r="B155" s="212">
        <v>11150</v>
      </c>
      <c r="C155" s="212" t="s">
        <v>0</v>
      </c>
      <c r="D155" s="213" t="s">
        <v>448</v>
      </c>
    </row>
    <row r="156" spans="1:16">
      <c r="A156" s="211" t="str">
        <f t="shared" si="16"/>
        <v>АСУЭ.TOR.NotConnected</v>
      </c>
      <c r="B156" s="212">
        <v>11000</v>
      </c>
      <c r="C156" s="212" t="s">
        <v>5</v>
      </c>
      <c r="D156" s="213">
        <v>2147483680</v>
      </c>
    </row>
    <row r="157" spans="1:16">
      <c r="A157" s="19" t="str">
        <f t="shared" si="16"/>
        <v>АСУЭ.TOR.NotConnected</v>
      </c>
      <c r="B157" s="11">
        <v>7999</v>
      </c>
      <c r="C157" s="11" t="s">
        <v>0</v>
      </c>
      <c r="D157" s="20" t="str">
        <f>"#"&amp;$S$2&amp;"#"&amp;$T$2&amp;"."&amp;$P$2&amp;".NotConnected"</f>
        <v>#3#\\Setup_rza\Modbus.OPCServer\ZRU_Sepam.VV1_TOR.NotConnected</v>
      </c>
    </row>
    <row r="158" spans="1:16">
      <c r="A158" s="19" t="str">
        <f t="shared" si="16"/>
        <v>АСУЭ.TOR.NotConnected</v>
      </c>
      <c r="B158" s="11">
        <v>7998</v>
      </c>
      <c r="C158" s="11" t="s">
        <v>6</v>
      </c>
      <c r="D158" s="20">
        <v>1</v>
      </c>
    </row>
    <row r="159" spans="1:16">
      <c r="A159" s="19" t="str">
        <f t="shared" si="16"/>
        <v>АСУЭ.TOR.NotConnected</v>
      </c>
      <c r="B159" s="11">
        <v>101</v>
      </c>
      <c r="C159" s="11" t="s">
        <v>0</v>
      </c>
      <c r="D159" s="20" t="s">
        <v>448</v>
      </c>
    </row>
    <row r="160" spans="1:16">
      <c r="A160" s="19" t="str">
        <f t="shared" si="16"/>
        <v>АСУЭ.TOR.NotConnected</v>
      </c>
      <c r="B160" s="11">
        <v>3</v>
      </c>
      <c r="C160" s="11" t="s">
        <v>1</v>
      </c>
      <c r="D160" s="20">
        <v>192</v>
      </c>
    </row>
    <row r="161" spans="1:4">
      <c r="A161" s="19" t="str">
        <f t="shared" si="16"/>
        <v>АСУЭ.TOR.NotConnected</v>
      </c>
      <c r="B161" s="11">
        <v>2</v>
      </c>
      <c r="C161" s="11" t="s">
        <v>2</v>
      </c>
      <c r="D161" s="20" t="s">
        <v>3</v>
      </c>
    </row>
    <row r="162" spans="1:4" ht="15.75" customHeight="1">
      <c r="A162" s="21" t="str">
        <f t="shared" si="16"/>
        <v>АСУЭ.TOR.NotConnected</v>
      </c>
      <c r="B162" s="8">
        <v>1</v>
      </c>
      <c r="C162" s="8" t="s">
        <v>1</v>
      </c>
      <c r="D162" s="22">
        <v>11</v>
      </c>
    </row>
    <row r="163" spans="1:4">
      <c r="A163" s="211" t="str">
        <f t="shared" ref="A163:A169" si="17">$R$2&amp;".wDbl"</f>
        <v>АСУЭ.TOR.wDbl</v>
      </c>
      <c r="B163" s="212">
        <v>11154</v>
      </c>
      <c r="C163" s="212" t="s">
        <v>4</v>
      </c>
      <c r="D163" s="213">
        <f>$Q$7</f>
        <v>12</v>
      </c>
    </row>
    <row r="164" spans="1:4">
      <c r="A164" s="211" t="str">
        <f t="shared" si="17"/>
        <v>АСУЭ.TOR.wDbl</v>
      </c>
      <c r="B164" s="212">
        <v>11152</v>
      </c>
      <c r="C164" s="212" t="s">
        <v>0</v>
      </c>
      <c r="D164" s="213" t="str">
        <f>$R$7</f>
        <v>Неисправность</v>
      </c>
    </row>
    <row r="165" spans="1:4">
      <c r="A165" s="211" t="str">
        <f t="shared" si="17"/>
        <v>АСУЭ.TOR.wDbl</v>
      </c>
      <c r="B165" s="212">
        <v>11150</v>
      </c>
      <c r="C165" s="212" t="s">
        <v>0</v>
      </c>
      <c r="D165" s="213" t="s">
        <v>341</v>
      </c>
    </row>
    <row r="166" spans="1:4">
      <c r="A166" s="211" t="str">
        <f t="shared" si="17"/>
        <v>АСУЭ.TOR.wDbl</v>
      </c>
      <c r="B166" s="212">
        <v>11000</v>
      </c>
      <c r="C166" s="212" t="s">
        <v>5</v>
      </c>
      <c r="D166" s="213">
        <v>2147483680</v>
      </c>
    </row>
    <row r="167" spans="1:4">
      <c r="A167" s="19" t="str">
        <f t="shared" si="17"/>
        <v>АСУЭ.TOR.wDbl</v>
      </c>
      <c r="B167" s="11">
        <v>3</v>
      </c>
      <c r="C167" s="11" t="s">
        <v>1</v>
      </c>
      <c r="D167" s="20">
        <v>192</v>
      </c>
    </row>
    <row r="168" spans="1:4">
      <c r="A168" s="19" t="str">
        <f t="shared" si="17"/>
        <v>АСУЭ.TOR.wDbl</v>
      </c>
      <c r="B168" s="11">
        <v>2</v>
      </c>
      <c r="C168" s="11" t="s">
        <v>2</v>
      </c>
      <c r="D168" s="20" t="s">
        <v>3</v>
      </c>
    </row>
    <row r="169" spans="1:4">
      <c r="A169" s="21" t="str">
        <f t="shared" si="17"/>
        <v>АСУЭ.TOR.wDbl</v>
      </c>
      <c r="B169" s="8">
        <v>1</v>
      </c>
      <c r="C169" s="8" t="s">
        <v>1</v>
      </c>
      <c r="D169" s="22">
        <v>11</v>
      </c>
    </row>
    <row r="170" spans="1:4">
      <c r="A170" s="211" t="str">
        <f t="shared" ref="A170:A176" si="18">$R$2&amp;".wUnkw"</f>
        <v>АСУЭ.TOR.wUnkw</v>
      </c>
      <c r="B170" s="212">
        <v>11154</v>
      </c>
      <c r="C170" s="212" t="s">
        <v>4</v>
      </c>
      <c r="D170" s="213">
        <f>$Q$7</f>
        <v>12</v>
      </c>
    </row>
    <row r="171" spans="1:4">
      <c r="A171" s="211" t="str">
        <f t="shared" si="18"/>
        <v>АСУЭ.TOR.wUnkw</v>
      </c>
      <c r="B171" s="212">
        <v>11152</v>
      </c>
      <c r="C171" s="212" t="s">
        <v>0</v>
      </c>
      <c r="D171" s="213" t="str">
        <f>$R$7</f>
        <v>Неисправность</v>
      </c>
    </row>
    <row r="172" spans="1:4">
      <c r="A172" s="211" t="str">
        <f t="shared" si="18"/>
        <v>АСУЭ.TOR.wUnkw</v>
      </c>
      <c r="B172" s="212">
        <v>11150</v>
      </c>
      <c r="C172" s="212" t="s">
        <v>0</v>
      </c>
      <c r="D172" s="213" t="s">
        <v>342</v>
      </c>
    </row>
    <row r="173" spans="1:4">
      <c r="A173" s="211" t="str">
        <f t="shared" si="18"/>
        <v>АСУЭ.TOR.wUnkw</v>
      </c>
      <c r="B173" s="212">
        <v>11000</v>
      </c>
      <c r="C173" s="212" t="s">
        <v>5</v>
      </c>
      <c r="D173" s="213">
        <v>2147483680</v>
      </c>
    </row>
    <row r="174" spans="1:4">
      <c r="A174" s="19" t="str">
        <f t="shared" si="18"/>
        <v>АСУЭ.TOR.wUnkw</v>
      </c>
      <c r="B174" s="11">
        <v>3</v>
      </c>
      <c r="C174" s="11" t="s">
        <v>1</v>
      </c>
      <c r="D174" s="20">
        <v>192</v>
      </c>
    </row>
    <row r="175" spans="1:4">
      <c r="A175" s="19" t="str">
        <f t="shared" si="18"/>
        <v>АСУЭ.TOR.wUnkw</v>
      </c>
      <c r="B175" s="11">
        <v>2</v>
      </c>
      <c r="C175" s="11" t="s">
        <v>2</v>
      </c>
      <c r="D175" s="20" t="s">
        <v>3</v>
      </c>
    </row>
    <row r="176" spans="1:4">
      <c r="A176" s="21" t="str">
        <f t="shared" si="18"/>
        <v>АСУЭ.TOR.wUnkw</v>
      </c>
      <c r="B176" s="8">
        <v>1</v>
      </c>
      <c r="C176" s="8" t="s">
        <v>1</v>
      </c>
      <c r="D176" s="22">
        <v>11</v>
      </c>
    </row>
    <row r="177" spans="1:4">
      <c r="A177" s="100" t="str">
        <f>$R$2&amp;".stACHR_off"</f>
        <v>АСУЭ.TOR.stACHR_off</v>
      </c>
      <c r="B177" s="101">
        <v>11154</v>
      </c>
      <c r="C177" s="101" t="s">
        <v>4</v>
      </c>
      <c r="D177" s="102">
        <f>$Q$8</f>
        <v>18</v>
      </c>
    </row>
    <row r="178" spans="1:4">
      <c r="A178" s="100" t="str">
        <f t="shared" ref="A178:A186" si="19">$R$2&amp;".stACHR_off"</f>
        <v>АСУЭ.TOR.stACHR_off</v>
      </c>
      <c r="B178" s="101">
        <v>11150</v>
      </c>
      <c r="C178" s="101" t="s">
        <v>0</v>
      </c>
      <c r="D178" s="103" t="s">
        <v>2828</v>
      </c>
    </row>
    <row r="179" spans="1:4">
      <c r="A179" s="100" t="str">
        <f t="shared" si="19"/>
        <v>АСУЭ.TOR.stACHR_off</v>
      </c>
      <c r="B179" s="101">
        <v>11152</v>
      </c>
      <c r="C179" s="101" t="s">
        <v>0</v>
      </c>
      <c r="D179" s="104" t="str">
        <f>$R$8</f>
        <v>Телесигнализация</v>
      </c>
    </row>
    <row r="180" spans="1:4">
      <c r="A180" s="100" t="str">
        <f t="shared" si="19"/>
        <v>АСУЭ.TOR.stACHR_off</v>
      </c>
      <c r="B180" s="101">
        <v>11000</v>
      </c>
      <c r="C180" s="101" t="s">
        <v>5</v>
      </c>
      <c r="D180" s="103">
        <v>2147483680</v>
      </c>
    </row>
    <row r="181" spans="1:4">
      <c r="A181" s="19" t="str">
        <f t="shared" si="19"/>
        <v>АСУЭ.TOR.stACHR_off</v>
      </c>
      <c r="B181" s="11">
        <v>7999</v>
      </c>
      <c r="C181" s="11" t="s">
        <v>0</v>
      </c>
      <c r="D181" s="20" t="str">
        <f>"#"&amp;$S$2&amp;"#"&amp;$T$2&amp;"."&amp;$P$2&amp;".stACHR_off"</f>
        <v>#3#\\Setup_rza\Modbus.OPCServer\ZRU_Sepam.VV1_TOR.stACHR_off</v>
      </c>
    </row>
    <row r="182" spans="1:4">
      <c r="A182" s="19" t="str">
        <f t="shared" si="19"/>
        <v>АСУЭ.TOR.stACHR_off</v>
      </c>
      <c r="B182" s="11">
        <v>7998</v>
      </c>
      <c r="C182" s="11" t="s">
        <v>6</v>
      </c>
      <c r="D182" s="20">
        <v>1</v>
      </c>
    </row>
    <row r="183" spans="1:4">
      <c r="A183" s="19" t="str">
        <f t="shared" si="19"/>
        <v>АСУЭ.TOR.stACHR_off</v>
      </c>
      <c r="B183" s="11">
        <v>101</v>
      </c>
      <c r="C183" s="11" t="s">
        <v>0</v>
      </c>
      <c r="D183" s="20" t="s">
        <v>2828</v>
      </c>
    </row>
    <row r="184" spans="1:4">
      <c r="A184" s="19" t="str">
        <f t="shared" si="19"/>
        <v>АСУЭ.TOR.stACHR_off</v>
      </c>
      <c r="B184" s="11">
        <v>3</v>
      </c>
      <c r="C184" s="11" t="s">
        <v>1</v>
      </c>
      <c r="D184" s="20">
        <v>192</v>
      </c>
    </row>
    <row r="185" spans="1:4">
      <c r="A185" s="19" t="str">
        <f t="shared" si="19"/>
        <v>АСУЭ.TOR.stACHR_off</v>
      </c>
      <c r="B185" s="11">
        <v>2</v>
      </c>
      <c r="C185" s="11" t="s">
        <v>2</v>
      </c>
      <c r="D185" s="20" t="s">
        <v>3</v>
      </c>
    </row>
    <row r="186" spans="1:4">
      <c r="A186" s="21" t="str">
        <f t="shared" si="19"/>
        <v>АСУЭ.TOR.stACHR_off</v>
      </c>
      <c r="B186" s="8">
        <v>1</v>
      </c>
      <c r="C186" s="8" t="s">
        <v>1</v>
      </c>
      <c r="D186" s="22">
        <v>11</v>
      </c>
    </row>
    <row r="187" spans="1:4">
      <c r="A187" s="100" t="str">
        <f>$R$2&amp;".stVV_SV_off"</f>
        <v>АСУЭ.TOR.stVV_SV_off</v>
      </c>
      <c r="B187" s="101">
        <v>11154</v>
      </c>
      <c r="C187" s="101" t="s">
        <v>4</v>
      </c>
      <c r="D187" s="102">
        <f>$Q$8</f>
        <v>18</v>
      </c>
    </row>
    <row r="188" spans="1:4">
      <c r="A188" s="100" t="str">
        <f t="shared" ref="A188:A196" si="20">$R$2&amp;".stVV_SV_off"</f>
        <v>АСУЭ.TOR.stVV_SV_off</v>
      </c>
      <c r="B188" s="101">
        <v>11150</v>
      </c>
      <c r="C188" s="101" t="s">
        <v>0</v>
      </c>
      <c r="D188" s="103" t="s">
        <v>2829</v>
      </c>
    </row>
    <row r="189" spans="1:4">
      <c r="A189" s="100" t="str">
        <f t="shared" si="20"/>
        <v>АСУЭ.TOR.stVV_SV_off</v>
      </c>
      <c r="B189" s="101">
        <v>11152</v>
      </c>
      <c r="C189" s="101" t="s">
        <v>0</v>
      </c>
      <c r="D189" s="104" t="str">
        <f>$R$8</f>
        <v>Телесигнализация</v>
      </c>
    </row>
    <row r="190" spans="1:4">
      <c r="A190" s="100" t="str">
        <f t="shared" si="20"/>
        <v>АСУЭ.TOR.stVV_SV_off</v>
      </c>
      <c r="B190" s="101">
        <v>11000</v>
      </c>
      <c r="C190" s="101" t="s">
        <v>5</v>
      </c>
      <c r="D190" s="103">
        <v>2147483680</v>
      </c>
    </row>
    <row r="191" spans="1:4">
      <c r="A191" s="19" t="str">
        <f t="shared" si="20"/>
        <v>АСУЭ.TOR.stVV_SV_off</v>
      </c>
      <c r="B191" s="11">
        <v>7999</v>
      </c>
      <c r="C191" s="11" t="s">
        <v>0</v>
      </c>
      <c r="D191" s="20" t="str">
        <f>"#"&amp;$S$2&amp;"#"&amp;$T$2&amp;"."&amp;$P$2&amp;".stVV_SV_off"</f>
        <v>#3#\\Setup_rza\Modbus.OPCServer\ZRU_Sepam.VV1_TOR.stVV_SV_off</v>
      </c>
    </row>
    <row r="192" spans="1:4">
      <c r="A192" s="19" t="str">
        <f t="shared" si="20"/>
        <v>АСУЭ.TOR.stVV_SV_off</v>
      </c>
      <c r="B192" s="11">
        <v>7998</v>
      </c>
      <c r="C192" s="11" t="s">
        <v>6</v>
      </c>
      <c r="D192" s="20">
        <v>1</v>
      </c>
    </row>
    <row r="193" spans="1:4">
      <c r="A193" s="19" t="str">
        <f t="shared" si="20"/>
        <v>АСУЭ.TOR.stVV_SV_off</v>
      </c>
      <c r="B193" s="11">
        <v>101</v>
      </c>
      <c r="C193" s="11" t="s">
        <v>0</v>
      </c>
      <c r="D193" s="20" t="s">
        <v>2829</v>
      </c>
    </row>
    <row r="194" spans="1:4">
      <c r="A194" s="19" t="str">
        <f t="shared" si="20"/>
        <v>АСУЭ.TOR.stVV_SV_off</v>
      </c>
      <c r="B194" s="11">
        <v>3</v>
      </c>
      <c r="C194" s="11" t="s">
        <v>1</v>
      </c>
      <c r="D194" s="20">
        <v>192</v>
      </c>
    </row>
    <row r="195" spans="1:4">
      <c r="A195" s="19" t="str">
        <f t="shared" si="20"/>
        <v>АСУЭ.TOR.stVV_SV_off</v>
      </c>
      <c r="B195" s="11">
        <v>2</v>
      </c>
      <c r="C195" s="11" t="s">
        <v>2</v>
      </c>
      <c r="D195" s="20" t="s">
        <v>3</v>
      </c>
    </row>
    <row r="196" spans="1:4">
      <c r="A196" s="21" t="str">
        <f t="shared" si="20"/>
        <v>АСУЭ.TOR.stVV_SV_off</v>
      </c>
      <c r="B196" s="8">
        <v>1</v>
      </c>
      <c r="C196" s="8" t="s">
        <v>1</v>
      </c>
      <c r="D196" s="22">
        <v>11</v>
      </c>
    </row>
    <row r="197" spans="1:4">
      <c r="A197" s="100" t="str">
        <f>$R$2&amp;".stUvv_ssh"</f>
        <v>АСУЭ.TOR.stUvv_ssh</v>
      </c>
      <c r="B197" s="101">
        <v>11154</v>
      </c>
      <c r="C197" s="101" t="s">
        <v>4</v>
      </c>
      <c r="D197" s="102">
        <f>$Q$8</f>
        <v>18</v>
      </c>
    </row>
    <row r="198" spans="1:4">
      <c r="A198" s="100" t="str">
        <f t="shared" ref="A198:A206" si="21">$R$2&amp;".stUvv_ssh"</f>
        <v>АСУЭ.TOR.stUvv_ssh</v>
      </c>
      <c r="B198" s="101">
        <v>11150</v>
      </c>
      <c r="C198" s="101" t="s">
        <v>0</v>
      </c>
      <c r="D198" s="103" t="s">
        <v>2830</v>
      </c>
    </row>
    <row r="199" spans="1:4">
      <c r="A199" s="100" t="str">
        <f t="shared" si="21"/>
        <v>АСУЭ.TOR.stUvv_ssh</v>
      </c>
      <c r="B199" s="101">
        <v>11152</v>
      </c>
      <c r="C199" s="101" t="s">
        <v>0</v>
      </c>
      <c r="D199" s="104" t="str">
        <f>$R$8</f>
        <v>Телесигнализация</v>
      </c>
    </row>
    <row r="200" spans="1:4">
      <c r="A200" s="100" t="str">
        <f t="shared" si="21"/>
        <v>АСУЭ.TOR.stUvv_ssh</v>
      </c>
      <c r="B200" s="101">
        <v>11000</v>
      </c>
      <c r="C200" s="101" t="s">
        <v>5</v>
      </c>
      <c r="D200" s="103">
        <v>2147483680</v>
      </c>
    </row>
    <row r="201" spans="1:4">
      <c r="A201" s="19" t="str">
        <f t="shared" si="21"/>
        <v>АСУЭ.TOR.stUvv_ssh</v>
      </c>
      <c r="B201" s="11">
        <v>7999</v>
      </c>
      <c r="C201" s="11" t="s">
        <v>0</v>
      </c>
      <c r="D201" s="20" t="str">
        <f>"#"&amp;$S$2&amp;"#"&amp;$T$2&amp;"."&amp;$P$2&amp;".stUvv_ssh"</f>
        <v>#3#\\Setup_rza\Modbus.OPCServer\ZRU_Sepam.VV1_TOR.stUvv_ssh</v>
      </c>
    </row>
    <row r="202" spans="1:4">
      <c r="A202" s="19" t="str">
        <f t="shared" si="21"/>
        <v>АСУЭ.TOR.stUvv_ssh</v>
      </c>
      <c r="B202" s="11">
        <v>7998</v>
      </c>
      <c r="C202" s="11" t="s">
        <v>6</v>
      </c>
      <c r="D202" s="20">
        <v>1</v>
      </c>
    </row>
    <row r="203" spans="1:4">
      <c r="A203" s="19" t="str">
        <f t="shared" si="21"/>
        <v>АСУЭ.TOR.stUvv_ssh</v>
      </c>
      <c r="B203" s="11">
        <v>101</v>
      </c>
      <c r="C203" s="11" t="s">
        <v>0</v>
      </c>
      <c r="D203" s="20" t="s">
        <v>2830</v>
      </c>
    </row>
    <row r="204" spans="1:4">
      <c r="A204" s="19" t="str">
        <f t="shared" si="21"/>
        <v>АСУЭ.TOR.stUvv_ssh</v>
      </c>
      <c r="B204" s="11">
        <v>3</v>
      </c>
      <c r="C204" s="11" t="s">
        <v>1</v>
      </c>
      <c r="D204" s="20">
        <v>192</v>
      </c>
    </row>
    <row r="205" spans="1:4">
      <c r="A205" s="19" t="str">
        <f t="shared" si="21"/>
        <v>АСУЭ.TOR.stUvv_ssh</v>
      </c>
      <c r="B205" s="11">
        <v>2</v>
      </c>
      <c r="C205" s="11" t="s">
        <v>2</v>
      </c>
      <c r="D205" s="20" t="s">
        <v>3</v>
      </c>
    </row>
    <row r="206" spans="1:4">
      <c r="A206" s="21" t="str">
        <f t="shared" si="21"/>
        <v>АСУЭ.TOR.stUvv_ssh</v>
      </c>
      <c r="B206" s="8">
        <v>1</v>
      </c>
      <c r="C206" s="8" t="s">
        <v>1</v>
      </c>
      <c r="D206" s="22">
        <v>11</v>
      </c>
    </row>
    <row r="207" spans="1:4">
      <c r="A207" s="100" t="str">
        <f>$R$2&amp;".stAVR_on"</f>
        <v>АСУЭ.TOR.stAVR_on</v>
      </c>
      <c r="B207" s="101">
        <v>11154</v>
      </c>
      <c r="C207" s="101" t="s">
        <v>4</v>
      </c>
      <c r="D207" s="102">
        <f>$Q$8</f>
        <v>18</v>
      </c>
    </row>
    <row r="208" spans="1:4">
      <c r="A208" s="100" t="str">
        <f t="shared" ref="A208:A216" si="22">$R$2&amp;".stAVR_on"</f>
        <v>АСУЭ.TOR.stAVR_on</v>
      </c>
      <c r="B208" s="101">
        <v>11150</v>
      </c>
      <c r="C208" s="101" t="s">
        <v>0</v>
      </c>
      <c r="D208" s="103" t="s">
        <v>2811</v>
      </c>
    </row>
    <row r="209" spans="1:4">
      <c r="A209" s="100" t="str">
        <f t="shared" si="22"/>
        <v>АСУЭ.TOR.stAVR_on</v>
      </c>
      <c r="B209" s="101">
        <v>11152</v>
      </c>
      <c r="C209" s="101" t="s">
        <v>0</v>
      </c>
      <c r="D209" s="104" t="str">
        <f>$R$8</f>
        <v>Телесигнализация</v>
      </c>
    </row>
    <row r="210" spans="1:4">
      <c r="A210" s="100" t="str">
        <f t="shared" si="22"/>
        <v>АСУЭ.TOR.stAVR_on</v>
      </c>
      <c r="B210" s="101">
        <v>11000</v>
      </c>
      <c r="C210" s="101" t="s">
        <v>5</v>
      </c>
      <c r="D210" s="103">
        <v>2147483680</v>
      </c>
    </row>
    <row r="211" spans="1:4">
      <c r="A211" s="19" t="str">
        <f t="shared" si="22"/>
        <v>АСУЭ.TOR.stAVR_on</v>
      </c>
      <c r="B211" s="11">
        <v>7999</v>
      </c>
      <c r="C211" s="11" t="s">
        <v>0</v>
      </c>
      <c r="D211" s="20" t="str">
        <f>"#"&amp;$S$2&amp;"#"&amp;$T$2&amp;"."&amp;$P$2&amp;".stAVR_on"</f>
        <v>#3#\\Setup_rza\Modbus.OPCServer\ZRU_Sepam.VV1_TOR.stAVR_on</v>
      </c>
    </row>
    <row r="212" spans="1:4">
      <c r="A212" s="19" t="str">
        <f t="shared" si="22"/>
        <v>АСУЭ.TOR.stAVR_on</v>
      </c>
      <c r="B212" s="11">
        <v>7998</v>
      </c>
      <c r="C212" s="11" t="s">
        <v>6</v>
      </c>
      <c r="D212" s="20">
        <v>1</v>
      </c>
    </row>
    <row r="213" spans="1:4">
      <c r="A213" s="19" t="str">
        <f t="shared" si="22"/>
        <v>АСУЭ.TOR.stAVR_on</v>
      </c>
      <c r="B213" s="11">
        <v>101</v>
      </c>
      <c r="C213" s="11" t="s">
        <v>0</v>
      </c>
      <c r="D213" s="20" t="s">
        <v>2811</v>
      </c>
    </row>
    <row r="214" spans="1:4">
      <c r="A214" s="19" t="str">
        <f t="shared" si="22"/>
        <v>АСУЭ.TOR.stAVR_on</v>
      </c>
      <c r="B214" s="11">
        <v>3</v>
      </c>
      <c r="C214" s="11" t="s">
        <v>1</v>
      </c>
      <c r="D214" s="20">
        <v>192</v>
      </c>
    </row>
    <row r="215" spans="1:4">
      <c r="A215" s="19" t="str">
        <f t="shared" si="22"/>
        <v>АСУЭ.TOR.stAVR_on</v>
      </c>
      <c r="B215" s="11">
        <v>2</v>
      </c>
      <c r="C215" s="11" t="s">
        <v>2</v>
      </c>
      <c r="D215" s="20" t="s">
        <v>3</v>
      </c>
    </row>
    <row r="216" spans="1:4">
      <c r="A216" s="21" t="str">
        <f t="shared" si="22"/>
        <v>АСУЭ.TOR.stAVR_on</v>
      </c>
      <c r="B216" s="8">
        <v>1</v>
      </c>
      <c r="C216" s="8" t="s">
        <v>1</v>
      </c>
      <c r="D216" s="22">
        <v>11</v>
      </c>
    </row>
    <row r="217" spans="1:4">
      <c r="A217" s="100" t="str">
        <f>$R$2&amp;".stUobr_high"</f>
        <v>АСУЭ.TOR.stUobr_high</v>
      </c>
      <c r="B217" s="101">
        <v>11154</v>
      </c>
      <c r="C217" s="101" t="s">
        <v>4</v>
      </c>
      <c r="D217" s="102">
        <f>$Q$8</f>
        <v>18</v>
      </c>
    </row>
    <row r="218" spans="1:4">
      <c r="A218" s="100" t="str">
        <f t="shared" ref="A218:A226" si="23">$R$2&amp;".stUobr_high"</f>
        <v>АСУЭ.TOR.stUobr_high</v>
      </c>
      <c r="B218" s="101">
        <v>11150</v>
      </c>
      <c r="C218" s="101" t="s">
        <v>0</v>
      </c>
      <c r="D218" s="103" t="s">
        <v>2831</v>
      </c>
    </row>
    <row r="219" spans="1:4">
      <c r="A219" s="100" t="str">
        <f t="shared" si="23"/>
        <v>АСУЭ.TOR.stUobr_high</v>
      </c>
      <c r="B219" s="101">
        <v>11152</v>
      </c>
      <c r="C219" s="101" t="s">
        <v>0</v>
      </c>
      <c r="D219" s="104" t="str">
        <f>$R$8</f>
        <v>Телесигнализация</v>
      </c>
    </row>
    <row r="220" spans="1:4">
      <c r="A220" s="100" t="str">
        <f t="shared" si="23"/>
        <v>АСУЭ.TOR.stUobr_high</v>
      </c>
      <c r="B220" s="101">
        <v>11000</v>
      </c>
      <c r="C220" s="101" t="s">
        <v>5</v>
      </c>
      <c r="D220" s="103">
        <v>2147483680</v>
      </c>
    </row>
    <row r="221" spans="1:4">
      <c r="A221" s="19" t="str">
        <f t="shared" si="23"/>
        <v>АСУЭ.TOR.stUobr_high</v>
      </c>
      <c r="B221" s="11">
        <v>7999</v>
      </c>
      <c r="C221" s="11" t="s">
        <v>0</v>
      </c>
      <c r="D221" s="20" t="str">
        <f>"#"&amp;$S$2&amp;"#"&amp;$T$2&amp;"."&amp;$P$2&amp;".stUobr_high"</f>
        <v>#3#\\Setup_rza\Modbus.OPCServer\ZRU_Sepam.VV1_TOR.stUobr_high</v>
      </c>
    </row>
    <row r="222" spans="1:4">
      <c r="A222" s="19" t="str">
        <f t="shared" si="23"/>
        <v>АСУЭ.TOR.stUobr_high</v>
      </c>
      <c r="B222" s="11">
        <v>7998</v>
      </c>
      <c r="C222" s="11" t="s">
        <v>6</v>
      </c>
      <c r="D222" s="20">
        <v>1</v>
      </c>
    </row>
    <row r="223" spans="1:4">
      <c r="A223" s="19" t="str">
        <f t="shared" si="23"/>
        <v>АСУЭ.TOR.stUobr_high</v>
      </c>
      <c r="B223" s="11">
        <v>101</v>
      </c>
      <c r="C223" s="11" t="s">
        <v>0</v>
      </c>
      <c r="D223" s="20" t="s">
        <v>2831</v>
      </c>
    </row>
    <row r="224" spans="1:4">
      <c r="A224" s="19" t="str">
        <f t="shared" si="23"/>
        <v>АСУЭ.TOR.stUobr_high</v>
      </c>
      <c r="B224" s="11">
        <v>3</v>
      </c>
      <c r="C224" s="11" t="s">
        <v>1</v>
      </c>
      <c r="D224" s="20">
        <v>192</v>
      </c>
    </row>
    <row r="225" spans="1:4">
      <c r="A225" s="19" t="str">
        <f t="shared" si="23"/>
        <v>АСУЭ.TOR.stUobr_high</v>
      </c>
      <c r="B225" s="11">
        <v>2</v>
      </c>
      <c r="C225" s="11" t="s">
        <v>2</v>
      </c>
      <c r="D225" s="20" t="s">
        <v>3</v>
      </c>
    </row>
    <row r="226" spans="1:4">
      <c r="A226" s="21" t="str">
        <f t="shared" si="23"/>
        <v>АСУЭ.TOR.stUobr_high</v>
      </c>
      <c r="B226" s="8">
        <v>1</v>
      </c>
      <c r="C226" s="8" t="s">
        <v>1</v>
      </c>
      <c r="D226" s="22">
        <v>11</v>
      </c>
    </row>
    <row r="227" spans="1:4">
      <c r="A227" s="100" t="str">
        <f>$R$2&amp;".stTN_off"</f>
        <v>АСУЭ.TOR.stTN_off</v>
      </c>
      <c r="B227" s="101">
        <v>11154</v>
      </c>
      <c r="C227" s="101" t="s">
        <v>4</v>
      </c>
      <c r="D227" s="102">
        <f>$Q$8</f>
        <v>18</v>
      </c>
    </row>
    <row r="228" spans="1:4">
      <c r="A228" s="100" t="str">
        <f t="shared" ref="A228:A236" si="24">$R$2&amp;".stTN_off"</f>
        <v>АСУЭ.TOR.stTN_off</v>
      </c>
      <c r="B228" s="101">
        <v>11150</v>
      </c>
      <c r="C228" s="101" t="s">
        <v>0</v>
      </c>
      <c r="D228" s="103" t="s">
        <v>2786</v>
      </c>
    </row>
    <row r="229" spans="1:4">
      <c r="A229" s="100" t="str">
        <f t="shared" si="24"/>
        <v>АСУЭ.TOR.stTN_off</v>
      </c>
      <c r="B229" s="101">
        <v>11152</v>
      </c>
      <c r="C229" s="101" t="s">
        <v>0</v>
      </c>
      <c r="D229" s="104" t="str">
        <f>$R$8</f>
        <v>Телесигнализация</v>
      </c>
    </row>
    <row r="230" spans="1:4">
      <c r="A230" s="100" t="str">
        <f t="shared" si="24"/>
        <v>АСУЭ.TOR.stTN_off</v>
      </c>
      <c r="B230" s="101">
        <v>11000</v>
      </c>
      <c r="C230" s="101" t="s">
        <v>5</v>
      </c>
      <c r="D230" s="103">
        <v>2147483680</v>
      </c>
    </row>
    <row r="231" spans="1:4">
      <c r="A231" s="19" t="str">
        <f t="shared" si="24"/>
        <v>АСУЭ.TOR.stTN_off</v>
      </c>
      <c r="B231" s="11">
        <v>7999</v>
      </c>
      <c r="C231" s="11" t="s">
        <v>0</v>
      </c>
      <c r="D231" s="20" t="str">
        <f>"#"&amp;$S$2&amp;"#"&amp;$T$2&amp;"."&amp;$P$2&amp;".stTN_off"</f>
        <v>#3#\\Setup_rza\Modbus.OPCServer\ZRU_Sepam.VV1_TOR.stTN_off</v>
      </c>
    </row>
    <row r="232" spans="1:4">
      <c r="A232" s="19" t="str">
        <f t="shared" si="24"/>
        <v>АСУЭ.TOR.stTN_off</v>
      </c>
      <c r="B232" s="11">
        <v>7998</v>
      </c>
      <c r="C232" s="11" t="s">
        <v>6</v>
      </c>
      <c r="D232" s="20">
        <v>1</v>
      </c>
    </row>
    <row r="233" spans="1:4">
      <c r="A233" s="19" t="str">
        <f t="shared" si="24"/>
        <v>АСУЭ.TOR.stTN_off</v>
      </c>
      <c r="B233" s="11">
        <v>101</v>
      </c>
      <c r="C233" s="11" t="s">
        <v>0</v>
      </c>
      <c r="D233" s="20" t="s">
        <v>2786</v>
      </c>
    </row>
    <row r="234" spans="1:4">
      <c r="A234" s="19" t="str">
        <f t="shared" si="24"/>
        <v>АСУЭ.TOR.stTN_off</v>
      </c>
      <c r="B234" s="11">
        <v>3</v>
      </c>
      <c r="C234" s="11" t="s">
        <v>1</v>
      </c>
      <c r="D234" s="20">
        <v>192</v>
      </c>
    </row>
    <row r="235" spans="1:4">
      <c r="A235" s="19" t="str">
        <f t="shared" si="24"/>
        <v>АСУЭ.TOR.stTN_off</v>
      </c>
      <c r="B235" s="11">
        <v>2</v>
      </c>
      <c r="C235" s="11" t="s">
        <v>2</v>
      </c>
      <c r="D235" s="20" t="s">
        <v>3</v>
      </c>
    </row>
    <row r="236" spans="1:4">
      <c r="A236" s="21" t="str">
        <f t="shared" si="24"/>
        <v>АСУЭ.TOR.stTN_off</v>
      </c>
      <c r="B236" s="8">
        <v>1</v>
      </c>
      <c r="C236" s="8" t="s">
        <v>1</v>
      </c>
      <c r="D236" s="22">
        <v>11</v>
      </c>
    </row>
    <row r="237" spans="1:4">
      <c r="A237" s="100" t="str">
        <f>$R$2&amp;".stTN_on"</f>
        <v>АСУЭ.TOR.stTN_on</v>
      </c>
      <c r="B237" s="101">
        <v>11154</v>
      </c>
      <c r="C237" s="101" t="s">
        <v>4</v>
      </c>
      <c r="D237" s="102">
        <f>$Q$8</f>
        <v>18</v>
      </c>
    </row>
    <row r="238" spans="1:4">
      <c r="A238" s="100" t="str">
        <f t="shared" ref="A238:A246" si="25">$R$2&amp;".stTN_on"</f>
        <v>АСУЭ.TOR.stTN_on</v>
      </c>
      <c r="B238" s="101">
        <v>11150</v>
      </c>
      <c r="C238" s="101" t="s">
        <v>0</v>
      </c>
      <c r="D238" s="103" t="s">
        <v>2832</v>
      </c>
    </row>
    <row r="239" spans="1:4">
      <c r="A239" s="100" t="str">
        <f t="shared" si="25"/>
        <v>АСУЭ.TOR.stTN_on</v>
      </c>
      <c r="B239" s="101">
        <v>11152</v>
      </c>
      <c r="C239" s="101" t="s">
        <v>0</v>
      </c>
      <c r="D239" s="104" t="str">
        <f>$R$8</f>
        <v>Телесигнализация</v>
      </c>
    </row>
    <row r="240" spans="1:4">
      <c r="A240" s="100" t="str">
        <f t="shared" si="25"/>
        <v>АСУЭ.TOR.stTN_on</v>
      </c>
      <c r="B240" s="101">
        <v>11000</v>
      </c>
      <c r="C240" s="101" t="s">
        <v>5</v>
      </c>
      <c r="D240" s="103">
        <v>2147483680</v>
      </c>
    </row>
    <row r="241" spans="1:4">
      <c r="A241" s="19" t="str">
        <f t="shared" si="25"/>
        <v>АСУЭ.TOR.stTN_on</v>
      </c>
      <c r="B241" s="11">
        <v>7999</v>
      </c>
      <c r="C241" s="11" t="s">
        <v>0</v>
      </c>
      <c r="D241" s="20" t="str">
        <f>"#"&amp;$S$2&amp;"#"&amp;$T$2&amp;"."&amp;$P$2&amp;".stTN_on"</f>
        <v>#3#\\Setup_rza\Modbus.OPCServer\ZRU_Sepam.VV1_TOR.stTN_on</v>
      </c>
    </row>
    <row r="242" spans="1:4">
      <c r="A242" s="19" t="str">
        <f t="shared" si="25"/>
        <v>АСУЭ.TOR.stTN_on</v>
      </c>
      <c r="B242" s="11">
        <v>7998</v>
      </c>
      <c r="C242" s="11" t="s">
        <v>6</v>
      </c>
      <c r="D242" s="20">
        <v>1</v>
      </c>
    </row>
    <row r="243" spans="1:4">
      <c r="A243" s="19" t="str">
        <f t="shared" si="25"/>
        <v>АСУЭ.TOR.stTN_on</v>
      </c>
      <c r="B243" s="11">
        <v>101</v>
      </c>
      <c r="C243" s="11" t="s">
        <v>0</v>
      </c>
      <c r="D243" s="20" t="s">
        <v>2832</v>
      </c>
    </row>
    <row r="244" spans="1:4">
      <c r="A244" s="19" t="str">
        <f t="shared" si="25"/>
        <v>АСУЭ.TOR.stTN_on</v>
      </c>
      <c r="B244" s="11">
        <v>3</v>
      </c>
      <c r="C244" s="11" t="s">
        <v>1</v>
      </c>
      <c r="D244" s="20">
        <v>192</v>
      </c>
    </row>
    <row r="245" spans="1:4">
      <c r="A245" s="19" t="str">
        <f t="shared" si="25"/>
        <v>АСУЭ.TOR.stTN_on</v>
      </c>
      <c r="B245" s="11">
        <v>2</v>
      </c>
      <c r="C245" s="11" t="s">
        <v>2</v>
      </c>
      <c r="D245" s="20" t="s">
        <v>3</v>
      </c>
    </row>
    <row r="246" spans="1:4">
      <c r="A246" s="21" t="str">
        <f t="shared" si="25"/>
        <v>АСУЭ.TOR.stTN_on</v>
      </c>
      <c r="B246" s="8">
        <v>1</v>
      </c>
      <c r="C246" s="8" t="s">
        <v>1</v>
      </c>
      <c r="D246" s="22">
        <v>11</v>
      </c>
    </row>
    <row r="247" spans="1:4">
      <c r="A247" s="100" t="str">
        <f>$R$2&amp;".stCircuitTN"</f>
        <v>АСУЭ.TOR.stCircuitTN</v>
      </c>
      <c r="B247" s="101">
        <v>11154</v>
      </c>
      <c r="C247" s="101" t="s">
        <v>4</v>
      </c>
      <c r="D247" s="102">
        <f>$Q$8</f>
        <v>18</v>
      </c>
    </row>
    <row r="248" spans="1:4">
      <c r="A248" s="100" t="str">
        <f t="shared" ref="A248:A256" si="26">$R$2&amp;".stCircuitTN"</f>
        <v>АСУЭ.TOR.stCircuitTN</v>
      </c>
      <c r="B248" s="101">
        <v>11150</v>
      </c>
      <c r="C248" s="101" t="s">
        <v>0</v>
      </c>
      <c r="D248" s="103" t="s">
        <v>2833</v>
      </c>
    </row>
    <row r="249" spans="1:4">
      <c r="A249" s="100" t="str">
        <f t="shared" si="26"/>
        <v>АСУЭ.TOR.stCircuitTN</v>
      </c>
      <c r="B249" s="101">
        <v>11152</v>
      </c>
      <c r="C249" s="101" t="s">
        <v>0</v>
      </c>
      <c r="D249" s="104" t="str">
        <f>$R$8</f>
        <v>Телесигнализация</v>
      </c>
    </row>
    <row r="250" spans="1:4">
      <c r="A250" s="100" t="str">
        <f t="shared" si="26"/>
        <v>АСУЭ.TOR.stCircuitTN</v>
      </c>
      <c r="B250" s="101">
        <v>11000</v>
      </c>
      <c r="C250" s="101" t="s">
        <v>5</v>
      </c>
      <c r="D250" s="103">
        <v>2147483680</v>
      </c>
    </row>
    <row r="251" spans="1:4">
      <c r="A251" s="19" t="str">
        <f t="shared" si="26"/>
        <v>АСУЭ.TOR.stCircuitTN</v>
      </c>
      <c r="B251" s="11">
        <v>7999</v>
      </c>
      <c r="C251" s="11" t="s">
        <v>0</v>
      </c>
      <c r="D251" s="20" t="str">
        <f>"#"&amp;$S$2&amp;"#"&amp;$T$2&amp;"."&amp;$P$2&amp;".stCircuitTN"</f>
        <v>#3#\\Setup_rza\Modbus.OPCServer\ZRU_Sepam.VV1_TOR.stCircuitTN</v>
      </c>
    </row>
    <row r="252" spans="1:4">
      <c r="A252" s="19" t="str">
        <f t="shared" si="26"/>
        <v>АСУЭ.TOR.stCircuitTN</v>
      </c>
      <c r="B252" s="11">
        <v>7998</v>
      </c>
      <c r="C252" s="11" t="s">
        <v>6</v>
      </c>
      <c r="D252" s="20">
        <v>1</v>
      </c>
    </row>
    <row r="253" spans="1:4">
      <c r="A253" s="19" t="str">
        <f t="shared" si="26"/>
        <v>АСУЭ.TOR.stCircuitTN</v>
      </c>
      <c r="B253" s="11">
        <v>101</v>
      </c>
      <c r="C253" s="11" t="s">
        <v>0</v>
      </c>
      <c r="D253" s="20" t="s">
        <v>2833</v>
      </c>
    </row>
    <row r="254" spans="1:4">
      <c r="A254" s="19" t="str">
        <f t="shared" si="26"/>
        <v>АСУЭ.TOR.stCircuitTN</v>
      </c>
      <c r="B254" s="11">
        <v>3</v>
      </c>
      <c r="C254" s="11" t="s">
        <v>1</v>
      </c>
      <c r="D254" s="20">
        <v>192</v>
      </c>
    </row>
    <row r="255" spans="1:4">
      <c r="A255" s="19" t="str">
        <f t="shared" si="26"/>
        <v>АСУЭ.TOR.stCircuitTN</v>
      </c>
      <c r="B255" s="11">
        <v>2</v>
      </c>
      <c r="C255" s="11" t="s">
        <v>2</v>
      </c>
      <c r="D255" s="20" t="s">
        <v>3</v>
      </c>
    </row>
    <row r="256" spans="1:4">
      <c r="A256" s="21" t="str">
        <f t="shared" si="26"/>
        <v>АСУЭ.TOR.stCircuitTN</v>
      </c>
      <c r="B256" s="8">
        <v>1</v>
      </c>
      <c r="C256" s="8" t="s">
        <v>1</v>
      </c>
      <c r="D256" s="22">
        <v>11</v>
      </c>
    </row>
    <row r="257" spans="1:4">
      <c r="A257" s="100" t="str">
        <f>$R$2&amp;".stU08"</f>
        <v>АСУЭ.TOR.stU08</v>
      </c>
      <c r="B257" s="101">
        <v>11154</v>
      </c>
      <c r="C257" s="101" t="s">
        <v>4</v>
      </c>
      <c r="D257" s="102">
        <f>$Q$8</f>
        <v>18</v>
      </c>
    </row>
    <row r="258" spans="1:4">
      <c r="A258" s="100" t="str">
        <f t="shared" ref="A258:A266" si="27">$R$2&amp;".stU08"</f>
        <v>АСУЭ.TOR.stU08</v>
      </c>
      <c r="B258" s="101">
        <v>11150</v>
      </c>
      <c r="C258" s="101" t="s">
        <v>0</v>
      </c>
      <c r="D258" s="103" t="s">
        <v>2834</v>
      </c>
    </row>
    <row r="259" spans="1:4">
      <c r="A259" s="100" t="str">
        <f t="shared" si="27"/>
        <v>АСУЭ.TOR.stU08</v>
      </c>
      <c r="B259" s="101">
        <v>11152</v>
      </c>
      <c r="C259" s="101" t="s">
        <v>0</v>
      </c>
      <c r="D259" s="104" t="str">
        <f>$R$8</f>
        <v>Телесигнализация</v>
      </c>
    </row>
    <row r="260" spans="1:4">
      <c r="A260" s="100" t="str">
        <f t="shared" si="27"/>
        <v>АСУЭ.TOR.stU08</v>
      </c>
      <c r="B260" s="101">
        <v>11000</v>
      </c>
      <c r="C260" s="101" t="s">
        <v>5</v>
      </c>
      <c r="D260" s="103">
        <v>2147483680</v>
      </c>
    </row>
    <row r="261" spans="1:4">
      <c r="A261" s="19" t="str">
        <f t="shared" si="27"/>
        <v>АСУЭ.TOR.stU08</v>
      </c>
      <c r="B261" s="11">
        <v>7999</v>
      </c>
      <c r="C261" s="11" t="s">
        <v>0</v>
      </c>
      <c r="D261" s="20" t="str">
        <f>"#"&amp;$S$2&amp;"#"&amp;$T$2&amp;"."&amp;$P$2&amp;".stU08"</f>
        <v>#3#\\Setup_rza\Modbus.OPCServer\ZRU_Sepam.VV1_TOR.stU08</v>
      </c>
    </row>
    <row r="262" spans="1:4">
      <c r="A262" s="19" t="str">
        <f t="shared" si="27"/>
        <v>АСУЭ.TOR.stU08</v>
      </c>
      <c r="B262" s="11">
        <v>7998</v>
      </c>
      <c r="C262" s="11" t="s">
        <v>6</v>
      </c>
      <c r="D262" s="20">
        <v>1</v>
      </c>
    </row>
    <row r="263" spans="1:4">
      <c r="A263" s="19" t="str">
        <f t="shared" si="27"/>
        <v>АСУЭ.TOR.stU08</v>
      </c>
      <c r="B263" s="11">
        <v>101</v>
      </c>
      <c r="C263" s="11" t="s">
        <v>0</v>
      </c>
      <c r="D263" s="20" t="s">
        <v>2834</v>
      </c>
    </row>
    <row r="264" spans="1:4">
      <c r="A264" s="19" t="str">
        <f t="shared" si="27"/>
        <v>АСУЭ.TOR.stU08</v>
      </c>
      <c r="B264" s="11">
        <v>3</v>
      </c>
      <c r="C264" s="11" t="s">
        <v>1</v>
      </c>
      <c r="D264" s="20">
        <v>192</v>
      </c>
    </row>
    <row r="265" spans="1:4">
      <c r="A265" s="19" t="str">
        <f t="shared" si="27"/>
        <v>АСУЭ.TOR.stU08</v>
      </c>
      <c r="B265" s="11">
        <v>2</v>
      </c>
      <c r="C265" s="11" t="s">
        <v>2</v>
      </c>
      <c r="D265" s="20" t="s">
        <v>3</v>
      </c>
    </row>
    <row r="266" spans="1:4">
      <c r="A266" s="21" t="str">
        <f t="shared" si="27"/>
        <v>АСУЭ.TOR.stU08</v>
      </c>
      <c r="B266" s="8">
        <v>1</v>
      </c>
      <c r="C266" s="8" t="s">
        <v>1</v>
      </c>
      <c r="D266" s="22">
        <v>11</v>
      </c>
    </row>
    <row r="267" spans="1:4">
      <c r="A267" s="100" t="str">
        <f>$R$2&amp;".stU10"</f>
        <v>АСУЭ.TOR.stU10</v>
      </c>
      <c r="B267" s="101">
        <v>11154</v>
      </c>
      <c r="C267" s="101" t="s">
        <v>4</v>
      </c>
      <c r="D267" s="102">
        <f>$Q$8</f>
        <v>18</v>
      </c>
    </row>
    <row r="268" spans="1:4">
      <c r="A268" s="100" t="str">
        <f t="shared" ref="A268:A276" si="28">$R$2&amp;".stU10"</f>
        <v>АСУЭ.TOR.stU10</v>
      </c>
      <c r="B268" s="101">
        <v>11150</v>
      </c>
      <c r="C268" s="101" t="s">
        <v>0</v>
      </c>
      <c r="D268" s="103" t="s">
        <v>2835</v>
      </c>
    </row>
    <row r="269" spans="1:4">
      <c r="A269" s="100" t="str">
        <f t="shared" si="28"/>
        <v>АСУЭ.TOR.stU10</v>
      </c>
      <c r="B269" s="101">
        <v>11152</v>
      </c>
      <c r="C269" s="101" t="s">
        <v>0</v>
      </c>
      <c r="D269" s="104" t="str">
        <f>$R$8</f>
        <v>Телесигнализация</v>
      </c>
    </row>
    <row r="270" spans="1:4">
      <c r="A270" s="100" t="str">
        <f t="shared" si="28"/>
        <v>АСУЭ.TOR.stU10</v>
      </c>
      <c r="B270" s="101">
        <v>11000</v>
      </c>
      <c r="C270" s="101" t="s">
        <v>5</v>
      </c>
      <c r="D270" s="103">
        <v>2147483680</v>
      </c>
    </row>
    <row r="271" spans="1:4">
      <c r="A271" s="19" t="str">
        <f t="shared" si="28"/>
        <v>АСУЭ.TOR.stU10</v>
      </c>
      <c r="B271" s="11">
        <v>7999</v>
      </c>
      <c r="C271" s="11" t="s">
        <v>0</v>
      </c>
      <c r="D271" s="20" t="str">
        <f>"#"&amp;$S$2&amp;"#"&amp;$T$2&amp;"."&amp;$P$2&amp;".stU10"</f>
        <v>#3#\\Setup_rza\Modbus.OPCServer\ZRU_Sepam.VV1_TOR.stU10</v>
      </c>
    </row>
    <row r="272" spans="1:4">
      <c r="A272" s="19" t="str">
        <f t="shared" si="28"/>
        <v>АСУЭ.TOR.stU10</v>
      </c>
      <c r="B272" s="11">
        <v>7998</v>
      </c>
      <c r="C272" s="11" t="s">
        <v>6</v>
      </c>
      <c r="D272" s="20">
        <v>1</v>
      </c>
    </row>
    <row r="273" spans="1:4">
      <c r="A273" s="19" t="str">
        <f t="shared" si="28"/>
        <v>АСУЭ.TOR.stU10</v>
      </c>
      <c r="B273" s="11">
        <v>101</v>
      </c>
      <c r="C273" s="11" t="s">
        <v>0</v>
      </c>
      <c r="D273" s="20" t="s">
        <v>2835</v>
      </c>
    </row>
    <row r="274" spans="1:4">
      <c r="A274" s="19" t="str">
        <f t="shared" si="28"/>
        <v>АСУЭ.TOR.stU10</v>
      </c>
      <c r="B274" s="11">
        <v>3</v>
      </c>
      <c r="C274" s="11" t="s">
        <v>1</v>
      </c>
      <c r="D274" s="20">
        <v>192</v>
      </c>
    </row>
    <row r="275" spans="1:4">
      <c r="A275" s="19" t="str">
        <f t="shared" si="28"/>
        <v>АСУЭ.TOR.stU10</v>
      </c>
      <c r="B275" s="11">
        <v>2</v>
      </c>
      <c r="C275" s="11" t="s">
        <v>2</v>
      </c>
      <c r="D275" s="20" t="s">
        <v>3</v>
      </c>
    </row>
    <row r="276" spans="1:4">
      <c r="A276" s="21" t="str">
        <f t="shared" si="28"/>
        <v>АСУЭ.TOR.stU10</v>
      </c>
      <c r="B276" s="8">
        <v>1</v>
      </c>
      <c r="C276" s="8" t="s">
        <v>1</v>
      </c>
      <c r="D276" s="22">
        <v>11</v>
      </c>
    </row>
    <row r="277" spans="1:4">
      <c r="A277" s="100" t="str">
        <f>$R$2&amp;".stT_work"</f>
        <v>АСУЭ.TOR.stT_work</v>
      </c>
      <c r="B277" s="101">
        <v>11154</v>
      </c>
      <c r="C277" s="101" t="s">
        <v>4</v>
      </c>
      <c r="D277" s="102">
        <f>$Q$8</f>
        <v>18</v>
      </c>
    </row>
    <row r="278" spans="1:4">
      <c r="A278" s="100" t="str">
        <f t="shared" ref="A278:A286" si="29">$R$2&amp;".stT_work"</f>
        <v>АСУЭ.TOR.stT_work</v>
      </c>
      <c r="B278" s="101">
        <v>11150</v>
      </c>
      <c r="C278" s="101" t="s">
        <v>0</v>
      </c>
      <c r="D278" s="103" t="s">
        <v>2836</v>
      </c>
    </row>
    <row r="279" spans="1:4">
      <c r="A279" s="100" t="str">
        <f t="shared" si="29"/>
        <v>АСУЭ.TOR.stT_work</v>
      </c>
      <c r="B279" s="101">
        <v>11152</v>
      </c>
      <c r="C279" s="101" t="s">
        <v>0</v>
      </c>
      <c r="D279" s="104" t="str">
        <f>$R$8</f>
        <v>Телесигнализация</v>
      </c>
    </row>
    <row r="280" spans="1:4">
      <c r="A280" s="100" t="str">
        <f t="shared" si="29"/>
        <v>АСУЭ.TOR.stT_work</v>
      </c>
      <c r="B280" s="101">
        <v>11000</v>
      </c>
      <c r="C280" s="101" t="s">
        <v>5</v>
      </c>
      <c r="D280" s="103">
        <v>2147483680</v>
      </c>
    </row>
    <row r="281" spans="1:4">
      <c r="A281" s="19" t="str">
        <f t="shared" si="29"/>
        <v>АСУЭ.TOR.stT_work</v>
      </c>
      <c r="B281" s="11">
        <v>7999</v>
      </c>
      <c r="C281" s="11" t="s">
        <v>0</v>
      </c>
      <c r="D281" s="20" t="str">
        <f>"#"&amp;$S$2&amp;"#"&amp;$T$2&amp;"."&amp;$P$2&amp;".stT_work"</f>
        <v>#3#\\Setup_rza\Modbus.OPCServer\ZRU_Sepam.VV1_TOR.stT_work</v>
      </c>
    </row>
    <row r="282" spans="1:4">
      <c r="A282" s="19" t="str">
        <f t="shared" si="29"/>
        <v>АСУЭ.TOR.stT_work</v>
      </c>
      <c r="B282" s="11">
        <v>7998</v>
      </c>
      <c r="C282" s="11" t="s">
        <v>6</v>
      </c>
      <c r="D282" s="20">
        <v>1</v>
      </c>
    </row>
    <row r="283" spans="1:4">
      <c r="A283" s="19" t="str">
        <f t="shared" si="29"/>
        <v>АСУЭ.TOR.stT_work</v>
      </c>
      <c r="B283" s="11">
        <v>101</v>
      </c>
      <c r="C283" s="11" t="s">
        <v>0</v>
      </c>
      <c r="D283" s="20" t="s">
        <v>2836</v>
      </c>
    </row>
    <row r="284" spans="1:4">
      <c r="A284" s="19" t="str">
        <f t="shared" si="29"/>
        <v>АСУЭ.TOR.stT_work</v>
      </c>
      <c r="B284" s="11">
        <v>3</v>
      </c>
      <c r="C284" s="11" t="s">
        <v>1</v>
      </c>
      <c r="D284" s="20">
        <v>192</v>
      </c>
    </row>
    <row r="285" spans="1:4">
      <c r="A285" s="19" t="str">
        <f t="shared" si="29"/>
        <v>АСУЭ.TOR.stT_work</v>
      </c>
      <c r="B285" s="11">
        <v>2</v>
      </c>
      <c r="C285" s="11" t="s">
        <v>2</v>
      </c>
      <c r="D285" s="20" t="s">
        <v>3</v>
      </c>
    </row>
    <row r="286" spans="1:4">
      <c r="A286" s="21" t="str">
        <f t="shared" si="29"/>
        <v>АСУЭ.TOR.stT_work</v>
      </c>
      <c r="B286" s="8">
        <v>1</v>
      </c>
      <c r="C286" s="8" t="s">
        <v>1</v>
      </c>
      <c r="D286" s="22">
        <v>11</v>
      </c>
    </row>
    <row r="287" spans="1:4">
      <c r="A287" s="100" t="str">
        <f>$R$2&amp;".stGen_sw"</f>
        <v>АСУЭ.TOR.stGen_sw</v>
      </c>
      <c r="B287" s="101">
        <v>11154</v>
      </c>
      <c r="C287" s="101" t="s">
        <v>4</v>
      </c>
      <c r="D287" s="102">
        <f>$Q$8</f>
        <v>18</v>
      </c>
    </row>
    <row r="288" spans="1:4">
      <c r="A288" s="100" t="str">
        <f t="shared" ref="A288:A296" si="30">$R$2&amp;".stGen_sw"</f>
        <v>АСУЭ.TOR.stGen_sw</v>
      </c>
      <c r="B288" s="101">
        <v>11150</v>
      </c>
      <c r="C288" s="101" t="s">
        <v>0</v>
      </c>
      <c r="D288" s="103" t="s">
        <v>2837</v>
      </c>
    </row>
    <row r="289" spans="1:4">
      <c r="A289" s="100" t="str">
        <f t="shared" si="30"/>
        <v>АСУЭ.TOR.stGen_sw</v>
      </c>
      <c r="B289" s="101">
        <v>11152</v>
      </c>
      <c r="C289" s="101" t="s">
        <v>0</v>
      </c>
      <c r="D289" s="104" t="str">
        <f>$R$8</f>
        <v>Телесигнализация</v>
      </c>
    </row>
    <row r="290" spans="1:4">
      <c r="A290" s="100" t="str">
        <f t="shared" si="30"/>
        <v>АСУЭ.TOR.stGen_sw</v>
      </c>
      <c r="B290" s="101">
        <v>11000</v>
      </c>
      <c r="C290" s="101" t="s">
        <v>5</v>
      </c>
      <c r="D290" s="103">
        <v>2147483680</v>
      </c>
    </row>
    <row r="291" spans="1:4">
      <c r="A291" s="19" t="str">
        <f t="shared" si="30"/>
        <v>АСУЭ.TOR.stGen_sw</v>
      </c>
      <c r="B291" s="11">
        <v>7999</v>
      </c>
      <c r="C291" s="11" t="s">
        <v>0</v>
      </c>
      <c r="D291" s="20" t="str">
        <f>"#"&amp;$S$2&amp;"#"&amp;$T$2&amp;"."&amp;$P$2&amp;".stGen_sw"</f>
        <v>#3#\\Setup_rza\Modbus.OPCServer\ZRU_Sepam.VV1_TOR.stGen_sw</v>
      </c>
    </row>
    <row r="292" spans="1:4">
      <c r="A292" s="19" t="str">
        <f t="shared" si="30"/>
        <v>АСУЭ.TOR.stGen_sw</v>
      </c>
      <c r="B292" s="11">
        <v>7998</v>
      </c>
      <c r="C292" s="11" t="s">
        <v>6</v>
      </c>
      <c r="D292" s="20">
        <v>1</v>
      </c>
    </row>
    <row r="293" spans="1:4">
      <c r="A293" s="19" t="str">
        <f t="shared" si="30"/>
        <v>АСУЭ.TOR.stGen_sw</v>
      </c>
      <c r="B293" s="11">
        <v>101</v>
      </c>
      <c r="C293" s="11" t="s">
        <v>0</v>
      </c>
      <c r="D293" s="20" t="s">
        <v>2837</v>
      </c>
    </row>
    <row r="294" spans="1:4">
      <c r="A294" s="19" t="str">
        <f t="shared" si="30"/>
        <v>АСУЭ.TOR.stGen_sw</v>
      </c>
      <c r="B294" s="11">
        <v>3</v>
      </c>
      <c r="C294" s="11" t="s">
        <v>1</v>
      </c>
      <c r="D294" s="20">
        <v>192</v>
      </c>
    </row>
    <row r="295" spans="1:4">
      <c r="A295" s="19" t="str">
        <f t="shared" si="30"/>
        <v>АСУЭ.TOR.stGen_sw</v>
      </c>
      <c r="B295" s="11">
        <v>2</v>
      </c>
      <c r="C295" s="11" t="s">
        <v>2</v>
      </c>
      <c r="D295" s="20" t="s">
        <v>3</v>
      </c>
    </row>
    <row r="296" spans="1:4">
      <c r="A296" s="21" t="str">
        <f t="shared" si="30"/>
        <v>АСУЭ.TOR.stGen_sw</v>
      </c>
      <c r="B296" s="8">
        <v>1</v>
      </c>
      <c r="C296" s="8" t="s">
        <v>1</v>
      </c>
      <c r="D296" s="22">
        <v>11</v>
      </c>
    </row>
    <row r="297" spans="1:4">
      <c r="A297" s="100" t="str">
        <f>$R$2&amp;".stDQZ_sw_off"</f>
        <v>АСУЭ.TOR.stDQZ_sw_off</v>
      </c>
      <c r="B297" s="101">
        <v>11154</v>
      </c>
      <c r="C297" s="101" t="s">
        <v>4</v>
      </c>
      <c r="D297" s="102">
        <f>$Q$8</f>
        <v>18</v>
      </c>
    </row>
    <row r="298" spans="1:4">
      <c r="A298" s="100" t="str">
        <f t="shared" ref="A298:A306" si="31">$R$2&amp;".stDQZ_sw_off"</f>
        <v>АСУЭ.TOR.stDQZ_sw_off</v>
      </c>
      <c r="B298" s="101">
        <v>11150</v>
      </c>
      <c r="C298" s="101" t="s">
        <v>0</v>
      </c>
      <c r="D298" s="103" t="s">
        <v>2838</v>
      </c>
    </row>
    <row r="299" spans="1:4">
      <c r="A299" s="100" t="str">
        <f t="shared" si="31"/>
        <v>АСУЭ.TOR.stDQZ_sw_off</v>
      </c>
      <c r="B299" s="101">
        <v>11152</v>
      </c>
      <c r="C299" s="101" t="s">
        <v>0</v>
      </c>
      <c r="D299" s="104" t="str">
        <f>$R$8</f>
        <v>Телесигнализация</v>
      </c>
    </row>
    <row r="300" spans="1:4">
      <c r="A300" s="100" t="str">
        <f t="shared" si="31"/>
        <v>АСУЭ.TOR.stDQZ_sw_off</v>
      </c>
      <c r="B300" s="101">
        <v>11000</v>
      </c>
      <c r="C300" s="101" t="s">
        <v>5</v>
      </c>
      <c r="D300" s="103">
        <v>2147483680</v>
      </c>
    </row>
    <row r="301" spans="1:4">
      <c r="A301" s="19" t="str">
        <f t="shared" si="31"/>
        <v>АСУЭ.TOR.stDQZ_sw_off</v>
      </c>
      <c r="B301" s="11">
        <v>7999</v>
      </c>
      <c r="C301" s="11" t="s">
        <v>0</v>
      </c>
      <c r="D301" s="20" t="str">
        <f>"#"&amp;$S$2&amp;"#"&amp;$T$2&amp;"."&amp;$P$2&amp;".stDQZ_sw_off"</f>
        <v>#3#\\Setup_rza\Modbus.OPCServer\ZRU_Sepam.VV1_TOR.stDQZ_sw_off</v>
      </c>
    </row>
    <row r="302" spans="1:4">
      <c r="A302" s="19" t="str">
        <f t="shared" si="31"/>
        <v>АСУЭ.TOR.stDQZ_sw_off</v>
      </c>
      <c r="B302" s="11">
        <v>7998</v>
      </c>
      <c r="C302" s="11" t="s">
        <v>6</v>
      </c>
      <c r="D302" s="20">
        <v>1</v>
      </c>
    </row>
    <row r="303" spans="1:4">
      <c r="A303" s="19" t="str">
        <f t="shared" si="31"/>
        <v>АСУЭ.TOR.stDQZ_sw_off</v>
      </c>
      <c r="B303" s="11">
        <v>101</v>
      </c>
      <c r="C303" s="11" t="s">
        <v>0</v>
      </c>
      <c r="D303" s="20" t="s">
        <v>2838</v>
      </c>
    </row>
    <row r="304" spans="1:4">
      <c r="A304" s="19" t="str">
        <f t="shared" si="31"/>
        <v>АСУЭ.TOR.stDQZ_sw_off</v>
      </c>
      <c r="B304" s="11">
        <v>3</v>
      </c>
      <c r="C304" s="11" t="s">
        <v>1</v>
      </c>
      <c r="D304" s="20">
        <v>192</v>
      </c>
    </row>
    <row r="305" spans="1:4">
      <c r="A305" s="19" t="str">
        <f t="shared" si="31"/>
        <v>АСУЭ.TOR.stDQZ_sw_off</v>
      </c>
      <c r="B305" s="11">
        <v>2</v>
      </c>
      <c r="C305" s="11" t="s">
        <v>2</v>
      </c>
      <c r="D305" s="20" t="s">
        <v>3</v>
      </c>
    </row>
    <row r="306" spans="1:4">
      <c r="A306" s="21" t="str">
        <f t="shared" si="31"/>
        <v>АСУЭ.TOR.stDQZ_sw_off</v>
      </c>
      <c r="B306" s="8">
        <v>1</v>
      </c>
      <c r="C306" s="8" t="s">
        <v>1</v>
      </c>
      <c r="D306" s="22">
        <v>11</v>
      </c>
    </row>
    <row r="307" spans="1:4">
      <c r="A307" s="100" t="str">
        <f>$R$2&amp;".stDQZ_TN"</f>
        <v>АСУЭ.TOR.stDQZ_TN</v>
      </c>
      <c r="B307" s="101">
        <v>11154</v>
      </c>
      <c r="C307" s="101" t="s">
        <v>4</v>
      </c>
      <c r="D307" s="102">
        <f>$Q$8</f>
        <v>18</v>
      </c>
    </row>
    <row r="308" spans="1:4">
      <c r="A308" s="100" t="str">
        <f t="shared" ref="A308:A316" si="32">$R$2&amp;".stDQZ_TN"</f>
        <v>АСУЭ.TOR.stDQZ_TN</v>
      </c>
      <c r="B308" s="101">
        <v>11150</v>
      </c>
      <c r="C308" s="101" t="s">
        <v>0</v>
      </c>
      <c r="D308" s="103" t="s">
        <v>2839</v>
      </c>
    </row>
    <row r="309" spans="1:4">
      <c r="A309" s="100" t="str">
        <f t="shared" si="32"/>
        <v>АСУЭ.TOR.stDQZ_TN</v>
      </c>
      <c r="B309" s="101">
        <v>11152</v>
      </c>
      <c r="C309" s="101" t="s">
        <v>0</v>
      </c>
      <c r="D309" s="104" t="str">
        <f>$R$8</f>
        <v>Телесигнализация</v>
      </c>
    </row>
    <row r="310" spans="1:4">
      <c r="A310" s="100" t="str">
        <f t="shared" si="32"/>
        <v>АСУЭ.TOR.stDQZ_TN</v>
      </c>
      <c r="B310" s="101">
        <v>11000</v>
      </c>
      <c r="C310" s="101" t="s">
        <v>5</v>
      </c>
      <c r="D310" s="103">
        <v>2147483680</v>
      </c>
    </row>
    <row r="311" spans="1:4">
      <c r="A311" s="19" t="str">
        <f t="shared" si="32"/>
        <v>АСУЭ.TOR.stDQZ_TN</v>
      </c>
      <c r="B311" s="11">
        <v>7999</v>
      </c>
      <c r="C311" s="11" t="s">
        <v>0</v>
      </c>
      <c r="D311" s="20" t="str">
        <f>"#"&amp;$S$2&amp;"#"&amp;$T$2&amp;"."&amp;$P$2&amp;".stDQZ_TN"</f>
        <v>#3#\\Setup_rza\Modbus.OPCServer\ZRU_Sepam.VV1_TOR.stDQZ_TN</v>
      </c>
    </row>
    <row r="312" spans="1:4">
      <c r="A312" s="19" t="str">
        <f t="shared" si="32"/>
        <v>АСУЭ.TOR.stDQZ_TN</v>
      </c>
      <c r="B312" s="11">
        <v>7998</v>
      </c>
      <c r="C312" s="11" t="s">
        <v>6</v>
      </c>
      <c r="D312" s="20">
        <v>1</v>
      </c>
    </row>
    <row r="313" spans="1:4">
      <c r="A313" s="19" t="str">
        <f t="shared" si="32"/>
        <v>АСУЭ.TOR.stDQZ_TN</v>
      </c>
      <c r="B313" s="11">
        <v>101</v>
      </c>
      <c r="C313" s="11" t="s">
        <v>0</v>
      </c>
      <c r="D313" s="20" t="s">
        <v>2839</v>
      </c>
    </row>
    <row r="314" spans="1:4">
      <c r="A314" s="19" t="str">
        <f t="shared" si="32"/>
        <v>АСУЭ.TOR.stDQZ_TN</v>
      </c>
      <c r="B314" s="11">
        <v>3</v>
      </c>
      <c r="C314" s="11" t="s">
        <v>1</v>
      </c>
      <c r="D314" s="20">
        <v>192</v>
      </c>
    </row>
    <row r="315" spans="1:4">
      <c r="A315" s="19" t="str">
        <f t="shared" si="32"/>
        <v>АСУЭ.TOR.stDQZ_TN</v>
      </c>
      <c r="B315" s="11">
        <v>2</v>
      </c>
      <c r="C315" s="11" t="s">
        <v>2</v>
      </c>
      <c r="D315" s="20" t="s">
        <v>3</v>
      </c>
    </row>
    <row r="316" spans="1:4">
      <c r="A316" s="21" t="str">
        <f t="shared" si="32"/>
        <v>АСУЭ.TOR.stDQZ_TN</v>
      </c>
      <c r="B316" s="8">
        <v>1</v>
      </c>
      <c r="C316" s="8" t="s">
        <v>1</v>
      </c>
      <c r="D316" s="22">
        <v>11</v>
      </c>
    </row>
    <row r="317" spans="1:4">
      <c r="A317" s="100" t="str">
        <f>$R$2&amp;".stOpen_trngl_off"</f>
        <v>АСУЭ.TOR.stOpen_trngl_off</v>
      </c>
      <c r="B317" s="101">
        <v>11154</v>
      </c>
      <c r="C317" s="101" t="s">
        <v>4</v>
      </c>
      <c r="D317" s="102">
        <f>$Q$8</f>
        <v>18</v>
      </c>
    </row>
    <row r="318" spans="1:4">
      <c r="A318" s="100" t="str">
        <f t="shared" ref="A318:A326" si="33">$R$2&amp;".stOpen_trngl_off"</f>
        <v>АСУЭ.TOR.stOpen_trngl_off</v>
      </c>
      <c r="B318" s="101">
        <v>11150</v>
      </c>
      <c r="C318" s="101" t="s">
        <v>0</v>
      </c>
      <c r="D318" s="103" t="s">
        <v>2840</v>
      </c>
    </row>
    <row r="319" spans="1:4">
      <c r="A319" s="100" t="str">
        <f t="shared" si="33"/>
        <v>АСУЭ.TOR.stOpen_trngl_off</v>
      </c>
      <c r="B319" s="101">
        <v>11152</v>
      </c>
      <c r="C319" s="101" t="s">
        <v>0</v>
      </c>
      <c r="D319" s="104" t="str">
        <f>$R$8</f>
        <v>Телесигнализация</v>
      </c>
    </row>
    <row r="320" spans="1:4">
      <c r="A320" s="100" t="str">
        <f t="shared" si="33"/>
        <v>АСУЭ.TOR.stOpen_trngl_off</v>
      </c>
      <c r="B320" s="101">
        <v>11000</v>
      </c>
      <c r="C320" s="101" t="s">
        <v>5</v>
      </c>
      <c r="D320" s="103">
        <v>2147483680</v>
      </c>
    </row>
    <row r="321" spans="1:4">
      <c r="A321" s="19" t="str">
        <f t="shared" si="33"/>
        <v>АСУЭ.TOR.stOpen_trngl_off</v>
      </c>
      <c r="B321" s="11">
        <v>7999</v>
      </c>
      <c r="C321" s="11" t="s">
        <v>0</v>
      </c>
      <c r="D321" s="20" t="str">
        <f>"#"&amp;$S$2&amp;"#"&amp;$T$2&amp;"."&amp;$P$2&amp;".stOpen_trngl_off"</f>
        <v>#3#\\Setup_rza\Modbus.OPCServer\ZRU_Sepam.VV1_TOR.stOpen_trngl_off</v>
      </c>
    </row>
    <row r="322" spans="1:4">
      <c r="A322" s="19" t="str">
        <f t="shared" si="33"/>
        <v>АСУЭ.TOR.stOpen_trngl_off</v>
      </c>
      <c r="B322" s="11">
        <v>7998</v>
      </c>
      <c r="C322" s="11" t="s">
        <v>6</v>
      </c>
      <c r="D322" s="20">
        <v>1</v>
      </c>
    </row>
    <row r="323" spans="1:4">
      <c r="A323" s="19" t="str">
        <f t="shared" si="33"/>
        <v>АСУЭ.TOR.stOpen_trngl_off</v>
      </c>
      <c r="B323" s="11">
        <v>101</v>
      </c>
      <c r="C323" s="11" t="s">
        <v>0</v>
      </c>
      <c r="D323" s="20" t="s">
        <v>2840</v>
      </c>
    </row>
    <row r="324" spans="1:4">
      <c r="A324" s="19" t="str">
        <f t="shared" si="33"/>
        <v>АСУЭ.TOR.stOpen_trngl_off</v>
      </c>
      <c r="B324" s="11">
        <v>3</v>
      </c>
      <c r="C324" s="11" t="s">
        <v>1</v>
      </c>
      <c r="D324" s="20">
        <v>192</v>
      </c>
    </row>
    <row r="325" spans="1:4">
      <c r="A325" s="19" t="str">
        <f t="shared" si="33"/>
        <v>АСУЭ.TOR.stOpen_trngl_off</v>
      </c>
      <c r="B325" s="11">
        <v>2</v>
      </c>
      <c r="C325" s="11" t="s">
        <v>2</v>
      </c>
      <c r="D325" s="20" t="s">
        <v>3</v>
      </c>
    </row>
    <row r="326" spans="1:4">
      <c r="A326" s="21" t="str">
        <f t="shared" si="33"/>
        <v>АСУЭ.TOR.stOpen_trngl_off</v>
      </c>
      <c r="B326" s="8">
        <v>1</v>
      </c>
      <c r="C326" s="8" t="s">
        <v>1</v>
      </c>
      <c r="D326" s="22">
        <v>11</v>
      </c>
    </row>
    <row r="327" spans="1:4">
      <c r="A327" s="100" t="str">
        <f>$R$2&amp;".stTel_SV_on"</f>
        <v>АСУЭ.TOR.stTel_SV_on</v>
      </c>
      <c r="B327" s="101">
        <v>11154</v>
      </c>
      <c r="C327" s="101" t="s">
        <v>4</v>
      </c>
      <c r="D327" s="102">
        <f>$Q$8</f>
        <v>18</v>
      </c>
    </row>
    <row r="328" spans="1:4">
      <c r="A328" s="100" t="str">
        <f t="shared" ref="A328:A336" si="34">$R$2&amp;".stTel_SV_on"</f>
        <v>АСУЭ.TOR.stTel_SV_on</v>
      </c>
      <c r="B328" s="101">
        <v>11150</v>
      </c>
      <c r="C328" s="101" t="s">
        <v>0</v>
      </c>
      <c r="D328" s="103" t="s">
        <v>2841</v>
      </c>
    </row>
    <row r="329" spans="1:4">
      <c r="A329" s="100" t="str">
        <f t="shared" si="34"/>
        <v>АСУЭ.TOR.stTel_SV_on</v>
      </c>
      <c r="B329" s="101">
        <v>11152</v>
      </c>
      <c r="C329" s="101" t="s">
        <v>0</v>
      </c>
      <c r="D329" s="104" t="str">
        <f>$R$8</f>
        <v>Телесигнализация</v>
      </c>
    </row>
    <row r="330" spans="1:4">
      <c r="A330" s="100" t="str">
        <f t="shared" si="34"/>
        <v>АСУЭ.TOR.stTel_SV_on</v>
      </c>
      <c r="B330" s="101">
        <v>11000</v>
      </c>
      <c r="C330" s="101" t="s">
        <v>5</v>
      </c>
      <c r="D330" s="103">
        <v>2147483680</v>
      </c>
    </row>
    <row r="331" spans="1:4">
      <c r="A331" s="19" t="str">
        <f t="shared" si="34"/>
        <v>АСУЭ.TOR.stTel_SV_on</v>
      </c>
      <c r="B331" s="11">
        <v>7999</v>
      </c>
      <c r="C331" s="11" t="s">
        <v>0</v>
      </c>
      <c r="D331" s="20" t="str">
        <f>"#"&amp;$S$2&amp;"#"&amp;$T$2&amp;"."&amp;$P$2&amp;".stTel_SV_on"</f>
        <v>#3#\\Setup_rza\Modbus.OPCServer\ZRU_Sepam.VV1_TOR.stTel_SV_on</v>
      </c>
    </row>
    <row r="332" spans="1:4">
      <c r="A332" s="19" t="str">
        <f t="shared" si="34"/>
        <v>АСУЭ.TOR.stTel_SV_on</v>
      </c>
      <c r="B332" s="11">
        <v>7998</v>
      </c>
      <c r="C332" s="11" t="s">
        <v>6</v>
      </c>
      <c r="D332" s="20">
        <v>1</v>
      </c>
    </row>
    <row r="333" spans="1:4">
      <c r="A333" s="19" t="str">
        <f t="shared" si="34"/>
        <v>АСУЭ.TOR.stTel_SV_on</v>
      </c>
      <c r="B333" s="11">
        <v>101</v>
      </c>
      <c r="C333" s="11" t="s">
        <v>0</v>
      </c>
      <c r="D333" s="20" t="s">
        <v>2841</v>
      </c>
    </row>
    <row r="334" spans="1:4">
      <c r="A334" s="19" t="str">
        <f t="shared" si="34"/>
        <v>АСУЭ.TOR.stTel_SV_on</v>
      </c>
      <c r="B334" s="11">
        <v>3</v>
      </c>
      <c r="C334" s="11" t="s">
        <v>1</v>
      </c>
      <c r="D334" s="20">
        <v>192</v>
      </c>
    </row>
    <row r="335" spans="1:4">
      <c r="A335" s="19" t="str">
        <f t="shared" si="34"/>
        <v>АСУЭ.TOR.stTel_SV_on</v>
      </c>
      <c r="B335" s="11">
        <v>2</v>
      </c>
      <c r="C335" s="11" t="s">
        <v>2</v>
      </c>
      <c r="D335" s="20" t="s">
        <v>3</v>
      </c>
    </row>
    <row r="336" spans="1:4">
      <c r="A336" s="21" t="str">
        <f t="shared" si="34"/>
        <v>АСУЭ.TOR.stTel_SV_on</v>
      </c>
      <c r="B336" s="8">
        <v>1</v>
      </c>
      <c r="C336" s="8" t="s">
        <v>1</v>
      </c>
      <c r="D336" s="22">
        <v>11</v>
      </c>
    </row>
    <row r="337" spans="1:4">
      <c r="A337" s="100" t="str">
        <f>$R$2&amp;".stTel_SV_off"</f>
        <v>АСУЭ.TOR.stTel_SV_off</v>
      </c>
      <c r="B337" s="101">
        <v>11154</v>
      </c>
      <c r="C337" s="101" t="s">
        <v>4</v>
      </c>
      <c r="D337" s="102">
        <f>$Q$8</f>
        <v>18</v>
      </c>
    </row>
    <row r="338" spans="1:4">
      <c r="A338" s="100" t="str">
        <f t="shared" ref="A338:A346" si="35">$R$2&amp;".stTel_SV_off"</f>
        <v>АСУЭ.TOR.stTel_SV_off</v>
      </c>
      <c r="B338" s="101">
        <v>11150</v>
      </c>
      <c r="C338" s="101" t="s">
        <v>0</v>
      </c>
      <c r="D338" s="103" t="s">
        <v>2842</v>
      </c>
    </row>
    <row r="339" spans="1:4">
      <c r="A339" s="100" t="str">
        <f t="shared" si="35"/>
        <v>АСУЭ.TOR.stTel_SV_off</v>
      </c>
      <c r="B339" s="101">
        <v>11152</v>
      </c>
      <c r="C339" s="101" t="s">
        <v>0</v>
      </c>
      <c r="D339" s="104" t="str">
        <f>$R$8</f>
        <v>Телесигнализация</v>
      </c>
    </row>
    <row r="340" spans="1:4">
      <c r="A340" s="100" t="str">
        <f t="shared" si="35"/>
        <v>АСУЭ.TOR.stTel_SV_off</v>
      </c>
      <c r="B340" s="101">
        <v>11000</v>
      </c>
      <c r="C340" s="101" t="s">
        <v>5</v>
      </c>
      <c r="D340" s="103">
        <v>2147483680</v>
      </c>
    </row>
    <row r="341" spans="1:4">
      <c r="A341" s="19" t="str">
        <f t="shared" si="35"/>
        <v>АСУЭ.TOR.stTel_SV_off</v>
      </c>
      <c r="B341" s="11">
        <v>7999</v>
      </c>
      <c r="C341" s="11" t="s">
        <v>0</v>
      </c>
      <c r="D341" s="20" t="str">
        <f>"#"&amp;$S$2&amp;"#"&amp;$T$2&amp;"."&amp;$P$2&amp;".stTel_SV_off"</f>
        <v>#3#\\Setup_rza\Modbus.OPCServer\ZRU_Sepam.VV1_TOR.stTel_SV_off</v>
      </c>
    </row>
    <row r="342" spans="1:4">
      <c r="A342" s="19" t="str">
        <f t="shared" si="35"/>
        <v>АСУЭ.TOR.stTel_SV_off</v>
      </c>
      <c r="B342" s="11">
        <v>7998</v>
      </c>
      <c r="C342" s="11" t="s">
        <v>6</v>
      </c>
      <c r="D342" s="20">
        <v>1</v>
      </c>
    </row>
    <row r="343" spans="1:4">
      <c r="A343" s="19" t="str">
        <f t="shared" si="35"/>
        <v>АСУЭ.TOR.stTel_SV_off</v>
      </c>
      <c r="B343" s="11">
        <v>101</v>
      </c>
      <c r="C343" s="11" t="s">
        <v>0</v>
      </c>
      <c r="D343" s="20" t="s">
        <v>2842</v>
      </c>
    </row>
    <row r="344" spans="1:4">
      <c r="A344" s="19" t="str">
        <f t="shared" si="35"/>
        <v>АСУЭ.TOR.stTel_SV_off</v>
      </c>
      <c r="B344" s="11">
        <v>3</v>
      </c>
      <c r="C344" s="11" t="s">
        <v>1</v>
      </c>
      <c r="D344" s="20">
        <v>192</v>
      </c>
    </row>
    <row r="345" spans="1:4">
      <c r="A345" s="19" t="str">
        <f t="shared" si="35"/>
        <v>АСУЭ.TOR.stTel_SV_off</v>
      </c>
      <c r="B345" s="11">
        <v>2</v>
      </c>
      <c r="C345" s="11" t="s">
        <v>2</v>
      </c>
      <c r="D345" s="20" t="s">
        <v>3</v>
      </c>
    </row>
    <row r="346" spans="1:4">
      <c r="A346" s="21" t="str">
        <f t="shared" si="35"/>
        <v>АСУЭ.TOR.stTel_SV_off</v>
      </c>
      <c r="B346" s="8">
        <v>1</v>
      </c>
      <c r="C346" s="8" t="s">
        <v>1</v>
      </c>
      <c r="D346" s="22">
        <v>11</v>
      </c>
    </row>
    <row r="347" spans="1:4">
      <c r="A347" s="100" t="str">
        <f>$R$2&amp;".stMeter_SW_off"</f>
        <v>АСУЭ.TOR.stMeter_SW_off</v>
      </c>
      <c r="B347" s="101">
        <v>11154</v>
      </c>
      <c r="C347" s="101" t="s">
        <v>4</v>
      </c>
      <c r="D347" s="102">
        <f>$Q$8</f>
        <v>18</v>
      </c>
    </row>
    <row r="348" spans="1:4" ht="15.75" customHeight="1">
      <c r="A348" s="100" t="str">
        <f t="shared" ref="A348:A356" si="36">$R$2&amp;".stMeter_SW_off"</f>
        <v>АСУЭ.TOR.stMeter_SW_off</v>
      </c>
      <c r="B348" s="101">
        <v>11150</v>
      </c>
      <c r="C348" s="101" t="s">
        <v>0</v>
      </c>
      <c r="D348" s="103" t="s">
        <v>2843</v>
      </c>
    </row>
    <row r="349" spans="1:4">
      <c r="A349" s="100" t="str">
        <f t="shared" si="36"/>
        <v>АСУЭ.TOR.stMeter_SW_off</v>
      </c>
      <c r="B349" s="101">
        <v>11152</v>
      </c>
      <c r="C349" s="101" t="s">
        <v>0</v>
      </c>
      <c r="D349" s="104" t="str">
        <f>$R$8</f>
        <v>Телесигнализация</v>
      </c>
    </row>
    <row r="350" spans="1:4">
      <c r="A350" s="100" t="str">
        <f t="shared" si="36"/>
        <v>АСУЭ.TOR.stMeter_SW_off</v>
      </c>
      <c r="B350" s="101">
        <v>11000</v>
      </c>
      <c r="C350" s="101" t="s">
        <v>5</v>
      </c>
      <c r="D350" s="103">
        <v>2147483680</v>
      </c>
    </row>
    <row r="351" spans="1:4">
      <c r="A351" s="19" t="str">
        <f t="shared" si="36"/>
        <v>АСУЭ.TOR.stMeter_SW_off</v>
      </c>
      <c r="B351" s="11">
        <v>7999</v>
      </c>
      <c r="C351" s="11" t="s">
        <v>0</v>
      </c>
      <c r="D351" s="20" t="str">
        <f>"#"&amp;$S$2&amp;"#"&amp;$T$2&amp;"."&amp;$P$2&amp;".stMeter_SW_off"</f>
        <v>#3#\\Setup_rza\Modbus.OPCServer\ZRU_Sepam.VV1_TOR.stMeter_SW_off</v>
      </c>
    </row>
    <row r="352" spans="1:4">
      <c r="A352" s="19" t="str">
        <f t="shared" si="36"/>
        <v>АСУЭ.TOR.stMeter_SW_off</v>
      </c>
      <c r="B352" s="11">
        <v>7998</v>
      </c>
      <c r="C352" s="11" t="s">
        <v>6</v>
      </c>
      <c r="D352" s="20">
        <v>1</v>
      </c>
    </row>
    <row r="353" spans="1:4">
      <c r="A353" s="19" t="str">
        <f t="shared" si="36"/>
        <v>АСУЭ.TOR.stMeter_SW_off</v>
      </c>
      <c r="B353" s="11">
        <v>101</v>
      </c>
      <c r="C353" s="11" t="s">
        <v>0</v>
      </c>
      <c r="D353" s="20" t="s">
        <v>2843</v>
      </c>
    </row>
    <row r="354" spans="1:4">
      <c r="A354" s="19" t="str">
        <f t="shared" si="36"/>
        <v>АСУЭ.TOR.stMeter_SW_off</v>
      </c>
      <c r="B354" s="11">
        <v>3</v>
      </c>
      <c r="C354" s="11" t="s">
        <v>1</v>
      </c>
      <c r="D354" s="20">
        <v>192</v>
      </c>
    </row>
    <row r="355" spans="1:4">
      <c r="A355" s="19" t="str">
        <f t="shared" si="36"/>
        <v>АСУЭ.TOR.stMeter_SW_off</v>
      </c>
      <c r="B355" s="11">
        <v>2</v>
      </c>
      <c r="C355" s="11" t="s">
        <v>2</v>
      </c>
      <c r="D355" s="20" t="s">
        <v>3</v>
      </c>
    </row>
    <row r="356" spans="1:4">
      <c r="A356" s="21" t="str">
        <f t="shared" si="36"/>
        <v>АСУЭ.TOR.stMeter_SW_off</v>
      </c>
      <c r="B356" s="8">
        <v>1</v>
      </c>
      <c r="C356" s="8" t="s">
        <v>1</v>
      </c>
      <c r="D356" s="22">
        <v>11</v>
      </c>
    </row>
    <row r="357" spans="1:4">
      <c r="A357" s="19" t="str">
        <f>$R$2&amp;".stTOff"</f>
        <v>АСУЭ.TOR.stTOff</v>
      </c>
      <c r="B357" s="11">
        <v>7000000</v>
      </c>
      <c r="C357" s="11" t="s">
        <v>6</v>
      </c>
      <c r="D357" s="20">
        <v>1</v>
      </c>
    </row>
    <row r="358" spans="1:4" ht="28.8">
      <c r="A358" s="19" t="str">
        <f t="shared" ref="A358:A368" si="37">$R$2&amp;".stTOff"</f>
        <v>АСУЭ.TOR.stTOff</v>
      </c>
      <c r="B358" s="11">
        <v>4000000</v>
      </c>
      <c r="C358" s="11" t="s">
        <v>0</v>
      </c>
      <c r="D358" s="72" t="s">
        <v>2844</v>
      </c>
    </row>
    <row r="359" spans="1:4">
      <c r="A359" s="100" t="str">
        <f t="shared" si="37"/>
        <v>АСУЭ.TOR.stTOff</v>
      </c>
      <c r="B359" s="101">
        <v>11154</v>
      </c>
      <c r="C359" s="101" t="s">
        <v>4</v>
      </c>
      <c r="D359" s="102">
        <f>$Q$8</f>
        <v>18</v>
      </c>
    </row>
    <row r="360" spans="1:4" ht="15.75" customHeight="1">
      <c r="A360" s="100" t="str">
        <f t="shared" si="37"/>
        <v>АСУЭ.TOR.stTOff</v>
      </c>
      <c r="B360" s="101">
        <v>11150</v>
      </c>
      <c r="C360" s="101" t="s">
        <v>0</v>
      </c>
      <c r="D360" s="103" t="s">
        <v>2845</v>
      </c>
    </row>
    <row r="361" spans="1:4">
      <c r="A361" s="100" t="str">
        <f t="shared" si="37"/>
        <v>АСУЭ.TOR.stTOff</v>
      </c>
      <c r="B361" s="101">
        <v>11152</v>
      </c>
      <c r="C361" s="101" t="s">
        <v>0</v>
      </c>
      <c r="D361" s="104" t="str">
        <f>$R$8</f>
        <v>Телесигнализация</v>
      </c>
    </row>
    <row r="362" spans="1:4">
      <c r="A362" s="100" t="str">
        <f t="shared" si="37"/>
        <v>АСУЭ.TOR.stTOff</v>
      </c>
      <c r="B362" s="101">
        <v>11000</v>
      </c>
      <c r="C362" s="101" t="s">
        <v>5</v>
      </c>
      <c r="D362" s="103">
        <v>2147483680</v>
      </c>
    </row>
    <row r="363" spans="1:4">
      <c r="A363" s="19" t="str">
        <f t="shared" si="37"/>
        <v>АСУЭ.TOR.stTOff</v>
      </c>
      <c r="B363" s="11">
        <v>7999</v>
      </c>
      <c r="C363" s="11" t="s">
        <v>0</v>
      </c>
      <c r="D363" s="20" t="str">
        <f>"#"&amp;$S$2&amp;"#"&amp;$T$2&amp;"."&amp;$P$2&amp;".stTOff"</f>
        <v>#3#\\Setup_rza\Modbus.OPCServer\ZRU_Sepam.VV1_TOR.stTOff</v>
      </c>
    </row>
    <row r="364" spans="1:4">
      <c r="A364" s="19" t="str">
        <f t="shared" si="37"/>
        <v>АСУЭ.TOR.stTOff</v>
      </c>
      <c r="B364" s="11">
        <v>7998</v>
      </c>
      <c r="C364" s="11" t="s">
        <v>6</v>
      </c>
      <c r="D364" s="20">
        <v>1</v>
      </c>
    </row>
    <row r="365" spans="1:4">
      <c r="A365" s="19" t="str">
        <f t="shared" si="37"/>
        <v>АСУЭ.TOR.stTOff</v>
      </c>
      <c r="B365" s="11">
        <v>101</v>
      </c>
      <c r="C365" s="11" t="s">
        <v>0</v>
      </c>
      <c r="D365" s="20" t="s">
        <v>2845</v>
      </c>
    </row>
    <row r="366" spans="1:4">
      <c r="A366" s="19" t="str">
        <f t="shared" si="37"/>
        <v>АСУЭ.TOR.stTOff</v>
      </c>
      <c r="B366" s="11">
        <v>3</v>
      </c>
      <c r="C366" s="11" t="s">
        <v>1</v>
      </c>
      <c r="D366" s="20">
        <v>192</v>
      </c>
    </row>
    <row r="367" spans="1:4">
      <c r="A367" s="19" t="str">
        <f t="shared" si="37"/>
        <v>АСУЭ.TOR.stTOff</v>
      </c>
      <c r="B367" s="11">
        <v>2</v>
      </c>
      <c r="C367" s="11" t="s">
        <v>2</v>
      </c>
      <c r="D367" s="20" t="s">
        <v>3</v>
      </c>
    </row>
    <row r="368" spans="1:4">
      <c r="A368" s="21" t="str">
        <f t="shared" si="37"/>
        <v>АСУЭ.TOR.stTOff</v>
      </c>
      <c r="B368" s="8">
        <v>1</v>
      </c>
      <c r="C368" s="8" t="s">
        <v>1</v>
      </c>
      <c r="D368" s="22">
        <v>11</v>
      </c>
    </row>
    <row r="369" spans="1:4">
      <c r="A369" s="19" t="str">
        <f>$R$2&amp;".stTOn"</f>
        <v>АСУЭ.TOR.stTOn</v>
      </c>
      <c r="B369" s="11">
        <v>7000000</v>
      </c>
      <c r="C369" s="11" t="s">
        <v>6</v>
      </c>
      <c r="D369" s="20">
        <v>1</v>
      </c>
    </row>
    <row r="370" spans="1:4" ht="28.8">
      <c r="A370" s="19" t="str">
        <f t="shared" ref="A370:A380" si="38">$R$2&amp;".stTOn"</f>
        <v>АСУЭ.TOR.stTOn</v>
      </c>
      <c r="B370" s="11">
        <v>4000000</v>
      </c>
      <c r="C370" s="11" t="s">
        <v>0</v>
      </c>
      <c r="D370" s="72" t="s">
        <v>2844</v>
      </c>
    </row>
    <row r="371" spans="1:4">
      <c r="A371" s="100" t="str">
        <f t="shared" si="38"/>
        <v>АСУЭ.TOR.stTOn</v>
      </c>
      <c r="B371" s="101">
        <v>11154</v>
      </c>
      <c r="C371" s="101" t="s">
        <v>4</v>
      </c>
      <c r="D371" s="102">
        <f>$Q$8</f>
        <v>18</v>
      </c>
    </row>
    <row r="372" spans="1:4">
      <c r="A372" s="100" t="str">
        <f t="shared" si="38"/>
        <v>АСУЭ.TOR.stTOn</v>
      </c>
      <c r="B372" s="101">
        <v>11150</v>
      </c>
      <c r="C372" s="101" t="s">
        <v>0</v>
      </c>
      <c r="D372" s="103" t="s">
        <v>2846</v>
      </c>
    </row>
    <row r="373" spans="1:4">
      <c r="A373" s="100" t="str">
        <f t="shared" si="38"/>
        <v>АСУЭ.TOR.stTOn</v>
      </c>
      <c r="B373" s="101">
        <v>11152</v>
      </c>
      <c r="C373" s="101" t="s">
        <v>0</v>
      </c>
      <c r="D373" s="104" t="str">
        <f>$R$8</f>
        <v>Телесигнализация</v>
      </c>
    </row>
    <row r="374" spans="1:4">
      <c r="A374" s="100" t="str">
        <f t="shared" si="38"/>
        <v>АСУЭ.TOR.stTOn</v>
      </c>
      <c r="B374" s="101">
        <v>11000</v>
      </c>
      <c r="C374" s="101" t="s">
        <v>5</v>
      </c>
      <c r="D374" s="103">
        <v>2147483680</v>
      </c>
    </row>
    <row r="375" spans="1:4">
      <c r="A375" s="19" t="str">
        <f t="shared" si="38"/>
        <v>АСУЭ.TOR.stTOn</v>
      </c>
      <c r="B375" s="11">
        <v>7999</v>
      </c>
      <c r="C375" s="11" t="s">
        <v>0</v>
      </c>
      <c r="D375" s="20" t="str">
        <f>"#"&amp;$S$2&amp;"#"&amp;$T$2&amp;"."&amp;$P$2&amp;".stTOn"</f>
        <v>#3#\\Setup_rza\Modbus.OPCServer\ZRU_Sepam.VV1_TOR.stTOn</v>
      </c>
    </row>
    <row r="376" spans="1:4">
      <c r="A376" s="19" t="str">
        <f t="shared" si="38"/>
        <v>АСУЭ.TOR.stTOn</v>
      </c>
      <c r="B376" s="11">
        <v>7998</v>
      </c>
      <c r="C376" s="11" t="s">
        <v>6</v>
      </c>
      <c r="D376" s="20">
        <v>1</v>
      </c>
    </row>
    <row r="377" spans="1:4">
      <c r="A377" s="19" t="str">
        <f t="shared" si="38"/>
        <v>АСУЭ.TOR.stTOn</v>
      </c>
      <c r="B377" s="11">
        <v>101</v>
      </c>
      <c r="C377" s="11" t="s">
        <v>0</v>
      </c>
      <c r="D377" s="20" t="s">
        <v>2846</v>
      </c>
    </row>
    <row r="378" spans="1:4">
      <c r="A378" s="19" t="str">
        <f t="shared" si="38"/>
        <v>АСУЭ.TOR.stTOn</v>
      </c>
      <c r="B378" s="11">
        <v>3</v>
      </c>
      <c r="C378" s="11" t="s">
        <v>1</v>
      </c>
      <c r="D378" s="20">
        <v>192</v>
      </c>
    </row>
    <row r="379" spans="1:4">
      <c r="A379" s="19" t="str">
        <f t="shared" si="38"/>
        <v>АСУЭ.TOR.stTOn</v>
      </c>
      <c r="B379" s="11">
        <v>2</v>
      </c>
      <c r="C379" s="11" t="s">
        <v>2</v>
      </c>
      <c r="D379" s="20" t="s">
        <v>3</v>
      </c>
    </row>
    <row r="380" spans="1:4">
      <c r="A380" s="21" t="str">
        <f t="shared" si="38"/>
        <v>АСУЭ.TOR.stTOn</v>
      </c>
      <c r="B380" s="8">
        <v>1</v>
      </c>
      <c r="C380" s="8" t="s">
        <v>1</v>
      </c>
      <c r="D380" s="22">
        <v>11</v>
      </c>
    </row>
    <row r="381" spans="1:4">
      <c r="A381" s="100" t="str">
        <f>$R$2&amp;".stZROff"</f>
        <v>АСУЭ.TOR.stZROff</v>
      </c>
      <c r="B381" s="101">
        <v>11154</v>
      </c>
      <c r="C381" s="101" t="s">
        <v>4</v>
      </c>
      <c r="D381" s="102">
        <f>$Q$8</f>
        <v>18</v>
      </c>
    </row>
    <row r="382" spans="1:4">
      <c r="A382" s="100" t="str">
        <f t="shared" ref="A382:A390" si="39">$R$2&amp;".stZROff"</f>
        <v>АСУЭ.TOR.stZROff</v>
      </c>
      <c r="B382" s="101">
        <v>11150</v>
      </c>
      <c r="C382" s="101" t="s">
        <v>0</v>
      </c>
      <c r="D382" s="103" t="s">
        <v>2847</v>
      </c>
    </row>
    <row r="383" spans="1:4">
      <c r="A383" s="100" t="str">
        <f t="shared" si="39"/>
        <v>АСУЭ.TOR.stZROff</v>
      </c>
      <c r="B383" s="101">
        <v>11152</v>
      </c>
      <c r="C383" s="101" t="s">
        <v>0</v>
      </c>
      <c r="D383" s="104" t="str">
        <f>$R$8</f>
        <v>Телесигнализация</v>
      </c>
    </row>
    <row r="384" spans="1:4">
      <c r="A384" s="100" t="str">
        <f t="shared" si="39"/>
        <v>АСУЭ.TOR.stZROff</v>
      </c>
      <c r="B384" s="101">
        <v>11000</v>
      </c>
      <c r="C384" s="101" t="s">
        <v>5</v>
      </c>
      <c r="D384" s="103">
        <v>2147483680</v>
      </c>
    </row>
    <row r="385" spans="1:4">
      <c r="A385" s="19" t="str">
        <f t="shared" si="39"/>
        <v>АСУЭ.TOR.stZROff</v>
      </c>
      <c r="B385" s="11">
        <v>7999</v>
      </c>
      <c r="C385" s="11" t="s">
        <v>0</v>
      </c>
      <c r="D385" s="20" t="str">
        <f>"#"&amp;$S$2&amp;"#"&amp;$T$2&amp;"."&amp;$P$2&amp;".stZROff"</f>
        <v>#3#\\Setup_rza\Modbus.OPCServer\ZRU_Sepam.VV1_TOR.stZROff</v>
      </c>
    </row>
    <row r="386" spans="1:4">
      <c r="A386" s="19" t="str">
        <f t="shared" si="39"/>
        <v>АСУЭ.TOR.stZROff</v>
      </c>
      <c r="B386" s="11">
        <v>7998</v>
      </c>
      <c r="C386" s="11" t="s">
        <v>6</v>
      </c>
      <c r="D386" s="20">
        <v>1</v>
      </c>
    </row>
    <row r="387" spans="1:4" ht="15" customHeight="1">
      <c r="A387" s="19" t="str">
        <f t="shared" si="39"/>
        <v>АСУЭ.TOR.stZROff</v>
      </c>
      <c r="B387" s="11">
        <v>101</v>
      </c>
      <c r="C387" s="11" t="s">
        <v>0</v>
      </c>
      <c r="D387" s="20" t="s">
        <v>2847</v>
      </c>
    </row>
    <row r="388" spans="1:4">
      <c r="A388" s="19" t="str">
        <f t="shared" si="39"/>
        <v>АСУЭ.TOR.stZROff</v>
      </c>
      <c r="B388" s="11">
        <v>3</v>
      </c>
      <c r="C388" s="11" t="s">
        <v>1</v>
      </c>
      <c r="D388" s="20">
        <v>192</v>
      </c>
    </row>
    <row r="389" spans="1:4">
      <c r="A389" s="19" t="str">
        <f t="shared" si="39"/>
        <v>АСУЭ.TOR.stZROff</v>
      </c>
      <c r="B389" s="11">
        <v>2</v>
      </c>
      <c r="C389" s="11" t="s">
        <v>2</v>
      </c>
      <c r="D389" s="20" t="s">
        <v>3</v>
      </c>
    </row>
    <row r="390" spans="1:4">
      <c r="A390" s="21" t="str">
        <f t="shared" si="39"/>
        <v>АСУЭ.TOR.stZROff</v>
      </c>
      <c r="B390" s="8">
        <v>1</v>
      </c>
      <c r="C390" s="8" t="s">
        <v>1</v>
      </c>
      <c r="D390" s="22">
        <v>11</v>
      </c>
    </row>
    <row r="391" spans="1:4">
      <c r="A391" s="16" t="str">
        <f t="shared" ref="A391:A398" si="40">$R$2&amp;".Commands.coRepair"</f>
        <v>АСУЭ.TOR.Commands.coRepair</v>
      </c>
      <c r="B391" s="17">
        <v>7011</v>
      </c>
      <c r="C391" s="17" t="s">
        <v>2</v>
      </c>
      <c r="D391" s="18" t="s">
        <v>266</v>
      </c>
    </row>
    <row r="392" spans="1:4">
      <c r="A392" s="140" t="str">
        <f t="shared" si="40"/>
        <v>АСУЭ.TOR.Commands.coRepair</v>
      </c>
      <c r="B392" s="141">
        <v>11152</v>
      </c>
      <c r="C392" s="141" t="s">
        <v>0</v>
      </c>
      <c r="D392" s="142" t="str">
        <f>$R$11</f>
        <v>Ремонт</v>
      </c>
    </row>
    <row r="393" spans="1:4">
      <c r="A393" s="140" t="str">
        <f t="shared" si="40"/>
        <v>АСУЭ.TOR.Commands.coRepair</v>
      </c>
      <c r="B393" s="141">
        <v>11154</v>
      </c>
      <c r="C393" s="141" t="s">
        <v>4</v>
      </c>
      <c r="D393" s="142">
        <f>$Q$11</f>
        <v>14</v>
      </c>
    </row>
    <row r="394" spans="1:4">
      <c r="A394" s="140" t="str">
        <f t="shared" si="40"/>
        <v>АСУЭ.TOR.Commands.coRepair</v>
      </c>
      <c r="B394" s="141">
        <v>11150</v>
      </c>
      <c r="C394" s="141" t="s">
        <v>0</v>
      </c>
      <c r="D394" s="142" t="s">
        <v>89</v>
      </c>
    </row>
    <row r="395" spans="1:4">
      <c r="A395" s="140" t="str">
        <f t="shared" si="40"/>
        <v>АСУЭ.TOR.Commands.coRepair</v>
      </c>
      <c r="B395" s="141">
        <v>11000</v>
      </c>
      <c r="C395" s="141" t="s">
        <v>5</v>
      </c>
      <c r="D395" s="142">
        <v>2147483680</v>
      </c>
    </row>
    <row r="396" spans="1:4">
      <c r="A396" s="19" t="str">
        <f t="shared" si="40"/>
        <v>АСУЭ.TOR.Commands.coRepair</v>
      </c>
      <c r="B396" s="11">
        <v>1</v>
      </c>
      <c r="C396" s="11" t="s">
        <v>1</v>
      </c>
      <c r="D396" s="20">
        <v>11</v>
      </c>
    </row>
    <row r="397" spans="1:4" ht="409.6">
      <c r="A397" s="29" t="str">
        <f t="shared" si="40"/>
        <v>АСУЭ.TOR.Commands.coRepair</v>
      </c>
      <c r="B397" s="1">
        <v>4000000</v>
      </c>
      <c r="C397" s="1" t="s">
        <v>0</v>
      </c>
      <c r="D397" s="749" t="s">
        <v>2848</v>
      </c>
    </row>
    <row r="398" spans="1:4">
      <c r="A398" s="26" t="str">
        <f t="shared" si="40"/>
        <v>АСУЭ.TOR.Commands.coRepair</v>
      </c>
      <c r="B398" s="27">
        <v>7000000</v>
      </c>
      <c r="C398" s="27" t="s">
        <v>6</v>
      </c>
      <c r="D398" s="28">
        <v>2</v>
      </c>
    </row>
    <row r="399" spans="1:4">
      <c r="A399" s="16" t="str">
        <f>$R$2&amp;".Commands.coOSC"</f>
        <v>АСУЭ.TOR.Commands.coOSC</v>
      </c>
      <c r="B399" s="17">
        <v>7000000</v>
      </c>
      <c r="C399" s="17" t="s">
        <v>6</v>
      </c>
      <c r="D399" s="18">
        <v>0</v>
      </c>
    </row>
    <row r="400" spans="1:4">
      <c r="A400" s="19" t="str">
        <f t="shared" ref="A400:A403" si="41">$R$2&amp;".Commands.coOSC"</f>
        <v>АСУЭ.TOR.Commands.coOSC</v>
      </c>
      <c r="B400" s="11">
        <v>101</v>
      </c>
      <c r="C400" s="11" t="s">
        <v>0</v>
      </c>
      <c r="D400" s="20" t="s">
        <v>2796</v>
      </c>
    </row>
    <row r="401" spans="1:20">
      <c r="A401" s="19" t="str">
        <f t="shared" si="41"/>
        <v>АСУЭ.TOR.Commands.coOSC</v>
      </c>
      <c r="B401" s="11">
        <v>7999</v>
      </c>
      <c r="C401" s="11" t="s">
        <v>0</v>
      </c>
      <c r="D401" s="20" t="str">
        <f>"#"&amp;$S$2&amp;"#"&amp;$T$2&amp;"."&amp;$P$2&amp;".Commands.coOSC"</f>
        <v>#3#\\Setup_rza\Modbus.OPCServer\ZRU_Sepam.VV1_TOR.Commands.coOSC</v>
      </c>
      <c r="Q401" s="1"/>
      <c r="R401" s="1"/>
      <c r="S401" s="1"/>
      <c r="T401" s="1"/>
    </row>
    <row r="402" spans="1:20">
      <c r="A402" s="19" t="str">
        <f t="shared" si="41"/>
        <v>АСУЭ.TOR.Commands.coOSC</v>
      </c>
      <c r="B402" s="11">
        <v>7998</v>
      </c>
      <c r="C402" s="11" t="s">
        <v>6</v>
      </c>
      <c r="D402" s="20">
        <v>2</v>
      </c>
      <c r="Q402" s="1"/>
      <c r="R402" s="1"/>
      <c r="S402" s="1"/>
      <c r="T402" s="1"/>
    </row>
    <row r="403" spans="1:20">
      <c r="A403" s="21" t="str">
        <f t="shared" si="41"/>
        <v>АСУЭ.TOR.Commands.coOSC</v>
      </c>
      <c r="B403" s="8">
        <v>1</v>
      </c>
      <c r="C403" s="8" t="s">
        <v>1</v>
      </c>
      <c r="D403" s="22">
        <v>11</v>
      </c>
      <c r="Q403" s="1"/>
      <c r="R403" s="1"/>
      <c r="S403" s="1"/>
      <c r="T403" s="1"/>
    </row>
    <row r="404" spans="1:20">
      <c r="A404" s="275" t="str">
        <f>$R$2&amp;".mUab"</f>
        <v>АСУЭ.TOR.mUab</v>
      </c>
      <c r="B404" s="276">
        <v>7999</v>
      </c>
      <c r="C404" s="276" t="s">
        <v>0</v>
      </c>
      <c r="D404" s="277" t="str">
        <f>"#"&amp;$S$2&amp;"#"&amp;$T$2&amp;"."&amp;$P$2&amp;".mUab"</f>
        <v>#3#\\Setup_rza\Modbus.OPCServer\ZRU_Sepam.VV1_TOR.mUab</v>
      </c>
      <c r="Q404" s="1"/>
      <c r="R404" s="1"/>
      <c r="S404" s="1"/>
      <c r="T404" s="1"/>
    </row>
    <row r="405" spans="1:20">
      <c r="A405" s="278" t="str">
        <f t="shared" ref="A405:A409" si="42">$R$2&amp;".mUab"</f>
        <v>АСУЭ.TOR.mUab</v>
      </c>
      <c r="B405" s="279">
        <v>7998</v>
      </c>
      <c r="C405" s="279" t="s">
        <v>6</v>
      </c>
      <c r="D405" s="280">
        <v>1</v>
      </c>
      <c r="Q405" s="1"/>
      <c r="R405" s="1"/>
      <c r="S405" s="1"/>
      <c r="T405" s="1"/>
    </row>
    <row r="406" spans="1:20">
      <c r="A406" s="278" t="str">
        <f t="shared" si="42"/>
        <v>АСУЭ.TOR.mUab</v>
      </c>
      <c r="B406" s="279">
        <v>101</v>
      </c>
      <c r="C406" s="279" t="s">
        <v>0</v>
      </c>
      <c r="D406" s="280" t="s">
        <v>2797</v>
      </c>
      <c r="Q406" s="1"/>
      <c r="R406" s="1"/>
      <c r="S406" s="1"/>
      <c r="T406" s="1"/>
    </row>
    <row r="407" spans="1:20">
      <c r="A407" s="278" t="str">
        <f t="shared" si="42"/>
        <v>АСУЭ.TOR.mUab</v>
      </c>
      <c r="B407" s="279">
        <v>3</v>
      </c>
      <c r="C407" s="279" t="s">
        <v>1</v>
      </c>
      <c r="D407" s="280">
        <v>192</v>
      </c>
      <c r="Q407" s="1"/>
      <c r="R407" s="1"/>
      <c r="S407" s="1"/>
      <c r="T407" s="1"/>
    </row>
    <row r="408" spans="1:20">
      <c r="A408" s="278" t="str">
        <f t="shared" si="42"/>
        <v>АСУЭ.TOR.mUab</v>
      </c>
      <c r="B408" s="279">
        <v>2</v>
      </c>
      <c r="C408" s="279" t="s">
        <v>80</v>
      </c>
      <c r="D408" s="280">
        <v>0</v>
      </c>
      <c r="Q408" s="1"/>
      <c r="R408" s="1"/>
      <c r="S408" s="1"/>
      <c r="T408" s="1"/>
    </row>
    <row r="409" spans="1:20">
      <c r="A409" s="281" t="str">
        <f t="shared" si="42"/>
        <v>АСУЭ.TOR.mUab</v>
      </c>
      <c r="B409" s="282">
        <v>1</v>
      </c>
      <c r="C409" s="282" t="s">
        <v>1</v>
      </c>
      <c r="D409" s="283">
        <v>4</v>
      </c>
      <c r="Q409" s="1"/>
      <c r="R409" s="1"/>
      <c r="S409" s="1"/>
      <c r="T409" s="1"/>
    </row>
    <row r="410" spans="1:20">
      <c r="A410" s="275" t="str">
        <f>$R$2&amp;".mUbc"</f>
        <v>АСУЭ.TOR.mUbc</v>
      </c>
      <c r="B410" s="276">
        <v>7999</v>
      </c>
      <c r="C410" s="276" t="s">
        <v>0</v>
      </c>
      <c r="D410" s="277" t="str">
        <f>"#"&amp;$S$2&amp;"#"&amp;$T$2&amp;"."&amp;$P$2&amp;".mUbc"</f>
        <v>#3#\\Setup_rza\Modbus.OPCServer\ZRU_Sepam.VV1_TOR.mUbc</v>
      </c>
      <c r="Q410" s="1"/>
      <c r="R410" s="1"/>
      <c r="S410" s="1"/>
      <c r="T410" s="1"/>
    </row>
    <row r="411" spans="1:20">
      <c r="A411" s="278" t="str">
        <f t="shared" ref="A411:A415" si="43">$R$2&amp;".mUbc"</f>
        <v>АСУЭ.TOR.mUbc</v>
      </c>
      <c r="B411" s="279">
        <v>7998</v>
      </c>
      <c r="C411" s="279" t="s">
        <v>6</v>
      </c>
      <c r="D411" s="280">
        <v>1</v>
      </c>
      <c r="Q411" s="1"/>
      <c r="R411" s="1"/>
      <c r="S411" s="1"/>
      <c r="T411" s="1"/>
    </row>
    <row r="412" spans="1:20">
      <c r="A412" s="278" t="str">
        <f t="shared" si="43"/>
        <v>АСУЭ.TOR.mUbc</v>
      </c>
      <c r="B412" s="279">
        <v>101</v>
      </c>
      <c r="C412" s="279" t="s">
        <v>0</v>
      </c>
      <c r="D412" s="280" t="s">
        <v>2798</v>
      </c>
    </row>
    <row r="413" spans="1:20">
      <c r="A413" s="278" t="str">
        <f t="shared" si="43"/>
        <v>АСУЭ.TOR.mUbc</v>
      </c>
      <c r="B413" s="279">
        <v>3</v>
      </c>
      <c r="C413" s="279" t="s">
        <v>1</v>
      </c>
      <c r="D413" s="280">
        <v>192</v>
      </c>
    </row>
    <row r="414" spans="1:20">
      <c r="A414" s="278" t="str">
        <f t="shared" si="43"/>
        <v>АСУЭ.TOR.mUbc</v>
      </c>
      <c r="B414" s="279">
        <v>2</v>
      </c>
      <c r="C414" s="279" t="s">
        <v>80</v>
      </c>
      <c r="D414" s="280">
        <v>0</v>
      </c>
    </row>
    <row r="415" spans="1:20">
      <c r="A415" s="281" t="str">
        <f t="shared" si="43"/>
        <v>АСУЭ.TOR.mUbc</v>
      </c>
      <c r="B415" s="282">
        <v>1</v>
      </c>
      <c r="C415" s="282" t="s">
        <v>1</v>
      </c>
      <c r="D415" s="283">
        <v>4</v>
      </c>
    </row>
    <row r="416" spans="1:20">
      <c r="A416" s="275" t="str">
        <f>$R$2&amp;".mUac"</f>
        <v>АСУЭ.TOR.mUac</v>
      </c>
      <c r="B416" s="276">
        <v>7999</v>
      </c>
      <c r="C416" s="276" t="s">
        <v>0</v>
      </c>
      <c r="D416" s="277" t="str">
        <f>"#"&amp;$S$2&amp;"#"&amp;$T$2&amp;"."&amp;$P$2&amp;".mUac"</f>
        <v>#3#\\Setup_rza\Modbus.OPCServer\ZRU_Sepam.VV1_TOR.mUac</v>
      </c>
    </row>
    <row r="417" spans="1:4">
      <c r="A417" s="278" t="str">
        <f t="shared" ref="A417:A421" si="44">$R$2&amp;".mUac"</f>
        <v>АСУЭ.TOR.mUac</v>
      </c>
      <c r="B417" s="279">
        <v>7998</v>
      </c>
      <c r="C417" s="279" t="s">
        <v>6</v>
      </c>
      <c r="D417" s="280">
        <v>1</v>
      </c>
    </row>
    <row r="418" spans="1:4">
      <c r="A418" s="278" t="str">
        <f t="shared" si="44"/>
        <v>АСУЭ.TOR.mUac</v>
      </c>
      <c r="B418" s="279">
        <v>101</v>
      </c>
      <c r="C418" s="279" t="s">
        <v>0</v>
      </c>
      <c r="D418" s="280" t="s">
        <v>2799</v>
      </c>
    </row>
    <row r="419" spans="1:4">
      <c r="A419" s="278" t="str">
        <f t="shared" si="44"/>
        <v>АСУЭ.TOR.mUac</v>
      </c>
      <c r="B419" s="279">
        <v>3</v>
      </c>
      <c r="C419" s="279" t="s">
        <v>1</v>
      </c>
      <c r="D419" s="280">
        <v>192</v>
      </c>
    </row>
    <row r="420" spans="1:4">
      <c r="A420" s="278" t="str">
        <f t="shared" si="44"/>
        <v>АСУЭ.TOR.mUac</v>
      </c>
      <c r="B420" s="279">
        <v>2</v>
      </c>
      <c r="C420" s="279" t="s">
        <v>80</v>
      </c>
      <c r="D420" s="280">
        <v>0</v>
      </c>
    </row>
    <row r="421" spans="1:4">
      <c r="A421" s="281" t="str">
        <f t="shared" si="44"/>
        <v>АСУЭ.TOR.mUac</v>
      </c>
      <c r="B421" s="282">
        <v>1</v>
      </c>
      <c r="C421" s="282" t="s">
        <v>1</v>
      </c>
      <c r="D421" s="283">
        <v>4</v>
      </c>
    </row>
    <row r="422" spans="1:4">
      <c r="A422" s="275" t="str">
        <f>$R$2&amp;".mFreq"</f>
        <v>АСУЭ.TOR.mFreq</v>
      </c>
      <c r="B422" s="276">
        <v>7999</v>
      </c>
      <c r="C422" s="276" t="s">
        <v>0</v>
      </c>
      <c r="D422" s="277" t="str">
        <f>"#"&amp;$S$2&amp;"#"&amp;$T$2&amp;"."&amp;$P$2&amp;".mFreq"</f>
        <v>#3#\\Setup_rza\Modbus.OPCServer\ZRU_Sepam.VV1_TOR.mFreq</v>
      </c>
    </row>
    <row r="423" spans="1:4">
      <c r="A423" s="278" t="str">
        <f t="shared" ref="A423:A427" si="45">$R$2&amp;".mFreq"</f>
        <v>АСУЭ.TOR.mFreq</v>
      </c>
      <c r="B423" s="279">
        <v>7998</v>
      </c>
      <c r="C423" s="279" t="s">
        <v>6</v>
      </c>
      <c r="D423" s="280">
        <v>1</v>
      </c>
    </row>
    <row r="424" spans="1:4">
      <c r="A424" s="278" t="str">
        <f t="shared" si="45"/>
        <v>АСУЭ.TOR.mFreq</v>
      </c>
      <c r="B424" s="279">
        <v>101</v>
      </c>
      <c r="C424" s="279" t="s">
        <v>0</v>
      </c>
      <c r="D424" s="280" t="s">
        <v>356</v>
      </c>
    </row>
    <row r="425" spans="1:4">
      <c r="A425" s="278" t="str">
        <f t="shared" si="45"/>
        <v>АСУЭ.TOR.mFreq</v>
      </c>
      <c r="B425" s="279">
        <v>3</v>
      </c>
      <c r="C425" s="279" t="s">
        <v>1</v>
      </c>
      <c r="D425" s="280">
        <v>192</v>
      </c>
    </row>
    <row r="426" spans="1:4">
      <c r="A426" s="278" t="str">
        <f t="shared" si="45"/>
        <v>АСУЭ.TOR.mFreq</v>
      </c>
      <c r="B426" s="279">
        <v>2</v>
      </c>
      <c r="C426" s="279" t="s">
        <v>80</v>
      </c>
      <c r="D426" s="280">
        <v>0</v>
      </c>
    </row>
    <row r="427" spans="1:4">
      <c r="A427" s="281" t="str">
        <f t="shared" si="45"/>
        <v>АСУЭ.TOR.mFreq</v>
      </c>
      <c r="B427" s="282">
        <v>1</v>
      </c>
      <c r="C427" s="282" t="s">
        <v>1</v>
      </c>
      <c r="D427" s="283">
        <v>4</v>
      </c>
    </row>
  </sheetData>
  <autoFilter ref="B1:B417" xr:uid="{00000000-0009-0000-0000-000035000000}"/>
  <mergeCells count="3">
    <mergeCell ref="D19:E19"/>
    <mergeCell ref="Q28:Q29"/>
    <mergeCell ref="Q30:Q31"/>
  </mergeCell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Лист210">
    <tabColor rgb="FFFFC000"/>
  </sheetPr>
  <dimension ref="A1"/>
  <sheetViews>
    <sheetView workbookViewId="0">
      <selection activeCell="D2" sqref="D2:D4"/>
    </sheetView>
  </sheetViews>
  <sheetFormatPr defaultRowHeight="14.4"/>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Лист103">
    <tabColor rgb="FFFFC000"/>
  </sheetPr>
  <dimension ref="A1:BP357"/>
  <sheetViews>
    <sheetView topLeftCell="A4" zoomScale="70" zoomScaleNormal="70" workbookViewId="0">
      <selection activeCell="D2" sqref="D2:D4"/>
    </sheetView>
  </sheetViews>
  <sheetFormatPr defaultRowHeight="14.4"/>
  <cols>
    <col min="1" max="1" width="66.4414062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64.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57"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544"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545" t="str">
        <f>Таблица!Y1</f>
        <v>FB_AI_S, FB_DI_S, FB_QSA_S, FB_DO_S, FB_SHPS_S, FB_SHOP_S, FB_BTF_S: IVXX
FB_KL_UPT_S: ISON
SW_S301, SW_MES3508: Подключение к порту 1
SW_MAYAK: Подключение к порту 1,2 (через "\")
DI_DIAG, DO_DIAG: XVLX</v>
      </c>
      <c r="AL1" s="54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54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545" t="str">
        <f>Таблица!AB1</f>
        <v>FB_IMstp_S, FB_IMsp_S, FB_IMs_S, FB_REG_S, FB_IM_ADES_S : ILCX
SW_S301: Подключение к порту 4
SW_MAYAK, SW_MES3508: Подключение к порту 7,8 (через "\")</v>
      </c>
      <c r="AO1" s="545" t="str">
        <f>Таблица!AC1</f>
        <v xml:space="preserve">FB_IMstp_S, FB_IMsp_S, FB_IMs_S, FB_IMp_S, FB_IMv_S, FB_REG_S, FB_IM_ADES_S, FB_DO_S : IRCX
SW_S301, SW_MES3508: Подключение к порту 5
SW_MAYAK: Подключение к порту 9,10 (через "\")
</v>
      </c>
      <c r="AP1" s="54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54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545" t="str">
        <f>Таблица!AF1</f>
        <v xml:space="preserve">FB_IMstp_S, FB_IMsp_S, FB_IMs_S, FB_IMp_S, FB_IMv_S, FB_IM_ADES_S, FB_OZK_KD_S, FB_DO_S: OXOF
SW_S301, SW_MES3508: Подключение к порту 8
SW_MAYAK: Подключение к порту 15,16 (через "\")
</v>
      </c>
      <c r="AS1" s="545" t="str">
        <f>Таблица!AG1</f>
        <v xml:space="preserve">FB_IM_ADES_S, FB_IMp_S, FB_IMv_S: OXSP
FB_IMstp_S, FB_IMsp_S, FB_IMsp_MON_S: IPTC
SW_S301, SW_MES3508: Подключение к порту 9
SW_MAYAK: Подключение к порту 17,18 (через "\")
</v>
      </c>
      <c r="AT1" s="545" t="str">
        <f>Таблица!AH1</f>
        <v xml:space="preserve">FB_IMstp_S, FB_IMst_MON_S, FB_IMt_MON_S: ITON
FB_IM_ADES_S: IOLD
SW_S301, SW_MES3508: Подключение к порту 10
SW_MAYAK: Подключение к порту 19,20 (через "\")
</v>
      </c>
      <c r="AU1" s="545" t="str">
        <f>Таблица!AI1</f>
        <v>FB_IMstp_S, FB_IMst_MON_S, FB_IMt_MON_S: ITOF
FB_IM_ADES_S: IRAD
SW_MAYAK: Подключение к порту 21,22 (через "\")</v>
      </c>
      <c r="AV1" s="54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t="s">
        <v>1609</v>
      </c>
      <c r="Q2" s="2" t="s">
        <v>1609</v>
      </c>
      <c r="R2" s="2" t="s">
        <v>1610</v>
      </c>
      <c r="S2" s="3">
        <v>3</v>
      </c>
      <c r="T2" s="3" t="s">
        <v>1702</v>
      </c>
      <c r="U2" s="3"/>
      <c r="V2" s="3" t="s">
        <v>569</v>
      </c>
      <c r="W2" s="12"/>
      <c r="X2" s="12"/>
      <c r="Y2" s="12"/>
      <c r="Z2" s="12"/>
      <c r="AA2" s="12">
        <v>6</v>
      </c>
      <c r="AB2" s="2"/>
      <c r="AC2" s="2"/>
      <c r="AD2" s="2"/>
      <c r="AE2" s="2" t="s">
        <v>1414</v>
      </c>
      <c r="AF2" s="2"/>
      <c r="AG2" s="2"/>
      <c r="AH2" s="2"/>
      <c r="AI2" s="2"/>
      <c r="AJ2" s="2"/>
      <c r="AK2" s="2"/>
      <c r="AL2" s="2"/>
      <c r="AM2" s="2"/>
      <c r="AN2" s="2"/>
      <c r="AO2" s="2"/>
      <c r="AP2" s="2"/>
      <c r="AQ2" s="2"/>
      <c r="AR2" s="2"/>
      <c r="AS2" s="2"/>
      <c r="AT2" s="2"/>
      <c r="AU2" s="2"/>
      <c r="AV2" s="2"/>
      <c r="AW2" s="2"/>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3"/>
      <c r="V4" s="10"/>
      <c r="W4" s="10"/>
      <c r="X4" s="10"/>
      <c r="Y4" s="10"/>
      <c r="Z4" s="10"/>
      <c r="AA4" s="10"/>
      <c r="BM4" s="4"/>
      <c r="BN4" s="4"/>
      <c r="BO4" s="4"/>
      <c r="BP4" s="4"/>
    </row>
    <row r="5" spans="1:68" ht="15" customHeight="1">
      <c r="A5" s="9"/>
      <c r="B5" s="9"/>
      <c r="C5" s="9"/>
      <c r="D5" s="9"/>
      <c r="E5" s="9"/>
      <c r="F5" s="9"/>
      <c r="P5" s="6" t="str">
        <f>Настройки!A2</f>
        <v>Авария</v>
      </c>
      <c r="Q5" s="5">
        <f>Настройки!B2</f>
        <v>4</v>
      </c>
      <c r="R5" s="543" t="str">
        <f>Настройки!C2</f>
        <v>Авария</v>
      </c>
      <c r="S5" s="10"/>
      <c r="T5" s="458">
        <f>Настройки!M12</f>
        <v>1</v>
      </c>
      <c r="U5" s="14"/>
      <c r="V5" s="10"/>
      <c r="W5" s="10"/>
      <c r="X5" s="10"/>
      <c r="Y5" s="10"/>
      <c r="Z5" s="10"/>
      <c r="AA5" s="10"/>
      <c r="BM5" s="4"/>
      <c r="BN5" s="4"/>
      <c r="BO5" s="4"/>
      <c r="BP5" s="4"/>
    </row>
    <row r="6" spans="1:68" ht="15" customHeight="1">
      <c r="A6" s="9"/>
      <c r="B6" s="9"/>
      <c r="C6" s="9"/>
      <c r="D6" s="9"/>
      <c r="E6" s="9"/>
      <c r="F6" s="9"/>
      <c r="P6" s="6" t="str">
        <f>Настройки!A3</f>
        <v>Предупреждение</v>
      </c>
      <c r="Q6" s="5">
        <f>Настройки!B3</f>
        <v>8</v>
      </c>
      <c r="R6" s="543" t="str">
        <f>Настройки!C3</f>
        <v>Предупреждение</v>
      </c>
      <c r="S6" s="10"/>
      <c r="T6" s="562" t="str">
        <f>Настройки!M7</f>
        <v>Отображение Таблицы подлючений в диаг.</v>
      </c>
      <c r="U6" s="10"/>
      <c r="V6" s="10"/>
      <c r="W6" s="10"/>
      <c r="X6" s="10"/>
      <c r="Y6" s="10"/>
      <c r="Z6" s="10"/>
      <c r="AA6" s="10"/>
      <c r="BM6" s="4"/>
      <c r="BN6" s="4"/>
      <c r="BO6" s="4"/>
      <c r="BP6" s="4"/>
    </row>
    <row r="7" spans="1:68" ht="15" customHeight="1">
      <c r="A7" s="9"/>
      <c r="B7" s="9"/>
      <c r="C7" s="9"/>
      <c r="D7" s="9"/>
      <c r="E7" s="9"/>
      <c r="F7" s="9"/>
      <c r="P7" s="6" t="str">
        <f>Настройки!A4</f>
        <v>Неисправность</v>
      </c>
      <c r="Q7" s="5">
        <f>Настройки!B4</f>
        <v>12</v>
      </c>
      <c r="R7" s="543" t="str">
        <f>Настройки!C4</f>
        <v>Неисправность</v>
      </c>
      <c r="S7" s="10"/>
      <c r="T7" s="4" t="b">
        <f>Настройки!M8</f>
        <v>0</v>
      </c>
      <c r="U7" s="10"/>
      <c r="V7" s="10"/>
      <c r="W7" s="10"/>
      <c r="X7" s="10"/>
      <c r="Y7" s="10"/>
      <c r="Z7" s="10"/>
      <c r="AA7" s="10"/>
      <c r="BM7" s="4"/>
      <c r="BN7" s="4"/>
      <c r="BO7" s="4"/>
      <c r="BP7" s="4"/>
    </row>
    <row r="8" spans="1:68" ht="15" customHeight="1">
      <c r="A8" s="9"/>
      <c r="B8" s="9"/>
      <c r="C8" s="9"/>
      <c r="D8" s="9"/>
      <c r="E8" s="9"/>
      <c r="F8" s="9"/>
      <c r="P8" s="6" t="str">
        <f>Настройки!A5</f>
        <v>Телесигнализация</v>
      </c>
      <c r="Q8" s="5">
        <f>Настройки!B5</f>
        <v>18</v>
      </c>
      <c r="R8" s="543" t="str">
        <f>Настройки!C5</f>
        <v>Телесигнализация</v>
      </c>
      <c r="S8" s="10"/>
      <c r="T8" s="10"/>
      <c r="U8" s="10"/>
      <c r="V8" s="10"/>
      <c r="W8" s="10"/>
      <c r="X8" s="10"/>
      <c r="Y8" s="10"/>
      <c r="Z8" s="10"/>
      <c r="AA8" s="10"/>
      <c r="BM8" s="4"/>
      <c r="BN8" s="4"/>
      <c r="BO8" s="4"/>
      <c r="BP8" s="4"/>
    </row>
    <row r="9" spans="1:68" ht="15" customHeight="1">
      <c r="A9" s="9"/>
      <c r="B9" s="9"/>
      <c r="C9" s="9"/>
      <c r="D9" s="9"/>
      <c r="E9" s="9"/>
      <c r="F9" s="9"/>
      <c r="P9" s="6" t="str">
        <f>Настройки!A6</f>
        <v>Недостоверность</v>
      </c>
      <c r="Q9" s="5">
        <f>Настройки!B6</f>
        <v>10</v>
      </c>
      <c r="R9" s="543" t="str">
        <f>Настройки!C6</f>
        <v>Недостоверность</v>
      </c>
      <c r="S9" s="10"/>
      <c r="T9" s="10"/>
      <c r="U9" s="10"/>
      <c r="V9" s="10"/>
      <c r="W9" s="10"/>
      <c r="X9" s="10"/>
      <c r="Y9" s="10"/>
      <c r="Z9" s="10"/>
      <c r="AA9" s="10"/>
      <c r="BM9" s="4"/>
      <c r="BN9" s="4"/>
      <c r="BO9" s="4"/>
      <c r="BP9" s="4"/>
    </row>
    <row r="10" spans="1:68" ht="15" customHeight="1">
      <c r="A10" s="9"/>
      <c r="B10" s="9"/>
      <c r="C10" s="9"/>
      <c r="D10" s="9"/>
      <c r="E10" s="9"/>
      <c r="F10" s="9"/>
      <c r="P10" s="6" t="str">
        <f>Настройки!A7</f>
        <v>Имитация</v>
      </c>
      <c r="Q10" s="5">
        <f>Настройки!B7</f>
        <v>16</v>
      </c>
      <c r="R10" s="543" t="str">
        <f>Настройки!C7</f>
        <v>Имитация</v>
      </c>
      <c r="S10" s="10"/>
      <c r="T10" s="10"/>
      <c r="U10" s="10"/>
      <c r="V10" s="10"/>
      <c r="W10" s="10"/>
      <c r="X10" s="10"/>
      <c r="Y10" s="10"/>
      <c r="Z10" s="10"/>
      <c r="AA10" s="10"/>
      <c r="BM10" s="4"/>
      <c r="BN10" s="4"/>
      <c r="BO10" s="4"/>
      <c r="BP10" s="4"/>
    </row>
    <row r="11" spans="1:68" ht="15" customHeight="1">
      <c r="A11" s="9"/>
      <c r="B11" s="9"/>
      <c r="C11" s="9"/>
      <c r="D11" s="9"/>
      <c r="E11" s="9"/>
      <c r="F11" s="9"/>
      <c r="P11" s="6" t="str">
        <f>Настройки!A8</f>
        <v>Ремонт</v>
      </c>
      <c r="Q11" s="5">
        <f>Настройки!B8</f>
        <v>14</v>
      </c>
      <c r="R11" s="543" t="str">
        <f>Настройки!C8</f>
        <v>Ремонт</v>
      </c>
      <c r="S11" s="10"/>
      <c r="T11" s="10"/>
      <c r="U11" s="10"/>
      <c r="V11" s="10"/>
      <c r="W11" s="10"/>
      <c r="X11" s="10"/>
      <c r="Y11" s="10"/>
      <c r="Z11" s="10"/>
      <c r="AA11" s="10"/>
      <c r="BM11" s="4"/>
      <c r="BN11" s="4"/>
      <c r="BO11" s="4"/>
      <c r="BP11" s="4"/>
    </row>
    <row r="12" spans="1:68" ht="15" customHeight="1">
      <c r="A12" s="9"/>
      <c r="B12" s="9"/>
      <c r="C12" s="9"/>
      <c r="D12" s="9"/>
      <c r="E12" s="9"/>
      <c r="F12" s="9"/>
      <c r="P12" s="6" t="str">
        <f>Настройки!A9</f>
        <v>Команда оператора</v>
      </c>
      <c r="Q12" s="5">
        <f>Настройки!B9</f>
        <v>20</v>
      </c>
      <c r="R12" s="543" t="str">
        <f>Настройки!C9</f>
        <v>Команда оператора</v>
      </c>
      <c r="S12" s="10"/>
      <c r="T12" s="10"/>
      <c r="U12" s="10"/>
      <c r="V12" s="10"/>
      <c r="W12" s="10"/>
      <c r="X12" s="10"/>
      <c r="Y12" s="10"/>
      <c r="Z12" s="10"/>
      <c r="AA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M17" s="4"/>
      <c r="BN17" s="4"/>
      <c r="BO17" s="4"/>
      <c r="BP17" s="4"/>
    </row>
    <row r="18" spans="1:68"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M18" s="4"/>
      <c r="BN18" s="4"/>
      <c r="BO18" s="4"/>
      <c r="BP18" s="4"/>
    </row>
    <row r="19" spans="1:68"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M19" s="4"/>
      <c r="BN19" s="4"/>
      <c r="BO19" s="4"/>
      <c r="BP19" s="4"/>
    </row>
    <row r="20" spans="1:68" ht="15" customHeight="1">
      <c r="A20" s="563" t="str">
        <f>$R$2</f>
        <v>АСУЭ.BMCS</v>
      </c>
      <c r="B20" s="564">
        <v>100</v>
      </c>
      <c r="C20" s="564" t="s">
        <v>0</v>
      </c>
      <c r="D20" s="565" t="b">
        <f>$T$7</f>
        <v>0</v>
      </c>
      <c r="BF20" s="4"/>
      <c r="BG20" s="4"/>
      <c r="BH20" s="4"/>
      <c r="BI20" s="4"/>
    </row>
    <row r="21" spans="1:68" ht="15" customHeight="1">
      <c r="A21" s="569" t="str">
        <f>$R$2</f>
        <v>АСУЭ.BMCS</v>
      </c>
      <c r="B21" s="570">
        <v>11127</v>
      </c>
      <c r="C21" s="570" t="s">
        <v>0</v>
      </c>
      <c r="D21" s="571">
        <f>$AK$2</f>
        <v>0</v>
      </c>
      <c r="BM21" s="4"/>
      <c r="BN21" s="4"/>
      <c r="BO21" s="4"/>
      <c r="BP21" s="4"/>
    </row>
    <row r="22" spans="1:68">
      <c r="A22" s="16" t="str">
        <f t="shared" ref="A22:A23" si="0">$R$2</f>
        <v>АСУЭ.BMCS</v>
      </c>
      <c r="B22" s="17">
        <v>13</v>
      </c>
      <c r="C22" s="17" t="s">
        <v>2</v>
      </c>
      <c r="D22" s="18" t="s">
        <v>3</v>
      </c>
    </row>
    <row r="23" spans="1:68" ht="15" customHeight="1">
      <c r="A23" s="21" t="str">
        <f t="shared" si="0"/>
        <v>АСУЭ.BMCS</v>
      </c>
      <c r="B23" s="8">
        <v>3000013</v>
      </c>
      <c r="C23" s="8" t="s">
        <v>0</v>
      </c>
      <c r="D23" s="22" t="str">
        <f>$AE$2</f>
        <v>Диагностика.CPU.NOT_LINK.noLink</v>
      </c>
      <c r="BF23" s="4"/>
      <c r="BG23" s="4"/>
      <c r="BH23" s="4"/>
      <c r="BI23" s="4"/>
    </row>
    <row r="24" spans="1:68">
      <c r="A24" s="566" t="str">
        <f>$R$2&amp;".Commands.coRst"</f>
        <v>АСУЭ.BMCS.Commands.coRst</v>
      </c>
      <c r="B24" s="567">
        <v>101</v>
      </c>
      <c r="C24" s="567" t="s">
        <v>0</v>
      </c>
      <c r="D24" s="568" t="s">
        <v>386</v>
      </c>
      <c r="Q24" s="1"/>
      <c r="R24" s="1"/>
      <c r="S24" s="1"/>
      <c r="T24" s="1"/>
    </row>
    <row r="25" spans="1:68">
      <c r="A25" s="566" t="str">
        <f>$R$2&amp;".Commands.coRst"</f>
        <v>АСУЭ.BMCS.Commands.coRst</v>
      </c>
      <c r="B25" s="567">
        <v>7999</v>
      </c>
      <c r="C25" s="567" t="s">
        <v>0</v>
      </c>
      <c r="D25" s="568" t="str">
        <f>"#"&amp;$S$2&amp;"#"&amp;$T$2&amp;"."&amp;$P$2&amp;".Commands.SysCmd_Clr_Sd"</f>
        <v>#3#\\Setup_rza\Modbus.OPCServer\KTP_BMCS.BMCS.Commands.SysCmd_Clr_Sd</v>
      </c>
      <c r="Q25" s="1"/>
      <c r="R25" s="1"/>
      <c r="S25" s="1"/>
      <c r="T25" s="1"/>
    </row>
    <row r="26" spans="1:68">
      <c r="A26" s="566" t="str">
        <f>$R$2&amp;".Commands.coRst"</f>
        <v>АСУЭ.BMCS.Commands.coRst</v>
      </c>
      <c r="B26" s="567">
        <v>7998</v>
      </c>
      <c r="C26" s="567" t="s">
        <v>6</v>
      </c>
      <c r="D26" s="568">
        <v>2</v>
      </c>
      <c r="Q26" s="1"/>
      <c r="R26" s="1"/>
      <c r="S26" s="1"/>
      <c r="T26" s="1"/>
    </row>
    <row r="27" spans="1:68">
      <c r="A27" s="569" t="str">
        <f>$R$2&amp;".Commands.coRst"</f>
        <v>АСУЭ.BMCS.Commands.coRst</v>
      </c>
      <c r="B27" s="570">
        <v>1</v>
      </c>
      <c r="C27" s="570" t="s">
        <v>1</v>
      </c>
      <c r="D27" s="571">
        <v>11</v>
      </c>
      <c r="Q27" s="1"/>
      <c r="R27" s="1"/>
      <c r="S27" s="1"/>
      <c r="T27" s="1"/>
    </row>
    <row r="28" spans="1:68">
      <c r="A28" s="586" t="str">
        <f t="shared" ref="A28:A37" si="1">$R$2&amp;".NotConnected"</f>
        <v>АСУЭ.BMCS.NotConnected</v>
      </c>
      <c r="B28" s="584">
        <v>11154</v>
      </c>
      <c r="C28" s="584" t="s">
        <v>4</v>
      </c>
      <c r="D28" s="585">
        <f>$Q$7</f>
        <v>12</v>
      </c>
    </row>
    <row r="29" spans="1:68">
      <c r="A29" s="586" t="str">
        <f t="shared" si="1"/>
        <v>АСУЭ.BMCS.NotConnected</v>
      </c>
      <c r="B29" s="587">
        <v>11152</v>
      </c>
      <c r="C29" s="587" t="s">
        <v>0</v>
      </c>
      <c r="D29" s="588" t="str">
        <f>$R$7</f>
        <v>Неисправность</v>
      </c>
    </row>
    <row r="30" spans="1:68">
      <c r="A30" s="586" t="str">
        <f t="shared" si="1"/>
        <v>АСУЭ.BMCS.NotConnected</v>
      </c>
      <c r="B30" s="587">
        <v>11150</v>
      </c>
      <c r="C30" s="587" t="s">
        <v>0</v>
      </c>
      <c r="D30" s="588" t="s">
        <v>448</v>
      </c>
    </row>
    <row r="31" spans="1:68" ht="14.25" customHeight="1">
      <c r="A31" s="586" t="str">
        <f t="shared" si="1"/>
        <v>АСУЭ.BMCS.NotConnected</v>
      </c>
      <c r="B31" s="587">
        <v>11000</v>
      </c>
      <c r="C31" s="587" t="s">
        <v>5</v>
      </c>
      <c r="D31" s="588">
        <v>2147483680</v>
      </c>
    </row>
    <row r="32" spans="1:68">
      <c r="A32" s="566" t="str">
        <f t="shared" si="1"/>
        <v>АСУЭ.BMCS.NotConnected</v>
      </c>
      <c r="B32" s="567">
        <v>7999</v>
      </c>
      <c r="C32" s="567" t="s">
        <v>0</v>
      </c>
      <c r="D32" s="568" t="str">
        <f>"#"&amp;$S$2&amp;"#"&amp;$T$2&amp;"."&amp;$P$2&amp;".NotConnected"</f>
        <v>#3#\\Setup_rza\Modbus.OPCServer\KTP_BMCS.BMCS.NotConnected</v>
      </c>
    </row>
    <row r="33" spans="1:4">
      <c r="A33" s="566" t="str">
        <f t="shared" si="1"/>
        <v>АСУЭ.BMCS.NotConnected</v>
      </c>
      <c r="B33" s="567">
        <v>7998</v>
      </c>
      <c r="C33" s="567" t="s">
        <v>6</v>
      </c>
      <c r="D33" s="568">
        <v>1</v>
      </c>
    </row>
    <row r="34" spans="1:4">
      <c r="A34" s="566" t="str">
        <f t="shared" si="1"/>
        <v>АСУЭ.BMCS.NotConnected</v>
      </c>
      <c r="B34" s="567">
        <v>101</v>
      </c>
      <c r="C34" s="567" t="s">
        <v>0</v>
      </c>
      <c r="D34" s="568" t="s">
        <v>448</v>
      </c>
    </row>
    <row r="35" spans="1:4">
      <c r="A35" s="566" t="str">
        <f t="shared" si="1"/>
        <v>АСУЭ.BMCS.NotConnected</v>
      </c>
      <c r="B35" s="567">
        <v>3</v>
      </c>
      <c r="C35" s="567" t="s">
        <v>1</v>
      </c>
      <c r="D35" s="568">
        <v>192</v>
      </c>
    </row>
    <row r="36" spans="1:4">
      <c r="A36" s="566" t="str">
        <f t="shared" si="1"/>
        <v>АСУЭ.BMCS.NotConnected</v>
      </c>
      <c r="B36" s="567">
        <v>2</v>
      </c>
      <c r="C36" s="567" t="s">
        <v>2</v>
      </c>
      <c r="D36" s="568" t="s">
        <v>3</v>
      </c>
    </row>
    <row r="37" spans="1:4">
      <c r="A37" s="569" t="str">
        <f t="shared" si="1"/>
        <v>АСУЭ.BMCS.NotConnected</v>
      </c>
      <c r="B37" s="570">
        <v>1</v>
      </c>
      <c r="C37" s="570" t="s">
        <v>1</v>
      </c>
      <c r="D37" s="571">
        <v>11</v>
      </c>
    </row>
    <row r="38" spans="1:4">
      <c r="A38" s="579" t="str">
        <f t="shared" ref="A38:A47" si="2">$R$2&amp;".DV_1"</f>
        <v>АСУЭ.BMCS.DV_1</v>
      </c>
      <c r="B38" s="577">
        <v>11154</v>
      </c>
      <c r="C38" s="577" t="s">
        <v>4</v>
      </c>
      <c r="D38" s="578">
        <f>$Q$6</f>
        <v>8</v>
      </c>
    </row>
    <row r="39" spans="1:4">
      <c r="A39" s="579" t="str">
        <f t="shared" si="2"/>
        <v>АСУЭ.BMCS.DV_1</v>
      </c>
      <c r="B39" s="580">
        <v>11152</v>
      </c>
      <c r="C39" s="580" t="s">
        <v>0</v>
      </c>
      <c r="D39" s="581" t="str">
        <f>$R$6</f>
        <v>Предупреждение</v>
      </c>
    </row>
    <row r="40" spans="1:4">
      <c r="A40" s="579" t="str">
        <f t="shared" si="2"/>
        <v>АСУЭ.BMCS.DV_1</v>
      </c>
      <c r="B40" s="580">
        <v>11150</v>
      </c>
      <c r="C40" s="580" t="s">
        <v>0</v>
      </c>
      <c r="D40" s="581" t="s">
        <v>1612</v>
      </c>
    </row>
    <row r="41" spans="1:4" ht="14.25" customHeight="1">
      <c r="A41" s="579" t="str">
        <f t="shared" si="2"/>
        <v>АСУЭ.BMCS.DV_1</v>
      </c>
      <c r="B41" s="580">
        <v>11000</v>
      </c>
      <c r="C41" s="580" t="s">
        <v>5</v>
      </c>
      <c r="D41" s="581">
        <v>2147483680</v>
      </c>
    </row>
    <row r="42" spans="1:4">
      <c r="A42" s="566" t="str">
        <f t="shared" si="2"/>
        <v>АСУЭ.BMCS.DV_1</v>
      </c>
      <c r="B42" s="567">
        <v>7999</v>
      </c>
      <c r="C42" s="567" t="s">
        <v>0</v>
      </c>
      <c r="D42" s="568" t="str">
        <f>"#"&amp;$S$2&amp;"#"&amp;$T$2&amp;"."&amp;$P$2&amp;".Reg_Inputs_bit0"</f>
        <v>#3#\\Setup_rza\Modbus.OPCServer\KTP_BMCS.BMCS.Reg_Inputs_bit0</v>
      </c>
    </row>
    <row r="43" spans="1:4">
      <c r="A43" s="566" t="str">
        <f t="shared" si="2"/>
        <v>АСУЭ.BMCS.DV_1</v>
      </c>
      <c r="B43" s="567">
        <v>7998</v>
      </c>
      <c r="C43" s="567" t="s">
        <v>6</v>
      </c>
      <c r="D43" s="568">
        <v>1</v>
      </c>
    </row>
    <row r="44" spans="1:4">
      <c r="A44" s="566" t="str">
        <f t="shared" si="2"/>
        <v>АСУЭ.BMCS.DV_1</v>
      </c>
      <c r="B44" s="567">
        <v>101</v>
      </c>
      <c r="C44" s="567" t="s">
        <v>0</v>
      </c>
      <c r="D44" s="568" t="s">
        <v>1611</v>
      </c>
    </row>
    <row r="45" spans="1:4">
      <c r="A45" s="566" t="str">
        <f t="shared" si="2"/>
        <v>АСУЭ.BMCS.DV_1</v>
      </c>
      <c r="B45" s="567">
        <v>3</v>
      </c>
      <c r="C45" s="567" t="s">
        <v>1</v>
      </c>
      <c r="D45" s="568">
        <v>192</v>
      </c>
    </row>
    <row r="46" spans="1:4">
      <c r="A46" s="566" t="str">
        <f t="shared" si="2"/>
        <v>АСУЭ.BMCS.DV_1</v>
      </c>
      <c r="B46" s="567">
        <v>2</v>
      </c>
      <c r="C46" s="567" t="s">
        <v>2</v>
      </c>
      <c r="D46" s="568" t="s">
        <v>3</v>
      </c>
    </row>
    <row r="47" spans="1:4">
      <c r="A47" s="569" t="str">
        <f t="shared" si="2"/>
        <v>АСУЭ.BMCS.DV_1</v>
      </c>
      <c r="B47" s="570">
        <v>1</v>
      </c>
      <c r="C47" s="570" t="s">
        <v>1</v>
      </c>
      <c r="D47" s="571">
        <v>11</v>
      </c>
    </row>
    <row r="48" spans="1:4">
      <c r="A48" s="579" t="str">
        <f t="shared" ref="A48:A57" si="3">$R$2&amp;".DV_2"</f>
        <v>АСУЭ.BMCS.DV_2</v>
      </c>
      <c r="B48" s="577">
        <v>11154</v>
      </c>
      <c r="C48" s="577" t="s">
        <v>4</v>
      </c>
      <c r="D48" s="578">
        <f>$Q$6</f>
        <v>8</v>
      </c>
    </row>
    <row r="49" spans="1:4">
      <c r="A49" s="579" t="str">
        <f t="shared" si="3"/>
        <v>АСУЭ.BMCS.DV_2</v>
      </c>
      <c r="B49" s="580">
        <v>11152</v>
      </c>
      <c r="C49" s="580" t="s">
        <v>0</v>
      </c>
      <c r="D49" s="581" t="str">
        <f>$R$6</f>
        <v>Предупреждение</v>
      </c>
    </row>
    <row r="50" spans="1:4">
      <c r="A50" s="579" t="str">
        <f t="shared" si="3"/>
        <v>АСУЭ.BMCS.DV_2</v>
      </c>
      <c r="B50" s="580">
        <v>11150</v>
      </c>
      <c r="C50" s="580" t="s">
        <v>0</v>
      </c>
      <c r="D50" s="581" t="s">
        <v>1612</v>
      </c>
    </row>
    <row r="51" spans="1:4">
      <c r="A51" s="579" t="str">
        <f t="shared" si="3"/>
        <v>АСУЭ.BMCS.DV_2</v>
      </c>
      <c r="B51" s="580">
        <v>11000</v>
      </c>
      <c r="C51" s="580" t="s">
        <v>5</v>
      </c>
      <c r="D51" s="581">
        <v>2147483680</v>
      </c>
    </row>
    <row r="52" spans="1:4">
      <c r="A52" s="566" t="str">
        <f t="shared" si="3"/>
        <v>АСУЭ.BMCS.DV_2</v>
      </c>
      <c r="B52" s="567">
        <v>7999</v>
      </c>
      <c r="C52" s="567" t="s">
        <v>0</v>
      </c>
      <c r="D52" s="568" t="str">
        <f>"#"&amp;$S$2&amp;"#"&amp;$T$2&amp;"."&amp;$P$2&amp;".Reg_Inputs_bit1"</f>
        <v>#3#\\Setup_rza\Modbus.OPCServer\KTP_BMCS.BMCS.Reg_Inputs_bit1</v>
      </c>
    </row>
    <row r="53" spans="1:4" ht="15" customHeight="1">
      <c r="A53" s="566" t="str">
        <f t="shared" si="3"/>
        <v>АСУЭ.BMCS.DV_2</v>
      </c>
      <c r="B53" s="567">
        <v>7998</v>
      </c>
      <c r="C53" s="567" t="s">
        <v>6</v>
      </c>
      <c r="D53" s="568">
        <v>1</v>
      </c>
    </row>
    <row r="54" spans="1:4">
      <c r="A54" s="566" t="str">
        <f t="shared" si="3"/>
        <v>АСУЭ.BMCS.DV_2</v>
      </c>
      <c r="B54" s="567">
        <v>101</v>
      </c>
      <c r="C54" s="567" t="s">
        <v>0</v>
      </c>
      <c r="D54" s="568" t="s">
        <v>1613</v>
      </c>
    </row>
    <row r="55" spans="1:4">
      <c r="A55" s="566" t="str">
        <f t="shared" si="3"/>
        <v>АСУЭ.BMCS.DV_2</v>
      </c>
      <c r="B55" s="567">
        <v>3</v>
      </c>
      <c r="C55" s="567" t="s">
        <v>1</v>
      </c>
      <c r="D55" s="568">
        <v>192</v>
      </c>
    </row>
    <row r="56" spans="1:4">
      <c r="A56" s="566" t="str">
        <f t="shared" si="3"/>
        <v>АСУЭ.BMCS.DV_2</v>
      </c>
      <c r="B56" s="567">
        <v>2</v>
      </c>
      <c r="C56" s="567" t="s">
        <v>2</v>
      </c>
      <c r="D56" s="568" t="s">
        <v>3</v>
      </c>
    </row>
    <row r="57" spans="1:4">
      <c r="A57" s="569" t="str">
        <f t="shared" si="3"/>
        <v>АСУЭ.BMCS.DV_2</v>
      </c>
      <c r="B57" s="570">
        <v>1</v>
      </c>
      <c r="C57" s="570" t="s">
        <v>1</v>
      </c>
      <c r="D57" s="571">
        <v>11</v>
      </c>
    </row>
    <row r="58" spans="1:4">
      <c r="A58" s="579" t="str">
        <f t="shared" ref="A58:A67" si="4">$R$2&amp;".DV_3"</f>
        <v>АСУЭ.BMCS.DV_3</v>
      </c>
      <c r="B58" s="577">
        <v>11154</v>
      </c>
      <c r="C58" s="577" t="s">
        <v>4</v>
      </c>
      <c r="D58" s="578">
        <f>$Q$6</f>
        <v>8</v>
      </c>
    </row>
    <row r="59" spans="1:4">
      <c r="A59" s="579" t="str">
        <f t="shared" si="4"/>
        <v>АСУЭ.BMCS.DV_3</v>
      </c>
      <c r="B59" s="580">
        <v>11152</v>
      </c>
      <c r="C59" s="580" t="s">
        <v>0</v>
      </c>
      <c r="D59" s="581" t="str">
        <f>$R$6</f>
        <v>Предупреждение</v>
      </c>
    </row>
    <row r="60" spans="1:4">
      <c r="A60" s="579" t="str">
        <f t="shared" si="4"/>
        <v>АСУЭ.BMCS.DV_3</v>
      </c>
      <c r="B60" s="580">
        <v>11150</v>
      </c>
      <c r="C60" s="580" t="s">
        <v>0</v>
      </c>
      <c r="D60" s="581" t="s">
        <v>1612</v>
      </c>
    </row>
    <row r="61" spans="1:4">
      <c r="A61" s="579" t="str">
        <f t="shared" si="4"/>
        <v>АСУЭ.BMCS.DV_3</v>
      </c>
      <c r="B61" s="580">
        <v>11000</v>
      </c>
      <c r="C61" s="580" t="s">
        <v>5</v>
      </c>
      <c r="D61" s="581">
        <v>2147483680</v>
      </c>
    </row>
    <row r="62" spans="1:4">
      <c r="A62" s="566" t="str">
        <f t="shared" si="4"/>
        <v>АСУЭ.BMCS.DV_3</v>
      </c>
      <c r="B62" s="567">
        <v>7999</v>
      </c>
      <c r="C62" s="567" t="s">
        <v>0</v>
      </c>
      <c r="D62" s="568" t="str">
        <f>"#"&amp;$S$2&amp;"#"&amp;$T$2&amp;"."&amp;$P$2&amp;".Reg_Inputs_bit2"</f>
        <v>#3#\\Setup_rza\Modbus.OPCServer\KTP_BMCS.BMCS.Reg_Inputs_bit2</v>
      </c>
    </row>
    <row r="63" spans="1:4">
      <c r="A63" s="566" t="str">
        <f t="shared" si="4"/>
        <v>АСУЭ.BMCS.DV_3</v>
      </c>
      <c r="B63" s="567">
        <v>7998</v>
      </c>
      <c r="C63" s="567" t="s">
        <v>6</v>
      </c>
      <c r="D63" s="568">
        <v>1</v>
      </c>
    </row>
    <row r="64" spans="1:4">
      <c r="A64" s="566" t="str">
        <f t="shared" si="4"/>
        <v>АСУЭ.BMCS.DV_3</v>
      </c>
      <c r="B64" s="567">
        <v>101</v>
      </c>
      <c r="C64" s="567" t="s">
        <v>0</v>
      </c>
      <c r="D64" s="568" t="s">
        <v>1614</v>
      </c>
    </row>
    <row r="65" spans="1:4">
      <c r="A65" s="566" t="str">
        <f t="shared" si="4"/>
        <v>АСУЭ.BMCS.DV_3</v>
      </c>
      <c r="B65" s="567">
        <v>3</v>
      </c>
      <c r="C65" s="567" t="s">
        <v>1</v>
      </c>
      <c r="D65" s="568">
        <v>192</v>
      </c>
    </row>
    <row r="66" spans="1:4">
      <c r="A66" s="566" t="str">
        <f t="shared" si="4"/>
        <v>АСУЭ.BMCS.DV_3</v>
      </c>
      <c r="B66" s="567">
        <v>2</v>
      </c>
      <c r="C66" s="567" t="s">
        <v>2</v>
      </c>
      <c r="D66" s="568" t="s">
        <v>3</v>
      </c>
    </row>
    <row r="67" spans="1:4">
      <c r="A67" s="569" t="str">
        <f t="shared" si="4"/>
        <v>АСУЭ.BMCS.DV_3</v>
      </c>
      <c r="B67" s="570">
        <v>1</v>
      </c>
      <c r="C67" s="570" t="s">
        <v>1</v>
      </c>
      <c r="D67" s="571">
        <v>11</v>
      </c>
    </row>
    <row r="68" spans="1:4">
      <c r="A68" s="579" t="str">
        <f t="shared" ref="A68:A77" si="5">$R$2&amp;".DV_4"</f>
        <v>АСУЭ.BMCS.DV_4</v>
      </c>
      <c r="B68" s="577">
        <v>11154</v>
      </c>
      <c r="C68" s="577" t="s">
        <v>4</v>
      </c>
      <c r="D68" s="578">
        <f>$Q$6</f>
        <v>8</v>
      </c>
    </row>
    <row r="69" spans="1:4">
      <c r="A69" s="579" t="str">
        <f t="shared" si="5"/>
        <v>АСУЭ.BMCS.DV_4</v>
      </c>
      <c r="B69" s="580">
        <v>11152</v>
      </c>
      <c r="C69" s="580" t="s">
        <v>0</v>
      </c>
      <c r="D69" s="581" t="str">
        <f>$R$6</f>
        <v>Предупреждение</v>
      </c>
    </row>
    <row r="70" spans="1:4">
      <c r="A70" s="579" t="str">
        <f t="shared" si="5"/>
        <v>АСУЭ.BMCS.DV_4</v>
      </c>
      <c r="B70" s="580">
        <v>11150</v>
      </c>
      <c r="C70" s="580" t="s">
        <v>0</v>
      </c>
      <c r="D70" s="581" t="s">
        <v>1612</v>
      </c>
    </row>
    <row r="71" spans="1:4">
      <c r="A71" s="579" t="str">
        <f t="shared" si="5"/>
        <v>АСУЭ.BMCS.DV_4</v>
      </c>
      <c r="B71" s="580">
        <v>11000</v>
      </c>
      <c r="C71" s="580" t="s">
        <v>5</v>
      </c>
      <c r="D71" s="581">
        <v>2147483680</v>
      </c>
    </row>
    <row r="72" spans="1:4">
      <c r="A72" s="566" t="str">
        <f t="shared" si="5"/>
        <v>АСУЭ.BMCS.DV_4</v>
      </c>
      <c r="B72" s="567">
        <v>7999</v>
      </c>
      <c r="C72" s="567" t="s">
        <v>0</v>
      </c>
      <c r="D72" s="568" t="str">
        <f>"#"&amp;$S$2&amp;"#"&amp;$T$2&amp;"."&amp;$P$2&amp;".Reg_Inputs_bit3"</f>
        <v>#3#\\Setup_rza\Modbus.OPCServer\KTP_BMCS.BMCS.Reg_Inputs_bit3</v>
      </c>
    </row>
    <row r="73" spans="1:4">
      <c r="A73" s="566" t="str">
        <f t="shared" si="5"/>
        <v>АСУЭ.BMCS.DV_4</v>
      </c>
      <c r="B73" s="567">
        <v>7998</v>
      </c>
      <c r="C73" s="567" t="s">
        <v>6</v>
      </c>
      <c r="D73" s="568">
        <v>1</v>
      </c>
    </row>
    <row r="74" spans="1:4">
      <c r="A74" s="566" t="str">
        <f t="shared" si="5"/>
        <v>АСУЭ.BMCS.DV_4</v>
      </c>
      <c r="B74" s="567">
        <v>101</v>
      </c>
      <c r="C74" s="567" t="s">
        <v>0</v>
      </c>
      <c r="D74" s="568" t="s">
        <v>1615</v>
      </c>
    </row>
    <row r="75" spans="1:4">
      <c r="A75" s="566" t="str">
        <f t="shared" si="5"/>
        <v>АСУЭ.BMCS.DV_4</v>
      </c>
      <c r="B75" s="567">
        <v>3</v>
      </c>
      <c r="C75" s="567" t="s">
        <v>1</v>
      </c>
      <c r="D75" s="568">
        <v>192</v>
      </c>
    </row>
    <row r="76" spans="1:4">
      <c r="A76" s="566" t="str">
        <f t="shared" si="5"/>
        <v>АСУЭ.BMCS.DV_4</v>
      </c>
      <c r="B76" s="567">
        <v>2</v>
      </c>
      <c r="C76" s="567" t="s">
        <v>2</v>
      </c>
      <c r="D76" s="568" t="s">
        <v>3</v>
      </c>
    </row>
    <row r="77" spans="1:4">
      <c r="A77" s="569" t="str">
        <f t="shared" si="5"/>
        <v>АСУЭ.BMCS.DV_4</v>
      </c>
      <c r="B77" s="570">
        <v>1</v>
      </c>
      <c r="C77" s="570" t="s">
        <v>1</v>
      </c>
      <c r="D77" s="571">
        <v>11</v>
      </c>
    </row>
    <row r="78" spans="1:4">
      <c r="A78" s="579" t="str">
        <f t="shared" ref="A78:A87" si="6">$R$2&amp;".DV_5"</f>
        <v>АСУЭ.BMCS.DV_5</v>
      </c>
      <c r="B78" s="577">
        <v>11154</v>
      </c>
      <c r="C78" s="577" t="s">
        <v>4</v>
      </c>
      <c r="D78" s="578">
        <f>$Q$6</f>
        <v>8</v>
      </c>
    </row>
    <row r="79" spans="1:4">
      <c r="A79" s="579" t="str">
        <f t="shared" si="6"/>
        <v>АСУЭ.BMCS.DV_5</v>
      </c>
      <c r="B79" s="580">
        <v>11152</v>
      </c>
      <c r="C79" s="580" t="s">
        <v>0</v>
      </c>
      <c r="D79" s="581" t="str">
        <f>$R$6</f>
        <v>Предупреждение</v>
      </c>
    </row>
    <row r="80" spans="1:4">
      <c r="A80" s="579" t="str">
        <f t="shared" si="6"/>
        <v>АСУЭ.BMCS.DV_5</v>
      </c>
      <c r="B80" s="580">
        <v>11150</v>
      </c>
      <c r="C80" s="580" t="s">
        <v>0</v>
      </c>
      <c r="D80" s="581" t="s">
        <v>1612</v>
      </c>
    </row>
    <row r="81" spans="1:4">
      <c r="A81" s="579" t="str">
        <f t="shared" si="6"/>
        <v>АСУЭ.BMCS.DV_5</v>
      </c>
      <c r="B81" s="580">
        <v>11000</v>
      </c>
      <c r="C81" s="580" t="s">
        <v>5</v>
      </c>
      <c r="D81" s="581">
        <v>2147483680</v>
      </c>
    </row>
    <row r="82" spans="1:4">
      <c r="A82" s="566" t="str">
        <f t="shared" si="6"/>
        <v>АСУЭ.BMCS.DV_5</v>
      </c>
      <c r="B82" s="567">
        <v>7999</v>
      </c>
      <c r="C82" s="567" t="s">
        <v>0</v>
      </c>
      <c r="D82" s="568" t="str">
        <f>"#"&amp;$S$2&amp;"#"&amp;$T$2&amp;"."&amp;$P$2&amp;".Reg_Inputs_bit4"</f>
        <v>#3#\\Setup_rza\Modbus.OPCServer\KTP_BMCS.BMCS.Reg_Inputs_bit4</v>
      </c>
    </row>
    <row r="83" spans="1:4">
      <c r="A83" s="566" t="str">
        <f t="shared" si="6"/>
        <v>АСУЭ.BMCS.DV_5</v>
      </c>
      <c r="B83" s="567">
        <v>7998</v>
      </c>
      <c r="C83" s="567" t="s">
        <v>6</v>
      </c>
      <c r="D83" s="568">
        <v>1</v>
      </c>
    </row>
    <row r="84" spans="1:4">
      <c r="A84" s="566" t="str">
        <f t="shared" si="6"/>
        <v>АСУЭ.BMCS.DV_5</v>
      </c>
      <c r="B84" s="567">
        <v>101</v>
      </c>
      <c r="C84" s="567" t="s">
        <v>0</v>
      </c>
      <c r="D84" s="568" t="s">
        <v>1616</v>
      </c>
    </row>
    <row r="85" spans="1:4">
      <c r="A85" s="566" t="str">
        <f t="shared" si="6"/>
        <v>АСУЭ.BMCS.DV_5</v>
      </c>
      <c r="B85" s="567">
        <v>3</v>
      </c>
      <c r="C85" s="567" t="s">
        <v>1</v>
      </c>
      <c r="D85" s="568">
        <v>192</v>
      </c>
    </row>
    <row r="86" spans="1:4">
      <c r="A86" s="566" t="str">
        <f t="shared" si="6"/>
        <v>АСУЭ.BMCS.DV_5</v>
      </c>
      <c r="B86" s="567">
        <v>2</v>
      </c>
      <c r="C86" s="567" t="s">
        <v>2</v>
      </c>
      <c r="D86" s="568" t="s">
        <v>3</v>
      </c>
    </row>
    <row r="87" spans="1:4">
      <c r="A87" s="569" t="str">
        <f t="shared" si="6"/>
        <v>АСУЭ.BMCS.DV_5</v>
      </c>
      <c r="B87" s="570">
        <v>1</v>
      </c>
      <c r="C87" s="570" t="s">
        <v>1</v>
      </c>
      <c r="D87" s="571">
        <v>11</v>
      </c>
    </row>
    <row r="88" spans="1:4">
      <c r="A88" s="579" t="str">
        <f t="shared" ref="A88:A97" si="7">$R$2&amp;".DV_6"</f>
        <v>АСУЭ.BMCS.DV_6</v>
      </c>
      <c r="B88" s="577">
        <v>11154</v>
      </c>
      <c r="C88" s="577" t="s">
        <v>4</v>
      </c>
      <c r="D88" s="578">
        <f>$Q$6</f>
        <v>8</v>
      </c>
    </row>
    <row r="89" spans="1:4">
      <c r="A89" s="579" t="str">
        <f t="shared" si="7"/>
        <v>АСУЭ.BMCS.DV_6</v>
      </c>
      <c r="B89" s="580">
        <v>11152</v>
      </c>
      <c r="C89" s="580" t="s">
        <v>0</v>
      </c>
      <c r="D89" s="581" t="str">
        <f>$R$6</f>
        <v>Предупреждение</v>
      </c>
    </row>
    <row r="90" spans="1:4">
      <c r="A90" s="579" t="str">
        <f t="shared" si="7"/>
        <v>АСУЭ.BMCS.DV_6</v>
      </c>
      <c r="B90" s="580">
        <v>11150</v>
      </c>
      <c r="C90" s="580" t="s">
        <v>0</v>
      </c>
      <c r="D90" s="581" t="s">
        <v>1612</v>
      </c>
    </row>
    <row r="91" spans="1:4">
      <c r="A91" s="579" t="str">
        <f t="shared" si="7"/>
        <v>АСУЭ.BMCS.DV_6</v>
      </c>
      <c r="B91" s="580">
        <v>11000</v>
      </c>
      <c r="C91" s="580" t="s">
        <v>5</v>
      </c>
      <c r="D91" s="581">
        <v>2147483680</v>
      </c>
    </row>
    <row r="92" spans="1:4">
      <c r="A92" s="566" t="str">
        <f t="shared" si="7"/>
        <v>АСУЭ.BMCS.DV_6</v>
      </c>
      <c r="B92" s="567">
        <v>7999</v>
      </c>
      <c r="C92" s="567" t="s">
        <v>0</v>
      </c>
      <c r="D92" s="568" t="str">
        <f>"#"&amp;$S$2&amp;"#"&amp;$T$2&amp;"."&amp;$P$2&amp;".Reg_Inputs_bit5"</f>
        <v>#3#\\Setup_rza\Modbus.OPCServer\KTP_BMCS.BMCS.Reg_Inputs_bit5</v>
      </c>
    </row>
    <row r="93" spans="1:4">
      <c r="A93" s="566" t="str">
        <f t="shared" si="7"/>
        <v>АСУЭ.BMCS.DV_6</v>
      </c>
      <c r="B93" s="567">
        <v>7998</v>
      </c>
      <c r="C93" s="567" t="s">
        <v>6</v>
      </c>
      <c r="D93" s="568">
        <v>1</v>
      </c>
    </row>
    <row r="94" spans="1:4">
      <c r="A94" s="566" t="str">
        <f t="shared" si="7"/>
        <v>АСУЭ.BMCS.DV_6</v>
      </c>
      <c r="B94" s="567">
        <v>101</v>
      </c>
      <c r="C94" s="567" t="s">
        <v>0</v>
      </c>
      <c r="D94" s="568" t="s">
        <v>1617</v>
      </c>
    </row>
    <row r="95" spans="1:4">
      <c r="A95" s="566" t="str">
        <f t="shared" si="7"/>
        <v>АСУЭ.BMCS.DV_6</v>
      </c>
      <c r="B95" s="567">
        <v>3</v>
      </c>
      <c r="C95" s="567" t="s">
        <v>1</v>
      </c>
      <c r="D95" s="568">
        <v>192</v>
      </c>
    </row>
    <row r="96" spans="1:4">
      <c r="A96" s="566" t="str">
        <f t="shared" si="7"/>
        <v>АСУЭ.BMCS.DV_6</v>
      </c>
      <c r="B96" s="567">
        <v>2</v>
      </c>
      <c r="C96" s="567" t="s">
        <v>2</v>
      </c>
      <c r="D96" s="568" t="s">
        <v>3</v>
      </c>
    </row>
    <row r="97" spans="1:4">
      <c r="A97" s="569" t="str">
        <f t="shared" si="7"/>
        <v>АСУЭ.BMCS.DV_6</v>
      </c>
      <c r="B97" s="570">
        <v>1</v>
      </c>
      <c r="C97" s="570" t="s">
        <v>1</v>
      </c>
      <c r="D97" s="571">
        <v>11</v>
      </c>
    </row>
    <row r="98" spans="1:4">
      <c r="A98" s="579" t="str">
        <f t="shared" ref="A98:A107" si="8">$R$2&amp;".DV_7"</f>
        <v>АСУЭ.BMCS.DV_7</v>
      </c>
      <c r="B98" s="577">
        <v>11154</v>
      </c>
      <c r="C98" s="577" t="s">
        <v>4</v>
      </c>
      <c r="D98" s="578">
        <f>$Q$6</f>
        <v>8</v>
      </c>
    </row>
    <row r="99" spans="1:4">
      <c r="A99" s="579" t="str">
        <f t="shared" si="8"/>
        <v>АСУЭ.BMCS.DV_7</v>
      </c>
      <c r="B99" s="580">
        <v>11152</v>
      </c>
      <c r="C99" s="580" t="s">
        <v>0</v>
      </c>
      <c r="D99" s="581" t="str">
        <f>$R$6</f>
        <v>Предупреждение</v>
      </c>
    </row>
    <row r="100" spans="1:4">
      <c r="A100" s="579" t="str">
        <f t="shared" si="8"/>
        <v>АСУЭ.BMCS.DV_7</v>
      </c>
      <c r="B100" s="580">
        <v>11150</v>
      </c>
      <c r="C100" s="580" t="s">
        <v>0</v>
      </c>
      <c r="D100" s="581" t="s">
        <v>1612</v>
      </c>
    </row>
    <row r="101" spans="1:4">
      <c r="A101" s="579" t="str">
        <f t="shared" si="8"/>
        <v>АСУЭ.BMCS.DV_7</v>
      </c>
      <c r="B101" s="580">
        <v>11000</v>
      </c>
      <c r="C101" s="580" t="s">
        <v>5</v>
      </c>
      <c r="D101" s="581">
        <v>2147483680</v>
      </c>
    </row>
    <row r="102" spans="1:4">
      <c r="A102" s="566" t="str">
        <f t="shared" si="8"/>
        <v>АСУЭ.BMCS.DV_7</v>
      </c>
      <c r="B102" s="567">
        <v>7999</v>
      </c>
      <c r="C102" s="567" t="s">
        <v>0</v>
      </c>
      <c r="D102" s="568" t="str">
        <f>"#"&amp;$S$2&amp;"#"&amp;$T$2&amp;"."&amp;$P$2&amp;".Reg_Inputs_bit6"</f>
        <v>#3#\\Setup_rza\Modbus.OPCServer\KTP_BMCS.BMCS.Reg_Inputs_bit6</v>
      </c>
    </row>
    <row r="103" spans="1:4">
      <c r="A103" s="566" t="str">
        <f t="shared" si="8"/>
        <v>АСУЭ.BMCS.DV_7</v>
      </c>
      <c r="B103" s="567">
        <v>7998</v>
      </c>
      <c r="C103" s="567" t="s">
        <v>6</v>
      </c>
      <c r="D103" s="568">
        <v>1</v>
      </c>
    </row>
    <row r="104" spans="1:4">
      <c r="A104" s="566" t="str">
        <f t="shared" si="8"/>
        <v>АСУЭ.BMCS.DV_7</v>
      </c>
      <c r="B104" s="567">
        <v>101</v>
      </c>
      <c r="C104" s="567" t="s">
        <v>0</v>
      </c>
      <c r="D104" s="568" t="s">
        <v>1618</v>
      </c>
    </row>
    <row r="105" spans="1:4">
      <c r="A105" s="566" t="str">
        <f t="shared" si="8"/>
        <v>АСУЭ.BMCS.DV_7</v>
      </c>
      <c r="B105" s="567">
        <v>3</v>
      </c>
      <c r="C105" s="567" t="s">
        <v>1</v>
      </c>
      <c r="D105" s="568">
        <v>192</v>
      </c>
    </row>
    <row r="106" spans="1:4">
      <c r="A106" s="566" t="str">
        <f t="shared" si="8"/>
        <v>АСУЭ.BMCS.DV_7</v>
      </c>
      <c r="B106" s="567">
        <v>2</v>
      </c>
      <c r="C106" s="567" t="s">
        <v>2</v>
      </c>
      <c r="D106" s="568" t="s">
        <v>3</v>
      </c>
    </row>
    <row r="107" spans="1:4">
      <c r="A107" s="569" t="str">
        <f t="shared" si="8"/>
        <v>АСУЭ.BMCS.DV_7</v>
      </c>
      <c r="B107" s="570">
        <v>1</v>
      </c>
      <c r="C107" s="570" t="s">
        <v>1</v>
      </c>
      <c r="D107" s="571">
        <v>11</v>
      </c>
    </row>
    <row r="108" spans="1:4">
      <c r="A108" s="579" t="str">
        <f t="shared" ref="A108:A117" si="9">$R$2&amp;".DV_8"</f>
        <v>АСУЭ.BMCS.DV_8</v>
      </c>
      <c r="B108" s="577">
        <v>11154</v>
      </c>
      <c r="C108" s="577" t="s">
        <v>4</v>
      </c>
      <c r="D108" s="578">
        <f>$Q$6</f>
        <v>8</v>
      </c>
    </row>
    <row r="109" spans="1:4">
      <c r="A109" s="579" t="str">
        <f t="shared" si="9"/>
        <v>АСУЭ.BMCS.DV_8</v>
      </c>
      <c r="B109" s="580">
        <v>11152</v>
      </c>
      <c r="C109" s="580" t="s">
        <v>0</v>
      </c>
      <c r="D109" s="581" t="str">
        <f>$R$6</f>
        <v>Предупреждение</v>
      </c>
    </row>
    <row r="110" spans="1:4" ht="15.75" customHeight="1">
      <c r="A110" s="579" t="str">
        <f t="shared" si="9"/>
        <v>АСУЭ.BMCS.DV_8</v>
      </c>
      <c r="B110" s="580">
        <v>11150</v>
      </c>
      <c r="C110" s="580" t="s">
        <v>0</v>
      </c>
      <c r="D110" s="581" t="s">
        <v>1612</v>
      </c>
    </row>
    <row r="111" spans="1:4">
      <c r="A111" s="579" t="str">
        <f t="shared" si="9"/>
        <v>АСУЭ.BMCS.DV_8</v>
      </c>
      <c r="B111" s="580">
        <v>11000</v>
      </c>
      <c r="C111" s="580" t="s">
        <v>5</v>
      </c>
      <c r="D111" s="581">
        <v>2147483680</v>
      </c>
    </row>
    <row r="112" spans="1:4">
      <c r="A112" s="566" t="str">
        <f t="shared" si="9"/>
        <v>АСУЭ.BMCS.DV_8</v>
      </c>
      <c r="B112" s="567">
        <v>7999</v>
      </c>
      <c r="C112" s="567" t="s">
        <v>0</v>
      </c>
      <c r="D112" s="568" t="str">
        <f>"#"&amp;$S$2&amp;"#"&amp;$T$2&amp;"."&amp;$P$2&amp;".Reg_Inputs_bit7"</f>
        <v>#3#\\Setup_rza\Modbus.OPCServer\KTP_BMCS.BMCS.Reg_Inputs_bit7</v>
      </c>
    </row>
    <row r="113" spans="1:4">
      <c r="A113" s="566" t="str">
        <f t="shared" si="9"/>
        <v>АСУЭ.BMCS.DV_8</v>
      </c>
      <c r="B113" s="567">
        <v>7998</v>
      </c>
      <c r="C113" s="567" t="s">
        <v>6</v>
      </c>
      <c r="D113" s="568">
        <v>1</v>
      </c>
    </row>
    <row r="114" spans="1:4">
      <c r="A114" s="566" t="str">
        <f t="shared" si="9"/>
        <v>АСУЭ.BMCS.DV_8</v>
      </c>
      <c r="B114" s="567">
        <v>101</v>
      </c>
      <c r="C114" s="567" t="s">
        <v>0</v>
      </c>
      <c r="D114" s="568" t="s">
        <v>1619</v>
      </c>
    </row>
    <row r="115" spans="1:4">
      <c r="A115" s="566" t="str">
        <f t="shared" si="9"/>
        <v>АСУЭ.BMCS.DV_8</v>
      </c>
      <c r="B115" s="567">
        <v>3</v>
      </c>
      <c r="C115" s="567" t="s">
        <v>1</v>
      </c>
      <c r="D115" s="568">
        <v>192</v>
      </c>
    </row>
    <row r="116" spans="1:4">
      <c r="A116" s="566" t="str">
        <f t="shared" si="9"/>
        <v>АСУЭ.BMCS.DV_8</v>
      </c>
      <c r="B116" s="567">
        <v>2</v>
      </c>
      <c r="C116" s="567" t="s">
        <v>2</v>
      </c>
      <c r="D116" s="568" t="s">
        <v>3</v>
      </c>
    </row>
    <row r="117" spans="1:4">
      <c r="A117" s="569" t="str">
        <f t="shared" si="9"/>
        <v>АСУЭ.BMCS.DV_8</v>
      </c>
      <c r="B117" s="570">
        <v>1</v>
      </c>
      <c r="C117" s="570" t="s">
        <v>1</v>
      </c>
      <c r="D117" s="571">
        <v>11</v>
      </c>
    </row>
    <row r="118" spans="1:4">
      <c r="A118" s="579" t="str">
        <f t="shared" ref="A118:A127" si="10">$R$2&amp;".DV_9"</f>
        <v>АСУЭ.BMCS.DV_9</v>
      </c>
      <c r="B118" s="577">
        <v>11154</v>
      </c>
      <c r="C118" s="577" t="s">
        <v>4</v>
      </c>
      <c r="D118" s="578">
        <f>$Q$6</f>
        <v>8</v>
      </c>
    </row>
    <row r="119" spans="1:4">
      <c r="A119" s="579" t="str">
        <f t="shared" si="10"/>
        <v>АСУЭ.BMCS.DV_9</v>
      </c>
      <c r="B119" s="580">
        <v>11152</v>
      </c>
      <c r="C119" s="580" t="s">
        <v>0</v>
      </c>
      <c r="D119" s="581" t="str">
        <f>$R$6</f>
        <v>Предупреждение</v>
      </c>
    </row>
    <row r="120" spans="1:4">
      <c r="A120" s="579" t="str">
        <f t="shared" si="10"/>
        <v>АСУЭ.BMCS.DV_9</v>
      </c>
      <c r="B120" s="580">
        <v>11150</v>
      </c>
      <c r="C120" s="580" t="s">
        <v>0</v>
      </c>
      <c r="D120" s="581" t="s">
        <v>1612</v>
      </c>
    </row>
    <row r="121" spans="1:4">
      <c r="A121" s="579" t="str">
        <f t="shared" si="10"/>
        <v>АСУЭ.BMCS.DV_9</v>
      </c>
      <c r="B121" s="580">
        <v>11000</v>
      </c>
      <c r="C121" s="580" t="s">
        <v>5</v>
      </c>
      <c r="D121" s="581">
        <v>2147483680</v>
      </c>
    </row>
    <row r="122" spans="1:4" ht="15.75" customHeight="1">
      <c r="A122" s="566" t="str">
        <f t="shared" si="10"/>
        <v>АСУЭ.BMCS.DV_9</v>
      </c>
      <c r="B122" s="567">
        <v>7999</v>
      </c>
      <c r="C122" s="567" t="s">
        <v>0</v>
      </c>
      <c r="D122" s="568" t="str">
        <f>"#"&amp;$S$2&amp;"#"&amp;$T$2&amp;"."&amp;$P$2&amp;".Reg_Inputs_bit8"</f>
        <v>#3#\\Setup_rza\Modbus.OPCServer\KTP_BMCS.BMCS.Reg_Inputs_bit8</v>
      </c>
    </row>
    <row r="123" spans="1:4">
      <c r="A123" s="566" t="str">
        <f t="shared" si="10"/>
        <v>АСУЭ.BMCS.DV_9</v>
      </c>
      <c r="B123" s="567">
        <v>7998</v>
      </c>
      <c r="C123" s="567" t="s">
        <v>6</v>
      </c>
      <c r="D123" s="568">
        <v>1</v>
      </c>
    </row>
    <row r="124" spans="1:4">
      <c r="A124" s="566" t="str">
        <f t="shared" si="10"/>
        <v>АСУЭ.BMCS.DV_9</v>
      </c>
      <c r="B124" s="567">
        <v>101</v>
      </c>
      <c r="C124" s="567" t="s">
        <v>0</v>
      </c>
      <c r="D124" s="568" t="s">
        <v>1620</v>
      </c>
    </row>
    <row r="125" spans="1:4">
      <c r="A125" s="566" t="str">
        <f t="shared" si="10"/>
        <v>АСУЭ.BMCS.DV_9</v>
      </c>
      <c r="B125" s="567">
        <v>3</v>
      </c>
      <c r="C125" s="567" t="s">
        <v>1</v>
      </c>
      <c r="D125" s="568">
        <v>192</v>
      </c>
    </row>
    <row r="126" spans="1:4">
      <c r="A126" s="566" t="str">
        <f t="shared" si="10"/>
        <v>АСУЭ.BMCS.DV_9</v>
      </c>
      <c r="B126" s="567">
        <v>2</v>
      </c>
      <c r="C126" s="567" t="s">
        <v>2</v>
      </c>
      <c r="D126" s="568" t="s">
        <v>3</v>
      </c>
    </row>
    <row r="127" spans="1:4">
      <c r="A127" s="569" t="str">
        <f t="shared" si="10"/>
        <v>АСУЭ.BMCS.DV_9</v>
      </c>
      <c r="B127" s="570">
        <v>1</v>
      </c>
      <c r="C127" s="570" t="s">
        <v>1</v>
      </c>
      <c r="D127" s="571">
        <v>11</v>
      </c>
    </row>
    <row r="128" spans="1:4">
      <c r="A128" s="579" t="str">
        <f t="shared" ref="A128:A137" si="11">$R$2&amp;".DV_10"</f>
        <v>АСУЭ.BMCS.DV_10</v>
      </c>
      <c r="B128" s="577">
        <v>11154</v>
      </c>
      <c r="C128" s="577" t="s">
        <v>4</v>
      </c>
      <c r="D128" s="578">
        <f>$Q$6</f>
        <v>8</v>
      </c>
    </row>
    <row r="129" spans="1:4">
      <c r="A129" s="579" t="str">
        <f t="shared" si="11"/>
        <v>АСУЭ.BMCS.DV_10</v>
      </c>
      <c r="B129" s="580">
        <v>11152</v>
      </c>
      <c r="C129" s="580" t="s">
        <v>0</v>
      </c>
      <c r="D129" s="581" t="str">
        <f>$R$6</f>
        <v>Предупреждение</v>
      </c>
    </row>
    <row r="130" spans="1:4">
      <c r="A130" s="579" t="str">
        <f t="shared" si="11"/>
        <v>АСУЭ.BMCS.DV_10</v>
      </c>
      <c r="B130" s="580">
        <v>11150</v>
      </c>
      <c r="C130" s="580" t="s">
        <v>0</v>
      </c>
      <c r="D130" s="581" t="s">
        <v>1612</v>
      </c>
    </row>
    <row r="131" spans="1:4">
      <c r="A131" s="579" t="str">
        <f t="shared" si="11"/>
        <v>АСУЭ.BMCS.DV_10</v>
      </c>
      <c r="B131" s="580">
        <v>11000</v>
      </c>
      <c r="C131" s="580" t="s">
        <v>5</v>
      </c>
      <c r="D131" s="581">
        <v>2147483680</v>
      </c>
    </row>
    <row r="132" spans="1:4">
      <c r="A132" s="566" t="str">
        <f t="shared" si="11"/>
        <v>АСУЭ.BMCS.DV_10</v>
      </c>
      <c r="B132" s="567">
        <v>7999</v>
      </c>
      <c r="C132" s="567" t="s">
        <v>0</v>
      </c>
      <c r="D132" s="568" t="str">
        <f>"#"&amp;$S$2&amp;"#"&amp;$T$2&amp;"."&amp;$P$2&amp;".Reg_Inputs_bit9"</f>
        <v>#3#\\Setup_rza\Modbus.OPCServer\KTP_BMCS.BMCS.Reg_Inputs_bit9</v>
      </c>
    </row>
    <row r="133" spans="1:4">
      <c r="A133" s="566" t="str">
        <f t="shared" si="11"/>
        <v>АСУЭ.BMCS.DV_10</v>
      </c>
      <c r="B133" s="567">
        <v>7998</v>
      </c>
      <c r="C133" s="567" t="s">
        <v>6</v>
      </c>
      <c r="D133" s="568">
        <v>1</v>
      </c>
    </row>
    <row r="134" spans="1:4">
      <c r="A134" s="566" t="str">
        <f t="shared" si="11"/>
        <v>АСУЭ.BMCS.DV_10</v>
      </c>
      <c r="B134" s="567">
        <v>101</v>
      </c>
      <c r="C134" s="567" t="s">
        <v>0</v>
      </c>
      <c r="D134" s="568" t="s">
        <v>1621</v>
      </c>
    </row>
    <row r="135" spans="1:4">
      <c r="A135" s="566" t="str">
        <f t="shared" si="11"/>
        <v>АСУЭ.BMCS.DV_10</v>
      </c>
      <c r="B135" s="567">
        <v>3</v>
      </c>
      <c r="C135" s="567" t="s">
        <v>1</v>
      </c>
      <c r="D135" s="568">
        <v>192</v>
      </c>
    </row>
    <row r="136" spans="1:4">
      <c r="A136" s="566" t="str">
        <f t="shared" si="11"/>
        <v>АСУЭ.BMCS.DV_10</v>
      </c>
      <c r="B136" s="567">
        <v>2</v>
      </c>
      <c r="C136" s="567" t="s">
        <v>2</v>
      </c>
      <c r="D136" s="568" t="s">
        <v>3</v>
      </c>
    </row>
    <row r="137" spans="1:4">
      <c r="A137" s="569" t="str">
        <f t="shared" si="11"/>
        <v>АСУЭ.BMCS.DV_10</v>
      </c>
      <c r="B137" s="570">
        <v>1</v>
      </c>
      <c r="C137" s="570" t="s">
        <v>1</v>
      </c>
      <c r="D137" s="571">
        <v>11</v>
      </c>
    </row>
    <row r="138" spans="1:4">
      <c r="A138" s="579" t="str">
        <f t="shared" ref="A138:A147" si="12">$R$2&amp;".DV_11"</f>
        <v>АСУЭ.BMCS.DV_11</v>
      </c>
      <c r="B138" s="577">
        <v>11154</v>
      </c>
      <c r="C138" s="577" t="s">
        <v>4</v>
      </c>
      <c r="D138" s="578">
        <f>$Q$6</f>
        <v>8</v>
      </c>
    </row>
    <row r="139" spans="1:4">
      <c r="A139" s="579" t="str">
        <f t="shared" si="12"/>
        <v>АСУЭ.BMCS.DV_11</v>
      </c>
      <c r="B139" s="580">
        <v>11152</v>
      </c>
      <c r="C139" s="580" t="s">
        <v>0</v>
      </c>
      <c r="D139" s="581" t="str">
        <f>$R$6</f>
        <v>Предупреждение</v>
      </c>
    </row>
    <row r="140" spans="1:4">
      <c r="A140" s="579" t="str">
        <f t="shared" si="12"/>
        <v>АСУЭ.BMCS.DV_11</v>
      </c>
      <c r="B140" s="580">
        <v>11150</v>
      </c>
      <c r="C140" s="580" t="s">
        <v>0</v>
      </c>
      <c r="D140" s="581" t="s">
        <v>1612</v>
      </c>
    </row>
    <row r="141" spans="1:4">
      <c r="A141" s="579" t="str">
        <f t="shared" si="12"/>
        <v>АСУЭ.BMCS.DV_11</v>
      </c>
      <c r="B141" s="580">
        <v>11000</v>
      </c>
      <c r="C141" s="580" t="s">
        <v>5</v>
      </c>
      <c r="D141" s="581">
        <v>2147483680</v>
      </c>
    </row>
    <row r="142" spans="1:4">
      <c r="A142" s="566" t="str">
        <f t="shared" si="12"/>
        <v>АСУЭ.BMCS.DV_11</v>
      </c>
      <c r="B142" s="567">
        <v>7999</v>
      </c>
      <c r="C142" s="567" t="s">
        <v>0</v>
      </c>
      <c r="D142" s="568" t="str">
        <f>"#"&amp;$S$2&amp;"#"&amp;$T$2&amp;"."&amp;$P$2&amp;".Reg_Inputs_bit10"</f>
        <v>#3#\\Setup_rza\Modbus.OPCServer\KTP_BMCS.BMCS.Reg_Inputs_bit10</v>
      </c>
    </row>
    <row r="143" spans="1:4">
      <c r="A143" s="566" t="str">
        <f t="shared" si="12"/>
        <v>АСУЭ.BMCS.DV_11</v>
      </c>
      <c r="B143" s="567">
        <v>7998</v>
      </c>
      <c r="C143" s="567" t="s">
        <v>6</v>
      </c>
      <c r="D143" s="568">
        <v>1</v>
      </c>
    </row>
    <row r="144" spans="1:4">
      <c r="A144" s="566" t="str">
        <f t="shared" si="12"/>
        <v>АСУЭ.BMCS.DV_11</v>
      </c>
      <c r="B144" s="567">
        <v>101</v>
      </c>
      <c r="C144" s="567" t="s">
        <v>0</v>
      </c>
      <c r="D144" s="568" t="s">
        <v>1622</v>
      </c>
    </row>
    <row r="145" spans="1:4">
      <c r="A145" s="566" t="str">
        <f t="shared" si="12"/>
        <v>АСУЭ.BMCS.DV_11</v>
      </c>
      <c r="B145" s="567">
        <v>3</v>
      </c>
      <c r="C145" s="567" t="s">
        <v>1</v>
      </c>
      <c r="D145" s="568">
        <v>192</v>
      </c>
    </row>
    <row r="146" spans="1:4">
      <c r="A146" s="566" t="str">
        <f t="shared" si="12"/>
        <v>АСУЭ.BMCS.DV_11</v>
      </c>
      <c r="B146" s="567">
        <v>2</v>
      </c>
      <c r="C146" s="567" t="s">
        <v>2</v>
      </c>
      <c r="D146" s="568" t="s">
        <v>3</v>
      </c>
    </row>
    <row r="147" spans="1:4">
      <c r="A147" s="569" t="str">
        <f t="shared" si="12"/>
        <v>АСУЭ.BMCS.DV_11</v>
      </c>
      <c r="B147" s="570">
        <v>1</v>
      </c>
      <c r="C147" s="570" t="s">
        <v>1</v>
      </c>
      <c r="D147" s="571">
        <v>11</v>
      </c>
    </row>
    <row r="148" spans="1:4">
      <c r="A148" s="579" t="str">
        <f t="shared" ref="A148:A157" si="13">$R$2&amp;".DV_12"</f>
        <v>АСУЭ.BMCS.DV_12</v>
      </c>
      <c r="B148" s="577">
        <v>11154</v>
      </c>
      <c r="C148" s="577" t="s">
        <v>4</v>
      </c>
      <c r="D148" s="578">
        <f>$Q$6</f>
        <v>8</v>
      </c>
    </row>
    <row r="149" spans="1:4">
      <c r="A149" s="579" t="str">
        <f t="shared" si="13"/>
        <v>АСУЭ.BMCS.DV_12</v>
      </c>
      <c r="B149" s="580">
        <v>11152</v>
      </c>
      <c r="C149" s="580" t="s">
        <v>0</v>
      </c>
      <c r="D149" s="581" t="str">
        <f>$R$6</f>
        <v>Предупреждение</v>
      </c>
    </row>
    <row r="150" spans="1:4">
      <c r="A150" s="579" t="str">
        <f t="shared" si="13"/>
        <v>АСУЭ.BMCS.DV_12</v>
      </c>
      <c r="B150" s="580">
        <v>11150</v>
      </c>
      <c r="C150" s="580" t="s">
        <v>0</v>
      </c>
      <c r="D150" s="581" t="s">
        <v>1612</v>
      </c>
    </row>
    <row r="151" spans="1:4">
      <c r="A151" s="579" t="str">
        <f t="shared" si="13"/>
        <v>АСУЭ.BMCS.DV_12</v>
      </c>
      <c r="B151" s="580">
        <v>11000</v>
      </c>
      <c r="C151" s="580" t="s">
        <v>5</v>
      </c>
      <c r="D151" s="581">
        <v>2147483680</v>
      </c>
    </row>
    <row r="152" spans="1:4">
      <c r="A152" s="566" t="str">
        <f t="shared" si="13"/>
        <v>АСУЭ.BMCS.DV_12</v>
      </c>
      <c r="B152" s="567">
        <v>7999</v>
      </c>
      <c r="C152" s="567" t="s">
        <v>0</v>
      </c>
      <c r="D152" s="568" t="str">
        <f>"#"&amp;$S$2&amp;"#"&amp;$T$2&amp;"."&amp;$P$2&amp;".Reg_Inputs_bit11"</f>
        <v>#3#\\Setup_rza\Modbus.OPCServer\KTP_BMCS.BMCS.Reg_Inputs_bit11</v>
      </c>
    </row>
    <row r="153" spans="1:4">
      <c r="A153" s="566" t="str">
        <f t="shared" si="13"/>
        <v>АСУЭ.BMCS.DV_12</v>
      </c>
      <c r="B153" s="567">
        <v>7998</v>
      </c>
      <c r="C153" s="567" t="s">
        <v>6</v>
      </c>
      <c r="D153" s="568">
        <v>1</v>
      </c>
    </row>
    <row r="154" spans="1:4">
      <c r="A154" s="566" t="str">
        <f t="shared" si="13"/>
        <v>АСУЭ.BMCS.DV_12</v>
      </c>
      <c r="B154" s="567">
        <v>101</v>
      </c>
      <c r="C154" s="567" t="s">
        <v>0</v>
      </c>
      <c r="D154" s="568" t="s">
        <v>1623</v>
      </c>
    </row>
    <row r="155" spans="1:4">
      <c r="A155" s="566" t="str">
        <f t="shared" si="13"/>
        <v>АСУЭ.BMCS.DV_12</v>
      </c>
      <c r="B155" s="567">
        <v>3</v>
      </c>
      <c r="C155" s="567" t="s">
        <v>1</v>
      </c>
      <c r="D155" s="568">
        <v>192</v>
      </c>
    </row>
    <row r="156" spans="1:4">
      <c r="A156" s="566" t="str">
        <f t="shared" si="13"/>
        <v>АСУЭ.BMCS.DV_12</v>
      </c>
      <c r="B156" s="567">
        <v>2</v>
      </c>
      <c r="C156" s="567" t="s">
        <v>2</v>
      </c>
      <c r="D156" s="568" t="s">
        <v>3</v>
      </c>
    </row>
    <row r="157" spans="1:4">
      <c r="A157" s="569" t="str">
        <f t="shared" si="13"/>
        <v>АСУЭ.BMCS.DV_12</v>
      </c>
      <c r="B157" s="570">
        <v>1</v>
      </c>
      <c r="C157" s="570" t="s">
        <v>1</v>
      </c>
      <c r="D157" s="571">
        <v>11</v>
      </c>
    </row>
    <row r="158" spans="1:4">
      <c r="A158" s="579" t="str">
        <f t="shared" ref="A158:A167" si="14">$R$2&amp;".DV_13"</f>
        <v>АСУЭ.BMCS.DV_13</v>
      </c>
      <c r="B158" s="577">
        <v>11154</v>
      </c>
      <c r="C158" s="577" t="s">
        <v>4</v>
      </c>
      <c r="D158" s="578">
        <f>$Q$6</f>
        <v>8</v>
      </c>
    </row>
    <row r="159" spans="1:4">
      <c r="A159" s="579" t="str">
        <f t="shared" si="14"/>
        <v>АСУЭ.BMCS.DV_13</v>
      </c>
      <c r="B159" s="580">
        <v>11152</v>
      </c>
      <c r="C159" s="580" t="s">
        <v>0</v>
      </c>
      <c r="D159" s="581" t="str">
        <f>$R$6</f>
        <v>Предупреждение</v>
      </c>
    </row>
    <row r="160" spans="1:4">
      <c r="A160" s="579" t="str">
        <f t="shared" si="14"/>
        <v>АСУЭ.BMCS.DV_13</v>
      </c>
      <c r="B160" s="580">
        <v>11150</v>
      </c>
      <c r="C160" s="580" t="s">
        <v>0</v>
      </c>
      <c r="D160" s="581" t="s">
        <v>1612</v>
      </c>
    </row>
    <row r="161" spans="1:4">
      <c r="A161" s="579" t="str">
        <f t="shared" si="14"/>
        <v>АСУЭ.BMCS.DV_13</v>
      </c>
      <c r="B161" s="580">
        <v>11000</v>
      </c>
      <c r="C161" s="580" t="s">
        <v>5</v>
      </c>
      <c r="D161" s="581">
        <v>2147483680</v>
      </c>
    </row>
    <row r="162" spans="1:4">
      <c r="A162" s="566" t="str">
        <f t="shared" si="14"/>
        <v>АСУЭ.BMCS.DV_13</v>
      </c>
      <c r="B162" s="567">
        <v>7999</v>
      </c>
      <c r="C162" s="567" t="s">
        <v>0</v>
      </c>
      <c r="D162" s="568" t="str">
        <f>"#"&amp;$S$2&amp;"#"&amp;$T$2&amp;"."&amp;$P$2&amp;".Reg_Inputs_bit12"</f>
        <v>#3#\\Setup_rza\Modbus.OPCServer\KTP_BMCS.BMCS.Reg_Inputs_bit12</v>
      </c>
    </row>
    <row r="163" spans="1:4">
      <c r="A163" s="566" t="str">
        <f t="shared" si="14"/>
        <v>АСУЭ.BMCS.DV_13</v>
      </c>
      <c r="B163" s="567">
        <v>7998</v>
      </c>
      <c r="C163" s="567" t="s">
        <v>6</v>
      </c>
      <c r="D163" s="568">
        <v>1</v>
      </c>
    </row>
    <row r="164" spans="1:4">
      <c r="A164" s="566" t="str">
        <f t="shared" si="14"/>
        <v>АСУЭ.BMCS.DV_13</v>
      </c>
      <c r="B164" s="567">
        <v>101</v>
      </c>
      <c r="C164" s="567" t="s">
        <v>0</v>
      </c>
      <c r="D164" s="568" t="s">
        <v>1624</v>
      </c>
    </row>
    <row r="165" spans="1:4">
      <c r="A165" s="566" t="str">
        <f t="shared" si="14"/>
        <v>АСУЭ.BMCS.DV_13</v>
      </c>
      <c r="B165" s="567">
        <v>3</v>
      </c>
      <c r="C165" s="567" t="s">
        <v>1</v>
      </c>
      <c r="D165" s="568">
        <v>192</v>
      </c>
    </row>
    <row r="166" spans="1:4">
      <c r="A166" s="566" t="str">
        <f t="shared" si="14"/>
        <v>АСУЭ.BMCS.DV_13</v>
      </c>
      <c r="B166" s="567">
        <v>2</v>
      </c>
      <c r="C166" s="567" t="s">
        <v>2</v>
      </c>
      <c r="D166" s="568" t="s">
        <v>3</v>
      </c>
    </row>
    <row r="167" spans="1:4">
      <c r="A167" s="569" t="str">
        <f t="shared" si="14"/>
        <v>АСУЭ.BMCS.DV_13</v>
      </c>
      <c r="B167" s="570">
        <v>1</v>
      </c>
      <c r="C167" s="570" t="s">
        <v>1</v>
      </c>
      <c r="D167" s="571">
        <v>11</v>
      </c>
    </row>
    <row r="168" spans="1:4">
      <c r="A168" s="579" t="str">
        <f t="shared" ref="A168:A177" si="15">$R$2&amp;".DV_14"</f>
        <v>АСУЭ.BMCS.DV_14</v>
      </c>
      <c r="B168" s="577">
        <v>11154</v>
      </c>
      <c r="C168" s="577" t="s">
        <v>4</v>
      </c>
      <c r="D168" s="578">
        <f>$Q$6</f>
        <v>8</v>
      </c>
    </row>
    <row r="169" spans="1:4">
      <c r="A169" s="579" t="str">
        <f t="shared" si="15"/>
        <v>АСУЭ.BMCS.DV_14</v>
      </c>
      <c r="B169" s="580">
        <v>11152</v>
      </c>
      <c r="C169" s="580" t="s">
        <v>0</v>
      </c>
      <c r="D169" s="581" t="str">
        <f>$R$6</f>
        <v>Предупреждение</v>
      </c>
    </row>
    <row r="170" spans="1:4">
      <c r="A170" s="579" t="str">
        <f t="shared" si="15"/>
        <v>АСУЭ.BMCS.DV_14</v>
      </c>
      <c r="B170" s="580">
        <v>11150</v>
      </c>
      <c r="C170" s="580" t="s">
        <v>0</v>
      </c>
      <c r="D170" s="581" t="s">
        <v>1612</v>
      </c>
    </row>
    <row r="171" spans="1:4">
      <c r="A171" s="579" t="str">
        <f t="shared" si="15"/>
        <v>АСУЭ.BMCS.DV_14</v>
      </c>
      <c r="B171" s="580">
        <v>11000</v>
      </c>
      <c r="C171" s="580" t="s">
        <v>5</v>
      </c>
      <c r="D171" s="581">
        <v>2147483680</v>
      </c>
    </row>
    <row r="172" spans="1:4">
      <c r="A172" s="566" t="str">
        <f t="shared" si="15"/>
        <v>АСУЭ.BMCS.DV_14</v>
      </c>
      <c r="B172" s="567">
        <v>7999</v>
      </c>
      <c r="C172" s="567" t="s">
        <v>0</v>
      </c>
      <c r="D172" s="568" t="str">
        <f>"#"&amp;$S$2&amp;"#"&amp;$T$2&amp;"."&amp;$P$2&amp;".Reg_Inputs_bit13"</f>
        <v>#3#\\Setup_rza\Modbus.OPCServer\KTP_BMCS.BMCS.Reg_Inputs_bit13</v>
      </c>
    </row>
    <row r="173" spans="1:4" ht="14.25" customHeight="1">
      <c r="A173" s="566" t="str">
        <f t="shared" si="15"/>
        <v>АСУЭ.BMCS.DV_14</v>
      </c>
      <c r="B173" s="567">
        <v>7998</v>
      </c>
      <c r="C173" s="567" t="s">
        <v>6</v>
      </c>
      <c r="D173" s="568">
        <v>1</v>
      </c>
    </row>
    <row r="174" spans="1:4">
      <c r="A174" s="566" t="str">
        <f t="shared" si="15"/>
        <v>АСУЭ.BMCS.DV_14</v>
      </c>
      <c r="B174" s="567">
        <v>101</v>
      </c>
      <c r="C174" s="567" t="s">
        <v>0</v>
      </c>
      <c r="D174" s="568" t="s">
        <v>1625</v>
      </c>
    </row>
    <row r="175" spans="1:4">
      <c r="A175" s="566" t="str">
        <f t="shared" si="15"/>
        <v>АСУЭ.BMCS.DV_14</v>
      </c>
      <c r="B175" s="567">
        <v>3</v>
      </c>
      <c r="C175" s="567" t="s">
        <v>1</v>
      </c>
      <c r="D175" s="568">
        <v>192</v>
      </c>
    </row>
    <row r="176" spans="1:4">
      <c r="A176" s="566" t="str">
        <f t="shared" si="15"/>
        <v>АСУЭ.BMCS.DV_14</v>
      </c>
      <c r="B176" s="567">
        <v>2</v>
      </c>
      <c r="C176" s="567" t="s">
        <v>2</v>
      </c>
      <c r="D176" s="568" t="s">
        <v>3</v>
      </c>
    </row>
    <row r="177" spans="1:4">
      <c r="A177" s="569" t="str">
        <f t="shared" si="15"/>
        <v>АСУЭ.BMCS.DV_14</v>
      </c>
      <c r="B177" s="570">
        <v>1</v>
      </c>
      <c r="C177" s="570" t="s">
        <v>1</v>
      </c>
      <c r="D177" s="571">
        <v>11</v>
      </c>
    </row>
    <row r="178" spans="1:4">
      <c r="A178" s="579" t="str">
        <f t="shared" ref="A178:A187" si="16">$R$2&amp;".DV_15"</f>
        <v>АСУЭ.BMCS.DV_15</v>
      </c>
      <c r="B178" s="577">
        <v>11154</v>
      </c>
      <c r="C178" s="577" t="s">
        <v>4</v>
      </c>
      <c r="D178" s="578">
        <f>$Q$6</f>
        <v>8</v>
      </c>
    </row>
    <row r="179" spans="1:4">
      <c r="A179" s="579" t="str">
        <f t="shared" si="16"/>
        <v>АСУЭ.BMCS.DV_15</v>
      </c>
      <c r="B179" s="580">
        <v>11152</v>
      </c>
      <c r="C179" s="580" t="s">
        <v>0</v>
      </c>
      <c r="D179" s="581" t="str">
        <f>$R$6</f>
        <v>Предупреждение</v>
      </c>
    </row>
    <row r="180" spans="1:4">
      <c r="A180" s="579" t="str">
        <f t="shared" si="16"/>
        <v>АСУЭ.BMCS.DV_15</v>
      </c>
      <c r="B180" s="580">
        <v>11150</v>
      </c>
      <c r="C180" s="580" t="s">
        <v>0</v>
      </c>
      <c r="D180" s="581" t="s">
        <v>1612</v>
      </c>
    </row>
    <row r="181" spans="1:4">
      <c r="A181" s="579" t="str">
        <f t="shared" si="16"/>
        <v>АСУЭ.BMCS.DV_15</v>
      </c>
      <c r="B181" s="580">
        <v>11000</v>
      </c>
      <c r="C181" s="580" t="s">
        <v>5</v>
      </c>
      <c r="D181" s="581">
        <v>2147483680</v>
      </c>
    </row>
    <row r="182" spans="1:4">
      <c r="A182" s="566" t="str">
        <f t="shared" si="16"/>
        <v>АСУЭ.BMCS.DV_15</v>
      </c>
      <c r="B182" s="567">
        <v>7999</v>
      </c>
      <c r="C182" s="567" t="s">
        <v>0</v>
      </c>
      <c r="D182" s="568" t="str">
        <f>"#"&amp;$S$2&amp;"#"&amp;$T$2&amp;"."&amp;$P$2&amp;".Reg_Inputs_bit14"</f>
        <v>#3#\\Setup_rza\Modbus.OPCServer\KTP_BMCS.BMCS.Reg_Inputs_bit14</v>
      </c>
    </row>
    <row r="183" spans="1:4">
      <c r="A183" s="566" t="str">
        <f t="shared" si="16"/>
        <v>АСУЭ.BMCS.DV_15</v>
      </c>
      <c r="B183" s="567">
        <v>7998</v>
      </c>
      <c r="C183" s="567" t="s">
        <v>6</v>
      </c>
      <c r="D183" s="568">
        <v>1</v>
      </c>
    </row>
    <row r="184" spans="1:4">
      <c r="A184" s="566" t="str">
        <f t="shared" si="16"/>
        <v>АСУЭ.BMCS.DV_15</v>
      </c>
      <c r="B184" s="567">
        <v>101</v>
      </c>
      <c r="C184" s="567" t="s">
        <v>0</v>
      </c>
      <c r="D184" s="568" t="s">
        <v>1626</v>
      </c>
    </row>
    <row r="185" spans="1:4">
      <c r="A185" s="566" t="str">
        <f t="shared" si="16"/>
        <v>АСУЭ.BMCS.DV_15</v>
      </c>
      <c r="B185" s="567">
        <v>3</v>
      </c>
      <c r="C185" s="567" t="s">
        <v>1</v>
      </c>
      <c r="D185" s="568">
        <v>192</v>
      </c>
    </row>
    <row r="186" spans="1:4">
      <c r="A186" s="566" t="str">
        <f t="shared" si="16"/>
        <v>АСУЭ.BMCS.DV_15</v>
      </c>
      <c r="B186" s="567">
        <v>2</v>
      </c>
      <c r="C186" s="567" t="s">
        <v>2</v>
      </c>
      <c r="D186" s="568" t="s">
        <v>3</v>
      </c>
    </row>
    <row r="187" spans="1:4">
      <c r="A187" s="569" t="str">
        <f t="shared" si="16"/>
        <v>АСУЭ.BMCS.DV_15</v>
      </c>
      <c r="B187" s="570">
        <v>1</v>
      </c>
      <c r="C187" s="570" t="s">
        <v>1</v>
      </c>
      <c r="D187" s="571">
        <v>11</v>
      </c>
    </row>
    <row r="188" spans="1:4">
      <c r="A188" s="579" t="str">
        <f t="shared" ref="A188:A197" si="17">$R$2&amp;".DV_16"</f>
        <v>АСУЭ.BMCS.DV_16</v>
      </c>
      <c r="B188" s="577">
        <v>11154</v>
      </c>
      <c r="C188" s="577" t="s">
        <v>4</v>
      </c>
      <c r="D188" s="578">
        <f>$Q$6</f>
        <v>8</v>
      </c>
    </row>
    <row r="189" spans="1:4">
      <c r="A189" s="579" t="str">
        <f t="shared" si="17"/>
        <v>АСУЭ.BMCS.DV_16</v>
      </c>
      <c r="B189" s="580">
        <v>11152</v>
      </c>
      <c r="C189" s="580" t="s">
        <v>0</v>
      </c>
      <c r="D189" s="581" t="str">
        <f>$R$6</f>
        <v>Предупреждение</v>
      </c>
    </row>
    <row r="190" spans="1:4">
      <c r="A190" s="579" t="str">
        <f t="shared" si="17"/>
        <v>АСУЭ.BMCS.DV_16</v>
      </c>
      <c r="B190" s="580">
        <v>11150</v>
      </c>
      <c r="C190" s="580" t="s">
        <v>0</v>
      </c>
      <c r="D190" s="581" t="s">
        <v>1612</v>
      </c>
    </row>
    <row r="191" spans="1:4">
      <c r="A191" s="579" t="str">
        <f t="shared" si="17"/>
        <v>АСУЭ.BMCS.DV_16</v>
      </c>
      <c r="B191" s="580">
        <v>11000</v>
      </c>
      <c r="C191" s="580" t="s">
        <v>5</v>
      </c>
      <c r="D191" s="581">
        <v>2147483680</v>
      </c>
    </row>
    <row r="192" spans="1:4">
      <c r="A192" s="566" t="str">
        <f t="shared" si="17"/>
        <v>АСУЭ.BMCS.DV_16</v>
      </c>
      <c r="B192" s="567">
        <v>7999</v>
      </c>
      <c r="C192" s="567" t="s">
        <v>0</v>
      </c>
      <c r="D192" s="568" t="str">
        <f>"#"&amp;$S$2&amp;"#"&amp;$T$2&amp;"."&amp;$P$2&amp;".Reg_Inputs_bit15"</f>
        <v>#3#\\Setup_rza\Modbus.OPCServer\KTP_BMCS.BMCS.Reg_Inputs_bit15</v>
      </c>
    </row>
    <row r="193" spans="1:16">
      <c r="A193" s="566" t="str">
        <f t="shared" si="17"/>
        <v>АСУЭ.BMCS.DV_16</v>
      </c>
      <c r="B193" s="567">
        <v>7998</v>
      </c>
      <c r="C193" s="567" t="s">
        <v>6</v>
      </c>
      <c r="D193" s="568">
        <v>1</v>
      </c>
    </row>
    <row r="194" spans="1:16">
      <c r="A194" s="566" t="str">
        <f t="shared" si="17"/>
        <v>АСУЭ.BMCS.DV_16</v>
      </c>
      <c r="B194" s="567">
        <v>101</v>
      </c>
      <c r="C194" s="567" t="s">
        <v>0</v>
      </c>
      <c r="D194" s="568" t="s">
        <v>1627</v>
      </c>
    </row>
    <row r="195" spans="1:16">
      <c r="A195" s="566" t="str">
        <f t="shared" si="17"/>
        <v>АСУЭ.BMCS.DV_16</v>
      </c>
      <c r="B195" s="567">
        <v>3</v>
      </c>
      <c r="C195" s="567" t="s">
        <v>1</v>
      </c>
      <c r="D195" s="568">
        <v>192</v>
      </c>
    </row>
    <row r="196" spans="1:16">
      <c r="A196" s="566" t="str">
        <f t="shared" si="17"/>
        <v>АСУЭ.BMCS.DV_16</v>
      </c>
      <c r="B196" s="567">
        <v>2</v>
      </c>
      <c r="C196" s="567" t="s">
        <v>2</v>
      </c>
      <c r="D196" s="568" t="s">
        <v>3</v>
      </c>
    </row>
    <row r="197" spans="1:16">
      <c r="A197" s="569" t="str">
        <f t="shared" si="17"/>
        <v>АСУЭ.BMCS.DV_16</v>
      </c>
      <c r="B197" s="570">
        <v>1</v>
      </c>
      <c r="C197" s="570" t="s">
        <v>1</v>
      </c>
      <c r="D197" s="571">
        <v>11</v>
      </c>
    </row>
    <row r="198" spans="1:16">
      <c r="A198" s="579" t="str">
        <f t="shared" ref="A198:A207" si="18">$R$2&amp;".DV_17"</f>
        <v>АСУЭ.BMCS.DV_17</v>
      </c>
      <c r="B198" s="577">
        <v>11154</v>
      </c>
      <c r="C198" s="577" t="s">
        <v>4</v>
      </c>
      <c r="D198" s="578">
        <f>$Q$6</f>
        <v>8</v>
      </c>
    </row>
    <row r="199" spans="1:16">
      <c r="A199" s="579" t="str">
        <f t="shared" si="18"/>
        <v>АСУЭ.BMCS.DV_17</v>
      </c>
      <c r="B199" s="580">
        <v>11152</v>
      </c>
      <c r="C199" s="580" t="s">
        <v>0</v>
      </c>
      <c r="D199" s="581" t="str">
        <f>$R$6</f>
        <v>Предупреждение</v>
      </c>
    </row>
    <row r="200" spans="1:16">
      <c r="A200" s="579" t="str">
        <f t="shared" si="18"/>
        <v>АСУЭ.BMCS.DV_17</v>
      </c>
      <c r="B200" s="580">
        <v>11150</v>
      </c>
      <c r="C200" s="580" t="s">
        <v>0</v>
      </c>
      <c r="D200" s="581" t="s">
        <v>1612</v>
      </c>
    </row>
    <row r="201" spans="1:16">
      <c r="A201" s="579" t="str">
        <f t="shared" si="18"/>
        <v>АСУЭ.BMCS.DV_17</v>
      </c>
      <c r="B201" s="580">
        <v>11000</v>
      </c>
      <c r="C201" s="580" t="s">
        <v>5</v>
      </c>
      <c r="D201" s="581">
        <v>2147483680</v>
      </c>
    </row>
    <row r="202" spans="1:16">
      <c r="A202" s="566" t="str">
        <f t="shared" si="18"/>
        <v>АСУЭ.BMCS.DV_17</v>
      </c>
      <c r="B202" s="567">
        <v>7999</v>
      </c>
      <c r="C202" s="567" t="s">
        <v>0</v>
      </c>
      <c r="D202" s="568" t="str">
        <f>"#"&amp;$S$2&amp;"#"&amp;$T$2&amp;"."&amp;$P$2&amp;".Reg_Inputs_bit16"</f>
        <v>#3#\\Setup_rza\Modbus.OPCServer\KTP_BMCS.BMCS.Reg_Inputs_bit16</v>
      </c>
    </row>
    <row r="203" spans="1:16">
      <c r="A203" s="566" t="str">
        <f t="shared" si="18"/>
        <v>АСУЭ.BMCS.DV_17</v>
      </c>
      <c r="B203" s="567">
        <v>7998</v>
      </c>
      <c r="C203" s="567" t="s">
        <v>6</v>
      </c>
      <c r="D203" s="568">
        <v>1</v>
      </c>
    </row>
    <row r="204" spans="1:16">
      <c r="A204" s="566" t="str">
        <f t="shared" si="18"/>
        <v>АСУЭ.BMCS.DV_17</v>
      </c>
      <c r="B204" s="567">
        <v>101</v>
      </c>
      <c r="C204" s="567" t="s">
        <v>0</v>
      </c>
      <c r="D204" s="568" t="s">
        <v>1628</v>
      </c>
    </row>
    <row r="205" spans="1:16">
      <c r="A205" s="566" t="str">
        <f t="shared" si="18"/>
        <v>АСУЭ.BMCS.DV_17</v>
      </c>
      <c r="B205" s="567">
        <v>3</v>
      </c>
      <c r="C205" s="567" t="s">
        <v>1</v>
      </c>
      <c r="D205" s="568">
        <v>192</v>
      </c>
    </row>
    <row r="206" spans="1:16">
      <c r="A206" s="566" t="str">
        <f t="shared" si="18"/>
        <v>АСУЭ.BMCS.DV_17</v>
      </c>
      <c r="B206" s="567">
        <v>2</v>
      </c>
      <c r="C206" s="567" t="s">
        <v>2</v>
      </c>
      <c r="D206" s="568" t="s">
        <v>3</v>
      </c>
    </row>
    <row r="207" spans="1:16">
      <c r="A207" s="569" t="str">
        <f t="shared" si="18"/>
        <v>АСУЭ.BMCS.DV_17</v>
      </c>
      <c r="B207" s="570">
        <v>1</v>
      </c>
      <c r="C207" s="570" t="s">
        <v>1</v>
      </c>
      <c r="D207" s="571">
        <v>11</v>
      </c>
      <c r="P207" s="4"/>
    </row>
    <row r="208" spans="1:16">
      <c r="A208" s="579" t="str">
        <f t="shared" ref="A208:A217" si="19">$R$2&amp;".DV_18"</f>
        <v>АСУЭ.BMCS.DV_18</v>
      </c>
      <c r="B208" s="577">
        <v>11154</v>
      </c>
      <c r="C208" s="577" t="s">
        <v>4</v>
      </c>
      <c r="D208" s="578">
        <f>$Q$6</f>
        <v>8</v>
      </c>
      <c r="P208" s="4"/>
    </row>
    <row r="209" spans="1:16">
      <c r="A209" s="579" t="str">
        <f t="shared" si="19"/>
        <v>АСУЭ.BMCS.DV_18</v>
      </c>
      <c r="B209" s="580">
        <v>11152</v>
      </c>
      <c r="C209" s="580" t="s">
        <v>0</v>
      </c>
      <c r="D209" s="581" t="str">
        <f>$R$6</f>
        <v>Предупреждение</v>
      </c>
      <c r="P209" s="4"/>
    </row>
    <row r="210" spans="1:16">
      <c r="A210" s="579" t="str">
        <f t="shared" si="19"/>
        <v>АСУЭ.BMCS.DV_18</v>
      </c>
      <c r="B210" s="580">
        <v>11150</v>
      </c>
      <c r="C210" s="580" t="s">
        <v>0</v>
      </c>
      <c r="D210" s="581" t="s">
        <v>1612</v>
      </c>
    </row>
    <row r="211" spans="1:16">
      <c r="A211" s="579" t="str">
        <f t="shared" si="19"/>
        <v>АСУЭ.BMCS.DV_18</v>
      </c>
      <c r="B211" s="580">
        <v>11000</v>
      </c>
      <c r="C211" s="580" t="s">
        <v>5</v>
      </c>
      <c r="D211" s="581">
        <v>2147483680</v>
      </c>
    </row>
    <row r="212" spans="1:16">
      <c r="A212" s="566" t="str">
        <f t="shared" si="19"/>
        <v>АСУЭ.BMCS.DV_18</v>
      </c>
      <c r="B212" s="567">
        <v>7999</v>
      </c>
      <c r="C212" s="567" t="s">
        <v>0</v>
      </c>
      <c r="D212" s="568" t="str">
        <f>"#"&amp;$S$2&amp;"#"&amp;$T$2&amp;"."&amp;$P$2&amp;".Reg_Inputs_bit17"</f>
        <v>#3#\\Setup_rza\Modbus.OPCServer\KTP_BMCS.BMCS.Reg_Inputs_bit17</v>
      </c>
    </row>
    <row r="213" spans="1:16">
      <c r="A213" s="566" t="str">
        <f t="shared" si="19"/>
        <v>АСУЭ.BMCS.DV_18</v>
      </c>
      <c r="B213" s="567">
        <v>7998</v>
      </c>
      <c r="C213" s="567" t="s">
        <v>6</v>
      </c>
      <c r="D213" s="568">
        <v>1</v>
      </c>
    </row>
    <row r="214" spans="1:16">
      <c r="A214" s="566" t="str">
        <f t="shared" si="19"/>
        <v>АСУЭ.BMCS.DV_18</v>
      </c>
      <c r="B214" s="567">
        <v>101</v>
      </c>
      <c r="C214" s="567" t="s">
        <v>0</v>
      </c>
      <c r="D214" s="568" t="s">
        <v>1629</v>
      </c>
    </row>
    <row r="215" spans="1:16">
      <c r="A215" s="566" t="str">
        <f t="shared" si="19"/>
        <v>АСУЭ.BMCS.DV_18</v>
      </c>
      <c r="B215" s="567">
        <v>3</v>
      </c>
      <c r="C215" s="567" t="s">
        <v>1</v>
      </c>
      <c r="D215" s="568">
        <v>192</v>
      </c>
    </row>
    <row r="216" spans="1:16">
      <c r="A216" s="566" t="str">
        <f t="shared" si="19"/>
        <v>АСУЭ.BMCS.DV_18</v>
      </c>
      <c r="B216" s="567">
        <v>2</v>
      </c>
      <c r="C216" s="567" t="s">
        <v>2</v>
      </c>
      <c r="D216" s="568" t="s">
        <v>3</v>
      </c>
    </row>
    <row r="217" spans="1:16">
      <c r="A217" s="569" t="str">
        <f t="shared" si="19"/>
        <v>АСУЭ.BMCS.DV_18</v>
      </c>
      <c r="B217" s="570">
        <v>1</v>
      </c>
      <c r="C217" s="570" t="s">
        <v>1</v>
      </c>
      <c r="D217" s="571">
        <v>11</v>
      </c>
    </row>
    <row r="218" spans="1:16">
      <c r="A218" s="579" t="str">
        <f t="shared" ref="A218:A227" si="20">$R$2&amp;".DV_19"</f>
        <v>АСУЭ.BMCS.DV_19</v>
      </c>
      <c r="B218" s="577">
        <v>11154</v>
      </c>
      <c r="C218" s="577" t="s">
        <v>4</v>
      </c>
      <c r="D218" s="578">
        <f>$Q$6</f>
        <v>8</v>
      </c>
    </row>
    <row r="219" spans="1:16">
      <c r="A219" s="579" t="str">
        <f t="shared" si="20"/>
        <v>АСУЭ.BMCS.DV_19</v>
      </c>
      <c r="B219" s="580">
        <v>11152</v>
      </c>
      <c r="C219" s="580" t="s">
        <v>0</v>
      </c>
      <c r="D219" s="581" t="str">
        <f>$R$6</f>
        <v>Предупреждение</v>
      </c>
    </row>
    <row r="220" spans="1:16">
      <c r="A220" s="579" t="str">
        <f t="shared" si="20"/>
        <v>АСУЭ.BMCS.DV_19</v>
      </c>
      <c r="B220" s="580">
        <v>11150</v>
      </c>
      <c r="C220" s="580" t="s">
        <v>0</v>
      </c>
      <c r="D220" s="581" t="s">
        <v>1612</v>
      </c>
    </row>
    <row r="221" spans="1:16">
      <c r="A221" s="579" t="str">
        <f t="shared" si="20"/>
        <v>АСУЭ.BMCS.DV_19</v>
      </c>
      <c r="B221" s="580">
        <v>11000</v>
      </c>
      <c r="C221" s="580" t="s">
        <v>5</v>
      </c>
      <c r="D221" s="581">
        <v>2147483680</v>
      </c>
    </row>
    <row r="222" spans="1:16">
      <c r="A222" s="566" t="str">
        <f t="shared" si="20"/>
        <v>АСУЭ.BMCS.DV_19</v>
      </c>
      <c r="B222" s="567">
        <v>7999</v>
      </c>
      <c r="C222" s="567" t="s">
        <v>0</v>
      </c>
      <c r="D222" s="568" t="str">
        <f>"#"&amp;$S$2&amp;"#"&amp;$T$2&amp;"."&amp;$P$2&amp;".Reg_Inputs_bit18"</f>
        <v>#3#\\Setup_rza\Modbus.OPCServer\KTP_BMCS.BMCS.Reg_Inputs_bit18</v>
      </c>
    </row>
    <row r="223" spans="1:16">
      <c r="A223" s="566" t="str">
        <f t="shared" si="20"/>
        <v>АСУЭ.BMCS.DV_19</v>
      </c>
      <c r="B223" s="567">
        <v>7998</v>
      </c>
      <c r="C223" s="567" t="s">
        <v>6</v>
      </c>
      <c r="D223" s="568">
        <v>1</v>
      </c>
    </row>
    <row r="224" spans="1:16">
      <c r="A224" s="566" t="str">
        <f t="shared" si="20"/>
        <v>АСУЭ.BMCS.DV_19</v>
      </c>
      <c r="B224" s="567">
        <v>101</v>
      </c>
      <c r="C224" s="567" t="s">
        <v>0</v>
      </c>
      <c r="D224" s="568" t="s">
        <v>1630</v>
      </c>
    </row>
    <row r="225" spans="1:20">
      <c r="A225" s="566" t="str">
        <f t="shared" si="20"/>
        <v>АСУЭ.BMCS.DV_19</v>
      </c>
      <c r="B225" s="567">
        <v>3</v>
      </c>
      <c r="C225" s="567" t="s">
        <v>1</v>
      </c>
      <c r="D225" s="568">
        <v>192</v>
      </c>
    </row>
    <row r="226" spans="1:20">
      <c r="A226" s="566" t="str">
        <f t="shared" si="20"/>
        <v>АСУЭ.BMCS.DV_19</v>
      </c>
      <c r="B226" s="567">
        <v>2</v>
      </c>
      <c r="C226" s="567" t="s">
        <v>2</v>
      </c>
      <c r="D226" s="568" t="s">
        <v>3</v>
      </c>
    </row>
    <row r="227" spans="1:20">
      <c r="A227" s="569" t="str">
        <f t="shared" si="20"/>
        <v>АСУЭ.BMCS.DV_19</v>
      </c>
      <c r="B227" s="570">
        <v>1</v>
      </c>
      <c r="C227" s="570" t="s">
        <v>1</v>
      </c>
      <c r="D227" s="571">
        <v>11</v>
      </c>
    </row>
    <row r="228" spans="1:20">
      <c r="A228" s="579" t="str">
        <f t="shared" ref="A228:A237" si="21">$R$2&amp;".DV_20"</f>
        <v>АСУЭ.BMCS.DV_20</v>
      </c>
      <c r="B228" s="577">
        <v>11154</v>
      </c>
      <c r="C228" s="577" t="s">
        <v>4</v>
      </c>
      <c r="D228" s="578">
        <f>$Q$6</f>
        <v>8</v>
      </c>
      <c r="Q228" s="1"/>
      <c r="R228" s="1"/>
      <c r="S228" s="1"/>
      <c r="T228" s="1"/>
    </row>
    <row r="229" spans="1:20">
      <c r="A229" s="579" t="str">
        <f t="shared" si="21"/>
        <v>АСУЭ.BMCS.DV_20</v>
      </c>
      <c r="B229" s="580">
        <v>11152</v>
      </c>
      <c r="C229" s="580" t="s">
        <v>0</v>
      </c>
      <c r="D229" s="581" t="str">
        <f>$R$6</f>
        <v>Предупреждение</v>
      </c>
      <c r="Q229" s="1"/>
      <c r="R229" s="1"/>
      <c r="S229" s="1"/>
      <c r="T229" s="1"/>
    </row>
    <row r="230" spans="1:20">
      <c r="A230" s="579" t="str">
        <f t="shared" si="21"/>
        <v>АСУЭ.BMCS.DV_20</v>
      </c>
      <c r="B230" s="580">
        <v>11150</v>
      </c>
      <c r="C230" s="580" t="s">
        <v>0</v>
      </c>
      <c r="D230" s="581" t="s">
        <v>1612</v>
      </c>
      <c r="Q230" s="1"/>
      <c r="R230" s="1"/>
      <c r="S230" s="1"/>
      <c r="T230" s="1"/>
    </row>
    <row r="231" spans="1:20">
      <c r="A231" s="579" t="str">
        <f t="shared" si="21"/>
        <v>АСУЭ.BMCS.DV_20</v>
      </c>
      <c r="B231" s="580">
        <v>11000</v>
      </c>
      <c r="C231" s="580" t="s">
        <v>5</v>
      </c>
      <c r="D231" s="581">
        <v>2147483680</v>
      </c>
      <c r="Q231" s="1"/>
      <c r="R231" s="1"/>
      <c r="S231" s="1"/>
      <c r="T231" s="1"/>
    </row>
    <row r="232" spans="1:20">
      <c r="A232" s="566" t="str">
        <f t="shared" si="21"/>
        <v>АСУЭ.BMCS.DV_20</v>
      </c>
      <c r="B232" s="567">
        <v>7999</v>
      </c>
      <c r="C232" s="567" t="s">
        <v>0</v>
      </c>
      <c r="D232" s="568" t="str">
        <f>"#"&amp;$S$2&amp;"#"&amp;$T$2&amp;"."&amp;$P$2&amp;".Reg_Inputs_bit19"</f>
        <v>#3#\\Setup_rza\Modbus.OPCServer\KTP_BMCS.BMCS.Reg_Inputs_bit19</v>
      </c>
      <c r="Q232" s="1"/>
      <c r="R232" s="1"/>
      <c r="S232" s="1"/>
      <c r="T232" s="1"/>
    </row>
    <row r="233" spans="1:20">
      <c r="A233" s="566" t="str">
        <f t="shared" si="21"/>
        <v>АСУЭ.BMCS.DV_20</v>
      </c>
      <c r="B233" s="567">
        <v>7998</v>
      </c>
      <c r="C233" s="567" t="s">
        <v>6</v>
      </c>
      <c r="D233" s="568">
        <v>1</v>
      </c>
      <c r="Q233" s="1"/>
      <c r="R233" s="1"/>
      <c r="S233" s="1"/>
      <c r="T233" s="1"/>
    </row>
    <row r="234" spans="1:20">
      <c r="A234" s="566" t="str">
        <f t="shared" si="21"/>
        <v>АСУЭ.BMCS.DV_20</v>
      </c>
      <c r="B234" s="567">
        <v>101</v>
      </c>
      <c r="C234" s="567" t="s">
        <v>0</v>
      </c>
      <c r="D234" s="568" t="s">
        <v>1631</v>
      </c>
      <c r="Q234" s="1"/>
      <c r="R234" s="1"/>
      <c r="S234" s="1"/>
      <c r="T234" s="1"/>
    </row>
    <row r="235" spans="1:20">
      <c r="A235" s="566" t="str">
        <f t="shared" si="21"/>
        <v>АСУЭ.BMCS.DV_20</v>
      </c>
      <c r="B235" s="567">
        <v>3</v>
      </c>
      <c r="C235" s="567" t="s">
        <v>1</v>
      </c>
      <c r="D235" s="568">
        <v>192</v>
      </c>
      <c r="Q235" s="1"/>
      <c r="R235" s="1"/>
      <c r="S235" s="1"/>
      <c r="T235" s="1"/>
    </row>
    <row r="236" spans="1:20">
      <c r="A236" s="566" t="str">
        <f t="shared" si="21"/>
        <v>АСУЭ.BMCS.DV_20</v>
      </c>
      <c r="B236" s="567">
        <v>2</v>
      </c>
      <c r="C236" s="567" t="s">
        <v>2</v>
      </c>
      <c r="D236" s="568" t="s">
        <v>3</v>
      </c>
      <c r="Q236" s="1"/>
      <c r="R236" s="1"/>
      <c r="S236" s="1"/>
      <c r="T236" s="1"/>
    </row>
    <row r="237" spans="1:20">
      <c r="A237" s="569" t="str">
        <f t="shared" si="21"/>
        <v>АСУЭ.BMCS.DV_20</v>
      </c>
      <c r="B237" s="570">
        <v>1</v>
      </c>
      <c r="C237" s="570" t="s">
        <v>1</v>
      </c>
      <c r="D237" s="571">
        <v>11</v>
      </c>
      <c r="Q237" s="1"/>
      <c r="R237" s="1"/>
      <c r="S237" s="1"/>
      <c r="T237" s="1"/>
    </row>
    <row r="238" spans="1:20">
      <c r="A238" s="579" t="str">
        <f t="shared" ref="A238:A247" si="22">$R$2&amp;".DV_21"</f>
        <v>АСУЭ.BMCS.DV_21</v>
      </c>
      <c r="B238" s="577">
        <v>11154</v>
      </c>
      <c r="C238" s="577" t="s">
        <v>4</v>
      </c>
      <c r="D238" s="578">
        <f>$Q$6</f>
        <v>8</v>
      </c>
    </row>
    <row r="239" spans="1:20">
      <c r="A239" s="579" t="str">
        <f t="shared" si="22"/>
        <v>АСУЭ.BMCS.DV_21</v>
      </c>
      <c r="B239" s="580">
        <v>11152</v>
      </c>
      <c r="C239" s="580" t="s">
        <v>0</v>
      </c>
      <c r="D239" s="581" t="str">
        <f>$R$6</f>
        <v>Предупреждение</v>
      </c>
    </row>
    <row r="240" spans="1:20">
      <c r="A240" s="579" t="str">
        <f t="shared" si="22"/>
        <v>АСУЭ.BMCS.DV_21</v>
      </c>
      <c r="B240" s="580">
        <v>11150</v>
      </c>
      <c r="C240" s="580" t="s">
        <v>0</v>
      </c>
      <c r="D240" s="581" t="s">
        <v>1612</v>
      </c>
    </row>
    <row r="241" spans="1:4">
      <c r="A241" s="579" t="str">
        <f t="shared" si="22"/>
        <v>АСУЭ.BMCS.DV_21</v>
      </c>
      <c r="B241" s="580">
        <v>11000</v>
      </c>
      <c r="C241" s="580" t="s">
        <v>5</v>
      </c>
      <c r="D241" s="581">
        <v>2147483680</v>
      </c>
    </row>
    <row r="242" spans="1:4">
      <c r="A242" s="566" t="str">
        <f t="shared" si="22"/>
        <v>АСУЭ.BMCS.DV_21</v>
      </c>
      <c r="B242" s="567">
        <v>7999</v>
      </c>
      <c r="C242" s="567" t="s">
        <v>0</v>
      </c>
      <c r="D242" s="568" t="str">
        <f>"#"&amp;$S$2&amp;"#"&amp;$T$2&amp;"."&amp;$P$2&amp;".Reg_Inputs_bit20"</f>
        <v>#3#\\Setup_rza\Modbus.OPCServer\KTP_BMCS.BMCS.Reg_Inputs_bit20</v>
      </c>
    </row>
    <row r="243" spans="1:4">
      <c r="A243" s="566" t="str">
        <f t="shared" si="22"/>
        <v>АСУЭ.BMCS.DV_21</v>
      </c>
      <c r="B243" s="567">
        <v>7998</v>
      </c>
      <c r="C243" s="567" t="s">
        <v>6</v>
      </c>
      <c r="D243" s="568">
        <v>1</v>
      </c>
    </row>
    <row r="244" spans="1:4">
      <c r="A244" s="566" t="str">
        <f t="shared" si="22"/>
        <v>АСУЭ.BMCS.DV_21</v>
      </c>
      <c r="B244" s="567">
        <v>101</v>
      </c>
      <c r="C244" s="567" t="s">
        <v>0</v>
      </c>
      <c r="D244" s="568" t="s">
        <v>1632</v>
      </c>
    </row>
    <row r="245" spans="1:4">
      <c r="A245" s="566" t="str">
        <f t="shared" si="22"/>
        <v>АСУЭ.BMCS.DV_21</v>
      </c>
      <c r="B245" s="567">
        <v>3</v>
      </c>
      <c r="C245" s="567" t="s">
        <v>1</v>
      </c>
      <c r="D245" s="568">
        <v>192</v>
      </c>
    </row>
    <row r="246" spans="1:4">
      <c r="A246" s="566" t="str">
        <f t="shared" si="22"/>
        <v>АСУЭ.BMCS.DV_21</v>
      </c>
      <c r="B246" s="567">
        <v>2</v>
      </c>
      <c r="C246" s="567" t="s">
        <v>2</v>
      </c>
      <c r="D246" s="568" t="s">
        <v>3</v>
      </c>
    </row>
    <row r="247" spans="1:4">
      <c r="A247" s="569" t="str">
        <f t="shared" si="22"/>
        <v>АСУЭ.BMCS.DV_21</v>
      </c>
      <c r="B247" s="570">
        <v>1</v>
      </c>
      <c r="C247" s="570" t="s">
        <v>1</v>
      </c>
      <c r="D247" s="571">
        <v>11</v>
      </c>
    </row>
    <row r="248" spans="1:4">
      <c r="A248" s="579" t="str">
        <f t="shared" ref="A248:A257" si="23">$R$2&amp;".DV_22"</f>
        <v>АСУЭ.BMCS.DV_22</v>
      </c>
      <c r="B248" s="577">
        <v>11154</v>
      </c>
      <c r="C248" s="577" t="s">
        <v>4</v>
      </c>
      <c r="D248" s="578">
        <f>$Q$6</f>
        <v>8</v>
      </c>
    </row>
    <row r="249" spans="1:4">
      <c r="A249" s="579" t="str">
        <f t="shared" si="23"/>
        <v>АСУЭ.BMCS.DV_22</v>
      </c>
      <c r="B249" s="580">
        <v>11152</v>
      </c>
      <c r="C249" s="580" t="s">
        <v>0</v>
      </c>
      <c r="D249" s="581" t="str">
        <f>$R$6</f>
        <v>Предупреждение</v>
      </c>
    </row>
    <row r="250" spans="1:4">
      <c r="A250" s="579" t="str">
        <f t="shared" si="23"/>
        <v>АСУЭ.BMCS.DV_22</v>
      </c>
      <c r="B250" s="580">
        <v>11150</v>
      </c>
      <c r="C250" s="580" t="s">
        <v>0</v>
      </c>
      <c r="D250" s="581" t="s">
        <v>1612</v>
      </c>
    </row>
    <row r="251" spans="1:4">
      <c r="A251" s="579" t="str">
        <f t="shared" si="23"/>
        <v>АСУЭ.BMCS.DV_22</v>
      </c>
      <c r="B251" s="580">
        <v>11000</v>
      </c>
      <c r="C251" s="580" t="s">
        <v>5</v>
      </c>
      <c r="D251" s="581">
        <v>2147483680</v>
      </c>
    </row>
    <row r="252" spans="1:4">
      <c r="A252" s="566" t="str">
        <f t="shared" si="23"/>
        <v>АСУЭ.BMCS.DV_22</v>
      </c>
      <c r="B252" s="567">
        <v>7999</v>
      </c>
      <c r="C252" s="567" t="s">
        <v>0</v>
      </c>
      <c r="D252" s="568" t="str">
        <f>"#"&amp;$S$2&amp;"#"&amp;$T$2&amp;"."&amp;$P$2&amp;".Reg_Inputs_bit21"</f>
        <v>#3#\\Setup_rza\Modbus.OPCServer\KTP_BMCS.BMCS.Reg_Inputs_bit21</v>
      </c>
    </row>
    <row r="253" spans="1:4">
      <c r="A253" s="566" t="str">
        <f t="shared" si="23"/>
        <v>АСУЭ.BMCS.DV_22</v>
      </c>
      <c r="B253" s="567">
        <v>7998</v>
      </c>
      <c r="C253" s="567" t="s">
        <v>6</v>
      </c>
      <c r="D253" s="568">
        <v>1</v>
      </c>
    </row>
    <row r="254" spans="1:4">
      <c r="A254" s="566" t="str">
        <f t="shared" si="23"/>
        <v>АСУЭ.BMCS.DV_22</v>
      </c>
      <c r="B254" s="567">
        <v>101</v>
      </c>
      <c r="C254" s="567" t="s">
        <v>0</v>
      </c>
      <c r="D254" s="568" t="s">
        <v>1633</v>
      </c>
    </row>
    <row r="255" spans="1:4">
      <c r="A255" s="566" t="str">
        <f t="shared" si="23"/>
        <v>АСУЭ.BMCS.DV_22</v>
      </c>
      <c r="B255" s="567">
        <v>3</v>
      </c>
      <c r="C255" s="567" t="s">
        <v>1</v>
      </c>
      <c r="D255" s="568">
        <v>192</v>
      </c>
    </row>
    <row r="256" spans="1:4">
      <c r="A256" s="566" t="str">
        <f t="shared" si="23"/>
        <v>АСУЭ.BMCS.DV_22</v>
      </c>
      <c r="B256" s="567">
        <v>2</v>
      </c>
      <c r="C256" s="567" t="s">
        <v>2</v>
      </c>
      <c r="D256" s="568" t="s">
        <v>3</v>
      </c>
    </row>
    <row r="257" spans="1:4">
      <c r="A257" s="569" t="str">
        <f t="shared" si="23"/>
        <v>АСУЭ.BMCS.DV_22</v>
      </c>
      <c r="B257" s="570">
        <v>1</v>
      </c>
      <c r="C257" s="570" t="s">
        <v>1</v>
      </c>
      <c r="D257" s="571">
        <v>11</v>
      </c>
    </row>
    <row r="258" spans="1:4">
      <c r="A258" s="579" t="str">
        <f t="shared" ref="A258:A267" si="24">$R$2&amp;".DV_23"</f>
        <v>АСУЭ.BMCS.DV_23</v>
      </c>
      <c r="B258" s="577">
        <v>11154</v>
      </c>
      <c r="C258" s="577" t="s">
        <v>4</v>
      </c>
      <c r="D258" s="578">
        <f>$Q$6</f>
        <v>8</v>
      </c>
    </row>
    <row r="259" spans="1:4">
      <c r="A259" s="579" t="str">
        <f t="shared" si="24"/>
        <v>АСУЭ.BMCS.DV_23</v>
      </c>
      <c r="B259" s="580">
        <v>11152</v>
      </c>
      <c r="C259" s="580" t="s">
        <v>0</v>
      </c>
      <c r="D259" s="581" t="str">
        <f>$R$6</f>
        <v>Предупреждение</v>
      </c>
    </row>
    <row r="260" spans="1:4">
      <c r="A260" s="579" t="str">
        <f t="shared" si="24"/>
        <v>АСУЭ.BMCS.DV_23</v>
      </c>
      <c r="B260" s="580">
        <v>11150</v>
      </c>
      <c r="C260" s="580" t="s">
        <v>0</v>
      </c>
      <c r="D260" s="581" t="s">
        <v>1612</v>
      </c>
    </row>
    <row r="261" spans="1:4">
      <c r="A261" s="579" t="str">
        <f t="shared" si="24"/>
        <v>АСУЭ.BMCS.DV_23</v>
      </c>
      <c r="B261" s="580">
        <v>11000</v>
      </c>
      <c r="C261" s="580" t="s">
        <v>5</v>
      </c>
      <c r="D261" s="581">
        <v>2147483680</v>
      </c>
    </row>
    <row r="262" spans="1:4">
      <c r="A262" s="566" t="str">
        <f t="shared" si="24"/>
        <v>АСУЭ.BMCS.DV_23</v>
      </c>
      <c r="B262" s="567">
        <v>7999</v>
      </c>
      <c r="C262" s="567" t="s">
        <v>0</v>
      </c>
      <c r="D262" s="568" t="str">
        <f>"#"&amp;$S$2&amp;"#"&amp;$T$2&amp;"."&amp;$P$2&amp;".Reg_Inputs_bit22"</f>
        <v>#3#\\Setup_rza\Modbus.OPCServer\KTP_BMCS.BMCS.Reg_Inputs_bit22</v>
      </c>
    </row>
    <row r="263" spans="1:4">
      <c r="A263" s="566" t="str">
        <f t="shared" si="24"/>
        <v>АСУЭ.BMCS.DV_23</v>
      </c>
      <c r="B263" s="567">
        <v>7998</v>
      </c>
      <c r="C263" s="567" t="s">
        <v>6</v>
      </c>
      <c r="D263" s="568">
        <v>1</v>
      </c>
    </row>
    <row r="264" spans="1:4">
      <c r="A264" s="566" t="str">
        <f t="shared" si="24"/>
        <v>АСУЭ.BMCS.DV_23</v>
      </c>
      <c r="B264" s="567">
        <v>101</v>
      </c>
      <c r="C264" s="567" t="s">
        <v>0</v>
      </c>
      <c r="D264" s="568" t="s">
        <v>1634</v>
      </c>
    </row>
    <row r="265" spans="1:4">
      <c r="A265" s="566" t="str">
        <f t="shared" si="24"/>
        <v>АСУЭ.BMCS.DV_23</v>
      </c>
      <c r="B265" s="567">
        <v>3</v>
      </c>
      <c r="C265" s="567" t="s">
        <v>1</v>
      </c>
      <c r="D265" s="568">
        <v>192</v>
      </c>
    </row>
    <row r="266" spans="1:4">
      <c r="A266" s="566" t="str">
        <f t="shared" si="24"/>
        <v>АСУЭ.BMCS.DV_23</v>
      </c>
      <c r="B266" s="567">
        <v>2</v>
      </c>
      <c r="C266" s="567" t="s">
        <v>2</v>
      </c>
      <c r="D266" s="568" t="s">
        <v>3</v>
      </c>
    </row>
    <row r="267" spans="1:4">
      <c r="A267" s="569" t="str">
        <f t="shared" si="24"/>
        <v>АСУЭ.BMCS.DV_23</v>
      </c>
      <c r="B267" s="570">
        <v>1</v>
      </c>
      <c r="C267" s="570" t="s">
        <v>1</v>
      </c>
      <c r="D267" s="571">
        <v>11</v>
      </c>
    </row>
    <row r="268" spans="1:4">
      <c r="A268" s="579" t="str">
        <f t="shared" ref="A268:A277" si="25">$R$2&amp;".DV_24"</f>
        <v>АСУЭ.BMCS.DV_24</v>
      </c>
      <c r="B268" s="577">
        <v>11154</v>
      </c>
      <c r="C268" s="577" t="s">
        <v>4</v>
      </c>
      <c r="D268" s="578">
        <f>$Q$6</f>
        <v>8</v>
      </c>
    </row>
    <row r="269" spans="1:4">
      <c r="A269" s="579" t="str">
        <f t="shared" si="25"/>
        <v>АСУЭ.BMCS.DV_24</v>
      </c>
      <c r="B269" s="580">
        <v>11152</v>
      </c>
      <c r="C269" s="580" t="s">
        <v>0</v>
      </c>
      <c r="D269" s="581" t="str">
        <f>$R$6</f>
        <v>Предупреждение</v>
      </c>
    </row>
    <row r="270" spans="1:4">
      <c r="A270" s="579" t="str">
        <f t="shared" si="25"/>
        <v>АСУЭ.BMCS.DV_24</v>
      </c>
      <c r="B270" s="580">
        <v>11150</v>
      </c>
      <c r="C270" s="580" t="s">
        <v>0</v>
      </c>
      <c r="D270" s="581" t="s">
        <v>1612</v>
      </c>
    </row>
    <row r="271" spans="1:4">
      <c r="A271" s="579" t="str">
        <f t="shared" si="25"/>
        <v>АСУЭ.BMCS.DV_24</v>
      </c>
      <c r="B271" s="580">
        <v>11000</v>
      </c>
      <c r="C271" s="580" t="s">
        <v>5</v>
      </c>
      <c r="D271" s="581">
        <v>2147483680</v>
      </c>
    </row>
    <row r="272" spans="1:4">
      <c r="A272" s="566" t="str">
        <f t="shared" si="25"/>
        <v>АСУЭ.BMCS.DV_24</v>
      </c>
      <c r="B272" s="567">
        <v>7999</v>
      </c>
      <c r="C272" s="567" t="s">
        <v>0</v>
      </c>
      <c r="D272" s="568" t="str">
        <f>"#"&amp;$S$2&amp;"#"&amp;$T$2&amp;"."&amp;$P$2&amp;".Reg_Inputs_bit23"</f>
        <v>#3#\\Setup_rza\Modbus.OPCServer\KTP_BMCS.BMCS.Reg_Inputs_bit23</v>
      </c>
    </row>
    <row r="273" spans="1:4">
      <c r="A273" s="566" t="str">
        <f t="shared" si="25"/>
        <v>АСУЭ.BMCS.DV_24</v>
      </c>
      <c r="B273" s="567">
        <v>7998</v>
      </c>
      <c r="C273" s="567" t="s">
        <v>6</v>
      </c>
      <c r="D273" s="568">
        <v>1</v>
      </c>
    </row>
    <row r="274" spans="1:4">
      <c r="A274" s="566" t="str">
        <f t="shared" si="25"/>
        <v>АСУЭ.BMCS.DV_24</v>
      </c>
      <c r="B274" s="567">
        <v>101</v>
      </c>
      <c r="C274" s="567" t="s">
        <v>0</v>
      </c>
      <c r="D274" s="568" t="s">
        <v>1635</v>
      </c>
    </row>
    <row r="275" spans="1:4">
      <c r="A275" s="566" t="str">
        <f t="shared" si="25"/>
        <v>АСУЭ.BMCS.DV_24</v>
      </c>
      <c r="B275" s="567">
        <v>3</v>
      </c>
      <c r="C275" s="567" t="s">
        <v>1</v>
      </c>
      <c r="D275" s="568">
        <v>192</v>
      </c>
    </row>
    <row r="276" spans="1:4">
      <c r="A276" s="566" t="str">
        <f t="shared" si="25"/>
        <v>АСУЭ.BMCS.DV_24</v>
      </c>
      <c r="B276" s="567">
        <v>2</v>
      </c>
      <c r="C276" s="567" t="s">
        <v>2</v>
      </c>
      <c r="D276" s="568" t="s">
        <v>3</v>
      </c>
    </row>
    <row r="277" spans="1:4">
      <c r="A277" s="569" t="str">
        <f t="shared" si="25"/>
        <v>АСУЭ.BMCS.DV_24</v>
      </c>
      <c r="B277" s="570">
        <v>1</v>
      </c>
      <c r="C277" s="570" t="s">
        <v>1</v>
      </c>
      <c r="D277" s="571">
        <v>11</v>
      </c>
    </row>
    <row r="278" spans="1:4">
      <c r="A278" s="579" t="str">
        <f t="shared" ref="A278:A287" si="26">$R$2&amp;".DV_25"</f>
        <v>АСУЭ.BMCS.DV_25</v>
      </c>
      <c r="B278" s="577">
        <v>11154</v>
      </c>
      <c r="C278" s="577" t="s">
        <v>4</v>
      </c>
      <c r="D278" s="578">
        <f>$Q$6</f>
        <v>8</v>
      </c>
    </row>
    <row r="279" spans="1:4">
      <c r="A279" s="579" t="str">
        <f t="shared" si="26"/>
        <v>АСУЭ.BMCS.DV_25</v>
      </c>
      <c r="B279" s="580">
        <v>11152</v>
      </c>
      <c r="C279" s="580" t="s">
        <v>0</v>
      </c>
      <c r="D279" s="581" t="str">
        <f>$R$6</f>
        <v>Предупреждение</v>
      </c>
    </row>
    <row r="280" spans="1:4">
      <c r="A280" s="579" t="str">
        <f t="shared" si="26"/>
        <v>АСУЭ.BMCS.DV_25</v>
      </c>
      <c r="B280" s="580">
        <v>11150</v>
      </c>
      <c r="C280" s="580" t="s">
        <v>0</v>
      </c>
      <c r="D280" s="581" t="s">
        <v>1612</v>
      </c>
    </row>
    <row r="281" spans="1:4">
      <c r="A281" s="579" t="str">
        <f t="shared" si="26"/>
        <v>АСУЭ.BMCS.DV_25</v>
      </c>
      <c r="B281" s="580">
        <v>11000</v>
      </c>
      <c r="C281" s="580" t="s">
        <v>5</v>
      </c>
      <c r="D281" s="581">
        <v>2147483680</v>
      </c>
    </row>
    <row r="282" spans="1:4">
      <c r="A282" s="566" t="str">
        <f t="shared" si="26"/>
        <v>АСУЭ.BMCS.DV_25</v>
      </c>
      <c r="B282" s="567">
        <v>7999</v>
      </c>
      <c r="C282" s="567" t="s">
        <v>0</v>
      </c>
      <c r="D282" s="568" t="str">
        <f>"#"&amp;$S$2&amp;"#"&amp;$T$2&amp;"."&amp;$P$2&amp;".Reg_Inputs_bit24"</f>
        <v>#3#\\Setup_rza\Modbus.OPCServer\KTP_BMCS.BMCS.Reg_Inputs_bit24</v>
      </c>
    </row>
    <row r="283" spans="1:4">
      <c r="A283" s="566" t="str">
        <f t="shared" si="26"/>
        <v>АСУЭ.BMCS.DV_25</v>
      </c>
      <c r="B283" s="567">
        <v>7998</v>
      </c>
      <c r="C283" s="567" t="s">
        <v>6</v>
      </c>
      <c r="D283" s="568">
        <v>1</v>
      </c>
    </row>
    <row r="284" spans="1:4">
      <c r="A284" s="566" t="str">
        <f t="shared" si="26"/>
        <v>АСУЭ.BMCS.DV_25</v>
      </c>
      <c r="B284" s="567">
        <v>101</v>
      </c>
      <c r="C284" s="567" t="s">
        <v>0</v>
      </c>
      <c r="D284" s="568" t="s">
        <v>1636</v>
      </c>
    </row>
    <row r="285" spans="1:4">
      <c r="A285" s="566" t="str">
        <f t="shared" si="26"/>
        <v>АСУЭ.BMCS.DV_25</v>
      </c>
      <c r="B285" s="567">
        <v>3</v>
      </c>
      <c r="C285" s="567" t="s">
        <v>1</v>
      </c>
      <c r="D285" s="568">
        <v>192</v>
      </c>
    </row>
    <row r="286" spans="1:4">
      <c r="A286" s="566" t="str">
        <f t="shared" si="26"/>
        <v>АСУЭ.BMCS.DV_25</v>
      </c>
      <c r="B286" s="567">
        <v>2</v>
      </c>
      <c r="C286" s="567" t="s">
        <v>2</v>
      </c>
      <c r="D286" s="568" t="s">
        <v>3</v>
      </c>
    </row>
    <row r="287" spans="1:4">
      <c r="A287" s="569" t="str">
        <f t="shared" si="26"/>
        <v>АСУЭ.BMCS.DV_25</v>
      </c>
      <c r="B287" s="570">
        <v>1</v>
      </c>
      <c r="C287" s="570" t="s">
        <v>1</v>
      </c>
      <c r="D287" s="571">
        <v>11</v>
      </c>
    </row>
    <row r="288" spans="1:4">
      <c r="A288" s="579" t="str">
        <f t="shared" ref="A288:A297" si="27">$R$2&amp;".DV_26"</f>
        <v>АСУЭ.BMCS.DV_26</v>
      </c>
      <c r="B288" s="577">
        <v>11154</v>
      </c>
      <c r="C288" s="577" t="s">
        <v>4</v>
      </c>
      <c r="D288" s="578">
        <f>$Q$6</f>
        <v>8</v>
      </c>
    </row>
    <row r="289" spans="1:4">
      <c r="A289" s="579" t="str">
        <f t="shared" si="27"/>
        <v>АСУЭ.BMCS.DV_26</v>
      </c>
      <c r="B289" s="580">
        <v>11152</v>
      </c>
      <c r="C289" s="580" t="s">
        <v>0</v>
      </c>
      <c r="D289" s="581" t="str">
        <f>$R$6</f>
        <v>Предупреждение</v>
      </c>
    </row>
    <row r="290" spans="1:4">
      <c r="A290" s="579" t="str">
        <f t="shared" si="27"/>
        <v>АСУЭ.BMCS.DV_26</v>
      </c>
      <c r="B290" s="580">
        <v>11150</v>
      </c>
      <c r="C290" s="580" t="s">
        <v>0</v>
      </c>
      <c r="D290" s="581" t="s">
        <v>1612</v>
      </c>
    </row>
    <row r="291" spans="1:4">
      <c r="A291" s="579" t="str">
        <f t="shared" si="27"/>
        <v>АСУЭ.BMCS.DV_26</v>
      </c>
      <c r="B291" s="580">
        <v>11000</v>
      </c>
      <c r="C291" s="580" t="s">
        <v>5</v>
      </c>
      <c r="D291" s="581">
        <v>2147483680</v>
      </c>
    </row>
    <row r="292" spans="1:4">
      <c r="A292" s="566" t="str">
        <f t="shared" si="27"/>
        <v>АСУЭ.BMCS.DV_26</v>
      </c>
      <c r="B292" s="567">
        <v>7999</v>
      </c>
      <c r="C292" s="567" t="s">
        <v>0</v>
      </c>
      <c r="D292" s="568" t="str">
        <f>"#"&amp;$S$2&amp;"#"&amp;$T$2&amp;"."&amp;$P$2&amp;".Reg_Inputs_bit25"</f>
        <v>#3#\\Setup_rza\Modbus.OPCServer\KTP_BMCS.BMCS.Reg_Inputs_bit25</v>
      </c>
    </row>
    <row r="293" spans="1:4">
      <c r="A293" s="566" t="str">
        <f t="shared" si="27"/>
        <v>АСУЭ.BMCS.DV_26</v>
      </c>
      <c r="B293" s="567">
        <v>7998</v>
      </c>
      <c r="C293" s="567" t="s">
        <v>6</v>
      </c>
      <c r="D293" s="568">
        <v>1</v>
      </c>
    </row>
    <row r="294" spans="1:4">
      <c r="A294" s="566" t="str">
        <f t="shared" si="27"/>
        <v>АСУЭ.BMCS.DV_26</v>
      </c>
      <c r="B294" s="567">
        <v>101</v>
      </c>
      <c r="C294" s="567" t="s">
        <v>0</v>
      </c>
      <c r="D294" s="568" t="s">
        <v>1637</v>
      </c>
    </row>
    <row r="295" spans="1:4">
      <c r="A295" s="566" t="str">
        <f t="shared" si="27"/>
        <v>АСУЭ.BMCS.DV_26</v>
      </c>
      <c r="B295" s="567">
        <v>3</v>
      </c>
      <c r="C295" s="567" t="s">
        <v>1</v>
      </c>
      <c r="D295" s="568">
        <v>192</v>
      </c>
    </row>
    <row r="296" spans="1:4">
      <c r="A296" s="566" t="str">
        <f t="shared" si="27"/>
        <v>АСУЭ.BMCS.DV_26</v>
      </c>
      <c r="B296" s="567">
        <v>2</v>
      </c>
      <c r="C296" s="567" t="s">
        <v>2</v>
      </c>
      <c r="D296" s="568" t="s">
        <v>3</v>
      </c>
    </row>
    <row r="297" spans="1:4">
      <c r="A297" s="569" t="str">
        <f t="shared" si="27"/>
        <v>АСУЭ.BMCS.DV_26</v>
      </c>
      <c r="B297" s="570">
        <v>1</v>
      </c>
      <c r="C297" s="570" t="s">
        <v>1</v>
      </c>
      <c r="D297" s="571">
        <v>11</v>
      </c>
    </row>
    <row r="298" spans="1:4">
      <c r="A298" s="579" t="str">
        <f t="shared" ref="A298:A307" si="28">$R$2&amp;".DV_27"</f>
        <v>АСУЭ.BMCS.DV_27</v>
      </c>
      <c r="B298" s="577">
        <v>11154</v>
      </c>
      <c r="C298" s="577" t="s">
        <v>4</v>
      </c>
      <c r="D298" s="578">
        <f>$Q$6</f>
        <v>8</v>
      </c>
    </row>
    <row r="299" spans="1:4">
      <c r="A299" s="579" t="str">
        <f t="shared" si="28"/>
        <v>АСУЭ.BMCS.DV_27</v>
      </c>
      <c r="B299" s="580">
        <v>11152</v>
      </c>
      <c r="C299" s="580" t="s">
        <v>0</v>
      </c>
      <c r="D299" s="581" t="str">
        <f>$R$6</f>
        <v>Предупреждение</v>
      </c>
    </row>
    <row r="300" spans="1:4">
      <c r="A300" s="579" t="str">
        <f t="shared" si="28"/>
        <v>АСУЭ.BMCS.DV_27</v>
      </c>
      <c r="B300" s="580">
        <v>11150</v>
      </c>
      <c r="C300" s="580" t="s">
        <v>0</v>
      </c>
      <c r="D300" s="581" t="s">
        <v>1612</v>
      </c>
    </row>
    <row r="301" spans="1:4">
      <c r="A301" s="579" t="str">
        <f t="shared" si="28"/>
        <v>АСУЭ.BMCS.DV_27</v>
      </c>
      <c r="B301" s="580">
        <v>11000</v>
      </c>
      <c r="C301" s="580" t="s">
        <v>5</v>
      </c>
      <c r="D301" s="581">
        <v>2147483680</v>
      </c>
    </row>
    <row r="302" spans="1:4">
      <c r="A302" s="566" t="str">
        <f t="shared" si="28"/>
        <v>АСУЭ.BMCS.DV_27</v>
      </c>
      <c r="B302" s="567">
        <v>7999</v>
      </c>
      <c r="C302" s="567" t="s">
        <v>0</v>
      </c>
      <c r="D302" s="568" t="str">
        <f>"#"&amp;$S$2&amp;"#"&amp;$T$2&amp;"."&amp;$P$2&amp;".Reg_Inputs_bit26"</f>
        <v>#3#\\Setup_rza\Modbus.OPCServer\KTP_BMCS.BMCS.Reg_Inputs_bit26</v>
      </c>
    </row>
    <row r="303" spans="1:4">
      <c r="A303" s="566" t="str">
        <f t="shared" si="28"/>
        <v>АСУЭ.BMCS.DV_27</v>
      </c>
      <c r="B303" s="567">
        <v>7998</v>
      </c>
      <c r="C303" s="567" t="s">
        <v>6</v>
      </c>
      <c r="D303" s="568">
        <v>1</v>
      </c>
    </row>
    <row r="304" spans="1:4">
      <c r="A304" s="566" t="str">
        <f t="shared" si="28"/>
        <v>АСУЭ.BMCS.DV_27</v>
      </c>
      <c r="B304" s="567">
        <v>101</v>
      </c>
      <c r="C304" s="567" t="s">
        <v>0</v>
      </c>
      <c r="D304" s="568" t="s">
        <v>1638</v>
      </c>
    </row>
    <row r="305" spans="1:4">
      <c r="A305" s="566" t="str">
        <f t="shared" si="28"/>
        <v>АСУЭ.BMCS.DV_27</v>
      </c>
      <c r="B305" s="567">
        <v>3</v>
      </c>
      <c r="C305" s="567" t="s">
        <v>1</v>
      </c>
      <c r="D305" s="568">
        <v>192</v>
      </c>
    </row>
    <row r="306" spans="1:4">
      <c r="A306" s="566" t="str">
        <f t="shared" si="28"/>
        <v>АСУЭ.BMCS.DV_27</v>
      </c>
      <c r="B306" s="567">
        <v>2</v>
      </c>
      <c r="C306" s="567" t="s">
        <v>2</v>
      </c>
      <c r="D306" s="568" t="s">
        <v>3</v>
      </c>
    </row>
    <row r="307" spans="1:4">
      <c r="A307" s="569" t="str">
        <f t="shared" si="28"/>
        <v>АСУЭ.BMCS.DV_27</v>
      </c>
      <c r="B307" s="570">
        <v>1</v>
      </c>
      <c r="C307" s="570" t="s">
        <v>1</v>
      </c>
      <c r="D307" s="571">
        <v>11</v>
      </c>
    </row>
    <row r="308" spans="1:4">
      <c r="A308" s="579" t="str">
        <f t="shared" ref="A308:A317" si="29">$R$2&amp;".DV_28"</f>
        <v>АСУЭ.BMCS.DV_28</v>
      </c>
      <c r="B308" s="577">
        <v>11154</v>
      </c>
      <c r="C308" s="577" t="s">
        <v>4</v>
      </c>
      <c r="D308" s="578">
        <f>$Q$6</f>
        <v>8</v>
      </c>
    </row>
    <row r="309" spans="1:4">
      <c r="A309" s="579" t="str">
        <f t="shared" si="29"/>
        <v>АСУЭ.BMCS.DV_28</v>
      </c>
      <c r="B309" s="580">
        <v>11152</v>
      </c>
      <c r="C309" s="580" t="s">
        <v>0</v>
      </c>
      <c r="D309" s="581" t="str">
        <f>$R$6</f>
        <v>Предупреждение</v>
      </c>
    </row>
    <row r="310" spans="1:4">
      <c r="A310" s="579" t="str">
        <f t="shared" si="29"/>
        <v>АСУЭ.BMCS.DV_28</v>
      </c>
      <c r="B310" s="580">
        <v>11150</v>
      </c>
      <c r="C310" s="580" t="s">
        <v>0</v>
      </c>
      <c r="D310" s="581" t="s">
        <v>1612</v>
      </c>
    </row>
    <row r="311" spans="1:4">
      <c r="A311" s="579" t="str">
        <f t="shared" si="29"/>
        <v>АСУЭ.BMCS.DV_28</v>
      </c>
      <c r="B311" s="580">
        <v>11000</v>
      </c>
      <c r="C311" s="580" t="s">
        <v>5</v>
      </c>
      <c r="D311" s="581">
        <v>2147483680</v>
      </c>
    </row>
    <row r="312" spans="1:4">
      <c r="A312" s="566" t="str">
        <f t="shared" si="29"/>
        <v>АСУЭ.BMCS.DV_28</v>
      </c>
      <c r="B312" s="567">
        <v>7999</v>
      </c>
      <c r="C312" s="567" t="s">
        <v>0</v>
      </c>
      <c r="D312" s="568" t="str">
        <f>"#"&amp;$S$2&amp;"#"&amp;$T$2&amp;"."&amp;$P$2&amp;".Reg_Inputs_bit27"</f>
        <v>#3#\\Setup_rza\Modbus.OPCServer\KTP_BMCS.BMCS.Reg_Inputs_bit27</v>
      </c>
    </row>
    <row r="313" spans="1:4">
      <c r="A313" s="566" t="str">
        <f t="shared" si="29"/>
        <v>АСУЭ.BMCS.DV_28</v>
      </c>
      <c r="B313" s="567">
        <v>7998</v>
      </c>
      <c r="C313" s="567" t="s">
        <v>6</v>
      </c>
      <c r="D313" s="568">
        <v>1</v>
      </c>
    </row>
    <row r="314" spans="1:4">
      <c r="A314" s="566" t="str">
        <f t="shared" si="29"/>
        <v>АСУЭ.BMCS.DV_28</v>
      </c>
      <c r="B314" s="567">
        <v>101</v>
      </c>
      <c r="C314" s="567" t="s">
        <v>0</v>
      </c>
      <c r="D314" s="568" t="s">
        <v>1639</v>
      </c>
    </row>
    <row r="315" spans="1:4">
      <c r="A315" s="566" t="str">
        <f t="shared" si="29"/>
        <v>АСУЭ.BMCS.DV_28</v>
      </c>
      <c r="B315" s="567">
        <v>3</v>
      </c>
      <c r="C315" s="567" t="s">
        <v>1</v>
      </c>
      <c r="D315" s="568">
        <v>192</v>
      </c>
    </row>
    <row r="316" spans="1:4">
      <c r="A316" s="566" t="str">
        <f t="shared" si="29"/>
        <v>АСУЭ.BMCS.DV_28</v>
      </c>
      <c r="B316" s="567">
        <v>2</v>
      </c>
      <c r="C316" s="567" t="s">
        <v>2</v>
      </c>
      <c r="D316" s="568" t="s">
        <v>3</v>
      </c>
    </row>
    <row r="317" spans="1:4">
      <c r="A317" s="569" t="str">
        <f t="shared" si="29"/>
        <v>АСУЭ.BMCS.DV_28</v>
      </c>
      <c r="B317" s="570">
        <v>1</v>
      </c>
      <c r="C317" s="570" t="s">
        <v>1</v>
      </c>
      <c r="D317" s="571">
        <v>11</v>
      </c>
    </row>
    <row r="318" spans="1:4">
      <c r="A318" s="579" t="str">
        <f t="shared" ref="A318:A327" si="30">$R$2&amp;".DV_29"</f>
        <v>АСУЭ.BMCS.DV_29</v>
      </c>
      <c r="B318" s="577">
        <v>11154</v>
      </c>
      <c r="C318" s="577" t="s">
        <v>4</v>
      </c>
      <c r="D318" s="578">
        <f>$Q$6</f>
        <v>8</v>
      </c>
    </row>
    <row r="319" spans="1:4">
      <c r="A319" s="579" t="str">
        <f t="shared" si="30"/>
        <v>АСУЭ.BMCS.DV_29</v>
      </c>
      <c r="B319" s="580">
        <v>11152</v>
      </c>
      <c r="C319" s="580" t="s">
        <v>0</v>
      </c>
      <c r="D319" s="581" t="str">
        <f>$R$6</f>
        <v>Предупреждение</v>
      </c>
    </row>
    <row r="320" spans="1:4">
      <c r="A320" s="579" t="str">
        <f t="shared" si="30"/>
        <v>АСУЭ.BMCS.DV_29</v>
      </c>
      <c r="B320" s="580">
        <v>11150</v>
      </c>
      <c r="C320" s="580" t="s">
        <v>0</v>
      </c>
      <c r="D320" s="581" t="s">
        <v>1612</v>
      </c>
    </row>
    <row r="321" spans="1:4">
      <c r="A321" s="579" t="str">
        <f t="shared" si="30"/>
        <v>АСУЭ.BMCS.DV_29</v>
      </c>
      <c r="B321" s="580">
        <v>11000</v>
      </c>
      <c r="C321" s="580" t="s">
        <v>5</v>
      </c>
      <c r="D321" s="581">
        <v>2147483680</v>
      </c>
    </row>
    <row r="322" spans="1:4">
      <c r="A322" s="566" t="str">
        <f t="shared" si="30"/>
        <v>АСУЭ.BMCS.DV_29</v>
      </c>
      <c r="B322" s="567">
        <v>7999</v>
      </c>
      <c r="C322" s="567" t="s">
        <v>0</v>
      </c>
      <c r="D322" s="568" t="str">
        <f>"#"&amp;$S$2&amp;"#"&amp;$T$2&amp;"."&amp;$P$2&amp;".Reg_Inputs_bit28"</f>
        <v>#3#\\Setup_rza\Modbus.OPCServer\KTP_BMCS.BMCS.Reg_Inputs_bit28</v>
      </c>
    </row>
    <row r="323" spans="1:4">
      <c r="A323" s="566" t="str">
        <f t="shared" si="30"/>
        <v>АСУЭ.BMCS.DV_29</v>
      </c>
      <c r="B323" s="567">
        <v>7998</v>
      </c>
      <c r="C323" s="567" t="s">
        <v>6</v>
      </c>
      <c r="D323" s="568">
        <v>1</v>
      </c>
    </row>
    <row r="324" spans="1:4">
      <c r="A324" s="566" t="str">
        <f t="shared" si="30"/>
        <v>АСУЭ.BMCS.DV_29</v>
      </c>
      <c r="B324" s="567">
        <v>101</v>
      </c>
      <c r="C324" s="567" t="s">
        <v>0</v>
      </c>
      <c r="D324" s="568" t="s">
        <v>1640</v>
      </c>
    </row>
    <row r="325" spans="1:4">
      <c r="A325" s="566" t="str">
        <f t="shared" si="30"/>
        <v>АСУЭ.BMCS.DV_29</v>
      </c>
      <c r="B325" s="567">
        <v>3</v>
      </c>
      <c r="C325" s="567" t="s">
        <v>1</v>
      </c>
      <c r="D325" s="568">
        <v>192</v>
      </c>
    </row>
    <row r="326" spans="1:4">
      <c r="A326" s="566" t="str">
        <f t="shared" si="30"/>
        <v>АСУЭ.BMCS.DV_29</v>
      </c>
      <c r="B326" s="567">
        <v>2</v>
      </c>
      <c r="C326" s="567" t="s">
        <v>2</v>
      </c>
      <c r="D326" s="568" t="s">
        <v>3</v>
      </c>
    </row>
    <row r="327" spans="1:4">
      <c r="A327" s="569" t="str">
        <f t="shared" si="30"/>
        <v>АСУЭ.BMCS.DV_29</v>
      </c>
      <c r="B327" s="570">
        <v>1</v>
      </c>
      <c r="C327" s="570" t="s">
        <v>1</v>
      </c>
      <c r="D327" s="571">
        <v>11</v>
      </c>
    </row>
    <row r="328" spans="1:4">
      <c r="A328" s="579" t="str">
        <f t="shared" ref="A328:A337" si="31">$R$2&amp;".DV_30"</f>
        <v>АСУЭ.BMCS.DV_30</v>
      </c>
      <c r="B328" s="577">
        <v>11154</v>
      </c>
      <c r="C328" s="577" t="s">
        <v>4</v>
      </c>
      <c r="D328" s="578">
        <f>$Q$6</f>
        <v>8</v>
      </c>
    </row>
    <row r="329" spans="1:4">
      <c r="A329" s="579" t="str">
        <f t="shared" si="31"/>
        <v>АСУЭ.BMCS.DV_30</v>
      </c>
      <c r="B329" s="580">
        <v>11152</v>
      </c>
      <c r="C329" s="580" t="s">
        <v>0</v>
      </c>
      <c r="D329" s="581" t="str">
        <f>$R$6</f>
        <v>Предупреждение</v>
      </c>
    </row>
    <row r="330" spans="1:4">
      <c r="A330" s="579" t="str">
        <f t="shared" si="31"/>
        <v>АСУЭ.BMCS.DV_30</v>
      </c>
      <c r="B330" s="580">
        <v>11150</v>
      </c>
      <c r="C330" s="580" t="s">
        <v>0</v>
      </c>
      <c r="D330" s="581" t="s">
        <v>1612</v>
      </c>
    </row>
    <row r="331" spans="1:4">
      <c r="A331" s="579" t="str">
        <f t="shared" si="31"/>
        <v>АСУЭ.BMCS.DV_30</v>
      </c>
      <c r="B331" s="580">
        <v>11000</v>
      </c>
      <c r="C331" s="580" t="s">
        <v>5</v>
      </c>
      <c r="D331" s="581">
        <v>2147483680</v>
      </c>
    </row>
    <row r="332" spans="1:4">
      <c r="A332" s="566" t="str">
        <f t="shared" si="31"/>
        <v>АСУЭ.BMCS.DV_30</v>
      </c>
      <c r="B332" s="567">
        <v>7999</v>
      </c>
      <c r="C332" s="567" t="s">
        <v>0</v>
      </c>
      <c r="D332" s="568" t="str">
        <f>"#"&amp;$S$2&amp;"#"&amp;$T$2&amp;"."&amp;$P$2&amp;".Reg_Inputs_bit29"</f>
        <v>#3#\\Setup_rza\Modbus.OPCServer\KTP_BMCS.BMCS.Reg_Inputs_bit29</v>
      </c>
    </row>
    <row r="333" spans="1:4">
      <c r="A333" s="566" t="str">
        <f t="shared" si="31"/>
        <v>АСУЭ.BMCS.DV_30</v>
      </c>
      <c r="B333" s="567">
        <v>7998</v>
      </c>
      <c r="C333" s="567" t="s">
        <v>6</v>
      </c>
      <c r="D333" s="568">
        <v>1</v>
      </c>
    </row>
    <row r="334" spans="1:4">
      <c r="A334" s="566" t="str">
        <f t="shared" si="31"/>
        <v>АСУЭ.BMCS.DV_30</v>
      </c>
      <c r="B334" s="567">
        <v>101</v>
      </c>
      <c r="C334" s="567" t="s">
        <v>0</v>
      </c>
      <c r="D334" s="568" t="s">
        <v>1641</v>
      </c>
    </row>
    <row r="335" spans="1:4">
      <c r="A335" s="566" t="str">
        <f t="shared" si="31"/>
        <v>АСУЭ.BMCS.DV_30</v>
      </c>
      <c r="B335" s="567">
        <v>3</v>
      </c>
      <c r="C335" s="567" t="s">
        <v>1</v>
      </c>
      <c r="D335" s="568">
        <v>192</v>
      </c>
    </row>
    <row r="336" spans="1:4">
      <c r="A336" s="566" t="str">
        <f t="shared" si="31"/>
        <v>АСУЭ.BMCS.DV_30</v>
      </c>
      <c r="B336" s="567">
        <v>2</v>
      </c>
      <c r="C336" s="567" t="s">
        <v>2</v>
      </c>
      <c r="D336" s="568" t="s">
        <v>3</v>
      </c>
    </row>
    <row r="337" spans="1:4">
      <c r="A337" s="569" t="str">
        <f t="shared" si="31"/>
        <v>АСУЭ.BMCS.DV_30</v>
      </c>
      <c r="B337" s="570">
        <v>1</v>
      </c>
      <c r="C337" s="570" t="s">
        <v>1</v>
      </c>
      <c r="D337" s="571">
        <v>11</v>
      </c>
    </row>
    <row r="338" spans="1:4">
      <c r="A338" s="579" t="str">
        <f t="shared" ref="A338:A347" si="32">$R$2&amp;".DV_31"</f>
        <v>АСУЭ.BMCS.DV_31</v>
      </c>
      <c r="B338" s="577">
        <v>11154</v>
      </c>
      <c r="C338" s="577" t="s">
        <v>4</v>
      </c>
      <c r="D338" s="578">
        <f>$Q$6</f>
        <v>8</v>
      </c>
    </row>
    <row r="339" spans="1:4">
      <c r="A339" s="579" t="str">
        <f t="shared" si="32"/>
        <v>АСУЭ.BMCS.DV_31</v>
      </c>
      <c r="B339" s="580">
        <v>11152</v>
      </c>
      <c r="C339" s="580" t="s">
        <v>0</v>
      </c>
      <c r="D339" s="581" t="str">
        <f>$R$6</f>
        <v>Предупреждение</v>
      </c>
    </row>
    <row r="340" spans="1:4">
      <c r="A340" s="579" t="str">
        <f t="shared" si="32"/>
        <v>АСУЭ.BMCS.DV_31</v>
      </c>
      <c r="B340" s="580">
        <v>11150</v>
      </c>
      <c r="C340" s="580" t="s">
        <v>0</v>
      </c>
      <c r="D340" s="581" t="s">
        <v>1612</v>
      </c>
    </row>
    <row r="341" spans="1:4">
      <c r="A341" s="579" t="str">
        <f t="shared" si="32"/>
        <v>АСУЭ.BMCS.DV_31</v>
      </c>
      <c r="B341" s="580">
        <v>11000</v>
      </c>
      <c r="C341" s="580" t="s">
        <v>5</v>
      </c>
      <c r="D341" s="581">
        <v>2147483680</v>
      </c>
    </row>
    <row r="342" spans="1:4">
      <c r="A342" s="566" t="str">
        <f t="shared" si="32"/>
        <v>АСУЭ.BMCS.DV_31</v>
      </c>
      <c r="B342" s="567">
        <v>7999</v>
      </c>
      <c r="C342" s="567" t="s">
        <v>0</v>
      </c>
      <c r="D342" s="568" t="str">
        <f>"#"&amp;$S$2&amp;"#"&amp;$T$2&amp;"."&amp;$P$2&amp;".Reg_Inputs_bit30"</f>
        <v>#3#\\Setup_rza\Modbus.OPCServer\KTP_BMCS.BMCS.Reg_Inputs_bit30</v>
      </c>
    </row>
    <row r="343" spans="1:4">
      <c r="A343" s="566" t="str">
        <f t="shared" si="32"/>
        <v>АСУЭ.BMCS.DV_31</v>
      </c>
      <c r="B343" s="567">
        <v>7998</v>
      </c>
      <c r="C343" s="567" t="s">
        <v>6</v>
      </c>
      <c r="D343" s="568">
        <v>1</v>
      </c>
    </row>
    <row r="344" spans="1:4">
      <c r="A344" s="566" t="str">
        <f t="shared" si="32"/>
        <v>АСУЭ.BMCS.DV_31</v>
      </c>
      <c r="B344" s="567">
        <v>101</v>
      </c>
      <c r="C344" s="567" t="s">
        <v>0</v>
      </c>
      <c r="D344" s="568" t="s">
        <v>1642</v>
      </c>
    </row>
    <row r="345" spans="1:4">
      <c r="A345" s="566" t="str">
        <f t="shared" si="32"/>
        <v>АСУЭ.BMCS.DV_31</v>
      </c>
      <c r="B345" s="567">
        <v>3</v>
      </c>
      <c r="C345" s="567" t="s">
        <v>1</v>
      </c>
      <c r="D345" s="568">
        <v>192</v>
      </c>
    </row>
    <row r="346" spans="1:4">
      <c r="A346" s="566" t="str">
        <f t="shared" si="32"/>
        <v>АСУЭ.BMCS.DV_31</v>
      </c>
      <c r="B346" s="567">
        <v>2</v>
      </c>
      <c r="C346" s="567" t="s">
        <v>2</v>
      </c>
      <c r="D346" s="568" t="s">
        <v>3</v>
      </c>
    </row>
    <row r="347" spans="1:4">
      <c r="A347" s="569" t="str">
        <f t="shared" si="32"/>
        <v>АСУЭ.BMCS.DV_31</v>
      </c>
      <c r="B347" s="570">
        <v>1</v>
      </c>
      <c r="C347" s="570" t="s">
        <v>1</v>
      </c>
      <c r="D347" s="571">
        <v>11</v>
      </c>
    </row>
    <row r="348" spans="1:4">
      <c r="A348" s="579" t="str">
        <f t="shared" ref="A348:A357" si="33">$R$2&amp;".DV_32"</f>
        <v>АСУЭ.BMCS.DV_32</v>
      </c>
      <c r="B348" s="577">
        <v>11154</v>
      </c>
      <c r="C348" s="577" t="s">
        <v>4</v>
      </c>
      <c r="D348" s="578">
        <f>$Q$6</f>
        <v>8</v>
      </c>
    </row>
    <row r="349" spans="1:4">
      <c r="A349" s="579" t="str">
        <f t="shared" si="33"/>
        <v>АСУЭ.BMCS.DV_32</v>
      </c>
      <c r="B349" s="580">
        <v>11152</v>
      </c>
      <c r="C349" s="580" t="s">
        <v>0</v>
      </c>
      <c r="D349" s="581" t="str">
        <f>$R$6</f>
        <v>Предупреждение</v>
      </c>
    </row>
    <row r="350" spans="1:4">
      <c r="A350" s="579" t="str">
        <f t="shared" si="33"/>
        <v>АСУЭ.BMCS.DV_32</v>
      </c>
      <c r="B350" s="580">
        <v>11150</v>
      </c>
      <c r="C350" s="580" t="s">
        <v>0</v>
      </c>
      <c r="D350" s="581" t="s">
        <v>1612</v>
      </c>
    </row>
    <row r="351" spans="1:4">
      <c r="A351" s="579" t="str">
        <f t="shared" si="33"/>
        <v>АСУЭ.BMCS.DV_32</v>
      </c>
      <c r="B351" s="580">
        <v>11000</v>
      </c>
      <c r="C351" s="580" t="s">
        <v>5</v>
      </c>
      <c r="D351" s="581">
        <v>2147483680</v>
      </c>
    </row>
    <row r="352" spans="1:4">
      <c r="A352" s="566" t="str">
        <f t="shared" si="33"/>
        <v>АСУЭ.BMCS.DV_32</v>
      </c>
      <c r="B352" s="567">
        <v>7999</v>
      </c>
      <c r="C352" s="567" t="s">
        <v>0</v>
      </c>
      <c r="D352" s="568" t="str">
        <f>"#"&amp;$S$2&amp;"#"&amp;$T$2&amp;"."&amp;$P$2&amp;".Reg_Inputs_bit31"</f>
        <v>#3#\\Setup_rza\Modbus.OPCServer\KTP_BMCS.BMCS.Reg_Inputs_bit31</v>
      </c>
    </row>
    <row r="353" spans="1:4">
      <c r="A353" s="566" t="str">
        <f t="shared" si="33"/>
        <v>АСУЭ.BMCS.DV_32</v>
      </c>
      <c r="B353" s="567">
        <v>7998</v>
      </c>
      <c r="C353" s="567" t="s">
        <v>6</v>
      </c>
      <c r="D353" s="568">
        <v>1</v>
      </c>
    </row>
    <row r="354" spans="1:4">
      <c r="A354" s="566" t="str">
        <f t="shared" si="33"/>
        <v>АСУЭ.BMCS.DV_32</v>
      </c>
      <c r="B354" s="567">
        <v>101</v>
      </c>
      <c r="C354" s="567" t="s">
        <v>0</v>
      </c>
      <c r="D354" s="568" t="s">
        <v>1643</v>
      </c>
    </row>
    <row r="355" spans="1:4">
      <c r="A355" s="566" t="str">
        <f t="shared" si="33"/>
        <v>АСУЭ.BMCS.DV_32</v>
      </c>
      <c r="B355" s="567">
        <v>3</v>
      </c>
      <c r="C355" s="567" t="s">
        <v>1</v>
      </c>
      <c r="D355" s="568">
        <v>192</v>
      </c>
    </row>
    <row r="356" spans="1:4">
      <c r="A356" s="566" t="str">
        <f t="shared" si="33"/>
        <v>АСУЭ.BMCS.DV_32</v>
      </c>
      <c r="B356" s="567">
        <v>2</v>
      </c>
      <c r="C356" s="567" t="s">
        <v>2</v>
      </c>
      <c r="D356" s="568" t="s">
        <v>3</v>
      </c>
    </row>
    <row r="357" spans="1:4">
      <c r="A357" s="569" t="str">
        <f t="shared" si="33"/>
        <v>АСУЭ.BMCS.DV_32</v>
      </c>
      <c r="B357" s="570">
        <v>1</v>
      </c>
      <c r="C357" s="570" t="s">
        <v>1</v>
      </c>
      <c r="D357" s="571">
        <v>11</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Лист38">
    <tabColor rgb="FFFFC000"/>
  </sheetPr>
  <dimension ref="A1:BP288"/>
  <sheetViews>
    <sheetView topLeftCell="A4" zoomScale="70" zoomScaleNormal="70" workbookViewId="0">
      <selection activeCell="D2" sqref="D2:D4"/>
    </sheetView>
  </sheetViews>
  <sheetFormatPr defaultRowHeight="14.4"/>
  <cols>
    <col min="1" max="1" width="66.4414062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64.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57"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544"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545" t="str">
        <f>Таблица!Y1</f>
        <v>FB_AI_S, FB_DI_S, FB_QSA_S, FB_DO_S, FB_SHPS_S, FB_SHOP_S, FB_BTF_S: IVXX
FB_KL_UPT_S: ISON
SW_S301, SW_MES3508: Подключение к порту 1
SW_MAYAK: Подключение к порту 1,2 (через "\")
DI_DIAG, DO_DIAG: XVLX</v>
      </c>
      <c r="AL1" s="54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54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545" t="str">
        <f>Таблица!AB1</f>
        <v>FB_IMstp_S, FB_IMsp_S, FB_IMs_S, FB_REG_S, FB_IM_ADES_S : ILCX
SW_S301: Подключение к порту 4
SW_MAYAK, SW_MES3508: Подключение к порту 7,8 (через "\")</v>
      </c>
      <c r="AO1" s="545" t="str">
        <f>Таблица!AC1</f>
        <v xml:space="preserve">FB_IMstp_S, FB_IMsp_S, FB_IMs_S, FB_IMp_S, FB_IMv_S, FB_REG_S, FB_IM_ADES_S, FB_DO_S : IRCX
SW_S301, SW_MES3508: Подключение к порту 5
SW_MAYAK: Подключение к порту 9,10 (через "\")
</v>
      </c>
      <c r="AP1" s="54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54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545" t="str">
        <f>Таблица!AF1</f>
        <v xml:space="preserve">FB_IMstp_S, FB_IMsp_S, FB_IMs_S, FB_IMp_S, FB_IMv_S, FB_IM_ADES_S, FB_OZK_KD_S, FB_DO_S: OXOF
SW_S301, SW_MES3508: Подключение к порту 8
SW_MAYAK: Подключение к порту 15,16 (через "\")
</v>
      </c>
      <c r="AS1" s="545" t="str">
        <f>Таблица!AG1</f>
        <v xml:space="preserve">FB_IM_ADES_S, FB_IMp_S, FB_IMv_S: OXSP
FB_IMstp_S, FB_IMsp_S, FB_IMsp_MON_S: IPTC
SW_S301, SW_MES3508: Подключение к порту 9
SW_MAYAK: Подключение к порту 17,18 (через "\")
</v>
      </c>
      <c r="AT1" s="545" t="str">
        <f>Таблица!AH1</f>
        <v xml:space="preserve">FB_IMstp_S, FB_IMst_MON_S, FB_IMt_MON_S: ITON
FB_IM_ADES_S: IOLD
SW_S301, SW_MES3508: Подключение к порту 10
SW_MAYAK: Подключение к порту 19,20 (через "\")
</v>
      </c>
      <c r="AU1" s="545" t="str">
        <f>Таблица!AI1</f>
        <v>FB_IMstp_S, FB_IMst_MON_S, FB_IMt_MON_S: ITOF
FB_IM_ADES_S: IRAD
SW_MAYAK: Подключение к порту 21,22 (через "\")</v>
      </c>
      <c r="AV1" s="54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t="s">
        <v>503</v>
      </c>
      <c r="Q2" s="2" t="s">
        <v>332</v>
      </c>
      <c r="R2" s="2" t="s">
        <v>749</v>
      </c>
      <c r="S2" s="3">
        <v>3</v>
      </c>
      <c r="T2" s="3" t="s">
        <v>1700</v>
      </c>
      <c r="U2" s="3"/>
      <c r="V2" s="3" t="s">
        <v>569</v>
      </c>
      <c r="W2" s="12" t="s">
        <v>326</v>
      </c>
      <c r="X2" s="12" t="s">
        <v>327</v>
      </c>
      <c r="Y2" s="12"/>
      <c r="Z2" s="12"/>
      <c r="AA2" s="12"/>
      <c r="AB2" s="2"/>
      <c r="AC2" s="2" t="s">
        <v>305</v>
      </c>
      <c r="AD2" s="2" t="s">
        <v>1475</v>
      </c>
      <c r="AE2" s="2" t="s">
        <v>1414</v>
      </c>
      <c r="AF2" s="2"/>
      <c r="AG2" s="2"/>
      <c r="AH2" s="2"/>
      <c r="AI2" s="2"/>
      <c r="AJ2" s="2"/>
      <c r="AK2" s="2"/>
      <c r="AL2" s="2"/>
      <c r="AM2" s="2"/>
      <c r="AN2" s="2"/>
      <c r="AO2" s="2"/>
      <c r="AP2" s="2"/>
      <c r="AQ2" s="2"/>
      <c r="AR2" s="2"/>
      <c r="AS2" s="2"/>
      <c r="AT2" s="2"/>
      <c r="AU2" s="2"/>
      <c r="AV2" s="2"/>
      <c r="AW2" s="2"/>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3"/>
      <c r="V4" s="10"/>
      <c r="W4" s="10"/>
      <c r="X4" s="10"/>
      <c r="Y4" s="10"/>
      <c r="Z4" s="10"/>
      <c r="AA4" s="10"/>
      <c r="BM4" s="4"/>
      <c r="BN4" s="4"/>
      <c r="BO4" s="4"/>
      <c r="BP4" s="4"/>
    </row>
    <row r="5" spans="1:68" ht="15" customHeight="1">
      <c r="A5" s="9"/>
      <c r="B5" s="9"/>
      <c r="C5" s="9"/>
      <c r="D5" s="9"/>
      <c r="E5" s="9"/>
      <c r="F5" s="9"/>
      <c r="P5" s="6" t="str">
        <f>Настройки!A2</f>
        <v>Авария</v>
      </c>
      <c r="Q5" s="5">
        <f>Настройки!B2</f>
        <v>4</v>
      </c>
      <c r="R5" s="543" t="str">
        <f>Настройки!C2</f>
        <v>Авария</v>
      </c>
      <c r="S5" s="10"/>
      <c r="T5" s="458">
        <f>Настройки!M12</f>
        <v>1</v>
      </c>
      <c r="U5" s="14"/>
      <c r="V5" s="10"/>
      <c r="W5" s="10"/>
      <c r="X5" s="10"/>
      <c r="Y5" s="10"/>
      <c r="Z5" s="10"/>
      <c r="AA5" s="10"/>
      <c r="BM5" s="4"/>
      <c r="BN5" s="4"/>
      <c r="BO5" s="4"/>
      <c r="BP5" s="4"/>
    </row>
    <row r="6" spans="1:68" ht="15" customHeight="1">
      <c r="A6" s="9"/>
      <c r="B6" s="9"/>
      <c r="C6" s="9"/>
      <c r="D6" s="9"/>
      <c r="E6" s="9"/>
      <c r="F6" s="9"/>
      <c r="P6" s="6" t="str">
        <f>Настройки!A3</f>
        <v>Предупреждение</v>
      </c>
      <c r="Q6" s="5">
        <f>Настройки!B3</f>
        <v>8</v>
      </c>
      <c r="R6" s="543" t="str">
        <f>Настройки!C3</f>
        <v>Предупреждение</v>
      </c>
      <c r="S6" s="10"/>
      <c r="T6" s="562" t="str">
        <f>Настройки!M7</f>
        <v>Отображение Таблицы подлючений в диаг.</v>
      </c>
      <c r="U6" s="10"/>
      <c r="V6" s="10"/>
      <c r="W6" s="10"/>
      <c r="X6" s="10"/>
      <c r="Y6" s="10"/>
      <c r="Z6" s="10"/>
      <c r="AA6" s="10"/>
      <c r="BM6" s="4"/>
      <c r="BN6" s="4"/>
      <c r="BO6" s="4"/>
      <c r="BP6" s="4"/>
    </row>
    <row r="7" spans="1:68" ht="15" customHeight="1">
      <c r="A7" s="9"/>
      <c r="B7" s="9"/>
      <c r="C7" s="9"/>
      <c r="D7" s="9"/>
      <c r="E7" s="9"/>
      <c r="F7" s="9"/>
      <c r="P7" s="6" t="str">
        <f>Настройки!A4</f>
        <v>Неисправность</v>
      </c>
      <c r="Q7" s="5">
        <f>Настройки!B4</f>
        <v>12</v>
      </c>
      <c r="R7" s="543" t="str">
        <f>Настройки!C4</f>
        <v>Неисправность</v>
      </c>
      <c r="S7" s="10"/>
      <c r="T7" s="4" t="b">
        <f>Настройки!M8</f>
        <v>0</v>
      </c>
      <c r="U7" s="10"/>
      <c r="V7" s="10"/>
      <c r="W7" s="10"/>
      <c r="X7" s="10"/>
      <c r="Y7" s="10"/>
      <c r="Z7" s="10"/>
      <c r="AA7" s="10"/>
      <c r="BM7" s="4"/>
      <c r="BN7" s="4"/>
      <c r="BO7" s="4"/>
      <c r="BP7" s="4"/>
    </row>
    <row r="8" spans="1:68" ht="15" customHeight="1">
      <c r="A8" s="9"/>
      <c r="B8" s="9"/>
      <c r="C8" s="9"/>
      <c r="D8" s="9"/>
      <c r="E8" s="9"/>
      <c r="F8" s="9"/>
      <c r="P8" s="6" t="str">
        <f>Настройки!A5</f>
        <v>Телесигнализация</v>
      </c>
      <c r="Q8" s="5">
        <f>Настройки!B5</f>
        <v>18</v>
      </c>
      <c r="R8" s="543" t="str">
        <f>Настройки!C5</f>
        <v>Телесигнализация</v>
      </c>
      <c r="S8" s="10"/>
      <c r="T8" s="10"/>
      <c r="U8" s="10"/>
      <c r="V8" s="10"/>
      <c r="W8" s="10"/>
      <c r="X8" s="10"/>
      <c r="Y8" s="10"/>
      <c r="Z8" s="10"/>
      <c r="AA8" s="10"/>
      <c r="BM8" s="4"/>
      <c r="BN8" s="4"/>
      <c r="BO8" s="4"/>
      <c r="BP8" s="4"/>
    </row>
    <row r="9" spans="1:68" ht="15" customHeight="1">
      <c r="A9" s="9"/>
      <c r="B9" s="9"/>
      <c r="C9" s="9"/>
      <c r="D9" s="9"/>
      <c r="E9" s="9"/>
      <c r="F9" s="9"/>
      <c r="P9" s="6" t="str">
        <f>Настройки!A6</f>
        <v>Недостоверность</v>
      </c>
      <c r="Q9" s="5">
        <f>Настройки!B6</f>
        <v>10</v>
      </c>
      <c r="R9" s="543" t="str">
        <f>Настройки!C6</f>
        <v>Недостоверность</v>
      </c>
      <c r="S9" s="10"/>
      <c r="T9" s="10"/>
      <c r="U9" s="10"/>
      <c r="V9" s="10"/>
      <c r="W9" s="10"/>
      <c r="X9" s="10"/>
      <c r="Y9" s="10"/>
      <c r="Z9" s="10"/>
      <c r="AA9" s="10"/>
      <c r="BM9" s="4"/>
      <c r="BN9" s="4"/>
      <c r="BO9" s="4"/>
      <c r="BP9" s="4"/>
    </row>
    <row r="10" spans="1:68" ht="15" customHeight="1">
      <c r="A10" s="9"/>
      <c r="B10" s="9"/>
      <c r="C10" s="9"/>
      <c r="D10" s="9"/>
      <c r="E10" s="9"/>
      <c r="F10" s="9"/>
      <c r="P10" s="6" t="str">
        <f>Настройки!A7</f>
        <v>Имитация</v>
      </c>
      <c r="Q10" s="5">
        <f>Настройки!B7</f>
        <v>16</v>
      </c>
      <c r="R10" s="543" t="str">
        <f>Настройки!C7</f>
        <v>Имитация</v>
      </c>
      <c r="S10" s="10"/>
      <c r="T10" s="10"/>
      <c r="U10" s="10"/>
      <c r="V10" s="10"/>
      <c r="W10" s="10"/>
      <c r="X10" s="10"/>
      <c r="Y10" s="10"/>
      <c r="Z10" s="10"/>
      <c r="AA10" s="10"/>
      <c r="BM10" s="4"/>
      <c r="BN10" s="4"/>
      <c r="BO10" s="4"/>
      <c r="BP10" s="4"/>
    </row>
    <row r="11" spans="1:68" ht="15" customHeight="1">
      <c r="A11" s="9"/>
      <c r="B11" s="9"/>
      <c r="C11" s="9"/>
      <c r="D11" s="9"/>
      <c r="E11" s="9"/>
      <c r="F11" s="9"/>
      <c r="P11" s="6" t="str">
        <f>Настройки!A8</f>
        <v>Ремонт</v>
      </c>
      <c r="Q11" s="5">
        <f>Настройки!B8</f>
        <v>14</v>
      </c>
      <c r="R11" s="543" t="str">
        <f>Настройки!C8</f>
        <v>Ремонт</v>
      </c>
      <c r="S11" s="10"/>
      <c r="T11" s="10"/>
      <c r="U11" s="10"/>
      <c r="V11" s="10"/>
      <c r="W11" s="10"/>
      <c r="X11" s="10"/>
      <c r="Y11" s="10"/>
      <c r="Z11" s="10"/>
      <c r="AA11" s="10"/>
      <c r="BM11" s="4"/>
      <c r="BN11" s="4"/>
      <c r="BO11" s="4"/>
      <c r="BP11" s="4"/>
    </row>
    <row r="12" spans="1:68" ht="15" customHeight="1">
      <c r="A12" s="9"/>
      <c r="B12" s="9"/>
      <c r="C12" s="9"/>
      <c r="D12" s="9"/>
      <c r="E12" s="9"/>
      <c r="F12" s="9"/>
      <c r="P12" s="6" t="str">
        <f>Настройки!A9</f>
        <v>Команда оператора</v>
      </c>
      <c r="Q12" s="5">
        <f>Настройки!B9</f>
        <v>20</v>
      </c>
      <c r="R12" s="543" t="str">
        <f>Настройки!C9</f>
        <v>Команда оператора</v>
      </c>
      <c r="S12" s="10"/>
      <c r="T12" s="10"/>
      <c r="U12" s="10"/>
      <c r="V12" s="10"/>
      <c r="W12" s="10"/>
      <c r="X12" s="10"/>
      <c r="Y12" s="10"/>
      <c r="Z12" s="10"/>
      <c r="AA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M17" s="4"/>
      <c r="BN17" s="4"/>
      <c r="BO17" s="4"/>
      <c r="BP17" s="4"/>
    </row>
    <row r="18" spans="1:68" ht="15" customHeight="1" thickBo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M18" s="4"/>
      <c r="BN18" s="4"/>
      <c r="BO18" s="4"/>
      <c r="BP18" s="4"/>
    </row>
    <row r="19" spans="1:68" ht="15" customHeight="1" thickBot="1">
      <c r="A19" s="9"/>
      <c r="B19" s="9"/>
      <c r="C19" s="9"/>
      <c r="D19" s="783" t="s">
        <v>1876</v>
      </c>
      <c r="E19" s="782"/>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M19" s="4"/>
      <c r="BN19" s="4"/>
      <c r="BO19" s="4"/>
      <c r="BP19" s="4"/>
    </row>
    <row r="20" spans="1:68">
      <c r="A20" s="23" t="str">
        <f t="shared" ref="A20:A22" si="0">$R$2</f>
        <v>АСУЭ.BMRZ</v>
      </c>
      <c r="B20" s="24">
        <v>1</v>
      </c>
      <c r="C20" s="24" t="s">
        <v>1</v>
      </c>
      <c r="D20" s="25">
        <v>17</v>
      </c>
    </row>
    <row r="21" spans="1:68">
      <c r="A21" s="29" t="str">
        <f t="shared" si="0"/>
        <v>АСУЭ.BMRZ</v>
      </c>
      <c r="B21" s="1">
        <v>11001</v>
      </c>
      <c r="C21" s="1" t="s">
        <v>0</v>
      </c>
      <c r="D21" s="30" t="str">
        <f>$Q$2&amp;". "</f>
        <v xml:space="preserve">BMRZ. </v>
      </c>
    </row>
    <row r="22" spans="1:68">
      <c r="A22" s="29" t="str">
        <f t="shared" si="0"/>
        <v>АСУЭ.BMRZ</v>
      </c>
      <c r="B22" s="1">
        <v>11156</v>
      </c>
      <c r="C22" s="1" t="s">
        <v>0</v>
      </c>
      <c r="D22" s="30" t="str">
        <f>$V$2</f>
        <v>Тестовый экран</v>
      </c>
    </row>
    <row r="23" spans="1:68" ht="15" customHeight="1">
      <c r="A23" s="16" t="str">
        <f>$R$2</f>
        <v>АСУЭ.BMRZ</v>
      </c>
      <c r="B23" s="17">
        <v>100</v>
      </c>
      <c r="C23" s="17" t="s">
        <v>0</v>
      </c>
      <c r="D23" s="18" t="b">
        <f>$T$7</f>
        <v>0</v>
      </c>
      <c r="BF23" s="4"/>
      <c r="BG23" s="4"/>
      <c r="BH23" s="4"/>
      <c r="BI23" s="4"/>
    </row>
    <row r="24" spans="1:68">
      <c r="A24" s="29" t="str">
        <f>$R$2</f>
        <v>АСУЭ.BMRZ</v>
      </c>
      <c r="B24" s="1">
        <v>7011</v>
      </c>
      <c r="C24" s="1" t="s">
        <v>2</v>
      </c>
      <c r="D24" s="30" t="s">
        <v>266</v>
      </c>
    </row>
    <row r="25" spans="1:68">
      <c r="A25" s="19" t="str">
        <f t="shared" ref="A25" si="1">$R$2</f>
        <v>АСУЭ.BMRZ</v>
      </c>
      <c r="B25" s="11">
        <v>9218</v>
      </c>
      <c r="C25" s="11" t="s">
        <v>2</v>
      </c>
      <c r="D25" s="20" t="s">
        <v>175</v>
      </c>
    </row>
    <row r="26" spans="1:68" ht="15" customHeight="1">
      <c r="A26" s="19" t="str">
        <f>$R$2</f>
        <v>АСУЭ.BMRZ</v>
      </c>
      <c r="B26" s="11">
        <v>11127</v>
      </c>
      <c r="C26" s="11" t="s">
        <v>0</v>
      </c>
      <c r="D26" s="20">
        <f>$AK$2</f>
        <v>0</v>
      </c>
      <c r="BM26" s="4"/>
      <c r="BN26" s="4"/>
      <c r="BO26" s="4"/>
      <c r="BP26" s="4"/>
    </row>
    <row r="27" spans="1:68">
      <c r="A27" s="19" t="str">
        <f t="shared" ref="A27" si="2">$R$2</f>
        <v>АСУЭ.BMRZ</v>
      </c>
      <c r="B27" s="11">
        <v>11126</v>
      </c>
      <c r="C27" s="11" t="s">
        <v>0</v>
      </c>
      <c r="D27" s="20" t="str">
        <f>$AC$2</f>
        <v>Фиолетовый</v>
      </c>
    </row>
    <row r="28" spans="1:68">
      <c r="A28" s="23" t="str">
        <f>$R$2</f>
        <v>АСУЭ.BMRZ</v>
      </c>
      <c r="B28" s="24">
        <v>9219</v>
      </c>
      <c r="C28" s="24" t="s">
        <v>2</v>
      </c>
      <c r="D28" s="25" t="s">
        <v>3</v>
      </c>
      <c r="Q28" s="778" t="s">
        <v>224</v>
      </c>
    </row>
    <row r="29" spans="1:68">
      <c r="A29" s="29" t="str">
        <f>$R$2</f>
        <v>АСУЭ.BMRZ</v>
      </c>
      <c r="B29" s="27">
        <v>3009219</v>
      </c>
      <c r="C29" s="27" t="s">
        <v>0</v>
      </c>
      <c r="D29" s="28" t="str">
        <f>$X$2</f>
        <v>!АСУЭ.ЗРУиКТП.DI_1.XVLX.value &amp;&amp; АСУЭ.ЗРУиКТП.IMstp_1.XONX.value &amp;&amp; АСУЭ.ЗРУиКТП.IMstp_1.XTON.value</v>
      </c>
      <c r="Q29" s="779"/>
    </row>
    <row r="30" spans="1:68">
      <c r="A30" s="23" t="str">
        <f>$R$2</f>
        <v>АСУЭ.BMRZ</v>
      </c>
      <c r="B30" s="1">
        <v>9220</v>
      </c>
      <c r="C30" s="1" t="s">
        <v>2</v>
      </c>
      <c r="D30" s="30" t="s">
        <v>3</v>
      </c>
      <c r="Q30" s="778" t="s">
        <v>223</v>
      </c>
    </row>
    <row r="31" spans="1:68">
      <c r="A31" s="26" t="str">
        <f>$R$2</f>
        <v>АСУЭ.BMRZ</v>
      </c>
      <c r="B31" s="27">
        <v>3009220</v>
      </c>
      <c r="C31" s="27" t="s">
        <v>0</v>
      </c>
      <c r="D31" s="28" t="str">
        <f>$W$2</f>
        <v>!АСУЭ.ЗРУиКТП.DI_1.XVLX.value &amp;&amp; АСУЭ.ЗРУиКТП.IMstp_1.XTON.value</v>
      </c>
      <c r="Q31" s="779"/>
    </row>
    <row r="32" spans="1:68">
      <c r="A32" s="16" t="str">
        <f t="shared" ref="A32:A35" si="3">$R$2</f>
        <v>АСУЭ.BMRZ</v>
      </c>
      <c r="B32" s="17">
        <v>203</v>
      </c>
      <c r="C32" s="17" t="s">
        <v>2</v>
      </c>
      <c r="D32" s="18" t="s">
        <v>3</v>
      </c>
    </row>
    <row r="33" spans="1:61" ht="15" customHeight="1">
      <c r="A33" s="19" t="str">
        <f t="shared" si="3"/>
        <v>АСУЭ.BMRZ</v>
      </c>
      <c r="B33" s="11">
        <v>3000203</v>
      </c>
      <c r="C33" s="11" t="s">
        <v>0</v>
      </c>
      <c r="D33" s="20" t="str">
        <f>$AE$2</f>
        <v>Диагностика.CPU.NOT_LINK.noLink</v>
      </c>
      <c r="BF33" s="4"/>
      <c r="BG33" s="4"/>
      <c r="BH33" s="4"/>
      <c r="BI33" s="4"/>
    </row>
    <row r="34" spans="1:61" ht="15" customHeight="1">
      <c r="A34" s="19" t="str">
        <f t="shared" si="3"/>
        <v>АСУЭ.BMRZ</v>
      </c>
      <c r="B34" s="11">
        <v>4000203</v>
      </c>
      <c r="C34" s="11" t="s">
        <v>0</v>
      </c>
      <c r="D34" s="20" t="s">
        <v>1775</v>
      </c>
      <c r="BF34" s="4"/>
      <c r="BG34" s="4"/>
      <c r="BH34" s="4"/>
      <c r="BI34" s="4"/>
    </row>
    <row r="35" spans="1:61" ht="15" customHeight="1">
      <c r="A35" s="21" t="str">
        <f t="shared" si="3"/>
        <v>АСУЭ.BMRZ</v>
      </c>
      <c r="B35" s="8">
        <v>7000203</v>
      </c>
      <c r="C35" s="8" t="s">
        <v>6</v>
      </c>
      <c r="D35" s="22">
        <v>2</v>
      </c>
      <c r="BF35" s="4"/>
      <c r="BG35" s="4"/>
      <c r="BH35" s="4"/>
      <c r="BI35" s="4"/>
    </row>
    <row r="36" spans="1:61">
      <c r="A36" s="16" t="str">
        <f>$R$2&amp;".Commands"</f>
        <v>АСУЭ.BMRZ.Commands</v>
      </c>
      <c r="B36" s="24">
        <v>1</v>
      </c>
      <c r="C36" s="24" t="s">
        <v>1</v>
      </c>
      <c r="D36" s="25">
        <v>17</v>
      </c>
    </row>
    <row r="37" spans="1:61">
      <c r="A37" s="29" t="str">
        <f>$R$2&amp;".Commands"</f>
        <v>АСУЭ.BMRZ.Commands</v>
      </c>
      <c r="B37" s="1">
        <v>7011</v>
      </c>
      <c r="C37" s="1" t="s">
        <v>2</v>
      </c>
      <c r="D37" s="30" t="s">
        <v>266</v>
      </c>
    </row>
    <row r="38" spans="1:61" ht="15" customHeight="1">
      <c r="A38" s="29" t="str">
        <f>$R$2&amp;".Commands"</f>
        <v>АСУЭ.BMRZ.Commands</v>
      </c>
      <c r="B38">
        <v>9213</v>
      </c>
      <c r="C38" s="11" t="s">
        <v>2583</v>
      </c>
      <c r="D38" s="30">
        <v>2</v>
      </c>
      <c r="BF38" s="4"/>
      <c r="BG38" s="4"/>
      <c r="BH38" s="4"/>
      <c r="BI38" s="4"/>
    </row>
    <row r="39" spans="1:61">
      <c r="A39" s="19" t="str">
        <f>$R$2&amp;".Commands"</f>
        <v>АСУЭ.BMRZ.Commands</v>
      </c>
      <c r="B39" s="11">
        <v>9214</v>
      </c>
      <c r="C39" s="11" t="s">
        <v>2</v>
      </c>
      <c r="D39" s="20" t="s">
        <v>3</v>
      </c>
    </row>
    <row r="40" spans="1:61">
      <c r="A40" s="19" t="str">
        <f t="shared" ref="A40:A42" si="4">$R$2&amp;".Commands"</f>
        <v>АСУЭ.BMRZ.Commands</v>
      </c>
      <c r="B40" s="11">
        <v>9215</v>
      </c>
      <c r="C40" s="11" t="s">
        <v>2</v>
      </c>
      <c r="D40" s="20" t="s">
        <v>3</v>
      </c>
    </row>
    <row r="41" spans="1:61">
      <c r="A41" s="19" t="str">
        <f t="shared" si="4"/>
        <v>АСУЭ.BMRZ.Commands</v>
      </c>
      <c r="B41" s="11">
        <v>9216</v>
      </c>
      <c r="C41" s="11" t="s">
        <v>2</v>
      </c>
      <c r="D41" s="20" t="s">
        <v>3</v>
      </c>
    </row>
    <row r="42" spans="1:61">
      <c r="A42" s="21" t="str">
        <f t="shared" si="4"/>
        <v>АСУЭ.BMRZ.Commands</v>
      </c>
      <c r="B42" s="8">
        <v>9217</v>
      </c>
      <c r="C42" s="8" t="s">
        <v>2</v>
      </c>
      <c r="D42" s="22" t="s">
        <v>3</v>
      </c>
    </row>
    <row r="43" spans="1:61">
      <c r="A43" s="148" t="str">
        <f t="shared" ref="A43:A52" si="5">$R$2&amp;".aPrt"</f>
        <v>АСУЭ.BMRZ.aPrt</v>
      </c>
      <c r="B43" s="149">
        <v>11154</v>
      </c>
      <c r="C43" s="149" t="s">
        <v>4</v>
      </c>
      <c r="D43" s="150">
        <f>$Q$5</f>
        <v>4</v>
      </c>
    </row>
    <row r="44" spans="1:61">
      <c r="A44" s="148" t="str">
        <f t="shared" si="5"/>
        <v>АСУЭ.BMRZ.aPrt</v>
      </c>
      <c r="B44" s="149">
        <v>11150</v>
      </c>
      <c r="C44" s="149" t="s">
        <v>0</v>
      </c>
      <c r="D44" s="125" t="s">
        <v>141</v>
      </c>
    </row>
    <row r="45" spans="1:61">
      <c r="A45" s="148" t="str">
        <f t="shared" si="5"/>
        <v>АСУЭ.BMRZ.aPrt</v>
      </c>
      <c r="B45" s="149">
        <v>11152</v>
      </c>
      <c r="C45" s="149" t="s">
        <v>0</v>
      </c>
      <c r="D45" s="158" t="str">
        <f>$R$5</f>
        <v>Авария</v>
      </c>
    </row>
    <row r="46" spans="1:61" ht="14.25" customHeight="1">
      <c r="A46" s="148" t="str">
        <f t="shared" si="5"/>
        <v>АСУЭ.BMRZ.aPrt</v>
      </c>
      <c r="B46" s="149">
        <v>11000</v>
      </c>
      <c r="C46" s="149" t="s">
        <v>5</v>
      </c>
      <c r="D46" s="125">
        <v>2147483680</v>
      </c>
    </row>
    <row r="47" spans="1:61">
      <c r="A47" s="19" t="str">
        <f t="shared" si="5"/>
        <v>АСУЭ.BMRZ.aPrt</v>
      </c>
      <c r="B47" s="11">
        <v>7999</v>
      </c>
      <c r="C47" s="11" t="s">
        <v>0</v>
      </c>
      <c r="D47" s="20" t="str">
        <f>"#"&amp;$S$2&amp;"#"&amp;$T$2&amp;"."&amp;$P$2&amp;".Reg_Filter_Call_bit15"</f>
        <v>#3#\\Setup_rza\Modbus.OPCServer\KTP_BMRZ.VV1_BMRZ-04VV.Reg_Filter_Call_bit15</v>
      </c>
    </row>
    <row r="48" spans="1:61">
      <c r="A48" s="19" t="str">
        <f t="shared" si="5"/>
        <v>АСУЭ.BMRZ.aPrt</v>
      </c>
      <c r="B48" s="11">
        <v>7998</v>
      </c>
      <c r="C48" s="11" t="s">
        <v>6</v>
      </c>
      <c r="D48" s="20">
        <v>1</v>
      </c>
    </row>
    <row r="49" spans="1:4">
      <c r="A49" s="19" t="str">
        <f t="shared" si="5"/>
        <v>АСУЭ.BMRZ.aPrt</v>
      </c>
      <c r="B49" s="11">
        <v>101</v>
      </c>
      <c r="C49" s="11" t="s">
        <v>0</v>
      </c>
      <c r="D49" s="20" t="s">
        <v>141</v>
      </c>
    </row>
    <row r="50" spans="1:4">
      <c r="A50" s="19" t="str">
        <f t="shared" si="5"/>
        <v>АСУЭ.BMRZ.aPrt</v>
      </c>
      <c r="B50" s="11">
        <v>3</v>
      </c>
      <c r="C50" s="11" t="s">
        <v>1</v>
      </c>
      <c r="D50" s="20">
        <v>192</v>
      </c>
    </row>
    <row r="51" spans="1:4">
      <c r="A51" s="19" t="str">
        <f t="shared" si="5"/>
        <v>АСУЭ.BMRZ.aPrt</v>
      </c>
      <c r="B51" s="11">
        <v>2</v>
      </c>
      <c r="C51" s="11" t="s">
        <v>2</v>
      </c>
      <c r="D51" s="20" t="s">
        <v>3</v>
      </c>
    </row>
    <row r="52" spans="1:4">
      <c r="A52" s="21" t="str">
        <f t="shared" si="5"/>
        <v>АСУЭ.BMRZ.aPrt</v>
      </c>
      <c r="B52" s="8">
        <v>1</v>
      </c>
      <c r="C52" s="8" t="s">
        <v>1</v>
      </c>
      <c r="D52" s="22">
        <v>11</v>
      </c>
    </row>
    <row r="53" spans="1:4">
      <c r="A53" s="69" t="str">
        <f t="shared" ref="A53:A62" si="6">$R$2&amp;".wCall"</f>
        <v>АСУЭ.BMRZ.wCall</v>
      </c>
      <c r="B53" s="70">
        <v>11154</v>
      </c>
      <c r="C53" s="70" t="s">
        <v>4</v>
      </c>
      <c r="D53" s="71">
        <f>$Q$6</f>
        <v>8</v>
      </c>
    </row>
    <row r="54" spans="1:4">
      <c r="A54" s="63" t="str">
        <f t="shared" si="6"/>
        <v>АСУЭ.BMRZ.wCall</v>
      </c>
      <c r="B54" s="64">
        <v>11152</v>
      </c>
      <c r="C54" s="64" t="s">
        <v>0</v>
      </c>
      <c r="D54" s="65" t="str">
        <f>$R$6</f>
        <v>Предупреждение</v>
      </c>
    </row>
    <row r="55" spans="1:4">
      <c r="A55" s="63" t="str">
        <f t="shared" si="6"/>
        <v>АСУЭ.BMRZ.wCall</v>
      </c>
      <c r="B55" s="64">
        <v>11150</v>
      </c>
      <c r="C55" s="64" t="s">
        <v>0</v>
      </c>
      <c r="D55" s="65" t="s">
        <v>338</v>
      </c>
    </row>
    <row r="56" spans="1:4">
      <c r="A56" s="63" t="str">
        <f t="shared" si="6"/>
        <v>АСУЭ.BMRZ.wCall</v>
      </c>
      <c r="B56" s="64">
        <v>11000</v>
      </c>
      <c r="C56" s="64" t="s">
        <v>5</v>
      </c>
      <c r="D56" s="65">
        <v>2147483680</v>
      </c>
    </row>
    <row r="57" spans="1:4">
      <c r="A57" s="19" t="str">
        <f t="shared" si="6"/>
        <v>АСУЭ.BMRZ.wCall</v>
      </c>
      <c r="B57" s="11">
        <v>7999</v>
      </c>
      <c r="C57" s="11" t="s">
        <v>0</v>
      </c>
      <c r="D57" s="20" t="str">
        <f>"#"&amp;$S$2&amp;"#"&amp;$T$2&amp;"."&amp;$P$2&amp;".Reg_Status_bit8"</f>
        <v>#3#\\Setup_rza\Modbus.OPCServer\KTP_BMRZ.VV1_BMRZ-04VV.Reg_Status_bit8</v>
      </c>
    </row>
    <row r="58" spans="1:4" ht="15" customHeight="1">
      <c r="A58" s="19" t="str">
        <f t="shared" si="6"/>
        <v>АСУЭ.BMRZ.wCall</v>
      </c>
      <c r="B58" s="11">
        <v>7998</v>
      </c>
      <c r="C58" s="11" t="s">
        <v>6</v>
      </c>
      <c r="D58" s="20">
        <v>1</v>
      </c>
    </row>
    <row r="59" spans="1:4">
      <c r="A59" s="19" t="str">
        <f t="shared" si="6"/>
        <v>АСУЭ.BMRZ.wCall</v>
      </c>
      <c r="B59" s="11">
        <v>101</v>
      </c>
      <c r="C59" s="11" t="s">
        <v>0</v>
      </c>
      <c r="D59" s="20" t="s">
        <v>338</v>
      </c>
    </row>
    <row r="60" spans="1:4">
      <c r="A60" s="19" t="str">
        <f t="shared" si="6"/>
        <v>АСУЭ.BMRZ.wCall</v>
      </c>
      <c r="B60" s="11">
        <v>3</v>
      </c>
      <c r="C60" s="11" t="s">
        <v>1</v>
      </c>
      <c r="D60" s="20">
        <v>192</v>
      </c>
    </row>
    <row r="61" spans="1:4">
      <c r="A61" s="19" t="str">
        <f t="shared" si="6"/>
        <v>АСУЭ.BMRZ.wCall</v>
      </c>
      <c r="B61" s="11">
        <v>2</v>
      </c>
      <c r="C61" s="11" t="s">
        <v>2</v>
      </c>
      <c r="D61" s="20" t="s">
        <v>3</v>
      </c>
    </row>
    <row r="62" spans="1:4">
      <c r="A62" s="19" t="str">
        <f t="shared" si="6"/>
        <v>АСУЭ.BMRZ.wCall</v>
      </c>
      <c r="B62" s="11">
        <v>1</v>
      </c>
      <c r="C62" s="11" t="s">
        <v>1</v>
      </c>
      <c r="D62" s="20">
        <v>11</v>
      </c>
    </row>
    <row r="63" spans="1:4">
      <c r="A63" s="69" t="str">
        <f t="shared" ref="A63:A73" si="7">$R$2&amp;".wLoc"</f>
        <v>АСУЭ.BMRZ.wLoc</v>
      </c>
      <c r="B63" s="70">
        <v>11154</v>
      </c>
      <c r="C63" s="70" t="s">
        <v>4</v>
      </c>
      <c r="D63" s="200">
        <f>$Q$6</f>
        <v>8</v>
      </c>
    </row>
    <row r="64" spans="1:4">
      <c r="A64" s="63" t="str">
        <f t="shared" si="7"/>
        <v>АСУЭ.BMRZ.wLoc</v>
      </c>
      <c r="B64" s="64">
        <v>11150</v>
      </c>
      <c r="C64" s="64" t="s">
        <v>0</v>
      </c>
      <c r="D64" s="65" t="s">
        <v>169</v>
      </c>
    </row>
    <row r="65" spans="1:4">
      <c r="A65" s="63" t="str">
        <f t="shared" si="7"/>
        <v>АСУЭ.BMRZ.wLoc</v>
      </c>
      <c r="B65" s="64">
        <v>11152</v>
      </c>
      <c r="C65" s="64" t="s">
        <v>0</v>
      </c>
      <c r="D65" s="99" t="str">
        <f>$R$6</f>
        <v>Предупреждение</v>
      </c>
    </row>
    <row r="66" spans="1:4">
      <c r="A66" s="63" t="str">
        <f t="shared" si="7"/>
        <v>АСУЭ.BMRZ.wLoc</v>
      </c>
      <c r="B66" s="64">
        <v>11000</v>
      </c>
      <c r="C66" s="64" t="s">
        <v>5</v>
      </c>
      <c r="D66" s="65">
        <v>2147483680</v>
      </c>
    </row>
    <row r="67" spans="1:4">
      <c r="A67" s="19" t="str">
        <f t="shared" si="7"/>
        <v>АСУЭ.BMRZ.wLoc</v>
      </c>
      <c r="B67" s="11">
        <v>7999</v>
      </c>
      <c r="C67" s="11" t="s">
        <v>0</v>
      </c>
      <c r="D67" s="20" t="str">
        <f>"#"&amp;$S$2&amp;"#"&amp;$T$2&amp;"."&amp;$P$2&amp;".Reg_Dsign_bit7"</f>
        <v>#3#\\Setup_rza\Modbus.OPCServer\KTP_BMRZ.VV1_BMRZ-04VV.Reg_Dsign_bit7</v>
      </c>
    </row>
    <row r="68" spans="1:4">
      <c r="A68" s="19" t="str">
        <f t="shared" si="7"/>
        <v>АСУЭ.BMRZ.wLoc</v>
      </c>
      <c r="B68" s="11">
        <v>7998</v>
      </c>
      <c r="C68" s="11" t="s">
        <v>6</v>
      </c>
      <c r="D68" s="20">
        <v>1</v>
      </c>
    </row>
    <row r="69" spans="1:4">
      <c r="A69" s="19" t="str">
        <f t="shared" si="7"/>
        <v>АСУЭ.BMRZ.wLoc</v>
      </c>
      <c r="B69" s="11">
        <v>101</v>
      </c>
      <c r="C69" s="11" t="s">
        <v>0</v>
      </c>
      <c r="D69" s="20" t="s">
        <v>169</v>
      </c>
    </row>
    <row r="70" spans="1:4">
      <c r="A70" s="19" t="str">
        <f t="shared" si="7"/>
        <v>АСУЭ.BMRZ.wLoc</v>
      </c>
      <c r="B70" s="11">
        <v>3</v>
      </c>
      <c r="C70" s="11" t="s">
        <v>1</v>
      </c>
      <c r="D70" s="20">
        <v>192</v>
      </c>
    </row>
    <row r="71" spans="1:4">
      <c r="A71" s="19" t="str">
        <f t="shared" si="7"/>
        <v>АСУЭ.BMRZ.wLoc</v>
      </c>
      <c r="B71" s="11">
        <v>2</v>
      </c>
      <c r="C71" s="11" t="s">
        <v>2</v>
      </c>
      <c r="D71" s="20" t="s">
        <v>3</v>
      </c>
    </row>
    <row r="72" spans="1:4">
      <c r="A72" s="19" t="str">
        <f t="shared" si="7"/>
        <v>АСУЭ.BMRZ.wLoc</v>
      </c>
      <c r="B72" s="11">
        <v>1</v>
      </c>
      <c r="C72" s="11" t="s">
        <v>1</v>
      </c>
      <c r="D72" s="20">
        <v>11</v>
      </c>
    </row>
    <row r="73" spans="1:4">
      <c r="A73" s="21" t="str">
        <f t="shared" si="7"/>
        <v>АСУЭ.BMRZ.wLoc</v>
      </c>
      <c r="B73" s="8">
        <v>7200</v>
      </c>
      <c r="C73" s="8" t="s">
        <v>2</v>
      </c>
      <c r="D73" s="22" t="s">
        <v>266</v>
      </c>
    </row>
    <row r="74" spans="1:4">
      <c r="A74" s="217" t="str">
        <f>$R$2&amp;".NotConnected"</f>
        <v>АСУЭ.BMRZ.NotConnected</v>
      </c>
      <c r="B74" s="218">
        <v>11154</v>
      </c>
      <c r="C74" s="218" t="s">
        <v>4</v>
      </c>
      <c r="D74" s="231">
        <f>$Q$7</f>
        <v>12</v>
      </c>
    </row>
    <row r="75" spans="1:4">
      <c r="A75" s="211" t="str">
        <f t="shared" ref="A75:A83" si="8">$R$2&amp;".NotConnected"</f>
        <v>АСУЭ.BMRZ.NotConnected</v>
      </c>
      <c r="B75" s="212">
        <v>11152</v>
      </c>
      <c r="C75" s="212" t="s">
        <v>0</v>
      </c>
      <c r="D75" s="213" t="str">
        <f>$R$7</f>
        <v>Неисправность</v>
      </c>
    </row>
    <row r="76" spans="1:4">
      <c r="A76" s="211" t="str">
        <f t="shared" si="8"/>
        <v>АСУЭ.BMRZ.NotConnected</v>
      </c>
      <c r="B76" s="212">
        <v>11150</v>
      </c>
      <c r="C76" s="212" t="s">
        <v>0</v>
      </c>
      <c r="D76" s="213" t="s">
        <v>448</v>
      </c>
    </row>
    <row r="77" spans="1:4">
      <c r="A77" s="211" t="str">
        <f t="shared" si="8"/>
        <v>АСУЭ.BMRZ.NotConnected</v>
      </c>
      <c r="B77" s="212">
        <v>11000</v>
      </c>
      <c r="C77" s="212" t="s">
        <v>5</v>
      </c>
      <c r="D77" s="213">
        <v>2147483680</v>
      </c>
    </row>
    <row r="78" spans="1:4">
      <c r="A78" s="19" t="str">
        <f t="shared" si="8"/>
        <v>АСУЭ.BMRZ.NotConnected</v>
      </c>
      <c r="B78" s="11">
        <v>7999</v>
      </c>
      <c r="C78" s="11" t="s">
        <v>0</v>
      </c>
      <c r="D78" s="20" t="str">
        <f>"#"&amp;$S$2&amp;"#"&amp;$T$2&amp;"."&amp;$P$2&amp;".NotConnected"</f>
        <v>#3#\\Setup_rza\Modbus.OPCServer\KTP_BMRZ.VV1_BMRZ-04VV.NotConnected</v>
      </c>
    </row>
    <row r="79" spans="1:4">
      <c r="A79" s="19" t="str">
        <f t="shared" si="8"/>
        <v>АСУЭ.BMRZ.NotConnected</v>
      </c>
      <c r="B79" s="11">
        <v>7998</v>
      </c>
      <c r="C79" s="11" t="s">
        <v>6</v>
      </c>
      <c r="D79" s="20">
        <v>1</v>
      </c>
    </row>
    <row r="80" spans="1:4">
      <c r="A80" s="19" t="str">
        <f t="shared" si="8"/>
        <v>АСУЭ.BMRZ.NotConnected</v>
      </c>
      <c r="B80" s="11">
        <v>101</v>
      </c>
      <c r="C80" s="11" t="s">
        <v>0</v>
      </c>
      <c r="D80" s="20" t="s">
        <v>448</v>
      </c>
    </row>
    <row r="81" spans="1:4">
      <c r="A81" s="19" t="str">
        <f t="shared" si="8"/>
        <v>АСУЭ.BMRZ.NotConnected</v>
      </c>
      <c r="B81" s="11">
        <v>3</v>
      </c>
      <c r="C81" s="11" t="s">
        <v>1</v>
      </c>
      <c r="D81" s="20">
        <v>192</v>
      </c>
    </row>
    <row r="82" spans="1:4">
      <c r="A82" s="19" t="str">
        <f t="shared" si="8"/>
        <v>АСУЭ.BMRZ.NotConnected</v>
      </c>
      <c r="B82" s="11">
        <v>2</v>
      </c>
      <c r="C82" s="11" t="s">
        <v>2</v>
      </c>
      <c r="D82" s="20" t="s">
        <v>3</v>
      </c>
    </row>
    <row r="83" spans="1:4">
      <c r="A83" s="21" t="str">
        <f t="shared" si="8"/>
        <v>АСУЭ.BMRZ.NotConnected</v>
      </c>
      <c r="B83" s="8">
        <v>1</v>
      </c>
      <c r="C83" s="8" t="s">
        <v>1</v>
      </c>
      <c r="D83" s="22">
        <v>11</v>
      </c>
    </row>
    <row r="84" spans="1:4">
      <c r="A84" s="211" t="str">
        <f t="shared" ref="A84:A91" si="9">$R$2&amp;".wNotOff"</f>
        <v>АСУЭ.BMRZ.wNotOff</v>
      </c>
      <c r="B84" s="212">
        <v>11154</v>
      </c>
      <c r="C84" s="212" t="s">
        <v>4</v>
      </c>
      <c r="D84" s="213">
        <f>$Q$7</f>
        <v>12</v>
      </c>
    </row>
    <row r="85" spans="1:4">
      <c r="A85" s="211" t="str">
        <f t="shared" si="9"/>
        <v>АСУЭ.BMRZ.wNotOff</v>
      </c>
      <c r="B85" s="212">
        <v>11152</v>
      </c>
      <c r="C85" s="212" t="s">
        <v>0</v>
      </c>
      <c r="D85" s="213" t="str">
        <f>$R$7</f>
        <v>Неисправность</v>
      </c>
    </row>
    <row r="86" spans="1:4">
      <c r="A86" s="211" t="str">
        <f t="shared" si="9"/>
        <v>АСУЭ.BMRZ.wNotOff</v>
      </c>
      <c r="B86" s="212">
        <v>11150</v>
      </c>
      <c r="C86" s="212" t="s">
        <v>0</v>
      </c>
      <c r="D86" s="213" t="s">
        <v>339</v>
      </c>
    </row>
    <row r="87" spans="1:4">
      <c r="A87" s="211" t="str">
        <f t="shared" si="9"/>
        <v>АСУЭ.BMRZ.wNotOff</v>
      </c>
      <c r="B87" s="212">
        <v>11000</v>
      </c>
      <c r="C87" s="212" t="s">
        <v>5</v>
      </c>
      <c r="D87" s="213">
        <v>2147483680</v>
      </c>
    </row>
    <row r="88" spans="1:4">
      <c r="A88" s="19" t="str">
        <f t="shared" si="9"/>
        <v>АСУЭ.BMRZ.wNotOff</v>
      </c>
      <c r="B88" s="11">
        <v>101</v>
      </c>
      <c r="C88" s="11" t="s">
        <v>0</v>
      </c>
      <c r="D88" s="20" t="s">
        <v>339</v>
      </c>
    </row>
    <row r="89" spans="1:4">
      <c r="A89" s="19" t="str">
        <f t="shared" si="9"/>
        <v>АСУЭ.BMRZ.wNotOff</v>
      </c>
      <c r="B89" s="11">
        <v>3</v>
      </c>
      <c r="C89" s="11" t="s">
        <v>1</v>
      </c>
      <c r="D89" s="20">
        <v>192</v>
      </c>
    </row>
    <row r="90" spans="1:4">
      <c r="A90" s="19" t="str">
        <f t="shared" si="9"/>
        <v>АСУЭ.BMRZ.wNotOff</v>
      </c>
      <c r="B90" s="11">
        <v>2</v>
      </c>
      <c r="C90" s="11" t="s">
        <v>2</v>
      </c>
      <c r="D90" s="20" t="s">
        <v>3</v>
      </c>
    </row>
    <row r="91" spans="1:4">
      <c r="A91" s="21" t="str">
        <f t="shared" si="9"/>
        <v>АСУЭ.BMRZ.wNotOff</v>
      </c>
      <c r="B91" s="8">
        <v>1</v>
      </c>
      <c r="C91" s="8" t="s">
        <v>1</v>
      </c>
      <c r="D91" s="22">
        <v>11</v>
      </c>
    </row>
    <row r="92" spans="1:4">
      <c r="A92" s="211" t="str">
        <f t="shared" ref="A92:A99" si="10">$R$2&amp;".wNotOn"</f>
        <v>АСУЭ.BMRZ.wNotOn</v>
      </c>
      <c r="B92" s="212">
        <v>11154</v>
      </c>
      <c r="C92" s="212" t="s">
        <v>4</v>
      </c>
      <c r="D92" s="213">
        <f>$Q$7</f>
        <v>12</v>
      </c>
    </row>
    <row r="93" spans="1:4">
      <c r="A93" s="211" t="str">
        <f t="shared" si="10"/>
        <v>АСУЭ.BMRZ.wNotOn</v>
      </c>
      <c r="B93" s="212">
        <v>11152</v>
      </c>
      <c r="C93" s="212" t="s">
        <v>0</v>
      </c>
      <c r="D93" s="213" t="str">
        <f>$R$7</f>
        <v>Неисправность</v>
      </c>
    </row>
    <row r="94" spans="1:4">
      <c r="A94" s="211" t="str">
        <f t="shared" si="10"/>
        <v>АСУЭ.BMRZ.wNotOn</v>
      </c>
      <c r="B94" s="212">
        <v>11150</v>
      </c>
      <c r="C94" s="212" t="s">
        <v>0</v>
      </c>
      <c r="D94" s="213" t="s">
        <v>340</v>
      </c>
    </row>
    <row r="95" spans="1:4">
      <c r="A95" s="211" t="str">
        <f t="shared" si="10"/>
        <v>АСУЭ.BMRZ.wNotOn</v>
      </c>
      <c r="B95" s="212">
        <v>11000</v>
      </c>
      <c r="C95" s="212" t="s">
        <v>5</v>
      </c>
      <c r="D95" s="213">
        <v>2147483680</v>
      </c>
    </row>
    <row r="96" spans="1:4">
      <c r="A96" s="19" t="str">
        <f t="shared" si="10"/>
        <v>АСУЭ.BMRZ.wNotOn</v>
      </c>
      <c r="B96" s="11">
        <v>101</v>
      </c>
      <c r="C96" s="11" t="s">
        <v>0</v>
      </c>
      <c r="D96" s="20" t="s">
        <v>340</v>
      </c>
    </row>
    <row r="97" spans="1:4">
      <c r="A97" s="19" t="str">
        <f t="shared" si="10"/>
        <v>АСУЭ.BMRZ.wNotOn</v>
      </c>
      <c r="B97" s="11">
        <v>3</v>
      </c>
      <c r="C97" s="11" t="s">
        <v>1</v>
      </c>
      <c r="D97" s="20">
        <v>192</v>
      </c>
    </row>
    <row r="98" spans="1:4">
      <c r="A98" s="19" t="str">
        <f t="shared" si="10"/>
        <v>АСУЭ.BMRZ.wNotOn</v>
      </c>
      <c r="B98" s="11">
        <v>2</v>
      </c>
      <c r="C98" s="11" t="s">
        <v>2</v>
      </c>
      <c r="D98" s="20" t="s">
        <v>3</v>
      </c>
    </row>
    <row r="99" spans="1:4">
      <c r="A99" s="21" t="str">
        <f t="shared" si="10"/>
        <v>АСУЭ.BMRZ.wNotOn</v>
      </c>
      <c r="B99" s="8">
        <v>1</v>
      </c>
      <c r="C99" s="8" t="s">
        <v>1</v>
      </c>
      <c r="D99" s="22">
        <v>11</v>
      </c>
    </row>
    <row r="100" spans="1:4">
      <c r="A100" s="211" t="str">
        <f t="shared" ref="A100:A106" si="11">$R$2&amp;".wDbl"</f>
        <v>АСУЭ.BMRZ.wDbl</v>
      </c>
      <c r="B100" s="212">
        <v>11154</v>
      </c>
      <c r="C100" s="212" t="s">
        <v>4</v>
      </c>
      <c r="D100" s="213">
        <f>$Q$7</f>
        <v>12</v>
      </c>
    </row>
    <row r="101" spans="1:4">
      <c r="A101" s="211" t="str">
        <f t="shared" si="11"/>
        <v>АСУЭ.BMRZ.wDbl</v>
      </c>
      <c r="B101" s="212">
        <v>11152</v>
      </c>
      <c r="C101" s="212" t="s">
        <v>0</v>
      </c>
      <c r="D101" s="213" t="str">
        <f>$R$7</f>
        <v>Неисправность</v>
      </c>
    </row>
    <row r="102" spans="1:4">
      <c r="A102" s="211" t="str">
        <f t="shared" si="11"/>
        <v>АСУЭ.BMRZ.wDbl</v>
      </c>
      <c r="B102" s="212">
        <v>11150</v>
      </c>
      <c r="C102" s="212" t="s">
        <v>0</v>
      </c>
      <c r="D102" s="213" t="s">
        <v>341</v>
      </c>
    </row>
    <row r="103" spans="1:4">
      <c r="A103" s="211" t="str">
        <f t="shared" si="11"/>
        <v>АСУЭ.BMRZ.wDbl</v>
      </c>
      <c r="B103" s="212">
        <v>11000</v>
      </c>
      <c r="C103" s="212" t="s">
        <v>5</v>
      </c>
      <c r="D103" s="213">
        <v>2147483680</v>
      </c>
    </row>
    <row r="104" spans="1:4">
      <c r="A104" s="19" t="str">
        <f t="shared" si="11"/>
        <v>АСУЭ.BMRZ.wDbl</v>
      </c>
      <c r="B104" s="11">
        <v>3</v>
      </c>
      <c r="C104" s="11" t="s">
        <v>1</v>
      </c>
      <c r="D104" s="20">
        <v>192</v>
      </c>
    </row>
    <row r="105" spans="1:4">
      <c r="A105" s="19" t="str">
        <f t="shared" si="11"/>
        <v>АСУЭ.BMRZ.wDbl</v>
      </c>
      <c r="B105" s="11">
        <v>2</v>
      </c>
      <c r="C105" s="11" t="s">
        <v>2</v>
      </c>
      <c r="D105" s="20" t="s">
        <v>3</v>
      </c>
    </row>
    <row r="106" spans="1:4">
      <c r="A106" s="21" t="str">
        <f t="shared" si="11"/>
        <v>АСУЭ.BMRZ.wDbl</v>
      </c>
      <c r="B106" s="8">
        <v>1</v>
      </c>
      <c r="C106" s="8" t="s">
        <v>1</v>
      </c>
      <c r="D106" s="22">
        <v>11</v>
      </c>
    </row>
    <row r="107" spans="1:4">
      <c r="A107" s="211" t="str">
        <f t="shared" ref="A107:A113" si="12">$R$2&amp;".wUnkw"</f>
        <v>АСУЭ.BMRZ.wUnkw</v>
      </c>
      <c r="B107" s="212">
        <v>11154</v>
      </c>
      <c r="C107" s="212" t="s">
        <v>4</v>
      </c>
      <c r="D107" s="213">
        <f>$Q$7</f>
        <v>12</v>
      </c>
    </row>
    <row r="108" spans="1:4">
      <c r="A108" s="211" t="str">
        <f t="shared" si="12"/>
        <v>АСУЭ.BMRZ.wUnkw</v>
      </c>
      <c r="B108" s="212">
        <v>11152</v>
      </c>
      <c r="C108" s="212" t="s">
        <v>0</v>
      </c>
      <c r="D108" s="213" t="str">
        <f>$R$7</f>
        <v>Неисправность</v>
      </c>
    </row>
    <row r="109" spans="1:4">
      <c r="A109" s="211" t="str">
        <f t="shared" si="12"/>
        <v>АСУЭ.BMRZ.wUnkw</v>
      </c>
      <c r="B109" s="212">
        <v>11150</v>
      </c>
      <c r="C109" s="212" t="s">
        <v>0</v>
      </c>
      <c r="D109" s="213" t="s">
        <v>342</v>
      </c>
    </row>
    <row r="110" spans="1:4">
      <c r="A110" s="211" t="str">
        <f t="shared" si="12"/>
        <v>АСУЭ.BMRZ.wUnkw</v>
      </c>
      <c r="B110" s="212">
        <v>11000</v>
      </c>
      <c r="C110" s="212" t="s">
        <v>5</v>
      </c>
      <c r="D110" s="213">
        <v>2147483680</v>
      </c>
    </row>
    <row r="111" spans="1:4">
      <c r="A111" s="19" t="str">
        <f t="shared" si="12"/>
        <v>АСУЭ.BMRZ.wUnkw</v>
      </c>
      <c r="B111" s="11">
        <v>3</v>
      </c>
      <c r="C111" s="11" t="s">
        <v>1</v>
      </c>
      <c r="D111" s="20">
        <v>192</v>
      </c>
    </row>
    <row r="112" spans="1:4">
      <c r="A112" s="19" t="str">
        <f t="shared" si="12"/>
        <v>АСУЭ.BMRZ.wUnkw</v>
      </c>
      <c r="B112" s="11">
        <v>2</v>
      </c>
      <c r="C112" s="11" t="s">
        <v>2</v>
      </c>
      <c r="D112" s="20" t="s">
        <v>3</v>
      </c>
    </row>
    <row r="113" spans="1:4">
      <c r="A113" s="21" t="str">
        <f t="shared" si="12"/>
        <v>АСУЭ.BMRZ.wUnkw</v>
      </c>
      <c r="B113" s="8">
        <v>1</v>
      </c>
      <c r="C113" s="8" t="s">
        <v>1</v>
      </c>
      <c r="D113" s="22">
        <v>11</v>
      </c>
    </row>
    <row r="114" spans="1:4">
      <c r="A114" s="19" t="str">
        <f t="shared" ref="A114:A125" si="13">$R$2&amp;".stOff"</f>
        <v>АСУЭ.BMRZ.stOff</v>
      </c>
      <c r="B114" s="11">
        <v>7000000</v>
      </c>
      <c r="C114" s="11" t="s">
        <v>6</v>
      </c>
      <c r="D114" s="20">
        <v>1</v>
      </c>
    </row>
    <row r="115" spans="1:4" ht="15.75" customHeight="1">
      <c r="A115" s="19" t="str">
        <f t="shared" si="13"/>
        <v>АСУЭ.BMRZ.stOff</v>
      </c>
      <c r="B115" s="11">
        <v>4000000</v>
      </c>
      <c r="C115" s="11" t="s">
        <v>0</v>
      </c>
      <c r="D115" s="72" t="s">
        <v>396</v>
      </c>
    </row>
    <row r="116" spans="1:4">
      <c r="A116" s="100" t="str">
        <f t="shared" si="13"/>
        <v>АСУЭ.BMRZ.stOff</v>
      </c>
      <c r="B116" s="101">
        <v>11154</v>
      </c>
      <c r="C116" s="101" t="s">
        <v>4</v>
      </c>
      <c r="D116" s="102">
        <f>$Q$8</f>
        <v>18</v>
      </c>
    </row>
    <row r="117" spans="1:4">
      <c r="A117" s="100" t="str">
        <f t="shared" si="13"/>
        <v>АСУЭ.BMRZ.stOff</v>
      </c>
      <c r="B117" s="101">
        <v>11150</v>
      </c>
      <c r="C117" s="101" t="s">
        <v>0</v>
      </c>
      <c r="D117" s="103" t="s">
        <v>336</v>
      </c>
    </row>
    <row r="118" spans="1:4">
      <c r="A118" s="100" t="str">
        <f t="shared" si="13"/>
        <v>АСУЭ.BMRZ.stOff</v>
      </c>
      <c r="B118" s="101">
        <v>11152</v>
      </c>
      <c r="C118" s="101" t="s">
        <v>0</v>
      </c>
      <c r="D118" s="104" t="str">
        <f>$R$8</f>
        <v>Телесигнализация</v>
      </c>
    </row>
    <row r="119" spans="1:4">
      <c r="A119" s="100" t="str">
        <f t="shared" si="13"/>
        <v>АСУЭ.BMRZ.stOff</v>
      </c>
      <c r="B119" s="101">
        <v>11000</v>
      </c>
      <c r="C119" s="101" t="s">
        <v>5</v>
      </c>
      <c r="D119" s="103">
        <v>2147483680</v>
      </c>
    </row>
    <row r="120" spans="1:4">
      <c r="A120" s="19" t="str">
        <f t="shared" si="13"/>
        <v>АСУЭ.BMRZ.stOff</v>
      </c>
      <c r="B120" s="11">
        <v>7999</v>
      </c>
      <c r="C120" s="11" t="s">
        <v>0</v>
      </c>
      <c r="D120" s="20" t="str">
        <f>"#"&amp;$S$2&amp;"#"&amp;$T$2&amp;"."&amp;$P$2&amp;".Reg_Dsign_bit1"</f>
        <v>#3#\\Setup_rza\Modbus.OPCServer\KTP_BMRZ.VV1_BMRZ-04VV.Reg_Dsign_bit1</v>
      </c>
    </row>
    <row r="121" spans="1:4">
      <c r="A121" s="19" t="str">
        <f t="shared" si="13"/>
        <v>АСУЭ.BMRZ.stOff</v>
      </c>
      <c r="B121" s="11">
        <v>7998</v>
      </c>
      <c r="C121" s="11" t="s">
        <v>6</v>
      </c>
      <c r="D121" s="20">
        <v>1</v>
      </c>
    </row>
    <row r="122" spans="1:4">
      <c r="A122" s="19" t="str">
        <f t="shared" si="13"/>
        <v>АСУЭ.BMRZ.stOff</v>
      </c>
      <c r="B122" s="11">
        <v>101</v>
      </c>
      <c r="C122" s="11" t="s">
        <v>0</v>
      </c>
      <c r="D122" s="20" t="s">
        <v>336</v>
      </c>
    </row>
    <row r="123" spans="1:4">
      <c r="A123" s="19" t="str">
        <f t="shared" si="13"/>
        <v>АСУЭ.BMRZ.stOff</v>
      </c>
      <c r="B123" s="11">
        <v>3</v>
      </c>
      <c r="C123" s="11" t="s">
        <v>1</v>
      </c>
      <c r="D123" s="20">
        <v>192</v>
      </c>
    </row>
    <row r="124" spans="1:4">
      <c r="A124" s="19" t="str">
        <f t="shared" si="13"/>
        <v>АСУЭ.BMRZ.stOff</v>
      </c>
      <c r="B124" s="11">
        <v>2</v>
      </c>
      <c r="C124" s="11" t="s">
        <v>2</v>
      </c>
      <c r="D124" s="20" t="s">
        <v>3</v>
      </c>
    </row>
    <row r="125" spans="1:4">
      <c r="A125" s="21" t="str">
        <f t="shared" si="13"/>
        <v>АСУЭ.BMRZ.stOff</v>
      </c>
      <c r="B125" s="8">
        <v>1</v>
      </c>
      <c r="C125" s="8" t="s">
        <v>1</v>
      </c>
      <c r="D125" s="22">
        <v>11</v>
      </c>
    </row>
    <row r="126" spans="1:4">
      <c r="A126" s="19" t="str">
        <f t="shared" ref="A126:A137" si="14">$R$2&amp;".stOn"</f>
        <v>АСУЭ.BMRZ.stOn</v>
      </c>
      <c r="B126" s="11">
        <v>7000000</v>
      </c>
      <c r="C126" s="11" t="s">
        <v>6</v>
      </c>
      <c r="D126" s="20">
        <v>1</v>
      </c>
    </row>
    <row r="127" spans="1:4" ht="15.75" customHeight="1">
      <c r="A127" s="19" t="str">
        <f t="shared" si="14"/>
        <v>АСУЭ.BMRZ.stOn</v>
      </c>
      <c r="B127" s="11">
        <v>4000000</v>
      </c>
      <c r="C127" s="11" t="s">
        <v>0</v>
      </c>
      <c r="D127" s="72" t="s">
        <v>396</v>
      </c>
    </row>
    <row r="128" spans="1:4">
      <c r="A128" s="100" t="str">
        <f t="shared" si="14"/>
        <v>АСУЭ.BMRZ.stOn</v>
      </c>
      <c r="B128" s="101">
        <v>11154</v>
      </c>
      <c r="C128" s="101" t="s">
        <v>4</v>
      </c>
      <c r="D128" s="102">
        <f>$Q$8</f>
        <v>18</v>
      </c>
    </row>
    <row r="129" spans="1:4">
      <c r="A129" s="100" t="str">
        <f t="shared" si="14"/>
        <v>АСУЭ.BMRZ.stOn</v>
      </c>
      <c r="B129" s="101">
        <v>11150</v>
      </c>
      <c r="C129" s="101" t="s">
        <v>0</v>
      </c>
      <c r="D129" s="103" t="s">
        <v>337</v>
      </c>
    </row>
    <row r="130" spans="1:4">
      <c r="A130" s="100" t="str">
        <f t="shared" si="14"/>
        <v>АСУЭ.BMRZ.stOn</v>
      </c>
      <c r="B130" s="101">
        <v>11152</v>
      </c>
      <c r="C130" s="101" t="s">
        <v>0</v>
      </c>
      <c r="D130" s="104" t="str">
        <f>$R$8</f>
        <v>Телесигнализация</v>
      </c>
    </row>
    <row r="131" spans="1:4">
      <c r="A131" s="100" t="str">
        <f t="shared" si="14"/>
        <v>АСУЭ.BMRZ.stOn</v>
      </c>
      <c r="B131" s="101">
        <v>11000</v>
      </c>
      <c r="C131" s="101" t="s">
        <v>5</v>
      </c>
      <c r="D131" s="103">
        <v>2147483680</v>
      </c>
    </row>
    <row r="132" spans="1:4">
      <c r="A132" s="19" t="str">
        <f t="shared" si="14"/>
        <v>АСУЭ.BMRZ.stOn</v>
      </c>
      <c r="B132" s="11">
        <v>7999</v>
      </c>
      <c r="C132" s="11" t="s">
        <v>0</v>
      </c>
      <c r="D132" s="20" t="str">
        <f>"#"&amp;$S$2&amp;"#"&amp;$T$2&amp;"."&amp;$P$2&amp;".Reg_Dsign_bit2"</f>
        <v>#3#\\Setup_rza\Modbus.OPCServer\KTP_BMRZ.VV1_BMRZ-04VV.Reg_Dsign_bit2</v>
      </c>
    </row>
    <row r="133" spans="1:4">
      <c r="A133" s="19" t="str">
        <f t="shared" si="14"/>
        <v>АСУЭ.BMRZ.stOn</v>
      </c>
      <c r="B133" s="11">
        <v>7998</v>
      </c>
      <c r="C133" s="11" t="s">
        <v>6</v>
      </c>
      <c r="D133" s="20">
        <v>1</v>
      </c>
    </row>
    <row r="134" spans="1:4">
      <c r="A134" s="19" t="str">
        <f t="shared" si="14"/>
        <v>АСУЭ.BMRZ.stOn</v>
      </c>
      <c r="B134" s="11">
        <v>101</v>
      </c>
      <c r="C134" s="11" t="s">
        <v>0</v>
      </c>
      <c r="D134" s="20" t="s">
        <v>337</v>
      </c>
    </row>
    <row r="135" spans="1:4">
      <c r="A135" s="19" t="str">
        <f t="shared" si="14"/>
        <v>АСУЭ.BMRZ.stOn</v>
      </c>
      <c r="B135" s="11">
        <v>3</v>
      </c>
      <c r="C135" s="11" t="s">
        <v>1</v>
      </c>
      <c r="D135" s="20">
        <v>192</v>
      </c>
    </row>
    <row r="136" spans="1:4">
      <c r="A136" s="19" t="str">
        <f t="shared" si="14"/>
        <v>АСУЭ.BMRZ.stOn</v>
      </c>
      <c r="B136" s="11">
        <v>2</v>
      </c>
      <c r="C136" s="11" t="s">
        <v>2</v>
      </c>
      <c r="D136" s="20" t="s">
        <v>3</v>
      </c>
    </row>
    <row r="137" spans="1:4">
      <c r="A137" s="21" t="str">
        <f t="shared" si="14"/>
        <v>АСУЭ.BMRZ.stOn</v>
      </c>
      <c r="B137" s="8">
        <v>1</v>
      </c>
      <c r="C137" s="8" t="s">
        <v>1</v>
      </c>
      <c r="D137" s="22">
        <v>11</v>
      </c>
    </row>
    <row r="138" spans="1:4">
      <c r="A138" s="100" t="str">
        <f t="shared" ref="A138:A146" si="15">$R$2&amp;".stTOn"</f>
        <v>АСУЭ.BMRZ.stTOn</v>
      </c>
      <c r="B138" s="101">
        <v>11154</v>
      </c>
      <c r="C138" s="101" t="s">
        <v>4</v>
      </c>
      <c r="D138" s="102">
        <f>$Q$8</f>
        <v>18</v>
      </c>
    </row>
    <row r="139" spans="1:4">
      <c r="A139" s="100" t="str">
        <f t="shared" si="15"/>
        <v>АСУЭ.BMRZ.stTOn</v>
      </c>
      <c r="B139" s="101">
        <v>11150</v>
      </c>
      <c r="C139" s="101" t="s">
        <v>0</v>
      </c>
      <c r="D139" s="103" t="s">
        <v>1850</v>
      </c>
    </row>
    <row r="140" spans="1:4">
      <c r="A140" s="100" t="str">
        <f t="shared" si="15"/>
        <v>АСУЭ.BMRZ.stTOn</v>
      </c>
      <c r="B140" s="101">
        <v>11152</v>
      </c>
      <c r="C140" s="101" t="s">
        <v>0</v>
      </c>
      <c r="D140" s="104" t="str">
        <f>$R$8</f>
        <v>Телесигнализация</v>
      </c>
    </row>
    <row r="141" spans="1:4">
      <c r="A141" s="100" t="str">
        <f t="shared" si="15"/>
        <v>АСУЭ.BMRZ.stTOn</v>
      </c>
      <c r="B141" s="101">
        <v>11000</v>
      </c>
      <c r="C141" s="101" t="s">
        <v>5</v>
      </c>
      <c r="D141" s="103">
        <v>2147483680</v>
      </c>
    </row>
    <row r="142" spans="1:4">
      <c r="A142" s="19" t="str">
        <f t="shared" si="15"/>
        <v>АСУЭ.BMRZ.stTOn</v>
      </c>
      <c r="B142">
        <v>3000000</v>
      </c>
      <c r="C142" t="s">
        <v>0</v>
      </c>
      <c r="D142" t="s">
        <v>1877</v>
      </c>
    </row>
    <row r="143" spans="1:4">
      <c r="A143" s="19" t="str">
        <f t="shared" si="15"/>
        <v>АСУЭ.BMRZ.stTOn</v>
      </c>
      <c r="B143" s="11">
        <v>101</v>
      </c>
      <c r="C143" s="11" t="s">
        <v>0</v>
      </c>
      <c r="D143" s="20" t="s">
        <v>1850</v>
      </c>
    </row>
    <row r="144" spans="1:4">
      <c r="A144" s="19" t="str">
        <f t="shared" si="15"/>
        <v>АСУЭ.BMRZ.stTOn</v>
      </c>
      <c r="B144" s="11">
        <v>3</v>
      </c>
      <c r="C144" s="11" t="s">
        <v>1</v>
      </c>
      <c r="D144" s="20">
        <v>192</v>
      </c>
    </row>
    <row r="145" spans="1:4">
      <c r="A145" s="19" t="str">
        <f t="shared" si="15"/>
        <v>АСУЭ.BMRZ.stTOn</v>
      </c>
      <c r="B145" s="11">
        <v>2</v>
      </c>
      <c r="C145" s="11" t="s">
        <v>2</v>
      </c>
      <c r="D145" s="20" t="s">
        <v>3</v>
      </c>
    </row>
    <row r="146" spans="1:4">
      <c r="A146" s="21" t="str">
        <f t="shared" si="15"/>
        <v>АСУЭ.BMRZ.stTOn</v>
      </c>
      <c r="B146" s="8">
        <v>1</v>
      </c>
      <c r="C146" s="8" t="s">
        <v>1</v>
      </c>
      <c r="D146" s="22">
        <v>11</v>
      </c>
    </row>
    <row r="147" spans="1:4">
      <c r="A147" s="100" t="str">
        <f>$R$2&amp;".stTOff"</f>
        <v>АСУЭ.BMRZ.stTOff</v>
      </c>
      <c r="B147" s="101">
        <v>11154</v>
      </c>
      <c r="C147" s="101" t="s">
        <v>4</v>
      </c>
      <c r="D147" s="102">
        <f>$Q$8</f>
        <v>18</v>
      </c>
    </row>
    <row r="148" spans="1:4">
      <c r="A148" s="100" t="str">
        <f t="shared" ref="A148:A156" si="16">$R$2&amp;".stTOff"</f>
        <v>АСУЭ.BMRZ.stTOff</v>
      </c>
      <c r="B148" s="101">
        <v>11150</v>
      </c>
      <c r="C148" s="101" t="s">
        <v>0</v>
      </c>
      <c r="D148" s="103" t="s">
        <v>1851</v>
      </c>
    </row>
    <row r="149" spans="1:4">
      <c r="A149" s="100" t="str">
        <f t="shared" si="16"/>
        <v>АСУЭ.BMRZ.stTOff</v>
      </c>
      <c r="B149" s="101">
        <v>11152</v>
      </c>
      <c r="C149" s="101" t="s">
        <v>0</v>
      </c>
      <c r="D149" s="104" t="str">
        <f>$R$8</f>
        <v>Телесигнализация</v>
      </c>
    </row>
    <row r="150" spans="1:4">
      <c r="A150" s="100" t="str">
        <f t="shared" si="16"/>
        <v>АСУЭ.BMRZ.stTOff</v>
      </c>
      <c r="B150" s="101">
        <v>11000</v>
      </c>
      <c r="C150" s="101" t="s">
        <v>5</v>
      </c>
      <c r="D150" s="103">
        <v>2147483680</v>
      </c>
    </row>
    <row r="151" spans="1:4">
      <c r="A151" s="19" t="str">
        <f t="shared" si="16"/>
        <v>АСУЭ.BMRZ.stTOff</v>
      </c>
      <c r="B151" s="11">
        <v>7999</v>
      </c>
      <c r="C151" s="11" t="s">
        <v>0</v>
      </c>
      <c r="D151" s="20" t="str">
        <f>"#"&amp;$S$2&amp;"#"&amp;$T$2&amp;"."&amp;$P$2&amp;".Reg_Dsign_bit0"</f>
        <v>#3#\\Setup_rza\Modbus.OPCServer\KTP_BMRZ.VV1_BMRZ-04VV.Reg_Dsign_bit0</v>
      </c>
    </row>
    <row r="152" spans="1:4">
      <c r="A152" s="19" t="str">
        <f t="shared" si="16"/>
        <v>АСУЭ.BMRZ.stTOff</v>
      </c>
      <c r="B152" s="11">
        <v>7998</v>
      </c>
      <c r="C152" s="11" t="s">
        <v>6</v>
      </c>
      <c r="D152" s="20">
        <v>1</v>
      </c>
    </row>
    <row r="153" spans="1:4">
      <c r="A153" s="19" t="str">
        <f t="shared" si="16"/>
        <v>АСУЭ.BMRZ.stTOff</v>
      </c>
      <c r="B153" s="11">
        <v>101</v>
      </c>
      <c r="C153" s="11" t="s">
        <v>0</v>
      </c>
      <c r="D153" s="20" t="s">
        <v>1851</v>
      </c>
    </row>
    <row r="154" spans="1:4">
      <c r="A154" s="19" t="str">
        <f t="shared" si="16"/>
        <v>АСУЭ.BMRZ.stTOff</v>
      </c>
      <c r="B154" s="11">
        <v>3</v>
      </c>
      <c r="C154" s="11" t="s">
        <v>1</v>
      </c>
      <c r="D154" s="20">
        <v>192</v>
      </c>
    </row>
    <row r="155" spans="1:4">
      <c r="A155" s="19" t="str">
        <f t="shared" si="16"/>
        <v>АСУЭ.BMRZ.stTOff</v>
      </c>
      <c r="B155" s="11">
        <v>2</v>
      </c>
      <c r="C155" s="11" t="s">
        <v>2</v>
      </c>
      <c r="D155" s="20" t="s">
        <v>3</v>
      </c>
    </row>
    <row r="156" spans="1:4">
      <c r="A156" s="21" t="str">
        <f t="shared" si="16"/>
        <v>АСУЭ.BMRZ.stTOff</v>
      </c>
      <c r="B156" s="8">
        <v>1</v>
      </c>
      <c r="C156" s="8" t="s">
        <v>1</v>
      </c>
      <c r="D156" s="22">
        <v>11</v>
      </c>
    </row>
    <row r="157" spans="1:4">
      <c r="A157" s="16" t="str">
        <f t="shared" ref="A157:A164" si="17">$R$2&amp;".Commands.coRepair"</f>
        <v>АСУЭ.BMRZ.Commands.coRepair</v>
      </c>
      <c r="B157" s="17">
        <v>7011</v>
      </c>
      <c r="C157" s="17" t="s">
        <v>2</v>
      </c>
      <c r="D157" s="18" t="s">
        <v>266</v>
      </c>
    </row>
    <row r="158" spans="1:4">
      <c r="A158" s="140" t="str">
        <f t="shared" si="17"/>
        <v>АСУЭ.BMRZ.Commands.coRepair</v>
      </c>
      <c r="B158" s="141">
        <v>11152</v>
      </c>
      <c r="C158" s="141" t="s">
        <v>0</v>
      </c>
      <c r="D158" s="142" t="str">
        <f>$R$11</f>
        <v>Ремонт</v>
      </c>
    </row>
    <row r="159" spans="1:4">
      <c r="A159" s="140" t="str">
        <f t="shared" si="17"/>
        <v>АСУЭ.BMRZ.Commands.coRepair</v>
      </c>
      <c r="B159" s="141">
        <v>11154</v>
      </c>
      <c r="C159" s="141" t="s">
        <v>4</v>
      </c>
      <c r="D159" s="142">
        <f>$Q$11</f>
        <v>14</v>
      </c>
    </row>
    <row r="160" spans="1:4">
      <c r="A160" s="140" t="str">
        <f t="shared" si="17"/>
        <v>АСУЭ.BMRZ.Commands.coRepair</v>
      </c>
      <c r="B160" s="141">
        <v>11150</v>
      </c>
      <c r="C160" s="141" t="s">
        <v>0</v>
      </c>
      <c r="D160" s="142" t="s">
        <v>89</v>
      </c>
    </row>
    <row r="161" spans="1:4">
      <c r="A161" s="140" t="str">
        <f t="shared" si="17"/>
        <v>АСУЭ.BMRZ.Commands.coRepair</v>
      </c>
      <c r="B161" s="141">
        <v>11000</v>
      </c>
      <c r="C161" s="141" t="s">
        <v>5</v>
      </c>
      <c r="D161" s="142">
        <v>2147483680</v>
      </c>
    </row>
    <row r="162" spans="1:4">
      <c r="A162" s="19" t="str">
        <f t="shared" si="17"/>
        <v>АСУЭ.BMRZ.Commands.coRepair</v>
      </c>
      <c r="B162" s="11">
        <v>1</v>
      </c>
      <c r="C162" s="11" t="s">
        <v>1</v>
      </c>
      <c r="D162" s="20">
        <v>11</v>
      </c>
    </row>
    <row r="163" spans="1:4" ht="15" customHeight="1">
      <c r="A163" s="29" t="str">
        <f t="shared" si="17"/>
        <v>АСУЭ.BMRZ.Commands.coRepair</v>
      </c>
      <c r="B163" s="1">
        <v>4000000</v>
      </c>
      <c r="C163" s="1" t="s">
        <v>0</v>
      </c>
      <c r="D163" s="611" t="s">
        <v>2915</v>
      </c>
    </row>
    <row r="164" spans="1:4">
      <c r="A164" s="26" t="str">
        <f t="shared" si="17"/>
        <v>АСУЭ.BMRZ.Commands.coRepair</v>
      </c>
      <c r="B164" s="27">
        <v>7000000</v>
      </c>
      <c r="C164" s="27" t="s">
        <v>6</v>
      </c>
      <c r="D164" s="28">
        <v>2</v>
      </c>
    </row>
    <row r="165" spans="1:4">
      <c r="A165" s="19" t="str">
        <f>$R$2&amp;".Commands.resetMax"</f>
        <v>АСУЭ.BMRZ.Commands.resetMax</v>
      </c>
      <c r="B165" s="11">
        <v>101</v>
      </c>
      <c r="C165" s="11" t="s">
        <v>0</v>
      </c>
      <c r="D165" s="20" t="s">
        <v>390</v>
      </c>
    </row>
    <row r="166" spans="1:4">
      <c r="A166" s="19" t="str">
        <f>$R$2&amp;".Commands.resetMax"</f>
        <v>АСУЭ.BMRZ.Commands.resetMax</v>
      </c>
      <c r="B166" s="11">
        <v>7999</v>
      </c>
      <c r="C166" s="11" t="s">
        <v>0</v>
      </c>
      <c r="D166" s="20" t="str">
        <f>"#"&amp;$S$2&amp;"#"&amp;$T$2&amp;"."&amp;$P$2&amp;".Commands.SysCmd_Clr_Max"</f>
        <v>#3#\\Setup_rza\Modbus.OPCServer\KTP_BMRZ.VV1_BMRZ-04VV.Commands.SysCmd_Clr_Max</v>
      </c>
    </row>
    <row r="167" spans="1:4">
      <c r="A167" s="19" t="str">
        <f>$R$2&amp;".Commands.resetMax"</f>
        <v>АСУЭ.BMRZ.Commands.resetMax</v>
      </c>
      <c r="B167" s="11">
        <v>7998</v>
      </c>
      <c r="C167" s="11" t="s">
        <v>6</v>
      </c>
      <c r="D167" s="20">
        <v>2</v>
      </c>
    </row>
    <row r="168" spans="1:4">
      <c r="A168" s="21" t="str">
        <f>$R$2&amp;".Commands.resetMax"</f>
        <v>АСУЭ.BMRZ.Commands.resetMax</v>
      </c>
      <c r="B168" s="8">
        <v>1</v>
      </c>
      <c r="C168" s="8" t="s">
        <v>1</v>
      </c>
      <c r="D168" s="22">
        <v>11</v>
      </c>
    </row>
    <row r="169" spans="1:4">
      <c r="A169" s="16" t="str">
        <f t="shared" ref="A169:A174" si="18">$R$2&amp;".Commands.coOn"</f>
        <v>АСУЭ.BMRZ.Commands.coOn</v>
      </c>
      <c r="B169" s="17">
        <v>7000000</v>
      </c>
      <c r="C169" s="17" t="s">
        <v>6</v>
      </c>
      <c r="D169" s="18">
        <v>0</v>
      </c>
    </row>
    <row r="170" spans="1:4">
      <c r="A170" s="19" t="str">
        <f t="shared" si="18"/>
        <v>АСУЭ.BMRZ.Commands.coOn</v>
      </c>
      <c r="B170" s="11">
        <v>4000000</v>
      </c>
      <c r="C170" s="11" t="s">
        <v>0</v>
      </c>
      <c r="D170" s="20" t="s">
        <v>2682</v>
      </c>
    </row>
    <row r="171" spans="1:4">
      <c r="A171" s="19" t="str">
        <f t="shared" si="18"/>
        <v>АСУЭ.BMRZ.Commands.coOn</v>
      </c>
      <c r="B171" s="11">
        <v>101</v>
      </c>
      <c r="C171" s="11" t="s">
        <v>0</v>
      </c>
      <c r="D171" s="20" t="s">
        <v>383</v>
      </c>
    </row>
    <row r="172" spans="1:4">
      <c r="A172" s="19" t="str">
        <f t="shared" si="18"/>
        <v>АСУЭ.BMRZ.Commands.coOn</v>
      </c>
      <c r="B172" s="11">
        <v>7999</v>
      </c>
      <c r="C172" s="11" t="s">
        <v>0</v>
      </c>
      <c r="D172" s="20" t="str">
        <f>"#"&amp;$S$2&amp;"#"&amp;$T$2&amp;"."&amp;$P$2&amp;".Commands.Net_Comm_On"</f>
        <v>#3#\\Setup_rza\Modbus.OPCServer\KTP_BMRZ.VV1_BMRZ-04VV.Commands.Net_Comm_On</v>
      </c>
    </row>
    <row r="173" spans="1:4" ht="14.25" customHeight="1">
      <c r="A173" s="19" t="str">
        <f t="shared" si="18"/>
        <v>АСУЭ.BMRZ.Commands.coOn</v>
      </c>
      <c r="B173" s="11">
        <v>7998</v>
      </c>
      <c r="C173" s="11" t="s">
        <v>6</v>
      </c>
      <c r="D173" s="20">
        <v>2</v>
      </c>
    </row>
    <row r="174" spans="1:4">
      <c r="A174" s="21" t="str">
        <f t="shared" si="18"/>
        <v>АСУЭ.BMRZ.Commands.coOn</v>
      </c>
      <c r="B174" s="8">
        <v>1</v>
      </c>
      <c r="C174" s="8" t="s">
        <v>1</v>
      </c>
      <c r="D174" s="22">
        <v>11</v>
      </c>
    </row>
    <row r="175" spans="1:4">
      <c r="A175" s="19" t="str">
        <f t="shared" ref="A175:A180" si="19">$R$2&amp;".Commands.coOff"</f>
        <v>АСУЭ.BMRZ.Commands.coOff</v>
      </c>
      <c r="B175" s="17">
        <v>7000000</v>
      </c>
      <c r="C175" s="17" t="s">
        <v>6</v>
      </c>
      <c r="D175" s="18">
        <v>0</v>
      </c>
    </row>
    <row r="176" spans="1:4">
      <c r="A176" s="19" t="str">
        <f t="shared" si="19"/>
        <v>АСУЭ.BMRZ.Commands.coOff</v>
      </c>
      <c r="B176" s="11">
        <v>4000000</v>
      </c>
      <c r="C176" s="11" t="s">
        <v>0</v>
      </c>
      <c r="D176" s="20" t="s">
        <v>2683</v>
      </c>
    </row>
    <row r="177" spans="1:4">
      <c r="A177" s="19" t="str">
        <f t="shared" si="19"/>
        <v>АСУЭ.BMRZ.Commands.coOff</v>
      </c>
      <c r="B177" s="11">
        <v>101</v>
      </c>
      <c r="C177" s="11" t="s">
        <v>0</v>
      </c>
      <c r="D177" s="20" t="s">
        <v>384</v>
      </c>
    </row>
    <row r="178" spans="1:4">
      <c r="A178" s="19" t="str">
        <f t="shared" si="19"/>
        <v>АСУЭ.BMRZ.Commands.coOff</v>
      </c>
      <c r="B178" s="11">
        <v>7999</v>
      </c>
      <c r="C178" s="11" t="s">
        <v>0</v>
      </c>
      <c r="D178" s="20" t="str">
        <f>"#"&amp;$S$2&amp;"#"&amp;$T$2&amp;"."&amp;$P$2&amp;".Commands.Net_Comm_Off"</f>
        <v>#3#\\Setup_rza\Modbus.OPCServer\KTP_BMRZ.VV1_BMRZ-04VV.Commands.Net_Comm_Off</v>
      </c>
    </row>
    <row r="179" spans="1:4">
      <c r="A179" s="19" t="str">
        <f t="shared" si="19"/>
        <v>АСУЭ.BMRZ.Commands.coOff</v>
      </c>
      <c r="B179" s="11">
        <v>7998</v>
      </c>
      <c r="C179" s="11" t="s">
        <v>6</v>
      </c>
      <c r="D179" s="20">
        <v>2</v>
      </c>
    </row>
    <row r="180" spans="1:4">
      <c r="A180" s="19" t="str">
        <f t="shared" si="19"/>
        <v>АСУЭ.BMRZ.Commands.coOff</v>
      </c>
      <c r="B180" s="11">
        <v>1</v>
      </c>
      <c r="C180" s="11" t="s">
        <v>1</v>
      </c>
      <c r="D180" s="20">
        <v>11</v>
      </c>
    </row>
    <row r="181" spans="1:4">
      <c r="A181" s="16" t="str">
        <f t="shared" ref="A181:A186" si="20">$R$2&amp;".Commands.coRst"</f>
        <v>АСУЭ.BMRZ.Commands.coRst</v>
      </c>
      <c r="B181" s="17">
        <v>7000000</v>
      </c>
      <c r="C181" s="17" t="s">
        <v>6</v>
      </c>
      <c r="D181" s="18">
        <v>0</v>
      </c>
    </row>
    <row r="182" spans="1:4">
      <c r="A182" s="19" t="str">
        <f t="shared" si="20"/>
        <v>АСУЭ.BMRZ.Commands.coRst</v>
      </c>
      <c r="B182" s="11">
        <v>4000000</v>
      </c>
      <c r="C182" s="11" t="s">
        <v>0</v>
      </c>
      <c r="D182" s="20" t="s">
        <v>385</v>
      </c>
    </row>
    <row r="183" spans="1:4">
      <c r="A183" s="19" t="str">
        <f t="shared" si="20"/>
        <v>АСУЭ.BMRZ.Commands.coRst</v>
      </c>
      <c r="B183" s="11">
        <v>101</v>
      </c>
      <c r="C183" s="11" t="s">
        <v>0</v>
      </c>
      <c r="D183" s="20" t="s">
        <v>386</v>
      </c>
    </row>
    <row r="184" spans="1:4">
      <c r="A184" s="19" t="str">
        <f t="shared" si="20"/>
        <v>АСУЭ.BMRZ.Commands.coRst</v>
      </c>
      <c r="B184" s="11">
        <v>7999</v>
      </c>
      <c r="C184" s="11" t="s">
        <v>0</v>
      </c>
      <c r="D184" s="20" t="str">
        <f>"#"&amp;$S$2&amp;"#"&amp;$T$2&amp;"."&amp;$P$2&amp;".Commands.SysCmd_Clr_Sd"</f>
        <v>#3#\\Setup_rza\Modbus.OPCServer\KTP_BMRZ.VV1_BMRZ-04VV.Commands.SysCmd_Clr_Sd</v>
      </c>
    </row>
    <row r="185" spans="1:4">
      <c r="A185" s="19" t="str">
        <f t="shared" si="20"/>
        <v>АСУЭ.BMRZ.Commands.coRst</v>
      </c>
      <c r="B185" s="11">
        <v>7998</v>
      </c>
      <c r="C185" s="11" t="s">
        <v>6</v>
      </c>
      <c r="D185" s="20">
        <v>2</v>
      </c>
    </row>
    <row r="186" spans="1:4">
      <c r="A186" s="21" t="str">
        <f t="shared" si="20"/>
        <v>АСУЭ.BMRZ.Commands.coRst</v>
      </c>
      <c r="B186" s="8">
        <v>1</v>
      </c>
      <c r="C186" s="8" t="s">
        <v>1</v>
      </c>
      <c r="D186" s="22">
        <v>11</v>
      </c>
    </row>
    <row r="187" spans="1:4">
      <c r="A187" s="275" t="str">
        <f t="shared" ref="A187:A192" si="21">$R$2&amp;".mFreq"</f>
        <v>АСУЭ.BMRZ.mFreq</v>
      </c>
      <c r="B187" s="276">
        <v>7999</v>
      </c>
      <c r="C187" s="276" t="s">
        <v>0</v>
      </c>
      <c r="D187" s="277" t="str">
        <f>"#"&amp;$S$2&amp;"#"&amp;$T$2&amp;"."&amp;$P$2&amp;".Reg_Aver_Asign_n23"</f>
        <v>#3#\\Setup_rza\Modbus.OPCServer\KTP_BMRZ.VV1_BMRZ-04VV.Reg_Aver_Asign_n23</v>
      </c>
    </row>
    <row r="188" spans="1:4">
      <c r="A188" s="278" t="str">
        <f t="shared" si="21"/>
        <v>АСУЭ.BMRZ.mFreq</v>
      </c>
      <c r="B188" s="279">
        <v>7998</v>
      </c>
      <c r="C188" s="279" t="s">
        <v>6</v>
      </c>
      <c r="D188" s="280">
        <v>1</v>
      </c>
    </row>
    <row r="189" spans="1:4">
      <c r="A189" s="278" t="str">
        <f t="shared" si="21"/>
        <v>АСУЭ.BMRZ.mFreq</v>
      </c>
      <c r="B189" s="279">
        <v>101</v>
      </c>
      <c r="C189" s="279" t="s">
        <v>0</v>
      </c>
      <c r="D189" s="280" t="s">
        <v>356</v>
      </c>
    </row>
    <row r="190" spans="1:4">
      <c r="A190" s="278" t="str">
        <f t="shared" si="21"/>
        <v>АСУЭ.BMRZ.mFreq</v>
      </c>
      <c r="B190" s="279">
        <v>3</v>
      </c>
      <c r="C190" s="279" t="s">
        <v>1</v>
      </c>
      <c r="D190" s="280">
        <v>192</v>
      </c>
    </row>
    <row r="191" spans="1:4">
      <c r="A191" s="278" t="str">
        <f t="shared" si="21"/>
        <v>АСУЭ.BMRZ.mFreq</v>
      </c>
      <c r="B191" s="279">
        <v>2</v>
      </c>
      <c r="C191" s="279" t="s">
        <v>80</v>
      </c>
      <c r="D191" s="280">
        <v>0</v>
      </c>
    </row>
    <row r="192" spans="1:4">
      <c r="A192" s="281" t="str">
        <f t="shared" si="21"/>
        <v>АСУЭ.BMRZ.mFreq</v>
      </c>
      <c r="B192" s="282">
        <v>1</v>
      </c>
      <c r="C192" s="282" t="s">
        <v>1</v>
      </c>
      <c r="D192" s="283">
        <v>4</v>
      </c>
    </row>
    <row r="193" spans="1:16">
      <c r="A193" s="275" t="str">
        <f t="shared" ref="A193:A198" si="22">$R$2&amp;".mI1"</f>
        <v>АСУЭ.BMRZ.mI1</v>
      </c>
      <c r="B193" s="276">
        <v>7999</v>
      </c>
      <c r="C193" s="276" t="s">
        <v>0</v>
      </c>
      <c r="D193" s="277" t="str">
        <f>"#"&amp;$S$2&amp;"#"&amp;$T$2&amp;"."&amp;$P$2&amp;".Reg_Aver_Asign_n0"</f>
        <v>#3#\\Setup_rza\Modbus.OPCServer\KTP_BMRZ.VV1_BMRZ-04VV.Reg_Aver_Asign_n0</v>
      </c>
    </row>
    <row r="194" spans="1:16">
      <c r="A194" s="278" t="str">
        <f t="shared" si="22"/>
        <v>АСУЭ.BMRZ.mI1</v>
      </c>
      <c r="B194" s="279">
        <v>7998</v>
      </c>
      <c r="C194" s="279" t="s">
        <v>6</v>
      </c>
      <c r="D194" s="280">
        <v>1</v>
      </c>
    </row>
    <row r="195" spans="1:16">
      <c r="A195" s="278" t="str">
        <f t="shared" si="22"/>
        <v>АСУЭ.BMRZ.mI1</v>
      </c>
      <c r="B195" s="279">
        <v>101</v>
      </c>
      <c r="C195" s="279" t="s">
        <v>0</v>
      </c>
      <c r="D195" s="280" t="s">
        <v>361</v>
      </c>
    </row>
    <row r="196" spans="1:16">
      <c r="A196" s="278" t="str">
        <f t="shared" si="22"/>
        <v>АСУЭ.BMRZ.mI1</v>
      </c>
      <c r="B196" s="279">
        <v>3</v>
      </c>
      <c r="C196" s="279" t="s">
        <v>1</v>
      </c>
      <c r="D196" s="280">
        <v>192</v>
      </c>
    </row>
    <row r="197" spans="1:16">
      <c r="A197" s="278" t="str">
        <f t="shared" si="22"/>
        <v>АСУЭ.BMRZ.mI1</v>
      </c>
      <c r="B197" s="279">
        <v>2</v>
      </c>
      <c r="C197" s="279" t="s">
        <v>80</v>
      </c>
      <c r="D197" s="280">
        <v>0</v>
      </c>
      <c r="P197" s="4"/>
    </row>
    <row r="198" spans="1:16">
      <c r="A198" s="281" t="str">
        <f t="shared" si="22"/>
        <v>АСУЭ.BMRZ.mI1</v>
      </c>
      <c r="B198" s="282">
        <v>1</v>
      </c>
      <c r="C198" s="282" t="s">
        <v>1</v>
      </c>
      <c r="D198" s="283">
        <v>4</v>
      </c>
      <c r="P198" s="4"/>
    </row>
    <row r="199" spans="1:16">
      <c r="A199" s="275" t="str">
        <f t="shared" ref="A199:A204" si="23">$R$2&amp;".mI2"</f>
        <v>АСУЭ.BMRZ.mI2</v>
      </c>
      <c r="B199" s="276">
        <v>7999</v>
      </c>
      <c r="C199" s="276" t="s">
        <v>0</v>
      </c>
      <c r="D199" s="277" t="str">
        <f>"#"&amp;$S$2&amp;"#"&amp;$T$2&amp;"."&amp;$P$2&amp;".Reg_Aver_Asign_n1"</f>
        <v>#3#\\Setup_rza\Modbus.OPCServer\KTP_BMRZ.VV1_BMRZ-04VV.Reg_Aver_Asign_n1</v>
      </c>
      <c r="P199" s="4"/>
    </row>
    <row r="200" spans="1:16">
      <c r="A200" s="278" t="str">
        <f t="shared" si="23"/>
        <v>АСУЭ.BMRZ.mI2</v>
      </c>
      <c r="B200" s="279">
        <v>7998</v>
      </c>
      <c r="C200" s="279" t="s">
        <v>6</v>
      </c>
      <c r="D200" s="280">
        <v>1</v>
      </c>
    </row>
    <row r="201" spans="1:16">
      <c r="A201" s="278" t="str">
        <f t="shared" si="23"/>
        <v>АСУЭ.BMRZ.mI2</v>
      </c>
      <c r="B201" s="279">
        <v>101</v>
      </c>
      <c r="C201" s="279" t="s">
        <v>0</v>
      </c>
      <c r="D201" s="280" t="s">
        <v>362</v>
      </c>
    </row>
    <row r="202" spans="1:16">
      <c r="A202" s="278" t="str">
        <f t="shared" si="23"/>
        <v>АСУЭ.BMRZ.mI2</v>
      </c>
      <c r="B202" s="279">
        <v>3</v>
      </c>
      <c r="C202" s="279" t="s">
        <v>1</v>
      </c>
      <c r="D202" s="280">
        <v>192</v>
      </c>
    </row>
    <row r="203" spans="1:16">
      <c r="A203" s="278" t="str">
        <f t="shared" si="23"/>
        <v>АСУЭ.BMRZ.mI2</v>
      </c>
      <c r="B203" s="279">
        <v>2</v>
      </c>
      <c r="C203" s="279" t="s">
        <v>80</v>
      </c>
      <c r="D203" s="280">
        <v>0</v>
      </c>
    </row>
    <row r="204" spans="1:16">
      <c r="A204" s="281" t="str">
        <f t="shared" si="23"/>
        <v>АСУЭ.BMRZ.mI2</v>
      </c>
      <c r="B204" s="282">
        <v>1</v>
      </c>
      <c r="C204" s="282" t="s">
        <v>1</v>
      </c>
      <c r="D204" s="283">
        <v>4</v>
      </c>
    </row>
    <row r="205" spans="1:16">
      <c r="A205" s="275" t="str">
        <f t="shared" ref="A205:A210" si="24">$R$2&amp;".mI3"</f>
        <v>АСУЭ.BMRZ.mI3</v>
      </c>
      <c r="B205" s="276">
        <v>7999</v>
      </c>
      <c r="C205" s="276" t="s">
        <v>0</v>
      </c>
      <c r="D205" s="277" t="str">
        <f>"#"&amp;$S$2&amp;"#"&amp;$T$2&amp;"."&amp;$P$2&amp;".Reg_Aver_Asign_n2"</f>
        <v>#3#\\Setup_rza\Modbus.OPCServer\KTP_BMRZ.VV1_BMRZ-04VV.Reg_Aver_Asign_n2</v>
      </c>
    </row>
    <row r="206" spans="1:16">
      <c r="A206" s="278" t="str">
        <f t="shared" si="24"/>
        <v>АСУЭ.BMRZ.mI3</v>
      </c>
      <c r="B206" s="279">
        <v>7998</v>
      </c>
      <c r="C206" s="279" t="s">
        <v>6</v>
      </c>
      <c r="D206" s="280">
        <v>1</v>
      </c>
    </row>
    <row r="207" spans="1:16">
      <c r="A207" s="278" t="str">
        <f t="shared" si="24"/>
        <v>АСУЭ.BMRZ.mI3</v>
      </c>
      <c r="B207" s="279">
        <v>101</v>
      </c>
      <c r="C207" s="279" t="s">
        <v>0</v>
      </c>
      <c r="D207" s="280" t="s">
        <v>363</v>
      </c>
    </row>
    <row r="208" spans="1:16">
      <c r="A208" s="278" t="str">
        <f t="shared" si="24"/>
        <v>АСУЭ.BMRZ.mI3</v>
      </c>
      <c r="B208" s="279">
        <v>3</v>
      </c>
      <c r="C208" s="279" t="s">
        <v>1</v>
      </c>
      <c r="D208" s="280">
        <v>192</v>
      </c>
    </row>
    <row r="209" spans="1:20">
      <c r="A209" s="278" t="str">
        <f t="shared" si="24"/>
        <v>АСУЭ.BMRZ.mI3</v>
      </c>
      <c r="B209" s="279">
        <v>2</v>
      </c>
      <c r="C209" s="279" t="s">
        <v>80</v>
      </c>
      <c r="D209" s="280">
        <v>0</v>
      </c>
    </row>
    <row r="210" spans="1:20">
      <c r="A210" s="281" t="str">
        <f t="shared" si="24"/>
        <v>АСУЭ.BMRZ.mI3</v>
      </c>
      <c r="B210" s="282">
        <v>1</v>
      </c>
      <c r="C210" s="282" t="s">
        <v>1</v>
      </c>
      <c r="D210" s="283">
        <v>4</v>
      </c>
    </row>
    <row r="211" spans="1:20">
      <c r="A211" s="275" t="str">
        <f t="shared" ref="A211:A216" si="25">$R$2&amp;".mUvv1"</f>
        <v>АСУЭ.BMRZ.mUvv1</v>
      </c>
      <c r="B211" s="276">
        <v>7999</v>
      </c>
      <c r="C211" s="276" t="s">
        <v>0</v>
      </c>
      <c r="D211" s="277" t="str">
        <f>"#"&amp;$S$2&amp;"#"&amp;$T$2&amp;"."&amp;$P$2&amp;".Reg_Aver_Asign_n4"</f>
        <v>#3#\\Setup_rza\Modbus.OPCServer\KTP_BMRZ.VV1_BMRZ-04VV.Reg_Aver_Asign_n4</v>
      </c>
    </row>
    <row r="212" spans="1:20">
      <c r="A212" s="278" t="str">
        <f t="shared" si="25"/>
        <v>АСУЭ.BMRZ.mUvv1</v>
      </c>
      <c r="B212" s="279">
        <v>7998</v>
      </c>
      <c r="C212" s="279" t="s">
        <v>6</v>
      </c>
      <c r="D212" s="280">
        <v>1</v>
      </c>
    </row>
    <row r="213" spans="1:20">
      <c r="A213" s="278" t="str">
        <f t="shared" si="25"/>
        <v>АСУЭ.BMRZ.mUvv1</v>
      </c>
      <c r="B213" s="279">
        <v>101</v>
      </c>
      <c r="C213" s="279" t="s">
        <v>0</v>
      </c>
      <c r="D213" s="280" t="s">
        <v>1683</v>
      </c>
    </row>
    <row r="214" spans="1:20">
      <c r="A214" s="278" t="str">
        <f t="shared" si="25"/>
        <v>АСУЭ.BMRZ.mUvv1</v>
      </c>
      <c r="B214" s="279">
        <v>3</v>
      </c>
      <c r="C214" s="279" t="s">
        <v>1</v>
      </c>
      <c r="D214" s="280">
        <v>192</v>
      </c>
    </row>
    <row r="215" spans="1:20">
      <c r="A215" s="278" t="str">
        <f t="shared" si="25"/>
        <v>АСУЭ.BMRZ.mUvv1</v>
      </c>
      <c r="B215" s="279">
        <v>2</v>
      </c>
      <c r="C215" s="279" t="s">
        <v>80</v>
      </c>
      <c r="D215" s="280">
        <v>0</v>
      </c>
    </row>
    <row r="216" spans="1:20">
      <c r="A216" s="281" t="str">
        <f t="shared" si="25"/>
        <v>АСУЭ.BMRZ.mUvv1</v>
      </c>
      <c r="B216" s="282">
        <v>1</v>
      </c>
      <c r="C216" s="282" t="s">
        <v>1</v>
      </c>
      <c r="D216" s="283">
        <v>4</v>
      </c>
    </row>
    <row r="217" spans="1:20">
      <c r="A217" s="275" t="str">
        <f t="shared" ref="A217:A222" si="26">$R$2&amp;".mUvv2"</f>
        <v>АСУЭ.BMRZ.mUvv2</v>
      </c>
      <c r="B217" s="276">
        <v>7999</v>
      </c>
      <c r="C217" s="276" t="s">
        <v>0</v>
      </c>
      <c r="D217" s="277" t="str">
        <f>"#"&amp;$S$2&amp;"#"&amp;$T$2&amp;"."&amp;$P$2&amp;".Reg_Aver_Asign_n5"</f>
        <v>#3#\\Setup_rza\Modbus.OPCServer\KTP_BMRZ.VV1_BMRZ-04VV.Reg_Aver_Asign_n5</v>
      </c>
    </row>
    <row r="218" spans="1:20">
      <c r="A218" s="278" t="str">
        <f t="shared" si="26"/>
        <v>АСУЭ.BMRZ.mUvv2</v>
      </c>
      <c r="B218" s="279">
        <v>7998</v>
      </c>
      <c r="C218" s="279" t="s">
        <v>6</v>
      </c>
      <c r="D218" s="280">
        <v>1</v>
      </c>
      <c r="Q218" s="1"/>
      <c r="R218" s="1"/>
      <c r="S218" s="1"/>
      <c r="T218" s="1"/>
    </row>
    <row r="219" spans="1:20">
      <c r="A219" s="278" t="str">
        <f t="shared" si="26"/>
        <v>АСУЭ.BMRZ.mUvv2</v>
      </c>
      <c r="B219" s="279">
        <v>101</v>
      </c>
      <c r="C219" s="279" t="s">
        <v>0</v>
      </c>
      <c r="D219" s="280" t="s">
        <v>1684</v>
      </c>
      <c r="Q219" s="1"/>
      <c r="R219" s="1"/>
      <c r="S219" s="1"/>
      <c r="T219" s="1"/>
    </row>
    <row r="220" spans="1:20">
      <c r="A220" s="278" t="str">
        <f t="shared" si="26"/>
        <v>АСУЭ.BMRZ.mUvv2</v>
      </c>
      <c r="B220" s="279">
        <v>3</v>
      </c>
      <c r="C220" s="279" t="s">
        <v>1</v>
      </c>
      <c r="D220" s="280">
        <v>192</v>
      </c>
      <c r="Q220" s="1"/>
      <c r="R220" s="1"/>
      <c r="S220" s="1"/>
      <c r="T220" s="1"/>
    </row>
    <row r="221" spans="1:20">
      <c r="A221" s="278" t="str">
        <f t="shared" si="26"/>
        <v>АСУЭ.BMRZ.mUvv2</v>
      </c>
      <c r="B221" s="279">
        <v>2</v>
      </c>
      <c r="C221" s="279" t="s">
        <v>80</v>
      </c>
      <c r="D221" s="280">
        <v>0</v>
      </c>
      <c r="Q221" s="1"/>
      <c r="R221" s="1"/>
      <c r="S221" s="1"/>
      <c r="T221" s="1"/>
    </row>
    <row r="222" spans="1:20">
      <c r="A222" s="281" t="str">
        <f t="shared" si="26"/>
        <v>АСУЭ.BMRZ.mUvv2</v>
      </c>
      <c r="B222" s="282">
        <v>1</v>
      </c>
      <c r="C222" s="282" t="s">
        <v>1</v>
      </c>
      <c r="D222" s="283">
        <v>4</v>
      </c>
      <c r="Q222" s="1"/>
      <c r="R222" s="1"/>
      <c r="S222" s="1"/>
      <c r="T222" s="1"/>
    </row>
    <row r="223" spans="1:20">
      <c r="A223" s="275" t="str">
        <f t="shared" ref="A223:A228" si="27">$R$2&amp;".mUvv3"</f>
        <v>АСУЭ.BMRZ.mUvv3</v>
      </c>
      <c r="B223" s="276">
        <v>7999</v>
      </c>
      <c r="C223" s="276" t="s">
        <v>0</v>
      </c>
      <c r="D223" s="277" t="str">
        <f>"#"&amp;$S$2&amp;"#"&amp;$T$2&amp;"."&amp;$P$2&amp;".Reg_Aver_Asign_n6"</f>
        <v>#3#\\Setup_rza\Modbus.OPCServer\KTP_BMRZ.VV1_BMRZ-04VV.Reg_Aver_Asign_n6</v>
      </c>
      <c r="Q223" s="1"/>
      <c r="R223" s="1"/>
      <c r="S223" s="1"/>
      <c r="T223" s="1"/>
    </row>
    <row r="224" spans="1:20">
      <c r="A224" s="278" t="str">
        <f t="shared" si="27"/>
        <v>АСУЭ.BMRZ.mUvv3</v>
      </c>
      <c r="B224" s="279">
        <v>7998</v>
      </c>
      <c r="C224" s="279" t="s">
        <v>6</v>
      </c>
      <c r="D224" s="280">
        <v>1</v>
      </c>
      <c r="Q224" s="1"/>
      <c r="R224" s="1"/>
      <c r="S224" s="1"/>
      <c r="T224" s="1"/>
    </row>
    <row r="225" spans="1:20">
      <c r="A225" s="278" t="str">
        <f t="shared" si="27"/>
        <v>АСУЭ.BMRZ.mUvv3</v>
      </c>
      <c r="B225" s="279">
        <v>101</v>
      </c>
      <c r="C225" s="279" t="s">
        <v>0</v>
      </c>
      <c r="D225" s="280" t="s">
        <v>1685</v>
      </c>
      <c r="Q225" s="1"/>
      <c r="R225" s="1"/>
      <c r="S225" s="1"/>
      <c r="T225" s="1"/>
    </row>
    <row r="226" spans="1:20">
      <c r="A226" s="278" t="str">
        <f t="shared" si="27"/>
        <v>АСУЭ.BMRZ.mUvv3</v>
      </c>
      <c r="B226" s="279">
        <v>3</v>
      </c>
      <c r="C226" s="279" t="s">
        <v>1</v>
      </c>
      <c r="D226" s="280">
        <v>192</v>
      </c>
      <c r="Q226" s="1"/>
      <c r="R226" s="1"/>
      <c r="S226" s="1"/>
      <c r="T226" s="1"/>
    </row>
    <row r="227" spans="1:20">
      <c r="A227" s="278" t="str">
        <f t="shared" si="27"/>
        <v>АСУЭ.BMRZ.mUvv3</v>
      </c>
      <c r="B227" s="279">
        <v>2</v>
      </c>
      <c r="C227" s="279" t="s">
        <v>80</v>
      </c>
      <c r="D227" s="280">
        <v>0</v>
      </c>
      <c r="Q227" s="1"/>
      <c r="R227" s="1"/>
      <c r="S227" s="1"/>
      <c r="T227" s="1"/>
    </row>
    <row r="228" spans="1:20">
      <c r="A228" s="281" t="str">
        <f t="shared" si="27"/>
        <v>АСУЭ.BMRZ.mUvv3</v>
      </c>
      <c r="B228" s="282">
        <v>1</v>
      </c>
      <c r="C228" s="282" t="s">
        <v>1</v>
      </c>
      <c r="D228" s="283">
        <v>4</v>
      </c>
      <c r="Q228" s="1"/>
      <c r="R228" s="1"/>
      <c r="S228" s="1"/>
      <c r="T228" s="1"/>
    </row>
    <row r="229" spans="1:20">
      <c r="A229" s="275" t="str">
        <f t="shared" ref="A229:A234" si="28">$R$2&amp;".mMaxI1"</f>
        <v>АСУЭ.BMRZ.mMaxI1</v>
      </c>
      <c r="B229" s="276">
        <v>7999</v>
      </c>
      <c r="C229" s="276" t="s">
        <v>0</v>
      </c>
      <c r="D229" s="277" t="str">
        <f>"#"&amp;$S$2&amp;"#"&amp;$T$2&amp;"."&amp;$P$2&amp;".Reg_MaxMin_Asign_n0"</f>
        <v>#3#\\Setup_rza\Modbus.OPCServer\KTP_BMRZ.VV1_BMRZ-04VV.Reg_MaxMin_Asign_n0</v>
      </c>
      <c r="Q229" s="1"/>
      <c r="R229" s="1"/>
      <c r="S229" s="1"/>
      <c r="T229" s="1"/>
    </row>
    <row r="230" spans="1:20">
      <c r="A230" s="278" t="str">
        <f t="shared" si="28"/>
        <v>АСУЭ.BMRZ.mMaxI1</v>
      </c>
      <c r="B230" s="279">
        <v>7998</v>
      </c>
      <c r="C230" s="279" t="s">
        <v>6</v>
      </c>
      <c r="D230" s="280">
        <v>1</v>
      </c>
      <c r="Q230" s="1"/>
      <c r="R230" s="1"/>
      <c r="S230" s="1"/>
      <c r="T230" s="1"/>
    </row>
    <row r="231" spans="1:20">
      <c r="A231" s="278" t="str">
        <f t="shared" si="28"/>
        <v>АСУЭ.BMRZ.mMaxI1</v>
      </c>
      <c r="B231" s="279">
        <v>101</v>
      </c>
      <c r="C231" s="279" t="s">
        <v>0</v>
      </c>
      <c r="D231" s="280" t="s">
        <v>367</v>
      </c>
      <c r="Q231" s="1"/>
      <c r="R231" s="1"/>
      <c r="S231" s="1"/>
      <c r="T231" s="1"/>
    </row>
    <row r="232" spans="1:20">
      <c r="A232" s="278" t="str">
        <f t="shared" si="28"/>
        <v>АСУЭ.BMRZ.mMaxI1</v>
      </c>
      <c r="B232" s="279">
        <v>3</v>
      </c>
      <c r="C232" s="279" t="s">
        <v>1</v>
      </c>
      <c r="D232" s="280">
        <v>192</v>
      </c>
      <c r="Q232" s="1"/>
      <c r="R232" s="1"/>
      <c r="S232" s="1"/>
      <c r="T232" s="1"/>
    </row>
    <row r="233" spans="1:20">
      <c r="A233" s="278" t="str">
        <f t="shared" si="28"/>
        <v>АСУЭ.BMRZ.mMaxI1</v>
      </c>
      <c r="B233" s="279">
        <v>2</v>
      </c>
      <c r="C233" s="279" t="s">
        <v>80</v>
      </c>
      <c r="D233" s="280">
        <v>0</v>
      </c>
      <c r="Q233" s="1"/>
      <c r="R233" s="1"/>
      <c r="S233" s="1"/>
      <c r="T233" s="1"/>
    </row>
    <row r="234" spans="1:20">
      <c r="A234" s="281" t="str">
        <f t="shared" si="28"/>
        <v>АСУЭ.BMRZ.mMaxI1</v>
      </c>
      <c r="B234" s="282">
        <v>1</v>
      </c>
      <c r="C234" s="282" t="s">
        <v>1</v>
      </c>
      <c r="D234" s="283">
        <v>4</v>
      </c>
      <c r="Q234" s="1"/>
      <c r="R234" s="1"/>
      <c r="S234" s="1"/>
      <c r="T234" s="1"/>
    </row>
    <row r="235" spans="1:20">
      <c r="A235" s="275" t="str">
        <f t="shared" ref="A235:A240" si="29">$R$2&amp;".mMaxI2"</f>
        <v>АСУЭ.BMRZ.mMaxI2</v>
      </c>
      <c r="B235" s="276">
        <v>7999</v>
      </c>
      <c r="C235" s="276" t="s">
        <v>0</v>
      </c>
      <c r="D235" s="277" t="str">
        <f>"#"&amp;$S$2&amp;"#"&amp;$T$2&amp;"."&amp;$P$2&amp;".Reg_MaxMin_Asign_n1"</f>
        <v>#3#\\Setup_rza\Modbus.OPCServer\KTP_BMRZ.VV1_BMRZ-04VV.Reg_MaxMin_Asign_n1</v>
      </c>
      <c r="Q235" s="1"/>
      <c r="R235" s="1"/>
      <c r="S235" s="1"/>
      <c r="T235" s="1"/>
    </row>
    <row r="236" spans="1:20">
      <c r="A236" s="278" t="str">
        <f t="shared" si="29"/>
        <v>АСУЭ.BMRZ.mMaxI2</v>
      </c>
      <c r="B236" s="279">
        <v>7998</v>
      </c>
      <c r="C236" s="279" t="s">
        <v>6</v>
      </c>
      <c r="D236" s="280">
        <v>1</v>
      </c>
      <c r="Q236" s="1"/>
      <c r="R236" s="1"/>
      <c r="S236" s="1"/>
      <c r="T236" s="1"/>
    </row>
    <row r="237" spans="1:20">
      <c r="A237" s="278" t="str">
        <f t="shared" si="29"/>
        <v>АСУЭ.BMRZ.mMaxI2</v>
      </c>
      <c r="B237" s="279">
        <v>101</v>
      </c>
      <c r="C237" s="279" t="s">
        <v>0</v>
      </c>
      <c r="D237" s="280" t="s">
        <v>368</v>
      </c>
      <c r="Q237" s="1"/>
      <c r="R237" s="1"/>
      <c r="S237" s="1"/>
      <c r="T237" s="1"/>
    </row>
    <row r="238" spans="1:20">
      <c r="A238" s="278" t="str">
        <f t="shared" si="29"/>
        <v>АСУЭ.BMRZ.mMaxI2</v>
      </c>
      <c r="B238" s="279">
        <v>3</v>
      </c>
      <c r="C238" s="279" t="s">
        <v>1</v>
      </c>
      <c r="D238" s="280">
        <v>192</v>
      </c>
      <c r="Q238" s="1"/>
      <c r="R238" s="1"/>
      <c r="S238" s="1"/>
      <c r="T238" s="1"/>
    </row>
    <row r="239" spans="1:20">
      <c r="A239" s="278" t="str">
        <f t="shared" si="29"/>
        <v>АСУЭ.BMRZ.mMaxI2</v>
      </c>
      <c r="B239" s="279">
        <v>2</v>
      </c>
      <c r="C239" s="279" t="s">
        <v>80</v>
      </c>
      <c r="D239" s="280">
        <v>0</v>
      </c>
      <c r="Q239" s="1"/>
      <c r="R239" s="1"/>
      <c r="S239" s="1"/>
      <c r="T239" s="1"/>
    </row>
    <row r="240" spans="1:20">
      <c r="A240" s="281" t="str">
        <f t="shared" si="29"/>
        <v>АСУЭ.BMRZ.mMaxI2</v>
      </c>
      <c r="B240" s="282">
        <v>1</v>
      </c>
      <c r="C240" s="282" t="s">
        <v>1</v>
      </c>
      <c r="D240" s="283">
        <v>4</v>
      </c>
      <c r="Q240" s="1"/>
      <c r="R240" s="1"/>
      <c r="S240" s="1"/>
      <c r="T240" s="1"/>
    </row>
    <row r="241" spans="1:20">
      <c r="A241" s="275" t="str">
        <f t="shared" ref="A241:A246" si="30">$R$2&amp;".mMaxI3"</f>
        <v>АСУЭ.BMRZ.mMaxI3</v>
      </c>
      <c r="B241" s="276">
        <v>7999</v>
      </c>
      <c r="C241" s="276" t="s">
        <v>0</v>
      </c>
      <c r="D241" s="277" t="str">
        <f>"#"&amp;$S$2&amp;"#"&amp;$T$2&amp;"."&amp;$P$2&amp;".Reg_MaxMin_Asign_n2"</f>
        <v>#3#\\Setup_rza\Modbus.OPCServer\KTP_BMRZ.VV1_BMRZ-04VV.Reg_MaxMin_Asign_n2</v>
      </c>
      <c r="Q241" s="1"/>
      <c r="R241" s="1"/>
      <c r="S241" s="1"/>
      <c r="T241" s="1"/>
    </row>
    <row r="242" spans="1:20">
      <c r="A242" s="278" t="str">
        <f t="shared" si="30"/>
        <v>АСУЭ.BMRZ.mMaxI3</v>
      </c>
      <c r="B242" s="279">
        <v>7998</v>
      </c>
      <c r="C242" s="279" t="s">
        <v>6</v>
      </c>
      <c r="D242" s="280">
        <v>1</v>
      </c>
      <c r="Q242" s="1"/>
      <c r="R242" s="1"/>
      <c r="S242" s="1"/>
      <c r="T242" s="1"/>
    </row>
    <row r="243" spans="1:20">
      <c r="A243" s="278" t="str">
        <f t="shared" si="30"/>
        <v>АСУЭ.BMRZ.mMaxI3</v>
      </c>
      <c r="B243" s="279">
        <v>101</v>
      </c>
      <c r="C243" s="279" t="s">
        <v>0</v>
      </c>
      <c r="D243" s="280" t="s">
        <v>369</v>
      </c>
      <c r="Q243" s="1"/>
      <c r="R243" s="1"/>
      <c r="S243" s="1"/>
      <c r="T243" s="1"/>
    </row>
    <row r="244" spans="1:20">
      <c r="A244" s="278" t="str">
        <f t="shared" si="30"/>
        <v>АСУЭ.BMRZ.mMaxI3</v>
      </c>
      <c r="B244" s="279">
        <v>3</v>
      </c>
      <c r="C244" s="279" t="s">
        <v>1</v>
      </c>
      <c r="D244" s="280">
        <v>192</v>
      </c>
      <c r="Q244" s="1"/>
      <c r="R244" s="1"/>
      <c r="S244" s="1"/>
      <c r="T244" s="1"/>
    </row>
    <row r="245" spans="1:20">
      <c r="A245" s="278" t="str">
        <f t="shared" si="30"/>
        <v>АСУЭ.BMRZ.mMaxI3</v>
      </c>
      <c r="B245" s="279">
        <v>2</v>
      </c>
      <c r="C245" s="279" t="s">
        <v>80</v>
      </c>
      <c r="D245" s="280">
        <v>0</v>
      </c>
      <c r="Q245" s="1"/>
      <c r="R245" s="1"/>
      <c r="S245" s="1"/>
      <c r="T245" s="1"/>
    </row>
    <row r="246" spans="1:20">
      <c r="A246" s="281" t="str">
        <f t="shared" si="30"/>
        <v>АСУЭ.BMRZ.mMaxI3</v>
      </c>
      <c r="B246" s="282">
        <v>1</v>
      </c>
      <c r="C246" s="282" t="s">
        <v>1</v>
      </c>
      <c r="D246" s="283">
        <v>4</v>
      </c>
      <c r="Q246" s="1"/>
      <c r="R246" s="1"/>
      <c r="S246" s="1"/>
      <c r="T246" s="1"/>
    </row>
    <row r="247" spans="1:20">
      <c r="A247" s="275" t="str">
        <f t="shared" ref="A247:A252" si="31">$R$2&amp;".mU13"</f>
        <v>АСУЭ.BMRZ.mU13</v>
      </c>
      <c r="B247" s="276">
        <v>7999</v>
      </c>
      <c r="C247" s="276" t="s">
        <v>0</v>
      </c>
      <c r="D247" s="277" t="str">
        <f>"#"&amp;$S$2&amp;"#"&amp;$T$2&amp;"."&amp;$P$2&amp;".Reg_Aver_Asign_n9"</f>
        <v>#3#\\Setup_rza\Modbus.OPCServer\KTP_BMRZ.VV1_BMRZ-04VV.Reg_Aver_Asign_n9</v>
      </c>
      <c r="Q247" s="1"/>
      <c r="R247" s="1"/>
      <c r="S247" s="1"/>
      <c r="T247" s="1"/>
    </row>
    <row r="248" spans="1:20">
      <c r="A248" s="278" t="str">
        <f t="shared" si="31"/>
        <v>АСУЭ.BMRZ.mU13</v>
      </c>
      <c r="B248" s="279">
        <v>7998</v>
      </c>
      <c r="C248" s="279" t="s">
        <v>6</v>
      </c>
      <c r="D248" s="280">
        <v>1</v>
      </c>
    </row>
    <row r="249" spans="1:20">
      <c r="A249" s="278" t="str">
        <f t="shared" si="31"/>
        <v>АСУЭ.BMRZ.mU13</v>
      </c>
      <c r="B249" s="279">
        <v>101</v>
      </c>
      <c r="C249" s="279" t="s">
        <v>0</v>
      </c>
      <c r="D249" s="280" t="s">
        <v>378</v>
      </c>
    </row>
    <row r="250" spans="1:20">
      <c r="A250" s="278" t="str">
        <f t="shared" si="31"/>
        <v>АСУЭ.BMRZ.mU13</v>
      </c>
      <c r="B250" s="279">
        <v>3</v>
      </c>
      <c r="C250" s="279" t="s">
        <v>1</v>
      </c>
      <c r="D250" s="280">
        <v>192</v>
      </c>
    </row>
    <row r="251" spans="1:20">
      <c r="A251" s="278" t="str">
        <f t="shared" si="31"/>
        <v>АСУЭ.BMRZ.mU13</v>
      </c>
      <c r="B251" s="279">
        <v>2</v>
      </c>
      <c r="C251" s="279" t="s">
        <v>80</v>
      </c>
      <c r="D251" s="280">
        <v>0</v>
      </c>
    </row>
    <row r="252" spans="1:20">
      <c r="A252" s="281" t="str">
        <f t="shared" si="31"/>
        <v>АСУЭ.BMRZ.mU13</v>
      </c>
      <c r="B252" s="282">
        <v>1</v>
      </c>
      <c r="C252" s="282" t="s">
        <v>1</v>
      </c>
      <c r="D252" s="283">
        <v>4</v>
      </c>
    </row>
    <row r="253" spans="1:20">
      <c r="A253" s="275" t="str">
        <f t="shared" ref="A253:A258" si="32">$R$2&amp;".mU21"</f>
        <v>АСУЭ.BMRZ.mU21</v>
      </c>
      <c r="B253" s="276">
        <v>7999</v>
      </c>
      <c r="C253" s="276" t="s">
        <v>0</v>
      </c>
      <c r="D253" s="277" t="str">
        <f>"#"&amp;$S$2&amp;"#"&amp;$T$2&amp;"."&amp;$P$2&amp;".Reg_Aver_Asign_n7"</f>
        <v>#3#\\Setup_rza\Modbus.OPCServer\KTP_BMRZ.VV1_BMRZ-04VV.Reg_Aver_Asign_n7</v>
      </c>
    </row>
    <row r="254" spans="1:20">
      <c r="A254" s="278" t="str">
        <f t="shared" si="32"/>
        <v>АСУЭ.BMRZ.mU21</v>
      </c>
      <c r="B254" s="279">
        <v>7998</v>
      </c>
      <c r="C254" s="279" t="s">
        <v>6</v>
      </c>
      <c r="D254" s="280">
        <v>1</v>
      </c>
    </row>
    <row r="255" spans="1:20">
      <c r="A255" s="278" t="str">
        <f t="shared" si="32"/>
        <v>АСУЭ.BMRZ.mU21</v>
      </c>
      <c r="B255" s="279">
        <v>101</v>
      </c>
      <c r="C255" s="279" t="s">
        <v>0</v>
      </c>
      <c r="D255" s="280" t="s">
        <v>379</v>
      </c>
    </row>
    <row r="256" spans="1:20">
      <c r="A256" s="278" t="str">
        <f t="shared" si="32"/>
        <v>АСУЭ.BMRZ.mU21</v>
      </c>
      <c r="B256" s="279">
        <v>3</v>
      </c>
      <c r="C256" s="279" t="s">
        <v>1</v>
      </c>
      <c r="D256" s="280">
        <v>192</v>
      </c>
    </row>
    <row r="257" spans="1:4">
      <c r="A257" s="278" t="str">
        <f t="shared" si="32"/>
        <v>АСУЭ.BMRZ.mU21</v>
      </c>
      <c r="B257" s="279">
        <v>2</v>
      </c>
      <c r="C257" s="279" t="s">
        <v>80</v>
      </c>
      <c r="D257" s="280">
        <v>0</v>
      </c>
    </row>
    <row r="258" spans="1:4">
      <c r="A258" s="281" t="str">
        <f t="shared" si="32"/>
        <v>АСУЭ.BMRZ.mU21</v>
      </c>
      <c r="B258" s="282">
        <v>1</v>
      </c>
      <c r="C258" s="282" t="s">
        <v>1</v>
      </c>
      <c r="D258" s="283">
        <v>4</v>
      </c>
    </row>
    <row r="259" spans="1:4">
      <c r="A259" s="275" t="str">
        <f t="shared" ref="A259:A264" si="33">$R$2&amp;".mU32"</f>
        <v>АСУЭ.BMRZ.mU32</v>
      </c>
      <c r="B259" s="276">
        <v>7999</v>
      </c>
      <c r="C259" s="276" t="s">
        <v>0</v>
      </c>
      <c r="D259" s="277" t="str">
        <f>"#"&amp;$S$2&amp;"#"&amp;$T$2&amp;"."&amp;$P$2&amp;".Reg_Aver_Asign_n8"</f>
        <v>#3#\\Setup_rza\Modbus.OPCServer\KTP_BMRZ.VV1_BMRZ-04VV.Reg_Aver_Asign_n8</v>
      </c>
    </row>
    <row r="260" spans="1:4">
      <c r="A260" s="278" t="str">
        <f t="shared" si="33"/>
        <v>АСУЭ.BMRZ.mU32</v>
      </c>
      <c r="B260" s="279">
        <v>7998</v>
      </c>
      <c r="C260" s="279" t="s">
        <v>6</v>
      </c>
      <c r="D260" s="280">
        <v>1</v>
      </c>
    </row>
    <row r="261" spans="1:4">
      <c r="A261" s="278" t="str">
        <f t="shared" si="33"/>
        <v>АСУЭ.BMRZ.mU32</v>
      </c>
      <c r="B261" s="279">
        <v>101</v>
      </c>
      <c r="C261" s="279" t="s">
        <v>0</v>
      </c>
      <c r="D261" s="280" t="s">
        <v>380</v>
      </c>
    </row>
    <row r="262" spans="1:4">
      <c r="A262" s="278" t="str">
        <f t="shared" si="33"/>
        <v>АСУЭ.BMRZ.mU32</v>
      </c>
      <c r="B262" s="279">
        <v>3</v>
      </c>
      <c r="C262" s="279" t="s">
        <v>1</v>
      </c>
      <c r="D262" s="280">
        <v>192</v>
      </c>
    </row>
    <row r="263" spans="1:4">
      <c r="A263" s="278" t="str">
        <f t="shared" si="33"/>
        <v>АСУЭ.BMRZ.mU32</v>
      </c>
      <c r="B263" s="279">
        <v>2</v>
      </c>
      <c r="C263" s="279" t="s">
        <v>80</v>
      </c>
      <c r="D263" s="280">
        <v>0</v>
      </c>
    </row>
    <row r="264" spans="1:4">
      <c r="A264" s="281" t="str">
        <f t="shared" si="33"/>
        <v>АСУЭ.BMRZ.mU32</v>
      </c>
      <c r="B264" s="282">
        <v>1</v>
      </c>
      <c r="C264" s="282" t="s">
        <v>1</v>
      </c>
      <c r="D264" s="283">
        <v>4</v>
      </c>
    </row>
    <row r="265" spans="1:4">
      <c r="A265" s="275" t="str">
        <f t="shared" ref="A265:A270" si="34">$R$2&amp;".P"</f>
        <v>АСУЭ.BMRZ.P</v>
      </c>
      <c r="B265" s="276">
        <v>7999</v>
      </c>
      <c r="C265" s="276" t="s">
        <v>0</v>
      </c>
      <c r="D265" s="277" t="str">
        <f>"#"&amp;$S$2&amp;"#"&amp;$T$2&amp;"."&amp;$P$2&amp;".Reg_Aver_Asign_n18"</f>
        <v>#3#\\Setup_rza\Modbus.OPCServer\KTP_BMRZ.VV1_BMRZ-04VV.Reg_Aver_Asign_n18</v>
      </c>
    </row>
    <row r="266" spans="1:4">
      <c r="A266" s="278" t="str">
        <f t="shared" si="34"/>
        <v>АСУЭ.BMRZ.P</v>
      </c>
      <c r="B266" s="279">
        <v>7998</v>
      </c>
      <c r="C266" s="279" t="s">
        <v>6</v>
      </c>
      <c r="D266" s="280">
        <v>1</v>
      </c>
    </row>
    <row r="267" spans="1:4">
      <c r="A267" s="278" t="str">
        <f t="shared" si="34"/>
        <v>АСУЭ.BMRZ.P</v>
      </c>
      <c r="B267" s="279">
        <v>101</v>
      </c>
      <c r="C267" s="279" t="s">
        <v>0</v>
      </c>
      <c r="D267" s="280" t="s">
        <v>1686</v>
      </c>
    </row>
    <row r="268" spans="1:4">
      <c r="A268" s="278" t="str">
        <f t="shared" si="34"/>
        <v>АСУЭ.BMRZ.P</v>
      </c>
      <c r="B268" s="279">
        <v>3</v>
      </c>
      <c r="C268" s="279" t="s">
        <v>1</v>
      </c>
      <c r="D268" s="280">
        <v>192</v>
      </c>
    </row>
    <row r="269" spans="1:4">
      <c r="A269" s="278" t="str">
        <f t="shared" si="34"/>
        <v>АСУЭ.BMRZ.P</v>
      </c>
      <c r="B269" s="279">
        <v>2</v>
      </c>
      <c r="C269" s="279" t="s">
        <v>80</v>
      </c>
      <c r="D269" s="280">
        <v>0</v>
      </c>
    </row>
    <row r="270" spans="1:4">
      <c r="A270" s="281" t="str">
        <f t="shared" si="34"/>
        <v>АСУЭ.BMRZ.P</v>
      </c>
      <c r="B270" s="282">
        <v>1</v>
      </c>
      <c r="C270" s="282" t="s">
        <v>1</v>
      </c>
      <c r="D270" s="283">
        <v>4</v>
      </c>
    </row>
    <row r="271" spans="1:4">
      <c r="A271" s="275" t="str">
        <f t="shared" ref="A271:A276" si="35">$R$2&amp;".Q"</f>
        <v>АСУЭ.BMRZ.Q</v>
      </c>
      <c r="B271" s="276">
        <v>7999</v>
      </c>
      <c r="C271" s="276" t="s">
        <v>0</v>
      </c>
      <c r="D271" s="277" t="str">
        <f>"#"&amp;$S$2&amp;"#"&amp;$T$2&amp;"."&amp;$P$2&amp;".Reg_Aver_Asign_n19"</f>
        <v>#3#\\Setup_rza\Modbus.OPCServer\KTP_BMRZ.VV1_BMRZ-04VV.Reg_Aver_Asign_n19</v>
      </c>
    </row>
    <row r="272" spans="1:4">
      <c r="A272" s="278" t="str">
        <f t="shared" si="35"/>
        <v>АСУЭ.BMRZ.Q</v>
      </c>
      <c r="B272" s="279">
        <v>7998</v>
      </c>
      <c r="C272" s="279" t="s">
        <v>6</v>
      </c>
      <c r="D272" s="280">
        <v>1</v>
      </c>
    </row>
    <row r="273" spans="1:4">
      <c r="A273" s="278" t="str">
        <f t="shared" si="35"/>
        <v>АСУЭ.BMRZ.Q</v>
      </c>
      <c r="B273" s="279">
        <v>101</v>
      </c>
      <c r="C273" s="279" t="s">
        <v>0</v>
      </c>
      <c r="D273" s="280" t="s">
        <v>1687</v>
      </c>
    </row>
    <row r="274" spans="1:4">
      <c r="A274" s="278" t="str">
        <f t="shared" si="35"/>
        <v>АСУЭ.BMRZ.Q</v>
      </c>
      <c r="B274" s="279">
        <v>3</v>
      </c>
      <c r="C274" s="279" t="s">
        <v>1</v>
      </c>
      <c r="D274" s="280">
        <v>192</v>
      </c>
    </row>
    <row r="275" spans="1:4">
      <c r="A275" s="278" t="str">
        <f t="shared" si="35"/>
        <v>АСУЭ.BMRZ.Q</v>
      </c>
      <c r="B275" s="279">
        <v>2</v>
      </c>
      <c r="C275" s="279" t="s">
        <v>80</v>
      </c>
      <c r="D275" s="280">
        <v>0</v>
      </c>
    </row>
    <row r="276" spans="1:4">
      <c r="A276" s="281" t="str">
        <f t="shared" si="35"/>
        <v>АСУЭ.BMRZ.Q</v>
      </c>
      <c r="B276" s="282">
        <v>1</v>
      </c>
      <c r="C276" s="282" t="s">
        <v>1</v>
      </c>
      <c r="D276" s="283">
        <v>4</v>
      </c>
    </row>
    <row r="277" spans="1:4">
      <c r="A277" s="275" t="str">
        <f t="shared" ref="A277:A282" si="36">$R$2&amp;".S"</f>
        <v>АСУЭ.BMRZ.S</v>
      </c>
      <c r="B277" s="276">
        <v>7999</v>
      </c>
      <c r="C277" s="276" t="s">
        <v>0</v>
      </c>
      <c r="D277" s="277" t="str">
        <f>"#"&amp;$S$2&amp;"#"&amp;$T$2&amp;"."&amp;$P$2&amp;".Reg_Aver_Asign_n20"</f>
        <v>#3#\\Setup_rza\Modbus.OPCServer\KTP_BMRZ.VV1_BMRZ-04VV.Reg_Aver_Asign_n20</v>
      </c>
    </row>
    <row r="278" spans="1:4">
      <c r="A278" s="278" t="str">
        <f t="shared" si="36"/>
        <v>АСУЭ.BMRZ.S</v>
      </c>
      <c r="B278" s="279">
        <v>7998</v>
      </c>
      <c r="C278" s="279" t="s">
        <v>6</v>
      </c>
      <c r="D278" s="280">
        <v>1</v>
      </c>
    </row>
    <row r="279" spans="1:4">
      <c r="A279" s="278" t="str">
        <f t="shared" si="36"/>
        <v>АСУЭ.BMRZ.S</v>
      </c>
      <c r="B279" s="279">
        <v>101</v>
      </c>
      <c r="C279" s="279" t="s">
        <v>0</v>
      </c>
      <c r="D279" s="280" t="s">
        <v>1688</v>
      </c>
    </row>
    <row r="280" spans="1:4">
      <c r="A280" s="278" t="str">
        <f t="shared" si="36"/>
        <v>АСУЭ.BMRZ.S</v>
      </c>
      <c r="B280" s="279">
        <v>3</v>
      </c>
      <c r="C280" s="279" t="s">
        <v>1</v>
      </c>
      <c r="D280" s="280">
        <v>192</v>
      </c>
    </row>
    <row r="281" spans="1:4">
      <c r="A281" s="278" t="str">
        <f t="shared" si="36"/>
        <v>АСУЭ.BMRZ.S</v>
      </c>
      <c r="B281" s="279">
        <v>2</v>
      </c>
      <c r="C281" s="279" t="s">
        <v>80</v>
      </c>
      <c r="D281" s="280">
        <v>0</v>
      </c>
    </row>
    <row r="282" spans="1:4">
      <c r="A282" s="281" t="str">
        <f t="shared" si="36"/>
        <v>АСУЭ.BMRZ.S</v>
      </c>
      <c r="B282" s="282">
        <v>1</v>
      </c>
      <c r="C282" s="282" t="s">
        <v>1</v>
      </c>
      <c r="D282" s="283">
        <v>4</v>
      </c>
    </row>
    <row r="283" spans="1:4">
      <c r="A283" s="275" t="str">
        <f t="shared" ref="A283:A288" si="37">$R$2&amp;".cos"</f>
        <v>АСУЭ.BMRZ.cos</v>
      </c>
      <c r="B283" s="276">
        <v>7999</v>
      </c>
      <c r="C283" s="276" t="s">
        <v>0</v>
      </c>
      <c r="D283" s="277" t="str">
        <f>"#"&amp;$S$2&amp;"#"&amp;$T$2&amp;"."&amp;$P$2&amp;".Reg_Aver_Asign_n21"</f>
        <v>#3#\\Setup_rza\Modbus.OPCServer\KTP_BMRZ.VV1_BMRZ-04VV.Reg_Aver_Asign_n21</v>
      </c>
    </row>
    <row r="284" spans="1:4">
      <c r="A284" s="278" t="str">
        <f t="shared" si="37"/>
        <v>АСУЭ.BMRZ.cos</v>
      </c>
      <c r="B284" s="279">
        <v>7998</v>
      </c>
      <c r="C284" s="279" t="s">
        <v>6</v>
      </c>
      <c r="D284" s="280">
        <v>1</v>
      </c>
    </row>
    <row r="285" spans="1:4">
      <c r="A285" s="278" t="str">
        <f t="shared" si="37"/>
        <v>АСУЭ.BMRZ.cos</v>
      </c>
      <c r="B285" s="279">
        <v>101</v>
      </c>
      <c r="C285" s="279" t="s">
        <v>0</v>
      </c>
      <c r="D285" s="280" t="s">
        <v>1689</v>
      </c>
    </row>
    <row r="286" spans="1:4">
      <c r="A286" s="278" t="str">
        <f t="shared" si="37"/>
        <v>АСУЭ.BMRZ.cos</v>
      </c>
      <c r="B286" s="279">
        <v>3</v>
      </c>
      <c r="C286" s="279" t="s">
        <v>1</v>
      </c>
      <c r="D286" s="280">
        <v>192</v>
      </c>
    </row>
    <row r="287" spans="1:4">
      <c r="A287" s="278" t="str">
        <f t="shared" si="37"/>
        <v>АСУЭ.BMRZ.cos</v>
      </c>
      <c r="B287" s="279">
        <v>2</v>
      </c>
      <c r="C287" s="279" t="s">
        <v>80</v>
      </c>
      <c r="D287" s="280">
        <v>0</v>
      </c>
    </row>
    <row r="288" spans="1:4">
      <c r="A288" s="281" t="str">
        <f t="shared" si="37"/>
        <v>АСУЭ.BMRZ.cos</v>
      </c>
      <c r="B288" s="282">
        <v>1</v>
      </c>
      <c r="C288" s="282" t="s">
        <v>1</v>
      </c>
      <c r="D288" s="283">
        <v>4</v>
      </c>
    </row>
  </sheetData>
  <autoFilter ref="B1:B288" xr:uid="{00000000-0009-0000-0000-000038000000}"/>
  <mergeCells count="3">
    <mergeCell ref="D19:E19"/>
    <mergeCell ref="Q28:Q29"/>
    <mergeCell ref="Q30:Q31"/>
  </mergeCell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Лист100">
    <tabColor rgb="FFFFC000"/>
  </sheetPr>
  <dimension ref="A1:BP306"/>
  <sheetViews>
    <sheetView topLeftCell="A4" zoomScale="70" zoomScaleNormal="70" workbookViewId="0">
      <selection activeCell="D2" sqref="D2:D4"/>
    </sheetView>
  </sheetViews>
  <sheetFormatPr defaultRowHeight="14.4"/>
  <cols>
    <col min="1" max="1" width="66.4414062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64.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57"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544"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545" t="str">
        <f>Таблица!Y1</f>
        <v>FB_AI_S, FB_DI_S, FB_QSA_S, FB_DO_S, FB_SHPS_S, FB_SHOP_S, FB_BTF_S: IVXX
FB_KL_UPT_S: ISON
SW_S301, SW_MES3508: Подключение к порту 1
SW_MAYAK: Подключение к порту 1,2 (через "\")
DI_DIAG, DO_DIAG: XVLX</v>
      </c>
      <c r="AL1" s="54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54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545" t="str">
        <f>Таблица!AB1</f>
        <v>FB_IMstp_S, FB_IMsp_S, FB_IMs_S, FB_REG_S, FB_IM_ADES_S : ILCX
SW_S301: Подключение к порту 4
SW_MAYAK, SW_MES3508: Подключение к порту 7,8 (через "\")</v>
      </c>
      <c r="AO1" s="545" t="str">
        <f>Таблица!AC1</f>
        <v xml:space="preserve">FB_IMstp_S, FB_IMsp_S, FB_IMs_S, FB_IMp_S, FB_IMv_S, FB_REG_S, FB_IM_ADES_S, FB_DO_S : IRCX
SW_S301, SW_MES3508: Подключение к порту 5
SW_MAYAK: Подключение к порту 9,10 (через "\")
</v>
      </c>
      <c r="AP1" s="54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54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545" t="str">
        <f>Таблица!AF1</f>
        <v xml:space="preserve">FB_IMstp_S, FB_IMsp_S, FB_IMs_S, FB_IMp_S, FB_IMv_S, FB_IM_ADES_S, FB_OZK_KD_S, FB_DO_S: OXOF
SW_S301, SW_MES3508: Подключение к порту 8
SW_MAYAK: Подключение к порту 15,16 (через "\")
</v>
      </c>
      <c r="AS1" s="545" t="str">
        <f>Таблица!AG1</f>
        <v xml:space="preserve">FB_IM_ADES_S, FB_IMp_S, FB_IMv_S: OXSP
FB_IMstp_S, FB_IMsp_S, FB_IMsp_MON_S: IPTC
SW_S301, SW_MES3508: Подключение к порту 9
SW_MAYAK: Подключение к порту 17,18 (через "\")
</v>
      </c>
      <c r="AT1" s="545" t="str">
        <f>Таблица!AH1</f>
        <v xml:space="preserve">FB_IMstp_S, FB_IMst_MON_S, FB_IMt_MON_S: ITON
FB_IM_ADES_S: IOLD
SW_S301, SW_MES3508: Подключение к порту 10
SW_MAYAK: Подключение к порту 19,20 (через "\")
</v>
      </c>
      <c r="AU1" s="545" t="str">
        <f>Таблица!AI1</f>
        <v>FB_IMstp_S, FB_IMst_MON_S, FB_IMt_MON_S: ITOF
FB_IM_ADES_S: IRAD
SW_MAYAK: Подключение к порту 21,22 (через "\")</v>
      </c>
      <c r="AV1" s="54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t="s">
        <v>503</v>
      </c>
      <c r="Q2" s="2" t="s">
        <v>332</v>
      </c>
      <c r="R2" s="2" t="s">
        <v>749</v>
      </c>
      <c r="S2" s="3">
        <v>3</v>
      </c>
      <c r="T2" s="3" t="s">
        <v>1700</v>
      </c>
      <c r="U2" s="3"/>
      <c r="V2" s="3" t="s">
        <v>569</v>
      </c>
      <c r="W2" s="12"/>
      <c r="X2" s="12"/>
      <c r="Y2" s="12"/>
      <c r="Z2" s="12"/>
      <c r="AA2" s="12"/>
      <c r="AB2" s="2"/>
      <c r="AC2" s="2" t="s">
        <v>307</v>
      </c>
      <c r="AD2" s="2" t="s">
        <v>1608</v>
      </c>
      <c r="AE2" s="2" t="s">
        <v>1414</v>
      </c>
      <c r="AF2" s="2"/>
      <c r="AG2" s="2"/>
      <c r="AH2" s="2"/>
      <c r="AI2" s="2"/>
      <c r="AJ2" s="2"/>
      <c r="AK2" s="2"/>
      <c r="AL2" s="2"/>
      <c r="AM2" s="2"/>
      <c r="AN2" s="2"/>
      <c r="AO2" s="2"/>
      <c r="AP2" s="2"/>
      <c r="AQ2" s="2"/>
      <c r="AR2" s="2"/>
      <c r="AS2" s="2"/>
      <c r="AT2" s="2"/>
      <c r="AU2" s="2"/>
      <c r="AV2" s="2"/>
      <c r="AW2" s="2"/>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3"/>
      <c r="V4" s="10"/>
      <c r="W4" s="10"/>
      <c r="X4" s="10"/>
      <c r="Y4" s="10"/>
      <c r="Z4" s="10"/>
      <c r="AA4" s="10"/>
      <c r="BM4" s="4"/>
      <c r="BN4" s="4"/>
      <c r="BO4" s="4"/>
      <c r="BP4" s="4"/>
    </row>
    <row r="5" spans="1:68" ht="15" customHeight="1">
      <c r="A5" s="9"/>
      <c r="B5" s="9"/>
      <c r="C5" s="9"/>
      <c r="D5" s="9"/>
      <c r="E5" s="9"/>
      <c r="F5" s="9"/>
      <c r="P5" s="6" t="str">
        <f>Настройки!A2</f>
        <v>Авария</v>
      </c>
      <c r="Q5" s="5">
        <f>Настройки!B2</f>
        <v>4</v>
      </c>
      <c r="R5" s="543" t="str">
        <f>Настройки!C2</f>
        <v>Авария</v>
      </c>
      <c r="S5" s="10"/>
      <c r="T5" s="458">
        <f>Настройки!M12</f>
        <v>1</v>
      </c>
      <c r="U5" s="14"/>
      <c r="V5" s="10"/>
      <c r="W5" s="10"/>
      <c r="X5" s="10"/>
      <c r="Y5" s="10"/>
      <c r="Z5" s="10"/>
      <c r="AA5" s="10"/>
      <c r="BM5" s="4"/>
      <c r="BN5" s="4"/>
      <c r="BO5" s="4"/>
      <c r="BP5" s="4"/>
    </row>
    <row r="6" spans="1:68" ht="15" customHeight="1">
      <c r="A6" s="9"/>
      <c r="B6" s="9"/>
      <c r="C6" s="9"/>
      <c r="D6" s="9"/>
      <c r="E6" s="9"/>
      <c r="F6" s="9"/>
      <c r="P6" s="6" t="str">
        <f>Настройки!A3</f>
        <v>Предупреждение</v>
      </c>
      <c r="Q6" s="5">
        <f>Настройки!B3</f>
        <v>8</v>
      </c>
      <c r="R6" s="543" t="str">
        <f>Настройки!C3</f>
        <v>Предупреждение</v>
      </c>
      <c r="S6" s="10"/>
      <c r="T6" s="562" t="str">
        <f>Настройки!M7</f>
        <v>Отображение Таблицы подлючений в диаг.</v>
      </c>
      <c r="U6" s="10"/>
      <c r="V6" s="10"/>
      <c r="W6" s="10"/>
      <c r="X6" s="10"/>
      <c r="Y6" s="10"/>
      <c r="Z6" s="10"/>
      <c r="AA6" s="10"/>
      <c r="BM6" s="4"/>
      <c r="BN6" s="4"/>
      <c r="BO6" s="4"/>
      <c r="BP6" s="4"/>
    </row>
    <row r="7" spans="1:68" ht="15" customHeight="1">
      <c r="A7" s="9"/>
      <c r="B7" s="9"/>
      <c r="C7" s="9"/>
      <c r="D7" s="9"/>
      <c r="E7" s="9"/>
      <c r="F7" s="9"/>
      <c r="P7" s="6" t="str">
        <f>Настройки!A4</f>
        <v>Неисправность</v>
      </c>
      <c r="Q7" s="5">
        <f>Настройки!B4</f>
        <v>12</v>
      </c>
      <c r="R7" s="543" t="str">
        <f>Настройки!C4</f>
        <v>Неисправность</v>
      </c>
      <c r="S7" s="10"/>
      <c r="T7" s="4" t="b">
        <f>Настройки!M8</f>
        <v>0</v>
      </c>
      <c r="U7" s="10"/>
      <c r="V7" s="10"/>
      <c r="W7" s="10"/>
      <c r="X7" s="10"/>
      <c r="Y7" s="10"/>
      <c r="Z7" s="10"/>
      <c r="AA7" s="10"/>
      <c r="BM7" s="4"/>
      <c r="BN7" s="4"/>
      <c r="BO7" s="4"/>
      <c r="BP7" s="4"/>
    </row>
    <row r="8" spans="1:68" ht="15" customHeight="1">
      <c r="A8" s="9"/>
      <c r="B8" s="9"/>
      <c r="C8" s="9"/>
      <c r="D8" s="9"/>
      <c r="E8" s="9"/>
      <c r="F8" s="9"/>
      <c r="P8" s="6" t="str">
        <f>Настройки!A5</f>
        <v>Телесигнализация</v>
      </c>
      <c r="Q8" s="5">
        <f>Настройки!B5</f>
        <v>18</v>
      </c>
      <c r="R8" s="543" t="str">
        <f>Настройки!C5</f>
        <v>Телесигнализация</v>
      </c>
      <c r="S8" s="10"/>
      <c r="T8" s="10"/>
      <c r="U8" s="10"/>
      <c r="V8" s="10"/>
      <c r="W8" s="10"/>
      <c r="X8" s="10"/>
      <c r="Y8" s="10"/>
      <c r="Z8" s="10"/>
      <c r="AA8" s="10"/>
      <c r="BM8" s="4"/>
      <c r="BN8" s="4"/>
      <c r="BO8" s="4"/>
      <c r="BP8" s="4"/>
    </row>
    <row r="9" spans="1:68" ht="15" customHeight="1">
      <c r="A9" s="9"/>
      <c r="B9" s="9"/>
      <c r="C9" s="9"/>
      <c r="D9" s="9"/>
      <c r="E9" s="9"/>
      <c r="F9" s="9"/>
      <c r="P9" s="6" t="str">
        <f>Настройки!A6</f>
        <v>Недостоверность</v>
      </c>
      <c r="Q9" s="5">
        <f>Настройки!B6</f>
        <v>10</v>
      </c>
      <c r="R9" s="543" t="str">
        <f>Настройки!C6</f>
        <v>Недостоверность</v>
      </c>
      <c r="S9" s="10"/>
      <c r="T9" s="10"/>
      <c r="U9" s="10"/>
      <c r="V9" s="10"/>
      <c r="W9" s="10"/>
      <c r="X9" s="10"/>
      <c r="Y9" s="10"/>
      <c r="Z9" s="10"/>
      <c r="AA9" s="10"/>
      <c r="BM9" s="4"/>
      <c r="BN9" s="4"/>
      <c r="BO9" s="4"/>
      <c r="BP9" s="4"/>
    </row>
    <row r="10" spans="1:68" ht="15" customHeight="1">
      <c r="A10" s="9"/>
      <c r="B10" s="9"/>
      <c r="C10" s="9"/>
      <c r="D10" s="9"/>
      <c r="E10" s="9"/>
      <c r="F10" s="9"/>
      <c r="P10" s="6" t="str">
        <f>Настройки!A7</f>
        <v>Имитация</v>
      </c>
      <c r="Q10" s="5">
        <f>Настройки!B7</f>
        <v>16</v>
      </c>
      <c r="R10" s="543" t="str">
        <f>Настройки!C7</f>
        <v>Имитация</v>
      </c>
      <c r="S10" s="10"/>
      <c r="T10" s="10"/>
      <c r="U10" s="10"/>
      <c r="V10" s="10"/>
      <c r="W10" s="10"/>
      <c r="X10" s="10"/>
      <c r="Y10" s="10"/>
      <c r="Z10" s="10"/>
      <c r="AA10" s="10"/>
      <c r="BM10" s="4"/>
      <c r="BN10" s="4"/>
      <c r="BO10" s="4"/>
      <c r="BP10" s="4"/>
    </row>
    <row r="11" spans="1:68" ht="15" customHeight="1">
      <c r="A11" s="9"/>
      <c r="B11" s="9"/>
      <c r="C11" s="9"/>
      <c r="D11" s="9"/>
      <c r="E11" s="9"/>
      <c r="F11" s="9"/>
      <c r="P11" s="6" t="str">
        <f>Настройки!A8</f>
        <v>Ремонт</v>
      </c>
      <c r="Q11" s="5">
        <f>Настройки!B8</f>
        <v>14</v>
      </c>
      <c r="R11" s="543" t="str">
        <f>Настройки!C8</f>
        <v>Ремонт</v>
      </c>
      <c r="S11" s="10"/>
      <c r="T11" s="10"/>
      <c r="U11" s="10"/>
      <c r="V11" s="10"/>
      <c r="W11" s="10"/>
      <c r="X11" s="10"/>
      <c r="Y11" s="10"/>
      <c r="Z11" s="10"/>
      <c r="AA11" s="10"/>
      <c r="BM11" s="4"/>
      <c r="BN11" s="4"/>
      <c r="BO11" s="4"/>
      <c r="BP11" s="4"/>
    </row>
    <row r="12" spans="1:68" ht="15" customHeight="1">
      <c r="A12" s="9"/>
      <c r="B12" s="9"/>
      <c r="C12" s="9"/>
      <c r="D12" s="9"/>
      <c r="E12" s="9"/>
      <c r="F12" s="9"/>
      <c r="P12" s="6" t="str">
        <f>Настройки!A9</f>
        <v>Команда оператора</v>
      </c>
      <c r="Q12" s="5">
        <f>Настройки!B9</f>
        <v>20</v>
      </c>
      <c r="R12" s="543" t="str">
        <f>Настройки!C9</f>
        <v>Команда оператора</v>
      </c>
      <c r="S12" s="10"/>
      <c r="T12" s="10"/>
      <c r="U12" s="10"/>
      <c r="V12" s="10"/>
      <c r="W12" s="10"/>
      <c r="X12" s="10"/>
      <c r="Y12" s="10"/>
      <c r="Z12" s="10"/>
      <c r="AA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M17" s="4"/>
      <c r="BN17" s="4"/>
      <c r="BO17" s="4"/>
      <c r="BP17" s="4"/>
    </row>
    <row r="18" spans="1:68" ht="15" customHeight="1" thickBo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M18" s="4"/>
      <c r="BN18" s="4"/>
      <c r="BO18" s="4"/>
      <c r="BP18" s="4"/>
    </row>
    <row r="19" spans="1:68" ht="15" customHeight="1" thickBot="1">
      <c r="A19" s="9"/>
      <c r="B19" s="9"/>
      <c r="C19" s="9"/>
      <c r="D19" s="783" t="s">
        <v>1876</v>
      </c>
      <c r="E19" s="782"/>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M19" s="4"/>
      <c r="BN19" s="4"/>
      <c r="BO19" s="4"/>
      <c r="BP19" s="4"/>
    </row>
    <row r="20" spans="1:68">
      <c r="A20" s="23" t="str">
        <f t="shared" ref="A20:A22" si="0">$R$2</f>
        <v>АСУЭ.BMRZ</v>
      </c>
      <c r="B20" s="24">
        <v>1</v>
      </c>
      <c r="C20" s="24" t="s">
        <v>1</v>
      </c>
      <c r="D20" s="25">
        <v>17</v>
      </c>
    </row>
    <row r="21" spans="1:68">
      <c r="A21" s="29" t="str">
        <f t="shared" si="0"/>
        <v>АСУЭ.BMRZ</v>
      </c>
      <c r="B21" s="1">
        <v>11001</v>
      </c>
      <c r="C21" s="1" t="s">
        <v>0</v>
      </c>
      <c r="D21" s="30" t="str">
        <f>$Q$2&amp;". "</f>
        <v xml:space="preserve">BMRZ. </v>
      </c>
    </row>
    <row r="22" spans="1:68">
      <c r="A22" s="29" t="str">
        <f t="shared" si="0"/>
        <v>АСУЭ.BMRZ</v>
      </c>
      <c r="B22" s="1">
        <v>11156</v>
      </c>
      <c r="C22" s="1" t="s">
        <v>0</v>
      </c>
      <c r="D22" s="30" t="str">
        <f>$V$2</f>
        <v>Тестовый экран</v>
      </c>
    </row>
    <row r="23" spans="1:68" ht="15" customHeight="1">
      <c r="A23" s="16" t="str">
        <f>$R$2</f>
        <v>АСУЭ.BMRZ</v>
      </c>
      <c r="B23" s="17">
        <v>100</v>
      </c>
      <c r="C23" s="17" t="s">
        <v>0</v>
      </c>
      <c r="D23" s="18" t="b">
        <f>$T$7</f>
        <v>0</v>
      </c>
      <c r="BF23" s="4"/>
      <c r="BG23" s="4"/>
      <c r="BH23" s="4"/>
      <c r="BI23" s="4"/>
    </row>
    <row r="24" spans="1:68">
      <c r="A24" s="29" t="str">
        <f>$R$2</f>
        <v>АСУЭ.BMRZ</v>
      </c>
      <c r="B24" s="1">
        <v>7011</v>
      </c>
      <c r="C24" s="1" t="s">
        <v>2</v>
      </c>
      <c r="D24" s="30" t="s">
        <v>266</v>
      </c>
    </row>
    <row r="25" spans="1:68">
      <c r="A25" s="19" t="str">
        <f t="shared" ref="A25" si="1">$R$2</f>
        <v>АСУЭ.BMRZ</v>
      </c>
      <c r="B25" s="11">
        <v>9218</v>
      </c>
      <c r="C25" s="11" t="s">
        <v>2</v>
      </c>
      <c r="D25" s="20" t="s">
        <v>3</v>
      </c>
    </row>
    <row r="26" spans="1:68" ht="15" customHeight="1">
      <c r="A26" s="19" t="str">
        <f>$R$2</f>
        <v>АСУЭ.BMRZ</v>
      </c>
      <c r="B26" s="11">
        <v>11127</v>
      </c>
      <c r="C26" s="11" t="s">
        <v>0</v>
      </c>
      <c r="D26" s="20">
        <f>$AK$2</f>
        <v>0</v>
      </c>
      <c r="BM26" s="4"/>
      <c r="BN26" s="4"/>
      <c r="BO26" s="4"/>
      <c r="BP26" s="4"/>
    </row>
    <row r="27" spans="1:68">
      <c r="A27" s="19" t="str">
        <f t="shared" ref="A27:A31" si="2">$R$2</f>
        <v>АСУЭ.BMRZ</v>
      </c>
      <c r="B27" s="11">
        <v>11126</v>
      </c>
      <c r="C27" s="11" t="s">
        <v>0</v>
      </c>
      <c r="D27" s="20" t="str">
        <f>$AC$2</f>
        <v>Синий</v>
      </c>
    </row>
    <row r="28" spans="1:68">
      <c r="A28" s="16" t="str">
        <f t="shared" si="2"/>
        <v>АСУЭ.BMRZ</v>
      </c>
      <c r="B28" s="17">
        <v>203</v>
      </c>
      <c r="C28" s="17" t="s">
        <v>2</v>
      </c>
      <c r="D28" s="18" t="s">
        <v>3</v>
      </c>
    </row>
    <row r="29" spans="1:68" ht="15" customHeight="1">
      <c r="A29" s="19" t="str">
        <f t="shared" si="2"/>
        <v>АСУЭ.BMRZ</v>
      </c>
      <c r="B29" s="11">
        <v>3000203</v>
      </c>
      <c r="C29" s="11" t="s">
        <v>0</v>
      </c>
      <c r="D29" s="20" t="str">
        <f>$AE$2</f>
        <v>Диагностика.CPU.NOT_LINK.noLink</v>
      </c>
      <c r="BF29" s="4"/>
      <c r="BG29" s="4"/>
      <c r="BH29" s="4"/>
      <c r="BI29" s="4"/>
    </row>
    <row r="30" spans="1:68" ht="15" customHeight="1">
      <c r="A30" s="19" t="str">
        <f t="shared" si="2"/>
        <v>АСУЭ.BMRZ</v>
      </c>
      <c r="B30" s="11">
        <v>4000203</v>
      </c>
      <c r="C30" s="11" t="s">
        <v>0</v>
      </c>
      <c r="D30" s="20" t="s">
        <v>1775</v>
      </c>
      <c r="BF30" s="4"/>
      <c r="BG30" s="4"/>
      <c r="BH30" s="4"/>
      <c r="BI30" s="4"/>
    </row>
    <row r="31" spans="1:68" ht="15" customHeight="1">
      <c r="A31" s="21" t="str">
        <f t="shared" si="2"/>
        <v>АСУЭ.BMRZ</v>
      </c>
      <c r="B31" s="8">
        <v>7000203</v>
      </c>
      <c r="C31" s="8" t="s">
        <v>6</v>
      </c>
      <c r="D31" s="22">
        <v>2</v>
      </c>
      <c r="BF31" s="4"/>
      <c r="BG31" s="4"/>
      <c r="BH31" s="4"/>
      <c r="BI31" s="4"/>
    </row>
    <row r="32" spans="1:68">
      <c r="A32" s="23" t="str">
        <f>$R$2</f>
        <v>АСУЭ.BMRZ</v>
      </c>
      <c r="B32" s="24">
        <v>9219</v>
      </c>
      <c r="C32" s="24" t="s">
        <v>2</v>
      </c>
      <c r="D32" s="25" t="s">
        <v>3</v>
      </c>
      <c r="Q32" s="778" t="s">
        <v>224</v>
      </c>
    </row>
    <row r="33" spans="1:61">
      <c r="A33" s="29" t="str">
        <f>$R$2</f>
        <v>АСУЭ.BMRZ</v>
      </c>
      <c r="B33" s="27">
        <v>3009219</v>
      </c>
      <c r="C33" s="27" t="s">
        <v>0</v>
      </c>
      <c r="D33" s="28">
        <f>$X$2</f>
        <v>0</v>
      </c>
      <c r="Q33" s="779"/>
    </row>
    <row r="34" spans="1:61">
      <c r="A34" s="23" t="str">
        <f>$R$2</f>
        <v>АСУЭ.BMRZ</v>
      </c>
      <c r="B34" s="1">
        <v>9220</v>
      </c>
      <c r="C34" s="1" t="s">
        <v>2</v>
      </c>
      <c r="D34" s="30" t="s">
        <v>3</v>
      </c>
      <c r="Q34" s="778" t="s">
        <v>223</v>
      </c>
    </row>
    <row r="35" spans="1:61">
      <c r="A35" s="26" t="str">
        <f>$R$2</f>
        <v>АСУЭ.BMRZ</v>
      </c>
      <c r="B35" s="27">
        <v>3009220</v>
      </c>
      <c r="C35" s="27" t="s">
        <v>0</v>
      </c>
      <c r="D35" s="28">
        <f>$W$2</f>
        <v>0</v>
      </c>
      <c r="Q35" s="779"/>
    </row>
    <row r="36" spans="1:61">
      <c r="A36" s="16" t="str">
        <f>$R$2&amp;".Commands"</f>
        <v>АСУЭ.BMRZ.Commands</v>
      </c>
      <c r="B36" s="24">
        <v>1</v>
      </c>
      <c r="C36" s="24" t="s">
        <v>1</v>
      </c>
      <c r="D36" s="25">
        <v>17</v>
      </c>
    </row>
    <row r="37" spans="1:61">
      <c r="A37" s="29" t="str">
        <f>$R$2&amp;".Commands"</f>
        <v>АСУЭ.BMRZ.Commands</v>
      </c>
      <c r="B37" s="1">
        <v>7011</v>
      </c>
      <c r="C37" s="1" t="s">
        <v>2</v>
      </c>
      <c r="D37" s="30" t="s">
        <v>266</v>
      </c>
    </row>
    <row r="38" spans="1:61" ht="15" customHeight="1">
      <c r="A38" s="29" t="str">
        <f>$R$2&amp;".Commands"</f>
        <v>АСУЭ.BMRZ.Commands</v>
      </c>
      <c r="B38">
        <v>9213</v>
      </c>
      <c r="C38" s="11" t="s">
        <v>2583</v>
      </c>
      <c r="D38" s="30">
        <v>2</v>
      </c>
      <c r="BF38" s="4"/>
      <c r="BG38" s="4"/>
      <c r="BH38" s="4"/>
      <c r="BI38" s="4"/>
    </row>
    <row r="39" spans="1:61">
      <c r="A39" s="19" t="str">
        <f>$R$2&amp;".Commands"</f>
        <v>АСУЭ.BMRZ.Commands</v>
      </c>
      <c r="B39" s="11">
        <v>9214</v>
      </c>
      <c r="C39" s="11" t="s">
        <v>2</v>
      </c>
      <c r="D39" s="20" t="s">
        <v>3</v>
      </c>
    </row>
    <row r="40" spans="1:61">
      <c r="A40" s="19" t="str">
        <f t="shared" ref="A40:A42" si="3">$R$2&amp;".Commands"</f>
        <v>АСУЭ.BMRZ.Commands</v>
      </c>
      <c r="B40" s="11">
        <v>9215</v>
      </c>
      <c r="C40" s="11" t="s">
        <v>2</v>
      </c>
      <c r="D40" s="20" t="s">
        <v>3</v>
      </c>
    </row>
    <row r="41" spans="1:61">
      <c r="A41" s="19" t="str">
        <f t="shared" si="3"/>
        <v>АСУЭ.BMRZ.Commands</v>
      </c>
      <c r="B41" s="11">
        <v>9216</v>
      </c>
      <c r="C41" s="11" t="s">
        <v>2</v>
      </c>
      <c r="D41" s="20" t="s">
        <v>3</v>
      </c>
    </row>
    <row r="42" spans="1:61">
      <c r="A42" s="21" t="str">
        <f t="shared" si="3"/>
        <v>АСУЭ.BMRZ.Commands</v>
      </c>
      <c r="B42" s="8">
        <v>9217</v>
      </c>
      <c r="C42" s="8" t="s">
        <v>2</v>
      </c>
      <c r="D42" s="22" t="s">
        <v>3</v>
      </c>
    </row>
    <row r="43" spans="1:61">
      <c r="A43" s="148" t="str">
        <f t="shared" ref="A43:A52" si="4">$R$2&amp;".aPrt"</f>
        <v>АСУЭ.BMRZ.aPrt</v>
      </c>
      <c r="B43" s="149">
        <v>11154</v>
      </c>
      <c r="C43" s="149" t="s">
        <v>4</v>
      </c>
      <c r="D43" s="150">
        <f>$Q$5</f>
        <v>4</v>
      </c>
    </row>
    <row r="44" spans="1:61">
      <c r="A44" s="148" t="str">
        <f t="shared" si="4"/>
        <v>АСУЭ.BMRZ.aPrt</v>
      </c>
      <c r="B44" s="149">
        <v>11150</v>
      </c>
      <c r="C44" s="149" t="s">
        <v>0</v>
      </c>
      <c r="D44" s="125" t="s">
        <v>141</v>
      </c>
    </row>
    <row r="45" spans="1:61">
      <c r="A45" s="148" t="str">
        <f t="shared" si="4"/>
        <v>АСУЭ.BMRZ.aPrt</v>
      </c>
      <c r="B45" s="149">
        <v>11152</v>
      </c>
      <c r="C45" s="149" t="s">
        <v>0</v>
      </c>
      <c r="D45" s="158" t="str">
        <f>$R$5</f>
        <v>Авария</v>
      </c>
    </row>
    <row r="46" spans="1:61" ht="14.25" customHeight="1">
      <c r="A46" s="148" t="str">
        <f t="shared" si="4"/>
        <v>АСУЭ.BMRZ.aPrt</v>
      </c>
      <c r="B46" s="149">
        <v>11000</v>
      </c>
      <c r="C46" s="149" t="s">
        <v>5</v>
      </c>
      <c r="D46" s="125">
        <v>2147483680</v>
      </c>
    </row>
    <row r="47" spans="1:61">
      <c r="A47" s="19" t="str">
        <f t="shared" si="4"/>
        <v>АСУЭ.BMRZ.aPrt</v>
      </c>
      <c r="B47" s="11">
        <v>7999</v>
      </c>
      <c r="C47" s="11" t="s">
        <v>0</v>
      </c>
      <c r="D47" s="20" t="str">
        <f>"#"&amp;$S$2&amp;"#"&amp;$T$2&amp;"."&amp;$P$2&amp;".Reg_Filter_Call_bit15"</f>
        <v>#3#\\Setup_rza\Modbus.OPCServer\KTP_BMRZ.VV1_BMRZ-04VV.Reg_Filter_Call_bit15</v>
      </c>
    </row>
    <row r="48" spans="1:61">
      <c r="A48" s="19" t="str">
        <f t="shared" si="4"/>
        <v>АСУЭ.BMRZ.aPrt</v>
      </c>
      <c r="B48" s="11">
        <v>7998</v>
      </c>
      <c r="C48" s="11" t="s">
        <v>6</v>
      </c>
      <c r="D48" s="20">
        <v>1</v>
      </c>
    </row>
    <row r="49" spans="1:4">
      <c r="A49" s="19" t="str">
        <f t="shared" si="4"/>
        <v>АСУЭ.BMRZ.aPrt</v>
      </c>
      <c r="B49" s="11">
        <v>101</v>
      </c>
      <c r="C49" s="11" t="s">
        <v>0</v>
      </c>
      <c r="D49" s="20" t="s">
        <v>141</v>
      </c>
    </row>
    <row r="50" spans="1:4">
      <c r="A50" s="19" t="str">
        <f t="shared" si="4"/>
        <v>АСУЭ.BMRZ.aPrt</v>
      </c>
      <c r="B50" s="11">
        <v>3</v>
      </c>
      <c r="C50" s="11" t="s">
        <v>1</v>
      </c>
      <c r="D50" s="20">
        <v>192</v>
      </c>
    </row>
    <row r="51" spans="1:4">
      <c r="A51" s="19" t="str">
        <f t="shared" si="4"/>
        <v>АСУЭ.BMRZ.aPrt</v>
      </c>
      <c r="B51" s="11">
        <v>2</v>
      </c>
      <c r="C51" s="11" t="s">
        <v>2</v>
      </c>
      <c r="D51" s="20" t="s">
        <v>3</v>
      </c>
    </row>
    <row r="52" spans="1:4">
      <c r="A52" s="21" t="str">
        <f t="shared" si="4"/>
        <v>АСУЭ.BMRZ.aPrt</v>
      </c>
      <c r="B52" s="8">
        <v>1</v>
      </c>
      <c r="C52" s="8" t="s">
        <v>1</v>
      </c>
      <c r="D52" s="22">
        <v>11</v>
      </c>
    </row>
    <row r="53" spans="1:4">
      <c r="A53" s="69" t="str">
        <f t="shared" ref="A53:A62" si="5">$R$2&amp;".wCall"</f>
        <v>АСУЭ.BMRZ.wCall</v>
      </c>
      <c r="B53" s="70">
        <v>11154</v>
      </c>
      <c r="C53" s="70" t="s">
        <v>4</v>
      </c>
      <c r="D53" s="71">
        <f>$Q$6</f>
        <v>8</v>
      </c>
    </row>
    <row r="54" spans="1:4">
      <c r="A54" s="63" t="str">
        <f t="shared" si="5"/>
        <v>АСУЭ.BMRZ.wCall</v>
      </c>
      <c r="B54" s="64">
        <v>11152</v>
      </c>
      <c r="C54" s="64" t="s">
        <v>0</v>
      </c>
      <c r="D54" s="65" t="str">
        <f>$R$6</f>
        <v>Предупреждение</v>
      </c>
    </row>
    <row r="55" spans="1:4">
      <c r="A55" s="63" t="str">
        <f t="shared" si="5"/>
        <v>АСУЭ.BMRZ.wCall</v>
      </c>
      <c r="B55" s="64">
        <v>11150</v>
      </c>
      <c r="C55" s="64" t="s">
        <v>0</v>
      </c>
      <c r="D55" s="65" t="s">
        <v>338</v>
      </c>
    </row>
    <row r="56" spans="1:4">
      <c r="A56" s="63" t="str">
        <f t="shared" si="5"/>
        <v>АСУЭ.BMRZ.wCall</v>
      </c>
      <c r="B56" s="64">
        <v>11000</v>
      </c>
      <c r="C56" s="64" t="s">
        <v>5</v>
      </c>
      <c r="D56" s="65">
        <v>2147483680</v>
      </c>
    </row>
    <row r="57" spans="1:4">
      <c r="A57" s="19" t="str">
        <f t="shared" si="5"/>
        <v>АСУЭ.BMRZ.wCall</v>
      </c>
      <c r="B57" s="11">
        <v>7999</v>
      </c>
      <c r="C57" s="11" t="s">
        <v>0</v>
      </c>
      <c r="D57" s="20" t="str">
        <f>"#"&amp;$S$2&amp;"#"&amp;$T$2&amp;"."&amp;$P$2&amp;".Reg_Status_bit8"</f>
        <v>#3#\\Setup_rza\Modbus.OPCServer\KTP_BMRZ.VV1_BMRZ-04VV.Reg_Status_bit8</v>
      </c>
    </row>
    <row r="58" spans="1:4" ht="15" customHeight="1">
      <c r="A58" s="19" t="str">
        <f t="shared" si="5"/>
        <v>АСУЭ.BMRZ.wCall</v>
      </c>
      <c r="B58" s="11">
        <v>7998</v>
      </c>
      <c r="C58" s="11" t="s">
        <v>6</v>
      </c>
      <c r="D58" s="20">
        <v>1</v>
      </c>
    </row>
    <row r="59" spans="1:4">
      <c r="A59" s="19" t="str">
        <f t="shared" si="5"/>
        <v>АСУЭ.BMRZ.wCall</v>
      </c>
      <c r="B59" s="11">
        <v>101</v>
      </c>
      <c r="C59" s="11" t="s">
        <v>0</v>
      </c>
      <c r="D59" s="20" t="s">
        <v>338</v>
      </c>
    </row>
    <row r="60" spans="1:4">
      <c r="A60" s="19" t="str">
        <f t="shared" si="5"/>
        <v>АСУЭ.BMRZ.wCall</v>
      </c>
      <c r="B60" s="11">
        <v>3</v>
      </c>
      <c r="C60" s="11" t="s">
        <v>1</v>
      </c>
      <c r="D60" s="20">
        <v>192</v>
      </c>
    </row>
    <row r="61" spans="1:4">
      <c r="A61" s="19" t="str">
        <f t="shared" si="5"/>
        <v>АСУЭ.BMRZ.wCall</v>
      </c>
      <c r="B61" s="11">
        <v>2</v>
      </c>
      <c r="C61" s="11" t="s">
        <v>2</v>
      </c>
      <c r="D61" s="20" t="s">
        <v>3</v>
      </c>
    </row>
    <row r="62" spans="1:4">
      <c r="A62" s="19" t="str">
        <f t="shared" si="5"/>
        <v>АСУЭ.BMRZ.wCall</v>
      </c>
      <c r="B62" s="11">
        <v>1</v>
      </c>
      <c r="C62" s="11" t="s">
        <v>1</v>
      </c>
      <c r="D62" s="20">
        <v>11</v>
      </c>
    </row>
    <row r="63" spans="1:4">
      <c r="A63" s="69" t="str">
        <f t="shared" ref="A63:A73" si="6">$R$2&amp;".wLoc"</f>
        <v>АСУЭ.BMRZ.wLoc</v>
      </c>
      <c r="B63" s="70">
        <v>11154</v>
      </c>
      <c r="C63" s="70" t="s">
        <v>4</v>
      </c>
      <c r="D63" s="200">
        <f>$Q$6</f>
        <v>8</v>
      </c>
    </row>
    <row r="64" spans="1:4">
      <c r="A64" s="63" t="str">
        <f t="shared" si="6"/>
        <v>АСУЭ.BMRZ.wLoc</v>
      </c>
      <c r="B64" s="64">
        <v>11150</v>
      </c>
      <c r="C64" s="64" t="s">
        <v>0</v>
      </c>
      <c r="D64" s="65" t="s">
        <v>169</v>
      </c>
    </row>
    <row r="65" spans="1:4">
      <c r="A65" s="63" t="str">
        <f t="shared" si="6"/>
        <v>АСУЭ.BMRZ.wLoc</v>
      </c>
      <c r="B65" s="64">
        <v>11152</v>
      </c>
      <c r="C65" s="64" t="s">
        <v>0</v>
      </c>
      <c r="D65" s="99" t="str">
        <f>$R$6</f>
        <v>Предупреждение</v>
      </c>
    </row>
    <row r="66" spans="1:4">
      <c r="A66" s="63" t="str">
        <f t="shared" si="6"/>
        <v>АСУЭ.BMRZ.wLoc</v>
      </c>
      <c r="B66" s="64">
        <v>11000</v>
      </c>
      <c r="C66" s="64" t="s">
        <v>5</v>
      </c>
      <c r="D66" s="65">
        <v>2147483680</v>
      </c>
    </row>
    <row r="67" spans="1:4">
      <c r="A67" s="19" t="str">
        <f t="shared" si="6"/>
        <v>АСУЭ.BMRZ.wLoc</v>
      </c>
      <c r="B67" s="11">
        <v>7999</v>
      </c>
      <c r="C67" s="11" t="s">
        <v>0</v>
      </c>
      <c r="D67" s="20" t="str">
        <f>"#"&amp;$S$2&amp;"#"&amp;$T$2&amp;"."&amp;$P$2&amp;".Reg_Dsign_bit16"</f>
        <v>#3#\\Setup_rza\Modbus.OPCServer\KTP_BMRZ.VV1_BMRZ-04VV.Reg_Dsign_bit16</v>
      </c>
    </row>
    <row r="68" spans="1:4">
      <c r="A68" s="19" t="str">
        <f t="shared" si="6"/>
        <v>АСУЭ.BMRZ.wLoc</v>
      </c>
      <c r="B68" s="11">
        <v>7998</v>
      </c>
      <c r="C68" s="11" t="s">
        <v>6</v>
      </c>
      <c r="D68" s="20">
        <v>1</v>
      </c>
    </row>
    <row r="69" spans="1:4">
      <c r="A69" s="19" t="str">
        <f t="shared" si="6"/>
        <v>АСУЭ.BMRZ.wLoc</v>
      </c>
      <c r="B69" s="11">
        <v>101</v>
      </c>
      <c r="C69" s="11" t="s">
        <v>0</v>
      </c>
      <c r="D69" s="20" t="s">
        <v>169</v>
      </c>
    </row>
    <row r="70" spans="1:4">
      <c r="A70" s="19" t="str">
        <f t="shared" si="6"/>
        <v>АСУЭ.BMRZ.wLoc</v>
      </c>
      <c r="B70" s="11">
        <v>3</v>
      </c>
      <c r="C70" s="11" t="s">
        <v>1</v>
      </c>
      <c r="D70" s="20">
        <v>192</v>
      </c>
    </row>
    <row r="71" spans="1:4">
      <c r="A71" s="19" t="str">
        <f t="shared" si="6"/>
        <v>АСУЭ.BMRZ.wLoc</v>
      </c>
      <c r="B71" s="11">
        <v>2</v>
      </c>
      <c r="C71" s="11" t="s">
        <v>2</v>
      </c>
      <c r="D71" s="20" t="s">
        <v>3</v>
      </c>
    </row>
    <row r="72" spans="1:4">
      <c r="A72" s="19" t="str">
        <f t="shared" si="6"/>
        <v>АСУЭ.BMRZ.wLoc</v>
      </c>
      <c r="B72" s="11">
        <v>1</v>
      </c>
      <c r="C72" s="11" t="s">
        <v>1</v>
      </c>
      <c r="D72" s="20">
        <v>11</v>
      </c>
    </row>
    <row r="73" spans="1:4">
      <c r="A73" s="21" t="str">
        <f t="shared" si="6"/>
        <v>АСУЭ.BMRZ.wLoc</v>
      </c>
      <c r="B73" s="8">
        <v>7200</v>
      </c>
      <c r="C73" s="8" t="s">
        <v>2</v>
      </c>
      <c r="D73" s="22" t="s">
        <v>266</v>
      </c>
    </row>
    <row r="74" spans="1:4">
      <c r="A74" s="217" t="str">
        <f>$R$2&amp;".NotConnected"</f>
        <v>АСУЭ.BMRZ.NotConnected</v>
      </c>
      <c r="B74" s="218">
        <v>11154</v>
      </c>
      <c r="C74" s="218" t="s">
        <v>4</v>
      </c>
      <c r="D74" s="231">
        <f>$Q$7</f>
        <v>12</v>
      </c>
    </row>
    <row r="75" spans="1:4">
      <c r="A75" s="211" t="str">
        <f t="shared" ref="A75:A83" si="7">$R$2&amp;".NotConnected"</f>
        <v>АСУЭ.BMRZ.NotConnected</v>
      </c>
      <c r="B75" s="212">
        <v>11152</v>
      </c>
      <c r="C75" s="212" t="s">
        <v>0</v>
      </c>
      <c r="D75" s="213" t="str">
        <f>$R$7</f>
        <v>Неисправность</v>
      </c>
    </row>
    <row r="76" spans="1:4">
      <c r="A76" s="211" t="str">
        <f t="shared" si="7"/>
        <v>АСУЭ.BMRZ.NotConnected</v>
      </c>
      <c r="B76" s="212">
        <v>11150</v>
      </c>
      <c r="C76" s="212" t="s">
        <v>0</v>
      </c>
      <c r="D76" s="213" t="s">
        <v>448</v>
      </c>
    </row>
    <row r="77" spans="1:4">
      <c r="A77" s="211" t="str">
        <f t="shared" si="7"/>
        <v>АСУЭ.BMRZ.NotConnected</v>
      </c>
      <c r="B77" s="212">
        <v>11000</v>
      </c>
      <c r="C77" s="212" t="s">
        <v>5</v>
      </c>
      <c r="D77" s="213">
        <v>2147483680</v>
      </c>
    </row>
    <row r="78" spans="1:4">
      <c r="A78" s="19" t="str">
        <f t="shared" si="7"/>
        <v>АСУЭ.BMRZ.NotConnected</v>
      </c>
      <c r="B78" s="11">
        <v>7999</v>
      </c>
      <c r="C78" s="11" t="s">
        <v>0</v>
      </c>
      <c r="D78" s="20" t="str">
        <f>"#"&amp;$S$2&amp;"#"&amp;$T$2&amp;"."&amp;$P$2&amp;".NotConnected"</f>
        <v>#3#\\Setup_rza\Modbus.OPCServer\KTP_BMRZ.VV1_BMRZ-04VV.NotConnected</v>
      </c>
    </row>
    <row r="79" spans="1:4">
      <c r="A79" s="19" t="str">
        <f t="shared" si="7"/>
        <v>АСУЭ.BMRZ.NotConnected</v>
      </c>
      <c r="B79" s="11">
        <v>7998</v>
      </c>
      <c r="C79" s="11" t="s">
        <v>6</v>
      </c>
      <c r="D79" s="20">
        <v>1</v>
      </c>
    </row>
    <row r="80" spans="1:4">
      <c r="A80" s="19" t="str">
        <f t="shared" si="7"/>
        <v>АСУЭ.BMRZ.NotConnected</v>
      </c>
      <c r="B80" s="11">
        <v>101</v>
      </c>
      <c r="C80" s="11" t="s">
        <v>0</v>
      </c>
      <c r="D80" s="20" t="s">
        <v>448</v>
      </c>
    </row>
    <row r="81" spans="1:4">
      <c r="A81" s="19" t="str">
        <f t="shared" si="7"/>
        <v>АСУЭ.BMRZ.NotConnected</v>
      </c>
      <c r="B81" s="11">
        <v>3</v>
      </c>
      <c r="C81" s="11" t="s">
        <v>1</v>
      </c>
      <c r="D81" s="20">
        <v>192</v>
      </c>
    </row>
    <row r="82" spans="1:4">
      <c r="A82" s="19" t="str">
        <f t="shared" si="7"/>
        <v>АСУЭ.BMRZ.NotConnected</v>
      </c>
      <c r="B82" s="11">
        <v>2</v>
      </c>
      <c r="C82" s="11" t="s">
        <v>2</v>
      </c>
      <c r="D82" s="20" t="s">
        <v>3</v>
      </c>
    </row>
    <row r="83" spans="1:4">
      <c r="A83" s="21" t="str">
        <f t="shared" si="7"/>
        <v>АСУЭ.BMRZ.NotConnected</v>
      </c>
      <c r="B83" s="8">
        <v>1</v>
      </c>
      <c r="C83" s="8" t="s">
        <v>1</v>
      </c>
      <c r="D83" s="22">
        <v>11</v>
      </c>
    </row>
    <row r="84" spans="1:4">
      <c r="A84" s="211" t="str">
        <f t="shared" ref="A84:A91" si="8">$R$2&amp;".wNotOff"</f>
        <v>АСУЭ.BMRZ.wNotOff</v>
      </c>
      <c r="B84" s="212">
        <v>11154</v>
      </c>
      <c r="C84" s="212" t="s">
        <v>4</v>
      </c>
      <c r="D84" s="213">
        <f>$Q$7</f>
        <v>12</v>
      </c>
    </row>
    <row r="85" spans="1:4">
      <c r="A85" s="211" t="str">
        <f t="shared" si="8"/>
        <v>АСУЭ.BMRZ.wNotOff</v>
      </c>
      <c r="B85" s="212">
        <v>11152</v>
      </c>
      <c r="C85" s="212" t="s">
        <v>0</v>
      </c>
      <c r="D85" s="213" t="str">
        <f>$R$7</f>
        <v>Неисправность</v>
      </c>
    </row>
    <row r="86" spans="1:4">
      <c r="A86" s="211" t="str">
        <f t="shared" si="8"/>
        <v>АСУЭ.BMRZ.wNotOff</v>
      </c>
      <c r="B86" s="212">
        <v>11150</v>
      </c>
      <c r="C86" s="212" t="s">
        <v>0</v>
      </c>
      <c r="D86" s="213" t="s">
        <v>339</v>
      </c>
    </row>
    <row r="87" spans="1:4">
      <c r="A87" s="211" t="str">
        <f t="shared" si="8"/>
        <v>АСУЭ.BMRZ.wNotOff</v>
      </c>
      <c r="B87" s="212">
        <v>11000</v>
      </c>
      <c r="C87" s="212" t="s">
        <v>5</v>
      </c>
      <c r="D87" s="213">
        <v>2147483680</v>
      </c>
    </row>
    <row r="88" spans="1:4">
      <c r="A88" s="19" t="str">
        <f t="shared" si="8"/>
        <v>АСУЭ.BMRZ.wNotOff</v>
      </c>
      <c r="B88" s="11">
        <v>101</v>
      </c>
      <c r="C88" s="11" t="s">
        <v>0</v>
      </c>
      <c r="D88" s="20" t="s">
        <v>339</v>
      </c>
    </row>
    <row r="89" spans="1:4">
      <c r="A89" s="19" t="str">
        <f t="shared" si="8"/>
        <v>АСУЭ.BMRZ.wNotOff</v>
      </c>
      <c r="B89" s="11">
        <v>3</v>
      </c>
      <c r="C89" s="11" t="s">
        <v>1</v>
      </c>
      <c r="D89" s="20">
        <v>192</v>
      </c>
    </row>
    <row r="90" spans="1:4">
      <c r="A90" s="19" t="str">
        <f t="shared" si="8"/>
        <v>АСУЭ.BMRZ.wNotOff</v>
      </c>
      <c r="B90" s="11">
        <v>2</v>
      </c>
      <c r="C90" s="11" t="s">
        <v>2</v>
      </c>
      <c r="D90" s="20" t="s">
        <v>3</v>
      </c>
    </row>
    <row r="91" spans="1:4">
      <c r="A91" s="21" t="str">
        <f t="shared" si="8"/>
        <v>АСУЭ.BMRZ.wNotOff</v>
      </c>
      <c r="B91" s="8">
        <v>1</v>
      </c>
      <c r="C91" s="8" t="s">
        <v>1</v>
      </c>
      <c r="D91" s="22">
        <v>11</v>
      </c>
    </row>
    <row r="92" spans="1:4">
      <c r="A92" s="211" t="str">
        <f t="shared" ref="A92:A99" si="9">$R$2&amp;".wNotOn"</f>
        <v>АСУЭ.BMRZ.wNotOn</v>
      </c>
      <c r="B92" s="212">
        <v>11154</v>
      </c>
      <c r="C92" s="212" t="s">
        <v>4</v>
      </c>
      <c r="D92" s="213">
        <f>$Q$7</f>
        <v>12</v>
      </c>
    </row>
    <row r="93" spans="1:4">
      <c r="A93" s="211" t="str">
        <f t="shared" si="9"/>
        <v>АСУЭ.BMRZ.wNotOn</v>
      </c>
      <c r="B93" s="212">
        <v>11152</v>
      </c>
      <c r="C93" s="212" t="s">
        <v>0</v>
      </c>
      <c r="D93" s="213" t="str">
        <f>$R$7</f>
        <v>Неисправность</v>
      </c>
    </row>
    <row r="94" spans="1:4">
      <c r="A94" s="211" t="str">
        <f t="shared" si="9"/>
        <v>АСУЭ.BMRZ.wNotOn</v>
      </c>
      <c r="B94" s="212">
        <v>11150</v>
      </c>
      <c r="C94" s="212" t="s">
        <v>0</v>
      </c>
      <c r="D94" s="213" t="s">
        <v>340</v>
      </c>
    </row>
    <row r="95" spans="1:4">
      <c r="A95" s="211" t="str">
        <f t="shared" si="9"/>
        <v>АСУЭ.BMRZ.wNotOn</v>
      </c>
      <c r="B95" s="212">
        <v>11000</v>
      </c>
      <c r="C95" s="212" t="s">
        <v>5</v>
      </c>
      <c r="D95" s="213">
        <v>2147483680</v>
      </c>
    </row>
    <row r="96" spans="1:4">
      <c r="A96" s="19" t="str">
        <f t="shared" si="9"/>
        <v>АСУЭ.BMRZ.wNotOn</v>
      </c>
      <c r="B96" s="11">
        <v>101</v>
      </c>
      <c r="C96" s="11" t="s">
        <v>0</v>
      </c>
      <c r="D96" s="20" t="s">
        <v>340</v>
      </c>
    </row>
    <row r="97" spans="1:4">
      <c r="A97" s="19" t="str">
        <f t="shared" si="9"/>
        <v>АСУЭ.BMRZ.wNotOn</v>
      </c>
      <c r="B97" s="11">
        <v>3</v>
      </c>
      <c r="C97" s="11" t="s">
        <v>1</v>
      </c>
      <c r="D97" s="20">
        <v>192</v>
      </c>
    </row>
    <row r="98" spans="1:4">
      <c r="A98" s="19" t="str">
        <f t="shared" si="9"/>
        <v>АСУЭ.BMRZ.wNotOn</v>
      </c>
      <c r="B98" s="11">
        <v>2</v>
      </c>
      <c r="C98" s="11" t="s">
        <v>2</v>
      </c>
      <c r="D98" s="20" t="s">
        <v>3</v>
      </c>
    </row>
    <row r="99" spans="1:4">
      <c r="A99" s="21" t="str">
        <f t="shared" si="9"/>
        <v>АСУЭ.BMRZ.wNotOn</v>
      </c>
      <c r="B99" s="8">
        <v>1</v>
      </c>
      <c r="C99" s="8" t="s">
        <v>1</v>
      </c>
      <c r="D99" s="22">
        <v>11</v>
      </c>
    </row>
    <row r="100" spans="1:4">
      <c r="A100" s="211" t="str">
        <f t="shared" ref="A100:A106" si="10">$R$2&amp;".wDbl"</f>
        <v>АСУЭ.BMRZ.wDbl</v>
      </c>
      <c r="B100" s="212">
        <v>11154</v>
      </c>
      <c r="C100" s="212" t="s">
        <v>4</v>
      </c>
      <c r="D100" s="213">
        <f>$Q$7</f>
        <v>12</v>
      </c>
    </row>
    <row r="101" spans="1:4">
      <c r="A101" s="211" t="str">
        <f t="shared" si="10"/>
        <v>АСУЭ.BMRZ.wDbl</v>
      </c>
      <c r="B101" s="212">
        <v>11152</v>
      </c>
      <c r="C101" s="212" t="s">
        <v>0</v>
      </c>
      <c r="D101" s="213" t="str">
        <f>$R$7</f>
        <v>Неисправность</v>
      </c>
    </row>
    <row r="102" spans="1:4">
      <c r="A102" s="211" t="str">
        <f t="shared" si="10"/>
        <v>АСУЭ.BMRZ.wDbl</v>
      </c>
      <c r="B102" s="212">
        <v>11150</v>
      </c>
      <c r="C102" s="212" t="s">
        <v>0</v>
      </c>
      <c r="D102" s="213" t="s">
        <v>341</v>
      </c>
    </row>
    <row r="103" spans="1:4">
      <c r="A103" s="211" t="str">
        <f t="shared" si="10"/>
        <v>АСУЭ.BMRZ.wDbl</v>
      </c>
      <c r="B103" s="212">
        <v>11000</v>
      </c>
      <c r="C103" s="212" t="s">
        <v>5</v>
      </c>
      <c r="D103" s="213">
        <v>2147483680</v>
      </c>
    </row>
    <row r="104" spans="1:4">
      <c r="A104" s="19" t="str">
        <f t="shared" si="10"/>
        <v>АСУЭ.BMRZ.wDbl</v>
      </c>
      <c r="B104" s="11">
        <v>3</v>
      </c>
      <c r="C104" s="11" t="s">
        <v>1</v>
      </c>
      <c r="D104" s="20">
        <v>192</v>
      </c>
    </row>
    <row r="105" spans="1:4">
      <c r="A105" s="19" t="str">
        <f t="shared" si="10"/>
        <v>АСУЭ.BMRZ.wDbl</v>
      </c>
      <c r="B105" s="11">
        <v>2</v>
      </c>
      <c r="C105" s="11" t="s">
        <v>2</v>
      </c>
      <c r="D105" s="20" t="s">
        <v>3</v>
      </c>
    </row>
    <row r="106" spans="1:4">
      <c r="A106" s="21" t="str">
        <f t="shared" si="10"/>
        <v>АСУЭ.BMRZ.wDbl</v>
      </c>
      <c r="B106" s="8">
        <v>1</v>
      </c>
      <c r="C106" s="8" t="s">
        <v>1</v>
      </c>
      <c r="D106" s="22">
        <v>11</v>
      </c>
    </row>
    <row r="107" spans="1:4">
      <c r="A107" s="211" t="str">
        <f t="shared" ref="A107:A113" si="11">$R$2&amp;".wUnkw"</f>
        <v>АСУЭ.BMRZ.wUnkw</v>
      </c>
      <c r="B107" s="212">
        <v>11154</v>
      </c>
      <c r="C107" s="212" t="s">
        <v>4</v>
      </c>
      <c r="D107" s="213">
        <f>$Q$7</f>
        <v>12</v>
      </c>
    </row>
    <row r="108" spans="1:4">
      <c r="A108" s="211" t="str">
        <f t="shared" si="11"/>
        <v>АСУЭ.BMRZ.wUnkw</v>
      </c>
      <c r="B108" s="212">
        <v>11152</v>
      </c>
      <c r="C108" s="212" t="s">
        <v>0</v>
      </c>
      <c r="D108" s="213" t="str">
        <f>$R$7</f>
        <v>Неисправность</v>
      </c>
    </row>
    <row r="109" spans="1:4">
      <c r="A109" s="211" t="str">
        <f t="shared" si="11"/>
        <v>АСУЭ.BMRZ.wUnkw</v>
      </c>
      <c r="B109" s="212">
        <v>11150</v>
      </c>
      <c r="C109" s="212" t="s">
        <v>0</v>
      </c>
      <c r="D109" s="213" t="s">
        <v>342</v>
      </c>
    </row>
    <row r="110" spans="1:4">
      <c r="A110" s="211" t="str">
        <f t="shared" si="11"/>
        <v>АСУЭ.BMRZ.wUnkw</v>
      </c>
      <c r="B110" s="212">
        <v>11000</v>
      </c>
      <c r="C110" s="212" t="s">
        <v>5</v>
      </c>
      <c r="D110" s="213">
        <v>2147483680</v>
      </c>
    </row>
    <row r="111" spans="1:4">
      <c r="A111" s="19" t="str">
        <f t="shared" si="11"/>
        <v>АСУЭ.BMRZ.wUnkw</v>
      </c>
      <c r="B111" s="11">
        <v>3</v>
      </c>
      <c r="C111" s="11" t="s">
        <v>1</v>
      </c>
      <c r="D111" s="20">
        <v>192</v>
      </c>
    </row>
    <row r="112" spans="1:4">
      <c r="A112" s="19" t="str">
        <f t="shared" si="11"/>
        <v>АСУЭ.BMRZ.wUnkw</v>
      </c>
      <c r="B112" s="11">
        <v>2</v>
      </c>
      <c r="C112" s="11" t="s">
        <v>2</v>
      </c>
      <c r="D112" s="20" t="s">
        <v>3</v>
      </c>
    </row>
    <row r="113" spans="1:4">
      <c r="A113" s="21" t="str">
        <f t="shared" si="11"/>
        <v>АСУЭ.BMRZ.wUnkw</v>
      </c>
      <c r="B113" s="8">
        <v>1</v>
      </c>
      <c r="C113" s="8" t="s">
        <v>1</v>
      </c>
      <c r="D113" s="22">
        <v>11</v>
      </c>
    </row>
    <row r="114" spans="1:4">
      <c r="A114" s="19" t="str">
        <f t="shared" ref="A114:A125" si="12">$R$2&amp;".stOff"</f>
        <v>АСУЭ.BMRZ.stOff</v>
      </c>
      <c r="B114" s="11">
        <v>7000000</v>
      </c>
      <c r="C114" s="11" t="s">
        <v>6</v>
      </c>
      <c r="D114" s="20">
        <v>1</v>
      </c>
    </row>
    <row r="115" spans="1:4" ht="15.75" customHeight="1">
      <c r="A115" s="19" t="str">
        <f t="shared" si="12"/>
        <v>АСУЭ.BMRZ.stOff</v>
      </c>
      <c r="B115" s="11">
        <v>4000000</v>
      </c>
      <c r="C115" s="11" t="s">
        <v>0</v>
      </c>
      <c r="D115" s="72" t="s">
        <v>396</v>
      </c>
    </row>
    <row r="116" spans="1:4">
      <c r="A116" s="100" t="str">
        <f t="shared" si="12"/>
        <v>АСУЭ.BMRZ.stOff</v>
      </c>
      <c r="B116" s="101">
        <v>11154</v>
      </c>
      <c r="C116" s="101" t="s">
        <v>4</v>
      </c>
      <c r="D116" s="102">
        <f>$Q$8</f>
        <v>18</v>
      </c>
    </row>
    <row r="117" spans="1:4">
      <c r="A117" s="100" t="str">
        <f t="shared" si="12"/>
        <v>АСУЭ.BMRZ.stOff</v>
      </c>
      <c r="B117" s="101">
        <v>11150</v>
      </c>
      <c r="C117" s="101" t="s">
        <v>0</v>
      </c>
      <c r="D117" s="103" t="s">
        <v>336</v>
      </c>
    </row>
    <row r="118" spans="1:4">
      <c r="A118" s="100" t="str">
        <f t="shared" si="12"/>
        <v>АСУЭ.BMRZ.stOff</v>
      </c>
      <c r="B118" s="101">
        <v>11152</v>
      </c>
      <c r="C118" s="101" t="s">
        <v>0</v>
      </c>
      <c r="D118" s="104" t="str">
        <f>$R$8</f>
        <v>Телесигнализация</v>
      </c>
    </row>
    <row r="119" spans="1:4">
      <c r="A119" s="100" t="str">
        <f t="shared" si="12"/>
        <v>АСУЭ.BMRZ.stOff</v>
      </c>
      <c r="B119" s="101">
        <v>11000</v>
      </c>
      <c r="C119" s="101" t="s">
        <v>5</v>
      </c>
      <c r="D119" s="103">
        <v>2147483680</v>
      </c>
    </row>
    <row r="120" spans="1:4">
      <c r="A120" s="19" t="str">
        <f t="shared" si="12"/>
        <v>АСУЭ.BMRZ.stOff</v>
      </c>
      <c r="B120" s="11">
        <v>7999</v>
      </c>
      <c r="C120" s="11" t="s">
        <v>0</v>
      </c>
      <c r="D120" s="20" t="str">
        <f>"#"&amp;$S$2&amp;"#"&amp;$T$2&amp;"."&amp;$P$2&amp;".Reg_Dsign_bit7"</f>
        <v>#3#\\Setup_rza\Modbus.OPCServer\KTP_BMRZ.VV1_BMRZ-04VV.Reg_Dsign_bit7</v>
      </c>
    </row>
    <row r="121" spans="1:4">
      <c r="A121" s="19" t="str">
        <f t="shared" si="12"/>
        <v>АСУЭ.BMRZ.stOff</v>
      </c>
      <c r="B121" s="11">
        <v>7998</v>
      </c>
      <c r="C121" s="11" t="s">
        <v>6</v>
      </c>
      <c r="D121" s="20">
        <v>1</v>
      </c>
    </row>
    <row r="122" spans="1:4">
      <c r="A122" s="19" t="str">
        <f t="shared" si="12"/>
        <v>АСУЭ.BMRZ.stOff</v>
      </c>
      <c r="B122" s="11">
        <v>101</v>
      </c>
      <c r="C122" s="11" t="s">
        <v>0</v>
      </c>
      <c r="D122" s="20" t="s">
        <v>336</v>
      </c>
    </row>
    <row r="123" spans="1:4">
      <c r="A123" s="19" t="str">
        <f t="shared" si="12"/>
        <v>АСУЭ.BMRZ.stOff</v>
      </c>
      <c r="B123" s="11">
        <v>3</v>
      </c>
      <c r="C123" s="11" t="s">
        <v>1</v>
      </c>
      <c r="D123" s="20">
        <v>192</v>
      </c>
    </row>
    <row r="124" spans="1:4">
      <c r="A124" s="19" t="str">
        <f t="shared" si="12"/>
        <v>АСУЭ.BMRZ.stOff</v>
      </c>
      <c r="B124" s="11">
        <v>2</v>
      </c>
      <c r="C124" s="11" t="s">
        <v>2</v>
      </c>
      <c r="D124" s="20" t="s">
        <v>3</v>
      </c>
    </row>
    <row r="125" spans="1:4">
      <c r="A125" s="21" t="str">
        <f t="shared" si="12"/>
        <v>АСУЭ.BMRZ.stOff</v>
      </c>
      <c r="B125" s="8">
        <v>1</v>
      </c>
      <c r="C125" s="8" t="s">
        <v>1</v>
      </c>
      <c r="D125" s="22">
        <v>11</v>
      </c>
    </row>
    <row r="126" spans="1:4">
      <c r="A126" s="19" t="str">
        <f t="shared" ref="A126:A137" si="13">$R$2&amp;".stOn"</f>
        <v>АСУЭ.BMRZ.stOn</v>
      </c>
      <c r="B126" s="11">
        <v>7000000</v>
      </c>
      <c r="C126" s="11" t="s">
        <v>6</v>
      </c>
      <c r="D126" s="20">
        <v>1</v>
      </c>
    </row>
    <row r="127" spans="1:4" ht="15.75" customHeight="1">
      <c r="A127" s="19" t="str">
        <f t="shared" si="13"/>
        <v>АСУЭ.BMRZ.stOn</v>
      </c>
      <c r="B127" s="11">
        <v>4000000</v>
      </c>
      <c r="C127" s="11" t="s">
        <v>0</v>
      </c>
      <c r="D127" s="72" t="s">
        <v>396</v>
      </c>
    </row>
    <row r="128" spans="1:4">
      <c r="A128" s="100" t="str">
        <f t="shared" si="13"/>
        <v>АСУЭ.BMRZ.stOn</v>
      </c>
      <c r="B128" s="101">
        <v>11154</v>
      </c>
      <c r="C128" s="101" t="s">
        <v>4</v>
      </c>
      <c r="D128" s="102">
        <f>$Q$8</f>
        <v>18</v>
      </c>
    </row>
    <row r="129" spans="1:4">
      <c r="A129" s="100" t="str">
        <f t="shared" si="13"/>
        <v>АСУЭ.BMRZ.stOn</v>
      </c>
      <c r="B129" s="101">
        <v>11150</v>
      </c>
      <c r="C129" s="101" t="s">
        <v>0</v>
      </c>
      <c r="D129" s="103" t="s">
        <v>337</v>
      </c>
    </row>
    <row r="130" spans="1:4">
      <c r="A130" s="100" t="str">
        <f t="shared" si="13"/>
        <v>АСУЭ.BMRZ.stOn</v>
      </c>
      <c r="B130" s="101">
        <v>11152</v>
      </c>
      <c r="C130" s="101" t="s">
        <v>0</v>
      </c>
      <c r="D130" s="104" t="str">
        <f>$R$8</f>
        <v>Телесигнализация</v>
      </c>
    </row>
    <row r="131" spans="1:4">
      <c r="A131" s="100" t="str">
        <f t="shared" si="13"/>
        <v>АСУЭ.BMRZ.stOn</v>
      </c>
      <c r="B131" s="101">
        <v>11000</v>
      </c>
      <c r="C131" s="101" t="s">
        <v>5</v>
      </c>
      <c r="D131" s="103">
        <v>2147483680</v>
      </c>
    </row>
    <row r="132" spans="1:4">
      <c r="A132" s="19" t="str">
        <f t="shared" si="13"/>
        <v>АСУЭ.BMRZ.stOn</v>
      </c>
      <c r="B132" s="11">
        <v>7999</v>
      </c>
      <c r="C132" s="11" t="s">
        <v>0</v>
      </c>
      <c r="D132" s="20" t="str">
        <f>"#"&amp;$S$2&amp;"#"&amp;$T$2&amp;"."&amp;$P$2&amp;".Reg_Dsign_bit8"</f>
        <v>#3#\\Setup_rza\Modbus.OPCServer\KTP_BMRZ.VV1_BMRZ-04VV.Reg_Dsign_bit8</v>
      </c>
    </row>
    <row r="133" spans="1:4">
      <c r="A133" s="19" t="str">
        <f t="shared" si="13"/>
        <v>АСУЭ.BMRZ.stOn</v>
      </c>
      <c r="B133" s="11">
        <v>7998</v>
      </c>
      <c r="C133" s="11" t="s">
        <v>6</v>
      </c>
      <c r="D133" s="20">
        <v>1</v>
      </c>
    </row>
    <row r="134" spans="1:4">
      <c r="A134" s="19" t="str">
        <f t="shared" si="13"/>
        <v>АСУЭ.BMRZ.stOn</v>
      </c>
      <c r="B134" s="11">
        <v>101</v>
      </c>
      <c r="C134" s="11" t="s">
        <v>0</v>
      </c>
      <c r="D134" s="20" t="s">
        <v>337</v>
      </c>
    </row>
    <row r="135" spans="1:4">
      <c r="A135" s="19" t="str">
        <f t="shared" si="13"/>
        <v>АСУЭ.BMRZ.stOn</v>
      </c>
      <c r="B135" s="11">
        <v>3</v>
      </c>
      <c r="C135" s="11" t="s">
        <v>1</v>
      </c>
      <c r="D135" s="20">
        <v>192</v>
      </c>
    </row>
    <row r="136" spans="1:4">
      <c r="A136" s="19" t="str">
        <f t="shared" si="13"/>
        <v>АСУЭ.BMRZ.stOn</v>
      </c>
      <c r="B136" s="11">
        <v>2</v>
      </c>
      <c r="C136" s="11" t="s">
        <v>2</v>
      </c>
      <c r="D136" s="20" t="s">
        <v>3</v>
      </c>
    </row>
    <row r="137" spans="1:4">
      <c r="A137" s="21" t="str">
        <f t="shared" si="13"/>
        <v>АСУЭ.BMRZ.stOn</v>
      </c>
      <c r="B137" s="8">
        <v>1</v>
      </c>
      <c r="C137" s="8" t="s">
        <v>1</v>
      </c>
      <c r="D137" s="22">
        <v>11</v>
      </c>
    </row>
    <row r="138" spans="1:4">
      <c r="A138" s="100" t="str">
        <f t="shared" ref="A138:A147" si="14">$R$2&amp;".avrOn"</f>
        <v>АСУЭ.BMRZ.avrOn</v>
      </c>
      <c r="B138" s="101">
        <v>11154</v>
      </c>
      <c r="C138" s="101" t="s">
        <v>4</v>
      </c>
      <c r="D138" s="102">
        <f>$Q$8</f>
        <v>18</v>
      </c>
    </row>
    <row r="139" spans="1:4">
      <c r="A139" s="100" t="str">
        <f t="shared" si="14"/>
        <v>АСУЭ.BMRZ.avrOn</v>
      </c>
      <c r="B139" s="101">
        <v>11150</v>
      </c>
      <c r="C139" s="101" t="s">
        <v>0</v>
      </c>
      <c r="D139" s="103" t="s">
        <v>1581</v>
      </c>
    </row>
    <row r="140" spans="1:4">
      <c r="A140" s="100" t="str">
        <f t="shared" si="14"/>
        <v>АСУЭ.BMRZ.avrOn</v>
      </c>
      <c r="B140" s="101">
        <v>11152</v>
      </c>
      <c r="C140" s="101" t="s">
        <v>0</v>
      </c>
      <c r="D140" s="104" t="str">
        <f>$R$8</f>
        <v>Телесигнализация</v>
      </c>
    </row>
    <row r="141" spans="1:4">
      <c r="A141" s="100" t="str">
        <f t="shared" si="14"/>
        <v>АСУЭ.BMRZ.avrOn</v>
      </c>
      <c r="B141" s="101">
        <v>11000</v>
      </c>
      <c r="C141" s="101" t="s">
        <v>5</v>
      </c>
      <c r="D141" s="103">
        <v>2147483680</v>
      </c>
    </row>
    <row r="142" spans="1:4">
      <c r="A142" s="19" t="str">
        <f t="shared" si="14"/>
        <v>АСУЭ.BMRZ.avrOn</v>
      </c>
      <c r="B142" s="11">
        <v>7999</v>
      </c>
      <c r="C142" s="11" t="s">
        <v>0</v>
      </c>
      <c r="D142" s="20" t="str">
        <f>"#"&amp;$S$2&amp;"#"&amp;$T$2&amp;"."&amp;$P$2&amp;".Reg_Dsign_bit105"</f>
        <v>#3#\\Setup_rza\Modbus.OPCServer\KTP_BMRZ.VV1_BMRZ-04VV.Reg_Dsign_bit105</v>
      </c>
    </row>
    <row r="143" spans="1:4">
      <c r="A143" s="19" t="str">
        <f t="shared" si="14"/>
        <v>АСУЭ.BMRZ.avrOn</v>
      </c>
      <c r="B143" s="11">
        <v>7998</v>
      </c>
      <c r="C143" s="11" t="s">
        <v>6</v>
      </c>
      <c r="D143" s="20">
        <v>1</v>
      </c>
    </row>
    <row r="144" spans="1:4">
      <c r="A144" s="19" t="str">
        <f t="shared" si="14"/>
        <v>АСУЭ.BMRZ.avrOn</v>
      </c>
      <c r="B144" s="11">
        <v>101</v>
      </c>
      <c r="C144" s="11" t="s">
        <v>0</v>
      </c>
      <c r="D144" s="20" t="s">
        <v>1581</v>
      </c>
    </row>
    <row r="145" spans="1:4">
      <c r="A145" s="19" t="str">
        <f t="shared" si="14"/>
        <v>АСУЭ.BMRZ.avrOn</v>
      </c>
      <c r="B145" s="11">
        <v>3</v>
      </c>
      <c r="C145" s="11" t="s">
        <v>1</v>
      </c>
      <c r="D145" s="20">
        <v>192</v>
      </c>
    </row>
    <row r="146" spans="1:4">
      <c r="A146" s="19" t="str">
        <f t="shared" si="14"/>
        <v>АСУЭ.BMRZ.avrOn</v>
      </c>
      <c r="B146" s="11">
        <v>2</v>
      </c>
      <c r="C146" s="11" t="s">
        <v>2</v>
      </c>
      <c r="D146" s="20" t="s">
        <v>3</v>
      </c>
    </row>
    <row r="147" spans="1:4">
      <c r="A147" s="21" t="str">
        <f t="shared" si="14"/>
        <v>АСУЭ.BMRZ.avrOn</v>
      </c>
      <c r="B147" s="8">
        <v>1</v>
      </c>
      <c r="C147" s="8" t="s">
        <v>1</v>
      </c>
      <c r="D147" s="22">
        <v>11</v>
      </c>
    </row>
    <row r="148" spans="1:4">
      <c r="A148" s="100" t="str">
        <f t="shared" ref="A148:A156" si="15">$R$2&amp;".stTOn"</f>
        <v>АСУЭ.BMRZ.stTOn</v>
      </c>
      <c r="B148" s="101">
        <v>11154</v>
      </c>
      <c r="C148" s="101" t="s">
        <v>4</v>
      </c>
      <c r="D148" s="102">
        <f>$Q$8</f>
        <v>18</v>
      </c>
    </row>
    <row r="149" spans="1:4">
      <c r="A149" s="100" t="str">
        <f t="shared" si="15"/>
        <v>АСУЭ.BMRZ.stTOn</v>
      </c>
      <c r="B149" s="101">
        <v>11150</v>
      </c>
      <c r="C149" s="101" t="s">
        <v>0</v>
      </c>
      <c r="D149" s="103" t="s">
        <v>1850</v>
      </c>
    </row>
    <row r="150" spans="1:4">
      <c r="A150" s="100" t="str">
        <f t="shared" si="15"/>
        <v>АСУЭ.BMRZ.stTOn</v>
      </c>
      <c r="B150" s="101">
        <v>11152</v>
      </c>
      <c r="C150" s="101" t="s">
        <v>0</v>
      </c>
      <c r="D150" s="104" t="str">
        <f>$R$8</f>
        <v>Телесигнализация</v>
      </c>
    </row>
    <row r="151" spans="1:4">
      <c r="A151" s="100" t="str">
        <f t="shared" si="15"/>
        <v>АСУЭ.BMRZ.stTOn</v>
      </c>
      <c r="B151" s="101">
        <v>11000</v>
      </c>
      <c r="C151" s="101" t="s">
        <v>5</v>
      </c>
      <c r="D151" s="103">
        <v>2147483680</v>
      </c>
    </row>
    <row r="152" spans="1:4">
      <c r="A152" s="19" t="str">
        <f t="shared" si="15"/>
        <v>АСУЭ.BMRZ.stTOn</v>
      </c>
      <c r="B152">
        <v>3000000</v>
      </c>
      <c r="C152" t="s">
        <v>0</v>
      </c>
      <c r="D152" t="s">
        <v>1877</v>
      </c>
    </row>
    <row r="153" spans="1:4">
      <c r="A153" s="19" t="str">
        <f t="shared" si="15"/>
        <v>АСУЭ.BMRZ.stTOn</v>
      </c>
      <c r="B153" s="11">
        <v>101</v>
      </c>
      <c r="C153" s="11" t="s">
        <v>0</v>
      </c>
      <c r="D153" s="20" t="s">
        <v>1850</v>
      </c>
    </row>
    <row r="154" spans="1:4">
      <c r="A154" s="19" t="str">
        <f t="shared" si="15"/>
        <v>АСУЭ.BMRZ.stTOn</v>
      </c>
      <c r="B154" s="11">
        <v>3</v>
      </c>
      <c r="C154" s="11" t="s">
        <v>1</v>
      </c>
      <c r="D154" s="20">
        <v>192</v>
      </c>
    </row>
    <row r="155" spans="1:4">
      <c r="A155" s="19" t="str">
        <f t="shared" si="15"/>
        <v>АСУЭ.BMRZ.stTOn</v>
      </c>
      <c r="B155" s="11">
        <v>2</v>
      </c>
      <c r="C155" s="11" t="s">
        <v>2</v>
      </c>
      <c r="D155" s="20" t="s">
        <v>3</v>
      </c>
    </row>
    <row r="156" spans="1:4">
      <c r="A156" s="21" t="str">
        <f t="shared" si="15"/>
        <v>АСУЭ.BMRZ.stTOn</v>
      </c>
      <c r="B156" s="8">
        <v>1</v>
      </c>
      <c r="C156" s="8" t="s">
        <v>1</v>
      </c>
      <c r="D156" s="22">
        <v>11</v>
      </c>
    </row>
    <row r="157" spans="1:4">
      <c r="A157" s="100" t="str">
        <f>$R$2&amp;".stTOff"</f>
        <v>АСУЭ.BMRZ.stTOff</v>
      </c>
      <c r="B157" s="101">
        <v>11154</v>
      </c>
      <c r="C157" s="101" t="s">
        <v>4</v>
      </c>
      <c r="D157" s="102">
        <f>$Q$8</f>
        <v>18</v>
      </c>
    </row>
    <row r="158" spans="1:4">
      <c r="A158" s="100" t="str">
        <f t="shared" ref="A158:A166" si="16">$R$2&amp;".stTOff"</f>
        <v>АСУЭ.BMRZ.stTOff</v>
      </c>
      <c r="B158" s="101">
        <v>11150</v>
      </c>
      <c r="C158" s="101" t="s">
        <v>0</v>
      </c>
      <c r="D158" s="103" t="s">
        <v>1851</v>
      </c>
    </row>
    <row r="159" spans="1:4">
      <c r="A159" s="100" t="str">
        <f t="shared" si="16"/>
        <v>АСУЭ.BMRZ.stTOff</v>
      </c>
      <c r="B159" s="101">
        <v>11152</v>
      </c>
      <c r="C159" s="101" t="s">
        <v>0</v>
      </c>
      <c r="D159" s="104" t="str">
        <f>$R$8</f>
        <v>Телесигнализация</v>
      </c>
    </row>
    <row r="160" spans="1:4">
      <c r="A160" s="100" t="str">
        <f t="shared" si="16"/>
        <v>АСУЭ.BMRZ.stTOff</v>
      </c>
      <c r="B160" s="101">
        <v>11000</v>
      </c>
      <c r="C160" s="101" t="s">
        <v>5</v>
      </c>
      <c r="D160" s="103">
        <v>2147483680</v>
      </c>
    </row>
    <row r="161" spans="1:4">
      <c r="A161" s="19" t="str">
        <f t="shared" si="16"/>
        <v>АСУЭ.BMRZ.stTOff</v>
      </c>
      <c r="B161" s="11">
        <v>7999</v>
      </c>
      <c r="C161" s="11" t="s">
        <v>0</v>
      </c>
      <c r="D161" s="20" t="str">
        <f>"#"&amp;$S$2&amp;"#"&amp;$T$2&amp;"."&amp;$P$2&amp;".Reg_Dsign_bit0"</f>
        <v>#3#\\Setup_rza\Modbus.OPCServer\KTP_BMRZ.VV1_BMRZ-04VV.Reg_Dsign_bit0</v>
      </c>
    </row>
    <row r="162" spans="1:4">
      <c r="A162" s="19" t="str">
        <f t="shared" si="16"/>
        <v>АСУЭ.BMRZ.stTOff</v>
      </c>
      <c r="B162" s="11">
        <v>7998</v>
      </c>
      <c r="C162" s="11" t="s">
        <v>6</v>
      </c>
      <c r="D162" s="20">
        <v>1</v>
      </c>
    </row>
    <row r="163" spans="1:4">
      <c r="A163" s="19" t="str">
        <f t="shared" si="16"/>
        <v>АСУЭ.BMRZ.stTOff</v>
      </c>
      <c r="B163" s="11">
        <v>101</v>
      </c>
      <c r="C163" s="11" t="s">
        <v>0</v>
      </c>
      <c r="D163" s="20" t="s">
        <v>1851</v>
      </c>
    </row>
    <row r="164" spans="1:4">
      <c r="A164" s="19" t="str">
        <f t="shared" si="16"/>
        <v>АСУЭ.BMRZ.stTOff</v>
      </c>
      <c r="B164" s="11">
        <v>3</v>
      </c>
      <c r="C164" s="11" t="s">
        <v>1</v>
      </c>
      <c r="D164" s="20">
        <v>192</v>
      </c>
    </row>
    <row r="165" spans="1:4">
      <c r="A165" s="19" t="str">
        <f t="shared" si="16"/>
        <v>АСУЭ.BMRZ.stTOff</v>
      </c>
      <c r="B165" s="11">
        <v>2</v>
      </c>
      <c r="C165" s="11" t="s">
        <v>2</v>
      </c>
      <c r="D165" s="20" t="s">
        <v>3</v>
      </c>
    </row>
    <row r="166" spans="1:4">
      <c r="A166" s="21" t="str">
        <f t="shared" si="16"/>
        <v>АСУЭ.BMRZ.stTOff</v>
      </c>
      <c r="B166" s="8">
        <v>1</v>
      </c>
      <c r="C166" s="8" t="s">
        <v>1</v>
      </c>
      <c r="D166" s="22">
        <v>11</v>
      </c>
    </row>
    <row r="167" spans="1:4">
      <c r="A167" s="16" t="str">
        <f t="shared" ref="A167:A174" si="17">$R$2&amp;".Commands.coRepair"</f>
        <v>АСУЭ.BMRZ.Commands.coRepair</v>
      </c>
      <c r="B167" s="17">
        <v>7011</v>
      </c>
      <c r="C167" s="17" t="s">
        <v>2</v>
      </c>
      <c r="D167" s="18" t="s">
        <v>266</v>
      </c>
    </row>
    <row r="168" spans="1:4">
      <c r="A168" s="140" t="str">
        <f t="shared" si="17"/>
        <v>АСУЭ.BMRZ.Commands.coRepair</v>
      </c>
      <c r="B168" s="141">
        <v>11152</v>
      </c>
      <c r="C168" s="141" t="s">
        <v>0</v>
      </c>
      <c r="D168" s="142" t="str">
        <f>$R$11</f>
        <v>Ремонт</v>
      </c>
    </row>
    <row r="169" spans="1:4">
      <c r="A169" s="140" t="str">
        <f t="shared" si="17"/>
        <v>АСУЭ.BMRZ.Commands.coRepair</v>
      </c>
      <c r="B169" s="141">
        <v>11154</v>
      </c>
      <c r="C169" s="141" t="s">
        <v>4</v>
      </c>
      <c r="D169" s="142">
        <f>$Q$11</f>
        <v>14</v>
      </c>
    </row>
    <row r="170" spans="1:4">
      <c r="A170" s="140" t="str">
        <f t="shared" si="17"/>
        <v>АСУЭ.BMRZ.Commands.coRepair</v>
      </c>
      <c r="B170" s="141">
        <v>11150</v>
      </c>
      <c r="C170" s="141" t="s">
        <v>0</v>
      </c>
      <c r="D170" s="142" t="s">
        <v>89</v>
      </c>
    </row>
    <row r="171" spans="1:4">
      <c r="A171" s="140" t="str">
        <f t="shared" si="17"/>
        <v>АСУЭ.BMRZ.Commands.coRepair</v>
      </c>
      <c r="B171" s="141">
        <v>11000</v>
      </c>
      <c r="C171" s="141" t="s">
        <v>5</v>
      </c>
      <c r="D171" s="142">
        <v>2147483680</v>
      </c>
    </row>
    <row r="172" spans="1:4">
      <c r="A172" s="19" t="str">
        <f t="shared" si="17"/>
        <v>АСУЭ.BMRZ.Commands.coRepair</v>
      </c>
      <c r="B172" s="11">
        <v>1</v>
      </c>
      <c r="C172" s="11" t="s">
        <v>1</v>
      </c>
      <c r="D172" s="20">
        <v>11</v>
      </c>
    </row>
    <row r="173" spans="1:4" ht="14.25" customHeight="1">
      <c r="A173" s="29" t="str">
        <f t="shared" si="17"/>
        <v>АСУЭ.BMRZ.Commands.coRepair</v>
      </c>
      <c r="B173" s="1">
        <v>4000000</v>
      </c>
      <c r="C173" s="1" t="s">
        <v>0</v>
      </c>
      <c r="D173" s="611" t="s">
        <v>2914</v>
      </c>
    </row>
    <row r="174" spans="1:4">
      <c r="A174" s="26" t="str">
        <f t="shared" si="17"/>
        <v>АСУЭ.BMRZ.Commands.coRepair</v>
      </c>
      <c r="B174" s="27">
        <v>7000000</v>
      </c>
      <c r="C174" s="27" t="s">
        <v>6</v>
      </c>
      <c r="D174" s="28">
        <v>2</v>
      </c>
    </row>
    <row r="175" spans="1:4">
      <c r="A175" s="19" t="str">
        <f>$R$2&amp;".Commands.resetMax"</f>
        <v>АСУЭ.BMRZ.Commands.resetMax</v>
      </c>
      <c r="B175" s="11">
        <v>101</v>
      </c>
      <c r="C175" s="11" t="s">
        <v>0</v>
      </c>
      <c r="D175" s="20" t="s">
        <v>390</v>
      </c>
    </row>
    <row r="176" spans="1:4">
      <c r="A176" s="19" t="str">
        <f>$R$2&amp;".Commands.resetMax"</f>
        <v>АСУЭ.BMRZ.Commands.resetMax</v>
      </c>
      <c r="B176" s="11">
        <v>7999</v>
      </c>
      <c r="C176" s="11" t="s">
        <v>0</v>
      </c>
      <c r="D176" s="20" t="str">
        <f>"#"&amp;$S$2&amp;"#"&amp;$T$2&amp;"."&amp;$P$2&amp;".Commands.SysCmd_Clr_Max"</f>
        <v>#3#\\Setup_rza\Modbus.OPCServer\KTP_BMRZ.VV1_BMRZ-04VV.Commands.SysCmd_Clr_Max</v>
      </c>
    </row>
    <row r="177" spans="1:4">
      <c r="A177" s="19" t="str">
        <f>$R$2&amp;".Commands.resetMax"</f>
        <v>АСУЭ.BMRZ.Commands.resetMax</v>
      </c>
      <c r="B177" s="11">
        <v>7998</v>
      </c>
      <c r="C177" s="11" t="s">
        <v>6</v>
      </c>
      <c r="D177" s="20">
        <v>2</v>
      </c>
    </row>
    <row r="178" spans="1:4">
      <c r="A178" s="21" t="str">
        <f>$R$2&amp;".Commands.resetMax"</f>
        <v>АСУЭ.BMRZ.Commands.resetMax</v>
      </c>
      <c r="B178" s="8">
        <v>1</v>
      </c>
      <c r="C178" s="8" t="s">
        <v>1</v>
      </c>
      <c r="D178" s="22">
        <v>11</v>
      </c>
    </row>
    <row r="179" spans="1:4">
      <c r="A179" s="19" t="str">
        <f>$R$2&amp;".Commands.avrOff"</f>
        <v>АСУЭ.BMRZ.Commands.avrOff</v>
      </c>
      <c r="B179" s="11">
        <v>101</v>
      </c>
      <c r="C179" s="11" t="s">
        <v>0</v>
      </c>
      <c r="D179" s="20" t="s">
        <v>1582</v>
      </c>
    </row>
    <row r="180" spans="1:4">
      <c r="A180" s="19" t="str">
        <f>$R$2&amp;".Commands.avrOff"</f>
        <v>АСУЭ.BMRZ.Commands.avrOff</v>
      </c>
      <c r="B180" s="11">
        <v>7999</v>
      </c>
      <c r="C180" s="11" t="s">
        <v>0</v>
      </c>
      <c r="D180" s="20" t="str">
        <f>"#"&amp;$S$2&amp;"#"&amp;$T$2&amp;"."&amp;$P$2&amp;".Commands.AVR_Comm_Off"</f>
        <v>#3#\\Setup_rza\Modbus.OPCServer\KTP_BMRZ.VV1_BMRZ-04VV.Commands.AVR_Comm_Off</v>
      </c>
    </row>
    <row r="181" spans="1:4">
      <c r="A181" s="19" t="str">
        <f>$R$2&amp;".Commands.avrOff"</f>
        <v>АСУЭ.BMRZ.Commands.avrOff</v>
      </c>
      <c r="B181" s="11">
        <v>7998</v>
      </c>
      <c r="C181" s="11" t="s">
        <v>6</v>
      </c>
      <c r="D181" s="20">
        <v>2</v>
      </c>
    </row>
    <row r="182" spans="1:4">
      <c r="A182" s="21" t="str">
        <f>$R$2&amp;".Commands.avrOff"</f>
        <v>АСУЭ.BMRZ.Commands.avrOff</v>
      </c>
      <c r="B182" s="8">
        <v>1</v>
      </c>
      <c r="C182" s="8" t="s">
        <v>1</v>
      </c>
      <c r="D182" s="22">
        <v>11</v>
      </c>
    </row>
    <row r="183" spans="1:4">
      <c r="A183" s="19" t="str">
        <f>$R$2&amp;".Commands.avrOn"</f>
        <v>АСУЭ.BMRZ.Commands.avrOn</v>
      </c>
      <c r="B183" s="11">
        <v>101</v>
      </c>
      <c r="C183" s="11" t="s">
        <v>0</v>
      </c>
      <c r="D183" s="20" t="s">
        <v>1583</v>
      </c>
    </row>
    <row r="184" spans="1:4">
      <c r="A184" s="19" t="str">
        <f>$R$2&amp;".Commands.avrOn"</f>
        <v>АСУЭ.BMRZ.Commands.avrOn</v>
      </c>
      <c r="B184" s="11">
        <v>7999</v>
      </c>
      <c r="C184" s="11" t="s">
        <v>0</v>
      </c>
      <c r="D184" s="20" t="str">
        <f>"#"&amp;$S$2&amp;"#"&amp;$T$2&amp;"."&amp;$P$2&amp;".Commands.AVR_Comm_On"</f>
        <v>#3#\\Setup_rza\Modbus.OPCServer\KTP_BMRZ.VV1_BMRZ-04VV.Commands.AVR_Comm_On</v>
      </c>
    </row>
    <row r="185" spans="1:4">
      <c r="A185" s="19" t="str">
        <f>$R$2&amp;".Commands.avrOn"</f>
        <v>АСУЭ.BMRZ.Commands.avrOn</v>
      </c>
      <c r="B185" s="11">
        <v>7998</v>
      </c>
      <c r="C185" s="11" t="s">
        <v>6</v>
      </c>
      <c r="D185" s="20">
        <v>2</v>
      </c>
    </row>
    <row r="186" spans="1:4">
      <c r="A186" s="21" t="str">
        <f>$R$2&amp;".Commands.avrOn"</f>
        <v>АСУЭ.BMRZ.Commands.avrOn</v>
      </c>
      <c r="B186" s="8">
        <v>1</v>
      </c>
      <c r="C186" s="8" t="s">
        <v>1</v>
      </c>
      <c r="D186" s="22">
        <v>11</v>
      </c>
    </row>
    <row r="187" spans="1:4">
      <c r="A187" s="16" t="str">
        <f t="shared" ref="A187:A192" si="18">$R$2&amp;".Commands.coOn"</f>
        <v>АСУЭ.BMRZ.Commands.coOn</v>
      </c>
      <c r="B187" s="17">
        <v>7000000</v>
      </c>
      <c r="C187" s="17" t="s">
        <v>6</v>
      </c>
      <c r="D187" s="18">
        <v>0</v>
      </c>
    </row>
    <row r="188" spans="1:4">
      <c r="A188" s="19" t="str">
        <f t="shared" si="18"/>
        <v>АСУЭ.BMRZ.Commands.coOn</v>
      </c>
      <c r="B188" s="11">
        <v>4000000</v>
      </c>
      <c r="C188" s="11" t="s">
        <v>0</v>
      </c>
      <c r="D188" s="20" t="s">
        <v>2682</v>
      </c>
    </row>
    <row r="189" spans="1:4">
      <c r="A189" s="19" t="str">
        <f t="shared" si="18"/>
        <v>АСУЭ.BMRZ.Commands.coOn</v>
      </c>
      <c r="B189" s="11">
        <v>101</v>
      </c>
      <c r="C189" s="11" t="s">
        <v>0</v>
      </c>
      <c r="D189" s="20" t="s">
        <v>383</v>
      </c>
    </row>
    <row r="190" spans="1:4">
      <c r="A190" s="19" t="str">
        <f t="shared" si="18"/>
        <v>АСУЭ.BMRZ.Commands.coOn</v>
      </c>
      <c r="B190" s="11">
        <v>7999</v>
      </c>
      <c r="C190" s="11" t="s">
        <v>0</v>
      </c>
      <c r="D190" s="20" t="str">
        <f>"#"&amp;$S$2&amp;"#"&amp;$T$2&amp;"."&amp;$P$2&amp;".Commands.Net_Comm_On"</f>
        <v>#3#\\Setup_rza\Modbus.OPCServer\KTP_BMRZ.VV1_BMRZ-04VV.Commands.Net_Comm_On</v>
      </c>
    </row>
    <row r="191" spans="1:4">
      <c r="A191" s="19" t="str">
        <f t="shared" si="18"/>
        <v>АСУЭ.BMRZ.Commands.coOn</v>
      </c>
      <c r="B191" s="11">
        <v>7998</v>
      </c>
      <c r="C191" s="11" t="s">
        <v>6</v>
      </c>
      <c r="D191" s="20">
        <v>2</v>
      </c>
    </row>
    <row r="192" spans="1:4">
      <c r="A192" s="21" t="str">
        <f t="shared" si="18"/>
        <v>АСУЭ.BMRZ.Commands.coOn</v>
      </c>
      <c r="B192" s="8">
        <v>1</v>
      </c>
      <c r="C192" s="8" t="s">
        <v>1</v>
      </c>
      <c r="D192" s="22">
        <v>11</v>
      </c>
    </row>
    <row r="193" spans="1:4">
      <c r="A193" s="19" t="str">
        <f t="shared" ref="A193:A198" si="19">$R$2&amp;".Commands.coOff"</f>
        <v>АСУЭ.BMRZ.Commands.coOff</v>
      </c>
      <c r="B193" s="17">
        <v>7000000</v>
      </c>
      <c r="C193" s="17" t="s">
        <v>6</v>
      </c>
      <c r="D193" s="18">
        <v>0</v>
      </c>
    </row>
    <row r="194" spans="1:4">
      <c r="A194" s="19" t="str">
        <f t="shared" si="19"/>
        <v>АСУЭ.BMRZ.Commands.coOff</v>
      </c>
      <c r="B194" s="11">
        <v>4000000</v>
      </c>
      <c r="C194" s="11" t="s">
        <v>0</v>
      </c>
      <c r="D194" s="20" t="s">
        <v>2683</v>
      </c>
    </row>
    <row r="195" spans="1:4">
      <c r="A195" s="19" t="str">
        <f t="shared" si="19"/>
        <v>АСУЭ.BMRZ.Commands.coOff</v>
      </c>
      <c r="B195" s="11">
        <v>101</v>
      </c>
      <c r="C195" s="11" t="s">
        <v>0</v>
      </c>
      <c r="D195" s="20" t="s">
        <v>384</v>
      </c>
    </row>
    <row r="196" spans="1:4">
      <c r="A196" s="19" t="str">
        <f t="shared" si="19"/>
        <v>АСУЭ.BMRZ.Commands.coOff</v>
      </c>
      <c r="B196" s="11">
        <v>7999</v>
      </c>
      <c r="C196" s="11" t="s">
        <v>0</v>
      </c>
      <c r="D196" s="20" t="str">
        <f>"#"&amp;$S$2&amp;"#"&amp;$T$2&amp;"."&amp;$P$2&amp;".Commands.Net_Comm_Off"</f>
        <v>#3#\\Setup_rza\Modbus.OPCServer\KTP_BMRZ.VV1_BMRZ-04VV.Commands.Net_Comm_Off</v>
      </c>
    </row>
    <row r="197" spans="1:4">
      <c r="A197" s="19" t="str">
        <f t="shared" si="19"/>
        <v>АСУЭ.BMRZ.Commands.coOff</v>
      </c>
      <c r="B197" s="11">
        <v>7998</v>
      </c>
      <c r="C197" s="11" t="s">
        <v>6</v>
      </c>
      <c r="D197" s="20">
        <v>2</v>
      </c>
    </row>
    <row r="198" spans="1:4">
      <c r="A198" s="19" t="str">
        <f t="shared" si="19"/>
        <v>АСУЭ.BMRZ.Commands.coOff</v>
      </c>
      <c r="B198" s="11">
        <v>1</v>
      </c>
      <c r="C198" s="11" t="s">
        <v>1</v>
      </c>
      <c r="D198" s="20">
        <v>11</v>
      </c>
    </row>
    <row r="199" spans="1:4">
      <c r="A199" s="16" t="str">
        <f t="shared" ref="A199:A204" si="20">$R$2&amp;".Commands.coRst"</f>
        <v>АСУЭ.BMRZ.Commands.coRst</v>
      </c>
      <c r="B199" s="17">
        <v>7000000</v>
      </c>
      <c r="C199" s="17" t="s">
        <v>6</v>
      </c>
      <c r="D199" s="18">
        <v>0</v>
      </c>
    </row>
    <row r="200" spans="1:4">
      <c r="A200" s="19" t="str">
        <f t="shared" si="20"/>
        <v>АСУЭ.BMRZ.Commands.coRst</v>
      </c>
      <c r="B200" s="11">
        <v>4000000</v>
      </c>
      <c r="C200" s="11" t="s">
        <v>0</v>
      </c>
      <c r="D200" s="20" t="s">
        <v>385</v>
      </c>
    </row>
    <row r="201" spans="1:4">
      <c r="A201" s="19" t="str">
        <f t="shared" si="20"/>
        <v>АСУЭ.BMRZ.Commands.coRst</v>
      </c>
      <c r="B201" s="11">
        <v>101</v>
      </c>
      <c r="C201" s="11" t="s">
        <v>0</v>
      </c>
      <c r="D201" s="20" t="s">
        <v>386</v>
      </c>
    </row>
    <row r="202" spans="1:4">
      <c r="A202" s="19" t="str">
        <f t="shared" si="20"/>
        <v>АСУЭ.BMRZ.Commands.coRst</v>
      </c>
      <c r="B202" s="11">
        <v>7999</v>
      </c>
      <c r="C202" s="11" t="s">
        <v>0</v>
      </c>
      <c r="D202" s="20" t="str">
        <f>"#"&amp;$S$2&amp;"#"&amp;$T$2&amp;"."&amp;$P$2&amp;".Commands.SysCmd_Clr_Sd"</f>
        <v>#3#\\Setup_rza\Modbus.OPCServer\KTP_BMRZ.VV1_BMRZ-04VV.Commands.SysCmd_Clr_Sd</v>
      </c>
    </row>
    <row r="203" spans="1:4">
      <c r="A203" s="19" t="str">
        <f t="shared" si="20"/>
        <v>АСУЭ.BMRZ.Commands.coRst</v>
      </c>
      <c r="B203" s="11">
        <v>7998</v>
      </c>
      <c r="C203" s="11" t="s">
        <v>6</v>
      </c>
      <c r="D203" s="20">
        <v>2</v>
      </c>
    </row>
    <row r="204" spans="1:4">
      <c r="A204" s="21" t="str">
        <f t="shared" si="20"/>
        <v>АСУЭ.BMRZ.Commands.coRst</v>
      </c>
      <c r="B204" s="8">
        <v>1</v>
      </c>
      <c r="C204" s="8" t="s">
        <v>1</v>
      </c>
      <c r="D204" s="22">
        <v>11</v>
      </c>
    </row>
    <row r="205" spans="1:4">
      <c r="A205" s="275" t="str">
        <f t="shared" ref="A205:A210" si="21">$R$2&amp;".mFreq"</f>
        <v>АСУЭ.BMRZ.mFreq</v>
      </c>
      <c r="B205" s="276">
        <v>7999</v>
      </c>
      <c r="C205" s="276" t="s">
        <v>0</v>
      </c>
      <c r="D205" s="277" t="str">
        <f>"#"&amp;$S$2&amp;"#"&amp;$T$2&amp;"."&amp;$P$2&amp;".Reg_Aver_Asign_n23"</f>
        <v>#3#\\Setup_rza\Modbus.OPCServer\KTP_BMRZ.VV1_BMRZ-04VV.Reg_Aver_Asign_n23</v>
      </c>
    </row>
    <row r="206" spans="1:4">
      <c r="A206" s="278" t="str">
        <f t="shared" si="21"/>
        <v>АСУЭ.BMRZ.mFreq</v>
      </c>
      <c r="B206" s="279">
        <v>7998</v>
      </c>
      <c r="C206" s="279" t="s">
        <v>6</v>
      </c>
      <c r="D206" s="280">
        <v>1</v>
      </c>
    </row>
    <row r="207" spans="1:4">
      <c r="A207" s="278" t="str">
        <f t="shared" si="21"/>
        <v>АСУЭ.BMRZ.mFreq</v>
      </c>
      <c r="B207" s="279">
        <v>101</v>
      </c>
      <c r="C207" s="279" t="s">
        <v>0</v>
      </c>
      <c r="D207" s="280" t="s">
        <v>356</v>
      </c>
    </row>
    <row r="208" spans="1:4">
      <c r="A208" s="278" t="str">
        <f t="shared" si="21"/>
        <v>АСУЭ.BMRZ.mFreq</v>
      </c>
      <c r="B208" s="279">
        <v>3</v>
      </c>
      <c r="C208" s="279" t="s">
        <v>1</v>
      </c>
      <c r="D208" s="280">
        <v>192</v>
      </c>
    </row>
    <row r="209" spans="1:20">
      <c r="A209" s="278" t="str">
        <f t="shared" si="21"/>
        <v>АСУЭ.BMRZ.mFreq</v>
      </c>
      <c r="B209" s="279">
        <v>2</v>
      </c>
      <c r="C209" s="279" t="s">
        <v>80</v>
      </c>
      <c r="D209" s="280">
        <v>0</v>
      </c>
    </row>
    <row r="210" spans="1:20">
      <c r="A210" s="281" t="str">
        <f t="shared" si="21"/>
        <v>АСУЭ.BMRZ.mFreq</v>
      </c>
      <c r="B210" s="282">
        <v>1</v>
      </c>
      <c r="C210" s="282" t="s">
        <v>1</v>
      </c>
      <c r="D210" s="283">
        <v>4</v>
      </c>
    </row>
    <row r="211" spans="1:20">
      <c r="A211" s="275" t="str">
        <f t="shared" ref="A211:A216" si="22">$R$2&amp;".mI1"</f>
        <v>АСУЭ.BMRZ.mI1</v>
      </c>
      <c r="B211" s="276">
        <v>7999</v>
      </c>
      <c r="C211" s="276" t="s">
        <v>0</v>
      </c>
      <c r="D211" s="277" t="str">
        <f>"#"&amp;$S$2&amp;"#"&amp;$T$2&amp;"."&amp;$P$2&amp;".Reg_Aver_Asign_n0"</f>
        <v>#3#\\Setup_rza\Modbus.OPCServer\KTP_BMRZ.VV1_BMRZ-04VV.Reg_Aver_Asign_n0</v>
      </c>
    </row>
    <row r="212" spans="1:20">
      <c r="A212" s="278" t="str">
        <f t="shared" si="22"/>
        <v>АСУЭ.BMRZ.mI1</v>
      </c>
      <c r="B212" s="279">
        <v>7998</v>
      </c>
      <c r="C212" s="279" t="s">
        <v>6</v>
      </c>
      <c r="D212" s="280">
        <v>1</v>
      </c>
    </row>
    <row r="213" spans="1:20">
      <c r="A213" s="278" t="str">
        <f t="shared" si="22"/>
        <v>АСУЭ.BMRZ.mI1</v>
      </c>
      <c r="B213" s="279">
        <v>101</v>
      </c>
      <c r="C213" s="279" t="s">
        <v>0</v>
      </c>
      <c r="D213" s="280" t="s">
        <v>361</v>
      </c>
    </row>
    <row r="214" spans="1:20">
      <c r="A214" s="278" t="str">
        <f t="shared" si="22"/>
        <v>АСУЭ.BMRZ.mI1</v>
      </c>
      <c r="B214" s="279">
        <v>3</v>
      </c>
      <c r="C214" s="279" t="s">
        <v>1</v>
      </c>
      <c r="D214" s="280">
        <v>192</v>
      </c>
    </row>
    <row r="215" spans="1:20">
      <c r="A215" s="278" t="str">
        <f t="shared" si="22"/>
        <v>АСУЭ.BMRZ.mI1</v>
      </c>
      <c r="B215" s="279">
        <v>2</v>
      </c>
      <c r="C215" s="279" t="s">
        <v>80</v>
      </c>
      <c r="D215" s="280">
        <v>0</v>
      </c>
    </row>
    <row r="216" spans="1:20">
      <c r="A216" s="281" t="str">
        <f t="shared" si="22"/>
        <v>АСУЭ.BMRZ.mI1</v>
      </c>
      <c r="B216" s="282">
        <v>1</v>
      </c>
      <c r="C216" s="282" t="s">
        <v>1</v>
      </c>
      <c r="D216" s="283">
        <v>4</v>
      </c>
    </row>
    <row r="217" spans="1:20">
      <c r="A217" s="275" t="str">
        <f t="shared" ref="A217:A222" si="23">$R$2&amp;".mI2"</f>
        <v>АСУЭ.BMRZ.mI2</v>
      </c>
      <c r="B217" s="276">
        <v>7999</v>
      </c>
      <c r="C217" s="276" t="s">
        <v>0</v>
      </c>
      <c r="D217" s="277" t="str">
        <f>"#"&amp;$S$2&amp;"#"&amp;$T$2&amp;"."&amp;$P$2&amp;".Reg_Aver_Asign_n1"</f>
        <v>#3#\\Setup_rza\Modbus.OPCServer\KTP_BMRZ.VV1_BMRZ-04VV.Reg_Aver_Asign_n1</v>
      </c>
    </row>
    <row r="218" spans="1:20">
      <c r="A218" s="278" t="str">
        <f t="shared" si="23"/>
        <v>АСУЭ.BMRZ.mI2</v>
      </c>
      <c r="B218" s="279">
        <v>7998</v>
      </c>
      <c r="C218" s="279" t="s">
        <v>6</v>
      </c>
      <c r="D218" s="280">
        <v>1</v>
      </c>
      <c r="Q218" s="1"/>
      <c r="R218" s="1"/>
      <c r="S218" s="1"/>
      <c r="T218" s="1"/>
    </row>
    <row r="219" spans="1:20">
      <c r="A219" s="278" t="str">
        <f t="shared" si="23"/>
        <v>АСУЭ.BMRZ.mI2</v>
      </c>
      <c r="B219" s="279">
        <v>101</v>
      </c>
      <c r="C219" s="279" t="s">
        <v>0</v>
      </c>
      <c r="D219" s="280" t="s">
        <v>362</v>
      </c>
      <c r="Q219" s="1"/>
      <c r="R219" s="1"/>
      <c r="S219" s="1"/>
      <c r="T219" s="1"/>
    </row>
    <row r="220" spans="1:20">
      <c r="A220" s="278" t="str">
        <f t="shared" si="23"/>
        <v>АСУЭ.BMRZ.mI2</v>
      </c>
      <c r="B220" s="279">
        <v>3</v>
      </c>
      <c r="C220" s="279" t="s">
        <v>1</v>
      </c>
      <c r="D220" s="280">
        <v>192</v>
      </c>
      <c r="Q220" s="1"/>
      <c r="R220" s="1"/>
      <c r="S220" s="1"/>
      <c r="T220" s="1"/>
    </row>
    <row r="221" spans="1:20">
      <c r="A221" s="278" t="str">
        <f t="shared" si="23"/>
        <v>АСУЭ.BMRZ.mI2</v>
      </c>
      <c r="B221" s="279">
        <v>2</v>
      </c>
      <c r="C221" s="279" t="s">
        <v>80</v>
      </c>
      <c r="D221" s="280">
        <v>0</v>
      </c>
      <c r="Q221" s="1"/>
      <c r="R221" s="1"/>
      <c r="S221" s="1"/>
      <c r="T221" s="1"/>
    </row>
    <row r="222" spans="1:20">
      <c r="A222" s="281" t="str">
        <f t="shared" si="23"/>
        <v>АСУЭ.BMRZ.mI2</v>
      </c>
      <c r="B222" s="282">
        <v>1</v>
      </c>
      <c r="C222" s="282" t="s">
        <v>1</v>
      </c>
      <c r="D222" s="283">
        <v>4</v>
      </c>
      <c r="Q222" s="1"/>
      <c r="R222" s="1"/>
      <c r="S222" s="1"/>
      <c r="T222" s="1"/>
    </row>
    <row r="223" spans="1:20">
      <c r="A223" s="275" t="str">
        <f t="shared" ref="A223:A228" si="24">$R$2&amp;".mI3"</f>
        <v>АСУЭ.BMRZ.mI3</v>
      </c>
      <c r="B223" s="276">
        <v>7999</v>
      </c>
      <c r="C223" s="276" t="s">
        <v>0</v>
      </c>
      <c r="D223" s="277" t="str">
        <f>"#"&amp;$S$2&amp;"#"&amp;$T$2&amp;"."&amp;$P$2&amp;".Reg_Aver_Asign_n2"</f>
        <v>#3#\\Setup_rza\Modbus.OPCServer\KTP_BMRZ.VV1_BMRZ-04VV.Reg_Aver_Asign_n2</v>
      </c>
      <c r="Q223" s="1"/>
      <c r="R223" s="1"/>
      <c r="S223" s="1"/>
      <c r="T223" s="1"/>
    </row>
    <row r="224" spans="1:20">
      <c r="A224" s="278" t="str">
        <f t="shared" si="24"/>
        <v>АСУЭ.BMRZ.mI3</v>
      </c>
      <c r="B224" s="279">
        <v>7998</v>
      </c>
      <c r="C224" s="279" t="s">
        <v>6</v>
      </c>
      <c r="D224" s="280">
        <v>1</v>
      </c>
      <c r="Q224" s="1"/>
      <c r="R224" s="1"/>
      <c r="S224" s="1"/>
      <c r="T224" s="1"/>
    </row>
    <row r="225" spans="1:20">
      <c r="A225" s="278" t="str">
        <f t="shared" si="24"/>
        <v>АСУЭ.BMRZ.mI3</v>
      </c>
      <c r="B225" s="279">
        <v>101</v>
      </c>
      <c r="C225" s="279" t="s">
        <v>0</v>
      </c>
      <c r="D225" s="280" t="s">
        <v>363</v>
      </c>
      <c r="Q225" s="1"/>
      <c r="R225" s="1"/>
      <c r="S225" s="1"/>
      <c r="T225" s="1"/>
    </row>
    <row r="226" spans="1:20">
      <c r="A226" s="278" t="str">
        <f t="shared" si="24"/>
        <v>АСУЭ.BMRZ.mI3</v>
      </c>
      <c r="B226" s="279">
        <v>3</v>
      </c>
      <c r="C226" s="279" t="s">
        <v>1</v>
      </c>
      <c r="D226" s="280">
        <v>192</v>
      </c>
      <c r="Q226" s="1"/>
      <c r="R226" s="1"/>
      <c r="S226" s="1"/>
      <c r="T226" s="1"/>
    </row>
    <row r="227" spans="1:20">
      <c r="A227" s="278" t="str">
        <f t="shared" si="24"/>
        <v>АСУЭ.BMRZ.mI3</v>
      </c>
      <c r="B227" s="279">
        <v>2</v>
      </c>
      <c r="C227" s="279" t="s">
        <v>80</v>
      </c>
      <c r="D227" s="280">
        <v>0</v>
      </c>
      <c r="Q227" s="1"/>
      <c r="R227" s="1"/>
      <c r="S227" s="1"/>
      <c r="T227" s="1"/>
    </row>
    <row r="228" spans="1:20">
      <c r="A228" s="281" t="str">
        <f t="shared" si="24"/>
        <v>АСУЭ.BMRZ.mI3</v>
      </c>
      <c r="B228" s="282">
        <v>1</v>
      </c>
      <c r="C228" s="282" t="s">
        <v>1</v>
      </c>
      <c r="D228" s="283">
        <v>4</v>
      </c>
      <c r="Q228" s="1"/>
      <c r="R228" s="1"/>
      <c r="S228" s="1"/>
      <c r="T228" s="1"/>
    </row>
    <row r="229" spans="1:20">
      <c r="A229" s="275" t="str">
        <f t="shared" ref="A229:A234" si="25">$R$2&amp;".mUvv1"</f>
        <v>АСУЭ.BMRZ.mUvv1</v>
      </c>
      <c r="B229" s="276">
        <v>7999</v>
      </c>
      <c r="C229" s="276" t="s">
        <v>0</v>
      </c>
      <c r="D229" s="277" t="str">
        <f>"#"&amp;$S$2&amp;"#"&amp;$T$2&amp;"."&amp;$P$2&amp;".Reg_Aver_Asign_n4"</f>
        <v>#3#\\Setup_rza\Modbus.OPCServer\KTP_BMRZ.VV1_BMRZ-04VV.Reg_Aver_Asign_n4</v>
      </c>
      <c r="Q229" s="1"/>
      <c r="R229" s="1"/>
      <c r="S229" s="1"/>
      <c r="T229" s="1"/>
    </row>
    <row r="230" spans="1:20">
      <c r="A230" s="278" t="str">
        <f t="shared" si="25"/>
        <v>АСУЭ.BMRZ.mUvv1</v>
      </c>
      <c r="B230" s="279">
        <v>7998</v>
      </c>
      <c r="C230" s="279" t="s">
        <v>6</v>
      </c>
      <c r="D230" s="280">
        <v>1</v>
      </c>
      <c r="Q230" s="1"/>
      <c r="R230" s="1"/>
      <c r="S230" s="1"/>
      <c r="T230" s="1"/>
    </row>
    <row r="231" spans="1:20">
      <c r="A231" s="278" t="str">
        <f t="shared" si="25"/>
        <v>АСУЭ.BMRZ.mUvv1</v>
      </c>
      <c r="B231" s="279">
        <v>101</v>
      </c>
      <c r="C231" s="279" t="s">
        <v>0</v>
      </c>
      <c r="D231" s="280" t="s">
        <v>1683</v>
      </c>
      <c r="Q231" s="1"/>
      <c r="R231" s="1"/>
      <c r="S231" s="1"/>
      <c r="T231" s="1"/>
    </row>
    <row r="232" spans="1:20">
      <c r="A232" s="278" t="str">
        <f t="shared" si="25"/>
        <v>АСУЭ.BMRZ.mUvv1</v>
      </c>
      <c r="B232" s="279">
        <v>3</v>
      </c>
      <c r="C232" s="279" t="s">
        <v>1</v>
      </c>
      <c r="D232" s="280">
        <v>192</v>
      </c>
      <c r="Q232" s="1"/>
      <c r="R232" s="1"/>
      <c r="S232" s="1"/>
      <c r="T232" s="1"/>
    </row>
    <row r="233" spans="1:20">
      <c r="A233" s="278" t="str">
        <f t="shared" si="25"/>
        <v>АСУЭ.BMRZ.mUvv1</v>
      </c>
      <c r="B233" s="279">
        <v>2</v>
      </c>
      <c r="C233" s="279" t="s">
        <v>80</v>
      </c>
      <c r="D233" s="280">
        <v>0</v>
      </c>
      <c r="Q233" s="1"/>
      <c r="R233" s="1"/>
      <c r="S233" s="1"/>
      <c r="T233" s="1"/>
    </row>
    <row r="234" spans="1:20">
      <c r="A234" s="281" t="str">
        <f t="shared" si="25"/>
        <v>АСУЭ.BMRZ.mUvv1</v>
      </c>
      <c r="B234" s="282">
        <v>1</v>
      </c>
      <c r="C234" s="282" t="s">
        <v>1</v>
      </c>
      <c r="D234" s="283">
        <v>4</v>
      </c>
      <c r="Q234" s="1"/>
      <c r="R234" s="1"/>
      <c r="S234" s="1"/>
      <c r="T234" s="1"/>
    </row>
    <row r="235" spans="1:20">
      <c r="A235" s="275" t="str">
        <f t="shared" ref="A235:A240" si="26">$R$2&amp;".mUvv2"</f>
        <v>АСУЭ.BMRZ.mUvv2</v>
      </c>
      <c r="B235" s="276">
        <v>7999</v>
      </c>
      <c r="C235" s="276" t="s">
        <v>0</v>
      </c>
      <c r="D235" s="277" t="str">
        <f>"#"&amp;$S$2&amp;"#"&amp;$T$2&amp;"."&amp;$P$2&amp;".Reg_Aver_Asign_n5"</f>
        <v>#3#\\Setup_rza\Modbus.OPCServer\KTP_BMRZ.VV1_BMRZ-04VV.Reg_Aver_Asign_n5</v>
      </c>
      <c r="Q235" s="1"/>
      <c r="R235" s="1"/>
      <c r="S235" s="1"/>
      <c r="T235" s="1"/>
    </row>
    <row r="236" spans="1:20">
      <c r="A236" s="278" t="str">
        <f t="shared" si="26"/>
        <v>АСУЭ.BMRZ.mUvv2</v>
      </c>
      <c r="B236" s="279">
        <v>7998</v>
      </c>
      <c r="C236" s="279" t="s">
        <v>6</v>
      </c>
      <c r="D236" s="280">
        <v>1</v>
      </c>
      <c r="Q236" s="1"/>
      <c r="R236" s="1"/>
      <c r="S236" s="1"/>
      <c r="T236" s="1"/>
    </row>
    <row r="237" spans="1:20">
      <c r="A237" s="278" t="str">
        <f t="shared" si="26"/>
        <v>АСУЭ.BMRZ.mUvv2</v>
      </c>
      <c r="B237" s="279">
        <v>101</v>
      </c>
      <c r="C237" s="279" t="s">
        <v>0</v>
      </c>
      <c r="D237" s="280" t="s">
        <v>1684</v>
      </c>
      <c r="Q237" s="1"/>
      <c r="R237" s="1"/>
      <c r="S237" s="1"/>
      <c r="T237" s="1"/>
    </row>
    <row r="238" spans="1:20">
      <c r="A238" s="278" t="str">
        <f t="shared" si="26"/>
        <v>АСУЭ.BMRZ.mUvv2</v>
      </c>
      <c r="B238" s="279">
        <v>3</v>
      </c>
      <c r="C238" s="279" t="s">
        <v>1</v>
      </c>
      <c r="D238" s="280">
        <v>192</v>
      </c>
      <c r="Q238" s="1"/>
      <c r="R238" s="1"/>
      <c r="S238" s="1"/>
      <c r="T238" s="1"/>
    </row>
    <row r="239" spans="1:20">
      <c r="A239" s="278" t="str">
        <f t="shared" si="26"/>
        <v>АСУЭ.BMRZ.mUvv2</v>
      </c>
      <c r="B239" s="279">
        <v>2</v>
      </c>
      <c r="C239" s="279" t="s">
        <v>80</v>
      </c>
      <c r="D239" s="280">
        <v>0</v>
      </c>
      <c r="Q239" s="1"/>
      <c r="R239" s="1"/>
      <c r="S239" s="1"/>
      <c r="T239" s="1"/>
    </row>
    <row r="240" spans="1:20">
      <c r="A240" s="281" t="str">
        <f t="shared" si="26"/>
        <v>АСУЭ.BMRZ.mUvv2</v>
      </c>
      <c r="B240" s="282">
        <v>1</v>
      </c>
      <c r="C240" s="282" t="s">
        <v>1</v>
      </c>
      <c r="D240" s="283">
        <v>4</v>
      </c>
      <c r="Q240" s="1"/>
      <c r="R240" s="1"/>
      <c r="S240" s="1"/>
      <c r="T240" s="1"/>
    </row>
    <row r="241" spans="1:20">
      <c r="A241" s="275" t="str">
        <f t="shared" ref="A241:A246" si="27">$R$2&amp;".mUvv3"</f>
        <v>АСУЭ.BMRZ.mUvv3</v>
      </c>
      <c r="B241" s="276">
        <v>7999</v>
      </c>
      <c r="C241" s="276" t="s">
        <v>0</v>
      </c>
      <c r="D241" s="277" t="str">
        <f>"#"&amp;$S$2&amp;"#"&amp;$T$2&amp;"."&amp;$P$2&amp;".Reg_Aver_Asign_n6"</f>
        <v>#3#\\Setup_rza\Modbus.OPCServer\KTP_BMRZ.VV1_BMRZ-04VV.Reg_Aver_Asign_n6</v>
      </c>
      <c r="Q241" s="1"/>
      <c r="R241" s="1"/>
      <c r="S241" s="1"/>
      <c r="T241" s="1"/>
    </row>
    <row r="242" spans="1:20">
      <c r="A242" s="278" t="str">
        <f t="shared" si="27"/>
        <v>АСУЭ.BMRZ.mUvv3</v>
      </c>
      <c r="B242" s="279">
        <v>7998</v>
      </c>
      <c r="C242" s="279" t="s">
        <v>6</v>
      </c>
      <c r="D242" s="280">
        <v>1</v>
      </c>
      <c r="Q242" s="1"/>
      <c r="R242" s="1"/>
      <c r="S242" s="1"/>
      <c r="T242" s="1"/>
    </row>
    <row r="243" spans="1:20">
      <c r="A243" s="278" t="str">
        <f t="shared" si="27"/>
        <v>АСУЭ.BMRZ.mUvv3</v>
      </c>
      <c r="B243" s="279">
        <v>101</v>
      </c>
      <c r="C243" s="279" t="s">
        <v>0</v>
      </c>
      <c r="D243" s="280" t="s">
        <v>1685</v>
      </c>
      <c r="Q243" s="1"/>
      <c r="R243" s="1"/>
      <c r="S243" s="1"/>
      <c r="T243" s="1"/>
    </row>
    <row r="244" spans="1:20">
      <c r="A244" s="278" t="str">
        <f t="shared" si="27"/>
        <v>АСУЭ.BMRZ.mUvv3</v>
      </c>
      <c r="B244" s="279">
        <v>3</v>
      </c>
      <c r="C244" s="279" t="s">
        <v>1</v>
      </c>
      <c r="D244" s="280">
        <v>192</v>
      </c>
      <c r="Q244" s="1"/>
      <c r="R244" s="1"/>
      <c r="S244" s="1"/>
      <c r="T244" s="1"/>
    </row>
    <row r="245" spans="1:20">
      <c r="A245" s="278" t="str">
        <f t="shared" si="27"/>
        <v>АСУЭ.BMRZ.mUvv3</v>
      </c>
      <c r="B245" s="279">
        <v>2</v>
      </c>
      <c r="C245" s="279" t="s">
        <v>80</v>
      </c>
      <c r="D245" s="280">
        <v>0</v>
      </c>
      <c r="Q245" s="1"/>
      <c r="R245" s="1"/>
      <c r="S245" s="1"/>
      <c r="T245" s="1"/>
    </row>
    <row r="246" spans="1:20">
      <c r="A246" s="281" t="str">
        <f t="shared" si="27"/>
        <v>АСУЭ.BMRZ.mUvv3</v>
      </c>
      <c r="B246" s="282">
        <v>1</v>
      </c>
      <c r="C246" s="282" t="s">
        <v>1</v>
      </c>
      <c r="D246" s="283">
        <v>4</v>
      </c>
      <c r="Q246" s="1"/>
      <c r="R246" s="1"/>
      <c r="S246" s="1"/>
      <c r="T246" s="1"/>
    </row>
    <row r="247" spans="1:20">
      <c r="A247" s="275" t="str">
        <f t="shared" ref="A247:A252" si="28">$R$2&amp;".mMaxI1"</f>
        <v>АСУЭ.BMRZ.mMaxI1</v>
      </c>
      <c r="B247" s="276">
        <v>7999</v>
      </c>
      <c r="C247" s="276" t="s">
        <v>0</v>
      </c>
      <c r="D247" s="277" t="str">
        <f>"#"&amp;$S$2&amp;"#"&amp;$T$2&amp;"."&amp;$P$2&amp;".Reg_MaxMin_Asign_n0"</f>
        <v>#3#\\Setup_rza\Modbus.OPCServer\KTP_BMRZ.VV1_BMRZ-04VV.Reg_MaxMin_Asign_n0</v>
      </c>
      <c r="Q247" s="1"/>
      <c r="R247" s="1"/>
      <c r="S247" s="1"/>
      <c r="T247" s="1"/>
    </row>
    <row r="248" spans="1:20">
      <c r="A248" s="278" t="str">
        <f t="shared" si="28"/>
        <v>АСУЭ.BMRZ.mMaxI1</v>
      </c>
      <c r="B248" s="279">
        <v>7998</v>
      </c>
      <c r="C248" s="279" t="s">
        <v>6</v>
      </c>
      <c r="D248" s="280">
        <v>1</v>
      </c>
    </row>
    <row r="249" spans="1:20">
      <c r="A249" s="278" t="str">
        <f t="shared" si="28"/>
        <v>АСУЭ.BMRZ.mMaxI1</v>
      </c>
      <c r="B249" s="279">
        <v>101</v>
      </c>
      <c r="C249" s="279" t="s">
        <v>0</v>
      </c>
      <c r="D249" s="280" t="s">
        <v>367</v>
      </c>
    </row>
    <row r="250" spans="1:20">
      <c r="A250" s="278" t="str">
        <f t="shared" si="28"/>
        <v>АСУЭ.BMRZ.mMaxI1</v>
      </c>
      <c r="B250" s="279">
        <v>3</v>
      </c>
      <c r="C250" s="279" t="s">
        <v>1</v>
      </c>
      <c r="D250" s="280">
        <v>192</v>
      </c>
    </row>
    <row r="251" spans="1:20">
      <c r="A251" s="278" t="str">
        <f t="shared" si="28"/>
        <v>АСУЭ.BMRZ.mMaxI1</v>
      </c>
      <c r="B251" s="279">
        <v>2</v>
      </c>
      <c r="C251" s="279" t="s">
        <v>80</v>
      </c>
      <c r="D251" s="280">
        <v>0</v>
      </c>
    </row>
    <row r="252" spans="1:20">
      <c r="A252" s="281" t="str">
        <f t="shared" si="28"/>
        <v>АСУЭ.BMRZ.mMaxI1</v>
      </c>
      <c r="B252" s="282">
        <v>1</v>
      </c>
      <c r="C252" s="282" t="s">
        <v>1</v>
      </c>
      <c r="D252" s="283">
        <v>4</v>
      </c>
    </row>
    <row r="253" spans="1:20">
      <c r="A253" s="275" t="str">
        <f t="shared" ref="A253:A258" si="29">$R$2&amp;".mMaxI2"</f>
        <v>АСУЭ.BMRZ.mMaxI2</v>
      </c>
      <c r="B253" s="276">
        <v>7999</v>
      </c>
      <c r="C253" s="276" t="s">
        <v>0</v>
      </c>
      <c r="D253" s="277" t="str">
        <f>"#"&amp;$S$2&amp;"#"&amp;$T$2&amp;"."&amp;$P$2&amp;".Reg_MaxMin_Asign_n1"</f>
        <v>#3#\\Setup_rza\Modbus.OPCServer\KTP_BMRZ.VV1_BMRZ-04VV.Reg_MaxMin_Asign_n1</v>
      </c>
    </row>
    <row r="254" spans="1:20">
      <c r="A254" s="278" t="str">
        <f t="shared" si="29"/>
        <v>АСУЭ.BMRZ.mMaxI2</v>
      </c>
      <c r="B254" s="279">
        <v>7998</v>
      </c>
      <c r="C254" s="279" t="s">
        <v>6</v>
      </c>
      <c r="D254" s="280">
        <v>1</v>
      </c>
    </row>
    <row r="255" spans="1:20">
      <c r="A255" s="278" t="str">
        <f t="shared" si="29"/>
        <v>АСУЭ.BMRZ.mMaxI2</v>
      </c>
      <c r="B255" s="279">
        <v>101</v>
      </c>
      <c r="C255" s="279" t="s">
        <v>0</v>
      </c>
      <c r="D255" s="280" t="s">
        <v>368</v>
      </c>
    </row>
    <row r="256" spans="1:20">
      <c r="A256" s="278" t="str">
        <f t="shared" si="29"/>
        <v>АСУЭ.BMRZ.mMaxI2</v>
      </c>
      <c r="B256" s="279">
        <v>3</v>
      </c>
      <c r="C256" s="279" t="s">
        <v>1</v>
      </c>
      <c r="D256" s="280">
        <v>192</v>
      </c>
    </row>
    <row r="257" spans="1:4">
      <c r="A257" s="278" t="str">
        <f t="shared" si="29"/>
        <v>АСУЭ.BMRZ.mMaxI2</v>
      </c>
      <c r="B257" s="279">
        <v>2</v>
      </c>
      <c r="C257" s="279" t="s">
        <v>80</v>
      </c>
      <c r="D257" s="280">
        <v>0</v>
      </c>
    </row>
    <row r="258" spans="1:4">
      <c r="A258" s="281" t="str">
        <f t="shared" si="29"/>
        <v>АСУЭ.BMRZ.mMaxI2</v>
      </c>
      <c r="B258" s="282">
        <v>1</v>
      </c>
      <c r="C258" s="282" t="s">
        <v>1</v>
      </c>
      <c r="D258" s="283">
        <v>4</v>
      </c>
    </row>
    <row r="259" spans="1:4">
      <c r="A259" s="275" t="str">
        <f t="shared" ref="A259:A264" si="30">$R$2&amp;".mMaxI3"</f>
        <v>АСУЭ.BMRZ.mMaxI3</v>
      </c>
      <c r="B259" s="276">
        <v>7999</v>
      </c>
      <c r="C259" s="276" t="s">
        <v>0</v>
      </c>
      <c r="D259" s="277" t="str">
        <f>"#"&amp;$S$2&amp;"#"&amp;$T$2&amp;"."&amp;$P$2&amp;".Reg_MaxMin_Asign_n2"</f>
        <v>#3#\\Setup_rza\Modbus.OPCServer\KTP_BMRZ.VV1_BMRZ-04VV.Reg_MaxMin_Asign_n2</v>
      </c>
    </row>
    <row r="260" spans="1:4">
      <c r="A260" s="278" t="str">
        <f t="shared" si="30"/>
        <v>АСУЭ.BMRZ.mMaxI3</v>
      </c>
      <c r="B260" s="279">
        <v>7998</v>
      </c>
      <c r="C260" s="279" t="s">
        <v>6</v>
      </c>
      <c r="D260" s="280">
        <v>1</v>
      </c>
    </row>
    <row r="261" spans="1:4">
      <c r="A261" s="278" t="str">
        <f t="shared" si="30"/>
        <v>АСУЭ.BMRZ.mMaxI3</v>
      </c>
      <c r="B261" s="279">
        <v>101</v>
      </c>
      <c r="C261" s="279" t="s">
        <v>0</v>
      </c>
      <c r="D261" s="280" t="s">
        <v>369</v>
      </c>
    </row>
    <row r="262" spans="1:4">
      <c r="A262" s="278" t="str">
        <f t="shared" si="30"/>
        <v>АСУЭ.BMRZ.mMaxI3</v>
      </c>
      <c r="B262" s="279">
        <v>3</v>
      </c>
      <c r="C262" s="279" t="s">
        <v>1</v>
      </c>
      <c r="D262" s="280">
        <v>192</v>
      </c>
    </row>
    <row r="263" spans="1:4">
      <c r="A263" s="278" t="str">
        <f t="shared" si="30"/>
        <v>АСУЭ.BMRZ.mMaxI3</v>
      </c>
      <c r="B263" s="279">
        <v>2</v>
      </c>
      <c r="C263" s="279" t="s">
        <v>80</v>
      </c>
      <c r="D263" s="280">
        <v>0</v>
      </c>
    </row>
    <row r="264" spans="1:4">
      <c r="A264" s="281" t="str">
        <f t="shared" si="30"/>
        <v>АСУЭ.BMRZ.mMaxI3</v>
      </c>
      <c r="B264" s="282">
        <v>1</v>
      </c>
      <c r="C264" s="282" t="s">
        <v>1</v>
      </c>
      <c r="D264" s="283">
        <v>4</v>
      </c>
    </row>
    <row r="265" spans="1:4">
      <c r="A265" s="275" t="str">
        <f t="shared" ref="A265:A270" si="31">$R$2&amp;".mU13"</f>
        <v>АСУЭ.BMRZ.mU13</v>
      </c>
      <c r="B265" s="276">
        <v>7999</v>
      </c>
      <c r="C265" s="276" t="s">
        <v>0</v>
      </c>
      <c r="D265" s="277" t="str">
        <f>"#"&amp;$S$2&amp;"#"&amp;$T$2&amp;"."&amp;$P$2&amp;".Reg_Aver_Asign_n9"</f>
        <v>#3#\\Setup_rza\Modbus.OPCServer\KTP_BMRZ.VV1_BMRZ-04VV.Reg_Aver_Asign_n9</v>
      </c>
    </row>
    <row r="266" spans="1:4">
      <c r="A266" s="278" t="str">
        <f t="shared" si="31"/>
        <v>АСУЭ.BMRZ.mU13</v>
      </c>
      <c r="B266" s="279">
        <v>7998</v>
      </c>
      <c r="C266" s="279" t="s">
        <v>6</v>
      </c>
      <c r="D266" s="280">
        <v>1</v>
      </c>
    </row>
    <row r="267" spans="1:4">
      <c r="A267" s="278" t="str">
        <f t="shared" si="31"/>
        <v>АСУЭ.BMRZ.mU13</v>
      </c>
      <c r="B267" s="279">
        <v>101</v>
      </c>
      <c r="C267" s="279" t="s">
        <v>0</v>
      </c>
      <c r="D267" s="280" t="s">
        <v>378</v>
      </c>
    </row>
    <row r="268" spans="1:4">
      <c r="A268" s="278" t="str">
        <f t="shared" si="31"/>
        <v>АСУЭ.BMRZ.mU13</v>
      </c>
      <c r="B268" s="279">
        <v>3</v>
      </c>
      <c r="C268" s="279" t="s">
        <v>1</v>
      </c>
      <c r="D268" s="280">
        <v>192</v>
      </c>
    </row>
    <row r="269" spans="1:4">
      <c r="A269" s="278" t="str">
        <f t="shared" si="31"/>
        <v>АСУЭ.BMRZ.mU13</v>
      </c>
      <c r="B269" s="279">
        <v>2</v>
      </c>
      <c r="C269" s="279" t="s">
        <v>80</v>
      </c>
      <c r="D269" s="280">
        <v>0</v>
      </c>
    </row>
    <row r="270" spans="1:4">
      <c r="A270" s="281" t="str">
        <f t="shared" si="31"/>
        <v>АСУЭ.BMRZ.mU13</v>
      </c>
      <c r="B270" s="282">
        <v>1</v>
      </c>
      <c r="C270" s="282" t="s">
        <v>1</v>
      </c>
      <c r="D270" s="283">
        <v>4</v>
      </c>
    </row>
    <row r="271" spans="1:4">
      <c r="A271" s="275" t="str">
        <f t="shared" ref="A271:A276" si="32">$R$2&amp;".mU21"</f>
        <v>АСУЭ.BMRZ.mU21</v>
      </c>
      <c r="B271" s="276">
        <v>7999</v>
      </c>
      <c r="C271" s="276" t="s">
        <v>0</v>
      </c>
      <c r="D271" s="277" t="str">
        <f>"#"&amp;$S$2&amp;"#"&amp;$T$2&amp;"."&amp;$P$2&amp;".Reg_Aver_Asign_n7"</f>
        <v>#3#\\Setup_rza\Modbus.OPCServer\KTP_BMRZ.VV1_BMRZ-04VV.Reg_Aver_Asign_n7</v>
      </c>
    </row>
    <row r="272" spans="1:4">
      <c r="A272" s="278" t="str">
        <f t="shared" si="32"/>
        <v>АСУЭ.BMRZ.mU21</v>
      </c>
      <c r="B272" s="279">
        <v>7998</v>
      </c>
      <c r="C272" s="279" t="s">
        <v>6</v>
      </c>
      <c r="D272" s="280">
        <v>1</v>
      </c>
    </row>
    <row r="273" spans="1:4">
      <c r="A273" s="278" t="str">
        <f t="shared" si="32"/>
        <v>АСУЭ.BMRZ.mU21</v>
      </c>
      <c r="B273" s="279">
        <v>101</v>
      </c>
      <c r="C273" s="279" t="s">
        <v>0</v>
      </c>
      <c r="D273" s="280" t="s">
        <v>379</v>
      </c>
    </row>
    <row r="274" spans="1:4">
      <c r="A274" s="278" t="str">
        <f t="shared" si="32"/>
        <v>АСУЭ.BMRZ.mU21</v>
      </c>
      <c r="B274" s="279">
        <v>3</v>
      </c>
      <c r="C274" s="279" t="s">
        <v>1</v>
      </c>
      <c r="D274" s="280">
        <v>192</v>
      </c>
    </row>
    <row r="275" spans="1:4">
      <c r="A275" s="278" t="str">
        <f t="shared" si="32"/>
        <v>АСУЭ.BMRZ.mU21</v>
      </c>
      <c r="B275" s="279">
        <v>2</v>
      </c>
      <c r="C275" s="279" t="s">
        <v>80</v>
      </c>
      <c r="D275" s="280">
        <v>0</v>
      </c>
    </row>
    <row r="276" spans="1:4">
      <c r="A276" s="281" t="str">
        <f t="shared" si="32"/>
        <v>АСУЭ.BMRZ.mU21</v>
      </c>
      <c r="B276" s="282">
        <v>1</v>
      </c>
      <c r="C276" s="282" t="s">
        <v>1</v>
      </c>
      <c r="D276" s="283">
        <v>4</v>
      </c>
    </row>
    <row r="277" spans="1:4">
      <c r="A277" s="275" t="str">
        <f t="shared" ref="A277:A282" si="33">$R$2&amp;".mU32"</f>
        <v>АСУЭ.BMRZ.mU32</v>
      </c>
      <c r="B277" s="276">
        <v>7999</v>
      </c>
      <c r="C277" s="276" t="s">
        <v>0</v>
      </c>
      <c r="D277" s="277" t="str">
        <f>"#"&amp;$S$2&amp;"#"&amp;$T$2&amp;"."&amp;$P$2&amp;".Reg_Aver_Asign_n8"</f>
        <v>#3#\\Setup_rza\Modbus.OPCServer\KTP_BMRZ.VV1_BMRZ-04VV.Reg_Aver_Asign_n8</v>
      </c>
    </row>
    <row r="278" spans="1:4">
      <c r="A278" s="278" t="str">
        <f t="shared" si="33"/>
        <v>АСУЭ.BMRZ.mU32</v>
      </c>
      <c r="B278" s="279">
        <v>7998</v>
      </c>
      <c r="C278" s="279" t="s">
        <v>6</v>
      </c>
      <c r="D278" s="280">
        <v>1</v>
      </c>
    </row>
    <row r="279" spans="1:4">
      <c r="A279" s="278" t="str">
        <f t="shared" si="33"/>
        <v>АСУЭ.BMRZ.mU32</v>
      </c>
      <c r="B279" s="279">
        <v>101</v>
      </c>
      <c r="C279" s="279" t="s">
        <v>0</v>
      </c>
      <c r="D279" s="280" t="s">
        <v>380</v>
      </c>
    </row>
    <row r="280" spans="1:4">
      <c r="A280" s="278" t="str">
        <f t="shared" si="33"/>
        <v>АСУЭ.BMRZ.mU32</v>
      </c>
      <c r="B280" s="279">
        <v>3</v>
      </c>
      <c r="C280" s="279" t="s">
        <v>1</v>
      </c>
      <c r="D280" s="280">
        <v>192</v>
      </c>
    </row>
    <row r="281" spans="1:4">
      <c r="A281" s="278" t="str">
        <f t="shared" si="33"/>
        <v>АСУЭ.BMRZ.mU32</v>
      </c>
      <c r="B281" s="279">
        <v>2</v>
      </c>
      <c r="C281" s="279" t="s">
        <v>80</v>
      </c>
      <c r="D281" s="280">
        <v>0</v>
      </c>
    </row>
    <row r="282" spans="1:4">
      <c r="A282" s="281" t="str">
        <f t="shared" si="33"/>
        <v>АСУЭ.BMRZ.mU32</v>
      </c>
      <c r="B282" s="282">
        <v>1</v>
      </c>
      <c r="C282" s="282" t="s">
        <v>1</v>
      </c>
      <c r="D282" s="283">
        <v>4</v>
      </c>
    </row>
    <row r="283" spans="1:4">
      <c r="A283" s="275" t="str">
        <f t="shared" ref="A283:A288" si="34">$R$2&amp;".P"</f>
        <v>АСУЭ.BMRZ.P</v>
      </c>
      <c r="B283" s="276">
        <v>7999</v>
      </c>
      <c r="C283" s="276" t="s">
        <v>0</v>
      </c>
      <c r="D283" s="277" t="str">
        <f>"#"&amp;$S$2&amp;"#"&amp;$T$2&amp;"."&amp;$P$2&amp;".Reg_Aver_Asign_n18"</f>
        <v>#3#\\Setup_rza\Modbus.OPCServer\KTP_BMRZ.VV1_BMRZ-04VV.Reg_Aver_Asign_n18</v>
      </c>
    </row>
    <row r="284" spans="1:4">
      <c r="A284" s="278" t="str">
        <f t="shared" si="34"/>
        <v>АСУЭ.BMRZ.P</v>
      </c>
      <c r="B284" s="279">
        <v>7998</v>
      </c>
      <c r="C284" s="279" t="s">
        <v>6</v>
      </c>
      <c r="D284" s="280">
        <v>1</v>
      </c>
    </row>
    <row r="285" spans="1:4">
      <c r="A285" s="278" t="str">
        <f t="shared" si="34"/>
        <v>АСУЭ.BMRZ.P</v>
      </c>
      <c r="B285" s="279">
        <v>101</v>
      </c>
      <c r="C285" s="279" t="s">
        <v>0</v>
      </c>
      <c r="D285" s="280" t="s">
        <v>1686</v>
      </c>
    </row>
    <row r="286" spans="1:4">
      <c r="A286" s="278" t="str">
        <f t="shared" si="34"/>
        <v>АСУЭ.BMRZ.P</v>
      </c>
      <c r="B286" s="279">
        <v>3</v>
      </c>
      <c r="C286" s="279" t="s">
        <v>1</v>
      </c>
      <c r="D286" s="280">
        <v>192</v>
      </c>
    </row>
    <row r="287" spans="1:4">
      <c r="A287" s="278" t="str">
        <f t="shared" si="34"/>
        <v>АСУЭ.BMRZ.P</v>
      </c>
      <c r="B287" s="279">
        <v>2</v>
      </c>
      <c r="C287" s="279" t="s">
        <v>80</v>
      </c>
      <c r="D287" s="280">
        <v>0</v>
      </c>
    </row>
    <row r="288" spans="1:4">
      <c r="A288" s="281" t="str">
        <f t="shared" si="34"/>
        <v>АСУЭ.BMRZ.P</v>
      </c>
      <c r="B288" s="282">
        <v>1</v>
      </c>
      <c r="C288" s="282" t="s">
        <v>1</v>
      </c>
      <c r="D288" s="283">
        <v>4</v>
      </c>
    </row>
    <row r="289" spans="1:4">
      <c r="A289" s="275" t="str">
        <f t="shared" ref="A289:A294" si="35">$R$2&amp;".Q"</f>
        <v>АСУЭ.BMRZ.Q</v>
      </c>
      <c r="B289" s="276">
        <v>7999</v>
      </c>
      <c r="C289" s="276" t="s">
        <v>0</v>
      </c>
      <c r="D289" s="277" t="str">
        <f>"#"&amp;$S$2&amp;"#"&amp;$T$2&amp;"."&amp;$P$2&amp;".Reg_Aver_Asign_n19"</f>
        <v>#3#\\Setup_rza\Modbus.OPCServer\KTP_BMRZ.VV1_BMRZ-04VV.Reg_Aver_Asign_n19</v>
      </c>
    </row>
    <row r="290" spans="1:4">
      <c r="A290" s="278" t="str">
        <f t="shared" si="35"/>
        <v>АСУЭ.BMRZ.Q</v>
      </c>
      <c r="B290" s="279">
        <v>7998</v>
      </c>
      <c r="C290" s="279" t="s">
        <v>6</v>
      </c>
      <c r="D290" s="280">
        <v>1</v>
      </c>
    </row>
    <row r="291" spans="1:4">
      <c r="A291" s="278" t="str">
        <f t="shared" si="35"/>
        <v>АСУЭ.BMRZ.Q</v>
      </c>
      <c r="B291" s="279">
        <v>101</v>
      </c>
      <c r="C291" s="279" t="s">
        <v>0</v>
      </c>
      <c r="D291" s="280" t="s">
        <v>1687</v>
      </c>
    </row>
    <row r="292" spans="1:4">
      <c r="A292" s="278" t="str">
        <f t="shared" si="35"/>
        <v>АСУЭ.BMRZ.Q</v>
      </c>
      <c r="B292" s="279">
        <v>3</v>
      </c>
      <c r="C292" s="279" t="s">
        <v>1</v>
      </c>
      <c r="D292" s="280">
        <v>192</v>
      </c>
    </row>
    <row r="293" spans="1:4">
      <c r="A293" s="278" t="str">
        <f t="shared" si="35"/>
        <v>АСУЭ.BMRZ.Q</v>
      </c>
      <c r="B293" s="279">
        <v>2</v>
      </c>
      <c r="C293" s="279" t="s">
        <v>80</v>
      </c>
      <c r="D293" s="280">
        <v>0</v>
      </c>
    </row>
    <row r="294" spans="1:4">
      <c r="A294" s="281" t="str">
        <f t="shared" si="35"/>
        <v>АСУЭ.BMRZ.Q</v>
      </c>
      <c r="B294" s="282">
        <v>1</v>
      </c>
      <c r="C294" s="282" t="s">
        <v>1</v>
      </c>
      <c r="D294" s="283">
        <v>4</v>
      </c>
    </row>
    <row r="295" spans="1:4">
      <c r="A295" s="275" t="str">
        <f t="shared" ref="A295:A300" si="36">$R$2&amp;".S"</f>
        <v>АСУЭ.BMRZ.S</v>
      </c>
      <c r="B295" s="276">
        <v>7999</v>
      </c>
      <c r="C295" s="276" t="s">
        <v>0</v>
      </c>
      <c r="D295" s="277" t="str">
        <f>"#"&amp;$S$2&amp;"#"&amp;$T$2&amp;"."&amp;$P$2&amp;".Reg_Aver_Asign_n20"</f>
        <v>#3#\\Setup_rza\Modbus.OPCServer\KTP_BMRZ.VV1_BMRZ-04VV.Reg_Aver_Asign_n20</v>
      </c>
    </row>
    <row r="296" spans="1:4">
      <c r="A296" s="278" t="str">
        <f t="shared" si="36"/>
        <v>АСУЭ.BMRZ.S</v>
      </c>
      <c r="B296" s="279">
        <v>7998</v>
      </c>
      <c r="C296" s="279" t="s">
        <v>6</v>
      </c>
      <c r="D296" s="280">
        <v>1</v>
      </c>
    </row>
    <row r="297" spans="1:4">
      <c r="A297" s="278" t="str">
        <f t="shared" si="36"/>
        <v>АСУЭ.BMRZ.S</v>
      </c>
      <c r="B297" s="279">
        <v>101</v>
      </c>
      <c r="C297" s="279" t="s">
        <v>0</v>
      </c>
      <c r="D297" s="280" t="s">
        <v>1688</v>
      </c>
    </row>
    <row r="298" spans="1:4">
      <c r="A298" s="278" t="str">
        <f t="shared" si="36"/>
        <v>АСУЭ.BMRZ.S</v>
      </c>
      <c r="B298" s="279">
        <v>3</v>
      </c>
      <c r="C298" s="279" t="s">
        <v>1</v>
      </c>
      <c r="D298" s="280">
        <v>192</v>
      </c>
    </row>
    <row r="299" spans="1:4">
      <c r="A299" s="278" t="str">
        <f t="shared" si="36"/>
        <v>АСУЭ.BMRZ.S</v>
      </c>
      <c r="B299" s="279">
        <v>2</v>
      </c>
      <c r="C299" s="279" t="s">
        <v>80</v>
      </c>
      <c r="D299" s="280">
        <v>0</v>
      </c>
    </row>
    <row r="300" spans="1:4">
      <c r="A300" s="281" t="str">
        <f t="shared" si="36"/>
        <v>АСУЭ.BMRZ.S</v>
      </c>
      <c r="B300" s="282">
        <v>1</v>
      </c>
      <c r="C300" s="282" t="s">
        <v>1</v>
      </c>
      <c r="D300" s="283">
        <v>4</v>
      </c>
    </row>
    <row r="301" spans="1:4">
      <c r="A301" s="275" t="str">
        <f t="shared" ref="A301:A306" si="37">$R$2&amp;".cos"</f>
        <v>АСУЭ.BMRZ.cos</v>
      </c>
      <c r="B301" s="276">
        <v>7999</v>
      </c>
      <c r="C301" s="276" t="s">
        <v>0</v>
      </c>
      <c r="D301" s="277" t="str">
        <f>"#"&amp;$S$2&amp;"#"&amp;$T$2&amp;"."&amp;$P$2&amp;".Reg_Aver_Asign_n21"</f>
        <v>#3#\\Setup_rza\Modbus.OPCServer\KTP_BMRZ.VV1_BMRZ-04VV.Reg_Aver_Asign_n21</v>
      </c>
    </row>
    <row r="302" spans="1:4">
      <c r="A302" s="278" t="str">
        <f t="shared" si="37"/>
        <v>АСУЭ.BMRZ.cos</v>
      </c>
      <c r="B302" s="279">
        <v>7998</v>
      </c>
      <c r="C302" s="279" t="s">
        <v>6</v>
      </c>
      <c r="D302" s="280">
        <v>1</v>
      </c>
    </row>
    <row r="303" spans="1:4">
      <c r="A303" s="278" t="str">
        <f t="shared" si="37"/>
        <v>АСУЭ.BMRZ.cos</v>
      </c>
      <c r="B303" s="279">
        <v>101</v>
      </c>
      <c r="C303" s="279" t="s">
        <v>0</v>
      </c>
      <c r="D303" s="280" t="s">
        <v>1689</v>
      </c>
    </row>
    <row r="304" spans="1:4">
      <c r="A304" s="278" t="str">
        <f t="shared" si="37"/>
        <v>АСУЭ.BMRZ.cos</v>
      </c>
      <c r="B304" s="279">
        <v>3</v>
      </c>
      <c r="C304" s="279" t="s">
        <v>1</v>
      </c>
      <c r="D304" s="280">
        <v>192</v>
      </c>
    </row>
    <row r="305" spans="1:4">
      <c r="A305" s="278" t="str">
        <f t="shared" si="37"/>
        <v>АСУЭ.BMRZ.cos</v>
      </c>
      <c r="B305" s="279">
        <v>2</v>
      </c>
      <c r="C305" s="279" t="s">
        <v>80</v>
      </c>
      <c r="D305" s="280">
        <v>0</v>
      </c>
    </row>
    <row r="306" spans="1:4">
      <c r="A306" s="281" t="str">
        <f t="shared" si="37"/>
        <v>АСУЭ.BMRZ.cos</v>
      </c>
      <c r="B306" s="282">
        <v>1</v>
      </c>
      <c r="C306" s="282" t="s">
        <v>1</v>
      </c>
      <c r="D306" s="283">
        <v>4</v>
      </c>
    </row>
  </sheetData>
  <mergeCells count="3">
    <mergeCell ref="D19:E19"/>
    <mergeCell ref="Q32:Q33"/>
    <mergeCell ref="Q34:Q35"/>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Лист37">
    <tabColor rgb="FFFFC000"/>
  </sheetPr>
  <dimension ref="A1:BP229"/>
  <sheetViews>
    <sheetView topLeftCell="A4" zoomScale="70" zoomScaleNormal="70" workbookViewId="0">
      <selection activeCell="D2" sqref="D2:D4"/>
    </sheetView>
  </sheetViews>
  <sheetFormatPr defaultRowHeight="14.4"/>
  <cols>
    <col min="1" max="1" width="66.4414062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57"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t="s">
        <v>504</v>
      </c>
      <c r="Q2" s="2" t="s">
        <v>333</v>
      </c>
      <c r="R2" s="2" t="s">
        <v>750</v>
      </c>
      <c r="S2" s="3">
        <v>3</v>
      </c>
      <c r="T2" s="3" t="s">
        <v>1701</v>
      </c>
      <c r="U2" s="3"/>
      <c r="V2" s="3" t="s">
        <v>569</v>
      </c>
      <c r="W2" s="12" t="s">
        <v>326</v>
      </c>
      <c r="X2" s="12" t="s">
        <v>327</v>
      </c>
      <c r="Y2" s="12"/>
      <c r="Z2" s="12"/>
      <c r="AA2" s="12"/>
      <c r="AB2" s="2"/>
      <c r="AC2" s="2" t="s">
        <v>305</v>
      </c>
      <c r="AD2" s="2"/>
      <c r="AE2" s="2" t="s">
        <v>1414</v>
      </c>
      <c r="AF2" s="2"/>
      <c r="AG2" s="2"/>
      <c r="AH2" s="2"/>
      <c r="AI2" s="2"/>
      <c r="AJ2" s="2"/>
      <c r="AK2" s="2"/>
      <c r="AL2" s="2"/>
      <c r="AM2" s="2"/>
      <c r="AN2" s="2"/>
      <c r="AO2" s="2"/>
      <c r="AP2" s="2"/>
      <c r="AQ2" s="2"/>
      <c r="AR2" s="2"/>
      <c r="AS2" s="2"/>
      <c r="AT2" s="2"/>
      <c r="AU2" s="2"/>
      <c r="AV2" s="2"/>
      <c r="AW2" s="2"/>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3"/>
      <c r="V4" s="10"/>
      <c r="W4" s="10"/>
      <c r="X4" s="10"/>
      <c r="Y4" s="10"/>
      <c r="Z4" s="10"/>
      <c r="AA4" s="10"/>
      <c r="BM4" s="4"/>
      <c r="BN4" s="4"/>
      <c r="BO4" s="4"/>
      <c r="BP4" s="4"/>
    </row>
    <row r="5" spans="1:68" ht="15" customHeight="1">
      <c r="A5" s="9"/>
      <c r="B5" s="9"/>
      <c r="C5" s="9"/>
      <c r="D5" s="9"/>
      <c r="E5" s="9"/>
      <c r="F5" s="9"/>
      <c r="P5" s="6" t="str">
        <f>Настройки!A2</f>
        <v>Авария</v>
      </c>
      <c r="Q5" s="5">
        <f>Настройки!B2</f>
        <v>4</v>
      </c>
      <c r="R5" s="5" t="str">
        <f>Настройки!C2</f>
        <v>Авария</v>
      </c>
      <c r="S5" s="10"/>
      <c r="T5" s="458">
        <f>Настройки!M12</f>
        <v>1</v>
      </c>
      <c r="U5" s="14"/>
      <c r="V5" s="10"/>
      <c r="W5" s="10"/>
      <c r="X5" s="10"/>
      <c r="Y5" s="10"/>
      <c r="Z5" s="10"/>
      <c r="AA5" s="10"/>
      <c r="BM5" s="4"/>
      <c r="BN5" s="4"/>
      <c r="BO5" s="4"/>
      <c r="BP5" s="4"/>
    </row>
    <row r="6" spans="1:68" ht="15" customHeight="1">
      <c r="A6" s="9"/>
      <c r="B6" s="9"/>
      <c r="C6" s="9"/>
      <c r="D6" s="9"/>
      <c r="E6" s="9"/>
      <c r="F6" s="9"/>
      <c r="P6" s="6" t="str">
        <f>Настройки!A3</f>
        <v>Предупреждение</v>
      </c>
      <c r="Q6" s="5">
        <f>Настройки!B3</f>
        <v>8</v>
      </c>
      <c r="R6" s="5" t="str">
        <f>Настройки!C3</f>
        <v>Предупреждение</v>
      </c>
      <c r="S6" s="10"/>
      <c r="T6" s="562" t="str">
        <f>Настройки!M7</f>
        <v>Отображение Таблицы подлючений в диаг.</v>
      </c>
      <c r="U6" s="10"/>
      <c r="V6" s="10"/>
      <c r="W6" s="10"/>
      <c r="X6" s="10"/>
      <c r="Y6" s="10"/>
      <c r="Z6" s="10"/>
      <c r="AA6" s="10"/>
      <c r="BM6" s="4"/>
      <c r="BN6" s="4"/>
      <c r="BO6" s="4"/>
      <c r="BP6" s="4"/>
    </row>
    <row r="7" spans="1:68" ht="15" customHeight="1">
      <c r="A7" s="9"/>
      <c r="B7" s="9"/>
      <c r="C7" s="9"/>
      <c r="D7" s="9"/>
      <c r="E7" s="9"/>
      <c r="F7" s="9"/>
      <c r="P7" s="6" t="str">
        <f>Настройки!A4</f>
        <v>Неисправность</v>
      </c>
      <c r="Q7" s="5">
        <f>Настройки!B4</f>
        <v>12</v>
      </c>
      <c r="R7" s="5" t="str">
        <f>Настройки!C4</f>
        <v>Неисправность</v>
      </c>
      <c r="S7" s="10"/>
      <c r="T7" s="4" t="b">
        <f>Настройки!M8</f>
        <v>0</v>
      </c>
      <c r="U7" s="10"/>
      <c r="V7" s="10"/>
      <c r="W7" s="10"/>
      <c r="X7" s="10"/>
      <c r="Y7" s="10"/>
      <c r="Z7" s="10"/>
      <c r="AA7" s="10"/>
      <c r="BM7" s="4"/>
      <c r="BN7" s="4"/>
      <c r="BO7" s="4"/>
      <c r="BP7" s="4"/>
    </row>
    <row r="8" spans="1:68" ht="15" customHeight="1">
      <c r="A8" s="9"/>
      <c r="B8" s="9"/>
      <c r="C8" s="9"/>
      <c r="D8" s="9"/>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BM8" s="4"/>
      <c r="BN8" s="4"/>
      <c r="BO8" s="4"/>
      <c r="BP8" s="4"/>
    </row>
    <row r="9" spans="1:68" ht="15" customHeight="1">
      <c r="A9" s="9"/>
      <c r="B9" s="9"/>
      <c r="C9" s="9"/>
      <c r="D9" s="9"/>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BM9" s="4"/>
      <c r="BN9" s="4"/>
      <c r="BO9" s="4"/>
      <c r="BP9" s="4"/>
    </row>
    <row r="10" spans="1:68" ht="15" customHeight="1">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BM10" s="4"/>
      <c r="BN10" s="4"/>
      <c r="BO10" s="4"/>
      <c r="BP10" s="4"/>
    </row>
    <row r="11" spans="1:68" ht="15" customHeight="1">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BM11" s="4"/>
      <c r="BN11" s="4"/>
      <c r="BO11" s="4"/>
      <c r="BP11" s="4"/>
    </row>
    <row r="12" spans="1:68"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M17" s="4"/>
      <c r="BN17" s="4"/>
      <c r="BO17" s="4"/>
      <c r="BP17" s="4"/>
    </row>
    <row r="18" spans="1:68" ht="15" customHeight="1" thickBo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M18" s="4"/>
      <c r="BN18" s="4"/>
      <c r="BO18" s="4"/>
      <c r="BP18" s="4"/>
    </row>
    <row r="19" spans="1:68" ht="15" customHeight="1" thickBot="1">
      <c r="A19" s="9"/>
      <c r="B19" s="9"/>
      <c r="C19" s="9"/>
      <c r="D19" s="783" t="s">
        <v>1876</v>
      </c>
      <c r="E19" s="782"/>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M19" s="4"/>
      <c r="BN19" s="4"/>
      <c r="BO19" s="4"/>
      <c r="BP19" s="4"/>
    </row>
    <row r="20" spans="1:68">
      <c r="A20" s="23" t="str">
        <f t="shared" ref="A20:A22" si="0">$R$2</f>
        <v>АСУЭ.BMPA</v>
      </c>
      <c r="B20" s="24">
        <v>1</v>
      </c>
      <c r="C20" s="24" t="s">
        <v>1</v>
      </c>
      <c r="D20" s="25">
        <v>17</v>
      </c>
    </row>
    <row r="21" spans="1:68">
      <c r="A21" s="29" t="str">
        <f t="shared" si="0"/>
        <v>АСУЭ.BMPA</v>
      </c>
      <c r="B21" s="1">
        <v>11001</v>
      </c>
      <c r="C21" s="1" t="s">
        <v>0</v>
      </c>
      <c r="D21" s="30" t="str">
        <f>$Q$2&amp;". "</f>
        <v xml:space="preserve">BMPA. </v>
      </c>
    </row>
    <row r="22" spans="1:68">
      <c r="A22" s="29" t="str">
        <f t="shared" si="0"/>
        <v>АСУЭ.BMPA</v>
      </c>
      <c r="B22" s="1">
        <v>11156</v>
      </c>
      <c r="C22" s="1" t="s">
        <v>0</v>
      </c>
      <c r="D22" s="30" t="str">
        <f>$V$2</f>
        <v>Тестовый экран</v>
      </c>
    </row>
    <row r="23" spans="1:68" ht="15" customHeight="1">
      <c r="A23" s="16" t="str">
        <f>$R$2</f>
        <v>АСУЭ.BMPA</v>
      </c>
      <c r="B23" s="17">
        <v>100</v>
      </c>
      <c r="C23" s="17" t="s">
        <v>0</v>
      </c>
      <c r="D23" s="18" t="b">
        <f>$T$7</f>
        <v>0</v>
      </c>
      <c r="BF23" s="4"/>
      <c r="BG23" s="4"/>
      <c r="BH23" s="4"/>
      <c r="BI23" s="4"/>
    </row>
    <row r="24" spans="1:68">
      <c r="A24" s="29" t="str">
        <f>$R$2</f>
        <v>АСУЭ.BMPA</v>
      </c>
      <c r="B24" s="1">
        <v>7011</v>
      </c>
      <c r="C24" s="1" t="s">
        <v>2</v>
      </c>
      <c r="D24" s="30" t="s">
        <v>266</v>
      </c>
    </row>
    <row r="25" spans="1:68" ht="15" customHeight="1">
      <c r="A25" s="19" t="str">
        <f t="shared" ref="A25" si="1">$R$2</f>
        <v>АСУЭ.BMPA</v>
      </c>
      <c r="B25" s="11">
        <v>9218</v>
      </c>
      <c r="C25" s="11" t="s">
        <v>2</v>
      </c>
      <c r="D25" s="20" t="s">
        <v>3</v>
      </c>
      <c r="BF25" s="4"/>
      <c r="BG25" s="4"/>
      <c r="BH25" s="4"/>
      <c r="BI25" s="4"/>
    </row>
    <row r="26" spans="1:68" ht="15" customHeight="1">
      <c r="A26" s="19" t="str">
        <f>$R$2</f>
        <v>АСУЭ.BMPA</v>
      </c>
      <c r="B26" s="11">
        <v>11127</v>
      </c>
      <c r="C26" s="11" t="s">
        <v>0</v>
      </c>
      <c r="D26" s="20">
        <f>$AK$2</f>
        <v>0</v>
      </c>
      <c r="BM26" s="4"/>
      <c r="BN26" s="4"/>
      <c r="BO26" s="4"/>
      <c r="BP26" s="4"/>
    </row>
    <row r="27" spans="1:68">
      <c r="A27" s="19" t="str">
        <f t="shared" ref="A27:A31" si="2">$R$2</f>
        <v>АСУЭ.BMPA</v>
      </c>
      <c r="B27" s="11">
        <v>11126</v>
      </c>
      <c r="C27" s="11" t="s">
        <v>0</v>
      </c>
      <c r="D27" s="20" t="str">
        <f>$AC$2</f>
        <v>Фиолетовый</v>
      </c>
    </row>
    <row r="28" spans="1:68">
      <c r="A28" s="16" t="str">
        <f t="shared" si="2"/>
        <v>АСУЭ.BMPA</v>
      </c>
      <c r="B28" s="17">
        <v>203</v>
      </c>
      <c r="C28" s="17" t="s">
        <v>2</v>
      </c>
      <c r="D28" s="18" t="s">
        <v>3</v>
      </c>
    </row>
    <row r="29" spans="1:68" ht="15" customHeight="1">
      <c r="A29" s="19" t="str">
        <f t="shared" si="2"/>
        <v>АСУЭ.BMPA</v>
      </c>
      <c r="B29" s="11">
        <v>3000203</v>
      </c>
      <c r="C29" s="11" t="s">
        <v>0</v>
      </c>
      <c r="D29" s="20" t="str">
        <f>$AE$2</f>
        <v>Диагностика.CPU.NOT_LINK.noLink</v>
      </c>
      <c r="BF29" s="4"/>
      <c r="BG29" s="4"/>
      <c r="BH29" s="4"/>
      <c r="BI29" s="4"/>
    </row>
    <row r="30" spans="1:68" ht="15" customHeight="1">
      <c r="A30" s="19" t="str">
        <f t="shared" si="2"/>
        <v>АСУЭ.BMPA</v>
      </c>
      <c r="B30" s="11">
        <v>4000203</v>
      </c>
      <c r="C30" s="11" t="s">
        <v>0</v>
      </c>
      <c r="D30" s="20" t="s">
        <v>1775</v>
      </c>
      <c r="BF30" s="4"/>
      <c r="BG30" s="4"/>
      <c r="BH30" s="4"/>
      <c r="BI30" s="4"/>
    </row>
    <row r="31" spans="1:68" ht="15" customHeight="1">
      <c r="A31" s="21" t="str">
        <f t="shared" si="2"/>
        <v>АСУЭ.BMPA</v>
      </c>
      <c r="B31" s="8">
        <v>7000203</v>
      </c>
      <c r="C31" s="8" t="s">
        <v>6</v>
      </c>
      <c r="D31" s="22">
        <v>2</v>
      </c>
      <c r="BF31" s="4"/>
      <c r="BG31" s="4"/>
      <c r="BH31" s="4"/>
      <c r="BI31" s="4"/>
    </row>
    <row r="32" spans="1:68">
      <c r="A32" s="23" t="str">
        <f>$R$2</f>
        <v>АСУЭ.BMPA</v>
      </c>
      <c r="B32" s="24">
        <v>9219</v>
      </c>
      <c r="C32" s="24" t="s">
        <v>2</v>
      </c>
      <c r="D32" s="25" t="s">
        <v>3</v>
      </c>
      <c r="Q32" s="778" t="s">
        <v>224</v>
      </c>
    </row>
    <row r="33" spans="1:61">
      <c r="A33" s="29" t="str">
        <f>$R$2</f>
        <v>АСУЭ.BMPA</v>
      </c>
      <c r="B33" s="27">
        <v>3009219</v>
      </c>
      <c r="C33" s="27" t="s">
        <v>0</v>
      </c>
      <c r="D33" s="28" t="str">
        <f>$X$2</f>
        <v>!АСУЭ.ЗРУиКТП.DI_1.XVLX.value &amp;&amp; АСУЭ.ЗРУиКТП.IMstp_1.XONX.value &amp;&amp; АСУЭ.ЗРУиКТП.IMstp_1.XTON.value</v>
      </c>
      <c r="Q33" s="779"/>
    </row>
    <row r="34" spans="1:61">
      <c r="A34" s="23" t="str">
        <f>$R$2</f>
        <v>АСУЭ.BMPA</v>
      </c>
      <c r="B34" s="1">
        <v>9220</v>
      </c>
      <c r="C34" s="1" t="s">
        <v>2</v>
      </c>
      <c r="D34" s="30" t="s">
        <v>3</v>
      </c>
      <c r="Q34" s="778" t="s">
        <v>223</v>
      </c>
    </row>
    <row r="35" spans="1:61">
      <c r="A35" s="26" t="str">
        <f>$R$2</f>
        <v>АСУЭ.BMPA</v>
      </c>
      <c r="B35" s="27">
        <v>3009220</v>
      </c>
      <c r="C35" s="27" t="s">
        <v>0</v>
      </c>
      <c r="D35" s="28" t="str">
        <f>$W$2</f>
        <v>!АСУЭ.ЗРУиКТП.DI_1.XVLX.value &amp;&amp; АСУЭ.ЗРУиКТП.IMstp_1.XTON.value</v>
      </c>
      <c r="Q35" s="779"/>
    </row>
    <row r="36" spans="1:61">
      <c r="A36" s="16" t="str">
        <f>$R$2&amp;".Commands"</f>
        <v>АСУЭ.BMPA.Commands</v>
      </c>
      <c r="B36" s="24">
        <v>1</v>
      </c>
      <c r="C36" s="24" t="s">
        <v>1</v>
      </c>
      <c r="D36" s="25">
        <v>17</v>
      </c>
    </row>
    <row r="37" spans="1:61">
      <c r="A37" s="29" t="str">
        <f>$R$2&amp;".Commands"</f>
        <v>АСУЭ.BMPA.Commands</v>
      </c>
      <c r="B37" s="1">
        <v>7011</v>
      </c>
      <c r="C37" s="1" t="s">
        <v>2</v>
      </c>
      <c r="D37" s="30" t="s">
        <v>266</v>
      </c>
    </row>
    <row r="38" spans="1:61" ht="15" customHeight="1">
      <c r="A38" s="29" t="str">
        <f>$R$2&amp;".Commands"</f>
        <v>АСУЭ.BMPA.Commands</v>
      </c>
      <c r="B38">
        <v>9213</v>
      </c>
      <c r="C38" s="11" t="s">
        <v>2583</v>
      </c>
      <c r="D38" s="30">
        <v>2</v>
      </c>
      <c r="BF38" s="4"/>
      <c r="BG38" s="4"/>
      <c r="BH38" s="4"/>
      <c r="BI38" s="4"/>
    </row>
    <row r="39" spans="1:61">
      <c r="A39" s="19" t="str">
        <f>$R$2&amp;".Commands"</f>
        <v>АСУЭ.BMPA.Commands</v>
      </c>
      <c r="B39" s="11">
        <v>9214</v>
      </c>
      <c r="C39" s="11" t="s">
        <v>2</v>
      </c>
      <c r="D39" s="20" t="s">
        <v>3</v>
      </c>
    </row>
    <row r="40" spans="1:61">
      <c r="A40" s="19" t="str">
        <f t="shared" ref="A40:A42" si="3">$R$2&amp;".Commands"</f>
        <v>АСУЭ.BMPA.Commands</v>
      </c>
      <c r="B40" s="11">
        <v>9215</v>
      </c>
      <c r="C40" s="11" t="s">
        <v>2</v>
      </c>
      <c r="D40" s="20" t="s">
        <v>3</v>
      </c>
    </row>
    <row r="41" spans="1:61">
      <c r="A41" s="19" t="str">
        <f t="shared" si="3"/>
        <v>АСУЭ.BMPA.Commands</v>
      </c>
      <c r="B41" s="11">
        <v>9216</v>
      </c>
      <c r="C41" s="11" t="s">
        <v>2</v>
      </c>
      <c r="D41" s="20" t="s">
        <v>3</v>
      </c>
    </row>
    <row r="42" spans="1:61">
      <c r="A42" s="21" t="str">
        <f t="shared" si="3"/>
        <v>АСУЭ.BMPA.Commands</v>
      </c>
      <c r="B42" s="8">
        <v>9217</v>
      </c>
      <c r="C42" s="8" t="s">
        <v>2</v>
      </c>
      <c r="D42" s="22" t="s">
        <v>3</v>
      </c>
    </row>
    <row r="43" spans="1:61">
      <c r="A43" s="572" t="str">
        <f t="shared" ref="A43:A52" si="4">$R$2&amp;".aPrt"</f>
        <v>АСУЭ.BMPA.aPrt</v>
      </c>
      <c r="B43" s="573">
        <v>11154</v>
      </c>
      <c r="C43" s="573" t="s">
        <v>4</v>
      </c>
      <c r="D43" s="150">
        <f>$Q$5</f>
        <v>4</v>
      </c>
    </row>
    <row r="44" spans="1:61">
      <c r="A44" s="572" t="str">
        <f t="shared" si="4"/>
        <v>АСУЭ.BMPA.aPrt</v>
      </c>
      <c r="B44" s="573">
        <v>11150</v>
      </c>
      <c r="C44" s="573" t="s">
        <v>0</v>
      </c>
      <c r="D44" s="574" t="s">
        <v>141</v>
      </c>
    </row>
    <row r="45" spans="1:61">
      <c r="A45" s="572" t="str">
        <f t="shared" si="4"/>
        <v>АСУЭ.BMPA.aPrt</v>
      </c>
      <c r="B45" s="573">
        <v>11152</v>
      </c>
      <c r="C45" s="573" t="s">
        <v>0</v>
      </c>
      <c r="D45" s="575" t="str">
        <f>$R$5</f>
        <v>Авария</v>
      </c>
    </row>
    <row r="46" spans="1:61" ht="15" customHeight="1">
      <c r="A46" s="572" t="str">
        <f t="shared" si="4"/>
        <v>АСУЭ.BMPA.aPrt</v>
      </c>
      <c r="B46" s="573">
        <v>11000</v>
      </c>
      <c r="C46" s="573" t="s">
        <v>5</v>
      </c>
      <c r="D46" s="574">
        <v>2147483680</v>
      </c>
    </row>
    <row r="47" spans="1:61">
      <c r="A47" s="566" t="str">
        <f t="shared" si="4"/>
        <v>АСУЭ.BMPA.aPrt</v>
      </c>
      <c r="B47" s="567">
        <v>7999</v>
      </c>
      <c r="C47" s="567" t="s">
        <v>0</v>
      </c>
      <c r="D47" s="568" t="str">
        <f>"#"&amp;$S$2&amp;"#"&amp;$T$2&amp;"."&amp;$P$2&amp;".Reg_Dsign_bit46"</f>
        <v>#3#\\Setup_rza\Modbus.OPCServer\KTP_BMPA.SV_BMPA.Reg_Dsign_bit46</v>
      </c>
    </row>
    <row r="48" spans="1:61">
      <c r="A48" s="566" t="str">
        <f t="shared" si="4"/>
        <v>АСУЭ.BMPA.aPrt</v>
      </c>
      <c r="B48" s="567">
        <v>7998</v>
      </c>
      <c r="C48" s="567" t="s">
        <v>6</v>
      </c>
      <c r="D48" s="568">
        <v>1</v>
      </c>
    </row>
    <row r="49" spans="1:4">
      <c r="A49" s="566" t="str">
        <f t="shared" si="4"/>
        <v>АСУЭ.BMPA.aPrt</v>
      </c>
      <c r="B49" s="567">
        <v>101</v>
      </c>
      <c r="C49" s="567" t="s">
        <v>0</v>
      </c>
      <c r="D49" s="568" t="s">
        <v>141</v>
      </c>
    </row>
    <row r="50" spans="1:4">
      <c r="A50" s="566" t="str">
        <f t="shared" si="4"/>
        <v>АСУЭ.BMPA.aPrt</v>
      </c>
      <c r="B50" s="567">
        <v>3</v>
      </c>
      <c r="C50" s="567" t="s">
        <v>1</v>
      </c>
      <c r="D50" s="568">
        <v>192</v>
      </c>
    </row>
    <row r="51" spans="1:4">
      <c r="A51" s="566" t="str">
        <f t="shared" si="4"/>
        <v>АСУЭ.BMPA.aPrt</v>
      </c>
      <c r="B51" s="567">
        <v>2</v>
      </c>
      <c r="C51" s="567" t="s">
        <v>2</v>
      </c>
      <c r="D51" s="568" t="s">
        <v>3</v>
      </c>
    </row>
    <row r="52" spans="1:4">
      <c r="A52" s="569" t="str">
        <f t="shared" si="4"/>
        <v>АСУЭ.BMPA.aPrt</v>
      </c>
      <c r="B52" s="570">
        <v>1</v>
      </c>
      <c r="C52" s="570" t="s">
        <v>1</v>
      </c>
      <c r="D52" s="571">
        <v>11</v>
      </c>
    </row>
    <row r="53" spans="1:4">
      <c r="A53" s="576" t="str">
        <f t="shared" ref="A53:A62" si="5">$R$2&amp;".wCall"</f>
        <v>АСУЭ.BMPA.wCall</v>
      </c>
      <c r="B53" s="577">
        <v>11154</v>
      </c>
      <c r="C53" s="577" t="s">
        <v>4</v>
      </c>
      <c r="D53" s="578">
        <f>$Q$6</f>
        <v>8</v>
      </c>
    </row>
    <row r="54" spans="1:4">
      <c r="A54" s="579" t="str">
        <f t="shared" si="5"/>
        <v>АСУЭ.BMPA.wCall</v>
      </c>
      <c r="B54" s="580">
        <v>11152</v>
      </c>
      <c r="C54" s="580" t="s">
        <v>0</v>
      </c>
      <c r="D54" s="581" t="str">
        <f>$R$6</f>
        <v>Предупреждение</v>
      </c>
    </row>
    <row r="55" spans="1:4">
      <c r="A55" s="579" t="str">
        <f t="shared" si="5"/>
        <v>АСУЭ.BMPA.wCall</v>
      </c>
      <c r="B55" s="580">
        <v>11150</v>
      </c>
      <c r="C55" s="580" t="s">
        <v>0</v>
      </c>
      <c r="D55" s="581" t="s">
        <v>338</v>
      </c>
    </row>
    <row r="56" spans="1:4">
      <c r="A56" s="579" t="str">
        <f t="shared" si="5"/>
        <v>АСУЭ.BMPA.wCall</v>
      </c>
      <c r="B56" s="580">
        <v>11000</v>
      </c>
      <c r="C56" s="580" t="s">
        <v>5</v>
      </c>
      <c r="D56" s="581">
        <v>2147483680</v>
      </c>
    </row>
    <row r="57" spans="1:4">
      <c r="A57" s="566" t="str">
        <f t="shared" si="5"/>
        <v>АСУЭ.BMPA.wCall</v>
      </c>
      <c r="B57" s="567">
        <v>7999</v>
      </c>
      <c r="C57" s="567" t="s">
        <v>0</v>
      </c>
      <c r="D57" s="568" t="str">
        <f>"#"&amp;$S$2&amp;"#"&amp;$T$2&amp;"."&amp;$P$2&amp;".Reg_Status_bit8"</f>
        <v>#3#\\Setup_rza\Modbus.OPCServer\KTP_BMPA.SV_BMPA.Reg_Status_bit8</v>
      </c>
    </row>
    <row r="58" spans="1:4" ht="16.5" customHeight="1">
      <c r="A58" s="566" t="str">
        <f t="shared" si="5"/>
        <v>АСУЭ.BMPA.wCall</v>
      </c>
      <c r="B58" s="567">
        <v>7998</v>
      </c>
      <c r="C58" s="567" t="s">
        <v>6</v>
      </c>
      <c r="D58" s="568">
        <v>1</v>
      </c>
    </row>
    <row r="59" spans="1:4">
      <c r="A59" s="566" t="str">
        <f t="shared" si="5"/>
        <v>АСУЭ.BMPA.wCall</v>
      </c>
      <c r="B59" s="567">
        <v>101</v>
      </c>
      <c r="C59" s="567" t="s">
        <v>0</v>
      </c>
      <c r="D59" s="568" t="s">
        <v>338</v>
      </c>
    </row>
    <row r="60" spans="1:4">
      <c r="A60" s="566" t="str">
        <f t="shared" si="5"/>
        <v>АСУЭ.BMPA.wCall</v>
      </c>
      <c r="B60" s="567">
        <v>3</v>
      </c>
      <c r="C60" s="567" t="s">
        <v>1</v>
      </c>
      <c r="D60" s="568">
        <v>192</v>
      </c>
    </row>
    <row r="61" spans="1:4">
      <c r="A61" s="566" t="str">
        <f t="shared" si="5"/>
        <v>АСУЭ.BMPA.wCall</v>
      </c>
      <c r="B61" s="567">
        <v>2</v>
      </c>
      <c r="C61" s="567" t="s">
        <v>2</v>
      </c>
      <c r="D61" s="568" t="s">
        <v>3</v>
      </c>
    </row>
    <row r="62" spans="1:4">
      <c r="A62" s="569" t="str">
        <f t="shared" si="5"/>
        <v>АСУЭ.BMPA.wCall</v>
      </c>
      <c r="B62" s="570">
        <v>1</v>
      </c>
      <c r="C62" s="570" t="s">
        <v>1</v>
      </c>
      <c r="D62" s="571">
        <v>11</v>
      </c>
    </row>
    <row r="63" spans="1:4">
      <c r="A63" s="579" t="str">
        <f t="shared" ref="A63:A72" si="6">$R$2&amp;".wLoc"</f>
        <v>АСУЭ.BMPA.wLoc</v>
      </c>
      <c r="B63" s="580">
        <v>11154</v>
      </c>
      <c r="C63" s="580" t="s">
        <v>4</v>
      </c>
      <c r="D63" s="199">
        <f>$Q$6</f>
        <v>8</v>
      </c>
    </row>
    <row r="64" spans="1:4">
      <c r="A64" s="579" t="str">
        <f t="shared" si="6"/>
        <v>АСУЭ.BMPA.wLoc</v>
      </c>
      <c r="B64" s="580">
        <v>11150</v>
      </c>
      <c r="C64" s="580" t="s">
        <v>0</v>
      </c>
      <c r="D64" s="581" t="s">
        <v>169</v>
      </c>
    </row>
    <row r="65" spans="1:4">
      <c r="A65" s="579" t="str">
        <f t="shared" si="6"/>
        <v>АСУЭ.BMPA.wLoc</v>
      </c>
      <c r="B65" s="580">
        <v>11152</v>
      </c>
      <c r="C65" s="580" t="s">
        <v>0</v>
      </c>
      <c r="D65" s="582" t="str">
        <f>$R$6</f>
        <v>Предупреждение</v>
      </c>
    </row>
    <row r="66" spans="1:4">
      <c r="A66" s="579" t="str">
        <f t="shared" si="6"/>
        <v>АСУЭ.BMPA.wLoc</v>
      </c>
      <c r="B66" s="580">
        <v>11000</v>
      </c>
      <c r="C66" s="580" t="s">
        <v>5</v>
      </c>
      <c r="D66" s="581">
        <v>2147483680</v>
      </c>
    </row>
    <row r="67" spans="1:4">
      <c r="A67" s="566" t="str">
        <f t="shared" si="6"/>
        <v>АСУЭ.BMPA.wLoc</v>
      </c>
      <c r="B67" s="567">
        <v>7999</v>
      </c>
      <c r="C67" s="567" t="s">
        <v>0</v>
      </c>
      <c r="D67" s="568" t="str">
        <f>"#"&amp;$S$2&amp;"#"&amp;$T$2&amp;"."&amp;$P$2&amp;".Reg_Status_bit7"</f>
        <v>#3#\\Setup_rza\Modbus.OPCServer\KTP_BMPA.SV_BMPA.Reg_Status_bit7</v>
      </c>
    </row>
    <row r="68" spans="1:4">
      <c r="A68" s="566" t="str">
        <f t="shared" si="6"/>
        <v>АСУЭ.BMPA.wLoc</v>
      </c>
      <c r="B68" s="567">
        <v>7998</v>
      </c>
      <c r="C68" s="567" t="s">
        <v>6</v>
      </c>
      <c r="D68" s="568">
        <v>1</v>
      </c>
    </row>
    <row r="69" spans="1:4">
      <c r="A69" s="566" t="str">
        <f t="shared" si="6"/>
        <v>АСУЭ.BMPA.wLoc</v>
      </c>
      <c r="B69" s="567">
        <v>101</v>
      </c>
      <c r="C69" s="567" t="s">
        <v>0</v>
      </c>
      <c r="D69" s="568" t="s">
        <v>169</v>
      </c>
    </row>
    <row r="70" spans="1:4">
      <c r="A70" s="566" t="str">
        <f t="shared" si="6"/>
        <v>АСУЭ.BMPA.wLoc</v>
      </c>
      <c r="B70" s="567">
        <v>3</v>
      </c>
      <c r="C70" s="567" t="s">
        <v>1</v>
      </c>
      <c r="D70" s="568">
        <v>192</v>
      </c>
    </row>
    <row r="71" spans="1:4">
      <c r="A71" s="566" t="str">
        <f t="shared" si="6"/>
        <v>АСУЭ.BMPA.wLoc</v>
      </c>
      <c r="B71" s="567">
        <v>2</v>
      </c>
      <c r="C71" s="567" t="s">
        <v>2</v>
      </c>
      <c r="D71" s="568" t="s">
        <v>3</v>
      </c>
    </row>
    <row r="72" spans="1:4">
      <c r="A72" s="569" t="str">
        <f t="shared" si="6"/>
        <v>АСУЭ.BMPA.wLoc</v>
      </c>
      <c r="B72" s="570">
        <v>1</v>
      </c>
      <c r="C72" s="570" t="s">
        <v>1</v>
      </c>
      <c r="D72" s="571">
        <v>11</v>
      </c>
    </row>
    <row r="73" spans="1:4">
      <c r="A73" s="583" t="str">
        <f>$R$2&amp;".NotConnected"</f>
        <v>АСУЭ.BMPA.NotConnected</v>
      </c>
      <c r="B73" s="584">
        <v>11154</v>
      </c>
      <c r="C73" s="584" t="s">
        <v>4</v>
      </c>
      <c r="D73" s="585">
        <f>$Q$7</f>
        <v>12</v>
      </c>
    </row>
    <row r="74" spans="1:4">
      <c r="A74" s="586" t="str">
        <f t="shared" ref="A74:A82" si="7">$R$2&amp;".NotConnected"</f>
        <v>АСУЭ.BMPA.NotConnected</v>
      </c>
      <c r="B74" s="587">
        <v>11152</v>
      </c>
      <c r="C74" s="587" t="s">
        <v>0</v>
      </c>
      <c r="D74" s="588" t="str">
        <f>$R$7</f>
        <v>Неисправность</v>
      </c>
    </row>
    <row r="75" spans="1:4">
      <c r="A75" s="586" t="str">
        <f t="shared" si="7"/>
        <v>АСУЭ.BMPA.NotConnected</v>
      </c>
      <c r="B75" s="587">
        <v>11150</v>
      </c>
      <c r="C75" s="587" t="s">
        <v>0</v>
      </c>
      <c r="D75" s="588" t="s">
        <v>448</v>
      </c>
    </row>
    <row r="76" spans="1:4">
      <c r="A76" s="586" t="str">
        <f t="shared" si="7"/>
        <v>АСУЭ.BMPA.NotConnected</v>
      </c>
      <c r="B76" s="587">
        <v>11000</v>
      </c>
      <c r="C76" s="587" t="s">
        <v>5</v>
      </c>
      <c r="D76" s="588">
        <v>2147483680</v>
      </c>
    </row>
    <row r="77" spans="1:4">
      <c r="A77" s="566" t="str">
        <f t="shared" si="7"/>
        <v>АСУЭ.BMPA.NotConnected</v>
      </c>
      <c r="B77" s="567">
        <v>7999</v>
      </c>
      <c r="C77" s="567" t="s">
        <v>0</v>
      </c>
      <c r="D77" s="568" t="str">
        <f>"#"&amp;$S$2&amp;"#"&amp;$T$2&amp;"."&amp;$P$2&amp;".NotConnected"</f>
        <v>#3#\\Setup_rza\Modbus.OPCServer\KTP_BMPA.SV_BMPA.NotConnected</v>
      </c>
    </row>
    <row r="78" spans="1:4">
      <c r="A78" s="566" t="str">
        <f t="shared" si="7"/>
        <v>АСУЭ.BMPA.NotConnected</v>
      </c>
      <c r="B78" s="567">
        <v>7998</v>
      </c>
      <c r="C78" s="567" t="s">
        <v>6</v>
      </c>
      <c r="D78" s="568">
        <v>1</v>
      </c>
    </row>
    <row r="79" spans="1:4">
      <c r="A79" s="566" t="str">
        <f t="shared" si="7"/>
        <v>АСУЭ.BMPA.NotConnected</v>
      </c>
      <c r="B79" s="567">
        <v>101</v>
      </c>
      <c r="C79" s="567" t="s">
        <v>0</v>
      </c>
      <c r="D79" s="568" t="s">
        <v>448</v>
      </c>
    </row>
    <row r="80" spans="1:4">
      <c r="A80" s="566" t="str">
        <f t="shared" si="7"/>
        <v>АСУЭ.BMPA.NotConnected</v>
      </c>
      <c r="B80" s="567">
        <v>3</v>
      </c>
      <c r="C80" s="567" t="s">
        <v>1</v>
      </c>
      <c r="D80" s="568">
        <v>192</v>
      </c>
    </row>
    <row r="81" spans="1:4">
      <c r="A81" s="566" t="str">
        <f t="shared" si="7"/>
        <v>АСУЭ.BMPA.NotConnected</v>
      </c>
      <c r="B81" s="567">
        <v>2</v>
      </c>
      <c r="C81" s="567" t="s">
        <v>2</v>
      </c>
      <c r="D81" s="568" t="s">
        <v>3</v>
      </c>
    </row>
    <row r="82" spans="1:4">
      <c r="A82" s="569" t="str">
        <f t="shared" si="7"/>
        <v>АСУЭ.BMPA.NotConnected</v>
      </c>
      <c r="B82" s="570">
        <v>1</v>
      </c>
      <c r="C82" s="570" t="s">
        <v>1</v>
      </c>
      <c r="D82" s="571">
        <v>11</v>
      </c>
    </row>
    <row r="83" spans="1:4">
      <c r="A83" s="586" t="str">
        <f t="shared" ref="A83:A92" si="8">$R$2&amp;".wCtrlCircuitFault"</f>
        <v>АСУЭ.BMPA.wCtrlCircuitFault</v>
      </c>
      <c r="B83" s="587">
        <v>11154</v>
      </c>
      <c r="C83" s="587" t="s">
        <v>4</v>
      </c>
      <c r="D83" s="238">
        <f>$Q$7</f>
        <v>12</v>
      </c>
    </row>
    <row r="84" spans="1:4">
      <c r="A84" s="586" t="str">
        <f t="shared" si="8"/>
        <v>АСУЭ.BMPA.wCtrlCircuitFault</v>
      </c>
      <c r="B84" s="587">
        <v>11150</v>
      </c>
      <c r="C84" s="587" t="s">
        <v>0</v>
      </c>
      <c r="D84" s="588" t="s">
        <v>387</v>
      </c>
    </row>
    <row r="85" spans="1:4">
      <c r="A85" s="586" t="str">
        <f t="shared" si="8"/>
        <v>АСУЭ.BMPA.wCtrlCircuitFault</v>
      </c>
      <c r="B85" s="587">
        <v>11152</v>
      </c>
      <c r="C85" s="587" t="s">
        <v>0</v>
      </c>
      <c r="D85" s="597" t="str">
        <f>$R$7</f>
        <v>Неисправность</v>
      </c>
    </row>
    <row r="86" spans="1:4">
      <c r="A86" s="586" t="str">
        <f t="shared" si="8"/>
        <v>АСУЭ.BMPA.wCtrlCircuitFault</v>
      </c>
      <c r="B86" s="587">
        <v>11000</v>
      </c>
      <c r="C86" s="587" t="s">
        <v>5</v>
      </c>
      <c r="D86" s="588">
        <v>2147483680</v>
      </c>
    </row>
    <row r="87" spans="1:4">
      <c r="A87" s="566" t="str">
        <f t="shared" si="8"/>
        <v>АСУЭ.BMPA.wCtrlCircuitFault</v>
      </c>
      <c r="B87" s="567">
        <v>7999</v>
      </c>
      <c r="C87" s="567" t="s">
        <v>0</v>
      </c>
      <c r="D87" s="568" t="str">
        <f>"#"&amp;$S$2&amp;"#"&amp;$T$2&amp;"."&amp;$P$2&amp;".Reg_Dsign_bit43"</f>
        <v>#3#\\Setup_rza\Modbus.OPCServer\KTP_BMPA.SV_BMPA.Reg_Dsign_bit43</v>
      </c>
    </row>
    <row r="88" spans="1:4">
      <c r="A88" s="566" t="str">
        <f t="shared" si="8"/>
        <v>АСУЭ.BMPA.wCtrlCircuitFault</v>
      </c>
      <c r="B88" s="567">
        <v>7998</v>
      </c>
      <c r="C88" s="567" t="s">
        <v>6</v>
      </c>
      <c r="D88" s="568">
        <v>1</v>
      </c>
    </row>
    <row r="89" spans="1:4">
      <c r="A89" s="566" t="str">
        <f t="shared" si="8"/>
        <v>АСУЭ.BMPA.wCtrlCircuitFault</v>
      </c>
      <c r="B89" s="567">
        <v>101</v>
      </c>
      <c r="C89" s="567" t="s">
        <v>0</v>
      </c>
      <c r="D89" s="568" t="s">
        <v>387</v>
      </c>
    </row>
    <row r="90" spans="1:4">
      <c r="A90" s="566" t="str">
        <f t="shared" si="8"/>
        <v>АСУЭ.BMPA.wCtrlCircuitFault</v>
      </c>
      <c r="B90" s="567">
        <v>3</v>
      </c>
      <c r="C90" s="567" t="s">
        <v>1</v>
      </c>
      <c r="D90" s="568">
        <v>192</v>
      </c>
    </row>
    <row r="91" spans="1:4">
      <c r="A91" s="566" t="str">
        <f t="shared" si="8"/>
        <v>АСУЭ.BMPA.wCtrlCircuitFault</v>
      </c>
      <c r="B91" s="567">
        <v>2</v>
      </c>
      <c r="C91" s="567" t="s">
        <v>2</v>
      </c>
      <c r="D91" s="568" t="s">
        <v>3</v>
      </c>
    </row>
    <row r="92" spans="1:4">
      <c r="A92" s="569" t="str">
        <f t="shared" si="8"/>
        <v>АСУЭ.BMPA.wCtrlCircuitFault</v>
      </c>
      <c r="B92" s="570">
        <v>1</v>
      </c>
      <c r="C92" s="570" t="s">
        <v>1</v>
      </c>
      <c r="D92" s="571">
        <v>11</v>
      </c>
    </row>
    <row r="93" spans="1:4">
      <c r="A93" s="586" t="str">
        <f t="shared" ref="A93:A102" si="9">$R$2&amp;".wQFFault"</f>
        <v>АСУЭ.BMPA.wQFFault</v>
      </c>
      <c r="B93" s="587">
        <v>11154</v>
      </c>
      <c r="C93" s="587" t="s">
        <v>4</v>
      </c>
      <c r="D93" s="238">
        <f>$Q$7</f>
        <v>12</v>
      </c>
    </row>
    <row r="94" spans="1:4">
      <c r="A94" s="586" t="str">
        <f t="shared" si="9"/>
        <v>АСУЭ.BMPA.wQFFault</v>
      </c>
      <c r="B94" s="587">
        <v>11150</v>
      </c>
      <c r="C94" s="587" t="s">
        <v>0</v>
      </c>
      <c r="D94" s="588" t="s">
        <v>388</v>
      </c>
    </row>
    <row r="95" spans="1:4">
      <c r="A95" s="586" t="str">
        <f t="shared" si="9"/>
        <v>АСУЭ.BMPA.wQFFault</v>
      </c>
      <c r="B95" s="587">
        <v>11152</v>
      </c>
      <c r="C95" s="587" t="s">
        <v>0</v>
      </c>
      <c r="D95" s="597" t="str">
        <f>$R$7</f>
        <v>Неисправность</v>
      </c>
    </row>
    <row r="96" spans="1:4">
      <c r="A96" s="586" t="str">
        <f t="shared" si="9"/>
        <v>АСУЭ.BMPA.wQFFault</v>
      </c>
      <c r="B96" s="587">
        <v>11000</v>
      </c>
      <c r="C96" s="587" t="s">
        <v>5</v>
      </c>
      <c r="D96" s="588">
        <v>2147483680</v>
      </c>
    </row>
    <row r="97" spans="1:16">
      <c r="A97" s="566" t="str">
        <f t="shared" si="9"/>
        <v>АСУЭ.BMPA.wQFFault</v>
      </c>
      <c r="B97" s="567">
        <v>7999</v>
      </c>
      <c r="C97" s="567" t="s">
        <v>0</v>
      </c>
      <c r="D97" s="568" t="str">
        <f>"#"&amp;$S$2&amp;"#"&amp;$T$2&amp;"."&amp;$P$2&amp;".Reg_Status_bit2"</f>
        <v>#3#\\Setup_rza\Modbus.OPCServer\KTP_BMPA.SV_BMPA.Reg_Status_bit2</v>
      </c>
    </row>
    <row r="98" spans="1:16">
      <c r="A98" s="566" t="str">
        <f t="shared" si="9"/>
        <v>АСУЭ.BMPA.wQFFault</v>
      </c>
      <c r="B98" s="567">
        <v>7998</v>
      </c>
      <c r="C98" s="567" t="s">
        <v>6</v>
      </c>
      <c r="D98" s="568">
        <v>1</v>
      </c>
    </row>
    <row r="99" spans="1:16">
      <c r="A99" s="566" t="str">
        <f t="shared" si="9"/>
        <v>АСУЭ.BMPA.wQFFault</v>
      </c>
      <c r="B99" s="567">
        <v>101</v>
      </c>
      <c r="C99" s="567" t="s">
        <v>0</v>
      </c>
      <c r="D99" s="568" t="s">
        <v>388</v>
      </c>
    </row>
    <row r="100" spans="1:16">
      <c r="A100" s="566" t="str">
        <f t="shared" si="9"/>
        <v>АСУЭ.BMPA.wQFFault</v>
      </c>
      <c r="B100" s="567">
        <v>3</v>
      </c>
      <c r="C100" s="567" t="s">
        <v>1</v>
      </c>
      <c r="D100" s="568">
        <v>192</v>
      </c>
    </row>
    <row r="101" spans="1:16">
      <c r="A101" s="566" t="str">
        <f t="shared" si="9"/>
        <v>АСУЭ.BMPA.wQFFault</v>
      </c>
      <c r="B101" s="567">
        <v>2</v>
      </c>
      <c r="C101" s="567" t="s">
        <v>2</v>
      </c>
      <c r="D101" s="568" t="s">
        <v>3</v>
      </c>
    </row>
    <row r="102" spans="1:16">
      <c r="A102" s="569" t="str">
        <f t="shared" si="9"/>
        <v>АСУЭ.BMPA.wQFFault</v>
      </c>
      <c r="B102" s="570">
        <v>1</v>
      </c>
      <c r="C102" s="570" t="s">
        <v>1</v>
      </c>
      <c r="D102" s="571">
        <v>11</v>
      </c>
    </row>
    <row r="103" spans="1:16">
      <c r="A103" s="586" t="str">
        <f t="shared" ref="A103:A112" si="10">$R$2&amp;".fBMPAFault"</f>
        <v>АСУЭ.BMPA.fBMPAFault</v>
      </c>
      <c r="B103" s="587">
        <v>11154</v>
      </c>
      <c r="C103" s="587" t="s">
        <v>4</v>
      </c>
      <c r="D103" s="238">
        <f>$Q$7</f>
        <v>12</v>
      </c>
      <c r="P103" s="4"/>
    </row>
    <row r="104" spans="1:16">
      <c r="A104" s="586" t="str">
        <f t="shared" si="10"/>
        <v>АСУЭ.BMPA.fBMPAFault</v>
      </c>
      <c r="B104" s="587">
        <v>11150</v>
      </c>
      <c r="C104" s="587" t="s">
        <v>0</v>
      </c>
      <c r="D104" s="588" t="s">
        <v>389</v>
      </c>
      <c r="P104" s="4"/>
    </row>
    <row r="105" spans="1:16">
      <c r="A105" s="586" t="str">
        <f t="shared" si="10"/>
        <v>АСУЭ.BMPA.fBMPAFault</v>
      </c>
      <c r="B105" s="587">
        <v>11152</v>
      </c>
      <c r="C105" s="587" t="s">
        <v>0</v>
      </c>
      <c r="D105" s="597" t="str">
        <f>$R$7</f>
        <v>Неисправность</v>
      </c>
      <c r="P105" s="4"/>
    </row>
    <row r="106" spans="1:16">
      <c r="A106" s="586" t="str">
        <f t="shared" si="10"/>
        <v>АСУЭ.BMPA.fBMPAFault</v>
      </c>
      <c r="B106" s="587">
        <v>11000</v>
      </c>
      <c r="C106" s="587" t="s">
        <v>5</v>
      </c>
      <c r="D106" s="588">
        <v>2147483680</v>
      </c>
      <c r="P106" s="4"/>
    </row>
    <row r="107" spans="1:16">
      <c r="A107" s="566" t="str">
        <f t="shared" si="10"/>
        <v>АСУЭ.BMPA.fBMPAFault</v>
      </c>
      <c r="B107" s="567">
        <v>7999</v>
      </c>
      <c r="C107" s="567" t="s">
        <v>0</v>
      </c>
      <c r="D107" s="568" t="str">
        <f>"#"&amp;$S$2&amp;"#"&amp;$T$2&amp;"."&amp;$P$2&amp;".Reg_Dsign_bit47"</f>
        <v>#3#\\Setup_rza\Modbus.OPCServer\KTP_BMPA.SV_BMPA.Reg_Dsign_bit47</v>
      </c>
      <c r="P107" s="4"/>
    </row>
    <row r="108" spans="1:16">
      <c r="A108" s="566" t="str">
        <f t="shared" si="10"/>
        <v>АСУЭ.BMPA.fBMPAFault</v>
      </c>
      <c r="B108" s="567">
        <v>7998</v>
      </c>
      <c r="C108" s="567" t="s">
        <v>6</v>
      </c>
      <c r="D108" s="568">
        <v>1</v>
      </c>
      <c r="P108" s="4"/>
    </row>
    <row r="109" spans="1:16">
      <c r="A109" s="566" t="str">
        <f t="shared" si="10"/>
        <v>АСУЭ.BMPA.fBMPAFault</v>
      </c>
      <c r="B109" s="567">
        <v>101</v>
      </c>
      <c r="C109" s="567" t="s">
        <v>0</v>
      </c>
      <c r="D109" s="568" t="s">
        <v>389</v>
      </c>
      <c r="P109" s="4"/>
    </row>
    <row r="110" spans="1:16">
      <c r="A110" s="566" t="str">
        <f t="shared" si="10"/>
        <v>АСУЭ.BMPA.fBMPAFault</v>
      </c>
      <c r="B110" s="567">
        <v>3</v>
      </c>
      <c r="C110" s="567" t="s">
        <v>1</v>
      </c>
      <c r="D110" s="568">
        <v>192</v>
      </c>
      <c r="P110" s="4"/>
    </row>
    <row r="111" spans="1:16">
      <c r="A111" s="566" t="str">
        <f t="shared" si="10"/>
        <v>АСУЭ.BMPA.fBMPAFault</v>
      </c>
      <c r="B111" s="567">
        <v>2</v>
      </c>
      <c r="C111" s="567" t="s">
        <v>2</v>
      </c>
      <c r="D111" s="568" t="s">
        <v>3</v>
      </c>
      <c r="P111" s="4"/>
    </row>
    <row r="112" spans="1:16">
      <c r="A112" s="569" t="str">
        <f t="shared" si="10"/>
        <v>АСУЭ.BMPA.fBMPAFault</v>
      </c>
      <c r="B112" s="570">
        <v>1</v>
      </c>
      <c r="C112" s="570" t="s">
        <v>1</v>
      </c>
      <c r="D112" s="571">
        <v>11</v>
      </c>
      <c r="P112" s="4"/>
    </row>
    <row r="113" spans="1:16">
      <c r="A113" s="586" t="str">
        <f t="shared" ref="A113:A120" si="11">$R$2&amp;".wNotOff"</f>
        <v>АСУЭ.BMPA.wNotOff</v>
      </c>
      <c r="B113" s="587">
        <v>11154</v>
      </c>
      <c r="C113" s="587" t="s">
        <v>4</v>
      </c>
      <c r="D113" s="585">
        <f>$Q$7</f>
        <v>12</v>
      </c>
      <c r="P113" s="4"/>
    </row>
    <row r="114" spans="1:16">
      <c r="A114" s="586" t="str">
        <f t="shared" si="11"/>
        <v>АСУЭ.BMPA.wNotOff</v>
      </c>
      <c r="B114" s="587">
        <v>11152</v>
      </c>
      <c r="C114" s="587" t="s">
        <v>0</v>
      </c>
      <c r="D114" s="588" t="str">
        <f>$R$7</f>
        <v>Неисправность</v>
      </c>
      <c r="P114" s="4"/>
    </row>
    <row r="115" spans="1:16">
      <c r="A115" s="586" t="str">
        <f t="shared" si="11"/>
        <v>АСУЭ.BMPA.wNotOff</v>
      </c>
      <c r="B115" s="587">
        <v>11150</v>
      </c>
      <c r="C115" s="587" t="s">
        <v>0</v>
      </c>
      <c r="D115" s="588" t="s">
        <v>339</v>
      </c>
      <c r="P115" s="4"/>
    </row>
    <row r="116" spans="1:16">
      <c r="A116" s="586" t="str">
        <f t="shared" si="11"/>
        <v>АСУЭ.BMPA.wNotOff</v>
      </c>
      <c r="B116" s="587">
        <v>11000</v>
      </c>
      <c r="C116" s="587" t="s">
        <v>5</v>
      </c>
      <c r="D116" s="588">
        <v>2147483680</v>
      </c>
      <c r="P116" s="4"/>
    </row>
    <row r="117" spans="1:16">
      <c r="A117" s="566" t="str">
        <f t="shared" si="11"/>
        <v>АСУЭ.BMPA.wNotOff</v>
      </c>
      <c r="B117" s="567">
        <v>101</v>
      </c>
      <c r="C117" s="567" t="s">
        <v>0</v>
      </c>
      <c r="D117" s="568" t="s">
        <v>169</v>
      </c>
      <c r="P117" s="4"/>
    </row>
    <row r="118" spans="1:16">
      <c r="A118" s="566" t="str">
        <f t="shared" si="11"/>
        <v>АСУЭ.BMPA.wNotOff</v>
      </c>
      <c r="B118" s="567">
        <v>3</v>
      </c>
      <c r="C118" s="567" t="s">
        <v>1</v>
      </c>
      <c r="D118" s="568">
        <v>192</v>
      </c>
      <c r="P118" s="4"/>
    </row>
    <row r="119" spans="1:16">
      <c r="A119" s="566" t="str">
        <f t="shared" si="11"/>
        <v>АСУЭ.BMPA.wNotOff</v>
      </c>
      <c r="B119" s="567">
        <v>2</v>
      </c>
      <c r="C119" s="567" t="s">
        <v>2</v>
      </c>
      <c r="D119" s="568" t="s">
        <v>3</v>
      </c>
      <c r="P119" s="4"/>
    </row>
    <row r="120" spans="1:16">
      <c r="A120" s="566" t="str">
        <f t="shared" si="11"/>
        <v>АСУЭ.BMPA.wNotOff</v>
      </c>
      <c r="B120" s="567">
        <v>1</v>
      </c>
      <c r="C120" s="567" t="s">
        <v>1</v>
      </c>
      <c r="D120" s="568">
        <v>11</v>
      </c>
      <c r="P120" s="4"/>
    </row>
    <row r="121" spans="1:16">
      <c r="A121" s="583" t="str">
        <f t="shared" ref="A121:A128" si="12">$R$2&amp;".wNotOn"</f>
        <v>АСУЭ.BMPA.wNotOn</v>
      </c>
      <c r="B121" s="584">
        <v>11154</v>
      </c>
      <c r="C121" s="584" t="s">
        <v>4</v>
      </c>
      <c r="D121" s="585">
        <f>$Q$7</f>
        <v>12</v>
      </c>
      <c r="P121" s="4"/>
    </row>
    <row r="122" spans="1:16">
      <c r="A122" s="586" t="str">
        <f t="shared" si="12"/>
        <v>АСУЭ.BMPA.wNotOn</v>
      </c>
      <c r="B122" s="587">
        <v>11152</v>
      </c>
      <c r="C122" s="587" t="s">
        <v>0</v>
      </c>
      <c r="D122" s="588" t="str">
        <f>$R$7</f>
        <v>Неисправность</v>
      </c>
      <c r="P122" s="4"/>
    </row>
    <row r="123" spans="1:16">
      <c r="A123" s="586" t="str">
        <f t="shared" si="12"/>
        <v>АСУЭ.BMPA.wNotOn</v>
      </c>
      <c r="B123" s="587">
        <v>11150</v>
      </c>
      <c r="C123" s="587" t="s">
        <v>0</v>
      </c>
      <c r="D123" s="588" t="s">
        <v>340</v>
      </c>
      <c r="P123" s="4"/>
    </row>
    <row r="124" spans="1:16">
      <c r="A124" s="586" t="str">
        <f t="shared" si="12"/>
        <v>АСУЭ.BMPA.wNotOn</v>
      </c>
      <c r="B124" s="587">
        <v>11000</v>
      </c>
      <c r="C124" s="587" t="s">
        <v>5</v>
      </c>
      <c r="D124" s="588">
        <v>2147483680</v>
      </c>
      <c r="P124" s="4"/>
    </row>
    <row r="125" spans="1:16">
      <c r="A125" s="566" t="str">
        <f t="shared" si="12"/>
        <v>АСУЭ.BMPA.wNotOn</v>
      </c>
      <c r="B125" s="567">
        <v>101</v>
      </c>
      <c r="C125" s="567" t="s">
        <v>0</v>
      </c>
      <c r="D125" s="568" t="s">
        <v>169</v>
      </c>
      <c r="P125" s="4"/>
    </row>
    <row r="126" spans="1:16">
      <c r="A126" s="566" t="str">
        <f t="shared" si="12"/>
        <v>АСУЭ.BMPA.wNotOn</v>
      </c>
      <c r="B126" s="567">
        <v>3</v>
      </c>
      <c r="C126" s="567" t="s">
        <v>1</v>
      </c>
      <c r="D126" s="568">
        <v>192</v>
      </c>
      <c r="P126" s="4"/>
    </row>
    <row r="127" spans="1:16">
      <c r="A127" s="566" t="str">
        <f>$R$2&amp;".wNotOn"</f>
        <v>АСУЭ.BMPA.wNotOn</v>
      </c>
      <c r="B127" s="567">
        <v>2</v>
      </c>
      <c r="C127" s="567" t="s">
        <v>2</v>
      </c>
      <c r="D127" s="568" t="s">
        <v>3</v>
      </c>
      <c r="P127" s="4"/>
    </row>
    <row r="128" spans="1:16">
      <c r="A128" s="569" t="str">
        <f t="shared" si="12"/>
        <v>АСУЭ.BMPA.wNotOn</v>
      </c>
      <c r="B128" s="570">
        <v>1</v>
      </c>
      <c r="C128" s="570" t="s">
        <v>1</v>
      </c>
      <c r="D128" s="571">
        <v>11</v>
      </c>
      <c r="P128" s="4"/>
    </row>
    <row r="129" spans="1:4">
      <c r="A129" s="586" t="str">
        <f t="shared" ref="A129:A135" si="13">$R$2&amp;".wDbl"</f>
        <v>АСУЭ.BMPA.wDbl</v>
      </c>
      <c r="B129" s="587">
        <v>11154</v>
      </c>
      <c r="C129" s="587" t="s">
        <v>4</v>
      </c>
      <c r="D129" s="588">
        <f>$Q$7</f>
        <v>12</v>
      </c>
    </row>
    <row r="130" spans="1:4">
      <c r="A130" s="586" t="str">
        <f t="shared" si="13"/>
        <v>АСУЭ.BMPA.wDbl</v>
      </c>
      <c r="B130" s="587">
        <v>11152</v>
      </c>
      <c r="C130" s="587" t="s">
        <v>0</v>
      </c>
      <c r="D130" s="588" t="str">
        <f>$R$7</f>
        <v>Неисправность</v>
      </c>
    </row>
    <row r="131" spans="1:4">
      <c r="A131" s="586" t="str">
        <f t="shared" si="13"/>
        <v>АСУЭ.BMPA.wDbl</v>
      </c>
      <c r="B131" s="587">
        <v>11150</v>
      </c>
      <c r="C131" s="587" t="s">
        <v>0</v>
      </c>
      <c r="D131" s="588" t="s">
        <v>341</v>
      </c>
    </row>
    <row r="132" spans="1:4">
      <c r="A132" s="586" t="str">
        <f t="shared" si="13"/>
        <v>АСУЭ.BMPA.wDbl</v>
      </c>
      <c r="B132" s="587">
        <v>11000</v>
      </c>
      <c r="C132" s="587" t="s">
        <v>5</v>
      </c>
      <c r="D132" s="588">
        <v>2147483680</v>
      </c>
    </row>
    <row r="133" spans="1:4">
      <c r="A133" s="566" t="str">
        <f t="shared" si="13"/>
        <v>АСУЭ.BMPA.wDbl</v>
      </c>
      <c r="B133" s="567">
        <v>3</v>
      </c>
      <c r="C133" s="567" t="s">
        <v>1</v>
      </c>
      <c r="D133" s="568">
        <v>192</v>
      </c>
    </row>
    <row r="134" spans="1:4">
      <c r="A134" s="566" t="str">
        <f t="shared" si="13"/>
        <v>АСУЭ.BMPA.wDbl</v>
      </c>
      <c r="B134" s="567">
        <v>2</v>
      </c>
      <c r="C134" s="567" t="s">
        <v>2</v>
      </c>
      <c r="D134" s="568" t="s">
        <v>3</v>
      </c>
    </row>
    <row r="135" spans="1:4">
      <c r="A135" s="569" t="str">
        <f t="shared" si="13"/>
        <v>АСУЭ.BMPA.wDbl</v>
      </c>
      <c r="B135" s="570">
        <v>1</v>
      </c>
      <c r="C135" s="570" t="s">
        <v>1</v>
      </c>
      <c r="D135" s="571">
        <v>11</v>
      </c>
    </row>
    <row r="136" spans="1:4">
      <c r="A136" s="586" t="str">
        <f t="shared" ref="A136:A142" si="14">$R$2&amp;".wUnkw"</f>
        <v>АСУЭ.BMPA.wUnkw</v>
      </c>
      <c r="B136" s="587">
        <v>11154</v>
      </c>
      <c r="C136" s="587" t="s">
        <v>4</v>
      </c>
      <c r="D136" s="588">
        <f>$Q$7</f>
        <v>12</v>
      </c>
    </row>
    <row r="137" spans="1:4">
      <c r="A137" s="586" t="str">
        <f t="shared" si="14"/>
        <v>АСУЭ.BMPA.wUnkw</v>
      </c>
      <c r="B137" s="587">
        <v>11152</v>
      </c>
      <c r="C137" s="587" t="s">
        <v>0</v>
      </c>
      <c r="D137" s="588" t="str">
        <f>$R$7</f>
        <v>Неисправность</v>
      </c>
    </row>
    <row r="138" spans="1:4">
      <c r="A138" s="586" t="str">
        <f t="shared" si="14"/>
        <v>АСУЭ.BMPA.wUnkw</v>
      </c>
      <c r="B138" s="587">
        <v>11150</v>
      </c>
      <c r="C138" s="587" t="s">
        <v>0</v>
      </c>
      <c r="D138" s="588" t="s">
        <v>342</v>
      </c>
    </row>
    <row r="139" spans="1:4">
      <c r="A139" s="586" t="str">
        <f t="shared" si="14"/>
        <v>АСУЭ.BMPA.wUnkw</v>
      </c>
      <c r="B139" s="587">
        <v>11000</v>
      </c>
      <c r="C139" s="587" t="s">
        <v>5</v>
      </c>
      <c r="D139" s="588">
        <v>2147483680</v>
      </c>
    </row>
    <row r="140" spans="1:4">
      <c r="A140" s="566" t="str">
        <f t="shared" si="14"/>
        <v>АСУЭ.BMPA.wUnkw</v>
      </c>
      <c r="B140" s="567">
        <v>3</v>
      </c>
      <c r="C140" s="567" t="s">
        <v>1</v>
      </c>
      <c r="D140" s="568">
        <v>192</v>
      </c>
    </row>
    <row r="141" spans="1:4">
      <c r="A141" s="566" t="str">
        <f t="shared" si="14"/>
        <v>АСУЭ.BMPA.wUnkw</v>
      </c>
      <c r="B141" s="567">
        <v>2</v>
      </c>
      <c r="C141" s="567" t="s">
        <v>2</v>
      </c>
      <c r="D141" s="568" t="s">
        <v>3</v>
      </c>
    </row>
    <row r="142" spans="1:4">
      <c r="A142" s="569" t="str">
        <f t="shared" si="14"/>
        <v>АСУЭ.BMPA.wUnkw</v>
      </c>
      <c r="B142" s="570">
        <v>1</v>
      </c>
      <c r="C142" s="570" t="s">
        <v>1</v>
      </c>
      <c r="D142" s="571">
        <v>11</v>
      </c>
    </row>
    <row r="143" spans="1:4">
      <c r="A143" s="566" t="str">
        <f t="shared" ref="A143:A154" si="15">$R$2&amp;".stOff"</f>
        <v>АСУЭ.BMPA.stOff</v>
      </c>
      <c r="B143" s="567">
        <v>7000000</v>
      </c>
      <c r="C143" s="567" t="s">
        <v>6</v>
      </c>
      <c r="D143" s="568">
        <v>1</v>
      </c>
    </row>
    <row r="144" spans="1:4">
      <c r="A144" s="566" t="str">
        <f t="shared" si="15"/>
        <v>АСУЭ.BMPA.stOff</v>
      </c>
      <c r="B144" s="567">
        <v>4000000</v>
      </c>
      <c r="C144" s="567" t="s">
        <v>0</v>
      </c>
      <c r="D144" s="589" t="s">
        <v>396</v>
      </c>
    </row>
    <row r="145" spans="1:4">
      <c r="A145" s="612" t="str">
        <f t="shared" si="15"/>
        <v>АСУЭ.BMPA.stOff</v>
      </c>
      <c r="B145" s="613">
        <v>11154</v>
      </c>
      <c r="C145" s="613" t="s">
        <v>4</v>
      </c>
      <c r="D145" s="102">
        <f>$Q$8</f>
        <v>18</v>
      </c>
    </row>
    <row r="146" spans="1:4">
      <c r="A146" s="612" t="str">
        <f t="shared" si="15"/>
        <v>АСУЭ.BMPA.stOff</v>
      </c>
      <c r="B146" s="613">
        <v>11150</v>
      </c>
      <c r="C146" s="613" t="s">
        <v>0</v>
      </c>
      <c r="D146" s="614" t="s">
        <v>336</v>
      </c>
    </row>
    <row r="147" spans="1:4">
      <c r="A147" s="612" t="str">
        <f t="shared" si="15"/>
        <v>АСУЭ.BMPA.stOff</v>
      </c>
      <c r="B147" s="613">
        <v>11152</v>
      </c>
      <c r="C147" s="613" t="s">
        <v>0</v>
      </c>
      <c r="D147" s="615" t="str">
        <f>$R$8</f>
        <v>Телесигнализация</v>
      </c>
    </row>
    <row r="148" spans="1:4">
      <c r="A148" s="612" t="str">
        <f t="shared" si="15"/>
        <v>АСУЭ.BMPA.stOff</v>
      </c>
      <c r="B148" s="613">
        <v>11000</v>
      </c>
      <c r="C148" s="613" t="s">
        <v>5</v>
      </c>
      <c r="D148" s="614">
        <v>2147483680</v>
      </c>
    </row>
    <row r="149" spans="1:4">
      <c r="A149" s="566" t="str">
        <f t="shared" si="15"/>
        <v>АСУЭ.BMPA.stOff</v>
      </c>
      <c r="B149" s="567">
        <v>7999</v>
      </c>
      <c r="C149" s="567" t="s">
        <v>0</v>
      </c>
      <c r="D149" s="568" t="str">
        <f>"#"&amp;$S$2&amp;"#"&amp;$T$2&amp;"."&amp;$P$2&amp;".Reg_Dsign_bit8"</f>
        <v>#3#\\Setup_rza\Modbus.OPCServer\KTP_BMPA.SV_BMPA.Reg_Dsign_bit8</v>
      </c>
    </row>
    <row r="150" spans="1:4">
      <c r="A150" s="566" t="str">
        <f t="shared" si="15"/>
        <v>АСУЭ.BMPA.stOff</v>
      </c>
      <c r="B150" s="567">
        <v>7998</v>
      </c>
      <c r="C150" s="567" t="s">
        <v>6</v>
      </c>
      <c r="D150" s="568">
        <v>1</v>
      </c>
    </row>
    <row r="151" spans="1:4">
      <c r="A151" s="566" t="str">
        <f t="shared" si="15"/>
        <v>АСУЭ.BMPA.stOff</v>
      </c>
      <c r="B151" s="567">
        <v>101</v>
      </c>
      <c r="C151" s="567" t="s">
        <v>0</v>
      </c>
      <c r="D151" s="568" t="s">
        <v>336</v>
      </c>
    </row>
    <row r="152" spans="1:4">
      <c r="A152" s="566" t="str">
        <f t="shared" si="15"/>
        <v>АСУЭ.BMPA.stOff</v>
      </c>
      <c r="B152" s="567">
        <v>3</v>
      </c>
      <c r="C152" s="567" t="s">
        <v>1</v>
      </c>
      <c r="D152" s="568">
        <v>192</v>
      </c>
    </row>
    <row r="153" spans="1:4">
      <c r="A153" s="566" t="str">
        <f t="shared" si="15"/>
        <v>АСУЭ.BMPA.stOff</v>
      </c>
      <c r="B153" s="567">
        <v>2</v>
      </c>
      <c r="C153" s="567" t="s">
        <v>2</v>
      </c>
      <c r="D153" s="568" t="s">
        <v>3</v>
      </c>
    </row>
    <row r="154" spans="1:4">
      <c r="A154" s="569" t="str">
        <f t="shared" si="15"/>
        <v>АСУЭ.BMPA.stOff</v>
      </c>
      <c r="B154" s="570">
        <v>1</v>
      </c>
      <c r="C154" s="570" t="s">
        <v>1</v>
      </c>
      <c r="D154" s="571">
        <v>11</v>
      </c>
    </row>
    <row r="155" spans="1:4">
      <c r="A155" s="566" t="str">
        <f t="shared" ref="A155:A166" si="16">$R$2&amp;".stOn"</f>
        <v>АСУЭ.BMPA.stOn</v>
      </c>
      <c r="B155" s="567">
        <v>7000000</v>
      </c>
      <c r="C155" s="567" t="s">
        <v>6</v>
      </c>
      <c r="D155" s="568">
        <v>1</v>
      </c>
    </row>
    <row r="156" spans="1:4">
      <c r="A156" s="566" t="str">
        <f t="shared" si="16"/>
        <v>АСУЭ.BMPA.stOn</v>
      </c>
      <c r="B156" s="567">
        <v>4000000</v>
      </c>
      <c r="C156" s="567" t="s">
        <v>0</v>
      </c>
      <c r="D156" s="589" t="s">
        <v>396</v>
      </c>
    </row>
    <row r="157" spans="1:4">
      <c r="A157" s="612" t="str">
        <f t="shared" si="16"/>
        <v>АСУЭ.BMPA.stOn</v>
      </c>
      <c r="B157" s="613">
        <v>11154</v>
      </c>
      <c r="C157" s="613" t="s">
        <v>4</v>
      </c>
      <c r="D157" s="102">
        <f>$Q$8</f>
        <v>18</v>
      </c>
    </row>
    <row r="158" spans="1:4">
      <c r="A158" s="612" t="str">
        <f t="shared" si="16"/>
        <v>АСУЭ.BMPA.stOn</v>
      </c>
      <c r="B158" s="613">
        <v>11150</v>
      </c>
      <c r="C158" s="613" t="s">
        <v>0</v>
      </c>
      <c r="D158" s="614" t="s">
        <v>337</v>
      </c>
    </row>
    <row r="159" spans="1:4">
      <c r="A159" s="612" t="str">
        <f t="shared" si="16"/>
        <v>АСУЭ.BMPA.stOn</v>
      </c>
      <c r="B159" s="613">
        <v>11152</v>
      </c>
      <c r="C159" s="613" t="s">
        <v>0</v>
      </c>
      <c r="D159" s="615" t="str">
        <f>$R$8</f>
        <v>Телесигнализация</v>
      </c>
    </row>
    <row r="160" spans="1:4">
      <c r="A160" s="612" t="str">
        <f t="shared" si="16"/>
        <v>АСУЭ.BMPA.stOn</v>
      </c>
      <c r="B160" s="613">
        <v>11000</v>
      </c>
      <c r="C160" s="613" t="s">
        <v>5</v>
      </c>
      <c r="D160" s="614">
        <v>2147483680</v>
      </c>
    </row>
    <row r="161" spans="1:4">
      <c r="A161" s="566" t="str">
        <f t="shared" si="16"/>
        <v>АСУЭ.BMPA.stOn</v>
      </c>
      <c r="B161" s="567">
        <v>7999</v>
      </c>
      <c r="C161" s="567" t="s">
        <v>0</v>
      </c>
      <c r="D161" s="568" t="str">
        <f>"#"&amp;$S$2&amp;"#"&amp;$T$2&amp;"."&amp;$P$2&amp;".Reg_Dsign_bit9"</f>
        <v>#3#\\Setup_rza\Modbus.OPCServer\KTP_BMPA.SV_BMPA.Reg_Dsign_bit9</v>
      </c>
    </row>
    <row r="162" spans="1:4">
      <c r="A162" s="566" t="str">
        <f t="shared" si="16"/>
        <v>АСУЭ.BMPA.stOn</v>
      </c>
      <c r="B162" s="567">
        <v>7998</v>
      </c>
      <c r="C162" s="567" t="s">
        <v>6</v>
      </c>
      <c r="D162" s="568">
        <v>1</v>
      </c>
    </row>
    <row r="163" spans="1:4">
      <c r="A163" s="566" t="str">
        <f t="shared" si="16"/>
        <v>АСУЭ.BMPA.stOn</v>
      </c>
      <c r="B163" s="567">
        <v>101</v>
      </c>
      <c r="C163" s="567" t="s">
        <v>0</v>
      </c>
      <c r="D163" s="568" t="s">
        <v>337</v>
      </c>
    </row>
    <row r="164" spans="1:4">
      <c r="A164" s="566" t="str">
        <f t="shared" si="16"/>
        <v>АСУЭ.BMPA.stOn</v>
      </c>
      <c r="B164" s="567">
        <v>3</v>
      </c>
      <c r="C164" s="567" t="s">
        <v>1</v>
      </c>
      <c r="D164" s="568">
        <v>192</v>
      </c>
    </row>
    <row r="165" spans="1:4">
      <c r="A165" s="566" t="str">
        <f t="shared" si="16"/>
        <v>АСУЭ.BMPA.stOn</v>
      </c>
      <c r="B165" s="567">
        <v>2</v>
      </c>
      <c r="C165" s="567" t="s">
        <v>2</v>
      </c>
      <c r="D165" s="568" t="s">
        <v>3</v>
      </c>
    </row>
    <row r="166" spans="1:4">
      <c r="A166" s="569" t="str">
        <f t="shared" si="16"/>
        <v>АСУЭ.BMPA.stOn</v>
      </c>
      <c r="B166" s="570">
        <v>1</v>
      </c>
      <c r="C166" s="570" t="s">
        <v>1</v>
      </c>
      <c r="D166" s="571">
        <v>11</v>
      </c>
    </row>
    <row r="167" spans="1:4">
      <c r="A167" s="612" t="str">
        <f t="shared" ref="A167:A176" si="17">$R$2&amp;".avrOn"</f>
        <v>АСУЭ.BMPA.avrOn</v>
      </c>
      <c r="B167" s="613">
        <v>11154</v>
      </c>
      <c r="C167" s="613" t="s">
        <v>4</v>
      </c>
      <c r="D167" s="102">
        <f>$Q$8</f>
        <v>18</v>
      </c>
    </row>
    <row r="168" spans="1:4">
      <c r="A168" s="612" t="str">
        <f t="shared" si="17"/>
        <v>АСУЭ.BMPA.avrOn</v>
      </c>
      <c r="B168" s="613">
        <v>11150</v>
      </c>
      <c r="C168" s="613" t="s">
        <v>0</v>
      </c>
      <c r="D168" s="614" t="s">
        <v>1944</v>
      </c>
    </row>
    <row r="169" spans="1:4">
      <c r="A169" s="612" t="str">
        <f t="shared" si="17"/>
        <v>АСУЭ.BMPA.avrOn</v>
      </c>
      <c r="B169" s="613">
        <v>11152</v>
      </c>
      <c r="C169" s="613" t="s">
        <v>0</v>
      </c>
      <c r="D169" s="615" t="str">
        <f>$R$8</f>
        <v>Телесигнализация</v>
      </c>
    </row>
    <row r="170" spans="1:4">
      <c r="A170" s="612" t="str">
        <f t="shared" si="17"/>
        <v>АСУЭ.BMPA.avrOn</v>
      </c>
      <c r="B170" s="613">
        <v>11000</v>
      </c>
      <c r="C170" s="613" t="s">
        <v>5</v>
      </c>
      <c r="D170" s="614">
        <v>2147483680</v>
      </c>
    </row>
    <row r="171" spans="1:4">
      <c r="A171" s="566" t="str">
        <f t="shared" si="17"/>
        <v>АСУЭ.BMPA.avrOn</v>
      </c>
      <c r="B171" s="567">
        <v>7999</v>
      </c>
      <c r="C171" s="567" t="s">
        <v>0</v>
      </c>
      <c r="D171" s="568" t="str">
        <f>"#"&amp;$S$2&amp;"#"&amp;$T$2&amp;"."&amp;$P$2&amp;".Reg_Dsign_bit36"</f>
        <v>#3#\\Setup_rza\Modbus.OPCServer\KTP_BMPA.SV_BMPA.Reg_Dsign_bit36</v>
      </c>
    </row>
    <row r="172" spans="1:4">
      <c r="A172" s="566" t="str">
        <f t="shared" si="17"/>
        <v>АСУЭ.BMPA.avrOn</v>
      </c>
      <c r="B172" s="567">
        <v>7998</v>
      </c>
      <c r="C172" s="567" t="s">
        <v>6</v>
      </c>
      <c r="D172" s="568">
        <v>1</v>
      </c>
    </row>
    <row r="173" spans="1:4">
      <c r="A173" s="566" t="str">
        <f t="shared" si="17"/>
        <v>АСУЭ.BMPA.avrOn</v>
      </c>
      <c r="B173" s="567">
        <v>101</v>
      </c>
      <c r="C173" s="567" t="s">
        <v>0</v>
      </c>
      <c r="D173" s="568" t="s">
        <v>1944</v>
      </c>
    </row>
    <row r="174" spans="1:4">
      <c r="A174" s="566" t="str">
        <f t="shared" si="17"/>
        <v>АСУЭ.BMPA.avrOn</v>
      </c>
      <c r="B174" s="567">
        <v>3</v>
      </c>
      <c r="C174" s="567" t="s">
        <v>1</v>
      </c>
      <c r="D174" s="568">
        <v>192</v>
      </c>
    </row>
    <row r="175" spans="1:4">
      <c r="A175" s="566" t="str">
        <f t="shared" si="17"/>
        <v>АСУЭ.BMPA.avrOn</v>
      </c>
      <c r="B175" s="567">
        <v>2</v>
      </c>
      <c r="C175" s="567" t="s">
        <v>2</v>
      </c>
      <c r="D175" s="568" t="s">
        <v>3</v>
      </c>
    </row>
    <row r="176" spans="1:4">
      <c r="A176" s="569" t="str">
        <f t="shared" si="17"/>
        <v>АСУЭ.BMPA.avrOn</v>
      </c>
      <c r="B176" s="570">
        <v>1</v>
      </c>
      <c r="C176" s="570" t="s">
        <v>1</v>
      </c>
      <c r="D176" s="571">
        <v>11</v>
      </c>
    </row>
    <row r="177" spans="1:4">
      <c r="A177" s="100" t="str">
        <f t="shared" ref="A177:A185" si="18">$R$2&amp;".stTOn"</f>
        <v>АСУЭ.BMPA.stTOn</v>
      </c>
      <c r="B177" s="101">
        <v>11154</v>
      </c>
      <c r="C177" s="101" t="s">
        <v>4</v>
      </c>
      <c r="D177" s="102">
        <f>$Q$8</f>
        <v>18</v>
      </c>
    </row>
    <row r="178" spans="1:4">
      <c r="A178" s="100" t="str">
        <f t="shared" si="18"/>
        <v>АСУЭ.BMPA.stTOn</v>
      </c>
      <c r="B178" s="101">
        <v>11150</v>
      </c>
      <c r="C178" s="101" t="s">
        <v>0</v>
      </c>
      <c r="D178" s="103" t="s">
        <v>1850</v>
      </c>
    </row>
    <row r="179" spans="1:4">
      <c r="A179" s="100" t="str">
        <f t="shared" si="18"/>
        <v>АСУЭ.BMPA.stTOn</v>
      </c>
      <c r="B179" s="101">
        <v>11152</v>
      </c>
      <c r="C179" s="101" t="s">
        <v>0</v>
      </c>
      <c r="D179" s="104" t="str">
        <f>$R$8</f>
        <v>Телесигнализация</v>
      </c>
    </row>
    <row r="180" spans="1:4">
      <c r="A180" s="100" t="str">
        <f t="shared" si="18"/>
        <v>АСУЭ.BMPA.stTOn</v>
      </c>
      <c r="B180" s="101">
        <v>11000</v>
      </c>
      <c r="C180" s="101" t="s">
        <v>5</v>
      </c>
      <c r="D180" s="103">
        <v>2147483680</v>
      </c>
    </row>
    <row r="181" spans="1:4">
      <c r="A181" s="19" t="str">
        <f t="shared" si="18"/>
        <v>АСУЭ.BMPA.stTOn</v>
      </c>
      <c r="B181">
        <v>3000000</v>
      </c>
      <c r="C181" t="s">
        <v>0</v>
      </c>
      <c r="D181" t="s">
        <v>1877</v>
      </c>
    </row>
    <row r="182" spans="1:4">
      <c r="A182" s="19" t="str">
        <f t="shared" si="18"/>
        <v>АСУЭ.BMPA.stTOn</v>
      </c>
      <c r="B182" s="11">
        <v>101</v>
      </c>
      <c r="C182" s="11" t="s">
        <v>0</v>
      </c>
      <c r="D182" s="20" t="s">
        <v>1850</v>
      </c>
    </row>
    <row r="183" spans="1:4">
      <c r="A183" s="19" t="str">
        <f t="shared" si="18"/>
        <v>АСУЭ.BMPA.stTOn</v>
      </c>
      <c r="B183" s="11">
        <v>3</v>
      </c>
      <c r="C183" s="11" t="s">
        <v>1</v>
      </c>
      <c r="D183" s="20">
        <v>192</v>
      </c>
    </row>
    <row r="184" spans="1:4">
      <c r="A184" s="19" t="str">
        <f t="shared" si="18"/>
        <v>АСУЭ.BMPA.stTOn</v>
      </c>
      <c r="B184" s="11">
        <v>2</v>
      </c>
      <c r="C184" s="11" t="s">
        <v>2</v>
      </c>
      <c r="D184" s="20" t="s">
        <v>3</v>
      </c>
    </row>
    <row r="185" spans="1:4">
      <c r="A185" s="21" t="str">
        <f t="shared" si="18"/>
        <v>АСУЭ.BMPA.stTOn</v>
      </c>
      <c r="B185" s="8">
        <v>1</v>
      </c>
      <c r="C185" s="8" t="s">
        <v>1</v>
      </c>
      <c r="D185" s="22">
        <v>11</v>
      </c>
    </row>
    <row r="186" spans="1:4">
      <c r="A186" s="100" t="str">
        <f>$R$2&amp;".stTOff"</f>
        <v>АСУЭ.BMPA.stTOff</v>
      </c>
      <c r="B186" s="101">
        <v>11154</v>
      </c>
      <c r="C186" s="101" t="s">
        <v>4</v>
      </c>
      <c r="D186" s="102">
        <f>$Q$8</f>
        <v>18</v>
      </c>
    </row>
    <row r="187" spans="1:4">
      <c r="A187" s="100" t="str">
        <f t="shared" ref="A187:A195" si="19">$R$2&amp;".stTOff"</f>
        <v>АСУЭ.BMPA.stTOff</v>
      </c>
      <c r="B187" s="101">
        <v>11150</v>
      </c>
      <c r="C187" s="101" t="s">
        <v>0</v>
      </c>
      <c r="D187" s="103" t="s">
        <v>1851</v>
      </c>
    </row>
    <row r="188" spans="1:4">
      <c r="A188" s="100" t="str">
        <f t="shared" si="19"/>
        <v>АСУЭ.BMPA.stTOff</v>
      </c>
      <c r="B188" s="101">
        <v>11152</v>
      </c>
      <c r="C188" s="101" t="s">
        <v>0</v>
      </c>
      <c r="D188" s="104" t="str">
        <f>$R$8</f>
        <v>Телесигнализация</v>
      </c>
    </row>
    <row r="189" spans="1:4">
      <c r="A189" s="100" t="str">
        <f t="shared" si="19"/>
        <v>АСУЭ.BMPA.stTOff</v>
      </c>
      <c r="B189" s="101">
        <v>11000</v>
      </c>
      <c r="C189" s="101" t="s">
        <v>5</v>
      </c>
      <c r="D189" s="103">
        <v>2147483680</v>
      </c>
    </row>
    <row r="190" spans="1:4">
      <c r="A190" s="19" t="str">
        <f t="shared" si="19"/>
        <v>АСУЭ.BMPA.stTOff</v>
      </c>
      <c r="B190" s="11">
        <v>7999</v>
      </c>
      <c r="C190" s="11" t="s">
        <v>0</v>
      </c>
      <c r="D190" s="20" t="str">
        <f>"#"&amp;$S$2&amp;"#"&amp;$T$2&amp;"."&amp;$P$2&amp;".Reg_Dsign_bit0"</f>
        <v>#3#\\Setup_rza\Modbus.OPCServer\KTP_BMPA.SV_BMPA.Reg_Dsign_bit0</v>
      </c>
    </row>
    <row r="191" spans="1:4">
      <c r="A191" s="19" t="str">
        <f t="shared" si="19"/>
        <v>АСУЭ.BMPA.stTOff</v>
      </c>
      <c r="B191" s="11">
        <v>7998</v>
      </c>
      <c r="C191" s="11" t="s">
        <v>6</v>
      </c>
      <c r="D191" s="20">
        <v>1</v>
      </c>
    </row>
    <row r="192" spans="1:4">
      <c r="A192" s="19" t="str">
        <f t="shared" si="19"/>
        <v>АСУЭ.BMPA.stTOff</v>
      </c>
      <c r="B192" s="11">
        <v>101</v>
      </c>
      <c r="C192" s="11" t="s">
        <v>0</v>
      </c>
      <c r="D192" s="20" t="s">
        <v>1851</v>
      </c>
    </row>
    <row r="193" spans="1:4">
      <c r="A193" s="19" t="str">
        <f t="shared" si="19"/>
        <v>АСУЭ.BMPA.stTOff</v>
      </c>
      <c r="B193" s="11">
        <v>3</v>
      </c>
      <c r="C193" s="11" t="s">
        <v>1</v>
      </c>
      <c r="D193" s="20">
        <v>192</v>
      </c>
    </row>
    <row r="194" spans="1:4">
      <c r="A194" s="19" t="str">
        <f t="shared" si="19"/>
        <v>АСУЭ.BMPA.stTOff</v>
      </c>
      <c r="B194" s="11">
        <v>2</v>
      </c>
      <c r="C194" s="11" t="s">
        <v>2</v>
      </c>
      <c r="D194" s="20" t="s">
        <v>3</v>
      </c>
    </row>
    <row r="195" spans="1:4">
      <c r="A195" s="21" t="str">
        <f t="shared" si="19"/>
        <v>АСУЭ.BMPA.stTOff</v>
      </c>
      <c r="B195" s="8">
        <v>1</v>
      </c>
      <c r="C195" s="8" t="s">
        <v>1</v>
      </c>
      <c r="D195" s="22">
        <v>11</v>
      </c>
    </row>
    <row r="196" spans="1:4">
      <c r="A196" s="563" t="str">
        <f t="shared" ref="A196:A203" si="20">$R$2&amp;".Commands.coRepair"</f>
        <v>АСУЭ.BMPA.Commands.coRepair</v>
      </c>
      <c r="B196" s="564">
        <v>7011</v>
      </c>
      <c r="C196" s="564" t="s">
        <v>2</v>
      </c>
      <c r="D196" s="565" t="s">
        <v>266</v>
      </c>
    </row>
    <row r="197" spans="1:4">
      <c r="A197" s="590" t="str">
        <f t="shared" si="20"/>
        <v>АСУЭ.BMPA.Commands.coRepair</v>
      </c>
      <c r="B197" s="591">
        <v>11152</v>
      </c>
      <c r="C197" s="591" t="s">
        <v>0</v>
      </c>
      <c r="D197" s="592" t="str">
        <f>$R$11</f>
        <v>Ремонт</v>
      </c>
    </row>
    <row r="198" spans="1:4">
      <c r="A198" s="590" t="str">
        <f t="shared" si="20"/>
        <v>АСУЭ.BMPA.Commands.coRepair</v>
      </c>
      <c r="B198" s="591">
        <v>11154</v>
      </c>
      <c r="C198" s="591" t="s">
        <v>4</v>
      </c>
      <c r="D198" s="592">
        <f>$Q$11</f>
        <v>14</v>
      </c>
    </row>
    <row r="199" spans="1:4">
      <c r="A199" s="590" t="str">
        <f t="shared" si="20"/>
        <v>АСУЭ.BMPA.Commands.coRepair</v>
      </c>
      <c r="B199" s="591">
        <v>11150</v>
      </c>
      <c r="C199" s="591" t="s">
        <v>0</v>
      </c>
      <c r="D199" s="592" t="s">
        <v>89</v>
      </c>
    </row>
    <row r="200" spans="1:4">
      <c r="A200" s="590" t="str">
        <f t="shared" si="20"/>
        <v>АСУЭ.BMPA.Commands.coRepair</v>
      </c>
      <c r="B200" s="591">
        <v>11000</v>
      </c>
      <c r="C200" s="591" t="s">
        <v>5</v>
      </c>
      <c r="D200" s="592">
        <v>2147483680</v>
      </c>
    </row>
    <row r="201" spans="1:4">
      <c r="A201" s="566" t="str">
        <f t="shared" si="20"/>
        <v>АСУЭ.BMPA.Commands.coRepair</v>
      </c>
      <c r="B201" s="567">
        <v>1</v>
      </c>
      <c r="C201" s="567" t="s">
        <v>1</v>
      </c>
      <c r="D201" s="568">
        <v>11</v>
      </c>
    </row>
    <row r="202" spans="1:4" ht="15" customHeight="1">
      <c r="A202" s="593" t="str">
        <f t="shared" si="20"/>
        <v>АСУЭ.BMPA.Commands.coRepair</v>
      </c>
      <c r="B202" s="529">
        <v>4000000</v>
      </c>
      <c r="C202" s="529" t="s">
        <v>0</v>
      </c>
      <c r="D202" s="611" t="s">
        <v>2913</v>
      </c>
    </row>
    <row r="203" spans="1:4">
      <c r="A203" s="594" t="str">
        <f t="shared" si="20"/>
        <v>АСУЭ.BMPA.Commands.coRepair</v>
      </c>
      <c r="B203" s="595">
        <v>7000000</v>
      </c>
      <c r="C203" s="595" t="s">
        <v>6</v>
      </c>
      <c r="D203" s="596">
        <v>2</v>
      </c>
    </row>
    <row r="204" spans="1:4">
      <c r="A204" s="566" t="str">
        <f>$R$2&amp;".Commands.avrOff"</f>
        <v>АСУЭ.BMPA.Commands.avrOff</v>
      </c>
      <c r="B204" s="567">
        <v>101</v>
      </c>
      <c r="C204" s="567" t="s">
        <v>0</v>
      </c>
      <c r="D204" s="568" t="s">
        <v>1945</v>
      </c>
    </row>
    <row r="205" spans="1:4">
      <c r="A205" s="566" t="str">
        <f>$R$2&amp;".Commands.avrOff"</f>
        <v>АСУЭ.BMPA.Commands.avrOff</v>
      </c>
      <c r="B205" s="567">
        <v>7999</v>
      </c>
      <c r="C205" s="567" t="s">
        <v>0</v>
      </c>
      <c r="D205" s="568" t="str">
        <f>"#"&amp;$S$2&amp;"#"&amp;$T$2&amp;"."&amp;$P$2&amp;".Commands.AVR_Comm_Off"</f>
        <v>#3#\\Setup_rza\Modbus.OPCServer\KTP_BMPA.SV_BMPA.Commands.AVR_Comm_Off</v>
      </c>
    </row>
    <row r="206" spans="1:4">
      <c r="A206" s="566" t="str">
        <f>$R$2&amp;".Commands.avrOff"</f>
        <v>АСУЭ.BMPA.Commands.avrOff</v>
      </c>
      <c r="B206" s="567">
        <v>7998</v>
      </c>
      <c r="C206" s="567" t="s">
        <v>6</v>
      </c>
      <c r="D206" s="568">
        <v>2</v>
      </c>
    </row>
    <row r="207" spans="1:4">
      <c r="A207" s="569" t="str">
        <f>$R$2&amp;".Commands.avrOff"</f>
        <v>АСУЭ.BMPA.Commands.avrOff</v>
      </c>
      <c r="B207" s="570">
        <v>1</v>
      </c>
      <c r="C207" s="570" t="s">
        <v>1</v>
      </c>
      <c r="D207" s="571">
        <v>11</v>
      </c>
    </row>
    <row r="208" spans="1:4">
      <c r="A208" s="566" t="str">
        <f>$R$2&amp;".Commands.avrOn"</f>
        <v>АСУЭ.BMPA.Commands.avrOn</v>
      </c>
      <c r="B208" s="567">
        <v>101</v>
      </c>
      <c r="C208" s="567" t="s">
        <v>0</v>
      </c>
      <c r="D208" s="568" t="s">
        <v>1946</v>
      </c>
    </row>
    <row r="209" spans="1:4">
      <c r="A209" s="566" t="str">
        <f>$R$2&amp;".Commands.avrOn"</f>
        <v>АСУЭ.BMPA.Commands.avrOn</v>
      </c>
      <c r="B209" s="567">
        <v>7999</v>
      </c>
      <c r="C209" s="567" t="s">
        <v>0</v>
      </c>
      <c r="D209" s="568" t="str">
        <f>"#"&amp;$S$2&amp;"#"&amp;$T$2&amp;"."&amp;$P$2&amp;".Commands.AVR_Comm_On"</f>
        <v>#3#\\Setup_rza\Modbus.OPCServer\KTP_BMPA.SV_BMPA.Commands.AVR_Comm_On</v>
      </c>
    </row>
    <row r="210" spans="1:4">
      <c r="A210" s="566" t="str">
        <f>$R$2&amp;".Commands.avrOn"</f>
        <v>АСУЭ.BMPA.Commands.avrOn</v>
      </c>
      <c r="B210" s="567">
        <v>7998</v>
      </c>
      <c r="C210" s="567" t="s">
        <v>6</v>
      </c>
      <c r="D210" s="568">
        <v>2</v>
      </c>
    </row>
    <row r="211" spans="1:4">
      <c r="A211" s="569" t="str">
        <f>$R$2&amp;".Commands.avrOn"</f>
        <v>АСУЭ.BMPA.Commands.avrOn</v>
      </c>
      <c r="B211" s="570">
        <v>1</v>
      </c>
      <c r="C211" s="570" t="s">
        <v>1</v>
      </c>
      <c r="D211" s="571">
        <v>11</v>
      </c>
    </row>
    <row r="212" spans="1:4">
      <c r="A212" s="566" t="str">
        <f t="shared" ref="A212:A217" si="21">$R$2&amp;".Commands.coOn"</f>
        <v>АСУЭ.BMPA.Commands.coOn</v>
      </c>
      <c r="B212" s="567">
        <v>7000000</v>
      </c>
      <c r="C212" s="567" t="s">
        <v>6</v>
      </c>
      <c r="D212" s="568">
        <v>0</v>
      </c>
    </row>
    <row r="213" spans="1:4">
      <c r="A213" s="566" t="str">
        <f t="shared" si="21"/>
        <v>АСУЭ.BMPA.Commands.coOn</v>
      </c>
      <c r="B213" s="567">
        <v>4000000</v>
      </c>
      <c r="C213" s="567" t="s">
        <v>0</v>
      </c>
      <c r="D213" s="568" t="s">
        <v>2682</v>
      </c>
    </row>
    <row r="214" spans="1:4">
      <c r="A214" s="566" t="str">
        <f t="shared" si="21"/>
        <v>АСУЭ.BMPA.Commands.coOn</v>
      </c>
      <c r="B214" s="567">
        <v>101</v>
      </c>
      <c r="C214" s="567" t="s">
        <v>0</v>
      </c>
      <c r="D214" s="568" t="s">
        <v>383</v>
      </c>
    </row>
    <row r="215" spans="1:4">
      <c r="A215" s="566" t="str">
        <f t="shared" si="21"/>
        <v>АСУЭ.BMPA.Commands.coOn</v>
      </c>
      <c r="B215" s="567">
        <v>7999</v>
      </c>
      <c r="C215" s="567" t="s">
        <v>0</v>
      </c>
      <c r="D215" s="568" t="str">
        <f>"#"&amp;$S$2&amp;"#"&amp;$T$2&amp;"."&amp;$P$2&amp;".Commands.Net_Comm_On"</f>
        <v>#3#\\Setup_rza\Modbus.OPCServer\KTP_BMPA.SV_BMPA.Commands.Net_Comm_On</v>
      </c>
    </row>
    <row r="216" spans="1:4">
      <c r="A216" s="566" t="str">
        <f t="shared" si="21"/>
        <v>АСУЭ.BMPA.Commands.coOn</v>
      </c>
      <c r="B216" s="567">
        <v>7998</v>
      </c>
      <c r="C216" s="567" t="s">
        <v>6</v>
      </c>
      <c r="D216" s="568">
        <v>2</v>
      </c>
    </row>
    <row r="217" spans="1:4">
      <c r="A217" s="569" t="str">
        <f t="shared" si="21"/>
        <v>АСУЭ.BMPA.Commands.coOn</v>
      </c>
      <c r="B217" s="570">
        <v>1</v>
      </c>
      <c r="C217" s="570" t="s">
        <v>1</v>
      </c>
      <c r="D217" s="571">
        <v>11</v>
      </c>
    </row>
    <row r="218" spans="1:4">
      <c r="A218" s="566" t="str">
        <f t="shared" ref="A218:A223" si="22">$R$2&amp;".Commands.coOff"</f>
        <v>АСУЭ.BMPA.Commands.coOff</v>
      </c>
      <c r="B218" s="564">
        <v>7000000</v>
      </c>
      <c r="C218" s="564" t="s">
        <v>6</v>
      </c>
      <c r="D218" s="565">
        <v>0</v>
      </c>
    </row>
    <row r="219" spans="1:4">
      <c r="A219" s="566" t="str">
        <f t="shared" si="22"/>
        <v>АСУЭ.BMPA.Commands.coOff</v>
      </c>
      <c r="B219" s="567">
        <v>4000000</v>
      </c>
      <c r="C219" s="567" t="s">
        <v>0</v>
      </c>
      <c r="D219" s="568" t="s">
        <v>2683</v>
      </c>
    </row>
    <row r="220" spans="1:4">
      <c r="A220" s="566" t="str">
        <f t="shared" si="22"/>
        <v>АСУЭ.BMPA.Commands.coOff</v>
      </c>
      <c r="B220" s="567">
        <v>101</v>
      </c>
      <c r="C220" s="567" t="s">
        <v>0</v>
      </c>
      <c r="D220" s="568" t="s">
        <v>384</v>
      </c>
    </row>
    <row r="221" spans="1:4">
      <c r="A221" s="566" t="str">
        <f t="shared" si="22"/>
        <v>АСУЭ.BMPA.Commands.coOff</v>
      </c>
      <c r="B221" s="567">
        <v>7999</v>
      </c>
      <c r="C221" s="567" t="s">
        <v>0</v>
      </c>
      <c r="D221" s="568" t="str">
        <f>"#"&amp;$S$2&amp;"#"&amp;$T$2&amp;"."&amp;$P$2&amp;".Commands.Net_Comm_Off"</f>
        <v>#3#\\Setup_rza\Modbus.OPCServer\KTP_BMPA.SV_BMPA.Commands.Net_Comm_Off</v>
      </c>
    </row>
    <row r="222" spans="1:4">
      <c r="A222" s="566" t="str">
        <f t="shared" si="22"/>
        <v>АСУЭ.BMPA.Commands.coOff</v>
      </c>
      <c r="B222" s="567">
        <v>7998</v>
      </c>
      <c r="C222" s="567" t="s">
        <v>6</v>
      </c>
      <c r="D222" s="568">
        <v>2</v>
      </c>
    </row>
    <row r="223" spans="1:4">
      <c r="A223" s="566" t="str">
        <f t="shared" si="22"/>
        <v>АСУЭ.BMPA.Commands.coOff</v>
      </c>
      <c r="B223" s="567">
        <v>1</v>
      </c>
      <c r="C223" s="567" t="s">
        <v>1</v>
      </c>
      <c r="D223" s="568">
        <v>11</v>
      </c>
    </row>
    <row r="224" spans="1:4">
      <c r="A224" s="563" t="str">
        <f t="shared" ref="A224:A229" si="23">$R$2&amp;".Commands.coRst"</f>
        <v>АСУЭ.BMPA.Commands.coRst</v>
      </c>
      <c r="B224" s="564">
        <v>7000000</v>
      </c>
      <c r="C224" s="564" t="s">
        <v>6</v>
      </c>
      <c r="D224" s="565">
        <v>0</v>
      </c>
    </row>
    <row r="225" spans="1:20">
      <c r="A225" s="566" t="str">
        <f t="shared" si="23"/>
        <v>АСУЭ.BMPA.Commands.coRst</v>
      </c>
      <c r="B225" s="567">
        <v>4000000</v>
      </c>
      <c r="C225" s="567" t="s">
        <v>0</v>
      </c>
      <c r="D225" s="568" t="s">
        <v>385</v>
      </c>
    </row>
    <row r="226" spans="1:20">
      <c r="A226" s="566" t="str">
        <f t="shared" si="23"/>
        <v>АСУЭ.BMPA.Commands.coRst</v>
      </c>
      <c r="B226" s="567">
        <v>101</v>
      </c>
      <c r="C226" s="567" t="s">
        <v>0</v>
      </c>
      <c r="D226" s="568" t="s">
        <v>386</v>
      </c>
    </row>
    <row r="227" spans="1:20">
      <c r="A227" s="566" t="str">
        <f t="shared" si="23"/>
        <v>АСУЭ.BMPA.Commands.coRst</v>
      </c>
      <c r="B227" s="567">
        <v>7999</v>
      </c>
      <c r="C227" s="567" t="s">
        <v>0</v>
      </c>
      <c r="D227" s="568" t="str">
        <f>"#"&amp;$S$2&amp;"#"&amp;$T$2&amp;"."&amp;$P$2&amp;".Commands.SysCmd_Clr_Sd"</f>
        <v>#3#\\Setup_rza\Modbus.OPCServer\KTP_BMPA.SV_BMPA.Commands.SysCmd_Clr_Sd</v>
      </c>
      <c r="Q227" s="1"/>
      <c r="R227" s="1"/>
      <c r="S227" s="1"/>
      <c r="T227" s="1"/>
    </row>
    <row r="228" spans="1:20">
      <c r="A228" s="566" t="str">
        <f t="shared" si="23"/>
        <v>АСУЭ.BMPA.Commands.coRst</v>
      </c>
      <c r="B228" s="567">
        <v>7998</v>
      </c>
      <c r="C228" s="567" t="s">
        <v>6</v>
      </c>
      <c r="D228" s="568">
        <v>2</v>
      </c>
      <c r="Q228" s="1"/>
      <c r="R228" s="1"/>
      <c r="S228" s="1"/>
      <c r="T228" s="1"/>
    </row>
    <row r="229" spans="1:20">
      <c r="A229" s="569" t="str">
        <f t="shared" si="23"/>
        <v>АСУЭ.BMPA.Commands.coRst</v>
      </c>
      <c r="B229" s="570">
        <v>1</v>
      </c>
      <c r="C229" s="570" t="s">
        <v>1</v>
      </c>
      <c r="D229" s="571">
        <v>11</v>
      </c>
      <c r="Q229" s="1"/>
      <c r="R229" s="1"/>
      <c r="S229" s="1"/>
      <c r="T229" s="1"/>
    </row>
  </sheetData>
  <autoFilter ref="B1:B229" xr:uid="{00000000-0009-0000-0000-00003A000000}"/>
  <mergeCells count="3">
    <mergeCell ref="D19:E19"/>
    <mergeCell ref="Q32:Q33"/>
    <mergeCell ref="Q34:Q35"/>
  </mergeCell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Лист45">
    <tabColor rgb="FFFFC000"/>
  </sheetPr>
  <dimension ref="A1:BP36"/>
  <sheetViews>
    <sheetView topLeftCell="A10" workbookViewId="0">
      <selection activeCell="D2" sqref="D2:D4"/>
    </sheetView>
  </sheetViews>
  <sheetFormatPr defaultRowHeight="14.4"/>
  <cols>
    <col min="1" max="1" width="30.44140625" customWidth="1"/>
    <col min="2" max="2" width="8" customWidth="1"/>
    <col min="3" max="3" width="7.6640625" customWidth="1"/>
    <col min="4" max="4" width="71.4414062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57"/>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c r="Q2" s="2" t="s">
        <v>407</v>
      </c>
      <c r="R2" s="2" t="s">
        <v>407</v>
      </c>
      <c r="S2" s="3"/>
      <c r="T2" s="3"/>
      <c r="U2" s="3"/>
      <c r="V2" s="3" t="s">
        <v>569</v>
      </c>
      <c r="W2" s="12"/>
      <c r="X2" s="12"/>
      <c r="Y2" s="12"/>
      <c r="Z2" s="12"/>
      <c r="AA2" s="12"/>
      <c r="AB2" s="2"/>
      <c r="AC2" s="2"/>
      <c r="AD2" s="2"/>
      <c r="AE2" s="2" t="s">
        <v>1414</v>
      </c>
      <c r="AF2" s="2"/>
      <c r="AG2" s="2"/>
      <c r="AH2" s="2"/>
      <c r="AI2" s="2"/>
      <c r="AJ2" s="2"/>
      <c r="AK2" s="2"/>
      <c r="AL2" s="2"/>
      <c r="AM2" s="2"/>
      <c r="AN2" s="2"/>
      <c r="AO2" s="2"/>
      <c r="AP2" s="2"/>
      <c r="AQ2" s="2"/>
      <c r="AR2" s="2"/>
      <c r="AS2" s="2"/>
      <c r="AT2" s="2"/>
      <c r="AU2" s="2"/>
      <c r="AV2" s="2"/>
      <c r="AW2" s="2"/>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M4" s="4"/>
      <c r="BN4" s="4"/>
      <c r="BO4" s="4"/>
      <c r="BP4" s="4"/>
    </row>
    <row r="5" spans="1:68"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M5" s="4"/>
      <c r="BN5" s="4"/>
      <c r="BO5" s="4"/>
      <c r="BP5" s="4"/>
    </row>
    <row r="6" spans="1:68"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M6" s="4"/>
      <c r="BN6" s="4"/>
      <c r="BO6" s="4"/>
      <c r="BP6" s="4"/>
    </row>
    <row r="7" spans="1:68"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M7" s="4"/>
      <c r="BN7" s="4"/>
      <c r="BO7" s="4"/>
      <c r="BP7" s="4"/>
    </row>
    <row r="8" spans="1:68" ht="15" customHeight="1">
      <c r="A8" s="9"/>
      <c r="B8" s="9"/>
      <c r="C8" s="9"/>
      <c r="D8" s="9"/>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BM8" s="4"/>
      <c r="BN8" s="4"/>
      <c r="BO8" s="4"/>
      <c r="BP8" s="4"/>
    </row>
    <row r="9" spans="1:68" ht="15" customHeight="1">
      <c r="A9" s="9"/>
      <c r="B9" s="9"/>
      <c r="C9" s="9"/>
      <c r="D9" s="9"/>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BM9" s="4"/>
      <c r="BN9" s="4"/>
      <c r="BO9" s="4"/>
      <c r="BP9" s="4"/>
    </row>
    <row r="10" spans="1:68" ht="15" customHeight="1">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BM10" s="4"/>
      <c r="BN10" s="4"/>
      <c r="BO10" s="4"/>
      <c r="BP10" s="4"/>
    </row>
    <row r="11" spans="1:68" ht="15" customHeight="1">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BM11" s="4"/>
      <c r="BN11" s="4"/>
      <c r="BO11" s="4"/>
      <c r="BP11" s="4"/>
    </row>
    <row r="12" spans="1:68"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M17" s="4"/>
      <c r="BN17" s="4"/>
      <c r="BO17" s="4"/>
      <c r="BP17" s="4"/>
    </row>
    <row r="18" spans="1:68"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M18" s="4"/>
      <c r="BN18" s="4"/>
      <c r="BO18" s="4"/>
      <c r="BP18" s="4"/>
    </row>
    <row r="19" spans="1:68"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M19" s="4"/>
      <c r="BN19" s="4"/>
      <c r="BO19" s="4"/>
      <c r="BP19" s="4"/>
    </row>
    <row r="20" spans="1:68">
      <c r="A20" s="16" t="str">
        <f>$R$2</f>
        <v>IMv_SIM</v>
      </c>
      <c r="B20" s="17">
        <v>1</v>
      </c>
      <c r="C20" s="17" t="s">
        <v>1</v>
      </c>
      <c r="D20" s="18">
        <v>17</v>
      </c>
    </row>
    <row r="21" spans="1:68">
      <c r="A21" s="19" t="str">
        <f>$R$2</f>
        <v>IMv_SIM</v>
      </c>
      <c r="B21" s="11">
        <v>11001</v>
      </c>
      <c r="C21" s="11" t="s">
        <v>0</v>
      </c>
      <c r="D21" s="20" t="str">
        <f>$Q$2&amp;". "</f>
        <v xml:space="preserve">IMv_SIM. </v>
      </c>
    </row>
    <row r="22" spans="1:68">
      <c r="A22" s="21" t="str">
        <f>$R$2</f>
        <v>IMv_SIM</v>
      </c>
      <c r="B22" s="8">
        <v>11156</v>
      </c>
      <c r="C22" s="8" t="s">
        <v>0</v>
      </c>
      <c r="D22" s="22" t="str">
        <f>$V$2</f>
        <v>Тестовый экран</v>
      </c>
    </row>
    <row r="23" spans="1:68">
      <c r="A23" s="19" t="str">
        <f t="shared" ref="A23:A28" si="0">$R$2&amp;".Commands.coRepair"</f>
        <v>IMv_SIM.Commands.coRepair</v>
      </c>
      <c r="B23" s="17">
        <v>7011</v>
      </c>
      <c r="C23" s="17" t="s">
        <v>2</v>
      </c>
      <c r="D23" s="18" t="s">
        <v>266</v>
      </c>
    </row>
    <row r="24" spans="1:68">
      <c r="A24" s="140" t="str">
        <f t="shared" si="0"/>
        <v>IMv_SIM.Commands.coRepair</v>
      </c>
      <c r="B24" s="141">
        <v>11152</v>
      </c>
      <c r="C24" s="141" t="s">
        <v>0</v>
      </c>
      <c r="D24" s="142" t="str">
        <f>$R$11</f>
        <v>Ремонт</v>
      </c>
      <c r="Q24" s="81"/>
      <c r="R24" s="11"/>
      <c r="S24" s="11"/>
      <c r="T24" s="11"/>
    </row>
    <row r="25" spans="1:68">
      <c r="A25" s="140" t="str">
        <f t="shared" si="0"/>
        <v>IMv_SIM.Commands.coRepair</v>
      </c>
      <c r="B25" s="141">
        <v>11154</v>
      </c>
      <c r="C25" s="141" t="s">
        <v>4</v>
      </c>
      <c r="D25" s="142">
        <f>$Q$11</f>
        <v>14</v>
      </c>
      <c r="Q25" s="81"/>
      <c r="R25" s="11"/>
      <c r="S25" s="11"/>
      <c r="T25" s="11"/>
    </row>
    <row r="26" spans="1:68">
      <c r="A26" s="140" t="str">
        <f t="shared" si="0"/>
        <v>IMv_SIM.Commands.coRepair</v>
      </c>
      <c r="B26" s="141">
        <v>11150</v>
      </c>
      <c r="C26" s="141" t="s">
        <v>0</v>
      </c>
      <c r="D26" s="142" t="s">
        <v>89</v>
      </c>
      <c r="Q26" s="81"/>
      <c r="R26" s="11"/>
      <c r="S26" s="11"/>
      <c r="T26" s="11"/>
    </row>
    <row r="27" spans="1:68">
      <c r="A27" s="140" t="str">
        <f t="shared" si="0"/>
        <v>IMv_SIM.Commands.coRepair</v>
      </c>
      <c r="B27" s="141">
        <v>11000</v>
      </c>
      <c r="C27" s="141" t="s">
        <v>5</v>
      </c>
      <c r="D27" s="142">
        <v>2147483680</v>
      </c>
      <c r="Q27" s="81"/>
      <c r="R27" s="11"/>
      <c r="S27" s="11"/>
      <c r="T27" s="11"/>
    </row>
    <row r="28" spans="1:68">
      <c r="A28" s="19" t="str">
        <f t="shared" si="0"/>
        <v>IMv_SIM.Commands.coRepair</v>
      </c>
      <c r="B28" s="11">
        <v>1</v>
      </c>
      <c r="C28" s="11" t="s">
        <v>1</v>
      </c>
      <c r="D28" s="20">
        <v>11</v>
      </c>
      <c r="Q28" s="11"/>
      <c r="R28" s="11"/>
      <c r="S28" s="11"/>
      <c r="T28" s="11"/>
    </row>
    <row r="29" spans="1:68">
      <c r="A29" s="16" t="str">
        <f>$R$2&amp;".Commands.stChange"</f>
        <v>IMv_SIM.Commands.stChange</v>
      </c>
      <c r="B29" s="17">
        <v>7011</v>
      </c>
      <c r="C29" s="17" t="s">
        <v>2</v>
      </c>
      <c r="D29" s="18" t="s">
        <v>266</v>
      </c>
      <c r="Q29" s="11"/>
      <c r="R29" s="11"/>
      <c r="S29" s="11"/>
      <c r="T29" s="11"/>
    </row>
    <row r="30" spans="1:68">
      <c r="A30" s="19" t="str">
        <f>$R$2&amp;".Commands.stChange"</f>
        <v>IMv_SIM.Commands.stChange</v>
      </c>
      <c r="B30" s="11">
        <v>11000</v>
      </c>
      <c r="C30" s="11" t="s">
        <v>5</v>
      </c>
      <c r="D30" s="20">
        <v>2147483680</v>
      </c>
      <c r="Q30" s="11"/>
      <c r="R30" s="11"/>
      <c r="S30" s="11"/>
      <c r="T30" s="82"/>
    </row>
    <row r="31" spans="1:68">
      <c r="A31" s="19" t="str">
        <f>$R$2&amp;".Commands.stChange"</f>
        <v>IMv_SIM.Commands.stChange</v>
      </c>
      <c r="B31" s="11">
        <v>1</v>
      </c>
      <c r="C31" s="11" t="s">
        <v>1</v>
      </c>
      <c r="D31" s="20">
        <v>11</v>
      </c>
      <c r="Q31" s="4"/>
      <c r="R31" s="4"/>
      <c r="S31" s="4"/>
      <c r="T31" s="4"/>
    </row>
    <row r="32" spans="1:68">
      <c r="A32" s="21" t="str">
        <f>$R$2&amp;".Commands.stChange"</f>
        <v>IMv_SIM.Commands.stChange</v>
      </c>
      <c r="B32" s="8">
        <v>101</v>
      </c>
      <c r="C32" s="8" t="s">
        <v>0</v>
      </c>
      <c r="D32" s="22" t="s">
        <v>406</v>
      </c>
    </row>
    <row r="33" spans="1:4">
      <c r="A33" s="19" t="str">
        <f>$R$2&amp;".Message.cmd_operator"</f>
        <v>IMv_SIM.Message.cmd_operator</v>
      </c>
      <c r="B33" s="11">
        <v>11154</v>
      </c>
      <c r="C33" s="11" t="s">
        <v>4</v>
      </c>
      <c r="D33" s="97">
        <f>$Q$12</f>
        <v>20</v>
      </c>
    </row>
    <row r="34" spans="1:4">
      <c r="A34" s="19" t="str">
        <f>$R$2&amp;".Message.cmd_operator"</f>
        <v>IMv_SIM.Message.cmd_operator</v>
      </c>
      <c r="B34" s="11">
        <v>11150</v>
      </c>
      <c r="C34" s="11" t="s">
        <v>0</v>
      </c>
      <c r="D34" s="20" t="s">
        <v>43</v>
      </c>
    </row>
    <row r="35" spans="1:4">
      <c r="A35" s="19" t="str">
        <f>$R$2&amp;".Message.cmd_operator"</f>
        <v>IMv_SIM.Message.cmd_operator</v>
      </c>
      <c r="B35" s="11">
        <v>11000</v>
      </c>
      <c r="C35" s="11" t="s">
        <v>5</v>
      </c>
      <c r="D35" s="20">
        <v>2147483680</v>
      </c>
    </row>
    <row r="36" spans="1:4">
      <c r="A36" s="21" t="str">
        <f>$R$2&amp;".Message.cmd_operator"</f>
        <v>IMv_SIM.Message.cmd_operator</v>
      </c>
      <c r="B36" s="8">
        <v>1</v>
      </c>
      <c r="C36" s="8" t="s">
        <v>1</v>
      </c>
      <c r="D36" s="22">
        <v>11</v>
      </c>
    </row>
  </sheetData>
  <autoFilter ref="B1:B36" xr:uid="{00000000-0009-0000-0000-00003B000000}"/>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Лист12">
    <tabColor rgb="FFFFC000"/>
  </sheetPr>
  <dimension ref="A1:BI82"/>
  <sheetViews>
    <sheetView topLeftCell="A16"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1" width="40.33203125" customWidth="1"/>
    <col min="32" max="35" width="9.109375" hidden="1" customWidth="1"/>
    <col min="36" max="36" width="6.88671875"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7.109375" customWidth="1"/>
    <col min="55" max="55" width="10.88671875" customWidth="1"/>
    <col min="57" max="57" width="65.109375" customWidth="1"/>
  </cols>
  <sheetData>
    <row r="1" spans="1:61" s="258" customFormat="1" ht="204.6" thickBot="1">
      <c r="A1" s="257"/>
      <c r="B1" s="260"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F1" s="259"/>
      <c r="BG1" s="259"/>
      <c r="BH1" s="259"/>
      <c r="BI1" s="259"/>
    </row>
    <row r="2" spans="1:61" ht="15" customHeight="1">
      <c r="A2" s="9"/>
      <c r="B2" s="9"/>
      <c r="C2" s="9"/>
      <c r="D2" s="9"/>
      <c r="E2" s="9"/>
      <c r="F2" s="9"/>
      <c r="P2" s="2"/>
      <c r="Q2" s="2" t="s">
        <v>641</v>
      </c>
      <c r="R2" s="2" t="s">
        <v>756</v>
      </c>
      <c r="S2" s="3">
        <v>2</v>
      </c>
      <c r="T2" s="3"/>
      <c r="U2" s="3"/>
      <c r="V2" s="3" t="s">
        <v>569</v>
      </c>
      <c r="W2" s="12">
        <v>1</v>
      </c>
      <c r="X2" s="12"/>
      <c r="Y2" s="12"/>
      <c r="Z2" s="12" t="s">
        <v>629</v>
      </c>
      <c r="AA2" s="12" t="s">
        <v>630</v>
      </c>
      <c r="AB2" s="2"/>
      <c r="AC2" s="2"/>
      <c r="AD2" s="2"/>
      <c r="AE2" s="2" t="s">
        <v>1414</v>
      </c>
      <c r="AF2" s="2"/>
      <c r="AG2" s="2"/>
      <c r="AH2" s="2"/>
      <c r="AI2" s="2"/>
      <c r="AJ2" s="2"/>
      <c r="AK2" s="2">
        <v>1</v>
      </c>
      <c r="AL2" s="2">
        <v>2</v>
      </c>
      <c r="AM2" s="2">
        <v>3</v>
      </c>
      <c r="AN2" s="2">
        <v>4</v>
      </c>
      <c r="AO2" s="2">
        <v>5</v>
      </c>
      <c r="AP2" s="2">
        <v>6</v>
      </c>
      <c r="AQ2" s="2">
        <v>7</v>
      </c>
      <c r="AR2" s="2">
        <v>8</v>
      </c>
      <c r="AS2" s="2" t="s">
        <v>2573</v>
      </c>
      <c r="AT2" s="2">
        <v>10</v>
      </c>
      <c r="AU2" s="2"/>
      <c r="AV2" s="2"/>
      <c r="AW2" s="2"/>
      <c r="AX2" s="2"/>
      <c r="AY2" s="2"/>
      <c r="AZ2" s="2"/>
      <c r="BA2" s="2"/>
      <c r="BF2" s="4"/>
      <c r="BG2" s="4"/>
      <c r="BH2" s="4"/>
      <c r="BI2" s="4"/>
    </row>
    <row r="3" spans="1:61" ht="15" customHeight="1">
      <c r="A3" s="9"/>
      <c r="B3" s="9"/>
      <c r="C3" s="9"/>
      <c r="D3" s="9"/>
      <c r="E3" s="9"/>
      <c r="F3" s="9"/>
      <c r="P3" s="10"/>
      <c r="Q3" s="10"/>
      <c r="R3" s="10"/>
      <c r="S3" s="10"/>
      <c r="T3" s="10"/>
      <c r="U3" s="10"/>
      <c r="V3" s="10"/>
      <c r="W3" s="10"/>
      <c r="X3" s="10"/>
      <c r="Y3" s="10"/>
      <c r="Z3" s="10"/>
      <c r="AA3" s="10"/>
      <c r="BF3" s="4"/>
      <c r="BG3" s="4"/>
      <c r="BH3" s="4"/>
      <c r="BI3" s="4"/>
    </row>
    <row r="4" spans="1:61"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F4" s="4"/>
      <c r="BG4" s="4"/>
      <c r="BH4" s="4"/>
      <c r="BI4" s="4"/>
    </row>
    <row r="5" spans="1:61"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F5" s="4"/>
      <c r="BG5" s="4"/>
      <c r="BH5" s="4"/>
      <c r="BI5" s="4"/>
    </row>
    <row r="6" spans="1:61"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F6" s="4"/>
      <c r="BG6" s="4"/>
      <c r="BH6" s="4"/>
      <c r="BI6" s="4"/>
    </row>
    <row r="7" spans="1:61"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F7" s="4"/>
      <c r="BG7" s="4"/>
      <c r="BH7" s="4"/>
      <c r="BI7" s="4"/>
    </row>
    <row r="8" spans="1:61" ht="15" customHeight="1">
      <c r="A8" s="9"/>
      <c r="B8" s="9"/>
      <c r="C8" s="9"/>
      <c r="D8" s="9"/>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BF8" s="4"/>
      <c r="BG8" s="4"/>
      <c r="BH8" s="4"/>
      <c r="BI8" s="4"/>
    </row>
    <row r="9" spans="1:61" ht="15" customHeight="1">
      <c r="A9" s="9"/>
      <c r="B9" s="9"/>
      <c r="C9" s="9"/>
      <c r="D9" s="9"/>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BF9" s="4"/>
      <c r="BG9" s="4"/>
      <c r="BH9" s="4"/>
      <c r="BI9" s="4"/>
    </row>
    <row r="10" spans="1:61" ht="15" customHeight="1">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BF10" s="4"/>
      <c r="BG10" s="4"/>
      <c r="BH10" s="4"/>
      <c r="BI10" s="4"/>
    </row>
    <row r="11" spans="1:61" ht="15" customHeight="1">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BF11" s="4"/>
      <c r="BG11" s="4"/>
      <c r="BH11" s="4"/>
      <c r="BI11" s="4"/>
    </row>
    <row r="12" spans="1:61"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BF12" s="4"/>
      <c r="BG12" s="4"/>
      <c r="BH12" s="4"/>
      <c r="BI12" s="4"/>
    </row>
    <row r="13" spans="1:61"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F13" s="4"/>
      <c r="BG13" s="4"/>
      <c r="BH13" s="4"/>
      <c r="BI13" s="4"/>
    </row>
    <row r="14" spans="1:61"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F14" s="4"/>
      <c r="BG14" s="4"/>
      <c r="BH14" s="4"/>
      <c r="BI14" s="4"/>
    </row>
    <row r="15" spans="1:61"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F15" s="4"/>
      <c r="BG15" s="4"/>
      <c r="BH15" s="4"/>
      <c r="BI15" s="4"/>
    </row>
    <row r="16" spans="1:61"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F16" s="4"/>
      <c r="BG16" s="4"/>
      <c r="BH16" s="4"/>
      <c r="BI16" s="4"/>
    </row>
    <row r="17" spans="1:61"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F17" s="4"/>
      <c r="BG17" s="4"/>
      <c r="BH17" s="4"/>
      <c r="BI17" s="4"/>
    </row>
    <row r="18" spans="1:61"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F18" s="4"/>
      <c r="BG18" s="4"/>
      <c r="BH18" s="4"/>
      <c r="BI18" s="4"/>
    </row>
    <row r="19" spans="1:61"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F19" s="4"/>
      <c r="BG19" s="4"/>
      <c r="BH19" s="4"/>
      <c r="BI19" s="4"/>
    </row>
    <row r="20" spans="1:61">
      <c r="A20" s="23" t="str">
        <f>$R$2</f>
        <v>Диагностика.TREI_S301</v>
      </c>
      <c r="B20" s="24">
        <v>1</v>
      </c>
      <c r="C20" s="24" t="s">
        <v>1</v>
      </c>
      <c r="D20" s="25">
        <v>17</v>
      </c>
    </row>
    <row r="21" spans="1:61" ht="15" customHeight="1">
      <c r="A21" s="19" t="str">
        <f t="shared" ref="A21:A34" si="0">$R$2</f>
        <v>Диагностика.TREI_S301</v>
      </c>
      <c r="B21" s="11">
        <v>11156</v>
      </c>
      <c r="C21" s="11" t="s">
        <v>0</v>
      </c>
      <c r="D21" s="20" t="str">
        <f>$V$2</f>
        <v>Тестовый экран</v>
      </c>
      <c r="E21" s="4"/>
      <c r="F21" s="4"/>
      <c r="BF21" s="4"/>
      <c r="BG21" s="4"/>
      <c r="BH21" s="4"/>
      <c r="BI21" s="4"/>
    </row>
    <row r="22" spans="1:61">
      <c r="A22" s="26" t="str">
        <f t="shared" si="0"/>
        <v>Диагностика.TREI_S301</v>
      </c>
      <c r="B22" s="27">
        <v>11001</v>
      </c>
      <c r="C22" s="27" t="s">
        <v>0</v>
      </c>
      <c r="D22" s="28" t="str">
        <f>$Q$2&amp;". "</f>
        <v xml:space="preserve">Коммутатор TREI S301. </v>
      </c>
    </row>
    <row r="23" spans="1:61">
      <c r="A23" s="23" t="str">
        <f t="shared" si="0"/>
        <v>Диагностика.TREI_S301</v>
      </c>
      <c r="B23" s="24">
        <v>11120</v>
      </c>
      <c r="C23" s="24" t="s">
        <v>0</v>
      </c>
      <c r="D23" s="25" t="str">
        <f>$Z$2</f>
        <v>255.255.255.0</v>
      </c>
    </row>
    <row r="24" spans="1:61">
      <c r="A24" s="29" t="str">
        <f t="shared" si="0"/>
        <v>Диагностика.TREI_S301</v>
      </c>
      <c r="B24" s="1">
        <v>11121</v>
      </c>
      <c r="C24" s="1" t="s">
        <v>0</v>
      </c>
      <c r="D24" s="30" t="str">
        <f>$AA$2</f>
        <v>192.168.78.10</v>
      </c>
    </row>
    <row r="25" spans="1:61">
      <c r="A25" s="29" t="str">
        <f t="shared" si="0"/>
        <v>Диагностика.TREI_S301</v>
      </c>
      <c r="B25" s="1">
        <v>11122</v>
      </c>
      <c r="C25" s="1" t="s">
        <v>0</v>
      </c>
      <c r="D25" s="30">
        <f>$AK$2</f>
        <v>1</v>
      </c>
    </row>
    <row r="26" spans="1:61">
      <c r="A26" s="29" t="str">
        <f t="shared" si="0"/>
        <v>Диагностика.TREI_S301</v>
      </c>
      <c r="B26" s="1">
        <v>11123</v>
      </c>
      <c r="C26" s="1" t="s">
        <v>0</v>
      </c>
      <c r="D26" s="30">
        <f>$AL$2</f>
        <v>2</v>
      </c>
    </row>
    <row r="27" spans="1:61">
      <c r="A27" s="29" t="str">
        <f t="shared" si="0"/>
        <v>Диагностика.TREI_S301</v>
      </c>
      <c r="B27" s="1">
        <v>11124</v>
      </c>
      <c r="C27" s="1" t="s">
        <v>0</v>
      </c>
      <c r="D27" s="30">
        <f>$AM$2</f>
        <v>3</v>
      </c>
    </row>
    <row r="28" spans="1:61">
      <c r="A28" s="29" t="str">
        <f t="shared" si="0"/>
        <v>Диагностика.TREI_S301</v>
      </c>
      <c r="B28" s="1">
        <v>11125</v>
      </c>
      <c r="C28" s="1" t="s">
        <v>0</v>
      </c>
      <c r="D28" s="30">
        <f>$AN$2</f>
        <v>4</v>
      </c>
    </row>
    <row r="29" spans="1:61">
      <c r="A29" s="29" t="str">
        <f t="shared" si="0"/>
        <v>Диагностика.TREI_S301</v>
      </c>
      <c r="B29" s="1">
        <v>11126</v>
      </c>
      <c r="C29" s="1" t="s">
        <v>0</v>
      </c>
      <c r="D29" s="30">
        <f>$AO$2</f>
        <v>5</v>
      </c>
    </row>
    <row r="30" spans="1:61">
      <c r="A30" s="29" t="str">
        <f t="shared" si="0"/>
        <v>Диагностика.TREI_S301</v>
      </c>
      <c r="B30" s="1">
        <v>11127</v>
      </c>
      <c r="C30" s="1" t="s">
        <v>0</v>
      </c>
      <c r="D30" s="30">
        <f>$AP$2</f>
        <v>6</v>
      </c>
    </row>
    <row r="31" spans="1:61">
      <c r="A31" s="29" t="str">
        <f t="shared" si="0"/>
        <v>Диагностика.TREI_S301</v>
      </c>
      <c r="B31" s="1">
        <v>11128</v>
      </c>
      <c r="C31" s="1" t="s">
        <v>0</v>
      </c>
      <c r="D31" s="30">
        <f>$AQ$2</f>
        <v>7</v>
      </c>
    </row>
    <row r="32" spans="1:61">
      <c r="A32" s="29" t="str">
        <f t="shared" si="0"/>
        <v>Диагностика.TREI_S301</v>
      </c>
      <c r="B32" s="1">
        <v>11129</v>
      </c>
      <c r="C32" s="1" t="s">
        <v>0</v>
      </c>
      <c r="D32" s="30">
        <f>$AR$2</f>
        <v>8</v>
      </c>
    </row>
    <row r="33" spans="1:61">
      <c r="A33" s="29" t="str">
        <f t="shared" si="0"/>
        <v>Диагностика.TREI_S301</v>
      </c>
      <c r="B33" s="1">
        <v>11135</v>
      </c>
      <c r="C33" s="1" t="s">
        <v>0</v>
      </c>
      <c r="D33" s="30" t="str">
        <f>$AS$2</f>
        <v>9</v>
      </c>
    </row>
    <row r="34" spans="1:61">
      <c r="A34" s="26" t="str">
        <f t="shared" si="0"/>
        <v>Диагностика.TREI_S301</v>
      </c>
      <c r="B34" s="27">
        <v>11136</v>
      </c>
      <c r="C34" s="27" t="s">
        <v>0</v>
      </c>
      <c r="D34" s="30">
        <f>$AT$2</f>
        <v>10</v>
      </c>
    </row>
    <row r="35" spans="1:61">
      <c r="A35" s="16" t="str">
        <f t="shared" ref="A35:A36" si="1">$R$2</f>
        <v>Диагностика.TREI_S301</v>
      </c>
      <c r="B35" s="17">
        <v>13</v>
      </c>
      <c r="C35" s="17" t="s">
        <v>2</v>
      </c>
      <c r="D35" s="18" t="s">
        <v>3</v>
      </c>
    </row>
    <row r="36" spans="1:61" ht="15" customHeight="1">
      <c r="A36" s="19" t="str">
        <f t="shared" si="1"/>
        <v>Диагностика.TREI_S301</v>
      </c>
      <c r="B36" s="11">
        <v>3000013</v>
      </c>
      <c r="C36" s="11" t="s">
        <v>0</v>
      </c>
      <c r="D36" s="20" t="str">
        <f>$AE$2</f>
        <v>Диагностика.CPU.NOT_LINK.noLink</v>
      </c>
      <c r="BF36" s="4"/>
      <c r="BG36" s="4"/>
      <c r="BH36" s="4"/>
      <c r="BI36" s="4"/>
    </row>
    <row r="37" spans="1:61">
      <c r="A37" s="23" t="str">
        <f>$R$2 &amp;".Port1"</f>
        <v>Диагностика.TREI_S301.Port1</v>
      </c>
      <c r="B37" s="24">
        <v>1</v>
      </c>
      <c r="C37" s="24" t="s">
        <v>1</v>
      </c>
      <c r="D37" s="333">
        <v>19</v>
      </c>
    </row>
    <row r="38" spans="1:61">
      <c r="A38" s="29" t="str">
        <f>$R$2 &amp;".Port1"</f>
        <v>Диагностика.TREI_S301.Port1</v>
      </c>
      <c r="B38" s="1">
        <v>10015</v>
      </c>
      <c r="C38" s="1" t="s">
        <v>0</v>
      </c>
      <c r="D38" s="334" t="s">
        <v>631</v>
      </c>
    </row>
    <row r="39" spans="1:61">
      <c r="A39" s="26" t="str">
        <f>$R$2 &amp;".Port1"</f>
        <v>Диагностика.TREI_S301.Port1</v>
      </c>
      <c r="B39" s="27">
        <v>7014</v>
      </c>
      <c r="C39" s="27" t="s">
        <v>278</v>
      </c>
      <c r="D39" s="335" t="str">
        <f>"$"&amp;DEC2HEX($S$2,4)&amp;DEC2HEX($W$2,6)&amp;"000209"</f>
        <v>$0002000001000209</v>
      </c>
    </row>
    <row r="40" spans="1:61">
      <c r="A40" s="23" t="str">
        <f>$R$2 &amp;".Port10"</f>
        <v>Диагностика.TREI_S301.Port10</v>
      </c>
      <c r="B40" s="24">
        <v>1</v>
      </c>
      <c r="C40" s="24" t="s">
        <v>1</v>
      </c>
      <c r="D40" s="333">
        <v>19</v>
      </c>
    </row>
    <row r="41" spans="1:61">
      <c r="A41" s="29" t="str">
        <f>$R$2 &amp;".Port10"</f>
        <v>Диагностика.TREI_S301.Port10</v>
      </c>
      <c r="B41" s="1">
        <v>10015</v>
      </c>
      <c r="C41" s="1" t="s">
        <v>0</v>
      </c>
      <c r="D41" s="334" t="s">
        <v>632</v>
      </c>
    </row>
    <row r="42" spans="1:61">
      <c r="A42" s="26" t="str">
        <f>$R$2 &amp;".Port10"</f>
        <v>Диагностика.TREI_S301.Port10</v>
      </c>
      <c r="B42" s="27">
        <v>7014</v>
      </c>
      <c r="C42" s="27" t="s">
        <v>278</v>
      </c>
      <c r="D42" s="335" t="str">
        <f>"$"&amp;DEC2HEX($S$2,4)&amp;DEC2HEX($W$2,6)&amp;"000209"</f>
        <v>$0002000001000209</v>
      </c>
    </row>
    <row r="43" spans="1:61">
      <c r="A43" s="23" t="str">
        <f>$R$2 &amp;".Port2"</f>
        <v>Диагностика.TREI_S301.Port2</v>
      </c>
      <c r="B43" s="24">
        <v>1</v>
      </c>
      <c r="C43" s="24" t="s">
        <v>1</v>
      </c>
      <c r="D43" s="333">
        <v>19</v>
      </c>
    </row>
    <row r="44" spans="1:61">
      <c r="A44" s="29" t="str">
        <f>$R$2 &amp;".Port2"</f>
        <v>Диагностика.TREI_S301.Port2</v>
      </c>
      <c r="B44" s="1">
        <v>10015</v>
      </c>
      <c r="C44" s="1" t="s">
        <v>0</v>
      </c>
      <c r="D44" s="334" t="s">
        <v>633</v>
      </c>
    </row>
    <row r="45" spans="1:61">
      <c r="A45" s="26" t="str">
        <f>$R$2 &amp;".Port2"</f>
        <v>Диагностика.TREI_S301.Port2</v>
      </c>
      <c r="B45" s="27">
        <v>7014</v>
      </c>
      <c r="C45" s="27" t="s">
        <v>278</v>
      </c>
      <c r="D45" s="335" t="str">
        <f>"$"&amp;DEC2HEX($S$2,4)&amp;DEC2HEX($W$2,6)&amp;"000209"</f>
        <v>$0002000001000209</v>
      </c>
    </row>
    <row r="46" spans="1:61">
      <c r="A46" s="23" t="str">
        <f>$R$2 &amp;".Port3"</f>
        <v>Диагностика.TREI_S301.Port3</v>
      </c>
      <c r="B46" s="24">
        <v>1</v>
      </c>
      <c r="C46" s="24" t="s">
        <v>1</v>
      </c>
      <c r="D46" s="333">
        <v>19</v>
      </c>
    </row>
    <row r="47" spans="1:61">
      <c r="A47" s="29" t="str">
        <f>$R$2 &amp;".Port3"</f>
        <v>Диагностика.TREI_S301.Port3</v>
      </c>
      <c r="B47" s="1">
        <v>10015</v>
      </c>
      <c r="C47" s="1" t="s">
        <v>0</v>
      </c>
      <c r="D47" s="334" t="s">
        <v>634</v>
      </c>
    </row>
    <row r="48" spans="1:61">
      <c r="A48" s="26" t="str">
        <f>$R$2 &amp;".Port3"</f>
        <v>Диагностика.TREI_S301.Port3</v>
      </c>
      <c r="B48" s="27">
        <v>7014</v>
      </c>
      <c r="C48" s="27" t="s">
        <v>278</v>
      </c>
      <c r="D48" s="335" t="str">
        <f>"$"&amp;DEC2HEX($S$2,4)&amp;DEC2HEX($W$2,6)&amp;"000209"</f>
        <v>$0002000001000209</v>
      </c>
    </row>
    <row r="49" spans="1:4">
      <c r="A49" s="29" t="str">
        <f>$R$2 &amp;".Port4"</f>
        <v>Диагностика.TREI_S301.Port4</v>
      </c>
      <c r="B49" s="1">
        <v>1</v>
      </c>
      <c r="C49" s="1" t="s">
        <v>1</v>
      </c>
      <c r="D49" s="334">
        <v>19</v>
      </c>
    </row>
    <row r="50" spans="1:4">
      <c r="A50" s="29" t="str">
        <f>$R$2 &amp;".Port4"</f>
        <v>Диагностика.TREI_S301.Port4</v>
      </c>
      <c r="B50" s="1">
        <v>10015</v>
      </c>
      <c r="C50" s="1" t="s">
        <v>0</v>
      </c>
      <c r="D50" s="334" t="s">
        <v>645</v>
      </c>
    </row>
    <row r="51" spans="1:4">
      <c r="A51" s="29" t="str">
        <f>$R$2 &amp;".Port4"</f>
        <v>Диагностика.TREI_S301.Port4</v>
      </c>
      <c r="B51" s="1">
        <v>7014</v>
      </c>
      <c r="C51" s="1" t="s">
        <v>278</v>
      </c>
      <c r="D51" s="335" t="str">
        <f>"$"&amp;DEC2HEX($S$2,4)&amp;DEC2HEX($W$2,6)&amp;"000209"</f>
        <v>$0002000001000209</v>
      </c>
    </row>
    <row r="52" spans="1:4">
      <c r="A52" s="23" t="str">
        <f>$R$2 &amp;".Port5"</f>
        <v>Диагностика.TREI_S301.Port5</v>
      </c>
      <c r="B52" s="24">
        <v>1</v>
      </c>
      <c r="C52" s="24" t="s">
        <v>1</v>
      </c>
      <c r="D52" s="333">
        <v>19</v>
      </c>
    </row>
    <row r="53" spans="1:4">
      <c r="A53" s="29" t="str">
        <f>$R$2 &amp;".Port5"</f>
        <v>Диагностика.TREI_S301.Port5</v>
      </c>
      <c r="B53" s="1">
        <v>10015</v>
      </c>
      <c r="C53" s="1" t="s">
        <v>0</v>
      </c>
      <c r="D53" s="334" t="s">
        <v>635</v>
      </c>
    </row>
    <row r="54" spans="1:4">
      <c r="A54" s="26" t="str">
        <f>$R$2 &amp;".Port5"</f>
        <v>Диагностика.TREI_S301.Port5</v>
      </c>
      <c r="B54" s="27">
        <v>7014</v>
      </c>
      <c r="C54" s="27" t="s">
        <v>278</v>
      </c>
      <c r="D54" s="335" t="str">
        <f>"$"&amp;DEC2HEX($S$2,4)&amp;DEC2HEX($W$2,6)&amp;"000209"</f>
        <v>$0002000001000209</v>
      </c>
    </row>
    <row r="55" spans="1:4">
      <c r="A55" s="23" t="str">
        <f>$R$2 &amp;".Port6"</f>
        <v>Диагностика.TREI_S301.Port6</v>
      </c>
      <c r="B55" s="24">
        <v>1</v>
      </c>
      <c r="C55" s="24" t="s">
        <v>1</v>
      </c>
      <c r="D55" s="333">
        <v>19</v>
      </c>
    </row>
    <row r="56" spans="1:4">
      <c r="A56" s="29" t="str">
        <f>$R$2 &amp;".Port6"</f>
        <v>Диагностика.TREI_S301.Port6</v>
      </c>
      <c r="B56" s="1">
        <v>10015</v>
      </c>
      <c r="C56" s="1" t="s">
        <v>0</v>
      </c>
      <c r="D56" s="334" t="s">
        <v>636</v>
      </c>
    </row>
    <row r="57" spans="1:4">
      <c r="A57" s="26" t="str">
        <f>$R$2 &amp;".Port6"</f>
        <v>Диагностика.TREI_S301.Port6</v>
      </c>
      <c r="B57" s="27">
        <v>7014</v>
      </c>
      <c r="C57" s="27" t="s">
        <v>278</v>
      </c>
      <c r="D57" s="335" t="str">
        <f>"$"&amp;DEC2HEX($S$2,4)&amp;DEC2HEX($W$2,6)&amp;"000209"</f>
        <v>$0002000001000209</v>
      </c>
    </row>
    <row r="58" spans="1:4">
      <c r="A58" s="23" t="str">
        <f>$R$2 &amp;".Port7"</f>
        <v>Диагностика.TREI_S301.Port7</v>
      </c>
      <c r="B58" s="24">
        <v>1</v>
      </c>
      <c r="C58" s="24" t="s">
        <v>1</v>
      </c>
      <c r="D58" s="333">
        <v>19</v>
      </c>
    </row>
    <row r="59" spans="1:4">
      <c r="A59" s="29" t="str">
        <f>$R$2 &amp;".Port7"</f>
        <v>Диагностика.TREI_S301.Port7</v>
      </c>
      <c r="B59" s="1">
        <v>10015</v>
      </c>
      <c r="C59" s="1" t="s">
        <v>0</v>
      </c>
      <c r="D59" s="334" t="s">
        <v>637</v>
      </c>
    </row>
    <row r="60" spans="1:4">
      <c r="A60" s="26" t="str">
        <f>$R$2 &amp;".Port7"</f>
        <v>Диагностика.TREI_S301.Port7</v>
      </c>
      <c r="B60" s="27">
        <v>7014</v>
      </c>
      <c r="C60" s="27" t="s">
        <v>278</v>
      </c>
      <c r="D60" s="335" t="str">
        <f>"$"&amp;DEC2HEX($S$2,4)&amp;DEC2HEX($W$2,6)&amp;"000209"</f>
        <v>$0002000001000209</v>
      </c>
    </row>
    <row r="61" spans="1:4">
      <c r="A61" s="23" t="str">
        <f>$R$2 &amp;".Port8"</f>
        <v>Диагностика.TREI_S301.Port8</v>
      </c>
      <c r="B61" s="24">
        <v>1</v>
      </c>
      <c r="C61" s="24" t="s">
        <v>1</v>
      </c>
      <c r="D61" s="333">
        <v>19</v>
      </c>
    </row>
    <row r="62" spans="1:4">
      <c r="A62" s="29" t="str">
        <f>$R$2 &amp;".Port8"</f>
        <v>Диагностика.TREI_S301.Port8</v>
      </c>
      <c r="B62" s="1">
        <v>10015</v>
      </c>
      <c r="C62" s="1" t="s">
        <v>0</v>
      </c>
      <c r="D62" s="334" t="s">
        <v>638</v>
      </c>
    </row>
    <row r="63" spans="1:4">
      <c r="A63" s="26" t="str">
        <f>$R$2 &amp;".Port8"</f>
        <v>Диагностика.TREI_S301.Port8</v>
      </c>
      <c r="B63" s="27">
        <v>7014</v>
      </c>
      <c r="C63" s="27" t="s">
        <v>278</v>
      </c>
      <c r="D63" s="335" t="str">
        <f>"$"&amp;DEC2HEX($S$2,4)&amp;DEC2HEX($W$2,6)&amp;"000209"</f>
        <v>$0002000001000209</v>
      </c>
    </row>
    <row r="64" spans="1:4">
      <c r="A64" s="23" t="str">
        <f>$R$2 &amp;".Port9"</f>
        <v>Диагностика.TREI_S301.Port9</v>
      </c>
      <c r="B64" s="24">
        <v>1</v>
      </c>
      <c r="C64" s="24" t="s">
        <v>1</v>
      </c>
      <c r="D64" s="333">
        <v>19</v>
      </c>
    </row>
    <row r="65" spans="1:4">
      <c r="A65" s="29" t="str">
        <f>$R$2 &amp;".Port9"</f>
        <v>Диагностика.TREI_S301.Port9</v>
      </c>
      <c r="B65" s="1">
        <v>10015</v>
      </c>
      <c r="C65" s="1" t="s">
        <v>0</v>
      </c>
      <c r="D65" s="334" t="s">
        <v>639</v>
      </c>
    </row>
    <row r="66" spans="1:4">
      <c r="A66" s="29" t="str">
        <f>$R$2 &amp;".Port9"</f>
        <v>Диагностика.TREI_S301.Port9</v>
      </c>
      <c r="B66" s="1">
        <v>7014</v>
      </c>
      <c r="C66" s="1" t="s">
        <v>278</v>
      </c>
      <c r="D66" s="334" t="str">
        <f>"$"&amp;DEC2HEX($S$2,4)&amp;DEC2HEX($W$2,6)&amp;"000209"</f>
        <v>$0002000001000209</v>
      </c>
    </row>
    <row r="67" spans="1:4">
      <c r="A67" s="217" t="str">
        <f>$R$2 &amp;".Port9.NoLink"</f>
        <v>Диагностика.TREI_S301.Port9.NoLink</v>
      </c>
      <c r="B67" s="218">
        <v>11154</v>
      </c>
      <c r="C67" s="218" t="s">
        <v>4</v>
      </c>
      <c r="D67" s="219">
        <f>$Q$7</f>
        <v>12</v>
      </c>
    </row>
    <row r="68" spans="1:4">
      <c r="A68" s="211" t="str">
        <f t="shared" ref="A68:A74" si="2">$R$2 &amp;".Port9.NoLink"</f>
        <v>Диагностика.TREI_S301.Port9.NoLink</v>
      </c>
      <c r="B68" s="212">
        <v>11152</v>
      </c>
      <c r="C68" s="212" t="s">
        <v>0</v>
      </c>
      <c r="D68" s="220" t="str">
        <f>$R$7</f>
        <v>Неисправность</v>
      </c>
    </row>
    <row r="69" spans="1:4">
      <c r="A69" s="211" t="str">
        <f t="shared" si="2"/>
        <v>Диагностика.TREI_S301.Port9.NoLink</v>
      </c>
      <c r="B69" s="212">
        <v>11150</v>
      </c>
      <c r="C69" s="212" t="s">
        <v>0</v>
      </c>
      <c r="D69" s="213" t="str">
        <f>"Порт 9. Связь c " &amp; $AS$2 &amp; " прервана"</f>
        <v>Порт 9. Связь c 9 прервана</v>
      </c>
    </row>
    <row r="70" spans="1:4">
      <c r="A70" s="211" t="str">
        <f t="shared" si="2"/>
        <v>Диагностика.TREI_S301.Port9.NoLink</v>
      </c>
      <c r="B70" s="212">
        <v>11000</v>
      </c>
      <c r="C70" s="212" t="s">
        <v>5</v>
      </c>
      <c r="D70" s="213">
        <v>2147483680</v>
      </c>
    </row>
    <row r="71" spans="1:4">
      <c r="A71" s="19" t="str">
        <f t="shared" si="2"/>
        <v>Диагностика.TREI_S301.Port9.NoLink</v>
      </c>
      <c r="B71" s="11">
        <v>3</v>
      </c>
      <c r="C71" s="11" t="s">
        <v>1</v>
      </c>
      <c r="D71" s="20">
        <v>192</v>
      </c>
    </row>
    <row r="72" spans="1:4">
      <c r="A72" s="19" t="str">
        <f t="shared" si="2"/>
        <v>Диагностика.TREI_S301.Port9.NoLink</v>
      </c>
      <c r="B72" s="11">
        <v>2</v>
      </c>
      <c r="C72" s="11" t="s">
        <v>2</v>
      </c>
      <c r="D72" s="20" t="s">
        <v>3</v>
      </c>
    </row>
    <row r="73" spans="1:4">
      <c r="A73" s="19" t="str">
        <f t="shared" si="2"/>
        <v>Диагностика.TREI_S301.Port9.NoLink</v>
      </c>
      <c r="B73" s="11">
        <v>1</v>
      </c>
      <c r="C73" s="11" t="s">
        <v>1</v>
      </c>
      <c r="D73" s="20">
        <v>11</v>
      </c>
    </row>
    <row r="74" spans="1:4">
      <c r="A74" s="21" t="str">
        <f t="shared" si="2"/>
        <v>Диагностика.TREI_S301.Port9.NoLink</v>
      </c>
      <c r="B74" s="8">
        <v>3000000</v>
      </c>
      <c r="C74" s="8" t="s">
        <v>0</v>
      </c>
      <c r="D74" s="68" t="str">
        <f>IF($AS$2&lt;&gt;"","IfTrue(#2.Port9,0,1)","")</f>
        <v>IfTrue(#2.Port9,0,1)</v>
      </c>
    </row>
    <row r="75" spans="1:4">
      <c r="A75" s="217" t="str">
        <f>$R$2 &amp;".Port10.NoLink"</f>
        <v>Диагностика.TREI_S301.Port10.NoLink</v>
      </c>
      <c r="B75" s="218">
        <v>11154</v>
      </c>
      <c r="C75" s="218" t="s">
        <v>4</v>
      </c>
      <c r="D75" s="219">
        <f>$Q$7</f>
        <v>12</v>
      </c>
    </row>
    <row r="76" spans="1:4">
      <c r="A76" s="211" t="str">
        <f t="shared" ref="A76:A82" si="3">$R$2 &amp;".Port10.NoLink"</f>
        <v>Диагностика.TREI_S301.Port10.NoLink</v>
      </c>
      <c r="B76" s="212">
        <v>11152</v>
      </c>
      <c r="C76" s="212" t="s">
        <v>0</v>
      </c>
      <c r="D76" s="220" t="str">
        <f>$R$7</f>
        <v>Неисправность</v>
      </c>
    </row>
    <row r="77" spans="1:4">
      <c r="A77" s="211" t="str">
        <f t="shared" si="3"/>
        <v>Диагностика.TREI_S301.Port10.NoLink</v>
      </c>
      <c r="B77" s="212">
        <v>11150</v>
      </c>
      <c r="C77" s="212" t="s">
        <v>0</v>
      </c>
      <c r="D77" s="213" t="str">
        <f>"Порт 10. Связь c " &amp; $AT$2 &amp; " прервана"</f>
        <v>Порт 10. Связь c 10 прервана</v>
      </c>
    </row>
    <row r="78" spans="1:4">
      <c r="A78" s="211" t="str">
        <f t="shared" si="3"/>
        <v>Диагностика.TREI_S301.Port10.NoLink</v>
      </c>
      <c r="B78" s="212">
        <v>11000</v>
      </c>
      <c r="C78" s="212" t="s">
        <v>5</v>
      </c>
      <c r="D78" s="213">
        <v>2147483680</v>
      </c>
    </row>
    <row r="79" spans="1:4">
      <c r="A79" s="19" t="str">
        <f t="shared" si="3"/>
        <v>Диагностика.TREI_S301.Port10.NoLink</v>
      </c>
      <c r="B79" s="11">
        <v>3</v>
      </c>
      <c r="C79" s="11" t="s">
        <v>1</v>
      </c>
      <c r="D79" s="20">
        <v>192</v>
      </c>
    </row>
    <row r="80" spans="1:4">
      <c r="A80" s="19" t="str">
        <f t="shared" si="3"/>
        <v>Диагностика.TREI_S301.Port10.NoLink</v>
      </c>
      <c r="B80" s="11">
        <v>2</v>
      </c>
      <c r="C80" s="11" t="s">
        <v>2</v>
      </c>
      <c r="D80" s="20" t="s">
        <v>3</v>
      </c>
    </row>
    <row r="81" spans="1:4">
      <c r="A81" s="19" t="str">
        <f t="shared" si="3"/>
        <v>Диагностика.TREI_S301.Port10.NoLink</v>
      </c>
      <c r="B81" s="11">
        <v>1</v>
      </c>
      <c r="C81" s="11" t="s">
        <v>1</v>
      </c>
      <c r="D81" s="20">
        <v>11</v>
      </c>
    </row>
    <row r="82" spans="1:4">
      <c r="A82" s="21" t="str">
        <f t="shared" si="3"/>
        <v>Диагностика.TREI_S301.Port10.NoLink</v>
      </c>
      <c r="B82" s="8">
        <v>3000000</v>
      </c>
      <c r="C82" s="8" t="s">
        <v>0</v>
      </c>
      <c r="D82" s="68" t="str">
        <f>IF($AT$2&lt;&gt;"","IfTrue(#2.Port10,0,1)","")</f>
        <v>IfTrue(#2.Port10,0,1)</v>
      </c>
    </row>
  </sheetData>
  <conditionalFormatting sqref="D21:D22">
    <cfRule type="duplicateValues" dxfId="13" priority="1"/>
    <cfRule type="duplicateValues" dxfId="12" priority="2"/>
  </conditionalFormatting>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Лист99">
    <tabColor rgb="FFFFC000"/>
  </sheetPr>
  <dimension ref="A1:BI146"/>
  <sheetViews>
    <sheetView topLeftCell="A16"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1" width="40.33203125" customWidth="1"/>
    <col min="32" max="35" width="9.109375" hidden="1" customWidth="1"/>
    <col min="36" max="36" width="6.88671875"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7.109375" customWidth="1"/>
    <col min="55" max="55" width="10.88671875" customWidth="1"/>
    <col min="57" max="57" width="65.109375" customWidth="1"/>
  </cols>
  <sheetData>
    <row r="1" spans="1:61" s="258" customFormat="1" ht="204.6" thickBot="1">
      <c r="A1" s="257"/>
      <c r="B1" s="260"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F1" s="259"/>
      <c r="BG1" s="259"/>
      <c r="BH1" s="259"/>
      <c r="BI1" s="259"/>
    </row>
    <row r="2" spans="1:61" s="55" customFormat="1" ht="15" customHeight="1">
      <c r="A2" s="377"/>
      <c r="B2" s="377"/>
      <c r="C2" s="377"/>
      <c r="D2" s="377"/>
      <c r="E2" s="377"/>
      <c r="F2" s="377"/>
      <c r="P2" s="378"/>
      <c r="Q2" s="378" t="s">
        <v>730</v>
      </c>
      <c r="R2" s="378" t="s">
        <v>760</v>
      </c>
      <c r="S2" s="379">
        <v>2</v>
      </c>
      <c r="T2" s="379"/>
      <c r="U2" s="379"/>
      <c r="V2" s="379" t="s">
        <v>569</v>
      </c>
      <c r="W2" s="380">
        <v>1</v>
      </c>
      <c r="X2" s="380" t="s">
        <v>2928</v>
      </c>
      <c r="Y2" s="380"/>
      <c r="Z2" s="380" t="s">
        <v>629</v>
      </c>
      <c r="AA2" s="380" t="s">
        <v>630</v>
      </c>
      <c r="AB2" s="378"/>
      <c r="AC2" s="378"/>
      <c r="AD2" s="378"/>
      <c r="AE2" s="378" t="s">
        <v>1414</v>
      </c>
      <c r="AF2" s="378"/>
      <c r="AG2" s="378"/>
      <c r="AH2" s="378"/>
      <c r="AI2" s="378"/>
      <c r="AJ2" s="378"/>
      <c r="AK2" s="378" t="s">
        <v>1160</v>
      </c>
      <c r="AL2" s="378" t="s">
        <v>1161</v>
      </c>
      <c r="AM2" s="378" t="s">
        <v>1162</v>
      </c>
      <c r="AN2" s="378" t="s">
        <v>1159</v>
      </c>
      <c r="AO2" s="378" t="s">
        <v>1163</v>
      </c>
      <c r="AP2" s="378" t="s">
        <v>1164</v>
      </c>
      <c r="AQ2" s="378" t="s">
        <v>1165</v>
      </c>
      <c r="AR2" s="378" t="s">
        <v>1166</v>
      </c>
      <c r="AS2" s="378" t="s">
        <v>1167</v>
      </c>
      <c r="AT2" s="378" t="s">
        <v>1168</v>
      </c>
      <c r="AU2" s="378" t="s">
        <v>1169</v>
      </c>
      <c r="AV2" s="378" t="s">
        <v>1170</v>
      </c>
      <c r="AW2" s="378"/>
      <c r="AX2" s="378"/>
      <c r="AY2" s="378"/>
      <c r="AZ2" s="378"/>
      <c r="BA2" s="378"/>
      <c r="BF2" s="381"/>
      <c r="BG2" s="381"/>
      <c r="BH2" s="381"/>
      <c r="BI2" s="381"/>
    </row>
    <row r="3" spans="1:61" ht="15" customHeight="1">
      <c r="A3" s="9"/>
      <c r="B3" s="9"/>
      <c r="C3" s="9"/>
      <c r="D3" s="9"/>
      <c r="E3" s="9"/>
      <c r="F3" s="9"/>
      <c r="P3" s="10"/>
      <c r="Q3" s="10"/>
      <c r="R3" s="10"/>
      <c r="S3" s="10"/>
      <c r="T3" s="10"/>
      <c r="U3" s="10"/>
      <c r="V3" s="10"/>
      <c r="W3" s="10"/>
      <c r="X3" s="10"/>
      <c r="Y3" s="10"/>
      <c r="Z3" s="10"/>
      <c r="AA3" s="10"/>
      <c r="BF3" s="4"/>
      <c r="BG3" s="4"/>
      <c r="BH3" s="4"/>
      <c r="BI3" s="4"/>
    </row>
    <row r="4" spans="1:61"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F4" s="4"/>
      <c r="BG4" s="4"/>
      <c r="BH4" s="4"/>
      <c r="BI4" s="4"/>
    </row>
    <row r="5" spans="1:61"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F5" s="4"/>
      <c r="BG5" s="4"/>
      <c r="BH5" s="4"/>
      <c r="BI5" s="4"/>
    </row>
    <row r="6" spans="1:61"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F6" s="4"/>
      <c r="BG6" s="4"/>
      <c r="BH6" s="4"/>
      <c r="BI6" s="4"/>
    </row>
    <row r="7" spans="1:61"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F7" s="4"/>
      <c r="BG7" s="4"/>
      <c r="BH7" s="4"/>
      <c r="BI7" s="4"/>
    </row>
    <row r="8" spans="1:61" ht="15" customHeight="1">
      <c r="A8" s="9"/>
      <c r="B8" s="9"/>
      <c r="C8" s="9"/>
      <c r="D8" s="9"/>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BF8" s="4"/>
      <c r="BG8" s="4"/>
      <c r="BH8" s="4"/>
      <c r="BI8" s="4"/>
    </row>
    <row r="9" spans="1:61" ht="15" customHeight="1">
      <c r="A9" s="9"/>
      <c r="B9" s="9"/>
      <c r="C9" s="9"/>
      <c r="D9" s="9"/>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BF9" s="4"/>
      <c r="BG9" s="4"/>
      <c r="BH9" s="4"/>
      <c r="BI9" s="4"/>
    </row>
    <row r="10" spans="1:61" ht="15" customHeight="1">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BF10" s="4"/>
      <c r="BG10" s="4"/>
      <c r="BH10" s="4"/>
      <c r="BI10" s="4"/>
    </row>
    <row r="11" spans="1:61" ht="15" customHeight="1">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BF11" s="4"/>
      <c r="BG11" s="4"/>
      <c r="BH11" s="4"/>
      <c r="BI11" s="4"/>
    </row>
    <row r="12" spans="1:61"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BF12" s="4"/>
      <c r="BG12" s="4"/>
      <c r="BH12" s="4"/>
      <c r="BI12" s="4"/>
    </row>
    <row r="13" spans="1:61"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F13" s="4"/>
      <c r="BG13" s="4"/>
      <c r="BH13" s="4"/>
      <c r="BI13" s="4"/>
    </row>
    <row r="14" spans="1:61"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F14" s="4"/>
      <c r="BG14" s="4"/>
      <c r="BH14" s="4"/>
      <c r="BI14" s="4"/>
    </row>
    <row r="15" spans="1:61"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F15" s="4"/>
      <c r="BG15" s="4"/>
      <c r="BH15" s="4"/>
      <c r="BI15" s="4"/>
    </row>
    <row r="16" spans="1:61"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F16" s="4"/>
      <c r="BG16" s="4"/>
      <c r="BH16" s="4"/>
      <c r="BI16" s="4"/>
    </row>
    <row r="17" spans="1:61"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F17" s="4"/>
      <c r="BG17" s="4"/>
      <c r="BH17" s="4"/>
      <c r="BI17" s="4"/>
    </row>
    <row r="18" spans="1:61"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F18" s="4"/>
      <c r="BG18" s="4"/>
      <c r="BH18" s="4"/>
      <c r="BI18" s="4"/>
    </row>
    <row r="19" spans="1:61"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F19" s="4"/>
      <c r="BG19" s="4"/>
      <c r="BH19" s="4"/>
      <c r="BI19" s="4"/>
    </row>
    <row r="20" spans="1:61">
      <c r="A20" s="23" t="str">
        <f>$R$2</f>
        <v>Диагностика.MAYAK</v>
      </c>
      <c r="B20" s="24">
        <v>1</v>
      </c>
      <c r="C20" s="24" t="s">
        <v>1</v>
      </c>
      <c r="D20" s="25">
        <v>17</v>
      </c>
    </row>
    <row r="21" spans="1:61" ht="15" customHeight="1">
      <c r="A21" s="19" t="str">
        <f t="shared" ref="A21:A52" si="0">$R$2</f>
        <v>Диагностика.MAYAK</v>
      </c>
      <c r="B21" s="11">
        <v>11156</v>
      </c>
      <c r="C21" s="11" t="s">
        <v>0</v>
      </c>
      <c r="D21" s="20" t="str">
        <f>$V$2</f>
        <v>Тестовый экран</v>
      </c>
      <c r="E21" s="4"/>
      <c r="F21" s="4"/>
      <c r="BF21" s="4"/>
      <c r="BG21" s="4"/>
      <c r="BH21" s="4"/>
      <c r="BI21" s="4"/>
    </row>
    <row r="22" spans="1:61">
      <c r="A22" s="29" t="str">
        <f t="shared" si="0"/>
        <v>Диагностика.MAYAK</v>
      </c>
      <c r="B22" s="1">
        <v>11001</v>
      </c>
      <c r="C22" s="1" t="s">
        <v>0</v>
      </c>
      <c r="D22" s="30" t="str">
        <f>$Q$2&amp;". "</f>
        <v xml:space="preserve">Коммутатор MAYAK. </v>
      </c>
    </row>
    <row r="23" spans="1:61">
      <c r="A23" s="23" t="str">
        <f t="shared" si="0"/>
        <v>Диагностика.MAYAK</v>
      </c>
      <c r="B23" s="24">
        <v>11120</v>
      </c>
      <c r="C23" s="24" t="s">
        <v>0</v>
      </c>
      <c r="D23" s="25" t="str">
        <f>$Z$2</f>
        <v>255.255.255.0</v>
      </c>
    </row>
    <row r="24" spans="1:61">
      <c r="A24" s="29" t="str">
        <f t="shared" si="0"/>
        <v>Диагностика.MAYAK</v>
      </c>
      <c r="B24" s="1">
        <v>11121</v>
      </c>
      <c r="C24" s="1" t="s">
        <v>0</v>
      </c>
      <c r="D24" s="30" t="str">
        <f>$AA$2</f>
        <v>192.168.78.10</v>
      </c>
    </row>
    <row r="25" spans="1:61">
      <c r="A25" s="29" t="str">
        <f t="shared" si="0"/>
        <v>Диагностика.MAYAK</v>
      </c>
      <c r="B25" s="1">
        <v>11122</v>
      </c>
      <c r="C25" s="1" t="s">
        <v>0</v>
      </c>
      <c r="D25" s="30" t="str">
        <f>IFERROR(LEFT($AK$2,FIND("\",$AK$2)-1),"Отсутствует \")</f>
        <v>1</v>
      </c>
    </row>
    <row r="26" spans="1:61">
      <c r="A26" s="29" t="str">
        <f t="shared" si="0"/>
        <v>Диагностика.MAYAK</v>
      </c>
      <c r="B26" s="1">
        <v>11123</v>
      </c>
      <c r="C26" s="1" t="s">
        <v>0</v>
      </c>
      <c r="D26" s="30" t="str">
        <f>IFERROR(RIGHT($AK$2,LEN($AK$2)-FIND("\",$AK$2)),"Отсутствует \")</f>
        <v>2</v>
      </c>
    </row>
    <row r="27" spans="1:61">
      <c r="A27" s="29" t="str">
        <f t="shared" si="0"/>
        <v>Диагностика.MAYAK</v>
      </c>
      <c r="B27" s="1">
        <v>11124</v>
      </c>
      <c r="C27" s="1" t="s">
        <v>0</v>
      </c>
      <c r="D27" s="30" t="str">
        <f>IFERROR(LEFT($AL$2,FIND("\",$AL$2)-1),"Отсутствует \")</f>
        <v>3</v>
      </c>
    </row>
    <row r="28" spans="1:61">
      <c r="A28" s="29" t="str">
        <f t="shared" si="0"/>
        <v>Диагностика.MAYAK</v>
      </c>
      <c r="B28" s="1">
        <v>11125</v>
      </c>
      <c r="C28" s="1" t="s">
        <v>0</v>
      </c>
      <c r="D28" s="30" t="str">
        <f>IFERROR(RIGHT($AL$2,LEN($AL$2)-FIND("\",$AL$2)),"Отсутствует \")</f>
        <v>4</v>
      </c>
    </row>
    <row r="29" spans="1:61">
      <c r="A29" s="29" t="str">
        <f t="shared" si="0"/>
        <v>Диагностика.MAYAK</v>
      </c>
      <c r="B29" s="1">
        <v>11126</v>
      </c>
      <c r="C29" s="1" t="s">
        <v>0</v>
      </c>
      <c r="D29" s="30" t="str">
        <f>IFERROR(LEFT($AM$2,FIND("\",$AM$2)-1),"Отсутствует \")</f>
        <v>5</v>
      </c>
    </row>
    <row r="30" spans="1:61">
      <c r="A30" s="29" t="str">
        <f t="shared" si="0"/>
        <v>Диагностика.MAYAK</v>
      </c>
      <c r="B30" s="1">
        <v>11127</v>
      </c>
      <c r="C30" s="1" t="s">
        <v>0</v>
      </c>
      <c r="D30" s="30" t="str">
        <f>IFERROR(RIGHT($AM$2,LEN($AM$2)-FIND("\",$AM$2)),"Отсутствует \")</f>
        <v>6</v>
      </c>
    </row>
    <row r="31" spans="1:61">
      <c r="A31" s="29" t="str">
        <f t="shared" si="0"/>
        <v>Диагностика.MAYAK</v>
      </c>
      <c r="B31" s="1">
        <v>11128</v>
      </c>
      <c r="C31" s="1" t="s">
        <v>0</v>
      </c>
      <c r="D31" s="30" t="str">
        <f>IFERROR(LEFT($AN$2,FIND("\",$AN$2)-1),"Отсутствует \")</f>
        <v>7</v>
      </c>
    </row>
    <row r="32" spans="1:61">
      <c r="A32" s="29" t="str">
        <f t="shared" si="0"/>
        <v>Диагностика.MAYAK</v>
      </c>
      <c r="B32" s="1">
        <v>11129</v>
      </c>
      <c r="C32" s="1" t="s">
        <v>0</v>
      </c>
      <c r="D32" s="30" t="str">
        <f>IFERROR(RIGHT($AN$2,LEN($AN$2)-FIND("\",$AN$2)),"Отсутствует \")</f>
        <v>8</v>
      </c>
    </row>
    <row r="33" spans="1:4">
      <c r="A33" s="29" t="str">
        <f t="shared" si="0"/>
        <v>Диагностика.MAYAK</v>
      </c>
      <c r="B33" s="1">
        <v>11135</v>
      </c>
      <c r="C33" s="1" t="s">
        <v>0</v>
      </c>
      <c r="D33" s="30" t="str">
        <f>IFERROR(LEFT($AO$2,FIND("\",$AO$2)-1),"Отсутствует \")</f>
        <v>9</v>
      </c>
    </row>
    <row r="34" spans="1:4">
      <c r="A34" s="29" t="str">
        <f t="shared" si="0"/>
        <v>Диагностика.MAYAK</v>
      </c>
      <c r="B34" s="1">
        <v>11136</v>
      </c>
      <c r="C34" s="1" t="s">
        <v>0</v>
      </c>
      <c r="D34" s="30" t="str">
        <f>IFERROR(RIGHT($AO$2,LEN($AO$2)-FIND("\",$AO$2)),"Отсутствует \")</f>
        <v>10</v>
      </c>
    </row>
    <row r="35" spans="1:4">
      <c r="A35" s="29" t="str">
        <f t="shared" si="0"/>
        <v>Диагностика.MAYAK</v>
      </c>
      <c r="B35" s="1">
        <v>11137</v>
      </c>
      <c r="C35" s="1" t="s">
        <v>0</v>
      </c>
      <c r="D35" s="30" t="str">
        <f>IFERROR(LEFT($AP$2,FIND("\",$AP$2)-1),"Отсутствует \")</f>
        <v>11</v>
      </c>
    </row>
    <row r="36" spans="1:4">
      <c r="A36" s="29" t="str">
        <f t="shared" si="0"/>
        <v>Диагностика.MAYAK</v>
      </c>
      <c r="B36" s="1">
        <v>11138</v>
      </c>
      <c r="C36" s="1" t="s">
        <v>0</v>
      </c>
      <c r="D36" s="30" t="str">
        <f>IFERROR(RIGHT($AP$2,LEN($AP$2)-FIND("\",$AP$2)),"Отсутствует \")</f>
        <v>12</v>
      </c>
    </row>
    <row r="37" spans="1:4">
      <c r="A37" s="29" t="str">
        <f t="shared" si="0"/>
        <v>Диагностика.MAYAK</v>
      </c>
      <c r="B37" s="1">
        <v>11139</v>
      </c>
      <c r="C37" s="1" t="s">
        <v>0</v>
      </c>
      <c r="D37" s="30" t="str">
        <f>IFERROR(LEFT($AQ$2,FIND("\",$AQ$2)-1),"Отсутствует \")</f>
        <v>13</v>
      </c>
    </row>
    <row r="38" spans="1:4">
      <c r="A38" s="29" t="str">
        <f t="shared" si="0"/>
        <v>Диагностика.MAYAK</v>
      </c>
      <c r="B38" s="1">
        <v>11140</v>
      </c>
      <c r="C38" s="1" t="s">
        <v>0</v>
      </c>
      <c r="D38" s="30" t="str">
        <f>IFERROR(RIGHT($AQ$2,LEN($AQ$2)-FIND("\",$AQ$2)),"Отсутствует \")</f>
        <v>14</v>
      </c>
    </row>
    <row r="39" spans="1:4">
      <c r="A39" s="29" t="str">
        <f t="shared" si="0"/>
        <v>Диагностика.MAYAK</v>
      </c>
      <c r="B39" s="1">
        <v>11141</v>
      </c>
      <c r="C39" s="1" t="s">
        <v>0</v>
      </c>
      <c r="D39" s="30" t="str">
        <f>IFERROR(LEFT($AR$2,FIND("\",$AR$2)-1),"Отсутствует \")</f>
        <v>15</v>
      </c>
    </row>
    <row r="40" spans="1:4">
      <c r="A40" s="29" t="str">
        <f t="shared" si="0"/>
        <v>Диагностика.MAYAK</v>
      </c>
      <c r="B40" s="1">
        <v>11142</v>
      </c>
      <c r="C40" s="1" t="s">
        <v>0</v>
      </c>
      <c r="D40" s="30" t="str">
        <f>IFERROR(RIGHT($AR$2,LEN($AR$2)-FIND("\",$AR$2)),"Отсутствует \")</f>
        <v>16</v>
      </c>
    </row>
    <row r="41" spans="1:4">
      <c r="A41" s="29" t="str">
        <f t="shared" si="0"/>
        <v>Диагностика.MAYAK</v>
      </c>
      <c r="B41" s="1">
        <v>11143</v>
      </c>
      <c r="C41" s="1" t="s">
        <v>0</v>
      </c>
      <c r="D41" s="30" t="str">
        <f>IFERROR(LEFT($AS$2,FIND("\",$AS$2)-1),"Отсутствует \")</f>
        <v>17</v>
      </c>
    </row>
    <row r="42" spans="1:4">
      <c r="A42" s="29" t="str">
        <f t="shared" si="0"/>
        <v>Диагностика.MAYAK</v>
      </c>
      <c r="B42" s="1">
        <v>11144</v>
      </c>
      <c r="C42" s="1" t="s">
        <v>0</v>
      </c>
      <c r="D42" s="30" t="str">
        <f>IFERROR(RIGHT($AS$2,LEN($AS$2)-FIND("\",$AS$2)),"Отсутствует \")</f>
        <v>18</v>
      </c>
    </row>
    <row r="43" spans="1:4">
      <c r="A43" s="29" t="str">
        <f t="shared" si="0"/>
        <v>Диагностика.MAYAK</v>
      </c>
      <c r="B43" s="1">
        <v>11150</v>
      </c>
      <c r="C43" s="1" t="s">
        <v>0</v>
      </c>
      <c r="D43" s="30" t="str">
        <f>IFERROR(LEFT($AT$2,FIND("\",$AT$2)-1),"Отсутствует \")</f>
        <v>19</v>
      </c>
    </row>
    <row r="44" spans="1:4">
      <c r="A44" s="29" t="str">
        <f t="shared" si="0"/>
        <v>Диагностика.MAYAK</v>
      </c>
      <c r="B44" s="1">
        <v>11151</v>
      </c>
      <c r="C44" s="1" t="s">
        <v>0</v>
      </c>
      <c r="D44" s="30" t="str">
        <f>IFERROR(RIGHT($AT$2,LEN($AT$2)-FIND("\",$AT$2)),"Отсутствует \")</f>
        <v>20</v>
      </c>
    </row>
    <row r="45" spans="1:4">
      <c r="A45" s="29" t="str">
        <f t="shared" si="0"/>
        <v>Диагностика.MAYAK</v>
      </c>
      <c r="B45" s="1">
        <v>11152</v>
      </c>
      <c r="C45" s="1" t="s">
        <v>0</v>
      </c>
      <c r="D45" s="30" t="str">
        <f>IFERROR(LEFT($AU$2,FIND("\",$AU$2)-1),"Отсутствует \")</f>
        <v>21</v>
      </c>
    </row>
    <row r="46" spans="1:4">
      <c r="A46" s="29" t="str">
        <f t="shared" si="0"/>
        <v>Диагностика.MAYAK</v>
      </c>
      <c r="B46" s="1">
        <v>11153</v>
      </c>
      <c r="C46" s="1" t="s">
        <v>0</v>
      </c>
      <c r="D46" s="30" t="str">
        <f>IFERROR(RIGHT($AU$2,LEN($AU$2)-FIND("\",$AU$2)),"Отсутствует \")</f>
        <v>22</v>
      </c>
    </row>
    <row r="47" spans="1:4">
      <c r="A47" s="29" t="str">
        <f t="shared" si="0"/>
        <v>Диагностика.MAYAK</v>
      </c>
      <c r="B47" s="1">
        <v>11157</v>
      </c>
      <c r="C47" s="1" t="s">
        <v>0</v>
      </c>
      <c r="D47" s="30" t="str">
        <f>IFERROR(LEFT($AV$2,FIND("\",$AV$2)-1),"Отсутствует \")</f>
        <v>23</v>
      </c>
    </row>
    <row r="48" spans="1:4">
      <c r="A48" s="29" t="str">
        <f t="shared" si="0"/>
        <v>Диагностика.MAYAK</v>
      </c>
      <c r="B48" s="1">
        <v>11158</v>
      </c>
      <c r="C48" s="1" t="s">
        <v>0</v>
      </c>
      <c r="D48" s="30" t="str">
        <f>IFERROR(RIGHT($AV$2,LEN($AV$2)-FIND("\",$AV$2)),"Отсутствует \")</f>
        <v>24</v>
      </c>
    </row>
    <row r="49" spans="1:61">
      <c r="A49" s="29" t="str">
        <f t="shared" si="0"/>
        <v>Диагностика.MAYAK</v>
      </c>
      <c r="B49" s="1">
        <v>11162</v>
      </c>
      <c r="C49" s="1" t="s">
        <v>0</v>
      </c>
      <c r="D49" s="30" t="str">
        <f>IFERROR(LEFT($X$2,FIND("\",$X$2)-1),"Отсутствует \")</f>
        <v>G1</v>
      </c>
    </row>
    <row r="50" spans="1:61">
      <c r="A50" s="29" t="str">
        <f t="shared" si="0"/>
        <v>Диагностика.MAYAK</v>
      </c>
      <c r="B50" s="1">
        <v>11163</v>
      </c>
      <c r="C50" s="1" t="s">
        <v>0</v>
      </c>
      <c r="D50" s="30" t="str">
        <f>IFERROR(RIGHT($X$2,LEN($X$2)-FIND("\",$X$2)),"Отсутствует \")</f>
        <v>G2</v>
      </c>
    </row>
    <row r="51" spans="1:61">
      <c r="A51" s="16" t="str">
        <f t="shared" si="0"/>
        <v>Диагностика.MAYAK</v>
      </c>
      <c r="B51" s="17">
        <v>13</v>
      </c>
      <c r="C51" s="17" t="s">
        <v>2</v>
      </c>
      <c r="D51" s="18" t="s">
        <v>3</v>
      </c>
    </row>
    <row r="52" spans="1:61" ht="15" customHeight="1">
      <c r="A52" s="19" t="str">
        <f t="shared" si="0"/>
        <v>Диагностика.MAYAK</v>
      </c>
      <c r="B52" s="11">
        <v>3000013</v>
      </c>
      <c r="C52" s="11" t="s">
        <v>0</v>
      </c>
      <c r="D52" s="20" t="str">
        <f>$AE$2</f>
        <v>Диагностика.CPU.NOT_LINK.noLink</v>
      </c>
      <c r="BF52" s="4"/>
      <c r="BG52" s="4"/>
      <c r="BH52" s="4"/>
      <c r="BI52" s="4"/>
    </row>
    <row r="53" spans="1:61">
      <c r="A53" s="23" t="str">
        <f>$R$2 &amp;".GPort1"</f>
        <v>Диагностика.MAYAK.GPort1</v>
      </c>
      <c r="B53" s="24">
        <v>1</v>
      </c>
      <c r="C53" s="24" t="s">
        <v>1</v>
      </c>
      <c r="D53" s="333">
        <v>3</v>
      </c>
    </row>
    <row r="54" spans="1:61">
      <c r="A54" s="29" t="str">
        <f>$R$2 &amp;".GPort1"</f>
        <v>Диагностика.MAYAK.GPort1</v>
      </c>
      <c r="B54" s="1">
        <v>10015</v>
      </c>
      <c r="C54" s="1" t="s">
        <v>0</v>
      </c>
      <c r="D54" s="334" t="s">
        <v>728</v>
      </c>
    </row>
    <row r="55" spans="1:61">
      <c r="A55" s="26" t="str">
        <f>$R$2 &amp;".GPort1"</f>
        <v>Диагностика.MAYAK.GPort1</v>
      </c>
      <c r="B55" s="27">
        <v>7014</v>
      </c>
      <c r="C55" s="27" t="s">
        <v>278</v>
      </c>
      <c r="D55" s="335" t="str">
        <f>"$"&amp;DEC2HEX($S$2,4)&amp;DEC2HEX($W$2,6)&amp;"000809"</f>
        <v>$0002000001000809</v>
      </c>
    </row>
    <row r="56" spans="1:61">
      <c r="A56" s="23" t="str">
        <f>$R$2 &amp;".GPort2"</f>
        <v>Диагностика.MAYAK.GPort2</v>
      </c>
      <c r="B56" s="24">
        <v>1</v>
      </c>
      <c r="C56" s="24" t="s">
        <v>1</v>
      </c>
      <c r="D56" s="333">
        <v>3</v>
      </c>
    </row>
    <row r="57" spans="1:61">
      <c r="A57" s="29" t="str">
        <f>$R$2 &amp;".GPort2"</f>
        <v>Диагностика.MAYAK.GPort2</v>
      </c>
      <c r="B57" s="1">
        <v>10015</v>
      </c>
      <c r="C57" s="1" t="s">
        <v>0</v>
      </c>
      <c r="D57" s="334" t="s">
        <v>729</v>
      </c>
    </row>
    <row r="58" spans="1:61">
      <c r="A58" s="26" t="str">
        <f>$R$2 &amp;".GPort2"</f>
        <v>Диагностика.MAYAK.GPort2</v>
      </c>
      <c r="B58" s="27">
        <v>7014</v>
      </c>
      <c r="C58" s="27" t="s">
        <v>278</v>
      </c>
      <c r="D58" s="335" t="str">
        <f>"$"&amp;DEC2HEX($S$2,4)&amp;DEC2HEX($W$2,6)&amp;"000809"</f>
        <v>$0002000001000809</v>
      </c>
    </row>
    <row r="59" spans="1:61">
      <c r="A59" s="23" t="str">
        <f>$R$2 &amp;".Port1"</f>
        <v>Диагностика.MAYAK.Port1</v>
      </c>
      <c r="B59" s="24">
        <v>1</v>
      </c>
      <c r="C59" s="24" t="s">
        <v>1</v>
      </c>
      <c r="D59" s="333">
        <v>3</v>
      </c>
    </row>
    <row r="60" spans="1:61">
      <c r="A60" s="29" t="str">
        <f>$R$2 &amp;".Port1"</f>
        <v>Диагностика.MAYAK.Port1</v>
      </c>
      <c r="B60" s="1">
        <v>10015</v>
      </c>
      <c r="C60" s="1" t="s">
        <v>0</v>
      </c>
      <c r="D60" s="334" t="s">
        <v>718</v>
      </c>
    </row>
    <row r="61" spans="1:61">
      <c r="A61" s="26" t="str">
        <f>$R$2 &amp;".Port1"</f>
        <v>Диагностика.MAYAK.Port1</v>
      </c>
      <c r="B61" s="27">
        <v>7014</v>
      </c>
      <c r="C61" s="27" t="s">
        <v>278</v>
      </c>
      <c r="D61" s="335" t="str">
        <f>"$"&amp;DEC2HEX($S$2,4)&amp;DEC2HEX($W$2,6)&amp;"000809"</f>
        <v>$0002000001000809</v>
      </c>
    </row>
    <row r="62" spans="1:61">
      <c r="A62" s="23" t="str">
        <f>$R$2 &amp;".Port2"</f>
        <v>Диагностика.MAYAK.Port2</v>
      </c>
      <c r="B62" s="24">
        <v>1</v>
      </c>
      <c r="C62" s="24" t="s">
        <v>1</v>
      </c>
      <c r="D62" s="333">
        <v>3</v>
      </c>
    </row>
    <row r="63" spans="1:61">
      <c r="A63" s="29" t="str">
        <f>$R$2 &amp;".Port2"</f>
        <v>Диагностика.MAYAK.Port2</v>
      </c>
      <c r="B63" s="1">
        <v>10015</v>
      </c>
      <c r="C63" s="1" t="s">
        <v>0</v>
      </c>
      <c r="D63" s="334" t="s">
        <v>719</v>
      </c>
    </row>
    <row r="64" spans="1:61">
      <c r="A64" s="26" t="str">
        <f>$R$2 &amp;".Port2"</f>
        <v>Диагностика.MAYAK.Port2</v>
      </c>
      <c r="B64" s="27">
        <v>7014</v>
      </c>
      <c r="C64" s="27" t="s">
        <v>278</v>
      </c>
      <c r="D64" s="335" t="str">
        <f>"$"&amp;DEC2HEX($S$2,4)&amp;DEC2HEX($W$2,6)&amp;"000809"</f>
        <v>$0002000001000809</v>
      </c>
    </row>
    <row r="65" spans="1:4">
      <c r="A65" s="23" t="str">
        <f>$R$2 &amp;".Port3"</f>
        <v>Диагностика.MAYAK.Port3</v>
      </c>
      <c r="B65" s="24">
        <v>1</v>
      </c>
      <c r="C65" s="24" t="s">
        <v>1</v>
      </c>
      <c r="D65" s="333">
        <v>3</v>
      </c>
    </row>
    <row r="66" spans="1:4">
      <c r="A66" s="29" t="str">
        <f>$R$2 &amp;".Port3"</f>
        <v>Диагностика.MAYAK.Port3</v>
      </c>
      <c r="B66" s="1">
        <v>10015</v>
      </c>
      <c r="C66" s="1" t="s">
        <v>0</v>
      </c>
      <c r="D66" s="334" t="s">
        <v>720</v>
      </c>
    </row>
    <row r="67" spans="1:4">
      <c r="A67" s="26" t="str">
        <f>$R$2 &amp;".Port3"</f>
        <v>Диагностика.MAYAK.Port3</v>
      </c>
      <c r="B67" s="27">
        <v>7014</v>
      </c>
      <c r="C67" s="27" t="s">
        <v>278</v>
      </c>
      <c r="D67" s="335" t="str">
        <f>"$"&amp;DEC2HEX($S$2,4)&amp;DEC2HEX($W$2,6)&amp;"000809"</f>
        <v>$0002000001000809</v>
      </c>
    </row>
    <row r="68" spans="1:4">
      <c r="A68" s="29" t="str">
        <f>$R$2 &amp;".Port4"</f>
        <v>Диагностика.MAYAK.Port4</v>
      </c>
      <c r="B68" s="1">
        <v>1</v>
      </c>
      <c r="C68" s="1" t="s">
        <v>1</v>
      </c>
      <c r="D68" s="334">
        <v>3</v>
      </c>
    </row>
    <row r="69" spans="1:4">
      <c r="A69" s="29" t="str">
        <f>$R$2 &amp;".Port4"</f>
        <v>Диагностика.MAYAK.Port4</v>
      </c>
      <c r="B69" s="1">
        <v>10015</v>
      </c>
      <c r="C69" s="1" t="s">
        <v>0</v>
      </c>
      <c r="D69" s="334" t="s">
        <v>721</v>
      </c>
    </row>
    <row r="70" spans="1:4">
      <c r="A70" s="29" t="str">
        <f>$R$2 &amp;".Port4"</f>
        <v>Диагностика.MAYAK.Port4</v>
      </c>
      <c r="B70" s="1">
        <v>7014</v>
      </c>
      <c r="C70" s="1" t="s">
        <v>278</v>
      </c>
      <c r="D70" s="335" t="str">
        <f>"$"&amp;DEC2HEX($S$2,4)&amp;DEC2HEX($W$2,6)&amp;"000809"</f>
        <v>$0002000001000809</v>
      </c>
    </row>
    <row r="71" spans="1:4">
      <c r="A71" s="23" t="str">
        <f>$R$2 &amp;".Port5"</f>
        <v>Диагностика.MAYAK.Port5</v>
      </c>
      <c r="B71" s="24">
        <v>1</v>
      </c>
      <c r="C71" s="24" t="s">
        <v>1</v>
      </c>
      <c r="D71" s="333">
        <v>3</v>
      </c>
    </row>
    <row r="72" spans="1:4">
      <c r="A72" s="29" t="str">
        <f>$R$2 &amp;".Port5"</f>
        <v>Диагностика.MAYAK.Port5</v>
      </c>
      <c r="B72" s="1">
        <v>10015</v>
      </c>
      <c r="C72" s="1" t="s">
        <v>0</v>
      </c>
      <c r="D72" s="334" t="s">
        <v>722</v>
      </c>
    </row>
    <row r="73" spans="1:4">
      <c r="A73" s="26" t="str">
        <f>$R$2 &amp;".Port5"</f>
        <v>Диагностика.MAYAK.Port5</v>
      </c>
      <c r="B73" s="27">
        <v>7014</v>
      </c>
      <c r="C73" s="27" t="s">
        <v>278</v>
      </c>
      <c r="D73" s="335" t="str">
        <f>"$"&amp;DEC2HEX($S$2,4)&amp;DEC2HEX($W$2,6)&amp;"000809"</f>
        <v>$0002000001000809</v>
      </c>
    </row>
    <row r="74" spans="1:4">
      <c r="A74" s="23" t="str">
        <f>$R$2 &amp;".Port6"</f>
        <v>Диагностика.MAYAK.Port6</v>
      </c>
      <c r="B74" s="24">
        <v>1</v>
      </c>
      <c r="C74" s="24" t="s">
        <v>1</v>
      </c>
      <c r="D74" s="333">
        <v>3</v>
      </c>
    </row>
    <row r="75" spans="1:4">
      <c r="A75" s="29" t="str">
        <f>$R$2 &amp;".Port6"</f>
        <v>Диагностика.MAYAK.Port6</v>
      </c>
      <c r="B75" s="1">
        <v>10015</v>
      </c>
      <c r="C75" s="1" t="s">
        <v>0</v>
      </c>
      <c r="D75" s="334" t="s">
        <v>723</v>
      </c>
    </row>
    <row r="76" spans="1:4">
      <c r="A76" s="26" t="str">
        <f>$R$2 &amp;".Port6"</f>
        <v>Диагностика.MAYAK.Port6</v>
      </c>
      <c r="B76" s="27">
        <v>7014</v>
      </c>
      <c r="C76" s="27" t="s">
        <v>278</v>
      </c>
      <c r="D76" s="335" t="str">
        <f>"$"&amp;DEC2HEX($S$2,4)&amp;DEC2HEX($W$2,6)&amp;"000809"</f>
        <v>$0002000001000809</v>
      </c>
    </row>
    <row r="77" spans="1:4">
      <c r="A77" s="23" t="str">
        <f>$R$2 &amp;".Port7"</f>
        <v>Диагностика.MAYAK.Port7</v>
      </c>
      <c r="B77" s="24">
        <v>1</v>
      </c>
      <c r="C77" s="24" t="s">
        <v>1</v>
      </c>
      <c r="D77" s="333">
        <v>3</v>
      </c>
    </row>
    <row r="78" spans="1:4">
      <c r="A78" s="29" t="str">
        <f>$R$2 &amp;".Port7"</f>
        <v>Диагностика.MAYAK.Port7</v>
      </c>
      <c r="B78" s="1">
        <v>10015</v>
      </c>
      <c r="C78" s="1" t="s">
        <v>0</v>
      </c>
      <c r="D78" s="334" t="s">
        <v>724</v>
      </c>
    </row>
    <row r="79" spans="1:4">
      <c r="A79" s="26" t="str">
        <f>$R$2 &amp;".Port7"</f>
        <v>Диагностика.MAYAK.Port7</v>
      </c>
      <c r="B79" s="27">
        <v>7014</v>
      </c>
      <c r="C79" s="27" t="s">
        <v>278</v>
      </c>
      <c r="D79" s="335" t="str">
        <f>"$"&amp;DEC2HEX($S$2,4)&amp;DEC2HEX($W$2,6)&amp;"000809"</f>
        <v>$0002000001000809</v>
      </c>
    </row>
    <row r="80" spans="1:4">
      <c r="A80" s="23" t="str">
        <f>$R$2 &amp;".Port8"</f>
        <v>Диагностика.MAYAK.Port8</v>
      </c>
      <c r="B80" s="24">
        <v>1</v>
      </c>
      <c r="C80" s="24" t="s">
        <v>1</v>
      </c>
      <c r="D80" s="333">
        <v>3</v>
      </c>
    </row>
    <row r="81" spans="1:4">
      <c r="A81" s="29" t="str">
        <f>$R$2 &amp;".Port8"</f>
        <v>Диагностика.MAYAK.Port8</v>
      </c>
      <c r="B81" s="1">
        <v>10015</v>
      </c>
      <c r="C81" s="1" t="s">
        <v>0</v>
      </c>
      <c r="D81" s="334" t="s">
        <v>725</v>
      </c>
    </row>
    <row r="82" spans="1:4">
      <c r="A82" s="26" t="str">
        <f>$R$2 &amp;".Port8"</f>
        <v>Диагностика.MAYAK.Port8</v>
      </c>
      <c r="B82" s="27">
        <v>7014</v>
      </c>
      <c r="C82" s="27" t="s">
        <v>278</v>
      </c>
      <c r="D82" s="335" t="str">
        <f>"$"&amp;DEC2HEX($S$2,4)&amp;DEC2HEX($W$2,6)&amp;"000809"</f>
        <v>$0002000001000809</v>
      </c>
    </row>
    <row r="83" spans="1:4">
      <c r="A83" s="23" t="str">
        <f>$R$2 &amp;".Port9"</f>
        <v>Диагностика.MAYAK.Port9</v>
      </c>
      <c r="B83" s="24">
        <v>1</v>
      </c>
      <c r="C83" s="24" t="s">
        <v>1</v>
      </c>
      <c r="D83" s="333">
        <v>3</v>
      </c>
    </row>
    <row r="84" spans="1:4">
      <c r="A84" s="29" t="str">
        <f>$R$2 &amp;".Port9"</f>
        <v>Диагностика.MAYAK.Port9</v>
      </c>
      <c r="B84" s="1">
        <v>10015</v>
      </c>
      <c r="C84" s="1" t="s">
        <v>0</v>
      </c>
      <c r="D84" s="334" t="s">
        <v>726</v>
      </c>
    </row>
    <row r="85" spans="1:4">
      <c r="A85" s="26" t="str">
        <f>$R$2 &amp;".Port9"</f>
        <v>Диагностика.MAYAK.Port9</v>
      </c>
      <c r="B85" s="27">
        <v>7014</v>
      </c>
      <c r="C85" s="27" t="s">
        <v>278</v>
      </c>
      <c r="D85" s="335" t="str">
        <f>"$"&amp;DEC2HEX($S$2,4)&amp;DEC2HEX($W$2,6)&amp;"000809"</f>
        <v>$0002000001000809</v>
      </c>
    </row>
    <row r="86" spans="1:4">
      <c r="A86" s="23" t="str">
        <f>$R$2 &amp;".Port10"</f>
        <v>Диагностика.MAYAK.Port10</v>
      </c>
      <c r="B86" s="24">
        <v>1</v>
      </c>
      <c r="C86" s="24" t="s">
        <v>1</v>
      </c>
      <c r="D86" s="333">
        <v>3</v>
      </c>
    </row>
    <row r="87" spans="1:4">
      <c r="A87" s="29" t="str">
        <f>$R$2 &amp;".Port10"</f>
        <v>Диагностика.MAYAK.Port10</v>
      </c>
      <c r="B87" s="1">
        <v>10015</v>
      </c>
      <c r="C87" s="1" t="s">
        <v>0</v>
      </c>
      <c r="D87" s="334" t="s">
        <v>727</v>
      </c>
    </row>
    <row r="88" spans="1:4">
      <c r="A88" s="26" t="str">
        <f>$R$2 &amp;".Port10"</f>
        <v>Диагностика.MAYAK.Port10</v>
      </c>
      <c r="B88" s="27">
        <v>7014</v>
      </c>
      <c r="C88" s="27" t="s">
        <v>278</v>
      </c>
      <c r="D88" s="335" t="str">
        <f>"$"&amp;DEC2HEX($S$2,4)&amp;DEC2HEX($W$2,6)&amp;"000809"</f>
        <v>$0002000001000809</v>
      </c>
    </row>
    <row r="89" spans="1:4">
      <c r="A89" s="23" t="str">
        <f>$R$2 &amp;".Port11"</f>
        <v>Диагностика.MAYAK.Port11</v>
      </c>
      <c r="B89" s="24">
        <v>1</v>
      </c>
      <c r="C89" s="24" t="s">
        <v>1</v>
      </c>
      <c r="D89" s="333">
        <v>3</v>
      </c>
    </row>
    <row r="90" spans="1:4">
      <c r="A90" s="29" t="str">
        <f>$R$2 &amp;".Port11"</f>
        <v>Диагностика.MAYAK.Port11</v>
      </c>
      <c r="B90" s="1">
        <v>10015</v>
      </c>
      <c r="C90" s="1" t="s">
        <v>0</v>
      </c>
      <c r="D90" s="334" t="s">
        <v>731</v>
      </c>
    </row>
    <row r="91" spans="1:4">
      <c r="A91" s="26" t="str">
        <f>$R$2 &amp;".Port11"</f>
        <v>Диагностика.MAYAK.Port11</v>
      </c>
      <c r="B91" s="27">
        <v>7014</v>
      </c>
      <c r="C91" s="27" t="s">
        <v>278</v>
      </c>
      <c r="D91" s="335" t="str">
        <f>"$"&amp;DEC2HEX($S$2,4)&amp;DEC2HEX($W$2,6)&amp;"000809"</f>
        <v>$0002000001000809</v>
      </c>
    </row>
    <row r="92" spans="1:4">
      <c r="A92" s="23" t="str">
        <f>$R$2 &amp;".Port12"</f>
        <v>Диагностика.MAYAK.Port12</v>
      </c>
      <c r="B92" s="24">
        <v>1</v>
      </c>
      <c r="C92" s="24" t="s">
        <v>1</v>
      </c>
      <c r="D92" s="333">
        <v>3</v>
      </c>
    </row>
    <row r="93" spans="1:4">
      <c r="A93" s="29" t="str">
        <f>$R$2 &amp;".Port12"</f>
        <v>Диагностика.MAYAK.Port12</v>
      </c>
      <c r="B93" s="1">
        <v>10015</v>
      </c>
      <c r="C93" s="1" t="s">
        <v>0</v>
      </c>
      <c r="D93" s="334" t="s">
        <v>732</v>
      </c>
    </row>
    <row r="94" spans="1:4">
      <c r="A94" s="26" t="str">
        <f>$R$2 &amp;".Port12"</f>
        <v>Диагностика.MAYAK.Port12</v>
      </c>
      <c r="B94" s="27">
        <v>7014</v>
      </c>
      <c r="C94" s="27" t="s">
        <v>278</v>
      </c>
      <c r="D94" s="335" t="str">
        <f>"$"&amp;DEC2HEX($S$2,4)&amp;DEC2HEX($W$2,6)&amp;"000809"</f>
        <v>$0002000001000809</v>
      </c>
    </row>
    <row r="95" spans="1:4">
      <c r="A95" s="23" t="str">
        <f>$R$2 &amp;".Port13"</f>
        <v>Диагностика.MAYAK.Port13</v>
      </c>
      <c r="B95" s="24">
        <v>1</v>
      </c>
      <c r="C95" s="24" t="s">
        <v>1</v>
      </c>
      <c r="D95" s="333">
        <v>3</v>
      </c>
    </row>
    <row r="96" spans="1:4">
      <c r="A96" s="29" t="str">
        <f>$R$2 &amp;".Port13"</f>
        <v>Диагностика.MAYAK.Port13</v>
      </c>
      <c r="B96" s="1">
        <v>10015</v>
      </c>
      <c r="C96" s="1" t="s">
        <v>0</v>
      </c>
      <c r="D96" s="334" t="s">
        <v>733</v>
      </c>
    </row>
    <row r="97" spans="1:4">
      <c r="A97" s="26" t="str">
        <f>$R$2 &amp;".Port13"</f>
        <v>Диагностика.MAYAK.Port13</v>
      </c>
      <c r="B97" s="27">
        <v>7014</v>
      </c>
      <c r="C97" s="27" t="s">
        <v>278</v>
      </c>
      <c r="D97" s="335" t="str">
        <f>"$"&amp;DEC2HEX($S$2,4)&amp;DEC2HEX($W$2,6)&amp;"000809"</f>
        <v>$0002000001000809</v>
      </c>
    </row>
    <row r="98" spans="1:4">
      <c r="A98" s="29" t="str">
        <f>$R$2 &amp;".Port14"</f>
        <v>Диагностика.MAYAK.Port14</v>
      </c>
      <c r="B98" s="1">
        <v>1</v>
      </c>
      <c r="C98" s="1" t="s">
        <v>1</v>
      </c>
      <c r="D98" s="334">
        <v>3</v>
      </c>
    </row>
    <row r="99" spans="1:4">
      <c r="A99" s="29" t="str">
        <f>$R$2 &amp;".Port14"</f>
        <v>Диагностика.MAYAK.Port14</v>
      </c>
      <c r="B99" s="1">
        <v>10015</v>
      </c>
      <c r="C99" s="1" t="s">
        <v>0</v>
      </c>
      <c r="D99" s="334" t="s">
        <v>734</v>
      </c>
    </row>
    <row r="100" spans="1:4">
      <c r="A100" s="29" t="str">
        <f>$R$2 &amp;".Port14"</f>
        <v>Диагностика.MAYAK.Port14</v>
      </c>
      <c r="B100" s="1">
        <v>7014</v>
      </c>
      <c r="C100" s="1" t="s">
        <v>278</v>
      </c>
      <c r="D100" s="335" t="str">
        <f>"$"&amp;DEC2HEX($S$2,4)&amp;DEC2HEX($W$2,6)&amp;"000809"</f>
        <v>$0002000001000809</v>
      </c>
    </row>
    <row r="101" spans="1:4">
      <c r="A101" s="23" t="str">
        <f>$R$2 &amp;".Port15"</f>
        <v>Диагностика.MAYAK.Port15</v>
      </c>
      <c r="B101" s="24">
        <v>1</v>
      </c>
      <c r="C101" s="24" t="s">
        <v>1</v>
      </c>
      <c r="D101" s="333">
        <v>3</v>
      </c>
    </row>
    <row r="102" spans="1:4">
      <c r="A102" s="29" t="str">
        <f>$R$2 &amp;".Port15"</f>
        <v>Диагностика.MAYAK.Port15</v>
      </c>
      <c r="B102" s="1">
        <v>10015</v>
      </c>
      <c r="C102" s="1" t="s">
        <v>0</v>
      </c>
      <c r="D102" s="334" t="s">
        <v>735</v>
      </c>
    </row>
    <row r="103" spans="1:4">
      <c r="A103" s="26" t="str">
        <f>$R$2 &amp;".Port15"</f>
        <v>Диагностика.MAYAK.Port15</v>
      </c>
      <c r="B103" s="27">
        <v>7014</v>
      </c>
      <c r="C103" s="27" t="s">
        <v>278</v>
      </c>
      <c r="D103" s="335" t="str">
        <f>"$"&amp;DEC2HEX($S$2,4)&amp;DEC2HEX($W$2,6)&amp;"000809"</f>
        <v>$0002000001000809</v>
      </c>
    </row>
    <row r="104" spans="1:4">
      <c r="A104" s="23" t="str">
        <f>$R$2 &amp;".Port16"</f>
        <v>Диагностика.MAYAK.Port16</v>
      </c>
      <c r="B104" s="24">
        <v>1</v>
      </c>
      <c r="C104" s="24" t="s">
        <v>1</v>
      </c>
      <c r="D104" s="333">
        <v>3</v>
      </c>
    </row>
    <row r="105" spans="1:4">
      <c r="A105" s="29" t="str">
        <f>$R$2 &amp;".Port16"</f>
        <v>Диагностика.MAYAK.Port16</v>
      </c>
      <c r="B105" s="1">
        <v>10015</v>
      </c>
      <c r="C105" s="1" t="s">
        <v>0</v>
      </c>
      <c r="D105" s="334" t="s">
        <v>736</v>
      </c>
    </row>
    <row r="106" spans="1:4">
      <c r="A106" s="26" t="str">
        <f>$R$2 &amp;".Port16"</f>
        <v>Диагностика.MAYAK.Port16</v>
      </c>
      <c r="B106" s="27">
        <v>7014</v>
      </c>
      <c r="C106" s="27" t="s">
        <v>278</v>
      </c>
      <c r="D106" s="335" t="str">
        <f>"$"&amp;DEC2HEX($S$2,4)&amp;DEC2HEX($W$2,6)&amp;"000809"</f>
        <v>$0002000001000809</v>
      </c>
    </row>
    <row r="107" spans="1:4">
      <c r="A107" s="23" t="str">
        <f>$R$2 &amp;".Port17"</f>
        <v>Диагностика.MAYAK.Port17</v>
      </c>
      <c r="B107" s="24">
        <v>1</v>
      </c>
      <c r="C107" s="24" t="s">
        <v>1</v>
      </c>
      <c r="D107" s="333">
        <v>3</v>
      </c>
    </row>
    <row r="108" spans="1:4">
      <c r="A108" s="29" t="str">
        <f>$R$2 &amp;".Port17"</f>
        <v>Диагностика.MAYAK.Port17</v>
      </c>
      <c r="B108" s="1">
        <v>10015</v>
      </c>
      <c r="C108" s="1" t="s">
        <v>0</v>
      </c>
      <c r="D108" s="334" t="s">
        <v>737</v>
      </c>
    </row>
    <row r="109" spans="1:4">
      <c r="A109" s="26" t="str">
        <f>$R$2 &amp;".Port17"</f>
        <v>Диагностика.MAYAK.Port17</v>
      </c>
      <c r="B109" s="27">
        <v>7014</v>
      </c>
      <c r="C109" s="27" t="s">
        <v>278</v>
      </c>
      <c r="D109" s="335" t="str">
        <f>"$"&amp;DEC2HEX($S$2,4)&amp;DEC2HEX($W$2,6)&amp;"000809"</f>
        <v>$0002000001000809</v>
      </c>
    </row>
    <row r="110" spans="1:4">
      <c r="A110" s="23" t="str">
        <f>$R$2 &amp;".Port18"</f>
        <v>Диагностика.MAYAK.Port18</v>
      </c>
      <c r="B110" s="24">
        <v>1</v>
      </c>
      <c r="C110" s="24" t="s">
        <v>1</v>
      </c>
      <c r="D110" s="333">
        <v>3</v>
      </c>
    </row>
    <row r="111" spans="1:4">
      <c r="A111" s="29" t="str">
        <f>$R$2 &amp;".Port18"</f>
        <v>Диагностика.MAYAK.Port18</v>
      </c>
      <c r="B111" s="1">
        <v>10015</v>
      </c>
      <c r="C111" s="1" t="s">
        <v>0</v>
      </c>
      <c r="D111" s="334" t="s">
        <v>738</v>
      </c>
    </row>
    <row r="112" spans="1:4">
      <c r="A112" s="26" t="str">
        <f>$R$2 &amp;".Port18"</f>
        <v>Диагностика.MAYAK.Port18</v>
      </c>
      <c r="B112" s="27">
        <v>7014</v>
      </c>
      <c r="C112" s="27" t="s">
        <v>278</v>
      </c>
      <c r="D112" s="335" t="str">
        <f>"$"&amp;DEC2HEX($S$2,4)&amp;DEC2HEX($W$2,6)&amp;"000809"</f>
        <v>$0002000001000809</v>
      </c>
    </row>
    <row r="113" spans="1:4">
      <c r="A113" s="23" t="str">
        <f>$R$2 &amp;".Port19"</f>
        <v>Диагностика.MAYAK.Port19</v>
      </c>
      <c r="B113" s="24">
        <v>1</v>
      </c>
      <c r="C113" s="24" t="s">
        <v>1</v>
      </c>
      <c r="D113" s="333">
        <v>3</v>
      </c>
    </row>
    <row r="114" spans="1:4">
      <c r="A114" s="29" t="str">
        <f>$R$2 &amp;".Port19"</f>
        <v>Диагностика.MAYAK.Port19</v>
      </c>
      <c r="B114" s="1">
        <v>10015</v>
      </c>
      <c r="C114" s="1" t="s">
        <v>0</v>
      </c>
      <c r="D114" s="334" t="s">
        <v>739</v>
      </c>
    </row>
    <row r="115" spans="1:4">
      <c r="A115" s="26" t="str">
        <f>$R$2 &amp;".Port19"</f>
        <v>Диагностика.MAYAK.Port19</v>
      </c>
      <c r="B115" s="27">
        <v>7014</v>
      </c>
      <c r="C115" s="27" t="s">
        <v>278</v>
      </c>
      <c r="D115" s="335" t="str">
        <f>"$"&amp;DEC2HEX($S$2,4)&amp;DEC2HEX($W$2,6)&amp;"000809"</f>
        <v>$0002000001000809</v>
      </c>
    </row>
    <row r="116" spans="1:4">
      <c r="A116" s="23" t="str">
        <f>$R$2 &amp;".Port20"</f>
        <v>Диагностика.MAYAK.Port20</v>
      </c>
      <c r="B116" s="24">
        <v>1</v>
      </c>
      <c r="C116" s="24" t="s">
        <v>1</v>
      </c>
      <c r="D116" s="333">
        <v>3</v>
      </c>
    </row>
    <row r="117" spans="1:4">
      <c r="A117" s="29" t="str">
        <f>$R$2 &amp;".Port20"</f>
        <v>Диагностика.MAYAK.Port20</v>
      </c>
      <c r="B117" s="1">
        <v>10015</v>
      </c>
      <c r="C117" s="1" t="s">
        <v>0</v>
      </c>
      <c r="D117" s="334" t="s">
        <v>740</v>
      </c>
    </row>
    <row r="118" spans="1:4">
      <c r="A118" s="26" t="str">
        <f>$R$2 &amp;".Port20"</f>
        <v>Диагностика.MAYAK.Port20</v>
      </c>
      <c r="B118" s="27">
        <v>7014</v>
      </c>
      <c r="C118" s="27" t="s">
        <v>278</v>
      </c>
      <c r="D118" s="335" t="str">
        <f>"$"&amp;DEC2HEX($S$2,4)&amp;DEC2HEX($W$2,6)&amp;"000809"</f>
        <v>$0002000001000809</v>
      </c>
    </row>
    <row r="119" spans="1:4">
      <c r="A119" s="23" t="str">
        <f>$R$2 &amp;".Port21"</f>
        <v>Диагностика.MAYAK.Port21</v>
      </c>
      <c r="B119" s="24">
        <v>1</v>
      </c>
      <c r="C119" s="24" t="s">
        <v>1</v>
      </c>
      <c r="D119" s="333">
        <v>3</v>
      </c>
    </row>
    <row r="120" spans="1:4">
      <c r="A120" s="29" t="str">
        <f>$R$2 &amp;".Port21"</f>
        <v>Диагностика.MAYAK.Port21</v>
      </c>
      <c r="B120" s="1">
        <v>10015</v>
      </c>
      <c r="C120" s="1" t="s">
        <v>0</v>
      </c>
      <c r="D120" s="334" t="s">
        <v>741</v>
      </c>
    </row>
    <row r="121" spans="1:4">
      <c r="A121" s="26" t="str">
        <f>$R$2 &amp;".Port21"</f>
        <v>Диагностика.MAYAK.Port21</v>
      </c>
      <c r="B121" s="27">
        <v>7014</v>
      </c>
      <c r="C121" s="27" t="s">
        <v>278</v>
      </c>
      <c r="D121" s="335" t="str">
        <f>"$"&amp;DEC2HEX($S$2,4)&amp;DEC2HEX($W$2,6)&amp;"000809"</f>
        <v>$0002000001000809</v>
      </c>
    </row>
    <row r="122" spans="1:4">
      <c r="A122" s="23" t="str">
        <f>$R$2 &amp;".Port22"</f>
        <v>Диагностика.MAYAK.Port22</v>
      </c>
      <c r="B122" s="24">
        <v>1</v>
      </c>
      <c r="C122" s="24" t="s">
        <v>1</v>
      </c>
      <c r="D122" s="333">
        <v>3</v>
      </c>
    </row>
    <row r="123" spans="1:4">
      <c r="A123" s="29" t="str">
        <f>$R$2 &amp;".Port22"</f>
        <v>Диагностика.MAYAK.Port22</v>
      </c>
      <c r="B123" s="1">
        <v>10015</v>
      </c>
      <c r="C123" s="1" t="s">
        <v>0</v>
      </c>
      <c r="D123" s="334" t="s">
        <v>742</v>
      </c>
    </row>
    <row r="124" spans="1:4">
      <c r="A124" s="26" t="str">
        <f>$R$2 &amp;".Port22"</f>
        <v>Диагностика.MAYAK.Port22</v>
      </c>
      <c r="B124" s="27">
        <v>7014</v>
      </c>
      <c r="C124" s="27" t="s">
        <v>278</v>
      </c>
      <c r="D124" s="335" t="str">
        <f>"$"&amp;DEC2HEX($S$2,4)&amp;DEC2HEX($W$2,6)&amp;"000809"</f>
        <v>$0002000001000809</v>
      </c>
    </row>
    <row r="125" spans="1:4">
      <c r="A125" s="23" t="str">
        <f>$R$2 &amp;".Port23"</f>
        <v>Диагностика.MAYAK.Port23</v>
      </c>
      <c r="B125" s="24">
        <v>1</v>
      </c>
      <c r="C125" s="24" t="s">
        <v>1</v>
      </c>
      <c r="D125" s="333">
        <v>3</v>
      </c>
    </row>
    <row r="126" spans="1:4">
      <c r="A126" s="29" t="str">
        <f>$R$2 &amp;".Port23"</f>
        <v>Диагностика.MAYAK.Port23</v>
      </c>
      <c r="B126" s="1">
        <v>10015</v>
      </c>
      <c r="C126" s="1" t="s">
        <v>0</v>
      </c>
      <c r="D126" s="334" t="s">
        <v>743</v>
      </c>
    </row>
    <row r="127" spans="1:4">
      <c r="A127" s="26" t="str">
        <f>$R$2 &amp;".Port23"</f>
        <v>Диагностика.MAYAK.Port23</v>
      </c>
      <c r="B127" s="27">
        <v>7014</v>
      </c>
      <c r="C127" s="27" t="s">
        <v>278</v>
      </c>
      <c r="D127" s="335" t="str">
        <f>"$"&amp;DEC2HEX($S$2,4)&amp;DEC2HEX($W$2,6)&amp;"000809"</f>
        <v>$0002000001000809</v>
      </c>
    </row>
    <row r="128" spans="1:4">
      <c r="A128" s="23" t="str">
        <f>$R$2 &amp;".Port24"</f>
        <v>Диагностика.MAYAK.Port24</v>
      </c>
      <c r="B128" s="24">
        <v>1</v>
      </c>
      <c r="C128" s="24" t="s">
        <v>1</v>
      </c>
      <c r="D128" s="333">
        <v>3</v>
      </c>
    </row>
    <row r="129" spans="1:4">
      <c r="A129" s="29" t="str">
        <f>$R$2 &amp;".Port24"</f>
        <v>Диагностика.MAYAK.Port24</v>
      </c>
      <c r="B129" s="1">
        <v>10015</v>
      </c>
      <c r="C129" s="1" t="s">
        <v>0</v>
      </c>
      <c r="D129" s="334" t="s">
        <v>744</v>
      </c>
    </row>
    <row r="130" spans="1:4">
      <c r="A130" s="26" t="str">
        <f>$R$2 &amp;".Port24"</f>
        <v>Диагностика.MAYAK.Port24</v>
      </c>
      <c r="B130" s="27">
        <v>7014</v>
      </c>
      <c r="C130" s="27" t="s">
        <v>278</v>
      </c>
      <c r="D130" s="335" t="str">
        <f>"$"&amp;DEC2HEX($S$2,4)&amp;DEC2HEX($W$2,6)&amp;"000809"</f>
        <v>$0002000001000809</v>
      </c>
    </row>
    <row r="131" spans="1:4">
      <c r="A131" s="217" t="str">
        <f>$R$2 &amp;".GPort1.NoLink"</f>
        <v>Диагностика.MAYAK.GPort1.NoLink</v>
      </c>
      <c r="B131" s="218">
        <v>11154</v>
      </c>
      <c r="C131" s="218" t="s">
        <v>4</v>
      </c>
      <c r="D131" s="219">
        <f>$Q$7</f>
        <v>12</v>
      </c>
    </row>
    <row r="132" spans="1:4">
      <c r="A132" s="211" t="str">
        <f t="shared" ref="A132:A138" si="1">$R$2 &amp;".GPort1.NoLink"</f>
        <v>Диагностика.MAYAK.GPort1.NoLink</v>
      </c>
      <c r="B132" s="212">
        <v>11152</v>
      </c>
      <c r="C132" s="212" t="s">
        <v>0</v>
      </c>
      <c r="D132" s="220" t="str">
        <f>$R$7</f>
        <v>Неисправность</v>
      </c>
    </row>
    <row r="133" spans="1:4">
      <c r="A133" s="211" t="str">
        <f t="shared" si="1"/>
        <v>Диагностика.MAYAK.GPort1.NoLink</v>
      </c>
      <c r="B133" s="212">
        <v>11150</v>
      </c>
      <c r="C133" s="212" t="s">
        <v>0</v>
      </c>
      <c r="D133" s="213" t="str">
        <f>"Оптический порт №1. Связь c " &amp; $D$49 &amp; " прервана"</f>
        <v>Оптический порт №1. Связь c G1 прервана</v>
      </c>
    </row>
    <row r="134" spans="1:4">
      <c r="A134" s="211" t="str">
        <f t="shared" si="1"/>
        <v>Диагностика.MAYAK.GPort1.NoLink</v>
      </c>
      <c r="B134" s="212">
        <v>11000</v>
      </c>
      <c r="C134" s="212" t="s">
        <v>5</v>
      </c>
      <c r="D134" s="213">
        <v>2147483680</v>
      </c>
    </row>
    <row r="135" spans="1:4">
      <c r="A135" s="19" t="str">
        <f t="shared" si="1"/>
        <v>Диагностика.MAYAK.GPort1.NoLink</v>
      </c>
      <c r="B135" s="11">
        <v>3</v>
      </c>
      <c r="C135" s="11" t="s">
        <v>1</v>
      </c>
      <c r="D135" s="20">
        <v>192</v>
      </c>
    </row>
    <row r="136" spans="1:4">
      <c r="A136" s="19" t="str">
        <f t="shared" si="1"/>
        <v>Диагностика.MAYAK.GPort1.NoLink</v>
      </c>
      <c r="B136" s="11">
        <v>2</v>
      </c>
      <c r="C136" s="11" t="s">
        <v>2</v>
      </c>
      <c r="D136" s="20" t="s">
        <v>3</v>
      </c>
    </row>
    <row r="137" spans="1:4">
      <c r="A137" s="19" t="str">
        <f t="shared" si="1"/>
        <v>Диагностика.MAYAK.GPort1.NoLink</v>
      </c>
      <c r="B137" s="11">
        <v>1</v>
      </c>
      <c r="C137" s="11" t="s">
        <v>1</v>
      </c>
      <c r="D137" s="20">
        <v>11</v>
      </c>
    </row>
    <row r="138" spans="1:4">
      <c r="A138" s="21" t="str">
        <f t="shared" si="1"/>
        <v>Диагностика.MAYAK.GPort1.NoLink</v>
      </c>
      <c r="B138" s="8">
        <v>3000000</v>
      </c>
      <c r="C138" s="8" t="s">
        <v>0</v>
      </c>
      <c r="D138" s="68" t="str">
        <f>IF(AND($D$49&lt;&gt;"",$D$49&lt;&gt;"Отсутствует \"),"IfTrue(#2.GPort1,0,1)","")</f>
        <v>IfTrue(#2.GPort1,0,1)</v>
      </c>
    </row>
    <row r="139" spans="1:4">
      <c r="A139" s="217" t="str">
        <f>$R$2 &amp;".GPort2.NoLink"</f>
        <v>Диагностика.MAYAK.GPort2.NoLink</v>
      </c>
      <c r="B139" s="218">
        <v>11154</v>
      </c>
      <c r="C139" s="218" t="s">
        <v>4</v>
      </c>
      <c r="D139" s="219">
        <f>$Q$7</f>
        <v>12</v>
      </c>
    </row>
    <row r="140" spans="1:4">
      <c r="A140" s="211" t="str">
        <f t="shared" ref="A140:A146" si="2">$R$2 &amp;".GPort2.NoLink"</f>
        <v>Диагностика.MAYAK.GPort2.NoLink</v>
      </c>
      <c r="B140" s="212">
        <v>11152</v>
      </c>
      <c r="C140" s="212" t="s">
        <v>0</v>
      </c>
      <c r="D140" s="220" t="str">
        <f>$R$7</f>
        <v>Неисправность</v>
      </c>
    </row>
    <row r="141" spans="1:4">
      <c r="A141" s="211" t="str">
        <f t="shared" si="2"/>
        <v>Диагностика.MAYAK.GPort2.NoLink</v>
      </c>
      <c r="B141" s="212">
        <v>11150</v>
      </c>
      <c r="C141" s="212" t="s">
        <v>0</v>
      </c>
      <c r="D141" s="213" t="str">
        <f>"Оптический порт №2. Связь c " &amp; $D$50 &amp; " прервана"</f>
        <v>Оптический порт №2. Связь c G2 прервана</v>
      </c>
    </row>
    <row r="142" spans="1:4">
      <c r="A142" s="211" t="str">
        <f t="shared" si="2"/>
        <v>Диагностика.MAYAK.GPort2.NoLink</v>
      </c>
      <c r="B142" s="212">
        <v>11000</v>
      </c>
      <c r="C142" s="212" t="s">
        <v>5</v>
      </c>
      <c r="D142" s="213">
        <v>2147483680</v>
      </c>
    </row>
    <row r="143" spans="1:4">
      <c r="A143" s="19" t="str">
        <f t="shared" si="2"/>
        <v>Диагностика.MAYAK.GPort2.NoLink</v>
      </c>
      <c r="B143" s="11">
        <v>3</v>
      </c>
      <c r="C143" s="11" t="s">
        <v>1</v>
      </c>
      <c r="D143" s="20">
        <v>192</v>
      </c>
    </row>
    <row r="144" spans="1:4">
      <c r="A144" s="19" t="str">
        <f t="shared" si="2"/>
        <v>Диагностика.MAYAK.GPort2.NoLink</v>
      </c>
      <c r="B144" s="11">
        <v>2</v>
      </c>
      <c r="C144" s="11" t="s">
        <v>2</v>
      </c>
      <c r="D144" s="20" t="s">
        <v>3</v>
      </c>
    </row>
    <row r="145" spans="1:4">
      <c r="A145" s="19" t="str">
        <f t="shared" si="2"/>
        <v>Диагностика.MAYAK.GPort2.NoLink</v>
      </c>
      <c r="B145" s="11">
        <v>1</v>
      </c>
      <c r="C145" s="11" t="s">
        <v>1</v>
      </c>
      <c r="D145" s="20">
        <v>11</v>
      </c>
    </row>
    <row r="146" spans="1:4">
      <c r="A146" s="21" t="str">
        <f t="shared" si="2"/>
        <v>Диагностика.MAYAK.GPort2.NoLink</v>
      </c>
      <c r="B146" s="8">
        <v>3000000</v>
      </c>
      <c r="C146" s="8" t="s">
        <v>0</v>
      </c>
      <c r="D146" s="68" t="str">
        <f>IF(AND($D$50&lt;&gt;"",$D$50&lt;&gt;"Отсутствует \"),"IfTrue(#2.GPort2,0,1)","")</f>
        <v>IfTrue(#2.GPort2,0,1)</v>
      </c>
    </row>
  </sheetData>
  <conditionalFormatting sqref="D21:D22">
    <cfRule type="duplicateValues" dxfId="11" priority="1"/>
    <cfRule type="duplicateValues" dxfId="10" priority="2"/>
  </conditionalFormatting>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Лист130">
    <tabColor rgb="FFFFC000"/>
  </sheetPr>
  <dimension ref="A1:BI106"/>
  <sheetViews>
    <sheetView topLeftCell="A34"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1" width="40.33203125" customWidth="1"/>
    <col min="32" max="35" width="9.109375" hidden="1" customWidth="1"/>
    <col min="36" max="36" width="6.88671875"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7.109375" customWidth="1"/>
    <col min="55" max="55" width="10.88671875" customWidth="1"/>
    <col min="57" max="57" width="65.109375" customWidth="1"/>
  </cols>
  <sheetData>
    <row r="1" spans="1:61" s="258" customFormat="1" ht="204.6" thickBot="1">
      <c r="A1" s="257"/>
      <c r="B1" s="260"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F1" s="259"/>
      <c r="BG1" s="259"/>
      <c r="BH1" s="259"/>
      <c r="BI1" s="259"/>
    </row>
    <row r="2" spans="1:61" s="55" customFormat="1" ht="15" customHeight="1">
      <c r="A2" s="377"/>
      <c r="B2" s="377"/>
      <c r="C2" s="377"/>
      <c r="D2" s="377"/>
      <c r="E2" s="377"/>
      <c r="F2" s="377"/>
      <c r="P2" s="378"/>
      <c r="Q2" s="378" t="s">
        <v>1353</v>
      </c>
      <c r="R2" s="378" t="s">
        <v>1354</v>
      </c>
      <c r="S2" s="379">
        <v>2</v>
      </c>
      <c r="T2" s="379"/>
      <c r="U2" s="379"/>
      <c r="V2" s="379" t="s">
        <v>569</v>
      </c>
      <c r="W2" s="380">
        <v>1</v>
      </c>
      <c r="X2" s="380"/>
      <c r="Y2" s="380"/>
      <c r="Z2" s="380" t="s">
        <v>629</v>
      </c>
      <c r="AA2" s="380" t="s">
        <v>1355</v>
      </c>
      <c r="AB2" s="378"/>
      <c r="AC2" s="378"/>
      <c r="AD2" s="378"/>
      <c r="AE2" s="378" t="s">
        <v>1414</v>
      </c>
      <c r="AF2" s="378"/>
      <c r="AG2" s="378"/>
      <c r="AH2" s="378"/>
      <c r="AI2" s="378"/>
      <c r="AJ2" s="378"/>
      <c r="AK2" s="378" t="s">
        <v>1356</v>
      </c>
      <c r="AL2" s="378" t="s">
        <v>1357</v>
      </c>
      <c r="AM2" s="378" t="s">
        <v>1358</v>
      </c>
      <c r="AN2" s="378" t="s">
        <v>1359</v>
      </c>
      <c r="AO2" s="378" t="s">
        <v>1360</v>
      </c>
      <c r="AP2" s="378" t="s">
        <v>1361</v>
      </c>
      <c r="AQ2" s="378" t="s">
        <v>1362</v>
      </c>
      <c r="AR2" s="378" t="s">
        <v>1363</v>
      </c>
      <c r="AS2" s="378" t="s">
        <v>1364</v>
      </c>
      <c r="AT2" s="378" t="s">
        <v>1365</v>
      </c>
      <c r="AU2" s="378" t="s">
        <v>1366</v>
      </c>
      <c r="AV2" s="378" t="s">
        <v>1367</v>
      </c>
      <c r="AW2" s="378"/>
      <c r="AX2" s="378"/>
      <c r="AY2" s="378"/>
      <c r="AZ2" s="378"/>
      <c r="BA2" s="378"/>
      <c r="BF2" s="381"/>
      <c r="BG2" s="381"/>
      <c r="BH2" s="381"/>
      <c r="BI2" s="381"/>
    </row>
    <row r="3" spans="1:61" ht="15" customHeight="1">
      <c r="A3" s="9"/>
      <c r="B3" s="9"/>
      <c r="C3" s="9"/>
      <c r="D3" s="9"/>
      <c r="E3" s="9"/>
      <c r="F3" s="9"/>
      <c r="P3" s="10"/>
      <c r="Q3" s="10"/>
      <c r="R3" s="10"/>
      <c r="S3" s="10"/>
      <c r="T3" s="10"/>
      <c r="U3" s="10"/>
      <c r="V3" s="10"/>
      <c r="W3" s="10"/>
      <c r="X3" s="10"/>
      <c r="Y3" s="10"/>
      <c r="Z3" s="10"/>
      <c r="AA3" s="10"/>
      <c r="BF3" s="4"/>
      <c r="BG3" s="4"/>
      <c r="BH3" s="4"/>
      <c r="BI3" s="4"/>
    </row>
    <row r="4" spans="1:61"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F4" s="4"/>
      <c r="BG4" s="4"/>
      <c r="BH4" s="4"/>
      <c r="BI4" s="4"/>
    </row>
    <row r="5" spans="1:61"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F5" s="4"/>
      <c r="BG5" s="4"/>
      <c r="BH5" s="4"/>
      <c r="BI5" s="4"/>
    </row>
    <row r="6" spans="1:61"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F6" s="4"/>
      <c r="BG6" s="4"/>
      <c r="BH6" s="4"/>
      <c r="BI6" s="4"/>
    </row>
    <row r="7" spans="1:61"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F7" s="4"/>
      <c r="BG7" s="4"/>
      <c r="BH7" s="4"/>
      <c r="BI7" s="4"/>
    </row>
    <row r="8" spans="1:61" ht="15" customHeight="1">
      <c r="A8" s="9"/>
      <c r="B8" s="9"/>
      <c r="C8" s="9"/>
      <c r="D8" s="9"/>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BF8" s="4"/>
      <c r="BG8" s="4"/>
      <c r="BH8" s="4"/>
      <c r="BI8" s="4"/>
    </row>
    <row r="9" spans="1:61" ht="15" customHeight="1">
      <c r="A9" s="9"/>
      <c r="B9" s="9"/>
      <c r="C9" s="9"/>
      <c r="D9" s="9"/>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BF9" s="4"/>
      <c r="BG9" s="4"/>
      <c r="BH9" s="4"/>
      <c r="BI9" s="4"/>
    </row>
    <row r="10" spans="1:61" ht="15" customHeight="1">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BF10" s="4"/>
      <c r="BG10" s="4"/>
      <c r="BH10" s="4"/>
      <c r="BI10" s="4"/>
    </row>
    <row r="11" spans="1:61" ht="15" customHeight="1">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BF11" s="4"/>
      <c r="BG11" s="4"/>
      <c r="BH11" s="4"/>
      <c r="BI11" s="4"/>
    </row>
    <row r="12" spans="1:61"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BF12" s="4"/>
      <c r="BG12" s="4"/>
      <c r="BH12" s="4"/>
      <c r="BI12" s="4"/>
    </row>
    <row r="13" spans="1:61"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F13" s="4"/>
      <c r="BG13" s="4"/>
      <c r="BH13" s="4"/>
      <c r="BI13" s="4"/>
    </row>
    <row r="14" spans="1:61"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F14" s="4"/>
      <c r="BG14" s="4"/>
      <c r="BH14" s="4"/>
      <c r="BI14" s="4"/>
    </row>
    <row r="15" spans="1:61"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F15" s="4"/>
      <c r="BG15" s="4"/>
      <c r="BH15" s="4"/>
      <c r="BI15" s="4"/>
    </row>
    <row r="16" spans="1:61"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F16" s="4"/>
      <c r="BG16" s="4"/>
      <c r="BH16" s="4"/>
      <c r="BI16" s="4"/>
    </row>
    <row r="17" spans="1:61"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F17" s="4"/>
      <c r="BG17" s="4"/>
      <c r="BH17" s="4"/>
      <c r="BI17" s="4"/>
    </row>
    <row r="18" spans="1:61"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F18" s="4"/>
      <c r="BG18" s="4"/>
      <c r="BH18" s="4"/>
      <c r="BI18" s="4"/>
    </row>
    <row r="19" spans="1:61"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F19" s="4"/>
      <c r="BG19" s="4"/>
      <c r="BH19" s="4"/>
      <c r="BI19" s="4"/>
    </row>
    <row r="20" spans="1:61">
      <c r="A20" s="23" t="str">
        <f>$R$2</f>
        <v>Диагностика.Huawei_AR550</v>
      </c>
      <c r="B20" s="24">
        <v>1</v>
      </c>
      <c r="C20" s="24" t="s">
        <v>1</v>
      </c>
      <c r="D20" s="25">
        <v>17</v>
      </c>
    </row>
    <row r="21" spans="1:61" ht="15" customHeight="1">
      <c r="A21" s="19" t="str">
        <f t="shared" ref="A21:A38" si="0">$R$2</f>
        <v>Диагностика.Huawei_AR550</v>
      </c>
      <c r="B21" s="11">
        <v>11156</v>
      </c>
      <c r="C21" s="11" t="s">
        <v>0</v>
      </c>
      <c r="D21" s="20" t="str">
        <f>$V$2</f>
        <v>Тестовый экран</v>
      </c>
      <c r="E21" s="4"/>
      <c r="F21" s="4"/>
      <c r="BF21" s="4"/>
      <c r="BG21" s="4"/>
      <c r="BH21" s="4"/>
      <c r="BI21" s="4"/>
    </row>
    <row r="22" spans="1:61">
      <c r="A22" s="29" t="str">
        <f t="shared" si="0"/>
        <v>Диагностика.Huawei_AR550</v>
      </c>
      <c r="B22" s="1">
        <v>11001</v>
      </c>
      <c r="C22" s="1" t="s">
        <v>0</v>
      </c>
      <c r="D22" s="30" t="str">
        <f>$Q$2&amp;". "</f>
        <v xml:space="preserve">Коммутатор Huawei AR550. </v>
      </c>
    </row>
    <row r="23" spans="1:61">
      <c r="A23" s="23" t="str">
        <f t="shared" si="0"/>
        <v>Диагностика.Huawei_AR550</v>
      </c>
      <c r="B23" s="24">
        <v>11120</v>
      </c>
      <c r="C23" s="24" t="s">
        <v>0</v>
      </c>
      <c r="D23" s="25" t="str">
        <f>$Z$2</f>
        <v>255.255.255.0</v>
      </c>
    </row>
    <row r="24" spans="1:61">
      <c r="A24" s="29" t="str">
        <f t="shared" si="0"/>
        <v>Диагностика.Huawei_AR550</v>
      </c>
      <c r="B24" s="1">
        <v>11121</v>
      </c>
      <c r="C24" s="1" t="s">
        <v>0</v>
      </c>
      <c r="D24" s="30" t="str">
        <f>$AA$2</f>
        <v>192.168.78.11</v>
      </c>
    </row>
    <row r="25" spans="1:61">
      <c r="A25" s="29" t="str">
        <f t="shared" si="0"/>
        <v>Диагностика.Huawei_AR550</v>
      </c>
      <c r="B25" s="1">
        <v>11122</v>
      </c>
      <c r="C25" s="1" t="s">
        <v>0</v>
      </c>
      <c r="D25" s="509" t="str">
        <f>$AK$2</f>
        <v>Порт 1</v>
      </c>
    </row>
    <row r="26" spans="1:61">
      <c r="A26" s="29" t="str">
        <f t="shared" si="0"/>
        <v>Диагностика.Huawei_AR550</v>
      </c>
      <c r="B26" s="1">
        <v>11123</v>
      </c>
      <c r="C26" s="1" t="s">
        <v>0</v>
      </c>
      <c r="D26" s="509" t="str">
        <f>$AL$2</f>
        <v>Порт 2</v>
      </c>
    </row>
    <row r="27" spans="1:61">
      <c r="A27" s="29" t="str">
        <f t="shared" si="0"/>
        <v>Диагностика.Huawei_AR550</v>
      </c>
      <c r="B27" s="1">
        <v>11124</v>
      </c>
      <c r="C27" s="1" t="s">
        <v>0</v>
      </c>
      <c r="D27" s="509" t="str">
        <f>$AM$2</f>
        <v>Порт 3</v>
      </c>
    </row>
    <row r="28" spans="1:61">
      <c r="A28" s="29" t="str">
        <f t="shared" si="0"/>
        <v>Диагностика.Huawei_AR550</v>
      </c>
      <c r="B28" s="1">
        <v>11125</v>
      </c>
      <c r="C28" s="1" t="s">
        <v>0</v>
      </c>
      <c r="D28" s="509" t="str">
        <f>$AN$2</f>
        <v>Порт 4</v>
      </c>
    </row>
    <row r="29" spans="1:61">
      <c r="A29" s="29" t="str">
        <f t="shared" si="0"/>
        <v>Диагностика.Huawei_AR550</v>
      </c>
      <c r="B29" s="1">
        <v>11126</v>
      </c>
      <c r="C29" s="1" t="s">
        <v>0</v>
      </c>
      <c r="D29" s="509" t="str">
        <f>$AO$2</f>
        <v>Порт 5</v>
      </c>
    </row>
    <row r="30" spans="1:61">
      <c r="A30" s="29" t="str">
        <f t="shared" si="0"/>
        <v>Диагностика.Huawei_AR550</v>
      </c>
      <c r="B30" s="1">
        <v>11127</v>
      </c>
      <c r="C30" s="1" t="s">
        <v>0</v>
      </c>
      <c r="D30" s="509" t="str">
        <f>$AP$2</f>
        <v>Порт 6</v>
      </c>
    </row>
    <row r="31" spans="1:61">
      <c r="A31" s="29" t="str">
        <f t="shared" si="0"/>
        <v>Диагностика.Huawei_AR550</v>
      </c>
      <c r="B31" s="1">
        <v>11128</v>
      </c>
      <c r="C31" s="1" t="s">
        <v>0</v>
      </c>
      <c r="D31" s="509" t="str">
        <f>$AQ$2</f>
        <v>Порт 7</v>
      </c>
    </row>
    <row r="32" spans="1:61">
      <c r="A32" s="29" t="str">
        <f t="shared" si="0"/>
        <v>Диагностика.Huawei_AR550</v>
      </c>
      <c r="B32" s="1">
        <v>11129</v>
      </c>
      <c r="C32" s="1" t="s">
        <v>0</v>
      </c>
      <c r="D32" s="509" t="str">
        <f>$AR$2</f>
        <v>Порт 8</v>
      </c>
    </row>
    <row r="33" spans="1:61">
      <c r="A33" s="29" t="str">
        <f t="shared" si="0"/>
        <v>Диагностика.Huawei_AR550</v>
      </c>
      <c r="B33" s="1">
        <v>11135</v>
      </c>
      <c r="C33" s="1" t="s">
        <v>0</v>
      </c>
      <c r="D33" s="509" t="str">
        <f>$AS$2</f>
        <v>Порт 9</v>
      </c>
    </row>
    <row r="34" spans="1:61">
      <c r="A34" s="29" t="str">
        <f t="shared" si="0"/>
        <v>Диагностика.Huawei_AR550</v>
      </c>
      <c r="B34" s="1">
        <v>11136</v>
      </c>
      <c r="C34" s="1" t="s">
        <v>0</v>
      </c>
      <c r="D34" s="509" t="str">
        <f>$AT$2</f>
        <v>Порт 10</v>
      </c>
    </row>
    <row r="35" spans="1:61">
      <c r="A35" s="29" t="str">
        <f t="shared" si="0"/>
        <v>Диагностика.Huawei_AR550</v>
      </c>
      <c r="B35" s="1">
        <v>11137</v>
      </c>
      <c r="C35" s="1" t="s">
        <v>0</v>
      </c>
      <c r="D35" s="508" t="str">
        <f>$AU$2</f>
        <v>Порт 11</v>
      </c>
    </row>
    <row r="36" spans="1:61">
      <c r="A36" s="26" t="str">
        <f t="shared" si="0"/>
        <v>Диагностика.Huawei_AR550</v>
      </c>
      <c r="B36" s="27">
        <v>11138</v>
      </c>
      <c r="C36" s="27" t="s">
        <v>0</v>
      </c>
      <c r="D36" s="510" t="str">
        <f>$AV$2</f>
        <v>Порт 12</v>
      </c>
    </row>
    <row r="37" spans="1:61">
      <c r="A37" s="16" t="str">
        <f t="shared" si="0"/>
        <v>Диагностика.Huawei_AR550</v>
      </c>
      <c r="B37" s="17">
        <v>13</v>
      </c>
      <c r="C37" s="17" t="s">
        <v>2</v>
      </c>
      <c r="D37" s="18" t="s">
        <v>3</v>
      </c>
    </row>
    <row r="38" spans="1:61" ht="15" customHeight="1">
      <c r="A38" s="19" t="str">
        <f t="shared" si="0"/>
        <v>Диагностика.Huawei_AR550</v>
      </c>
      <c r="B38" s="11">
        <v>3000013</v>
      </c>
      <c r="C38" s="11" t="s">
        <v>0</v>
      </c>
      <c r="D38" s="20" t="str">
        <f>$AE$2</f>
        <v>Диагностика.CPU.NOT_LINK.noLink</v>
      </c>
      <c r="BF38" s="4"/>
      <c r="BG38" s="4"/>
      <c r="BH38" s="4"/>
      <c r="BI38" s="4"/>
    </row>
    <row r="39" spans="1:61" ht="15" customHeight="1">
      <c r="A39" s="23" t="str">
        <f>$R$2 &amp;".Port1"</f>
        <v>Диагностика.Huawei_AR550.Port1</v>
      </c>
      <c r="B39" s="24">
        <v>1</v>
      </c>
      <c r="C39" s="24" t="s">
        <v>1</v>
      </c>
      <c r="D39" s="333">
        <v>3</v>
      </c>
      <c r="BF39" s="4"/>
      <c r="BG39" s="4"/>
      <c r="BH39" s="4"/>
      <c r="BI39" s="4"/>
    </row>
    <row r="40" spans="1:61" ht="15" customHeight="1">
      <c r="A40" s="29" t="str">
        <f>$R$2 &amp;".Port1"</f>
        <v>Диагностика.Huawei_AR550.Port1</v>
      </c>
      <c r="B40" s="1">
        <v>10015</v>
      </c>
      <c r="C40" s="1" t="s">
        <v>0</v>
      </c>
      <c r="D40" s="334" t="s">
        <v>718</v>
      </c>
      <c r="BF40" s="4"/>
      <c r="BG40" s="4"/>
      <c r="BH40" s="4"/>
      <c r="BI40" s="4"/>
    </row>
    <row r="41" spans="1:61" ht="15" customHeight="1">
      <c r="A41" s="26" t="str">
        <f>$R$2 &amp;".Port1"</f>
        <v>Диагностика.Huawei_AR550.Port1</v>
      </c>
      <c r="B41" s="27">
        <v>7014</v>
      </c>
      <c r="C41" s="27" t="s">
        <v>278</v>
      </c>
      <c r="D41" s="335" t="str">
        <f>"$"&amp;DEC2HEX($S$2,4)&amp;DEC2HEX($W$2,6)&amp;"000809"</f>
        <v>$0002000001000809</v>
      </c>
      <c r="BF41" s="4"/>
      <c r="BG41" s="4"/>
      <c r="BH41" s="4"/>
      <c r="BI41" s="4"/>
    </row>
    <row r="42" spans="1:61" ht="15" customHeight="1">
      <c r="A42" s="23" t="str">
        <f>$R$2 &amp;".Port2"</f>
        <v>Диагностика.Huawei_AR550.Port2</v>
      </c>
      <c r="B42" s="24">
        <v>1</v>
      </c>
      <c r="C42" s="24" t="s">
        <v>1</v>
      </c>
      <c r="D42" s="333">
        <v>3</v>
      </c>
      <c r="BF42" s="4"/>
      <c r="BG42" s="4"/>
      <c r="BH42" s="4"/>
      <c r="BI42" s="4"/>
    </row>
    <row r="43" spans="1:61">
      <c r="A43" s="29" t="str">
        <f>$R$2 &amp;".Port2"</f>
        <v>Диагностика.Huawei_AR550.Port2</v>
      </c>
      <c r="B43" s="1">
        <v>10015</v>
      </c>
      <c r="C43" s="1" t="s">
        <v>0</v>
      </c>
      <c r="D43" s="334" t="s">
        <v>719</v>
      </c>
    </row>
    <row r="44" spans="1:61">
      <c r="A44" s="26" t="str">
        <f>$R$2 &amp;".Port2"</f>
        <v>Диагностика.Huawei_AR550.Port2</v>
      </c>
      <c r="B44" s="27">
        <v>7014</v>
      </c>
      <c r="C44" s="27" t="s">
        <v>278</v>
      </c>
      <c r="D44" s="335" t="str">
        <f>"$"&amp;DEC2HEX($S$2,4)&amp;DEC2HEX($W$2,6)&amp;"000809"</f>
        <v>$0002000001000809</v>
      </c>
    </row>
    <row r="45" spans="1:61">
      <c r="A45" s="23" t="str">
        <f>$R$2 &amp;".Port3"</f>
        <v>Диагностика.Huawei_AR550.Port3</v>
      </c>
      <c r="B45" s="24">
        <v>1</v>
      </c>
      <c r="C45" s="24" t="s">
        <v>1</v>
      </c>
      <c r="D45" s="333">
        <v>3</v>
      </c>
    </row>
    <row r="46" spans="1:61">
      <c r="A46" s="29" t="str">
        <f>$R$2 &amp;".Port3"</f>
        <v>Диагностика.Huawei_AR550.Port3</v>
      </c>
      <c r="B46" s="1">
        <v>10015</v>
      </c>
      <c r="C46" s="1" t="s">
        <v>0</v>
      </c>
      <c r="D46" s="334" t="s">
        <v>720</v>
      </c>
    </row>
    <row r="47" spans="1:61">
      <c r="A47" s="26" t="str">
        <f>$R$2 &amp;".Port3"</f>
        <v>Диагностика.Huawei_AR550.Port3</v>
      </c>
      <c r="B47" s="27">
        <v>7014</v>
      </c>
      <c r="C47" s="27" t="s">
        <v>278</v>
      </c>
      <c r="D47" s="335" t="str">
        <f>"$"&amp;DEC2HEX($S$2,4)&amp;DEC2HEX($W$2,6)&amp;"000809"</f>
        <v>$0002000001000809</v>
      </c>
    </row>
    <row r="48" spans="1:61">
      <c r="A48" s="29" t="str">
        <f>$R$2 &amp;".Port4"</f>
        <v>Диагностика.Huawei_AR550.Port4</v>
      </c>
      <c r="B48" s="1">
        <v>1</v>
      </c>
      <c r="C48" s="1" t="s">
        <v>1</v>
      </c>
      <c r="D48" s="334">
        <v>3</v>
      </c>
    </row>
    <row r="49" spans="1:4">
      <c r="A49" s="29" t="str">
        <f>$R$2 &amp;".Port4"</f>
        <v>Диагностика.Huawei_AR550.Port4</v>
      </c>
      <c r="B49" s="1">
        <v>10015</v>
      </c>
      <c r="C49" s="1" t="s">
        <v>0</v>
      </c>
      <c r="D49" s="334" t="s">
        <v>721</v>
      </c>
    </row>
    <row r="50" spans="1:4">
      <c r="A50" s="29" t="str">
        <f>$R$2 &amp;".Port4"</f>
        <v>Диагностика.Huawei_AR550.Port4</v>
      </c>
      <c r="B50" s="1">
        <v>7014</v>
      </c>
      <c r="C50" s="1" t="s">
        <v>278</v>
      </c>
      <c r="D50" s="335" t="str">
        <f>"$"&amp;DEC2HEX($S$2,4)&amp;DEC2HEX($W$2,6)&amp;"000809"</f>
        <v>$0002000001000809</v>
      </c>
    </row>
    <row r="51" spans="1:4">
      <c r="A51" s="23" t="str">
        <f>$R$2 &amp;".Port5"</f>
        <v>Диагностика.Huawei_AR550.Port5</v>
      </c>
      <c r="B51" s="24">
        <v>1</v>
      </c>
      <c r="C51" s="24" t="s">
        <v>1</v>
      </c>
      <c r="D51" s="333">
        <v>3</v>
      </c>
    </row>
    <row r="52" spans="1:4">
      <c r="A52" s="29" t="str">
        <f>$R$2 &amp;".Port5"</f>
        <v>Диагностика.Huawei_AR550.Port5</v>
      </c>
      <c r="B52" s="1">
        <v>10015</v>
      </c>
      <c r="C52" s="1" t="s">
        <v>0</v>
      </c>
      <c r="D52" s="334" t="s">
        <v>722</v>
      </c>
    </row>
    <row r="53" spans="1:4">
      <c r="A53" s="26" t="str">
        <f>$R$2 &amp;".Port5"</f>
        <v>Диагностика.Huawei_AR550.Port5</v>
      </c>
      <c r="B53" s="27">
        <v>7014</v>
      </c>
      <c r="C53" s="27" t="s">
        <v>278</v>
      </c>
      <c r="D53" s="335" t="str">
        <f>"$"&amp;DEC2HEX($S$2,4)&amp;DEC2HEX($W$2,6)&amp;"000809"</f>
        <v>$0002000001000809</v>
      </c>
    </row>
    <row r="54" spans="1:4">
      <c r="A54" s="23" t="str">
        <f>$R$2 &amp;".Port6"</f>
        <v>Диагностика.Huawei_AR550.Port6</v>
      </c>
      <c r="B54" s="24">
        <v>1</v>
      </c>
      <c r="C54" s="24" t="s">
        <v>1</v>
      </c>
      <c r="D54" s="333">
        <v>3</v>
      </c>
    </row>
    <row r="55" spans="1:4">
      <c r="A55" s="29" t="str">
        <f>$R$2 &amp;".Port6"</f>
        <v>Диагностика.Huawei_AR550.Port6</v>
      </c>
      <c r="B55" s="1">
        <v>10015</v>
      </c>
      <c r="C55" s="1" t="s">
        <v>0</v>
      </c>
      <c r="D55" s="334" t="s">
        <v>723</v>
      </c>
    </row>
    <row r="56" spans="1:4">
      <c r="A56" s="26" t="str">
        <f>$R$2 &amp;".Port6"</f>
        <v>Диагностика.Huawei_AR550.Port6</v>
      </c>
      <c r="B56" s="27">
        <v>7014</v>
      </c>
      <c r="C56" s="27" t="s">
        <v>278</v>
      </c>
      <c r="D56" s="335" t="str">
        <f>"$"&amp;DEC2HEX($S$2,4)&amp;DEC2HEX($W$2,6)&amp;"000809"</f>
        <v>$0002000001000809</v>
      </c>
    </row>
    <row r="57" spans="1:4">
      <c r="A57" s="23" t="str">
        <f>$R$2 &amp;".Port7"</f>
        <v>Диагностика.Huawei_AR550.Port7</v>
      </c>
      <c r="B57" s="24">
        <v>1</v>
      </c>
      <c r="C57" s="24" t="s">
        <v>1</v>
      </c>
      <c r="D57" s="333">
        <v>3</v>
      </c>
    </row>
    <row r="58" spans="1:4">
      <c r="A58" s="29" t="str">
        <f>$R$2 &amp;".Port7"</f>
        <v>Диагностика.Huawei_AR550.Port7</v>
      </c>
      <c r="B58" s="1">
        <v>10015</v>
      </c>
      <c r="C58" s="1" t="s">
        <v>0</v>
      </c>
      <c r="D58" s="334" t="s">
        <v>724</v>
      </c>
    </row>
    <row r="59" spans="1:4">
      <c r="A59" s="26" t="str">
        <f>$R$2 &amp;".Port7"</f>
        <v>Диагностика.Huawei_AR550.Port7</v>
      </c>
      <c r="B59" s="27">
        <v>7014</v>
      </c>
      <c r="C59" s="27" t="s">
        <v>278</v>
      </c>
      <c r="D59" s="335" t="str">
        <f>"$"&amp;DEC2HEX($S$2,4)&amp;DEC2HEX($W$2,6)&amp;"000809"</f>
        <v>$0002000001000809</v>
      </c>
    </row>
    <row r="60" spans="1:4">
      <c r="A60" s="23" t="str">
        <f>$R$2 &amp;".Port8"</f>
        <v>Диагностика.Huawei_AR550.Port8</v>
      </c>
      <c r="B60" s="24">
        <v>1</v>
      </c>
      <c r="C60" s="24" t="s">
        <v>1</v>
      </c>
      <c r="D60" s="333">
        <v>3</v>
      </c>
    </row>
    <row r="61" spans="1:4">
      <c r="A61" s="29" t="str">
        <f>$R$2 &amp;".Port8"</f>
        <v>Диагностика.Huawei_AR550.Port8</v>
      </c>
      <c r="B61" s="1">
        <v>10015</v>
      </c>
      <c r="C61" s="1" t="s">
        <v>0</v>
      </c>
      <c r="D61" s="334" t="s">
        <v>725</v>
      </c>
    </row>
    <row r="62" spans="1:4">
      <c r="A62" s="26" t="str">
        <f>$R$2 &amp;".Port8"</f>
        <v>Диагностика.Huawei_AR550.Port8</v>
      </c>
      <c r="B62" s="27">
        <v>7014</v>
      </c>
      <c r="C62" s="27" t="s">
        <v>278</v>
      </c>
      <c r="D62" s="335" t="str">
        <f>"$"&amp;DEC2HEX($S$2,4)&amp;DEC2HEX($W$2,6)&amp;"000809"</f>
        <v>$0002000001000809</v>
      </c>
    </row>
    <row r="63" spans="1:4">
      <c r="A63" s="23" t="str">
        <f>$R$2 &amp;".Port9"</f>
        <v>Диагностика.Huawei_AR550.Port9</v>
      </c>
      <c r="B63" s="24">
        <v>1</v>
      </c>
      <c r="C63" s="24" t="s">
        <v>1</v>
      </c>
      <c r="D63" s="333">
        <v>3</v>
      </c>
    </row>
    <row r="64" spans="1:4">
      <c r="A64" s="29" t="str">
        <f>$R$2 &amp;".Port9"</f>
        <v>Диагностика.Huawei_AR550.Port9</v>
      </c>
      <c r="B64" s="1">
        <v>10015</v>
      </c>
      <c r="C64" s="1" t="s">
        <v>0</v>
      </c>
      <c r="D64" s="334" t="s">
        <v>726</v>
      </c>
    </row>
    <row r="65" spans="1:4">
      <c r="A65" s="26" t="str">
        <f>$R$2 &amp;".Port9"</f>
        <v>Диагностика.Huawei_AR550.Port9</v>
      </c>
      <c r="B65" s="27">
        <v>7014</v>
      </c>
      <c r="C65" s="27" t="s">
        <v>278</v>
      </c>
      <c r="D65" s="335" t="str">
        <f>"$"&amp;DEC2HEX($S$2,4)&amp;DEC2HEX($W$2,6)&amp;"000809"</f>
        <v>$0002000001000809</v>
      </c>
    </row>
    <row r="66" spans="1:4">
      <c r="A66" s="23" t="str">
        <f>$R$2 &amp;".Port10"</f>
        <v>Диагностика.Huawei_AR550.Port10</v>
      </c>
      <c r="B66" s="24">
        <v>1</v>
      </c>
      <c r="C66" s="24" t="s">
        <v>1</v>
      </c>
      <c r="D66" s="333">
        <v>3</v>
      </c>
    </row>
    <row r="67" spans="1:4">
      <c r="A67" s="29" t="str">
        <f>$R$2 &amp;".Port10"</f>
        <v>Диагностика.Huawei_AR550.Port10</v>
      </c>
      <c r="B67" s="1">
        <v>10015</v>
      </c>
      <c r="C67" s="1" t="s">
        <v>0</v>
      </c>
      <c r="D67" s="334" t="s">
        <v>727</v>
      </c>
    </row>
    <row r="68" spans="1:4">
      <c r="A68" s="26" t="str">
        <f>$R$2 &amp;".Port10"</f>
        <v>Диагностика.Huawei_AR550.Port10</v>
      </c>
      <c r="B68" s="27">
        <v>7014</v>
      </c>
      <c r="C68" s="27" t="s">
        <v>278</v>
      </c>
      <c r="D68" s="335" t="str">
        <f>"$"&amp;DEC2HEX($S$2,4)&amp;DEC2HEX($W$2,6)&amp;"000809"</f>
        <v>$0002000001000809</v>
      </c>
    </row>
    <row r="69" spans="1:4">
      <c r="A69" s="23" t="str">
        <f>$R$2 &amp;".Port11"</f>
        <v>Диагностика.Huawei_AR550.Port11</v>
      </c>
      <c r="B69" s="24">
        <v>1</v>
      </c>
      <c r="C69" s="24" t="s">
        <v>1</v>
      </c>
      <c r="D69" s="333">
        <v>3</v>
      </c>
    </row>
    <row r="70" spans="1:4">
      <c r="A70" s="29" t="str">
        <f>$R$2 &amp;".Port11"</f>
        <v>Диагностика.Huawei_AR550.Port11</v>
      </c>
      <c r="B70" s="1">
        <v>10015</v>
      </c>
      <c r="C70" s="1" t="s">
        <v>0</v>
      </c>
      <c r="D70" s="334" t="s">
        <v>731</v>
      </c>
    </row>
    <row r="71" spans="1:4">
      <c r="A71" s="26" t="str">
        <f>$R$2 &amp;".Port11"</f>
        <v>Диагностика.Huawei_AR550.Port11</v>
      </c>
      <c r="B71" s="27">
        <v>7014</v>
      </c>
      <c r="C71" s="27" t="s">
        <v>278</v>
      </c>
      <c r="D71" s="335" t="str">
        <f>"$"&amp;DEC2HEX($S$2,4)&amp;DEC2HEX($W$2,6)&amp;"000809"</f>
        <v>$0002000001000809</v>
      </c>
    </row>
    <row r="72" spans="1:4">
      <c r="A72" s="23" t="str">
        <f>$R$2 &amp;".Port12"</f>
        <v>Диагностика.Huawei_AR550.Port12</v>
      </c>
      <c r="B72" s="24">
        <v>1</v>
      </c>
      <c r="C72" s="24" t="s">
        <v>1</v>
      </c>
      <c r="D72" s="333">
        <v>3</v>
      </c>
    </row>
    <row r="73" spans="1:4">
      <c r="A73" s="29" t="str">
        <f>$R$2 &amp;".Port12"</f>
        <v>Диагностика.Huawei_AR550.Port12</v>
      </c>
      <c r="B73" s="1">
        <v>10015</v>
      </c>
      <c r="C73" s="1" t="s">
        <v>0</v>
      </c>
      <c r="D73" s="334" t="s">
        <v>732</v>
      </c>
    </row>
    <row r="74" spans="1:4">
      <c r="A74" s="26" t="str">
        <f>$R$2 &amp;".Port12"</f>
        <v>Диагностика.Huawei_AR550.Port12</v>
      </c>
      <c r="B74" s="27">
        <v>7014</v>
      </c>
      <c r="C74" s="27" t="s">
        <v>278</v>
      </c>
      <c r="D74" s="335" t="str">
        <f>"$"&amp;DEC2HEX($S$2,4)&amp;DEC2HEX($W$2,6)&amp;"000809"</f>
        <v>$0002000001000809</v>
      </c>
    </row>
    <row r="75" spans="1:4">
      <c r="A75" s="217" t="str">
        <f>$R$2 &amp;".Port9.NoLink"</f>
        <v>Диагностика.Huawei_AR550.Port9.NoLink</v>
      </c>
      <c r="B75" s="218">
        <v>11154</v>
      </c>
      <c r="C75" s="218" t="s">
        <v>4</v>
      </c>
      <c r="D75" s="219">
        <f>$Q$7</f>
        <v>12</v>
      </c>
    </row>
    <row r="76" spans="1:4">
      <c r="A76" s="211" t="str">
        <f t="shared" ref="A76:A82" si="1">$R$2 &amp;".Port9.NoLink"</f>
        <v>Диагностика.Huawei_AR550.Port9.NoLink</v>
      </c>
      <c r="B76" s="212">
        <v>11152</v>
      </c>
      <c r="C76" s="212" t="s">
        <v>0</v>
      </c>
      <c r="D76" s="220" t="str">
        <f>$R$7</f>
        <v>Неисправность</v>
      </c>
    </row>
    <row r="77" spans="1:4">
      <c r="A77" s="211" t="str">
        <f t="shared" si="1"/>
        <v>Диагностика.Huawei_AR550.Port9.NoLink</v>
      </c>
      <c r="B77" s="212">
        <v>11150</v>
      </c>
      <c r="C77" s="212" t="s">
        <v>0</v>
      </c>
      <c r="D77" s="213" t="str">
        <f>"Порт 9. Связь c " &amp; $AS$2 &amp; " прервана"</f>
        <v>Порт 9. Связь c Порт 9 прервана</v>
      </c>
    </row>
    <row r="78" spans="1:4">
      <c r="A78" s="211" t="str">
        <f t="shared" si="1"/>
        <v>Диагностика.Huawei_AR550.Port9.NoLink</v>
      </c>
      <c r="B78" s="212">
        <v>11000</v>
      </c>
      <c r="C78" s="212" t="s">
        <v>5</v>
      </c>
      <c r="D78" s="213">
        <v>2147483680</v>
      </c>
    </row>
    <row r="79" spans="1:4">
      <c r="A79" s="19" t="str">
        <f t="shared" si="1"/>
        <v>Диагностика.Huawei_AR550.Port9.NoLink</v>
      </c>
      <c r="B79" s="11">
        <v>3</v>
      </c>
      <c r="C79" s="11" t="s">
        <v>1</v>
      </c>
      <c r="D79" s="20">
        <v>192</v>
      </c>
    </row>
    <row r="80" spans="1:4">
      <c r="A80" s="19" t="str">
        <f t="shared" si="1"/>
        <v>Диагностика.Huawei_AR550.Port9.NoLink</v>
      </c>
      <c r="B80" s="11">
        <v>2</v>
      </c>
      <c r="C80" s="11" t="s">
        <v>2</v>
      </c>
      <c r="D80" s="20" t="s">
        <v>3</v>
      </c>
    </row>
    <row r="81" spans="1:4">
      <c r="A81" s="19" t="str">
        <f t="shared" si="1"/>
        <v>Диагностика.Huawei_AR550.Port9.NoLink</v>
      </c>
      <c r="B81" s="11">
        <v>1</v>
      </c>
      <c r="C81" s="11" t="s">
        <v>1</v>
      </c>
      <c r="D81" s="20">
        <v>11</v>
      </c>
    </row>
    <row r="82" spans="1:4">
      <c r="A82" s="21" t="str">
        <f t="shared" si="1"/>
        <v>Диагностика.Huawei_AR550.Port9.NoLink</v>
      </c>
      <c r="B82" s="8">
        <v>3000000</v>
      </c>
      <c r="C82" s="8" t="s">
        <v>0</v>
      </c>
      <c r="D82" s="68" t="str">
        <f>IF($AS$2&lt;&gt;"","IfTrue(#2.Port9,0,1)","")</f>
        <v>IfTrue(#2.Port9,0,1)</v>
      </c>
    </row>
    <row r="83" spans="1:4">
      <c r="A83" s="217" t="str">
        <f>$R$2 &amp;".Port10.NoLink"</f>
        <v>Диагностика.Huawei_AR550.Port10.NoLink</v>
      </c>
      <c r="B83" s="218">
        <v>11154</v>
      </c>
      <c r="C83" s="218" t="s">
        <v>4</v>
      </c>
      <c r="D83" s="219">
        <f>$Q$7</f>
        <v>12</v>
      </c>
    </row>
    <row r="84" spans="1:4">
      <c r="A84" s="211" t="str">
        <f t="shared" ref="A84:A90" si="2">$R$2 &amp;".Port10.NoLink"</f>
        <v>Диагностика.Huawei_AR550.Port10.NoLink</v>
      </c>
      <c r="B84" s="212">
        <v>11152</v>
      </c>
      <c r="C84" s="212" t="s">
        <v>0</v>
      </c>
      <c r="D84" s="220" t="str">
        <f>$R$7</f>
        <v>Неисправность</v>
      </c>
    </row>
    <row r="85" spans="1:4">
      <c r="A85" s="211" t="str">
        <f t="shared" si="2"/>
        <v>Диагностика.Huawei_AR550.Port10.NoLink</v>
      </c>
      <c r="B85" s="212">
        <v>11150</v>
      </c>
      <c r="C85" s="212" t="s">
        <v>0</v>
      </c>
      <c r="D85" s="213" t="str">
        <f>"Порт 10. Связь c " &amp; $AT$2 &amp; " прервана"</f>
        <v>Порт 10. Связь c Порт 10 прервана</v>
      </c>
    </row>
    <row r="86" spans="1:4">
      <c r="A86" s="211" t="str">
        <f t="shared" si="2"/>
        <v>Диагностика.Huawei_AR550.Port10.NoLink</v>
      </c>
      <c r="B86" s="212">
        <v>11000</v>
      </c>
      <c r="C86" s="212" t="s">
        <v>5</v>
      </c>
      <c r="D86" s="213">
        <v>2147483680</v>
      </c>
    </row>
    <row r="87" spans="1:4">
      <c r="A87" s="19" t="str">
        <f t="shared" si="2"/>
        <v>Диагностика.Huawei_AR550.Port10.NoLink</v>
      </c>
      <c r="B87" s="11">
        <v>3</v>
      </c>
      <c r="C87" s="11" t="s">
        <v>1</v>
      </c>
      <c r="D87" s="20">
        <v>192</v>
      </c>
    </row>
    <row r="88" spans="1:4">
      <c r="A88" s="19" t="str">
        <f t="shared" si="2"/>
        <v>Диагностика.Huawei_AR550.Port10.NoLink</v>
      </c>
      <c r="B88" s="11">
        <v>2</v>
      </c>
      <c r="C88" s="11" t="s">
        <v>2</v>
      </c>
      <c r="D88" s="20" t="s">
        <v>3</v>
      </c>
    </row>
    <row r="89" spans="1:4">
      <c r="A89" s="19" t="str">
        <f t="shared" si="2"/>
        <v>Диагностика.Huawei_AR550.Port10.NoLink</v>
      </c>
      <c r="B89" s="11">
        <v>1</v>
      </c>
      <c r="C89" s="11" t="s">
        <v>1</v>
      </c>
      <c r="D89" s="20">
        <v>11</v>
      </c>
    </row>
    <row r="90" spans="1:4">
      <c r="A90" s="21" t="str">
        <f t="shared" si="2"/>
        <v>Диагностика.Huawei_AR550.Port10.NoLink</v>
      </c>
      <c r="B90" s="8">
        <v>3000000</v>
      </c>
      <c r="C90" s="8" t="s">
        <v>0</v>
      </c>
      <c r="D90" s="68" t="str">
        <f>IF($AT$2&lt;&gt;"","IfTrue(#2.Port10,0,1)","")</f>
        <v>IfTrue(#2.Port10,0,1)</v>
      </c>
    </row>
    <row r="91" spans="1:4">
      <c r="A91" s="217" t="str">
        <f>$R$2 &amp;".Port11.NoLink"</f>
        <v>Диагностика.Huawei_AR550.Port11.NoLink</v>
      </c>
      <c r="B91" s="218">
        <v>11154</v>
      </c>
      <c r="C91" s="218" t="s">
        <v>4</v>
      </c>
      <c r="D91" s="219">
        <f>$Q$7</f>
        <v>12</v>
      </c>
    </row>
    <row r="92" spans="1:4">
      <c r="A92" s="211" t="str">
        <f t="shared" ref="A92:A98" si="3">$R$2 &amp;".Port11.NoLink"</f>
        <v>Диагностика.Huawei_AR550.Port11.NoLink</v>
      </c>
      <c r="B92" s="212">
        <v>11152</v>
      </c>
      <c r="C92" s="212" t="s">
        <v>0</v>
      </c>
      <c r="D92" s="220" t="str">
        <f>$R$7</f>
        <v>Неисправность</v>
      </c>
    </row>
    <row r="93" spans="1:4">
      <c r="A93" s="211" t="str">
        <f t="shared" si="3"/>
        <v>Диагностика.Huawei_AR550.Port11.NoLink</v>
      </c>
      <c r="B93" s="212">
        <v>11150</v>
      </c>
      <c r="C93" s="212" t="s">
        <v>0</v>
      </c>
      <c r="D93" s="213" t="str">
        <f>"Порт 11. Связь c " &amp; $AU$2 &amp; " прервана"</f>
        <v>Порт 11. Связь c Порт 11 прервана</v>
      </c>
    </row>
    <row r="94" spans="1:4">
      <c r="A94" s="211" t="str">
        <f t="shared" si="3"/>
        <v>Диагностика.Huawei_AR550.Port11.NoLink</v>
      </c>
      <c r="B94" s="212">
        <v>11000</v>
      </c>
      <c r="C94" s="212" t="s">
        <v>5</v>
      </c>
      <c r="D94" s="213">
        <v>2147483680</v>
      </c>
    </row>
    <row r="95" spans="1:4">
      <c r="A95" s="19" t="str">
        <f t="shared" si="3"/>
        <v>Диагностика.Huawei_AR550.Port11.NoLink</v>
      </c>
      <c r="B95" s="11">
        <v>3</v>
      </c>
      <c r="C95" s="11" t="s">
        <v>1</v>
      </c>
      <c r="D95" s="20">
        <v>192</v>
      </c>
    </row>
    <row r="96" spans="1:4">
      <c r="A96" s="19" t="str">
        <f t="shared" si="3"/>
        <v>Диагностика.Huawei_AR550.Port11.NoLink</v>
      </c>
      <c r="B96" s="11">
        <v>2</v>
      </c>
      <c r="C96" s="11" t="s">
        <v>2</v>
      </c>
      <c r="D96" s="20" t="s">
        <v>3</v>
      </c>
    </row>
    <row r="97" spans="1:4">
      <c r="A97" s="19" t="str">
        <f t="shared" si="3"/>
        <v>Диагностика.Huawei_AR550.Port11.NoLink</v>
      </c>
      <c r="B97" s="11">
        <v>1</v>
      </c>
      <c r="C97" s="11" t="s">
        <v>1</v>
      </c>
      <c r="D97" s="20">
        <v>11</v>
      </c>
    </row>
    <row r="98" spans="1:4">
      <c r="A98" s="21" t="str">
        <f t="shared" si="3"/>
        <v>Диагностика.Huawei_AR550.Port11.NoLink</v>
      </c>
      <c r="B98" s="8">
        <v>3000000</v>
      </c>
      <c r="C98" s="8" t="s">
        <v>0</v>
      </c>
      <c r="D98" s="68" t="str">
        <f>IF($AU$2&lt;&gt;"","IfTrue(#2.Port11,0,1)","")</f>
        <v>IfTrue(#2.Port11,0,1)</v>
      </c>
    </row>
    <row r="99" spans="1:4">
      <c r="A99" s="217" t="str">
        <f>$R$2 &amp;".Port12.NoLink"</f>
        <v>Диагностика.Huawei_AR550.Port12.NoLink</v>
      </c>
      <c r="B99" s="218">
        <v>11154</v>
      </c>
      <c r="C99" s="218" t="s">
        <v>4</v>
      </c>
      <c r="D99" s="219">
        <f>$Q$7</f>
        <v>12</v>
      </c>
    </row>
    <row r="100" spans="1:4">
      <c r="A100" s="211" t="str">
        <f t="shared" ref="A100:A106" si="4">$R$2 &amp;".Port12.NoLink"</f>
        <v>Диагностика.Huawei_AR550.Port12.NoLink</v>
      </c>
      <c r="B100" s="212">
        <v>11152</v>
      </c>
      <c r="C100" s="212" t="s">
        <v>0</v>
      </c>
      <c r="D100" s="220" t="str">
        <f>$R$7</f>
        <v>Неисправность</v>
      </c>
    </row>
    <row r="101" spans="1:4">
      <c r="A101" s="211" t="str">
        <f t="shared" si="4"/>
        <v>Диагностика.Huawei_AR550.Port12.NoLink</v>
      </c>
      <c r="B101" s="212">
        <v>11150</v>
      </c>
      <c r="C101" s="212" t="s">
        <v>0</v>
      </c>
      <c r="D101" s="213" t="str">
        <f>"Порт 12. Связь c " &amp; $AV$2 &amp; " прервана"</f>
        <v>Порт 12. Связь c Порт 12 прервана</v>
      </c>
    </row>
    <row r="102" spans="1:4">
      <c r="A102" s="211" t="str">
        <f t="shared" si="4"/>
        <v>Диагностика.Huawei_AR550.Port12.NoLink</v>
      </c>
      <c r="B102" s="212">
        <v>11000</v>
      </c>
      <c r="C102" s="212" t="s">
        <v>5</v>
      </c>
      <c r="D102" s="213">
        <v>2147483680</v>
      </c>
    </row>
    <row r="103" spans="1:4">
      <c r="A103" s="19" t="str">
        <f t="shared" si="4"/>
        <v>Диагностика.Huawei_AR550.Port12.NoLink</v>
      </c>
      <c r="B103" s="11">
        <v>3</v>
      </c>
      <c r="C103" s="11" t="s">
        <v>1</v>
      </c>
      <c r="D103" s="20">
        <v>192</v>
      </c>
    </row>
    <row r="104" spans="1:4">
      <c r="A104" s="19" t="str">
        <f t="shared" si="4"/>
        <v>Диагностика.Huawei_AR550.Port12.NoLink</v>
      </c>
      <c r="B104" s="11">
        <v>2</v>
      </c>
      <c r="C104" s="11" t="s">
        <v>2</v>
      </c>
      <c r="D104" s="20" t="s">
        <v>3</v>
      </c>
    </row>
    <row r="105" spans="1:4">
      <c r="A105" s="19" t="str">
        <f t="shared" si="4"/>
        <v>Диагностика.Huawei_AR550.Port12.NoLink</v>
      </c>
      <c r="B105" s="11">
        <v>1</v>
      </c>
      <c r="C105" s="11" t="s">
        <v>1</v>
      </c>
      <c r="D105" s="20">
        <v>11</v>
      </c>
    </row>
    <row r="106" spans="1:4">
      <c r="A106" s="21" t="str">
        <f t="shared" si="4"/>
        <v>Диагностика.Huawei_AR550.Port12.NoLink</v>
      </c>
      <c r="B106" s="8">
        <v>3000000</v>
      </c>
      <c r="C106" s="8" t="s">
        <v>0</v>
      </c>
      <c r="D106" s="68" t="str">
        <f>IF($AV$2&lt;&gt;"","IfTrue(#2.Port12,0,1)","")</f>
        <v>IfTrue(#2.Port12,0,1)</v>
      </c>
    </row>
  </sheetData>
  <conditionalFormatting sqref="D21:D22">
    <cfRule type="duplicateValues" dxfId="9" priority="1"/>
    <cfRule type="duplicateValues" dxfId="8" priority="2"/>
  </conditionalFormatting>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Лист58">
    <tabColor rgb="FFFFC000"/>
  </sheetPr>
  <dimension ref="A1:BI82"/>
  <sheetViews>
    <sheetView topLeftCell="A49"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1" width="40.33203125" customWidth="1"/>
    <col min="32" max="35" width="9.109375" hidden="1" customWidth="1"/>
    <col min="36" max="36" width="6.88671875"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7.109375" customWidth="1"/>
    <col min="55" max="55" width="10.88671875" customWidth="1"/>
    <col min="57" max="57" width="65.109375" customWidth="1"/>
  </cols>
  <sheetData>
    <row r="1" spans="1:61" s="258" customFormat="1" ht="204.6" thickBot="1">
      <c r="A1" s="257"/>
      <c r="B1" s="260"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F1" s="259"/>
      <c r="BG1" s="259"/>
      <c r="BH1" s="259"/>
      <c r="BI1" s="259"/>
    </row>
    <row r="2" spans="1:61" s="55" customFormat="1" ht="15" customHeight="1">
      <c r="A2" s="377"/>
      <c r="B2" s="377"/>
      <c r="C2" s="377"/>
      <c r="D2" s="377"/>
      <c r="E2" s="377"/>
      <c r="F2" s="377"/>
      <c r="P2" s="378"/>
      <c r="Q2" s="378" t="s">
        <v>2997</v>
      </c>
      <c r="R2" s="378" t="s">
        <v>2995</v>
      </c>
      <c r="S2" s="379">
        <v>2</v>
      </c>
      <c r="T2" s="379"/>
      <c r="U2" s="379"/>
      <c r="V2" s="379" t="s">
        <v>569</v>
      </c>
      <c r="W2" s="380">
        <v>1</v>
      </c>
      <c r="X2" s="380"/>
      <c r="Y2" s="380"/>
      <c r="Z2" s="380" t="s">
        <v>629</v>
      </c>
      <c r="AA2" s="380" t="s">
        <v>2999</v>
      </c>
      <c r="AB2" s="378"/>
      <c r="AC2" s="378"/>
      <c r="AD2" s="378"/>
      <c r="AE2" s="378" t="s">
        <v>1414</v>
      </c>
      <c r="AF2" s="378"/>
      <c r="AG2" s="378"/>
      <c r="AH2" s="378"/>
      <c r="AI2" s="378"/>
      <c r="AJ2" s="378"/>
      <c r="AK2" s="378" t="s">
        <v>1356</v>
      </c>
      <c r="AL2" s="378" t="s">
        <v>1357</v>
      </c>
      <c r="AM2" s="378" t="s">
        <v>1358</v>
      </c>
      <c r="AN2" s="378" t="s">
        <v>1359</v>
      </c>
      <c r="AO2" s="378" t="s">
        <v>1360</v>
      </c>
      <c r="AP2" s="378" t="s">
        <v>1361</v>
      </c>
      <c r="AQ2" s="378" t="s">
        <v>1362</v>
      </c>
      <c r="AR2" s="378" t="s">
        <v>1363</v>
      </c>
      <c r="AS2" s="378" t="s">
        <v>1364</v>
      </c>
      <c r="AT2" s="378" t="s">
        <v>1365</v>
      </c>
      <c r="AU2" s="378"/>
      <c r="AV2" s="378"/>
      <c r="AW2" s="378"/>
      <c r="AX2" s="378"/>
      <c r="AY2" s="378"/>
      <c r="AZ2" s="378"/>
      <c r="BA2" s="378"/>
      <c r="BF2" s="381"/>
      <c r="BG2" s="381"/>
      <c r="BH2" s="381"/>
      <c r="BI2" s="381"/>
    </row>
    <row r="3" spans="1:61" ht="15" customHeight="1">
      <c r="A3" s="9"/>
      <c r="B3" s="9"/>
      <c r="C3" s="9"/>
      <c r="D3" s="9"/>
      <c r="E3" s="9"/>
      <c r="F3" s="9"/>
      <c r="P3" s="10"/>
      <c r="Q3" s="10"/>
      <c r="R3" s="10"/>
      <c r="S3" s="10"/>
      <c r="T3" s="10"/>
      <c r="U3" s="10"/>
      <c r="V3" s="10"/>
      <c r="W3" s="10"/>
      <c r="X3" s="10"/>
      <c r="Y3" s="10"/>
      <c r="Z3" s="10"/>
      <c r="AA3" s="10"/>
      <c r="BF3" s="4"/>
      <c r="BG3" s="4"/>
      <c r="BH3" s="4"/>
      <c r="BI3" s="4"/>
    </row>
    <row r="4" spans="1:61"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F4" s="4"/>
      <c r="BG4" s="4"/>
      <c r="BH4" s="4"/>
      <c r="BI4" s="4"/>
    </row>
    <row r="5" spans="1:61"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F5" s="4"/>
      <c r="BG5" s="4"/>
      <c r="BH5" s="4"/>
      <c r="BI5" s="4"/>
    </row>
    <row r="6" spans="1:61"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F6" s="4"/>
      <c r="BG6" s="4"/>
      <c r="BH6" s="4"/>
      <c r="BI6" s="4"/>
    </row>
    <row r="7" spans="1:61"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F7" s="4"/>
      <c r="BG7" s="4"/>
      <c r="BH7" s="4"/>
      <c r="BI7" s="4"/>
    </row>
    <row r="8" spans="1:61" ht="15" customHeight="1">
      <c r="A8" s="9"/>
      <c r="B8" s="9"/>
      <c r="C8" s="9"/>
      <c r="D8" s="9"/>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BF8" s="4"/>
      <c r="BG8" s="4"/>
      <c r="BH8" s="4"/>
      <c r="BI8" s="4"/>
    </row>
    <row r="9" spans="1:61" ht="15" customHeight="1">
      <c r="A9" s="9"/>
      <c r="B9" s="9"/>
      <c r="C9" s="9"/>
      <c r="D9" s="9"/>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BF9" s="4"/>
      <c r="BG9" s="4"/>
      <c r="BH9" s="4"/>
      <c r="BI9" s="4"/>
    </row>
    <row r="10" spans="1:61" ht="15" customHeight="1">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BF10" s="4"/>
      <c r="BG10" s="4"/>
      <c r="BH10" s="4"/>
      <c r="BI10" s="4"/>
    </row>
    <row r="11" spans="1:61" ht="15" customHeight="1">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BF11" s="4"/>
      <c r="BG11" s="4"/>
      <c r="BH11" s="4"/>
      <c r="BI11" s="4"/>
    </row>
    <row r="12" spans="1:61"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BF12" s="4"/>
      <c r="BG12" s="4"/>
      <c r="BH12" s="4"/>
      <c r="BI12" s="4"/>
    </row>
    <row r="13" spans="1:61"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F13" s="4"/>
      <c r="BG13" s="4"/>
      <c r="BH13" s="4"/>
      <c r="BI13" s="4"/>
    </row>
    <row r="14" spans="1:61"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F14" s="4"/>
      <c r="BG14" s="4"/>
      <c r="BH14" s="4"/>
      <c r="BI14" s="4"/>
    </row>
    <row r="15" spans="1:61"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F15" s="4"/>
      <c r="BG15" s="4"/>
      <c r="BH15" s="4"/>
      <c r="BI15" s="4"/>
    </row>
    <row r="16" spans="1:61"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F16" s="4"/>
      <c r="BG16" s="4"/>
      <c r="BH16" s="4"/>
      <c r="BI16" s="4"/>
    </row>
    <row r="17" spans="1:61"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F17" s="4"/>
      <c r="BG17" s="4"/>
      <c r="BH17" s="4"/>
      <c r="BI17" s="4"/>
    </row>
    <row r="18" spans="1:61"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F18" s="4"/>
      <c r="BG18" s="4"/>
      <c r="BH18" s="4"/>
      <c r="BI18" s="4"/>
    </row>
    <row r="19" spans="1:61"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F19" s="4"/>
      <c r="BG19" s="4"/>
      <c r="BH19" s="4"/>
      <c r="BI19" s="4"/>
    </row>
    <row r="20" spans="1:61">
      <c r="A20" s="23" t="str">
        <f>$R$2</f>
        <v>Диагностика.Eltex_MES3508</v>
      </c>
      <c r="B20" s="24">
        <v>1</v>
      </c>
      <c r="C20" s="24" t="s">
        <v>1</v>
      </c>
      <c r="D20" s="25">
        <v>17</v>
      </c>
    </row>
    <row r="21" spans="1:61" ht="15" customHeight="1">
      <c r="A21" s="19" t="str">
        <f t="shared" ref="A21:A36" si="0">$R$2</f>
        <v>Диагностика.Eltex_MES3508</v>
      </c>
      <c r="B21" s="11">
        <v>11156</v>
      </c>
      <c r="C21" s="11" t="s">
        <v>0</v>
      </c>
      <c r="D21" s="20" t="str">
        <f>$V$2</f>
        <v>Тестовый экран</v>
      </c>
      <c r="E21" s="4"/>
      <c r="F21" s="4"/>
      <c r="BF21" s="4"/>
      <c r="BG21" s="4"/>
      <c r="BH21" s="4"/>
      <c r="BI21" s="4"/>
    </row>
    <row r="22" spans="1:61">
      <c r="A22" s="29" t="str">
        <f t="shared" si="0"/>
        <v>Диагностика.Eltex_MES3508</v>
      </c>
      <c r="B22" s="1">
        <v>11001</v>
      </c>
      <c r="C22" s="1" t="s">
        <v>0</v>
      </c>
      <c r="D22" s="30" t="str">
        <f>$Q$2&amp;". "</f>
        <v xml:space="preserve">ELTEX MES3508. </v>
      </c>
    </row>
    <row r="23" spans="1:61">
      <c r="A23" s="23" t="str">
        <f t="shared" si="0"/>
        <v>Диагностика.Eltex_MES3508</v>
      </c>
      <c r="B23" s="24">
        <v>11120</v>
      </c>
      <c r="C23" s="24" t="s">
        <v>0</v>
      </c>
      <c r="D23" s="25" t="str">
        <f>$Z$2</f>
        <v>255.255.255.0</v>
      </c>
    </row>
    <row r="24" spans="1:61">
      <c r="A24" s="29" t="str">
        <f t="shared" si="0"/>
        <v>Диагностика.Eltex_MES3508</v>
      </c>
      <c r="B24" s="1">
        <v>11121</v>
      </c>
      <c r="C24" s="1" t="s">
        <v>0</v>
      </c>
      <c r="D24" s="30" t="str">
        <f>$AA$2</f>
        <v>192.168.78.12</v>
      </c>
    </row>
    <row r="25" spans="1:61">
      <c r="A25" s="29" t="str">
        <f t="shared" si="0"/>
        <v>Диагностика.Eltex_MES3508</v>
      </c>
      <c r="B25" s="1">
        <v>11122</v>
      </c>
      <c r="C25" s="1" t="s">
        <v>0</v>
      </c>
      <c r="D25" s="509" t="str">
        <f>$AK$2</f>
        <v>Порт 1</v>
      </c>
    </row>
    <row r="26" spans="1:61">
      <c r="A26" s="29" t="str">
        <f t="shared" si="0"/>
        <v>Диагностика.Eltex_MES3508</v>
      </c>
      <c r="B26" s="1">
        <v>11123</v>
      </c>
      <c r="C26" s="1" t="s">
        <v>0</v>
      </c>
      <c r="D26" s="509" t="str">
        <f>$AL$2</f>
        <v>Порт 2</v>
      </c>
    </row>
    <row r="27" spans="1:61">
      <c r="A27" s="29" t="str">
        <f t="shared" si="0"/>
        <v>Диагностика.Eltex_MES3508</v>
      </c>
      <c r="B27" s="1">
        <v>11124</v>
      </c>
      <c r="C27" s="1" t="s">
        <v>0</v>
      </c>
      <c r="D27" s="509" t="str">
        <f>$AM$2</f>
        <v>Порт 3</v>
      </c>
    </row>
    <row r="28" spans="1:61">
      <c r="A28" s="29" t="str">
        <f t="shared" si="0"/>
        <v>Диагностика.Eltex_MES3508</v>
      </c>
      <c r="B28" s="1">
        <v>11125</v>
      </c>
      <c r="C28" s="1" t="s">
        <v>0</v>
      </c>
      <c r="D28" s="509" t="str">
        <f>$AN$2</f>
        <v>Порт 4</v>
      </c>
    </row>
    <row r="29" spans="1:61">
      <c r="A29" s="29" t="str">
        <f t="shared" si="0"/>
        <v>Диагностика.Eltex_MES3508</v>
      </c>
      <c r="B29" s="1">
        <v>11126</v>
      </c>
      <c r="C29" s="1" t="s">
        <v>0</v>
      </c>
      <c r="D29" s="509" t="str">
        <f>$AO$2</f>
        <v>Порт 5</v>
      </c>
    </row>
    <row r="30" spans="1:61">
      <c r="A30" s="29" t="str">
        <f t="shared" si="0"/>
        <v>Диагностика.Eltex_MES3508</v>
      </c>
      <c r="B30" s="1">
        <v>11127</v>
      </c>
      <c r="C30" s="1" t="s">
        <v>0</v>
      </c>
      <c r="D30" s="509" t="str">
        <f>$AP$2</f>
        <v>Порт 6</v>
      </c>
    </row>
    <row r="31" spans="1:61">
      <c r="A31" s="29" t="str">
        <f t="shared" si="0"/>
        <v>Диагностика.Eltex_MES3508</v>
      </c>
      <c r="B31" s="1">
        <v>11128</v>
      </c>
      <c r="C31" s="1" t="s">
        <v>0</v>
      </c>
      <c r="D31" s="509" t="str">
        <f>$AQ$2</f>
        <v>Порт 7</v>
      </c>
    </row>
    <row r="32" spans="1:61">
      <c r="A32" s="29" t="str">
        <f t="shared" si="0"/>
        <v>Диагностика.Eltex_MES3508</v>
      </c>
      <c r="B32" s="1">
        <v>11129</v>
      </c>
      <c r="C32" s="1" t="s">
        <v>0</v>
      </c>
      <c r="D32" s="509" t="str">
        <f>$AR$2</f>
        <v>Порт 8</v>
      </c>
    </row>
    <row r="33" spans="1:61">
      <c r="A33" s="29" t="str">
        <f t="shared" si="0"/>
        <v>Диагностика.Eltex_MES3508</v>
      </c>
      <c r="B33" s="1">
        <v>11135</v>
      </c>
      <c r="C33" s="1" t="s">
        <v>0</v>
      </c>
      <c r="D33" s="509" t="str">
        <f>$AS$2</f>
        <v>Порт 9</v>
      </c>
    </row>
    <row r="34" spans="1:61">
      <c r="A34" s="29" t="str">
        <f t="shared" si="0"/>
        <v>Диагностика.Eltex_MES3508</v>
      </c>
      <c r="B34" s="1">
        <v>11136</v>
      </c>
      <c r="C34" s="1" t="s">
        <v>0</v>
      </c>
      <c r="D34" s="509" t="str">
        <f>$AT$2</f>
        <v>Порт 10</v>
      </c>
    </row>
    <row r="35" spans="1:61">
      <c r="A35" s="16" t="str">
        <f t="shared" si="0"/>
        <v>Диагностика.Eltex_MES3508</v>
      </c>
      <c r="B35" s="17">
        <v>13</v>
      </c>
      <c r="C35" s="17" t="s">
        <v>2</v>
      </c>
      <c r="D35" s="18" t="s">
        <v>3</v>
      </c>
    </row>
    <row r="36" spans="1:61" ht="15" customHeight="1">
      <c r="A36" s="19" t="str">
        <f t="shared" si="0"/>
        <v>Диагностика.Eltex_MES3508</v>
      </c>
      <c r="B36" s="11">
        <v>3000013</v>
      </c>
      <c r="C36" s="11" t="s">
        <v>0</v>
      </c>
      <c r="D36" s="20" t="str">
        <f>$AE$2</f>
        <v>Диагностика.CPU.NOT_LINK.noLink</v>
      </c>
      <c r="BF36" s="4"/>
      <c r="BG36" s="4"/>
      <c r="BH36" s="4"/>
      <c r="BI36" s="4"/>
    </row>
    <row r="37" spans="1:61" ht="15" customHeight="1">
      <c r="A37" s="23" t="str">
        <f>$R$2 &amp;".Port1"</f>
        <v>Диагностика.Eltex_MES3508.Port1</v>
      </c>
      <c r="B37" s="24">
        <v>1</v>
      </c>
      <c r="C37" s="24" t="s">
        <v>1</v>
      </c>
      <c r="D37" s="333">
        <v>3</v>
      </c>
      <c r="BF37" s="4"/>
      <c r="BG37" s="4"/>
      <c r="BH37" s="4"/>
      <c r="BI37" s="4"/>
    </row>
    <row r="38" spans="1:61" ht="15" customHeight="1">
      <c r="A38" s="29" t="str">
        <f>$R$2 &amp;".Port1"</f>
        <v>Диагностика.Eltex_MES3508.Port1</v>
      </c>
      <c r="B38" s="1">
        <v>10015</v>
      </c>
      <c r="C38" s="1" t="s">
        <v>0</v>
      </c>
      <c r="D38" s="334" t="s">
        <v>2945</v>
      </c>
      <c r="BF38" s="4"/>
      <c r="BG38" s="4"/>
      <c r="BH38" s="4"/>
      <c r="BI38" s="4"/>
    </row>
    <row r="39" spans="1:61" ht="15" customHeight="1">
      <c r="A39" s="26" t="str">
        <f>$R$2 &amp;".Port1"</f>
        <v>Диагностика.Eltex_MES3508.Port1</v>
      </c>
      <c r="B39" s="27">
        <v>7014</v>
      </c>
      <c r="C39" s="27" t="s">
        <v>278</v>
      </c>
      <c r="D39" s="335" t="str">
        <f>"$"&amp;DEC2HEX($S$2,4)&amp;DEC2HEX($W$2,6)&amp;"000809"</f>
        <v>$0002000001000809</v>
      </c>
      <c r="BF39" s="4"/>
      <c r="BG39" s="4"/>
      <c r="BH39" s="4"/>
      <c r="BI39" s="4"/>
    </row>
    <row r="40" spans="1:61" ht="15" customHeight="1">
      <c r="A40" s="23" t="str">
        <f>$R$2 &amp;".Port2"</f>
        <v>Диагностика.Eltex_MES3508.Port2</v>
      </c>
      <c r="B40" s="24">
        <v>1</v>
      </c>
      <c r="C40" s="24" t="s">
        <v>1</v>
      </c>
      <c r="D40" s="333">
        <v>3</v>
      </c>
      <c r="BF40" s="4"/>
      <c r="BG40" s="4"/>
      <c r="BH40" s="4"/>
      <c r="BI40" s="4"/>
    </row>
    <row r="41" spans="1:61">
      <c r="A41" s="29" t="str">
        <f>$R$2 &amp;".Port2"</f>
        <v>Диагностика.Eltex_MES3508.Port2</v>
      </c>
      <c r="B41" s="1">
        <v>10015</v>
      </c>
      <c r="C41" s="1" t="s">
        <v>0</v>
      </c>
      <c r="D41" s="334" t="s">
        <v>2946</v>
      </c>
    </row>
    <row r="42" spans="1:61">
      <c r="A42" s="26" t="str">
        <f>$R$2 &amp;".Port2"</f>
        <v>Диагностика.Eltex_MES3508.Port2</v>
      </c>
      <c r="B42" s="27">
        <v>7014</v>
      </c>
      <c r="C42" s="27" t="s">
        <v>278</v>
      </c>
      <c r="D42" s="335" t="str">
        <f>"$"&amp;DEC2HEX($S$2,4)&amp;DEC2HEX($W$2,6)&amp;"000809"</f>
        <v>$0002000001000809</v>
      </c>
    </row>
    <row r="43" spans="1:61">
      <c r="A43" s="23" t="str">
        <f>$R$2 &amp;".Port3"</f>
        <v>Диагностика.Eltex_MES3508.Port3</v>
      </c>
      <c r="B43" s="24">
        <v>1</v>
      </c>
      <c r="C43" s="24" t="s">
        <v>1</v>
      </c>
      <c r="D43" s="333">
        <v>3</v>
      </c>
    </row>
    <row r="44" spans="1:61">
      <c r="A44" s="29" t="str">
        <f>$R$2 &amp;".Port3"</f>
        <v>Диагностика.Eltex_MES3508.Port3</v>
      </c>
      <c r="B44" s="1">
        <v>10015</v>
      </c>
      <c r="C44" s="1" t="s">
        <v>0</v>
      </c>
      <c r="D44" s="334" t="s">
        <v>2947</v>
      </c>
    </row>
    <row r="45" spans="1:61">
      <c r="A45" s="26" t="str">
        <f>$R$2 &amp;".Port3"</f>
        <v>Диагностика.Eltex_MES3508.Port3</v>
      </c>
      <c r="B45" s="27">
        <v>7014</v>
      </c>
      <c r="C45" s="27" t="s">
        <v>278</v>
      </c>
      <c r="D45" s="335" t="str">
        <f>"$"&amp;DEC2HEX($S$2,4)&amp;DEC2HEX($W$2,6)&amp;"000809"</f>
        <v>$0002000001000809</v>
      </c>
    </row>
    <row r="46" spans="1:61">
      <c r="A46" s="29" t="str">
        <f>$R$2 &amp;".Port4"</f>
        <v>Диагностика.Eltex_MES3508.Port4</v>
      </c>
      <c r="B46" s="1">
        <v>1</v>
      </c>
      <c r="C46" s="1" t="s">
        <v>1</v>
      </c>
      <c r="D46" s="334">
        <v>3</v>
      </c>
    </row>
    <row r="47" spans="1:61">
      <c r="A47" s="29" t="str">
        <f>$R$2 &amp;".Port4"</f>
        <v>Диагностика.Eltex_MES3508.Port4</v>
      </c>
      <c r="B47" s="1">
        <v>10015</v>
      </c>
      <c r="C47" s="1" t="s">
        <v>0</v>
      </c>
      <c r="D47" s="334" t="s">
        <v>2948</v>
      </c>
    </row>
    <row r="48" spans="1:61">
      <c r="A48" s="29" t="str">
        <f>$R$2 &amp;".Port4"</f>
        <v>Диагностика.Eltex_MES3508.Port4</v>
      </c>
      <c r="B48" s="1">
        <v>7014</v>
      </c>
      <c r="C48" s="1" t="s">
        <v>278</v>
      </c>
      <c r="D48" s="335" t="str">
        <f>"$"&amp;DEC2HEX($S$2,4)&amp;DEC2HEX($W$2,6)&amp;"000809"</f>
        <v>$0002000001000809</v>
      </c>
    </row>
    <row r="49" spans="1:4">
      <c r="A49" s="23" t="str">
        <f>$R$2 &amp;".Port5"</f>
        <v>Диагностика.Eltex_MES3508.Port5</v>
      </c>
      <c r="B49" s="24">
        <v>1</v>
      </c>
      <c r="C49" s="24" t="s">
        <v>1</v>
      </c>
      <c r="D49" s="333">
        <v>3</v>
      </c>
    </row>
    <row r="50" spans="1:4">
      <c r="A50" s="29" t="str">
        <f>$R$2 &amp;".Port5"</f>
        <v>Диагностика.Eltex_MES3508.Port5</v>
      </c>
      <c r="B50" s="1">
        <v>10015</v>
      </c>
      <c r="C50" s="1" t="s">
        <v>0</v>
      </c>
      <c r="D50" s="334" t="s">
        <v>2949</v>
      </c>
    </row>
    <row r="51" spans="1:4">
      <c r="A51" s="26" t="str">
        <f>$R$2 &amp;".Port5"</f>
        <v>Диагностика.Eltex_MES3508.Port5</v>
      </c>
      <c r="B51" s="27">
        <v>7014</v>
      </c>
      <c r="C51" s="27" t="s">
        <v>278</v>
      </c>
      <c r="D51" s="335" t="str">
        <f>"$"&amp;DEC2HEX($S$2,4)&amp;DEC2HEX($W$2,6)&amp;"000809"</f>
        <v>$0002000001000809</v>
      </c>
    </row>
    <row r="52" spans="1:4">
      <c r="A52" s="23" t="str">
        <f>$R$2 &amp;".Port6"</f>
        <v>Диагностика.Eltex_MES3508.Port6</v>
      </c>
      <c r="B52" s="24">
        <v>1</v>
      </c>
      <c r="C52" s="24" t="s">
        <v>1</v>
      </c>
      <c r="D52" s="333">
        <v>3</v>
      </c>
    </row>
    <row r="53" spans="1:4">
      <c r="A53" s="29" t="str">
        <f>$R$2 &amp;".Port6"</f>
        <v>Диагностика.Eltex_MES3508.Port6</v>
      </c>
      <c r="B53" s="1">
        <v>10015</v>
      </c>
      <c r="C53" s="1" t="s">
        <v>0</v>
      </c>
      <c r="D53" s="334" t="s">
        <v>2950</v>
      </c>
    </row>
    <row r="54" spans="1:4">
      <c r="A54" s="26" t="str">
        <f>$R$2 &amp;".Port6"</f>
        <v>Диагностика.Eltex_MES3508.Port6</v>
      </c>
      <c r="B54" s="27">
        <v>7014</v>
      </c>
      <c r="C54" s="27" t="s">
        <v>278</v>
      </c>
      <c r="D54" s="335" t="str">
        <f>"$"&amp;DEC2HEX($S$2,4)&amp;DEC2HEX($W$2,6)&amp;"000809"</f>
        <v>$0002000001000809</v>
      </c>
    </row>
    <row r="55" spans="1:4">
      <c r="A55" s="23" t="str">
        <f>$R$2 &amp;".Port7"</f>
        <v>Диагностика.Eltex_MES3508.Port7</v>
      </c>
      <c r="B55" s="24">
        <v>1</v>
      </c>
      <c r="C55" s="24" t="s">
        <v>1</v>
      </c>
      <c r="D55" s="333">
        <v>3</v>
      </c>
    </row>
    <row r="56" spans="1:4">
      <c r="A56" s="29" t="str">
        <f>$R$2 &amp;".Port7"</f>
        <v>Диагностика.Eltex_MES3508.Port7</v>
      </c>
      <c r="B56" s="1">
        <v>10015</v>
      </c>
      <c r="C56" s="1" t="s">
        <v>0</v>
      </c>
      <c r="D56" s="334" t="s">
        <v>2951</v>
      </c>
    </row>
    <row r="57" spans="1:4">
      <c r="A57" s="26" t="str">
        <f>$R$2 &amp;".Port7"</f>
        <v>Диагностика.Eltex_MES3508.Port7</v>
      </c>
      <c r="B57" s="27">
        <v>7014</v>
      </c>
      <c r="C57" s="27" t="s">
        <v>278</v>
      </c>
      <c r="D57" s="335" t="str">
        <f>"$"&amp;DEC2HEX($S$2,4)&amp;DEC2HEX($W$2,6)&amp;"000809"</f>
        <v>$0002000001000809</v>
      </c>
    </row>
    <row r="58" spans="1:4">
      <c r="A58" s="23" t="str">
        <f>$R$2 &amp;".Port8"</f>
        <v>Диагностика.Eltex_MES3508.Port8</v>
      </c>
      <c r="B58" s="24">
        <v>1</v>
      </c>
      <c r="C58" s="24" t="s">
        <v>1</v>
      </c>
      <c r="D58" s="333">
        <v>3</v>
      </c>
    </row>
    <row r="59" spans="1:4">
      <c r="A59" s="29" t="str">
        <f>$R$2 &amp;".Port8"</f>
        <v>Диагностика.Eltex_MES3508.Port8</v>
      </c>
      <c r="B59" s="1">
        <v>10015</v>
      </c>
      <c r="C59" s="1" t="s">
        <v>0</v>
      </c>
      <c r="D59" s="334" t="s">
        <v>2952</v>
      </c>
    </row>
    <row r="60" spans="1:4">
      <c r="A60" s="26" t="str">
        <f>$R$2 &amp;".Port8"</f>
        <v>Диагностика.Eltex_MES3508.Port8</v>
      </c>
      <c r="B60" s="27">
        <v>7014</v>
      </c>
      <c r="C60" s="27" t="s">
        <v>278</v>
      </c>
      <c r="D60" s="335" t="str">
        <f>"$"&amp;DEC2HEX($S$2,4)&amp;DEC2HEX($W$2,6)&amp;"000809"</f>
        <v>$0002000001000809</v>
      </c>
    </row>
    <row r="61" spans="1:4">
      <c r="A61" s="23" t="str">
        <f>$R$2 &amp;".Port9"</f>
        <v>Диагностика.Eltex_MES3508.Port9</v>
      </c>
      <c r="B61" s="24">
        <v>1</v>
      </c>
      <c r="C61" s="24" t="s">
        <v>1</v>
      </c>
      <c r="D61" s="333">
        <v>3</v>
      </c>
    </row>
    <row r="62" spans="1:4">
      <c r="A62" s="29" t="str">
        <f>$R$2 &amp;".Port9"</f>
        <v>Диагностика.Eltex_MES3508.Port9</v>
      </c>
      <c r="B62" s="1">
        <v>10015</v>
      </c>
      <c r="C62" s="1" t="s">
        <v>0</v>
      </c>
      <c r="D62" s="334" t="s">
        <v>2953</v>
      </c>
    </row>
    <row r="63" spans="1:4">
      <c r="A63" s="26" t="str">
        <f>$R$2 &amp;".Port9"</f>
        <v>Диагностика.Eltex_MES3508.Port9</v>
      </c>
      <c r="B63" s="27">
        <v>7014</v>
      </c>
      <c r="C63" s="27" t="s">
        <v>278</v>
      </c>
      <c r="D63" s="335" t="str">
        <f>"$"&amp;DEC2HEX($S$2,4)&amp;DEC2HEX($W$2,6)&amp;"000809"</f>
        <v>$0002000001000809</v>
      </c>
    </row>
    <row r="64" spans="1:4">
      <c r="A64" s="23" t="str">
        <f>$R$2 &amp;".Port10"</f>
        <v>Диагностика.Eltex_MES3508.Port10</v>
      </c>
      <c r="B64" s="24">
        <v>1</v>
      </c>
      <c r="C64" s="24" t="s">
        <v>1</v>
      </c>
      <c r="D64" s="333">
        <v>3</v>
      </c>
    </row>
    <row r="65" spans="1:4">
      <c r="A65" s="29" t="str">
        <f>$R$2 &amp;".Port10"</f>
        <v>Диагностика.Eltex_MES3508.Port10</v>
      </c>
      <c r="B65" s="1">
        <v>10015</v>
      </c>
      <c r="C65" s="1" t="s">
        <v>0</v>
      </c>
      <c r="D65" s="334" t="s">
        <v>2954</v>
      </c>
    </row>
    <row r="66" spans="1:4">
      <c r="A66" s="26" t="str">
        <f>$R$2 &amp;".Port10"</f>
        <v>Диагностика.Eltex_MES3508.Port10</v>
      </c>
      <c r="B66" s="27">
        <v>7014</v>
      </c>
      <c r="C66" s="27" t="s">
        <v>278</v>
      </c>
      <c r="D66" s="335" t="str">
        <f>"$"&amp;DEC2HEX($S$2,4)&amp;DEC2HEX($W$2,6)&amp;"000809"</f>
        <v>$0002000001000809</v>
      </c>
    </row>
    <row r="67" spans="1:4">
      <c r="A67" s="217" t="str">
        <f>$R$2 &amp;".Port9.NoLink"</f>
        <v>Диагностика.Eltex_MES3508.Port9.NoLink</v>
      </c>
      <c r="B67" s="218">
        <v>11154</v>
      </c>
      <c r="C67" s="218" t="s">
        <v>4</v>
      </c>
      <c r="D67" s="219">
        <f>$Q$7</f>
        <v>12</v>
      </c>
    </row>
    <row r="68" spans="1:4">
      <c r="A68" s="211" t="str">
        <f t="shared" ref="A68:A74" si="1">$R$2 &amp;".Port9.NoLink"</f>
        <v>Диагностика.Eltex_MES3508.Port9.NoLink</v>
      </c>
      <c r="B68" s="212">
        <v>11152</v>
      </c>
      <c r="C68" s="212" t="s">
        <v>0</v>
      </c>
      <c r="D68" s="220" t="str">
        <f>$R$7</f>
        <v>Неисправность</v>
      </c>
    </row>
    <row r="69" spans="1:4">
      <c r="A69" s="211" t="str">
        <f t="shared" si="1"/>
        <v>Диагностика.Eltex_MES3508.Port9.NoLink</v>
      </c>
      <c r="B69" s="212">
        <v>11150</v>
      </c>
      <c r="C69" s="212" t="s">
        <v>0</v>
      </c>
      <c r="D69" s="213" t="str">
        <f>"Порт 9. Связь c " &amp; $AS$2 &amp; " прервана"</f>
        <v>Порт 9. Связь c Порт 9 прервана</v>
      </c>
    </row>
    <row r="70" spans="1:4">
      <c r="A70" s="211" t="str">
        <f t="shared" si="1"/>
        <v>Диагностика.Eltex_MES3508.Port9.NoLink</v>
      </c>
      <c r="B70" s="212">
        <v>11000</v>
      </c>
      <c r="C70" s="212" t="s">
        <v>5</v>
      </c>
      <c r="D70" s="213">
        <v>2147483680</v>
      </c>
    </row>
    <row r="71" spans="1:4">
      <c r="A71" s="19" t="str">
        <f t="shared" si="1"/>
        <v>Диагностика.Eltex_MES3508.Port9.NoLink</v>
      </c>
      <c r="B71" s="11">
        <v>3</v>
      </c>
      <c r="C71" s="11" t="s">
        <v>1</v>
      </c>
      <c r="D71" s="20">
        <v>192</v>
      </c>
    </row>
    <row r="72" spans="1:4">
      <c r="A72" s="19" t="str">
        <f t="shared" si="1"/>
        <v>Диагностика.Eltex_MES3508.Port9.NoLink</v>
      </c>
      <c r="B72" s="11">
        <v>2</v>
      </c>
      <c r="C72" s="11" t="s">
        <v>2</v>
      </c>
      <c r="D72" s="20" t="s">
        <v>3</v>
      </c>
    </row>
    <row r="73" spans="1:4">
      <c r="A73" s="19" t="str">
        <f t="shared" si="1"/>
        <v>Диагностика.Eltex_MES3508.Port9.NoLink</v>
      </c>
      <c r="B73" s="11">
        <v>1</v>
      </c>
      <c r="C73" s="11" t="s">
        <v>1</v>
      </c>
      <c r="D73" s="20">
        <v>11</v>
      </c>
    </row>
    <row r="74" spans="1:4">
      <c r="A74" s="21" t="str">
        <f t="shared" si="1"/>
        <v>Диагностика.Eltex_MES3508.Port9.NoLink</v>
      </c>
      <c r="B74" s="8">
        <v>3000000</v>
      </c>
      <c r="C74" s="8" t="s">
        <v>0</v>
      </c>
      <c r="D74" s="68" t="str">
        <f>IF($AS$2&lt;&gt;"","IfTrue(#2.Port9,0,1)","")</f>
        <v>IfTrue(#2.Port9,0,1)</v>
      </c>
    </row>
    <row r="75" spans="1:4">
      <c r="A75" s="217" t="str">
        <f>$R$2 &amp;".Port10.NoLink"</f>
        <v>Диагностика.Eltex_MES3508.Port10.NoLink</v>
      </c>
      <c r="B75" s="218">
        <v>11154</v>
      </c>
      <c r="C75" s="218" t="s">
        <v>4</v>
      </c>
      <c r="D75" s="219">
        <f>$Q$7</f>
        <v>12</v>
      </c>
    </row>
    <row r="76" spans="1:4">
      <c r="A76" s="211" t="str">
        <f t="shared" ref="A76:A82" si="2">$R$2 &amp;".Port10.NoLink"</f>
        <v>Диагностика.Eltex_MES3508.Port10.NoLink</v>
      </c>
      <c r="B76" s="212">
        <v>11152</v>
      </c>
      <c r="C76" s="212" t="s">
        <v>0</v>
      </c>
      <c r="D76" s="220" t="str">
        <f>$R$7</f>
        <v>Неисправность</v>
      </c>
    </row>
    <row r="77" spans="1:4">
      <c r="A77" s="211" t="str">
        <f t="shared" si="2"/>
        <v>Диагностика.Eltex_MES3508.Port10.NoLink</v>
      </c>
      <c r="B77" s="212">
        <v>11150</v>
      </c>
      <c r="C77" s="212" t="s">
        <v>0</v>
      </c>
      <c r="D77" s="213" t="str">
        <f>"Порт 10. Связь c " &amp; $AT$2 &amp; " прервана"</f>
        <v>Порт 10. Связь c Порт 10 прервана</v>
      </c>
    </row>
    <row r="78" spans="1:4">
      <c r="A78" s="211" t="str">
        <f t="shared" si="2"/>
        <v>Диагностика.Eltex_MES3508.Port10.NoLink</v>
      </c>
      <c r="B78" s="212">
        <v>11000</v>
      </c>
      <c r="C78" s="212" t="s">
        <v>5</v>
      </c>
      <c r="D78" s="213">
        <v>2147483680</v>
      </c>
    </row>
    <row r="79" spans="1:4">
      <c r="A79" s="19" t="str">
        <f t="shared" si="2"/>
        <v>Диагностика.Eltex_MES3508.Port10.NoLink</v>
      </c>
      <c r="B79" s="11">
        <v>3</v>
      </c>
      <c r="C79" s="11" t="s">
        <v>1</v>
      </c>
      <c r="D79" s="20">
        <v>192</v>
      </c>
    </row>
    <row r="80" spans="1:4">
      <c r="A80" s="19" t="str">
        <f t="shared" si="2"/>
        <v>Диагностика.Eltex_MES3508.Port10.NoLink</v>
      </c>
      <c r="B80" s="11">
        <v>2</v>
      </c>
      <c r="C80" s="11" t="s">
        <v>2</v>
      </c>
      <c r="D80" s="20" t="s">
        <v>3</v>
      </c>
    </row>
    <row r="81" spans="1:4">
      <c r="A81" s="19" t="str">
        <f t="shared" si="2"/>
        <v>Диагностика.Eltex_MES3508.Port10.NoLink</v>
      </c>
      <c r="B81" s="11">
        <v>1</v>
      </c>
      <c r="C81" s="11" t="s">
        <v>1</v>
      </c>
      <c r="D81" s="20">
        <v>11</v>
      </c>
    </row>
    <row r="82" spans="1:4">
      <c r="A82" s="21" t="str">
        <f t="shared" si="2"/>
        <v>Диагностика.Eltex_MES3508.Port10.NoLink</v>
      </c>
      <c r="B82" s="8">
        <v>3000000</v>
      </c>
      <c r="C82" s="8" t="s">
        <v>0</v>
      </c>
      <c r="D82" s="68" t="str">
        <f>IF($AT$2&lt;&gt;"","IfTrue(#2.Port10,0,1)","")</f>
        <v>IfTrue(#2.Port10,0,1)</v>
      </c>
    </row>
  </sheetData>
  <conditionalFormatting sqref="D21:D22">
    <cfRule type="duplicateValues" dxfId="7" priority="1"/>
    <cfRule type="duplicateValues" dxfId="6" priority="2"/>
  </conditionalFormatting>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Лист70">
    <tabColor rgb="FFFFC000"/>
  </sheetPr>
  <dimension ref="A1:BI182"/>
  <sheetViews>
    <sheetView topLeftCell="A16"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1" width="40.33203125" customWidth="1"/>
    <col min="32" max="35" width="9.109375" hidden="1" customWidth="1"/>
    <col min="36" max="36" width="6.88671875"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7.109375" customWidth="1"/>
    <col min="55" max="55" width="10.88671875" customWidth="1"/>
    <col min="57" max="57" width="65.109375" customWidth="1"/>
  </cols>
  <sheetData>
    <row r="1" spans="1:61" s="258" customFormat="1" ht="204.6" thickBot="1">
      <c r="A1" s="257"/>
      <c r="B1" s="260"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F1" s="259"/>
      <c r="BG1" s="259"/>
      <c r="BH1" s="259"/>
      <c r="BI1" s="259"/>
    </row>
    <row r="2" spans="1:61" s="55" customFormat="1" ht="15" customHeight="1">
      <c r="A2" s="377"/>
      <c r="B2" s="377"/>
      <c r="C2" s="377"/>
      <c r="D2" s="377"/>
      <c r="E2" s="377"/>
      <c r="F2" s="377"/>
      <c r="P2" s="378"/>
      <c r="Q2" s="378" t="s">
        <v>2998</v>
      </c>
      <c r="R2" s="378" t="s">
        <v>2996</v>
      </c>
      <c r="S2" s="379">
        <v>2</v>
      </c>
      <c r="T2" s="379"/>
      <c r="U2" s="379"/>
      <c r="V2" s="379" t="s">
        <v>569</v>
      </c>
      <c r="W2" s="380">
        <v>1</v>
      </c>
      <c r="X2" s="380"/>
      <c r="Y2" s="380"/>
      <c r="Z2" s="380" t="s">
        <v>629</v>
      </c>
      <c r="AA2" s="380" t="s">
        <v>3000</v>
      </c>
      <c r="AB2" s="378"/>
      <c r="AC2" s="378"/>
      <c r="AD2" s="378"/>
      <c r="AE2" s="378" t="s">
        <v>1414</v>
      </c>
      <c r="AF2" s="378"/>
      <c r="AG2" s="378"/>
      <c r="AH2" s="378"/>
      <c r="AI2" s="378"/>
      <c r="AJ2" s="378"/>
      <c r="AK2" s="378"/>
      <c r="AL2" s="378"/>
      <c r="AM2" s="378"/>
      <c r="AN2" s="378"/>
      <c r="AO2" s="378"/>
      <c r="AP2" s="378"/>
      <c r="AQ2" s="378"/>
      <c r="AR2" s="378"/>
      <c r="AS2" s="378"/>
      <c r="AT2" s="378"/>
      <c r="AU2" s="378"/>
      <c r="AV2" s="378"/>
      <c r="AW2" s="378"/>
      <c r="AX2" s="378"/>
      <c r="AY2" s="378"/>
      <c r="AZ2" s="378"/>
      <c r="BA2" s="378"/>
      <c r="BF2" s="381"/>
      <c r="BG2" s="381"/>
      <c r="BH2" s="381"/>
      <c r="BI2" s="381"/>
    </row>
    <row r="3" spans="1:61" ht="15" customHeight="1">
      <c r="A3" s="9"/>
      <c r="B3" s="9"/>
      <c r="C3" s="9"/>
      <c r="D3" s="9"/>
      <c r="E3" s="9"/>
      <c r="F3" s="9"/>
      <c r="P3" s="10"/>
      <c r="Q3" s="10"/>
      <c r="R3" s="10"/>
      <c r="S3" s="10"/>
      <c r="T3" s="10"/>
      <c r="U3" s="10"/>
      <c r="V3" s="10"/>
      <c r="W3" s="10"/>
      <c r="X3" s="10"/>
      <c r="Y3" s="10"/>
      <c r="Z3" s="10"/>
      <c r="AA3" s="10"/>
      <c r="BF3" s="4"/>
      <c r="BG3" s="4"/>
      <c r="BH3" s="4"/>
      <c r="BI3" s="4"/>
    </row>
    <row r="4" spans="1:61"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F4" s="4"/>
      <c r="BG4" s="4"/>
      <c r="BH4" s="4"/>
      <c r="BI4" s="4"/>
    </row>
    <row r="5" spans="1:61"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F5" s="4"/>
      <c r="BG5" s="4"/>
      <c r="BH5" s="4"/>
      <c r="BI5" s="4"/>
    </row>
    <row r="6" spans="1:61"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F6" s="4"/>
      <c r="BG6" s="4"/>
      <c r="BH6" s="4"/>
      <c r="BI6" s="4"/>
    </row>
    <row r="7" spans="1:61"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F7" s="4"/>
      <c r="BG7" s="4"/>
      <c r="BH7" s="4"/>
      <c r="BI7" s="4"/>
    </row>
    <row r="8" spans="1:61" ht="15" customHeight="1">
      <c r="A8" s="9"/>
      <c r="B8" s="9"/>
      <c r="C8" s="9"/>
      <c r="D8" s="9"/>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BF8" s="4"/>
      <c r="BG8" s="4"/>
      <c r="BH8" s="4"/>
      <c r="BI8" s="4"/>
    </row>
    <row r="9" spans="1:61" ht="15" customHeight="1">
      <c r="A9" s="9"/>
      <c r="B9" s="9"/>
      <c r="C9" s="9"/>
      <c r="D9" s="9"/>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BF9" s="4"/>
      <c r="BG9" s="4"/>
      <c r="BH9" s="4"/>
      <c r="BI9" s="4"/>
    </row>
    <row r="10" spans="1:61" ht="15" customHeight="1">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BF10" s="4"/>
      <c r="BG10" s="4"/>
      <c r="BH10" s="4"/>
      <c r="BI10" s="4"/>
    </row>
    <row r="11" spans="1:61" ht="15" customHeight="1">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BF11" s="4"/>
      <c r="BG11" s="4"/>
      <c r="BH11" s="4"/>
      <c r="BI11" s="4"/>
    </row>
    <row r="12" spans="1:61"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BF12" s="4"/>
      <c r="BG12" s="4"/>
      <c r="BH12" s="4"/>
      <c r="BI12" s="4"/>
    </row>
    <row r="13" spans="1:61"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F13" s="4"/>
      <c r="BG13" s="4"/>
      <c r="BH13" s="4"/>
      <c r="BI13" s="4"/>
    </row>
    <row r="14" spans="1:61"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F14" s="4"/>
      <c r="BG14" s="4"/>
      <c r="BH14" s="4"/>
      <c r="BI14" s="4"/>
    </row>
    <row r="15" spans="1:61"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F15" s="4"/>
      <c r="BG15" s="4"/>
      <c r="BH15" s="4"/>
      <c r="BI15" s="4"/>
    </row>
    <row r="16" spans="1:61"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F16" s="4"/>
      <c r="BG16" s="4"/>
      <c r="BH16" s="4"/>
      <c r="BI16" s="4"/>
    </row>
    <row r="17" spans="1:61"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F17" s="4"/>
      <c r="BG17" s="4"/>
      <c r="BH17" s="4"/>
      <c r="BI17" s="4"/>
    </row>
    <row r="18" spans="1:61"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F18" s="4"/>
      <c r="BG18" s="4"/>
      <c r="BH18" s="4"/>
      <c r="BI18" s="4"/>
    </row>
    <row r="19" spans="1:61"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F19" s="4"/>
      <c r="BG19" s="4"/>
      <c r="BH19" s="4"/>
      <c r="BI19" s="4"/>
    </row>
    <row r="20" spans="1:61">
      <c r="A20" s="23" t="str">
        <f>$R$2</f>
        <v>Диагностика.Eltex_MES3348F</v>
      </c>
      <c r="B20" s="24">
        <v>1</v>
      </c>
      <c r="C20" s="24" t="s">
        <v>1</v>
      </c>
      <c r="D20" s="25">
        <v>17</v>
      </c>
    </row>
    <row r="21" spans="1:61" ht="15" customHeight="1">
      <c r="A21" s="19" t="str">
        <f t="shared" ref="A21:A38" si="0">$R$2</f>
        <v>Диагностика.Eltex_MES3348F</v>
      </c>
      <c r="B21" s="11">
        <v>11156</v>
      </c>
      <c r="C21" s="11" t="s">
        <v>0</v>
      </c>
      <c r="D21" s="20" t="str">
        <f>$V$2</f>
        <v>Тестовый экран</v>
      </c>
      <c r="E21" s="4"/>
      <c r="F21" s="4"/>
      <c r="BF21" s="4"/>
      <c r="BG21" s="4"/>
      <c r="BH21" s="4"/>
      <c r="BI21" s="4"/>
    </row>
    <row r="22" spans="1:61">
      <c r="A22" s="29" t="str">
        <f t="shared" si="0"/>
        <v>Диагностика.Eltex_MES3348F</v>
      </c>
      <c r="B22" s="1">
        <v>11001</v>
      </c>
      <c r="C22" s="1" t="s">
        <v>0</v>
      </c>
      <c r="D22" s="30" t="str">
        <f>$Q$2&amp;". "</f>
        <v xml:space="preserve">ELTEX MES3348F. </v>
      </c>
    </row>
    <row r="23" spans="1:61">
      <c r="A23" s="23" t="str">
        <f t="shared" si="0"/>
        <v>Диагностика.Eltex_MES3348F</v>
      </c>
      <c r="B23" s="24">
        <v>11120</v>
      </c>
      <c r="C23" s="24" t="s">
        <v>0</v>
      </c>
      <c r="D23" s="25" t="str">
        <f>$Z$2</f>
        <v>255.255.255.0</v>
      </c>
    </row>
    <row r="24" spans="1:61">
      <c r="A24" s="29" t="str">
        <f t="shared" si="0"/>
        <v>Диагностика.Eltex_MES3348F</v>
      </c>
      <c r="B24" s="1">
        <v>11121</v>
      </c>
      <c r="C24" s="1" t="s">
        <v>0</v>
      </c>
      <c r="D24" s="30" t="str">
        <f>$AA$2</f>
        <v>192.168.78.13</v>
      </c>
    </row>
    <row r="25" spans="1:61">
      <c r="A25" s="29" t="str">
        <f t="shared" si="0"/>
        <v>Диагностика.Eltex_MES3348F</v>
      </c>
      <c r="B25" s="1">
        <v>11122</v>
      </c>
      <c r="C25" s="1" t="s">
        <v>0</v>
      </c>
      <c r="D25" s="509">
        <f>$AK$2</f>
        <v>0</v>
      </c>
    </row>
    <row r="26" spans="1:61">
      <c r="A26" s="29" t="str">
        <f t="shared" si="0"/>
        <v>Диагностика.Eltex_MES3348F</v>
      </c>
      <c r="B26" s="1">
        <v>11123</v>
      </c>
      <c r="C26" s="1" t="s">
        <v>0</v>
      </c>
      <c r="D26" s="509">
        <f>$AL$2</f>
        <v>0</v>
      </c>
    </row>
    <row r="27" spans="1:61">
      <c r="A27" s="29" t="str">
        <f t="shared" si="0"/>
        <v>Диагностика.Eltex_MES3348F</v>
      </c>
      <c r="B27" s="1">
        <v>11124</v>
      </c>
      <c r="C27" s="1" t="s">
        <v>0</v>
      </c>
      <c r="D27" s="509">
        <f>$AM$2</f>
        <v>0</v>
      </c>
    </row>
    <row r="28" spans="1:61">
      <c r="A28" s="29" t="str">
        <f t="shared" si="0"/>
        <v>Диагностика.Eltex_MES3348F</v>
      </c>
      <c r="B28" s="1">
        <v>11125</v>
      </c>
      <c r="C28" s="1" t="s">
        <v>0</v>
      </c>
      <c r="D28" s="509">
        <f>$AN$2</f>
        <v>0</v>
      </c>
    </row>
    <row r="29" spans="1:61">
      <c r="A29" s="29" t="str">
        <f t="shared" si="0"/>
        <v>Диагностика.Eltex_MES3348F</v>
      </c>
      <c r="B29" s="1">
        <v>11126</v>
      </c>
      <c r="C29" s="1" t="s">
        <v>0</v>
      </c>
      <c r="D29" s="509">
        <f>$AO$2</f>
        <v>0</v>
      </c>
    </row>
    <row r="30" spans="1:61">
      <c r="A30" s="29" t="str">
        <f t="shared" si="0"/>
        <v>Диагностика.Eltex_MES3348F</v>
      </c>
      <c r="B30" s="1">
        <v>11127</v>
      </c>
      <c r="C30" s="1" t="s">
        <v>0</v>
      </c>
      <c r="D30" s="509">
        <f>$AP$2</f>
        <v>0</v>
      </c>
    </row>
    <row r="31" spans="1:61">
      <c r="A31" s="29" t="str">
        <f t="shared" si="0"/>
        <v>Диагностика.Eltex_MES3348F</v>
      </c>
      <c r="B31" s="1">
        <v>11128</v>
      </c>
      <c r="C31" s="1" t="s">
        <v>0</v>
      </c>
      <c r="D31" s="509">
        <f>$AQ$2</f>
        <v>0</v>
      </c>
    </row>
    <row r="32" spans="1:61">
      <c r="A32" s="29" t="str">
        <f t="shared" si="0"/>
        <v>Диагностика.Eltex_MES3348F</v>
      </c>
      <c r="B32" s="1">
        <v>11129</v>
      </c>
      <c r="C32" s="1" t="s">
        <v>0</v>
      </c>
      <c r="D32" s="509">
        <f>$AR$2</f>
        <v>0</v>
      </c>
    </row>
    <row r="33" spans="1:61">
      <c r="A33" s="29" t="str">
        <f t="shared" si="0"/>
        <v>Диагностика.Eltex_MES3348F</v>
      </c>
      <c r="B33" s="1">
        <v>11135</v>
      </c>
      <c r="C33" s="1" t="s">
        <v>0</v>
      </c>
      <c r="D33" s="509">
        <f>$AS$2</f>
        <v>0</v>
      </c>
    </row>
    <row r="34" spans="1:61">
      <c r="A34" s="29" t="str">
        <f t="shared" si="0"/>
        <v>Диагностика.Eltex_MES3348F</v>
      </c>
      <c r="B34" s="1">
        <v>11136</v>
      </c>
      <c r="C34" s="1" t="s">
        <v>0</v>
      </c>
      <c r="D34" s="509">
        <f>$AT$2</f>
        <v>0</v>
      </c>
    </row>
    <row r="35" spans="1:61">
      <c r="A35" s="29" t="str">
        <f t="shared" si="0"/>
        <v>Диагностика.Eltex_MES3348F</v>
      </c>
      <c r="B35" s="1">
        <v>11137</v>
      </c>
      <c r="C35" s="1" t="s">
        <v>0</v>
      </c>
      <c r="D35" s="508">
        <f>$AU$2</f>
        <v>0</v>
      </c>
    </row>
    <row r="36" spans="1:61">
      <c r="A36" s="26" t="str">
        <f t="shared" si="0"/>
        <v>Диагностика.Eltex_MES3348F</v>
      </c>
      <c r="B36" s="27">
        <v>11138</v>
      </c>
      <c r="C36" s="27" t="s">
        <v>0</v>
      </c>
      <c r="D36" s="510">
        <f>$AV$2</f>
        <v>0</v>
      </c>
    </row>
    <row r="37" spans="1:61">
      <c r="A37" s="16" t="str">
        <f t="shared" si="0"/>
        <v>Диагностика.Eltex_MES3348F</v>
      </c>
      <c r="B37" s="17">
        <v>13</v>
      </c>
      <c r="C37" s="17" t="s">
        <v>2</v>
      </c>
      <c r="D37" s="18" t="s">
        <v>3</v>
      </c>
    </row>
    <row r="38" spans="1:61" ht="15" customHeight="1">
      <c r="A38" s="19" t="str">
        <f t="shared" si="0"/>
        <v>Диагностика.Eltex_MES3348F</v>
      </c>
      <c r="B38" s="11">
        <v>3000013</v>
      </c>
      <c r="C38" s="11" t="s">
        <v>0</v>
      </c>
      <c r="D38" s="20" t="str">
        <f>$AE$2</f>
        <v>Диагностика.CPU.NOT_LINK.noLink</v>
      </c>
      <c r="BF38" s="4"/>
      <c r="BG38" s="4"/>
      <c r="BH38" s="4"/>
      <c r="BI38" s="4"/>
    </row>
    <row r="39" spans="1:61" ht="15" customHeight="1">
      <c r="A39" s="23" t="str">
        <f>$R$2 &amp;".Port1"</f>
        <v>Диагностика.Eltex_MES3348F.Port1</v>
      </c>
      <c r="B39" s="24">
        <v>1</v>
      </c>
      <c r="C39" s="24" t="s">
        <v>1</v>
      </c>
      <c r="D39" s="333">
        <v>3</v>
      </c>
      <c r="BF39" s="4"/>
      <c r="BG39" s="4"/>
      <c r="BH39" s="4"/>
      <c r="BI39" s="4"/>
    </row>
    <row r="40" spans="1:61" ht="15" customHeight="1">
      <c r="A40" s="29" t="str">
        <f>$R$2 &amp;".Port1"</f>
        <v>Диагностика.Eltex_MES3348F.Port1</v>
      </c>
      <c r="B40" s="1">
        <v>10015</v>
      </c>
      <c r="C40" s="1" t="s">
        <v>0</v>
      </c>
      <c r="D40" s="334" t="s">
        <v>2945</v>
      </c>
      <c r="BF40" s="4"/>
      <c r="BG40" s="4"/>
      <c r="BH40" s="4"/>
      <c r="BI40" s="4"/>
    </row>
    <row r="41" spans="1:61" ht="15" customHeight="1">
      <c r="A41" s="26" t="str">
        <f>$R$2 &amp;".Port1"</f>
        <v>Диагностика.Eltex_MES3348F.Port1</v>
      </c>
      <c r="B41" s="27">
        <v>7014</v>
      </c>
      <c r="C41" s="27" t="s">
        <v>278</v>
      </c>
      <c r="D41" s="335" t="str">
        <f>"$"&amp;DEC2HEX($S$2,4)&amp;DEC2HEX($W$2,6)&amp;"000809"</f>
        <v>$0002000001000809</v>
      </c>
      <c r="BF41" s="4"/>
      <c r="BG41" s="4"/>
      <c r="BH41" s="4"/>
      <c r="BI41" s="4"/>
    </row>
    <row r="42" spans="1:61" ht="15" customHeight="1">
      <c r="A42" s="23" t="str">
        <f>$R$2 &amp;".Port2"</f>
        <v>Диагностика.Eltex_MES3348F.Port2</v>
      </c>
      <c r="B42" s="24">
        <v>1</v>
      </c>
      <c r="C42" s="24" t="s">
        <v>1</v>
      </c>
      <c r="D42" s="333">
        <v>3</v>
      </c>
      <c r="BF42" s="4"/>
      <c r="BG42" s="4"/>
      <c r="BH42" s="4"/>
      <c r="BI42" s="4"/>
    </row>
    <row r="43" spans="1:61">
      <c r="A43" s="29" t="str">
        <f>$R$2 &amp;".Port2"</f>
        <v>Диагностика.Eltex_MES3348F.Port2</v>
      </c>
      <c r="B43" s="1">
        <v>10015</v>
      </c>
      <c r="C43" s="1" t="s">
        <v>0</v>
      </c>
      <c r="D43" s="334" t="s">
        <v>2946</v>
      </c>
    </row>
    <row r="44" spans="1:61">
      <c r="A44" s="26" t="str">
        <f>$R$2 &amp;".Port2"</f>
        <v>Диагностика.Eltex_MES3348F.Port2</v>
      </c>
      <c r="B44" s="27">
        <v>7014</v>
      </c>
      <c r="C44" s="27" t="s">
        <v>278</v>
      </c>
      <c r="D44" s="335" t="str">
        <f>"$"&amp;DEC2HEX($S$2,4)&amp;DEC2HEX($W$2,6)&amp;"000809"</f>
        <v>$0002000001000809</v>
      </c>
    </row>
    <row r="45" spans="1:61">
      <c r="A45" s="23" t="str">
        <f>$R$2 &amp;".Port3"</f>
        <v>Диагностика.Eltex_MES3348F.Port3</v>
      </c>
      <c r="B45" s="24">
        <v>1</v>
      </c>
      <c r="C45" s="24" t="s">
        <v>1</v>
      </c>
      <c r="D45" s="333">
        <v>3</v>
      </c>
    </row>
    <row r="46" spans="1:61">
      <c r="A46" s="29" t="str">
        <f>$R$2 &amp;".Port3"</f>
        <v>Диагностика.Eltex_MES3348F.Port3</v>
      </c>
      <c r="B46" s="1">
        <v>10015</v>
      </c>
      <c r="C46" s="1" t="s">
        <v>0</v>
      </c>
      <c r="D46" s="334" t="s">
        <v>2947</v>
      </c>
    </row>
    <row r="47" spans="1:61">
      <c r="A47" s="26" t="str">
        <f>$R$2 &amp;".Port3"</f>
        <v>Диагностика.Eltex_MES3348F.Port3</v>
      </c>
      <c r="B47" s="27">
        <v>7014</v>
      </c>
      <c r="C47" s="27" t="s">
        <v>278</v>
      </c>
      <c r="D47" s="335" t="str">
        <f>"$"&amp;DEC2HEX($S$2,4)&amp;DEC2HEX($W$2,6)&amp;"000809"</f>
        <v>$0002000001000809</v>
      </c>
    </row>
    <row r="48" spans="1:61">
      <c r="A48" s="29" t="str">
        <f>$R$2 &amp;".Port4"</f>
        <v>Диагностика.Eltex_MES3348F.Port4</v>
      </c>
      <c r="B48" s="1">
        <v>1</v>
      </c>
      <c r="C48" s="1" t="s">
        <v>1</v>
      </c>
      <c r="D48" s="334">
        <v>3</v>
      </c>
    </row>
    <row r="49" spans="1:4">
      <c r="A49" s="29" t="str">
        <f>$R$2 &amp;".Port4"</f>
        <v>Диагностика.Eltex_MES3348F.Port4</v>
      </c>
      <c r="B49" s="1">
        <v>10015</v>
      </c>
      <c r="C49" s="1" t="s">
        <v>0</v>
      </c>
      <c r="D49" s="334" t="s">
        <v>2948</v>
      </c>
    </row>
    <row r="50" spans="1:4">
      <c r="A50" s="29" t="str">
        <f>$R$2 &amp;".Port4"</f>
        <v>Диагностика.Eltex_MES3348F.Port4</v>
      </c>
      <c r="B50" s="1">
        <v>7014</v>
      </c>
      <c r="C50" s="1" t="s">
        <v>278</v>
      </c>
      <c r="D50" s="335" t="str">
        <f>"$"&amp;DEC2HEX($S$2,4)&amp;DEC2HEX($W$2,6)&amp;"000809"</f>
        <v>$0002000001000809</v>
      </c>
    </row>
    <row r="51" spans="1:4">
      <c r="A51" s="23" t="str">
        <f>$R$2 &amp;".Port5"</f>
        <v>Диагностика.Eltex_MES3348F.Port5</v>
      </c>
      <c r="B51" s="24">
        <v>1</v>
      </c>
      <c r="C51" s="24" t="s">
        <v>1</v>
      </c>
      <c r="D51" s="333">
        <v>3</v>
      </c>
    </row>
    <row r="52" spans="1:4">
      <c r="A52" s="29" t="str">
        <f>$R$2 &amp;".Port5"</f>
        <v>Диагностика.Eltex_MES3348F.Port5</v>
      </c>
      <c r="B52" s="1">
        <v>10015</v>
      </c>
      <c r="C52" s="1" t="s">
        <v>0</v>
      </c>
      <c r="D52" s="334" t="s">
        <v>2949</v>
      </c>
    </row>
    <row r="53" spans="1:4">
      <c r="A53" s="26" t="str">
        <f>$R$2 &amp;".Port5"</f>
        <v>Диагностика.Eltex_MES3348F.Port5</v>
      </c>
      <c r="B53" s="27">
        <v>7014</v>
      </c>
      <c r="C53" s="27" t="s">
        <v>278</v>
      </c>
      <c r="D53" s="335" t="str">
        <f>"$"&amp;DEC2HEX($S$2,4)&amp;DEC2HEX($W$2,6)&amp;"000809"</f>
        <v>$0002000001000809</v>
      </c>
    </row>
    <row r="54" spans="1:4">
      <c r="A54" s="23" t="str">
        <f>$R$2 &amp;".Port6"</f>
        <v>Диагностика.Eltex_MES3348F.Port6</v>
      </c>
      <c r="B54" s="24">
        <v>1</v>
      </c>
      <c r="C54" s="24" t="s">
        <v>1</v>
      </c>
      <c r="D54" s="333">
        <v>3</v>
      </c>
    </row>
    <row r="55" spans="1:4">
      <c r="A55" s="29" t="str">
        <f>$R$2 &amp;".Port6"</f>
        <v>Диагностика.Eltex_MES3348F.Port6</v>
      </c>
      <c r="B55" s="1">
        <v>10015</v>
      </c>
      <c r="C55" s="1" t="s">
        <v>0</v>
      </c>
      <c r="D55" s="334" t="s">
        <v>2950</v>
      </c>
    </row>
    <row r="56" spans="1:4">
      <c r="A56" s="26" t="str">
        <f>$R$2 &amp;".Port6"</f>
        <v>Диагностика.Eltex_MES3348F.Port6</v>
      </c>
      <c r="B56" s="27">
        <v>7014</v>
      </c>
      <c r="C56" s="27" t="s">
        <v>278</v>
      </c>
      <c r="D56" s="335" t="str">
        <f>"$"&amp;DEC2HEX($S$2,4)&amp;DEC2HEX($W$2,6)&amp;"000809"</f>
        <v>$0002000001000809</v>
      </c>
    </row>
    <row r="57" spans="1:4">
      <c r="A57" s="23" t="str">
        <f>$R$2 &amp;".Port7"</f>
        <v>Диагностика.Eltex_MES3348F.Port7</v>
      </c>
      <c r="B57" s="24">
        <v>1</v>
      </c>
      <c r="C57" s="24" t="s">
        <v>1</v>
      </c>
      <c r="D57" s="333">
        <v>3</v>
      </c>
    </row>
    <row r="58" spans="1:4">
      <c r="A58" s="29" t="str">
        <f>$R$2 &amp;".Port7"</f>
        <v>Диагностика.Eltex_MES3348F.Port7</v>
      </c>
      <c r="B58" s="1">
        <v>10015</v>
      </c>
      <c r="C58" s="1" t="s">
        <v>0</v>
      </c>
      <c r="D58" s="334" t="s">
        <v>2951</v>
      </c>
    </row>
    <row r="59" spans="1:4">
      <c r="A59" s="26" t="str">
        <f>$R$2 &amp;".Port7"</f>
        <v>Диагностика.Eltex_MES3348F.Port7</v>
      </c>
      <c r="B59" s="27">
        <v>7014</v>
      </c>
      <c r="C59" s="27" t="s">
        <v>278</v>
      </c>
      <c r="D59" s="335" t="str">
        <f>"$"&amp;DEC2HEX($S$2,4)&amp;DEC2HEX($W$2,6)&amp;"000809"</f>
        <v>$0002000001000809</v>
      </c>
    </row>
    <row r="60" spans="1:4">
      <c r="A60" s="23" t="str">
        <f>$R$2 &amp;".Port8"</f>
        <v>Диагностика.Eltex_MES3348F.Port8</v>
      </c>
      <c r="B60" s="24">
        <v>1</v>
      </c>
      <c r="C60" s="24" t="s">
        <v>1</v>
      </c>
      <c r="D60" s="333">
        <v>3</v>
      </c>
    </row>
    <row r="61" spans="1:4">
      <c r="A61" s="29" t="str">
        <f>$R$2 &amp;".Port8"</f>
        <v>Диагностика.Eltex_MES3348F.Port8</v>
      </c>
      <c r="B61" s="1">
        <v>10015</v>
      </c>
      <c r="C61" s="1" t="s">
        <v>0</v>
      </c>
      <c r="D61" s="334" t="s">
        <v>2952</v>
      </c>
    </row>
    <row r="62" spans="1:4">
      <c r="A62" s="26" t="str">
        <f>$R$2 &amp;".Port8"</f>
        <v>Диагностика.Eltex_MES3348F.Port8</v>
      </c>
      <c r="B62" s="27">
        <v>7014</v>
      </c>
      <c r="C62" s="27" t="s">
        <v>278</v>
      </c>
      <c r="D62" s="335" t="str">
        <f>"$"&amp;DEC2HEX($S$2,4)&amp;DEC2HEX($W$2,6)&amp;"000809"</f>
        <v>$0002000001000809</v>
      </c>
    </row>
    <row r="63" spans="1:4">
      <c r="A63" s="23" t="str">
        <f>$R$2 &amp;".Port9"</f>
        <v>Диагностика.Eltex_MES3348F.Port9</v>
      </c>
      <c r="B63" s="24">
        <v>1</v>
      </c>
      <c r="C63" s="24" t="s">
        <v>1</v>
      </c>
      <c r="D63" s="333">
        <v>3</v>
      </c>
    </row>
    <row r="64" spans="1:4">
      <c r="A64" s="29" t="str">
        <f>$R$2 &amp;".Port9"</f>
        <v>Диагностика.Eltex_MES3348F.Port9</v>
      </c>
      <c r="B64" s="1">
        <v>10015</v>
      </c>
      <c r="C64" s="1" t="s">
        <v>0</v>
      </c>
      <c r="D64" s="334" t="s">
        <v>2953</v>
      </c>
    </row>
    <row r="65" spans="1:4">
      <c r="A65" s="26" t="str">
        <f>$R$2 &amp;".Port9"</f>
        <v>Диагностика.Eltex_MES3348F.Port9</v>
      </c>
      <c r="B65" s="27">
        <v>7014</v>
      </c>
      <c r="C65" s="27" t="s">
        <v>278</v>
      </c>
      <c r="D65" s="335" t="str">
        <f>"$"&amp;DEC2HEX($S$2,4)&amp;DEC2HEX($W$2,6)&amp;"000809"</f>
        <v>$0002000001000809</v>
      </c>
    </row>
    <row r="66" spans="1:4">
      <c r="A66" s="23" t="str">
        <f>$R$2 &amp;".Port10"</f>
        <v>Диагностика.Eltex_MES3348F.Port10</v>
      </c>
      <c r="B66" s="24">
        <v>1</v>
      </c>
      <c r="C66" s="24" t="s">
        <v>1</v>
      </c>
      <c r="D66" s="333">
        <v>3</v>
      </c>
    </row>
    <row r="67" spans="1:4">
      <c r="A67" s="29" t="str">
        <f>$R$2 &amp;".Port10"</f>
        <v>Диагностика.Eltex_MES3348F.Port10</v>
      </c>
      <c r="B67" s="1">
        <v>10015</v>
      </c>
      <c r="C67" s="1" t="s">
        <v>0</v>
      </c>
      <c r="D67" s="334" t="s">
        <v>2954</v>
      </c>
    </row>
    <row r="68" spans="1:4">
      <c r="A68" s="26" t="str">
        <f>$R$2 &amp;".Port10"</f>
        <v>Диагностика.Eltex_MES3348F.Port10</v>
      </c>
      <c r="B68" s="27">
        <v>7014</v>
      </c>
      <c r="C68" s="27" t="s">
        <v>278</v>
      </c>
      <c r="D68" s="335" t="str">
        <f>"$"&amp;DEC2HEX($S$2,4)&amp;DEC2HEX($W$2,6)&amp;"000809"</f>
        <v>$0002000001000809</v>
      </c>
    </row>
    <row r="69" spans="1:4">
      <c r="A69" s="23" t="str">
        <f>$R$2 &amp;".Port11"</f>
        <v>Диагностика.Eltex_MES3348F.Port11</v>
      </c>
      <c r="B69" s="24">
        <v>1</v>
      </c>
      <c r="C69" s="24" t="s">
        <v>1</v>
      </c>
      <c r="D69" s="333">
        <v>3</v>
      </c>
    </row>
    <row r="70" spans="1:4">
      <c r="A70" s="29" t="str">
        <f>$R$2 &amp;".Port11"</f>
        <v>Диагностика.Eltex_MES3348F.Port11</v>
      </c>
      <c r="B70" s="1">
        <v>10015</v>
      </c>
      <c r="C70" s="1" t="s">
        <v>0</v>
      </c>
      <c r="D70" s="334" t="s">
        <v>2955</v>
      </c>
    </row>
    <row r="71" spans="1:4">
      <c r="A71" s="26" t="str">
        <f>$R$2 &amp;".Port11"</f>
        <v>Диагностика.Eltex_MES3348F.Port11</v>
      </c>
      <c r="B71" s="27">
        <v>7014</v>
      </c>
      <c r="C71" s="27" t="s">
        <v>278</v>
      </c>
      <c r="D71" s="335" t="str">
        <f>"$"&amp;DEC2HEX($S$2,4)&amp;DEC2HEX($W$2,6)&amp;"000809"</f>
        <v>$0002000001000809</v>
      </c>
    </row>
    <row r="72" spans="1:4">
      <c r="A72" s="23" t="str">
        <f>$R$2 &amp;".Port12"</f>
        <v>Диагностика.Eltex_MES3348F.Port12</v>
      </c>
      <c r="B72" s="24">
        <v>1</v>
      </c>
      <c r="C72" s="24" t="s">
        <v>1</v>
      </c>
      <c r="D72" s="333">
        <v>3</v>
      </c>
    </row>
    <row r="73" spans="1:4">
      <c r="A73" s="29" t="str">
        <f>$R$2 &amp;".Port12"</f>
        <v>Диагностика.Eltex_MES3348F.Port12</v>
      </c>
      <c r="B73" s="1">
        <v>10015</v>
      </c>
      <c r="C73" s="1" t="s">
        <v>0</v>
      </c>
      <c r="D73" s="334" t="s">
        <v>2956</v>
      </c>
    </row>
    <row r="74" spans="1:4">
      <c r="A74" s="26" t="str">
        <f>$R$2 &amp;".Port12"</f>
        <v>Диагностика.Eltex_MES3348F.Port12</v>
      </c>
      <c r="B74" s="27">
        <v>7014</v>
      </c>
      <c r="C74" s="27" t="s">
        <v>278</v>
      </c>
      <c r="D74" s="335" t="str">
        <f>"$"&amp;DEC2HEX($S$2,4)&amp;DEC2HEX($W$2,6)&amp;"000809"</f>
        <v>$0002000001000809</v>
      </c>
    </row>
    <row r="75" spans="1:4">
      <c r="A75" s="23" t="str">
        <f>$R$2 &amp;".Port13"</f>
        <v>Диагностика.Eltex_MES3348F.Port13</v>
      </c>
      <c r="B75" s="24">
        <v>1</v>
      </c>
      <c r="C75" s="24" t="s">
        <v>1</v>
      </c>
      <c r="D75" s="333">
        <v>3</v>
      </c>
    </row>
    <row r="76" spans="1:4">
      <c r="A76" s="29" t="str">
        <f>$R$2 &amp;".Port13"</f>
        <v>Диагностика.Eltex_MES3348F.Port13</v>
      </c>
      <c r="B76" s="1">
        <v>10015</v>
      </c>
      <c r="C76" s="1" t="s">
        <v>0</v>
      </c>
      <c r="D76" s="334" t="s">
        <v>2957</v>
      </c>
    </row>
    <row r="77" spans="1:4">
      <c r="A77" s="26" t="str">
        <f>$R$2 &amp;".Port13"</f>
        <v>Диагностика.Eltex_MES3348F.Port13</v>
      </c>
      <c r="B77" s="27">
        <v>7014</v>
      </c>
      <c r="C77" s="27" t="s">
        <v>278</v>
      </c>
      <c r="D77" s="335" t="str">
        <f>"$"&amp;DEC2HEX($S$2,4)&amp;DEC2HEX($W$2,6)&amp;"000809"</f>
        <v>$0002000001000809</v>
      </c>
    </row>
    <row r="78" spans="1:4">
      <c r="A78" s="29" t="str">
        <f>$R$2 &amp;".Port14"</f>
        <v>Диагностика.Eltex_MES3348F.Port14</v>
      </c>
      <c r="B78" s="1">
        <v>1</v>
      </c>
      <c r="C78" s="1" t="s">
        <v>1</v>
      </c>
      <c r="D78" s="334">
        <v>3</v>
      </c>
    </row>
    <row r="79" spans="1:4">
      <c r="A79" s="29" t="str">
        <f>$R$2 &amp;".Port14"</f>
        <v>Диагностика.Eltex_MES3348F.Port14</v>
      </c>
      <c r="B79" s="1">
        <v>10015</v>
      </c>
      <c r="C79" s="1" t="s">
        <v>0</v>
      </c>
      <c r="D79" s="334" t="s">
        <v>2958</v>
      </c>
    </row>
    <row r="80" spans="1:4">
      <c r="A80" s="29" t="str">
        <f>$R$2 &amp;".Port14"</f>
        <v>Диагностика.Eltex_MES3348F.Port14</v>
      </c>
      <c r="B80" s="1">
        <v>7014</v>
      </c>
      <c r="C80" s="1" t="s">
        <v>278</v>
      </c>
      <c r="D80" s="335" t="str">
        <f>"$"&amp;DEC2HEX($S$2,4)&amp;DEC2HEX($W$2,6)&amp;"000809"</f>
        <v>$0002000001000809</v>
      </c>
    </row>
    <row r="81" spans="1:4">
      <c r="A81" s="23" t="str">
        <f>$R$2 &amp;".Port15"</f>
        <v>Диагностика.Eltex_MES3348F.Port15</v>
      </c>
      <c r="B81" s="24">
        <v>1</v>
      </c>
      <c r="C81" s="24" t="s">
        <v>1</v>
      </c>
      <c r="D81" s="333">
        <v>3</v>
      </c>
    </row>
    <row r="82" spans="1:4">
      <c r="A82" s="29" t="str">
        <f>$R$2 &amp;".Port15"</f>
        <v>Диагностика.Eltex_MES3348F.Port15</v>
      </c>
      <c r="B82" s="1">
        <v>10015</v>
      </c>
      <c r="C82" s="1" t="s">
        <v>0</v>
      </c>
      <c r="D82" s="334" t="s">
        <v>2959</v>
      </c>
    </row>
    <row r="83" spans="1:4">
      <c r="A83" s="26" t="str">
        <f>$R$2 &amp;".Port15"</f>
        <v>Диагностика.Eltex_MES3348F.Port15</v>
      </c>
      <c r="B83" s="27">
        <v>7014</v>
      </c>
      <c r="C83" s="27" t="s">
        <v>278</v>
      </c>
      <c r="D83" s="335" t="str">
        <f>"$"&amp;DEC2HEX($S$2,4)&amp;DEC2HEX($W$2,6)&amp;"000809"</f>
        <v>$0002000001000809</v>
      </c>
    </row>
    <row r="84" spans="1:4">
      <c r="A84" s="23" t="str">
        <f>$R$2 &amp;".Port16"</f>
        <v>Диагностика.Eltex_MES3348F.Port16</v>
      </c>
      <c r="B84" s="24">
        <v>1</v>
      </c>
      <c r="C84" s="24" t="s">
        <v>1</v>
      </c>
      <c r="D84" s="333">
        <v>3</v>
      </c>
    </row>
    <row r="85" spans="1:4">
      <c r="A85" s="29" t="str">
        <f>$R$2 &amp;".Port16"</f>
        <v>Диагностика.Eltex_MES3348F.Port16</v>
      </c>
      <c r="B85" s="1">
        <v>10015</v>
      </c>
      <c r="C85" s="1" t="s">
        <v>0</v>
      </c>
      <c r="D85" s="334" t="s">
        <v>2960</v>
      </c>
    </row>
    <row r="86" spans="1:4">
      <c r="A86" s="26" t="str">
        <f>$R$2 &amp;".Port16"</f>
        <v>Диагностика.Eltex_MES3348F.Port16</v>
      </c>
      <c r="B86" s="27">
        <v>7014</v>
      </c>
      <c r="C86" s="27" t="s">
        <v>278</v>
      </c>
      <c r="D86" s="335" t="str">
        <f>"$"&amp;DEC2HEX($S$2,4)&amp;DEC2HEX($W$2,6)&amp;"000809"</f>
        <v>$0002000001000809</v>
      </c>
    </row>
    <row r="87" spans="1:4">
      <c r="A87" s="23" t="str">
        <f>$R$2 &amp;".Port17"</f>
        <v>Диагностика.Eltex_MES3348F.Port17</v>
      </c>
      <c r="B87" s="24">
        <v>1</v>
      </c>
      <c r="C87" s="24" t="s">
        <v>1</v>
      </c>
      <c r="D87" s="333">
        <v>3</v>
      </c>
    </row>
    <row r="88" spans="1:4">
      <c r="A88" s="29" t="str">
        <f>$R$2 &amp;".Port17"</f>
        <v>Диагностика.Eltex_MES3348F.Port17</v>
      </c>
      <c r="B88" s="1">
        <v>10015</v>
      </c>
      <c r="C88" s="1" t="s">
        <v>0</v>
      </c>
      <c r="D88" s="334" t="s">
        <v>2961</v>
      </c>
    </row>
    <row r="89" spans="1:4">
      <c r="A89" s="26" t="str">
        <f>$R$2 &amp;".Port17"</f>
        <v>Диагностика.Eltex_MES3348F.Port17</v>
      </c>
      <c r="B89" s="27">
        <v>7014</v>
      </c>
      <c r="C89" s="27" t="s">
        <v>278</v>
      </c>
      <c r="D89" s="335" t="str">
        <f>"$"&amp;DEC2HEX($S$2,4)&amp;DEC2HEX($W$2,6)&amp;"000809"</f>
        <v>$0002000001000809</v>
      </c>
    </row>
    <row r="90" spans="1:4">
      <c r="A90" s="23" t="str">
        <f>$R$2 &amp;".Port18"</f>
        <v>Диагностика.Eltex_MES3348F.Port18</v>
      </c>
      <c r="B90" s="24">
        <v>1</v>
      </c>
      <c r="C90" s="24" t="s">
        <v>1</v>
      </c>
      <c r="D90" s="333">
        <v>3</v>
      </c>
    </row>
    <row r="91" spans="1:4">
      <c r="A91" s="29" t="str">
        <f>$R$2 &amp;".Port18"</f>
        <v>Диагностика.Eltex_MES3348F.Port18</v>
      </c>
      <c r="B91" s="1">
        <v>10015</v>
      </c>
      <c r="C91" s="1" t="s">
        <v>0</v>
      </c>
      <c r="D91" s="334" t="s">
        <v>2962</v>
      </c>
    </row>
    <row r="92" spans="1:4">
      <c r="A92" s="26" t="str">
        <f>$R$2 &amp;".Port18"</f>
        <v>Диагностика.Eltex_MES3348F.Port18</v>
      </c>
      <c r="B92" s="27">
        <v>7014</v>
      </c>
      <c r="C92" s="27" t="s">
        <v>278</v>
      </c>
      <c r="D92" s="335" t="str">
        <f>"$"&amp;DEC2HEX($S$2,4)&amp;DEC2HEX($W$2,6)&amp;"000809"</f>
        <v>$0002000001000809</v>
      </c>
    </row>
    <row r="93" spans="1:4">
      <c r="A93" s="23" t="str">
        <f>$R$2 &amp;".Port19"</f>
        <v>Диагностика.Eltex_MES3348F.Port19</v>
      </c>
      <c r="B93" s="24">
        <v>1</v>
      </c>
      <c r="C93" s="24" t="s">
        <v>1</v>
      </c>
      <c r="D93" s="333">
        <v>3</v>
      </c>
    </row>
    <row r="94" spans="1:4">
      <c r="A94" s="29" t="str">
        <f>$R$2 &amp;".Port19"</f>
        <v>Диагностика.Eltex_MES3348F.Port19</v>
      </c>
      <c r="B94" s="1">
        <v>10015</v>
      </c>
      <c r="C94" s="1" t="s">
        <v>0</v>
      </c>
      <c r="D94" s="334" t="s">
        <v>2963</v>
      </c>
    </row>
    <row r="95" spans="1:4">
      <c r="A95" s="26" t="str">
        <f>$R$2 &amp;".Port19"</f>
        <v>Диагностика.Eltex_MES3348F.Port19</v>
      </c>
      <c r="B95" s="27">
        <v>7014</v>
      </c>
      <c r="C95" s="27" t="s">
        <v>278</v>
      </c>
      <c r="D95" s="335" t="str">
        <f>"$"&amp;DEC2HEX($S$2,4)&amp;DEC2HEX($W$2,6)&amp;"000809"</f>
        <v>$0002000001000809</v>
      </c>
    </row>
    <row r="96" spans="1:4">
      <c r="A96" s="23" t="str">
        <f>$R$2 &amp;".Port20"</f>
        <v>Диагностика.Eltex_MES3348F.Port20</v>
      </c>
      <c r="B96" s="24">
        <v>1</v>
      </c>
      <c r="C96" s="24" t="s">
        <v>1</v>
      </c>
      <c r="D96" s="333">
        <v>3</v>
      </c>
    </row>
    <row r="97" spans="1:4">
      <c r="A97" s="29" t="str">
        <f t="shared" ref="A97:A98" si="1">$R$2 &amp;".Port20"</f>
        <v>Диагностика.Eltex_MES3348F.Port20</v>
      </c>
      <c r="B97" s="1">
        <v>10015</v>
      </c>
      <c r="C97" s="1" t="s">
        <v>0</v>
      </c>
      <c r="D97" s="334" t="s">
        <v>2964</v>
      </c>
    </row>
    <row r="98" spans="1:4">
      <c r="A98" s="26" t="str">
        <f t="shared" si="1"/>
        <v>Диагностика.Eltex_MES3348F.Port20</v>
      </c>
      <c r="B98" s="27">
        <v>7014</v>
      </c>
      <c r="C98" s="27" t="s">
        <v>278</v>
      </c>
      <c r="D98" s="335" t="str">
        <f>"$"&amp;DEC2HEX($S$2,4)&amp;DEC2HEX($W$2,6)&amp;"000809"</f>
        <v>$0002000001000809</v>
      </c>
    </row>
    <row r="99" spans="1:4">
      <c r="A99" s="23" t="str">
        <f>$R$2 &amp;".Port21"</f>
        <v>Диагностика.Eltex_MES3348F.Port21</v>
      </c>
      <c r="B99" s="24">
        <v>1</v>
      </c>
      <c r="C99" s="24" t="s">
        <v>1</v>
      </c>
      <c r="D99" s="333">
        <v>3</v>
      </c>
    </row>
    <row r="100" spans="1:4">
      <c r="A100" s="29" t="str">
        <f>$R$2 &amp;".Port21"</f>
        <v>Диагностика.Eltex_MES3348F.Port21</v>
      </c>
      <c r="B100" s="1">
        <v>10015</v>
      </c>
      <c r="C100" s="1" t="s">
        <v>0</v>
      </c>
      <c r="D100" s="334" t="s">
        <v>2965</v>
      </c>
    </row>
    <row r="101" spans="1:4">
      <c r="A101" s="26" t="str">
        <f>$R$2 &amp;".Port21"</f>
        <v>Диагностика.Eltex_MES3348F.Port21</v>
      </c>
      <c r="B101" s="27">
        <v>7014</v>
      </c>
      <c r="C101" s="27" t="s">
        <v>278</v>
      </c>
      <c r="D101" s="335" t="str">
        <f>"$"&amp;DEC2HEX($S$2,4)&amp;DEC2HEX($W$2,6)&amp;"000809"</f>
        <v>$0002000001000809</v>
      </c>
    </row>
    <row r="102" spans="1:4">
      <c r="A102" s="23" t="str">
        <f>$R$2 &amp;".Port22"</f>
        <v>Диагностика.Eltex_MES3348F.Port22</v>
      </c>
      <c r="B102" s="24">
        <v>1</v>
      </c>
      <c r="C102" s="24" t="s">
        <v>1</v>
      </c>
      <c r="D102" s="333">
        <v>3</v>
      </c>
    </row>
    <row r="103" spans="1:4">
      <c r="A103" s="29" t="str">
        <f>$R$2 &amp;".Port22"</f>
        <v>Диагностика.Eltex_MES3348F.Port22</v>
      </c>
      <c r="B103" s="1">
        <v>10015</v>
      </c>
      <c r="C103" s="1" t="s">
        <v>0</v>
      </c>
      <c r="D103" s="334" t="s">
        <v>2966</v>
      </c>
    </row>
    <row r="104" spans="1:4">
      <c r="A104" s="26" t="str">
        <f>$R$2 &amp;".Port22"</f>
        <v>Диагностика.Eltex_MES3348F.Port22</v>
      </c>
      <c r="B104" s="27">
        <v>7014</v>
      </c>
      <c r="C104" s="27" t="s">
        <v>278</v>
      </c>
      <c r="D104" s="335" t="str">
        <f>"$"&amp;DEC2HEX($S$2,4)&amp;DEC2HEX($W$2,6)&amp;"000809"</f>
        <v>$0002000001000809</v>
      </c>
    </row>
    <row r="105" spans="1:4">
      <c r="A105" s="23" t="str">
        <f>$R$2 &amp;".Port23"</f>
        <v>Диагностика.Eltex_MES3348F.Port23</v>
      </c>
      <c r="B105" s="24">
        <v>1</v>
      </c>
      <c r="C105" s="24" t="s">
        <v>1</v>
      </c>
      <c r="D105" s="333">
        <v>3</v>
      </c>
    </row>
    <row r="106" spans="1:4">
      <c r="A106" s="29" t="str">
        <f>$R$2 &amp;".Port23"</f>
        <v>Диагностика.Eltex_MES3348F.Port23</v>
      </c>
      <c r="B106" s="1">
        <v>10015</v>
      </c>
      <c r="C106" s="1" t="s">
        <v>0</v>
      </c>
      <c r="D106" s="334" t="s">
        <v>2967</v>
      </c>
    </row>
    <row r="107" spans="1:4">
      <c r="A107" s="26" t="str">
        <f>$R$2 &amp;".Port23"</f>
        <v>Диагностика.Eltex_MES3348F.Port23</v>
      </c>
      <c r="B107" s="27">
        <v>7014</v>
      </c>
      <c r="C107" s="27" t="s">
        <v>278</v>
      </c>
      <c r="D107" s="335" t="str">
        <f>"$"&amp;DEC2HEX($S$2,4)&amp;DEC2HEX($W$2,6)&amp;"000809"</f>
        <v>$0002000001000809</v>
      </c>
    </row>
    <row r="108" spans="1:4">
      <c r="A108" s="29" t="str">
        <f>$R$2 &amp;".Port24"</f>
        <v>Диагностика.Eltex_MES3348F.Port24</v>
      </c>
      <c r="B108" s="1">
        <v>1</v>
      </c>
      <c r="C108" s="1" t="s">
        <v>1</v>
      </c>
      <c r="D108" s="334">
        <v>3</v>
      </c>
    </row>
    <row r="109" spans="1:4">
      <c r="A109" s="29" t="str">
        <f>$R$2 &amp;".Port24"</f>
        <v>Диагностика.Eltex_MES3348F.Port24</v>
      </c>
      <c r="B109" s="1">
        <v>10015</v>
      </c>
      <c r="C109" s="1" t="s">
        <v>0</v>
      </c>
      <c r="D109" s="334" t="s">
        <v>2968</v>
      </c>
    </row>
    <row r="110" spans="1:4">
      <c r="A110" s="29" t="str">
        <f>$R$2 &amp;".Port24"</f>
        <v>Диагностика.Eltex_MES3348F.Port24</v>
      </c>
      <c r="B110" s="1">
        <v>7014</v>
      </c>
      <c r="C110" s="1" t="s">
        <v>278</v>
      </c>
      <c r="D110" s="335" t="str">
        <f>"$"&amp;DEC2HEX($S$2,4)&amp;DEC2HEX($W$2,6)&amp;"000809"</f>
        <v>$0002000001000809</v>
      </c>
    </row>
    <row r="111" spans="1:4">
      <c r="A111" s="23" t="str">
        <f>$R$2 &amp;".Port25"</f>
        <v>Диагностика.Eltex_MES3348F.Port25</v>
      </c>
      <c r="B111" s="24">
        <v>1</v>
      </c>
      <c r="C111" s="24" t="s">
        <v>1</v>
      </c>
      <c r="D111" s="333">
        <v>3</v>
      </c>
    </row>
    <row r="112" spans="1:4">
      <c r="A112" s="29" t="str">
        <f>$R$2 &amp;".Port25"</f>
        <v>Диагностика.Eltex_MES3348F.Port25</v>
      </c>
      <c r="B112" s="1">
        <v>10015</v>
      </c>
      <c r="C112" s="1" t="s">
        <v>0</v>
      </c>
      <c r="D112" s="334" t="s">
        <v>2969</v>
      </c>
    </row>
    <row r="113" spans="1:4">
      <c r="A113" s="26" t="str">
        <f>$R$2 &amp;".Port25"</f>
        <v>Диагностика.Eltex_MES3348F.Port25</v>
      </c>
      <c r="B113" s="27">
        <v>7014</v>
      </c>
      <c r="C113" s="27" t="s">
        <v>278</v>
      </c>
      <c r="D113" s="335" t="str">
        <f>"$"&amp;DEC2HEX($S$2,4)&amp;DEC2HEX($W$2,6)&amp;"000809"</f>
        <v>$0002000001000809</v>
      </c>
    </row>
    <row r="114" spans="1:4">
      <c r="A114" s="23" t="str">
        <f>$R$2 &amp;".Port26"</f>
        <v>Диагностика.Eltex_MES3348F.Port26</v>
      </c>
      <c r="B114" s="24">
        <v>1</v>
      </c>
      <c r="C114" s="24" t="s">
        <v>1</v>
      </c>
      <c r="D114" s="333">
        <v>3</v>
      </c>
    </row>
    <row r="115" spans="1:4">
      <c r="A115" s="29" t="str">
        <f>$R$2 &amp;".Port26"</f>
        <v>Диагностика.Eltex_MES3348F.Port26</v>
      </c>
      <c r="B115" s="1">
        <v>10015</v>
      </c>
      <c r="C115" s="1" t="s">
        <v>0</v>
      </c>
      <c r="D115" s="334" t="s">
        <v>2970</v>
      </c>
    </row>
    <row r="116" spans="1:4">
      <c r="A116" s="26" t="str">
        <f>$R$2 &amp;".Port26"</f>
        <v>Диагностика.Eltex_MES3348F.Port26</v>
      </c>
      <c r="B116" s="27">
        <v>7014</v>
      </c>
      <c r="C116" s="27" t="s">
        <v>278</v>
      </c>
      <c r="D116" s="335" t="str">
        <f>"$"&amp;DEC2HEX($S$2,4)&amp;DEC2HEX($W$2,6)&amp;"000809"</f>
        <v>$0002000001000809</v>
      </c>
    </row>
    <row r="117" spans="1:4">
      <c r="A117" s="23" t="str">
        <f>$R$2 &amp;".Port27"</f>
        <v>Диагностика.Eltex_MES3348F.Port27</v>
      </c>
      <c r="B117" s="24">
        <v>1</v>
      </c>
      <c r="C117" s="24" t="s">
        <v>1</v>
      </c>
      <c r="D117" s="333">
        <v>3</v>
      </c>
    </row>
    <row r="118" spans="1:4">
      <c r="A118" s="29" t="str">
        <f>$R$2 &amp;".Port27"</f>
        <v>Диагностика.Eltex_MES3348F.Port27</v>
      </c>
      <c r="B118" s="1">
        <v>10015</v>
      </c>
      <c r="C118" s="1" t="s">
        <v>0</v>
      </c>
      <c r="D118" s="334" t="s">
        <v>2971</v>
      </c>
    </row>
    <row r="119" spans="1:4">
      <c r="A119" s="26" t="str">
        <f>$R$2 &amp;".Port27"</f>
        <v>Диагностика.Eltex_MES3348F.Port27</v>
      </c>
      <c r="B119" s="27">
        <v>7014</v>
      </c>
      <c r="C119" s="27" t="s">
        <v>278</v>
      </c>
      <c r="D119" s="335" t="str">
        <f>"$"&amp;DEC2HEX($S$2,4)&amp;DEC2HEX($W$2,6)&amp;"000809"</f>
        <v>$0002000001000809</v>
      </c>
    </row>
    <row r="120" spans="1:4">
      <c r="A120" s="23" t="str">
        <f>$R$2 &amp;".Port28"</f>
        <v>Диагностика.Eltex_MES3348F.Port28</v>
      </c>
      <c r="B120" s="24">
        <v>1</v>
      </c>
      <c r="C120" s="24" t="s">
        <v>1</v>
      </c>
      <c r="D120" s="333">
        <v>3</v>
      </c>
    </row>
    <row r="121" spans="1:4">
      <c r="A121" s="29" t="str">
        <f>$R$2 &amp;".Port28"</f>
        <v>Диагностика.Eltex_MES3348F.Port28</v>
      </c>
      <c r="B121" s="1">
        <v>10015</v>
      </c>
      <c r="C121" s="1" t="s">
        <v>0</v>
      </c>
      <c r="D121" s="334" t="s">
        <v>2972</v>
      </c>
    </row>
    <row r="122" spans="1:4">
      <c r="A122" s="26" t="str">
        <f>$R$2 &amp;".Port28"</f>
        <v>Диагностика.Eltex_MES3348F.Port28</v>
      </c>
      <c r="B122" s="27">
        <v>7014</v>
      </c>
      <c r="C122" s="27" t="s">
        <v>278</v>
      </c>
      <c r="D122" s="335" t="str">
        <f>"$"&amp;DEC2HEX($S$2,4)&amp;DEC2HEX($W$2,6)&amp;"000809"</f>
        <v>$0002000001000809</v>
      </c>
    </row>
    <row r="123" spans="1:4">
      <c r="A123" s="23" t="str">
        <f>$R$2 &amp;".Port29"</f>
        <v>Диагностика.Eltex_MES3348F.Port29</v>
      </c>
      <c r="B123" s="24">
        <v>1</v>
      </c>
      <c r="C123" s="24" t="s">
        <v>1</v>
      </c>
      <c r="D123" s="333">
        <v>3</v>
      </c>
    </row>
    <row r="124" spans="1:4">
      <c r="A124" s="29" t="str">
        <f>$R$2 &amp;".Port29"</f>
        <v>Диагностика.Eltex_MES3348F.Port29</v>
      </c>
      <c r="B124" s="1">
        <v>10015</v>
      </c>
      <c r="C124" s="1" t="s">
        <v>0</v>
      </c>
      <c r="D124" s="334" t="s">
        <v>2973</v>
      </c>
    </row>
    <row r="125" spans="1:4">
      <c r="A125" s="26" t="str">
        <f>$R$2 &amp;".Port29"</f>
        <v>Диагностика.Eltex_MES3348F.Port29</v>
      </c>
      <c r="B125" s="27">
        <v>7014</v>
      </c>
      <c r="C125" s="27" t="s">
        <v>278</v>
      </c>
      <c r="D125" s="335" t="str">
        <f>"$"&amp;DEC2HEX($S$2,4)&amp;DEC2HEX($W$2,6)&amp;"000809"</f>
        <v>$0002000001000809</v>
      </c>
    </row>
    <row r="126" spans="1:4">
      <c r="A126" s="23" t="str">
        <f>$R$2 &amp;".Port30"</f>
        <v>Диагностика.Eltex_MES3348F.Port30</v>
      </c>
      <c r="B126" s="24">
        <v>1</v>
      </c>
      <c r="C126" s="24" t="s">
        <v>1</v>
      </c>
      <c r="D126" s="333">
        <v>3</v>
      </c>
    </row>
    <row r="127" spans="1:4">
      <c r="A127" s="29" t="str">
        <f>$R$2 &amp;".Port30"</f>
        <v>Диагностика.Eltex_MES3348F.Port30</v>
      </c>
      <c r="B127" s="1">
        <v>10015</v>
      </c>
      <c r="C127" s="1" t="s">
        <v>0</v>
      </c>
      <c r="D127" s="334" t="s">
        <v>2974</v>
      </c>
    </row>
    <row r="128" spans="1:4">
      <c r="A128" s="26" t="str">
        <f>$R$2 &amp;".Port30"</f>
        <v>Диагностика.Eltex_MES3348F.Port30</v>
      </c>
      <c r="B128" s="27">
        <v>7014</v>
      </c>
      <c r="C128" s="27" t="s">
        <v>278</v>
      </c>
      <c r="D128" s="335" t="str">
        <f>"$"&amp;DEC2HEX($S$2,4)&amp;DEC2HEX($W$2,6)&amp;"000809"</f>
        <v>$0002000001000809</v>
      </c>
    </row>
    <row r="129" spans="1:4">
      <c r="A129" s="23" t="str">
        <f>$R$2 &amp;".Port31"</f>
        <v>Диагностика.Eltex_MES3348F.Port31</v>
      </c>
      <c r="B129" s="24">
        <v>1</v>
      </c>
      <c r="C129" s="24" t="s">
        <v>1</v>
      </c>
      <c r="D129" s="333">
        <v>3</v>
      </c>
    </row>
    <row r="130" spans="1:4">
      <c r="A130" s="29" t="str">
        <f>$R$2 &amp;".Port31"</f>
        <v>Диагностика.Eltex_MES3348F.Port31</v>
      </c>
      <c r="B130" s="1">
        <v>10015</v>
      </c>
      <c r="C130" s="1" t="s">
        <v>0</v>
      </c>
      <c r="D130" s="334" t="s">
        <v>2975</v>
      </c>
    </row>
    <row r="131" spans="1:4">
      <c r="A131" s="26" t="str">
        <f>$R$2 &amp;".Port31"</f>
        <v>Диагностика.Eltex_MES3348F.Port31</v>
      </c>
      <c r="B131" s="27">
        <v>7014</v>
      </c>
      <c r="C131" s="27" t="s">
        <v>278</v>
      </c>
      <c r="D131" s="335" t="str">
        <f>"$"&amp;DEC2HEX($S$2,4)&amp;DEC2HEX($W$2,6)&amp;"000809"</f>
        <v>$0002000001000809</v>
      </c>
    </row>
    <row r="132" spans="1:4">
      <c r="A132" s="23" t="str">
        <f>$R$2 &amp;".Port32"</f>
        <v>Диагностика.Eltex_MES3348F.Port32</v>
      </c>
      <c r="B132" s="24">
        <v>1</v>
      </c>
      <c r="C132" s="24" t="s">
        <v>1</v>
      </c>
      <c r="D132" s="333">
        <v>3</v>
      </c>
    </row>
    <row r="133" spans="1:4">
      <c r="A133" s="29" t="str">
        <f>$R$2 &amp;".Port32"</f>
        <v>Диагностика.Eltex_MES3348F.Port32</v>
      </c>
      <c r="B133" s="1">
        <v>10015</v>
      </c>
      <c r="C133" s="1" t="s">
        <v>0</v>
      </c>
      <c r="D133" s="334" t="s">
        <v>2976</v>
      </c>
    </row>
    <row r="134" spans="1:4">
      <c r="A134" s="26" t="str">
        <f>$R$2 &amp;".Port32"</f>
        <v>Диагностика.Eltex_MES3348F.Port32</v>
      </c>
      <c r="B134" s="27">
        <v>7014</v>
      </c>
      <c r="C134" s="27" t="s">
        <v>278</v>
      </c>
      <c r="D134" s="335" t="str">
        <f>"$"&amp;DEC2HEX($S$2,4)&amp;DEC2HEX($W$2,6)&amp;"000809"</f>
        <v>$0002000001000809</v>
      </c>
    </row>
    <row r="135" spans="1:4">
      <c r="A135" s="23" t="str">
        <f>$R$2 &amp;".Port33"</f>
        <v>Диагностика.Eltex_MES3348F.Port33</v>
      </c>
      <c r="B135" s="24">
        <v>1</v>
      </c>
      <c r="C135" s="24" t="s">
        <v>1</v>
      </c>
      <c r="D135" s="333">
        <v>3</v>
      </c>
    </row>
    <row r="136" spans="1:4">
      <c r="A136" s="29" t="str">
        <f>$R$2 &amp;".Port33"</f>
        <v>Диагностика.Eltex_MES3348F.Port33</v>
      </c>
      <c r="B136" s="1">
        <v>10015</v>
      </c>
      <c r="C136" s="1" t="s">
        <v>0</v>
      </c>
      <c r="D136" s="334" t="s">
        <v>2977</v>
      </c>
    </row>
    <row r="137" spans="1:4">
      <c r="A137" s="26" t="str">
        <f>$R$2 &amp;".Port33"</f>
        <v>Диагностика.Eltex_MES3348F.Port33</v>
      </c>
      <c r="B137" s="27">
        <v>7014</v>
      </c>
      <c r="C137" s="27" t="s">
        <v>278</v>
      </c>
      <c r="D137" s="335" t="str">
        <f>"$"&amp;DEC2HEX($S$2,4)&amp;DEC2HEX($W$2,6)&amp;"000809"</f>
        <v>$0002000001000809</v>
      </c>
    </row>
    <row r="138" spans="1:4">
      <c r="A138" s="29" t="str">
        <f>$R$2 &amp;".Port34"</f>
        <v>Диагностика.Eltex_MES3348F.Port34</v>
      </c>
      <c r="B138" s="1">
        <v>1</v>
      </c>
      <c r="C138" s="1" t="s">
        <v>1</v>
      </c>
      <c r="D138" s="334">
        <v>3</v>
      </c>
    </row>
    <row r="139" spans="1:4">
      <c r="A139" s="29" t="str">
        <f>$R$2 &amp;".Port34"</f>
        <v>Диагностика.Eltex_MES3348F.Port34</v>
      </c>
      <c r="B139" s="1">
        <v>10015</v>
      </c>
      <c r="C139" s="1" t="s">
        <v>0</v>
      </c>
      <c r="D139" s="334" t="s">
        <v>2978</v>
      </c>
    </row>
    <row r="140" spans="1:4">
      <c r="A140" s="29" t="str">
        <f>$R$2 &amp;".Port34"</f>
        <v>Диагностика.Eltex_MES3348F.Port34</v>
      </c>
      <c r="B140" s="1">
        <v>7014</v>
      </c>
      <c r="C140" s="1" t="s">
        <v>278</v>
      </c>
      <c r="D140" s="335" t="str">
        <f>"$"&amp;DEC2HEX($S$2,4)&amp;DEC2HEX($W$2,6)&amp;"000809"</f>
        <v>$0002000001000809</v>
      </c>
    </row>
    <row r="141" spans="1:4">
      <c r="A141" s="23" t="str">
        <f>$R$2 &amp;".Port35"</f>
        <v>Диагностика.Eltex_MES3348F.Port35</v>
      </c>
      <c r="B141" s="24">
        <v>1</v>
      </c>
      <c r="C141" s="24" t="s">
        <v>1</v>
      </c>
      <c r="D141" s="333">
        <v>3</v>
      </c>
    </row>
    <row r="142" spans="1:4">
      <c r="A142" s="29" t="str">
        <f>$R$2 &amp;".Port35"</f>
        <v>Диагностика.Eltex_MES3348F.Port35</v>
      </c>
      <c r="B142" s="1">
        <v>10015</v>
      </c>
      <c r="C142" s="1" t="s">
        <v>0</v>
      </c>
      <c r="D142" s="334" t="s">
        <v>2979</v>
      </c>
    </row>
    <row r="143" spans="1:4">
      <c r="A143" s="26" t="str">
        <f>$R$2 &amp;".Port35"</f>
        <v>Диагностика.Eltex_MES3348F.Port35</v>
      </c>
      <c r="B143" s="27">
        <v>7014</v>
      </c>
      <c r="C143" s="27" t="s">
        <v>278</v>
      </c>
      <c r="D143" s="335" t="str">
        <f>"$"&amp;DEC2HEX($S$2,4)&amp;DEC2HEX($W$2,6)&amp;"000809"</f>
        <v>$0002000001000809</v>
      </c>
    </row>
    <row r="144" spans="1:4">
      <c r="A144" s="23" t="str">
        <f>$R$2 &amp;".Port36"</f>
        <v>Диагностика.Eltex_MES3348F.Port36</v>
      </c>
      <c r="B144" s="24">
        <v>1</v>
      </c>
      <c r="C144" s="24" t="s">
        <v>1</v>
      </c>
      <c r="D144" s="333">
        <v>3</v>
      </c>
    </row>
    <row r="145" spans="1:4">
      <c r="A145" s="29" t="str">
        <f>$R$2 &amp;".Port36"</f>
        <v>Диагностика.Eltex_MES3348F.Port36</v>
      </c>
      <c r="B145" s="1">
        <v>10015</v>
      </c>
      <c r="C145" s="1" t="s">
        <v>0</v>
      </c>
      <c r="D145" s="334" t="s">
        <v>2980</v>
      </c>
    </row>
    <row r="146" spans="1:4">
      <c r="A146" s="26" t="str">
        <f>$R$2 &amp;".Port36"</f>
        <v>Диагностика.Eltex_MES3348F.Port36</v>
      </c>
      <c r="B146" s="27">
        <v>7014</v>
      </c>
      <c r="C146" s="27" t="s">
        <v>278</v>
      </c>
      <c r="D146" s="335" t="str">
        <f>"$"&amp;DEC2HEX($S$2,4)&amp;DEC2HEX($W$2,6)&amp;"000809"</f>
        <v>$0002000001000809</v>
      </c>
    </row>
    <row r="147" spans="1:4">
      <c r="A147" s="23" t="str">
        <f>$R$2 &amp;".Port37"</f>
        <v>Диагностика.Eltex_MES3348F.Port37</v>
      </c>
      <c r="B147" s="24">
        <v>1</v>
      </c>
      <c r="C147" s="24" t="s">
        <v>1</v>
      </c>
      <c r="D147" s="333">
        <v>3</v>
      </c>
    </row>
    <row r="148" spans="1:4">
      <c r="A148" s="29" t="str">
        <f>$R$2 &amp;".Port37"</f>
        <v>Диагностика.Eltex_MES3348F.Port37</v>
      </c>
      <c r="B148" s="1">
        <v>10015</v>
      </c>
      <c r="C148" s="1" t="s">
        <v>0</v>
      </c>
      <c r="D148" s="334" t="s">
        <v>2981</v>
      </c>
    </row>
    <row r="149" spans="1:4">
      <c r="A149" s="26" t="str">
        <f>$R$2 &amp;".Port37"</f>
        <v>Диагностика.Eltex_MES3348F.Port37</v>
      </c>
      <c r="B149" s="27">
        <v>7014</v>
      </c>
      <c r="C149" s="27" t="s">
        <v>278</v>
      </c>
      <c r="D149" s="335" t="str">
        <f>"$"&amp;DEC2HEX($S$2,4)&amp;DEC2HEX($W$2,6)&amp;"000809"</f>
        <v>$0002000001000809</v>
      </c>
    </row>
    <row r="150" spans="1:4">
      <c r="A150" s="23" t="str">
        <f>$R$2 &amp;".Port38"</f>
        <v>Диагностика.Eltex_MES3348F.Port38</v>
      </c>
      <c r="B150" s="24">
        <v>1</v>
      </c>
      <c r="C150" s="24" t="s">
        <v>1</v>
      </c>
      <c r="D150" s="333">
        <v>3</v>
      </c>
    </row>
    <row r="151" spans="1:4">
      <c r="A151" s="29" t="str">
        <f>$R$2 &amp;".Port38"</f>
        <v>Диагностика.Eltex_MES3348F.Port38</v>
      </c>
      <c r="B151" s="1">
        <v>10015</v>
      </c>
      <c r="C151" s="1" t="s">
        <v>0</v>
      </c>
      <c r="D151" s="334" t="s">
        <v>2982</v>
      </c>
    </row>
    <row r="152" spans="1:4">
      <c r="A152" s="26" t="str">
        <f>$R$2 &amp;".Port38"</f>
        <v>Диагностика.Eltex_MES3348F.Port38</v>
      </c>
      <c r="B152" s="27">
        <v>7014</v>
      </c>
      <c r="C152" s="27" t="s">
        <v>278</v>
      </c>
      <c r="D152" s="335" t="str">
        <f>"$"&amp;DEC2HEX($S$2,4)&amp;DEC2HEX($W$2,6)&amp;"000809"</f>
        <v>$0002000001000809</v>
      </c>
    </row>
    <row r="153" spans="1:4">
      <c r="A153" s="23" t="str">
        <f>$R$2 &amp;".Port39"</f>
        <v>Диагностика.Eltex_MES3348F.Port39</v>
      </c>
      <c r="B153" s="24">
        <v>1</v>
      </c>
      <c r="C153" s="24" t="s">
        <v>1</v>
      </c>
      <c r="D153" s="333">
        <v>3</v>
      </c>
    </row>
    <row r="154" spans="1:4">
      <c r="A154" s="29" t="str">
        <f>$R$2 &amp;".Port39"</f>
        <v>Диагностика.Eltex_MES3348F.Port39</v>
      </c>
      <c r="B154" s="1">
        <v>10015</v>
      </c>
      <c r="C154" s="1" t="s">
        <v>0</v>
      </c>
      <c r="D154" s="334" t="s">
        <v>2983</v>
      </c>
    </row>
    <row r="155" spans="1:4">
      <c r="A155" s="26" t="str">
        <f>$R$2 &amp;".Port39"</f>
        <v>Диагностика.Eltex_MES3348F.Port39</v>
      </c>
      <c r="B155" s="27">
        <v>7014</v>
      </c>
      <c r="C155" s="27" t="s">
        <v>278</v>
      </c>
      <c r="D155" s="335" t="str">
        <f>"$"&amp;DEC2HEX($S$2,4)&amp;DEC2HEX($W$2,6)&amp;"000809"</f>
        <v>$0002000001000809</v>
      </c>
    </row>
    <row r="156" spans="1:4">
      <c r="A156" s="23" t="str">
        <f>$R$2 &amp;".Port40"</f>
        <v>Диагностика.Eltex_MES3348F.Port40</v>
      </c>
      <c r="B156" s="24">
        <v>1</v>
      </c>
      <c r="C156" s="24" t="s">
        <v>1</v>
      </c>
      <c r="D156" s="333">
        <v>3</v>
      </c>
    </row>
    <row r="157" spans="1:4">
      <c r="A157" s="29" t="str">
        <f>$R$2 &amp;".Port40"</f>
        <v>Диагностика.Eltex_MES3348F.Port40</v>
      </c>
      <c r="B157" s="1">
        <v>10015</v>
      </c>
      <c r="C157" s="1" t="s">
        <v>0</v>
      </c>
      <c r="D157" s="334" t="s">
        <v>2984</v>
      </c>
    </row>
    <row r="158" spans="1:4">
      <c r="A158" s="26" t="str">
        <f>$R$2 &amp;".Port40"</f>
        <v>Диагностика.Eltex_MES3348F.Port40</v>
      </c>
      <c r="B158" s="27">
        <v>7014</v>
      </c>
      <c r="C158" s="27" t="s">
        <v>278</v>
      </c>
      <c r="D158" s="335" t="str">
        <f>"$"&amp;DEC2HEX($S$2,4)&amp;DEC2HEX($W$2,6)&amp;"000809"</f>
        <v>$0002000001000809</v>
      </c>
    </row>
    <row r="159" spans="1:4">
      <c r="A159" s="23" t="str">
        <f>$R$2 &amp;".Port41"</f>
        <v>Диагностика.Eltex_MES3348F.Port41</v>
      </c>
      <c r="B159" s="24">
        <v>1</v>
      </c>
      <c r="C159" s="24" t="s">
        <v>1</v>
      </c>
      <c r="D159" s="333">
        <v>3</v>
      </c>
    </row>
    <row r="160" spans="1:4">
      <c r="A160" s="29" t="str">
        <f>$R$2 &amp;".Port41"</f>
        <v>Диагностика.Eltex_MES3348F.Port41</v>
      </c>
      <c r="B160" s="1">
        <v>10015</v>
      </c>
      <c r="C160" s="1" t="s">
        <v>0</v>
      </c>
      <c r="D160" s="334" t="s">
        <v>2985</v>
      </c>
    </row>
    <row r="161" spans="1:4">
      <c r="A161" s="26" t="str">
        <f>$R$2 &amp;".Port41"</f>
        <v>Диагностика.Eltex_MES3348F.Port41</v>
      </c>
      <c r="B161" s="27">
        <v>7014</v>
      </c>
      <c r="C161" s="27" t="s">
        <v>278</v>
      </c>
      <c r="D161" s="335" t="str">
        <f>"$"&amp;DEC2HEX($S$2,4)&amp;DEC2HEX($W$2,6)&amp;"000809"</f>
        <v>$0002000001000809</v>
      </c>
    </row>
    <row r="162" spans="1:4">
      <c r="A162" s="23" t="str">
        <f>$R$2 &amp;".Port42"</f>
        <v>Диагностика.Eltex_MES3348F.Port42</v>
      </c>
      <c r="B162" s="24">
        <v>1</v>
      </c>
      <c r="C162" s="24" t="s">
        <v>1</v>
      </c>
      <c r="D162" s="333">
        <v>3</v>
      </c>
    </row>
    <row r="163" spans="1:4">
      <c r="A163" s="29" t="str">
        <f>$R$2 &amp;".Port42"</f>
        <v>Диагностика.Eltex_MES3348F.Port42</v>
      </c>
      <c r="B163" s="1">
        <v>10015</v>
      </c>
      <c r="C163" s="1" t="s">
        <v>0</v>
      </c>
      <c r="D163" s="334" t="s">
        <v>2986</v>
      </c>
    </row>
    <row r="164" spans="1:4">
      <c r="A164" s="26" t="str">
        <f>$R$2 &amp;".Port42"</f>
        <v>Диагностика.Eltex_MES3348F.Port42</v>
      </c>
      <c r="B164" s="27">
        <v>7014</v>
      </c>
      <c r="C164" s="27" t="s">
        <v>278</v>
      </c>
      <c r="D164" s="335" t="str">
        <f>"$"&amp;DEC2HEX($S$2,4)&amp;DEC2HEX($W$2,6)&amp;"000809"</f>
        <v>$0002000001000809</v>
      </c>
    </row>
    <row r="165" spans="1:4">
      <c r="A165" s="23" t="str">
        <f>$R$2 &amp;".Port43"</f>
        <v>Диагностика.Eltex_MES3348F.Port43</v>
      </c>
      <c r="B165" s="24">
        <v>1</v>
      </c>
      <c r="C165" s="24" t="s">
        <v>1</v>
      </c>
      <c r="D165" s="333">
        <v>3</v>
      </c>
    </row>
    <row r="166" spans="1:4">
      <c r="A166" s="29" t="str">
        <f>$R$2 &amp;".Port43"</f>
        <v>Диагностика.Eltex_MES3348F.Port43</v>
      </c>
      <c r="B166" s="1">
        <v>10015</v>
      </c>
      <c r="C166" s="1" t="s">
        <v>0</v>
      </c>
      <c r="D166" s="334" t="s">
        <v>2987</v>
      </c>
    </row>
    <row r="167" spans="1:4">
      <c r="A167" s="26" t="str">
        <f>$R$2 &amp;".Port43"</f>
        <v>Диагностика.Eltex_MES3348F.Port43</v>
      </c>
      <c r="B167" s="27">
        <v>7014</v>
      </c>
      <c r="C167" s="27" t="s">
        <v>278</v>
      </c>
      <c r="D167" s="335" t="str">
        <f>"$"&amp;DEC2HEX($S$2,4)&amp;DEC2HEX($W$2,6)&amp;"000809"</f>
        <v>$0002000001000809</v>
      </c>
    </row>
    <row r="168" spans="1:4">
      <c r="A168" s="29" t="str">
        <f>$R$2 &amp;".Port44"</f>
        <v>Диагностика.Eltex_MES3348F.Port44</v>
      </c>
      <c r="B168" s="1">
        <v>1</v>
      </c>
      <c r="C168" s="1" t="s">
        <v>1</v>
      </c>
      <c r="D168" s="334">
        <v>3</v>
      </c>
    </row>
    <row r="169" spans="1:4">
      <c r="A169" s="29" t="str">
        <f>$R$2 &amp;".Port44"</f>
        <v>Диагностика.Eltex_MES3348F.Port44</v>
      </c>
      <c r="B169" s="1">
        <v>10015</v>
      </c>
      <c r="C169" s="1" t="s">
        <v>0</v>
      </c>
      <c r="D169" s="334" t="s">
        <v>2988</v>
      </c>
    </row>
    <row r="170" spans="1:4">
      <c r="A170" s="29" t="str">
        <f>$R$2 &amp;".Port44"</f>
        <v>Диагностика.Eltex_MES3348F.Port44</v>
      </c>
      <c r="B170" s="1">
        <v>7014</v>
      </c>
      <c r="C170" s="1" t="s">
        <v>278</v>
      </c>
      <c r="D170" s="335" t="str">
        <f>"$"&amp;DEC2HEX($S$2,4)&amp;DEC2HEX($W$2,6)&amp;"000809"</f>
        <v>$0002000001000809</v>
      </c>
    </row>
    <row r="171" spans="1:4">
      <c r="A171" s="23" t="str">
        <f>$R$2 &amp;".Port45"</f>
        <v>Диагностика.Eltex_MES3348F.Port45</v>
      </c>
      <c r="B171" s="24">
        <v>1</v>
      </c>
      <c r="C171" s="24" t="s">
        <v>1</v>
      </c>
      <c r="D171" s="333">
        <v>3</v>
      </c>
    </row>
    <row r="172" spans="1:4">
      <c r="A172" s="29" t="str">
        <f>$R$2 &amp;".Port45"</f>
        <v>Диагностика.Eltex_MES3348F.Port45</v>
      </c>
      <c r="B172" s="1">
        <v>10015</v>
      </c>
      <c r="C172" s="1" t="s">
        <v>0</v>
      </c>
      <c r="D172" s="334" t="s">
        <v>2989</v>
      </c>
    </row>
    <row r="173" spans="1:4">
      <c r="A173" s="26" t="str">
        <f>$R$2 &amp;".Port45"</f>
        <v>Диагностика.Eltex_MES3348F.Port45</v>
      </c>
      <c r="B173" s="27">
        <v>7014</v>
      </c>
      <c r="C173" s="27" t="s">
        <v>278</v>
      </c>
      <c r="D173" s="335" t="str">
        <f>"$"&amp;DEC2HEX($S$2,4)&amp;DEC2HEX($W$2,6)&amp;"000809"</f>
        <v>$0002000001000809</v>
      </c>
    </row>
    <row r="174" spans="1:4">
      <c r="A174" s="23" t="str">
        <f>$R$2 &amp;".Port46"</f>
        <v>Диагностика.Eltex_MES3348F.Port46</v>
      </c>
      <c r="B174" s="24">
        <v>1</v>
      </c>
      <c r="C174" s="24" t="s">
        <v>1</v>
      </c>
      <c r="D174" s="333">
        <v>3</v>
      </c>
    </row>
    <row r="175" spans="1:4">
      <c r="A175" s="29" t="str">
        <f>$R$2 &amp;".Port46"</f>
        <v>Диагностика.Eltex_MES3348F.Port46</v>
      </c>
      <c r="B175" s="1">
        <v>10015</v>
      </c>
      <c r="C175" s="1" t="s">
        <v>0</v>
      </c>
      <c r="D175" s="334" t="s">
        <v>2990</v>
      </c>
    </row>
    <row r="176" spans="1:4">
      <c r="A176" s="26" t="str">
        <f>$R$2 &amp;".Port46"</f>
        <v>Диагностика.Eltex_MES3348F.Port46</v>
      </c>
      <c r="B176" s="27">
        <v>7014</v>
      </c>
      <c r="C176" s="27" t="s">
        <v>278</v>
      </c>
      <c r="D176" s="335" t="str">
        <f>"$"&amp;DEC2HEX($S$2,4)&amp;DEC2HEX($W$2,6)&amp;"000809"</f>
        <v>$0002000001000809</v>
      </c>
    </row>
    <row r="177" spans="1:4">
      <c r="A177" s="23" t="str">
        <f>$R$2 &amp;".Port47"</f>
        <v>Диагностика.Eltex_MES3348F.Port47</v>
      </c>
      <c r="B177" s="24">
        <v>1</v>
      </c>
      <c r="C177" s="24" t="s">
        <v>1</v>
      </c>
      <c r="D177" s="333">
        <v>3</v>
      </c>
    </row>
    <row r="178" spans="1:4">
      <c r="A178" s="29" t="str">
        <f>$R$2 &amp;".Port47"</f>
        <v>Диагностика.Eltex_MES3348F.Port47</v>
      </c>
      <c r="B178" s="1">
        <v>10015</v>
      </c>
      <c r="C178" s="1" t="s">
        <v>0</v>
      </c>
      <c r="D178" s="334" t="s">
        <v>2991</v>
      </c>
    </row>
    <row r="179" spans="1:4">
      <c r="A179" s="26" t="str">
        <f>$R$2 &amp;".Port47"</f>
        <v>Диагностика.Eltex_MES3348F.Port47</v>
      </c>
      <c r="B179" s="27">
        <v>7014</v>
      </c>
      <c r="C179" s="27" t="s">
        <v>278</v>
      </c>
      <c r="D179" s="335" t="str">
        <f>"$"&amp;DEC2HEX($S$2,4)&amp;DEC2HEX($W$2,6)&amp;"000809"</f>
        <v>$0002000001000809</v>
      </c>
    </row>
    <row r="180" spans="1:4">
      <c r="A180" s="23" t="str">
        <f>$R$2 &amp;".Port48"</f>
        <v>Диагностика.Eltex_MES3348F.Port48</v>
      </c>
      <c r="B180" s="24">
        <v>1</v>
      </c>
      <c r="C180" s="24" t="s">
        <v>1</v>
      </c>
      <c r="D180" s="333">
        <v>3</v>
      </c>
    </row>
    <row r="181" spans="1:4">
      <c r="A181" s="29" t="str">
        <f>$R$2 &amp;".Port48"</f>
        <v>Диагностика.Eltex_MES3348F.Port48</v>
      </c>
      <c r="B181" s="1">
        <v>10015</v>
      </c>
      <c r="C181" s="1" t="s">
        <v>0</v>
      </c>
      <c r="D181" s="334" t="s">
        <v>2992</v>
      </c>
    </row>
    <row r="182" spans="1:4">
      <c r="A182" s="26" t="str">
        <f>$R$2 &amp;".Port48"</f>
        <v>Диагностика.Eltex_MES3348F.Port48</v>
      </c>
      <c r="B182" s="27">
        <v>7014</v>
      </c>
      <c r="C182" s="27" t="s">
        <v>278</v>
      </c>
      <c r="D182" s="335" t="str">
        <f>"$"&amp;DEC2HEX($S$2,4)&amp;DEC2HEX($W$2,6)&amp;"000809"</f>
        <v>$0002000001000809</v>
      </c>
    </row>
  </sheetData>
  <conditionalFormatting sqref="D21:D22">
    <cfRule type="duplicateValues" dxfId="5" priority="1"/>
    <cfRule type="duplicateValues" dxfId="4" priority="2"/>
  </conditionalFormatting>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Лист91">
    <tabColor rgb="FFFFC000"/>
  </sheetPr>
  <dimension ref="A1:BI129"/>
  <sheetViews>
    <sheetView topLeftCell="A4"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1" width="40.33203125" customWidth="1"/>
    <col min="32" max="35" width="9.109375" hidden="1" customWidth="1"/>
    <col min="36" max="36" width="6.88671875"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7.109375" customWidth="1"/>
    <col min="55" max="55" width="10.88671875" customWidth="1"/>
    <col min="57" max="57" width="65.109375" customWidth="1"/>
  </cols>
  <sheetData>
    <row r="1" spans="1:61" s="258" customFormat="1" ht="204.6" thickBot="1">
      <c r="A1" s="257"/>
      <c r="B1" s="260"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F1" s="259"/>
      <c r="BG1" s="259"/>
      <c r="BH1" s="259"/>
      <c r="BI1" s="259"/>
    </row>
    <row r="2" spans="1:61" ht="15" customHeight="1">
      <c r="A2" s="9"/>
      <c r="B2" s="9"/>
      <c r="C2" s="9"/>
      <c r="D2" s="9"/>
      <c r="E2" s="9"/>
      <c r="F2" s="9"/>
      <c r="P2" s="2"/>
      <c r="Q2" s="2" t="s">
        <v>779</v>
      </c>
      <c r="R2" s="2" t="s">
        <v>788</v>
      </c>
      <c r="S2" s="3">
        <v>1</v>
      </c>
      <c r="T2" s="3"/>
      <c r="U2" s="3"/>
      <c r="V2" s="3" t="s">
        <v>569</v>
      </c>
      <c r="W2" s="12">
        <v>1</v>
      </c>
      <c r="X2" s="12"/>
      <c r="Y2" s="12"/>
      <c r="Z2" s="12"/>
      <c r="AA2" s="12"/>
      <c r="AB2" s="2"/>
      <c r="AC2" s="2"/>
      <c r="AD2" s="2"/>
      <c r="AE2" s="2"/>
      <c r="AF2" s="2"/>
      <c r="AG2" s="2"/>
      <c r="AH2" s="2"/>
      <c r="AI2" s="2"/>
      <c r="AJ2" s="2"/>
      <c r="AK2" s="2"/>
      <c r="AL2" s="2"/>
      <c r="AM2" s="2"/>
      <c r="AN2" s="2"/>
      <c r="AO2" s="2"/>
      <c r="AP2" s="2"/>
      <c r="AQ2" s="2"/>
      <c r="AR2" s="2"/>
      <c r="AS2" s="2"/>
      <c r="AT2" s="2"/>
      <c r="AU2" s="2"/>
      <c r="AV2" s="2"/>
      <c r="AW2" s="2"/>
      <c r="AX2" s="2"/>
      <c r="AY2" s="2"/>
      <c r="AZ2" s="2"/>
      <c r="BA2" s="2"/>
      <c r="BF2" s="4"/>
      <c r="BG2" s="4"/>
      <c r="BH2" s="4"/>
      <c r="BI2" s="4"/>
    </row>
    <row r="3" spans="1:61" ht="15" customHeight="1">
      <c r="A3" s="9"/>
      <c r="B3" s="9"/>
      <c r="C3" s="9"/>
      <c r="D3" s="9"/>
      <c r="E3" s="9"/>
      <c r="F3" s="9"/>
      <c r="P3" s="10"/>
      <c r="Q3" s="10"/>
      <c r="R3" s="10"/>
      <c r="S3" s="10"/>
      <c r="T3" s="10"/>
      <c r="U3" s="10"/>
      <c r="V3" s="10"/>
      <c r="W3" s="10"/>
      <c r="X3" s="10"/>
      <c r="Y3" s="10"/>
      <c r="Z3" s="10"/>
      <c r="AA3" s="10"/>
      <c r="BF3" s="4"/>
      <c r="BG3" s="4"/>
      <c r="BH3" s="4"/>
      <c r="BI3" s="4"/>
    </row>
    <row r="4" spans="1:61"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F4" s="4"/>
      <c r="BG4" s="4"/>
      <c r="BH4" s="4"/>
      <c r="BI4" s="4"/>
    </row>
    <row r="5" spans="1:61"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F5" s="4"/>
      <c r="BG5" s="4"/>
      <c r="BH5" s="4"/>
      <c r="BI5" s="4"/>
    </row>
    <row r="6" spans="1:61"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F6" s="4"/>
      <c r="BG6" s="4"/>
      <c r="BH6" s="4"/>
      <c r="BI6" s="4"/>
    </row>
    <row r="7" spans="1:61"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F7" s="4"/>
      <c r="BG7" s="4"/>
      <c r="BH7" s="4"/>
      <c r="BI7" s="4"/>
    </row>
    <row r="8" spans="1:61" ht="15" customHeight="1">
      <c r="A8" s="9"/>
      <c r="B8" s="9"/>
      <c r="C8" s="9"/>
      <c r="D8" s="9"/>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BF8" s="4"/>
      <c r="BG8" s="4"/>
      <c r="BH8" s="4"/>
      <c r="BI8" s="4"/>
    </row>
    <row r="9" spans="1:61" ht="15" customHeight="1">
      <c r="A9" s="9"/>
      <c r="B9" s="9"/>
      <c r="C9" s="9"/>
      <c r="D9" s="9"/>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BF9" s="4"/>
      <c r="BG9" s="4"/>
      <c r="BH9" s="4"/>
      <c r="BI9" s="4"/>
    </row>
    <row r="10" spans="1:61" ht="15" customHeight="1">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BF10" s="4"/>
      <c r="BG10" s="4"/>
      <c r="BH10" s="4"/>
      <c r="BI10" s="4"/>
    </row>
    <row r="11" spans="1:61" ht="15" customHeight="1">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BF11" s="4"/>
      <c r="BG11" s="4"/>
      <c r="BH11" s="4"/>
      <c r="BI11" s="4"/>
    </row>
    <row r="12" spans="1:61"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BF12" s="4"/>
      <c r="BG12" s="4"/>
      <c r="BH12" s="4"/>
      <c r="BI12" s="4"/>
    </row>
    <row r="13" spans="1:61"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F13" s="4"/>
      <c r="BG13" s="4"/>
      <c r="BH13" s="4"/>
      <c r="BI13" s="4"/>
    </row>
    <row r="14" spans="1:61"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F14" s="4"/>
      <c r="BG14" s="4"/>
      <c r="BH14" s="4"/>
      <c r="BI14" s="4"/>
    </row>
    <row r="15" spans="1:61"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F15" s="4"/>
      <c r="BG15" s="4"/>
      <c r="BH15" s="4"/>
      <c r="BI15" s="4"/>
    </row>
    <row r="16" spans="1:61"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F16" s="4"/>
      <c r="BG16" s="4"/>
      <c r="BH16" s="4"/>
      <c r="BI16" s="4"/>
    </row>
    <row r="17" spans="1:61"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F17" s="4"/>
      <c r="BG17" s="4"/>
      <c r="BH17" s="4"/>
      <c r="BI17" s="4"/>
    </row>
    <row r="18" spans="1:61"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F18" s="4"/>
      <c r="BG18" s="4"/>
      <c r="BH18" s="4"/>
      <c r="BI18" s="4"/>
    </row>
    <row r="19" spans="1:61"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F19" s="4"/>
      <c r="BG19" s="4"/>
      <c r="BH19" s="4"/>
      <c r="BI19" s="4"/>
    </row>
    <row r="20" spans="1:61">
      <c r="A20" s="23" t="str">
        <f>$R$2</f>
        <v>Диагностика.SYS_DIAG</v>
      </c>
      <c r="B20" s="24">
        <v>1</v>
      </c>
      <c r="C20" s="24" t="s">
        <v>1</v>
      </c>
      <c r="D20" s="18">
        <v>8</v>
      </c>
    </row>
    <row r="21" spans="1:61" ht="15" customHeight="1">
      <c r="A21" s="29" t="str">
        <f>$R$2</f>
        <v>Диагностика.SYS_DIAG</v>
      </c>
      <c r="B21" s="1">
        <v>10015</v>
      </c>
      <c r="C21" s="1" t="s">
        <v>0</v>
      </c>
      <c r="D21" s="20" t="s">
        <v>665</v>
      </c>
      <c r="BF21" s="4"/>
      <c r="BG21" s="4"/>
      <c r="BH21" s="4"/>
      <c r="BI21" s="4"/>
    </row>
    <row r="22" spans="1:61" ht="15" customHeight="1">
      <c r="A22" s="19" t="str">
        <f>$R$2</f>
        <v>Диагностика.SYS_DIAG</v>
      </c>
      <c r="B22" s="11">
        <v>11156</v>
      </c>
      <c r="C22" s="11" t="s">
        <v>0</v>
      </c>
      <c r="D22" s="20" t="str">
        <f>$V$2</f>
        <v>Тестовый экран</v>
      </c>
      <c r="BF22" s="4"/>
      <c r="BG22" s="4"/>
      <c r="BH22" s="4"/>
      <c r="BI22" s="4"/>
    </row>
    <row r="23" spans="1:61">
      <c r="A23" s="29" t="str">
        <f>$R$2</f>
        <v>Диагностика.SYS_DIAG</v>
      </c>
      <c r="B23" s="1">
        <v>11001</v>
      </c>
      <c r="C23" s="1" t="s">
        <v>0</v>
      </c>
      <c r="D23" s="20" t="str">
        <f>$Q$2&amp;". "</f>
        <v xml:space="preserve">Диагностика системы АРМа, сервера. </v>
      </c>
    </row>
    <row r="24" spans="1:61">
      <c r="A24" s="26" t="str">
        <f>$R$2</f>
        <v>Диагностика.SYS_DIAG</v>
      </c>
      <c r="B24" s="27">
        <v>7014</v>
      </c>
      <c r="C24" s="27" t="s">
        <v>278</v>
      </c>
      <c r="D24" s="22" t="str">
        <f>"$"&amp;DEC2HEX($S$2,4)&amp;DEC2HEX($W$2,6)&amp;"000409"</f>
        <v>$0001000001000409</v>
      </c>
    </row>
    <row r="25" spans="1:61">
      <c r="A25" s="23" t="str">
        <f>$R$2 &amp;".hrMemoryFreeSize"</f>
        <v>Диагностика.SYS_DIAG.hrMemoryFreeSize</v>
      </c>
      <c r="B25" s="24">
        <v>1</v>
      </c>
      <c r="C25" s="24" t="s">
        <v>1</v>
      </c>
      <c r="D25" s="18">
        <v>8</v>
      </c>
    </row>
    <row r="26" spans="1:61">
      <c r="A26" s="29" t="str">
        <f>$R$2 &amp;".hrMemoryFreeSize"</f>
        <v>Диагностика.SYS_DIAG.hrMemoryFreeSize</v>
      </c>
      <c r="B26" s="1">
        <v>10015</v>
      </c>
      <c r="C26" s="1" t="s">
        <v>0</v>
      </c>
      <c r="D26" s="20" t="s">
        <v>666</v>
      </c>
    </row>
    <row r="27" spans="1:61">
      <c r="A27" s="29" t="str">
        <f>$R$2 &amp;".hrMemoryFreeSize"</f>
        <v>Диагностика.SYS_DIAG.hrMemoryFreeSize</v>
      </c>
      <c r="B27" s="1">
        <v>101</v>
      </c>
      <c r="C27" s="1" t="s">
        <v>0</v>
      </c>
      <c r="D27" s="20" t="s">
        <v>658</v>
      </c>
    </row>
    <row r="28" spans="1:61">
      <c r="A28" s="26" t="str">
        <f>$R$2 &amp;".hrMemoryFreeSize"</f>
        <v>Диагностика.SYS_DIAG.hrMemoryFreeSize</v>
      </c>
      <c r="B28" s="27">
        <v>7014</v>
      </c>
      <c r="C28" s="27" t="s">
        <v>278</v>
      </c>
      <c r="D28" s="22" t="str">
        <f>"$"&amp;DEC2HEX($S$2,4)&amp;DEC2HEX($W$2,6)&amp;"000409"</f>
        <v>$0001000001000409</v>
      </c>
    </row>
    <row r="29" spans="1:61">
      <c r="A29" s="23" t="str">
        <f>$R$2 &amp;".hrMemoryFreeSize.Display"</f>
        <v>Диагностика.SYS_DIAG.hrMemoryFreeSize.Display</v>
      </c>
      <c r="B29" s="24">
        <v>1</v>
      </c>
      <c r="C29" s="24" t="s">
        <v>1</v>
      </c>
      <c r="D29" s="18">
        <v>4</v>
      </c>
    </row>
    <row r="30" spans="1:61">
      <c r="A30" s="26" t="str">
        <f>$R$2 &amp;".hrMemoryFreeSize.Display"</f>
        <v>Диагностика.SYS_DIAG.hrMemoryFreeSize.Display</v>
      </c>
      <c r="B30" s="27">
        <v>3000000</v>
      </c>
      <c r="C30" s="27" t="s">
        <v>0</v>
      </c>
      <c r="D30" s="22" t="s">
        <v>661</v>
      </c>
    </row>
    <row r="31" spans="1:61">
      <c r="A31" s="23" t="str">
        <f>$R$2 &amp;".hrMemorySize"</f>
        <v>Диагностика.SYS_DIAG.hrMemorySize</v>
      </c>
      <c r="B31" s="24">
        <v>1</v>
      </c>
      <c r="C31" s="24" t="s">
        <v>1</v>
      </c>
      <c r="D31" s="18">
        <v>8</v>
      </c>
    </row>
    <row r="32" spans="1:61">
      <c r="A32" s="29" t="str">
        <f>$R$2 &amp;".hrMemorySize"</f>
        <v>Диагностика.SYS_DIAG.hrMemorySize</v>
      </c>
      <c r="B32" s="1">
        <v>10015</v>
      </c>
      <c r="C32" s="1" t="s">
        <v>0</v>
      </c>
      <c r="D32" s="20" t="s">
        <v>667</v>
      </c>
    </row>
    <row r="33" spans="1:4">
      <c r="A33" s="29" t="str">
        <f>$R$2 &amp;".hrMemorySize"</f>
        <v>Диагностика.SYS_DIAG.hrMemorySize</v>
      </c>
      <c r="B33" s="1">
        <v>101</v>
      </c>
      <c r="C33" s="1" t="s">
        <v>0</v>
      </c>
      <c r="D33" s="20" t="s">
        <v>657</v>
      </c>
    </row>
    <row r="34" spans="1:4">
      <c r="A34" s="26" t="str">
        <f>$R$2 &amp;".hrMemorySize"</f>
        <v>Диагностика.SYS_DIAG.hrMemorySize</v>
      </c>
      <c r="B34" s="27">
        <v>7014</v>
      </c>
      <c r="C34" s="27" t="s">
        <v>278</v>
      </c>
      <c r="D34" s="22" t="str">
        <f>"$"&amp;DEC2HEX($S$2,4)&amp;DEC2HEX($W$2,6)&amp;"000409"</f>
        <v>$0001000001000409</v>
      </c>
    </row>
    <row r="35" spans="1:4">
      <c r="A35" s="23" t="str">
        <f>$R$2 &amp;".hrMemorySize.Display"</f>
        <v>Диагностика.SYS_DIAG.hrMemorySize.Display</v>
      </c>
      <c r="B35" s="24">
        <v>1</v>
      </c>
      <c r="C35" s="24" t="s">
        <v>1</v>
      </c>
      <c r="D35" s="18">
        <v>4</v>
      </c>
    </row>
    <row r="36" spans="1:4">
      <c r="A36" s="26" t="str">
        <f>$R$2 &amp;".hrMemorySize.Display"</f>
        <v>Диагностика.SYS_DIAG.hrMemorySize.Display</v>
      </c>
      <c r="B36" s="27">
        <v>3000000</v>
      </c>
      <c r="C36" s="27" t="s">
        <v>0</v>
      </c>
      <c r="D36" s="22" t="s">
        <v>662</v>
      </c>
    </row>
    <row r="37" spans="1:4">
      <c r="A37" s="23" t="str">
        <f>$R$2 &amp;".hrStorageSize"</f>
        <v>Диагностика.SYS_DIAG.hrStorageSize</v>
      </c>
      <c r="B37" s="24">
        <v>1</v>
      </c>
      <c r="C37" s="24" t="s">
        <v>1</v>
      </c>
      <c r="D37" s="18">
        <v>3</v>
      </c>
    </row>
    <row r="38" spans="1:4">
      <c r="A38" s="29" t="str">
        <f>$R$2 &amp;".hrStorageSize"</f>
        <v>Диагностика.SYS_DIAG.hrStorageSize</v>
      </c>
      <c r="B38" s="1">
        <v>101</v>
      </c>
      <c r="C38" s="1" t="s">
        <v>0</v>
      </c>
      <c r="D38" s="20" t="s">
        <v>659</v>
      </c>
    </row>
    <row r="39" spans="1:4">
      <c r="A39" s="23" t="str">
        <f>$R$2 &amp;".OS"</f>
        <v>Диагностика.SYS_DIAG.OS</v>
      </c>
      <c r="B39" s="24">
        <v>1</v>
      </c>
      <c r="C39" s="24" t="s">
        <v>1</v>
      </c>
      <c r="D39" s="18">
        <v>8</v>
      </c>
    </row>
    <row r="40" spans="1:4">
      <c r="A40" s="29" t="str">
        <f>$R$2 &amp;".OS"</f>
        <v>Диагностика.SYS_DIAG.OS</v>
      </c>
      <c r="B40" s="1">
        <v>10015</v>
      </c>
      <c r="C40" s="1" t="s">
        <v>0</v>
      </c>
      <c r="D40" s="20" t="s">
        <v>668</v>
      </c>
    </row>
    <row r="41" spans="1:4">
      <c r="A41" s="26" t="str">
        <f>$R$2 &amp;".OS"</f>
        <v>Диагностика.SYS_DIAG.OS</v>
      </c>
      <c r="B41" s="27">
        <v>7014</v>
      </c>
      <c r="C41" s="27" t="s">
        <v>278</v>
      </c>
      <c r="D41" s="22" t="str">
        <f>"$"&amp;DEC2HEX($S$2,4)&amp;DEC2HEX($W$2,6)&amp;"000409"</f>
        <v>$0001000001000409</v>
      </c>
    </row>
    <row r="42" spans="1:4">
      <c r="A42" s="23" t="str">
        <f>$R$2 &amp;".OS.OS"</f>
        <v>Диагностика.SYS_DIAG.OS.OS</v>
      </c>
      <c r="B42" s="24">
        <v>1</v>
      </c>
      <c r="C42" s="24" t="s">
        <v>1</v>
      </c>
      <c r="D42" s="18">
        <v>8</v>
      </c>
    </row>
    <row r="43" spans="1:4">
      <c r="A43" s="29" t="str">
        <f>$R$2 &amp;".OS.OS"</f>
        <v>Диагностика.SYS_DIAG.OS.OS</v>
      </c>
      <c r="B43" s="1">
        <v>3000000</v>
      </c>
      <c r="C43" s="1" t="s">
        <v>0</v>
      </c>
      <c r="D43" s="20" t="s">
        <v>2306</v>
      </c>
    </row>
    <row r="44" spans="1:4">
      <c r="A44" s="23" t="str">
        <f>$R$2 &amp;".SystemProcesses"</f>
        <v>Диагностика.SYS_DIAG.SystemProcesses</v>
      </c>
      <c r="B44" s="24">
        <v>1</v>
      </c>
      <c r="C44" s="24" t="s">
        <v>1</v>
      </c>
      <c r="D44" s="18">
        <v>3</v>
      </c>
    </row>
    <row r="45" spans="1:4">
      <c r="A45" s="29" t="str">
        <f>$R$2 &amp;".SystemProcesses"</f>
        <v>Диагностика.SYS_DIAG.SystemProcesses</v>
      </c>
      <c r="B45" s="1">
        <v>10015</v>
      </c>
      <c r="C45" s="1" t="s">
        <v>0</v>
      </c>
      <c r="D45" s="20" t="s">
        <v>669</v>
      </c>
    </row>
    <row r="46" spans="1:4">
      <c r="A46" s="29" t="str">
        <f>$R$2 &amp;".SystemProcesses"</f>
        <v>Диагностика.SYS_DIAG.SystemProcesses</v>
      </c>
      <c r="B46" s="1">
        <v>101</v>
      </c>
      <c r="C46" s="1" t="s">
        <v>0</v>
      </c>
      <c r="D46" s="20" t="s">
        <v>660</v>
      </c>
    </row>
    <row r="47" spans="1:4">
      <c r="A47" s="26" t="str">
        <f>$R$2 &amp;".SystemProcesses"</f>
        <v>Диагностика.SYS_DIAG.SystemProcesses</v>
      </c>
      <c r="B47" s="27">
        <v>7014</v>
      </c>
      <c r="C47" s="27" t="s">
        <v>278</v>
      </c>
      <c r="D47" s="22" t="str">
        <f>"$"&amp;DEC2HEX($S$2,4)&amp;DEC2HEX($W$2,6)&amp;"000009"</f>
        <v>$0001000001000009</v>
      </c>
    </row>
    <row r="48" spans="1:4">
      <c r="A48" s="23" t="str">
        <f>$R$2 &amp;".hrStorageSize.n1"</f>
        <v>Диагностика.SYS_DIAG.hrStorageSize.n1</v>
      </c>
      <c r="B48" s="24">
        <v>1</v>
      </c>
      <c r="C48" s="24" t="s">
        <v>1</v>
      </c>
      <c r="D48" s="18">
        <v>8</v>
      </c>
    </row>
    <row r="49" spans="1:7">
      <c r="A49" s="29" t="str">
        <f>$R$2 &amp;".hrStorageSize.n1"</f>
        <v>Диагностика.SYS_DIAG.hrStorageSize.n1</v>
      </c>
      <c r="B49" s="1">
        <v>10015</v>
      </c>
      <c r="C49" s="1" t="s">
        <v>0</v>
      </c>
      <c r="D49" s="20" t="s">
        <v>673</v>
      </c>
      <c r="E49">
        <v>4</v>
      </c>
      <c r="F49" t="s">
        <v>647</v>
      </c>
      <c r="G49" t="s">
        <v>648</v>
      </c>
    </row>
    <row r="50" spans="1:7">
      <c r="A50" s="26" t="str">
        <f>$R$2 &amp;".hrStorageSize.n1"</f>
        <v>Диагностика.SYS_DIAG.hrStorageSize.n1</v>
      </c>
      <c r="B50" s="27">
        <v>7014</v>
      </c>
      <c r="C50" s="27" t="s">
        <v>278</v>
      </c>
      <c r="D50" s="22" t="str">
        <f>"$"&amp;DEC2HEX($S$2,4)&amp;DEC2HEX($W$2,6)&amp;"000C09"</f>
        <v>$0001000001000C09</v>
      </c>
    </row>
    <row r="51" spans="1:7">
      <c r="A51" s="23" t="str">
        <f>$R$2 &amp;".hrStorageSize.n1.Commands.minsize1"</f>
        <v>Диагностика.SYS_DIAG.hrStorageSize.n1.Commands.minsize1</v>
      </c>
      <c r="B51" s="24">
        <v>1</v>
      </c>
      <c r="C51" s="24" t="s">
        <v>1</v>
      </c>
      <c r="D51" s="18">
        <v>4</v>
      </c>
    </row>
    <row r="52" spans="1:7">
      <c r="A52" s="29" t="str">
        <f>$R$2 &amp;".hrStorageSize.n1.Commands.minsize1"</f>
        <v>Диагностика.SYS_DIAG.hrStorageSize.n1.Commands.minsize1</v>
      </c>
      <c r="B52" s="1">
        <v>11000</v>
      </c>
      <c r="C52" s="1" t="s">
        <v>5</v>
      </c>
      <c r="D52" s="20">
        <v>2147483648</v>
      </c>
    </row>
    <row r="53" spans="1:7">
      <c r="A53" s="26" t="str">
        <f>$R$2 &amp;".hrStorageSize.n1.Commands.minsize1"</f>
        <v>Диагностика.SYS_DIAG.hrStorageSize.n1.Commands.minsize1</v>
      </c>
      <c r="B53" s="27">
        <v>7011</v>
      </c>
      <c r="C53" s="27" t="s">
        <v>2</v>
      </c>
      <c r="D53" s="22" t="s">
        <v>130</v>
      </c>
    </row>
    <row r="54" spans="1:7">
      <c r="A54" s="23" t="str">
        <f>$R$2 &amp;".hrStorageSize.n1.FreeSize"</f>
        <v>Диагностика.SYS_DIAG.hrStorageSize.n1.FreeSize</v>
      </c>
      <c r="B54" s="24">
        <v>1</v>
      </c>
      <c r="C54" s="24" t="s">
        <v>1</v>
      </c>
      <c r="D54" s="18">
        <v>8</v>
      </c>
      <c r="E54" t="s">
        <v>651</v>
      </c>
      <c r="F54" t="s">
        <v>652</v>
      </c>
    </row>
    <row r="55" spans="1:7">
      <c r="A55" s="29" t="str">
        <f>$R$2 &amp;".hrStorageSize.n1.FreeSize"</f>
        <v>Диагностика.SYS_DIAG.hrStorageSize.n1.FreeSize</v>
      </c>
      <c r="B55" s="1">
        <v>101</v>
      </c>
      <c r="C55" s="1" t="s">
        <v>0</v>
      </c>
      <c r="D55" s="20" t="s">
        <v>646</v>
      </c>
    </row>
    <row r="56" spans="1:7">
      <c r="A56" s="29" t="str">
        <f>$R$2 &amp;".hrStorageSize.n1.FreeSize"</f>
        <v>Диагностика.SYS_DIAG.hrStorageSize.n1.FreeSize</v>
      </c>
      <c r="B56" s="1">
        <v>3000000</v>
      </c>
      <c r="C56" s="1" t="s">
        <v>0</v>
      </c>
      <c r="D56" s="20" t="s">
        <v>2307</v>
      </c>
    </row>
    <row r="57" spans="1:7">
      <c r="A57" s="69" t="str">
        <f t="shared" ref="A57:A62" si="0">$R$2 &amp;".hrStorageSize.n1.FreeSize.alm"</f>
        <v>Диагностика.SYS_DIAG.hrStorageSize.n1.FreeSize.alm</v>
      </c>
      <c r="B57" s="70">
        <v>11152</v>
      </c>
      <c r="C57" s="70" t="s">
        <v>0</v>
      </c>
      <c r="D57" s="338" t="str">
        <f>$R$6</f>
        <v>Предупреждение</v>
      </c>
      <c r="E57" t="s">
        <v>647</v>
      </c>
    </row>
    <row r="58" spans="1:7">
      <c r="A58" s="63" t="str">
        <f t="shared" si="0"/>
        <v>Диагностика.SYS_DIAG.hrStorageSize.n1.FreeSize.alm</v>
      </c>
      <c r="B58" s="64">
        <v>11154</v>
      </c>
      <c r="C58" s="64" t="s">
        <v>4</v>
      </c>
      <c r="D58" s="98">
        <f>$Q$6</f>
        <v>8</v>
      </c>
    </row>
    <row r="59" spans="1:7">
      <c r="A59" s="63" t="str">
        <f t="shared" si="0"/>
        <v>Диагностика.SYS_DIAG.hrStorageSize.n1.FreeSize.alm</v>
      </c>
      <c r="B59" s="64">
        <v>11150</v>
      </c>
      <c r="C59" s="64" t="s">
        <v>0</v>
      </c>
      <c r="D59" s="65" t="s">
        <v>649</v>
      </c>
    </row>
    <row r="60" spans="1:7">
      <c r="A60" s="63" t="str">
        <f t="shared" si="0"/>
        <v>Диагностика.SYS_DIAG.hrStorageSize.n1.FreeSize.alm</v>
      </c>
      <c r="B60" s="64">
        <v>11000</v>
      </c>
      <c r="C60" s="64" t="s">
        <v>5</v>
      </c>
      <c r="D60" s="65">
        <v>2147483680</v>
      </c>
    </row>
    <row r="61" spans="1:7">
      <c r="A61" s="29" t="str">
        <f t="shared" si="0"/>
        <v>Диагностика.SYS_DIAG.hrStorageSize.n1.FreeSize.alm</v>
      </c>
      <c r="B61" s="1">
        <v>1</v>
      </c>
      <c r="C61" s="1" t="s">
        <v>1</v>
      </c>
      <c r="D61" s="20">
        <v>11</v>
      </c>
    </row>
    <row r="62" spans="1:7">
      <c r="A62" s="26" t="str">
        <f t="shared" si="0"/>
        <v>Диагностика.SYS_DIAG.hrStorageSize.n1.FreeSize.alm</v>
      </c>
      <c r="B62" s="27">
        <v>3000000</v>
      </c>
      <c r="C62" s="27" t="s">
        <v>0</v>
      </c>
      <c r="D62" s="22" t="s">
        <v>676</v>
      </c>
    </row>
    <row r="63" spans="1:7">
      <c r="A63" s="29" t="str">
        <f>$R$2 &amp;".hrStorageSize.n1.FreeSize.Display"</f>
        <v>Диагностика.SYS_DIAG.hrStorageSize.n1.FreeSize.Display</v>
      </c>
      <c r="B63" s="1">
        <v>1</v>
      </c>
      <c r="C63" s="1" t="s">
        <v>1</v>
      </c>
      <c r="D63" s="20">
        <v>4</v>
      </c>
    </row>
    <row r="64" spans="1:7">
      <c r="A64" s="29" t="str">
        <f>$R$2 &amp;".hrStorageSize.n1.FreeSize.Display"</f>
        <v>Диагностика.SYS_DIAG.hrStorageSize.n1.FreeSize.Display</v>
      </c>
      <c r="B64" s="1">
        <v>101</v>
      </c>
      <c r="C64" s="1" t="s">
        <v>0</v>
      </c>
      <c r="D64" s="20" t="s">
        <v>650</v>
      </c>
    </row>
    <row r="65" spans="1:4">
      <c r="A65" s="26" t="str">
        <f>$R$2 &amp;".hrStorageSize.n1.FreeSize.Display"</f>
        <v>Диагностика.SYS_DIAG.hrStorageSize.n1.FreeSize.Display</v>
      </c>
      <c r="B65" s="27">
        <v>3000000</v>
      </c>
      <c r="C65" s="27" t="s">
        <v>0</v>
      </c>
      <c r="D65" s="22" t="s">
        <v>664</v>
      </c>
    </row>
    <row r="66" spans="1:4">
      <c r="A66" s="23" t="str">
        <f>$R$2 &amp;".hrStorageSize.n1.FreeSize.Point"</f>
        <v>Диагностика.SYS_DIAG.hrStorageSize.n1.FreeSize.Point</v>
      </c>
      <c r="B66" s="24">
        <v>1</v>
      </c>
      <c r="C66" s="24" t="s">
        <v>1</v>
      </c>
      <c r="D66" s="18">
        <v>8</v>
      </c>
    </row>
    <row r="67" spans="1:4">
      <c r="A67" s="26" t="str">
        <f>$R$2 &amp;".hrStorageSize.n1.FreeSize.Point"</f>
        <v>Диагностика.SYS_DIAG.hrStorageSize.n1.FreeSize.Point</v>
      </c>
      <c r="B67" s="27">
        <v>3000000</v>
      </c>
      <c r="C67" s="27" t="s">
        <v>0</v>
      </c>
      <c r="D67" s="22" t="s">
        <v>2308</v>
      </c>
    </row>
    <row r="68" spans="1:4">
      <c r="A68" s="23" t="str">
        <f>$R$2 &amp;".hrStorageSize.n1.hrStorageSize"</f>
        <v>Диагностика.SYS_DIAG.hrStorageSize.n1.hrStorageSize</v>
      </c>
      <c r="B68" s="24">
        <v>1</v>
      </c>
      <c r="C68" s="24" t="s">
        <v>1</v>
      </c>
      <c r="D68" s="18">
        <v>8</v>
      </c>
    </row>
    <row r="69" spans="1:4">
      <c r="A69" s="29" t="str">
        <f>$R$2 &amp;".hrStorageSize.n1.hrStorageSize"</f>
        <v>Диагностика.SYS_DIAG.hrStorageSize.n1.hrStorageSize</v>
      </c>
      <c r="B69" s="1">
        <v>101</v>
      </c>
      <c r="C69" s="1" t="s">
        <v>0</v>
      </c>
      <c r="D69" s="20" t="s">
        <v>671</v>
      </c>
    </row>
    <row r="70" spans="1:4">
      <c r="A70" s="26" t="str">
        <f>$R$2 &amp;".hrStorageSize.n1.hrStorageSize"</f>
        <v>Диагностика.SYS_DIAG.hrStorageSize.n1.hrStorageSize</v>
      </c>
      <c r="B70" s="27">
        <v>3000000</v>
      </c>
      <c r="C70" s="336" t="s">
        <v>0</v>
      </c>
      <c r="D70" s="22" t="s">
        <v>2309</v>
      </c>
    </row>
    <row r="71" spans="1:4">
      <c r="A71" s="23" t="str">
        <f>$R$2 &amp;".hrStorageSize.n1.hrStorageUsed"</f>
        <v>Диагностика.SYS_DIAG.hrStorageSize.n1.hrStorageUsed</v>
      </c>
      <c r="B71" s="24">
        <v>1</v>
      </c>
      <c r="C71" s="24" t="s">
        <v>1</v>
      </c>
      <c r="D71" s="18">
        <v>4</v>
      </c>
    </row>
    <row r="72" spans="1:4">
      <c r="A72" s="29" t="str">
        <f>$R$2 &amp;".hrStorageSize.n1.hrStorageUsed"</f>
        <v>Диагностика.SYS_DIAG.hrStorageSize.n1.hrStorageUsed</v>
      </c>
      <c r="B72" s="1">
        <v>101</v>
      </c>
      <c r="C72" s="1" t="s">
        <v>0</v>
      </c>
      <c r="D72" s="20" t="s">
        <v>670</v>
      </c>
    </row>
    <row r="73" spans="1:4">
      <c r="A73" s="26" t="str">
        <f>$R$2 &amp;".hrStorageSize.n1.hrStorageUsed"</f>
        <v>Диагностика.SYS_DIAG.hrStorageSize.n1.hrStorageUsed</v>
      </c>
      <c r="B73" s="27">
        <v>3000000</v>
      </c>
      <c r="C73" s="27" t="s">
        <v>0</v>
      </c>
      <c r="D73" s="22" t="s">
        <v>663</v>
      </c>
    </row>
    <row r="74" spans="1:4">
      <c r="A74" s="23" t="str">
        <f>$R$2 &amp;".hrStorageSize.n1.hrStorageSize.Display"</f>
        <v>Диагностика.SYS_DIAG.hrStorageSize.n1.hrStorageSize.Display</v>
      </c>
      <c r="B74" s="24">
        <v>1</v>
      </c>
      <c r="C74" s="24" t="s">
        <v>1</v>
      </c>
      <c r="D74" s="25">
        <v>4</v>
      </c>
    </row>
    <row r="75" spans="1:4">
      <c r="A75" s="29" t="str">
        <f>$R$2 &amp;".hrStorageSize.n1.hrStorageSize.Display"</f>
        <v>Диагностика.SYS_DIAG.hrStorageSize.n1.hrStorageSize.Display</v>
      </c>
      <c r="B75" s="1">
        <v>101</v>
      </c>
      <c r="C75" s="1" t="s">
        <v>0</v>
      </c>
      <c r="D75" s="30" t="s">
        <v>675</v>
      </c>
    </row>
    <row r="76" spans="1:4">
      <c r="A76" s="26" t="str">
        <f>$R$2 &amp;".hrStorageSize.n1.hrStorageSize.Display"</f>
        <v>Диагностика.SYS_DIAG.hrStorageSize.n1.hrStorageSize.Display</v>
      </c>
      <c r="B76" s="27">
        <v>3000000</v>
      </c>
      <c r="C76" s="27" t="s">
        <v>0</v>
      </c>
      <c r="D76" s="28" t="s">
        <v>664</v>
      </c>
    </row>
    <row r="77" spans="1:4">
      <c r="A77" s="23" t="str">
        <f>$R$2 &amp;".hrStorageSize.n1.hrStorageSize.Point"</f>
        <v>Диагностика.SYS_DIAG.hrStorageSize.n1.hrStorageSize.Point</v>
      </c>
      <c r="B77" s="24">
        <v>1</v>
      </c>
      <c r="C77" s="24" t="s">
        <v>1</v>
      </c>
      <c r="D77" s="25">
        <v>8</v>
      </c>
    </row>
    <row r="78" spans="1:4">
      <c r="A78" s="26" t="str">
        <f>$R$2 &amp;".hrStorageSize.n1.hrStorageSize.Point"</f>
        <v>Диагностика.SYS_DIAG.hrStorageSize.n1.hrStorageSize.Point</v>
      </c>
      <c r="B78" s="27">
        <v>3000000</v>
      </c>
      <c r="C78" s="27" t="s">
        <v>0</v>
      </c>
      <c r="D78" s="28" t="s">
        <v>2310</v>
      </c>
    </row>
    <row r="79" spans="1:4">
      <c r="A79" s="23" t="str">
        <f>$R$2 &amp;".hrStorageSize.n1.Message.cmd_operator"</f>
        <v>Диагностика.SYS_DIAG.hrStorageSize.n1.Message.cmd_operator</v>
      </c>
      <c r="B79" s="24">
        <v>1</v>
      </c>
      <c r="C79" s="24" t="s">
        <v>1</v>
      </c>
      <c r="D79" s="18">
        <v>11</v>
      </c>
    </row>
    <row r="80" spans="1:4">
      <c r="A80" s="29" t="str">
        <f>$R$2 &amp;".hrStorageSize.n1.Message.cmd_operator"</f>
        <v>Диагностика.SYS_DIAG.hrStorageSize.n1.Message.cmd_operator</v>
      </c>
      <c r="B80" s="1">
        <v>11000</v>
      </c>
      <c r="C80" s="1" t="s">
        <v>5</v>
      </c>
      <c r="D80" s="20">
        <v>2147483680</v>
      </c>
    </row>
    <row r="81" spans="1:4">
      <c r="A81" s="29" t="str">
        <f>$R$2 &amp;".hrStorageSize.n1.Message.cmd_operator"</f>
        <v>Диагностика.SYS_DIAG.hrStorageSize.n1.Message.cmd_operator</v>
      </c>
      <c r="B81" s="1">
        <v>11150</v>
      </c>
      <c r="C81" s="1" t="s">
        <v>0</v>
      </c>
      <c r="D81" s="20" t="s">
        <v>43</v>
      </c>
    </row>
    <row r="82" spans="1:4">
      <c r="A82" s="29" t="str">
        <f>$R$2 &amp;".hrStorageSize.n1.Message.cmd_operator"</f>
        <v>Диагностика.SYS_DIAG.hrStorageSize.n1.Message.cmd_operator</v>
      </c>
      <c r="B82" s="1">
        <v>11154</v>
      </c>
      <c r="C82" s="1" t="s">
        <v>4</v>
      </c>
      <c r="D82" s="20">
        <v>20</v>
      </c>
    </row>
    <row r="83" spans="1:4">
      <c r="A83" s="23" t="str">
        <f t="shared" ref="A83:A88" si="1">$R$2 &amp;".hrStorageSize.n1.minsize1"</f>
        <v>Диагностика.SYS_DIAG.hrStorageSize.n1.minsize1</v>
      </c>
      <c r="B83" s="24">
        <v>1</v>
      </c>
      <c r="C83" s="24" t="s">
        <v>1</v>
      </c>
      <c r="D83" s="18">
        <v>4</v>
      </c>
    </row>
    <row r="84" spans="1:4">
      <c r="A84" s="29" t="str">
        <f t="shared" si="1"/>
        <v>Диагностика.SYS_DIAG.hrStorageSize.n1.minsize1</v>
      </c>
      <c r="B84" s="1">
        <v>11000</v>
      </c>
      <c r="C84" s="1" t="s">
        <v>5</v>
      </c>
      <c r="D84" s="20">
        <v>2147483648</v>
      </c>
    </row>
    <row r="85" spans="1:4">
      <c r="A85" s="29" t="str">
        <f t="shared" si="1"/>
        <v>Диагностика.SYS_DIAG.hrStorageSize.n1.minsize1</v>
      </c>
      <c r="B85" s="1">
        <v>2</v>
      </c>
      <c r="C85" s="1" t="s">
        <v>80</v>
      </c>
      <c r="D85" s="20">
        <v>50</v>
      </c>
    </row>
    <row r="86" spans="1:4">
      <c r="A86" s="29" t="str">
        <f t="shared" si="1"/>
        <v>Диагностика.SYS_DIAG.hrStorageSize.n1.minsize1</v>
      </c>
      <c r="B86" s="1">
        <v>3</v>
      </c>
      <c r="C86" s="1" t="s">
        <v>1</v>
      </c>
      <c r="D86" s="20">
        <v>192</v>
      </c>
    </row>
    <row r="87" spans="1:4">
      <c r="A87" s="29" t="str">
        <f t="shared" si="1"/>
        <v>Диагностика.SYS_DIAG.hrStorageSize.n1.minsize1</v>
      </c>
      <c r="B87" s="1">
        <v>3000000</v>
      </c>
      <c r="C87" s="1" t="s">
        <v>0</v>
      </c>
      <c r="D87" s="20" t="s">
        <v>677</v>
      </c>
    </row>
    <row r="88" spans="1:4">
      <c r="A88" s="26" t="str">
        <f t="shared" si="1"/>
        <v>Диагностика.SYS_DIAG.hrStorageSize.n1.minsize1</v>
      </c>
      <c r="B88" s="27">
        <v>7011</v>
      </c>
      <c r="C88" s="27" t="s">
        <v>2</v>
      </c>
      <c r="D88" s="22" t="s">
        <v>130</v>
      </c>
    </row>
    <row r="89" spans="1:4">
      <c r="A89" s="23" t="str">
        <f>$R$2 &amp;".hrStorageSize.n2"</f>
        <v>Диагностика.SYS_DIAG.hrStorageSize.n2</v>
      </c>
      <c r="B89" s="24">
        <v>1</v>
      </c>
      <c r="C89" s="24" t="s">
        <v>1</v>
      </c>
      <c r="D89" s="18">
        <v>8</v>
      </c>
    </row>
    <row r="90" spans="1:4">
      <c r="A90" s="29" t="str">
        <f>$R$2 &amp;".hrStorageSize.n2"</f>
        <v>Диагностика.SYS_DIAG.hrStorageSize.n2</v>
      </c>
      <c r="B90" s="1">
        <v>10015</v>
      </c>
      <c r="C90" s="1" t="s">
        <v>0</v>
      </c>
      <c r="D90" s="20" t="s">
        <v>674</v>
      </c>
    </row>
    <row r="91" spans="1:4">
      <c r="A91" s="26" t="str">
        <f>$R$2 &amp;".hrStorageSize.n2"</f>
        <v>Диагностика.SYS_DIAG.hrStorageSize.n2</v>
      </c>
      <c r="B91" s="27">
        <v>7014</v>
      </c>
      <c r="C91" s="27" t="s">
        <v>278</v>
      </c>
      <c r="D91" s="22" t="str">
        <f>"$"&amp;DEC2HEX($S$2,4)&amp;DEC2HEX($W$2,6)&amp;"000C09"</f>
        <v>$0001000001000C09</v>
      </c>
    </row>
    <row r="92" spans="1:4">
      <c r="A92" s="23" t="str">
        <f>$R$2 &amp;".hrStorageSize.n2.Commands.minsize2"</f>
        <v>Диагностика.SYS_DIAG.hrStorageSize.n2.Commands.minsize2</v>
      </c>
      <c r="B92" s="24">
        <v>1</v>
      </c>
      <c r="C92" s="24" t="s">
        <v>1</v>
      </c>
      <c r="D92" s="18">
        <v>4</v>
      </c>
    </row>
    <row r="93" spans="1:4">
      <c r="A93" s="29" t="str">
        <f>$R$2 &amp;".hrStorageSize.n2.Commands.minsize2"</f>
        <v>Диагностика.SYS_DIAG.hrStorageSize.n2.Commands.minsize2</v>
      </c>
      <c r="B93" s="1">
        <v>11000</v>
      </c>
      <c r="C93" s="1" t="s">
        <v>5</v>
      </c>
      <c r="D93" s="20">
        <v>2147483648</v>
      </c>
    </row>
    <row r="94" spans="1:4">
      <c r="A94" s="26" t="str">
        <f>$R$2 &amp;".hrStorageSize.n2.Commands.minsize2"</f>
        <v>Диагностика.SYS_DIAG.hrStorageSize.n2.Commands.minsize2</v>
      </c>
      <c r="B94" s="27">
        <v>7011</v>
      </c>
      <c r="C94" s="27" t="s">
        <v>2</v>
      </c>
      <c r="D94" s="22" t="s">
        <v>130</v>
      </c>
    </row>
    <row r="95" spans="1:4">
      <c r="A95" s="23" t="str">
        <f>$R$2 &amp;".hrStorageSize.n2.FreeSize"</f>
        <v>Диагностика.SYS_DIAG.hrStorageSize.n2.FreeSize</v>
      </c>
      <c r="B95" s="24">
        <v>1</v>
      </c>
      <c r="C95" s="24" t="s">
        <v>1</v>
      </c>
      <c r="D95" s="18">
        <v>8</v>
      </c>
    </row>
    <row r="96" spans="1:4">
      <c r="A96" s="29" t="str">
        <f>$R$2 &amp;".hrStorageSize.n2.FreeSize"</f>
        <v>Диагностика.SYS_DIAG.hrStorageSize.n2.FreeSize</v>
      </c>
      <c r="B96" s="1">
        <v>101</v>
      </c>
      <c r="C96" s="1" t="s">
        <v>0</v>
      </c>
      <c r="D96" s="20" t="s">
        <v>646</v>
      </c>
    </row>
    <row r="97" spans="1:4">
      <c r="A97" s="29" t="str">
        <f>$R$2 &amp;".hrStorageSize.n2.FreeSize"</f>
        <v>Диагностика.SYS_DIAG.hrStorageSize.n2.FreeSize</v>
      </c>
      <c r="B97" s="1">
        <v>3000000</v>
      </c>
      <c r="C97" s="1" t="s">
        <v>0</v>
      </c>
      <c r="D97" s="20" t="s">
        <v>2311</v>
      </c>
    </row>
    <row r="98" spans="1:4">
      <c r="A98" s="69" t="str">
        <f t="shared" ref="A98:A103" si="2">$R$2 &amp;".hrStorageSize.n2.FreeSize.alm"</f>
        <v>Диагностика.SYS_DIAG.hrStorageSize.n2.FreeSize.alm</v>
      </c>
      <c r="B98" s="70">
        <v>11152</v>
      </c>
      <c r="C98" s="70" t="s">
        <v>0</v>
      </c>
      <c r="D98" s="338" t="str">
        <f>$R$6</f>
        <v>Предупреждение</v>
      </c>
    </row>
    <row r="99" spans="1:4">
      <c r="A99" s="63" t="str">
        <f t="shared" si="2"/>
        <v>Диагностика.SYS_DIAG.hrStorageSize.n2.FreeSize.alm</v>
      </c>
      <c r="B99" s="64">
        <v>11154</v>
      </c>
      <c r="C99" s="64" t="s">
        <v>4</v>
      </c>
      <c r="D99" s="98">
        <f>$Q$6</f>
        <v>8</v>
      </c>
    </row>
    <row r="100" spans="1:4">
      <c r="A100" s="63" t="str">
        <f t="shared" si="2"/>
        <v>Диагностика.SYS_DIAG.hrStorageSize.n2.FreeSize.alm</v>
      </c>
      <c r="B100" s="64">
        <v>11150</v>
      </c>
      <c r="C100" s="64" t="s">
        <v>0</v>
      </c>
      <c r="D100" s="65" t="s">
        <v>672</v>
      </c>
    </row>
    <row r="101" spans="1:4">
      <c r="A101" s="63" t="str">
        <f t="shared" si="2"/>
        <v>Диагностика.SYS_DIAG.hrStorageSize.n2.FreeSize.alm</v>
      </c>
      <c r="B101" s="64">
        <v>11000</v>
      </c>
      <c r="C101" s="64" t="s">
        <v>5</v>
      </c>
      <c r="D101" s="65">
        <v>2147483680</v>
      </c>
    </row>
    <row r="102" spans="1:4">
      <c r="A102" s="29" t="str">
        <f t="shared" si="2"/>
        <v>Диагностика.SYS_DIAG.hrStorageSize.n2.FreeSize.alm</v>
      </c>
      <c r="B102" s="1">
        <v>1</v>
      </c>
      <c r="C102" s="1" t="s">
        <v>1</v>
      </c>
      <c r="D102" s="20">
        <v>11</v>
      </c>
    </row>
    <row r="103" spans="1:4">
      <c r="A103" s="26" t="str">
        <f t="shared" si="2"/>
        <v>Диагностика.SYS_DIAG.hrStorageSize.n2.FreeSize.alm</v>
      </c>
      <c r="B103" s="27">
        <v>3000000</v>
      </c>
      <c r="C103" s="27" t="s">
        <v>0</v>
      </c>
      <c r="D103" s="22" t="s">
        <v>678</v>
      </c>
    </row>
    <row r="104" spans="1:4">
      <c r="A104" s="29" t="str">
        <f>$R$2 &amp;".hrStorageSize.n2.FreeSize.Display"</f>
        <v>Диагностика.SYS_DIAG.hrStorageSize.n2.FreeSize.Display</v>
      </c>
      <c r="B104" s="1">
        <v>1</v>
      </c>
      <c r="C104" s="1" t="s">
        <v>1</v>
      </c>
      <c r="D104" s="20">
        <v>4</v>
      </c>
    </row>
    <row r="105" spans="1:4">
      <c r="A105" s="29" t="str">
        <f>$R$2 &amp;".hrStorageSize.n2.FreeSize.Display"</f>
        <v>Диагностика.SYS_DIAG.hrStorageSize.n2.FreeSize.Display</v>
      </c>
      <c r="B105" s="1">
        <v>101</v>
      </c>
      <c r="C105" s="1" t="s">
        <v>0</v>
      </c>
      <c r="D105" s="20" t="s">
        <v>650</v>
      </c>
    </row>
    <row r="106" spans="1:4">
      <c r="A106" s="26" t="str">
        <f>$R$2 &amp;".hrStorageSize.n2.FreeSize.Display"</f>
        <v>Диагностика.SYS_DIAG.hrStorageSize.n2.FreeSize.Display</v>
      </c>
      <c r="B106" s="27">
        <v>3000000</v>
      </c>
      <c r="C106" s="27" t="s">
        <v>0</v>
      </c>
      <c r="D106" s="22" t="s">
        <v>664</v>
      </c>
    </row>
    <row r="107" spans="1:4">
      <c r="A107" s="23" t="str">
        <f>$R$2 &amp;".hrStorageSize.n2.FreeSize.Point"</f>
        <v>Диагностика.SYS_DIAG.hrStorageSize.n2.FreeSize.Point</v>
      </c>
      <c r="B107" s="24">
        <v>1</v>
      </c>
      <c r="C107" s="24" t="s">
        <v>1</v>
      </c>
      <c r="D107" s="18">
        <v>8</v>
      </c>
    </row>
    <row r="108" spans="1:4">
      <c r="A108" s="26" t="str">
        <f>$R$2 &amp;".hrStorageSize.n2.FreeSize.Point"</f>
        <v>Диагностика.SYS_DIAG.hrStorageSize.n2.FreeSize.Point</v>
      </c>
      <c r="B108" s="27">
        <v>3000000</v>
      </c>
      <c r="C108" s="27" t="s">
        <v>0</v>
      </c>
      <c r="D108" s="22" t="s">
        <v>2308</v>
      </c>
    </row>
    <row r="109" spans="1:4">
      <c r="A109" s="23" t="str">
        <f>$R$2 &amp;".hrStorageSize.n2.hrStorageSize"</f>
        <v>Диагностика.SYS_DIAG.hrStorageSize.n2.hrStorageSize</v>
      </c>
      <c r="B109" s="24">
        <v>1</v>
      </c>
      <c r="C109" s="24" t="s">
        <v>1</v>
      </c>
      <c r="D109" s="18">
        <v>8</v>
      </c>
    </row>
    <row r="110" spans="1:4">
      <c r="A110" s="29" t="str">
        <f>$R$2 &amp;".hrStorageSize.n2.hrStorageSize"</f>
        <v>Диагностика.SYS_DIAG.hrStorageSize.n2.hrStorageSize</v>
      </c>
      <c r="B110" s="1">
        <v>101</v>
      </c>
      <c r="C110" s="1" t="s">
        <v>0</v>
      </c>
      <c r="D110" s="20" t="s">
        <v>671</v>
      </c>
    </row>
    <row r="111" spans="1:4">
      <c r="A111" s="26" t="str">
        <f>$R$2 &amp;".hrStorageSize.n2.hrStorageSize"</f>
        <v>Диагностика.SYS_DIAG.hrStorageSize.n2.hrStorageSize</v>
      </c>
      <c r="B111" s="27">
        <v>3000000</v>
      </c>
      <c r="C111" s="336" t="s">
        <v>0</v>
      </c>
      <c r="D111" s="22" t="s">
        <v>2312</v>
      </c>
    </row>
    <row r="112" spans="1:4">
      <c r="A112" s="23" t="str">
        <f>$R$2 &amp;".hrStorageSize.n2.hrStorageUsed"</f>
        <v>Диагностика.SYS_DIAG.hrStorageSize.n2.hrStorageUsed</v>
      </c>
      <c r="B112" s="24">
        <v>1</v>
      </c>
      <c r="C112" s="24" t="s">
        <v>1</v>
      </c>
      <c r="D112" s="18">
        <v>4</v>
      </c>
    </row>
    <row r="113" spans="1:4">
      <c r="A113" s="29" t="str">
        <f>$R$2 &amp;".hrStorageSize.n2.hrStorageUsed"</f>
        <v>Диагностика.SYS_DIAG.hrStorageSize.n2.hrStorageUsed</v>
      </c>
      <c r="B113" s="1">
        <v>101</v>
      </c>
      <c r="C113" s="1" t="s">
        <v>0</v>
      </c>
      <c r="D113" s="20" t="s">
        <v>670</v>
      </c>
    </row>
    <row r="114" spans="1:4">
      <c r="A114" s="26" t="str">
        <f>$R$2 &amp;".hrStorageSize.n2.hrStorageUsed"</f>
        <v>Диагностика.SYS_DIAG.hrStorageSize.n2.hrStorageUsed</v>
      </c>
      <c r="B114" s="27">
        <v>3000000</v>
      </c>
      <c r="C114" s="27" t="s">
        <v>0</v>
      </c>
      <c r="D114" s="22" t="s">
        <v>663</v>
      </c>
    </row>
    <row r="115" spans="1:4">
      <c r="A115" s="23" t="str">
        <f>$R$2 &amp;".hrStorageSize.n2.hrStorageSize.Display"</f>
        <v>Диагностика.SYS_DIAG.hrStorageSize.n2.hrStorageSize.Display</v>
      </c>
      <c r="B115" s="24">
        <v>1</v>
      </c>
      <c r="C115" s="24" t="s">
        <v>1</v>
      </c>
      <c r="D115" s="25">
        <v>4</v>
      </c>
    </row>
    <row r="116" spans="1:4">
      <c r="A116" s="29" t="str">
        <f>$R$2 &amp;".hrStorageSize.n2.hrStorageSize.Display"</f>
        <v>Диагностика.SYS_DIAG.hrStorageSize.n2.hrStorageSize.Display</v>
      </c>
      <c r="B116" s="1">
        <v>101</v>
      </c>
      <c r="C116" s="1" t="s">
        <v>0</v>
      </c>
      <c r="D116" s="30" t="s">
        <v>675</v>
      </c>
    </row>
    <row r="117" spans="1:4">
      <c r="A117" s="26" t="str">
        <f>$R$2 &amp;".hrStorageSize.n2.hrStorageSize.Display"</f>
        <v>Диагностика.SYS_DIAG.hrStorageSize.n2.hrStorageSize.Display</v>
      </c>
      <c r="B117" s="27">
        <v>3000000</v>
      </c>
      <c r="C117" s="27" t="s">
        <v>0</v>
      </c>
      <c r="D117" s="28" t="s">
        <v>664</v>
      </c>
    </row>
    <row r="118" spans="1:4">
      <c r="A118" s="23" t="str">
        <f>$R$2 &amp;".hrStorageSize.n2.hrStorageSize.Point"</f>
        <v>Диагностика.SYS_DIAG.hrStorageSize.n2.hrStorageSize.Point</v>
      </c>
      <c r="B118" s="24">
        <v>1</v>
      </c>
      <c r="C118" s="24" t="s">
        <v>1</v>
      </c>
      <c r="D118" s="25">
        <v>8</v>
      </c>
    </row>
    <row r="119" spans="1:4">
      <c r="A119" s="26" t="str">
        <f>$R$2 &amp;".hrStorageSize.n2.hrStorageSize.Point"</f>
        <v>Диагностика.SYS_DIAG.hrStorageSize.n2.hrStorageSize.Point</v>
      </c>
      <c r="B119" s="27">
        <v>3000000</v>
      </c>
      <c r="C119" s="27" t="s">
        <v>0</v>
      </c>
      <c r="D119" s="28" t="s">
        <v>2310</v>
      </c>
    </row>
    <row r="120" spans="1:4">
      <c r="A120" s="23" t="str">
        <f>$R$2 &amp;".hrStorageSize.n2.Message.cmd_operator"</f>
        <v>Диагностика.SYS_DIAG.hrStorageSize.n2.Message.cmd_operator</v>
      </c>
      <c r="B120" s="24">
        <v>1</v>
      </c>
      <c r="C120" s="24" t="s">
        <v>1</v>
      </c>
      <c r="D120" s="18">
        <v>11</v>
      </c>
    </row>
    <row r="121" spans="1:4">
      <c r="A121" s="29" t="str">
        <f>$R$2 &amp;".hrStorageSize.n2.Message.cmd_operator"</f>
        <v>Диагностика.SYS_DIAG.hrStorageSize.n2.Message.cmd_operator</v>
      </c>
      <c r="B121" s="1">
        <v>11000</v>
      </c>
      <c r="C121" s="1" t="s">
        <v>5</v>
      </c>
      <c r="D121" s="20">
        <v>2147483680</v>
      </c>
    </row>
    <row r="122" spans="1:4">
      <c r="A122" s="29" t="str">
        <f>$R$2 &amp;".hrStorageSize.n2.Message.cmd_operator"</f>
        <v>Диагностика.SYS_DIAG.hrStorageSize.n2.Message.cmd_operator</v>
      </c>
      <c r="B122" s="1">
        <v>11150</v>
      </c>
      <c r="C122" s="1" t="s">
        <v>0</v>
      </c>
      <c r="D122" s="20" t="s">
        <v>43</v>
      </c>
    </row>
    <row r="123" spans="1:4">
      <c r="A123" s="29" t="str">
        <f>$R$2 &amp;".hrStorageSize.n2.Message.cmd_operator"</f>
        <v>Диагностика.SYS_DIAG.hrStorageSize.n2.Message.cmd_operator</v>
      </c>
      <c r="B123" s="1">
        <v>11154</v>
      </c>
      <c r="C123" s="1" t="s">
        <v>4</v>
      </c>
      <c r="D123" s="20">
        <v>20</v>
      </c>
    </row>
    <row r="124" spans="1:4">
      <c r="A124" s="23" t="str">
        <f t="shared" ref="A124:A129" si="3">$R$2 &amp;".hrStorageSize.n2.minsize2"</f>
        <v>Диагностика.SYS_DIAG.hrStorageSize.n2.minsize2</v>
      </c>
      <c r="B124" s="24">
        <v>1</v>
      </c>
      <c r="C124" s="24" t="s">
        <v>1</v>
      </c>
      <c r="D124" s="18">
        <v>4</v>
      </c>
    </row>
    <row r="125" spans="1:4">
      <c r="A125" s="29" t="str">
        <f t="shared" si="3"/>
        <v>Диагностика.SYS_DIAG.hrStorageSize.n2.minsize2</v>
      </c>
      <c r="B125" s="1">
        <v>11000</v>
      </c>
      <c r="C125" s="1" t="s">
        <v>5</v>
      </c>
      <c r="D125" s="20">
        <v>2147483648</v>
      </c>
    </row>
    <row r="126" spans="1:4">
      <c r="A126" s="29" t="str">
        <f t="shared" si="3"/>
        <v>Диагностика.SYS_DIAG.hrStorageSize.n2.minsize2</v>
      </c>
      <c r="B126" s="1">
        <v>2</v>
      </c>
      <c r="C126" s="1" t="s">
        <v>80</v>
      </c>
      <c r="D126" s="20">
        <v>50</v>
      </c>
    </row>
    <row r="127" spans="1:4">
      <c r="A127" s="29" t="str">
        <f t="shared" si="3"/>
        <v>Диагностика.SYS_DIAG.hrStorageSize.n2.minsize2</v>
      </c>
      <c r="B127" s="1">
        <v>3</v>
      </c>
      <c r="C127" s="1" t="s">
        <v>1</v>
      </c>
      <c r="D127" s="20">
        <v>192</v>
      </c>
    </row>
    <row r="128" spans="1:4">
      <c r="A128" s="29" t="str">
        <f t="shared" si="3"/>
        <v>Диагностика.SYS_DIAG.hrStorageSize.n2.minsize2</v>
      </c>
      <c r="B128" s="1">
        <v>3000000</v>
      </c>
      <c r="C128" s="1" t="s">
        <v>0</v>
      </c>
      <c r="D128" s="20" t="s">
        <v>679</v>
      </c>
    </row>
    <row r="129" spans="1:4">
      <c r="A129" s="26" t="str">
        <f t="shared" si="3"/>
        <v>Диагностика.SYS_DIAG.hrStorageSize.n2.minsize2</v>
      </c>
      <c r="B129" s="27">
        <v>7011</v>
      </c>
      <c r="C129" s="27" t="s">
        <v>2</v>
      </c>
      <c r="D129" s="22" t="s">
        <v>130</v>
      </c>
    </row>
  </sheetData>
  <autoFilter ref="B1:B129" xr:uid="{00000000-0009-0000-0000-000041000000}"/>
  <conditionalFormatting sqref="D21:D22">
    <cfRule type="duplicateValues" dxfId="3" priority="9444"/>
    <cfRule type="duplicateValues" dxfId="2" priority="9445"/>
  </conditionalFormatting>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Лист158">
    <tabColor rgb="FFFFC000"/>
  </sheetPr>
  <dimension ref="A1:BI639"/>
  <sheetViews>
    <sheetView topLeftCell="A608"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20.4414062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1" width="40.33203125" customWidth="1"/>
    <col min="32" max="35" width="9.109375" hidden="1" customWidth="1"/>
    <col min="36" max="36" width="6.88671875"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7.109375" customWidth="1"/>
    <col min="55" max="55" width="10.88671875" customWidth="1"/>
    <col min="57" max="57" width="65.109375" customWidth="1"/>
  </cols>
  <sheetData>
    <row r="1" spans="1:61" s="258" customFormat="1" ht="204.6" thickBot="1">
      <c r="A1" s="257"/>
      <c r="B1" s="260" t="s">
        <v>84</v>
      </c>
      <c r="C1" s="257"/>
      <c r="D1" s="257"/>
      <c r="E1" s="257"/>
      <c r="F1" s="257"/>
      <c r="P1" s="263" t="str">
        <f>Таблица!D1</f>
        <v>Префикс для TREI
Тэг ОРС для INFINITY</v>
      </c>
      <c r="Q1" s="263" t="str">
        <f>Таблица!E1</f>
        <v>Комментарий для TREI и INFINITY</v>
      </c>
      <c r="R1" s="263" t="str">
        <f>Таблица!F1</f>
        <v>ТЭГ в дереве INFINITY Server</v>
      </c>
      <c r="S1" s="263"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63" t="str">
        <f>Таблица!H1</f>
        <v>OPC путь 
№ маршрута Modbus TCP, Modbus RTU, Modbus over TCP (1-255)
№ КП IEC104 (1-65534)</v>
      </c>
      <c r="U1" s="263" t="str">
        <f>Таблица!I1</f>
        <v>OPC путь</v>
      </c>
      <c r="V1" s="263" t="str">
        <f>Таблица!J1</f>
        <v>Мнемосхема</v>
      </c>
      <c r="W1" s="263"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63"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63" t="str">
        <f>Таблица!M1</f>
        <v>FB_IMt_MON_S, IMt_MON: Только для трансформатора. Цвет нижних обмоток(-ки) при наличии напряжения</v>
      </c>
      <c r="Z1" s="263"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63"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63" t="str">
        <f>Таблица!P1</f>
        <v xml:space="preserve">FB_DI_S, FB_DO_S, DI, DI_DIAG, FB_DO_STB_S: Тип сигнализации (Авария, предупреждение, телесигнализация и тд.)
FB_SHPS_S(SB), FB_BTF_S: Тип сигнализации XFRX
</v>
      </c>
      <c r="AC1" s="263"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63" t="str">
        <f>Таблица!R1</f>
        <v>SEPAM: Тип ячейки (OL,SV,VV,TN)
BMRZ: Тип ячейки (VV,AV)
TOR: Тип ячейки (OL,SV,VV,TN,BK)</v>
      </c>
      <c r="AE1" s="263" t="str">
        <f>Таблица!S1</f>
        <v>Формула для fNoLink.Device</v>
      </c>
      <c r="AF1" s="263">
        <f>Таблица!T1</f>
        <v>0</v>
      </c>
      <c r="AG1" s="263">
        <f>Таблица!U1</f>
        <v>0</v>
      </c>
      <c r="AH1" s="263">
        <f>Таблица!V1</f>
        <v>0</v>
      </c>
      <c r="AI1" s="263">
        <f>Таблица!W1</f>
        <v>0</v>
      </c>
      <c r="AJ1" s="263">
        <f>Таблица!X1</f>
        <v>0</v>
      </c>
      <c r="AK1" s="264" t="str">
        <f>Таблица!Y1</f>
        <v>FB_AI_S, FB_DI_S, FB_QSA_S, FB_DO_S, FB_SHPS_S, FB_SHOP_S, FB_BTF_S: IVXX
FB_KL_UPT_S: ISON
SW_S301, SW_MES3508: Подключение к порту 1
SW_MAYAK: Подключение к порту 1,2 (через "\")
DI_DIAG, DO_DIAG: XVLX</v>
      </c>
      <c r="AL1" s="264"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64"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64" t="str">
        <f>Таблица!AB1</f>
        <v>FB_IMstp_S, FB_IMsp_S, FB_IMs_S, FB_REG_S, FB_IM_ADES_S : ILCX
SW_S301: Подключение к порту 4
SW_MAYAK, SW_MES3508: Подключение к порту 7,8 (через "\")</v>
      </c>
      <c r="AO1" s="265" t="str">
        <f>Таблица!AC1</f>
        <v xml:space="preserve">FB_IMstp_S, FB_IMsp_S, FB_IMs_S, FB_IMp_S, FB_IMv_S, FB_REG_S, FB_IM_ADES_S, FB_DO_S : IRCX
SW_S301, SW_MES3508: Подключение к порту 5
SW_MAYAK: Подключение к порту 9,10 (через "\")
</v>
      </c>
      <c r="AP1" s="26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6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65" t="str">
        <f>Таблица!AF1</f>
        <v xml:space="preserve">FB_IMstp_S, FB_IMsp_S, FB_IMs_S, FB_IMp_S, FB_IMv_S, FB_IM_ADES_S, FB_OZK_KD_S, FB_DO_S: OXOF
SW_S301, SW_MES3508: Подключение к порту 8
SW_MAYAK: Подключение к порту 15,16 (через "\")
</v>
      </c>
      <c r="AS1" s="265" t="str">
        <f>Таблица!AG1</f>
        <v xml:space="preserve">FB_IM_ADES_S, FB_IMp_S, FB_IMv_S: OXSP
FB_IMstp_S, FB_IMsp_S, FB_IMsp_MON_S: IPTC
SW_S301, SW_MES3508: Подключение к порту 9
SW_MAYAK: Подключение к порту 17,18 (через "\")
</v>
      </c>
      <c r="AT1" s="265" t="str">
        <f>Таблица!AH1</f>
        <v xml:space="preserve">FB_IMstp_S, FB_IMst_MON_S, FB_IMt_MON_S: ITON
FB_IM_ADES_S: IOLD
SW_S301, SW_MES3508: Подключение к порту 10
SW_MAYAK: Подключение к порту 19,20 (через "\")
</v>
      </c>
      <c r="AU1" s="265" t="str">
        <f>Таблица!AI1</f>
        <v>FB_IMstp_S, FB_IMst_MON_S, FB_IMt_MON_S: ITOF
FB_IM_ADES_S: IRAD
SW_MAYAK: Подключение к порту 21,22 (через "\")</v>
      </c>
      <c r="AV1" s="265" t="str">
        <f>Таблица!AJ1</f>
        <v xml:space="preserve">FB_IMstp_S, FB_IMsp_S, FB_IMsp_MON_S, FB_IM_ADES_S: IPTO
SW_MAYAK: Подключение к порту 23,24 (через "\")
</v>
      </c>
      <c r="AW1" s="261"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61" t="str">
        <f>Таблица!AL1</f>
        <v>Для TREI
FB_IMstp_S, FB_IMs_S, FB_IMp_S, FB_IMv_S, FB_IM_ADES_S: Настройка перехода ручной-/автоматический-(TRUE/FALSE) 
FB_DI_S: Генерировать метки времени (TRUE/FALSE)</v>
      </c>
      <c r="AY1" s="261"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61" t="str">
        <f>Таблица!AN1</f>
        <v>Для TREI
FB_AI_S, FB_QSA_S: Верхний предел датчика
FB_IMp_S, FB_IMv_S, FB_IM_ADES_S, FB_OZK_KD_S: Время перестановки</v>
      </c>
      <c r="BA1" s="261"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F1" s="259"/>
      <c r="BG1" s="259"/>
      <c r="BH1" s="259"/>
      <c r="BI1" s="259"/>
    </row>
    <row r="2" spans="1:61" ht="15" customHeight="1">
      <c r="A2" s="9"/>
      <c r="B2" s="9"/>
      <c r="C2" s="9"/>
      <c r="D2" s="9"/>
      <c r="E2" s="9"/>
      <c r="F2" s="9"/>
      <c r="P2" s="2" t="s">
        <v>1388</v>
      </c>
      <c r="Q2" s="2" t="s">
        <v>1784</v>
      </c>
      <c r="R2" s="2" t="s">
        <v>1783</v>
      </c>
      <c r="S2" s="3">
        <v>1</v>
      </c>
      <c r="T2" s="3" t="s">
        <v>1698</v>
      </c>
      <c r="U2" s="3"/>
      <c r="V2" s="3" t="s">
        <v>569</v>
      </c>
      <c r="W2" s="12" t="s">
        <v>247</v>
      </c>
      <c r="X2" s="12" t="s">
        <v>248</v>
      </c>
      <c r="Y2" s="12"/>
      <c r="Z2" s="12" t="s">
        <v>249</v>
      </c>
      <c r="AA2" s="12" t="s">
        <v>250</v>
      </c>
      <c r="AB2" s="2"/>
      <c r="AC2" s="2"/>
      <c r="AD2" s="2"/>
      <c r="AE2" s="2" t="s">
        <v>1414</v>
      </c>
      <c r="AF2" s="2"/>
      <c r="AG2" s="2"/>
      <c r="AH2" s="2"/>
      <c r="AI2" s="2"/>
      <c r="AJ2" s="2"/>
      <c r="AK2" s="2" t="s">
        <v>1214</v>
      </c>
      <c r="AL2" s="2"/>
      <c r="AM2" s="2"/>
      <c r="AN2" s="2"/>
      <c r="AO2" s="2"/>
      <c r="AP2" s="2"/>
      <c r="AQ2" s="2"/>
      <c r="AR2" s="2"/>
      <c r="AS2" s="2"/>
      <c r="AT2" s="2"/>
      <c r="AU2" s="2"/>
      <c r="AV2" s="2"/>
      <c r="AW2" s="2">
        <v>0</v>
      </c>
      <c r="AX2" s="2"/>
      <c r="AY2" s="2">
        <v>5</v>
      </c>
      <c r="AZ2" s="2">
        <v>20</v>
      </c>
      <c r="BA2" s="2"/>
      <c r="BF2" s="4"/>
      <c r="BG2" s="4"/>
      <c r="BH2" s="4"/>
      <c r="BI2" s="4"/>
    </row>
    <row r="3" spans="1:61" ht="15" customHeight="1">
      <c r="A3" s="9"/>
      <c r="B3" s="9"/>
      <c r="C3" s="9"/>
      <c r="D3" s="9"/>
      <c r="E3" s="9"/>
      <c r="F3" s="9"/>
      <c r="P3" s="10"/>
      <c r="Q3" s="10"/>
      <c r="R3" s="10"/>
      <c r="S3" s="10"/>
      <c r="T3" s="10"/>
      <c r="U3" s="10"/>
      <c r="V3" s="10"/>
      <c r="W3" s="10"/>
      <c r="X3" s="10"/>
      <c r="Y3" s="10"/>
      <c r="Z3" s="10"/>
      <c r="AA3" s="10"/>
      <c r="BF3" s="4"/>
      <c r="BG3" s="4"/>
      <c r="BH3" s="4"/>
      <c r="BI3" s="4"/>
    </row>
    <row r="4" spans="1:61" ht="15" customHeight="1">
      <c r="A4" s="9"/>
      <c r="B4" s="9"/>
      <c r="C4" s="9"/>
      <c r="D4" s="9"/>
      <c r="E4" s="9"/>
      <c r="F4" s="9"/>
      <c r="P4" s="7" t="str">
        <f>Настройки!A1</f>
        <v>Событие</v>
      </c>
      <c r="Q4" s="7" t="str">
        <f>Настройки!B1</f>
        <v>Важность</v>
      </c>
      <c r="R4" s="7" t="str">
        <f>Настройки!C1</f>
        <v>Звук</v>
      </c>
      <c r="S4" s="7" t="s">
        <v>1793</v>
      </c>
      <c r="T4" s="548" t="str">
        <f>Настройки!M11</f>
        <v>№ Модуля commands</v>
      </c>
      <c r="U4" s="10"/>
      <c r="V4" s="10"/>
      <c r="W4" s="10"/>
      <c r="X4" s="10"/>
      <c r="Y4" s="10"/>
      <c r="Z4" s="10"/>
      <c r="AA4" s="10"/>
      <c r="BF4" s="4"/>
      <c r="BG4" s="4"/>
      <c r="BH4" s="4"/>
      <c r="BI4" s="4"/>
    </row>
    <row r="5" spans="1:61" ht="15" customHeight="1">
      <c r="A5" s="9"/>
      <c r="B5" s="9"/>
      <c r="C5" s="9"/>
      <c r="D5" s="9"/>
      <c r="E5" s="9"/>
      <c r="F5" s="9"/>
      <c r="P5" s="6" t="str">
        <f>Настройки!A2</f>
        <v>Авария</v>
      </c>
      <c r="Q5" s="5">
        <f>Настройки!B2</f>
        <v>4</v>
      </c>
      <c r="R5" s="5" t="str">
        <f>Настройки!C2</f>
        <v>Авария</v>
      </c>
      <c r="S5" s="12">
        <v>23</v>
      </c>
      <c r="T5" s="458">
        <f>Настройки!M12</f>
        <v>1</v>
      </c>
      <c r="U5" s="10"/>
      <c r="V5" s="10"/>
      <c r="W5" s="10"/>
      <c r="X5" s="10"/>
      <c r="Y5" s="10"/>
      <c r="Z5" s="10"/>
      <c r="AA5" s="10"/>
      <c r="BF5" s="4"/>
      <c r="BG5" s="4"/>
      <c r="BH5" s="4"/>
      <c r="BI5" s="4"/>
    </row>
    <row r="6" spans="1:61" ht="15" customHeight="1">
      <c r="A6" s="9"/>
      <c r="B6" s="9"/>
      <c r="C6" s="9"/>
      <c r="D6" s="9"/>
      <c r="E6" s="9"/>
      <c r="F6" s="9"/>
      <c r="P6" s="6" t="str">
        <f>Настройки!A3</f>
        <v>Предупреждение</v>
      </c>
      <c r="Q6" s="5">
        <f>Настройки!B3</f>
        <v>8</v>
      </c>
      <c r="R6" s="5" t="str">
        <f>Настройки!C3</f>
        <v>Предупреждение</v>
      </c>
      <c r="S6" s="12">
        <v>24</v>
      </c>
      <c r="T6" s="608" t="str">
        <f>Настройки!M7</f>
        <v>Отображение Таблицы подлючений в диаг.</v>
      </c>
      <c r="U6" s="10"/>
      <c r="V6" s="10"/>
      <c r="W6" s="10"/>
      <c r="X6" s="10"/>
      <c r="Y6" s="10"/>
      <c r="Z6" s="10"/>
      <c r="AA6" s="10"/>
      <c r="BF6" s="4"/>
      <c r="BG6" s="4"/>
      <c r="BH6" s="4"/>
      <c r="BI6" s="4"/>
    </row>
    <row r="7" spans="1:61" ht="15" customHeight="1">
      <c r="A7" s="9"/>
      <c r="B7" s="9"/>
      <c r="C7" s="9"/>
      <c r="D7" s="9"/>
      <c r="E7" s="9"/>
      <c r="F7" s="9"/>
      <c r="P7" s="6" t="str">
        <f>Настройки!A4</f>
        <v>Неисправность</v>
      </c>
      <c r="Q7" s="5">
        <f>Настройки!B4</f>
        <v>12</v>
      </c>
      <c r="R7" s="5" t="str">
        <f>Настройки!C4</f>
        <v>Неисправность</v>
      </c>
      <c r="S7" s="12">
        <v>25</v>
      </c>
      <c r="T7" s="644" t="b">
        <f>Настройки!M8</f>
        <v>0</v>
      </c>
      <c r="U7" s="10"/>
      <c r="V7" s="10"/>
      <c r="W7" s="10"/>
      <c r="X7" s="10"/>
      <c r="Y7" s="10"/>
      <c r="Z7" s="10"/>
      <c r="AA7" s="10"/>
      <c r="BF7" s="4"/>
      <c r="BG7" s="4"/>
      <c r="BH7" s="4"/>
      <c r="BI7" s="4"/>
    </row>
    <row r="8" spans="1:61" ht="15" customHeight="1">
      <c r="A8" s="9"/>
      <c r="B8" s="9"/>
      <c r="C8" s="9"/>
      <c r="D8" s="9"/>
      <c r="E8" s="9"/>
      <c r="F8" s="9"/>
      <c r="P8" s="6" t="str">
        <f>Настройки!A5</f>
        <v>Телесигнализация</v>
      </c>
      <c r="Q8" s="5">
        <f>Настройки!B5</f>
        <v>18</v>
      </c>
      <c r="R8" s="5" t="str">
        <f>Настройки!C5</f>
        <v>Телесигнализация</v>
      </c>
      <c r="S8" s="12">
        <v>26</v>
      </c>
      <c r="T8" s="548" t="str">
        <f>Настройки!M13</f>
        <v>Номер модуля IEC 4</v>
      </c>
      <c r="U8" s="10"/>
      <c r="V8" s="10"/>
      <c r="W8" s="10"/>
      <c r="X8" s="10"/>
      <c r="Y8" s="10"/>
      <c r="Z8" s="10"/>
      <c r="AA8" s="10"/>
      <c r="BF8" s="4"/>
      <c r="BG8" s="4"/>
      <c r="BH8" s="4"/>
      <c r="BI8" s="4"/>
    </row>
    <row r="9" spans="1:61" ht="15" customHeight="1">
      <c r="A9" s="9"/>
      <c r="B9" s="9"/>
      <c r="C9" s="9"/>
      <c r="D9" s="9"/>
      <c r="E9" s="9"/>
      <c r="F9" s="9"/>
      <c r="P9" s="6" t="str">
        <f>Настройки!A6</f>
        <v>Недостоверность</v>
      </c>
      <c r="Q9" s="5">
        <f>Настройки!B6</f>
        <v>10</v>
      </c>
      <c r="R9" s="5" t="str">
        <f>Настройки!C6</f>
        <v>Недостоверность</v>
      </c>
      <c r="S9" s="12">
        <v>27</v>
      </c>
      <c r="T9" s="456">
        <f>Настройки!M14</f>
        <v>1</v>
      </c>
      <c r="U9" s="10"/>
      <c r="V9" s="10"/>
      <c r="W9" s="10"/>
      <c r="X9" s="10"/>
      <c r="Y9" s="10"/>
      <c r="Z9" s="10"/>
      <c r="AA9" s="10"/>
      <c r="BF9" s="4"/>
      <c r="BG9" s="4"/>
      <c r="BH9" s="4"/>
      <c r="BI9" s="4"/>
    </row>
    <row r="10" spans="1:61" ht="15" customHeight="1">
      <c r="A10" s="9"/>
      <c r="B10" s="9"/>
      <c r="C10" s="9"/>
      <c r="D10" s="9"/>
      <c r="E10" s="9"/>
      <c r="F10" s="9"/>
      <c r="P10" s="6" t="str">
        <f>Настройки!A7</f>
        <v>Имитация</v>
      </c>
      <c r="Q10" s="5">
        <f>Настройки!B7</f>
        <v>16</v>
      </c>
      <c r="R10" s="5" t="str">
        <f>Настройки!C7</f>
        <v>Имитация</v>
      </c>
      <c r="S10" s="12"/>
      <c r="T10" s="548" t="str">
        <f>Настройки!M15</f>
        <v>Номер КП модуля IEC 4</v>
      </c>
      <c r="U10" s="10"/>
      <c r="V10" s="10"/>
      <c r="W10" s="10"/>
      <c r="X10" s="10"/>
      <c r="Y10" s="10"/>
      <c r="Z10" s="10"/>
      <c r="AA10" s="10"/>
      <c r="BF10" s="4"/>
      <c r="BG10" s="4"/>
      <c r="BH10" s="4"/>
      <c r="BI10" s="4"/>
    </row>
    <row r="11" spans="1:61" ht="15" customHeight="1">
      <c r="A11" s="9"/>
      <c r="B11" s="9"/>
      <c r="C11" s="9"/>
      <c r="D11" s="9"/>
      <c r="E11" s="9"/>
      <c r="F11" s="9"/>
      <c r="P11" s="6" t="str">
        <f>Настройки!A8</f>
        <v>Ремонт</v>
      </c>
      <c r="Q11" s="5">
        <f>Настройки!B8</f>
        <v>14</v>
      </c>
      <c r="R11" s="5" t="str">
        <f>Настройки!C8</f>
        <v>Ремонт</v>
      </c>
      <c r="S11" s="12">
        <v>29</v>
      </c>
      <c r="T11" s="656">
        <f>Настройки!M16</f>
        <v>1</v>
      </c>
      <c r="U11" s="10"/>
      <c r="V11" s="10"/>
      <c r="W11" s="10"/>
      <c r="X11" s="10"/>
      <c r="Y11" s="10"/>
      <c r="Z11" s="10"/>
      <c r="AA11" s="10"/>
      <c r="BF11" s="4"/>
      <c r="BG11" s="4"/>
      <c r="BH11" s="4"/>
      <c r="BI11" s="4"/>
    </row>
    <row r="12" spans="1:61"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2"/>
      <c r="T12" s="10"/>
      <c r="U12" s="10"/>
      <c r="V12" s="10"/>
      <c r="W12" s="10"/>
      <c r="X12" s="10"/>
      <c r="Y12" s="10"/>
      <c r="Z12" s="10"/>
      <c r="AA12" s="10"/>
      <c r="BF12" s="4"/>
      <c r="BG12" s="4"/>
      <c r="BH12" s="4"/>
      <c r="BI12" s="4"/>
    </row>
    <row r="13" spans="1:61" ht="15" customHeight="1">
      <c r="A13" s="9"/>
      <c r="B13" s="9"/>
      <c r="C13" s="9"/>
      <c r="D13" s="9"/>
      <c r="E13" s="9"/>
      <c r="F13" s="9"/>
      <c r="P13" s="6" t="str">
        <f>Настройки!A10</f>
        <v>Тревога</v>
      </c>
      <c r="Q13" s="5">
        <f>Настройки!B10</f>
        <v>5</v>
      </c>
      <c r="R13" s="5" t="str">
        <f>Настройки!C10</f>
        <v>Тревога</v>
      </c>
      <c r="S13" s="12"/>
      <c r="T13" s="10"/>
      <c r="U13" s="10"/>
      <c r="V13" s="10"/>
      <c r="W13" s="10"/>
      <c r="X13" s="10"/>
      <c r="Y13" s="10"/>
      <c r="Z13" s="10"/>
      <c r="AA13" s="10"/>
      <c r="BF13" s="4"/>
      <c r="BG13" s="4"/>
      <c r="BH13" s="4"/>
      <c r="BI13" s="4"/>
    </row>
    <row r="14" spans="1:61" ht="15" customHeight="1">
      <c r="A14" s="9"/>
      <c r="B14" s="9"/>
      <c r="C14" s="9"/>
      <c r="D14" s="9"/>
      <c r="E14" s="9"/>
      <c r="F14" s="9"/>
      <c r="P14" s="6" t="str">
        <f>Настройки!A11</f>
        <v>Тушение</v>
      </c>
      <c r="Q14" s="5">
        <f>Настройки!B11</f>
        <v>1</v>
      </c>
      <c r="R14" s="5" t="str">
        <f>Настройки!C11</f>
        <v>Тушение</v>
      </c>
      <c r="S14" s="12"/>
      <c r="T14" s="10"/>
      <c r="U14" s="10"/>
      <c r="V14" s="10"/>
      <c r="W14" s="10"/>
      <c r="X14" s="10"/>
      <c r="Y14" s="10"/>
      <c r="Z14" s="10"/>
      <c r="AA14" s="10"/>
      <c r="BF14" s="4"/>
      <c r="BG14" s="4"/>
      <c r="BH14" s="4"/>
      <c r="BI14" s="4"/>
    </row>
    <row r="15" spans="1:61" ht="15" customHeight="1">
      <c r="A15" s="9"/>
      <c r="B15" s="9"/>
      <c r="C15" s="9"/>
      <c r="D15" s="9"/>
      <c r="E15" s="9"/>
      <c r="F15" s="9"/>
      <c r="P15" s="6" t="str">
        <f>Настройки!A12</f>
        <v>Пожар</v>
      </c>
      <c r="Q15" s="5">
        <f>Настройки!B12</f>
        <v>2</v>
      </c>
      <c r="R15" s="5" t="str">
        <f>Настройки!C12</f>
        <v>Пожар</v>
      </c>
      <c r="S15" s="12"/>
      <c r="T15" s="10"/>
      <c r="U15" s="10"/>
      <c r="V15" s="10"/>
      <c r="W15" s="10"/>
      <c r="X15" s="10"/>
      <c r="Y15" s="10"/>
      <c r="Z15" s="10"/>
      <c r="AA15" s="10"/>
      <c r="BF15" s="4"/>
      <c r="BG15" s="4"/>
      <c r="BH15" s="4"/>
      <c r="BI15" s="4"/>
    </row>
    <row r="16" spans="1:61" ht="15" customHeight="1">
      <c r="A16" s="9"/>
      <c r="B16" s="9"/>
      <c r="C16" s="9"/>
      <c r="D16" s="9"/>
      <c r="E16" s="9"/>
      <c r="F16" s="9"/>
      <c r="P16" s="6" t="str">
        <f>Настройки!A13</f>
        <v>Порог 2</v>
      </c>
      <c r="Q16" s="5">
        <f>Настройки!B13</f>
        <v>3</v>
      </c>
      <c r="R16" s="5" t="str">
        <f>Настройки!C13</f>
        <v>Порог 2</v>
      </c>
      <c r="S16" s="12"/>
      <c r="T16" s="10"/>
      <c r="U16" s="10"/>
      <c r="V16" s="10"/>
      <c r="W16" s="10"/>
      <c r="X16" s="10"/>
      <c r="Y16" s="10"/>
      <c r="Z16" s="10"/>
      <c r="AA16" s="10"/>
      <c r="BF16" s="4"/>
      <c r="BG16" s="4"/>
      <c r="BH16" s="4"/>
      <c r="BI16" s="4"/>
    </row>
    <row r="17" spans="1:61" ht="15" customHeight="1">
      <c r="A17" s="9"/>
      <c r="B17" s="9"/>
      <c r="C17" s="9"/>
      <c r="D17" s="9"/>
      <c r="E17" s="9"/>
      <c r="F17" s="9"/>
      <c r="P17" s="6" t="str">
        <f>Настройки!A14</f>
        <v>Порог 1</v>
      </c>
      <c r="Q17" s="5">
        <f>Настройки!B14</f>
        <v>6</v>
      </c>
      <c r="R17" s="5" t="str">
        <f>Настройки!C14</f>
        <v>Порог 1</v>
      </c>
      <c r="S17" s="12"/>
      <c r="T17" s="10"/>
      <c r="U17" s="10"/>
      <c r="V17" s="10"/>
      <c r="W17" s="10"/>
      <c r="X17" s="10"/>
      <c r="Y17" s="10"/>
      <c r="Z17" s="10"/>
      <c r="AA17" s="10"/>
      <c r="BF17" s="4"/>
      <c r="BG17" s="4"/>
      <c r="BH17" s="4"/>
      <c r="BI17" s="4"/>
    </row>
    <row r="18" spans="1:61" ht="15" customHeight="1">
      <c r="A18" s="9"/>
      <c r="B18" s="9"/>
      <c r="C18" s="9"/>
      <c r="D18" s="9"/>
      <c r="E18" s="9"/>
      <c r="F18" s="9"/>
      <c r="P18" s="6" t="str">
        <f>Настройки!A15</f>
        <v>Отключение</v>
      </c>
      <c r="Q18" s="5">
        <f>Настройки!B15</f>
        <v>13</v>
      </c>
      <c r="R18" s="5" t="str">
        <f>Настройки!C15</f>
        <v>Отключение</v>
      </c>
      <c r="S18" s="12"/>
      <c r="T18" s="10"/>
      <c r="U18" s="10"/>
      <c r="V18" s="10"/>
      <c r="W18" s="10"/>
      <c r="X18" s="10"/>
      <c r="Y18" s="10"/>
      <c r="Z18" s="10"/>
      <c r="AA18" s="10"/>
      <c r="BF18" s="4"/>
      <c r="BG18" s="4"/>
      <c r="BH18" s="4"/>
      <c r="BI18" s="4"/>
    </row>
    <row r="19" spans="1:61" ht="15" customHeight="1">
      <c r="A19" s="9"/>
      <c r="B19" s="9"/>
      <c r="C19" s="9"/>
      <c r="D19" s="9"/>
      <c r="E19" s="9"/>
      <c r="F19" s="9"/>
      <c r="P19" s="6" t="str">
        <f>Настройки!A16</f>
        <v>Информация</v>
      </c>
      <c r="Q19" s="5">
        <f>Настройки!B16</f>
        <v>22</v>
      </c>
      <c r="R19" s="5" t="str">
        <f>Настройки!C16</f>
        <v>Информация</v>
      </c>
      <c r="S19" s="12"/>
      <c r="T19" s="10"/>
      <c r="U19" s="10"/>
      <c r="V19" s="10"/>
      <c r="W19" s="10"/>
      <c r="X19" s="10"/>
      <c r="Y19" s="10"/>
      <c r="Z19" s="10"/>
      <c r="AA19" s="10"/>
      <c r="BF19" s="4"/>
      <c r="BG19" s="4"/>
      <c r="BH19" s="4"/>
      <c r="BI19" s="4"/>
    </row>
    <row r="20" spans="1:61" ht="15" customHeight="1">
      <c r="A20" s="16" t="str">
        <f t="shared" ref="A20:A32" si="0">$R$2</f>
        <v>FB_AI_BUF_S</v>
      </c>
      <c r="B20" s="17">
        <v>11001</v>
      </c>
      <c r="C20" s="17" t="s">
        <v>0</v>
      </c>
      <c r="D20" s="18" t="str">
        <f>$Q$2&amp;". "</f>
        <v xml:space="preserve">Аналоговый датчик FB с буферизацией. </v>
      </c>
      <c r="E20" s="4"/>
      <c r="F20" s="4"/>
      <c r="BF20" s="4"/>
      <c r="BG20" s="4"/>
      <c r="BH20" s="4"/>
      <c r="BI20" s="4"/>
    </row>
    <row r="21" spans="1:61" ht="15" customHeight="1">
      <c r="A21" s="19" t="str">
        <f t="shared" si="0"/>
        <v>FB_AI_BUF_S</v>
      </c>
      <c r="B21" s="11">
        <v>11156</v>
      </c>
      <c r="C21" s="11" t="s">
        <v>0</v>
      </c>
      <c r="D21" s="20" t="str">
        <f>$V$2</f>
        <v>Тестовый экран</v>
      </c>
      <c r="E21" s="4"/>
      <c r="F21" s="4"/>
      <c r="BF21" s="4"/>
      <c r="BG21" s="4"/>
      <c r="BH21" s="4"/>
      <c r="BI21" s="4"/>
    </row>
    <row r="22" spans="1:61" ht="15" customHeight="1">
      <c r="A22" s="19" t="str">
        <f t="shared" si="0"/>
        <v>FB_AI_BUF_S</v>
      </c>
      <c r="B22" s="11">
        <v>1</v>
      </c>
      <c r="C22" s="11" t="s">
        <v>1</v>
      </c>
      <c r="D22" s="20">
        <v>17</v>
      </c>
      <c r="BF22" s="4"/>
      <c r="BG22" s="4"/>
      <c r="BH22" s="4"/>
      <c r="BI22" s="4"/>
    </row>
    <row r="23" spans="1:61" ht="15" customHeight="1">
      <c r="A23" s="21" t="str">
        <f t="shared" si="0"/>
        <v>FB_AI_BUF_S</v>
      </c>
      <c r="B23" s="8">
        <v>100</v>
      </c>
      <c r="C23" s="8" t="s">
        <v>0</v>
      </c>
      <c r="D23" s="22" t="b">
        <f>$T$7</f>
        <v>0</v>
      </c>
      <c r="BF23" s="4"/>
      <c r="BG23" s="4"/>
      <c r="BH23" s="4"/>
      <c r="BI23" s="4"/>
    </row>
    <row r="24" spans="1:61" ht="15" customHeight="1">
      <c r="A24" s="19" t="str">
        <f t="shared" si="0"/>
        <v>FB_AI_BUF_S</v>
      </c>
      <c r="B24" s="11">
        <v>11120</v>
      </c>
      <c r="C24" s="11" t="s">
        <v>0</v>
      </c>
      <c r="D24" s="20" t="str">
        <f>$X$2</f>
        <v>C</v>
      </c>
      <c r="BF24" s="4"/>
      <c r="BG24" s="4"/>
      <c r="BH24" s="4"/>
      <c r="BI24" s="4"/>
    </row>
    <row r="25" spans="1:61" ht="15" customHeight="1">
      <c r="A25" s="19" t="str">
        <f t="shared" si="0"/>
        <v>FB_AI_BUF_S</v>
      </c>
      <c r="B25" s="11">
        <v>11121</v>
      </c>
      <c r="C25" s="11" t="s">
        <v>0</v>
      </c>
      <c r="D25" s="20" t="str">
        <f>$W$2</f>
        <v>T</v>
      </c>
      <c r="BF25" s="4"/>
      <c r="BG25" s="4"/>
      <c r="BH25" s="4"/>
      <c r="BI25" s="4"/>
    </row>
    <row r="26" spans="1:61" ht="15" customHeight="1">
      <c r="A26" s="19" t="str">
        <f t="shared" si="0"/>
        <v>FB_AI_BUF_S</v>
      </c>
      <c r="B26" s="11">
        <v>11122</v>
      </c>
      <c r="C26" s="11" t="s">
        <v>0</v>
      </c>
      <c r="D26" s="20" t="str">
        <f>$AA$2</f>
        <v>ТСМ</v>
      </c>
      <c r="BF26" s="4"/>
      <c r="BG26" s="4"/>
      <c r="BH26" s="4"/>
      <c r="BI26" s="4"/>
    </row>
    <row r="27" spans="1:61" ht="15" customHeight="1">
      <c r="A27" s="19" t="str">
        <f t="shared" si="0"/>
        <v>FB_AI_BUF_S</v>
      </c>
      <c r="B27" s="11">
        <v>11123</v>
      </c>
      <c r="C27" s="11" t="s">
        <v>0</v>
      </c>
      <c r="D27" s="20" t="str">
        <f>$Z$2</f>
        <v>ЗРУ</v>
      </c>
      <c r="BF27" s="4"/>
      <c r="BG27" s="4"/>
      <c r="BH27" s="4"/>
      <c r="BI27" s="4"/>
    </row>
    <row r="28" spans="1:61" ht="15" customHeight="1">
      <c r="A28" s="19" t="str">
        <f t="shared" si="0"/>
        <v>FB_AI_BUF_S</v>
      </c>
      <c r="B28" s="11">
        <v>11124</v>
      </c>
      <c r="C28" s="11" t="s">
        <v>0</v>
      </c>
      <c r="D28" s="20" t="str">
        <f>$AK$2</f>
        <v>3+5</v>
      </c>
      <c r="BF28" s="4"/>
      <c r="BG28" s="4"/>
      <c r="BH28" s="4"/>
      <c r="BI28" s="4"/>
    </row>
    <row r="29" spans="1:61" ht="15" customHeight="1">
      <c r="A29" s="16" t="str">
        <f t="shared" si="0"/>
        <v>FB_AI_BUF_S</v>
      </c>
      <c r="B29" s="17">
        <v>13</v>
      </c>
      <c r="C29" s="17" t="s">
        <v>2</v>
      </c>
      <c r="D29" s="18" t="s">
        <v>3</v>
      </c>
      <c r="BF29" s="4"/>
      <c r="BG29" s="4"/>
      <c r="BH29" s="4"/>
      <c r="BI29" s="4"/>
    </row>
    <row r="30" spans="1:61" ht="15" customHeight="1">
      <c r="A30" s="19" t="str">
        <f t="shared" si="0"/>
        <v>FB_AI_BUF_S</v>
      </c>
      <c r="B30" s="11">
        <v>3000013</v>
      </c>
      <c r="C30" s="11" t="s">
        <v>0</v>
      </c>
      <c r="D30" s="20" t="str">
        <f>$AE$2</f>
        <v>Диагностика.CPU.NOT_LINK.noLink</v>
      </c>
      <c r="BF30" s="4"/>
      <c r="BG30" s="4"/>
      <c r="BH30" s="4"/>
      <c r="BI30" s="4"/>
    </row>
    <row r="31" spans="1:61" ht="15" customHeight="1">
      <c r="A31" s="19" t="str">
        <f t="shared" si="0"/>
        <v>FB_AI_BUF_S</v>
      </c>
      <c r="B31" s="11">
        <v>4000013</v>
      </c>
      <c r="C31" s="11" t="s">
        <v>0</v>
      </c>
      <c r="D31" s="20" t="s">
        <v>1768</v>
      </c>
      <c r="BF31" s="4"/>
      <c r="BG31" s="4"/>
      <c r="BH31" s="4"/>
      <c r="BI31" s="4"/>
    </row>
    <row r="32" spans="1:61" ht="15" customHeight="1">
      <c r="A32" s="21" t="str">
        <f t="shared" si="0"/>
        <v>FB_AI_BUF_S</v>
      </c>
      <c r="B32" s="8">
        <v>7000013</v>
      </c>
      <c r="C32" s="8" t="s">
        <v>6</v>
      </c>
      <c r="D32" s="22">
        <v>2</v>
      </c>
      <c r="BF32" s="4"/>
      <c r="BG32" s="4"/>
      <c r="BH32" s="4"/>
      <c r="BI32" s="4"/>
    </row>
    <row r="33" spans="1:4" ht="15" customHeight="1">
      <c r="A33" s="148" t="str">
        <f t="shared" ref="A33:A42" si="1">$R$2&amp;".XHAS"</f>
        <v>FB_AI_BUF_S.XHAS</v>
      </c>
      <c r="B33" s="149">
        <v>11154</v>
      </c>
      <c r="C33" s="149" t="s">
        <v>4</v>
      </c>
      <c r="D33" s="150">
        <f>$Q$5</f>
        <v>4</v>
      </c>
    </row>
    <row r="34" spans="1:4" ht="15" customHeight="1">
      <c r="A34" s="148" t="str">
        <f t="shared" si="1"/>
        <v>FB_AI_BUF_S.XHAS</v>
      </c>
      <c r="B34" s="149">
        <v>11152</v>
      </c>
      <c r="C34" s="149" t="s">
        <v>0</v>
      </c>
      <c r="D34" s="151" t="str">
        <f>$R$5</f>
        <v>Авария</v>
      </c>
    </row>
    <row r="35" spans="1:4" ht="15" customHeight="1">
      <c r="A35" s="148" t="str">
        <f t="shared" si="1"/>
        <v>FB_AI_BUF_S.XHAS</v>
      </c>
      <c r="B35" s="149">
        <v>11150</v>
      </c>
      <c r="C35" s="149" t="s">
        <v>0</v>
      </c>
      <c r="D35" s="125" t="s">
        <v>85</v>
      </c>
    </row>
    <row r="36" spans="1:4" ht="15" customHeight="1">
      <c r="A36" s="148" t="str">
        <f t="shared" si="1"/>
        <v>FB_AI_BUF_S.XHAS</v>
      </c>
      <c r="B36" s="149">
        <v>11000</v>
      </c>
      <c r="C36" s="149" t="s">
        <v>5</v>
      </c>
      <c r="D36" s="125">
        <v>2147483680</v>
      </c>
    </row>
    <row r="37" spans="1:4" ht="15" customHeight="1">
      <c r="A37" s="19" t="str">
        <f t="shared" si="1"/>
        <v>FB_AI_BUF_S.XHAS</v>
      </c>
      <c r="B37" s="11">
        <v>7999</v>
      </c>
      <c r="C37" s="11" t="s">
        <v>0</v>
      </c>
      <c r="D37" s="20" t="str">
        <f>"#"&amp;$S$2&amp;"#"&amp;$T$2&amp;"\"&amp;$P$2&amp;"\XHAS"</f>
        <v>#1#treiOPCDA.CoOPCserv.1\pcmaster\TT_VOS\XHAS</v>
      </c>
    </row>
    <row r="38" spans="1:4" ht="15" customHeight="1">
      <c r="A38" s="19" t="str">
        <f t="shared" si="1"/>
        <v>FB_AI_BUF_S.XHAS</v>
      </c>
      <c r="B38" s="11">
        <v>7998</v>
      </c>
      <c r="C38" s="11" t="s">
        <v>6</v>
      </c>
      <c r="D38" s="20">
        <v>1</v>
      </c>
    </row>
    <row r="39" spans="1:4" ht="15" customHeight="1">
      <c r="A39" s="19" t="str">
        <f t="shared" si="1"/>
        <v>FB_AI_BUF_S.XHAS</v>
      </c>
      <c r="B39" s="11">
        <v>101</v>
      </c>
      <c r="C39" s="11" t="s">
        <v>0</v>
      </c>
      <c r="D39" s="20" t="s">
        <v>46</v>
      </c>
    </row>
    <row r="40" spans="1:4" ht="15" customHeight="1">
      <c r="A40" s="19" t="str">
        <f t="shared" si="1"/>
        <v>FB_AI_BUF_S.XHAS</v>
      </c>
      <c r="B40" s="11">
        <v>3</v>
      </c>
      <c r="C40" s="11" t="s">
        <v>1</v>
      </c>
      <c r="D40" s="20">
        <v>192</v>
      </c>
    </row>
    <row r="41" spans="1:4" ht="15" customHeight="1">
      <c r="A41" s="19" t="str">
        <f t="shared" si="1"/>
        <v>FB_AI_BUF_S.XHAS</v>
      </c>
      <c r="B41" s="11">
        <v>2</v>
      </c>
      <c r="C41" s="11" t="s">
        <v>2</v>
      </c>
      <c r="D41" s="20" t="s">
        <v>3</v>
      </c>
    </row>
    <row r="42" spans="1:4" ht="15" customHeight="1">
      <c r="A42" s="21" t="str">
        <f t="shared" si="1"/>
        <v>FB_AI_BUF_S.XHAS</v>
      </c>
      <c r="B42" s="8">
        <v>1</v>
      </c>
      <c r="C42" s="8" t="s">
        <v>1</v>
      </c>
      <c r="D42" s="22">
        <v>11</v>
      </c>
    </row>
    <row r="43" spans="1:4" ht="15" customHeight="1">
      <c r="A43" s="148" t="str">
        <f t="shared" ref="A43:A52" si="2">$R$2&amp;".XLAS"</f>
        <v>FB_AI_BUF_S.XLAS</v>
      </c>
      <c r="B43" s="149">
        <v>11154</v>
      </c>
      <c r="C43" s="149" t="s">
        <v>4</v>
      </c>
      <c r="D43" s="150">
        <f>$Q$5</f>
        <v>4</v>
      </c>
    </row>
    <row r="44" spans="1:4" ht="15" customHeight="1">
      <c r="A44" s="148" t="str">
        <f t="shared" si="2"/>
        <v>FB_AI_BUF_S.XLAS</v>
      </c>
      <c r="B44" s="149">
        <v>11152</v>
      </c>
      <c r="C44" s="149" t="s">
        <v>0</v>
      </c>
      <c r="D44" s="151" t="str">
        <f>$R$5</f>
        <v>Авария</v>
      </c>
    </row>
    <row r="45" spans="1:4" ht="15" customHeight="1">
      <c r="A45" s="148" t="str">
        <f t="shared" si="2"/>
        <v>FB_AI_BUF_S.XLAS</v>
      </c>
      <c r="B45" s="149">
        <v>11150</v>
      </c>
      <c r="C45" s="149" t="s">
        <v>0</v>
      </c>
      <c r="D45" s="125" t="s">
        <v>87</v>
      </c>
    </row>
    <row r="46" spans="1:4" ht="15" customHeight="1">
      <c r="A46" s="148" t="str">
        <f t="shared" si="2"/>
        <v>FB_AI_BUF_S.XLAS</v>
      </c>
      <c r="B46" s="149">
        <v>11000</v>
      </c>
      <c r="C46" s="149" t="s">
        <v>5</v>
      </c>
      <c r="D46" s="125">
        <v>2147483680</v>
      </c>
    </row>
    <row r="47" spans="1:4" ht="15" customHeight="1">
      <c r="A47" s="19" t="str">
        <f t="shared" si="2"/>
        <v>FB_AI_BUF_S.XLAS</v>
      </c>
      <c r="B47" s="11">
        <v>7999</v>
      </c>
      <c r="C47" s="11" t="s">
        <v>0</v>
      </c>
      <c r="D47" s="20" t="str">
        <f>"#"&amp;$S$2&amp;"#"&amp;$T$2&amp;"\"&amp;$P$2&amp;"\XLAS"</f>
        <v>#1#treiOPCDA.CoOPCserv.1\pcmaster\TT_VOS\XLAS</v>
      </c>
    </row>
    <row r="48" spans="1:4" ht="15" customHeight="1">
      <c r="A48" s="19" t="str">
        <f t="shared" si="2"/>
        <v>FB_AI_BUF_S.XLAS</v>
      </c>
      <c r="B48" s="11">
        <v>7998</v>
      </c>
      <c r="C48" s="11" t="s">
        <v>6</v>
      </c>
      <c r="D48" s="20">
        <v>1</v>
      </c>
    </row>
    <row r="49" spans="1:4" ht="15" customHeight="1">
      <c r="A49" s="19" t="str">
        <f t="shared" si="2"/>
        <v>FB_AI_BUF_S.XLAS</v>
      </c>
      <c r="B49" s="11">
        <v>101</v>
      </c>
      <c r="C49" s="11" t="s">
        <v>0</v>
      </c>
      <c r="D49" s="20" t="s">
        <v>48</v>
      </c>
    </row>
    <row r="50" spans="1:4" ht="15" customHeight="1">
      <c r="A50" s="19" t="str">
        <f t="shared" si="2"/>
        <v>FB_AI_BUF_S.XLAS</v>
      </c>
      <c r="B50" s="11">
        <v>3</v>
      </c>
      <c r="C50" s="11" t="s">
        <v>1</v>
      </c>
      <c r="D50" s="20">
        <v>192</v>
      </c>
    </row>
    <row r="51" spans="1:4" ht="15" customHeight="1">
      <c r="A51" s="19" t="str">
        <f t="shared" si="2"/>
        <v>FB_AI_BUF_S.XLAS</v>
      </c>
      <c r="B51" s="11">
        <v>2</v>
      </c>
      <c r="C51" s="11" t="s">
        <v>2</v>
      </c>
      <c r="D51" s="20" t="s">
        <v>3</v>
      </c>
    </row>
    <row r="52" spans="1:4" ht="15" customHeight="1">
      <c r="A52" s="21" t="str">
        <f t="shared" si="2"/>
        <v>FB_AI_BUF_S.XLAS</v>
      </c>
      <c r="B52" s="8">
        <v>1</v>
      </c>
      <c r="C52" s="8" t="s">
        <v>1</v>
      </c>
      <c r="D52" s="22">
        <v>11</v>
      </c>
    </row>
    <row r="53" spans="1:4" ht="15" customHeight="1">
      <c r="A53" s="63" t="str">
        <f t="shared" ref="A53:A62" si="3">$R$2&amp;".XDAX"</f>
        <v>FB_AI_BUF_S.XDAX</v>
      </c>
      <c r="B53" s="64">
        <v>11152</v>
      </c>
      <c r="C53" s="64" t="s">
        <v>0</v>
      </c>
      <c r="D53" s="129" t="str">
        <f>$R$6</f>
        <v>Предупреждение</v>
      </c>
    </row>
    <row r="54" spans="1:4" ht="15" customHeight="1">
      <c r="A54" s="63" t="str">
        <f t="shared" si="3"/>
        <v>FB_AI_BUF_S.XDAX</v>
      </c>
      <c r="B54" s="64">
        <v>11154</v>
      </c>
      <c r="C54" s="64" t="s">
        <v>4</v>
      </c>
      <c r="D54" s="98">
        <f>$Q$6</f>
        <v>8</v>
      </c>
    </row>
    <row r="55" spans="1:4" ht="15" customHeight="1">
      <c r="A55" s="63" t="str">
        <f t="shared" si="3"/>
        <v>FB_AI_BUF_S.XDAX</v>
      </c>
      <c r="B55" s="64">
        <v>11150</v>
      </c>
      <c r="C55" s="64" t="s">
        <v>0</v>
      </c>
      <c r="D55" s="65" t="s">
        <v>11</v>
      </c>
    </row>
    <row r="56" spans="1:4" ht="15" customHeight="1">
      <c r="A56" s="63" t="str">
        <f t="shared" si="3"/>
        <v>FB_AI_BUF_S.XDAX</v>
      </c>
      <c r="B56" s="64">
        <v>11000</v>
      </c>
      <c r="C56" s="64" t="s">
        <v>5</v>
      </c>
      <c r="D56" s="65">
        <v>2147483680</v>
      </c>
    </row>
    <row r="57" spans="1:4" ht="15" customHeight="1">
      <c r="A57" s="19" t="str">
        <f t="shared" si="3"/>
        <v>FB_AI_BUF_S.XDAX</v>
      </c>
      <c r="B57" s="11">
        <v>7999</v>
      </c>
      <c r="C57" s="11" t="s">
        <v>0</v>
      </c>
      <c r="D57" s="20" t="str">
        <f>"#"&amp;$S$2&amp;"#"&amp;$T$2&amp;"\"&amp;$P$2&amp;"\XDAX"</f>
        <v>#1#treiOPCDA.CoOPCserv.1\pcmaster\TT_VOS\XDAX</v>
      </c>
    </row>
    <row r="58" spans="1:4" ht="15" customHeight="1">
      <c r="A58" s="19" t="str">
        <f t="shared" si="3"/>
        <v>FB_AI_BUF_S.XDAX</v>
      </c>
      <c r="B58" s="11">
        <v>7998</v>
      </c>
      <c r="C58" s="11" t="s">
        <v>6</v>
      </c>
      <c r="D58" s="20">
        <v>1</v>
      </c>
    </row>
    <row r="59" spans="1:4" ht="15" customHeight="1">
      <c r="A59" s="19" t="str">
        <f t="shared" si="3"/>
        <v>FB_AI_BUF_S.XDAX</v>
      </c>
      <c r="B59" s="11">
        <v>101</v>
      </c>
      <c r="C59" s="11" t="s">
        <v>0</v>
      </c>
      <c r="D59" s="20" t="s">
        <v>11</v>
      </c>
    </row>
    <row r="60" spans="1:4" ht="15" customHeight="1">
      <c r="A60" s="19" t="str">
        <f t="shared" si="3"/>
        <v>FB_AI_BUF_S.XDAX</v>
      </c>
      <c r="B60" s="11">
        <v>3</v>
      </c>
      <c r="C60" s="11" t="s">
        <v>1</v>
      </c>
      <c r="D60" s="20">
        <v>192</v>
      </c>
    </row>
    <row r="61" spans="1:4" ht="15" customHeight="1">
      <c r="A61" s="19" t="str">
        <f t="shared" si="3"/>
        <v>FB_AI_BUF_S.XDAX</v>
      </c>
      <c r="B61" s="11">
        <v>2</v>
      </c>
      <c r="C61" s="11" t="s">
        <v>2</v>
      </c>
      <c r="D61" s="20" t="s">
        <v>3</v>
      </c>
    </row>
    <row r="62" spans="1:4" ht="15" customHeight="1">
      <c r="A62" s="21" t="str">
        <f t="shared" si="3"/>
        <v>FB_AI_BUF_S.XDAX</v>
      </c>
      <c r="B62" s="8">
        <v>1</v>
      </c>
      <c r="C62" s="8" t="s">
        <v>1</v>
      </c>
      <c r="D62" s="22">
        <v>11</v>
      </c>
    </row>
    <row r="63" spans="1:4" ht="15" customHeight="1">
      <c r="A63" s="63" t="str">
        <f t="shared" ref="A63:A72" si="4">$R$2&amp;".XHWS"</f>
        <v>FB_AI_BUF_S.XHWS</v>
      </c>
      <c r="B63" s="64">
        <v>11154</v>
      </c>
      <c r="C63" s="64" t="s">
        <v>4</v>
      </c>
      <c r="D63" s="98">
        <f>$Q$6</f>
        <v>8</v>
      </c>
    </row>
    <row r="64" spans="1:4" ht="15" customHeight="1">
      <c r="A64" s="63" t="str">
        <f t="shared" si="4"/>
        <v>FB_AI_BUF_S.XHWS</v>
      </c>
      <c r="B64" s="64">
        <v>11152</v>
      </c>
      <c r="C64" s="64" t="s">
        <v>0</v>
      </c>
      <c r="D64" s="129" t="str">
        <f>$R$6</f>
        <v>Предупреждение</v>
      </c>
    </row>
    <row r="65" spans="1:4" ht="15" customHeight="1">
      <c r="A65" s="63" t="str">
        <f t="shared" si="4"/>
        <v>FB_AI_BUF_S.XHWS</v>
      </c>
      <c r="B65" s="64">
        <v>11150</v>
      </c>
      <c r="C65" s="64" t="s">
        <v>0</v>
      </c>
      <c r="D65" s="65" t="s">
        <v>86</v>
      </c>
    </row>
    <row r="66" spans="1:4" ht="15" customHeight="1">
      <c r="A66" s="63" t="str">
        <f t="shared" si="4"/>
        <v>FB_AI_BUF_S.XHWS</v>
      </c>
      <c r="B66" s="64">
        <v>11000</v>
      </c>
      <c r="C66" s="64" t="s">
        <v>5</v>
      </c>
      <c r="D66" s="65">
        <v>2147483680</v>
      </c>
    </row>
    <row r="67" spans="1:4" ht="15" customHeight="1">
      <c r="A67" s="19" t="str">
        <f t="shared" si="4"/>
        <v>FB_AI_BUF_S.XHWS</v>
      </c>
      <c r="B67" s="11">
        <v>7999</v>
      </c>
      <c r="C67" s="11" t="s">
        <v>0</v>
      </c>
      <c r="D67" s="20" t="str">
        <f>"#"&amp;$S$2&amp;"#"&amp;$T$2&amp;"\"&amp;$P$2&amp;"\XHWS"</f>
        <v>#1#treiOPCDA.CoOPCserv.1\pcmaster\TT_VOS\XHWS</v>
      </c>
    </row>
    <row r="68" spans="1:4" ht="15" customHeight="1">
      <c r="A68" s="19" t="str">
        <f t="shared" si="4"/>
        <v>FB_AI_BUF_S.XHWS</v>
      </c>
      <c r="B68" s="11">
        <v>7998</v>
      </c>
      <c r="C68" s="11" t="s">
        <v>6</v>
      </c>
      <c r="D68" s="20">
        <v>1</v>
      </c>
    </row>
    <row r="69" spans="1:4" ht="15" customHeight="1">
      <c r="A69" s="19" t="str">
        <f t="shared" si="4"/>
        <v>FB_AI_BUF_S.XHWS</v>
      </c>
      <c r="B69" s="11">
        <v>101</v>
      </c>
      <c r="C69" s="11" t="s">
        <v>0</v>
      </c>
      <c r="D69" s="20" t="s">
        <v>47</v>
      </c>
    </row>
    <row r="70" spans="1:4" ht="15" customHeight="1">
      <c r="A70" s="19" t="str">
        <f t="shared" si="4"/>
        <v>FB_AI_BUF_S.XHWS</v>
      </c>
      <c r="B70" s="11">
        <v>3</v>
      </c>
      <c r="C70" s="11" t="s">
        <v>1</v>
      </c>
      <c r="D70" s="20">
        <v>192</v>
      </c>
    </row>
    <row r="71" spans="1:4" ht="15" customHeight="1">
      <c r="A71" s="19" t="str">
        <f t="shared" si="4"/>
        <v>FB_AI_BUF_S.XHWS</v>
      </c>
      <c r="B71" s="11">
        <v>2</v>
      </c>
      <c r="C71" s="11" t="s">
        <v>2</v>
      </c>
      <c r="D71" s="20" t="s">
        <v>3</v>
      </c>
    </row>
    <row r="72" spans="1:4" s="1" customFormat="1" ht="15" customHeight="1">
      <c r="A72" s="21" t="str">
        <f t="shared" si="4"/>
        <v>FB_AI_BUF_S.XHWS</v>
      </c>
      <c r="B72" s="8">
        <v>1</v>
      </c>
      <c r="C72" s="8" t="s">
        <v>1</v>
      </c>
      <c r="D72" s="22">
        <v>11</v>
      </c>
    </row>
    <row r="73" spans="1:4" s="1" customFormat="1" ht="15" customHeight="1">
      <c r="A73" s="63" t="str">
        <f t="shared" ref="A73:A82" si="5">$R$2&amp;".XLWS"</f>
        <v>FB_AI_BUF_S.XLWS</v>
      </c>
      <c r="B73" s="64">
        <v>11154</v>
      </c>
      <c r="C73" s="64" t="s">
        <v>4</v>
      </c>
      <c r="D73" s="98">
        <f>$Q$6</f>
        <v>8</v>
      </c>
    </row>
    <row r="74" spans="1:4" ht="15" customHeight="1">
      <c r="A74" s="63" t="str">
        <f t="shared" si="5"/>
        <v>FB_AI_BUF_S.XLWS</v>
      </c>
      <c r="B74" s="64">
        <v>11152</v>
      </c>
      <c r="C74" s="64" t="s">
        <v>0</v>
      </c>
      <c r="D74" s="129" t="str">
        <f>$R$6</f>
        <v>Предупреждение</v>
      </c>
    </row>
    <row r="75" spans="1:4" ht="15" customHeight="1">
      <c r="A75" s="63" t="str">
        <f t="shared" si="5"/>
        <v>FB_AI_BUF_S.XLWS</v>
      </c>
      <c r="B75" s="64">
        <v>11150</v>
      </c>
      <c r="C75" s="64" t="s">
        <v>0</v>
      </c>
      <c r="D75" s="65" t="s">
        <v>88</v>
      </c>
    </row>
    <row r="76" spans="1:4" ht="15" customHeight="1">
      <c r="A76" s="63" t="str">
        <f t="shared" si="5"/>
        <v>FB_AI_BUF_S.XLWS</v>
      </c>
      <c r="B76" s="64">
        <v>11000</v>
      </c>
      <c r="C76" s="64" t="s">
        <v>5</v>
      </c>
      <c r="D76" s="65">
        <v>2147483680</v>
      </c>
    </row>
    <row r="77" spans="1:4" ht="15" customHeight="1">
      <c r="A77" s="19" t="str">
        <f t="shared" si="5"/>
        <v>FB_AI_BUF_S.XLWS</v>
      </c>
      <c r="B77" s="11">
        <v>7999</v>
      </c>
      <c r="C77" s="11" t="s">
        <v>0</v>
      </c>
      <c r="D77" s="20" t="str">
        <f>"#"&amp;$S$2&amp;"#"&amp;$T$2&amp;"\"&amp;$P$2&amp;"\XLWS"</f>
        <v>#1#treiOPCDA.CoOPCserv.1\pcmaster\TT_VOS\XLWS</v>
      </c>
    </row>
    <row r="78" spans="1:4" ht="15" customHeight="1">
      <c r="A78" s="19" t="str">
        <f t="shared" si="5"/>
        <v>FB_AI_BUF_S.XLWS</v>
      </c>
      <c r="B78" s="11">
        <v>7998</v>
      </c>
      <c r="C78" s="11" t="s">
        <v>6</v>
      </c>
      <c r="D78" s="20">
        <v>1</v>
      </c>
    </row>
    <row r="79" spans="1:4" ht="15" customHeight="1">
      <c r="A79" s="19" t="str">
        <f t="shared" si="5"/>
        <v>FB_AI_BUF_S.XLWS</v>
      </c>
      <c r="B79" s="11">
        <v>101</v>
      </c>
      <c r="C79" s="11" t="s">
        <v>0</v>
      </c>
      <c r="D79" s="20" t="s">
        <v>49</v>
      </c>
    </row>
    <row r="80" spans="1:4" ht="15" customHeight="1">
      <c r="A80" s="19" t="str">
        <f t="shared" si="5"/>
        <v>FB_AI_BUF_S.XLWS</v>
      </c>
      <c r="B80" s="11">
        <v>3</v>
      </c>
      <c r="C80" s="11" t="s">
        <v>1</v>
      </c>
      <c r="D80" s="20">
        <v>192</v>
      </c>
    </row>
    <row r="81" spans="1:4" ht="15" customHeight="1">
      <c r="A81" s="19" t="str">
        <f t="shared" si="5"/>
        <v>FB_AI_BUF_S.XLWS</v>
      </c>
      <c r="B81" s="11">
        <v>2</v>
      </c>
      <c r="C81" s="11" t="s">
        <v>2</v>
      </c>
      <c r="D81" s="20" t="s">
        <v>3</v>
      </c>
    </row>
    <row r="82" spans="1:4" ht="15" customHeight="1">
      <c r="A82" s="19" t="str">
        <f t="shared" si="5"/>
        <v>FB_AI_BUF_S.XLWS</v>
      </c>
      <c r="B82" s="11">
        <v>1</v>
      </c>
      <c r="C82" s="11" t="s">
        <v>1</v>
      </c>
      <c r="D82" s="20">
        <v>11</v>
      </c>
    </row>
    <row r="83" spans="1:4" ht="15" customHeight="1">
      <c r="A83" s="69" t="str">
        <f t="shared" ref="A83:A92" si="6">$R$2&amp;".FSLX"</f>
        <v>FB_AI_BUF_S.FSLX</v>
      </c>
      <c r="B83" s="70">
        <v>11154</v>
      </c>
      <c r="C83" s="70" t="s">
        <v>4</v>
      </c>
      <c r="D83" s="144">
        <f>$Q$6</f>
        <v>8</v>
      </c>
    </row>
    <row r="84" spans="1:4" ht="15" customHeight="1">
      <c r="A84" s="63" t="str">
        <f t="shared" si="6"/>
        <v>FB_AI_BUF_S.FSLX</v>
      </c>
      <c r="B84" s="64">
        <v>11152</v>
      </c>
      <c r="C84" s="64" t="s">
        <v>0</v>
      </c>
      <c r="D84" s="99" t="str">
        <f>$R$6</f>
        <v>Предупреждение</v>
      </c>
    </row>
    <row r="85" spans="1:4" ht="15" customHeight="1">
      <c r="A85" s="63" t="str">
        <f t="shared" si="6"/>
        <v>FB_AI_BUF_S.FSLX</v>
      </c>
      <c r="B85" s="64">
        <v>11150</v>
      </c>
      <c r="C85" s="64" t="s">
        <v>0</v>
      </c>
      <c r="D85" s="65" t="s">
        <v>40</v>
      </c>
    </row>
    <row r="86" spans="1:4" ht="15" customHeight="1">
      <c r="A86" s="63" t="str">
        <f t="shared" si="6"/>
        <v>FB_AI_BUF_S.FSLX</v>
      </c>
      <c r="B86" s="64">
        <v>11000</v>
      </c>
      <c r="C86" s="64" t="s">
        <v>5</v>
      </c>
      <c r="D86" s="65">
        <v>2147483680</v>
      </c>
    </row>
    <row r="87" spans="1:4" ht="15" customHeight="1">
      <c r="A87" s="19" t="str">
        <f t="shared" si="6"/>
        <v>FB_AI_BUF_S.FSLX</v>
      </c>
      <c r="B87" s="11">
        <v>7999</v>
      </c>
      <c r="C87" s="11" t="s">
        <v>0</v>
      </c>
      <c r="D87" s="20" t="str">
        <f>"#"&amp;$S$2&amp;"#"&amp;$T$2&amp;"\"&amp;$P$2&amp;"\FSLX"</f>
        <v>#1#treiOPCDA.CoOPCserv.1\pcmaster\TT_VOS\FSLX</v>
      </c>
    </row>
    <row r="88" spans="1:4" ht="15" customHeight="1">
      <c r="A88" s="19" t="str">
        <f t="shared" si="6"/>
        <v>FB_AI_BUF_S.FSLX</v>
      </c>
      <c r="B88" s="11">
        <v>7998</v>
      </c>
      <c r="C88" s="11" t="s">
        <v>6</v>
      </c>
      <c r="D88" s="20">
        <v>1</v>
      </c>
    </row>
    <row r="89" spans="1:4" ht="15" customHeight="1">
      <c r="A89" s="19" t="str">
        <f t="shared" si="6"/>
        <v>FB_AI_BUF_S.FSLX</v>
      </c>
      <c r="B89" s="11">
        <v>101</v>
      </c>
      <c r="C89" s="11" t="s">
        <v>0</v>
      </c>
      <c r="D89" s="20" t="s">
        <v>40</v>
      </c>
    </row>
    <row r="90" spans="1:4" ht="15" customHeight="1">
      <c r="A90" s="19" t="str">
        <f t="shared" si="6"/>
        <v>FB_AI_BUF_S.FSLX</v>
      </c>
      <c r="B90" s="11">
        <v>3</v>
      </c>
      <c r="C90" s="11" t="s">
        <v>1</v>
      </c>
      <c r="D90" s="20">
        <v>192</v>
      </c>
    </row>
    <row r="91" spans="1:4" ht="15" customHeight="1">
      <c r="A91" s="19" t="str">
        <f t="shared" si="6"/>
        <v>FB_AI_BUF_S.FSLX</v>
      </c>
      <c r="B91" s="11">
        <v>2</v>
      </c>
      <c r="C91" s="11" t="s">
        <v>2</v>
      </c>
      <c r="D91" s="20" t="s">
        <v>3</v>
      </c>
    </row>
    <row r="92" spans="1:4" ht="15" customHeight="1">
      <c r="A92" s="21" t="str">
        <f t="shared" si="6"/>
        <v>FB_AI_BUF_S.FSLX</v>
      </c>
      <c r="B92" s="8">
        <v>1</v>
      </c>
      <c r="C92" s="8" t="s">
        <v>1</v>
      </c>
      <c r="D92" s="22">
        <v>11</v>
      </c>
    </row>
    <row r="93" spans="1:4" ht="15" customHeight="1">
      <c r="A93" s="217" t="str">
        <f t="shared" ref="A93:A102" si="7">$R$2&amp;".FBXX"</f>
        <v>FB_AI_BUF_S.FBXX</v>
      </c>
      <c r="B93" s="218">
        <v>11154</v>
      </c>
      <c r="C93" s="218" t="s">
        <v>4</v>
      </c>
      <c r="D93" s="219">
        <f>$Q$7</f>
        <v>12</v>
      </c>
    </row>
    <row r="94" spans="1:4" ht="15" customHeight="1">
      <c r="A94" s="211" t="str">
        <f t="shared" si="7"/>
        <v>FB_AI_BUF_S.FBXX</v>
      </c>
      <c r="B94" s="212">
        <v>11152</v>
      </c>
      <c r="C94" s="212" t="s">
        <v>0</v>
      </c>
      <c r="D94" s="220" t="str">
        <f>$R$7</f>
        <v>Неисправность</v>
      </c>
    </row>
    <row r="95" spans="1:4" ht="15" customHeight="1">
      <c r="A95" s="211" t="str">
        <f t="shared" si="7"/>
        <v>FB_AI_BUF_S.FBXX</v>
      </c>
      <c r="B95" s="212">
        <v>11150</v>
      </c>
      <c r="C95" s="212" t="s">
        <v>0</v>
      </c>
      <c r="D95" s="213" t="s">
        <v>36</v>
      </c>
    </row>
    <row r="96" spans="1:4" ht="15" customHeight="1">
      <c r="A96" s="211" t="str">
        <f t="shared" si="7"/>
        <v>FB_AI_BUF_S.FBXX</v>
      </c>
      <c r="B96" s="212">
        <v>11000</v>
      </c>
      <c r="C96" s="212" t="s">
        <v>5</v>
      </c>
      <c r="D96" s="213">
        <v>2147483680</v>
      </c>
    </row>
    <row r="97" spans="1:17" ht="15" customHeight="1">
      <c r="A97" s="19" t="str">
        <f t="shared" si="7"/>
        <v>FB_AI_BUF_S.FBXX</v>
      </c>
      <c r="B97" s="11">
        <v>7999</v>
      </c>
      <c r="C97" s="11" t="s">
        <v>0</v>
      </c>
      <c r="D97" s="20" t="str">
        <f>"#"&amp;$S$2&amp;"#"&amp;$T$2&amp;"\"&amp;$P$2&amp;"\FBXX"</f>
        <v>#1#treiOPCDA.CoOPCserv.1\pcmaster\TT_VOS\FBXX</v>
      </c>
    </row>
    <row r="98" spans="1:17" ht="15" customHeight="1">
      <c r="A98" s="19" t="str">
        <f t="shared" si="7"/>
        <v>FB_AI_BUF_S.FBXX</v>
      </c>
      <c r="B98" s="11">
        <v>7998</v>
      </c>
      <c r="C98" s="11" t="s">
        <v>6</v>
      </c>
      <c r="D98" s="20">
        <v>1</v>
      </c>
    </row>
    <row r="99" spans="1:17" ht="15" customHeight="1">
      <c r="A99" s="19" t="str">
        <f t="shared" si="7"/>
        <v>FB_AI_BUF_S.FBXX</v>
      </c>
      <c r="B99" s="11">
        <v>101</v>
      </c>
      <c r="C99" s="11" t="s">
        <v>0</v>
      </c>
      <c r="D99" s="20" t="s">
        <v>36</v>
      </c>
    </row>
    <row r="100" spans="1:17" ht="15" customHeight="1">
      <c r="A100" s="19" t="str">
        <f t="shared" si="7"/>
        <v>FB_AI_BUF_S.FBXX</v>
      </c>
      <c r="B100" s="11">
        <v>3</v>
      </c>
      <c r="C100" s="11" t="s">
        <v>1</v>
      </c>
      <c r="D100" s="20">
        <v>192</v>
      </c>
    </row>
    <row r="101" spans="1:17" ht="15" customHeight="1">
      <c r="A101" s="19" t="str">
        <f t="shared" si="7"/>
        <v>FB_AI_BUF_S.FBXX</v>
      </c>
      <c r="B101" s="11">
        <v>2</v>
      </c>
      <c r="C101" s="11" t="s">
        <v>2</v>
      </c>
      <c r="D101" s="20" t="s">
        <v>3</v>
      </c>
    </row>
    <row r="102" spans="1:17" ht="15" customHeight="1">
      <c r="A102" s="21" t="str">
        <f t="shared" si="7"/>
        <v>FB_AI_BUF_S.FBXX</v>
      </c>
      <c r="B102" s="8">
        <v>1</v>
      </c>
      <c r="C102" s="8" t="s">
        <v>1</v>
      </c>
      <c r="D102" s="22">
        <v>11</v>
      </c>
    </row>
    <row r="103" spans="1:17" ht="15" customHeight="1">
      <c r="A103" s="211" t="str">
        <f t="shared" ref="A103:A112" si="8">$R$2&amp;".FSCX"</f>
        <v>FB_AI_BUF_S.FSCX</v>
      </c>
      <c r="B103" s="212">
        <v>11154</v>
      </c>
      <c r="C103" s="212" t="s">
        <v>4</v>
      </c>
      <c r="D103" s="221">
        <f>$Q$7</f>
        <v>12</v>
      </c>
    </row>
    <row r="104" spans="1:17" ht="15" customHeight="1">
      <c r="A104" s="211" t="str">
        <f t="shared" si="8"/>
        <v>FB_AI_BUF_S.FSCX</v>
      </c>
      <c r="B104" s="212">
        <v>11152</v>
      </c>
      <c r="C104" s="212" t="s">
        <v>0</v>
      </c>
      <c r="D104" s="220" t="str">
        <f>$R$7</f>
        <v>Неисправность</v>
      </c>
    </row>
    <row r="105" spans="1:17" ht="15" customHeight="1">
      <c r="A105" s="211" t="str">
        <f t="shared" si="8"/>
        <v>FB_AI_BUF_S.FSCX</v>
      </c>
      <c r="B105" s="212">
        <v>11150</v>
      </c>
      <c r="C105" s="212" t="s">
        <v>0</v>
      </c>
      <c r="D105" s="213" t="s">
        <v>37</v>
      </c>
    </row>
    <row r="106" spans="1:17" ht="15" customHeight="1">
      <c r="A106" s="211" t="str">
        <f t="shared" si="8"/>
        <v>FB_AI_BUF_S.FSCX</v>
      </c>
      <c r="B106" s="212">
        <v>11000</v>
      </c>
      <c r="C106" s="212" t="s">
        <v>5</v>
      </c>
      <c r="D106" s="213">
        <v>2147483680</v>
      </c>
    </row>
    <row r="107" spans="1:17" ht="15" customHeight="1">
      <c r="A107" s="19" t="str">
        <f t="shared" si="8"/>
        <v>FB_AI_BUF_S.FSCX</v>
      </c>
      <c r="B107" s="11">
        <v>7999</v>
      </c>
      <c r="C107" s="11" t="s">
        <v>0</v>
      </c>
      <c r="D107" s="20" t="str">
        <f>"#"&amp;$S$2&amp;"#"&amp;$T$2&amp;"\"&amp;$P$2&amp;"\FSCX"</f>
        <v>#1#treiOPCDA.CoOPCserv.1\pcmaster\TT_VOS\FSCX</v>
      </c>
    </row>
    <row r="108" spans="1:17" ht="15" customHeight="1">
      <c r="A108" s="19" t="str">
        <f t="shared" si="8"/>
        <v>FB_AI_BUF_S.FSCX</v>
      </c>
      <c r="B108" s="11">
        <v>7998</v>
      </c>
      <c r="C108" s="11" t="s">
        <v>6</v>
      </c>
      <c r="D108" s="20">
        <v>1</v>
      </c>
    </row>
    <row r="109" spans="1:17" ht="15" customHeight="1">
      <c r="A109" s="19" t="str">
        <f t="shared" si="8"/>
        <v>FB_AI_BUF_S.FSCX</v>
      </c>
      <c r="B109" s="11">
        <v>101</v>
      </c>
      <c r="C109" s="11" t="s">
        <v>0</v>
      </c>
      <c r="D109" s="20" t="s">
        <v>37</v>
      </c>
    </row>
    <row r="110" spans="1:17" ht="15" customHeight="1">
      <c r="A110" s="19" t="str">
        <f t="shared" si="8"/>
        <v>FB_AI_BUF_S.FSCX</v>
      </c>
      <c r="B110" s="11">
        <v>3</v>
      </c>
      <c r="C110" s="11" t="s">
        <v>1</v>
      </c>
      <c r="D110" s="20">
        <v>192</v>
      </c>
    </row>
    <row r="111" spans="1:17" ht="15" customHeight="1">
      <c r="A111" s="19" t="str">
        <f t="shared" si="8"/>
        <v>FB_AI_BUF_S.FSCX</v>
      </c>
      <c r="B111" s="11">
        <v>2</v>
      </c>
      <c r="C111" s="11" t="s">
        <v>2</v>
      </c>
      <c r="D111" s="20" t="s">
        <v>3</v>
      </c>
      <c r="Q111" t="s">
        <v>796</v>
      </c>
    </row>
    <row r="112" spans="1:17" ht="15" customHeight="1">
      <c r="A112" s="21" t="str">
        <f t="shared" si="8"/>
        <v>FB_AI_BUF_S.FSCX</v>
      </c>
      <c r="B112" s="8">
        <v>1</v>
      </c>
      <c r="C112" s="8" t="s">
        <v>1</v>
      </c>
      <c r="D112" s="22">
        <v>11</v>
      </c>
    </row>
    <row r="113" spans="1:4" ht="15" customHeight="1">
      <c r="A113" s="211" t="str">
        <f t="shared" ref="A113:A122" si="9">$R$2&amp;".FHSX"</f>
        <v>FB_AI_BUF_S.FHSX</v>
      </c>
      <c r="B113" s="212">
        <v>11154</v>
      </c>
      <c r="C113" s="212" t="s">
        <v>4</v>
      </c>
      <c r="D113" s="221">
        <f>$Q$7</f>
        <v>12</v>
      </c>
    </row>
    <row r="114" spans="1:4" ht="15" customHeight="1">
      <c r="A114" s="211" t="str">
        <f t="shared" si="9"/>
        <v>FB_AI_BUF_S.FHSX</v>
      </c>
      <c r="B114" s="212">
        <v>11152</v>
      </c>
      <c r="C114" s="212" t="s">
        <v>0</v>
      </c>
      <c r="D114" s="220" t="str">
        <f>$R$7</f>
        <v>Неисправность</v>
      </c>
    </row>
    <row r="115" spans="1:4" ht="15" customHeight="1">
      <c r="A115" s="211" t="str">
        <f t="shared" si="9"/>
        <v>FB_AI_BUF_S.FHSX</v>
      </c>
      <c r="B115" s="212">
        <v>11150</v>
      </c>
      <c r="C115" s="212" t="s">
        <v>0</v>
      </c>
      <c r="D115" s="213" t="s">
        <v>38</v>
      </c>
    </row>
    <row r="116" spans="1:4" ht="15" customHeight="1">
      <c r="A116" s="211" t="str">
        <f t="shared" si="9"/>
        <v>FB_AI_BUF_S.FHSX</v>
      </c>
      <c r="B116" s="212">
        <v>11000</v>
      </c>
      <c r="C116" s="212" t="s">
        <v>5</v>
      </c>
      <c r="D116" s="213">
        <v>2147483680</v>
      </c>
    </row>
    <row r="117" spans="1:4" ht="15" customHeight="1">
      <c r="A117" s="19" t="str">
        <f t="shared" si="9"/>
        <v>FB_AI_BUF_S.FHSX</v>
      </c>
      <c r="B117" s="11">
        <v>7999</v>
      </c>
      <c r="C117" s="11" t="s">
        <v>0</v>
      </c>
      <c r="D117" s="20" t="str">
        <f>"#"&amp;$S$2&amp;"#"&amp;$T$2&amp;"\"&amp;$P$2&amp;"\FHSX"</f>
        <v>#1#treiOPCDA.CoOPCserv.1\pcmaster\TT_VOS\FHSX</v>
      </c>
    </row>
    <row r="118" spans="1:4" ht="15" customHeight="1">
      <c r="A118" s="19" t="str">
        <f t="shared" si="9"/>
        <v>FB_AI_BUF_S.FHSX</v>
      </c>
      <c r="B118" s="11">
        <v>7998</v>
      </c>
      <c r="C118" s="11" t="s">
        <v>6</v>
      </c>
      <c r="D118" s="20">
        <v>1</v>
      </c>
    </row>
    <row r="119" spans="1:4" ht="15" customHeight="1">
      <c r="A119" s="19" t="str">
        <f t="shared" si="9"/>
        <v>FB_AI_BUF_S.FHSX</v>
      </c>
      <c r="B119" s="11">
        <v>101</v>
      </c>
      <c r="C119" s="11" t="s">
        <v>0</v>
      </c>
      <c r="D119" s="20" t="s">
        <v>38</v>
      </c>
    </row>
    <row r="120" spans="1:4" ht="15" customHeight="1">
      <c r="A120" s="19" t="str">
        <f t="shared" si="9"/>
        <v>FB_AI_BUF_S.FHSX</v>
      </c>
      <c r="B120" s="11">
        <v>3</v>
      </c>
      <c r="C120" s="11" t="s">
        <v>1</v>
      </c>
      <c r="D120" s="20">
        <v>192</v>
      </c>
    </row>
    <row r="121" spans="1:4" ht="15" customHeight="1">
      <c r="A121" s="19" t="str">
        <f t="shared" si="9"/>
        <v>FB_AI_BUF_S.FHSX</v>
      </c>
      <c r="B121" s="11">
        <v>2</v>
      </c>
      <c r="C121" s="11" t="s">
        <v>2</v>
      </c>
      <c r="D121" s="20" t="s">
        <v>3</v>
      </c>
    </row>
    <row r="122" spans="1:4" ht="15" customHeight="1">
      <c r="A122" s="21" t="str">
        <f t="shared" si="9"/>
        <v>FB_AI_BUF_S.FHSX</v>
      </c>
      <c r="B122" s="8">
        <v>1</v>
      </c>
      <c r="C122" s="8" t="s">
        <v>1</v>
      </c>
      <c r="D122" s="22">
        <v>11</v>
      </c>
    </row>
    <row r="123" spans="1:4" ht="15" customHeight="1">
      <c r="A123" s="211" t="str">
        <f t="shared" ref="A123:A132" si="10">$R$2&amp;".FLSX"</f>
        <v>FB_AI_BUF_S.FLSX</v>
      </c>
      <c r="B123" s="212">
        <v>11154</v>
      </c>
      <c r="C123" s="212" t="s">
        <v>4</v>
      </c>
      <c r="D123" s="221">
        <f>$Q$7</f>
        <v>12</v>
      </c>
    </row>
    <row r="124" spans="1:4" ht="15" customHeight="1">
      <c r="A124" s="211" t="str">
        <f t="shared" si="10"/>
        <v>FB_AI_BUF_S.FLSX</v>
      </c>
      <c r="B124" s="212">
        <v>11152</v>
      </c>
      <c r="C124" s="212" t="s">
        <v>0</v>
      </c>
      <c r="D124" s="220" t="str">
        <f>$R$7</f>
        <v>Неисправность</v>
      </c>
    </row>
    <row r="125" spans="1:4" ht="15" customHeight="1">
      <c r="A125" s="211" t="str">
        <f t="shared" si="10"/>
        <v>FB_AI_BUF_S.FLSX</v>
      </c>
      <c r="B125" s="212">
        <v>11150</v>
      </c>
      <c r="C125" s="212" t="s">
        <v>0</v>
      </c>
      <c r="D125" s="213" t="s">
        <v>39</v>
      </c>
    </row>
    <row r="126" spans="1:4" ht="15" customHeight="1">
      <c r="A126" s="211" t="str">
        <f t="shared" si="10"/>
        <v>FB_AI_BUF_S.FLSX</v>
      </c>
      <c r="B126" s="212">
        <v>11000</v>
      </c>
      <c r="C126" s="212" t="s">
        <v>5</v>
      </c>
      <c r="D126" s="213">
        <v>2147483680</v>
      </c>
    </row>
    <row r="127" spans="1:4" ht="15" customHeight="1">
      <c r="A127" s="19" t="str">
        <f t="shared" si="10"/>
        <v>FB_AI_BUF_S.FLSX</v>
      </c>
      <c r="B127" s="11">
        <v>7999</v>
      </c>
      <c r="C127" s="11" t="s">
        <v>0</v>
      </c>
      <c r="D127" s="20" t="str">
        <f>"#"&amp;$S$2&amp;"#"&amp;$T$2&amp;"\"&amp;$P$2&amp;"\FLSX"</f>
        <v>#1#treiOPCDA.CoOPCserv.1\pcmaster\TT_VOS\FLSX</v>
      </c>
    </row>
    <row r="128" spans="1:4" ht="15" customHeight="1">
      <c r="A128" s="19" t="str">
        <f t="shared" si="10"/>
        <v>FB_AI_BUF_S.FLSX</v>
      </c>
      <c r="B128" s="11">
        <v>7998</v>
      </c>
      <c r="C128" s="11" t="s">
        <v>6</v>
      </c>
      <c r="D128" s="20">
        <v>1</v>
      </c>
    </row>
    <row r="129" spans="1:4" ht="15" customHeight="1">
      <c r="A129" s="19" t="str">
        <f t="shared" si="10"/>
        <v>FB_AI_BUF_S.FLSX</v>
      </c>
      <c r="B129" s="11">
        <v>101</v>
      </c>
      <c r="C129" s="11" t="s">
        <v>0</v>
      </c>
      <c r="D129" s="20" t="s">
        <v>39</v>
      </c>
    </row>
    <row r="130" spans="1:4" ht="15" customHeight="1">
      <c r="A130" s="19" t="str">
        <f t="shared" si="10"/>
        <v>FB_AI_BUF_S.FLSX</v>
      </c>
      <c r="B130" s="11">
        <v>3</v>
      </c>
      <c r="C130" s="11" t="s">
        <v>1</v>
      </c>
      <c r="D130" s="20">
        <v>192</v>
      </c>
    </row>
    <row r="131" spans="1:4" ht="15" customHeight="1">
      <c r="A131" s="19" t="str">
        <f t="shared" si="10"/>
        <v>FB_AI_BUF_S.FLSX</v>
      </c>
      <c r="B131" s="11">
        <v>2</v>
      </c>
      <c r="C131" s="11" t="s">
        <v>2</v>
      </c>
      <c r="D131" s="20" t="s">
        <v>3</v>
      </c>
    </row>
    <row r="132" spans="1:4" ht="15" customHeight="1">
      <c r="A132" s="21" t="str">
        <f t="shared" si="10"/>
        <v>FB_AI_BUF_S.FLSX</v>
      </c>
      <c r="B132" s="8">
        <v>1</v>
      </c>
      <c r="C132" s="8" t="s">
        <v>1</v>
      </c>
      <c r="D132" s="22">
        <v>11</v>
      </c>
    </row>
    <row r="133" spans="1:4" ht="15" customHeight="1">
      <c r="A133" s="217" t="str">
        <f>$R$2&amp;".FSTX"</f>
        <v>FB_AI_BUF_S.FSTX</v>
      </c>
      <c r="B133" s="218">
        <v>11154</v>
      </c>
      <c r="C133" s="218" t="s">
        <v>4</v>
      </c>
      <c r="D133" s="219">
        <f>$Q$7</f>
        <v>12</v>
      </c>
    </row>
    <row r="134" spans="1:4" ht="15" customHeight="1">
      <c r="A134" s="211" t="str">
        <f t="shared" ref="A134:A141" si="11">$R$2&amp;".FSTX"</f>
        <v>FB_AI_BUF_S.FSTX</v>
      </c>
      <c r="B134" s="212">
        <v>11152</v>
      </c>
      <c r="C134" s="212" t="s">
        <v>0</v>
      </c>
      <c r="D134" s="220" t="str">
        <f>$R$7</f>
        <v>Неисправность</v>
      </c>
    </row>
    <row r="135" spans="1:4" ht="15" customHeight="1">
      <c r="A135" s="211" t="str">
        <f t="shared" si="11"/>
        <v>FB_AI_BUF_S.FSTX</v>
      </c>
      <c r="B135" s="212">
        <v>11150</v>
      </c>
      <c r="C135" s="212" t="s">
        <v>0</v>
      </c>
      <c r="D135" s="213" t="s">
        <v>680</v>
      </c>
    </row>
    <row r="136" spans="1:4" ht="15" customHeight="1">
      <c r="A136" s="211" t="str">
        <f t="shared" si="11"/>
        <v>FB_AI_BUF_S.FSTX</v>
      </c>
      <c r="B136" s="212">
        <v>11000</v>
      </c>
      <c r="C136" s="212" t="s">
        <v>5</v>
      </c>
      <c r="D136" s="213">
        <v>2147483680</v>
      </c>
    </row>
    <row r="137" spans="1:4" ht="15" customHeight="1">
      <c r="A137" s="19" t="str">
        <f t="shared" si="11"/>
        <v>FB_AI_BUF_S.FSTX</v>
      </c>
      <c r="B137" s="1">
        <v>3000000</v>
      </c>
      <c r="C137" s="1" t="s">
        <v>0</v>
      </c>
      <c r="D137" s="30" t="s">
        <v>815</v>
      </c>
    </row>
    <row r="138" spans="1:4" ht="15" customHeight="1">
      <c r="A138" s="19" t="str">
        <f t="shared" si="11"/>
        <v>FB_AI_BUF_S.FSTX</v>
      </c>
      <c r="B138" s="11">
        <v>101</v>
      </c>
      <c r="C138" s="11" t="s">
        <v>0</v>
      </c>
      <c r="D138" s="20" t="s">
        <v>680</v>
      </c>
    </row>
    <row r="139" spans="1:4" ht="15" customHeight="1">
      <c r="A139" s="19" t="str">
        <f t="shared" si="11"/>
        <v>FB_AI_BUF_S.FSTX</v>
      </c>
      <c r="B139" s="11">
        <v>3</v>
      </c>
      <c r="C139" s="11" t="s">
        <v>1</v>
      </c>
      <c r="D139" s="20">
        <v>192</v>
      </c>
    </row>
    <row r="140" spans="1:4" ht="15" customHeight="1">
      <c r="A140" s="19" t="str">
        <f t="shared" si="11"/>
        <v>FB_AI_BUF_S.FSTX</v>
      </c>
      <c r="B140" s="11">
        <v>2</v>
      </c>
      <c r="C140" s="11" t="s">
        <v>2</v>
      </c>
      <c r="D140" s="20" t="s">
        <v>3</v>
      </c>
    </row>
    <row r="141" spans="1:4" ht="15" customHeight="1">
      <c r="A141" s="21" t="str">
        <f t="shared" si="11"/>
        <v>FB_AI_BUF_S.FSTX</v>
      </c>
      <c r="B141" s="8">
        <v>1</v>
      </c>
      <c r="C141" s="8" t="s">
        <v>1</v>
      </c>
      <c r="D141" s="22">
        <v>11</v>
      </c>
    </row>
    <row r="142" spans="1:4" ht="15" customHeight="1">
      <c r="A142" s="110" t="str">
        <f>$R$2&amp;".DVXX"</f>
        <v>FB_AI_BUF_S.DVXX</v>
      </c>
      <c r="B142" s="123">
        <v>11154</v>
      </c>
      <c r="C142" s="123" t="s">
        <v>4</v>
      </c>
      <c r="D142" s="124">
        <f>$Q$9</f>
        <v>10</v>
      </c>
    </row>
    <row r="143" spans="1:4" ht="15" customHeight="1">
      <c r="A143" s="110" t="str">
        <f>$R$2&amp;".DVXX"</f>
        <v>FB_AI_BUF_S.DVXX</v>
      </c>
      <c r="B143" s="111">
        <v>11152</v>
      </c>
      <c r="C143" s="111" t="s">
        <v>0</v>
      </c>
      <c r="D143" s="113" t="str">
        <f>$R$9</f>
        <v>Недостоверность</v>
      </c>
    </row>
    <row r="144" spans="1:4" ht="15" customHeight="1">
      <c r="A144" s="110" t="str">
        <f>$R$2&amp;".DVXX"</f>
        <v>FB_AI_BUF_S.DVXX</v>
      </c>
      <c r="B144" s="111">
        <v>11150</v>
      </c>
      <c r="C144" s="111" t="s">
        <v>0</v>
      </c>
      <c r="D144" s="112" t="s">
        <v>83</v>
      </c>
    </row>
    <row r="145" spans="1:4" ht="15" customHeight="1">
      <c r="A145" s="110" t="str">
        <f>$R$2&amp;".DVXX"</f>
        <v>FB_AI_BUF_S.DVXX</v>
      </c>
      <c r="B145" s="111">
        <v>11000</v>
      </c>
      <c r="C145" s="111" t="s">
        <v>5</v>
      </c>
      <c r="D145" s="112">
        <v>2147483680</v>
      </c>
    </row>
    <row r="146" spans="1:4" ht="15" customHeight="1">
      <c r="A146" s="19" t="str">
        <f t="shared" ref="A146:A151" si="12">$R$2&amp;".DVXX"</f>
        <v>FB_AI_BUF_S.DVXX</v>
      </c>
      <c r="B146" s="11">
        <v>7999</v>
      </c>
      <c r="C146" s="11" t="s">
        <v>0</v>
      </c>
      <c r="D146" s="20" t="str">
        <f>"#"&amp;$S$2&amp;"#"&amp;$T$2&amp;"\"&amp;$P$2&amp;"\DVXX"</f>
        <v>#1#treiOPCDA.CoOPCserv.1\pcmaster\TT_VOS\DVXX</v>
      </c>
    </row>
    <row r="147" spans="1:4" ht="15" customHeight="1">
      <c r="A147" s="19" t="str">
        <f t="shared" si="12"/>
        <v>FB_AI_BUF_S.DVXX</v>
      </c>
      <c r="B147" s="11">
        <v>7998</v>
      </c>
      <c r="C147" s="11" t="s">
        <v>6</v>
      </c>
      <c r="D147" s="20">
        <v>1</v>
      </c>
    </row>
    <row r="148" spans="1:4" ht="15" customHeight="1">
      <c r="A148" s="19" t="str">
        <f t="shared" si="12"/>
        <v>FB_AI_BUF_S.DVXX</v>
      </c>
      <c r="B148" s="11">
        <v>101</v>
      </c>
      <c r="C148" s="11" t="s">
        <v>0</v>
      </c>
      <c r="D148" s="20" t="s">
        <v>83</v>
      </c>
    </row>
    <row r="149" spans="1:4" ht="15" customHeight="1">
      <c r="A149" s="19" t="str">
        <f t="shared" si="12"/>
        <v>FB_AI_BUF_S.DVXX</v>
      </c>
      <c r="B149" s="11">
        <v>3</v>
      </c>
      <c r="C149" s="11" t="s">
        <v>1</v>
      </c>
      <c r="D149" s="20">
        <v>192</v>
      </c>
    </row>
    <row r="150" spans="1:4" ht="15" customHeight="1">
      <c r="A150" s="19" t="str">
        <f t="shared" si="12"/>
        <v>FB_AI_BUF_S.DVXX</v>
      </c>
      <c r="B150" s="11">
        <v>2</v>
      </c>
      <c r="C150" s="11" t="s">
        <v>2</v>
      </c>
      <c r="D150" s="20" t="s">
        <v>3</v>
      </c>
    </row>
    <row r="151" spans="1:4" ht="15" customHeight="1">
      <c r="A151" s="19" t="str">
        <f t="shared" si="12"/>
        <v>FB_AI_BUF_S.DVXX</v>
      </c>
      <c r="B151" s="11">
        <v>1</v>
      </c>
      <c r="C151" s="11" t="s">
        <v>1</v>
      </c>
      <c r="D151" s="20">
        <v>11</v>
      </c>
    </row>
    <row r="152" spans="1:4" ht="15" customHeight="1">
      <c r="A152" s="130" t="str">
        <f t="shared" ref="A152:A163" si="13">$R$2&amp;".XRPX"</f>
        <v>FB_AI_BUF_S.XRPX</v>
      </c>
      <c r="B152" s="131">
        <v>11154</v>
      </c>
      <c r="C152" s="131" t="s">
        <v>4</v>
      </c>
      <c r="D152" s="132">
        <f>$Q$11</f>
        <v>14</v>
      </c>
    </row>
    <row r="153" spans="1:4" ht="15" customHeight="1">
      <c r="A153" s="133" t="str">
        <f t="shared" si="13"/>
        <v>FB_AI_BUF_S.XRPX</v>
      </c>
      <c r="B153" s="134">
        <v>11150</v>
      </c>
      <c r="C153" s="134" t="s">
        <v>0</v>
      </c>
      <c r="D153" s="135" t="s">
        <v>89</v>
      </c>
    </row>
    <row r="154" spans="1:4" ht="15" customHeight="1">
      <c r="A154" s="133" t="str">
        <f t="shared" si="13"/>
        <v>FB_AI_BUF_S.XRPX</v>
      </c>
      <c r="B154" s="134">
        <v>11152</v>
      </c>
      <c r="C154" s="134" t="s">
        <v>0</v>
      </c>
      <c r="D154" s="136" t="str">
        <f>$R$11</f>
        <v>Ремонт</v>
      </c>
    </row>
    <row r="155" spans="1:4" ht="15" customHeight="1">
      <c r="A155" s="133" t="str">
        <f t="shared" si="13"/>
        <v>FB_AI_BUF_S.XRPX</v>
      </c>
      <c r="B155" s="134">
        <v>11000</v>
      </c>
      <c r="C155" s="134" t="s">
        <v>5</v>
      </c>
      <c r="D155" s="135">
        <v>2147483680</v>
      </c>
    </row>
    <row r="156" spans="1:4" ht="15" customHeight="1">
      <c r="A156" s="19" t="str">
        <f t="shared" si="13"/>
        <v>FB_AI_BUF_S.XRPX</v>
      </c>
      <c r="B156" s="11">
        <v>7999</v>
      </c>
      <c r="C156" s="11" t="s">
        <v>0</v>
      </c>
      <c r="D156" s="20" t="str">
        <f>"#"&amp;$S$2&amp;"#"&amp;$T$2&amp;"\"&amp;$P$2&amp;"\XRPX"</f>
        <v>#1#treiOPCDA.CoOPCserv.1\pcmaster\TT_VOS\XRPX</v>
      </c>
    </row>
    <row r="157" spans="1:4" ht="15" customHeight="1">
      <c r="A157" s="19" t="str">
        <f t="shared" si="13"/>
        <v>FB_AI_BUF_S.XRPX</v>
      </c>
      <c r="B157" s="11">
        <v>7998</v>
      </c>
      <c r="C157" s="11" t="s">
        <v>6</v>
      </c>
      <c r="D157" s="20">
        <v>1</v>
      </c>
    </row>
    <row r="158" spans="1:4" ht="15" customHeight="1">
      <c r="A158" s="19" t="str">
        <f t="shared" si="13"/>
        <v>FB_AI_BUF_S.XRPX</v>
      </c>
      <c r="B158" s="11">
        <v>101</v>
      </c>
      <c r="C158" s="11" t="s">
        <v>0</v>
      </c>
      <c r="D158" s="20" t="s">
        <v>89</v>
      </c>
    </row>
    <row r="159" spans="1:4" ht="15" customHeight="1">
      <c r="A159" s="19" t="str">
        <f t="shared" si="13"/>
        <v>FB_AI_BUF_S.XRPX</v>
      </c>
      <c r="B159" s="11">
        <v>3</v>
      </c>
      <c r="C159" s="11" t="s">
        <v>1</v>
      </c>
      <c r="D159" s="20">
        <v>192</v>
      </c>
    </row>
    <row r="160" spans="1:4" ht="15" customHeight="1">
      <c r="A160" s="19" t="str">
        <f t="shared" si="13"/>
        <v>FB_AI_BUF_S.XRPX</v>
      </c>
      <c r="B160" s="11">
        <v>2</v>
      </c>
      <c r="C160" s="11" t="s">
        <v>2</v>
      </c>
      <c r="D160" s="20" t="s">
        <v>3</v>
      </c>
    </row>
    <row r="161" spans="1:4" ht="15" customHeight="1">
      <c r="A161" s="19" t="str">
        <f t="shared" si="13"/>
        <v>FB_AI_BUF_S.XRPX</v>
      </c>
      <c r="B161" s="11">
        <v>1</v>
      </c>
      <c r="C161" s="11" t="s">
        <v>1</v>
      </c>
      <c r="D161" s="20">
        <v>11</v>
      </c>
    </row>
    <row r="162" spans="1:4" ht="15" customHeight="1">
      <c r="A162" s="29" t="str">
        <f t="shared" si="13"/>
        <v>FB_AI_BUF_S.XRPX</v>
      </c>
      <c r="B162" s="1">
        <v>4000000</v>
      </c>
      <c r="C162" s="1" t="s">
        <v>0</v>
      </c>
      <c r="D162" s="415" t="s">
        <v>1478</v>
      </c>
    </row>
    <row r="163" spans="1:4" ht="15" customHeight="1">
      <c r="A163" s="26" t="str">
        <f t="shared" si="13"/>
        <v>FB_AI_BUF_S.XRPX</v>
      </c>
      <c r="B163" s="27">
        <v>7000000</v>
      </c>
      <c r="C163" s="27" t="s">
        <v>6</v>
      </c>
      <c r="D163" s="28">
        <v>2</v>
      </c>
    </row>
    <row r="164" spans="1:4" ht="15" customHeight="1">
      <c r="A164" s="105" t="str">
        <f t="shared" ref="A164:A173" si="14">$R$2&amp;".FZCX"</f>
        <v>FB_AI_BUF_S.FZCX</v>
      </c>
      <c r="B164" s="106">
        <v>11152</v>
      </c>
      <c r="C164" s="106" t="s">
        <v>0</v>
      </c>
      <c r="D164" s="109" t="str">
        <f>$R$8</f>
        <v>Телесигнализация</v>
      </c>
    </row>
    <row r="165" spans="1:4" ht="15" customHeight="1">
      <c r="A165" s="105" t="str">
        <f t="shared" si="14"/>
        <v>FB_AI_BUF_S.FZCX</v>
      </c>
      <c r="B165" s="106">
        <v>11154</v>
      </c>
      <c r="C165" s="106" t="s">
        <v>4</v>
      </c>
      <c r="D165" s="107">
        <f>$Q$8</f>
        <v>18</v>
      </c>
    </row>
    <row r="166" spans="1:4" ht="15" customHeight="1">
      <c r="A166" s="105" t="str">
        <f t="shared" si="14"/>
        <v>FB_AI_BUF_S.FZCX</v>
      </c>
      <c r="B166" s="106">
        <v>11150</v>
      </c>
      <c r="C166" s="106" t="s">
        <v>0</v>
      </c>
      <c r="D166" s="108" t="s">
        <v>82</v>
      </c>
    </row>
    <row r="167" spans="1:4" ht="15" customHeight="1">
      <c r="A167" s="105" t="str">
        <f t="shared" si="14"/>
        <v>FB_AI_BUF_S.FZCX</v>
      </c>
      <c r="B167" s="106">
        <v>11000</v>
      </c>
      <c r="C167" s="106" t="s">
        <v>5</v>
      </c>
      <c r="D167" s="108">
        <v>2147483680</v>
      </c>
    </row>
    <row r="168" spans="1:4" ht="15" customHeight="1">
      <c r="A168" s="19" t="str">
        <f t="shared" si="14"/>
        <v>FB_AI_BUF_S.FZCX</v>
      </c>
      <c r="B168" s="11">
        <v>7999</v>
      </c>
      <c r="C168" s="11" t="s">
        <v>0</v>
      </c>
      <c r="D168" s="20" t="str">
        <f>"#"&amp;$S$2&amp;"#"&amp;$T$2&amp;"\"&amp;$P$2&amp;"\FZCX"</f>
        <v>#1#treiOPCDA.CoOPCserv.1\pcmaster\TT_VOS\FZCX</v>
      </c>
    </row>
    <row r="169" spans="1:4" ht="15" customHeight="1">
      <c r="A169" s="19" t="str">
        <f t="shared" si="14"/>
        <v>FB_AI_BUF_S.FZCX</v>
      </c>
      <c r="B169" s="11">
        <v>7998</v>
      </c>
      <c r="C169" s="11" t="s">
        <v>6</v>
      </c>
      <c r="D169" s="20">
        <v>1</v>
      </c>
    </row>
    <row r="170" spans="1:4" ht="15" customHeight="1">
      <c r="A170" s="19" t="str">
        <f t="shared" si="14"/>
        <v>FB_AI_BUF_S.FZCX</v>
      </c>
      <c r="B170" s="11">
        <v>101</v>
      </c>
      <c r="C170" s="11" t="s">
        <v>0</v>
      </c>
      <c r="D170" s="20" t="s">
        <v>41</v>
      </c>
    </row>
    <row r="171" spans="1:4" ht="15" customHeight="1">
      <c r="A171" s="19" t="str">
        <f t="shared" si="14"/>
        <v>FB_AI_BUF_S.FZCX</v>
      </c>
      <c r="B171" s="11">
        <v>3</v>
      </c>
      <c r="C171" s="11" t="s">
        <v>1</v>
      </c>
      <c r="D171" s="20">
        <v>192</v>
      </c>
    </row>
    <row r="172" spans="1:4" ht="15" customHeight="1">
      <c r="A172" s="19" t="str">
        <f t="shared" si="14"/>
        <v>FB_AI_BUF_S.FZCX</v>
      </c>
      <c r="B172" s="11">
        <v>2</v>
      </c>
      <c r="C172" s="11" t="s">
        <v>2</v>
      </c>
      <c r="D172" s="20" t="s">
        <v>3</v>
      </c>
    </row>
    <row r="173" spans="1:4" ht="15" customHeight="1">
      <c r="A173" s="21" t="str">
        <f t="shared" si="14"/>
        <v>FB_AI_BUF_S.FZCX</v>
      </c>
      <c r="B173" s="8">
        <v>1</v>
      </c>
      <c r="C173" s="8" t="s">
        <v>1</v>
      </c>
      <c r="D173" s="22">
        <v>11</v>
      </c>
    </row>
    <row r="174" spans="1:4" ht="15" customHeight="1">
      <c r="A174" s="105" t="str">
        <f t="shared" ref="A174:A183" si="15">$R$2&amp;".BHAX"</f>
        <v>FB_AI_BUF_S.BHAX</v>
      </c>
      <c r="B174" s="106">
        <v>11154</v>
      </c>
      <c r="C174" s="106" t="s">
        <v>4</v>
      </c>
      <c r="D174" s="107">
        <f>$Q$8</f>
        <v>18</v>
      </c>
    </row>
    <row r="175" spans="1:4" s="4" customFormat="1" ht="15" customHeight="1">
      <c r="A175" s="105" t="str">
        <f t="shared" si="15"/>
        <v>FB_AI_BUF_S.BHAX</v>
      </c>
      <c r="B175" s="106">
        <v>11150</v>
      </c>
      <c r="C175" s="106" t="s">
        <v>0</v>
      </c>
      <c r="D175" s="108" t="s">
        <v>7</v>
      </c>
    </row>
    <row r="176" spans="1:4" ht="15" customHeight="1">
      <c r="A176" s="105" t="str">
        <f t="shared" si="15"/>
        <v>FB_AI_BUF_S.BHAX</v>
      </c>
      <c r="B176" s="106">
        <v>11152</v>
      </c>
      <c r="C176" s="106" t="s">
        <v>0</v>
      </c>
      <c r="D176" s="109" t="str">
        <f>$R$8</f>
        <v>Телесигнализация</v>
      </c>
    </row>
    <row r="177" spans="1:22" ht="15" customHeight="1">
      <c r="A177" s="105" t="str">
        <f t="shared" si="15"/>
        <v>FB_AI_BUF_S.BHAX</v>
      </c>
      <c r="B177" s="106">
        <v>11000</v>
      </c>
      <c r="C177" s="106" t="s">
        <v>5</v>
      </c>
      <c r="D177" s="108">
        <v>2147483680</v>
      </c>
      <c r="Q177" s="4"/>
      <c r="R177" s="4"/>
      <c r="S177" s="4"/>
      <c r="T177" s="4"/>
      <c r="U177" s="4"/>
      <c r="V177" s="4"/>
    </row>
    <row r="178" spans="1:22" ht="15" customHeight="1">
      <c r="A178" s="19" t="str">
        <f t="shared" si="15"/>
        <v>FB_AI_BUF_S.BHAX</v>
      </c>
      <c r="B178" s="11">
        <v>7999</v>
      </c>
      <c r="C178" s="11" t="s">
        <v>0</v>
      </c>
      <c r="D178" s="20" t="str">
        <f>"#"&amp;$S$2&amp;"#"&amp;$T$2&amp;"\"&amp;$P$2&amp;"\BHAX"</f>
        <v>#1#treiOPCDA.CoOPCserv.1\pcmaster\TT_VOS\BHAX</v>
      </c>
      <c r="Q178" s="4"/>
      <c r="R178" s="4"/>
      <c r="S178" s="4"/>
      <c r="T178" s="4"/>
      <c r="U178" s="4"/>
      <c r="V178" s="4"/>
    </row>
    <row r="179" spans="1:22" ht="15" customHeight="1">
      <c r="A179" s="19" t="str">
        <f t="shared" si="15"/>
        <v>FB_AI_BUF_S.BHAX</v>
      </c>
      <c r="B179" s="11">
        <v>7998</v>
      </c>
      <c r="C179" s="11" t="s">
        <v>6</v>
      </c>
      <c r="D179" s="20">
        <v>1</v>
      </c>
      <c r="Q179" s="4"/>
      <c r="R179" s="4"/>
      <c r="S179" s="4"/>
      <c r="T179" s="4"/>
      <c r="U179" s="4"/>
      <c r="V179" s="4"/>
    </row>
    <row r="180" spans="1:22" ht="15" customHeight="1">
      <c r="A180" s="19" t="str">
        <f t="shared" si="15"/>
        <v>FB_AI_BUF_S.BHAX</v>
      </c>
      <c r="B180" s="11">
        <v>101</v>
      </c>
      <c r="C180" s="11" t="s">
        <v>0</v>
      </c>
      <c r="D180" s="20" t="s">
        <v>7</v>
      </c>
      <c r="Q180" s="4"/>
      <c r="R180" s="4"/>
      <c r="S180" s="4"/>
      <c r="T180" s="4"/>
      <c r="U180" s="4"/>
      <c r="V180" s="4"/>
    </row>
    <row r="181" spans="1:22" ht="15" customHeight="1">
      <c r="A181" s="19" t="str">
        <f t="shared" si="15"/>
        <v>FB_AI_BUF_S.BHAX</v>
      </c>
      <c r="B181" s="11">
        <v>3</v>
      </c>
      <c r="C181" s="11" t="s">
        <v>1</v>
      </c>
      <c r="D181" s="20">
        <v>192</v>
      </c>
      <c r="Q181" s="4"/>
      <c r="R181" s="4"/>
      <c r="S181" s="4"/>
      <c r="T181" s="4"/>
      <c r="U181" s="4"/>
      <c r="V181" s="4"/>
    </row>
    <row r="182" spans="1:22" ht="15" customHeight="1">
      <c r="A182" s="19" t="str">
        <f t="shared" si="15"/>
        <v>FB_AI_BUF_S.BHAX</v>
      </c>
      <c r="B182" s="11">
        <v>2</v>
      </c>
      <c r="C182" s="11" t="s">
        <v>2</v>
      </c>
      <c r="D182" s="20" t="s">
        <v>3</v>
      </c>
      <c r="Q182" s="4"/>
      <c r="R182" s="4"/>
      <c r="S182" s="4"/>
      <c r="T182" s="4"/>
      <c r="U182" s="4"/>
      <c r="V182" s="4"/>
    </row>
    <row r="183" spans="1:22" ht="15" customHeight="1">
      <c r="A183" s="21" t="str">
        <f t="shared" si="15"/>
        <v>FB_AI_BUF_S.BHAX</v>
      </c>
      <c r="B183" s="8">
        <v>1</v>
      </c>
      <c r="C183" s="8" t="s">
        <v>1</v>
      </c>
      <c r="D183" s="22">
        <v>11</v>
      </c>
      <c r="Q183" s="4"/>
      <c r="R183" s="4"/>
      <c r="S183" s="4"/>
      <c r="T183" s="4"/>
      <c r="U183" s="4"/>
      <c r="V183" s="4"/>
    </row>
    <row r="184" spans="1:22" ht="15" customHeight="1">
      <c r="A184" s="105" t="str">
        <f t="shared" ref="A184:A193" si="16">$R$2&amp;".BHWX"</f>
        <v>FB_AI_BUF_S.BHWX</v>
      </c>
      <c r="B184" s="106">
        <v>11154</v>
      </c>
      <c r="C184" s="106" t="s">
        <v>4</v>
      </c>
      <c r="D184" s="107">
        <f>$Q$8</f>
        <v>18</v>
      </c>
      <c r="Q184" s="4"/>
      <c r="R184" s="4"/>
      <c r="S184" s="4"/>
      <c r="T184" s="4"/>
      <c r="U184" s="4"/>
      <c r="V184" s="4"/>
    </row>
    <row r="185" spans="1:22" ht="15" customHeight="1">
      <c r="A185" s="105" t="str">
        <f t="shared" si="16"/>
        <v>FB_AI_BUF_S.BHWX</v>
      </c>
      <c r="B185" s="106">
        <v>11150</v>
      </c>
      <c r="C185" s="106" t="s">
        <v>0</v>
      </c>
      <c r="D185" s="108" t="s">
        <v>8</v>
      </c>
      <c r="Q185" s="4"/>
      <c r="R185" s="4"/>
      <c r="S185" s="4"/>
      <c r="T185" s="4"/>
      <c r="U185" s="4"/>
      <c r="V185" s="4"/>
    </row>
    <row r="186" spans="1:22" ht="15" customHeight="1">
      <c r="A186" s="105" t="str">
        <f t="shared" si="16"/>
        <v>FB_AI_BUF_S.BHWX</v>
      </c>
      <c r="B186" s="106">
        <v>11152</v>
      </c>
      <c r="C186" s="106" t="s">
        <v>0</v>
      </c>
      <c r="D186" s="109" t="str">
        <f>$R$8</f>
        <v>Телесигнализация</v>
      </c>
      <c r="Q186" s="4"/>
      <c r="R186" s="4"/>
      <c r="S186" s="4"/>
      <c r="T186" s="4"/>
      <c r="U186" s="4"/>
      <c r="V186" s="4"/>
    </row>
    <row r="187" spans="1:22" s="4" customFormat="1" ht="15" customHeight="1">
      <c r="A187" s="105" t="str">
        <f t="shared" si="16"/>
        <v>FB_AI_BUF_S.BHWX</v>
      </c>
      <c r="B187" s="106">
        <v>11000</v>
      </c>
      <c r="C187" s="106" t="s">
        <v>5</v>
      </c>
      <c r="D187" s="108">
        <v>2147483680</v>
      </c>
    </row>
    <row r="188" spans="1:22" ht="15" customHeight="1">
      <c r="A188" s="19" t="str">
        <f t="shared" si="16"/>
        <v>FB_AI_BUF_S.BHWX</v>
      </c>
      <c r="B188" s="11">
        <v>7999</v>
      </c>
      <c r="C188" s="11" t="s">
        <v>0</v>
      </c>
      <c r="D188" s="20" t="str">
        <f>"#"&amp;$S$2&amp;"#"&amp;$T$2&amp;"\"&amp;$P$2&amp;"\BHWX"</f>
        <v>#1#treiOPCDA.CoOPCserv.1\pcmaster\TT_VOS\BHWX</v>
      </c>
      <c r="Q188" s="4"/>
      <c r="R188" s="4"/>
      <c r="S188" s="4"/>
      <c r="T188" s="4"/>
      <c r="U188" s="4"/>
      <c r="V188" s="4"/>
    </row>
    <row r="189" spans="1:22" ht="15" customHeight="1">
      <c r="A189" s="19" t="str">
        <f t="shared" si="16"/>
        <v>FB_AI_BUF_S.BHWX</v>
      </c>
      <c r="B189" s="11">
        <v>7998</v>
      </c>
      <c r="C189" s="11" t="s">
        <v>6</v>
      </c>
      <c r="D189" s="20">
        <v>1</v>
      </c>
      <c r="Q189" s="4"/>
      <c r="R189" s="4"/>
      <c r="S189" s="4"/>
      <c r="T189" s="4"/>
      <c r="U189" s="4"/>
      <c r="V189" s="4"/>
    </row>
    <row r="190" spans="1:22" ht="15" customHeight="1">
      <c r="A190" s="19" t="str">
        <f t="shared" si="16"/>
        <v>FB_AI_BUF_S.BHWX</v>
      </c>
      <c r="B190" s="11">
        <v>101</v>
      </c>
      <c r="C190" s="11" t="s">
        <v>0</v>
      </c>
      <c r="D190" s="20" t="s">
        <v>8</v>
      </c>
      <c r="Q190" s="4"/>
      <c r="R190" s="4"/>
      <c r="S190" s="4"/>
      <c r="T190" s="4"/>
      <c r="U190" s="4"/>
      <c r="V190" s="4"/>
    </row>
    <row r="191" spans="1:22" ht="15" customHeight="1">
      <c r="A191" s="19" t="str">
        <f t="shared" si="16"/>
        <v>FB_AI_BUF_S.BHWX</v>
      </c>
      <c r="B191" s="11">
        <v>3</v>
      </c>
      <c r="C191" s="11" t="s">
        <v>1</v>
      </c>
      <c r="D191" s="20">
        <v>192</v>
      </c>
      <c r="Q191" s="4"/>
      <c r="R191" s="4"/>
      <c r="S191" s="4"/>
      <c r="T191" s="4"/>
      <c r="U191" s="4"/>
      <c r="V191" s="4"/>
    </row>
    <row r="192" spans="1:22" ht="15" customHeight="1">
      <c r="A192" s="19" t="str">
        <f t="shared" si="16"/>
        <v>FB_AI_BUF_S.BHWX</v>
      </c>
      <c r="B192" s="11">
        <v>2</v>
      </c>
      <c r="C192" s="11" t="s">
        <v>2</v>
      </c>
      <c r="D192" s="20" t="s">
        <v>3</v>
      </c>
      <c r="Q192" s="4"/>
      <c r="R192" s="4"/>
      <c r="S192" s="4"/>
      <c r="T192" s="4"/>
      <c r="U192" s="4"/>
      <c r="V192" s="4"/>
    </row>
    <row r="193" spans="1:22" s="4" customFormat="1" ht="15" customHeight="1">
      <c r="A193" s="21" t="str">
        <f t="shared" si="16"/>
        <v>FB_AI_BUF_S.BHWX</v>
      </c>
      <c r="B193" s="8">
        <v>1</v>
      </c>
      <c r="C193" s="8" t="s">
        <v>1</v>
      </c>
      <c r="D193" s="22">
        <v>11</v>
      </c>
    </row>
    <row r="194" spans="1:22" ht="15" customHeight="1">
      <c r="A194" s="105" t="str">
        <f t="shared" ref="A194:A203" si="17">$R$2&amp;".BLAX"</f>
        <v>FB_AI_BUF_S.BLAX</v>
      </c>
      <c r="B194" s="106">
        <v>11154</v>
      </c>
      <c r="C194" s="106" t="s">
        <v>4</v>
      </c>
      <c r="D194" s="107">
        <f>$Q$8</f>
        <v>18</v>
      </c>
      <c r="Q194" s="4"/>
      <c r="R194" s="4"/>
      <c r="S194" s="4"/>
      <c r="T194" s="4"/>
      <c r="U194" s="4"/>
      <c r="V194" s="4"/>
    </row>
    <row r="195" spans="1:22" ht="15" customHeight="1">
      <c r="A195" s="105" t="str">
        <f t="shared" si="17"/>
        <v>FB_AI_BUF_S.BLAX</v>
      </c>
      <c r="B195" s="106">
        <v>11150</v>
      </c>
      <c r="C195" s="106" t="s">
        <v>0</v>
      </c>
      <c r="D195" s="108" t="s">
        <v>9</v>
      </c>
    </row>
    <row r="196" spans="1:22" ht="15" customHeight="1">
      <c r="A196" s="105" t="str">
        <f t="shared" si="17"/>
        <v>FB_AI_BUF_S.BLAX</v>
      </c>
      <c r="B196" s="106">
        <v>11152</v>
      </c>
      <c r="C196" s="106" t="s">
        <v>0</v>
      </c>
      <c r="D196" s="109" t="str">
        <f>$R$8</f>
        <v>Телесигнализация</v>
      </c>
    </row>
    <row r="197" spans="1:22" ht="15" customHeight="1">
      <c r="A197" s="105" t="str">
        <f t="shared" si="17"/>
        <v>FB_AI_BUF_S.BLAX</v>
      </c>
      <c r="B197" s="106">
        <v>11000</v>
      </c>
      <c r="C197" s="106" t="s">
        <v>5</v>
      </c>
      <c r="D197" s="108">
        <v>2147483680</v>
      </c>
    </row>
    <row r="198" spans="1:22" ht="15" customHeight="1">
      <c r="A198" s="19" t="str">
        <f t="shared" si="17"/>
        <v>FB_AI_BUF_S.BLAX</v>
      </c>
      <c r="B198" s="11">
        <v>7999</v>
      </c>
      <c r="C198" s="11" t="s">
        <v>0</v>
      </c>
      <c r="D198" s="20" t="str">
        <f>"#"&amp;$S$2&amp;"#"&amp;$T$2&amp;"\"&amp;$P$2&amp;"\BLAX"</f>
        <v>#1#treiOPCDA.CoOPCserv.1\pcmaster\TT_VOS\BLAX</v>
      </c>
    </row>
    <row r="199" spans="1:22" s="4" customFormat="1" ht="15" customHeight="1">
      <c r="A199" s="19" t="str">
        <f t="shared" si="17"/>
        <v>FB_AI_BUF_S.BLAX</v>
      </c>
      <c r="B199" s="11">
        <v>7998</v>
      </c>
      <c r="C199" s="11" t="s">
        <v>6</v>
      </c>
      <c r="D199" s="20">
        <v>1</v>
      </c>
    </row>
    <row r="200" spans="1:22" ht="15" customHeight="1">
      <c r="A200" s="19" t="str">
        <f t="shared" si="17"/>
        <v>FB_AI_BUF_S.BLAX</v>
      </c>
      <c r="B200" s="11">
        <v>101</v>
      </c>
      <c r="C200" s="11" t="s">
        <v>0</v>
      </c>
      <c r="D200" s="20" t="s">
        <v>9</v>
      </c>
    </row>
    <row r="201" spans="1:22" ht="15" customHeight="1">
      <c r="A201" s="19" t="str">
        <f t="shared" si="17"/>
        <v>FB_AI_BUF_S.BLAX</v>
      </c>
      <c r="B201" s="11">
        <v>3</v>
      </c>
      <c r="C201" s="11" t="s">
        <v>1</v>
      </c>
      <c r="D201" s="20">
        <v>192</v>
      </c>
    </row>
    <row r="202" spans="1:22" ht="15" customHeight="1">
      <c r="A202" s="19" t="str">
        <f t="shared" si="17"/>
        <v>FB_AI_BUF_S.BLAX</v>
      </c>
      <c r="B202" s="11">
        <v>2</v>
      </c>
      <c r="C202" s="11" t="s">
        <v>2</v>
      </c>
      <c r="D202" s="20" t="s">
        <v>3</v>
      </c>
    </row>
    <row r="203" spans="1:22" ht="15" customHeight="1">
      <c r="A203" s="21" t="str">
        <f t="shared" si="17"/>
        <v>FB_AI_BUF_S.BLAX</v>
      </c>
      <c r="B203" s="8">
        <v>1</v>
      </c>
      <c r="C203" s="8" t="s">
        <v>1</v>
      </c>
      <c r="D203" s="22">
        <v>11</v>
      </c>
    </row>
    <row r="204" spans="1:22" ht="15" customHeight="1">
      <c r="A204" s="105" t="str">
        <f t="shared" ref="A204:A213" si="18">$R$2&amp;".BLWX"</f>
        <v>FB_AI_BUF_S.BLWX</v>
      </c>
      <c r="B204" s="106">
        <v>11154</v>
      </c>
      <c r="C204" s="106" t="s">
        <v>4</v>
      </c>
      <c r="D204" s="107">
        <f>$Q$8</f>
        <v>18</v>
      </c>
    </row>
    <row r="205" spans="1:22" s="4" customFormat="1" ht="15" customHeight="1">
      <c r="A205" s="105" t="str">
        <f t="shared" si="18"/>
        <v>FB_AI_BUF_S.BLWX</v>
      </c>
      <c r="B205" s="106">
        <v>11150</v>
      </c>
      <c r="C205" s="106" t="s">
        <v>0</v>
      </c>
      <c r="D205" s="108" t="s">
        <v>10</v>
      </c>
    </row>
    <row r="206" spans="1:22" ht="15" customHeight="1">
      <c r="A206" s="105" t="str">
        <f t="shared" si="18"/>
        <v>FB_AI_BUF_S.BLWX</v>
      </c>
      <c r="B206" s="106">
        <v>11152</v>
      </c>
      <c r="C206" s="106" t="s">
        <v>0</v>
      </c>
      <c r="D206" s="109" t="str">
        <f>$R$8</f>
        <v>Телесигнализация</v>
      </c>
    </row>
    <row r="207" spans="1:22" ht="15" customHeight="1">
      <c r="A207" s="105" t="str">
        <f t="shared" si="18"/>
        <v>FB_AI_BUF_S.BLWX</v>
      </c>
      <c r="B207" s="106">
        <v>11000</v>
      </c>
      <c r="C207" s="106" t="s">
        <v>5</v>
      </c>
      <c r="D207" s="108">
        <v>2147483680</v>
      </c>
    </row>
    <row r="208" spans="1:22" ht="15" customHeight="1">
      <c r="A208" s="19" t="str">
        <f t="shared" si="18"/>
        <v>FB_AI_BUF_S.BLWX</v>
      </c>
      <c r="B208" s="11">
        <v>7999</v>
      </c>
      <c r="C208" s="11" t="s">
        <v>0</v>
      </c>
      <c r="D208" s="20" t="str">
        <f>"#"&amp;$S$2&amp;"#"&amp;$T$2&amp;"\"&amp;$P$2&amp;"\BLWX"</f>
        <v>#1#treiOPCDA.CoOPCserv.1\pcmaster\TT_VOS\BLWX</v>
      </c>
    </row>
    <row r="209" spans="1:4" ht="15" customHeight="1">
      <c r="A209" s="19" t="str">
        <f t="shared" si="18"/>
        <v>FB_AI_BUF_S.BLWX</v>
      </c>
      <c r="B209" s="11">
        <v>7998</v>
      </c>
      <c r="C209" s="11" t="s">
        <v>6</v>
      </c>
      <c r="D209" s="20">
        <v>1</v>
      </c>
    </row>
    <row r="210" spans="1:4" ht="15" customHeight="1">
      <c r="A210" s="19" t="str">
        <f t="shared" si="18"/>
        <v>FB_AI_BUF_S.BLWX</v>
      </c>
      <c r="B210" s="11">
        <v>101</v>
      </c>
      <c r="C210" s="11" t="s">
        <v>0</v>
      </c>
      <c r="D210" s="20" t="s">
        <v>10</v>
      </c>
    </row>
    <row r="211" spans="1:4" s="4" customFormat="1" ht="15" customHeight="1">
      <c r="A211" s="19" t="str">
        <f t="shared" si="18"/>
        <v>FB_AI_BUF_S.BLWX</v>
      </c>
      <c r="B211" s="11">
        <v>3</v>
      </c>
      <c r="C211" s="11" t="s">
        <v>1</v>
      </c>
      <c r="D211" s="20">
        <v>192</v>
      </c>
    </row>
    <row r="212" spans="1:4" ht="15" customHeight="1">
      <c r="A212" s="19" t="str">
        <f t="shared" si="18"/>
        <v>FB_AI_BUF_S.BLWX</v>
      </c>
      <c r="B212" s="11">
        <v>2</v>
      </c>
      <c r="C212" s="11" t="s">
        <v>2</v>
      </c>
      <c r="D212" s="20" t="s">
        <v>3</v>
      </c>
    </row>
    <row r="213" spans="1:4" ht="15" customHeight="1">
      <c r="A213" s="21" t="str">
        <f t="shared" si="18"/>
        <v>FB_AI_BUF_S.BLWX</v>
      </c>
      <c r="B213" s="8">
        <v>1</v>
      </c>
      <c r="C213" s="8" t="s">
        <v>1</v>
      </c>
      <c r="D213" s="22">
        <v>11</v>
      </c>
    </row>
    <row r="214" spans="1:4" ht="15" customHeight="1">
      <c r="A214" s="114" t="str">
        <f t="shared" ref="A214:A223" si="19">$R$2&amp;".CIMX"</f>
        <v>FB_AI_BUF_S.CIMX</v>
      </c>
      <c r="B214" s="115">
        <v>11154</v>
      </c>
      <c r="C214" s="115" t="s">
        <v>4</v>
      </c>
      <c r="D214" s="116">
        <f>$Q$10</f>
        <v>16</v>
      </c>
    </row>
    <row r="215" spans="1:4" ht="15" customHeight="1">
      <c r="A215" s="114" t="str">
        <f t="shared" si="19"/>
        <v>FB_AI_BUF_S.CIMX</v>
      </c>
      <c r="B215" s="115">
        <v>11150</v>
      </c>
      <c r="C215" s="115" t="s">
        <v>0</v>
      </c>
      <c r="D215" s="117" t="s">
        <v>81</v>
      </c>
    </row>
    <row r="216" spans="1:4" s="4" customFormat="1" ht="15" customHeight="1">
      <c r="A216" s="114" t="str">
        <f t="shared" si="19"/>
        <v>FB_AI_BUF_S.CIMX</v>
      </c>
      <c r="B216" s="115">
        <v>11152</v>
      </c>
      <c r="C216" s="115" t="s">
        <v>0</v>
      </c>
      <c r="D216" s="118" t="str">
        <f>$R$10</f>
        <v>Имитация</v>
      </c>
    </row>
    <row r="217" spans="1:4" ht="15" customHeight="1">
      <c r="A217" s="114" t="str">
        <f t="shared" si="19"/>
        <v>FB_AI_BUF_S.CIMX</v>
      </c>
      <c r="B217" s="115">
        <v>11000</v>
      </c>
      <c r="C217" s="115" t="s">
        <v>5</v>
      </c>
      <c r="D217" s="117">
        <v>2147483680</v>
      </c>
    </row>
    <row r="218" spans="1:4" ht="15" customHeight="1">
      <c r="A218" s="19" t="str">
        <f t="shared" si="19"/>
        <v>FB_AI_BUF_S.CIMX</v>
      </c>
      <c r="B218" s="11">
        <v>7999</v>
      </c>
      <c r="C218" s="11" t="s">
        <v>0</v>
      </c>
      <c r="D218" s="20" t="str">
        <f>"#"&amp;$S$2&amp;"#"&amp;$T$2&amp;"\"&amp;$P$2&amp;"\CIMX"</f>
        <v>#1#treiOPCDA.CoOPCserv.1\pcmaster\TT_VOS\CIMX</v>
      </c>
    </row>
    <row r="219" spans="1:4" ht="15" customHeight="1">
      <c r="A219" s="19" t="str">
        <f t="shared" si="19"/>
        <v>FB_AI_BUF_S.CIMX</v>
      </c>
      <c r="B219" s="11">
        <v>7998</v>
      </c>
      <c r="C219" s="11" t="s">
        <v>6</v>
      </c>
      <c r="D219" s="20">
        <v>1</v>
      </c>
    </row>
    <row r="220" spans="1:4" ht="15" customHeight="1">
      <c r="A220" s="19" t="str">
        <f t="shared" si="19"/>
        <v>FB_AI_BUF_S.CIMX</v>
      </c>
      <c r="B220" s="11">
        <v>101</v>
      </c>
      <c r="C220" s="11" t="s">
        <v>0</v>
      </c>
      <c r="D220" s="20" t="s">
        <v>1312</v>
      </c>
    </row>
    <row r="221" spans="1:4" s="4" customFormat="1" ht="15" customHeight="1">
      <c r="A221" s="19" t="str">
        <f t="shared" si="19"/>
        <v>FB_AI_BUF_S.CIMX</v>
      </c>
      <c r="B221" s="11">
        <v>3</v>
      </c>
      <c r="C221" s="11" t="s">
        <v>1</v>
      </c>
      <c r="D221" s="20">
        <v>192</v>
      </c>
    </row>
    <row r="222" spans="1:4" ht="15" customHeight="1">
      <c r="A222" s="19" t="str">
        <f t="shared" si="19"/>
        <v>FB_AI_BUF_S.CIMX</v>
      </c>
      <c r="B222" s="11">
        <v>2</v>
      </c>
      <c r="C222" s="11" t="s">
        <v>2</v>
      </c>
      <c r="D222" s="20" t="s">
        <v>3</v>
      </c>
    </row>
    <row r="223" spans="1:4" ht="15" customHeight="1">
      <c r="A223" s="19" t="str">
        <f t="shared" si="19"/>
        <v>FB_AI_BUF_S.CIMX</v>
      </c>
      <c r="B223" s="11">
        <v>1</v>
      </c>
      <c r="C223" s="11" t="s">
        <v>1</v>
      </c>
      <c r="D223" s="20">
        <v>11</v>
      </c>
    </row>
    <row r="224" spans="1:4" ht="15" customHeight="1">
      <c r="A224" s="16" t="str">
        <f>$R$2&amp;".Commands.CDAX"</f>
        <v>FB_AI_BUF_S.Commands.CDAX</v>
      </c>
      <c r="B224" s="17">
        <v>101</v>
      </c>
      <c r="C224" s="17" t="s">
        <v>0</v>
      </c>
      <c r="D224" s="18" t="s">
        <v>16</v>
      </c>
    </row>
    <row r="225" spans="1:4" ht="15" customHeight="1">
      <c r="A225" s="19" t="str">
        <f>$R$2&amp;".Commands.CDAX"</f>
        <v>FB_AI_BUF_S.Commands.CDAX</v>
      </c>
      <c r="B225" s="11">
        <v>7999</v>
      </c>
      <c r="C225" s="11" t="s">
        <v>0</v>
      </c>
      <c r="D225" s="20" t="str">
        <f>"#"&amp;$T$5&amp;"#"&amp;$T$2&amp;"\"&amp;$P$2&amp;"\CDAX"</f>
        <v>#1#treiOPCDA.CoOPCserv.1\pcmaster\TT_VOS\CDAX</v>
      </c>
    </row>
    <row r="226" spans="1:4" ht="15" customHeight="1">
      <c r="A226" s="19" t="str">
        <f>$R$2&amp;".Commands.CDAX"</f>
        <v>FB_AI_BUF_S.Commands.CDAX</v>
      </c>
      <c r="B226" s="11">
        <v>7998</v>
      </c>
      <c r="C226" s="11" t="s">
        <v>6</v>
      </c>
      <c r="D226" s="20">
        <v>2</v>
      </c>
    </row>
    <row r="227" spans="1:4" ht="15" customHeight="1">
      <c r="A227" s="21" t="str">
        <f>$R$2&amp;".Commands.CDAX"</f>
        <v>FB_AI_BUF_S.Commands.CDAX</v>
      </c>
      <c r="B227" s="8">
        <v>1</v>
      </c>
      <c r="C227" s="8" t="s">
        <v>1</v>
      </c>
      <c r="D227" s="22">
        <v>11</v>
      </c>
    </row>
    <row r="228" spans="1:4" ht="15" customHeight="1">
      <c r="A228" s="16" t="str">
        <f>$R$2&amp;".Commands.CHAX"</f>
        <v>FB_AI_BUF_S.Commands.CHAX</v>
      </c>
      <c r="B228" s="17">
        <v>101</v>
      </c>
      <c r="C228" s="17" t="s">
        <v>0</v>
      </c>
      <c r="D228" s="18" t="s">
        <v>17</v>
      </c>
    </row>
    <row r="229" spans="1:4" ht="15" customHeight="1">
      <c r="A229" s="19" t="str">
        <f>$R$2&amp;".Commands.CHAX"</f>
        <v>FB_AI_BUF_S.Commands.CHAX</v>
      </c>
      <c r="B229" s="11">
        <v>7999</v>
      </c>
      <c r="C229" s="11" t="s">
        <v>0</v>
      </c>
      <c r="D229" s="20" t="str">
        <f>"#"&amp;$T$5&amp;"#"&amp;$T$2&amp;"\"&amp;$P$2&amp;"\CHAX"</f>
        <v>#1#treiOPCDA.CoOPCserv.1\pcmaster\TT_VOS\CHAX</v>
      </c>
    </row>
    <row r="230" spans="1:4" ht="15" customHeight="1">
      <c r="A230" s="19" t="str">
        <f>$R$2&amp;".Commands.CHAX"</f>
        <v>FB_AI_BUF_S.Commands.CHAX</v>
      </c>
      <c r="B230" s="11">
        <v>7998</v>
      </c>
      <c r="C230" s="11" t="s">
        <v>6</v>
      </c>
      <c r="D230" s="20">
        <v>2</v>
      </c>
    </row>
    <row r="231" spans="1:4" ht="15" customHeight="1">
      <c r="A231" s="21" t="str">
        <f>$R$2&amp;".Commands.CHAX"</f>
        <v>FB_AI_BUF_S.Commands.CHAX</v>
      </c>
      <c r="B231" s="8">
        <v>1</v>
      </c>
      <c r="C231" s="8" t="s">
        <v>1</v>
      </c>
      <c r="D231" s="22">
        <v>11</v>
      </c>
    </row>
    <row r="232" spans="1:4" ht="15" customHeight="1">
      <c r="A232" s="19" t="str">
        <f>$R$2&amp;".Commands.CHWX"</f>
        <v>FB_AI_BUF_S.Commands.CHWX</v>
      </c>
      <c r="B232" s="11">
        <v>101</v>
      </c>
      <c r="C232" s="11" t="s">
        <v>0</v>
      </c>
      <c r="D232" s="20" t="s">
        <v>18</v>
      </c>
    </row>
    <row r="233" spans="1:4" ht="15" customHeight="1">
      <c r="A233" s="19" t="str">
        <f>$R$2&amp;".Commands.CHWX"</f>
        <v>FB_AI_BUF_S.Commands.CHWX</v>
      </c>
      <c r="B233" s="11">
        <v>7999</v>
      </c>
      <c r="C233" s="11" t="s">
        <v>0</v>
      </c>
      <c r="D233" s="20" t="str">
        <f>"#"&amp;$T$5&amp;"#"&amp;$T$2&amp;"\"&amp;$P$2&amp;"\CHWX"</f>
        <v>#1#treiOPCDA.CoOPCserv.1\pcmaster\TT_VOS\CHWX</v>
      </c>
    </row>
    <row r="234" spans="1:4" ht="15" customHeight="1">
      <c r="A234" s="19" t="str">
        <f>$R$2&amp;".Commands.CHWX"</f>
        <v>FB_AI_BUF_S.Commands.CHWX</v>
      </c>
      <c r="B234" s="11">
        <v>7998</v>
      </c>
      <c r="C234" s="11" t="s">
        <v>6</v>
      </c>
      <c r="D234" s="20">
        <v>2</v>
      </c>
    </row>
    <row r="235" spans="1:4" ht="15" customHeight="1">
      <c r="A235" s="21" t="str">
        <f>$R$2&amp;".Commands.CHWX"</f>
        <v>FB_AI_BUF_S.Commands.CHWX</v>
      </c>
      <c r="B235" s="8">
        <v>1</v>
      </c>
      <c r="C235" s="8" t="s">
        <v>1</v>
      </c>
      <c r="D235" s="22">
        <v>11</v>
      </c>
    </row>
    <row r="236" spans="1:4" s="4" customFormat="1" ht="15" customHeight="1">
      <c r="A236" s="19" t="str">
        <f>$R$2&amp;".Commands.CIMX"</f>
        <v>FB_AI_BUF_S.Commands.CIMX</v>
      </c>
      <c r="B236" s="11">
        <v>101</v>
      </c>
      <c r="C236" s="11" t="s">
        <v>0</v>
      </c>
      <c r="D236" s="20" t="s">
        <v>1314</v>
      </c>
    </row>
    <row r="237" spans="1:4" ht="15" customHeight="1">
      <c r="A237" s="19" t="str">
        <f>$R$2&amp;".Commands.CIMX"</f>
        <v>FB_AI_BUF_S.Commands.CIMX</v>
      </c>
      <c r="B237" s="11">
        <v>7999</v>
      </c>
      <c r="C237" s="11" t="s">
        <v>0</v>
      </c>
      <c r="D237" s="20" t="str">
        <f>"#"&amp;$T$5&amp;"#"&amp;$T$2&amp;"\"&amp;$P$2&amp;"\CIMX"</f>
        <v>#1#treiOPCDA.CoOPCserv.1\pcmaster\TT_VOS\CIMX</v>
      </c>
    </row>
    <row r="238" spans="1:4" ht="15" customHeight="1">
      <c r="A238" s="19" t="str">
        <f>$R$2&amp;".Commands.CIMX"</f>
        <v>FB_AI_BUF_S.Commands.CIMX</v>
      </c>
      <c r="B238" s="11">
        <v>7998</v>
      </c>
      <c r="C238" s="11" t="s">
        <v>6</v>
      </c>
      <c r="D238" s="20">
        <v>2</v>
      </c>
    </row>
    <row r="239" spans="1:4" s="4" customFormat="1" ht="15" customHeight="1">
      <c r="A239" s="21" t="str">
        <f>$R$2&amp;".Commands.CIMX"</f>
        <v>FB_AI_BUF_S.Commands.CIMX</v>
      </c>
      <c r="B239" s="8">
        <v>1</v>
      </c>
      <c r="C239" s="8" t="s">
        <v>1</v>
      </c>
      <c r="D239" s="22">
        <v>11</v>
      </c>
    </row>
    <row r="240" spans="1:4" ht="15" customHeight="1">
      <c r="A240" s="16" t="str">
        <f>$R$2&amp;".Commands.CLAX"</f>
        <v>FB_AI_BUF_S.Commands.CLAX</v>
      </c>
      <c r="B240" s="17">
        <v>101</v>
      </c>
      <c r="C240" s="17" t="s">
        <v>0</v>
      </c>
      <c r="D240" s="18" t="s">
        <v>20</v>
      </c>
    </row>
    <row r="241" spans="1:4" ht="15" customHeight="1">
      <c r="A241" s="19" t="str">
        <f>$R$2&amp;".Commands.CLAX"</f>
        <v>FB_AI_BUF_S.Commands.CLAX</v>
      </c>
      <c r="B241" s="11">
        <v>7999</v>
      </c>
      <c r="C241" s="11" t="s">
        <v>0</v>
      </c>
      <c r="D241" s="20" t="str">
        <f>"#"&amp;$T$5&amp;"#"&amp;$T$2&amp;"\"&amp;$P$2&amp;"\CLAX"</f>
        <v>#1#treiOPCDA.CoOPCserv.1\pcmaster\TT_VOS\CLAX</v>
      </c>
    </row>
    <row r="242" spans="1:4" ht="15" customHeight="1">
      <c r="A242" s="19" t="str">
        <f>$R$2&amp;".Commands.CLAX"</f>
        <v>FB_AI_BUF_S.Commands.CLAX</v>
      </c>
      <c r="B242" s="11">
        <v>7998</v>
      </c>
      <c r="C242" s="11" t="s">
        <v>6</v>
      </c>
      <c r="D242" s="20">
        <v>2</v>
      </c>
    </row>
    <row r="243" spans="1:4" s="4" customFormat="1" ht="15" customHeight="1">
      <c r="A243" s="21" t="str">
        <f>$R$2&amp;".Commands.CLAX"</f>
        <v>FB_AI_BUF_S.Commands.CLAX</v>
      </c>
      <c r="B243" s="8">
        <v>1</v>
      </c>
      <c r="C243" s="8" t="s">
        <v>1</v>
      </c>
      <c r="D243" s="22">
        <v>11</v>
      </c>
    </row>
    <row r="244" spans="1:4" ht="15" customHeight="1">
      <c r="A244" s="19" t="str">
        <f>$R$2&amp;".Commands.CLWX"</f>
        <v>FB_AI_BUF_S.Commands.CLWX</v>
      </c>
      <c r="B244" s="11">
        <v>101</v>
      </c>
      <c r="C244" s="11" t="s">
        <v>0</v>
      </c>
      <c r="D244" s="20" t="s">
        <v>21</v>
      </c>
    </row>
    <row r="245" spans="1:4" ht="15" customHeight="1">
      <c r="A245" s="19" t="str">
        <f>$R$2&amp;".Commands.CLWX"</f>
        <v>FB_AI_BUF_S.Commands.CLWX</v>
      </c>
      <c r="B245" s="11">
        <v>7999</v>
      </c>
      <c r="C245" s="11" t="s">
        <v>0</v>
      </c>
      <c r="D245" s="20" t="str">
        <f>"#"&amp;$T$5&amp;"#"&amp;$T$2&amp;"\"&amp;$P$2&amp;"\CLWX"</f>
        <v>#1#treiOPCDA.CoOPCserv.1\pcmaster\TT_VOS\CLWX</v>
      </c>
    </row>
    <row r="246" spans="1:4" ht="15" customHeight="1">
      <c r="A246" s="19" t="str">
        <f>$R$2&amp;".Commands.CLWX"</f>
        <v>FB_AI_BUF_S.Commands.CLWX</v>
      </c>
      <c r="B246" s="11">
        <v>7998</v>
      </c>
      <c r="C246" s="11" t="s">
        <v>6</v>
      </c>
      <c r="D246" s="20">
        <v>2</v>
      </c>
    </row>
    <row r="247" spans="1:4" s="4" customFormat="1" ht="15" customHeight="1">
      <c r="A247" s="21" t="str">
        <f>$R$2&amp;".Commands.CLWX"</f>
        <v>FB_AI_BUF_S.Commands.CLWX</v>
      </c>
      <c r="B247" s="8">
        <v>1</v>
      </c>
      <c r="C247" s="8" t="s">
        <v>1</v>
      </c>
      <c r="D247" s="22">
        <v>11</v>
      </c>
    </row>
    <row r="248" spans="1:4" ht="15" customHeight="1">
      <c r="A248" s="19" t="str">
        <f>$R$2&amp;".Commands.CRPX"</f>
        <v>FB_AI_BUF_S.Commands.CRPX</v>
      </c>
      <c r="B248" s="11">
        <v>101</v>
      </c>
      <c r="C248" s="11" t="s">
        <v>0</v>
      </c>
      <c r="D248" s="20" t="s">
        <v>90</v>
      </c>
    </row>
    <row r="249" spans="1:4" ht="15" customHeight="1">
      <c r="A249" s="19" t="str">
        <f>$R$2&amp;".Commands.CRPX"</f>
        <v>FB_AI_BUF_S.Commands.CRPX</v>
      </c>
      <c r="B249" s="11">
        <v>7999</v>
      </c>
      <c r="C249" s="11" t="s">
        <v>0</v>
      </c>
      <c r="D249" s="20" t="str">
        <f>"#"&amp;$T$5&amp;"#"&amp;$T$2&amp;"\"&amp;$P$2&amp;"\CRPX"</f>
        <v>#1#treiOPCDA.CoOPCserv.1\pcmaster\TT_VOS\CRPX</v>
      </c>
    </row>
    <row r="250" spans="1:4" ht="15" customHeight="1">
      <c r="A250" s="19" t="str">
        <f>$R$2&amp;".Commands.CRPX"</f>
        <v>FB_AI_BUF_S.Commands.CRPX</v>
      </c>
      <c r="B250" s="11">
        <v>7998</v>
      </c>
      <c r="C250" s="11" t="s">
        <v>6</v>
      </c>
      <c r="D250" s="20">
        <v>2</v>
      </c>
    </row>
    <row r="251" spans="1:4" s="4" customFormat="1" ht="15" customHeight="1">
      <c r="A251" s="19" t="str">
        <f>$R$2&amp;".Commands.CRPX"</f>
        <v>FB_AI_BUF_S.Commands.CRPX</v>
      </c>
      <c r="B251" s="11">
        <v>1</v>
      </c>
      <c r="C251" s="11" t="s">
        <v>1</v>
      </c>
      <c r="D251" s="20">
        <v>11</v>
      </c>
    </row>
    <row r="252" spans="1:4" ht="15" customHeight="1">
      <c r="A252" s="16" t="str">
        <f>$R$2&amp;".Commands.CZCX"</f>
        <v>FB_AI_BUF_S.Commands.CZCX</v>
      </c>
      <c r="B252" s="17">
        <v>101</v>
      </c>
      <c r="C252" s="17" t="s">
        <v>0</v>
      </c>
      <c r="D252" s="18" t="s">
        <v>22</v>
      </c>
    </row>
    <row r="253" spans="1:4" ht="15" customHeight="1">
      <c r="A253" s="19" t="str">
        <f>$R$2&amp;".Commands.CZCX"</f>
        <v>FB_AI_BUF_S.Commands.CZCX</v>
      </c>
      <c r="B253" s="11">
        <v>7999</v>
      </c>
      <c r="C253" s="11" t="s">
        <v>0</v>
      </c>
      <c r="D253" s="20" t="str">
        <f>"#"&amp;$T$5&amp;"#"&amp;$T$2&amp;"\"&amp;$P$2&amp;"\CZCX"</f>
        <v>#1#treiOPCDA.CoOPCserv.1\pcmaster\TT_VOS\CZCX</v>
      </c>
    </row>
    <row r="254" spans="1:4" ht="15" customHeight="1">
      <c r="A254" s="19" t="str">
        <f>$R$2&amp;".Commands.CZCX"</f>
        <v>FB_AI_BUF_S.Commands.CZCX</v>
      </c>
      <c r="B254" s="11">
        <v>7998</v>
      </c>
      <c r="C254" s="11" t="s">
        <v>6</v>
      </c>
      <c r="D254" s="20">
        <v>2</v>
      </c>
    </row>
    <row r="255" spans="1:4" s="4" customFormat="1" ht="15" customHeight="1">
      <c r="A255" s="21" t="str">
        <f>$R$2&amp;".Commands.CZCX"</f>
        <v>FB_AI_BUF_S.Commands.CZCX</v>
      </c>
      <c r="B255" s="8">
        <v>1</v>
      </c>
      <c r="C255" s="8" t="s">
        <v>1</v>
      </c>
      <c r="D255" s="22">
        <v>11</v>
      </c>
    </row>
    <row r="256" spans="1:4" ht="15" customHeight="1">
      <c r="A256" s="16" t="str">
        <f>$R$2&amp;".Commands.CRST"</f>
        <v>FB_AI_BUF_S.Commands.CRST</v>
      </c>
      <c r="B256" s="17">
        <v>101</v>
      </c>
      <c r="C256" s="17" t="s">
        <v>0</v>
      </c>
      <c r="D256" s="18" t="s">
        <v>114</v>
      </c>
    </row>
    <row r="257" spans="1:4" ht="15" customHeight="1">
      <c r="A257" s="19" t="str">
        <f>$R$2&amp;".Commands.CRST"</f>
        <v>FB_AI_BUF_S.Commands.CRST</v>
      </c>
      <c r="B257" s="11">
        <v>7999</v>
      </c>
      <c r="C257" s="11" t="s">
        <v>0</v>
      </c>
      <c r="D257" s="20" t="str">
        <f>"#"&amp;$T$5&amp;"#"&amp;$T$2&amp;"\"&amp;$P$2&amp;"\CRST"</f>
        <v>#1#treiOPCDA.CoOPCserv.1\pcmaster\TT_VOS\CRST</v>
      </c>
    </row>
    <row r="258" spans="1:4" ht="15" customHeight="1">
      <c r="A258" s="19" t="str">
        <f>$R$2&amp;".Commands.CRST"</f>
        <v>FB_AI_BUF_S.Commands.CRST</v>
      </c>
      <c r="B258" s="11">
        <v>7998</v>
      </c>
      <c r="C258" s="11" t="s">
        <v>6</v>
      </c>
      <c r="D258" s="20">
        <v>2</v>
      </c>
    </row>
    <row r="259" spans="1:4" s="4" customFormat="1" ht="15" customHeight="1">
      <c r="A259" s="21" t="str">
        <f>$R$2&amp;".Commands.CRST"</f>
        <v>FB_AI_BUF_S.Commands.CRST</v>
      </c>
      <c r="B259" s="8">
        <v>1</v>
      </c>
      <c r="C259" s="8" t="s">
        <v>1</v>
      </c>
      <c r="D259" s="22">
        <v>11</v>
      </c>
    </row>
    <row r="260" spans="1:4" ht="15" customHeight="1">
      <c r="A260" s="266" t="str">
        <f>$R$2&amp;".Commands.STSX"</f>
        <v>FB_AI_BUF_S.Commands.STSX</v>
      </c>
      <c r="B260" s="267">
        <v>101</v>
      </c>
      <c r="C260" s="267" t="s">
        <v>0</v>
      </c>
      <c r="D260" s="268" t="s">
        <v>34</v>
      </c>
    </row>
    <row r="261" spans="1:4" ht="15" customHeight="1">
      <c r="A261" s="269" t="str">
        <f>$R$2&amp;".Commands.STSX"</f>
        <v>FB_AI_BUF_S.Commands.STSX</v>
      </c>
      <c r="B261" s="270">
        <v>7999</v>
      </c>
      <c r="C261" s="270" t="s">
        <v>0</v>
      </c>
      <c r="D261" s="271" t="str">
        <f>"#"&amp;$T$5&amp;"#"&amp;$T$2&amp;"\"&amp;$P$2&amp;"\STSX"</f>
        <v>#1#treiOPCDA.CoOPCserv.1\pcmaster\TT_VOS\STSX</v>
      </c>
    </row>
    <row r="262" spans="1:4" ht="15" customHeight="1">
      <c r="A262" s="269" t="str">
        <f>$R$2&amp;".Commands.STSX"</f>
        <v>FB_AI_BUF_S.Commands.STSX</v>
      </c>
      <c r="B262" s="270">
        <v>7998</v>
      </c>
      <c r="C262" s="270" t="s">
        <v>6</v>
      </c>
      <c r="D262" s="271">
        <v>2</v>
      </c>
    </row>
    <row r="263" spans="1:4" s="4" customFormat="1" ht="15" customHeight="1">
      <c r="A263" s="272" t="str">
        <f>$R$2&amp;".Commands.STSX"</f>
        <v>FB_AI_BUF_S.Commands.STSX</v>
      </c>
      <c r="B263" s="273">
        <v>1</v>
      </c>
      <c r="C263" s="273" t="s">
        <v>1</v>
      </c>
      <c r="D263" s="274">
        <v>3</v>
      </c>
    </row>
    <row r="264" spans="1:4" ht="15" customHeight="1">
      <c r="A264" s="266" t="str">
        <f>$R$2&amp;".Commands.SFTX"</f>
        <v>FB_AI_BUF_S.Commands.SFTX</v>
      </c>
      <c r="B264" s="267">
        <v>101</v>
      </c>
      <c r="C264" s="267" t="s">
        <v>0</v>
      </c>
      <c r="D264" s="268" t="s">
        <v>25</v>
      </c>
    </row>
    <row r="265" spans="1:4" ht="15" customHeight="1">
      <c r="A265" s="269" t="str">
        <f>$R$2&amp;".Commands.SFTX"</f>
        <v>FB_AI_BUF_S.Commands.SFTX</v>
      </c>
      <c r="B265" s="270">
        <v>7999</v>
      </c>
      <c r="C265" s="270" t="s">
        <v>0</v>
      </c>
      <c r="D265" s="271" t="str">
        <f>"#"&amp;$T$5&amp;"#"&amp;$T$2&amp;"\"&amp;$P$2&amp;"\SFTX"</f>
        <v>#1#treiOPCDA.CoOPCserv.1\pcmaster\TT_VOS\SFTX</v>
      </c>
    </row>
    <row r="266" spans="1:4" ht="15" customHeight="1">
      <c r="A266" s="269" t="str">
        <f>$R$2&amp;".Commands.SFTX"</f>
        <v>FB_AI_BUF_S.Commands.SFTX</v>
      </c>
      <c r="B266" s="270">
        <v>7998</v>
      </c>
      <c r="C266" s="270" t="s">
        <v>6</v>
      </c>
      <c r="D266" s="271">
        <v>2</v>
      </c>
    </row>
    <row r="267" spans="1:4" s="4" customFormat="1" ht="15" customHeight="1">
      <c r="A267" s="272" t="str">
        <f>$R$2&amp;".Commands.SFTX"</f>
        <v>FB_AI_BUF_S.Commands.SFTX</v>
      </c>
      <c r="B267" s="273">
        <v>1</v>
      </c>
      <c r="C267" s="273" t="s">
        <v>1</v>
      </c>
      <c r="D267" s="274">
        <v>3</v>
      </c>
    </row>
    <row r="268" spans="1:4" ht="15" customHeight="1">
      <c r="A268" s="275" t="str">
        <f>$R$2&amp;".Commands.SHVX"</f>
        <v>FB_AI_BUF_S.Commands.SHVX</v>
      </c>
      <c r="B268" s="276">
        <v>101</v>
      </c>
      <c r="C268" s="276" t="s">
        <v>0</v>
      </c>
      <c r="D268" s="277" t="s">
        <v>44</v>
      </c>
    </row>
    <row r="269" spans="1:4" ht="15" customHeight="1">
      <c r="A269" s="278" t="str">
        <f>$R$2&amp;".Commands.SHVX"</f>
        <v>FB_AI_BUF_S.Commands.SHVX</v>
      </c>
      <c r="B269" s="279">
        <v>7999</v>
      </c>
      <c r="C269" s="279" t="s">
        <v>0</v>
      </c>
      <c r="D269" s="280" t="str">
        <f>"#"&amp;$T$5&amp;"#"&amp;$T$2&amp;"\"&amp;$P$2&amp;"\SHVX"</f>
        <v>#1#treiOPCDA.CoOPCserv.1\pcmaster\TT_VOS\SHVX</v>
      </c>
    </row>
    <row r="270" spans="1:4" ht="15" customHeight="1">
      <c r="A270" s="278" t="str">
        <f>$R$2&amp;".Commands.SHVX"</f>
        <v>FB_AI_BUF_S.Commands.SHVX</v>
      </c>
      <c r="B270" s="279">
        <v>7998</v>
      </c>
      <c r="C270" s="279" t="s">
        <v>6</v>
      </c>
      <c r="D270" s="280">
        <v>2</v>
      </c>
    </row>
    <row r="271" spans="1:4" s="4" customFormat="1" ht="15" customHeight="1">
      <c r="A271" s="281" t="str">
        <f>$R$2&amp;".Commands.SHVX"</f>
        <v>FB_AI_BUF_S.Commands.SHVX</v>
      </c>
      <c r="B271" s="282">
        <v>1</v>
      </c>
      <c r="C271" s="282" t="s">
        <v>1</v>
      </c>
      <c r="D271" s="283">
        <v>4</v>
      </c>
    </row>
    <row r="272" spans="1:4" ht="15" customHeight="1">
      <c r="A272" s="275" t="str">
        <f>$R$2&amp;".Commands.SLVX"</f>
        <v>FB_AI_BUF_S.Commands.SLVX</v>
      </c>
      <c r="B272" s="276">
        <v>101</v>
      </c>
      <c r="C272" s="276" t="s">
        <v>0</v>
      </c>
      <c r="D272" s="277" t="s">
        <v>45</v>
      </c>
    </row>
    <row r="273" spans="1:4" ht="15" customHeight="1">
      <c r="A273" s="278" t="str">
        <f>$R$2&amp;".Commands.SLVX"</f>
        <v>FB_AI_BUF_S.Commands.SLVX</v>
      </c>
      <c r="B273" s="279">
        <v>7999</v>
      </c>
      <c r="C273" s="279" t="s">
        <v>0</v>
      </c>
      <c r="D273" s="280" t="str">
        <f>"#"&amp;$T$5&amp;"#"&amp;$T$2&amp;"\"&amp;$P$2&amp;"\SLVX"</f>
        <v>#1#treiOPCDA.CoOPCserv.1\pcmaster\TT_VOS\SLVX</v>
      </c>
    </row>
    <row r="274" spans="1:4" ht="15" customHeight="1">
      <c r="A274" s="278" t="str">
        <f>$R$2&amp;".Commands.SLVX"</f>
        <v>FB_AI_BUF_S.Commands.SLVX</v>
      </c>
      <c r="B274" s="279">
        <v>7998</v>
      </c>
      <c r="C274" s="279" t="s">
        <v>6</v>
      </c>
      <c r="D274" s="280">
        <v>2</v>
      </c>
    </row>
    <row r="275" spans="1:4" ht="15" customHeight="1">
      <c r="A275" s="281" t="str">
        <f>$R$2&amp;".Commands.SLVX"</f>
        <v>FB_AI_BUF_S.Commands.SLVX</v>
      </c>
      <c r="B275" s="282">
        <v>1</v>
      </c>
      <c r="C275" s="282" t="s">
        <v>1</v>
      </c>
      <c r="D275" s="283">
        <v>4</v>
      </c>
    </row>
    <row r="276" spans="1:4" ht="15" customHeight="1">
      <c r="A276" s="278" t="str">
        <f>$R$2&amp;".Commands.SDBX"</f>
        <v>FB_AI_BUF_S.Commands.SDBX</v>
      </c>
      <c r="B276" s="279">
        <v>101</v>
      </c>
      <c r="C276" s="279" t="s">
        <v>0</v>
      </c>
      <c r="D276" s="280" t="s">
        <v>23</v>
      </c>
    </row>
    <row r="277" spans="1:4" ht="15" customHeight="1">
      <c r="A277" s="278" t="str">
        <f>$R$2&amp;".Commands.SDBX"</f>
        <v>FB_AI_BUF_S.Commands.SDBX</v>
      </c>
      <c r="B277" s="279">
        <v>7999</v>
      </c>
      <c r="C277" s="279" t="s">
        <v>0</v>
      </c>
      <c r="D277" s="280" t="str">
        <f>"#"&amp;$T$5&amp;"#"&amp;$T$2&amp;"\"&amp;$P$2&amp;"\SDBX"</f>
        <v>#1#treiOPCDA.CoOPCserv.1\pcmaster\TT_VOS\SDBX</v>
      </c>
    </row>
    <row r="278" spans="1:4" ht="15" customHeight="1">
      <c r="A278" s="278" t="str">
        <f>$R$2&amp;".Commands.SDBX"</f>
        <v>FB_AI_BUF_S.Commands.SDBX</v>
      </c>
      <c r="B278" s="279">
        <v>7998</v>
      </c>
      <c r="C278" s="279" t="s">
        <v>6</v>
      </c>
      <c r="D278" s="280">
        <v>2</v>
      </c>
    </row>
    <row r="279" spans="1:4" ht="15" customHeight="1">
      <c r="A279" s="278" t="str">
        <f>$R$2&amp;".Commands.SDBX"</f>
        <v>FB_AI_BUF_S.Commands.SDBX</v>
      </c>
      <c r="B279" s="279">
        <v>1</v>
      </c>
      <c r="C279" s="279" t="s">
        <v>1</v>
      </c>
      <c r="D279" s="280">
        <v>4</v>
      </c>
    </row>
    <row r="280" spans="1:4" ht="15" customHeight="1">
      <c r="A280" s="278" t="str">
        <f>$R$2&amp;".Commands.SDLX"</f>
        <v>FB_AI_BUF_S.Commands.SDLX</v>
      </c>
      <c r="B280" s="279">
        <v>101</v>
      </c>
      <c r="C280" s="279" t="s">
        <v>0</v>
      </c>
      <c r="D280" s="280" t="s">
        <v>24</v>
      </c>
    </row>
    <row r="281" spans="1:4" ht="15" customHeight="1">
      <c r="A281" s="278" t="str">
        <f>$R$2&amp;".Commands.SDLX"</f>
        <v>FB_AI_BUF_S.Commands.SDLX</v>
      </c>
      <c r="B281" s="279">
        <v>7999</v>
      </c>
      <c r="C281" s="279" t="s">
        <v>0</v>
      </c>
      <c r="D281" s="280" t="str">
        <f>"#"&amp;$T$5&amp;"#"&amp;$T$2&amp;"\"&amp;$P$2&amp;"\SDLX"</f>
        <v>#1#treiOPCDA.CoOPCserv.1\pcmaster\TT_VOS\SDLX</v>
      </c>
    </row>
    <row r="282" spans="1:4" ht="15" customHeight="1">
      <c r="A282" s="278" t="str">
        <f>$R$2&amp;".Commands.SDLX"</f>
        <v>FB_AI_BUF_S.Commands.SDLX</v>
      </c>
      <c r="B282" s="279">
        <v>7998</v>
      </c>
      <c r="C282" s="279" t="s">
        <v>6</v>
      </c>
      <c r="D282" s="280">
        <v>2</v>
      </c>
    </row>
    <row r="283" spans="1:4" ht="15" customHeight="1">
      <c r="A283" s="281" t="str">
        <f>$R$2&amp;".Commands.SDLX"</f>
        <v>FB_AI_BUF_S.Commands.SDLX</v>
      </c>
      <c r="B283" s="282">
        <v>1</v>
      </c>
      <c r="C283" s="282" t="s">
        <v>1</v>
      </c>
      <c r="D283" s="283">
        <v>4</v>
      </c>
    </row>
    <row r="284" spans="1:4" ht="15" customHeight="1">
      <c r="A284" s="278" t="str">
        <f>$R$2&amp;".Commands.SHAX"</f>
        <v>FB_AI_BUF_S.Commands.SHAX</v>
      </c>
      <c r="B284" s="279">
        <v>101</v>
      </c>
      <c r="C284" s="279" t="s">
        <v>0</v>
      </c>
      <c r="D284" s="280" t="s">
        <v>26</v>
      </c>
    </row>
    <row r="285" spans="1:4" ht="15" customHeight="1">
      <c r="A285" s="278" t="str">
        <f>$R$2&amp;".Commands.SHAX"</f>
        <v>FB_AI_BUF_S.Commands.SHAX</v>
      </c>
      <c r="B285" s="279">
        <v>7999</v>
      </c>
      <c r="C285" s="279" t="s">
        <v>0</v>
      </c>
      <c r="D285" s="280" t="str">
        <f>"#"&amp;$T$5&amp;"#"&amp;$T$2&amp;"\"&amp;$P$2&amp;"\SHAX"</f>
        <v>#1#treiOPCDA.CoOPCserv.1\pcmaster\TT_VOS\SHAX</v>
      </c>
    </row>
    <row r="286" spans="1:4" ht="15" customHeight="1">
      <c r="A286" s="278" t="str">
        <f>$R$2&amp;".Commands.SHAX"</f>
        <v>FB_AI_BUF_S.Commands.SHAX</v>
      </c>
      <c r="B286" s="279">
        <v>7998</v>
      </c>
      <c r="C286" s="279" t="s">
        <v>6</v>
      </c>
      <c r="D286" s="280">
        <v>2</v>
      </c>
    </row>
    <row r="287" spans="1:4" ht="15" customHeight="1">
      <c r="A287" s="281" t="str">
        <f>$R$2&amp;".Commands.SHAX"</f>
        <v>FB_AI_BUF_S.Commands.SHAX</v>
      </c>
      <c r="B287" s="282">
        <v>1</v>
      </c>
      <c r="C287" s="282" t="s">
        <v>1</v>
      </c>
      <c r="D287" s="283">
        <v>4</v>
      </c>
    </row>
    <row r="288" spans="1:4" ht="15" customHeight="1">
      <c r="A288" s="278" t="str">
        <f>$R$2&amp;".Commands.SHSX"</f>
        <v>FB_AI_BUF_S.Commands.SHSX</v>
      </c>
      <c r="B288" s="279">
        <v>101</v>
      </c>
      <c r="C288" s="279" t="s">
        <v>0</v>
      </c>
      <c r="D288" s="280" t="s">
        <v>27</v>
      </c>
    </row>
    <row r="289" spans="1:4" ht="15" customHeight="1">
      <c r="A289" s="278" t="str">
        <f>$R$2&amp;".Commands.SHSX"</f>
        <v>FB_AI_BUF_S.Commands.SHSX</v>
      </c>
      <c r="B289" s="279">
        <v>7999</v>
      </c>
      <c r="C289" s="279" t="s">
        <v>0</v>
      </c>
      <c r="D289" s="280" t="str">
        <f>"#"&amp;$T$5&amp;"#"&amp;$T$2&amp;"\"&amp;$P$2&amp;"\SHSX"</f>
        <v>#1#treiOPCDA.CoOPCserv.1\pcmaster\TT_VOS\SHSX</v>
      </c>
    </row>
    <row r="290" spans="1:4" ht="15" customHeight="1">
      <c r="A290" s="278" t="str">
        <f>$R$2&amp;".Commands.SHSX"</f>
        <v>FB_AI_BUF_S.Commands.SHSX</v>
      </c>
      <c r="B290" s="279">
        <v>7998</v>
      </c>
      <c r="C290" s="279" t="s">
        <v>6</v>
      </c>
      <c r="D290" s="280">
        <v>2</v>
      </c>
    </row>
    <row r="291" spans="1:4" ht="15" customHeight="1">
      <c r="A291" s="281" t="str">
        <f>$R$2&amp;".Commands.SHSX"</f>
        <v>FB_AI_BUF_S.Commands.SHSX</v>
      </c>
      <c r="B291" s="282">
        <v>1</v>
      </c>
      <c r="C291" s="282" t="s">
        <v>1</v>
      </c>
      <c r="D291" s="283">
        <v>4</v>
      </c>
    </row>
    <row r="292" spans="1:4" ht="15" customHeight="1">
      <c r="A292" s="278" t="str">
        <f>$R$2&amp;".Commands.SHWX"</f>
        <v>FB_AI_BUF_S.Commands.SHWX</v>
      </c>
      <c r="B292" s="279">
        <v>101</v>
      </c>
      <c r="C292" s="279" t="s">
        <v>0</v>
      </c>
      <c r="D292" s="280" t="s">
        <v>28</v>
      </c>
    </row>
    <row r="293" spans="1:4" ht="15" customHeight="1">
      <c r="A293" s="278" t="str">
        <f>$R$2&amp;".Commands.SHWX"</f>
        <v>FB_AI_BUF_S.Commands.SHWX</v>
      </c>
      <c r="B293" s="279">
        <v>7999</v>
      </c>
      <c r="C293" s="279" t="s">
        <v>0</v>
      </c>
      <c r="D293" s="280" t="str">
        <f>"#"&amp;$T$5&amp;"#"&amp;$T$2&amp;"\"&amp;$P$2&amp;"\SHWX"</f>
        <v>#1#treiOPCDA.CoOPCserv.1\pcmaster\TT_VOS\SHWX</v>
      </c>
    </row>
    <row r="294" spans="1:4" ht="15" customHeight="1">
      <c r="A294" s="278" t="str">
        <f>$R$2&amp;".Commands.SHWX"</f>
        <v>FB_AI_BUF_S.Commands.SHWX</v>
      </c>
      <c r="B294" s="279">
        <v>7998</v>
      </c>
      <c r="C294" s="279" t="s">
        <v>6</v>
      </c>
      <c r="D294" s="280">
        <v>2</v>
      </c>
    </row>
    <row r="295" spans="1:4" ht="15" customHeight="1">
      <c r="A295" s="281" t="str">
        <f>$R$2&amp;".Commands.SHWX"</f>
        <v>FB_AI_BUF_S.Commands.SHWX</v>
      </c>
      <c r="B295" s="282">
        <v>1</v>
      </c>
      <c r="C295" s="282" t="s">
        <v>1</v>
      </c>
      <c r="D295" s="283">
        <v>4</v>
      </c>
    </row>
    <row r="296" spans="1:4" ht="15" customHeight="1">
      <c r="A296" s="278" t="str">
        <f>$R$2&amp;".Commands.SIMX"</f>
        <v>FB_AI_BUF_S.Commands.SIMX</v>
      </c>
      <c r="B296" s="279">
        <v>101</v>
      </c>
      <c r="C296" s="279" t="s">
        <v>0</v>
      </c>
      <c r="D296" s="280" t="s">
        <v>1313</v>
      </c>
    </row>
    <row r="297" spans="1:4" ht="15" customHeight="1">
      <c r="A297" s="278" t="str">
        <f>$R$2&amp;".Commands.SIMX"</f>
        <v>FB_AI_BUF_S.Commands.SIMX</v>
      </c>
      <c r="B297" s="279">
        <v>7999</v>
      </c>
      <c r="C297" s="279" t="s">
        <v>0</v>
      </c>
      <c r="D297" s="280" t="str">
        <f>"#"&amp;$T$5&amp;"#"&amp;$T$2&amp;"\"&amp;$P$2&amp;"\SIMX"</f>
        <v>#1#treiOPCDA.CoOPCserv.1\pcmaster\TT_VOS\SIMX</v>
      </c>
    </row>
    <row r="298" spans="1:4" ht="15" customHeight="1">
      <c r="A298" s="278" t="str">
        <f>$R$2&amp;".Commands.SIMX"</f>
        <v>FB_AI_BUF_S.Commands.SIMX</v>
      </c>
      <c r="B298" s="279">
        <v>7998</v>
      </c>
      <c r="C298" s="279" t="s">
        <v>6</v>
      </c>
      <c r="D298" s="280">
        <v>2</v>
      </c>
    </row>
    <row r="299" spans="1:4" ht="15" customHeight="1">
      <c r="A299" s="281" t="str">
        <f>$R$2&amp;".Commands.SIMX"</f>
        <v>FB_AI_BUF_S.Commands.SIMX</v>
      </c>
      <c r="B299" s="282">
        <v>1</v>
      </c>
      <c r="C299" s="282" t="s">
        <v>1</v>
      </c>
      <c r="D299" s="283">
        <v>4</v>
      </c>
    </row>
    <row r="300" spans="1:4" ht="15" customHeight="1">
      <c r="A300" s="278" t="str">
        <f>$R$2&amp;".Commands.SLAX"</f>
        <v>FB_AI_BUF_S.Commands.SLAX</v>
      </c>
      <c r="B300" s="279">
        <v>101</v>
      </c>
      <c r="C300" s="279" t="s">
        <v>0</v>
      </c>
      <c r="D300" s="280" t="s">
        <v>30</v>
      </c>
    </row>
    <row r="301" spans="1:4" ht="15" customHeight="1">
      <c r="A301" s="278" t="str">
        <f>$R$2&amp;".Commands.SLAX"</f>
        <v>FB_AI_BUF_S.Commands.SLAX</v>
      </c>
      <c r="B301" s="279">
        <v>7999</v>
      </c>
      <c r="C301" s="279" t="s">
        <v>0</v>
      </c>
      <c r="D301" s="280" t="str">
        <f>"#"&amp;$T$5&amp;"#"&amp;$T$2&amp;"\"&amp;$P$2&amp;"\SLAX"</f>
        <v>#1#treiOPCDA.CoOPCserv.1\pcmaster\TT_VOS\SLAX</v>
      </c>
    </row>
    <row r="302" spans="1:4" ht="15" customHeight="1">
      <c r="A302" s="278" t="str">
        <f>$R$2&amp;".Commands.SLAX"</f>
        <v>FB_AI_BUF_S.Commands.SLAX</v>
      </c>
      <c r="B302" s="279">
        <v>7998</v>
      </c>
      <c r="C302" s="279" t="s">
        <v>6</v>
      </c>
      <c r="D302" s="280">
        <v>2</v>
      </c>
    </row>
    <row r="303" spans="1:4" ht="15" customHeight="1">
      <c r="A303" s="281" t="str">
        <f>$R$2&amp;".Commands.SLAX"</f>
        <v>FB_AI_BUF_S.Commands.SLAX</v>
      </c>
      <c r="B303" s="282">
        <v>1</v>
      </c>
      <c r="C303" s="282" t="s">
        <v>1</v>
      </c>
      <c r="D303" s="283">
        <v>4</v>
      </c>
    </row>
    <row r="304" spans="1:4" ht="15" customHeight="1">
      <c r="A304" s="278" t="str">
        <f>$R$2&amp;".Commands.SLSX"</f>
        <v>FB_AI_BUF_S.Commands.SLSX</v>
      </c>
      <c r="B304" s="279">
        <v>101</v>
      </c>
      <c r="C304" s="279" t="s">
        <v>0</v>
      </c>
      <c r="D304" s="280" t="s">
        <v>31</v>
      </c>
    </row>
    <row r="305" spans="1:4" ht="15" customHeight="1">
      <c r="A305" s="278" t="str">
        <f>$R$2&amp;".Commands.SLSX"</f>
        <v>FB_AI_BUF_S.Commands.SLSX</v>
      </c>
      <c r="B305" s="279">
        <v>7999</v>
      </c>
      <c r="C305" s="279" t="s">
        <v>0</v>
      </c>
      <c r="D305" s="280" t="str">
        <f>"#"&amp;$T$5&amp;"#"&amp;$T$2&amp;"\"&amp;$P$2&amp;"\SLSX"</f>
        <v>#1#treiOPCDA.CoOPCserv.1\pcmaster\TT_VOS\SLSX</v>
      </c>
    </row>
    <row r="306" spans="1:4" ht="15" customHeight="1">
      <c r="A306" s="278" t="str">
        <f>$R$2&amp;".Commands.SLSX"</f>
        <v>FB_AI_BUF_S.Commands.SLSX</v>
      </c>
      <c r="B306" s="279">
        <v>7998</v>
      </c>
      <c r="C306" s="279" t="s">
        <v>6</v>
      </c>
      <c r="D306" s="280">
        <v>2</v>
      </c>
    </row>
    <row r="307" spans="1:4" ht="15" customHeight="1">
      <c r="A307" s="281" t="str">
        <f>$R$2&amp;".Commands.SLSX"</f>
        <v>FB_AI_BUF_S.Commands.SLSX</v>
      </c>
      <c r="B307" s="282">
        <v>1</v>
      </c>
      <c r="C307" s="282" t="s">
        <v>1</v>
      </c>
      <c r="D307" s="283">
        <v>4</v>
      </c>
    </row>
    <row r="308" spans="1:4" ht="15" customHeight="1">
      <c r="A308" s="278" t="str">
        <f>$R$2&amp;".Commands.SLWX"</f>
        <v>FB_AI_BUF_S.Commands.SLWX</v>
      </c>
      <c r="B308" s="279">
        <v>101</v>
      </c>
      <c r="C308" s="279" t="s">
        <v>0</v>
      </c>
      <c r="D308" s="280" t="s">
        <v>32</v>
      </c>
    </row>
    <row r="309" spans="1:4" ht="15" customHeight="1">
      <c r="A309" s="278" t="str">
        <f>$R$2&amp;".Commands.SLWX"</f>
        <v>FB_AI_BUF_S.Commands.SLWX</v>
      </c>
      <c r="B309" s="279">
        <v>7999</v>
      </c>
      <c r="C309" s="279" t="s">
        <v>0</v>
      </c>
      <c r="D309" s="280" t="str">
        <f>"#"&amp;$T$5&amp;"#"&amp;$T$2&amp;"\"&amp;$P$2&amp;"\SLWX"</f>
        <v>#1#treiOPCDA.CoOPCserv.1\pcmaster\TT_VOS\SLWX</v>
      </c>
    </row>
    <row r="310" spans="1:4" ht="15" customHeight="1">
      <c r="A310" s="278" t="str">
        <f>$R$2&amp;".Commands.SLWX"</f>
        <v>FB_AI_BUF_S.Commands.SLWX</v>
      </c>
      <c r="B310" s="279">
        <v>7998</v>
      </c>
      <c r="C310" s="279" t="s">
        <v>6</v>
      </c>
      <c r="D310" s="280">
        <v>2</v>
      </c>
    </row>
    <row r="311" spans="1:4" ht="15" customHeight="1">
      <c r="A311" s="281" t="str">
        <f>$R$2&amp;".Commands.SLWX"</f>
        <v>FB_AI_BUF_S.Commands.SLWX</v>
      </c>
      <c r="B311" s="282">
        <v>1</v>
      </c>
      <c r="C311" s="282" t="s">
        <v>1</v>
      </c>
      <c r="D311" s="283">
        <v>4</v>
      </c>
    </row>
    <row r="312" spans="1:4" ht="15" customHeight="1">
      <c r="A312" s="278" t="str">
        <f>$R$2&amp;".Commands.SSLX"</f>
        <v>FB_AI_BUF_S.Commands.SSLX</v>
      </c>
      <c r="B312" s="279">
        <v>101</v>
      </c>
      <c r="C312" s="279" t="s">
        <v>0</v>
      </c>
      <c r="D312" s="280" t="s">
        <v>33</v>
      </c>
    </row>
    <row r="313" spans="1:4" ht="15" customHeight="1">
      <c r="A313" s="278" t="str">
        <f>$R$2&amp;".Commands.SSLX"</f>
        <v>FB_AI_BUF_S.Commands.SSLX</v>
      </c>
      <c r="B313" s="279">
        <v>7999</v>
      </c>
      <c r="C313" s="279" t="s">
        <v>0</v>
      </c>
      <c r="D313" s="280" t="str">
        <f>"#"&amp;$T$5&amp;"#"&amp;$T$2&amp;"\"&amp;$P$2&amp;"\SSLX"</f>
        <v>#1#treiOPCDA.CoOPCserv.1\pcmaster\TT_VOS\SSLX</v>
      </c>
    </row>
    <row r="314" spans="1:4" ht="15" customHeight="1">
      <c r="A314" s="278" t="str">
        <f>$R$2&amp;".Commands.SSLX"</f>
        <v>FB_AI_BUF_S.Commands.SSLX</v>
      </c>
      <c r="B314" s="279">
        <v>7998</v>
      </c>
      <c r="C314" s="279" t="s">
        <v>6</v>
      </c>
      <c r="D314" s="280">
        <v>2</v>
      </c>
    </row>
    <row r="315" spans="1:4" ht="15" customHeight="1">
      <c r="A315" s="281" t="str">
        <f>$R$2&amp;".Commands.SSLX"</f>
        <v>FB_AI_BUF_S.Commands.SSLX</v>
      </c>
      <c r="B315" s="282">
        <v>1</v>
      </c>
      <c r="C315" s="282" t="s">
        <v>1</v>
      </c>
      <c r="D315" s="283">
        <v>4</v>
      </c>
    </row>
    <row r="316" spans="1:4" ht="15" customHeight="1">
      <c r="A316" s="278" t="str">
        <f>$R$2&amp;".Commands.SZCX"</f>
        <v>FB_AI_BUF_S.Commands.SZCX</v>
      </c>
      <c r="B316" s="279">
        <v>101</v>
      </c>
      <c r="C316" s="279" t="s">
        <v>0</v>
      </c>
      <c r="D316" s="280" t="s">
        <v>35</v>
      </c>
    </row>
    <row r="317" spans="1:4" ht="15" customHeight="1">
      <c r="A317" s="278" t="str">
        <f>$R$2&amp;".Commands.SZCX"</f>
        <v>FB_AI_BUF_S.Commands.SZCX</v>
      </c>
      <c r="B317" s="279">
        <v>7999</v>
      </c>
      <c r="C317" s="279" t="s">
        <v>0</v>
      </c>
      <c r="D317" s="280" t="str">
        <f>"#"&amp;$T$5&amp;"#"&amp;$T$2&amp;"\"&amp;$P$2&amp;"\SZCX"</f>
        <v>#1#treiOPCDA.CoOPCserv.1\pcmaster\TT_VOS\SZCX</v>
      </c>
    </row>
    <row r="318" spans="1:4" ht="15" customHeight="1">
      <c r="A318" s="278" t="str">
        <f>$R$2&amp;".Commands.SZCX"</f>
        <v>FB_AI_BUF_S.Commands.SZCX</v>
      </c>
      <c r="B318" s="279">
        <v>7998</v>
      </c>
      <c r="C318" s="279" t="s">
        <v>6</v>
      </c>
      <c r="D318" s="280">
        <v>2</v>
      </c>
    </row>
    <row r="319" spans="1:4" ht="15" customHeight="1">
      <c r="A319" s="281" t="str">
        <f>$R$2&amp;".Commands.SZCX"</f>
        <v>FB_AI_BUF_S.Commands.SZCX</v>
      </c>
      <c r="B319" s="282">
        <v>1</v>
      </c>
      <c r="C319" s="282" t="s">
        <v>1</v>
      </c>
      <c r="D319" s="283">
        <v>4</v>
      </c>
    </row>
    <row r="320" spans="1:4" ht="15" customHeight="1">
      <c r="A320" s="19" t="str">
        <f t="shared" ref="A320:A325" si="20">$R$2&amp;".CHAX"</f>
        <v>FB_AI_BUF_S.CHAX</v>
      </c>
      <c r="B320" s="11">
        <v>7999</v>
      </c>
      <c r="C320" s="11" t="s">
        <v>0</v>
      </c>
      <c r="D320" s="20" t="str">
        <f>"#"&amp;$S$2&amp;"#"&amp;$T$2&amp;"\"&amp;$P$2&amp;"\CHAX"</f>
        <v>#1#treiOPCDA.CoOPCserv.1\pcmaster\TT_VOS\CHAX</v>
      </c>
    </row>
    <row r="321" spans="1:4" ht="15" customHeight="1">
      <c r="A321" s="19" t="str">
        <f t="shared" si="20"/>
        <v>FB_AI_BUF_S.CHAX</v>
      </c>
      <c r="B321" s="11">
        <v>7998</v>
      </c>
      <c r="C321" s="11" t="s">
        <v>6</v>
      </c>
      <c r="D321" s="20">
        <v>1</v>
      </c>
    </row>
    <row r="322" spans="1:4" ht="15" customHeight="1">
      <c r="A322" s="19" t="str">
        <f t="shared" si="20"/>
        <v>FB_AI_BUF_S.CHAX</v>
      </c>
      <c r="B322" s="11">
        <v>101</v>
      </c>
      <c r="C322" s="11" t="s">
        <v>0</v>
      </c>
      <c r="D322" s="20" t="s">
        <v>12</v>
      </c>
    </row>
    <row r="323" spans="1:4" ht="15" customHeight="1">
      <c r="A323" s="19" t="str">
        <f t="shared" si="20"/>
        <v>FB_AI_BUF_S.CHAX</v>
      </c>
      <c r="B323" s="11">
        <v>3</v>
      </c>
      <c r="C323" s="11" t="s">
        <v>1</v>
      </c>
      <c r="D323" s="20">
        <v>192</v>
      </c>
    </row>
    <row r="324" spans="1:4" ht="15" customHeight="1">
      <c r="A324" s="19" t="str">
        <f t="shared" si="20"/>
        <v>FB_AI_BUF_S.CHAX</v>
      </c>
      <c r="B324" s="11">
        <v>2</v>
      </c>
      <c r="C324" s="11" t="s">
        <v>2</v>
      </c>
      <c r="D324" s="20" t="s">
        <v>3</v>
      </c>
    </row>
    <row r="325" spans="1:4" ht="15" customHeight="1">
      <c r="A325" s="21" t="str">
        <f t="shared" si="20"/>
        <v>FB_AI_BUF_S.CHAX</v>
      </c>
      <c r="B325" s="8">
        <v>1</v>
      </c>
      <c r="C325" s="8" t="s">
        <v>1</v>
      </c>
      <c r="D325" s="22">
        <v>11</v>
      </c>
    </row>
    <row r="326" spans="1:4" ht="15" customHeight="1">
      <c r="A326" s="19" t="str">
        <f t="shared" ref="A326:A331" si="21">$R$2&amp;".CHWX"</f>
        <v>FB_AI_BUF_S.CHWX</v>
      </c>
      <c r="B326" s="11">
        <v>7999</v>
      </c>
      <c r="C326" s="11" t="s">
        <v>0</v>
      </c>
      <c r="D326" s="20" t="str">
        <f>"#"&amp;$S$2&amp;"#"&amp;$T$2&amp;"\"&amp;$P$2&amp;"\CHWX"</f>
        <v>#1#treiOPCDA.CoOPCserv.1\pcmaster\TT_VOS\CHWX</v>
      </c>
    </row>
    <row r="327" spans="1:4" ht="15" customHeight="1">
      <c r="A327" s="19" t="str">
        <f t="shared" si="21"/>
        <v>FB_AI_BUF_S.CHWX</v>
      </c>
      <c r="B327" s="11">
        <v>7998</v>
      </c>
      <c r="C327" s="11" t="s">
        <v>6</v>
      </c>
      <c r="D327" s="20">
        <v>1</v>
      </c>
    </row>
    <row r="328" spans="1:4" ht="15" customHeight="1">
      <c r="A328" s="19" t="str">
        <f t="shared" si="21"/>
        <v>FB_AI_BUF_S.CHWX</v>
      </c>
      <c r="B328" s="11">
        <v>101</v>
      </c>
      <c r="C328" s="11" t="s">
        <v>0</v>
      </c>
      <c r="D328" s="20" t="s">
        <v>13</v>
      </c>
    </row>
    <row r="329" spans="1:4" ht="15" customHeight="1">
      <c r="A329" s="19" t="str">
        <f t="shared" si="21"/>
        <v>FB_AI_BUF_S.CHWX</v>
      </c>
      <c r="B329" s="11">
        <v>3</v>
      </c>
      <c r="C329" s="11" t="s">
        <v>1</v>
      </c>
      <c r="D329" s="20">
        <v>192</v>
      </c>
    </row>
    <row r="330" spans="1:4" ht="15" customHeight="1">
      <c r="A330" s="19" t="str">
        <f t="shared" si="21"/>
        <v>FB_AI_BUF_S.CHWX</v>
      </c>
      <c r="B330" s="11">
        <v>2</v>
      </c>
      <c r="C330" s="11" t="s">
        <v>2</v>
      </c>
      <c r="D330" s="20" t="s">
        <v>3</v>
      </c>
    </row>
    <row r="331" spans="1:4" ht="15" customHeight="1">
      <c r="A331" s="21" t="str">
        <f t="shared" si="21"/>
        <v>FB_AI_BUF_S.CHWX</v>
      </c>
      <c r="B331" s="8">
        <v>1</v>
      </c>
      <c r="C331" s="8" t="s">
        <v>1</v>
      </c>
      <c r="D331" s="22">
        <v>11</v>
      </c>
    </row>
    <row r="332" spans="1:4" ht="15" customHeight="1">
      <c r="A332" s="19" t="str">
        <f t="shared" ref="A332:A337" si="22">$R$2&amp;".CLAX"</f>
        <v>FB_AI_BUF_S.CLAX</v>
      </c>
      <c r="B332" s="11">
        <v>7999</v>
      </c>
      <c r="C332" s="11" t="s">
        <v>0</v>
      </c>
      <c r="D332" s="20" t="str">
        <f>"#"&amp;$S$2&amp;"#"&amp;$T$2&amp;"\"&amp;$P$2&amp;"\CLAX"</f>
        <v>#1#treiOPCDA.CoOPCserv.1\pcmaster\TT_VOS\CLAX</v>
      </c>
    </row>
    <row r="333" spans="1:4" ht="15" customHeight="1">
      <c r="A333" s="19" t="str">
        <f t="shared" si="22"/>
        <v>FB_AI_BUF_S.CLAX</v>
      </c>
      <c r="B333" s="11">
        <v>7998</v>
      </c>
      <c r="C333" s="11" t="s">
        <v>6</v>
      </c>
      <c r="D333" s="20">
        <v>1</v>
      </c>
    </row>
    <row r="334" spans="1:4" ht="15" customHeight="1">
      <c r="A334" s="19" t="str">
        <f t="shared" si="22"/>
        <v>FB_AI_BUF_S.CLAX</v>
      </c>
      <c r="B334" s="11">
        <v>101</v>
      </c>
      <c r="C334" s="11" t="s">
        <v>0</v>
      </c>
      <c r="D334" s="20" t="s">
        <v>14</v>
      </c>
    </row>
    <row r="335" spans="1:4" ht="15" customHeight="1">
      <c r="A335" s="19" t="str">
        <f t="shared" si="22"/>
        <v>FB_AI_BUF_S.CLAX</v>
      </c>
      <c r="B335" s="11">
        <v>3</v>
      </c>
      <c r="C335" s="11" t="s">
        <v>1</v>
      </c>
      <c r="D335" s="20">
        <v>192</v>
      </c>
    </row>
    <row r="336" spans="1:4" ht="15" customHeight="1">
      <c r="A336" s="19" t="str">
        <f t="shared" si="22"/>
        <v>FB_AI_BUF_S.CLAX</v>
      </c>
      <c r="B336" s="11">
        <v>2</v>
      </c>
      <c r="C336" s="11" t="s">
        <v>2</v>
      </c>
      <c r="D336" s="20" t="s">
        <v>3</v>
      </c>
    </row>
    <row r="337" spans="1:4" ht="15" customHeight="1">
      <c r="A337" s="21" t="str">
        <f t="shared" si="22"/>
        <v>FB_AI_BUF_S.CLAX</v>
      </c>
      <c r="B337" s="8">
        <v>1</v>
      </c>
      <c r="C337" s="8" t="s">
        <v>1</v>
      </c>
      <c r="D337" s="22">
        <v>11</v>
      </c>
    </row>
    <row r="338" spans="1:4" ht="15" customHeight="1">
      <c r="A338" s="19" t="str">
        <f t="shared" ref="A338:A343" si="23">$R$2&amp;".CLWX"</f>
        <v>FB_AI_BUF_S.CLWX</v>
      </c>
      <c r="B338" s="11">
        <v>7999</v>
      </c>
      <c r="C338" s="11" t="s">
        <v>0</v>
      </c>
      <c r="D338" s="20" t="str">
        <f>"#"&amp;$S$2&amp;"#"&amp;$T$2&amp;"\"&amp;$P$2&amp;"\CLWX"</f>
        <v>#1#treiOPCDA.CoOPCserv.1\pcmaster\TT_VOS\CLWX</v>
      </c>
    </row>
    <row r="339" spans="1:4" ht="15" customHeight="1">
      <c r="A339" s="19" t="str">
        <f t="shared" si="23"/>
        <v>FB_AI_BUF_S.CLWX</v>
      </c>
      <c r="B339" s="11">
        <v>7998</v>
      </c>
      <c r="C339" s="11" t="s">
        <v>6</v>
      </c>
      <c r="D339" s="20">
        <v>1</v>
      </c>
    </row>
    <row r="340" spans="1:4" ht="15" customHeight="1">
      <c r="A340" s="19" t="str">
        <f t="shared" si="23"/>
        <v>FB_AI_BUF_S.CLWX</v>
      </c>
      <c r="B340" s="11">
        <v>101</v>
      </c>
      <c r="C340" s="11" t="s">
        <v>0</v>
      </c>
      <c r="D340" s="20" t="s">
        <v>15</v>
      </c>
    </row>
    <row r="341" spans="1:4" ht="15" customHeight="1">
      <c r="A341" s="19" t="str">
        <f t="shared" si="23"/>
        <v>FB_AI_BUF_S.CLWX</v>
      </c>
      <c r="B341" s="11">
        <v>3</v>
      </c>
      <c r="C341" s="11" t="s">
        <v>1</v>
      </c>
      <c r="D341" s="20">
        <v>192</v>
      </c>
    </row>
    <row r="342" spans="1:4" ht="15" customHeight="1">
      <c r="A342" s="19" t="str">
        <f t="shared" si="23"/>
        <v>FB_AI_BUF_S.CLWX</v>
      </c>
      <c r="B342" s="11">
        <v>2</v>
      </c>
      <c r="C342" s="11" t="s">
        <v>2</v>
      </c>
      <c r="D342" s="20" t="s">
        <v>3</v>
      </c>
    </row>
    <row r="343" spans="1:4" ht="15" customHeight="1">
      <c r="A343" s="21" t="str">
        <f t="shared" si="23"/>
        <v>FB_AI_BUF_S.CLWX</v>
      </c>
      <c r="B343" s="8">
        <v>1</v>
      </c>
      <c r="C343" s="8" t="s">
        <v>1</v>
      </c>
      <c r="D343" s="22">
        <v>11</v>
      </c>
    </row>
    <row r="344" spans="1:4" ht="15" customHeight="1">
      <c r="A344" s="19" t="str">
        <f t="shared" ref="A344:A349" si="24">$R$2&amp;".CZCX"</f>
        <v>FB_AI_BUF_S.CZCX</v>
      </c>
      <c r="B344" s="11">
        <v>7999</v>
      </c>
      <c r="C344" s="11" t="s">
        <v>0</v>
      </c>
      <c r="D344" s="20" t="str">
        <f>"#"&amp;$S$2&amp;"#"&amp;$T$2&amp;"\"&amp;$P$2&amp;"\CZCX"</f>
        <v>#1#treiOPCDA.CoOPCserv.1\pcmaster\TT_VOS\CZCX</v>
      </c>
    </row>
    <row r="345" spans="1:4" ht="15" customHeight="1">
      <c r="A345" s="19" t="str">
        <f t="shared" si="24"/>
        <v>FB_AI_BUF_S.CZCX</v>
      </c>
      <c r="B345" s="11">
        <v>7998</v>
      </c>
      <c r="C345" s="11" t="s">
        <v>6</v>
      </c>
      <c r="D345" s="20">
        <v>1</v>
      </c>
    </row>
    <row r="346" spans="1:4" ht="15" customHeight="1">
      <c r="A346" s="19" t="str">
        <f t="shared" si="24"/>
        <v>FB_AI_BUF_S.CZCX</v>
      </c>
      <c r="B346" s="11">
        <v>101</v>
      </c>
      <c r="C346" s="11" t="s">
        <v>0</v>
      </c>
      <c r="D346" s="20" t="s">
        <v>22</v>
      </c>
    </row>
    <row r="347" spans="1:4" ht="15" customHeight="1">
      <c r="A347" s="19" t="str">
        <f t="shared" si="24"/>
        <v>FB_AI_BUF_S.CZCX</v>
      </c>
      <c r="B347" s="11">
        <v>3</v>
      </c>
      <c r="C347" s="11" t="s">
        <v>1</v>
      </c>
      <c r="D347" s="20">
        <v>192</v>
      </c>
    </row>
    <row r="348" spans="1:4" ht="15" customHeight="1">
      <c r="A348" s="19" t="str">
        <f t="shared" si="24"/>
        <v>FB_AI_BUF_S.CZCX</v>
      </c>
      <c r="B348" s="11">
        <v>2</v>
      </c>
      <c r="C348" s="11" t="s">
        <v>2</v>
      </c>
      <c r="D348" s="20" t="s">
        <v>3</v>
      </c>
    </row>
    <row r="349" spans="1:4" ht="15" customHeight="1">
      <c r="A349" s="21" t="str">
        <f t="shared" si="24"/>
        <v>FB_AI_BUF_S.CZCX</v>
      </c>
      <c r="B349" s="8">
        <v>1</v>
      </c>
      <c r="C349" s="8" t="s">
        <v>1</v>
      </c>
      <c r="D349" s="22">
        <v>11</v>
      </c>
    </row>
    <row r="350" spans="1:4" ht="15" customHeight="1">
      <c r="A350" s="19" t="str">
        <f t="shared" ref="A350:A355" si="25">$R$2&amp;".CRST"</f>
        <v>FB_AI_BUF_S.CRST</v>
      </c>
      <c r="B350" s="11">
        <v>7999</v>
      </c>
      <c r="C350" s="11" t="s">
        <v>0</v>
      </c>
      <c r="D350" s="20" t="str">
        <f>"#"&amp;$S$2&amp;"#"&amp;$T$2&amp;"\"&amp;$P$2&amp;"\CRST"</f>
        <v>#1#treiOPCDA.CoOPCserv.1\pcmaster\TT_VOS\CRST</v>
      </c>
    </row>
    <row r="351" spans="1:4" ht="15" customHeight="1">
      <c r="A351" s="19" t="str">
        <f t="shared" si="25"/>
        <v>FB_AI_BUF_S.CRST</v>
      </c>
      <c r="B351" s="11">
        <v>7998</v>
      </c>
      <c r="C351" s="11" t="s">
        <v>6</v>
      </c>
      <c r="D351" s="20">
        <v>1</v>
      </c>
    </row>
    <row r="352" spans="1:4" ht="15" customHeight="1">
      <c r="A352" s="19" t="str">
        <f t="shared" si="25"/>
        <v>FB_AI_BUF_S.CRST</v>
      </c>
      <c r="B352" s="11">
        <v>101</v>
      </c>
      <c r="C352" s="11" t="s">
        <v>0</v>
      </c>
      <c r="D352" s="20" t="s">
        <v>114</v>
      </c>
    </row>
    <row r="353" spans="1:20" ht="15" customHeight="1">
      <c r="A353" s="19" t="str">
        <f t="shared" si="25"/>
        <v>FB_AI_BUF_S.CRST</v>
      </c>
      <c r="B353" s="11">
        <v>3</v>
      </c>
      <c r="C353" s="11" t="s">
        <v>1</v>
      </c>
      <c r="D353" s="20">
        <v>192</v>
      </c>
      <c r="Q353" s="4"/>
      <c r="R353" s="4"/>
      <c r="S353" s="4"/>
      <c r="T353" s="4"/>
    </row>
    <row r="354" spans="1:20" ht="15" customHeight="1">
      <c r="A354" s="19" t="str">
        <f t="shared" si="25"/>
        <v>FB_AI_BUF_S.CRST</v>
      </c>
      <c r="B354" s="11">
        <v>2</v>
      </c>
      <c r="C354" s="11" t="s">
        <v>2</v>
      </c>
      <c r="D354" s="20" t="s">
        <v>3</v>
      </c>
      <c r="Q354" s="4"/>
      <c r="R354" s="4"/>
      <c r="S354" s="4"/>
      <c r="T354" s="4"/>
    </row>
    <row r="355" spans="1:20" ht="15" customHeight="1">
      <c r="A355" s="21" t="str">
        <f t="shared" si="25"/>
        <v>FB_AI_BUF_S.CRST</v>
      </c>
      <c r="B355" s="8">
        <v>1</v>
      </c>
      <c r="C355" s="8" t="s">
        <v>1</v>
      </c>
      <c r="D355" s="22">
        <v>11</v>
      </c>
      <c r="Q355" s="4"/>
      <c r="R355" s="4"/>
      <c r="S355" s="4"/>
      <c r="T355" s="4"/>
    </row>
    <row r="356" spans="1:20" ht="15" customHeight="1">
      <c r="A356" s="19" t="str">
        <f t="shared" ref="A356:A363" si="26">$R$2&amp;".FXXX"</f>
        <v>FB_AI_BUF_S.FXXX</v>
      </c>
      <c r="B356" s="11">
        <v>7999</v>
      </c>
      <c r="C356" s="11" t="s">
        <v>0</v>
      </c>
      <c r="D356" s="20" t="str">
        <f>"#"&amp;$S$2&amp;"#"&amp;$T$2&amp;"\"&amp;$P$2&amp;"\FXXX"</f>
        <v>#1#treiOPCDA.CoOPCserv.1\pcmaster\TT_VOS\FXXX</v>
      </c>
      <c r="Q356" s="4"/>
      <c r="R356" s="4"/>
      <c r="S356" s="4"/>
      <c r="T356" s="4"/>
    </row>
    <row r="357" spans="1:20" ht="15" customHeight="1">
      <c r="A357" s="19" t="str">
        <f t="shared" si="26"/>
        <v>FB_AI_BUF_S.FXXX</v>
      </c>
      <c r="B357" s="11">
        <v>7998</v>
      </c>
      <c r="C357" s="11" t="s">
        <v>6</v>
      </c>
      <c r="D357" s="20">
        <v>1</v>
      </c>
      <c r="Q357" s="4"/>
      <c r="R357" s="4"/>
      <c r="S357" s="4"/>
      <c r="T357" s="4"/>
    </row>
    <row r="358" spans="1:20" ht="15" customHeight="1">
      <c r="A358" s="19" t="str">
        <f t="shared" si="26"/>
        <v>FB_AI_BUF_S.FXXX</v>
      </c>
      <c r="B358" s="11">
        <v>101</v>
      </c>
      <c r="C358" s="11" t="s">
        <v>0</v>
      </c>
      <c r="D358" s="20" t="s">
        <v>434</v>
      </c>
      <c r="Q358" s="4"/>
      <c r="R358" s="4"/>
      <c r="S358" s="4"/>
      <c r="T358" s="4"/>
    </row>
    <row r="359" spans="1:20" ht="15" customHeight="1">
      <c r="A359" s="19" t="str">
        <f t="shared" si="26"/>
        <v>FB_AI_BUF_S.FXXX</v>
      </c>
      <c r="B359" s="11">
        <v>3</v>
      </c>
      <c r="C359" s="11" t="s">
        <v>1</v>
      </c>
      <c r="D359" s="20">
        <v>192</v>
      </c>
      <c r="Q359" s="4"/>
      <c r="R359" s="4"/>
      <c r="S359" s="4"/>
      <c r="T359" s="4"/>
    </row>
    <row r="360" spans="1:20" ht="15" customHeight="1">
      <c r="A360" s="19" t="str">
        <f t="shared" si="26"/>
        <v>FB_AI_BUF_S.FXXX</v>
      </c>
      <c r="B360" s="11">
        <v>2</v>
      </c>
      <c r="C360" s="11" t="s">
        <v>2</v>
      </c>
      <c r="D360" s="20" t="s">
        <v>3</v>
      </c>
    </row>
    <row r="361" spans="1:20" ht="15" customHeight="1">
      <c r="A361" s="19" t="str">
        <f t="shared" si="26"/>
        <v>FB_AI_BUF_S.FXXX</v>
      </c>
      <c r="B361" s="11">
        <v>1</v>
      </c>
      <c r="C361" s="11" t="s">
        <v>1</v>
      </c>
      <c r="D361" s="20">
        <v>11</v>
      </c>
    </row>
    <row r="362" spans="1:20" ht="15" customHeight="1">
      <c r="A362" s="19" t="str">
        <f t="shared" si="26"/>
        <v>FB_AI_BUF_S.FXXX</v>
      </c>
      <c r="B362" s="11">
        <v>7000000</v>
      </c>
      <c r="C362" s="11" t="s">
        <v>6</v>
      </c>
      <c r="D362" s="20">
        <v>2</v>
      </c>
    </row>
    <row r="363" spans="1:20" ht="15" customHeight="1">
      <c r="A363" s="21" t="str">
        <f t="shared" si="26"/>
        <v>FB_AI_BUF_S.FXXX</v>
      </c>
      <c r="B363" s="8">
        <v>4000000</v>
      </c>
      <c r="C363" s="8" t="s">
        <v>0</v>
      </c>
      <c r="D363" s="68" t="s">
        <v>1767</v>
      </c>
    </row>
    <row r="364" spans="1:20" ht="15" customHeight="1">
      <c r="A364" s="275" t="str">
        <f t="shared" ref="A364:A369" si="27">$R$2&amp;".IVXX"</f>
        <v>FB_AI_BUF_S.IVXX</v>
      </c>
      <c r="B364" s="276">
        <v>7999</v>
      </c>
      <c r="C364" s="276" t="s">
        <v>0</v>
      </c>
      <c r="D364" s="277" t="str">
        <f>"#"&amp;$S$2&amp;"#"&amp;$T$2&amp;"\"&amp;$P$2&amp;"\IVXX"</f>
        <v>#1#treiOPCDA.CoOPCserv.1\pcmaster\TT_VOS\IVXX</v>
      </c>
    </row>
    <row r="365" spans="1:20" ht="15" customHeight="1">
      <c r="A365" s="278" t="str">
        <f t="shared" si="27"/>
        <v>FB_AI_BUF_S.IVXX</v>
      </c>
      <c r="B365" s="279">
        <v>7998</v>
      </c>
      <c r="C365" s="279" t="s">
        <v>6</v>
      </c>
      <c r="D365" s="280">
        <v>1</v>
      </c>
    </row>
    <row r="366" spans="1:20" ht="15" customHeight="1">
      <c r="A366" s="278" t="str">
        <f t="shared" si="27"/>
        <v>FB_AI_BUF_S.IVXX</v>
      </c>
      <c r="B366" s="279">
        <v>101</v>
      </c>
      <c r="C366" s="279" t="s">
        <v>0</v>
      </c>
      <c r="D366" s="280" t="s">
        <v>42</v>
      </c>
    </row>
    <row r="367" spans="1:20" ht="15" customHeight="1">
      <c r="A367" s="278" t="str">
        <f t="shared" si="27"/>
        <v>FB_AI_BUF_S.IVXX</v>
      </c>
      <c r="B367" s="279">
        <v>3</v>
      </c>
      <c r="C367" s="279" t="s">
        <v>1</v>
      </c>
      <c r="D367" s="280">
        <v>192</v>
      </c>
    </row>
    <row r="368" spans="1:20" ht="15" customHeight="1">
      <c r="A368" s="278" t="str">
        <f t="shared" si="27"/>
        <v>FB_AI_BUF_S.IVXX</v>
      </c>
      <c r="B368" s="279">
        <v>2</v>
      </c>
      <c r="C368" s="279" t="s">
        <v>80</v>
      </c>
      <c r="D368" s="280">
        <v>0</v>
      </c>
    </row>
    <row r="369" spans="1:4" ht="15" customHeight="1">
      <c r="A369" s="281" t="str">
        <f t="shared" si="27"/>
        <v>FB_AI_BUF_S.IVXX</v>
      </c>
      <c r="B369" s="282">
        <v>1</v>
      </c>
      <c r="C369" s="282" t="s">
        <v>1</v>
      </c>
      <c r="D369" s="283">
        <v>4</v>
      </c>
    </row>
    <row r="370" spans="1:4" ht="15" customHeight="1">
      <c r="A370" s="278" t="str">
        <f t="shared" ref="A370:A375" si="28">$R$2&amp;".SDBX"</f>
        <v>FB_AI_BUF_S.SDBX</v>
      </c>
      <c r="B370" s="279">
        <v>7999</v>
      </c>
      <c r="C370" s="279" t="s">
        <v>0</v>
      </c>
      <c r="D370" s="280" t="str">
        <f>"#"&amp;$S$2&amp;"#"&amp;$T$2&amp;"\"&amp;$P$2&amp;"\SDBX"</f>
        <v>#1#treiOPCDA.CoOPCserv.1\pcmaster\TT_VOS\SDBX</v>
      </c>
    </row>
    <row r="371" spans="1:4" ht="15" customHeight="1">
      <c r="A371" s="278" t="str">
        <f t="shared" si="28"/>
        <v>FB_AI_BUF_S.SDBX</v>
      </c>
      <c r="B371" s="279">
        <v>7998</v>
      </c>
      <c r="C371" s="279" t="s">
        <v>6</v>
      </c>
      <c r="D371" s="280">
        <v>1</v>
      </c>
    </row>
    <row r="372" spans="1:4" ht="15" customHeight="1">
      <c r="A372" s="278" t="str">
        <f t="shared" si="28"/>
        <v>FB_AI_BUF_S.SDBX</v>
      </c>
      <c r="B372" s="279">
        <v>101</v>
      </c>
      <c r="C372" s="279" t="s">
        <v>0</v>
      </c>
      <c r="D372" s="280" t="s">
        <v>23</v>
      </c>
    </row>
    <row r="373" spans="1:4" ht="15" customHeight="1">
      <c r="A373" s="278" t="str">
        <f t="shared" si="28"/>
        <v>FB_AI_BUF_S.SDBX</v>
      </c>
      <c r="B373" s="279">
        <v>3</v>
      </c>
      <c r="C373" s="279" t="s">
        <v>1</v>
      </c>
      <c r="D373" s="280">
        <v>192</v>
      </c>
    </row>
    <row r="374" spans="1:4" ht="15" customHeight="1">
      <c r="A374" s="278" t="str">
        <f t="shared" si="28"/>
        <v>FB_AI_BUF_S.SDBX</v>
      </c>
      <c r="B374" s="279">
        <v>2</v>
      </c>
      <c r="C374" s="279" t="s">
        <v>80</v>
      </c>
      <c r="D374" s="280">
        <v>0</v>
      </c>
    </row>
    <row r="375" spans="1:4" ht="15" customHeight="1">
      <c r="A375" s="281" t="str">
        <f t="shared" si="28"/>
        <v>FB_AI_BUF_S.SDBX</v>
      </c>
      <c r="B375" s="282">
        <v>1</v>
      </c>
      <c r="C375" s="282" t="s">
        <v>1</v>
      </c>
      <c r="D375" s="283">
        <v>4</v>
      </c>
    </row>
    <row r="376" spans="1:4" ht="15" customHeight="1">
      <c r="A376" s="275" t="str">
        <f t="shared" ref="A376:A381" si="29">$R$2&amp;".SDLX"</f>
        <v>FB_AI_BUF_S.SDLX</v>
      </c>
      <c r="B376" s="276">
        <v>7999</v>
      </c>
      <c r="C376" s="276" t="s">
        <v>0</v>
      </c>
      <c r="D376" s="277" t="str">
        <f>"#"&amp;$S$2&amp;"#"&amp;$T$2&amp;"\"&amp;$P$2&amp;"\SDLX"</f>
        <v>#1#treiOPCDA.CoOPCserv.1\pcmaster\TT_VOS\SDLX</v>
      </c>
    </row>
    <row r="377" spans="1:4" ht="15" customHeight="1">
      <c r="A377" s="278" t="str">
        <f t="shared" si="29"/>
        <v>FB_AI_BUF_S.SDLX</v>
      </c>
      <c r="B377" s="279">
        <v>7998</v>
      </c>
      <c r="C377" s="279" t="s">
        <v>6</v>
      </c>
      <c r="D377" s="280">
        <v>1</v>
      </c>
    </row>
    <row r="378" spans="1:4" ht="15" customHeight="1">
      <c r="A378" s="278" t="str">
        <f t="shared" si="29"/>
        <v>FB_AI_BUF_S.SDLX</v>
      </c>
      <c r="B378" s="279">
        <v>101</v>
      </c>
      <c r="C378" s="279" t="s">
        <v>0</v>
      </c>
      <c r="D378" s="280" t="s">
        <v>24</v>
      </c>
    </row>
    <row r="379" spans="1:4" ht="15" customHeight="1">
      <c r="A379" s="278" t="str">
        <f t="shared" si="29"/>
        <v>FB_AI_BUF_S.SDLX</v>
      </c>
      <c r="B379" s="279">
        <v>3</v>
      </c>
      <c r="C379" s="279" t="s">
        <v>1</v>
      </c>
      <c r="D379" s="280">
        <v>192</v>
      </c>
    </row>
    <row r="380" spans="1:4" ht="15" customHeight="1">
      <c r="A380" s="278" t="str">
        <f t="shared" si="29"/>
        <v>FB_AI_BUF_S.SDLX</v>
      </c>
      <c r="B380" s="279">
        <v>2</v>
      </c>
      <c r="C380" s="279" t="s">
        <v>80</v>
      </c>
      <c r="D380" s="280">
        <v>0</v>
      </c>
    </row>
    <row r="381" spans="1:4" ht="15" customHeight="1">
      <c r="A381" s="281" t="str">
        <f t="shared" si="29"/>
        <v>FB_AI_BUF_S.SDLX</v>
      </c>
      <c r="B381" s="282">
        <v>1</v>
      </c>
      <c r="C381" s="282" t="s">
        <v>1</v>
      </c>
      <c r="D381" s="283">
        <v>4</v>
      </c>
    </row>
    <row r="382" spans="1:4" ht="15" customHeight="1">
      <c r="A382" s="275" t="str">
        <f t="shared" ref="A382:A387" si="30">$R$2&amp;".SHAX"</f>
        <v>FB_AI_BUF_S.SHAX</v>
      </c>
      <c r="B382" s="276">
        <v>7999</v>
      </c>
      <c r="C382" s="276" t="s">
        <v>0</v>
      </c>
      <c r="D382" s="277" t="str">
        <f>"#"&amp;$S$2&amp;"#"&amp;$T$2&amp;"\"&amp;$P$2&amp;"\SHAX"</f>
        <v>#1#treiOPCDA.CoOPCserv.1\pcmaster\TT_VOS\SHAX</v>
      </c>
    </row>
    <row r="383" spans="1:4" ht="15" customHeight="1">
      <c r="A383" s="278" t="str">
        <f t="shared" si="30"/>
        <v>FB_AI_BUF_S.SHAX</v>
      </c>
      <c r="B383" s="279">
        <v>7998</v>
      </c>
      <c r="C383" s="279" t="s">
        <v>6</v>
      </c>
      <c r="D383" s="280">
        <v>1</v>
      </c>
    </row>
    <row r="384" spans="1:4" ht="15" customHeight="1">
      <c r="A384" s="278" t="str">
        <f t="shared" si="30"/>
        <v>FB_AI_BUF_S.SHAX</v>
      </c>
      <c r="B384" s="279">
        <v>101</v>
      </c>
      <c r="C384" s="279" t="s">
        <v>0</v>
      </c>
      <c r="D384" s="280" t="s">
        <v>26</v>
      </c>
    </row>
    <row r="385" spans="1:4" ht="15" customHeight="1">
      <c r="A385" s="278" t="str">
        <f t="shared" si="30"/>
        <v>FB_AI_BUF_S.SHAX</v>
      </c>
      <c r="B385" s="279">
        <v>3</v>
      </c>
      <c r="C385" s="279" t="s">
        <v>1</v>
      </c>
      <c r="D385" s="280">
        <v>192</v>
      </c>
    </row>
    <row r="386" spans="1:4" ht="15" customHeight="1">
      <c r="A386" s="278" t="str">
        <f t="shared" si="30"/>
        <v>FB_AI_BUF_S.SHAX</v>
      </c>
      <c r="B386" s="279">
        <v>2</v>
      </c>
      <c r="C386" s="279" t="s">
        <v>80</v>
      </c>
      <c r="D386" s="280">
        <v>0</v>
      </c>
    </row>
    <row r="387" spans="1:4" ht="15" customHeight="1">
      <c r="A387" s="281" t="str">
        <f t="shared" si="30"/>
        <v>FB_AI_BUF_S.SHAX</v>
      </c>
      <c r="B387" s="282">
        <v>1</v>
      </c>
      <c r="C387" s="282" t="s">
        <v>1</v>
      </c>
      <c r="D387" s="283">
        <v>4</v>
      </c>
    </row>
    <row r="388" spans="1:4" ht="15" customHeight="1">
      <c r="A388" s="275" t="str">
        <f t="shared" ref="A388:A393" si="31">$R$2&amp;".SHSX"</f>
        <v>FB_AI_BUF_S.SHSX</v>
      </c>
      <c r="B388" s="276">
        <v>7999</v>
      </c>
      <c r="C388" s="276" t="s">
        <v>0</v>
      </c>
      <c r="D388" s="277" t="str">
        <f>"#"&amp;$S$2&amp;"#"&amp;$T$2&amp;"\"&amp;$P$2&amp;"\SHSX"</f>
        <v>#1#treiOPCDA.CoOPCserv.1\pcmaster\TT_VOS\SHSX</v>
      </c>
    </row>
    <row r="389" spans="1:4" ht="15" customHeight="1">
      <c r="A389" s="278" t="str">
        <f t="shared" si="31"/>
        <v>FB_AI_BUF_S.SHSX</v>
      </c>
      <c r="B389" s="279">
        <v>7998</v>
      </c>
      <c r="C389" s="279" t="s">
        <v>6</v>
      </c>
      <c r="D389" s="280">
        <v>1</v>
      </c>
    </row>
    <row r="390" spans="1:4" ht="15" customHeight="1">
      <c r="A390" s="278" t="str">
        <f t="shared" si="31"/>
        <v>FB_AI_BUF_S.SHSX</v>
      </c>
      <c r="B390" s="279">
        <v>101</v>
      </c>
      <c r="C390" s="279" t="s">
        <v>0</v>
      </c>
      <c r="D390" s="280" t="s">
        <v>27</v>
      </c>
    </row>
    <row r="391" spans="1:4" ht="15" customHeight="1">
      <c r="A391" s="278" t="str">
        <f t="shared" si="31"/>
        <v>FB_AI_BUF_S.SHSX</v>
      </c>
      <c r="B391" s="279">
        <v>3</v>
      </c>
      <c r="C391" s="279" t="s">
        <v>1</v>
      </c>
      <c r="D391" s="280">
        <v>192</v>
      </c>
    </row>
    <row r="392" spans="1:4" ht="15" customHeight="1">
      <c r="A392" s="278" t="str">
        <f t="shared" si="31"/>
        <v>FB_AI_BUF_S.SHSX</v>
      </c>
      <c r="B392" s="279">
        <v>2</v>
      </c>
      <c r="C392" s="279" t="s">
        <v>80</v>
      </c>
      <c r="D392" s="280">
        <v>0</v>
      </c>
    </row>
    <row r="393" spans="1:4" ht="15" customHeight="1">
      <c r="A393" s="281" t="str">
        <f t="shared" si="31"/>
        <v>FB_AI_BUF_S.SHSX</v>
      </c>
      <c r="B393" s="282">
        <v>1</v>
      </c>
      <c r="C393" s="282" t="s">
        <v>1</v>
      </c>
      <c r="D393" s="283">
        <v>4</v>
      </c>
    </row>
    <row r="394" spans="1:4" ht="15" customHeight="1">
      <c r="A394" s="275" t="str">
        <f t="shared" ref="A394:A399" si="32">$R$2&amp;".SHVX"</f>
        <v>FB_AI_BUF_S.SHVX</v>
      </c>
      <c r="B394" s="276">
        <v>7999</v>
      </c>
      <c r="C394" s="276" t="s">
        <v>0</v>
      </c>
      <c r="D394" s="277" t="str">
        <f>"#"&amp;$S$2&amp;"#"&amp;$T$2&amp;"\"&amp;$P$2&amp;"\SHVX"</f>
        <v>#1#treiOPCDA.CoOPCserv.1\pcmaster\TT_VOS\SHVX</v>
      </c>
    </row>
    <row r="395" spans="1:4" ht="15" customHeight="1">
      <c r="A395" s="278" t="str">
        <f t="shared" si="32"/>
        <v>FB_AI_BUF_S.SHVX</v>
      </c>
      <c r="B395" s="279">
        <v>7998</v>
      </c>
      <c r="C395" s="279" t="s">
        <v>6</v>
      </c>
      <c r="D395" s="280">
        <v>1</v>
      </c>
    </row>
    <row r="396" spans="1:4" ht="15" customHeight="1">
      <c r="A396" s="278" t="str">
        <f t="shared" si="32"/>
        <v>FB_AI_BUF_S.SHVX</v>
      </c>
      <c r="B396" s="279">
        <v>101</v>
      </c>
      <c r="C396" s="279" t="s">
        <v>0</v>
      </c>
      <c r="D396" s="280" t="s">
        <v>44</v>
      </c>
    </row>
    <row r="397" spans="1:4" ht="15" customHeight="1">
      <c r="A397" s="278" t="str">
        <f t="shared" si="32"/>
        <v>FB_AI_BUF_S.SHVX</v>
      </c>
      <c r="B397" s="279">
        <v>3</v>
      </c>
      <c r="C397" s="279" t="s">
        <v>1</v>
      </c>
      <c r="D397" s="280">
        <v>192</v>
      </c>
    </row>
    <row r="398" spans="1:4" ht="15" customHeight="1">
      <c r="A398" s="278" t="str">
        <f t="shared" si="32"/>
        <v>FB_AI_BUF_S.SHVX</v>
      </c>
      <c r="B398" s="279">
        <v>2</v>
      </c>
      <c r="C398" s="279" t="s">
        <v>80</v>
      </c>
      <c r="D398" s="280">
        <v>0</v>
      </c>
    </row>
    <row r="399" spans="1:4" ht="15" customHeight="1">
      <c r="A399" s="281" t="str">
        <f t="shared" si="32"/>
        <v>FB_AI_BUF_S.SHVX</v>
      </c>
      <c r="B399" s="282">
        <v>1</v>
      </c>
      <c r="C399" s="282" t="s">
        <v>1</v>
      </c>
      <c r="D399" s="283">
        <v>4</v>
      </c>
    </row>
    <row r="400" spans="1:4" ht="15" customHeight="1">
      <c r="A400" s="275" t="str">
        <f t="shared" ref="A400:A405" si="33">$R$2&amp;".SHWX"</f>
        <v>FB_AI_BUF_S.SHWX</v>
      </c>
      <c r="B400" s="276">
        <v>7999</v>
      </c>
      <c r="C400" s="276" t="s">
        <v>0</v>
      </c>
      <c r="D400" s="277" t="str">
        <f>"#"&amp;$S$2&amp;"#"&amp;$T$2&amp;"\"&amp;$P$2&amp;"\SHWX"</f>
        <v>#1#treiOPCDA.CoOPCserv.1\pcmaster\TT_VOS\SHWX</v>
      </c>
    </row>
    <row r="401" spans="1:4" ht="15" customHeight="1">
      <c r="A401" s="278" t="str">
        <f t="shared" si="33"/>
        <v>FB_AI_BUF_S.SHWX</v>
      </c>
      <c r="B401" s="279">
        <v>7998</v>
      </c>
      <c r="C401" s="279" t="s">
        <v>6</v>
      </c>
      <c r="D401" s="280">
        <v>1</v>
      </c>
    </row>
    <row r="402" spans="1:4" ht="15" customHeight="1">
      <c r="A402" s="278" t="str">
        <f t="shared" si="33"/>
        <v>FB_AI_BUF_S.SHWX</v>
      </c>
      <c r="B402" s="279">
        <v>101</v>
      </c>
      <c r="C402" s="279" t="s">
        <v>0</v>
      </c>
      <c r="D402" s="280" t="s">
        <v>28</v>
      </c>
    </row>
    <row r="403" spans="1:4" ht="15" customHeight="1">
      <c r="A403" s="278" t="str">
        <f t="shared" si="33"/>
        <v>FB_AI_BUF_S.SHWX</v>
      </c>
      <c r="B403" s="279">
        <v>3</v>
      </c>
      <c r="C403" s="279" t="s">
        <v>1</v>
      </c>
      <c r="D403" s="280">
        <v>192</v>
      </c>
    </row>
    <row r="404" spans="1:4" ht="15" customHeight="1">
      <c r="A404" s="278" t="str">
        <f t="shared" si="33"/>
        <v>FB_AI_BUF_S.SHWX</v>
      </c>
      <c r="B404" s="279">
        <v>2</v>
      </c>
      <c r="C404" s="279" t="s">
        <v>80</v>
      </c>
      <c r="D404" s="280">
        <v>0</v>
      </c>
    </row>
    <row r="405" spans="1:4" ht="15" customHeight="1">
      <c r="A405" s="281" t="str">
        <f t="shared" si="33"/>
        <v>FB_AI_BUF_S.SHWX</v>
      </c>
      <c r="B405" s="282">
        <v>1</v>
      </c>
      <c r="C405" s="282" t="s">
        <v>1</v>
      </c>
      <c r="D405" s="283">
        <v>4</v>
      </c>
    </row>
    <row r="406" spans="1:4" ht="15" customHeight="1">
      <c r="A406" s="275" t="str">
        <f t="shared" ref="A406:A411" si="34">$R$2&amp;".SIMX"</f>
        <v>FB_AI_BUF_S.SIMX</v>
      </c>
      <c r="B406" s="276">
        <v>7999</v>
      </c>
      <c r="C406" s="276" t="s">
        <v>0</v>
      </c>
      <c r="D406" s="277" t="str">
        <f>"#"&amp;$S$2&amp;"#"&amp;$T$2&amp;"\"&amp;$P$2&amp;"\SIMX"</f>
        <v>#1#treiOPCDA.CoOPCserv.1\pcmaster\TT_VOS\SIMX</v>
      </c>
    </row>
    <row r="407" spans="1:4" ht="15" customHeight="1">
      <c r="A407" s="278" t="str">
        <f t="shared" si="34"/>
        <v>FB_AI_BUF_S.SIMX</v>
      </c>
      <c r="B407" s="279">
        <v>7998</v>
      </c>
      <c r="C407" s="279" t="s">
        <v>6</v>
      </c>
      <c r="D407" s="280">
        <v>1</v>
      </c>
    </row>
    <row r="408" spans="1:4" ht="15" customHeight="1">
      <c r="A408" s="278" t="str">
        <f t="shared" si="34"/>
        <v>FB_AI_BUF_S.SIMX</v>
      </c>
      <c r="B408" s="279">
        <v>101</v>
      </c>
      <c r="C408" s="279" t="s">
        <v>0</v>
      </c>
      <c r="D408" s="280" t="s">
        <v>1313</v>
      </c>
    </row>
    <row r="409" spans="1:4" ht="15" customHeight="1">
      <c r="A409" s="278" t="str">
        <f t="shared" si="34"/>
        <v>FB_AI_BUF_S.SIMX</v>
      </c>
      <c r="B409" s="279">
        <v>3</v>
      </c>
      <c r="C409" s="279" t="s">
        <v>1</v>
      </c>
      <c r="D409" s="280">
        <v>192</v>
      </c>
    </row>
    <row r="410" spans="1:4" ht="15" customHeight="1">
      <c r="A410" s="278" t="str">
        <f t="shared" si="34"/>
        <v>FB_AI_BUF_S.SIMX</v>
      </c>
      <c r="B410" s="279">
        <v>2</v>
      </c>
      <c r="C410" s="279" t="s">
        <v>80</v>
      </c>
      <c r="D410" s="280">
        <v>0</v>
      </c>
    </row>
    <row r="411" spans="1:4" ht="15" customHeight="1">
      <c r="A411" s="281" t="str">
        <f t="shared" si="34"/>
        <v>FB_AI_BUF_S.SIMX</v>
      </c>
      <c r="B411" s="282">
        <v>1</v>
      </c>
      <c r="C411" s="282" t="s">
        <v>1</v>
      </c>
      <c r="D411" s="283">
        <v>4</v>
      </c>
    </row>
    <row r="412" spans="1:4" ht="15" customHeight="1">
      <c r="A412" s="275" t="str">
        <f t="shared" ref="A412:A417" si="35">$R$2&amp;".SLAX"</f>
        <v>FB_AI_BUF_S.SLAX</v>
      </c>
      <c r="B412" s="276">
        <v>7999</v>
      </c>
      <c r="C412" s="276" t="s">
        <v>0</v>
      </c>
      <c r="D412" s="277" t="str">
        <f>"#"&amp;$S$2&amp;"#"&amp;$T$2&amp;"\"&amp;$P$2&amp;"\SLAX"</f>
        <v>#1#treiOPCDA.CoOPCserv.1\pcmaster\TT_VOS\SLAX</v>
      </c>
    </row>
    <row r="413" spans="1:4" ht="15" customHeight="1">
      <c r="A413" s="278" t="str">
        <f t="shared" si="35"/>
        <v>FB_AI_BUF_S.SLAX</v>
      </c>
      <c r="B413" s="279">
        <v>7998</v>
      </c>
      <c r="C413" s="279" t="s">
        <v>6</v>
      </c>
      <c r="D413" s="280">
        <v>1</v>
      </c>
    </row>
    <row r="414" spans="1:4" ht="15" customHeight="1">
      <c r="A414" s="278" t="str">
        <f t="shared" si="35"/>
        <v>FB_AI_BUF_S.SLAX</v>
      </c>
      <c r="B414" s="279">
        <v>101</v>
      </c>
      <c r="C414" s="279" t="s">
        <v>0</v>
      </c>
      <c r="D414" s="280" t="s">
        <v>30</v>
      </c>
    </row>
    <row r="415" spans="1:4" ht="15" customHeight="1">
      <c r="A415" s="278" t="str">
        <f t="shared" si="35"/>
        <v>FB_AI_BUF_S.SLAX</v>
      </c>
      <c r="B415" s="279">
        <v>3</v>
      </c>
      <c r="C415" s="279" t="s">
        <v>1</v>
      </c>
      <c r="D415" s="280">
        <v>192</v>
      </c>
    </row>
    <row r="416" spans="1:4" ht="15" customHeight="1">
      <c r="A416" s="278" t="str">
        <f t="shared" si="35"/>
        <v>FB_AI_BUF_S.SLAX</v>
      </c>
      <c r="B416" s="279">
        <v>2</v>
      </c>
      <c r="C416" s="279" t="s">
        <v>80</v>
      </c>
      <c r="D416" s="280">
        <v>0</v>
      </c>
    </row>
    <row r="417" spans="1:17" ht="15" customHeight="1">
      <c r="A417" s="281" t="str">
        <f t="shared" si="35"/>
        <v>FB_AI_BUF_S.SLAX</v>
      </c>
      <c r="B417" s="282">
        <v>1</v>
      </c>
      <c r="C417" s="282" t="s">
        <v>1</v>
      </c>
      <c r="D417" s="283">
        <v>4</v>
      </c>
    </row>
    <row r="418" spans="1:17" ht="15" customHeight="1">
      <c r="A418" s="275" t="str">
        <f t="shared" ref="A418:A423" si="36">$R$2&amp;".SLSX"</f>
        <v>FB_AI_BUF_S.SLSX</v>
      </c>
      <c r="B418" s="276">
        <v>7999</v>
      </c>
      <c r="C418" s="276" t="s">
        <v>0</v>
      </c>
      <c r="D418" s="277" t="str">
        <f>"#"&amp;$S$2&amp;"#"&amp;$T$2&amp;"\"&amp;$P$2&amp;"\SLSX"</f>
        <v>#1#treiOPCDA.CoOPCserv.1\pcmaster\TT_VOS\SLSX</v>
      </c>
    </row>
    <row r="419" spans="1:17" ht="15" customHeight="1">
      <c r="A419" s="278" t="str">
        <f t="shared" si="36"/>
        <v>FB_AI_BUF_S.SLSX</v>
      </c>
      <c r="B419" s="279">
        <v>7998</v>
      </c>
      <c r="C419" s="279" t="s">
        <v>6</v>
      </c>
      <c r="D419" s="280">
        <v>1</v>
      </c>
    </row>
    <row r="420" spans="1:17" ht="15" customHeight="1">
      <c r="A420" s="278" t="str">
        <f t="shared" si="36"/>
        <v>FB_AI_BUF_S.SLSX</v>
      </c>
      <c r="B420" s="279">
        <v>101</v>
      </c>
      <c r="C420" s="279" t="s">
        <v>0</v>
      </c>
      <c r="D420" s="280" t="s">
        <v>31</v>
      </c>
    </row>
    <row r="421" spans="1:17" ht="15" customHeight="1">
      <c r="A421" s="278" t="str">
        <f t="shared" si="36"/>
        <v>FB_AI_BUF_S.SLSX</v>
      </c>
      <c r="B421" s="279">
        <v>3</v>
      </c>
      <c r="C421" s="279" t="s">
        <v>1</v>
      </c>
      <c r="D421" s="280">
        <v>192</v>
      </c>
    </row>
    <row r="422" spans="1:17" ht="15" customHeight="1">
      <c r="A422" s="278" t="str">
        <f t="shared" si="36"/>
        <v>FB_AI_BUF_S.SLSX</v>
      </c>
      <c r="B422" s="279">
        <v>2</v>
      </c>
      <c r="C422" s="279" t="s">
        <v>80</v>
      </c>
      <c r="D422" s="280">
        <v>0</v>
      </c>
    </row>
    <row r="423" spans="1:17" ht="15" customHeight="1">
      <c r="A423" s="281" t="str">
        <f t="shared" si="36"/>
        <v>FB_AI_BUF_S.SLSX</v>
      </c>
      <c r="B423" s="282">
        <v>1</v>
      </c>
      <c r="C423" s="282" t="s">
        <v>1</v>
      </c>
      <c r="D423" s="283">
        <v>4</v>
      </c>
    </row>
    <row r="424" spans="1:17" ht="15" customHeight="1">
      <c r="A424" s="275" t="str">
        <f t="shared" ref="A424:A429" si="37">$R$2&amp;".SLVX"</f>
        <v>FB_AI_BUF_S.SLVX</v>
      </c>
      <c r="B424" s="276">
        <v>7999</v>
      </c>
      <c r="C424" s="276" t="s">
        <v>0</v>
      </c>
      <c r="D424" s="277" t="str">
        <f>"#"&amp;$S$2&amp;"#"&amp;$T$2&amp;"\"&amp;$P$2&amp;"\SLVX"</f>
        <v>#1#treiOPCDA.CoOPCserv.1\pcmaster\TT_VOS\SLVX</v>
      </c>
    </row>
    <row r="425" spans="1:17" ht="15" customHeight="1">
      <c r="A425" s="278" t="str">
        <f t="shared" si="37"/>
        <v>FB_AI_BUF_S.SLVX</v>
      </c>
      <c r="B425" s="279">
        <v>7998</v>
      </c>
      <c r="C425" s="279" t="s">
        <v>6</v>
      </c>
      <c r="D425" s="280">
        <v>1</v>
      </c>
    </row>
    <row r="426" spans="1:17" ht="15" customHeight="1">
      <c r="A426" s="278" t="str">
        <f t="shared" si="37"/>
        <v>FB_AI_BUF_S.SLVX</v>
      </c>
      <c r="B426" s="279">
        <v>101</v>
      </c>
      <c r="C426" s="279" t="s">
        <v>0</v>
      </c>
      <c r="D426" s="280" t="s">
        <v>45</v>
      </c>
    </row>
    <row r="427" spans="1:17" ht="15" customHeight="1">
      <c r="A427" s="278" t="str">
        <f t="shared" si="37"/>
        <v>FB_AI_BUF_S.SLVX</v>
      </c>
      <c r="B427" s="279">
        <v>3</v>
      </c>
      <c r="C427" s="279" t="s">
        <v>1</v>
      </c>
      <c r="D427" s="280">
        <v>192</v>
      </c>
    </row>
    <row r="428" spans="1:17" ht="15" customHeight="1">
      <c r="A428" s="278" t="str">
        <f t="shared" si="37"/>
        <v>FB_AI_BUF_S.SLVX</v>
      </c>
      <c r="B428" s="279">
        <v>2</v>
      </c>
      <c r="C428" s="279" t="s">
        <v>80</v>
      </c>
      <c r="D428" s="280">
        <v>0</v>
      </c>
    </row>
    <row r="429" spans="1:17" ht="15" customHeight="1">
      <c r="A429" s="281" t="str">
        <f t="shared" si="37"/>
        <v>FB_AI_BUF_S.SLVX</v>
      </c>
      <c r="B429" s="282">
        <v>1</v>
      </c>
      <c r="C429" s="282" t="s">
        <v>1</v>
      </c>
      <c r="D429" s="283">
        <v>4</v>
      </c>
    </row>
    <row r="430" spans="1:17" ht="15" customHeight="1">
      <c r="A430" s="275" t="str">
        <f t="shared" ref="A430:A435" si="38">$R$2&amp;".SLWX"</f>
        <v>FB_AI_BUF_S.SLWX</v>
      </c>
      <c r="B430" s="276">
        <v>7999</v>
      </c>
      <c r="C430" s="276" t="s">
        <v>0</v>
      </c>
      <c r="D430" s="277" t="str">
        <f>"#"&amp;$S$2&amp;"#"&amp;$T$2&amp;"\"&amp;$P$2&amp;"\SLWX"</f>
        <v>#1#treiOPCDA.CoOPCserv.1\pcmaster\TT_VOS\SLWX</v>
      </c>
    </row>
    <row r="431" spans="1:17" ht="15" customHeight="1">
      <c r="A431" s="278" t="str">
        <f t="shared" si="38"/>
        <v>FB_AI_BUF_S.SLWX</v>
      </c>
      <c r="B431" s="279">
        <v>7998</v>
      </c>
      <c r="C431" s="279" t="s">
        <v>6</v>
      </c>
      <c r="D431" s="280">
        <v>1</v>
      </c>
      <c r="Q431" s="11"/>
    </row>
    <row r="432" spans="1:17" ht="15" customHeight="1">
      <c r="A432" s="278" t="str">
        <f t="shared" si="38"/>
        <v>FB_AI_BUF_S.SLWX</v>
      </c>
      <c r="B432" s="279">
        <v>101</v>
      </c>
      <c r="C432" s="279" t="s">
        <v>0</v>
      </c>
      <c r="D432" s="280" t="s">
        <v>32</v>
      </c>
    </row>
    <row r="433" spans="1:4" ht="15" customHeight="1">
      <c r="A433" s="278" t="str">
        <f t="shared" si="38"/>
        <v>FB_AI_BUF_S.SLWX</v>
      </c>
      <c r="B433" s="279">
        <v>3</v>
      </c>
      <c r="C433" s="279" t="s">
        <v>1</v>
      </c>
      <c r="D433" s="280">
        <v>192</v>
      </c>
    </row>
    <row r="434" spans="1:4" ht="15" customHeight="1">
      <c r="A434" s="278" t="str">
        <f t="shared" si="38"/>
        <v>FB_AI_BUF_S.SLWX</v>
      </c>
      <c r="B434" s="279">
        <v>2</v>
      </c>
      <c r="C434" s="279" t="s">
        <v>80</v>
      </c>
      <c r="D434" s="280">
        <v>0</v>
      </c>
    </row>
    <row r="435" spans="1:4" ht="15" customHeight="1">
      <c r="A435" s="281" t="str">
        <f t="shared" si="38"/>
        <v>FB_AI_BUF_S.SLWX</v>
      </c>
      <c r="B435" s="282">
        <v>1</v>
      </c>
      <c r="C435" s="282" t="s">
        <v>1</v>
      </c>
      <c r="D435" s="283">
        <v>4</v>
      </c>
    </row>
    <row r="436" spans="1:4" ht="15" customHeight="1">
      <c r="A436" s="275" t="str">
        <f t="shared" ref="A436:A441" si="39">$R$2&amp;".SSLX"</f>
        <v>FB_AI_BUF_S.SSLX</v>
      </c>
      <c r="B436" s="276">
        <v>7999</v>
      </c>
      <c r="C436" s="276" t="s">
        <v>0</v>
      </c>
      <c r="D436" s="277" t="str">
        <f>"#"&amp;$S$2&amp;"#"&amp;$T$2&amp;"\"&amp;$P$2&amp;"\SSLX"</f>
        <v>#1#treiOPCDA.CoOPCserv.1\pcmaster\TT_VOS\SSLX</v>
      </c>
    </row>
    <row r="437" spans="1:4" ht="15" customHeight="1">
      <c r="A437" s="278" t="str">
        <f t="shared" si="39"/>
        <v>FB_AI_BUF_S.SSLX</v>
      </c>
      <c r="B437" s="279">
        <v>7998</v>
      </c>
      <c r="C437" s="279" t="s">
        <v>6</v>
      </c>
      <c r="D437" s="280">
        <v>1</v>
      </c>
    </row>
    <row r="438" spans="1:4" ht="15" customHeight="1">
      <c r="A438" s="278" t="str">
        <f t="shared" si="39"/>
        <v>FB_AI_BUF_S.SSLX</v>
      </c>
      <c r="B438" s="279">
        <v>101</v>
      </c>
      <c r="C438" s="279" t="s">
        <v>0</v>
      </c>
      <c r="D438" s="280" t="s">
        <v>33</v>
      </c>
    </row>
    <row r="439" spans="1:4" ht="15" customHeight="1">
      <c r="A439" s="278" t="str">
        <f t="shared" si="39"/>
        <v>FB_AI_BUF_S.SSLX</v>
      </c>
      <c r="B439" s="279">
        <v>3</v>
      </c>
      <c r="C439" s="279" t="s">
        <v>1</v>
      </c>
      <c r="D439" s="280">
        <v>192</v>
      </c>
    </row>
    <row r="440" spans="1:4" ht="15" customHeight="1">
      <c r="A440" s="278" t="str">
        <f t="shared" si="39"/>
        <v>FB_AI_BUF_S.SSLX</v>
      </c>
      <c r="B440" s="279">
        <v>2</v>
      </c>
      <c r="C440" s="279" t="s">
        <v>80</v>
      </c>
      <c r="D440" s="280">
        <v>0</v>
      </c>
    </row>
    <row r="441" spans="1:4" ht="15" customHeight="1">
      <c r="A441" s="278" t="str">
        <f t="shared" si="39"/>
        <v>FB_AI_BUF_S.SSLX</v>
      </c>
      <c r="B441" s="279">
        <v>1</v>
      </c>
      <c r="C441" s="279" t="s">
        <v>1</v>
      </c>
      <c r="D441" s="280">
        <v>4</v>
      </c>
    </row>
    <row r="442" spans="1:4" ht="15" customHeight="1">
      <c r="A442" s="275" t="str">
        <f t="shared" ref="A442:A447" si="40">$R$2&amp;".XVLP"</f>
        <v>FB_AI_BUF_S.XVLP</v>
      </c>
      <c r="B442" s="276">
        <v>7999</v>
      </c>
      <c r="C442" s="276" t="s">
        <v>0</v>
      </c>
      <c r="D442" s="277" t="str">
        <f>"#"&amp;$S$2&amp;"#"&amp;$T$2&amp;"\"&amp;$P$2&amp;"\XVLP"</f>
        <v>#1#treiOPCDA.CoOPCserv.1\pcmaster\TT_VOS\XVLP</v>
      </c>
    </row>
    <row r="443" spans="1:4" ht="15" customHeight="1">
      <c r="A443" s="278" t="str">
        <f t="shared" si="40"/>
        <v>FB_AI_BUF_S.XVLP</v>
      </c>
      <c r="B443" s="279">
        <v>7998</v>
      </c>
      <c r="C443" s="279" t="s">
        <v>6</v>
      </c>
      <c r="D443" s="280">
        <v>1</v>
      </c>
    </row>
    <row r="444" spans="1:4" ht="15" customHeight="1">
      <c r="A444" s="278" t="str">
        <f t="shared" si="40"/>
        <v>FB_AI_BUF_S.XVLP</v>
      </c>
      <c r="B444" s="279">
        <v>101</v>
      </c>
      <c r="C444" s="279" t="s">
        <v>0</v>
      </c>
      <c r="D444" s="280" t="s">
        <v>50</v>
      </c>
    </row>
    <row r="445" spans="1:4" ht="15" customHeight="1">
      <c r="A445" s="278" t="str">
        <f t="shared" si="40"/>
        <v>FB_AI_BUF_S.XVLP</v>
      </c>
      <c r="B445" s="279">
        <v>3</v>
      </c>
      <c r="C445" s="279" t="s">
        <v>1</v>
      </c>
      <c r="D445" s="280">
        <v>192</v>
      </c>
    </row>
    <row r="446" spans="1:4" ht="15" customHeight="1">
      <c r="A446" s="278" t="str">
        <f t="shared" si="40"/>
        <v>FB_AI_BUF_S.XVLP</v>
      </c>
      <c r="B446" s="279">
        <v>2</v>
      </c>
      <c r="C446" s="279" t="s">
        <v>80</v>
      </c>
      <c r="D446" s="280">
        <v>0</v>
      </c>
    </row>
    <row r="447" spans="1:4" ht="15" customHeight="1">
      <c r="A447" s="278" t="str">
        <f t="shared" si="40"/>
        <v>FB_AI_BUF_S.XVLP</v>
      </c>
      <c r="B447" s="279">
        <v>1</v>
      </c>
      <c r="C447" s="279" t="s">
        <v>1</v>
      </c>
      <c r="D447" s="280">
        <v>4</v>
      </c>
    </row>
    <row r="448" spans="1:4" ht="15" customHeight="1">
      <c r="A448" s="275" t="str">
        <f t="shared" ref="A448:A469" si="41">$R$2&amp;".XVLX"</f>
        <v>FB_AI_BUF_S.XVLX</v>
      </c>
      <c r="B448" s="276">
        <v>7999</v>
      </c>
      <c r="C448" s="276" t="s">
        <v>0</v>
      </c>
      <c r="D448" s="277" t="str">
        <f>"#"&amp;$S$2&amp;"#"&amp;$T$2&amp;"\"&amp;$P$2&amp;"\XVLX"</f>
        <v>#1#treiOPCDA.CoOPCserv.1\pcmaster\TT_VOS\XVLX</v>
      </c>
    </row>
    <row r="449" spans="1:20" ht="15" customHeight="1">
      <c r="A449" s="278" t="str">
        <f t="shared" si="41"/>
        <v>FB_AI_BUF_S.XVLX</v>
      </c>
      <c r="B449" s="279">
        <v>7998</v>
      </c>
      <c r="C449" s="279" t="s">
        <v>6</v>
      </c>
      <c r="D449" s="280">
        <v>1</v>
      </c>
    </row>
    <row r="450" spans="1:20" ht="15" customHeight="1">
      <c r="A450" s="278" t="str">
        <f t="shared" si="41"/>
        <v>FB_AI_BUF_S.XVLX</v>
      </c>
      <c r="B450" s="279">
        <v>101</v>
      </c>
      <c r="C450" s="279" t="s">
        <v>0</v>
      </c>
      <c r="D450" s="280" t="str">
        <f>$Q$2&amp;", "&amp;$X$2</f>
        <v>Аналоговый датчик FB с буферизацией, C</v>
      </c>
      <c r="Q450" s="11"/>
    </row>
    <row r="451" spans="1:20" ht="15" customHeight="1">
      <c r="A451" s="278" t="str">
        <f t="shared" si="41"/>
        <v>FB_AI_BUF_S.XVLX</v>
      </c>
      <c r="B451" s="279">
        <v>3</v>
      </c>
      <c r="C451" s="279" t="s">
        <v>1</v>
      </c>
      <c r="D451" s="280">
        <v>192</v>
      </c>
    </row>
    <row r="452" spans="1:20" ht="15" customHeight="1">
      <c r="A452" s="278" t="str">
        <f t="shared" si="41"/>
        <v>FB_AI_BUF_S.XVLX</v>
      </c>
      <c r="B452" s="279">
        <v>2</v>
      </c>
      <c r="C452" s="279" t="s">
        <v>80</v>
      </c>
      <c r="D452" s="280">
        <v>0</v>
      </c>
    </row>
    <row r="453" spans="1:20" ht="15" customHeight="1">
      <c r="A453" s="278" t="str">
        <f t="shared" si="41"/>
        <v>FB_AI_BUF_S.XVLX</v>
      </c>
      <c r="B453" s="279">
        <v>1</v>
      </c>
      <c r="C453" s="279" t="s">
        <v>1</v>
      </c>
      <c r="D453" s="280">
        <v>4</v>
      </c>
    </row>
    <row r="454" spans="1:20" ht="15" customHeight="1">
      <c r="A454" s="278" t="str">
        <f t="shared" si="41"/>
        <v>FB_AI_BUF_S.XVLX</v>
      </c>
      <c r="B454" s="279">
        <v>3011100</v>
      </c>
      <c r="C454" s="279" t="s">
        <v>0</v>
      </c>
      <c r="D454" s="284" t="s">
        <v>563</v>
      </c>
    </row>
    <row r="455" spans="1:20" ht="15" customHeight="1">
      <c r="A455" s="278" t="str">
        <f t="shared" si="41"/>
        <v>FB_AI_BUF_S.XVLX</v>
      </c>
      <c r="B455" s="279">
        <v>3011101</v>
      </c>
      <c r="C455" s="279" t="s">
        <v>0</v>
      </c>
      <c r="D455" s="284" t="s">
        <v>294</v>
      </c>
    </row>
    <row r="456" spans="1:20" ht="15" customHeight="1">
      <c r="A456" s="278" t="str">
        <f t="shared" si="41"/>
        <v>FB_AI_BUF_S.XVLX</v>
      </c>
      <c r="B456" s="279">
        <v>3011102</v>
      </c>
      <c r="C456" s="279" t="s">
        <v>0</v>
      </c>
      <c r="D456" s="280" t="s">
        <v>292</v>
      </c>
    </row>
    <row r="457" spans="1:20" ht="15" customHeight="1">
      <c r="A457" s="278" t="str">
        <f t="shared" si="41"/>
        <v>FB_AI_BUF_S.XVLX</v>
      </c>
      <c r="B457" s="279">
        <v>3011103</v>
      </c>
      <c r="C457" s="279" t="s">
        <v>0</v>
      </c>
      <c r="D457" s="280" t="s">
        <v>562</v>
      </c>
    </row>
    <row r="458" spans="1:20" ht="15" customHeight="1">
      <c r="A458" s="278" t="str">
        <f t="shared" si="41"/>
        <v>FB_AI_BUF_S.XVLX</v>
      </c>
      <c r="B458" s="279">
        <v>3000011</v>
      </c>
      <c r="C458" s="279" t="s">
        <v>0</v>
      </c>
      <c r="D458" s="280" t="s">
        <v>1470</v>
      </c>
    </row>
    <row r="459" spans="1:20" ht="15" customHeight="1">
      <c r="A459" s="278" t="str">
        <f t="shared" si="41"/>
        <v>FB_AI_BUF_S.XVLX</v>
      </c>
      <c r="B459" s="279">
        <v>3000010</v>
      </c>
      <c r="C459" s="279" t="s">
        <v>0</v>
      </c>
      <c r="D459" s="280" t="s">
        <v>1469</v>
      </c>
    </row>
    <row r="460" spans="1:20" ht="15" customHeight="1">
      <c r="A460" s="286" t="str">
        <f t="shared" si="41"/>
        <v>FB_AI_BUF_S.XVLX</v>
      </c>
      <c r="B460" s="279">
        <v>3000012</v>
      </c>
      <c r="C460" s="279" t="s">
        <v>0</v>
      </c>
      <c r="D460" s="280" t="s">
        <v>323</v>
      </c>
      <c r="Q460" s="4"/>
      <c r="R460" s="4"/>
      <c r="S460" s="4"/>
      <c r="T460" s="4"/>
    </row>
    <row r="461" spans="1:20" ht="15" customHeight="1">
      <c r="A461" s="278" t="str">
        <f t="shared" si="41"/>
        <v>FB_AI_BUF_S.XVLX</v>
      </c>
      <c r="B461" s="279">
        <v>11100</v>
      </c>
      <c r="C461" s="279" t="s">
        <v>278</v>
      </c>
      <c r="D461" s="285">
        <v>1</v>
      </c>
      <c r="Q461" s="4"/>
      <c r="R461" s="4"/>
      <c r="S461" s="4"/>
      <c r="T461" s="4"/>
    </row>
    <row r="462" spans="1:20">
      <c r="A462" s="278" t="str">
        <f t="shared" si="41"/>
        <v>FB_AI_BUF_S.XVLX</v>
      </c>
      <c r="B462" s="279">
        <v>11101</v>
      </c>
      <c r="C462" s="279" t="s">
        <v>278</v>
      </c>
      <c r="D462" s="285">
        <v>2</v>
      </c>
    </row>
    <row r="463" spans="1:20">
      <c r="A463" s="278" t="str">
        <f t="shared" si="41"/>
        <v>FB_AI_BUF_S.XVLX</v>
      </c>
      <c r="B463" s="279">
        <v>11102</v>
      </c>
      <c r="C463" s="279" t="s">
        <v>278</v>
      </c>
      <c r="D463" s="285">
        <v>3</v>
      </c>
    </row>
    <row r="464" spans="1:20" ht="15" customHeight="1">
      <c r="A464" s="278" t="str">
        <f t="shared" si="41"/>
        <v>FB_AI_BUF_S.XVLX</v>
      </c>
      <c r="B464" s="279">
        <v>11103</v>
      </c>
      <c r="C464" s="279" t="s">
        <v>278</v>
      </c>
      <c r="D464" s="285">
        <v>4</v>
      </c>
    </row>
    <row r="465" spans="1:16" ht="15" customHeight="1">
      <c r="A465" s="278" t="str">
        <f t="shared" si="41"/>
        <v>FB_AI_BUF_S.XVLX</v>
      </c>
      <c r="B465" s="279">
        <v>10</v>
      </c>
      <c r="C465" s="279" t="s">
        <v>80</v>
      </c>
      <c r="D465" s="285">
        <v>1</v>
      </c>
    </row>
    <row r="466" spans="1:16" ht="15" customHeight="1">
      <c r="A466" s="278" t="str">
        <f t="shared" si="41"/>
        <v>FB_AI_BUF_S.XVLX</v>
      </c>
      <c r="B466" s="279">
        <v>11</v>
      </c>
      <c r="C466" s="279" t="s">
        <v>80</v>
      </c>
      <c r="D466" s="285">
        <v>2</v>
      </c>
    </row>
    <row r="467" spans="1:16" ht="15" customHeight="1">
      <c r="A467" s="286" t="str">
        <f t="shared" si="41"/>
        <v>FB_AI_BUF_S.XVLX</v>
      </c>
      <c r="B467" s="279">
        <v>7011</v>
      </c>
      <c r="C467" s="279" t="s">
        <v>2</v>
      </c>
      <c r="D467" s="285" t="s">
        <v>266</v>
      </c>
      <c r="E467" s="4"/>
      <c r="F467" s="4"/>
      <c r="G467" s="4"/>
      <c r="H467" s="4"/>
      <c r="I467" s="4"/>
      <c r="J467" s="4"/>
      <c r="K467" s="4"/>
      <c r="L467" s="4"/>
      <c r="M467" s="4"/>
      <c r="N467" s="4"/>
      <c r="O467" s="4"/>
      <c r="P467" s="4"/>
    </row>
    <row r="468" spans="1:16" ht="15" customHeight="1">
      <c r="A468" s="286" t="str">
        <f t="shared" si="41"/>
        <v>FB_AI_BUF_S.XVLX</v>
      </c>
      <c r="B468" s="279">
        <v>9002</v>
      </c>
      <c r="C468" s="279" t="s">
        <v>0</v>
      </c>
      <c r="D468" s="285">
        <v>2</v>
      </c>
      <c r="E468" s="4"/>
      <c r="F468" s="4"/>
      <c r="G468" s="4"/>
      <c r="H468" s="4"/>
      <c r="I468" s="4"/>
      <c r="J468" s="4"/>
      <c r="K468" s="4"/>
      <c r="L468" s="4"/>
      <c r="M468" s="4"/>
      <c r="N468" s="4"/>
      <c r="O468" s="4"/>
      <c r="P468" s="4"/>
    </row>
    <row r="469" spans="1:16" ht="15" customHeight="1">
      <c r="A469" s="287" t="str">
        <f t="shared" si="41"/>
        <v>FB_AI_BUF_S.XVLX</v>
      </c>
      <c r="B469" s="282">
        <v>12</v>
      </c>
      <c r="C469" s="282" t="s">
        <v>2</v>
      </c>
      <c r="D469" s="283" t="s">
        <v>175</v>
      </c>
      <c r="E469" s="4"/>
      <c r="F469" s="4"/>
      <c r="G469" s="4"/>
      <c r="H469" s="4"/>
      <c r="I469" s="4"/>
      <c r="J469" s="4"/>
      <c r="K469" s="4"/>
      <c r="L469" s="4"/>
      <c r="M469" s="4"/>
      <c r="N469" s="4"/>
      <c r="O469" s="4"/>
      <c r="P469" s="4"/>
    </row>
    <row r="470" spans="1:16" ht="15" customHeight="1">
      <c r="A470" s="275" t="str">
        <f t="shared" ref="A470:A475" si="42">$R$2&amp;".XVXX"</f>
        <v>FB_AI_BUF_S.XVXX</v>
      </c>
      <c r="B470" s="276">
        <v>7999</v>
      </c>
      <c r="C470" s="276" t="s">
        <v>0</v>
      </c>
      <c r="D470" s="277" t="str">
        <f>"#"&amp;$S$2&amp;"#"&amp;$T$2&amp;"\"&amp;$P$2&amp;"\XVXX"</f>
        <v>#1#treiOPCDA.CoOPCserv.1\pcmaster\TT_VOS\XVXX</v>
      </c>
      <c r="E470" s="4"/>
      <c r="F470" s="4"/>
      <c r="G470" s="4"/>
      <c r="H470" s="4"/>
      <c r="I470" s="4"/>
      <c r="J470" s="4"/>
      <c r="K470" s="4"/>
      <c r="L470" s="4"/>
      <c r="M470" s="4"/>
      <c r="N470" s="4"/>
      <c r="O470" s="4"/>
      <c r="P470" s="4"/>
    </row>
    <row r="471" spans="1:16" ht="15" customHeight="1">
      <c r="A471" s="278" t="str">
        <f t="shared" si="42"/>
        <v>FB_AI_BUF_S.XVXX</v>
      </c>
      <c r="B471" s="279">
        <v>7998</v>
      </c>
      <c r="C471" s="279" t="s">
        <v>6</v>
      </c>
      <c r="D471" s="280">
        <v>1</v>
      </c>
      <c r="E471" s="4"/>
      <c r="F471" s="4"/>
      <c r="G471" s="4"/>
      <c r="H471" s="4"/>
      <c r="I471" s="4"/>
      <c r="J471" s="4"/>
      <c r="K471" s="4"/>
      <c r="L471" s="4"/>
      <c r="M471" s="4"/>
      <c r="N471" s="4"/>
      <c r="O471" s="4"/>
      <c r="P471" s="4"/>
    </row>
    <row r="472" spans="1:16" ht="15" customHeight="1">
      <c r="A472" s="278" t="str">
        <f t="shared" si="42"/>
        <v>FB_AI_BUF_S.XVXX</v>
      </c>
      <c r="B472" s="279">
        <v>101</v>
      </c>
      <c r="C472" s="279" t="s">
        <v>0</v>
      </c>
      <c r="D472" s="280" t="s">
        <v>234</v>
      </c>
      <c r="E472" s="4"/>
      <c r="F472" s="4"/>
      <c r="G472" s="4"/>
      <c r="H472" s="4"/>
      <c r="I472" s="4"/>
      <c r="J472" s="4"/>
      <c r="K472" s="4"/>
      <c r="L472" s="4"/>
      <c r="M472" s="4"/>
      <c r="N472" s="4"/>
      <c r="O472" s="4"/>
      <c r="P472" s="4"/>
    </row>
    <row r="473" spans="1:16" ht="15" customHeight="1">
      <c r="A473" s="278" t="str">
        <f t="shared" si="42"/>
        <v>FB_AI_BUF_S.XVXX</v>
      </c>
      <c r="B473" s="279">
        <v>3</v>
      </c>
      <c r="C473" s="279" t="s">
        <v>1</v>
      </c>
      <c r="D473" s="280">
        <v>192</v>
      </c>
      <c r="E473" s="4"/>
      <c r="F473" s="4"/>
      <c r="G473" s="4"/>
      <c r="H473" s="4"/>
      <c r="I473" s="4"/>
      <c r="J473" s="4"/>
      <c r="K473" s="4"/>
      <c r="L473" s="4"/>
      <c r="M473" s="4"/>
      <c r="N473" s="4"/>
      <c r="O473" s="4"/>
      <c r="P473" s="4"/>
    </row>
    <row r="474" spans="1:16" ht="15" customHeight="1">
      <c r="A474" s="278" t="str">
        <f t="shared" si="42"/>
        <v>FB_AI_BUF_S.XVXX</v>
      </c>
      <c r="B474" s="279">
        <v>2</v>
      </c>
      <c r="C474" s="279" t="s">
        <v>80</v>
      </c>
      <c r="D474" s="280">
        <v>0</v>
      </c>
      <c r="E474" s="4"/>
      <c r="F474" s="4"/>
      <c r="G474" s="4"/>
      <c r="H474" s="4"/>
      <c r="I474" s="4"/>
      <c r="J474" s="4"/>
      <c r="K474" s="4"/>
      <c r="L474" s="4"/>
      <c r="M474" s="4"/>
      <c r="N474" s="4"/>
      <c r="O474" s="4"/>
      <c r="P474" s="4"/>
    </row>
    <row r="475" spans="1:16" ht="15" customHeight="1">
      <c r="A475" s="278" t="str">
        <f t="shared" si="42"/>
        <v>FB_AI_BUF_S.XVXX</v>
      </c>
      <c r="B475" s="279">
        <v>1</v>
      </c>
      <c r="C475" s="279" t="s">
        <v>1</v>
      </c>
      <c r="D475" s="280">
        <v>4</v>
      </c>
      <c r="E475" s="4"/>
      <c r="F475" s="4"/>
      <c r="G475" s="4"/>
      <c r="H475" s="4"/>
      <c r="I475" s="4"/>
      <c r="J475" s="4"/>
      <c r="K475" s="4"/>
      <c r="L475" s="4"/>
      <c r="M475" s="4"/>
      <c r="N475" s="4"/>
      <c r="O475" s="4"/>
      <c r="P475" s="4"/>
    </row>
    <row r="476" spans="1:16" ht="15" customHeight="1">
      <c r="A476" s="275" t="str">
        <f t="shared" ref="A476:A481" si="43">$R$2&amp;".SZCX"</f>
        <v>FB_AI_BUF_S.SZCX</v>
      </c>
      <c r="B476" s="276">
        <v>7999</v>
      </c>
      <c r="C476" s="276" t="s">
        <v>0</v>
      </c>
      <c r="D476" s="277" t="str">
        <f>"#"&amp;$S$2&amp;"#"&amp;$T$2&amp;"\"&amp;$P$2&amp;"\SZCX"</f>
        <v>#1#treiOPCDA.CoOPCserv.1\pcmaster\TT_VOS\SZCX</v>
      </c>
      <c r="E476" s="4"/>
      <c r="F476" s="4"/>
      <c r="G476" s="4"/>
      <c r="H476" s="4"/>
      <c r="I476" s="4"/>
      <c r="J476" s="4"/>
      <c r="K476" s="4"/>
      <c r="L476" s="4"/>
      <c r="M476" s="4"/>
      <c r="N476" s="4"/>
      <c r="O476" s="4"/>
      <c r="P476" s="4"/>
    </row>
    <row r="477" spans="1:16" ht="15" customHeight="1">
      <c r="A477" s="278" t="str">
        <f t="shared" si="43"/>
        <v>FB_AI_BUF_S.SZCX</v>
      </c>
      <c r="B477" s="279">
        <v>7998</v>
      </c>
      <c r="C477" s="279" t="s">
        <v>6</v>
      </c>
      <c r="D477" s="280">
        <v>1</v>
      </c>
    </row>
    <row r="478" spans="1:16" ht="15" customHeight="1">
      <c r="A478" s="278" t="str">
        <f t="shared" si="43"/>
        <v>FB_AI_BUF_S.SZCX</v>
      </c>
      <c r="B478" s="279">
        <v>101</v>
      </c>
      <c r="C478" s="279" t="s">
        <v>0</v>
      </c>
      <c r="D478" s="280" t="s">
        <v>35</v>
      </c>
    </row>
    <row r="479" spans="1:16" ht="15" customHeight="1">
      <c r="A479" s="278" t="str">
        <f t="shared" si="43"/>
        <v>FB_AI_BUF_S.SZCX</v>
      </c>
      <c r="B479" s="279">
        <v>3</v>
      </c>
      <c r="C479" s="279" t="s">
        <v>1</v>
      </c>
      <c r="D479" s="280">
        <v>192</v>
      </c>
    </row>
    <row r="480" spans="1:16" ht="15" customHeight="1">
      <c r="A480" s="278" t="str">
        <f t="shared" si="43"/>
        <v>FB_AI_BUF_S.SZCX</v>
      </c>
      <c r="B480" s="279">
        <v>2</v>
      </c>
      <c r="C480" s="279" t="s">
        <v>80</v>
      </c>
      <c r="D480" s="280">
        <v>0</v>
      </c>
    </row>
    <row r="481" spans="1:4" ht="15" customHeight="1">
      <c r="A481" s="281" t="str">
        <f t="shared" si="43"/>
        <v>FB_AI_BUF_S.SZCX</v>
      </c>
      <c r="B481" s="282">
        <v>1</v>
      </c>
      <c r="C481" s="282" t="s">
        <v>1</v>
      </c>
      <c r="D481" s="283">
        <v>4</v>
      </c>
    </row>
    <row r="482" spans="1:4" ht="15" customHeight="1">
      <c r="A482" s="266" t="str">
        <f t="shared" ref="A482:A487" si="44">$R$2&amp;".STSX"</f>
        <v>FB_AI_BUF_S.STSX</v>
      </c>
      <c r="B482" s="267">
        <v>7999</v>
      </c>
      <c r="C482" s="267" t="s">
        <v>0</v>
      </c>
      <c r="D482" s="268" t="str">
        <f>"#"&amp;$S$2&amp;"#"&amp;$T$2&amp;"\"&amp;$P$2&amp;"\STSX"</f>
        <v>#1#treiOPCDA.CoOPCserv.1\pcmaster\TT_VOS\STSX</v>
      </c>
    </row>
    <row r="483" spans="1:4" ht="15" customHeight="1">
      <c r="A483" s="269" t="str">
        <f t="shared" si="44"/>
        <v>FB_AI_BUF_S.STSX</v>
      </c>
      <c r="B483" s="270">
        <v>7998</v>
      </c>
      <c r="C483" s="270" t="s">
        <v>6</v>
      </c>
      <c r="D483" s="271">
        <v>1</v>
      </c>
    </row>
    <row r="484" spans="1:4" ht="15" customHeight="1">
      <c r="A484" s="269" t="str">
        <f t="shared" si="44"/>
        <v>FB_AI_BUF_S.STSX</v>
      </c>
      <c r="B484" s="270">
        <v>101</v>
      </c>
      <c r="C484" s="270" t="s">
        <v>0</v>
      </c>
      <c r="D484" s="271" t="s">
        <v>34</v>
      </c>
    </row>
    <row r="485" spans="1:4" ht="15" customHeight="1">
      <c r="A485" s="269" t="str">
        <f t="shared" si="44"/>
        <v>FB_AI_BUF_S.STSX</v>
      </c>
      <c r="B485" s="270">
        <v>3</v>
      </c>
      <c r="C485" s="270" t="s">
        <v>1</v>
      </c>
      <c r="D485" s="271">
        <v>192</v>
      </c>
    </row>
    <row r="486" spans="1:4" ht="15" customHeight="1">
      <c r="A486" s="269" t="str">
        <f t="shared" si="44"/>
        <v>FB_AI_BUF_S.STSX</v>
      </c>
      <c r="B486" s="270">
        <v>2</v>
      </c>
      <c r="C486" s="270" t="s">
        <v>6</v>
      </c>
      <c r="D486" s="271">
        <v>0</v>
      </c>
    </row>
    <row r="487" spans="1:4" ht="15" customHeight="1">
      <c r="A487" s="272" t="str">
        <f t="shared" si="44"/>
        <v>FB_AI_BUF_S.STSX</v>
      </c>
      <c r="B487" s="273">
        <v>1</v>
      </c>
      <c r="C487" s="273" t="s">
        <v>1</v>
      </c>
      <c r="D487" s="274">
        <v>3</v>
      </c>
    </row>
    <row r="488" spans="1:4" ht="15" customHeight="1">
      <c r="A488" s="266" t="str">
        <f t="shared" ref="A488:A493" si="45">$R$2&amp;".SFTX"</f>
        <v>FB_AI_BUF_S.SFTX</v>
      </c>
      <c r="B488" s="267">
        <v>7999</v>
      </c>
      <c r="C488" s="267" t="s">
        <v>0</v>
      </c>
      <c r="D488" s="268" t="str">
        <f>"#"&amp;$S$2&amp;"#"&amp;$T$2&amp;"\"&amp;$P$2&amp;"\SFTX"</f>
        <v>#1#treiOPCDA.CoOPCserv.1\pcmaster\TT_VOS\SFTX</v>
      </c>
    </row>
    <row r="489" spans="1:4" ht="15" customHeight="1">
      <c r="A489" s="269" t="str">
        <f t="shared" si="45"/>
        <v>FB_AI_BUF_S.SFTX</v>
      </c>
      <c r="B489" s="270">
        <v>7998</v>
      </c>
      <c r="C489" s="270" t="s">
        <v>6</v>
      </c>
      <c r="D489" s="271">
        <v>1</v>
      </c>
    </row>
    <row r="490" spans="1:4" ht="15" customHeight="1">
      <c r="A490" s="269" t="str">
        <f t="shared" si="45"/>
        <v>FB_AI_BUF_S.SFTX</v>
      </c>
      <c r="B490" s="270">
        <v>101</v>
      </c>
      <c r="C490" s="270" t="s">
        <v>0</v>
      </c>
      <c r="D490" s="271" t="s">
        <v>25</v>
      </c>
    </row>
    <row r="491" spans="1:4" ht="15" customHeight="1">
      <c r="A491" s="269" t="str">
        <f t="shared" si="45"/>
        <v>FB_AI_BUF_S.SFTX</v>
      </c>
      <c r="B491" s="270">
        <v>3</v>
      </c>
      <c r="C491" s="270" t="s">
        <v>1</v>
      </c>
      <c r="D491" s="271">
        <v>192</v>
      </c>
    </row>
    <row r="492" spans="1:4" ht="15" customHeight="1">
      <c r="A492" s="269" t="str">
        <f t="shared" si="45"/>
        <v>FB_AI_BUF_S.SFTX</v>
      </c>
      <c r="B492" s="270">
        <v>2</v>
      </c>
      <c r="C492" s="270" t="s">
        <v>6</v>
      </c>
      <c r="D492" s="271">
        <v>0</v>
      </c>
    </row>
    <row r="493" spans="1:4" ht="15" customHeight="1">
      <c r="A493" s="272" t="str">
        <f t="shared" si="45"/>
        <v>FB_AI_BUF_S.SFTX</v>
      </c>
      <c r="B493" s="273">
        <v>1</v>
      </c>
      <c r="C493" s="273" t="s">
        <v>1</v>
      </c>
      <c r="D493" s="274">
        <v>3</v>
      </c>
    </row>
    <row r="494" spans="1:4" ht="15" customHeight="1">
      <c r="A494" s="269" t="str">
        <f t="shared" ref="A494:A499" si="46">$R$2&amp;".DSTX"</f>
        <v>FB_AI_BUF_S.DSTX</v>
      </c>
      <c r="B494" s="267">
        <v>7999</v>
      </c>
      <c r="C494" s="267" t="s">
        <v>0</v>
      </c>
      <c r="D494" s="268" t="str">
        <f>"#"&amp;$S$2&amp;"#"&amp;$T$2&amp;"\"&amp;$P$2&amp;"\DSTX"</f>
        <v>#1#treiOPCDA.CoOPCserv.1\pcmaster\TT_VOS\DSTX</v>
      </c>
    </row>
    <row r="495" spans="1:4" ht="15" customHeight="1">
      <c r="A495" s="269" t="str">
        <f t="shared" si="46"/>
        <v>FB_AI_BUF_S.DSTX</v>
      </c>
      <c r="B495" s="270">
        <v>7998</v>
      </c>
      <c r="C495" s="270" t="s">
        <v>6</v>
      </c>
      <c r="D495" s="271">
        <v>1</v>
      </c>
    </row>
    <row r="496" spans="1:4" ht="15" customHeight="1">
      <c r="A496" s="269" t="str">
        <f t="shared" si="46"/>
        <v>FB_AI_BUF_S.DSTX</v>
      </c>
      <c r="B496" s="270">
        <v>101</v>
      </c>
      <c r="C496" s="270" t="s">
        <v>0</v>
      </c>
      <c r="D496" s="271" t="s">
        <v>709</v>
      </c>
    </row>
    <row r="497" spans="1:4" ht="15" customHeight="1">
      <c r="A497" s="269" t="str">
        <f t="shared" si="46"/>
        <v>FB_AI_BUF_S.DSTX</v>
      </c>
      <c r="B497" s="270">
        <v>3</v>
      </c>
      <c r="C497" s="270" t="s">
        <v>1</v>
      </c>
      <c r="D497" s="271">
        <v>192</v>
      </c>
    </row>
    <row r="498" spans="1:4" ht="15" customHeight="1">
      <c r="A498" s="269" t="str">
        <f t="shared" si="46"/>
        <v>FB_AI_BUF_S.DSTX</v>
      </c>
      <c r="B498" s="270">
        <v>2</v>
      </c>
      <c r="C498" s="270" t="s">
        <v>6</v>
      </c>
      <c r="D498" s="271">
        <v>0</v>
      </c>
    </row>
    <row r="499" spans="1:4" ht="15" customHeight="1">
      <c r="A499" s="272" t="str">
        <f t="shared" si="46"/>
        <v>FB_AI_BUF_S.DSTX</v>
      </c>
      <c r="B499" s="273">
        <v>1</v>
      </c>
      <c r="C499" s="273" t="s">
        <v>1</v>
      </c>
      <c r="D499" s="274">
        <v>3</v>
      </c>
    </row>
    <row r="500" spans="1:4" ht="15" customHeight="1">
      <c r="A500" s="148" t="str">
        <f t="shared" ref="A500:A508" si="47">$R$2&amp;".BUF.XHAS"</f>
        <v>FB_AI_BUF_S.BUF.XHAS</v>
      </c>
      <c r="B500" s="157">
        <v>7050</v>
      </c>
      <c r="C500" s="157" t="s">
        <v>0</v>
      </c>
      <c r="D500" s="197" t="str">
        <f>"&lt;Addr AnswerSignalType=©0© Protocol=©IEC4Std© Type=©Protocol© ProtocolType=©30© Address=©XXX© ModuleNo=©" &amp; $T$9&amp; "© Role=©Master© Station=©" &amp; $T$11 &amp; "©  /&gt;"</f>
        <v>&lt;Addr AnswerSignalType=©0© Protocol=©IEC4Std© Type=©Protocol© ProtocolType=©30© Address=©XXX© ModuleNo=©1© Role=©Master© Station=©1©  /&gt;</v>
      </c>
    </row>
    <row r="501" spans="1:4" ht="15" customHeight="1">
      <c r="A501" s="148" t="str">
        <f t="shared" si="47"/>
        <v>FB_AI_BUF_S.BUF.XHAS</v>
      </c>
      <c r="B501" s="149">
        <v>11154</v>
      </c>
      <c r="C501" s="149" t="s">
        <v>4</v>
      </c>
      <c r="D501" s="150">
        <f>$S$5</f>
        <v>23</v>
      </c>
    </row>
    <row r="502" spans="1:4" ht="15" customHeight="1">
      <c r="A502" s="148" t="str">
        <f t="shared" si="47"/>
        <v>FB_AI_BUF_S.BUF.XHAS</v>
      </c>
      <c r="B502" s="149">
        <v>11152</v>
      </c>
      <c r="C502" s="149" t="s">
        <v>0</v>
      </c>
      <c r="D502" s="151" t="str">
        <f>$R$5</f>
        <v>Авария</v>
      </c>
    </row>
    <row r="503" spans="1:4" ht="15" customHeight="1">
      <c r="A503" s="148" t="str">
        <f t="shared" si="47"/>
        <v>FB_AI_BUF_S.BUF.XHAS</v>
      </c>
      <c r="B503" s="149">
        <v>11150</v>
      </c>
      <c r="C503" s="149" t="s">
        <v>0</v>
      </c>
      <c r="D503" s="125" t="s">
        <v>85</v>
      </c>
    </row>
    <row r="504" spans="1:4" ht="15" customHeight="1">
      <c r="A504" s="148" t="str">
        <f t="shared" si="47"/>
        <v>FB_AI_BUF_S.BUF.XHAS</v>
      </c>
      <c r="B504" s="149">
        <v>11000</v>
      </c>
      <c r="C504" s="149" t="s">
        <v>5</v>
      </c>
      <c r="D504" s="125">
        <v>2147483680</v>
      </c>
    </row>
    <row r="505" spans="1:4" ht="15" customHeight="1">
      <c r="A505" s="19" t="str">
        <f t="shared" si="47"/>
        <v>FB_AI_BUF_S.BUF.XHAS</v>
      </c>
      <c r="B505" s="11">
        <v>101</v>
      </c>
      <c r="C505" s="11" t="s">
        <v>0</v>
      </c>
      <c r="D505" s="20" t="s">
        <v>46</v>
      </c>
    </row>
    <row r="506" spans="1:4" ht="15" customHeight="1">
      <c r="A506" s="19" t="str">
        <f t="shared" si="47"/>
        <v>FB_AI_BUF_S.BUF.XHAS</v>
      </c>
      <c r="B506" s="11">
        <v>3</v>
      </c>
      <c r="C506" s="11" t="s">
        <v>1</v>
      </c>
      <c r="D506" s="20">
        <v>192</v>
      </c>
    </row>
    <row r="507" spans="1:4" ht="15" customHeight="1">
      <c r="A507" s="19" t="str">
        <f t="shared" si="47"/>
        <v>FB_AI_BUF_S.BUF.XHAS</v>
      </c>
      <c r="B507" s="11">
        <v>2</v>
      </c>
      <c r="C507" s="11" t="s">
        <v>2</v>
      </c>
      <c r="D507" s="20" t="s">
        <v>3</v>
      </c>
    </row>
    <row r="508" spans="1:4" ht="15" customHeight="1">
      <c r="A508" s="21" t="str">
        <f t="shared" si="47"/>
        <v>FB_AI_BUF_S.BUF.XHAS</v>
      </c>
      <c r="B508" s="8">
        <v>1</v>
      </c>
      <c r="C508" s="8" t="s">
        <v>1</v>
      </c>
      <c r="D508" s="22">
        <v>11</v>
      </c>
    </row>
    <row r="509" spans="1:4" ht="15" customHeight="1">
      <c r="A509" s="148" t="str">
        <f t="shared" ref="A509:A517" si="48">$R$2&amp;".BUF.XLAS"</f>
        <v>FB_AI_BUF_S.BUF.XLAS</v>
      </c>
      <c r="B509" s="157">
        <v>7050</v>
      </c>
      <c r="C509" s="157" t="s">
        <v>0</v>
      </c>
      <c r="D509" s="197" t="str">
        <f>"&lt;Addr AnswerSignalType=©0© Protocol=©IEC4Std© Type=©Protocol© ProtocolType=©30© Address=©XXX© ModuleNo=©" &amp; $T$9&amp; "© Role=©Master© Station=©" &amp; $T$11 &amp; "©  /&gt;"</f>
        <v>&lt;Addr AnswerSignalType=©0© Protocol=©IEC4Std© Type=©Protocol© ProtocolType=©30© Address=©XXX© ModuleNo=©1© Role=©Master© Station=©1©  /&gt;</v>
      </c>
    </row>
    <row r="510" spans="1:4" ht="15" customHeight="1">
      <c r="A510" s="148" t="str">
        <f t="shared" si="48"/>
        <v>FB_AI_BUF_S.BUF.XLAS</v>
      </c>
      <c r="B510" s="149">
        <v>11154</v>
      </c>
      <c r="C510" s="149" t="s">
        <v>4</v>
      </c>
      <c r="D510" s="150">
        <f>$S$5</f>
        <v>23</v>
      </c>
    </row>
    <row r="511" spans="1:4" ht="15" customHeight="1">
      <c r="A511" s="148" t="str">
        <f t="shared" si="48"/>
        <v>FB_AI_BUF_S.BUF.XLAS</v>
      </c>
      <c r="B511" s="149">
        <v>11152</v>
      </c>
      <c r="C511" s="149" t="s">
        <v>0</v>
      </c>
      <c r="D511" s="151" t="str">
        <f>$R$5</f>
        <v>Авария</v>
      </c>
    </row>
    <row r="512" spans="1:4" ht="15" customHeight="1">
      <c r="A512" s="148" t="str">
        <f t="shared" si="48"/>
        <v>FB_AI_BUF_S.BUF.XLAS</v>
      </c>
      <c r="B512" s="149">
        <v>11150</v>
      </c>
      <c r="C512" s="149" t="s">
        <v>0</v>
      </c>
      <c r="D512" s="125" t="s">
        <v>87</v>
      </c>
    </row>
    <row r="513" spans="1:4" ht="15" customHeight="1">
      <c r="A513" s="148" t="str">
        <f t="shared" si="48"/>
        <v>FB_AI_BUF_S.BUF.XLAS</v>
      </c>
      <c r="B513" s="149">
        <v>11000</v>
      </c>
      <c r="C513" s="149" t="s">
        <v>5</v>
      </c>
      <c r="D513" s="125">
        <v>2147483680</v>
      </c>
    </row>
    <row r="514" spans="1:4" ht="15" customHeight="1">
      <c r="A514" s="19" t="str">
        <f t="shared" si="48"/>
        <v>FB_AI_BUF_S.BUF.XLAS</v>
      </c>
      <c r="B514" s="11">
        <v>101</v>
      </c>
      <c r="C514" s="11" t="s">
        <v>0</v>
      </c>
      <c r="D514" s="20" t="s">
        <v>48</v>
      </c>
    </row>
    <row r="515" spans="1:4" ht="15" customHeight="1">
      <c r="A515" s="19" t="str">
        <f t="shared" si="48"/>
        <v>FB_AI_BUF_S.BUF.XLAS</v>
      </c>
      <c r="B515" s="11">
        <v>3</v>
      </c>
      <c r="C515" s="11" t="s">
        <v>1</v>
      </c>
      <c r="D515" s="20">
        <v>192</v>
      </c>
    </row>
    <row r="516" spans="1:4" ht="15" customHeight="1">
      <c r="A516" s="19" t="str">
        <f t="shared" si="48"/>
        <v>FB_AI_BUF_S.BUF.XLAS</v>
      </c>
      <c r="B516" s="11">
        <v>2</v>
      </c>
      <c r="C516" s="11" t="s">
        <v>2</v>
      </c>
      <c r="D516" s="20" t="s">
        <v>3</v>
      </c>
    </row>
    <row r="517" spans="1:4" ht="15" customHeight="1">
      <c r="A517" s="21" t="str">
        <f t="shared" si="48"/>
        <v>FB_AI_BUF_S.BUF.XLAS</v>
      </c>
      <c r="B517" s="8">
        <v>1</v>
      </c>
      <c r="C517" s="8" t="s">
        <v>1</v>
      </c>
      <c r="D517" s="22">
        <v>11</v>
      </c>
    </row>
    <row r="518" spans="1:4" ht="15" customHeight="1">
      <c r="A518" s="63" t="str">
        <f t="shared" ref="A518:A526" si="49">$R$2&amp;".BUF.XDAX"</f>
        <v>FB_AI_BUF_S.BUF.XDAX</v>
      </c>
      <c r="B518" s="70">
        <v>7050</v>
      </c>
      <c r="C518" s="70" t="s">
        <v>0</v>
      </c>
      <c r="D518" s="71" t="str">
        <f>"&lt;Addr AnswerSignalType=©0© Protocol=©IEC4Std© Type=©Protocol© ProtocolType=©30© Address=©XXX© ModuleNo=©" &amp; $T$9&amp; "© Role=©Master© Station=©" &amp; $T$11 &amp; "©  /&gt;"</f>
        <v>&lt;Addr AnswerSignalType=©0© Protocol=©IEC4Std© Type=©Protocol© ProtocolType=©30© Address=©XXX© ModuleNo=©1© Role=©Master© Station=©1©  /&gt;</v>
      </c>
    </row>
    <row r="519" spans="1:4" ht="15" customHeight="1">
      <c r="A519" s="63" t="str">
        <f t="shared" si="49"/>
        <v>FB_AI_BUF_S.BUF.XDAX</v>
      </c>
      <c r="B519" s="64">
        <v>11152</v>
      </c>
      <c r="C519" s="64" t="s">
        <v>0</v>
      </c>
      <c r="D519" s="129" t="str">
        <f>$R$6</f>
        <v>Предупреждение</v>
      </c>
    </row>
    <row r="520" spans="1:4" ht="15" customHeight="1">
      <c r="A520" s="63" t="str">
        <f t="shared" si="49"/>
        <v>FB_AI_BUF_S.BUF.XDAX</v>
      </c>
      <c r="B520" s="64">
        <v>11154</v>
      </c>
      <c r="C520" s="64" t="s">
        <v>4</v>
      </c>
      <c r="D520" s="98">
        <f>$S$6</f>
        <v>24</v>
      </c>
    </row>
    <row r="521" spans="1:4" ht="15" customHeight="1">
      <c r="A521" s="63" t="str">
        <f t="shared" si="49"/>
        <v>FB_AI_BUF_S.BUF.XDAX</v>
      </c>
      <c r="B521" s="64">
        <v>11150</v>
      </c>
      <c r="C521" s="64" t="s">
        <v>0</v>
      </c>
      <c r="D521" s="65" t="s">
        <v>11</v>
      </c>
    </row>
    <row r="522" spans="1:4" ht="15" customHeight="1">
      <c r="A522" s="63" t="str">
        <f t="shared" si="49"/>
        <v>FB_AI_BUF_S.BUF.XDAX</v>
      </c>
      <c r="B522" s="64">
        <v>11000</v>
      </c>
      <c r="C522" s="64" t="s">
        <v>5</v>
      </c>
      <c r="D522" s="65">
        <v>2147483680</v>
      </c>
    </row>
    <row r="523" spans="1:4" ht="15" customHeight="1">
      <c r="A523" s="19" t="str">
        <f t="shared" si="49"/>
        <v>FB_AI_BUF_S.BUF.XDAX</v>
      </c>
      <c r="B523" s="11">
        <v>101</v>
      </c>
      <c r="C523" s="11" t="s">
        <v>0</v>
      </c>
      <c r="D523" s="20" t="s">
        <v>11</v>
      </c>
    </row>
    <row r="524" spans="1:4" ht="15" customHeight="1">
      <c r="A524" s="19" t="str">
        <f t="shared" si="49"/>
        <v>FB_AI_BUF_S.BUF.XDAX</v>
      </c>
      <c r="B524" s="11">
        <v>3</v>
      </c>
      <c r="C524" s="11" t="s">
        <v>1</v>
      </c>
      <c r="D524" s="20">
        <v>192</v>
      </c>
    </row>
    <row r="525" spans="1:4" ht="15" customHeight="1">
      <c r="A525" s="19" t="str">
        <f t="shared" si="49"/>
        <v>FB_AI_BUF_S.BUF.XDAX</v>
      </c>
      <c r="B525" s="11">
        <v>2</v>
      </c>
      <c r="C525" s="11" t="s">
        <v>2</v>
      </c>
      <c r="D525" s="20" t="s">
        <v>3</v>
      </c>
    </row>
    <row r="526" spans="1:4" ht="15" customHeight="1">
      <c r="A526" s="21" t="str">
        <f t="shared" si="49"/>
        <v>FB_AI_BUF_S.BUF.XDAX</v>
      </c>
      <c r="B526" s="8">
        <v>1</v>
      </c>
      <c r="C526" s="8" t="s">
        <v>1</v>
      </c>
      <c r="D526" s="22">
        <v>11</v>
      </c>
    </row>
    <row r="527" spans="1:4" ht="15" customHeight="1">
      <c r="A527" s="63" t="str">
        <f t="shared" ref="A527:A535" si="50">$R$2&amp;".BUF.XHWS"</f>
        <v>FB_AI_BUF_S.BUF.XHWS</v>
      </c>
      <c r="B527" s="70">
        <v>7050</v>
      </c>
      <c r="C527" s="70" t="s">
        <v>0</v>
      </c>
      <c r="D527" s="71" t="str">
        <f>"&lt;Addr AnswerSignalType=©0© Protocol=©IEC4Std© Type=©Protocol© ProtocolType=©30© Address=©XXX© ModuleNo=©" &amp; $T$9&amp; "© Role=©Master© Station=©" &amp; $T$11 &amp; "©  /&gt;"</f>
        <v>&lt;Addr AnswerSignalType=©0© Protocol=©IEC4Std© Type=©Protocol© ProtocolType=©30© Address=©XXX© ModuleNo=©1© Role=©Master© Station=©1©  /&gt;</v>
      </c>
    </row>
    <row r="528" spans="1:4" ht="15" customHeight="1">
      <c r="A528" s="63" t="str">
        <f t="shared" si="50"/>
        <v>FB_AI_BUF_S.BUF.XHWS</v>
      </c>
      <c r="B528" s="64">
        <v>11154</v>
      </c>
      <c r="C528" s="64" t="s">
        <v>4</v>
      </c>
      <c r="D528" s="98">
        <f>$S$6</f>
        <v>24</v>
      </c>
    </row>
    <row r="529" spans="1:4" ht="15" customHeight="1">
      <c r="A529" s="63" t="str">
        <f t="shared" si="50"/>
        <v>FB_AI_BUF_S.BUF.XHWS</v>
      </c>
      <c r="B529" s="64">
        <v>11152</v>
      </c>
      <c r="C529" s="64" t="s">
        <v>0</v>
      </c>
      <c r="D529" s="129" t="str">
        <f>$R$6</f>
        <v>Предупреждение</v>
      </c>
    </row>
    <row r="530" spans="1:4" ht="15" customHeight="1">
      <c r="A530" s="63" t="str">
        <f t="shared" si="50"/>
        <v>FB_AI_BUF_S.BUF.XHWS</v>
      </c>
      <c r="B530" s="64">
        <v>11150</v>
      </c>
      <c r="C530" s="64" t="s">
        <v>0</v>
      </c>
      <c r="D530" s="65" t="s">
        <v>86</v>
      </c>
    </row>
    <row r="531" spans="1:4" ht="15" customHeight="1">
      <c r="A531" s="63" t="str">
        <f t="shared" si="50"/>
        <v>FB_AI_BUF_S.BUF.XHWS</v>
      </c>
      <c r="B531" s="64">
        <v>11000</v>
      </c>
      <c r="C531" s="64" t="s">
        <v>5</v>
      </c>
      <c r="D531" s="65">
        <v>2147483680</v>
      </c>
    </row>
    <row r="532" spans="1:4" ht="15" customHeight="1">
      <c r="A532" s="19" t="str">
        <f t="shared" si="50"/>
        <v>FB_AI_BUF_S.BUF.XHWS</v>
      </c>
      <c r="B532" s="11">
        <v>101</v>
      </c>
      <c r="C532" s="11" t="s">
        <v>0</v>
      </c>
      <c r="D532" s="20" t="s">
        <v>47</v>
      </c>
    </row>
    <row r="533" spans="1:4" ht="15" customHeight="1">
      <c r="A533" s="19" t="str">
        <f t="shared" si="50"/>
        <v>FB_AI_BUF_S.BUF.XHWS</v>
      </c>
      <c r="B533" s="11">
        <v>3</v>
      </c>
      <c r="C533" s="11" t="s">
        <v>1</v>
      </c>
      <c r="D533" s="20">
        <v>192</v>
      </c>
    </row>
    <row r="534" spans="1:4" ht="15" customHeight="1">
      <c r="A534" s="19" t="str">
        <f t="shared" si="50"/>
        <v>FB_AI_BUF_S.BUF.XHWS</v>
      </c>
      <c r="B534" s="11">
        <v>2</v>
      </c>
      <c r="C534" s="11" t="s">
        <v>2</v>
      </c>
      <c r="D534" s="20" t="s">
        <v>3</v>
      </c>
    </row>
    <row r="535" spans="1:4" s="1" customFormat="1" ht="15" customHeight="1">
      <c r="A535" s="21" t="str">
        <f t="shared" si="50"/>
        <v>FB_AI_BUF_S.BUF.XHWS</v>
      </c>
      <c r="B535" s="8">
        <v>1</v>
      </c>
      <c r="C535" s="8" t="s">
        <v>1</v>
      </c>
      <c r="D535" s="22">
        <v>11</v>
      </c>
    </row>
    <row r="536" spans="1:4" s="1" customFormat="1" ht="15" customHeight="1">
      <c r="A536" s="63" t="str">
        <f t="shared" ref="A536:A544" si="51">$R$2&amp;".BUF.XLWS"</f>
        <v>FB_AI_BUF_S.BUF.XLWS</v>
      </c>
      <c r="B536" s="70">
        <v>7050</v>
      </c>
      <c r="C536" s="70" t="s">
        <v>0</v>
      </c>
      <c r="D536" s="71" t="str">
        <f>"&lt;Addr AnswerSignalType=©0© Protocol=©IEC4Std© Type=©Protocol© ProtocolType=©30© Address=©XXX© ModuleNo=©" &amp; $T$9&amp; "© Role=©Master© Station=©" &amp; $T$11 &amp; "©  /&gt;"</f>
        <v>&lt;Addr AnswerSignalType=©0© Protocol=©IEC4Std© Type=©Protocol© ProtocolType=©30© Address=©XXX© ModuleNo=©1© Role=©Master© Station=©1©  /&gt;</v>
      </c>
    </row>
    <row r="537" spans="1:4" s="1" customFormat="1" ht="15" customHeight="1">
      <c r="A537" s="63" t="str">
        <f t="shared" si="51"/>
        <v>FB_AI_BUF_S.BUF.XLWS</v>
      </c>
      <c r="B537" s="64">
        <v>11154</v>
      </c>
      <c r="C537" s="64" t="s">
        <v>4</v>
      </c>
      <c r="D537" s="98">
        <f>$S$6</f>
        <v>24</v>
      </c>
    </row>
    <row r="538" spans="1:4" ht="15" customHeight="1">
      <c r="A538" s="63" t="str">
        <f t="shared" si="51"/>
        <v>FB_AI_BUF_S.BUF.XLWS</v>
      </c>
      <c r="B538" s="64">
        <v>11152</v>
      </c>
      <c r="C538" s="64" t="s">
        <v>0</v>
      </c>
      <c r="D538" s="129" t="str">
        <f>$R$6</f>
        <v>Предупреждение</v>
      </c>
    </row>
    <row r="539" spans="1:4" ht="15" customHeight="1">
      <c r="A539" s="63" t="str">
        <f t="shared" si="51"/>
        <v>FB_AI_BUF_S.BUF.XLWS</v>
      </c>
      <c r="B539" s="64">
        <v>11150</v>
      </c>
      <c r="C539" s="64" t="s">
        <v>0</v>
      </c>
      <c r="D539" s="65" t="s">
        <v>88</v>
      </c>
    </row>
    <row r="540" spans="1:4" ht="15" customHeight="1">
      <c r="A540" s="63" t="str">
        <f t="shared" si="51"/>
        <v>FB_AI_BUF_S.BUF.XLWS</v>
      </c>
      <c r="B540" s="64">
        <v>11000</v>
      </c>
      <c r="C540" s="64" t="s">
        <v>5</v>
      </c>
      <c r="D540" s="65">
        <v>2147483680</v>
      </c>
    </row>
    <row r="541" spans="1:4" ht="15" customHeight="1">
      <c r="A541" s="19" t="str">
        <f t="shared" si="51"/>
        <v>FB_AI_BUF_S.BUF.XLWS</v>
      </c>
      <c r="B541" s="11">
        <v>101</v>
      </c>
      <c r="C541" s="11" t="s">
        <v>0</v>
      </c>
      <c r="D541" s="20" t="s">
        <v>49</v>
      </c>
    </row>
    <row r="542" spans="1:4" ht="15" customHeight="1">
      <c r="A542" s="19" t="str">
        <f t="shared" si="51"/>
        <v>FB_AI_BUF_S.BUF.XLWS</v>
      </c>
      <c r="B542" s="11">
        <v>3</v>
      </c>
      <c r="C542" s="11" t="s">
        <v>1</v>
      </c>
      <c r="D542" s="20">
        <v>192</v>
      </c>
    </row>
    <row r="543" spans="1:4" ht="15" customHeight="1">
      <c r="A543" s="19" t="str">
        <f t="shared" si="51"/>
        <v>FB_AI_BUF_S.BUF.XLWS</v>
      </c>
      <c r="B543" s="11">
        <v>2</v>
      </c>
      <c r="C543" s="11" t="s">
        <v>2</v>
      </c>
      <c r="D543" s="20" t="s">
        <v>3</v>
      </c>
    </row>
    <row r="544" spans="1:4" ht="15" customHeight="1">
      <c r="A544" s="19" t="str">
        <f t="shared" si="51"/>
        <v>FB_AI_BUF_S.BUF.XLWS</v>
      </c>
      <c r="B544" s="11">
        <v>1</v>
      </c>
      <c r="C544" s="11" t="s">
        <v>1</v>
      </c>
      <c r="D544" s="20">
        <v>11</v>
      </c>
    </row>
    <row r="545" spans="1:4" s="1" customFormat="1" ht="15" customHeight="1">
      <c r="A545" s="69" t="str">
        <f t="shared" ref="A545:A553" si="52">$R$2&amp;".BUF.FSLX"</f>
        <v>FB_AI_BUF_S.BUF.FSLX</v>
      </c>
      <c r="B545" s="70">
        <v>7050</v>
      </c>
      <c r="C545" s="70" t="s">
        <v>0</v>
      </c>
      <c r="D545" s="71" t="str">
        <f>"&lt;Addr AnswerSignalType=©0© Protocol=©IEC4Std© Type=©Protocol© ProtocolType=©30© Address=©XXX© ModuleNo=©" &amp; $T$9&amp; "© Role=©Master© Station=©" &amp; $T$11 &amp; "©  /&gt;"</f>
        <v>&lt;Addr AnswerSignalType=©0© Protocol=©IEC4Std© Type=©Protocol© ProtocolType=©30© Address=©XXX© ModuleNo=©1© Role=©Master© Station=©1©  /&gt;</v>
      </c>
    </row>
    <row r="546" spans="1:4" ht="15" customHeight="1">
      <c r="A546" s="63" t="str">
        <f t="shared" si="52"/>
        <v>FB_AI_BUF_S.BUF.FSLX</v>
      </c>
      <c r="B546" s="64">
        <v>11154</v>
      </c>
      <c r="C546" s="64" t="s">
        <v>4</v>
      </c>
      <c r="D546" s="98">
        <f>$S$6</f>
        <v>24</v>
      </c>
    </row>
    <row r="547" spans="1:4" ht="15" customHeight="1">
      <c r="A547" s="63" t="str">
        <f t="shared" si="52"/>
        <v>FB_AI_BUF_S.BUF.FSLX</v>
      </c>
      <c r="B547" s="64">
        <v>11152</v>
      </c>
      <c r="C547" s="64" t="s">
        <v>0</v>
      </c>
      <c r="D547" s="99" t="str">
        <f>$R$6</f>
        <v>Предупреждение</v>
      </c>
    </row>
    <row r="548" spans="1:4" ht="15" customHeight="1">
      <c r="A548" s="63" t="str">
        <f t="shared" si="52"/>
        <v>FB_AI_BUF_S.BUF.FSLX</v>
      </c>
      <c r="B548" s="64">
        <v>11150</v>
      </c>
      <c r="C548" s="64" t="s">
        <v>0</v>
      </c>
      <c r="D548" s="65" t="s">
        <v>40</v>
      </c>
    </row>
    <row r="549" spans="1:4" ht="15" customHeight="1">
      <c r="A549" s="63" t="str">
        <f t="shared" si="52"/>
        <v>FB_AI_BUF_S.BUF.FSLX</v>
      </c>
      <c r="B549" s="64">
        <v>11000</v>
      </c>
      <c r="C549" s="64" t="s">
        <v>5</v>
      </c>
      <c r="D549" s="65">
        <v>2147483680</v>
      </c>
    </row>
    <row r="550" spans="1:4" ht="15" customHeight="1">
      <c r="A550" s="19" t="str">
        <f t="shared" si="52"/>
        <v>FB_AI_BUF_S.BUF.FSLX</v>
      </c>
      <c r="B550" s="11">
        <v>101</v>
      </c>
      <c r="C550" s="11" t="s">
        <v>0</v>
      </c>
      <c r="D550" s="20" t="s">
        <v>40</v>
      </c>
    </row>
    <row r="551" spans="1:4" ht="15" customHeight="1">
      <c r="A551" s="19" t="str">
        <f t="shared" si="52"/>
        <v>FB_AI_BUF_S.BUF.FSLX</v>
      </c>
      <c r="B551" s="11">
        <v>3</v>
      </c>
      <c r="C551" s="11" t="s">
        <v>1</v>
      </c>
      <c r="D551" s="20">
        <v>192</v>
      </c>
    </row>
    <row r="552" spans="1:4" ht="15" customHeight="1">
      <c r="A552" s="19" t="str">
        <f t="shared" si="52"/>
        <v>FB_AI_BUF_S.BUF.FSLX</v>
      </c>
      <c r="B552" s="11">
        <v>2</v>
      </c>
      <c r="C552" s="11" t="s">
        <v>2</v>
      </c>
      <c r="D552" s="20" t="s">
        <v>3</v>
      </c>
    </row>
    <row r="553" spans="1:4" ht="15" customHeight="1">
      <c r="A553" s="21" t="str">
        <f t="shared" si="52"/>
        <v>FB_AI_BUF_S.BUF.FSLX</v>
      </c>
      <c r="B553" s="8">
        <v>1</v>
      </c>
      <c r="C553" s="8" t="s">
        <v>1</v>
      </c>
      <c r="D553" s="22">
        <v>11</v>
      </c>
    </row>
    <row r="554" spans="1:4">
      <c r="A554" s="217" t="str">
        <f t="shared" ref="A554:A562" si="53">$R$2&amp;".BUF.FBXX"</f>
        <v>FB_AI_BUF_S.BUF.FBXX</v>
      </c>
      <c r="B554" s="218">
        <v>7050</v>
      </c>
      <c r="C554" s="218" t="s">
        <v>0</v>
      </c>
      <c r="D554" s="231" t="str">
        <f>"&lt;Addr AnswerSignalType=©0© Protocol=©IEC4Std© Type=©Protocol© ProtocolType=©30© Address=©XXX© ModuleNo=©" &amp; $T$9&amp; "© Role=©Master© Station=©" &amp; $T$11 &amp; "©  /&gt;"</f>
        <v>&lt;Addr AnswerSignalType=©0© Protocol=©IEC4Std© Type=©Protocol© ProtocolType=©30© Address=©XXX© ModuleNo=©1© Role=©Master© Station=©1©  /&gt;</v>
      </c>
    </row>
    <row r="555" spans="1:4">
      <c r="A555" s="211" t="str">
        <f t="shared" si="53"/>
        <v>FB_AI_BUF_S.BUF.FBXX</v>
      </c>
      <c r="B555" s="212">
        <v>11154</v>
      </c>
      <c r="C555" s="212" t="s">
        <v>4</v>
      </c>
      <c r="D555" s="221">
        <f>$S$7</f>
        <v>25</v>
      </c>
    </row>
    <row r="556" spans="1:4">
      <c r="A556" s="211" t="str">
        <f t="shared" si="53"/>
        <v>FB_AI_BUF_S.BUF.FBXX</v>
      </c>
      <c r="B556" s="212">
        <v>11152</v>
      </c>
      <c r="C556" s="212" t="s">
        <v>0</v>
      </c>
      <c r="D556" s="220" t="str">
        <f>$R$7</f>
        <v>Неисправность</v>
      </c>
    </row>
    <row r="557" spans="1:4">
      <c r="A557" s="211" t="str">
        <f t="shared" si="53"/>
        <v>FB_AI_BUF_S.BUF.FBXX</v>
      </c>
      <c r="B557" s="212">
        <v>11150</v>
      </c>
      <c r="C557" s="212" t="s">
        <v>0</v>
      </c>
      <c r="D557" s="213" t="s">
        <v>36</v>
      </c>
    </row>
    <row r="558" spans="1:4">
      <c r="A558" s="211" t="str">
        <f t="shared" si="53"/>
        <v>FB_AI_BUF_S.BUF.FBXX</v>
      </c>
      <c r="B558" s="212">
        <v>11000</v>
      </c>
      <c r="C558" s="212" t="s">
        <v>5</v>
      </c>
      <c r="D558" s="213">
        <v>2147483680</v>
      </c>
    </row>
    <row r="559" spans="1:4">
      <c r="A559" s="19" t="str">
        <f t="shared" si="53"/>
        <v>FB_AI_BUF_S.BUF.FBXX</v>
      </c>
      <c r="B559" s="11">
        <v>101</v>
      </c>
      <c r="C559" s="11" t="s">
        <v>0</v>
      </c>
      <c r="D559" s="20" t="s">
        <v>36</v>
      </c>
    </row>
    <row r="560" spans="1:4">
      <c r="A560" s="19" t="str">
        <f t="shared" si="53"/>
        <v>FB_AI_BUF_S.BUF.FBXX</v>
      </c>
      <c r="B560" s="11">
        <v>3</v>
      </c>
      <c r="C560" s="11" t="s">
        <v>1</v>
      </c>
      <c r="D560" s="20">
        <v>192</v>
      </c>
    </row>
    <row r="561" spans="1:4">
      <c r="A561" s="19" t="str">
        <f t="shared" si="53"/>
        <v>FB_AI_BUF_S.BUF.FBXX</v>
      </c>
      <c r="B561" s="11">
        <v>2</v>
      </c>
      <c r="C561" s="11" t="s">
        <v>2</v>
      </c>
      <c r="D561" s="20" t="s">
        <v>3</v>
      </c>
    </row>
    <row r="562" spans="1:4">
      <c r="A562" s="21" t="str">
        <f t="shared" si="53"/>
        <v>FB_AI_BUF_S.BUF.FBXX</v>
      </c>
      <c r="B562" s="8">
        <v>1</v>
      </c>
      <c r="C562" s="8" t="s">
        <v>1</v>
      </c>
      <c r="D562" s="22">
        <v>11</v>
      </c>
    </row>
    <row r="563" spans="1:4">
      <c r="A563" s="217" t="str">
        <f t="shared" ref="A563:A571" si="54">$R$2&amp;".BUF.FSCX"</f>
        <v>FB_AI_BUF_S.BUF.FSCX</v>
      </c>
      <c r="B563" s="218">
        <v>7050</v>
      </c>
      <c r="C563" s="218" t="s">
        <v>0</v>
      </c>
      <c r="D563" s="231" t="str">
        <f>"&lt;Addr AnswerSignalType=©0© Protocol=©IEC4Std© Type=©Protocol© ProtocolType=©30© Address=©XXX© ModuleNo=©" &amp; $T$9&amp; "© Role=©Master© Station=©" &amp; $T$11 &amp; "©  /&gt;"</f>
        <v>&lt;Addr AnswerSignalType=©0© Protocol=©IEC4Std© Type=©Protocol© ProtocolType=©30© Address=©XXX© ModuleNo=©1© Role=©Master© Station=©1©  /&gt;</v>
      </c>
    </row>
    <row r="564" spans="1:4">
      <c r="A564" s="211" t="str">
        <f t="shared" si="54"/>
        <v>FB_AI_BUF_S.BUF.FSCX</v>
      </c>
      <c r="B564" s="212">
        <v>11154</v>
      </c>
      <c r="C564" s="212" t="s">
        <v>4</v>
      </c>
      <c r="D564" s="221">
        <f>$S$7</f>
        <v>25</v>
      </c>
    </row>
    <row r="565" spans="1:4">
      <c r="A565" s="211" t="str">
        <f t="shared" si="54"/>
        <v>FB_AI_BUF_S.BUF.FSCX</v>
      </c>
      <c r="B565" s="212">
        <v>11152</v>
      </c>
      <c r="C565" s="212" t="s">
        <v>0</v>
      </c>
      <c r="D565" s="220" t="str">
        <f>$R$7</f>
        <v>Неисправность</v>
      </c>
    </row>
    <row r="566" spans="1:4">
      <c r="A566" s="211" t="str">
        <f t="shared" si="54"/>
        <v>FB_AI_BUF_S.BUF.FSCX</v>
      </c>
      <c r="B566" s="212">
        <v>11150</v>
      </c>
      <c r="C566" s="212" t="s">
        <v>0</v>
      </c>
      <c r="D566" s="213" t="s">
        <v>37</v>
      </c>
    </row>
    <row r="567" spans="1:4">
      <c r="A567" s="211" t="str">
        <f t="shared" si="54"/>
        <v>FB_AI_BUF_S.BUF.FSCX</v>
      </c>
      <c r="B567" s="212">
        <v>11000</v>
      </c>
      <c r="C567" s="212" t="s">
        <v>5</v>
      </c>
      <c r="D567" s="213">
        <v>2147483680</v>
      </c>
    </row>
    <row r="568" spans="1:4">
      <c r="A568" s="19" t="str">
        <f t="shared" si="54"/>
        <v>FB_AI_BUF_S.BUF.FSCX</v>
      </c>
      <c r="B568" s="11">
        <v>101</v>
      </c>
      <c r="C568" s="11" t="s">
        <v>0</v>
      </c>
      <c r="D568" s="20" t="s">
        <v>37</v>
      </c>
    </row>
    <row r="569" spans="1:4">
      <c r="A569" s="19" t="str">
        <f t="shared" si="54"/>
        <v>FB_AI_BUF_S.BUF.FSCX</v>
      </c>
      <c r="B569" s="11">
        <v>3</v>
      </c>
      <c r="C569" s="11" t="s">
        <v>1</v>
      </c>
      <c r="D569" s="20">
        <v>192</v>
      </c>
    </row>
    <row r="570" spans="1:4">
      <c r="A570" s="19" t="str">
        <f t="shared" si="54"/>
        <v>FB_AI_BUF_S.BUF.FSCX</v>
      </c>
      <c r="B570" s="11">
        <v>2</v>
      </c>
      <c r="C570" s="11" t="s">
        <v>2</v>
      </c>
      <c r="D570" s="20" t="s">
        <v>3</v>
      </c>
    </row>
    <row r="571" spans="1:4">
      <c r="A571" s="21" t="str">
        <f t="shared" si="54"/>
        <v>FB_AI_BUF_S.BUF.FSCX</v>
      </c>
      <c r="B571" s="8">
        <v>1</v>
      </c>
      <c r="C571" s="8" t="s">
        <v>1</v>
      </c>
      <c r="D571" s="22">
        <v>11</v>
      </c>
    </row>
    <row r="572" spans="1:4">
      <c r="A572" s="217" t="str">
        <f t="shared" ref="A572:A580" si="55">$R$2&amp;".BUF.FHSX"</f>
        <v>FB_AI_BUF_S.BUF.FHSX</v>
      </c>
      <c r="B572" s="218">
        <v>7050</v>
      </c>
      <c r="C572" s="218" t="s">
        <v>0</v>
      </c>
      <c r="D572" s="231" t="str">
        <f>"&lt;Addr AnswerSignalType=©0© Protocol=©IEC4Std© Type=©Protocol© ProtocolType=©30© Address=©XXX© ModuleNo=©" &amp; $T$9&amp; "© Role=©Master© Station=©" &amp; $T$11 &amp; "©  /&gt;"</f>
        <v>&lt;Addr AnswerSignalType=©0© Protocol=©IEC4Std© Type=©Protocol© ProtocolType=©30© Address=©XXX© ModuleNo=©1© Role=©Master© Station=©1©  /&gt;</v>
      </c>
    </row>
    <row r="573" spans="1:4">
      <c r="A573" s="211" t="str">
        <f t="shared" si="55"/>
        <v>FB_AI_BUF_S.BUF.FHSX</v>
      </c>
      <c r="B573" s="212">
        <v>11154</v>
      </c>
      <c r="C573" s="212" t="s">
        <v>4</v>
      </c>
      <c r="D573" s="221">
        <f>$S$7</f>
        <v>25</v>
      </c>
    </row>
    <row r="574" spans="1:4">
      <c r="A574" s="211" t="str">
        <f t="shared" si="55"/>
        <v>FB_AI_BUF_S.BUF.FHSX</v>
      </c>
      <c r="B574" s="212">
        <v>11152</v>
      </c>
      <c r="C574" s="212" t="s">
        <v>0</v>
      </c>
      <c r="D574" s="220" t="str">
        <f>$R$7</f>
        <v>Неисправность</v>
      </c>
    </row>
    <row r="575" spans="1:4">
      <c r="A575" s="211" t="str">
        <f t="shared" si="55"/>
        <v>FB_AI_BUF_S.BUF.FHSX</v>
      </c>
      <c r="B575" s="212">
        <v>11150</v>
      </c>
      <c r="C575" s="212" t="s">
        <v>0</v>
      </c>
      <c r="D575" s="213" t="s">
        <v>38</v>
      </c>
    </row>
    <row r="576" spans="1:4">
      <c r="A576" s="211" t="str">
        <f t="shared" si="55"/>
        <v>FB_AI_BUF_S.BUF.FHSX</v>
      </c>
      <c r="B576" s="212">
        <v>11000</v>
      </c>
      <c r="C576" s="212" t="s">
        <v>5</v>
      </c>
      <c r="D576" s="213">
        <v>2147483680</v>
      </c>
    </row>
    <row r="577" spans="1:4">
      <c r="A577" s="19" t="str">
        <f t="shared" si="55"/>
        <v>FB_AI_BUF_S.BUF.FHSX</v>
      </c>
      <c r="B577" s="11">
        <v>101</v>
      </c>
      <c r="C577" s="11" t="s">
        <v>0</v>
      </c>
      <c r="D577" s="20" t="s">
        <v>38</v>
      </c>
    </row>
    <row r="578" spans="1:4">
      <c r="A578" s="19" t="str">
        <f t="shared" si="55"/>
        <v>FB_AI_BUF_S.BUF.FHSX</v>
      </c>
      <c r="B578" s="11">
        <v>3</v>
      </c>
      <c r="C578" s="11" t="s">
        <v>1</v>
      </c>
      <c r="D578" s="20">
        <v>192</v>
      </c>
    </row>
    <row r="579" spans="1:4">
      <c r="A579" s="19" t="str">
        <f t="shared" si="55"/>
        <v>FB_AI_BUF_S.BUF.FHSX</v>
      </c>
      <c r="B579" s="11">
        <v>2</v>
      </c>
      <c r="C579" s="11" t="s">
        <v>2</v>
      </c>
      <c r="D579" s="20" t="s">
        <v>3</v>
      </c>
    </row>
    <row r="580" spans="1:4">
      <c r="A580" s="21" t="str">
        <f t="shared" si="55"/>
        <v>FB_AI_BUF_S.BUF.FHSX</v>
      </c>
      <c r="B580" s="8">
        <v>1</v>
      </c>
      <c r="C580" s="8" t="s">
        <v>1</v>
      </c>
      <c r="D580" s="22">
        <v>11</v>
      </c>
    </row>
    <row r="581" spans="1:4">
      <c r="A581" s="217" t="str">
        <f t="shared" ref="A581:A589" si="56">$R$2&amp;".BUF.FLSX"</f>
        <v>FB_AI_BUF_S.BUF.FLSX</v>
      </c>
      <c r="B581" s="218">
        <v>7050</v>
      </c>
      <c r="C581" s="218" t="s">
        <v>0</v>
      </c>
      <c r="D581" s="231" t="str">
        <f>"&lt;Addr AnswerSignalType=©0© Protocol=©IEC4Std© Type=©Protocol© ProtocolType=©30© Address=©XXX© ModuleNo=©" &amp; $T$9&amp; "© Role=©Master© Station=©" &amp; $T$11 &amp; "©  /&gt;"</f>
        <v>&lt;Addr AnswerSignalType=©0© Protocol=©IEC4Std© Type=©Protocol© ProtocolType=©30© Address=©XXX© ModuleNo=©1© Role=©Master© Station=©1©  /&gt;</v>
      </c>
    </row>
    <row r="582" spans="1:4">
      <c r="A582" s="211" t="str">
        <f t="shared" si="56"/>
        <v>FB_AI_BUF_S.BUF.FLSX</v>
      </c>
      <c r="B582" s="212">
        <v>11154</v>
      </c>
      <c r="C582" s="212" t="s">
        <v>4</v>
      </c>
      <c r="D582" s="221">
        <f>$S$7</f>
        <v>25</v>
      </c>
    </row>
    <row r="583" spans="1:4">
      <c r="A583" s="211" t="str">
        <f t="shared" si="56"/>
        <v>FB_AI_BUF_S.BUF.FLSX</v>
      </c>
      <c r="B583" s="212">
        <v>11152</v>
      </c>
      <c r="C583" s="212" t="s">
        <v>0</v>
      </c>
      <c r="D583" s="220" t="str">
        <f>$R$7</f>
        <v>Неисправность</v>
      </c>
    </row>
    <row r="584" spans="1:4">
      <c r="A584" s="211" t="str">
        <f t="shared" si="56"/>
        <v>FB_AI_BUF_S.BUF.FLSX</v>
      </c>
      <c r="B584" s="212">
        <v>11150</v>
      </c>
      <c r="C584" s="212" t="s">
        <v>0</v>
      </c>
      <c r="D584" s="213" t="s">
        <v>39</v>
      </c>
    </row>
    <row r="585" spans="1:4">
      <c r="A585" s="211" t="str">
        <f t="shared" si="56"/>
        <v>FB_AI_BUF_S.BUF.FLSX</v>
      </c>
      <c r="B585" s="212">
        <v>11000</v>
      </c>
      <c r="C585" s="212" t="s">
        <v>5</v>
      </c>
      <c r="D585" s="213">
        <v>2147483680</v>
      </c>
    </row>
    <row r="586" spans="1:4">
      <c r="A586" s="19" t="str">
        <f t="shared" si="56"/>
        <v>FB_AI_BUF_S.BUF.FLSX</v>
      </c>
      <c r="B586" s="11">
        <v>101</v>
      </c>
      <c r="C586" s="11" t="s">
        <v>0</v>
      </c>
      <c r="D586" s="20" t="s">
        <v>39</v>
      </c>
    </row>
    <row r="587" spans="1:4">
      <c r="A587" s="19" t="str">
        <f t="shared" si="56"/>
        <v>FB_AI_BUF_S.BUF.FLSX</v>
      </c>
      <c r="B587" s="11">
        <v>3</v>
      </c>
      <c r="C587" s="11" t="s">
        <v>1</v>
      </c>
      <c r="D587" s="20">
        <v>192</v>
      </c>
    </row>
    <row r="588" spans="1:4">
      <c r="A588" s="19" t="str">
        <f t="shared" si="56"/>
        <v>FB_AI_BUF_S.BUF.FLSX</v>
      </c>
      <c r="B588" s="11">
        <v>2</v>
      </c>
      <c r="C588" s="11" t="s">
        <v>2</v>
      </c>
      <c r="D588" s="20" t="s">
        <v>3</v>
      </c>
    </row>
    <row r="589" spans="1:4">
      <c r="A589" s="21" t="str">
        <f t="shared" si="56"/>
        <v>FB_AI_BUF_S.BUF.FLSX</v>
      </c>
      <c r="B589" s="8">
        <v>1</v>
      </c>
      <c r="C589" s="8" t="s">
        <v>1</v>
      </c>
      <c r="D589" s="22">
        <v>11</v>
      </c>
    </row>
    <row r="590" spans="1:4">
      <c r="A590" s="650" t="str">
        <f t="shared" ref="A590:A598" si="57">$R$2&amp;".BUF.BHAX"</f>
        <v>FB_AI_BUF_S.BUF.BHAX</v>
      </c>
      <c r="B590" s="651">
        <v>7050</v>
      </c>
      <c r="C590" s="651" t="s">
        <v>0</v>
      </c>
      <c r="D590" s="652" t="str">
        <f>"&lt;Addr AnswerSignalType=©0© Protocol=©IEC4Std© Type=©Protocol© ProtocolType=©30© Address=©XXX© ModuleNo=©" &amp; $T$9&amp; "© Role=©Master© Station=©" &amp; $T$11 &amp; "©  /&gt;"</f>
        <v>&lt;Addr AnswerSignalType=©0© Protocol=©IEC4Std© Type=©Protocol© ProtocolType=©30© Address=©XXX© ModuleNo=©1© Role=©Master© Station=©1©  /&gt;</v>
      </c>
    </row>
    <row r="591" spans="1:4">
      <c r="A591" s="105" t="str">
        <f t="shared" si="57"/>
        <v>FB_AI_BUF_S.BUF.BHAX</v>
      </c>
      <c r="B591" s="106">
        <v>11154</v>
      </c>
      <c r="C591" s="106" t="s">
        <v>4</v>
      </c>
      <c r="D591" s="107">
        <f>$S$8</f>
        <v>26</v>
      </c>
    </row>
    <row r="592" spans="1:4">
      <c r="A592" s="105" t="str">
        <f t="shared" si="57"/>
        <v>FB_AI_BUF_S.BUF.BHAX</v>
      </c>
      <c r="B592" s="106">
        <v>11150</v>
      </c>
      <c r="C592" s="106" t="s">
        <v>0</v>
      </c>
      <c r="D592" s="108" t="s">
        <v>7</v>
      </c>
    </row>
    <row r="593" spans="1:4">
      <c r="A593" s="105" t="str">
        <f t="shared" si="57"/>
        <v>FB_AI_BUF_S.BUF.BHAX</v>
      </c>
      <c r="B593" s="106">
        <v>11152</v>
      </c>
      <c r="C593" s="106" t="s">
        <v>0</v>
      </c>
      <c r="D593" s="109" t="str">
        <f>$R$8</f>
        <v>Телесигнализация</v>
      </c>
    </row>
    <row r="594" spans="1:4">
      <c r="A594" s="105" t="str">
        <f t="shared" si="57"/>
        <v>FB_AI_BUF_S.BUF.BHAX</v>
      </c>
      <c r="B594" s="106">
        <v>11000</v>
      </c>
      <c r="C594" s="106" t="s">
        <v>5</v>
      </c>
      <c r="D594" s="108">
        <v>2147483680</v>
      </c>
    </row>
    <row r="595" spans="1:4">
      <c r="A595" s="19" t="str">
        <f t="shared" si="57"/>
        <v>FB_AI_BUF_S.BUF.BHAX</v>
      </c>
      <c r="B595" s="11">
        <v>101</v>
      </c>
      <c r="C595" s="11" t="s">
        <v>0</v>
      </c>
      <c r="D595" s="20" t="s">
        <v>7</v>
      </c>
    </row>
    <row r="596" spans="1:4">
      <c r="A596" s="19" t="str">
        <f t="shared" si="57"/>
        <v>FB_AI_BUF_S.BUF.BHAX</v>
      </c>
      <c r="B596" s="11">
        <v>3</v>
      </c>
      <c r="C596" s="11" t="s">
        <v>1</v>
      </c>
      <c r="D596" s="20">
        <v>192</v>
      </c>
    </row>
    <row r="597" spans="1:4">
      <c r="A597" s="19" t="str">
        <f t="shared" si="57"/>
        <v>FB_AI_BUF_S.BUF.BHAX</v>
      </c>
      <c r="B597" s="11">
        <v>2</v>
      </c>
      <c r="C597" s="11" t="s">
        <v>2</v>
      </c>
      <c r="D597" s="20" t="s">
        <v>3</v>
      </c>
    </row>
    <row r="598" spans="1:4">
      <c r="A598" s="21" t="str">
        <f t="shared" si="57"/>
        <v>FB_AI_BUF_S.BUF.BHAX</v>
      </c>
      <c r="B598" s="8">
        <v>1</v>
      </c>
      <c r="C598" s="8" t="s">
        <v>1</v>
      </c>
      <c r="D598" s="22">
        <v>11</v>
      </c>
    </row>
    <row r="599" spans="1:4">
      <c r="A599" s="650" t="str">
        <f t="shared" ref="A599:A607" si="58">$R$2&amp;".BUF.BHWX"</f>
        <v>FB_AI_BUF_S.BUF.BHWX</v>
      </c>
      <c r="B599" s="651">
        <v>7050</v>
      </c>
      <c r="C599" s="651" t="s">
        <v>0</v>
      </c>
      <c r="D599" s="652" t="str">
        <f>"&lt;Addr AnswerSignalType=©0© Protocol=©IEC4Std© Type=©Protocol© ProtocolType=©30© Address=©XXX© ModuleNo=©" &amp; $T$9&amp; "© Role=©Master© Station=©" &amp; $T$11 &amp; "©  /&gt;"</f>
        <v>&lt;Addr AnswerSignalType=©0© Protocol=©IEC4Std© Type=©Protocol© ProtocolType=©30© Address=©XXX© ModuleNo=©1© Role=©Master© Station=©1©  /&gt;</v>
      </c>
    </row>
    <row r="600" spans="1:4">
      <c r="A600" s="105" t="str">
        <f t="shared" si="58"/>
        <v>FB_AI_BUF_S.BUF.BHWX</v>
      </c>
      <c r="B600" s="106">
        <v>11154</v>
      </c>
      <c r="C600" s="106" t="s">
        <v>4</v>
      </c>
      <c r="D600" s="107">
        <f>$S$8</f>
        <v>26</v>
      </c>
    </row>
    <row r="601" spans="1:4">
      <c r="A601" s="105" t="str">
        <f t="shared" si="58"/>
        <v>FB_AI_BUF_S.BUF.BHWX</v>
      </c>
      <c r="B601" s="106">
        <v>11150</v>
      </c>
      <c r="C601" s="106" t="s">
        <v>0</v>
      </c>
      <c r="D601" s="108" t="s">
        <v>8</v>
      </c>
    </row>
    <row r="602" spans="1:4">
      <c r="A602" s="105" t="str">
        <f t="shared" si="58"/>
        <v>FB_AI_BUF_S.BUF.BHWX</v>
      </c>
      <c r="B602" s="106">
        <v>11152</v>
      </c>
      <c r="C602" s="106" t="s">
        <v>0</v>
      </c>
      <c r="D602" s="109" t="str">
        <f>$R$8</f>
        <v>Телесигнализация</v>
      </c>
    </row>
    <row r="603" spans="1:4">
      <c r="A603" s="105" t="str">
        <f t="shared" si="58"/>
        <v>FB_AI_BUF_S.BUF.BHWX</v>
      </c>
      <c r="B603" s="106">
        <v>11000</v>
      </c>
      <c r="C603" s="106" t="s">
        <v>5</v>
      </c>
      <c r="D603" s="108">
        <v>2147483680</v>
      </c>
    </row>
    <row r="604" spans="1:4">
      <c r="A604" s="19" t="str">
        <f t="shared" si="58"/>
        <v>FB_AI_BUF_S.BUF.BHWX</v>
      </c>
      <c r="B604" s="11">
        <v>101</v>
      </c>
      <c r="C604" s="11" t="s">
        <v>0</v>
      </c>
      <c r="D604" s="20" t="s">
        <v>8</v>
      </c>
    </row>
    <row r="605" spans="1:4">
      <c r="A605" s="19" t="str">
        <f t="shared" si="58"/>
        <v>FB_AI_BUF_S.BUF.BHWX</v>
      </c>
      <c r="B605" s="11">
        <v>3</v>
      </c>
      <c r="C605" s="11" t="s">
        <v>1</v>
      </c>
      <c r="D605" s="20">
        <v>192</v>
      </c>
    </row>
    <row r="606" spans="1:4">
      <c r="A606" s="19" t="str">
        <f t="shared" si="58"/>
        <v>FB_AI_BUF_S.BUF.BHWX</v>
      </c>
      <c r="B606" s="11">
        <v>2</v>
      </c>
      <c r="C606" s="11" t="s">
        <v>2</v>
      </c>
      <c r="D606" s="20" t="s">
        <v>3</v>
      </c>
    </row>
    <row r="607" spans="1:4">
      <c r="A607" s="21" t="str">
        <f t="shared" si="58"/>
        <v>FB_AI_BUF_S.BUF.BHWX</v>
      </c>
      <c r="B607" s="8">
        <v>1</v>
      </c>
      <c r="C607" s="8" t="s">
        <v>1</v>
      </c>
      <c r="D607" s="22">
        <v>11</v>
      </c>
    </row>
    <row r="608" spans="1:4">
      <c r="A608" s="650" t="str">
        <f t="shared" ref="A608:A616" si="59">$R$2&amp;".BUF.BLAX"</f>
        <v>FB_AI_BUF_S.BUF.BLAX</v>
      </c>
      <c r="B608" s="651">
        <v>7050</v>
      </c>
      <c r="C608" s="651" t="s">
        <v>0</v>
      </c>
      <c r="D608" s="652" t="str">
        <f>"&lt;Addr AnswerSignalType=©0© Protocol=©IEC4Std© Type=©Protocol© ProtocolType=©30© Address=©XXX© ModuleNo=©" &amp; $T$9&amp; "© Role=©Master© Station=©" &amp; $T$11 &amp; "©  /&gt;"</f>
        <v>&lt;Addr AnswerSignalType=©0© Protocol=©IEC4Std© Type=©Protocol© ProtocolType=©30© Address=©XXX© ModuleNo=©1© Role=©Master© Station=©1©  /&gt;</v>
      </c>
    </row>
    <row r="609" spans="1:4">
      <c r="A609" s="105" t="str">
        <f t="shared" si="59"/>
        <v>FB_AI_BUF_S.BUF.BLAX</v>
      </c>
      <c r="B609" s="106">
        <v>11154</v>
      </c>
      <c r="C609" s="106" t="s">
        <v>4</v>
      </c>
      <c r="D609" s="107">
        <f>$S$8</f>
        <v>26</v>
      </c>
    </row>
    <row r="610" spans="1:4">
      <c r="A610" s="105" t="str">
        <f t="shared" si="59"/>
        <v>FB_AI_BUF_S.BUF.BLAX</v>
      </c>
      <c r="B610" s="106">
        <v>11150</v>
      </c>
      <c r="C610" s="106" t="s">
        <v>0</v>
      </c>
      <c r="D610" s="108" t="s">
        <v>9</v>
      </c>
    </row>
    <row r="611" spans="1:4">
      <c r="A611" s="105" t="str">
        <f t="shared" si="59"/>
        <v>FB_AI_BUF_S.BUF.BLAX</v>
      </c>
      <c r="B611" s="106">
        <v>11152</v>
      </c>
      <c r="C611" s="106" t="s">
        <v>0</v>
      </c>
      <c r="D611" s="109" t="str">
        <f>$R$8</f>
        <v>Телесигнализация</v>
      </c>
    </row>
    <row r="612" spans="1:4">
      <c r="A612" s="105" t="str">
        <f t="shared" si="59"/>
        <v>FB_AI_BUF_S.BUF.BLAX</v>
      </c>
      <c r="B612" s="106">
        <v>11000</v>
      </c>
      <c r="C612" s="106" t="s">
        <v>5</v>
      </c>
      <c r="D612" s="108">
        <v>2147483680</v>
      </c>
    </row>
    <row r="613" spans="1:4">
      <c r="A613" s="19" t="str">
        <f t="shared" si="59"/>
        <v>FB_AI_BUF_S.BUF.BLAX</v>
      </c>
      <c r="B613" s="11">
        <v>101</v>
      </c>
      <c r="C613" s="11" t="s">
        <v>0</v>
      </c>
      <c r="D613" s="20" t="s">
        <v>9</v>
      </c>
    </row>
    <row r="614" spans="1:4">
      <c r="A614" s="19" t="str">
        <f t="shared" si="59"/>
        <v>FB_AI_BUF_S.BUF.BLAX</v>
      </c>
      <c r="B614" s="11">
        <v>3</v>
      </c>
      <c r="C614" s="11" t="s">
        <v>1</v>
      </c>
      <c r="D614" s="20">
        <v>192</v>
      </c>
    </row>
    <row r="615" spans="1:4">
      <c r="A615" s="19" t="str">
        <f t="shared" si="59"/>
        <v>FB_AI_BUF_S.BUF.BLAX</v>
      </c>
      <c r="B615" s="11">
        <v>2</v>
      </c>
      <c r="C615" s="11" t="s">
        <v>2</v>
      </c>
      <c r="D615" s="20" t="s">
        <v>3</v>
      </c>
    </row>
    <row r="616" spans="1:4">
      <c r="A616" s="21" t="str">
        <f t="shared" si="59"/>
        <v>FB_AI_BUF_S.BUF.BLAX</v>
      </c>
      <c r="B616" s="8">
        <v>1</v>
      </c>
      <c r="C616" s="8" t="s">
        <v>1</v>
      </c>
      <c r="D616" s="22">
        <v>11</v>
      </c>
    </row>
    <row r="617" spans="1:4">
      <c r="A617" s="650" t="str">
        <f t="shared" ref="A617:A625" si="60">$R$2&amp;".BUF.BLWX"</f>
        <v>FB_AI_BUF_S.BUF.BLWX</v>
      </c>
      <c r="B617" s="651">
        <v>7050</v>
      </c>
      <c r="C617" s="651" t="s">
        <v>0</v>
      </c>
      <c r="D617" s="652" t="str">
        <f>"&lt;Addr AnswerSignalType=©0© Protocol=©IEC4Std© Type=©Protocol© ProtocolType=©30© Address=©XXX© ModuleNo=©" &amp; $T$9&amp; "© Role=©Master© Station=©" &amp; $T$11 &amp; "©  /&gt;"</f>
        <v>&lt;Addr AnswerSignalType=©0© Protocol=©IEC4Std© Type=©Protocol© ProtocolType=©30© Address=©XXX© ModuleNo=©1© Role=©Master© Station=©1©  /&gt;</v>
      </c>
    </row>
    <row r="618" spans="1:4">
      <c r="A618" s="105" t="str">
        <f t="shared" si="60"/>
        <v>FB_AI_BUF_S.BUF.BLWX</v>
      </c>
      <c r="B618" s="106">
        <v>11154</v>
      </c>
      <c r="C618" s="106" t="s">
        <v>4</v>
      </c>
      <c r="D618" s="107">
        <f>$S$8</f>
        <v>26</v>
      </c>
    </row>
    <row r="619" spans="1:4">
      <c r="A619" s="105" t="str">
        <f t="shared" si="60"/>
        <v>FB_AI_BUF_S.BUF.BLWX</v>
      </c>
      <c r="B619" s="106">
        <v>11150</v>
      </c>
      <c r="C619" s="106" t="s">
        <v>0</v>
      </c>
      <c r="D619" s="108" t="s">
        <v>10</v>
      </c>
    </row>
    <row r="620" spans="1:4">
      <c r="A620" s="105" t="str">
        <f t="shared" si="60"/>
        <v>FB_AI_BUF_S.BUF.BLWX</v>
      </c>
      <c r="B620" s="106">
        <v>11152</v>
      </c>
      <c r="C620" s="106" t="s">
        <v>0</v>
      </c>
      <c r="D620" s="109" t="str">
        <f>$R$8</f>
        <v>Телесигнализация</v>
      </c>
    </row>
    <row r="621" spans="1:4">
      <c r="A621" s="105" t="str">
        <f t="shared" si="60"/>
        <v>FB_AI_BUF_S.BUF.BLWX</v>
      </c>
      <c r="B621" s="106">
        <v>11000</v>
      </c>
      <c r="C621" s="106" t="s">
        <v>5</v>
      </c>
      <c r="D621" s="108">
        <v>2147483680</v>
      </c>
    </row>
    <row r="622" spans="1:4">
      <c r="A622" s="19" t="str">
        <f t="shared" si="60"/>
        <v>FB_AI_BUF_S.BUF.BLWX</v>
      </c>
      <c r="B622" s="11">
        <v>101</v>
      </c>
      <c r="C622" s="11" t="s">
        <v>0</v>
      </c>
      <c r="D622" s="20" t="s">
        <v>10</v>
      </c>
    </row>
    <row r="623" spans="1:4">
      <c r="A623" s="19" t="str">
        <f t="shared" si="60"/>
        <v>FB_AI_BUF_S.BUF.BLWX</v>
      </c>
      <c r="B623" s="11">
        <v>3</v>
      </c>
      <c r="C623" s="11" t="s">
        <v>1</v>
      </c>
      <c r="D623" s="20">
        <v>192</v>
      </c>
    </row>
    <row r="624" spans="1:4">
      <c r="A624" s="19" t="str">
        <f t="shared" si="60"/>
        <v>FB_AI_BUF_S.BUF.BLWX</v>
      </c>
      <c r="B624" s="11">
        <v>2</v>
      </c>
      <c r="C624" s="11" t="s">
        <v>2</v>
      </c>
      <c r="D624" s="20" t="s">
        <v>3</v>
      </c>
    </row>
    <row r="625" spans="1:4">
      <c r="A625" s="19" t="str">
        <f t="shared" si="60"/>
        <v>FB_AI_BUF_S.BUF.BLWX</v>
      </c>
      <c r="B625" s="11">
        <v>1</v>
      </c>
      <c r="C625" s="11" t="s">
        <v>1</v>
      </c>
      <c r="D625" s="20">
        <v>11</v>
      </c>
    </row>
    <row r="626" spans="1:4">
      <c r="A626" s="163" t="str">
        <f t="shared" ref="A626:A634" si="61">$R$2&amp;".BUF.DVXX"</f>
        <v>FB_AI_BUF_S.BUF.DVXX</v>
      </c>
      <c r="B626" s="123">
        <v>7050</v>
      </c>
      <c r="C626" s="123" t="s">
        <v>0</v>
      </c>
      <c r="D626" s="124" t="str">
        <f>"&lt;Addr AnswerSignalType=©0© Protocol=©IEC4Std© Type=©Protocol© ProtocolType=©30© Address=©XXX© ModuleNo=©" &amp; $T$9&amp; "© Role=©Master© Station=©" &amp; $T$11 &amp; "©  /&gt;"</f>
        <v>&lt;Addr AnswerSignalType=©0© Protocol=©IEC4Std© Type=©Protocol© ProtocolType=©30© Address=©XXX© ModuleNo=©1© Role=©Master© Station=©1©  /&gt;</v>
      </c>
    </row>
    <row r="627" spans="1:4">
      <c r="A627" s="110" t="str">
        <f t="shared" si="61"/>
        <v>FB_AI_BUF_S.BUF.DVXX</v>
      </c>
      <c r="B627" s="111">
        <v>11154</v>
      </c>
      <c r="C627" s="111" t="s">
        <v>4</v>
      </c>
      <c r="D627" s="653">
        <f>$S$9</f>
        <v>27</v>
      </c>
    </row>
    <row r="628" spans="1:4">
      <c r="A628" s="110" t="str">
        <f t="shared" si="61"/>
        <v>FB_AI_BUF_S.BUF.DVXX</v>
      </c>
      <c r="B628" s="111">
        <v>11152</v>
      </c>
      <c r="C628" s="111" t="s">
        <v>0</v>
      </c>
      <c r="D628" s="113" t="str">
        <f>$R$9</f>
        <v>Недостоверность</v>
      </c>
    </row>
    <row r="629" spans="1:4">
      <c r="A629" s="110" t="str">
        <f t="shared" si="61"/>
        <v>FB_AI_BUF_S.BUF.DVXX</v>
      </c>
      <c r="B629" s="111">
        <v>11150</v>
      </c>
      <c r="C629" s="111" t="s">
        <v>0</v>
      </c>
      <c r="D629" s="112" t="s">
        <v>83</v>
      </c>
    </row>
    <row r="630" spans="1:4">
      <c r="A630" s="110" t="str">
        <f t="shared" si="61"/>
        <v>FB_AI_BUF_S.BUF.DVXX</v>
      </c>
      <c r="B630" s="111">
        <v>11000</v>
      </c>
      <c r="C630" s="111" t="s">
        <v>5</v>
      </c>
      <c r="D630" s="112">
        <v>2147483680</v>
      </c>
    </row>
    <row r="631" spans="1:4">
      <c r="A631" s="19" t="str">
        <f t="shared" si="61"/>
        <v>FB_AI_BUF_S.BUF.DVXX</v>
      </c>
      <c r="B631" s="11">
        <v>101</v>
      </c>
      <c r="C631" s="11" t="s">
        <v>0</v>
      </c>
      <c r="D631" s="20" t="s">
        <v>83</v>
      </c>
    </row>
    <row r="632" spans="1:4">
      <c r="A632" s="19" t="str">
        <f t="shared" si="61"/>
        <v>FB_AI_BUF_S.BUF.DVXX</v>
      </c>
      <c r="B632" s="11">
        <v>3</v>
      </c>
      <c r="C632" s="11" t="s">
        <v>1</v>
      </c>
      <c r="D632" s="20">
        <v>192</v>
      </c>
    </row>
    <row r="633" spans="1:4">
      <c r="A633" s="19" t="str">
        <f t="shared" si="61"/>
        <v>FB_AI_BUF_S.BUF.DVXX</v>
      </c>
      <c r="B633" s="11">
        <v>2</v>
      </c>
      <c r="C633" s="11" t="s">
        <v>2</v>
      </c>
      <c r="D633" s="20" t="s">
        <v>3</v>
      </c>
    </row>
    <row r="634" spans="1:4">
      <c r="A634" s="21" t="str">
        <f t="shared" si="61"/>
        <v>FB_AI_BUF_S.BUF.DVXX</v>
      </c>
      <c r="B634" s="8">
        <v>1</v>
      </c>
      <c r="C634" s="8" t="s">
        <v>1</v>
      </c>
      <c r="D634" s="22">
        <v>11</v>
      </c>
    </row>
    <row r="635" spans="1:4">
      <c r="A635" s="275" t="str">
        <f>$R$2&amp;".BUF.XVLX"</f>
        <v>FB_AI_BUF_S.BUF.XVLX</v>
      </c>
      <c r="B635" s="276">
        <v>7050</v>
      </c>
      <c r="C635" s="276" t="s">
        <v>0</v>
      </c>
      <c r="D635" s="277" t="str">
        <f>"&lt;Addr AnswerSignalType=©0© Protocol=©IEC4Std© Type=©Protocol© ProtocolType=©36© Address=©XXX© ModuleNo=©" &amp; $T$9&amp; "© Role=©Master© Station=©" &amp; $T$11 &amp; "©  /&gt;"</f>
        <v>&lt;Addr AnswerSignalType=©0© Protocol=©IEC4Std© Type=©Protocol© ProtocolType=©36© Address=©XXX© ModuleNo=©1© Role=©Master© Station=©1©  /&gt;</v>
      </c>
    </row>
    <row r="636" spans="1:4">
      <c r="A636" s="278" t="str">
        <f>$R$2&amp;".BUF.XVLX"</f>
        <v>FB_AI_BUF_S.BUF.XVLX</v>
      </c>
      <c r="B636" s="279">
        <v>101</v>
      </c>
      <c r="C636" s="279" t="s">
        <v>0</v>
      </c>
      <c r="D636" s="280" t="str">
        <f>$Q$2&amp;", "&amp;$X$2</f>
        <v>Аналоговый датчик FB с буферизацией, C</v>
      </c>
    </row>
    <row r="637" spans="1:4">
      <c r="A637" s="278" t="str">
        <f>$R$2&amp;".BUF.XVLX"</f>
        <v>FB_AI_BUF_S.BUF.XVLX</v>
      </c>
      <c r="B637" s="279">
        <v>3</v>
      </c>
      <c r="C637" s="279" t="s">
        <v>1</v>
      </c>
      <c r="D637" s="280">
        <v>192</v>
      </c>
    </row>
    <row r="638" spans="1:4">
      <c r="A638" s="278" t="str">
        <f>$R$2&amp;".BUF.XVLX"</f>
        <v>FB_AI_BUF_S.BUF.XVLX</v>
      </c>
      <c r="B638" s="279">
        <v>2</v>
      </c>
      <c r="C638" s="279" t="s">
        <v>80</v>
      </c>
      <c r="D638" s="280">
        <v>0</v>
      </c>
    </row>
    <row r="639" spans="1:4">
      <c r="A639" s="281" t="str">
        <f>$R$2&amp;".BUF.XVLX"</f>
        <v>FB_AI_BUF_S.BUF.XVLX</v>
      </c>
      <c r="B639" s="282">
        <v>1</v>
      </c>
      <c r="C639" s="282" t="s">
        <v>1</v>
      </c>
      <c r="D639" s="283">
        <v>4</v>
      </c>
    </row>
  </sheetData>
  <phoneticPr fontId="78" type="noConversion"/>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Лист170">
    <tabColor rgb="FFFFC000"/>
  </sheetPr>
  <dimension ref="A1:BP107"/>
  <sheetViews>
    <sheetView topLeftCell="A10"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21"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57"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t="s">
        <v>244</v>
      </c>
      <c r="Q2" s="2" t="s">
        <v>1812</v>
      </c>
      <c r="R2" s="2" t="s">
        <v>1801</v>
      </c>
      <c r="S2" s="3">
        <v>1</v>
      </c>
      <c r="T2" s="3" t="s">
        <v>1698</v>
      </c>
      <c r="U2" s="3"/>
      <c r="V2" s="3" t="s">
        <v>569</v>
      </c>
      <c r="W2" s="12" t="s">
        <v>247</v>
      </c>
      <c r="X2" s="12" t="s">
        <v>248</v>
      </c>
      <c r="Y2" s="12"/>
      <c r="Z2" s="12" t="s">
        <v>249</v>
      </c>
      <c r="AA2" s="12" t="s">
        <v>250</v>
      </c>
      <c r="AB2" s="2"/>
      <c r="AC2" s="2"/>
      <c r="AD2" s="2"/>
      <c r="AE2" s="2" t="s">
        <v>1414</v>
      </c>
      <c r="AF2" s="2"/>
      <c r="AG2" s="2"/>
      <c r="AH2" s="2"/>
      <c r="AI2" s="2"/>
      <c r="AJ2" s="2"/>
      <c r="AK2" s="2"/>
      <c r="AL2" s="2"/>
      <c r="AM2" s="2"/>
      <c r="AN2" s="2"/>
      <c r="AO2" s="2"/>
      <c r="AP2" s="2"/>
      <c r="AQ2" s="2"/>
      <c r="AR2" s="2"/>
      <c r="AS2" s="2"/>
      <c r="AT2" s="2"/>
      <c r="AU2" s="2"/>
      <c r="AV2" s="2"/>
      <c r="AW2" s="2" t="s">
        <v>618</v>
      </c>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7" t="s">
        <v>1793</v>
      </c>
      <c r="T4" s="548" t="str">
        <f>Настройки!M11</f>
        <v>№ Модуля commands</v>
      </c>
      <c r="U4" s="10"/>
      <c r="V4" s="10"/>
      <c r="W4" s="10"/>
      <c r="X4" s="10"/>
      <c r="Y4" s="10"/>
      <c r="Z4" s="10"/>
      <c r="AA4" s="10"/>
      <c r="BM4" s="4"/>
      <c r="BN4" s="4"/>
      <c r="BO4" s="4"/>
      <c r="BP4" s="4"/>
    </row>
    <row r="5" spans="1:68" ht="15" customHeight="1">
      <c r="A5" s="9"/>
      <c r="B5" s="9"/>
      <c r="C5" s="9"/>
      <c r="D5" s="9"/>
      <c r="E5" s="9"/>
      <c r="F5" s="9"/>
      <c r="P5" s="6" t="str">
        <f>Настройки!A2</f>
        <v>Авария</v>
      </c>
      <c r="Q5" s="5">
        <f>Настройки!B2</f>
        <v>4</v>
      </c>
      <c r="R5" s="5" t="str">
        <f>Настройки!C2</f>
        <v>Авария</v>
      </c>
      <c r="S5" s="12">
        <v>23</v>
      </c>
      <c r="T5" s="458">
        <f>Настройки!M12</f>
        <v>1</v>
      </c>
      <c r="U5" s="10"/>
      <c r="V5" s="10"/>
      <c r="W5" s="10"/>
      <c r="X5" s="10"/>
      <c r="Y5" s="10"/>
      <c r="Z5" s="10"/>
      <c r="AA5" s="10"/>
      <c r="BM5" s="4"/>
      <c r="BN5" s="4"/>
      <c r="BO5" s="4"/>
      <c r="BP5" s="4"/>
    </row>
    <row r="6" spans="1:68" ht="15" customHeight="1">
      <c r="A6" s="9"/>
      <c r="B6" s="9"/>
      <c r="C6" s="9"/>
      <c r="D6" s="9"/>
      <c r="E6" s="9"/>
      <c r="F6" s="9"/>
      <c r="P6" s="6" t="str">
        <f>Настройки!A3</f>
        <v>Предупреждение</v>
      </c>
      <c r="Q6" s="5">
        <f>Настройки!B3</f>
        <v>8</v>
      </c>
      <c r="R6" s="5" t="str">
        <f>Настройки!C3</f>
        <v>Предупреждение</v>
      </c>
      <c r="S6" s="12">
        <v>24</v>
      </c>
      <c r="T6" s="608" t="str">
        <f>Настройки!M7</f>
        <v>Отображение Таблицы подлючений в диаг.</v>
      </c>
      <c r="U6" s="10"/>
      <c r="V6" s="10"/>
      <c r="W6" s="10"/>
      <c r="X6" s="10"/>
      <c r="Y6" s="10"/>
      <c r="Z6" s="10"/>
      <c r="AA6" s="10"/>
      <c r="BM6" s="4"/>
      <c r="BN6" s="4"/>
      <c r="BO6" s="4"/>
      <c r="BP6" s="4"/>
    </row>
    <row r="7" spans="1:68" ht="15" customHeight="1">
      <c r="A7" s="9"/>
      <c r="B7" s="9"/>
      <c r="C7" s="9"/>
      <c r="D7" s="9"/>
      <c r="E7" s="9"/>
      <c r="F7" s="9"/>
      <c r="P7" s="6" t="str">
        <f>Настройки!A4</f>
        <v>Неисправность</v>
      </c>
      <c r="Q7" s="5">
        <f>Настройки!B4</f>
        <v>12</v>
      </c>
      <c r="R7" s="5" t="str">
        <f>Настройки!C4</f>
        <v>Неисправность</v>
      </c>
      <c r="S7" s="12">
        <v>25</v>
      </c>
      <c r="T7" s="644" t="b">
        <f>Настройки!M8</f>
        <v>0</v>
      </c>
      <c r="U7" s="10"/>
      <c r="V7" s="10"/>
      <c r="W7" s="10"/>
      <c r="X7" s="10"/>
      <c r="Y7" s="10"/>
      <c r="Z7" s="10"/>
      <c r="AA7" s="10"/>
      <c r="BM7" s="4"/>
      <c r="BN7" s="4"/>
      <c r="BO7" s="4"/>
      <c r="BP7" s="4"/>
    </row>
    <row r="8" spans="1:68" ht="15" customHeight="1">
      <c r="A8" s="9"/>
      <c r="B8" s="9"/>
      <c r="C8" s="9"/>
      <c r="D8" s="9"/>
      <c r="E8" s="9"/>
      <c r="F8" s="9"/>
      <c r="P8" s="6" t="str">
        <f>Настройки!A5</f>
        <v>Телесигнализация</v>
      </c>
      <c r="Q8" s="5">
        <f>Настройки!B5</f>
        <v>18</v>
      </c>
      <c r="R8" s="5" t="str">
        <f>Настройки!C5</f>
        <v>Телесигнализация</v>
      </c>
      <c r="S8" s="12">
        <v>26</v>
      </c>
      <c r="T8" s="548" t="str">
        <f>Настройки!M13</f>
        <v>Номер модуля IEC 4</v>
      </c>
      <c r="U8" s="10"/>
      <c r="V8" s="10"/>
      <c r="W8" s="10"/>
      <c r="X8" s="10"/>
      <c r="Y8" s="10"/>
      <c r="Z8" s="10"/>
      <c r="AA8" s="10"/>
      <c r="BM8" s="4"/>
      <c r="BN8" s="4"/>
      <c r="BO8" s="4"/>
      <c r="BP8" s="4"/>
    </row>
    <row r="9" spans="1:68" ht="15" customHeight="1">
      <c r="A9" s="9"/>
      <c r="B9" s="9"/>
      <c r="C9" s="9"/>
      <c r="D9" s="9"/>
      <c r="E9" s="9"/>
      <c r="F9" s="9"/>
      <c r="P9" s="6" t="str">
        <f>Настройки!A6</f>
        <v>Недостоверность</v>
      </c>
      <c r="Q9" s="5">
        <f>Настройки!B6</f>
        <v>10</v>
      </c>
      <c r="R9" s="5" t="str">
        <f>Настройки!C6</f>
        <v>Недостоверность</v>
      </c>
      <c r="S9" s="12">
        <v>27</v>
      </c>
      <c r="T9" s="456">
        <f>Настройки!M14</f>
        <v>1</v>
      </c>
      <c r="U9" s="10"/>
      <c r="V9" s="10"/>
      <c r="W9" s="10"/>
      <c r="X9" s="10"/>
      <c r="Y9" s="10"/>
      <c r="Z9" s="10"/>
      <c r="AA9" s="10"/>
      <c r="BM9" s="4"/>
      <c r="BN9" s="4"/>
      <c r="BO9" s="4"/>
      <c r="BP9" s="4"/>
    </row>
    <row r="10" spans="1:68" ht="15" customHeight="1">
      <c r="A10" s="9"/>
      <c r="B10" s="9"/>
      <c r="C10" s="9"/>
      <c r="D10" s="9"/>
      <c r="E10" s="9"/>
      <c r="F10" s="9"/>
      <c r="P10" s="6" t="str">
        <f>Настройки!A7</f>
        <v>Имитация</v>
      </c>
      <c r="Q10" s="5">
        <f>Настройки!B7</f>
        <v>16</v>
      </c>
      <c r="R10" s="5" t="str">
        <f>Настройки!C7</f>
        <v>Имитация</v>
      </c>
      <c r="S10" s="12"/>
      <c r="T10" s="548" t="str">
        <f>Настройки!M15</f>
        <v>Номер КП модуля IEC 4</v>
      </c>
      <c r="U10" s="10"/>
      <c r="V10" s="10"/>
      <c r="W10" s="10"/>
      <c r="X10" s="10"/>
      <c r="Y10" s="10"/>
      <c r="Z10" s="10"/>
      <c r="AA10" s="10"/>
      <c r="BM10" s="4"/>
      <c r="BN10" s="4"/>
      <c r="BO10" s="4"/>
      <c r="BP10" s="4"/>
    </row>
    <row r="11" spans="1:68" ht="15" customHeight="1">
      <c r="A11" s="9"/>
      <c r="B11" s="9"/>
      <c r="C11" s="9"/>
      <c r="D11" s="9"/>
      <c r="E11" s="9"/>
      <c r="F11" s="9"/>
      <c r="P11" s="6" t="str">
        <f>Настройки!A8</f>
        <v>Ремонт</v>
      </c>
      <c r="Q11" s="5">
        <f>Настройки!B8</f>
        <v>14</v>
      </c>
      <c r="R11" s="5" t="str">
        <f>Настройки!C8</f>
        <v>Ремонт</v>
      </c>
      <c r="S11" s="12">
        <v>29</v>
      </c>
      <c r="T11" s="656">
        <f>Настройки!M16</f>
        <v>1</v>
      </c>
      <c r="U11" s="10"/>
      <c r="V11" s="10"/>
      <c r="W11" s="10"/>
      <c r="X11" s="10"/>
      <c r="Y11" s="10"/>
      <c r="Z11" s="10"/>
      <c r="AA11" s="10"/>
      <c r="BM11" s="4"/>
      <c r="BN11" s="4"/>
      <c r="BO11" s="4"/>
      <c r="BP11" s="4"/>
    </row>
    <row r="12" spans="1:68"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2"/>
      <c r="T12" s="10"/>
      <c r="U12" s="10"/>
      <c r="V12" s="10"/>
      <c r="W12" s="10"/>
      <c r="X12" s="10"/>
      <c r="Y12" s="10"/>
      <c r="Z12" s="10"/>
      <c r="AA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2"/>
      <c r="T13" s="10"/>
      <c r="U13" s="10"/>
      <c r="V13" s="10"/>
      <c r="W13" s="10"/>
      <c r="X13" s="10"/>
      <c r="Y13" s="10"/>
      <c r="Z13" s="10"/>
      <c r="AA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2"/>
      <c r="T14" s="10"/>
      <c r="U14" s="10"/>
      <c r="V14" s="10"/>
      <c r="W14" s="10"/>
      <c r="X14" s="10"/>
      <c r="Y14" s="10"/>
      <c r="Z14" s="10"/>
      <c r="AA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2"/>
      <c r="T15" s="10"/>
      <c r="U15" s="10"/>
      <c r="V15" s="10"/>
      <c r="W15" s="10"/>
      <c r="X15" s="10"/>
      <c r="Y15" s="10"/>
      <c r="Z15" s="10"/>
      <c r="AA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2"/>
      <c r="T16" s="10"/>
      <c r="U16" s="10"/>
      <c r="V16" s="10"/>
      <c r="W16" s="10"/>
      <c r="X16" s="10"/>
      <c r="Y16" s="10"/>
      <c r="Z16" s="10"/>
      <c r="AA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2"/>
      <c r="T17" s="10"/>
      <c r="U17" s="10"/>
      <c r="V17" s="10"/>
      <c r="W17" s="10"/>
      <c r="X17" s="10"/>
      <c r="Y17" s="10"/>
      <c r="Z17" s="10"/>
      <c r="AA17" s="10"/>
      <c r="BM17" s="4"/>
      <c r="BN17" s="4"/>
      <c r="BO17" s="4"/>
      <c r="BP17" s="4"/>
    </row>
    <row r="18" spans="1:68" ht="15" customHeight="1">
      <c r="A18" s="9"/>
      <c r="B18" s="9"/>
      <c r="C18" s="9"/>
      <c r="D18" s="9"/>
      <c r="E18" s="9"/>
      <c r="F18" s="9"/>
      <c r="P18" s="6" t="str">
        <f>Настройки!A15</f>
        <v>Отключение</v>
      </c>
      <c r="Q18" s="5">
        <f>Настройки!B15</f>
        <v>13</v>
      </c>
      <c r="R18" s="5" t="str">
        <f>Настройки!C15</f>
        <v>Отключение</v>
      </c>
      <c r="S18" s="12"/>
      <c r="T18" s="10"/>
      <c r="U18" s="10"/>
      <c r="V18" s="10"/>
      <c r="W18" s="10"/>
      <c r="X18" s="10"/>
      <c r="Y18" s="10"/>
      <c r="Z18" s="10"/>
      <c r="AA18" s="10"/>
      <c r="BM18" s="4"/>
      <c r="BN18" s="4"/>
      <c r="BO18" s="4"/>
      <c r="BP18" s="4"/>
    </row>
    <row r="19" spans="1:68" ht="15" customHeight="1">
      <c r="A19" s="9"/>
      <c r="B19" s="9"/>
      <c r="C19" s="9"/>
      <c r="D19" s="9"/>
      <c r="E19" s="9"/>
      <c r="F19" s="9"/>
      <c r="P19" s="6" t="str">
        <f>Настройки!A16</f>
        <v>Информация</v>
      </c>
      <c r="Q19" s="5">
        <f>Настройки!B16</f>
        <v>22</v>
      </c>
      <c r="R19" s="5" t="str">
        <f>Настройки!C16</f>
        <v>Информация</v>
      </c>
      <c r="S19" s="12"/>
      <c r="T19" s="10"/>
      <c r="U19" s="10"/>
      <c r="V19" s="10"/>
      <c r="W19" s="10"/>
      <c r="X19" s="10"/>
      <c r="Y19" s="10"/>
      <c r="Z19" s="10"/>
      <c r="AA19" s="10"/>
      <c r="BM19" s="4"/>
      <c r="BN19" s="4"/>
      <c r="BO19" s="4"/>
      <c r="BP19" s="4"/>
    </row>
    <row r="20" spans="1:68" ht="15" customHeight="1">
      <c r="A20" s="16" t="str">
        <f t="shared" ref="A20:A31" si="0">$R$2</f>
        <v>AI_BUF</v>
      </c>
      <c r="B20" s="17">
        <v>11001</v>
      </c>
      <c r="C20" s="17" t="s">
        <v>0</v>
      </c>
      <c r="D20" s="18" t="str">
        <f>$Q$2&amp;". "</f>
        <v xml:space="preserve">Аналоговый сигнал (уставки и ремонт в INFINITY) с буферизацией. </v>
      </c>
      <c r="E20" s="4"/>
      <c r="F20" s="4"/>
      <c r="BM20" s="4"/>
      <c r="BN20" s="4"/>
      <c r="BO20" s="4"/>
      <c r="BP20" s="4"/>
    </row>
    <row r="21" spans="1:68" ht="15" customHeight="1">
      <c r="A21" s="19" t="str">
        <f t="shared" si="0"/>
        <v>AI_BUF</v>
      </c>
      <c r="B21" s="11">
        <v>11156</v>
      </c>
      <c r="C21" s="11" t="s">
        <v>0</v>
      </c>
      <c r="D21" s="20" t="str">
        <f>$V$2</f>
        <v>Тестовый экран</v>
      </c>
      <c r="E21" s="4"/>
      <c r="F21" s="4"/>
      <c r="BM21" s="4"/>
      <c r="BN21" s="4"/>
      <c r="BO21" s="4"/>
      <c r="BP21" s="4"/>
    </row>
    <row r="22" spans="1:68" ht="15" customHeight="1">
      <c r="A22" s="19" t="str">
        <f t="shared" si="0"/>
        <v>AI_BUF</v>
      </c>
      <c r="B22" s="11">
        <v>1</v>
      </c>
      <c r="C22" s="11" t="s">
        <v>1</v>
      </c>
      <c r="D22" s="20">
        <v>17</v>
      </c>
      <c r="BM22" s="4"/>
      <c r="BN22" s="4"/>
      <c r="BO22" s="4"/>
      <c r="BP22" s="4"/>
    </row>
    <row r="23" spans="1:68" ht="15" customHeight="1">
      <c r="A23" s="16" t="str">
        <f t="shared" si="0"/>
        <v>AI_BUF</v>
      </c>
      <c r="B23" s="17">
        <v>100</v>
      </c>
      <c r="C23" s="17" t="s">
        <v>0</v>
      </c>
      <c r="D23" s="18" t="b">
        <f>$T$7</f>
        <v>0</v>
      </c>
      <c r="BF23" s="4"/>
      <c r="BG23" s="4"/>
      <c r="BH23" s="4"/>
      <c r="BI23" s="4"/>
    </row>
    <row r="24" spans="1:68" ht="15" customHeight="1">
      <c r="A24" s="19" t="str">
        <f t="shared" si="0"/>
        <v>AI_BUF</v>
      </c>
      <c r="B24" s="11">
        <v>11120</v>
      </c>
      <c r="C24" s="11" t="s">
        <v>0</v>
      </c>
      <c r="D24" s="20" t="str">
        <f>$X$2</f>
        <v>C</v>
      </c>
      <c r="BM24" s="4"/>
      <c r="BN24" s="4"/>
      <c r="BO24" s="4"/>
      <c r="BP24" s="4"/>
    </row>
    <row r="25" spans="1:68" ht="15" customHeight="1">
      <c r="A25" s="19" t="str">
        <f t="shared" si="0"/>
        <v>AI_BUF</v>
      </c>
      <c r="B25" s="11">
        <v>11121</v>
      </c>
      <c r="C25" s="11" t="s">
        <v>0</v>
      </c>
      <c r="D25" s="20" t="str">
        <f>$W$2</f>
        <v>T</v>
      </c>
      <c r="BM25" s="4"/>
      <c r="BN25" s="4"/>
      <c r="BO25" s="4"/>
      <c r="BP25" s="4"/>
    </row>
    <row r="26" spans="1:68" ht="15" customHeight="1">
      <c r="A26" s="19" t="str">
        <f t="shared" si="0"/>
        <v>AI_BUF</v>
      </c>
      <c r="B26" s="11">
        <v>11122</v>
      </c>
      <c r="C26" s="11" t="s">
        <v>0</v>
      </c>
      <c r="D26" s="20" t="str">
        <f>$AA$2</f>
        <v>ТСМ</v>
      </c>
      <c r="BM26" s="4"/>
      <c r="BN26" s="4"/>
      <c r="BO26" s="4"/>
      <c r="BP26" s="4"/>
    </row>
    <row r="27" spans="1:68" ht="15" customHeight="1">
      <c r="A27" s="21" t="str">
        <f t="shared" si="0"/>
        <v>AI_BUF</v>
      </c>
      <c r="B27" s="8">
        <v>11123</v>
      </c>
      <c r="C27" s="8" t="s">
        <v>0</v>
      </c>
      <c r="D27" s="22" t="str">
        <f>$Z$2</f>
        <v>ЗРУ</v>
      </c>
      <c r="BM27" s="4"/>
      <c r="BN27" s="4"/>
      <c r="BO27" s="4"/>
      <c r="BP27" s="4"/>
    </row>
    <row r="28" spans="1:68">
      <c r="A28" s="16" t="str">
        <f t="shared" si="0"/>
        <v>AI_BUF</v>
      </c>
      <c r="B28" s="17">
        <v>13</v>
      </c>
      <c r="C28" s="17" t="s">
        <v>2</v>
      </c>
      <c r="D28" s="18" t="s">
        <v>3</v>
      </c>
    </row>
    <row r="29" spans="1:68" ht="15" customHeight="1">
      <c r="A29" s="19" t="str">
        <f t="shared" si="0"/>
        <v>AI_BUF</v>
      </c>
      <c r="B29" s="11">
        <v>3000013</v>
      </c>
      <c r="C29" s="11" t="s">
        <v>0</v>
      </c>
      <c r="D29" s="20" t="str">
        <f>$AE$2</f>
        <v>Диагностика.CPU.NOT_LINK.noLink</v>
      </c>
      <c r="BF29" s="4"/>
      <c r="BG29" s="4"/>
      <c r="BH29" s="4"/>
      <c r="BI29" s="4"/>
    </row>
    <row r="30" spans="1:68" ht="15" customHeight="1">
      <c r="A30" s="19" t="str">
        <f t="shared" si="0"/>
        <v>AI_BUF</v>
      </c>
      <c r="B30" s="11">
        <v>4000013</v>
      </c>
      <c r="C30" s="11" t="s">
        <v>0</v>
      </c>
      <c r="D30" s="20" t="s">
        <v>1772</v>
      </c>
      <c r="BF30" s="4"/>
      <c r="BG30" s="4"/>
      <c r="BH30" s="4"/>
      <c r="BI30" s="4"/>
    </row>
    <row r="31" spans="1:68" ht="15" customHeight="1">
      <c r="A31" s="21" t="str">
        <f t="shared" si="0"/>
        <v>AI_BUF</v>
      </c>
      <c r="B31" s="8">
        <v>7000013</v>
      </c>
      <c r="C31" s="8" t="s">
        <v>6</v>
      </c>
      <c r="D31" s="22">
        <v>2</v>
      </c>
      <c r="BF31" s="4"/>
      <c r="BG31" s="4"/>
      <c r="BH31" s="4"/>
      <c r="BI31" s="4"/>
    </row>
    <row r="32" spans="1:68" ht="15" customHeight="1">
      <c r="A32" s="16" t="str">
        <f>$R$2&amp;".Commands"</f>
        <v>AI_BUF.Commands</v>
      </c>
      <c r="B32" s="24">
        <v>1</v>
      </c>
      <c r="C32" s="24" t="s">
        <v>1</v>
      </c>
      <c r="D32" s="25">
        <v>17</v>
      </c>
      <c r="BF32" s="4"/>
      <c r="BG32" s="4"/>
      <c r="BH32" s="4"/>
      <c r="BI32" s="4"/>
    </row>
    <row r="33" spans="1:61">
      <c r="A33" s="29" t="str">
        <f>$R$2&amp;".Commands"</f>
        <v>AI_BUF.Commands</v>
      </c>
      <c r="B33" s="1">
        <v>7011</v>
      </c>
      <c r="C33" s="1" t="s">
        <v>2</v>
      </c>
      <c r="D33" s="30" t="s">
        <v>266</v>
      </c>
    </row>
    <row r="34" spans="1:61" ht="15" customHeight="1">
      <c r="A34" s="19" t="str">
        <f t="shared" ref="A34:A41" si="1">$R$2&amp;".Commands"</f>
        <v>AI_BUF.Commands</v>
      </c>
      <c r="B34" s="11">
        <v>9221</v>
      </c>
      <c r="C34" s="11" t="s">
        <v>2</v>
      </c>
      <c r="D34" s="20" t="s">
        <v>3</v>
      </c>
      <c r="BF34" s="4"/>
      <c r="BG34" s="4"/>
      <c r="BH34" s="4"/>
      <c r="BI34" s="4"/>
    </row>
    <row r="35" spans="1:61" ht="15" customHeight="1">
      <c r="A35" s="19" t="str">
        <f t="shared" si="1"/>
        <v>AI_BUF.Commands</v>
      </c>
      <c r="B35" s="11">
        <v>9222</v>
      </c>
      <c r="C35" s="11" t="s">
        <v>2</v>
      </c>
      <c r="D35" s="20" t="s">
        <v>3</v>
      </c>
      <c r="BF35" s="4"/>
      <c r="BG35" s="4"/>
      <c r="BH35" s="4"/>
      <c r="BI35" s="4"/>
    </row>
    <row r="36" spans="1:61" ht="15" customHeight="1">
      <c r="A36" s="19" t="str">
        <f t="shared" si="1"/>
        <v>AI_BUF.Commands</v>
      </c>
      <c r="B36" s="11">
        <v>9223</v>
      </c>
      <c r="C36" s="11" t="s">
        <v>2</v>
      </c>
      <c r="D36" s="20" t="s">
        <v>3</v>
      </c>
      <c r="BF36" s="4"/>
      <c r="BG36" s="4"/>
      <c r="BH36" s="4"/>
      <c r="BI36" s="4"/>
    </row>
    <row r="37" spans="1:61" ht="15" customHeight="1">
      <c r="A37" s="19" t="str">
        <f t="shared" si="1"/>
        <v>AI_BUF.Commands</v>
      </c>
      <c r="B37" s="11">
        <v>9224</v>
      </c>
      <c r="C37" s="11" t="s">
        <v>2</v>
      </c>
      <c r="D37" s="20" t="s">
        <v>3</v>
      </c>
      <c r="BF37" s="4"/>
      <c r="BG37" s="4"/>
      <c r="BH37" s="4"/>
      <c r="BI37" s="4"/>
    </row>
    <row r="38" spans="1:61" ht="15" customHeight="1">
      <c r="A38" s="19" t="str">
        <f t="shared" si="1"/>
        <v>AI_BUF.Commands</v>
      </c>
      <c r="B38" s="11">
        <v>9225</v>
      </c>
      <c r="C38" s="11" t="s">
        <v>80</v>
      </c>
      <c r="D38" s="20">
        <v>0</v>
      </c>
      <c r="BF38" s="4"/>
      <c r="BG38" s="4"/>
      <c r="BH38" s="4"/>
      <c r="BI38" s="4"/>
    </row>
    <row r="39" spans="1:61" ht="15" customHeight="1">
      <c r="A39" s="19" t="str">
        <f t="shared" si="1"/>
        <v>AI_BUF.Commands</v>
      </c>
      <c r="B39" s="11">
        <v>9226</v>
      </c>
      <c r="C39" s="11" t="s">
        <v>80</v>
      </c>
      <c r="D39" s="20">
        <v>0</v>
      </c>
      <c r="BF39" s="4"/>
      <c r="BG39" s="4"/>
      <c r="BH39" s="4"/>
      <c r="BI39" s="4"/>
    </row>
    <row r="40" spans="1:61" ht="15" customHeight="1">
      <c r="A40" s="19" t="str">
        <f t="shared" si="1"/>
        <v>AI_BUF.Commands</v>
      </c>
      <c r="B40" s="11">
        <v>9227</v>
      </c>
      <c r="C40" s="11" t="s">
        <v>80</v>
      </c>
      <c r="D40" s="20">
        <v>0</v>
      </c>
      <c r="BF40" s="4"/>
      <c r="BG40" s="4"/>
      <c r="BH40" s="4"/>
      <c r="BI40" s="4"/>
    </row>
    <row r="41" spans="1:61" ht="15" customHeight="1">
      <c r="A41" s="19" t="str">
        <f t="shared" si="1"/>
        <v>AI_BUF.Commands</v>
      </c>
      <c r="B41" s="11">
        <v>9228</v>
      </c>
      <c r="C41" s="11" t="s">
        <v>80</v>
      </c>
      <c r="D41" s="20">
        <v>0</v>
      </c>
      <c r="BF41" s="4"/>
      <c r="BG41" s="4"/>
      <c r="BH41" s="4"/>
      <c r="BI41" s="4"/>
    </row>
    <row r="42" spans="1:61">
      <c r="A42" s="16" t="str">
        <f t="shared" ref="A42:A50" si="2">$R$2&amp;".aL"</f>
        <v>AI_BUF.aL</v>
      </c>
      <c r="B42" s="17">
        <v>3000000</v>
      </c>
      <c r="C42" s="17" t="s">
        <v>0</v>
      </c>
      <c r="D42" s="18" t="s">
        <v>2324</v>
      </c>
      <c r="Q42" s="4"/>
      <c r="R42" s="4"/>
      <c r="S42" s="4"/>
      <c r="T42" s="4"/>
      <c r="U42" s="4"/>
      <c r="V42" s="4"/>
    </row>
    <row r="43" spans="1:61">
      <c r="A43" s="148" t="str">
        <f t="shared" si="2"/>
        <v>AI_BUF.aL</v>
      </c>
      <c r="B43" s="149">
        <v>11154</v>
      </c>
      <c r="C43" s="149" t="s">
        <v>4</v>
      </c>
      <c r="D43" s="150">
        <f>$Q$5</f>
        <v>4</v>
      </c>
      <c r="Q43" s="4"/>
      <c r="R43" s="4"/>
      <c r="S43" s="4"/>
      <c r="T43" s="4"/>
      <c r="U43" s="4"/>
      <c r="V43" s="4"/>
    </row>
    <row r="44" spans="1:61" s="4" customFormat="1">
      <c r="A44" s="148" t="str">
        <f t="shared" si="2"/>
        <v>AI_BUF.aL</v>
      </c>
      <c r="B44" s="149">
        <v>11152</v>
      </c>
      <c r="C44" s="149" t="s">
        <v>0</v>
      </c>
      <c r="D44" s="151" t="str">
        <f>$R$5</f>
        <v>Авария</v>
      </c>
    </row>
    <row r="45" spans="1:61">
      <c r="A45" s="148" t="str">
        <f t="shared" si="2"/>
        <v>AI_BUF.aL</v>
      </c>
      <c r="B45" s="149">
        <v>11150</v>
      </c>
      <c r="C45" s="149" t="s">
        <v>0</v>
      </c>
      <c r="D45" s="125" t="s">
        <v>87</v>
      </c>
      <c r="Q45" s="4"/>
      <c r="R45" s="4"/>
      <c r="S45" s="4"/>
      <c r="T45" s="4"/>
      <c r="U45" s="4"/>
      <c r="V45" s="4"/>
    </row>
    <row r="46" spans="1:61">
      <c r="A46" s="148" t="str">
        <f t="shared" si="2"/>
        <v>AI_BUF.aL</v>
      </c>
      <c r="B46" s="149">
        <v>11000</v>
      </c>
      <c r="C46" s="149" t="s">
        <v>5</v>
      </c>
      <c r="D46" s="125">
        <v>2147483680</v>
      </c>
      <c r="Q46" s="4"/>
      <c r="R46" s="4"/>
      <c r="S46" s="4"/>
      <c r="T46" s="4"/>
      <c r="U46" s="4"/>
      <c r="V46" s="4"/>
    </row>
    <row r="47" spans="1:61">
      <c r="A47" s="19" t="str">
        <f t="shared" si="2"/>
        <v>AI_BUF.aL</v>
      </c>
      <c r="B47" s="11">
        <v>101</v>
      </c>
      <c r="C47" s="11" t="s">
        <v>0</v>
      </c>
      <c r="D47" s="20" t="s">
        <v>48</v>
      </c>
      <c r="Q47" s="4"/>
      <c r="R47" s="4"/>
      <c r="S47" s="4"/>
      <c r="T47" s="4"/>
      <c r="U47" s="4"/>
      <c r="V47" s="4"/>
    </row>
    <row r="48" spans="1:61">
      <c r="A48" s="19" t="str">
        <f t="shared" si="2"/>
        <v>AI_BUF.aL</v>
      </c>
      <c r="B48" s="11">
        <v>3</v>
      </c>
      <c r="C48" s="11" t="s">
        <v>1</v>
      </c>
      <c r="D48" s="20">
        <v>192</v>
      </c>
      <c r="Q48" s="4"/>
      <c r="R48" s="4"/>
      <c r="S48" s="4"/>
      <c r="T48" s="4"/>
      <c r="U48" s="4"/>
      <c r="V48" s="4"/>
    </row>
    <row r="49" spans="1:4" s="4" customFormat="1">
      <c r="A49" s="19" t="str">
        <f t="shared" si="2"/>
        <v>AI_BUF.aL</v>
      </c>
      <c r="B49" s="11">
        <v>2</v>
      </c>
      <c r="C49" s="11" t="s">
        <v>2</v>
      </c>
      <c r="D49" s="20" t="s">
        <v>3</v>
      </c>
    </row>
    <row r="50" spans="1:4">
      <c r="A50" s="21" t="str">
        <f t="shared" si="2"/>
        <v>AI_BUF.aL</v>
      </c>
      <c r="B50" s="8">
        <v>1</v>
      </c>
      <c r="C50" s="8" t="s">
        <v>1</v>
      </c>
      <c r="D50" s="22">
        <v>11</v>
      </c>
    </row>
    <row r="51" spans="1:4">
      <c r="A51" s="19" t="str">
        <f t="shared" ref="A51:A59" si="3">$R$2&amp;".aH"</f>
        <v>AI_BUF.aH</v>
      </c>
      <c r="B51" s="17">
        <v>3000000</v>
      </c>
      <c r="C51" s="17" t="s">
        <v>0</v>
      </c>
      <c r="D51" s="18" t="s">
        <v>2323</v>
      </c>
    </row>
    <row r="52" spans="1:4">
      <c r="A52" s="148" t="str">
        <f t="shared" si="3"/>
        <v>AI_BUF.aH</v>
      </c>
      <c r="B52" s="149">
        <v>11154</v>
      </c>
      <c r="C52" s="149" t="s">
        <v>4</v>
      </c>
      <c r="D52" s="150">
        <f>$Q$5</f>
        <v>4</v>
      </c>
    </row>
    <row r="53" spans="1:4">
      <c r="A53" s="148" t="str">
        <f t="shared" si="3"/>
        <v>AI_BUF.aH</v>
      </c>
      <c r="B53" s="149">
        <v>11152</v>
      </c>
      <c r="C53" s="149" t="s">
        <v>0</v>
      </c>
      <c r="D53" s="151" t="str">
        <f>$R$5</f>
        <v>Авария</v>
      </c>
    </row>
    <row r="54" spans="1:4" s="4" customFormat="1">
      <c r="A54" s="148" t="str">
        <f t="shared" si="3"/>
        <v>AI_BUF.aH</v>
      </c>
      <c r="B54" s="149">
        <v>11150</v>
      </c>
      <c r="C54" s="149" t="s">
        <v>0</v>
      </c>
      <c r="D54" s="125" t="s">
        <v>85</v>
      </c>
    </row>
    <row r="55" spans="1:4">
      <c r="A55" s="148" t="str">
        <f t="shared" si="3"/>
        <v>AI_BUF.aH</v>
      </c>
      <c r="B55" s="149">
        <v>11000</v>
      </c>
      <c r="C55" s="149" t="s">
        <v>5</v>
      </c>
      <c r="D55" s="125">
        <v>2147483680</v>
      </c>
    </row>
    <row r="56" spans="1:4">
      <c r="A56" s="19" t="str">
        <f t="shared" si="3"/>
        <v>AI_BUF.aH</v>
      </c>
      <c r="B56" s="11">
        <v>101</v>
      </c>
      <c r="C56" s="11" t="s">
        <v>0</v>
      </c>
      <c r="D56" s="20" t="s">
        <v>46</v>
      </c>
    </row>
    <row r="57" spans="1:4">
      <c r="A57" s="19" t="str">
        <f t="shared" si="3"/>
        <v>AI_BUF.aH</v>
      </c>
      <c r="B57" s="11">
        <v>3</v>
      </c>
      <c r="C57" s="11" t="s">
        <v>1</v>
      </c>
      <c r="D57" s="20">
        <v>192</v>
      </c>
    </row>
    <row r="58" spans="1:4">
      <c r="A58" s="19" t="str">
        <f t="shared" si="3"/>
        <v>AI_BUF.aH</v>
      </c>
      <c r="B58" s="11">
        <v>2</v>
      </c>
      <c r="C58" s="11" t="s">
        <v>2</v>
      </c>
      <c r="D58" s="20" t="s">
        <v>3</v>
      </c>
    </row>
    <row r="59" spans="1:4">
      <c r="A59" s="21" t="str">
        <f t="shared" si="3"/>
        <v>AI_BUF.aH</v>
      </c>
      <c r="B59" s="8">
        <v>1</v>
      </c>
      <c r="C59" s="8" t="s">
        <v>1</v>
      </c>
      <c r="D59" s="22">
        <v>11</v>
      </c>
    </row>
    <row r="60" spans="1:4">
      <c r="A60" s="19" t="str">
        <f t="shared" ref="A60:A68" si="4">$R$2&amp;".wH"</f>
        <v>AI_BUF.wH</v>
      </c>
      <c r="B60" s="17">
        <v>3000000</v>
      </c>
      <c r="C60" s="17" t="s">
        <v>0</v>
      </c>
      <c r="D60" s="18" t="s">
        <v>2322</v>
      </c>
    </row>
    <row r="61" spans="1:4">
      <c r="A61" s="63" t="str">
        <f t="shared" si="4"/>
        <v>AI_BUF.wH</v>
      </c>
      <c r="B61" s="64">
        <v>11154</v>
      </c>
      <c r="C61" s="64" t="s">
        <v>4</v>
      </c>
      <c r="D61" s="98">
        <f>$Q$6</f>
        <v>8</v>
      </c>
    </row>
    <row r="62" spans="1:4">
      <c r="A62" s="63" t="str">
        <f t="shared" si="4"/>
        <v>AI_BUF.wH</v>
      </c>
      <c r="B62" s="64">
        <v>11152</v>
      </c>
      <c r="C62" s="64" t="s">
        <v>0</v>
      </c>
      <c r="D62" s="129" t="str">
        <f>$R$6</f>
        <v>Предупреждение</v>
      </c>
    </row>
    <row r="63" spans="1:4">
      <c r="A63" s="63" t="str">
        <f t="shared" si="4"/>
        <v>AI_BUF.wH</v>
      </c>
      <c r="B63" s="64">
        <v>11150</v>
      </c>
      <c r="C63" s="64" t="s">
        <v>0</v>
      </c>
      <c r="D63" s="65" t="s">
        <v>86</v>
      </c>
    </row>
    <row r="64" spans="1:4">
      <c r="A64" s="63" t="str">
        <f t="shared" si="4"/>
        <v>AI_BUF.wH</v>
      </c>
      <c r="B64" s="64">
        <v>11000</v>
      </c>
      <c r="C64" s="64" t="s">
        <v>5</v>
      </c>
      <c r="D64" s="65">
        <v>2147483680</v>
      </c>
    </row>
    <row r="65" spans="1:4">
      <c r="A65" s="19" t="str">
        <f t="shared" si="4"/>
        <v>AI_BUF.wH</v>
      </c>
      <c r="B65" s="11">
        <v>101</v>
      </c>
      <c r="C65" s="11" t="s">
        <v>0</v>
      </c>
      <c r="D65" s="20" t="s">
        <v>47</v>
      </c>
    </row>
    <row r="66" spans="1:4">
      <c r="A66" s="19" t="str">
        <f t="shared" si="4"/>
        <v>AI_BUF.wH</v>
      </c>
      <c r="B66" s="11">
        <v>3</v>
      </c>
      <c r="C66" s="11" t="s">
        <v>1</v>
      </c>
      <c r="D66" s="20">
        <v>192</v>
      </c>
    </row>
    <row r="67" spans="1:4" s="4" customFormat="1">
      <c r="A67" s="19" t="str">
        <f t="shared" si="4"/>
        <v>AI_BUF.wH</v>
      </c>
      <c r="B67" s="11">
        <v>2</v>
      </c>
      <c r="C67" s="11" t="s">
        <v>2</v>
      </c>
      <c r="D67" s="20" t="s">
        <v>3</v>
      </c>
    </row>
    <row r="68" spans="1:4">
      <c r="A68" s="21" t="str">
        <f t="shared" si="4"/>
        <v>AI_BUF.wH</v>
      </c>
      <c r="B68" s="8">
        <v>1</v>
      </c>
      <c r="C68" s="8" t="s">
        <v>1</v>
      </c>
      <c r="D68" s="22">
        <v>11</v>
      </c>
    </row>
    <row r="69" spans="1:4">
      <c r="A69" s="19" t="str">
        <f t="shared" ref="A69:A77" si="5">$R$2&amp;".wL"</f>
        <v>AI_BUF.wL</v>
      </c>
      <c r="B69" s="17">
        <v>3000000</v>
      </c>
      <c r="C69" s="17" t="s">
        <v>0</v>
      </c>
      <c r="D69" s="18" t="s">
        <v>2321</v>
      </c>
    </row>
    <row r="70" spans="1:4">
      <c r="A70" s="63" t="str">
        <f t="shared" si="5"/>
        <v>AI_BUF.wL</v>
      </c>
      <c r="B70" s="64">
        <v>11154</v>
      </c>
      <c r="C70" s="64" t="s">
        <v>4</v>
      </c>
      <c r="D70" s="98">
        <f>$Q$6</f>
        <v>8</v>
      </c>
    </row>
    <row r="71" spans="1:4">
      <c r="A71" s="63" t="str">
        <f t="shared" si="5"/>
        <v>AI_BUF.wL</v>
      </c>
      <c r="B71" s="64">
        <v>11152</v>
      </c>
      <c r="C71" s="64" t="s">
        <v>0</v>
      </c>
      <c r="D71" s="129" t="str">
        <f>$R$6</f>
        <v>Предупреждение</v>
      </c>
    </row>
    <row r="72" spans="1:4" s="4" customFormat="1">
      <c r="A72" s="63" t="str">
        <f t="shared" si="5"/>
        <v>AI_BUF.wL</v>
      </c>
      <c r="B72" s="64">
        <v>11150</v>
      </c>
      <c r="C72" s="64" t="s">
        <v>0</v>
      </c>
      <c r="D72" s="65" t="s">
        <v>88</v>
      </c>
    </row>
    <row r="73" spans="1:4">
      <c r="A73" s="63" t="str">
        <f t="shared" si="5"/>
        <v>AI_BUF.wL</v>
      </c>
      <c r="B73" s="64">
        <v>11000</v>
      </c>
      <c r="C73" s="64" t="s">
        <v>5</v>
      </c>
      <c r="D73" s="65">
        <v>2147483680</v>
      </c>
    </row>
    <row r="74" spans="1:4">
      <c r="A74" s="19" t="str">
        <f t="shared" si="5"/>
        <v>AI_BUF.wL</v>
      </c>
      <c r="B74" s="11">
        <v>101</v>
      </c>
      <c r="C74" s="11" t="s">
        <v>0</v>
      </c>
      <c r="D74" s="20" t="s">
        <v>49</v>
      </c>
    </row>
    <row r="75" spans="1:4">
      <c r="A75" s="19" t="str">
        <f t="shared" si="5"/>
        <v>AI_BUF.wL</v>
      </c>
      <c r="B75" s="11">
        <v>3</v>
      </c>
      <c r="C75" s="11" t="s">
        <v>1</v>
      </c>
      <c r="D75" s="20">
        <v>192</v>
      </c>
    </row>
    <row r="76" spans="1:4">
      <c r="A76" s="19" t="str">
        <f t="shared" si="5"/>
        <v>AI_BUF.wL</v>
      </c>
      <c r="B76" s="11">
        <v>2</v>
      </c>
      <c r="C76" s="11" t="s">
        <v>2</v>
      </c>
      <c r="D76" s="20" t="s">
        <v>3</v>
      </c>
    </row>
    <row r="77" spans="1:4" s="4" customFormat="1">
      <c r="A77" s="19" t="str">
        <f t="shared" si="5"/>
        <v>AI_BUF.wL</v>
      </c>
      <c r="B77" s="11">
        <v>1</v>
      </c>
      <c r="C77" s="11" t="s">
        <v>1</v>
      </c>
      <c r="D77" s="20">
        <v>11</v>
      </c>
    </row>
    <row r="78" spans="1:4">
      <c r="A78" s="16" t="str">
        <f t="shared" ref="A78:A86" si="6">$R$2&amp;".Commands.coRepair"</f>
        <v>AI_BUF.Commands.coRepair</v>
      </c>
      <c r="B78" s="17">
        <v>7011</v>
      </c>
      <c r="C78" s="17" t="s">
        <v>2</v>
      </c>
      <c r="D78" s="18" t="s">
        <v>266</v>
      </c>
    </row>
    <row r="79" spans="1:4">
      <c r="A79" s="140" t="str">
        <f t="shared" si="6"/>
        <v>AI_BUF.Commands.coRepair</v>
      </c>
      <c r="B79" s="141">
        <v>11152</v>
      </c>
      <c r="C79" s="141" t="s">
        <v>0</v>
      </c>
      <c r="D79" s="142" t="str">
        <f>$R$11</f>
        <v>Ремонт</v>
      </c>
    </row>
    <row r="80" spans="1:4">
      <c r="A80" s="140" t="str">
        <f t="shared" si="6"/>
        <v>AI_BUF.Commands.coRepair</v>
      </c>
      <c r="B80" s="141">
        <v>11154</v>
      </c>
      <c r="C80" s="141" t="s">
        <v>4</v>
      </c>
      <c r="D80" s="142">
        <f>$Q$11</f>
        <v>14</v>
      </c>
    </row>
    <row r="81" spans="1:16">
      <c r="A81" s="140" t="str">
        <f t="shared" si="6"/>
        <v>AI_BUF.Commands.coRepair</v>
      </c>
      <c r="B81" s="141">
        <v>11150</v>
      </c>
      <c r="C81" s="141" t="s">
        <v>0</v>
      </c>
      <c r="D81" s="142" t="s">
        <v>89</v>
      </c>
    </row>
    <row r="82" spans="1:16" s="4" customFormat="1">
      <c r="A82" s="140" t="str">
        <f t="shared" si="6"/>
        <v>AI_BUF.Commands.coRepair</v>
      </c>
      <c r="B82" s="141">
        <v>11000</v>
      </c>
      <c r="C82" s="141" t="s">
        <v>5</v>
      </c>
      <c r="D82" s="142">
        <v>2147483680</v>
      </c>
    </row>
    <row r="83" spans="1:16">
      <c r="A83" s="19" t="str">
        <f t="shared" si="6"/>
        <v>AI_BUF.Commands.coRepair</v>
      </c>
      <c r="B83" s="11">
        <v>1</v>
      </c>
      <c r="C83" s="11" t="s">
        <v>1</v>
      </c>
      <c r="D83" s="20">
        <v>11</v>
      </c>
    </row>
    <row r="84" spans="1:16" ht="13.5" customHeight="1">
      <c r="A84" s="29" t="str">
        <f t="shared" si="6"/>
        <v>AI_BUF.Commands.coRepair</v>
      </c>
      <c r="B84" s="1">
        <v>4000000</v>
      </c>
      <c r="C84" s="1" t="s">
        <v>0</v>
      </c>
      <c r="D84" s="415" t="s">
        <v>1492</v>
      </c>
    </row>
    <row r="85" spans="1:16" ht="13.5" customHeight="1">
      <c r="A85" s="29" t="str">
        <f t="shared" si="6"/>
        <v>AI_BUF.Commands.coRepair</v>
      </c>
      <c r="B85" s="1">
        <v>7000000</v>
      </c>
      <c r="C85" s="1" t="s">
        <v>6</v>
      </c>
      <c r="D85" s="30">
        <v>2</v>
      </c>
    </row>
    <row r="86" spans="1:16">
      <c r="A86" s="26" t="str">
        <f t="shared" si="6"/>
        <v>AI_BUF.Commands.coRepair</v>
      </c>
      <c r="B86" s="11">
        <v>3</v>
      </c>
      <c r="C86" s="11" t="s">
        <v>1</v>
      </c>
      <c r="D86" s="20">
        <v>192</v>
      </c>
    </row>
    <row r="87" spans="1:16">
      <c r="A87" s="275" t="str">
        <f t="shared" ref="A87:A102" si="7">$R$2&amp;".Value"</f>
        <v>AI_BUF.Value</v>
      </c>
      <c r="B87" s="276">
        <v>7999</v>
      </c>
      <c r="C87" s="276" t="s">
        <v>0</v>
      </c>
      <c r="D87" s="277" t="str">
        <f>"#"&amp;$S$2&amp;"#"&amp;$T$2&amp;"\"&amp;$P$2</f>
        <v>#1#treiOPCDA.CoOPCserv.1\pcmaster\KTP_T_v_KTP</v>
      </c>
    </row>
    <row r="88" spans="1:16">
      <c r="A88" s="278" t="str">
        <f t="shared" si="7"/>
        <v>AI_BUF.Value</v>
      </c>
      <c r="B88" s="279">
        <v>7998</v>
      </c>
      <c r="C88" s="279" t="s">
        <v>6</v>
      </c>
      <c r="D88" s="280">
        <v>1</v>
      </c>
    </row>
    <row r="89" spans="1:16">
      <c r="A89" s="278" t="str">
        <f t="shared" si="7"/>
        <v>AI_BUF.Value</v>
      </c>
      <c r="B89" s="279">
        <v>101</v>
      </c>
      <c r="C89" s="279" t="s">
        <v>0</v>
      </c>
      <c r="D89" s="280" t="str">
        <f>$Q$2&amp;", "&amp;$X$2</f>
        <v>Аналоговый сигнал (уставки и ремонт в INFINITY) с буферизацией, C</v>
      </c>
    </row>
    <row r="90" spans="1:16">
      <c r="A90" s="278" t="str">
        <f t="shared" si="7"/>
        <v>AI_BUF.Value</v>
      </c>
      <c r="B90" s="279">
        <v>3</v>
      </c>
      <c r="C90" s="279" t="s">
        <v>1</v>
      </c>
      <c r="D90" s="280">
        <v>192</v>
      </c>
    </row>
    <row r="91" spans="1:16">
      <c r="A91" s="278" t="str">
        <f t="shared" si="7"/>
        <v>AI_BUF.Value</v>
      </c>
      <c r="B91" s="279">
        <v>2</v>
      </c>
      <c r="C91" s="64" t="str">
        <f>IF($AW$2="INT","vt_i2",IF($AW$2="DINT","vt_i4","vt_r4"))</f>
        <v>vt_i2</v>
      </c>
      <c r="D91" s="280">
        <v>0</v>
      </c>
      <c r="E91" s="4"/>
      <c r="F91" s="4"/>
      <c r="G91" s="4"/>
      <c r="H91" s="4"/>
      <c r="I91" s="4"/>
      <c r="J91" s="4"/>
      <c r="K91" s="4"/>
      <c r="L91" s="4"/>
      <c r="M91" s="4"/>
      <c r="N91" s="4"/>
      <c r="O91" s="4"/>
      <c r="P91" s="4"/>
    </row>
    <row r="92" spans="1:16">
      <c r="A92" s="278" t="str">
        <f t="shared" si="7"/>
        <v>AI_BUF.Value</v>
      </c>
      <c r="B92" s="279">
        <v>1</v>
      </c>
      <c r="C92" s="279" t="s">
        <v>1</v>
      </c>
      <c r="D92" s="65">
        <f>IF($AW$2="INT",2,IF($AW$2="DINT",3,4))</f>
        <v>2</v>
      </c>
      <c r="E92" s="4"/>
      <c r="F92" s="4"/>
      <c r="G92" s="4"/>
      <c r="H92" s="4"/>
      <c r="I92" s="4"/>
      <c r="J92" s="4"/>
      <c r="K92" s="4"/>
      <c r="L92" s="4"/>
      <c r="M92" s="4"/>
      <c r="N92" s="4"/>
      <c r="O92" s="4"/>
      <c r="P92" s="4"/>
    </row>
    <row r="93" spans="1:16">
      <c r="A93" s="278" t="str">
        <f t="shared" si="7"/>
        <v>AI_BUF.Value</v>
      </c>
      <c r="B93" s="279">
        <v>3011100</v>
      </c>
      <c r="C93" s="279" t="s">
        <v>0</v>
      </c>
      <c r="D93" s="280" t="s">
        <v>2320</v>
      </c>
      <c r="E93" s="4"/>
      <c r="F93" s="4"/>
      <c r="G93" s="4"/>
      <c r="H93" s="4"/>
      <c r="I93" s="4"/>
      <c r="J93" s="4"/>
      <c r="K93" s="4"/>
      <c r="L93" s="4"/>
      <c r="M93" s="4"/>
      <c r="N93" s="4"/>
      <c r="O93" s="4"/>
      <c r="P93" s="4"/>
    </row>
    <row r="94" spans="1:16">
      <c r="A94" s="278" t="str">
        <f t="shared" si="7"/>
        <v>AI_BUF.Value</v>
      </c>
      <c r="B94" s="279">
        <v>3011101</v>
      </c>
      <c r="C94" s="279" t="s">
        <v>0</v>
      </c>
      <c r="D94" s="280" t="s">
        <v>2319</v>
      </c>
      <c r="E94" s="4"/>
      <c r="F94" s="4"/>
      <c r="G94" s="4"/>
      <c r="H94" s="4"/>
      <c r="I94" s="4"/>
      <c r="J94" s="4"/>
      <c r="K94" s="4"/>
      <c r="L94" s="4"/>
      <c r="M94" s="4"/>
      <c r="N94" s="4"/>
      <c r="O94" s="4"/>
      <c r="P94" s="4"/>
    </row>
    <row r="95" spans="1:16">
      <c r="A95" s="278" t="str">
        <f t="shared" si="7"/>
        <v>AI_BUF.Value</v>
      </c>
      <c r="B95" s="279">
        <v>3011102</v>
      </c>
      <c r="C95" s="279" t="s">
        <v>0</v>
      </c>
      <c r="D95" s="280" t="s">
        <v>2317</v>
      </c>
      <c r="E95" s="4"/>
      <c r="F95" s="4"/>
      <c r="G95" s="4"/>
      <c r="H95" s="4"/>
      <c r="I95" s="4"/>
      <c r="J95" s="4"/>
      <c r="K95" s="4"/>
      <c r="L95" s="4"/>
      <c r="M95" s="4"/>
      <c r="N95" s="4"/>
      <c r="O95" s="4"/>
      <c r="P95" s="4"/>
    </row>
    <row r="96" spans="1:16">
      <c r="A96" s="278" t="str">
        <f t="shared" si="7"/>
        <v>AI_BUF.Value</v>
      </c>
      <c r="B96" s="279">
        <v>3011103</v>
      </c>
      <c r="C96" s="279" t="s">
        <v>0</v>
      </c>
      <c r="D96" s="280" t="s">
        <v>2318</v>
      </c>
      <c r="E96" s="4"/>
      <c r="F96" s="4"/>
      <c r="G96" s="4"/>
      <c r="H96" s="4"/>
      <c r="I96" s="4"/>
      <c r="J96" s="4"/>
      <c r="K96" s="4"/>
      <c r="L96" s="4"/>
      <c r="M96" s="4"/>
      <c r="N96" s="4"/>
      <c r="O96" s="4"/>
      <c r="P96" s="4"/>
    </row>
    <row r="97" spans="1:16">
      <c r="A97" s="278" t="str">
        <f t="shared" si="7"/>
        <v>AI_BUF.Value</v>
      </c>
      <c r="B97" s="279">
        <v>11100</v>
      </c>
      <c r="C97" s="279" t="s">
        <v>278</v>
      </c>
      <c r="D97" s="285">
        <v>1</v>
      </c>
      <c r="E97" s="4"/>
      <c r="F97" s="4"/>
      <c r="G97" s="4"/>
      <c r="H97" s="4"/>
      <c r="I97" s="4"/>
      <c r="J97" s="4"/>
      <c r="K97" s="4"/>
      <c r="L97" s="4"/>
      <c r="M97" s="4"/>
      <c r="N97" s="4"/>
      <c r="O97" s="4"/>
      <c r="P97" s="4"/>
    </row>
    <row r="98" spans="1:16">
      <c r="A98" s="278" t="str">
        <f t="shared" si="7"/>
        <v>AI_BUF.Value</v>
      </c>
      <c r="B98" s="279">
        <v>11101</v>
      </c>
      <c r="C98" s="279" t="s">
        <v>278</v>
      </c>
      <c r="D98" s="285">
        <v>2</v>
      </c>
      <c r="E98" s="4"/>
      <c r="F98" s="4"/>
      <c r="G98" s="4"/>
      <c r="H98" s="4"/>
      <c r="I98" s="4"/>
      <c r="J98" s="4"/>
      <c r="K98" s="4"/>
      <c r="L98" s="4"/>
      <c r="M98" s="4"/>
      <c r="N98" s="4"/>
      <c r="O98" s="4"/>
      <c r="P98" s="4"/>
    </row>
    <row r="99" spans="1:16">
      <c r="A99" s="278" t="str">
        <f t="shared" si="7"/>
        <v>AI_BUF.Value</v>
      </c>
      <c r="B99" s="279">
        <v>11102</v>
      </c>
      <c r="C99" s="279" t="s">
        <v>278</v>
      </c>
      <c r="D99" s="285">
        <v>3</v>
      </c>
    </row>
    <row r="100" spans="1:16">
      <c r="A100" s="278" t="str">
        <f t="shared" si="7"/>
        <v>AI_BUF.Value</v>
      </c>
      <c r="B100" s="279">
        <v>11103</v>
      </c>
      <c r="C100" s="279" t="s">
        <v>278</v>
      </c>
      <c r="D100" s="285">
        <v>4</v>
      </c>
    </row>
    <row r="101" spans="1:16">
      <c r="A101" s="278" t="str">
        <f t="shared" si="7"/>
        <v>AI_BUF.Value</v>
      </c>
      <c r="B101" s="279">
        <v>7011</v>
      </c>
      <c r="C101" s="279" t="s">
        <v>2</v>
      </c>
      <c r="D101" s="285" t="s">
        <v>266</v>
      </c>
    </row>
    <row r="102" spans="1:16">
      <c r="A102" s="281" t="str">
        <f t="shared" si="7"/>
        <v>AI_BUF.Value</v>
      </c>
      <c r="B102" s="282">
        <v>9002</v>
      </c>
      <c r="C102" s="282" t="s">
        <v>0</v>
      </c>
      <c r="D102" s="306">
        <v>2</v>
      </c>
    </row>
    <row r="103" spans="1:16">
      <c r="A103" s="275" t="str">
        <f>$R$2&amp;".BUF.Value"</f>
        <v>AI_BUF.BUF.Value</v>
      </c>
      <c r="B103" s="276">
        <v>101</v>
      </c>
      <c r="C103" s="276" t="s">
        <v>0</v>
      </c>
      <c r="D103" s="277" t="str">
        <f>$Q$2&amp;", "&amp;$X$2</f>
        <v>Аналоговый сигнал (уставки и ремонт в INFINITY) с буферизацией, C</v>
      </c>
    </row>
    <row r="104" spans="1:16">
      <c r="A104" s="278" t="str">
        <f>$R$2&amp;".BUF.Value"</f>
        <v>AI_BUF.BUF.Value</v>
      </c>
      <c r="B104" s="279">
        <v>7050</v>
      </c>
      <c r="C104" s="279" t="s">
        <v>0</v>
      </c>
      <c r="D104" s="280" t="str">
        <f>"&lt;Addr AnswerSignalType=©0© Protocol=©IEC4Std© Type=©Protocol© ProtocolType=©36© Address=©XXX© ModuleNo=©" &amp; $T$9&amp; "© Role=©Master© Station=©" &amp; $T$11 &amp; "©  /&gt;"</f>
        <v>&lt;Addr AnswerSignalType=©0© Protocol=©IEC4Std© Type=©Protocol© ProtocolType=©36© Address=©XXX© ModuleNo=©1© Role=©Master© Station=©1©  /&gt;</v>
      </c>
    </row>
    <row r="105" spans="1:16">
      <c r="A105" s="278" t="str">
        <f>$R$2&amp;".BUF.Value"</f>
        <v>AI_BUF.BUF.Value</v>
      </c>
      <c r="B105" s="279">
        <v>3</v>
      </c>
      <c r="C105" s="279" t="s">
        <v>1</v>
      </c>
      <c r="D105" s="280">
        <v>192</v>
      </c>
    </row>
    <row r="106" spans="1:16">
      <c r="A106" s="278" t="str">
        <f>$R$2&amp;".BUF.Value"</f>
        <v>AI_BUF.BUF.Value</v>
      </c>
      <c r="B106" s="279">
        <v>2</v>
      </c>
      <c r="C106" s="64" t="str">
        <f>IF($AW$2="INT","vt_i2",IF($AW$2="DINT","vt_i4","vt_r4"))</f>
        <v>vt_i2</v>
      </c>
      <c r="D106" s="280">
        <v>0</v>
      </c>
    </row>
    <row r="107" spans="1:16">
      <c r="A107" s="281" t="str">
        <f>$R$2&amp;".BUF.Value"</f>
        <v>AI_BUF.BUF.Value</v>
      </c>
      <c r="B107" s="282">
        <v>1</v>
      </c>
      <c r="C107" s="282" t="s">
        <v>1</v>
      </c>
      <c r="D107" s="68">
        <f>IF($AW$2="INT",2,IF($AW$2="DINT",3,4))</f>
        <v>2</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Лист176">
    <tabColor rgb="FFFFC000"/>
  </sheetPr>
  <dimension ref="A1:BP156"/>
  <sheetViews>
    <sheetView topLeftCell="A16"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9.88671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57"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t="s">
        <v>1744</v>
      </c>
      <c r="Q2" s="2" t="s">
        <v>1816</v>
      </c>
      <c r="R2" s="2" t="s">
        <v>1806</v>
      </c>
      <c r="S2" s="3">
        <v>1</v>
      </c>
      <c r="T2" s="3" t="s">
        <v>1698</v>
      </c>
      <c r="U2" s="3"/>
      <c r="V2" s="3" t="s">
        <v>569</v>
      </c>
      <c r="W2" s="12" t="s">
        <v>247</v>
      </c>
      <c r="X2" s="12" t="s">
        <v>248</v>
      </c>
      <c r="Y2" s="12"/>
      <c r="Z2" s="12"/>
      <c r="AA2" s="12"/>
      <c r="AB2" s="2"/>
      <c r="AC2" s="2"/>
      <c r="AD2" s="2"/>
      <c r="AE2" s="2" t="s">
        <v>1414</v>
      </c>
      <c r="AF2" s="2"/>
      <c r="AG2" s="2"/>
      <c r="AH2" s="2"/>
      <c r="AI2" s="2"/>
      <c r="AJ2" s="2"/>
      <c r="AK2" s="2"/>
      <c r="AL2" s="2"/>
      <c r="AM2" s="2"/>
      <c r="AN2" s="2"/>
      <c r="AO2" s="2"/>
      <c r="AP2" s="2"/>
      <c r="AQ2" s="2"/>
      <c r="AR2" s="2"/>
      <c r="AS2" s="2"/>
      <c r="AT2" s="2"/>
      <c r="AU2" s="2"/>
      <c r="AV2" s="2"/>
      <c r="AW2" s="2" t="s">
        <v>618</v>
      </c>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7" t="s">
        <v>1793</v>
      </c>
      <c r="T4" s="548" t="str">
        <f>Настройки!M11</f>
        <v>№ Модуля commands</v>
      </c>
      <c r="U4" s="10"/>
      <c r="V4" s="10"/>
      <c r="W4" s="10"/>
      <c r="X4" s="10"/>
      <c r="Y4" s="10"/>
      <c r="Z4" s="10"/>
      <c r="AA4" s="10"/>
      <c r="BM4" s="4"/>
      <c r="BN4" s="4"/>
      <c r="BO4" s="4"/>
      <c r="BP4" s="4"/>
    </row>
    <row r="5" spans="1:68" ht="15" customHeight="1">
      <c r="A5" s="9"/>
      <c r="B5" s="9"/>
      <c r="C5" s="9"/>
      <c r="D5" s="9"/>
      <c r="E5" s="9"/>
      <c r="F5" s="9"/>
      <c r="P5" s="6" t="str">
        <f>Настройки!A2</f>
        <v>Авария</v>
      </c>
      <c r="Q5" s="5">
        <f>Настройки!B2</f>
        <v>4</v>
      </c>
      <c r="R5" s="5" t="str">
        <f>Настройки!C2</f>
        <v>Авария</v>
      </c>
      <c r="S5" s="12">
        <v>23</v>
      </c>
      <c r="T5" s="458">
        <f>Настройки!M12</f>
        <v>1</v>
      </c>
      <c r="U5" s="10"/>
      <c r="V5" s="10"/>
      <c r="W5" s="10"/>
      <c r="X5" s="10"/>
      <c r="Y5" s="10"/>
      <c r="Z5" s="10"/>
      <c r="AA5" s="10"/>
      <c r="BM5" s="4"/>
      <c r="BN5" s="4"/>
      <c r="BO5" s="4"/>
      <c r="BP5" s="4"/>
    </row>
    <row r="6" spans="1:68" ht="15" customHeight="1">
      <c r="A6" s="9"/>
      <c r="B6" s="9"/>
      <c r="C6" s="9"/>
      <c r="D6" s="9"/>
      <c r="E6" s="9"/>
      <c r="F6" s="9"/>
      <c r="P6" s="6" t="str">
        <f>Настройки!A3</f>
        <v>Предупреждение</v>
      </c>
      <c r="Q6" s="5">
        <f>Настройки!B3</f>
        <v>8</v>
      </c>
      <c r="R6" s="5" t="str">
        <f>Настройки!C3</f>
        <v>Предупреждение</v>
      </c>
      <c r="S6" s="12">
        <v>24</v>
      </c>
      <c r="T6" s="608" t="str">
        <f>Настройки!M7</f>
        <v>Отображение Таблицы подлючений в диаг.</v>
      </c>
      <c r="U6" s="10"/>
      <c r="V6" s="10"/>
      <c r="W6" s="10"/>
      <c r="X6" s="10"/>
      <c r="Y6" s="10"/>
      <c r="Z6" s="10"/>
      <c r="AA6" s="10"/>
      <c r="BM6" s="4"/>
      <c r="BN6" s="4"/>
      <c r="BO6" s="4"/>
      <c r="BP6" s="4"/>
    </row>
    <row r="7" spans="1:68" ht="15" customHeight="1">
      <c r="A7" s="9"/>
      <c r="B7" s="9"/>
      <c r="C7" s="9"/>
      <c r="D7" s="9"/>
      <c r="E7" s="9"/>
      <c r="F7" s="9"/>
      <c r="P7" s="6" t="str">
        <f>Настройки!A4</f>
        <v>Неисправность</v>
      </c>
      <c r="Q7" s="5">
        <f>Настройки!B4</f>
        <v>12</v>
      </c>
      <c r="R7" s="5" t="str">
        <f>Настройки!C4</f>
        <v>Неисправность</v>
      </c>
      <c r="S7" s="12">
        <v>25</v>
      </c>
      <c r="T7" s="644" t="b">
        <f>Настройки!M8</f>
        <v>0</v>
      </c>
      <c r="U7" s="10"/>
      <c r="V7" s="10"/>
      <c r="W7" s="10"/>
      <c r="X7" s="10"/>
      <c r="Y7" s="10"/>
      <c r="Z7" s="10"/>
      <c r="AA7" s="10"/>
      <c r="BM7" s="4"/>
      <c r="BN7" s="4"/>
      <c r="BO7" s="4"/>
      <c r="BP7" s="4"/>
    </row>
    <row r="8" spans="1:68" ht="15" customHeight="1">
      <c r="A8" s="9"/>
      <c r="B8" s="9"/>
      <c r="C8" s="9"/>
      <c r="D8" s="9"/>
      <c r="E8" s="9"/>
      <c r="F8" s="9"/>
      <c r="P8" s="6" t="str">
        <f>Настройки!A5</f>
        <v>Телесигнализация</v>
      </c>
      <c r="Q8" s="5">
        <f>Настройки!B5</f>
        <v>18</v>
      </c>
      <c r="R8" s="5" t="str">
        <f>Настройки!C5</f>
        <v>Телесигнализация</v>
      </c>
      <c r="S8" s="12">
        <v>26</v>
      </c>
      <c r="T8" s="548" t="str">
        <f>Настройки!M13</f>
        <v>Номер модуля IEC 4</v>
      </c>
      <c r="U8" s="10"/>
      <c r="V8" s="10"/>
      <c r="W8" s="10"/>
      <c r="X8" s="10"/>
      <c r="Y8" s="10"/>
      <c r="Z8" s="10"/>
      <c r="AA8" s="10"/>
      <c r="BM8" s="4"/>
      <c r="BN8" s="4"/>
      <c r="BO8" s="4"/>
      <c r="BP8" s="4"/>
    </row>
    <row r="9" spans="1:68" ht="15" customHeight="1">
      <c r="A9" s="9"/>
      <c r="B9" s="9"/>
      <c r="C9" s="9"/>
      <c r="D9" s="9"/>
      <c r="E9" s="9"/>
      <c r="F9" s="9"/>
      <c r="P9" s="6" t="str">
        <f>Настройки!A6</f>
        <v>Недостоверность</v>
      </c>
      <c r="Q9" s="5">
        <f>Настройки!B6</f>
        <v>10</v>
      </c>
      <c r="R9" s="5" t="str">
        <f>Настройки!C6</f>
        <v>Недостоверность</v>
      </c>
      <c r="S9" s="12">
        <v>27</v>
      </c>
      <c r="T9" s="456">
        <f>Настройки!M14</f>
        <v>1</v>
      </c>
      <c r="U9" s="10"/>
      <c r="V9" s="10"/>
      <c r="W9" s="10"/>
      <c r="X9" s="10"/>
      <c r="Y9" s="10"/>
      <c r="Z9" s="10"/>
      <c r="AA9" s="10"/>
      <c r="BM9" s="4"/>
      <c r="BN9" s="4"/>
      <c r="BO9" s="4"/>
      <c r="BP9" s="4"/>
    </row>
    <row r="10" spans="1:68" ht="15" customHeight="1">
      <c r="A10" s="9"/>
      <c r="B10" s="9"/>
      <c r="C10" s="9"/>
      <c r="D10" s="9"/>
      <c r="E10" s="9"/>
      <c r="F10" s="9"/>
      <c r="P10" s="6" t="str">
        <f>Настройки!A7</f>
        <v>Имитация</v>
      </c>
      <c r="Q10" s="5">
        <f>Настройки!B7</f>
        <v>16</v>
      </c>
      <c r="R10" s="5" t="str">
        <f>Настройки!C7</f>
        <v>Имитация</v>
      </c>
      <c r="S10" s="12"/>
      <c r="T10" s="548" t="str">
        <f>Настройки!M15</f>
        <v>Номер КП модуля IEC 4</v>
      </c>
      <c r="U10" s="10"/>
      <c r="V10" s="10"/>
      <c r="W10" s="10"/>
      <c r="X10" s="10"/>
      <c r="Y10" s="10"/>
      <c r="Z10" s="10"/>
      <c r="AA10" s="10"/>
      <c r="BM10" s="4"/>
      <c r="BN10" s="4"/>
      <c r="BO10" s="4"/>
      <c r="BP10" s="4"/>
    </row>
    <row r="11" spans="1:68" ht="15" customHeight="1">
      <c r="A11" s="9"/>
      <c r="B11" s="9"/>
      <c r="C11" s="9"/>
      <c r="D11" s="9"/>
      <c r="E11" s="9"/>
      <c r="F11" s="9"/>
      <c r="P11" s="6" t="str">
        <f>Настройки!A8</f>
        <v>Ремонт</v>
      </c>
      <c r="Q11" s="5">
        <f>Настройки!B8</f>
        <v>14</v>
      </c>
      <c r="R11" s="5" t="str">
        <f>Настройки!C8</f>
        <v>Ремонт</v>
      </c>
      <c r="S11" s="12">
        <v>29</v>
      </c>
      <c r="T11" s="656">
        <f>Настройки!M16</f>
        <v>1</v>
      </c>
      <c r="U11" s="10"/>
      <c r="V11" s="10"/>
      <c r="W11" s="10"/>
      <c r="X11" s="10"/>
      <c r="Y11" s="10"/>
      <c r="Z11" s="10"/>
      <c r="AA11" s="10"/>
      <c r="BM11" s="4"/>
      <c r="BN11" s="4"/>
      <c r="BO11" s="4"/>
      <c r="BP11" s="4"/>
    </row>
    <row r="12" spans="1:68"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2"/>
      <c r="T12" s="10"/>
      <c r="U12" s="10"/>
      <c r="V12" s="10"/>
      <c r="W12" s="10"/>
      <c r="X12" s="10"/>
      <c r="Y12" s="10"/>
      <c r="Z12" s="10"/>
      <c r="AA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2"/>
      <c r="T13" s="10"/>
      <c r="U13" s="10"/>
      <c r="V13" s="10"/>
      <c r="W13" s="10"/>
      <c r="X13" s="10"/>
      <c r="Y13" s="10"/>
      <c r="Z13" s="10"/>
      <c r="AA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2"/>
      <c r="T14" s="10"/>
      <c r="U14" s="10"/>
      <c r="V14" s="10"/>
      <c r="W14" s="10"/>
      <c r="X14" s="10"/>
      <c r="Y14" s="10"/>
      <c r="Z14" s="10"/>
      <c r="AA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2"/>
      <c r="T15" s="10"/>
      <c r="U15" s="10"/>
      <c r="V15" s="10"/>
      <c r="W15" s="10"/>
      <c r="X15" s="10"/>
      <c r="Y15" s="10"/>
      <c r="Z15" s="10"/>
      <c r="AA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2"/>
      <c r="T16" s="10"/>
      <c r="U16" s="10"/>
      <c r="V16" s="10"/>
      <c r="W16" s="10"/>
      <c r="X16" s="10"/>
      <c r="Y16" s="10"/>
      <c r="Z16" s="10"/>
      <c r="AA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2"/>
      <c r="T17" s="10"/>
      <c r="U17" s="10"/>
      <c r="V17" s="10"/>
      <c r="W17" s="10"/>
      <c r="X17" s="10"/>
      <c r="Y17" s="10"/>
      <c r="Z17" s="10"/>
      <c r="AA17" s="10"/>
      <c r="BM17" s="4"/>
      <c r="BN17" s="4"/>
      <c r="BO17" s="4"/>
      <c r="BP17" s="4"/>
    </row>
    <row r="18" spans="1:68" ht="15" customHeight="1">
      <c r="A18" s="9"/>
      <c r="B18" s="9"/>
      <c r="C18" s="9"/>
      <c r="D18" s="9"/>
      <c r="E18" s="9"/>
      <c r="F18" s="9"/>
      <c r="P18" s="6" t="str">
        <f>Настройки!A15</f>
        <v>Отключение</v>
      </c>
      <c r="Q18" s="5">
        <f>Настройки!B15</f>
        <v>13</v>
      </c>
      <c r="R18" s="5" t="str">
        <f>Настройки!C15</f>
        <v>Отключение</v>
      </c>
      <c r="S18" s="12"/>
      <c r="T18" s="10"/>
      <c r="U18" s="10"/>
      <c r="V18" s="10"/>
      <c r="W18" s="10"/>
      <c r="X18" s="10"/>
      <c r="Y18" s="10"/>
      <c r="Z18" s="10"/>
      <c r="AA18" s="10"/>
      <c r="BM18" s="4"/>
      <c r="BN18" s="4"/>
      <c r="BO18" s="4"/>
      <c r="BP18" s="4"/>
    </row>
    <row r="19" spans="1:68" ht="15" customHeight="1">
      <c r="A19" s="9"/>
      <c r="B19" s="9"/>
      <c r="C19" s="9"/>
      <c r="D19" s="9"/>
      <c r="E19" s="9"/>
      <c r="F19" s="9"/>
      <c r="P19" s="6" t="str">
        <f>Настройки!A16</f>
        <v>Информация</v>
      </c>
      <c r="Q19" s="5">
        <f>Настройки!B16</f>
        <v>22</v>
      </c>
      <c r="R19" s="5" t="str">
        <f>Настройки!C16</f>
        <v>Информация</v>
      </c>
      <c r="S19" s="12"/>
      <c r="T19" s="10"/>
      <c r="U19" s="10"/>
      <c r="V19" s="10"/>
      <c r="W19" s="10"/>
      <c r="X19" s="10"/>
      <c r="Y19" s="10"/>
      <c r="Z19" s="10"/>
      <c r="AA19" s="10"/>
      <c r="BM19" s="4"/>
      <c r="BN19" s="4"/>
      <c r="BO19" s="4"/>
      <c r="BP19" s="4"/>
    </row>
    <row r="20" spans="1:68" ht="15" customHeight="1">
      <c r="A20" s="16" t="str">
        <f t="shared" ref="A20:A38" si="0">$R$2</f>
        <v>AI_SLIM_BUF</v>
      </c>
      <c r="B20" s="17">
        <v>11001</v>
      </c>
      <c r="C20" s="17" t="s">
        <v>0</v>
      </c>
      <c r="D20" s="18" t="str">
        <f>$Q$2&amp;". "</f>
        <v xml:space="preserve">Аналоговый сигнал облегченный (только один сигнал) с буферизацией. </v>
      </c>
      <c r="E20" s="4"/>
      <c r="F20" s="4"/>
      <c r="BM20" s="4"/>
      <c r="BN20" s="4"/>
      <c r="BO20" s="4"/>
      <c r="BP20" s="4"/>
    </row>
    <row r="21" spans="1:68" ht="15" customHeight="1">
      <c r="A21" s="19" t="str">
        <f t="shared" si="0"/>
        <v>AI_SLIM_BUF</v>
      </c>
      <c r="B21" s="11">
        <v>11156</v>
      </c>
      <c r="C21" s="11" t="s">
        <v>0</v>
      </c>
      <c r="D21" s="20" t="str">
        <f>$V$2</f>
        <v>Тестовый экран</v>
      </c>
      <c r="E21" s="4"/>
      <c r="F21" s="4"/>
      <c r="BM21" s="4"/>
      <c r="BN21" s="4"/>
      <c r="BO21" s="4"/>
      <c r="BP21" s="4"/>
    </row>
    <row r="22" spans="1:68" ht="15" customHeight="1">
      <c r="A22" s="19" t="str">
        <f t="shared" si="0"/>
        <v>AI_SLIM_BUF</v>
      </c>
      <c r="B22" s="11">
        <v>100</v>
      </c>
      <c r="C22" s="11" t="s">
        <v>0</v>
      </c>
      <c r="D22" s="20" t="b">
        <f>$T$7</f>
        <v>0</v>
      </c>
      <c r="BM22" s="4"/>
      <c r="BN22" s="4"/>
      <c r="BO22" s="4"/>
      <c r="BP22" s="4"/>
    </row>
    <row r="23" spans="1:68">
      <c r="A23" s="16" t="str">
        <f t="shared" si="0"/>
        <v>AI_SLIM_BUF</v>
      </c>
      <c r="B23" s="17">
        <v>13</v>
      </c>
      <c r="C23" s="17" t="s">
        <v>2</v>
      </c>
      <c r="D23" s="18" t="s">
        <v>3</v>
      </c>
    </row>
    <row r="24" spans="1:68" ht="15" customHeight="1">
      <c r="A24" s="765" t="str">
        <f>$R$2</f>
        <v>AI_SLIM_BUF</v>
      </c>
      <c r="B24" s="11">
        <v>7011</v>
      </c>
      <c r="C24" s="11" t="s">
        <v>2</v>
      </c>
      <c r="D24" s="568" t="s">
        <v>266</v>
      </c>
      <c r="E24" s="4"/>
      <c r="F24" s="4"/>
      <c r="G24" s="4"/>
      <c r="H24" s="4"/>
      <c r="I24" s="4"/>
      <c r="J24" s="4"/>
      <c r="K24" s="4"/>
      <c r="L24" s="4"/>
      <c r="M24" s="4"/>
      <c r="N24" s="4"/>
      <c r="O24" s="4"/>
      <c r="P24" s="4"/>
    </row>
    <row r="25" spans="1:68" ht="15" customHeight="1">
      <c r="A25" s="19" t="str">
        <f t="shared" si="0"/>
        <v>AI_SLIM_BUF</v>
      </c>
      <c r="B25" s="11">
        <v>3000013</v>
      </c>
      <c r="C25" s="11" t="s">
        <v>0</v>
      </c>
      <c r="D25" s="20" t="str">
        <f>$AE$2</f>
        <v>Диагностика.CPU.NOT_LINK.noLink</v>
      </c>
      <c r="BF25" s="4"/>
      <c r="BG25" s="4"/>
      <c r="BH25" s="4"/>
      <c r="BI25" s="4"/>
    </row>
    <row r="26" spans="1:68" ht="15" customHeight="1">
      <c r="A26" s="19" t="str">
        <f t="shared" si="0"/>
        <v>AI_SLIM_BUF</v>
      </c>
      <c r="B26" s="11">
        <v>4000013</v>
      </c>
      <c r="C26" s="11" t="s">
        <v>0</v>
      </c>
      <c r="D26" s="20" t="s">
        <v>1773</v>
      </c>
      <c r="BF26" s="4"/>
      <c r="BG26" s="4"/>
      <c r="BH26" s="4"/>
      <c r="BI26" s="4"/>
    </row>
    <row r="27" spans="1:68" ht="15" customHeight="1">
      <c r="A27" s="21" t="str">
        <f t="shared" si="0"/>
        <v>AI_SLIM_BUF</v>
      </c>
      <c r="B27" s="8">
        <v>7000013</v>
      </c>
      <c r="C27" s="8" t="s">
        <v>6</v>
      </c>
      <c r="D27" s="22">
        <v>2</v>
      </c>
      <c r="BF27" s="4"/>
      <c r="BG27" s="4"/>
      <c r="BH27" s="4"/>
      <c r="BI27" s="4"/>
    </row>
    <row r="28" spans="1:68" ht="15" customHeight="1">
      <c r="A28" s="19" t="str">
        <f t="shared" si="0"/>
        <v>AI_SLIM_BUF</v>
      </c>
      <c r="B28" s="11">
        <v>11120</v>
      </c>
      <c r="C28" s="11" t="s">
        <v>0</v>
      </c>
      <c r="D28" s="20" t="str">
        <f>$X$2</f>
        <v>C</v>
      </c>
      <c r="BF28" s="4"/>
      <c r="BG28" s="4"/>
      <c r="BH28" s="4"/>
      <c r="BI28" s="4"/>
    </row>
    <row r="29" spans="1:68" ht="15" customHeight="1">
      <c r="A29" s="19" t="str">
        <f t="shared" si="0"/>
        <v>AI_SLIM_BUF</v>
      </c>
      <c r="B29" s="11">
        <v>11121</v>
      </c>
      <c r="C29" s="11" t="s">
        <v>0</v>
      </c>
      <c r="D29" s="20" t="str">
        <f>$W$2</f>
        <v>T</v>
      </c>
      <c r="BM29" s="4"/>
      <c r="BN29" s="4"/>
      <c r="BO29" s="4"/>
      <c r="BP29" s="4"/>
    </row>
    <row r="30" spans="1:68" ht="15" customHeight="1">
      <c r="A30" s="19" t="str">
        <f t="shared" si="0"/>
        <v>AI_SLIM_BUF</v>
      </c>
      <c r="B30" s="11">
        <v>11122</v>
      </c>
      <c r="C30" s="11" t="s">
        <v>0</v>
      </c>
      <c r="D30" s="20">
        <f>$AA$2</f>
        <v>0</v>
      </c>
      <c r="BM30" s="4"/>
      <c r="BN30" s="4"/>
      <c r="BO30" s="4"/>
      <c r="BP30" s="4"/>
    </row>
    <row r="31" spans="1:68" ht="15" customHeight="1">
      <c r="A31" s="19" t="str">
        <f t="shared" si="0"/>
        <v>AI_SLIM_BUF</v>
      </c>
      <c r="B31" s="11">
        <v>11123</v>
      </c>
      <c r="C31" s="11" t="s">
        <v>0</v>
      </c>
      <c r="D31" s="20">
        <f>$Z$2</f>
        <v>0</v>
      </c>
      <c r="BM31" s="4"/>
      <c r="BN31" s="4"/>
      <c r="BO31" s="4"/>
      <c r="BP31" s="4"/>
    </row>
    <row r="32" spans="1:68" ht="15" customHeight="1">
      <c r="A32" s="278" t="str">
        <f t="shared" si="0"/>
        <v>AI_SLIM_BUF</v>
      </c>
      <c r="B32" s="279">
        <v>7999</v>
      </c>
      <c r="C32" s="279" t="s">
        <v>0</v>
      </c>
      <c r="D32" s="280" t="str">
        <f>"#"&amp;$S$2&amp;"#"&amp;$T$2&amp;"\"&amp;$P$2</f>
        <v>#1#treiOPCDA.CoOPCserv.1\pcmaster\AI_SLIM</v>
      </c>
      <c r="BM32" s="4"/>
      <c r="BN32" s="4"/>
      <c r="BO32" s="4"/>
      <c r="BP32" s="4"/>
    </row>
    <row r="33" spans="1:68" ht="15" customHeight="1">
      <c r="A33" s="278" t="str">
        <f t="shared" si="0"/>
        <v>AI_SLIM_BUF</v>
      </c>
      <c r="B33" s="279">
        <v>7998</v>
      </c>
      <c r="C33" s="279" t="s">
        <v>6</v>
      </c>
      <c r="D33" s="280">
        <v>1</v>
      </c>
      <c r="BM33" s="4"/>
      <c r="BN33" s="4"/>
      <c r="BO33" s="4"/>
      <c r="BP33" s="4"/>
    </row>
    <row r="34" spans="1:68" ht="15" customHeight="1">
      <c r="A34" s="278" t="str">
        <f t="shared" si="0"/>
        <v>AI_SLIM_BUF</v>
      </c>
      <c r="B34" s="279">
        <v>101</v>
      </c>
      <c r="C34" s="279" t="s">
        <v>0</v>
      </c>
      <c r="D34" s="280" t="str">
        <f>$Q$2&amp;", "&amp;$X$2</f>
        <v>Аналоговый сигнал облегченный (только один сигнал) с буферизацией, C</v>
      </c>
      <c r="BM34" s="4"/>
      <c r="BN34" s="4"/>
      <c r="BO34" s="4"/>
      <c r="BP34" s="4"/>
    </row>
    <row r="35" spans="1:68" ht="15" customHeight="1">
      <c r="A35" s="278" t="str">
        <f t="shared" si="0"/>
        <v>AI_SLIM_BUF</v>
      </c>
      <c r="B35" s="279">
        <v>3</v>
      </c>
      <c r="C35" s="279" t="s">
        <v>1</v>
      </c>
      <c r="D35" s="280">
        <v>192</v>
      </c>
      <c r="BM35" s="4"/>
      <c r="BN35" s="4"/>
      <c r="BO35" s="4"/>
      <c r="BP35" s="4"/>
    </row>
    <row r="36" spans="1:68" ht="15" customHeight="1">
      <c r="A36" s="278" t="str">
        <f t="shared" si="0"/>
        <v>AI_SLIM_BUF</v>
      </c>
      <c r="B36" s="279">
        <v>2</v>
      </c>
      <c r="C36" s="64" t="str">
        <f>IF($AW$2="INT","vt_i2",IF($AW$2="DINT","vt_i4","vt_r4"))</f>
        <v>vt_i2</v>
      </c>
      <c r="D36" s="280">
        <v>0</v>
      </c>
      <c r="BM36" s="4"/>
      <c r="BN36" s="4"/>
      <c r="BO36" s="4"/>
      <c r="BP36" s="4"/>
    </row>
    <row r="37" spans="1:68" ht="15" customHeight="1">
      <c r="A37" s="278" t="str">
        <f t="shared" si="0"/>
        <v>AI_SLIM_BUF</v>
      </c>
      <c r="B37" s="279">
        <v>1</v>
      </c>
      <c r="C37" s="279" t="s">
        <v>1</v>
      </c>
      <c r="D37" s="65">
        <f>IF($AW$2="INT",2,IF($AW$2="DINT",3,4))</f>
        <v>2</v>
      </c>
      <c r="BM37" s="4"/>
      <c r="BN37" s="4"/>
      <c r="BO37" s="4"/>
      <c r="BP37" s="4"/>
    </row>
    <row r="38" spans="1:68" ht="15" customHeight="1">
      <c r="A38" s="281" t="str">
        <f t="shared" si="0"/>
        <v>AI_SLIM_BUF</v>
      </c>
      <c r="B38" s="282">
        <v>9002</v>
      </c>
      <c r="C38" s="282" t="s">
        <v>0</v>
      </c>
      <c r="D38" s="306">
        <v>2</v>
      </c>
      <c r="BM38" s="4"/>
      <c r="BN38" s="4"/>
      <c r="BO38" s="4"/>
      <c r="BP38" s="4"/>
    </row>
    <row r="39" spans="1:68" ht="15" customHeight="1">
      <c r="A39" s="19" t="str">
        <f t="shared" ref="A39:A48" si="1">$R$2&amp;".BUF"</f>
        <v>AI_SLIM_BUF.BUF</v>
      </c>
      <c r="B39" s="11">
        <v>11120</v>
      </c>
      <c r="C39" s="11" t="s">
        <v>0</v>
      </c>
      <c r="D39" s="20" t="str">
        <f>$X$2</f>
        <v>C</v>
      </c>
      <c r="BM39" s="4"/>
      <c r="BN39" s="4"/>
      <c r="BO39" s="4"/>
      <c r="BP39" s="4"/>
    </row>
    <row r="40" spans="1:68" ht="15" customHeight="1">
      <c r="A40" s="19" t="str">
        <f t="shared" si="1"/>
        <v>AI_SLIM_BUF.BUF</v>
      </c>
      <c r="B40" s="11">
        <v>11121</v>
      </c>
      <c r="C40" s="11" t="s">
        <v>0</v>
      </c>
      <c r="D40" s="20" t="str">
        <f>$W$2</f>
        <v>T</v>
      </c>
      <c r="BM40" s="4"/>
      <c r="BN40" s="4"/>
      <c r="BO40" s="4"/>
      <c r="BP40" s="4"/>
    </row>
    <row r="41" spans="1:68" ht="15" customHeight="1">
      <c r="A41" s="19" t="str">
        <f t="shared" si="1"/>
        <v>AI_SLIM_BUF.BUF</v>
      </c>
      <c r="B41" s="11">
        <v>11122</v>
      </c>
      <c r="C41" s="11" t="s">
        <v>0</v>
      </c>
      <c r="D41" s="20">
        <f>$AA$2</f>
        <v>0</v>
      </c>
      <c r="BM41" s="4"/>
      <c r="BN41" s="4"/>
      <c r="BO41" s="4"/>
      <c r="BP41" s="4"/>
    </row>
    <row r="42" spans="1:68" ht="15" customHeight="1">
      <c r="A42" s="19" t="str">
        <f t="shared" si="1"/>
        <v>AI_SLIM_BUF.BUF</v>
      </c>
      <c r="B42" s="11">
        <v>11123</v>
      </c>
      <c r="C42" s="11" t="s">
        <v>0</v>
      </c>
      <c r="D42" s="20">
        <f>$Z$2</f>
        <v>0</v>
      </c>
      <c r="BM42" s="4"/>
      <c r="BN42" s="4"/>
      <c r="BO42" s="4"/>
      <c r="BP42" s="4"/>
    </row>
    <row r="43" spans="1:68" ht="15" customHeight="1">
      <c r="A43" s="278" t="str">
        <f t="shared" si="1"/>
        <v>AI_SLIM_BUF.BUF</v>
      </c>
      <c r="B43" s="279">
        <v>7050</v>
      </c>
      <c r="C43" s="279" t="s">
        <v>0</v>
      </c>
      <c r="D43" s="280" t="str">
        <f>"&lt;Addr AnswerSignalType=©0© Protocol=©IEC4Std© Type=©Protocol© ProtocolType=©36© Address=©XXX© ModuleNo=©" &amp; $T$9&amp; "© Role=©Master© Station=©" &amp; $T$11 &amp; "©  /&gt;"</f>
        <v>&lt;Addr AnswerSignalType=©0© Protocol=©IEC4Std© Type=©Protocol© ProtocolType=©36© Address=©XXX© ModuleNo=©1© Role=©Master© Station=©1©  /&gt;</v>
      </c>
      <c r="BM43" s="4"/>
      <c r="BN43" s="4"/>
      <c r="BO43" s="4"/>
      <c r="BP43" s="4"/>
    </row>
    <row r="44" spans="1:68" ht="15" customHeight="1">
      <c r="A44" s="278" t="str">
        <f t="shared" si="1"/>
        <v>AI_SLIM_BUF.BUF</v>
      </c>
      <c r="B44" s="279">
        <v>101</v>
      </c>
      <c r="C44" s="279" t="s">
        <v>0</v>
      </c>
      <c r="D44" s="280" t="str">
        <f>$Q$2&amp;", "&amp;$X$2</f>
        <v>Аналоговый сигнал облегченный (только один сигнал) с буферизацией, C</v>
      </c>
      <c r="BM44" s="4"/>
      <c r="BN44" s="4"/>
      <c r="BO44" s="4"/>
      <c r="BP44" s="4"/>
    </row>
    <row r="45" spans="1:68">
      <c r="A45" s="278" t="str">
        <f t="shared" si="1"/>
        <v>AI_SLIM_BUF.BUF</v>
      </c>
      <c r="B45" s="279">
        <v>3</v>
      </c>
      <c r="C45" s="279" t="s">
        <v>1</v>
      </c>
      <c r="D45" s="280">
        <v>192</v>
      </c>
      <c r="Q45" s="4"/>
      <c r="R45" s="4"/>
      <c r="S45" s="4"/>
      <c r="T45" s="4"/>
      <c r="U45" s="4"/>
      <c r="V45" s="4"/>
    </row>
    <row r="46" spans="1:68">
      <c r="A46" s="278" t="str">
        <f t="shared" si="1"/>
        <v>AI_SLIM_BUF.BUF</v>
      </c>
      <c r="B46" s="279">
        <v>2</v>
      </c>
      <c r="C46" s="64" t="str">
        <f>IF($AW$2="INT","vt_i2",IF($AW$2="DINT","vt_i4","vt_r4"))</f>
        <v>vt_i2</v>
      </c>
      <c r="D46" s="280">
        <v>0</v>
      </c>
      <c r="Q46" s="4"/>
      <c r="R46" s="4"/>
      <c r="S46" s="4"/>
      <c r="T46" s="4"/>
      <c r="U46" s="4"/>
      <c r="V46" s="4"/>
    </row>
    <row r="47" spans="1:68">
      <c r="A47" s="278" t="str">
        <f t="shared" si="1"/>
        <v>AI_SLIM_BUF.BUF</v>
      </c>
      <c r="B47" s="279">
        <v>1</v>
      </c>
      <c r="C47" s="279" t="s">
        <v>1</v>
      </c>
      <c r="D47" s="65">
        <f>IF($AW$2="INT",2,IF($AW$2="DINT",3,4))</f>
        <v>2</v>
      </c>
      <c r="Q47" s="4"/>
      <c r="R47" s="4"/>
      <c r="S47" s="4"/>
      <c r="T47" s="4"/>
      <c r="U47" s="4"/>
      <c r="V47" s="4"/>
    </row>
    <row r="48" spans="1:68">
      <c r="A48" s="281" t="str">
        <f t="shared" si="1"/>
        <v>AI_SLIM_BUF.BUF</v>
      </c>
      <c r="B48" s="282">
        <v>9002</v>
      </c>
      <c r="C48" s="282" t="s">
        <v>0</v>
      </c>
      <c r="D48" s="306">
        <v>2</v>
      </c>
      <c r="Q48" s="4"/>
      <c r="R48" s="4"/>
      <c r="S48" s="4"/>
      <c r="T48" s="4"/>
      <c r="U48" s="4"/>
      <c r="V48" s="4"/>
    </row>
    <row r="49" spans="1:22">
      <c r="Q49" s="4"/>
      <c r="R49" s="4"/>
      <c r="S49" s="4"/>
      <c r="T49" s="4"/>
      <c r="U49" s="4"/>
      <c r="V49" s="4"/>
    </row>
    <row r="50" spans="1:22" s="4" customFormat="1">
      <c r="A50"/>
      <c r="B50"/>
      <c r="C50"/>
      <c r="D50"/>
    </row>
    <row r="51" spans="1:22">
      <c r="Q51" s="4"/>
      <c r="R51" s="4"/>
      <c r="S51" s="4"/>
      <c r="T51" s="4"/>
      <c r="U51" s="4"/>
      <c r="V51" s="4"/>
    </row>
    <row r="52" spans="1:22">
      <c r="Q52" s="4"/>
      <c r="R52" s="4"/>
      <c r="S52" s="4"/>
      <c r="T52" s="4"/>
      <c r="U52" s="4"/>
      <c r="V52" s="4"/>
    </row>
    <row r="53" spans="1:22">
      <c r="Q53" s="4"/>
      <c r="R53" s="4"/>
      <c r="S53" s="4"/>
      <c r="T53" s="4"/>
      <c r="U53" s="4"/>
      <c r="V53" s="4"/>
    </row>
    <row r="54" spans="1:22">
      <c r="Q54" s="4"/>
      <c r="R54" s="4"/>
      <c r="S54" s="4"/>
      <c r="T54" s="4"/>
      <c r="U54" s="4"/>
      <c r="V54" s="4"/>
    </row>
    <row r="55" spans="1:22" s="4" customFormat="1">
      <c r="A55"/>
      <c r="B55"/>
      <c r="C55"/>
      <c r="D55"/>
    </row>
    <row r="60" spans="1:22" s="4" customFormat="1">
      <c r="A60"/>
      <c r="B60"/>
      <c r="C60"/>
      <c r="D60"/>
    </row>
    <row r="73" spans="1:4" s="4" customFormat="1">
      <c r="A73"/>
      <c r="B73"/>
      <c r="C73"/>
      <c r="D73"/>
    </row>
    <row r="78" spans="1:4" s="4" customFormat="1">
      <c r="A78"/>
      <c r="B78"/>
      <c r="C78"/>
      <c r="D78"/>
    </row>
    <row r="83" spans="1:4" s="4" customFormat="1">
      <c r="A83"/>
      <c r="B83"/>
      <c r="C83"/>
      <c r="D83"/>
    </row>
    <row r="88" spans="1:4" s="4" customFormat="1">
      <c r="A88"/>
      <c r="B88"/>
      <c r="C88"/>
      <c r="D88"/>
    </row>
    <row r="90" spans="1:4" ht="13.5" customHeight="1"/>
    <row r="91" spans="1:4" ht="13.5" customHeight="1"/>
    <row r="138" spans="1:4" s="1" customFormat="1">
      <c r="A138"/>
      <c r="B138"/>
      <c r="C138"/>
      <c r="D138"/>
    </row>
    <row r="149" spans="5:16">
      <c r="E149" s="4"/>
      <c r="F149" s="4"/>
      <c r="G149" s="4"/>
      <c r="H149" s="4"/>
      <c r="I149" s="4"/>
      <c r="J149" s="4"/>
      <c r="K149" s="4"/>
      <c r="L149" s="4"/>
      <c r="M149" s="4"/>
      <c r="N149" s="4"/>
      <c r="O149" s="4"/>
      <c r="P149" s="4"/>
    </row>
    <row r="150" spans="5:16">
      <c r="E150" s="4"/>
      <c r="F150" s="4"/>
      <c r="G150" s="4"/>
      <c r="H150" s="4"/>
      <c r="I150" s="4"/>
      <c r="J150" s="4"/>
      <c r="K150" s="4"/>
      <c r="L150" s="4"/>
      <c r="M150" s="4"/>
      <c r="N150" s="4"/>
      <c r="O150" s="4"/>
      <c r="P150" s="4"/>
    </row>
    <row r="151" spans="5:16">
      <c r="E151" s="4"/>
      <c r="F151" s="4"/>
      <c r="G151" s="4"/>
      <c r="H151" s="4"/>
      <c r="I151" s="4"/>
      <c r="J151" s="4"/>
      <c r="K151" s="4"/>
      <c r="L151" s="4"/>
      <c r="M151" s="4"/>
      <c r="N151" s="4"/>
      <c r="O151" s="4"/>
      <c r="P151" s="4"/>
    </row>
    <row r="152" spans="5:16">
      <c r="E152" s="4"/>
      <c r="F152" s="4"/>
      <c r="G152" s="4"/>
      <c r="H152" s="4"/>
      <c r="I152" s="4"/>
      <c r="J152" s="4"/>
      <c r="K152" s="4"/>
      <c r="L152" s="4"/>
      <c r="M152" s="4"/>
      <c r="N152" s="4"/>
      <c r="O152" s="4"/>
      <c r="P152" s="4"/>
    </row>
    <row r="153" spans="5:16">
      <c r="E153" s="4"/>
      <c r="F153" s="4"/>
      <c r="G153" s="4"/>
      <c r="H153" s="4"/>
      <c r="I153" s="4"/>
      <c r="J153" s="4"/>
      <c r="K153" s="4"/>
      <c r="L153" s="4"/>
      <c r="M153" s="4"/>
      <c r="N153" s="4"/>
      <c r="O153" s="4"/>
      <c r="P153" s="4"/>
    </row>
    <row r="154" spans="5:16">
      <c r="E154" s="4"/>
      <c r="F154" s="4"/>
      <c r="G154" s="4"/>
      <c r="H154" s="4"/>
      <c r="I154" s="4"/>
      <c r="J154" s="4"/>
      <c r="K154" s="4"/>
      <c r="L154" s="4"/>
      <c r="M154" s="4"/>
      <c r="N154" s="4"/>
      <c r="O154" s="4"/>
      <c r="P154" s="4"/>
    </row>
    <row r="155" spans="5:16">
      <c r="E155" s="4"/>
      <c r="F155" s="4"/>
      <c r="G155" s="4"/>
      <c r="H155" s="4"/>
      <c r="I155" s="4"/>
      <c r="J155" s="4"/>
      <c r="K155" s="4"/>
      <c r="L155" s="4"/>
      <c r="M155" s="4"/>
      <c r="N155" s="4"/>
      <c r="O155" s="4"/>
      <c r="P155" s="4"/>
    </row>
    <row r="156" spans="5:16">
      <c r="E156" s="4"/>
      <c r="F156" s="4"/>
      <c r="G156" s="4"/>
      <c r="H156" s="4"/>
      <c r="I156" s="4"/>
      <c r="J156" s="4"/>
      <c r="K156" s="4"/>
      <c r="L156" s="4"/>
      <c r="M156" s="4"/>
      <c r="N156" s="4"/>
      <c r="O156" s="4"/>
      <c r="P156" s="4"/>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Лист159">
    <tabColor rgb="FFFFC000"/>
  </sheetPr>
  <dimension ref="A1:BP178"/>
  <sheetViews>
    <sheetView topLeftCell="AY1"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57" t="s">
        <v>84</v>
      </c>
      <c r="C1" s="257"/>
      <c r="D1" s="257"/>
      <c r="E1" s="257"/>
      <c r="F1" s="257"/>
      <c r="P1" s="263"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1"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61"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61" t="str">
        <f>Таблица!AL1</f>
        <v>Для TREI
FB_IMstp_S, FB_IMs_S, FB_IMp_S, FB_IMv_S, FB_IM_ADES_S: Настройка перехода ручной-/автоматический-(TRUE/FALSE) 
FB_DI_S: Генерировать метки времени (TRUE/FALSE)</v>
      </c>
      <c r="AY1" s="261"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61" t="str">
        <f>Таблица!AN1</f>
        <v>Для TREI
FB_AI_S, FB_QSA_S: Верхний предел датчика
FB_IMp_S, FB_IMv_S, FB_IM_ADES_S, FB_OZK_KD_S: Время перестановки</v>
      </c>
      <c r="BA1" s="261"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t="s">
        <v>1397</v>
      </c>
      <c r="Q2" s="2" t="s">
        <v>1790</v>
      </c>
      <c r="R2" s="2" t="s">
        <v>1785</v>
      </c>
      <c r="S2" s="3">
        <v>1</v>
      </c>
      <c r="T2" s="3" t="s">
        <v>1698</v>
      </c>
      <c r="U2" s="3"/>
      <c r="V2" s="3" t="s">
        <v>569</v>
      </c>
      <c r="W2" s="12" t="s">
        <v>293</v>
      </c>
      <c r="X2" s="12"/>
      <c r="Y2" s="12"/>
      <c r="Z2" s="12" t="s">
        <v>249</v>
      </c>
      <c r="AA2" s="12" t="s">
        <v>293</v>
      </c>
      <c r="AB2" s="2" t="s">
        <v>230</v>
      </c>
      <c r="AC2" s="2" t="s">
        <v>226</v>
      </c>
      <c r="AD2" s="2"/>
      <c r="AE2" s="2" t="s">
        <v>1414</v>
      </c>
      <c r="AF2" s="2"/>
      <c r="AG2" s="2"/>
      <c r="AH2" s="2"/>
      <c r="AI2" s="2"/>
      <c r="AJ2" s="2"/>
      <c r="AK2" s="2" t="s">
        <v>1215</v>
      </c>
      <c r="AL2" s="2"/>
      <c r="AM2" s="2"/>
      <c r="AN2" s="2"/>
      <c r="AO2" s="2"/>
      <c r="AP2" s="2"/>
      <c r="AQ2" s="2"/>
      <c r="AR2" s="2"/>
      <c r="AS2" s="2"/>
      <c r="AT2" s="2"/>
      <c r="AU2" s="2"/>
      <c r="AV2" s="2"/>
      <c r="AW2" s="2">
        <v>2</v>
      </c>
      <c r="AX2" s="2" t="s">
        <v>72</v>
      </c>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AB3" s="10"/>
      <c r="AC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7" t="s">
        <v>1793</v>
      </c>
      <c r="T4" s="548" t="str">
        <f>Настройки!M11</f>
        <v>№ Модуля commands</v>
      </c>
      <c r="U4" s="10"/>
      <c r="V4" s="10"/>
      <c r="W4" s="10"/>
      <c r="X4" s="10"/>
      <c r="Y4" s="10"/>
      <c r="Z4" s="10"/>
      <c r="AA4" s="10"/>
      <c r="AB4" s="10"/>
      <c r="AC4" s="10"/>
      <c r="BM4" s="4"/>
      <c r="BN4" s="4"/>
      <c r="BO4" s="4"/>
      <c r="BP4" s="4"/>
    </row>
    <row r="5" spans="1:68" ht="15" customHeight="1">
      <c r="A5" s="9"/>
      <c r="B5" s="9"/>
      <c r="C5" s="9"/>
      <c r="D5" s="9"/>
      <c r="E5" s="9"/>
      <c r="F5" s="9"/>
      <c r="P5" s="6" t="str">
        <f>Настройки!A2</f>
        <v>Авария</v>
      </c>
      <c r="Q5" s="5">
        <f>Настройки!B2</f>
        <v>4</v>
      </c>
      <c r="R5" s="5" t="str">
        <f>Настройки!C2</f>
        <v>Авария</v>
      </c>
      <c r="S5" s="12">
        <v>23</v>
      </c>
      <c r="T5" s="458">
        <f>Настройки!M12</f>
        <v>1</v>
      </c>
      <c r="U5" s="10"/>
      <c r="V5" s="10"/>
      <c r="W5" s="10"/>
      <c r="X5" s="10"/>
      <c r="Y5" s="10"/>
      <c r="Z5" s="10"/>
      <c r="AA5" s="10"/>
      <c r="AB5" s="10"/>
      <c r="AC5" s="10"/>
      <c r="BM5" s="4"/>
      <c r="BN5" s="4"/>
      <c r="BO5" s="4"/>
      <c r="BP5" s="4"/>
    </row>
    <row r="6" spans="1:68" ht="15" customHeight="1">
      <c r="A6" s="9"/>
      <c r="B6" s="9"/>
      <c r="C6" s="9"/>
      <c r="D6" s="9"/>
      <c r="E6" s="9"/>
      <c r="F6" s="9"/>
      <c r="P6" s="6" t="str">
        <f>Настройки!A3</f>
        <v>Предупреждение</v>
      </c>
      <c r="Q6" s="5">
        <f>Настройки!B3</f>
        <v>8</v>
      </c>
      <c r="R6" s="5" t="str">
        <f>Настройки!C3</f>
        <v>Предупреждение</v>
      </c>
      <c r="S6" s="12">
        <v>24</v>
      </c>
      <c r="T6" s="608" t="str">
        <f>Настройки!M7</f>
        <v>Отображение Таблицы подлючений в диаг.</v>
      </c>
      <c r="U6" s="10"/>
      <c r="V6" s="10"/>
      <c r="W6" s="10"/>
      <c r="X6" s="10"/>
      <c r="Y6" s="10"/>
      <c r="Z6" s="10"/>
      <c r="AA6" s="10"/>
      <c r="AB6" s="10"/>
      <c r="AC6" s="10"/>
      <c r="BM6" s="4"/>
      <c r="BN6" s="4"/>
      <c r="BO6" s="4"/>
      <c r="BP6" s="4"/>
    </row>
    <row r="7" spans="1:68" ht="15" customHeight="1">
      <c r="A7" s="9"/>
      <c r="B7" s="9"/>
      <c r="C7" s="9"/>
      <c r="D7" s="9"/>
      <c r="E7" s="9"/>
      <c r="F7" s="9"/>
      <c r="P7" s="6" t="str">
        <f>Настройки!A4</f>
        <v>Неисправность</v>
      </c>
      <c r="Q7" s="5">
        <f>Настройки!B4</f>
        <v>12</v>
      </c>
      <c r="R7" s="5" t="str">
        <f>Настройки!C4</f>
        <v>Неисправность</v>
      </c>
      <c r="S7" s="12">
        <v>25</v>
      </c>
      <c r="T7" s="644" t="b">
        <f>Настройки!M8</f>
        <v>0</v>
      </c>
      <c r="U7" s="10"/>
      <c r="V7" s="10"/>
      <c r="W7" s="10"/>
      <c r="X7" s="10"/>
      <c r="Y7" s="10"/>
      <c r="Z7" s="10"/>
      <c r="AA7" s="10"/>
      <c r="AB7" s="10"/>
      <c r="AC7" s="10"/>
      <c r="BM7" s="4"/>
      <c r="BN7" s="4"/>
      <c r="BO7" s="4"/>
      <c r="BP7" s="4"/>
    </row>
    <row r="8" spans="1:68" ht="15" customHeight="1">
      <c r="A8" s="9"/>
      <c r="B8" s="9"/>
      <c r="C8" s="9"/>
      <c r="D8" s="9"/>
      <c r="E8" s="9"/>
      <c r="F8" s="9"/>
      <c r="P8" s="6" t="str">
        <f>Настройки!A5</f>
        <v>Телесигнализация</v>
      </c>
      <c r="Q8" s="5">
        <f>Настройки!B5</f>
        <v>18</v>
      </c>
      <c r="R8" s="5" t="str">
        <f>Настройки!C5</f>
        <v>Телесигнализация</v>
      </c>
      <c r="S8" s="12">
        <v>26</v>
      </c>
      <c r="T8" s="548" t="str">
        <f>Настройки!M13</f>
        <v>Номер модуля IEC 4</v>
      </c>
      <c r="U8" s="10"/>
      <c r="V8" s="10"/>
      <c r="W8" s="10"/>
      <c r="X8" s="10"/>
      <c r="Y8" s="10"/>
      <c r="Z8" s="10"/>
      <c r="AA8" s="10"/>
      <c r="AB8" s="10"/>
      <c r="AC8" s="10"/>
      <c r="BM8" s="4"/>
      <c r="BN8" s="4"/>
      <c r="BO8" s="4"/>
      <c r="BP8" s="4"/>
    </row>
    <row r="9" spans="1:68" ht="15" customHeight="1">
      <c r="A9" s="9"/>
      <c r="B9" s="9"/>
      <c r="C9" s="9"/>
      <c r="D9" s="9"/>
      <c r="E9" s="9"/>
      <c r="F9" s="9"/>
      <c r="P9" s="6" t="str">
        <f>Настройки!A6</f>
        <v>Недостоверность</v>
      </c>
      <c r="Q9" s="5">
        <f>Настройки!B6</f>
        <v>10</v>
      </c>
      <c r="R9" s="5" t="str">
        <f>Настройки!C6</f>
        <v>Недостоверность</v>
      </c>
      <c r="S9" s="12">
        <v>27</v>
      </c>
      <c r="T9" s="456">
        <f>Настройки!M14</f>
        <v>1</v>
      </c>
      <c r="U9" s="10"/>
      <c r="V9" s="10"/>
      <c r="W9" s="10"/>
      <c r="X9" s="10"/>
      <c r="Y9" s="10"/>
      <c r="Z9" s="10"/>
      <c r="AA9" s="10"/>
      <c r="AB9" s="10"/>
      <c r="AC9" s="10"/>
      <c r="BM9" s="4"/>
      <c r="BN9" s="4"/>
      <c r="BO9" s="4"/>
      <c r="BP9" s="4"/>
    </row>
    <row r="10" spans="1:68" ht="15" customHeight="1">
      <c r="A10" s="9"/>
      <c r="B10" s="9"/>
      <c r="C10" s="9"/>
      <c r="D10" s="9"/>
      <c r="E10" s="9"/>
      <c r="F10" s="9"/>
      <c r="P10" s="6" t="str">
        <f>Настройки!A7</f>
        <v>Имитация</v>
      </c>
      <c r="Q10" s="5">
        <f>Настройки!B7</f>
        <v>16</v>
      </c>
      <c r="R10" s="5" t="str">
        <f>Настройки!C7</f>
        <v>Имитация</v>
      </c>
      <c r="S10" s="12"/>
      <c r="T10" s="548" t="str">
        <f>Настройки!M15</f>
        <v>Номер КП модуля IEC 4</v>
      </c>
      <c r="U10" s="10"/>
      <c r="V10" s="10"/>
      <c r="W10" s="10"/>
      <c r="X10" s="10"/>
      <c r="Y10" s="10"/>
      <c r="Z10" s="10"/>
      <c r="AA10" s="10"/>
      <c r="AB10" s="10"/>
      <c r="AC10" s="10"/>
      <c r="BM10" s="4"/>
      <c r="BN10" s="4"/>
      <c r="BO10" s="4"/>
      <c r="BP10" s="4"/>
    </row>
    <row r="11" spans="1:68" ht="15" customHeight="1">
      <c r="A11" s="9"/>
      <c r="B11" s="9"/>
      <c r="C11" s="9"/>
      <c r="D11" s="9"/>
      <c r="E11" s="9"/>
      <c r="F11" s="9"/>
      <c r="P11" s="6" t="str">
        <f>Настройки!A8</f>
        <v>Ремонт</v>
      </c>
      <c r="Q11" s="5">
        <f>Настройки!B8</f>
        <v>14</v>
      </c>
      <c r="R11" s="5" t="str">
        <f>Настройки!C8</f>
        <v>Ремонт</v>
      </c>
      <c r="S11" s="12">
        <v>29</v>
      </c>
      <c r="T11" s="656">
        <f>Настройки!M16</f>
        <v>1</v>
      </c>
      <c r="U11" s="10"/>
      <c r="V11" s="10"/>
      <c r="W11" s="10"/>
      <c r="X11" s="10"/>
      <c r="Y11" s="10"/>
      <c r="Z11" s="10"/>
      <c r="AA11" s="10"/>
      <c r="AB11" s="10"/>
      <c r="AC11" s="10"/>
      <c r="BM11" s="4"/>
      <c r="BN11" s="4"/>
      <c r="BO11" s="4"/>
      <c r="BP11" s="4"/>
    </row>
    <row r="12" spans="1:68"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2"/>
      <c r="T12" s="10"/>
      <c r="U12" s="10"/>
      <c r="V12" s="10"/>
      <c r="W12" s="10"/>
      <c r="X12" s="10"/>
      <c r="Y12" s="10"/>
      <c r="Z12" s="10"/>
      <c r="AA12" s="10"/>
      <c r="AB12" s="10"/>
      <c r="AC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2"/>
      <c r="T13" s="10"/>
      <c r="U13" s="10"/>
      <c r="V13" s="10"/>
      <c r="W13" s="10"/>
      <c r="X13" s="10"/>
      <c r="Y13" s="10"/>
      <c r="Z13" s="10"/>
      <c r="AA13" s="10"/>
      <c r="AB13" s="10"/>
      <c r="AC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2"/>
      <c r="T14" s="10"/>
      <c r="U14" s="10"/>
      <c r="V14" s="10"/>
      <c r="W14" s="10"/>
      <c r="X14" s="10"/>
      <c r="Y14" s="10"/>
      <c r="Z14" s="10"/>
      <c r="AA14" s="10"/>
      <c r="AB14" s="10"/>
      <c r="AC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2"/>
      <c r="T15" s="10"/>
      <c r="U15" s="10"/>
      <c r="V15" s="10"/>
      <c r="W15" s="10"/>
      <c r="X15" s="10"/>
      <c r="Y15" s="10"/>
      <c r="Z15" s="10"/>
      <c r="AA15" s="10"/>
      <c r="AB15" s="10"/>
      <c r="AC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2"/>
      <c r="T16" s="10"/>
      <c r="U16" s="10"/>
      <c r="V16" s="10"/>
      <c r="W16" s="10"/>
      <c r="X16" s="10"/>
      <c r="Y16" s="10"/>
      <c r="Z16" s="10"/>
      <c r="AA16" s="10"/>
      <c r="AB16" s="10"/>
      <c r="AC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2"/>
      <c r="T17" s="10"/>
      <c r="U17" s="10"/>
      <c r="V17" s="10"/>
      <c r="W17" s="10"/>
      <c r="X17" s="10"/>
      <c r="Y17" s="10"/>
      <c r="Z17" s="10"/>
      <c r="AA17" s="10"/>
      <c r="AB17" s="10"/>
      <c r="AC17" s="10"/>
      <c r="BM17" s="4"/>
      <c r="BN17" s="4"/>
      <c r="BO17" s="4"/>
      <c r="BP17" s="4"/>
    </row>
    <row r="18" spans="1:68" ht="15" customHeight="1">
      <c r="A18" s="9"/>
      <c r="B18" s="9"/>
      <c r="C18" s="9"/>
      <c r="D18" s="9"/>
      <c r="E18" s="9"/>
      <c r="F18" s="9"/>
      <c r="P18" s="6" t="str">
        <f>Настройки!A15</f>
        <v>Отключение</v>
      </c>
      <c r="Q18" s="5">
        <f>Настройки!B15</f>
        <v>13</v>
      </c>
      <c r="R18" s="5" t="str">
        <f>Настройки!C15</f>
        <v>Отключение</v>
      </c>
      <c r="S18" s="12"/>
      <c r="T18" s="10"/>
      <c r="U18" s="10"/>
      <c r="V18" s="10"/>
      <c r="W18" s="10"/>
      <c r="X18" s="10"/>
      <c r="Y18" s="10"/>
      <c r="Z18" s="10"/>
      <c r="AA18" s="10"/>
      <c r="AB18" s="10"/>
      <c r="AC18" s="10"/>
      <c r="BM18" s="4"/>
      <c r="BN18" s="4"/>
      <c r="BO18" s="4"/>
      <c r="BP18" s="4"/>
    </row>
    <row r="19" spans="1:68" ht="15" customHeight="1">
      <c r="A19" s="9"/>
      <c r="B19" s="9"/>
      <c r="C19" s="9"/>
      <c r="D19" s="9"/>
      <c r="E19" s="9"/>
      <c r="F19" s="9"/>
      <c r="P19" s="6" t="str">
        <f>Настройки!A16</f>
        <v>Информация</v>
      </c>
      <c r="Q19" s="5">
        <f>Настройки!B16</f>
        <v>22</v>
      </c>
      <c r="R19" s="5" t="str">
        <f>Настройки!C16</f>
        <v>Информация</v>
      </c>
      <c r="S19" s="12"/>
      <c r="T19" s="10"/>
      <c r="U19" s="10"/>
      <c r="V19" s="10"/>
      <c r="W19" s="10"/>
      <c r="X19" s="10"/>
      <c r="Y19" s="10"/>
      <c r="Z19" s="10"/>
      <c r="AA19" s="10"/>
      <c r="AB19" s="10"/>
      <c r="AC19" s="10"/>
      <c r="BM19" s="4"/>
      <c r="BN19" s="4"/>
      <c r="BO19" s="4"/>
      <c r="BP19" s="4"/>
    </row>
    <row r="20" spans="1:68" ht="15" customHeight="1">
      <c r="A20" s="16" t="str">
        <f t="shared" ref="A20:A32" si="0">$R$2</f>
        <v>FB_DI_BUF_S</v>
      </c>
      <c r="B20" s="17">
        <v>11001</v>
      </c>
      <c r="C20" s="17" t="s">
        <v>0</v>
      </c>
      <c r="D20" s="18" t="str">
        <f>$Q$2</f>
        <v>Дискретный датчик FB с буферизацией</v>
      </c>
      <c r="E20" s="4"/>
      <c r="F20" s="4"/>
      <c r="BM20" s="4"/>
      <c r="BN20" s="4"/>
      <c r="BO20" s="4"/>
      <c r="BP20" s="4"/>
    </row>
    <row r="21" spans="1:68" ht="15" customHeight="1">
      <c r="A21" s="19" t="str">
        <f t="shared" si="0"/>
        <v>FB_DI_BUF_S</v>
      </c>
      <c r="B21" s="11">
        <v>11156</v>
      </c>
      <c r="C21" s="11" t="s">
        <v>0</v>
      </c>
      <c r="D21" s="20" t="str">
        <f>$V$2</f>
        <v>Тестовый экран</v>
      </c>
      <c r="E21" s="4"/>
      <c r="F21" s="4"/>
      <c r="BM21" s="4"/>
      <c r="BN21" s="4"/>
      <c r="BO21" s="4"/>
      <c r="BP21" s="4"/>
    </row>
    <row r="22" spans="1:68" ht="15" customHeight="1">
      <c r="A22" s="19" t="str">
        <f t="shared" si="0"/>
        <v>FB_DI_BUF_S</v>
      </c>
      <c r="B22" s="11">
        <v>1</v>
      </c>
      <c r="C22" s="11" t="s">
        <v>1</v>
      </c>
      <c r="D22" s="20">
        <v>17</v>
      </c>
      <c r="BM22" s="4"/>
      <c r="BN22" s="4"/>
      <c r="BO22" s="4"/>
      <c r="BP22" s="4"/>
    </row>
    <row r="23" spans="1:68" ht="15" customHeight="1">
      <c r="A23" s="16" t="str">
        <f t="shared" si="0"/>
        <v>FB_DI_BUF_S</v>
      </c>
      <c r="B23" s="17">
        <v>100</v>
      </c>
      <c r="C23" s="17" t="s">
        <v>0</v>
      </c>
      <c r="D23" s="18" t="b">
        <f>$T$7</f>
        <v>0</v>
      </c>
      <c r="BF23" s="4"/>
      <c r="BG23" s="4"/>
      <c r="BH23" s="4"/>
      <c r="BI23" s="4"/>
    </row>
    <row r="24" spans="1:68" ht="15" customHeight="1">
      <c r="A24" s="19" t="str">
        <f t="shared" si="0"/>
        <v>FB_DI_BUF_S</v>
      </c>
      <c r="B24" s="11">
        <v>11120</v>
      </c>
      <c r="C24" s="11" t="s">
        <v>0</v>
      </c>
      <c r="D24" s="20" t="str">
        <f>$AC$2</f>
        <v>Желтый</v>
      </c>
      <c r="BM24" s="4"/>
      <c r="BN24" s="4"/>
      <c r="BO24" s="4"/>
      <c r="BP24" s="4"/>
    </row>
    <row r="25" spans="1:68" ht="15" customHeight="1">
      <c r="A25" s="19" t="str">
        <f t="shared" si="0"/>
        <v>FB_DI_BUF_S</v>
      </c>
      <c r="B25" s="11">
        <v>11121</v>
      </c>
      <c r="C25" s="11" t="s">
        <v>0</v>
      </c>
      <c r="D25" s="20" t="str">
        <f>$AK$2</f>
        <v>1+1</v>
      </c>
      <c r="BM25" s="4"/>
      <c r="BN25" s="4"/>
      <c r="BO25" s="4"/>
      <c r="BP25" s="4"/>
    </row>
    <row r="26" spans="1:68" ht="15" customHeight="1">
      <c r="A26" s="19" t="str">
        <f t="shared" si="0"/>
        <v>FB_DI_BUF_S</v>
      </c>
      <c r="B26" s="11">
        <v>11122</v>
      </c>
      <c r="C26" s="11" t="s">
        <v>0</v>
      </c>
      <c r="D26" s="20" t="str">
        <f>$AA$2</f>
        <v>-</v>
      </c>
      <c r="BM26" s="4"/>
      <c r="BN26" s="4"/>
      <c r="BO26" s="4"/>
      <c r="BP26" s="4"/>
    </row>
    <row r="27" spans="1:68" ht="15" customHeight="1">
      <c r="A27" s="19" t="str">
        <f t="shared" si="0"/>
        <v>FB_DI_BUF_S</v>
      </c>
      <c r="B27" s="11">
        <v>11123</v>
      </c>
      <c r="C27" s="11" t="s">
        <v>0</v>
      </c>
      <c r="D27" s="20" t="str">
        <f>$Z$2</f>
        <v>ЗРУ</v>
      </c>
      <c r="BM27" s="4"/>
      <c r="BN27" s="4"/>
      <c r="BO27" s="4"/>
      <c r="BP27" s="4"/>
    </row>
    <row r="28" spans="1:68" ht="15" customHeight="1">
      <c r="A28" s="21" t="str">
        <f t="shared" si="0"/>
        <v>FB_DI_BUF_S</v>
      </c>
      <c r="B28" s="8">
        <v>11124</v>
      </c>
      <c r="C28" s="8" t="s">
        <v>0</v>
      </c>
      <c r="D28" s="22" t="str">
        <f>$W$2</f>
        <v>-</v>
      </c>
      <c r="BM28" s="4"/>
      <c r="BN28" s="4"/>
      <c r="BO28" s="4"/>
      <c r="BP28" s="4"/>
    </row>
    <row r="29" spans="1:68" ht="15" customHeight="1">
      <c r="A29" s="19" t="str">
        <f t="shared" si="0"/>
        <v>FB_DI_BUF_S</v>
      </c>
      <c r="B29" s="11">
        <v>13</v>
      </c>
      <c r="C29" s="11" t="s">
        <v>2</v>
      </c>
      <c r="D29" s="20" t="s">
        <v>3</v>
      </c>
      <c r="BF29" s="4"/>
      <c r="BG29" s="4"/>
      <c r="BH29" s="4"/>
      <c r="BI29" s="4"/>
    </row>
    <row r="30" spans="1:68" ht="15" customHeight="1">
      <c r="A30" s="19" t="str">
        <f t="shared" si="0"/>
        <v>FB_DI_BUF_S</v>
      </c>
      <c r="B30" s="11">
        <v>3000013</v>
      </c>
      <c r="C30" s="11" t="s">
        <v>0</v>
      </c>
      <c r="D30" s="20" t="str">
        <f>$AE$2</f>
        <v>Диагностика.CPU.NOT_LINK.noLink</v>
      </c>
      <c r="BF30" s="4"/>
      <c r="BG30" s="4"/>
      <c r="BH30" s="4"/>
      <c r="BI30" s="4"/>
    </row>
    <row r="31" spans="1:68" ht="15" customHeight="1">
      <c r="A31" s="19" t="str">
        <f t="shared" si="0"/>
        <v>FB_DI_BUF_S</v>
      </c>
      <c r="B31" s="11">
        <v>4000013</v>
      </c>
      <c r="C31" s="11" t="s">
        <v>0</v>
      </c>
      <c r="D31" s="20" t="s">
        <v>1769</v>
      </c>
      <c r="BF31" s="4"/>
      <c r="BG31" s="4"/>
      <c r="BH31" s="4"/>
      <c r="BI31" s="4"/>
    </row>
    <row r="32" spans="1:68" ht="15" customHeight="1">
      <c r="A32" s="21" t="str">
        <f t="shared" si="0"/>
        <v>FB_DI_BUF_S</v>
      </c>
      <c r="B32" s="8">
        <v>7000013</v>
      </c>
      <c r="C32" s="8" t="s">
        <v>6</v>
      </c>
      <c r="D32" s="22">
        <v>2</v>
      </c>
      <c r="BF32" s="4"/>
      <c r="BG32" s="4"/>
      <c r="BH32" s="4"/>
      <c r="BI32" s="4"/>
    </row>
    <row r="33" spans="1:68" ht="15" customHeight="1">
      <c r="A33" s="69" t="str">
        <f t="shared" ref="A33:A42" si="1">$R$2&amp;".XDAX"</f>
        <v>FB_DI_BUF_S.XDAX</v>
      </c>
      <c r="B33" s="70">
        <v>11154</v>
      </c>
      <c r="C33" s="70" t="s">
        <v>4</v>
      </c>
      <c r="D33" s="144">
        <f>$Q$6</f>
        <v>8</v>
      </c>
      <c r="BM33" s="4"/>
      <c r="BN33" s="4"/>
      <c r="BO33" s="4"/>
      <c r="BP33" s="4"/>
    </row>
    <row r="34" spans="1:68" ht="15" customHeight="1">
      <c r="A34" s="63" t="str">
        <f t="shared" si="1"/>
        <v>FB_DI_BUF_S.XDAX</v>
      </c>
      <c r="B34" s="64">
        <v>11150</v>
      </c>
      <c r="C34" s="64" t="s">
        <v>0</v>
      </c>
      <c r="D34" s="65" t="s">
        <v>528</v>
      </c>
      <c r="BM34" s="4"/>
      <c r="BN34" s="4"/>
      <c r="BO34" s="4"/>
      <c r="BP34" s="4"/>
    </row>
    <row r="35" spans="1:68" ht="15" customHeight="1">
      <c r="A35" s="63" t="str">
        <f t="shared" si="1"/>
        <v>FB_DI_BUF_S.XDAX</v>
      </c>
      <c r="B35" s="64">
        <v>11152</v>
      </c>
      <c r="C35" s="64" t="s">
        <v>0</v>
      </c>
      <c r="D35" s="99" t="str">
        <f>$R$6</f>
        <v>Предупреждение</v>
      </c>
      <c r="BM35" s="4"/>
      <c r="BN35" s="4"/>
      <c r="BO35" s="4"/>
      <c r="BP35" s="4"/>
    </row>
    <row r="36" spans="1:68" ht="15" customHeight="1">
      <c r="A36" s="63" t="str">
        <f t="shared" si="1"/>
        <v>FB_DI_BUF_S.XDAX</v>
      </c>
      <c r="B36" s="64">
        <v>11000</v>
      </c>
      <c r="C36" s="64" t="s">
        <v>5</v>
      </c>
      <c r="D36" s="65">
        <v>2147483680</v>
      </c>
      <c r="BM36" s="4"/>
      <c r="BN36" s="4"/>
      <c r="BO36" s="4"/>
      <c r="BP36" s="4"/>
    </row>
    <row r="37" spans="1:68" ht="15" customHeight="1">
      <c r="A37" s="19" t="str">
        <f t="shared" si="1"/>
        <v>FB_DI_BUF_S.XDAX</v>
      </c>
      <c r="B37" s="11">
        <v>7999</v>
      </c>
      <c r="C37" s="11" t="s">
        <v>0</v>
      </c>
      <c r="D37" s="20" t="str">
        <f>"#"&amp;$S$2&amp;"#"&amp;$T$2&amp;"\"&amp;$P$2&amp;"\XDAX"</f>
        <v>#1#treiOPCDA.CoOPCserv.1\pcmaster\AVR_OK\XDAX</v>
      </c>
      <c r="BM37" s="4"/>
      <c r="BN37" s="4"/>
      <c r="BO37" s="4"/>
      <c r="BP37" s="4"/>
    </row>
    <row r="38" spans="1:68" ht="15" customHeight="1">
      <c r="A38" s="19" t="str">
        <f t="shared" si="1"/>
        <v>FB_DI_BUF_S.XDAX</v>
      </c>
      <c r="B38" s="11">
        <v>7998</v>
      </c>
      <c r="C38" s="11" t="s">
        <v>6</v>
      </c>
      <c r="D38" s="20">
        <v>1</v>
      </c>
      <c r="BM38" s="4"/>
      <c r="BN38" s="4"/>
      <c r="BO38" s="4"/>
      <c r="BP38" s="4"/>
    </row>
    <row r="39" spans="1:68" ht="15" customHeight="1">
      <c r="A39" s="19" t="str">
        <f t="shared" si="1"/>
        <v>FB_DI_BUF_S.XDAX</v>
      </c>
      <c r="B39" s="11">
        <v>101</v>
      </c>
      <c r="C39" s="11" t="s">
        <v>0</v>
      </c>
      <c r="D39" s="20" t="s">
        <v>180</v>
      </c>
      <c r="BM39" s="4"/>
      <c r="BN39" s="4"/>
      <c r="BO39" s="4"/>
      <c r="BP39" s="4"/>
    </row>
    <row r="40" spans="1:68" ht="15" customHeight="1">
      <c r="A40" s="19" t="str">
        <f t="shared" si="1"/>
        <v>FB_DI_BUF_S.XDAX</v>
      </c>
      <c r="B40" s="11">
        <v>3</v>
      </c>
      <c r="C40" s="11" t="s">
        <v>1</v>
      </c>
      <c r="D40" s="20">
        <v>192</v>
      </c>
      <c r="BM40" s="4"/>
      <c r="BN40" s="4"/>
      <c r="BO40" s="4"/>
      <c r="BP40" s="4"/>
    </row>
    <row r="41" spans="1:68" ht="15" customHeight="1">
      <c r="A41" s="19" t="str">
        <f t="shared" si="1"/>
        <v>FB_DI_BUF_S.XDAX</v>
      </c>
      <c r="B41" s="11">
        <v>2</v>
      </c>
      <c r="C41" s="11" t="s">
        <v>2</v>
      </c>
      <c r="D41" s="20" t="s">
        <v>3</v>
      </c>
      <c r="BM41" s="4"/>
      <c r="BN41" s="4"/>
      <c r="BO41" s="4"/>
      <c r="BP41" s="4"/>
    </row>
    <row r="42" spans="1:68" ht="15" customHeight="1">
      <c r="A42" s="21" t="str">
        <f t="shared" si="1"/>
        <v>FB_DI_BUF_S.XDAX</v>
      </c>
      <c r="B42" s="8">
        <v>1</v>
      </c>
      <c r="C42" s="8" t="s">
        <v>1</v>
      </c>
      <c r="D42" s="22">
        <v>11</v>
      </c>
      <c r="BM42" s="4"/>
      <c r="BN42" s="4"/>
      <c r="BO42" s="4"/>
      <c r="BP42" s="4"/>
    </row>
    <row r="43" spans="1:68" ht="15" customHeight="1">
      <c r="A43" s="241" t="str">
        <f t="shared" ref="A43:A52" si="2">$R$2&amp;".XVLX"</f>
        <v>FB_DI_BUF_S.XVLX</v>
      </c>
      <c r="B43" s="242">
        <v>11154</v>
      </c>
      <c r="C43" s="242" t="s">
        <v>4</v>
      </c>
      <c r="D43" s="243">
        <f>IF($AB$2=$P$5,$Q$5,IF($AB$2=$P$6,$Q$6,IF($AB$2=$P$7,$Q$7,IF($AB$2=$P$8,$Q$8,IF($AB$2=$P$9,$Q$9,IF($AB$2=$P$10,$Q$10,IF($AB$2=$P$11,$Q$11,IF($AB$2=$P$12,$Q$12,IF($AB$2=$P$13,$Q$13,IF($AB$2=$P$14,$Q$14,IF($AB$2=$P$15,$Q$15,IF($AB$2=$P$16,$Q$16,IF($AB$2=$P$17,$Q$17,IF($AB$2=$P$18,$Q$18,IF($AB$2=$P$19,$Q$19,0)))))))))))))))</f>
        <v>8</v>
      </c>
      <c r="BM43" s="4"/>
      <c r="BN43" s="4"/>
      <c r="BO43" s="4"/>
      <c r="BP43" s="4"/>
    </row>
    <row r="44" spans="1:68" ht="15" customHeight="1">
      <c r="A44" s="244" t="str">
        <f t="shared" si="2"/>
        <v>FB_DI_BUF_S.XVLX</v>
      </c>
      <c r="B44" s="245">
        <v>11150</v>
      </c>
      <c r="C44" s="245" t="s">
        <v>0</v>
      </c>
      <c r="D44" s="246" t="s">
        <v>178</v>
      </c>
      <c r="BM44" s="4"/>
      <c r="BN44" s="4"/>
      <c r="BO44" s="4"/>
      <c r="BP44" s="4"/>
    </row>
    <row r="45" spans="1:68" ht="15" customHeight="1">
      <c r="A45" s="244" t="str">
        <f t="shared" si="2"/>
        <v>FB_DI_BUF_S.XVLX</v>
      </c>
      <c r="B45" s="245">
        <v>11152</v>
      </c>
      <c r="C45" s="245" t="s">
        <v>0</v>
      </c>
      <c r="D45" s="247" t="str">
        <f>IF($AB$2=$P$5,$R$5,IF($AB$2=$P$6,$R$6,IF($AB$2=$P$7,$R$7,IF($AB$2=$P$8,$R$8,IF($AB$2=$P$9,$R$9,IF($AB$2=$P$10,$R$10,IF($AB$2=$P$11,$R$11,IF($AB$2=$P$12,$R$12,IF($AB$2=$P$13,$R$13,IF($AB$2=$P$14,$R$14,IF($AB$2=$P$15,$R$15,IF($AB$2=$P$16,$R$16,IF($AB$2=$P$17,$R$17,IF($AB$2=$P$18,$R$18,IF($AB$2=$P$19,$R$19,0)))))))))))))))</f>
        <v>Предупреждение</v>
      </c>
      <c r="BM45" s="4"/>
      <c r="BN45" s="4"/>
      <c r="BO45" s="4"/>
      <c r="BP45" s="4"/>
    </row>
    <row r="46" spans="1:68" ht="15" customHeight="1">
      <c r="A46" s="244" t="str">
        <f t="shared" si="2"/>
        <v>FB_DI_BUF_S.XVLX</v>
      </c>
      <c r="B46" s="245">
        <v>11000</v>
      </c>
      <c r="C46" s="245" t="s">
        <v>5</v>
      </c>
      <c r="D46" s="246">
        <v>2147483680</v>
      </c>
      <c r="BM46" s="4"/>
      <c r="BN46" s="4"/>
      <c r="BO46" s="4"/>
      <c r="BP46" s="4"/>
    </row>
    <row r="47" spans="1:68" ht="15" customHeight="1">
      <c r="A47" s="19" t="str">
        <f t="shared" si="2"/>
        <v>FB_DI_BUF_S.XVLX</v>
      </c>
      <c r="B47" s="11">
        <v>7999</v>
      </c>
      <c r="C47" s="11" t="s">
        <v>0</v>
      </c>
      <c r="D47" s="20" t="str">
        <f>"#"&amp;$S$2&amp;"#"&amp;$T$2&amp;"\"&amp;$P$2&amp;"\XVLX"</f>
        <v>#1#treiOPCDA.CoOPCserv.1\pcmaster\AVR_OK\XVLX</v>
      </c>
      <c r="BM47" s="4"/>
      <c r="BN47" s="4"/>
      <c r="BO47" s="4"/>
      <c r="BP47" s="4"/>
    </row>
    <row r="48" spans="1:68" ht="15" customHeight="1">
      <c r="A48" s="19" t="str">
        <f t="shared" si="2"/>
        <v>FB_DI_BUF_S.XVLX</v>
      </c>
      <c r="B48" s="11">
        <v>7998</v>
      </c>
      <c r="C48" s="11" t="s">
        <v>6</v>
      </c>
      <c r="D48" s="20">
        <v>1</v>
      </c>
      <c r="BM48" s="4"/>
      <c r="BN48" s="4"/>
      <c r="BO48" s="4"/>
      <c r="BP48" s="4"/>
    </row>
    <row r="49" spans="1:68" ht="15" customHeight="1">
      <c r="A49" s="19" t="str">
        <f t="shared" si="2"/>
        <v>FB_DI_BUF_S.XVLX</v>
      </c>
      <c r="B49" s="11">
        <v>101</v>
      </c>
      <c r="C49" s="11" t="s">
        <v>0</v>
      </c>
      <c r="D49" s="20" t="s">
        <v>572</v>
      </c>
      <c r="BM49" s="4"/>
      <c r="BN49" s="4"/>
      <c r="BO49" s="4"/>
      <c r="BP49" s="4"/>
    </row>
    <row r="50" spans="1:68" ht="15" customHeight="1">
      <c r="A50" s="19" t="str">
        <f t="shared" si="2"/>
        <v>FB_DI_BUF_S.XVLX</v>
      </c>
      <c r="B50" s="11">
        <v>3</v>
      </c>
      <c r="C50" s="11" t="s">
        <v>1</v>
      </c>
      <c r="D50" s="20">
        <v>192</v>
      </c>
      <c r="BM50" s="4"/>
      <c r="BN50" s="4"/>
      <c r="BO50" s="4"/>
      <c r="BP50" s="4"/>
    </row>
    <row r="51" spans="1:68" ht="15" customHeight="1">
      <c r="A51" s="19" t="str">
        <f t="shared" si="2"/>
        <v>FB_DI_BUF_S.XVLX</v>
      </c>
      <c r="B51" s="11">
        <v>2</v>
      </c>
      <c r="C51" s="11" t="s">
        <v>2</v>
      </c>
      <c r="D51" s="20" t="s">
        <v>3</v>
      </c>
      <c r="BM51" s="4"/>
      <c r="BN51" s="4"/>
      <c r="BO51" s="4"/>
      <c r="BP51" s="4"/>
    </row>
    <row r="52" spans="1:68" ht="15" customHeight="1">
      <c r="A52" s="21" t="str">
        <f t="shared" si="2"/>
        <v>FB_DI_BUF_S.XVLX</v>
      </c>
      <c r="B52" s="8">
        <v>1</v>
      </c>
      <c r="C52" s="8" t="s">
        <v>1</v>
      </c>
      <c r="D52" s="22">
        <v>11</v>
      </c>
      <c r="BM52" s="4"/>
      <c r="BN52" s="4"/>
      <c r="BO52" s="4"/>
      <c r="BP52" s="4"/>
    </row>
    <row r="53" spans="1:68" ht="15" customHeight="1">
      <c r="A53" s="163" t="str">
        <f>$R$2&amp;".DVXX"</f>
        <v>FB_DI_BUF_S.DVXX</v>
      </c>
      <c r="B53" s="123">
        <v>11154</v>
      </c>
      <c r="C53" s="123" t="s">
        <v>4</v>
      </c>
      <c r="D53" s="124">
        <f>$Q$9</f>
        <v>10</v>
      </c>
      <c r="BM53" s="4"/>
      <c r="BN53" s="4"/>
      <c r="BO53" s="4"/>
      <c r="BP53" s="4"/>
    </row>
    <row r="54" spans="1:68" ht="15" customHeight="1">
      <c r="A54" s="110" t="str">
        <f>$R$2&amp;".DVXX"</f>
        <v>FB_DI_BUF_S.DVXX</v>
      </c>
      <c r="B54" s="111">
        <v>11150</v>
      </c>
      <c r="C54" s="111" t="s">
        <v>0</v>
      </c>
      <c r="D54" s="112" t="s">
        <v>513</v>
      </c>
      <c r="BM54" s="4"/>
      <c r="BN54" s="4"/>
      <c r="BO54" s="4"/>
      <c r="BP54" s="4"/>
    </row>
    <row r="55" spans="1:68" ht="15" customHeight="1">
      <c r="A55" s="110" t="str">
        <f>$R$2&amp;".DVXX"</f>
        <v>FB_DI_BUF_S.DVXX</v>
      </c>
      <c r="B55" s="111">
        <v>11152</v>
      </c>
      <c r="C55" s="111" t="s">
        <v>0</v>
      </c>
      <c r="D55" s="113" t="str">
        <f>$R$9</f>
        <v>Недостоверность</v>
      </c>
      <c r="BM55" s="4"/>
      <c r="BN55" s="4"/>
      <c r="BO55" s="4"/>
      <c r="BP55" s="4"/>
    </row>
    <row r="56" spans="1:68" ht="15" customHeight="1">
      <c r="A56" s="110" t="str">
        <f>$R$2&amp;".DVXX"</f>
        <v>FB_DI_BUF_S.DVXX</v>
      </c>
      <c r="B56" s="111">
        <v>11000</v>
      </c>
      <c r="C56" s="111" t="s">
        <v>5</v>
      </c>
      <c r="D56" s="112">
        <v>2147483680</v>
      </c>
      <c r="BM56" s="4"/>
      <c r="BN56" s="4"/>
      <c r="BO56" s="4"/>
      <c r="BP56" s="4"/>
    </row>
    <row r="57" spans="1:68" ht="15" customHeight="1">
      <c r="A57" s="19" t="str">
        <f t="shared" ref="A57:A62" si="3">$R$2&amp;".DVXX"</f>
        <v>FB_DI_BUF_S.DVXX</v>
      </c>
      <c r="B57" s="11">
        <v>7999</v>
      </c>
      <c r="C57" s="11" t="s">
        <v>0</v>
      </c>
      <c r="D57" s="20" t="str">
        <f>"#"&amp;$S$2&amp;"#"&amp;$T$2&amp;"\"&amp;$P$2&amp;"\DVXX"</f>
        <v>#1#treiOPCDA.CoOPCserv.1\pcmaster\AVR_OK\DVXX</v>
      </c>
      <c r="BM57" s="4"/>
      <c r="BN57" s="4"/>
      <c r="BO57" s="4"/>
      <c r="BP57" s="4"/>
    </row>
    <row r="58" spans="1:68" ht="15" customHeight="1">
      <c r="A58" s="19" t="str">
        <f t="shared" si="3"/>
        <v>FB_DI_BUF_S.DVXX</v>
      </c>
      <c r="B58" s="11">
        <v>7998</v>
      </c>
      <c r="C58" s="11" t="s">
        <v>6</v>
      </c>
      <c r="D58" s="20">
        <v>1</v>
      </c>
      <c r="BM58" s="4"/>
      <c r="BN58" s="4"/>
      <c r="BO58" s="4"/>
      <c r="BP58" s="4"/>
    </row>
    <row r="59" spans="1:68" ht="15" customHeight="1">
      <c r="A59" s="19" t="str">
        <f t="shared" si="3"/>
        <v>FB_DI_BUF_S.DVXX</v>
      </c>
      <c r="B59" s="11">
        <v>101</v>
      </c>
      <c r="C59" s="11" t="s">
        <v>0</v>
      </c>
      <c r="D59" s="20" t="s">
        <v>83</v>
      </c>
      <c r="BM59" s="4"/>
      <c r="BN59" s="4"/>
      <c r="BO59" s="4"/>
      <c r="BP59" s="4"/>
    </row>
    <row r="60" spans="1:68" ht="15" customHeight="1">
      <c r="A60" s="19" t="str">
        <f t="shared" si="3"/>
        <v>FB_DI_BUF_S.DVXX</v>
      </c>
      <c r="B60" s="11">
        <v>3</v>
      </c>
      <c r="C60" s="11" t="s">
        <v>1</v>
      </c>
      <c r="D60" s="20">
        <v>192</v>
      </c>
      <c r="BM60" s="4"/>
      <c r="BN60" s="4"/>
      <c r="BO60" s="4"/>
      <c r="BP60" s="4"/>
    </row>
    <row r="61" spans="1:68" ht="15" customHeight="1">
      <c r="A61" s="19" t="str">
        <f t="shared" si="3"/>
        <v>FB_DI_BUF_S.DVXX</v>
      </c>
      <c r="B61" s="11">
        <v>2</v>
      </c>
      <c r="C61" s="11" t="s">
        <v>2</v>
      </c>
      <c r="D61" s="20" t="s">
        <v>3</v>
      </c>
      <c r="BM61" s="4"/>
      <c r="BN61" s="4"/>
      <c r="BO61" s="4"/>
      <c r="BP61" s="4"/>
    </row>
    <row r="62" spans="1:68" ht="15" customHeight="1">
      <c r="A62" s="21" t="str">
        <f t="shared" si="3"/>
        <v>FB_DI_BUF_S.DVXX</v>
      </c>
      <c r="B62" s="8">
        <v>1</v>
      </c>
      <c r="C62" s="8" t="s">
        <v>1</v>
      </c>
      <c r="D62" s="22">
        <v>11</v>
      </c>
      <c r="BM62" s="4"/>
      <c r="BN62" s="4"/>
      <c r="BO62" s="4"/>
      <c r="BP62" s="4"/>
    </row>
    <row r="63" spans="1:68" ht="15" customHeight="1">
      <c r="A63" s="152" t="str">
        <f t="shared" ref="A63:A72" si="4">$R$2&amp;".CIMX"</f>
        <v>FB_DI_BUF_S.CIMX</v>
      </c>
      <c r="B63" s="153">
        <v>11154</v>
      </c>
      <c r="C63" s="153" t="s">
        <v>4</v>
      </c>
      <c r="D63" s="154">
        <f>$Q$10</f>
        <v>16</v>
      </c>
      <c r="BM63" s="4"/>
      <c r="BN63" s="4"/>
      <c r="BO63" s="4"/>
      <c r="BP63" s="4"/>
    </row>
    <row r="64" spans="1:68" ht="15" customHeight="1">
      <c r="A64" s="145" t="str">
        <f t="shared" si="4"/>
        <v>FB_DI_BUF_S.CIMX</v>
      </c>
      <c r="B64" s="146">
        <v>11150</v>
      </c>
      <c r="C64" s="146" t="s">
        <v>0</v>
      </c>
      <c r="D64" s="147" t="s">
        <v>529</v>
      </c>
      <c r="BM64" s="4"/>
      <c r="BN64" s="4"/>
      <c r="BO64" s="4"/>
      <c r="BP64" s="4"/>
    </row>
    <row r="65" spans="1:68" ht="15" customHeight="1">
      <c r="A65" s="145" t="str">
        <f t="shared" si="4"/>
        <v>FB_DI_BUF_S.CIMX</v>
      </c>
      <c r="B65" s="146">
        <v>11152</v>
      </c>
      <c r="C65" s="146" t="s">
        <v>0</v>
      </c>
      <c r="D65" s="155" t="str">
        <f>$R$10</f>
        <v>Имитация</v>
      </c>
      <c r="BM65" s="4"/>
      <c r="BN65" s="4"/>
      <c r="BO65" s="4"/>
      <c r="BP65" s="4"/>
    </row>
    <row r="66" spans="1:68" ht="15" customHeight="1">
      <c r="A66" s="145" t="str">
        <f t="shared" si="4"/>
        <v>FB_DI_BUF_S.CIMX</v>
      </c>
      <c r="B66" s="146">
        <v>11000</v>
      </c>
      <c r="C66" s="146" t="s">
        <v>5</v>
      </c>
      <c r="D66" s="147">
        <v>2147483680</v>
      </c>
      <c r="BM66" s="4"/>
      <c r="BN66" s="4"/>
      <c r="BO66" s="4"/>
      <c r="BP66" s="4"/>
    </row>
    <row r="67" spans="1:68" ht="15" customHeight="1">
      <c r="A67" s="19" t="str">
        <f t="shared" si="4"/>
        <v>FB_DI_BUF_S.CIMX</v>
      </c>
      <c r="B67" s="11">
        <v>7999</v>
      </c>
      <c r="C67" s="11" t="s">
        <v>0</v>
      </c>
      <c r="D67" s="20" t="str">
        <f>"#"&amp;$S$2&amp;"#"&amp;$T$2&amp;"\"&amp;$P$2&amp;"\CIMX"</f>
        <v>#1#treiOPCDA.CoOPCserv.1\pcmaster\AVR_OK\CIMX</v>
      </c>
      <c r="BM67" s="4"/>
      <c r="BN67" s="4"/>
      <c r="BO67" s="4"/>
      <c r="BP67" s="4"/>
    </row>
    <row r="68" spans="1:68" ht="15" customHeight="1">
      <c r="A68" s="19" t="str">
        <f t="shared" si="4"/>
        <v>FB_DI_BUF_S.CIMX</v>
      </c>
      <c r="B68" s="11">
        <v>7998</v>
      </c>
      <c r="C68" s="11" t="s">
        <v>6</v>
      </c>
      <c r="D68" s="20">
        <v>1</v>
      </c>
      <c r="BM68" s="4"/>
      <c r="BN68" s="4"/>
      <c r="BO68" s="4"/>
      <c r="BP68" s="4"/>
    </row>
    <row r="69" spans="1:68" ht="15" customHeight="1">
      <c r="A69" s="19" t="str">
        <f t="shared" si="4"/>
        <v>FB_DI_BUF_S.CIMX</v>
      </c>
      <c r="B69" s="11">
        <v>101</v>
      </c>
      <c r="C69" s="11" t="s">
        <v>0</v>
      </c>
      <c r="D69" s="20" t="s">
        <v>1314</v>
      </c>
      <c r="BM69" s="4"/>
      <c r="BN69" s="4"/>
      <c r="BO69" s="4"/>
      <c r="BP69" s="4"/>
    </row>
    <row r="70" spans="1:68" ht="15" customHeight="1">
      <c r="A70" s="19" t="str">
        <f t="shared" si="4"/>
        <v>FB_DI_BUF_S.CIMX</v>
      </c>
      <c r="B70" s="11">
        <v>3</v>
      </c>
      <c r="C70" s="11" t="s">
        <v>1</v>
      </c>
      <c r="D70" s="20">
        <v>192</v>
      </c>
      <c r="BM70" s="4"/>
      <c r="BN70" s="4"/>
      <c r="BO70" s="4"/>
      <c r="BP70" s="4"/>
    </row>
    <row r="71" spans="1:68" ht="15" customHeight="1">
      <c r="A71" s="19" t="str">
        <f t="shared" si="4"/>
        <v>FB_DI_BUF_S.CIMX</v>
      </c>
      <c r="B71" s="11">
        <v>2</v>
      </c>
      <c r="C71" s="11" t="s">
        <v>2</v>
      </c>
      <c r="D71" s="20" t="s">
        <v>3</v>
      </c>
      <c r="BM71" s="4"/>
      <c r="BN71" s="4"/>
      <c r="BO71" s="4"/>
      <c r="BP71" s="4"/>
    </row>
    <row r="72" spans="1:68" ht="15" customHeight="1">
      <c r="A72" s="19" t="str">
        <f t="shared" si="4"/>
        <v>FB_DI_BUF_S.CIMX</v>
      </c>
      <c r="B72" s="11">
        <v>1</v>
      </c>
      <c r="C72" s="11" t="s">
        <v>1</v>
      </c>
      <c r="D72" s="20">
        <v>11</v>
      </c>
      <c r="BM72" s="4"/>
      <c r="BN72" s="4"/>
      <c r="BO72" s="4"/>
      <c r="BP72" s="4"/>
    </row>
    <row r="73" spans="1:68" ht="15" customHeight="1">
      <c r="A73" s="130" t="str">
        <f t="shared" ref="A73:A84" si="5">$R$2&amp;".XRPX"</f>
        <v>FB_DI_BUF_S.XRPX</v>
      </c>
      <c r="B73" s="131">
        <v>11154</v>
      </c>
      <c r="C73" s="131" t="s">
        <v>4</v>
      </c>
      <c r="D73" s="132">
        <f>$Q$11</f>
        <v>14</v>
      </c>
      <c r="BM73" s="4"/>
      <c r="BN73" s="4"/>
      <c r="BO73" s="4"/>
      <c r="BP73" s="4"/>
    </row>
    <row r="74" spans="1:68" ht="15" customHeight="1">
      <c r="A74" s="133" t="str">
        <f t="shared" si="5"/>
        <v>FB_DI_BUF_S.XRPX</v>
      </c>
      <c r="B74" s="134">
        <v>11150</v>
      </c>
      <c r="C74" s="134" t="s">
        <v>0</v>
      </c>
      <c r="D74" s="135" t="s">
        <v>530</v>
      </c>
      <c r="BM74" s="4"/>
      <c r="BN74" s="4"/>
      <c r="BO74" s="4"/>
      <c r="BP74" s="4"/>
    </row>
    <row r="75" spans="1:68" ht="15" customHeight="1">
      <c r="A75" s="133" t="str">
        <f t="shared" si="5"/>
        <v>FB_DI_BUF_S.XRPX</v>
      </c>
      <c r="B75" s="134">
        <v>11152</v>
      </c>
      <c r="C75" s="134" t="s">
        <v>0</v>
      </c>
      <c r="D75" s="136" t="str">
        <f>$R$11</f>
        <v>Ремонт</v>
      </c>
      <c r="BM75" s="4"/>
      <c r="BN75" s="4"/>
      <c r="BO75" s="4"/>
      <c r="BP75" s="4"/>
    </row>
    <row r="76" spans="1:68" ht="15" customHeight="1">
      <c r="A76" s="133" t="str">
        <f t="shared" si="5"/>
        <v>FB_DI_BUF_S.XRPX</v>
      </c>
      <c r="B76" s="134">
        <v>11000</v>
      </c>
      <c r="C76" s="134" t="s">
        <v>5</v>
      </c>
      <c r="D76" s="135">
        <v>2147483680</v>
      </c>
      <c r="BM76" s="4"/>
      <c r="BN76" s="4"/>
      <c r="BO76" s="4"/>
      <c r="BP76" s="4"/>
    </row>
    <row r="77" spans="1:68" ht="15" customHeight="1">
      <c r="A77" s="19" t="str">
        <f t="shared" si="5"/>
        <v>FB_DI_BUF_S.XRPX</v>
      </c>
      <c r="B77" s="11">
        <v>7999</v>
      </c>
      <c r="C77" s="11" t="s">
        <v>0</v>
      </c>
      <c r="D77" s="20" t="str">
        <f>"#"&amp;$S$2&amp;"#"&amp;$T$2&amp;"\"&amp;$P$2&amp;"\XRPX"</f>
        <v>#1#treiOPCDA.CoOPCserv.1\pcmaster\AVR_OK\XRPX</v>
      </c>
      <c r="BM77" s="4"/>
      <c r="BN77" s="4"/>
      <c r="BO77" s="4"/>
      <c r="BP77" s="4"/>
    </row>
    <row r="78" spans="1:68" ht="15" customHeight="1">
      <c r="A78" s="19" t="str">
        <f t="shared" si="5"/>
        <v>FB_DI_BUF_S.XRPX</v>
      </c>
      <c r="B78" s="11">
        <v>7998</v>
      </c>
      <c r="C78" s="11" t="s">
        <v>6</v>
      </c>
      <c r="D78" s="20">
        <v>1</v>
      </c>
      <c r="BM78" s="4"/>
      <c r="BN78" s="4"/>
      <c r="BO78" s="4"/>
      <c r="BP78" s="4"/>
    </row>
    <row r="79" spans="1:68" ht="15" customHeight="1">
      <c r="A79" s="19" t="str">
        <f t="shared" si="5"/>
        <v>FB_DI_BUF_S.XRPX</v>
      </c>
      <c r="B79" s="11">
        <v>101</v>
      </c>
      <c r="C79" s="11" t="s">
        <v>0</v>
      </c>
      <c r="D79" s="20" t="s">
        <v>181</v>
      </c>
    </row>
    <row r="80" spans="1:68" ht="15" customHeight="1">
      <c r="A80" s="19" t="str">
        <f t="shared" si="5"/>
        <v>FB_DI_BUF_S.XRPX</v>
      </c>
      <c r="B80" s="11">
        <v>3</v>
      </c>
      <c r="C80" s="11" t="s">
        <v>1</v>
      </c>
      <c r="D80" s="20">
        <v>192</v>
      </c>
    </row>
    <row r="81" spans="1:4" ht="15" customHeight="1">
      <c r="A81" s="19" t="str">
        <f t="shared" si="5"/>
        <v>FB_DI_BUF_S.XRPX</v>
      </c>
      <c r="B81" s="11">
        <v>2</v>
      </c>
      <c r="C81" s="11" t="s">
        <v>2</v>
      </c>
      <c r="D81" s="20" t="s">
        <v>3</v>
      </c>
    </row>
    <row r="82" spans="1:4" ht="15" customHeight="1">
      <c r="A82" s="19" t="str">
        <f t="shared" si="5"/>
        <v>FB_DI_BUF_S.XRPX</v>
      </c>
      <c r="B82" s="11">
        <v>1</v>
      </c>
      <c r="C82" s="11" t="s">
        <v>1</v>
      </c>
      <c r="D82" s="20">
        <v>11</v>
      </c>
    </row>
    <row r="83" spans="1:4" ht="14.25" customHeight="1">
      <c r="A83" s="29" t="str">
        <f t="shared" si="5"/>
        <v>FB_DI_BUF_S.XRPX</v>
      </c>
      <c r="B83" s="1">
        <v>4000000</v>
      </c>
      <c r="C83" s="1" t="s">
        <v>0</v>
      </c>
      <c r="D83" s="415" t="s">
        <v>1479</v>
      </c>
    </row>
    <row r="84" spans="1:4">
      <c r="A84" s="26" t="str">
        <f t="shared" si="5"/>
        <v>FB_DI_BUF_S.XRPX</v>
      </c>
      <c r="B84" s="27">
        <v>7000000</v>
      </c>
      <c r="C84" s="27" t="s">
        <v>6</v>
      </c>
      <c r="D84" s="28">
        <v>2</v>
      </c>
    </row>
    <row r="85" spans="1:4">
      <c r="A85" s="100" t="str">
        <f t="shared" ref="A85:A94" si="6">$R$2&amp;".BVLS"</f>
        <v>FB_DI_BUF_S.BVLS</v>
      </c>
      <c r="B85" s="101">
        <v>11154</v>
      </c>
      <c r="C85" s="101" t="s">
        <v>4</v>
      </c>
      <c r="D85" s="102">
        <f>$Q$8</f>
        <v>18</v>
      </c>
    </row>
    <row r="86" spans="1:4">
      <c r="A86" s="100" t="str">
        <f t="shared" si="6"/>
        <v>FB_DI_BUF_S.BVLS</v>
      </c>
      <c r="B86" s="101">
        <v>11150</v>
      </c>
      <c r="C86" s="101" t="s">
        <v>0</v>
      </c>
      <c r="D86" s="103" t="s">
        <v>531</v>
      </c>
    </row>
    <row r="87" spans="1:4">
      <c r="A87" s="100" t="str">
        <f t="shared" si="6"/>
        <v>FB_DI_BUF_S.BVLS</v>
      </c>
      <c r="B87" s="101">
        <v>11152</v>
      </c>
      <c r="C87" s="101" t="s">
        <v>0</v>
      </c>
      <c r="D87" s="104" t="str">
        <f>$R$8</f>
        <v>Телесигнализация</v>
      </c>
    </row>
    <row r="88" spans="1:4">
      <c r="A88" s="100" t="str">
        <f t="shared" si="6"/>
        <v>FB_DI_BUF_S.BVLS</v>
      </c>
      <c r="B88" s="101">
        <v>11000</v>
      </c>
      <c r="C88" s="101" t="s">
        <v>5</v>
      </c>
      <c r="D88" s="103">
        <v>2147483680</v>
      </c>
    </row>
    <row r="89" spans="1:4">
      <c r="A89" s="19" t="str">
        <f t="shared" si="6"/>
        <v>FB_DI_BUF_S.BVLS</v>
      </c>
      <c r="B89" s="11">
        <v>7999</v>
      </c>
      <c r="C89" s="11" t="s">
        <v>0</v>
      </c>
      <c r="D89" s="20" t="str">
        <f>"#"&amp;$S$2&amp;"#"&amp;$T$2&amp;"\"&amp;$P$2&amp;"\BVLS"</f>
        <v>#1#treiOPCDA.CoOPCserv.1\pcmaster\AVR_OK\BVLS</v>
      </c>
    </row>
    <row r="90" spans="1:4">
      <c r="A90" s="19" t="str">
        <f t="shared" si="6"/>
        <v>FB_DI_BUF_S.BVLS</v>
      </c>
      <c r="B90" s="11">
        <v>7998</v>
      </c>
      <c r="C90" s="11" t="s">
        <v>6</v>
      </c>
      <c r="D90" s="20">
        <v>1</v>
      </c>
    </row>
    <row r="91" spans="1:4">
      <c r="A91" s="19" t="str">
        <f t="shared" si="6"/>
        <v>FB_DI_BUF_S.BVLS</v>
      </c>
      <c r="B91" s="11">
        <v>101</v>
      </c>
      <c r="C91" s="11" t="s">
        <v>0</v>
      </c>
      <c r="D91" s="20" t="s">
        <v>179</v>
      </c>
    </row>
    <row r="92" spans="1:4">
      <c r="A92" s="19" t="str">
        <f t="shared" si="6"/>
        <v>FB_DI_BUF_S.BVLS</v>
      </c>
      <c r="B92" s="11">
        <v>3</v>
      </c>
      <c r="C92" s="11" t="s">
        <v>1</v>
      </c>
      <c r="D92" s="20">
        <v>192</v>
      </c>
    </row>
    <row r="93" spans="1:4">
      <c r="A93" s="19" t="str">
        <f t="shared" si="6"/>
        <v>FB_DI_BUF_S.BVLS</v>
      </c>
      <c r="B93" s="11">
        <v>2</v>
      </c>
      <c r="C93" s="11" t="s">
        <v>2</v>
      </c>
      <c r="D93" s="20" t="s">
        <v>3</v>
      </c>
    </row>
    <row r="94" spans="1:4">
      <c r="A94" s="21" t="str">
        <f t="shared" si="6"/>
        <v>FB_DI_BUF_S.BVLS</v>
      </c>
      <c r="B94" s="8">
        <v>1</v>
      </c>
      <c r="C94" s="8" t="s">
        <v>1</v>
      </c>
      <c r="D94" s="22">
        <v>11</v>
      </c>
    </row>
    <row r="95" spans="1:4">
      <c r="A95" s="266" t="str">
        <f>$R$2&amp;".Commands.SFTX"</f>
        <v>FB_DI_BUF_S.Commands.SFTX</v>
      </c>
      <c r="B95" s="267">
        <v>101</v>
      </c>
      <c r="C95" s="267" t="s">
        <v>0</v>
      </c>
      <c r="D95" s="268" t="s">
        <v>25</v>
      </c>
    </row>
    <row r="96" spans="1:4">
      <c r="A96" s="269" t="str">
        <f>$R$2&amp;".Commands.SFTX"</f>
        <v>FB_DI_BUF_S.Commands.SFTX</v>
      </c>
      <c r="B96" s="270">
        <v>7999</v>
      </c>
      <c r="C96" s="270" t="s">
        <v>0</v>
      </c>
      <c r="D96" s="271" t="str">
        <f>"#"&amp;$T$5&amp;"#"&amp;$T$2&amp;"\"&amp;$P$2&amp;"\SFTX"</f>
        <v>#1#treiOPCDA.CoOPCserv.1\pcmaster\AVR_OK\SFTX</v>
      </c>
    </row>
    <row r="97" spans="1:22">
      <c r="A97" s="269" t="str">
        <f>$R$2&amp;".Commands.SFTX"</f>
        <v>FB_DI_BUF_S.Commands.SFTX</v>
      </c>
      <c r="B97" s="270">
        <v>7998</v>
      </c>
      <c r="C97" s="270" t="s">
        <v>6</v>
      </c>
      <c r="D97" s="271">
        <v>2</v>
      </c>
    </row>
    <row r="98" spans="1:22">
      <c r="A98" s="272" t="str">
        <f>$R$2&amp;".Commands.SFTX"</f>
        <v>FB_DI_BUF_S.Commands.SFTX</v>
      </c>
      <c r="B98" s="273">
        <v>1</v>
      </c>
      <c r="C98" s="273" t="s">
        <v>1</v>
      </c>
      <c r="D98" s="274">
        <v>3</v>
      </c>
    </row>
    <row r="99" spans="1:22">
      <c r="A99" s="16" t="str">
        <f>$R$2&amp;".Commands.CDAX"</f>
        <v>FB_DI_BUF_S.Commands.CDAX</v>
      </c>
      <c r="B99" s="17">
        <v>101</v>
      </c>
      <c r="C99" s="17" t="s">
        <v>0</v>
      </c>
      <c r="D99" s="18" t="s">
        <v>183</v>
      </c>
    </row>
    <row r="100" spans="1:22">
      <c r="A100" s="19" t="str">
        <f>$R$2&amp;".Commands.CDAX"</f>
        <v>FB_DI_BUF_S.Commands.CDAX</v>
      </c>
      <c r="B100" s="11">
        <v>7999</v>
      </c>
      <c r="C100" s="11" t="s">
        <v>0</v>
      </c>
      <c r="D100" s="20" t="str">
        <f>"#"&amp;$T$5&amp;"#"&amp;$T$2&amp;"\"&amp;$P$2&amp;"\CDAX"</f>
        <v>#1#treiOPCDA.CoOPCserv.1\pcmaster\AVR_OK\CDAX</v>
      </c>
    </row>
    <row r="101" spans="1:22">
      <c r="A101" s="19" t="str">
        <f>$R$2&amp;".Commands.CDAX"</f>
        <v>FB_DI_BUF_S.Commands.CDAX</v>
      </c>
      <c r="B101" s="11">
        <v>7998</v>
      </c>
      <c r="C101" s="11" t="s">
        <v>6</v>
      </c>
      <c r="D101" s="20">
        <v>2</v>
      </c>
    </row>
    <row r="102" spans="1:22">
      <c r="A102" s="21" t="str">
        <f>$R$2&amp;".Commands.CDAX"</f>
        <v>FB_DI_BUF_S.Commands.CDAX</v>
      </c>
      <c r="B102" s="8">
        <v>1</v>
      </c>
      <c r="C102" s="8" t="s">
        <v>1</v>
      </c>
      <c r="D102" s="22">
        <v>11</v>
      </c>
    </row>
    <row r="103" spans="1:22">
      <c r="A103" s="16" t="str">
        <f>$R$2&amp;".Commands.CRPX"</f>
        <v>FB_DI_BUF_S.Commands.CRPX</v>
      </c>
      <c r="B103" s="17">
        <v>101</v>
      </c>
      <c r="C103" s="17" t="s">
        <v>0</v>
      </c>
      <c r="D103" s="18" t="s">
        <v>90</v>
      </c>
    </row>
    <row r="104" spans="1:22">
      <c r="A104" s="19" t="str">
        <f>$R$2&amp;".Commands.CRPX"</f>
        <v>FB_DI_BUF_S.Commands.CRPX</v>
      </c>
      <c r="B104" s="11">
        <v>7999</v>
      </c>
      <c r="C104" s="11" t="s">
        <v>0</v>
      </c>
      <c r="D104" s="20" t="str">
        <f>"#"&amp;$T$5&amp;"#"&amp;$T$2&amp;"\"&amp;$P$2&amp;"\CRPX"</f>
        <v>#1#treiOPCDA.CoOPCserv.1\pcmaster\AVR_OK\CRPX</v>
      </c>
    </row>
    <row r="105" spans="1:22">
      <c r="A105" s="19" t="str">
        <f>$R$2&amp;".Commands.CRPX"</f>
        <v>FB_DI_BUF_S.Commands.CRPX</v>
      </c>
      <c r="B105" s="11">
        <v>7998</v>
      </c>
      <c r="C105" s="11" t="s">
        <v>6</v>
      </c>
      <c r="D105" s="20">
        <v>2</v>
      </c>
    </row>
    <row r="106" spans="1:22">
      <c r="A106" s="21" t="str">
        <f>$R$2&amp;".Commands.CRPX"</f>
        <v>FB_DI_BUF_S.Commands.CRPX</v>
      </c>
      <c r="B106" s="8">
        <v>1</v>
      </c>
      <c r="C106" s="8" t="s">
        <v>1</v>
      </c>
      <c r="D106" s="22">
        <v>11</v>
      </c>
    </row>
    <row r="107" spans="1:22">
      <c r="A107" s="16" t="str">
        <f>$R$2&amp;".Commands.CIMX"</f>
        <v>FB_DI_BUF_S.Commands.CIMX</v>
      </c>
      <c r="B107" s="17">
        <v>101</v>
      </c>
      <c r="C107" s="17" t="s">
        <v>0</v>
      </c>
      <c r="D107" s="18" t="s">
        <v>1314</v>
      </c>
    </row>
    <row r="108" spans="1:22">
      <c r="A108" s="19" t="str">
        <f>$R$2&amp;".Commands.CIMX"</f>
        <v>FB_DI_BUF_S.Commands.CIMX</v>
      </c>
      <c r="B108" s="11">
        <v>7999</v>
      </c>
      <c r="C108" s="11" t="s">
        <v>0</v>
      </c>
      <c r="D108" s="20" t="str">
        <f>"#"&amp;$T$5&amp;"#"&amp;$T$2&amp;"\"&amp;$P$2&amp;"\CIMX"</f>
        <v>#1#treiOPCDA.CoOPCserv.1\pcmaster\AVR_OK\CIMX</v>
      </c>
    </row>
    <row r="109" spans="1:22" s="4" customFormat="1">
      <c r="A109" s="19" t="str">
        <f>$R$2&amp;".Commands.CIMX"</f>
        <v>FB_DI_BUF_S.Commands.CIMX</v>
      </c>
      <c r="B109" s="11">
        <v>7998</v>
      </c>
      <c r="C109" s="11" t="s">
        <v>6</v>
      </c>
      <c r="D109" s="20">
        <v>2</v>
      </c>
    </row>
    <row r="110" spans="1:22">
      <c r="A110" s="21" t="str">
        <f>$R$2&amp;".Commands.CIMX"</f>
        <v>FB_DI_BUF_S.Commands.CIMX</v>
      </c>
      <c r="B110" s="8">
        <v>1</v>
      </c>
      <c r="C110" s="8" t="s">
        <v>1</v>
      </c>
      <c r="D110" s="22">
        <v>11</v>
      </c>
    </row>
    <row r="111" spans="1:22">
      <c r="A111" s="16" t="str">
        <f>$R$2&amp;".Commands.SIMX"</f>
        <v>FB_DI_BUF_S.Commands.SIMX</v>
      </c>
      <c r="B111" s="17">
        <v>101</v>
      </c>
      <c r="C111" s="17" t="s">
        <v>0</v>
      </c>
      <c r="D111" s="18" t="s">
        <v>1313</v>
      </c>
      <c r="Q111" s="4"/>
      <c r="R111" s="4"/>
      <c r="S111" s="4"/>
      <c r="T111" s="4"/>
      <c r="U111" s="4"/>
      <c r="V111" s="4"/>
    </row>
    <row r="112" spans="1:22">
      <c r="A112" s="19" t="str">
        <f>$R$2&amp;".Commands.SIMX"</f>
        <v>FB_DI_BUF_S.Commands.SIMX</v>
      </c>
      <c r="B112" s="11">
        <v>7999</v>
      </c>
      <c r="C112" s="11" t="s">
        <v>0</v>
      </c>
      <c r="D112" s="20" t="str">
        <f>"#"&amp;$T$5&amp;"#"&amp;$T$2&amp;"\"&amp;$P$2&amp;"\SIMX"</f>
        <v>#1#treiOPCDA.CoOPCserv.1\pcmaster\AVR_OK\SIMX</v>
      </c>
      <c r="Q112" s="4"/>
      <c r="R112" s="4"/>
      <c r="S112" s="4"/>
      <c r="T112" s="4"/>
      <c r="U112" s="4"/>
      <c r="V112" s="4"/>
    </row>
    <row r="113" spans="1:22">
      <c r="A113" s="19" t="str">
        <f>$R$2&amp;".Commands.SIMX"</f>
        <v>FB_DI_BUF_S.Commands.SIMX</v>
      </c>
      <c r="B113" s="11">
        <v>7998</v>
      </c>
      <c r="C113" s="11" t="s">
        <v>6</v>
      </c>
      <c r="D113" s="20">
        <v>2</v>
      </c>
      <c r="Q113" s="4"/>
      <c r="R113" s="4"/>
      <c r="S113" s="4"/>
      <c r="T113" s="4"/>
      <c r="U113" s="4"/>
      <c r="V113" s="4"/>
    </row>
    <row r="114" spans="1:22">
      <c r="A114" s="21" t="str">
        <f>$R$2&amp;".Commands.SIMX"</f>
        <v>FB_DI_BUF_S.Commands.SIMX</v>
      </c>
      <c r="B114" s="8">
        <v>1</v>
      </c>
      <c r="C114" s="8" t="s">
        <v>1</v>
      </c>
      <c r="D114" s="22">
        <v>11</v>
      </c>
      <c r="Q114" s="4"/>
      <c r="R114" s="4"/>
      <c r="S114" s="4"/>
      <c r="T114" s="4"/>
      <c r="U114" s="4"/>
      <c r="V114" s="4"/>
    </row>
    <row r="115" spans="1:22">
      <c r="A115" s="16" t="str">
        <f>$R$2&amp;".Commands.CFTX"</f>
        <v>FB_DI_BUF_S.Commands.CFTX</v>
      </c>
      <c r="B115" s="17">
        <v>101</v>
      </c>
      <c r="C115" s="17" t="s">
        <v>0</v>
      </c>
      <c r="D115" s="18" t="s">
        <v>273</v>
      </c>
      <c r="Q115" s="4"/>
      <c r="R115" s="4"/>
      <c r="S115" s="4"/>
      <c r="T115" s="4"/>
      <c r="U115" s="4"/>
      <c r="V115" s="4"/>
    </row>
    <row r="116" spans="1:22">
      <c r="A116" s="19" t="str">
        <f>$R$2&amp;".Commands.CFTX"</f>
        <v>FB_DI_BUF_S.Commands.CFTX</v>
      </c>
      <c r="B116" s="11">
        <v>7999</v>
      </c>
      <c r="C116" s="11" t="s">
        <v>0</v>
      </c>
      <c r="D116" s="20" t="str">
        <f>"#"&amp;$T$5&amp;"#"&amp;$T$2&amp;"\"&amp;$P$2&amp;"\CFTX"</f>
        <v>#1#treiOPCDA.CoOPCserv.1\pcmaster\AVR_OK\CFTX</v>
      </c>
      <c r="Q116" s="4"/>
      <c r="R116" s="4"/>
      <c r="S116" s="4"/>
      <c r="T116" s="4"/>
      <c r="U116" s="4"/>
      <c r="V116" s="4"/>
    </row>
    <row r="117" spans="1:22" s="4" customFormat="1">
      <c r="A117" s="19" t="str">
        <f>$R$2&amp;".Commands.CFTX"</f>
        <v>FB_DI_BUF_S.Commands.CFTX</v>
      </c>
      <c r="B117" s="11">
        <v>7998</v>
      </c>
      <c r="C117" s="11" t="s">
        <v>6</v>
      </c>
      <c r="D117" s="20">
        <v>2</v>
      </c>
    </row>
    <row r="118" spans="1:22">
      <c r="A118" s="21" t="str">
        <f>$R$2&amp;".Commands.CFTX"</f>
        <v>FB_DI_BUF_S.Commands.CFTX</v>
      </c>
      <c r="B118" s="8">
        <v>1</v>
      </c>
      <c r="C118" s="8" t="s">
        <v>1</v>
      </c>
      <c r="D118" s="22">
        <v>11</v>
      </c>
      <c r="Q118" s="4"/>
      <c r="R118" s="4"/>
      <c r="S118" s="4"/>
      <c r="T118" s="4"/>
      <c r="U118" s="4"/>
      <c r="V118" s="4"/>
    </row>
    <row r="119" spans="1:22">
      <c r="A119" s="19" t="str">
        <f t="shared" ref="A119:A124" si="7">$R$2&amp;".FXXX"</f>
        <v>FB_DI_BUF_S.FXXX</v>
      </c>
      <c r="B119" s="11">
        <v>7999</v>
      </c>
      <c r="C119" s="11" t="s">
        <v>0</v>
      </c>
      <c r="D119" s="20" t="str">
        <f>"#"&amp;$S$2&amp;"#"&amp;$T$2&amp;"\"&amp;$P$2&amp;"\FXXX"</f>
        <v>#1#treiOPCDA.CoOPCserv.1\pcmaster\AVR_OK\FXXX</v>
      </c>
      <c r="Q119" s="4"/>
      <c r="R119" s="4"/>
      <c r="S119" s="4"/>
      <c r="T119" s="4"/>
      <c r="U119" s="4"/>
      <c r="V119" s="4"/>
    </row>
    <row r="120" spans="1:22">
      <c r="A120" s="19" t="str">
        <f t="shared" si="7"/>
        <v>FB_DI_BUF_S.FXXX</v>
      </c>
      <c r="B120" s="11">
        <v>7998</v>
      </c>
      <c r="C120" s="11" t="s">
        <v>6</v>
      </c>
      <c r="D120" s="20">
        <v>1</v>
      </c>
      <c r="Q120" s="4"/>
      <c r="R120" s="4"/>
      <c r="S120" s="4"/>
      <c r="T120" s="4"/>
      <c r="U120" s="4"/>
      <c r="V120" s="4"/>
    </row>
    <row r="121" spans="1:22">
      <c r="A121" s="19" t="str">
        <f t="shared" si="7"/>
        <v>FB_DI_BUF_S.FXXX</v>
      </c>
      <c r="B121" s="11">
        <v>101</v>
      </c>
      <c r="C121" s="11" t="s">
        <v>0</v>
      </c>
      <c r="D121" s="20" t="s">
        <v>434</v>
      </c>
      <c r="Q121" s="4"/>
      <c r="R121" s="4"/>
      <c r="S121" s="4"/>
      <c r="T121" s="4"/>
      <c r="U121" s="4"/>
      <c r="V121" s="4"/>
    </row>
    <row r="122" spans="1:22">
      <c r="A122" s="19" t="str">
        <f t="shared" si="7"/>
        <v>FB_DI_BUF_S.FXXX</v>
      </c>
      <c r="B122" s="11">
        <v>3</v>
      </c>
      <c r="C122" s="11" t="s">
        <v>1</v>
      </c>
      <c r="D122" s="20">
        <v>192</v>
      </c>
      <c r="Q122" s="4"/>
      <c r="R122" s="4"/>
      <c r="S122" s="4"/>
      <c r="T122" s="4"/>
      <c r="U122" s="4"/>
      <c r="V122" s="4"/>
    </row>
    <row r="123" spans="1:22" s="4" customFormat="1">
      <c r="A123" s="19" t="str">
        <f t="shared" si="7"/>
        <v>FB_DI_BUF_S.FXXX</v>
      </c>
      <c r="B123" s="11">
        <v>2</v>
      </c>
      <c r="C123" s="11" t="s">
        <v>2</v>
      </c>
      <c r="D123" s="20" t="s">
        <v>3</v>
      </c>
    </row>
    <row r="124" spans="1:22">
      <c r="A124" s="21" t="str">
        <f t="shared" si="7"/>
        <v>FB_DI_BUF_S.FXXX</v>
      </c>
      <c r="B124" s="8">
        <v>1</v>
      </c>
      <c r="C124" s="8" t="s">
        <v>1</v>
      </c>
      <c r="D124" s="22">
        <v>11</v>
      </c>
      <c r="Q124" s="4"/>
      <c r="R124" s="4"/>
      <c r="S124" s="4"/>
      <c r="T124" s="4"/>
      <c r="U124" s="4"/>
      <c r="V124" s="4"/>
    </row>
    <row r="125" spans="1:22">
      <c r="A125" s="19" t="str">
        <f t="shared" ref="A125:A130" si="8">$R$2&amp;".IVXX"</f>
        <v>FB_DI_BUF_S.IVXX</v>
      </c>
      <c r="B125" s="11">
        <v>7999</v>
      </c>
      <c r="C125" s="11" t="s">
        <v>0</v>
      </c>
      <c r="D125" s="20" t="str">
        <f>"#"&amp;$S$2&amp;"#"&amp;$T$2&amp;"\"&amp;$P$2&amp;"\IVXX"</f>
        <v>#1#treiOPCDA.CoOPCserv.1\pcmaster\AVR_OK\IVXX</v>
      </c>
    </row>
    <row r="126" spans="1:22">
      <c r="A126" s="19" t="str">
        <f t="shared" si="8"/>
        <v>FB_DI_BUF_S.IVXX</v>
      </c>
      <c r="B126" s="11">
        <v>7998</v>
      </c>
      <c r="C126" s="11" t="s">
        <v>6</v>
      </c>
      <c r="D126" s="20">
        <v>1</v>
      </c>
    </row>
    <row r="127" spans="1:22">
      <c r="A127" s="19" t="str">
        <f t="shared" si="8"/>
        <v>FB_DI_BUF_S.IVXX</v>
      </c>
      <c r="B127" s="11">
        <v>101</v>
      </c>
      <c r="C127" s="11" t="s">
        <v>0</v>
      </c>
      <c r="D127" s="20" t="s">
        <v>42</v>
      </c>
    </row>
    <row r="128" spans="1:22">
      <c r="A128" s="19" t="str">
        <f t="shared" si="8"/>
        <v>FB_DI_BUF_S.IVXX</v>
      </c>
      <c r="B128" s="11">
        <v>3</v>
      </c>
      <c r="C128" s="11" t="s">
        <v>1</v>
      </c>
      <c r="D128" s="20">
        <v>192</v>
      </c>
    </row>
    <row r="129" spans="1:17" s="4" customFormat="1">
      <c r="A129" s="19" t="str">
        <f t="shared" si="8"/>
        <v>FB_DI_BUF_S.IVXX</v>
      </c>
      <c r="B129" s="11">
        <v>2</v>
      </c>
      <c r="C129" s="11" t="s">
        <v>2</v>
      </c>
      <c r="D129" s="20" t="s">
        <v>3</v>
      </c>
      <c r="Q129"/>
    </row>
    <row r="130" spans="1:17">
      <c r="A130" s="21" t="str">
        <f t="shared" si="8"/>
        <v>FB_DI_BUF_S.IVXX</v>
      </c>
      <c r="B130" s="8">
        <v>1</v>
      </c>
      <c r="C130" s="8" t="s">
        <v>1</v>
      </c>
      <c r="D130" s="22">
        <v>11</v>
      </c>
    </row>
    <row r="131" spans="1:17">
      <c r="A131" s="19" t="str">
        <f t="shared" ref="A131:A136" si="9">$R$2&amp;".CFTX"</f>
        <v>FB_DI_BUF_S.CFTX</v>
      </c>
      <c r="B131" s="11">
        <v>7999</v>
      </c>
      <c r="C131" s="11" t="s">
        <v>0</v>
      </c>
      <c r="D131" s="20" t="str">
        <f>"#"&amp;$S$2&amp;"#"&amp;$T$2&amp;"\"&amp;$P$2&amp;"\CFTX"</f>
        <v>#1#treiOPCDA.CoOPCserv.1\pcmaster\AVR_OK\CFTX</v>
      </c>
    </row>
    <row r="132" spans="1:17">
      <c r="A132" s="19" t="str">
        <f t="shared" si="9"/>
        <v>FB_DI_BUF_S.CFTX</v>
      </c>
      <c r="B132" s="11">
        <v>7998</v>
      </c>
      <c r="C132" s="11" t="s">
        <v>6</v>
      </c>
      <c r="D132" s="20">
        <v>1</v>
      </c>
    </row>
    <row r="133" spans="1:17">
      <c r="A133" s="19" t="str">
        <f t="shared" si="9"/>
        <v>FB_DI_BUF_S.CFTX</v>
      </c>
      <c r="B133" s="11">
        <v>101</v>
      </c>
      <c r="C133" s="11" t="s">
        <v>0</v>
      </c>
      <c r="D133" s="20" t="s">
        <v>184</v>
      </c>
    </row>
    <row r="134" spans="1:17">
      <c r="A134" s="19" t="str">
        <f t="shared" si="9"/>
        <v>FB_DI_BUF_S.CFTX</v>
      </c>
      <c r="B134" s="11">
        <v>3</v>
      </c>
      <c r="C134" s="11" t="s">
        <v>1</v>
      </c>
      <c r="D134" s="20">
        <v>192</v>
      </c>
    </row>
    <row r="135" spans="1:17">
      <c r="A135" s="19" t="str">
        <f t="shared" si="9"/>
        <v>FB_DI_BUF_S.CFTX</v>
      </c>
      <c r="B135" s="11">
        <v>2</v>
      </c>
      <c r="C135" s="11" t="s">
        <v>2</v>
      </c>
      <c r="D135" s="20" t="s">
        <v>3</v>
      </c>
    </row>
    <row r="136" spans="1:17">
      <c r="A136" s="21" t="str">
        <f t="shared" si="9"/>
        <v>FB_DI_BUF_S.CFTX</v>
      </c>
      <c r="B136" s="8">
        <v>1</v>
      </c>
      <c r="C136" s="8" t="s">
        <v>1</v>
      </c>
      <c r="D136" s="22">
        <v>11</v>
      </c>
    </row>
    <row r="137" spans="1:17">
      <c r="A137" s="266" t="str">
        <f t="shared" ref="A137:A142" si="10">$R$2&amp;".SFTX"</f>
        <v>FB_DI_BUF_S.SFTX</v>
      </c>
      <c r="B137" s="267">
        <v>7999</v>
      </c>
      <c r="C137" s="267" t="s">
        <v>0</v>
      </c>
      <c r="D137" s="268" t="str">
        <f>"#"&amp;$S$2&amp;"#"&amp;$T$2&amp;"\"&amp;$P$2&amp;"\SFTX"</f>
        <v>#1#treiOPCDA.CoOPCserv.1\pcmaster\AVR_OK\SFTX</v>
      </c>
    </row>
    <row r="138" spans="1:17">
      <c r="A138" s="269" t="str">
        <f t="shared" si="10"/>
        <v>FB_DI_BUF_S.SFTX</v>
      </c>
      <c r="B138" s="270">
        <v>7998</v>
      </c>
      <c r="C138" s="270" t="s">
        <v>6</v>
      </c>
      <c r="D138" s="271">
        <v>1</v>
      </c>
    </row>
    <row r="139" spans="1:17">
      <c r="A139" s="269" t="str">
        <f t="shared" si="10"/>
        <v>FB_DI_BUF_S.SFTX</v>
      </c>
      <c r="B139" s="270">
        <v>101</v>
      </c>
      <c r="C139" s="270" t="s">
        <v>0</v>
      </c>
      <c r="D139" s="271" t="s">
        <v>25</v>
      </c>
    </row>
    <row r="140" spans="1:17">
      <c r="A140" s="269" t="str">
        <f t="shared" si="10"/>
        <v>FB_DI_BUF_S.SFTX</v>
      </c>
      <c r="B140" s="270">
        <v>3</v>
      </c>
      <c r="C140" s="270" t="s">
        <v>1</v>
      </c>
      <c r="D140" s="271">
        <v>192</v>
      </c>
    </row>
    <row r="141" spans="1:17">
      <c r="A141" s="269" t="str">
        <f t="shared" si="10"/>
        <v>FB_DI_BUF_S.SFTX</v>
      </c>
      <c r="B141" s="270">
        <v>2</v>
      </c>
      <c r="C141" s="270" t="s">
        <v>6</v>
      </c>
      <c r="D141" s="271">
        <v>0</v>
      </c>
    </row>
    <row r="142" spans="1:17">
      <c r="A142" s="269" t="str">
        <f t="shared" si="10"/>
        <v>FB_DI_BUF_S.SFTX</v>
      </c>
      <c r="B142" s="270">
        <v>1</v>
      </c>
      <c r="C142" s="270" t="s">
        <v>1</v>
      </c>
      <c r="D142" s="271">
        <v>3</v>
      </c>
    </row>
    <row r="143" spans="1:17">
      <c r="A143" s="241" t="str">
        <f t="shared" ref="A143:A151" si="11">$R$2&amp;".BUF.XVLX"</f>
        <v>FB_DI_BUF_S.BUF.XVLX</v>
      </c>
      <c r="B143" s="242">
        <v>7050</v>
      </c>
      <c r="C143" s="242" t="s">
        <v>0</v>
      </c>
      <c r="D143" s="654" t="str">
        <f>"&lt;Addr AnswerSignalType=©0© Protocol=©IEC4Std© Type=©Protocol© ProtocolType=©30© Address=©XXX© ModuleNo=©" &amp; $T$9&amp; "© Role=©Master© Station=©" &amp; $T$11 &amp; "©  /&gt;"</f>
        <v>&lt;Addr AnswerSignalType=©0© Protocol=©IEC4Std© Type=©Protocol© ProtocolType=©30© Address=©XXX© ModuleNo=©1© Role=©Master© Station=©1©  /&gt;</v>
      </c>
    </row>
    <row r="144" spans="1:17">
      <c r="A144" s="244" t="str">
        <f t="shared" si="11"/>
        <v>FB_DI_BUF_S.BUF.XVLX</v>
      </c>
      <c r="B144" s="245">
        <v>11154</v>
      </c>
      <c r="C144" s="245" t="s">
        <v>4</v>
      </c>
      <c r="D144" s="655">
        <f>IF($AB$2=$P$5,$S$5,IF($AB$2=$P$6,$S$6,IF($AB$2=$P$7,$S$7,IF($AB$2=$P$8,$S$8,IF($AB$2=$P$9,$S$9,IF($AB$2=$P$10,$S$10,IF($AB$2=$P$11,$S$11,IF($AB$2=$P$12,$S$12,IF($AB$2=$P$13,$S$13,IF($AB$2=$P$14,$S$14,IF($AB$2=$P$15,$S$15,IF($AB$2=$P$16,$S$16,IF($AB$2=$P$17,$S$17,IF($AB$2=$P$18,$S$18,IF($AB$2=$P$19,$S$19,0)))))))))))))))</f>
        <v>24</v>
      </c>
    </row>
    <row r="145" spans="1:4">
      <c r="A145" s="244" t="str">
        <f t="shared" si="11"/>
        <v>FB_DI_BUF_S.BUF.XVLX</v>
      </c>
      <c r="B145" s="245">
        <v>11150</v>
      </c>
      <c r="C145" s="245" t="s">
        <v>0</v>
      </c>
      <c r="D145" s="246" t="s">
        <v>178</v>
      </c>
    </row>
    <row r="146" spans="1:4">
      <c r="A146" s="244" t="str">
        <f t="shared" si="11"/>
        <v>FB_DI_BUF_S.BUF.XVLX</v>
      </c>
      <c r="B146" s="245">
        <v>11152</v>
      </c>
      <c r="C146" s="245" t="s">
        <v>0</v>
      </c>
      <c r="D146" s="247" t="str">
        <f>IF($AB$2=$P$5,$R$5,IF($AB$2=$P$6,$R$6,IF($AB$2=$P$7,$R$7,IF($AB$2=$P$8,$R$8,IF($AB$2=$P$9,$R$9,IF($AB$2=$P$10,$R$10,IF($AB$2=$P$11,$R$11,IF($AB$2=$P$12,$R$12,IF($AB$2=$P$13,$R$13,IF($AB$2=$P$14,$R$14,IF($AB$2=$P$15,$R$15,IF($AB$2=$P$16,$R$16,IF($AB$2=$P$17,$R$17,IF($AB$2=$P$18,$R$18,IF($AB$2=$P$19,$R$19,0)))))))))))))))</f>
        <v>Предупреждение</v>
      </c>
    </row>
    <row r="147" spans="1:4">
      <c r="A147" s="244" t="str">
        <f t="shared" si="11"/>
        <v>FB_DI_BUF_S.BUF.XVLX</v>
      </c>
      <c r="B147" s="245">
        <v>11000</v>
      </c>
      <c r="C147" s="245" t="s">
        <v>5</v>
      </c>
      <c r="D147" s="246">
        <v>2147483680</v>
      </c>
    </row>
    <row r="148" spans="1:4">
      <c r="A148" s="19" t="str">
        <f t="shared" si="11"/>
        <v>FB_DI_BUF_S.BUF.XVLX</v>
      </c>
      <c r="B148" s="11">
        <v>101</v>
      </c>
      <c r="C148" s="11" t="s">
        <v>0</v>
      </c>
      <c r="D148" s="20" t="s">
        <v>572</v>
      </c>
    </row>
    <row r="149" spans="1:4">
      <c r="A149" s="19" t="str">
        <f t="shared" si="11"/>
        <v>FB_DI_BUF_S.BUF.XVLX</v>
      </c>
      <c r="B149" s="11">
        <v>3</v>
      </c>
      <c r="C149" s="11" t="s">
        <v>1</v>
      </c>
      <c r="D149" s="20">
        <v>192</v>
      </c>
    </row>
    <row r="150" spans="1:4">
      <c r="A150" s="19" t="str">
        <f t="shared" si="11"/>
        <v>FB_DI_BUF_S.BUF.XVLX</v>
      </c>
      <c r="B150" s="11">
        <v>2</v>
      </c>
      <c r="C150" s="11" t="s">
        <v>2</v>
      </c>
      <c r="D150" s="20" t="s">
        <v>3</v>
      </c>
    </row>
    <row r="151" spans="1:4">
      <c r="A151" s="19" t="str">
        <f t="shared" si="11"/>
        <v>FB_DI_BUF_S.BUF.XVLX</v>
      </c>
      <c r="B151" s="11">
        <v>1</v>
      </c>
      <c r="C151" s="11" t="s">
        <v>1</v>
      </c>
      <c r="D151" s="20">
        <v>11</v>
      </c>
    </row>
    <row r="152" spans="1:4">
      <c r="A152" s="163" t="str">
        <f t="shared" ref="A152:A160" si="12">$R$2&amp;".BUF.DVXX"</f>
        <v>FB_DI_BUF_S.BUF.DVXX</v>
      </c>
      <c r="B152" s="123">
        <v>7050</v>
      </c>
      <c r="C152" s="123" t="s">
        <v>0</v>
      </c>
      <c r="D152" s="198" t="str">
        <f>"&lt;Addr AnswerSignalType=©0© Protocol=©IEC4Std© Type=©Protocol© ProtocolType=©30© Address=©XXX© ModuleNo=©" &amp; $T$9&amp; "© Role=©Master© Station=©" &amp; $T$11 &amp; "©  /&gt;"</f>
        <v>&lt;Addr AnswerSignalType=©0© Protocol=©IEC4Std© Type=©Protocol© ProtocolType=©30© Address=©XXX© ModuleNo=©1© Role=©Master© Station=©1©  /&gt;</v>
      </c>
    </row>
    <row r="153" spans="1:4">
      <c r="A153" s="110" t="str">
        <f t="shared" si="12"/>
        <v>FB_DI_BUF_S.BUF.DVXX</v>
      </c>
      <c r="B153" s="111">
        <v>11154</v>
      </c>
      <c r="C153" s="111" t="s">
        <v>4</v>
      </c>
      <c r="D153" s="653">
        <f>$S$9</f>
        <v>27</v>
      </c>
    </row>
    <row r="154" spans="1:4">
      <c r="A154" s="110" t="str">
        <f t="shared" si="12"/>
        <v>FB_DI_BUF_S.BUF.DVXX</v>
      </c>
      <c r="B154" s="111">
        <v>11150</v>
      </c>
      <c r="C154" s="111" t="s">
        <v>0</v>
      </c>
      <c r="D154" s="112" t="s">
        <v>513</v>
      </c>
    </row>
    <row r="155" spans="1:4">
      <c r="A155" s="110" t="str">
        <f t="shared" si="12"/>
        <v>FB_DI_BUF_S.BUF.DVXX</v>
      </c>
      <c r="B155" s="111">
        <v>11152</v>
      </c>
      <c r="C155" s="111" t="s">
        <v>0</v>
      </c>
      <c r="D155" s="113" t="str">
        <f>$R$9</f>
        <v>Недостоверность</v>
      </c>
    </row>
    <row r="156" spans="1:4">
      <c r="A156" s="110" t="str">
        <f t="shared" si="12"/>
        <v>FB_DI_BUF_S.BUF.DVXX</v>
      </c>
      <c r="B156" s="111">
        <v>11000</v>
      </c>
      <c r="C156" s="111" t="s">
        <v>5</v>
      </c>
      <c r="D156" s="112">
        <v>2147483680</v>
      </c>
    </row>
    <row r="157" spans="1:4">
      <c r="A157" s="19" t="str">
        <f t="shared" si="12"/>
        <v>FB_DI_BUF_S.BUF.DVXX</v>
      </c>
      <c r="B157" s="11">
        <v>101</v>
      </c>
      <c r="C157" s="11" t="s">
        <v>0</v>
      </c>
      <c r="D157" s="20" t="s">
        <v>83</v>
      </c>
    </row>
    <row r="158" spans="1:4">
      <c r="A158" s="19" t="str">
        <f t="shared" si="12"/>
        <v>FB_DI_BUF_S.BUF.DVXX</v>
      </c>
      <c r="B158" s="11">
        <v>3</v>
      </c>
      <c r="C158" s="11" t="s">
        <v>1</v>
      </c>
      <c r="D158" s="20">
        <v>192</v>
      </c>
    </row>
    <row r="159" spans="1:4">
      <c r="A159" s="19" t="str">
        <f t="shared" si="12"/>
        <v>FB_DI_BUF_S.BUF.DVXX</v>
      </c>
      <c r="B159" s="11">
        <v>2</v>
      </c>
      <c r="C159" s="11" t="s">
        <v>2</v>
      </c>
      <c r="D159" s="20" t="s">
        <v>3</v>
      </c>
    </row>
    <row r="160" spans="1:4">
      <c r="A160" s="19" t="str">
        <f t="shared" si="12"/>
        <v>FB_DI_BUF_S.BUF.DVXX</v>
      </c>
      <c r="B160" s="11">
        <v>1</v>
      </c>
      <c r="C160" s="11" t="s">
        <v>1</v>
      </c>
      <c r="D160" s="20">
        <v>11</v>
      </c>
    </row>
    <row r="161" spans="1:4">
      <c r="A161" s="69" t="str">
        <f t="shared" ref="A161:A169" si="13">$R$2&amp;".BUF.XDAX"</f>
        <v>FB_DI_BUF_S.BUF.XDAX</v>
      </c>
      <c r="B161" s="70">
        <v>7050</v>
      </c>
      <c r="C161" s="70" t="s">
        <v>0</v>
      </c>
      <c r="D161" s="71" t="str">
        <f>"&lt;Addr AnswerSignalType=©0© Protocol=©IEC4Std© Type=©Protocol© ProtocolType=©30© Address=©XXX© ModuleNo=©" &amp; $T$9&amp; "© Role=©Master© Station=©" &amp; $T$11 &amp; "©  /&gt;"</f>
        <v>&lt;Addr AnswerSignalType=©0© Protocol=©IEC4Std© Type=©Protocol© ProtocolType=©30© Address=©XXX© ModuleNo=©1© Role=©Master© Station=©1©  /&gt;</v>
      </c>
    </row>
    <row r="162" spans="1:4">
      <c r="A162" s="63" t="str">
        <f t="shared" si="13"/>
        <v>FB_DI_BUF_S.BUF.XDAX</v>
      </c>
      <c r="B162" s="64">
        <v>11154</v>
      </c>
      <c r="C162" s="64" t="s">
        <v>4</v>
      </c>
      <c r="D162" s="98">
        <f>$S$6</f>
        <v>24</v>
      </c>
    </row>
    <row r="163" spans="1:4">
      <c r="A163" s="63" t="str">
        <f t="shared" si="13"/>
        <v>FB_DI_BUF_S.BUF.XDAX</v>
      </c>
      <c r="B163" s="64">
        <v>11150</v>
      </c>
      <c r="C163" s="64" t="s">
        <v>0</v>
      </c>
      <c r="D163" s="65" t="s">
        <v>528</v>
      </c>
    </row>
    <row r="164" spans="1:4">
      <c r="A164" s="63" t="str">
        <f t="shared" si="13"/>
        <v>FB_DI_BUF_S.BUF.XDAX</v>
      </c>
      <c r="B164" s="64">
        <v>11152</v>
      </c>
      <c r="C164" s="64" t="s">
        <v>0</v>
      </c>
      <c r="D164" s="99" t="str">
        <f>$R$6</f>
        <v>Предупреждение</v>
      </c>
    </row>
    <row r="165" spans="1:4">
      <c r="A165" s="63" t="str">
        <f t="shared" si="13"/>
        <v>FB_DI_BUF_S.BUF.XDAX</v>
      </c>
      <c r="B165" s="64">
        <v>11000</v>
      </c>
      <c r="C165" s="64" t="s">
        <v>5</v>
      </c>
      <c r="D165" s="65">
        <v>2147483680</v>
      </c>
    </row>
    <row r="166" spans="1:4">
      <c r="A166" s="19" t="str">
        <f t="shared" si="13"/>
        <v>FB_DI_BUF_S.BUF.XDAX</v>
      </c>
      <c r="B166" s="11">
        <v>101</v>
      </c>
      <c r="C166" s="11" t="s">
        <v>0</v>
      </c>
      <c r="D166" s="20" t="s">
        <v>180</v>
      </c>
    </row>
    <row r="167" spans="1:4">
      <c r="A167" s="19" t="str">
        <f t="shared" si="13"/>
        <v>FB_DI_BUF_S.BUF.XDAX</v>
      </c>
      <c r="B167" s="11">
        <v>3</v>
      </c>
      <c r="C167" s="11" t="s">
        <v>1</v>
      </c>
      <c r="D167" s="20">
        <v>192</v>
      </c>
    </row>
    <row r="168" spans="1:4">
      <c r="A168" s="19" t="str">
        <f t="shared" si="13"/>
        <v>FB_DI_BUF_S.BUF.XDAX</v>
      </c>
      <c r="B168" s="11">
        <v>2</v>
      </c>
      <c r="C168" s="11" t="s">
        <v>2</v>
      </c>
      <c r="D168" s="20" t="s">
        <v>3</v>
      </c>
    </row>
    <row r="169" spans="1:4">
      <c r="A169" s="21" t="str">
        <f t="shared" si="13"/>
        <v>FB_DI_BUF_S.BUF.XDAX</v>
      </c>
      <c r="B169" s="8">
        <v>1</v>
      </c>
      <c r="C169" s="8" t="s">
        <v>1</v>
      </c>
      <c r="D169" s="22">
        <v>11</v>
      </c>
    </row>
    <row r="170" spans="1:4">
      <c r="A170" s="100" t="str">
        <f t="shared" ref="A170:A178" si="14">$R$2&amp;".BUF.BVLS"</f>
        <v>FB_DI_BUF_S.BUF.BVLS</v>
      </c>
      <c r="B170" s="101">
        <v>7050</v>
      </c>
      <c r="C170" s="101" t="s">
        <v>0</v>
      </c>
      <c r="D170" s="103" t="str">
        <f>"&lt;Addr AnswerSignalType=©0© Protocol=©IEC4Std© Type=©Protocol© ProtocolType=©30© Address=©XXX© ModuleNo=©" &amp; $T$9&amp; "© Role=©Master© Station=©" &amp; $T$11 &amp; "©  /&gt;"</f>
        <v>&lt;Addr AnswerSignalType=©0© Protocol=©IEC4Std© Type=©Protocol© ProtocolType=©30© Address=©XXX© ModuleNo=©1© Role=©Master© Station=©1©  /&gt;</v>
      </c>
    </row>
    <row r="171" spans="1:4">
      <c r="A171" s="100" t="str">
        <f t="shared" si="14"/>
        <v>FB_DI_BUF_S.BUF.BVLS</v>
      </c>
      <c r="B171" s="101">
        <v>11154</v>
      </c>
      <c r="C171" s="101" t="s">
        <v>4</v>
      </c>
      <c r="D171" s="102">
        <f>$S$8</f>
        <v>26</v>
      </c>
    </row>
    <row r="172" spans="1:4">
      <c r="A172" s="100" t="str">
        <f t="shared" si="14"/>
        <v>FB_DI_BUF_S.BUF.BVLS</v>
      </c>
      <c r="B172" s="101">
        <v>11150</v>
      </c>
      <c r="C172" s="101" t="s">
        <v>0</v>
      </c>
      <c r="D172" s="103" t="s">
        <v>531</v>
      </c>
    </row>
    <row r="173" spans="1:4">
      <c r="A173" s="100" t="str">
        <f t="shared" si="14"/>
        <v>FB_DI_BUF_S.BUF.BVLS</v>
      </c>
      <c r="B173" s="101">
        <v>11152</v>
      </c>
      <c r="C173" s="101" t="s">
        <v>0</v>
      </c>
      <c r="D173" s="104" t="str">
        <f>$R$8</f>
        <v>Телесигнализация</v>
      </c>
    </row>
    <row r="174" spans="1:4">
      <c r="A174" s="100" t="str">
        <f t="shared" si="14"/>
        <v>FB_DI_BUF_S.BUF.BVLS</v>
      </c>
      <c r="B174" s="101">
        <v>11000</v>
      </c>
      <c r="C174" s="101" t="s">
        <v>5</v>
      </c>
      <c r="D174" s="103">
        <v>2147483680</v>
      </c>
    </row>
    <row r="175" spans="1:4">
      <c r="A175" s="19" t="str">
        <f t="shared" si="14"/>
        <v>FB_DI_BUF_S.BUF.BVLS</v>
      </c>
      <c r="B175" s="11">
        <v>101</v>
      </c>
      <c r="C175" s="11" t="s">
        <v>0</v>
      </c>
      <c r="D175" s="20" t="s">
        <v>179</v>
      </c>
    </row>
    <row r="176" spans="1:4">
      <c r="A176" s="19" t="str">
        <f t="shared" si="14"/>
        <v>FB_DI_BUF_S.BUF.BVLS</v>
      </c>
      <c r="B176" s="11">
        <v>3</v>
      </c>
      <c r="C176" s="11" t="s">
        <v>1</v>
      </c>
      <c r="D176" s="20">
        <v>192</v>
      </c>
    </row>
    <row r="177" spans="1:4">
      <c r="A177" s="19" t="str">
        <f t="shared" si="14"/>
        <v>FB_DI_BUF_S.BUF.BVLS</v>
      </c>
      <c r="B177" s="11">
        <v>2</v>
      </c>
      <c r="C177" s="11" t="s">
        <v>2</v>
      </c>
      <c r="D177" s="20" t="s">
        <v>3</v>
      </c>
    </row>
    <row r="178" spans="1:4">
      <c r="A178" s="21" t="str">
        <f t="shared" si="14"/>
        <v>FB_DI_BUF_S.BUF.BVLS</v>
      </c>
      <c r="B178" s="8">
        <v>1</v>
      </c>
      <c r="C178" s="8" t="s">
        <v>1</v>
      </c>
      <c r="D178" s="22">
        <v>11</v>
      </c>
    </row>
  </sheetData>
  <phoneticPr fontId="78" type="noConversion"/>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Лист167">
    <tabColor rgb="FFFFC000"/>
  </sheetPr>
  <dimension ref="A1:BP48"/>
  <sheetViews>
    <sheetView topLeftCell="A13"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9.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57" t="s">
        <v>84</v>
      </c>
      <c r="C1" s="257"/>
      <c r="D1" s="257"/>
      <c r="E1" s="257"/>
      <c r="F1" s="257"/>
      <c r="P1" s="263"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1"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61"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61" t="str">
        <f>Таблица!AL1</f>
        <v>Для TREI
FB_IMstp_S, FB_IMs_S, FB_IMp_S, FB_IMv_S, FB_IM_ADES_S: Настройка перехода ручной-/автоматический-(TRUE/FALSE) 
FB_DI_S: Генерировать метки времени (TRUE/FALSE)</v>
      </c>
      <c r="AY1" s="261"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61" t="str">
        <f>Таблица!AN1</f>
        <v>Для TREI
FB_AI_S, FB_QSA_S: Верхний предел датчика
FB_IMp_S, FB_IMv_S, FB_IM_ADES_S, FB_OZK_KD_S: Время перестановки</v>
      </c>
      <c r="BA1" s="261"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t="s">
        <v>245</v>
      </c>
      <c r="Q2" s="2" t="s">
        <v>1814</v>
      </c>
      <c r="R2" s="2" t="s">
        <v>1803</v>
      </c>
      <c r="S2" s="3">
        <v>1</v>
      </c>
      <c r="T2" s="3" t="s">
        <v>1698</v>
      </c>
      <c r="U2" s="3"/>
      <c r="V2" s="3" t="s">
        <v>569</v>
      </c>
      <c r="W2" s="12"/>
      <c r="X2" s="12"/>
      <c r="Y2" s="12"/>
      <c r="Z2" s="12"/>
      <c r="AA2" s="12">
        <v>0</v>
      </c>
      <c r="AB2" s="2" t="s">
        <v>231</v>
      </c>
      <c r="AC2" s="2" t="s">
        <v>227</v>
      </c>
      <c r="AD2" s="2"/>
      <c r="AE2" s="2" t="s">
        <v>1414</v>
      </c>
      <c r="AF2" s="2"/>
      <c r="AG2" s="2"/>
      <c r="AH2" s="2"/>
      <c r="AI2" s="2"/>
      <c r="AJ2" s="2"/>
      <c r="AK2" s="2"/>
      <c r="AL2" s="2"/>
      <c r="AM2" s="2"/>
      <c r="AN2" s="2"/>
      <c r="AO2" s="2"/>
      <c r="AP2" s="2"/>
      <c r="AQ2" s="2"/>
      <c r="AR2" s="2"/>
      <c r="AS2" s="2"/>
      <c r="AT2" s="2"/>
      <c r="AU2" s="2"/>
      <c r="AV2" s="2"/>
      <c r="AW2" s="2"/>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AB3" s="10"/>
      <c r="AC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7" t="s">
        <v>1793</v>
      </c>
      <c r="T4" s="548" t="str">
        <f>Настройки!M11</f>
        <v>№ Модуля commands</v>
      </c>
      <c r="U4" s="10"/>
      <c r="V4" s="10"/>
      <c r="W4" s="10"/>
      <c r="X4" s="10"/>
      <c r="Y4" s="10"/>
      <c r="Z4" s="10"/>
      <c r="AA4" s="10"/>
      <c r="AB4" s="10"/>
      <c r="AC4" s="10"/>
      <c r="BM4" s="4"/>
      <c r="BN4" s="4"/>
      <c r="BO4" s="4"/>
      <c r="BP4" s="4"/>
    </row>
    <row r="5" spans="1:68" ht="15" customHeight="1">
      <c r="A5" s="9"/>
      <c r="B5" s="9"/>
      <c r="C5" s="9"/>
      <c r="D5" s="9"/>
      <c r="E5" s="9"/>
      <c r="F5" s="9"/>
      <c r="P5" s="6" t="str">
        <f>Настройки!A2</f>
        <v>Авария</v>
      </c>
      <c r="Q5" s="5">
        <f>Настройки!B2</f>
        <v>4</v>
      </c>
      <c r="R5" s="5" t="str">
        <f>Настройки!C2</f>
        <v>Авария</v>
      </c>
      <c r="S5" s="12">
        <v>23</v>
      </c>
      <c r="T5" s="458">
        <f>Настройки!M12</f>
        <v>1</v>
      </c>
      <c r="U5" s="10"/>
      <c r="V5" s="10"/>
      <c r="W5" s="10"/>
      <c r="X5" s="10"/>
      <c r="Y5" s="10"/>
      <c r="Z5" s="10"/>
      <c r="AA5" s="10"/>
      <c r="AB5" s="10"/>
      <c r="AC5" s="10"/>
      <c r="BM5" s="4"/>
      <c r="BN5" s="4"/>
      <c r="BO5" s="4"/>
      <c r="BP5" s="4"/>
    </row>
    <row r="6" spans="1:68" ht="15" customHeight="1">
      <c r="A6" s="9"/>
      <c r="B6" s="9"/>
      <c r="C6" s="9"/>
      <c r="D6" s="9"/>
      <c r="E6" s="9"/>
      <c r="F6" s="9"/>
      <c r="P6" s="6" t="str">
        <f>Настройки!A3</f>
        <v>Предупреждение</v>
      </c>
      <c r="Q6" s="5">
        <f>Настройки!B3</f>
        <v>8</v>
      </c>
      <c r="R6" s="5" t="str">
        <f>Настройки!C3</f>
        <v>Предупреждение</v>
      </c>
      <c r="S6" s="12">
        <v>24</v>
      </c>
      <c r="T6" s="608" t="str">
        <f>Настройки!M7</f>
        <v>Отображение Таблицы подлючений в диаг.</v>
      </c>
      <c r="U6" s="10"/>
      <c r="V6" s="10"/>
      <c r="W6" s="10"/>
      <c r="X6" s="10"/>
      <c r="Y6" s="10"/>
      <c r="Z6" s="10"/>
      <c r="AA6" s="10"/>
      <c r="AB6" s="10"/>
      <c r="AC6" s="10"/>
      <c r="BM6" s="4"/>
      <c r="BN6" s="4"/>
      <c r="BO6" s="4"/>
      <c r="BP6" s="4"/>
    </row>
    <row r="7" spans="1:68" ht="15" customHeight="1">
      <c r="A7" s="9"/>
      <c r="B7" s="9"/>
      <c r="C7" s="9"/>
      <c r="D7" s="9"/>
      <c r="E7" s="9"/>
      <c r="F7" s="9"/>
      <c r="P7" s="6" t="str">
        <f>Настройки!A4</f>
        <v>Неисправность</v>
      </c>
      <c r="Q7" s="5">
        <f>Настройки!B4</f>
        <v>12</v>
      </c>
      <c r="R7" s="5" t="str">
        <f>Настройки!C4</f>
        <v>Неисправность</v>
      </c>
      <c r="S7" s="12">
        <v>25</v>
      </c>
      <c r="T7" s="644" t="b">
        <f>Настройки!M8</f>
        <v>0</v>
      </c>
      <c r="U7" s="10"/>
      <c r="V7" s="10"/>
      <c r="W7" s="10"/>
      <c r="X7" s="10"/>
      <c r="Y7" s="10"/>
      <c r="Z7" s="10"/>
      <c r="AA7" s="10"/>
      <c r="AB7" s="10"/>
      <c r="AC7" s="10"/>
      <c r="BM7" s="4"/>
      <c r="BN7" s="4"/>
      <c r="BO7" s="4"/>
      <c r="BP7" s="4"/>
    </row>
    <row r="8" spans="1:68" ht="15" customHeight="1">
      <c r="A8" s="9"/>
      <c r="B8" s="9"/>
      <c r="C8" s="9"/>
      <c r="D8" s="9"/>
      <c r="E8" s="9"/>
      <c r="F8" s="9"/>
      <c r="P8" s="6" t="str">
        <f>Настройки!A5</f>
        <v>Телесигнализация</v>
      </c>
      <c r="Q8" s="5">
        <f>Настройки!B5</f>
        <v>18</v>
      </c>
      <c r="R8" s="5" t="str">
        <f>Настройки!C5</f>
        <v>Телесигнализация</v>
      </c>
      <c r="S8" s="12">
        <v>26</v>
      </c>
      <c r="T8" s="548" t="str">
        <f>Настройки!M13</f>
        <v>Номер модуля IEC 4</v>
      </c>
      <c r="U8" s="10"/>
      <c r="V8" s="10"/>
      <c r="W8" s="10"/>
      <c r="X8" s="10"/>
      <c r="Y8" s="10"/>
      <c r="Z8" s="10"/>
      <c r="AA8" s="10"/>
      <c r="AB8" s="10"/>
      <c r="AC8" s="10"/>
      <c r="BM8" s="4"/>
      <c r="BN8" s="4"/>
      <c r="BO8" s="4"/>
      <c r="BP8" s="4"/>
    </row>
    <row r="9" spans="1:68" ht="15" customHeight="1">
      <c r="A9" s="9"/>
      <c r="B9" s="9"/>
      <c r="C9" s="9"/>
      <c r="D9" s="9"/>
      <c r="E9" s="9"/>
      <c r="F9" s="9"/>
      <c r="P9" s="6" t="str">
        <f>Настройки!A6</f>
        <v>Недостоверность</v>
      </c>
      <c r="Q9" s="5">
        <f>Настройки!B6</f>
        <v>10</v>
      </c>
      <c r="R9" s="5" t="str">
        <f>Настройки!C6</f>
        <v>Недостоверность</v>
      </c>
      <c r="S9" s="12">
        <v>27</v>
      </c>
      <c r="T9" s="456">
        <f>Настройки!M14</f>
        <v>1</v>
      </c>
      <c r="U9" s="10"/>
      <c r="V9" s="10"/>
      <c r="W9" s="10"/>
      <c r="X9" s="10"/>
      <c r="Y9" s="10"/>
      <c r="Z9" s="10"/>
      <c r="AA9" s="10"/>
      <c r="AB9" s="10"/>
      <c r="AC9" s="10"/>
      <c r="BM9" s="4"/>
      <c r="BN9" s="4"/>
      <c r="BO9" s="4"/>
      <c r="BP9" s="4"/>
    </row>
    <row r="10" spans="1:68" ht="15" customHeight="1">
      <c r="A10" s="9"/>
      <c r="B10" s="9"/>
      <c r="C10" s="9"/>
      <c r="D10" s="9"/>
      <c r="E10" s="9"/>
      <c r="F10" s="9"/>
      <c r="P10" s="6" t="str">
        <f>Настройки!A7</f>
        <v>Имитация</v>
      </c>
      <c r="Q10" s="5">
        <f>Настройки!B7</f>
        <v>16</v>
      </c>
      <c r="R10" s="5" t="str">
        <f>Настройки!C7</f>
        <v>Имитация</v>
      </c>
      <c r="S10" s="12"/>
      <c r="T10" s="548" t="str">
        <f>Настройки!M15</f>
        <v>Номер КП модуля IEC 4</v>
      </c>
      <c r="U10" s="10"/>
      <c r="V10" s="10"/>
      <c r="W10" s="10"/>
      <c r="X10" s="10"/>
      <c r="Y10" s="10"/>
      <c r="Z10" s="10"/>
      <c r="AA10" s="10"/>
      <c r="AB10" s="10"/>
      <c r="AC10" s="10"/>
      <c r="BM10" s="4"/>
      <c r="BN10" s="4"/>
      <c r="BO10" s="4"/>
      <c r="BP10" s="4"/>
    </row>
    <row r="11" spans="1:68" ht="15" customHeight="1">
      <c r="A11" s="9"/>
      <c r="B11" s="9"/>
      <c r="C11" s="9"/>
      <c r="D11" s="9"/>
      <c r="E11" s="9"/>
      <c r="F11" s="9"/>
      <c r="P11" s="6" t="str">
        <f>Настройки!A8</f>
        <v>Ремонт</v>
      </c>
      <c r="Q11" s="5">
        <f>Настройки!B8</f>
        <v>14</v>
      </c>
      <c r="R11" s="5" t="str">
        <f>Настройки!C8</f>
        <v>Ремонт</v>
      </c>
      <c r="S11" s="12">
        <v>29</v>
      </c>
      <c r="T11" s="656">
        <f>Настройки!M16</f>
        <v>1</v>
      </c>
      <c r="U11" s="10"/>
      <c r="V11" s="10"/>
      <c r="W11" s="10"/>
      <c r="X11" s="10"/>
      <c r="Y11" s="10"/>
      <c r="Z11" s="10"/>
      <c r="AA11" s="10"/>
      <c r="AB11" s="10"/>
      <c r="AC11" s="10"/>
      <c r="BM11" s="4"/>
      <c r="BN11" s="4"/>
      <c r="BO11" s="4"/>
      <c r="BP11" s="4"/>
    </row>
    <row r="12" spans="1:68"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2"/>
      <c r="T12" s="10"/>
      <c r="U12" s="10"/>
      <c r="V12" s="10"/>
      <c r="W12" s="10"/>
      <c r="X12" s="10"/>
      <c r="Y12" s="10"/>
      <c r="Z12" s="10"/>
      <c r="AA12" s="10"/>
      <c r="AB12" s="10"/>
      <c r="AC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2"/>
      <c r="T13" s="10"/>
      <c r="U13" s="10"/>
      <c r="V13" s="10"/>
      <c r="W13" s="10"/>
      <c r="X13" s="10"/>
      <c r="Y13" s="10"/>
      <c r="Z13" s="10"/>
      <c r="AA13" s="10"/>
      <c r="AB13" s="10"/>
      <c r="AC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2"/>
      <c r="T14" s="10"/>
      <c r="U14" s="10"/>
      <c r="V14" s="10"/>
      <c r="W14" s="10"/>
      <c r="X14" s="10"/>
      <c r="Y14" s="10"/>
      <c r="Z14" s="10"/>
      <c r="AA14" s="10"/>
      <c r="AB14" s="10"/>
      <c r="AC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2"/>
      <c r="T15" s="10"/>
      <c r="U15" s="10"/>
      <c r="V15" s="10"/>
      <c r="W15" s="10"/>
      <c r="X15" s="10"/>
      <c r="Y15" s="10"/>
      <c r="Z15" s="10"/>
      <c r="AA15" s="10"/>
      <c r="AB15" s="10"/>
      <c r="AC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2"/>
      <c r="T16" s="10"/>
      <c r="U16" s="10"/>
      <c r="V16" s="10"/>
      <c r="W16" s="10"/>
      <c r="X16" s="10"/>
      <c r="Y16" s="10"/>
      <c r="Z16" s="10"/>
      <c r="AA16" s="10"/>
      <c r="AB16" s="10"/>
      <c r="AC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2"/>
      <c r="T17" s="10"/>
      <c r="U17" s="10"/>
      <c r="V17" s="10"/>
      <c r="W17" s="10"/>
      <c r="X17" s="10"/>
      <c r="Y17" s="10"/>
      <c r="Z17" s="10"/>
      <c r="AA17" s="10"/>
      <c r="AB17" s="10"/>
      <c r="AC17" s="10"/>
      <c r="BM17" s="4"/>
      <c r="BN17" s="4"/>
      <c r="BO17" s="4"/>
      <c r="BP17" s="4"/>
    </row>
    <row r="18" spans="1:68" ht="15" customHeight="1">
      <c r="A18" s="9"/>
      <c r="B18" s="9"/>
      <c r="C18" s="9"/>
      <c r="D18" s="9"/>
      <c r="E18" s="9"/>
      <c r="F18" s="9"/>
      <c r="P18" s="6" t="str">
        <f>Настройки!A15</f>
        <v>Отключение</v>
      </c>
      <c r="Q18" s="5">
        <f>Настройки!B15</f>
        <v>13</v>
      </c>
      <c r="R18" s="5" t="str">
        <f>Настройки!C15</f>
        <v>Отключение</v>
      </c>
      <c r="S18" s="12"/>
      <c r="T18" s="10"/>
      <c r="U18" s="10"/>
      <c r="V18" s="10"/>
      <c r="W18" s="10"/>
      <c r="X18" s="10"/>
      <c r="Y18" s="10"/>
      <c r="Z18" s="10"/>
      <c r="AA18" s="10"/>
      <c r="AB18" s="10"/>
      <c r="AC18" s="10"/>
      <c r="BM18" s="4"/>
      <c r="BN18" s="4"/>
      <c r="BO18" s="4"/>
      <c r="BP18" s="4"/>
    </row>
    <row r="19" spans="1:68" ht="15" customHeight="1">
      <c r="A19" s="9"/>
      <c r="B19" s="9"/>
      <c r="C19" s="9"/>
      <c r="D19" s="9"/>
      <c r="E19" s="9"/>
      <c r="F19" s="9"/>
      <c r="P19" s="6" t="str">
        <f>Настройки!A16</f>
        <v>Информация</v>
      </c>
      <c r="Q19" s="5">
        <f>Настройки!B16</f>
        <v>22</v>
      </c>
      <c r="R19" s="5" t="str">
        <f>Настройки!C16</f>
        <v>Информация</v>
      </c>
      <c r="S19" s="12"/>
      <c r="T19" s="10"/>
      <c r="U19" s="10"/>
      <c r="V19" s="10"/>
      <c r="W19" s="10"/>
      <c r="X19" s="10"/>
      <c r="Y19" s="10"/>
      <c r="Z19" s="10"/>
      <c r="AA19" s="10"/>
      <c r="AB19" s="10"/>
      <c r="AC19" s="10"/>
      <c r="BM19" s="4"/>
      <c r="BN19" s="4"/>
      <c r="BO19" s="4"/>
      <c r="BP19" s="4"/>
    </row>
    <row r="20" spans="1:68" ht="15" customHeight="1">
      <c r="A20" s="19" t="str">
        <f t="shared" ref="A20:A37" si="0">$R$2</f>
        <v>DI_BUF</v>
      </c>
      <c r="B20" s="11">
        <v>11156</v>
      </c>
      <c r="C20" s="11" t="s">
        <v>0</v>
      </c>
      <c r="D20" s="20" t="str">
        <f>$V$2</f>
        <v>Тестовый экран</v>
      </c>
      <c r="E20" s="4"/>
      <c r="F20" s="4"/>
      <c r="BM20" s="4"/>
      <c r="BN20" s="4"/>
      <c r="BO20" s="4"/>
      <c r="BP20" s="4"/>
    </row>
    <row r="21" spans="1:68" ht="15" customHeight="1">
      <c r="A21" s="19" t="str">
        <f t="shared" si="0"/>
        <v>DI_BUF</v>
      </c>
      <c r="B21" s="11">
        <v>100</v>
      </c>
      <c r="C21" s="11" t="s">
        <v>0</v>
      </c>
      <c r="D21" s="20" t="b">
        <f>$T$7</f>
        <v>0</v>
      </c>
      <c r="BF21" s="4"/>
      <c r="BG21" s="4"/>
      <c r="BH21" s="4"/>
      <c r="BI21" s="4"/>
    </row>
    <row r="22" spans="1:68" ht="15" customHeight="1">
      <c r="A22" s="21" t="str">
        <f t="shared" si="0"/>
        <v>DI_BUF</v>
      </c>
      <c r="B22" s="8">
        <v>11120</v>
      </c>
      <c r="C22" s="8" t="s">
        <v>0</v>
      </c>
      <c r="D22" s="22" t="str">
        <f>$AC$2</f>
        <v>Зеленый</v>
      </c>
      <c r="BM22" s="4"/>
      <c r="BN22" s="4"/>
      <c r="BO22" s="4"/>
      <c r="BP22" s="4"/>
    </row>
    <row r="23" spans="1:68">
      <c r="A23" s="16" t="str">
        <f t="shared" si="0"/>
        <v>DI_BUF</v>
      </c>
      <c r="B23" s="17">
        <v>13</v>
      </c>
      <c r="C23" s="17" t="s">
        <v>2</v>
      </c>
      <c r="D23" s="18" t="s">
        <v>3</v>
      </c>
    </row>
    <row r="24" spans="1:68" ht="15" customHeight="1">
      <c r="A24" s="19" t="str">
        <f t="shared" si="0"/>
        <v>DI_BUF</v>
      </c>
      <c r="B24" s="11">
        <v>3000013</v>
      </c>
      <c r="C24" s="11" t="s">
        <v>0</v>
      </c>
      <c r="D24" s="20" t="str">
        <f>$AE$2</f>
        <v>Диагностика.CPU.NOT_LINK.noLink</v>
      </c>
      <c r="BF24" s="4"/>
      <c r="BG24" s="4"/>
      <c r="BH24" s="4"/>
      <c r="BI24" s="4"/>
    </row>
    <row r="25" spans="1:68" ht="15" customHeight="1">
      <c r="A25" s="19" t="str">
        <f t="shared" si="0"/>
        <v>DI_BUF</v>
      </c>
      <c r="B25" s="11">
        <v>4000013</v>
      </c>
      <c r="C25" s="11" t="s">
        <v>0</v>
      </c>
      <c r="D25" s="20" t="s">
        <v>1773</v>
      </c>
      <c r="BF25" s="4"/>
      <c r="BG25" s="4"/>
      <c r="BH25" s="4"/>
      <c r="BI25" s="4"/>
    </row>
    <row r="26" spans="1:68" ht="15" customHeight="1">
      <c r="A26" s="21" t="str">
        <f t="shared" si="0"/>
        <v>DI_BUF</v>
      </c>
      <c r="B26" s="8">
        <v>7000013</v>
      </c>
      <c r="C26" s="8" t="s">
        <v>6</v>
      </c>
      <c r="D26" s="22">
        <v>2</v>
      </c>
      <c r="BF26" s="4"/>
      <c r="BG26" s="4"/>
      <c r="BH26" s="4"/>
      <c r="BI26" s="4"/>
    </row>
    <row r="27" spans="1:68" ht="15" customHeight="1">
      <c r="A27" s="241" t="str">
        <f t="shared" si="0"/>
        <v>DI_BUF</v>
      </c>
      <c r="B27" s="242">
        <v>11154</v>
      </c>
      <c r="C27" s="242" t="s">
        <v>4</v>
      </c>
      <c r="D27" s="243">
        <f>IF($AB$2=$P$5,$Q$5,IF($AB$2=$P$6,$Q$6,IF($AB$2=$P$7,$Q$7,IF($AB$2=$P$8,$Q$8,IF($AB$2=$P$9,$Q$9,IF($AB$2=$P$10,$Q$10,IF($AB$2=$P$11,$Q$11,IF($AB$2=$P$12,$Q$12,IF($AB$2=$P$13,$Q$13,IF($AB$2=$P$14,$Q$14,IF($AB$2=$P$15,$Q$15,IF($AB$2=$P$16,$Q$16,IF($AB$2=$P$17,$Q$17,IF($AB$2=$P$18,$Q$18,IF($AB$2=$P$19,$Q$19,0)))))))))))))))</f>
        <v>18</v>
      </c>
      <c r="BM27" s="4"/>
      <c r="BN27" s="4"/>
      <c r="BO27" s="4"/>
      <c r="BP27" s="4"/>
    </row>
    <row r="28" spans="1:68" ht="15" customHeight="1">
      <c r="A28" s="244" t="str">
        <f t="shared" si="0"/>
        <v>DI_BUF</v>
      </c>
      <c r="B28" s="245">
        <v>11150</v>
      </c>
      <c r="C28" s="245" t="s">
        <v>0</v>
      </c>
      <c r="D28" s="246" t="str">
        <f>$Q$2</f>
        <v>Дискретный вход (только один сигнал) с буферизацией</v>
      </c>
      <c r="BM28" s="4"/>
      <c r="BN28" s="4"/>
      <c r="BO28" s="4"/>
      <c r="BP28" s="4"/>
    </row>
    <row r="29" spans="1:68" ht="15" customHeight="1">
      <c r="A29" s="244" t="str">
        <f t="shared" si="0"/>
        <v>DI_BUF</v>
      </c>
      <c r="B29" s="245">
        <v>11152</v>
      </c>
      <c r="C29" s="245" t="s">
        <v>0</v>
      </c>
      <c r="D29" s="247" t="str">
        <f>IF($AB$2=$P$5,$R$5,IF($AB$2=$P$6,$R$6,IF($AB$2=$P$7,$R$7,IF($AB$2=$P$8,$R$8,IF($AB$2=$P$9,$R$9,IF($AB$2=$P$10,$R$10,IF($AB$2=$P$11,$R$11,IF($AB$2=$P$12,$R$12,IF($AB$2=$P$13,$R$13,IF($AB$2=$P$14,$R$14,IF($AB$2=$P$15,$R$15,IF($AB$2=$P$16,$R$16,IF($AB$2=$P$17,$R$17,IF($AB$2=$P$18,$R$18,IF($AB$2=$P$19,$R$19,0)))))))))))))))</f>
        <v>Телесигнализация</v>
      </c>
      <c r="BM29" s="4"/>
      <c r="BN29" s="4"/>
      <c r="BO29" s="4"/>
      <c r="BP29" s="4"/>
    </row>
    <row r="30" spans="1:68" ht="15" customHeight="1">
      <c r="A30" s="244" t="str">
        <f t="shared" si="0"/>
        <v>DI_BUF</v>
      </c>
      <c r="B30" s="245">
        <v>11000</v>
      </c>
      <c r="C30" s="245" t="s">
        <v>5</v>
      </c>
      <c r="D30" s="246">
        <v>2147483680</v>
      </c>
      <c r="BM30" s="4"/>
      <c r="BN30" s="4"/>
      <c r="BO30" s="4"/>
      <c r="BP30" s="4"/>
    </row>
    <row r="31" spans="1:68" ht="15" customHeight="1">
      <c r="A31" s="19" t="str">
        <f t="shared" si="0"/>
        <v>DI_BUF</v>
      </c>
      <c r="B31" s="11">
        <v>7999</v>
      </c>
      <c r="C31" s="11" t="s">
        <v>0</v>
      </c>
      <c r="D31" s="20" t="str">
        <f>"#"&amp;$S$2&amp;"#"&amp;$T$2&amp;"\"&amp;$P$2</f>
        <v>#1#treiOPCDA.CoOPCserv.1\pcmaster\KTP_SEC1_NOT_U</v>
      </c>
      <c r="BM31" s="4"/>
      <c r="BN31" s="4"/>
      <c r="BO31" s="4"/>
      <c r="BP31" s="4"/>
    </row>
    <row r="32" spans="1:68" ht="15" customHeight="1">
      <c r="A32" s="19" t="str">
        <f t="shared" si="0"/>
        <v>DI_BUF</v>
      </c>
      <c r="B32" s="11">
        <v>7998</v>
      </c>
      <c r="C32" s="11" t="s">
        <v>6</v>
      </c>
      <c r="D32" s="20">
        <v>1</v>
      </c>
      <c r="BM32" s="4"/>
      <c r="BN32" s="4"/>
      <c r="BO32" s="4"/>
      <c r="BP32" s="4"/>
    </row>
    <row r="33" spans="1:68" ht="15" customHeight="1">
      <c r="A33" s="19" t="str">
        <f t="shared" si="0"/>
        <v>DI_BUF</v>
      </c>
      <c r="B33" s="11">
        <v>101</v>
      </c>
      <c r="C33" s="11" t="s">
        <v>0</v>
      </c>
      <c r="D33" s="20" t="str">
        <f>$Q$2</f>
        <v>Дискретный вход (только один сигнал) с буферизацией</v>
      </c>
      <c r="BM33" s="4"/>
      <c r="BN33" s="4"/>
      <c r="BO33" s="4"/>
      <c r="BP33" s="4"/>
    </row>
    <row r="34" spans="1:68" ht="15" customHeight="1">
      <c r="A34" s="19" t="str">
        <f t="shared" si="0"/>
        <v>DI_BUF</v>
      </c>
      <c r="B34" s="11">
        <v>3</v>
      </c>
      <c r="C34" s="11" t="s">
        <v>1</v>
      </c>
      <c r="D34" s="20">
        <v>192</v>
      </c>
      <c r="BM34" s="4"/>
      <c r="BN34" s="4"/>
      <c r="BO34" s="4"/>
      <c r="BP34" s="4"/>
    </row>
    <row r="35" spans="1:68" ht="15" customHeight="1">
      <c r="A35" s="19" t="str">
        <f t="shared" si="0"/>
        <v>DI_BUF</v>
      </c>
      <c r="B35" s="11">
        <v>2</v>
      </c>
      <c r="C35" s="11" t="s">
        <v>2</v>
      </c>
      <c r="D35" s="20" t="s">
        <v>3</v>
      </c>
      <c r="BM35" s="4"/>
      <c r="BN35" s="4"/>
      <c r="BO35" s="4"/>
      <c r="BP35" s="4"/>
    </row>
    <row r="36" spans="1:68" ht="15" customHeight="1">
      <c r="A36" s="19" t="str">
        <f t="shared" si="0"/>
        <v>DI_BUF</v>
      </c>
      <c r="B36" s="11">
        <v>1</v>
      </c>
      <c r="C36" s="11" t="s">
        <v>1</v>
      </c>
      <c r="D36" s="20">
        <v>11</v>
      </c>
      <c r="BM36" s="4"/>
      <c r="BN36" s="4"/>
      <c r="BO36" s="4"/>
      <c r="BP36" s="4"/>
    </row>
    <row r="37" spans="1:68">
      <c r="A37" s="21" t="str">
        <f t="shared" si="0"/>
        <v>DI_BUF</v>
      </c>
      <c r="B37" s="27">
        <v>7200</v>
      </c>
      <c r="C37" s="27" t="s">
        <v>2</v>
      </c>
      <c r="D37" s="248" t="str">
        <f>IF($AA$2=1,"True","False")</f>
        <v>False</v>
      </c>
    </row>
    <row r="38" spans="1:68" ht="15" customHeight="1">
      <c r="A38" s="16" t="str">
        <f>$R$2&amp;".BUF"</f>
        <v>DI_BUF.BUF</v>
      </c>
      <c r="B38" s="17">
        <v>11001</v>
      </c>
      <c r="C38" s="17" t="s">
        <v>0</v>
      </c>
      <c r="D38" s="18" t="str">
        <f>$Q$2</f>
        <v>Дискретный вход (только один сигнал) с буферизацией</v>
      </c>
      <c r="E38" s="4"/>
      <c r="F38" s="4"/>
      <c r="BM38" s="4"/>
      <c r="BN38" s="4"/>
      <c r="BO38" s="4"/>
      <c r="BP38" s="4"/>
    </row>
    <row r="39" spans="1:68">
      <c r="A39" s="244" t="str">
        <f t="shared" ref="A39:A48" si="1">$R$2&amp;".BUF"</f>
        <v>DI_BUF.BUF</v>
      </c>
      <c r="B39" s="245">
        <v>11154</v>
      </c>
      <c r="C39" s="245" t="s">
        <v>4</v>
      </c>
      <c r="D39" s="655">
        <f>IF($AB$2=$P$5,$S$5,IF($AB$2=$P$6,$S$6,IF($AB$2=$P$7,$S$7,IF($AB$2=$P$8,$S$8,IF($AB$2=$P$9,$S$9,IF($AB$2=$P$10,$S$10,IF($AB$2=$P$11,$S$11,IF($AB$2=$P$12,$S$12,IF($AB$2=$P$13,$S$13,IF($AB$2=$P$14,$S$14,IF($AB$2=$P$15,$S$15,IF($AB$2=$P$16,$S$16,IF($AB$2=$P$17,$S$17,IF($AB$2=$P$18,$S$18,IF($AB$2=$P$19,$S$19,0)))))))))))))))</f>
        <v>26</v>
      </c>
    </row>
    <row r="40" spans="1:68">
      <c r="A40" s="244" t="str">
        <f t="shared" si="1"/>
        <v>DI_BUF.BUF</v>
      </c>
      <c r="B40" s="245">
        <v>11150</v>
      </c>
      <c r="C40" s="245" t="s">
        <v>0</v>
      </c>
      <c r="D40" s="246" t="str">
        <f>$Q$2</f>
        <v>Дискретный вход (только один сигнал) с буферизацией</v>
      </c>
    </row>
    <row r="41" spans="1:68">
      <c r="A41" s="244" t="str">
        <f t="shared" si="1"/>
        <v>DI_BUF.BUF</v>
      </c>
      <c r="B41" s="245">
        <v>11152</v>
      </c>
      <c r="C41" s="245" t="s">
        <v>0</v>
      </c>
      <c r="D41" s="247" t="str">
        <f>IF($AB$2=$P$5,$R$5,IF($AB$2=$P$6,$R$6,IF($AB$2=$P$7,$R$7,IF($AB$2=$P$8,$R$8,IF($AB$2=$P$9,$R$9,IF($AB$2=$P$10,$R$10,IF($AB$2=$P$11,$R$11,IF($AB$2=$P$12,$R$12,IF($AB$2=$P$13,$R$13,IF($AB$2=$P$14,$R$14,IF($AB$2=$P$15,$R$15,IF($AB$2=$P$16,$R$16,IF($AB$2=$P$17,$R$17,IF($AB$2=$P$18,$R$18,IF($AB$2=$P$19,$R$19,0)))))))))))))))</f>
        <v>Телесигнализация</v>
      </c>
    </row>
    <row r="42" spans="1:68">
      <c r="A42" s="244" t="str">
        <f t="shared" si="1"/>
        <v>DI_BUF.BUF</v>
      </c>
      <c r="B42" s="245">
        <v>11000</v>
      </c>
      <c r="C42" s="245" t="s">
        <v>5</v>
      </c>
      <c r="D42" s="246">
        <v>2147483680</v>
      </c>
    </row>
    <row r="43" spans="1:68">
      <c r="A43" s="19" t="str">
        <f t="shared" si="1"/>
        <v>DI_BUF.BUF</v>
      </c>
      <c r="B43" s="11">
        <v>101</v>
      </c>
      <c r="C43" s="11" t="s">
        <v>0</v>
      </c>
      <c r="D43" s="20" t="str">
        <f>$Q$2</f>
        <v>Дискретный вход (только один сигнал) с буферизацией</v>
      </c>
    </row>
    <row r="44" spans="1:68">
      <c r="A44" s="19" t="str">
        <f t="shared" si="1"/>
        <v>DI_BUF.BUF</v>
      </c>
      <c r="B44" s="11">
        <v>7050</v>
      </c>
      <c r="C44" s="11" t="s">
        <v>0</v>
      </c>
      <c r="D44" s="20" t="str">
        <f>"&lt;Addr AnswerSignalType=©0© Protocol=©IEC4Std© Type=©Protocol© ProtocolType=©30© Address=©XXX© ModuleNo=©" &amp; $T$9&amp; "© Role=©Master© Station=©" &amp; $T$11 &amp; "©  /&gt;"</f>
        <v>&lt;Addr AnswerSignalType=©0© Protocol=©IEC4Std© Type=©Protocol© ProtocolType=©30© Address=©XXX© ModuleNo=©1© Role=©Master© Station=©1©  /&gt;</v>
      </c>
    </row>
    <row r="45" spans="1:68">
      <c r="A45" s="19" t="str">
        <f t="shared" si="1"/>
        <v>DI_BUF.BUF</v>
      </c>
      <c r="B45" s="11">
        <v>3</v>
      </c>
      <c r="C45" s="11" t="s">
        <v>1</v>
      </c>
      <c r="D45" s="20">
        <v>192</v>
      </c>
    </row>
    <row r="46" spans="1:68">
      <c r="A46" s="19" t="str">
        <f t="shared" si="1"/>
        <v>DI_BUF.BUF</v>
      </c>
      <c r="B46" s="11">
        <v>2</v>
      </c>
      <c r="C46" s="11" t="s">
        <v>2</v>
      </c>
      <c r="D46" s="20" t="s">
        <v>3</v>
      </c>
    </row>
    <row r="47" spans="1:68">
      <c r="A47" s="19" t="str">
        <f t="shared" si="1"/>
        <v>DI_BUF.BUF</v>
      </c>
      <c r="B47" s="11">
        <v>1</v>
      </c>
      <c r="C47" s="11" t="s">
        <v>1</v>
      </c>
      <c r="D47" s="20">
        <v>11</v>
      </c>
    </row>
    <row r="48" spans="1:68">
      <c r="A48" s="21" t="str">
        <f t="shared" si="1"/>
        <v>DI_BUF.BUF</v>
      </c>
      <c r="B48" s="27">
        <v>7200</v>
      </c>
      <c r="C48" s="27" t="s">
        <v>2</v>
      </c>
      <c r="D48" s="248" t="str">
        <f>IF($AA$2=1,"True","False")</f>
        <v>False</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Лист168">
    <tabColor rgb="FFFFC000"/>
  </sheetPr>
  <dimension ref="A1:BP69"/>
  <sheetViews>
    <sheetView topLeftCell="A13"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22.664062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57"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t="s">
        <v>435</v>
      </c>
      <c r="Q2" s="2" t="s">
        <v>1815</v>
      </c>
      <c r="R2" s="2" t="s">
        <v>1805</v>
      </c>
      <c r="S2" s="3">
        <v>1</v>
      </c>
      <c r="T2" s="3" t="s">
        <v>1698</v>
      </c>
      <c r="U2" s="3"/>
      <c r="V2" s="3" t="s">
        <v>569</v>
      </c>
      <c r="W2" s="12"/>
      <c r="X2" s="12"/>
      <c r="Y2" s="12"/>
      <c r="Z2" s="12"/>
      <c r="AA2" s="12">
        <v>0</v>
      </c>
      <c r="AB2" s="2" t="s">
        <v>230</v>
      </c>
      <c r="AC2" s="2" t="s">
        <v>226</v>
      </c>
      <c r="AD2" s="2"/>
      <c r="AE2" s="2" t="s">
        <v>1414</v>
      </c>
      <c r="AF2" s="2"/>
      <c r="AG2" s="2"/>
      <c r="AH2" s="2"/>
      <c r="AI2" s="2"/>
      <c r="AJ2" s="2"/>
      <c r="AK2" s="2" t="s">
        <v>1296</v>
      </c>
      <c r="AL2" s="2"/>
      <c r="AM2" s="2"/>
      <c r="AN2" s="2"/>
      <c r="AO2" s="2"/>
      <c r="AP2" s="2"/>
      <c r="AQ2" s="2"/>
      <c r="AR2" s="2"/>
      <c r="AS2" s="2"/>
      <c r="AT2" s="2"/>
      <c r="AU2" s="2"/>
      <c r="AV2" s="2"/>
      <c r="AW2" s="2"/>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AB3" s="10"/>
      <c r="AC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7" t="s">
        <v>1793</v>
      </c>
      <c r="T4" s="548" t="str">
        <f>Настройки!M11</f>
        <v>№ Модуля commands</v>
      </c>
      <c r="U4" s="10"/>
      <c r="V4" s="10"/>
      <c r="W4" s="10"/>
      <c r="X4" s="10"/>
      <c r="Y4" s="10"/>
      <c r="Z4" s="10"/>
      <c r="AA4" s="10"/>
      <c r="AB4" s="10"/>
      <c r="AC4" s="10"/>
      <c r="BM4" s="4"/>
      <c r="BN4" s="4"/>
      <c r="BO4" s="4"/>
      <c r="BP4" s="4"/>
    </row>
    <row r="5" spans="1:68" ht="15" customHeight="1">
      <c r="A5" s="9"/>
      <c r="B5" s="9"/>
      <c r="C5" s="9"/>
      <c r="D5" s="9"/>
      <c r="E5" s="9"/>
      <c r="F5" s="9"/>
      <c r="P5" s="6" t="str">
        <f>Настройки!A2</f>
        <v>Авария</v>
      </c>
      <c r="Q5" s="5">
        <f>Настройки!B2</f>
        <v>4</v>
      </c>
      <c r="R5" s="5" t="str">
        <f>Настройки!C2</f>
        <v>Авария</v>
      </c>
      <c r="S5" s="12">
        <v>23</v>
      </c>
      <c r="T5" s="458">
        <f>Настройки!M12</f>
        <v>1</v>
      </c>
      <c r="U5" s="10"/>
      <c r="V5" s="10"/>
      <c r="W5" s="10"/>
      <c r="X5" s="10"/>
      <c r="Y5" s="10"/>
      <c r="Z5" s="10"/>
      <c r="AA5" s="10"/>
      <c r="AB5" s="10"/>
      <c r="AC5" s="10"/>
      <c r="BM5" s="4"/>
      <c r="BN5" s="4"/>
      <c r="BO5" s="4"/>
      <c r="BP5" s="4"/>
    </row>
    <row r="6" spans="1:68" ht="15" customHeight="1">
      <c r="A6" s="9"/>
      <c r="B6" s="9"/>
      <c r="C6" s="9"/>
      <c r="D6" s="9"/>
      <c r="E6" s="9"/>
      <c r="F6" s="9"/>
      <c r="P6" s="6" t="str">
        <f>Настройки!A3</f>
        <v>Предупреждение</v>
      </c>
      <c r="Q6" s="5">
        <f>Настройки!B3</f>
        <v>8</v>
      </c>
      <c r="R6" s="5" t="str">
        <f>Настройки!C3</f>
        <v>Предупреждение</v>
      </c>
      <c r="S6" s="12">
        <v>24</v>
      </c>
      <c r="T6" s="608" t="str">
        <f>Настройки!M7</f>
        <v>Отображение Таблицы подлючений в диаг.</v>
      </c>
      <c r="U6" s="10"/>
      <c r="V6" s="10"/>
      <c r="W6" s="10"/>
      <c r="X6" s="10"/>
      <c r="Y6" s="10"/>
      <c r="Z6" s="10"/>
      <c r="AA6" s="10"/>
      <c r="AB6" s="10"/>
      <c r="AC6" s="10"/>
      <c r="BM6" s="4"/>
      <c r="BN6" s="4"/>
      <c r="BO6" s="4"/>
      <c r="BP6" s="4"/>
    </row>
    <row r="7" spans="1:68" ht="15" customHeight="1">
      <c r="A7" s="9"/>
      <c r="B7" s="9"/>
      <c r="C7" s="9"/>
      <c r="D7" s="9"/>
      <c r="E7" s="9"/>
      <c r="F7" s="9"/>
      <c r="P7" s="6" t="str">
        <f>Настройки!A4</f>
        <v>Неисправность</v>
      </c>
      <c r="Q7" s="5">
        <f>Настройки!B4</f>
        <v>12</v>
      </c>
      <c r="R7" s="5" t="str">
        <f>Настройки!C4</f>
        <v>Неисправность</v>
      </c>
      <c r="S7" s="12">
        <v>25</v>
      </c>
      <c r="T7" s="644" t="b">
        <f>Настройки!M8</f>
        <v>0</v>
      </c>
      <c r="U7" s="10"/>
      <c r="V7" s="10"/>
      <c r="W7" s="10"/>
      <c r="X7" s="10"/>
      <c r="Y7" s="10"/>
      <c r="Z7" s="10"/>
      <c r="AA7" s="10"/>
      <c r="AB7" s="10"/>
      <c r="AC7" s="10"/>
      <c r="BM7" s="4"/>
      <c r="BN7" s="4"/>
      <c r="BO7" s="4"/>
      <c r="BP7" s="4"/>
    </row>
    <row r="8" spans="1:68" ht="15" customHeight="1">
      <c r="A8" s="9"/>
      <c r="B8" s="9"/>
      <c r="C8" s="9"/>
      <c r="D8" s="9"/>
      <c r="E8" s="9"/>
      <c r="F8" s="9"/>
      <c r="P8" s="6" t="str">
        <f>Настройки!A5</f>
        <v>Телесигнализация</v>
      </c>
      <c r="Q8" s="5">
        <f>Настройки!B5</f>
        <v>18</v>
      </c>
      <c r="R8" s="5" t="str">
        <f>Настройки!C5</f>
        <v>Телесигнализация</v>
      </c>
      <c r="S8" s="12">
        <v>26</v>
      </c>
      <c r="T8" s="548" t="str">
        <f>Настройки!M13</f>
        <v>Номер модуля IEC 4</v>
      </c>
      <c r="U8" s="10"/>
      <c r="V8" s="10"/>
      <c r="W8" s="10"/>
      <c r="X8" s="10"/>
      <c r="Y8" s="10"/>
      <c r="Z8" s="10"/>
      <c r="AA8" s="10"/>
      <c r="AB8" s="10"/>
      <c r="AC8" s="10"/>
      <c r="BM8" s="4"/>
      <c r="BN8" s="4"/>
      <c r="BO8" s="4"/>
      <c r="BP8" s="4"/>
    </row>
    <row r="9" spans="1:68" ht="15" customHeight="1">
      <c r="A9" s="9"/>
      <c r="B9" s="9"/>
      <c r="C9" s="9"/>
      <c r="D9" s="9"/>
      <c r="E9" s="9"/>
      <c r="F9" s="9"/>
      <c r="P9" s="6" t="str">
        <f>Настройки!A6</f>
        <v>Недостоверность</v>
      </c>
      <c r="Q9" s="5">
        <f>Настройки!B6</f>
        <v>10</v>
      </c>
      <c r="R9" s="5" t="str">
        <f>Настройки!C6</f>
        <v>Недостоверность</v>
      </c>
      <c r="S9" s="12">
        <v>27</v>
      </c>
      <c r="T9" s="456">
        <f>Настройки!M14</f>
        <v>1</v>
      </c>
      <c r="U9" s="10"/>
      <c r="V9" s="10"/>
      <c r="W9" s="10"/>
      <c r="X9" s="10"/>
      <c r="Y9" s="10"/>
      <c r="Z9" s="10"/>
      <c r="AA9" s="10"/>
      <c r="AB9" s="10"/>
      <c r="AC9" s="10"/>
      <c r="BM9" s="4"/>
      <c r="BN9" s="4"/>
      <c r="BO9" s="4"/>
      <c r="BP9" s="4"/>
    </row>
    <row r="10" spans="1:68" ht="15" customHeight="1">
      <c r="A10" s="9"/>
      <c r="B10" s="9"/>
      <c r="C10" s="9"/>
      <c r="D10" s="9"/>
      <c r="E10" s="9"/>
      <c r="F10" s="9"/>
      <c r="P10" s="6" t="str">
        <f>Настройки!A7</f>
        <v>Имитация</v>
      </c>
      <c r="Q10" s="5">
        <f>Настройки!B7</f>
        <v>16</v>
      </c>
      <c r="R10" s="5" t="str">
        <f>Настройки!C7</f>
        <v>Имитация</v>
      </c>
      <c r="S10" s="12"/>
      <c r="T10" s="548" t="str">
        <f>Настройки!M15</f>
        <v>Номер КП модуля IEC 4</v>
      </c>
      <c r="U10" s="10"/>
      <c r="V10" s="10"/>
      <c r="W10" s="10"/>
      <c r="X10" s="10"/>
      <c r="Y10" s="10"/>
      <c r="Z10" s="10"/>
      <c r="AA10" s="10"/>
      <c r="AB10" s="10"/>
      <c r="AC10" s="10"/>
      <c r="BM10" s="4"/>
      <c r="BN10" s="4"/>
      <c r="BO10" s="4"/>
      <c r="BP10" s="4"/>
    </row>
    <row r="11" spans="1:68" ht="15" customHeight="1">
      <c r="A11" s="9"/>
      <c r="B11" s="9"/>
      <c r="C11" s="9"/>
      <c r="D11" s="9"/>
      <c r="E11" s="9"/>
      <c r="F11" s="9"/>
      <c r="P11" s="6" t="str">
        <f>Настройки!A8</f>
        <v>Ремонт</v>
      </c>
      <c r="Q11" s="5">
        <f>Настройки!B8</f>
        <v>14</v>
      </c>
      <c r="R11" s="5" t="str">
        <f>Настройки!C8</f>
        <v>Ремонт</v>
      </c>
      <c r="S11" s="12">
        <v>29</v>
      </c>
      <c r="T11" s="656">
        <f>Настройки!M16</f>
        <v>1</v>
      </c>
      <c r="U11" s="10"/>
      <c r="V11" s="10"/>
      <c r="W11" s="10"/>
      <c r="X11" s="10"/>
      <c r="Y11" s="10"/>
      <c r="Z11" s="10"/>
      <c r="AA11" s="10"/>
      <c r="AB11" s="10"/>
      <c r="AC11" s="10"/>
      <c r="BM11" s="4"/>
      <c r="BN11" s="4"/>
      <c r="BO11" s="4"/>
      <c r="BP11" s="4"/>
    </row>
    <row r="12" spans="1:68"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2"/>
      <c r="T12" s="10"/>
      <c r="U12" s="10"/>
      <c r="V12" s="10"/>
      <c r="W12" s="10"/>
      <c r="X12" s="10"/>
      <c r="Y12" s="10"/>
      <c r="Z12" s="10"/>
      <c r="AA12" s="10"/>
      <c r="AB12" s="10"/>
      <c r="AC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2"/>
      <c r="T13" s="10"/>
      <c r="U13" s="10"/>
      <c r="V13" s="10"/>
      <c r="W13" s="10"/>
      <c r="X13" s="10"/>
      <c r="Y13" s="10"/>
      <c r="Z13" s="10"/>
      <c r="AA13" s="10"/>
      <c r="AB13" s="10"/>
      <c r="AC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2"/>
      <c r="T14" s="10"/>
      <c r="U14" s="10"/>
      <c r="V14" s="10"/>
      <c r="W14" s="10"/>
      <c r="X14" s="10"/>
      <c r="Y14" s="10"/>
      <c r="Z14" s="10"/>
      <c r="AA14" s="10"/>
      <c r="AB14" s="10"/>
      <c r="AC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2"/>
      <c r="T15" s="10"/>
      <c r="U15" s="10"/>
      <c r="V15" s="10"/>
      <c r="W15" s="10"/>
      <c r="X15" s="10"/>
      <c r="Y15" s="10"/>
      <c r="Z15" s="10"/>
      <c r="AA15" s="10"/>
      <c r="AB15" s="10"/>
      <c r="AC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2"/>
      <c r="T16" s="10"/>
      <c r="U16" s="10"/>
      <c r="V16" s="10"/>
      <c r="W16" s="10"/>
      <c r="X16" s="10"/>
      <c r="Y16" s="10"/>
      <c r="Z16" s="10"/>
      <c r="AA16" s="10"/>
      <c r="AB16" s="10"/>
      <c r="AC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2"/>
      <c r="T17" s="10"/>
      <c r="U17" s="10"/>
      <c r="V17" s="10"/>
      <c r="W17" s="10"/>
      <c r="X17" s="10"/>
      <c r="Y17" s="10"/>
      <c r="Z17" s="10"/>
      <c r="AA17" s="10"/>
      <c r="AB17" s="10"/>
      <c r="AC17" s="10"/>
      <c r="BM17" s="4"/>
      <c r="BN17" s="4"/>
      <c r="BO17" s="4"/>
      <c r="BP17" s="4"/>
    </row>
    <row r="18" spans="1:68" ht="15" customHeight="1">
      <c r="A18" s="9"/>
      <c r="B18" s="9"/>
      <c r="C18" s="9"/>
      <c r="D18" s="9"/>
      <c r="E18" s="9"/>
      <c r="F18" s="9"/>
      <c r="P18" s="6" t="str">
        <f>Настройки!A15</f>
        <v>Отключение</v>
      </c>
      <c r="Q18" s="5">
        <f>Настройки!B15</f>
        <v>13</v>
      </c>
      <c r="R18" s="5" t="str">
        <f>Настройки!C15</f>
        <v>Отключение</v>
      </c>
      <c r="S18" s="12"/>
      <c r="T18" s="10"/>
      <c r="U18" s="10"/>
      <c r="V18" s="10"/>
      <c r="W18" s="10"/>
      <c r="X18" s="10"/>
      <c r="Y18" s="10"/>
      <c r="Z18" s="10"/>
      <c r="AA18" s="10"/>
      <c r="AB18" s="10"/>
      <c r="AC18" s="10"/>
      <c r="BM18" s="4"/>
      <c r="BN18" s="4"/>
      <c r="BO18" s="4"/>
      <c r="BP18" s="4"/>
    </row>
    <row r="19" spans="1:68" ht="15" customHeight="1">
      <c r="A19" s="9"/>
      <c r="B19" s="9"/>
      <c r="C19" s="9"/>
      <c r="D19" s="9"/>
      <c r="E19" s="9"/>
      <c r="F19" s="9"/>
      <c r="P19" s="6" t="str">
        <f>Настройки!A16</f>
        <v>Информация</v>
      </c>
      <c r="Q19" s="5">
        <f>Настройки!B16</f>
        <v>22</v>
      </c>
      <c r="R19" s="5" t="str">
        <f>Настройки!C16</f>
        <v>Информация</v>
      </c>
      <c r="S19" s="12"/>
      <c r="T19" s="10"/>
      <c r="U19" s="10"/>
      <c r="V19" s="10"/>
      <c r="W19" s="10"/>
      <c r="X19" s="10"/>
      <c r="Y19" s="10"/>
      <c r="Z19" s="10"/>
      <c r="AA19" s="10"/>
      <c r="AB19" s="10"/>
      <c r="AC19" s="10"/>
      <c r="BM19" s="4"/>
      <c r="BN19" s="4"/>
      <c r="BO19" s="4"/>
      <c r="BP19" s="4"/>
    </row>
    <row r="20" spans="1:68" ht="15" customHeight="1">
      <c r="A20" s="16" t="str">
        <f t="shared" ref="A20:A29" si="0">$R$2</f>
        <v>Диагностика.DI_DIAG_BUF</v>
      </c>
      <c r="B20" s="17">
        <v>11001</v>
      </c>
      <c r="C20" s="17" t="s">
        <v>0</v>
      </c>
      <c r="D20" s="18" t="str">
        <f>$Q$2</f>
        <v>Дискретный вход (XVLX+DVXX) с буферизацией</v>
      </c>
      <c r="E20" s="4"/>
      <c r="F20" s="4"/>
      <c r="BM20" s="4"/>
      <c r="BN20" s="4"/>
      <c r="BO20" s="4"/>
      <c r="BP20" s="4"/>
    </row>
    <row r="21" spans="1:68" ht="15" customHeight="1">
      <c r="A21" s="19" t="str">
        <f t="shared" si="0"/>
        <v>Диагностика.DI_DIAG_BUF</v>
      </c>
      <c r="B21" s="11">
        <v>11156</v>
      </c>
      <c r="C21" s="11" t="s">
        <v>0</v>
      </c>
      <c r="D21" s="20" t="str">
        <f>$V$2</f>
        <v>Тестовый экран</v>
      </c>
      <c r="E21" s="4"/>
      <c r="F21" s="4"/>
      <c r="BM21" s="4"/>
      <c r="BN21" s="4"/>
      <c r="BO21" s="4"/>
      <c r="BP21" s="4"/>
    </row>
    <row r="22" spans="1:68" ht="15" customHeight="1">
      <c r="A22" s="19" t="str">
        <f t="shared" si="0"/>
        <v>Диагностика.DI_DIAG_BUF</v>
      </c>
      <c r="B22" s="11">
        <v>11157</v>
      </c>
      <c r="C22" s="11" t="s">
        <v>0</v>
      </c>
      <c r="D22" s="20" t="str">
        <f>$V$2</f>
        <v>Тестовый экран</v>
      </c>
      <c r="E22" s="4"/>
      <c r="F22" s="4"/>
      <c r="BM22" s="4"/>
      <c r="BN22" s="4"/>
      <c r="BO22" s="4"/>
      <c r="BP22" s="4"/>
    </row>
    <row r="23" spans="1:68" ht="15" customHeight="1">
      <c r="A23" s="19" t="str">
        <f t="shared" si="0"/>
        <v>Диагностика.DI_DIAG_BUF</v>
      </c>
      <c r="B23" s="11">
        <v>1</v>
      </c>
      <c r="C23" s="11" t="s">
        <v>1</v>
      </c>
      <c r="D23" s="20">
        <v>17</v>
      </c>
      <c r="BM23" s="4"/>
      <c r="BN23" s="4"/>
      <c r="BO23" s="4"/>
      <c r="BP23" s="4"/>
    </row>
    <row r="24" spans="1:68" ht="15" customHeight="1">
      <c r="A24" s="16" t="str">
        <f t="shared" si="0"/>
        <v>Диагностика.DI_DIAG_BUF</v>
      </c>
      <c r="B24" s="17">
        <v>100</v>
      </c>
      <c r="C24" s="17" t="s">
        <v>0</v>
      </c>
      <c r="D24" s="18" t="b">
        <f>$T$7</f>
        <v>0</v>
      </c>
      <c r="BF24" s="4"/>
      <c r="BG24" s="4"/>
      <c r="BH24" s="4"/>
      <c r="BI24" s="4"/>
    </row>
    <row r="25" spans="1:68" ht="15" customHeight="1">
      <c r="A25" s="21" t="str">
        <f t="shared" si="0"/>
        <v>Диагностика.DI_DIAG_BUF</v>
      </c>
      <c r="B25" s="8">
        <v>11120</v>
      </c>
      <c r="C25" s="8" t="s">
        <v>0</v>
      </c>
      <c r="D25" s="22" t="str">
        <f>$AC$2</f>
        <v>Желтый</v>
      </c>
      <c r="BM25" s="4"/>
      <c r="BN25" s="4"/>
      <c r="BO25" s="4"/>
      <c r="BP25" s="4"/>
    </row>
    <row r="26" spans="1:68">
      <c r="A26" s="16" t="str">
        <f t="shared" si="0"/>
        <v>Диагностика.DI_DIAG_BUF</v>
      </c>
      <c r="B26" s="17">
        <v>13</v>
      </c>
      <c r="C26" s="17" t="s">
        <v>2</v>
      </c>
      <c r="D26" s="18" t="s">
        <v>3</v>
      </c>
    </row>
    <row r="27" spans="1:68" ht="15" customHeight="1">
      <c r="A27" s="19" t="str">
        <f t="shared" si="0"/>
        <v>Диагностика.DI_DIAG_BUF</v>
      </c>
      <c r="B27" s="11">
        <v>3000013</v>
      </c>
      <c r="C27" s="11" t="s">
        <v>0</v>
      </c>
      <c r="D27" s="20" t="str">
        <f>$AE$2</f>
        <v>Диагностика.CPU.NOT_LINK.noLink</v>
      </c>
      <c r="BF27" s="4"/>
      <c r="BG27" s="4"/>
      <c r="BH27" s="4"/>
      <c r="BI27" s="4"/>
    </row>
    <row r="28" spans="1:68" ht="15" customHeight="1">
      <c r="A28" s="19" t="str">
        <f t="shared" si="0"/>
        <v>Диагностика.DI_DIAG_BUF</v>
      </c>
      <c r="B28" s="11">
        <v>4000013</v>
      </c>
      <c r="C28" s="11" t="s">
        <v>0</v>
      </c>
      <c r="D28" s="20" t="s">
        <v>1769</v>
      </c>
      <c r="BF28" s="4"/>
      <c r="BG28" s="4"/>
      <c r="BH28" s="4"/>
      <c r="BI28" s="4"/>
    </row>
    <row r="29" spans="1:68" ht="15" customHeight="1">
      <c r="A29" s="21" t="str">
        <f t="shared" si="0"/>
        <v>Диагностика.DI_DIAG_BUF</v>
      </c>
      <c r="B29" s="8">
        <v>7000013</v>
      </c>
      <c r="C29" s="8" t="s">
        <v>6</v>
      </c>
      <c r="D29" s="22">
        <v>2</v>
      </c>
      <c r="BF29" s="4"/>
      <c r="BG29" s="4"/>
      <c r="BH29" s="4"/>
      <c r="BI29" s="4"/>
    </row>
    <row r="30" spans="1:68" ht="15" customHeight="1">
      <c r="A30" s="163" t="str">
        <f>$R$2&amp;".DVXX"</f>
        <v>Диагностика.DI_DIAG_BUF.DVXX</v>
      </c>
      <c r="B30" s="123">
        <v>11154</v>
      </c>
      <c r="C30" s="123" t="s">
        <v>4</v>
      </c>
      <c r="D30" s="124">
        <f>$Q$9</f>
        <v>10</v>
      </c>
      <c r="BM30" s="4"/>
      <c r="BN30" s="4"/>
      <c r="BO30" s="4"/>
      <c r="BP30" s="4"/>
    </row>
    <row r="31" spans="1:68" ht="15" customHeight="1">
      <c r="A31" s="110" t="str">
        <f t="shared" ref="A31:A39" si="1">$R$2&amp;".DVXX"</f>
        <v>Диагностика.DI_DIAG_BUF.DVXX</v>
      </c>
      <c r="B31" s="111">
        <v>11150</v>
      </c>
      <c r="C31" s="111" t="s">
        <v>0</v>
      </c>
      <c r="D31" s="112" t="s">
        <v>513</v>
      </c>
      <c r="BM31" s="4"/>
      <c r="BN31" s="4"/>
      <c r="BO31" s="4"/>
      <c r="BP31" s="4"/>
    </row>
    <row r="32" spans="1:68" ht="15" customHeight="1">
      <c r="A32" s="110" t="str">
        <f t="shared" si="1"/>
        <v>Диагностика.DI_DIAG_BUF.DVXX</v>
      </c>
      <c r="B32" s="111">
        <v>11152</v>
      </c>
      <c r="C32" s="111" t="s">
        <v>0</v>
      </c>
      <c r="D32" s="113" t="str">
        <f>$R$9</f>
        <v>Недостоверность</v>
      </c>
      <c r="BM32" s="4"/>
      <c r="BN32" s="4"/>
      <c r="BO32" s="4"/>
      <c r="BP32" s="4"/>
    </row>
    <row r="33" spans="1:68" ht="15" customHeight="1">
      <c r="A33" s="110" t="str">
        <f t="shared" si="1"/>
        <v>Диагностика.DI_DIAG_BUF.DVXX</v>
      </c>
      <c r="B33" s="111">
        <v>11000</v>
      </c>
      <c r="C33" s="111" t="s">
        <v>5</v>
      </c>
      <c r="D33" s="112">
        <v>2147483680</v>
      </c>
      <c r="BM33" s="4"/>
      <c r="BN33" s="4"/>
      <c r="BO33" s="4"/>
      <c r="BP33" s="4"/>
    </row>
    <row r="34" spans="1:68" ht="15" customHeight="1">
      <c r="A34" s="19" t="str">
        <f t="shared" si="1"/>
        <v>Диагностика.DI_DIAG_BUF.DVXX</v>
      </c>
      <c r="B34" s="11">
        <v>7999</v>
      </c>
      <c r="C34" s="11" t="s">
        <v>0</v>
      </c>
      <c r="D34" s="20" t="str">
        <f>"#"&amp;$S$2&amp;"#"&amp;$T$2&amp;"\"&amp;$P$2&amp;"\DVXX"</f>
        <v>#1#treiOPCDA.CoOPCserv.1\pcmaster\DI_DIAG\DVXX</v>
      </c>
      <c r="BM34" s="4"/>
      <c r="BN34" s="4"/>
      <c r="BO34" s="4"/>
      <c r="BP34" s="4"/>
    </row>
    <row r="35" spans="1:68" ht="15" customHeight="1">
      <c r="A35" s="19" t="str">
        <f t="shared" si="1"/>
        <v>Диагностика.DI_DIAG_BUF.DVXX</v>
      </c>
      <c r="B35" s="11">
        <v>7998</v>
      </c>
      <c r="C35" s="11" t="s">
        <v>6</v>
      </c>
      <c r="D35" s="20">
        <v>1</v>
      </c>
      <c r="BM35" s="4"/>
      <c r="BN35" s="4"/>
      <c r="BO35" s="4"/>
      <c r="BP35" s="4"/>
    </row>
    <row r="36" spans="1:68" ht="15" customHeight="1">
      <c r="A36" s="19" t="str">
        <f t="shared" si="1"/>
        <v>Диагностика.DI_DIAG_BUF.DVXX</v>
      </c>
      <c r="B36" s="11">
        <v>101</v>
      </c>
      <c r="C36" s="11" t="s">
        <v>0</v>
      </c>
      <c r="D36" s="20" t="s">
        <v>232</v>
      </c>
      <c r="BM36" s="4"/>
      <c r="BN36" s="4"/>
      <c r="BO36" s="4"/>
      <c r="BP36" s="4"/>
    </row>
    <row r="37" spans="1:68" ht="15" customHeight="1">
      <c r="A37" s="19" t="str">
        <f t="shared" si="1"/>
        <v>Диагностика.DI_DIAG_BUF.DVXX</v>
      </c>
      <c r="B37" s="11">
        <v>3</v>
      </c>
      <c r="C37" s="11" t="s">
        <v>1</v>
      </c>
      <c r="D37" s="20">
        <v>192</v>
      </c>
      <c r="BM37" s="4"/>
      <c r="BN37" s="4"/>
      <c r="BO37" s="4"/>
      <c r="BP37" s="4"/>
    </row>
    <row r="38" spans="1:68" ht="15" customHeight="1">
      <c r="A38" s="19" t="str">
        <f t="shared" si="1"/>
        <v>Диагностика.DI_DIAG_BUF.DVXX</v>
      </c>
      <c r="B38" s="11">
        <v>2</v>
      </c>
      <c r="C38" s="11" t="s">
        <v>2</v>
      </c>
      <c r="D38" s="20" t="s">
        <v>3</v>
      </c>
      <c r="BM38" s="4"/>
      <c r="BN38" s="4"/>
      <c r="BO38" s="4"/>
      <c r="BP38" s="4"/>
    </row>
    <row r="39" spans="1:68" ht="15" customHeight="1">
      <c r="A39" s="19" t="str">
        <f t="shared" si="1"/>
        <v>Диагностика.DI_DIAG_BUF.DVXX</v>
      </c>
      <c r="B39" s="11">
        <v>1</v>
      </c>
      <c r="C39" s="11" t="s">
        <v>1</v>
      </c>
      <c r="D39" s="20">
        <v>11</v>
      </c>
      <c r="BM39" s="4"/>
      <c r="BN39" s="4"/>
      <c r="BO39" s="4"/>
      <c r="BP39" s="4"/>
    </row>
    <row r="40" spans="1:68" ht="15" customHeight="1">
      <c r="A40" s="241" t="str">
        <f>$R$2&amp;".XVLX"</f>
        <v>Диагностика.DI_DIAG_BUF.XVLX</v>
      </c>
      <c r="B40" s="242">
        <v>11154</v>
      </c>
      <c r="C40" s="242" t="s">
        <v>4</v>
      </c>
      <c r="D40" s="243">
        <f>IF($AB$2=$P$5,$Q$5,IF($AB$2=$P$6,$Q$6,IF($AB$2=$P$7,$Q$7,IF($AB$2=$P$8,$Q$8,IF($AB$2=$P$9,$Q$9,IF($AB$2=$P$10,$Q$10,IF($AB$2=$P$11,$Q$11,IF($AB$2=$P$12,$Q$12,IF($AB$2=$P$13,$Q$13,IF($AB$2=$P$14,$Q$14,IF($AB$2=$P$15,$Q$15,IF($AB$2=$P$16,$Q$16,IF($AB$2=$P$17,$Q$17,IF($AB$2=$P$18,$Q$18,IF($AB$2=$P$19,$Q$19,0)))))))))))))))</f>
        <v>8</v>
      </c>
      <c r="BM40" s="4"/>
      <c r="BN40" s="4"/>
      <c r="BO40" s="4"/>
      <c r="BP40" s="4"/>
    </row>
    <row r="41" spans="1:68" ht="15" customHeight="1">
      <c r="A41" s="244" t="str">
        <f>$R$2&amp;".XVLX"</f>
        <v>Диагностика.DI_DIAG_BUF.XVLX</v>
      </c>
      <c r="B41" s="245">
        <v>11150</v>
      </c>
      <c r="C41" s="245" t="s">
        <v>0</v>
      </c>
      <c r="D41" s="246" t="s">
        <v>178</v>
      </c>
      <c r="BM41" s="4"/>
      <c r="BN41" s="4"/>
      <c r="BO41" s="4"/>
      <c r="BP41" s="4"/>
    </row>
    <row r="42" spans="1:68" ht="15" customHeight="1">
      <c r="A42" s="244" t="str">
        <f>$R$2&amp;".XVLX"</f>
        <v>Диагностика.DI_DIAG_BUF.XVLX</v>
      </c>
      <c r="B42" s="245">
        <v>11152</v>
      </c>
      <c r="C42" s="245" t="s">
        <v>0</v>
      </c>
      <c r="D42" s="247" t="str">
        <f>IF($AB$2=$P$5,$R$5,IF($AB$2=$P$6,$R$6,IF($AB$2=$P$7,$R$7,IF($AB$2=$P$8,$R$8,IF($AB$2=$P$9,$R$9,IF($AB$2=$P$10,$R$10,IF($AB$2=$P$11,$R$11,IF($AB$2=$P$12,$R$12,IF($AB$2=$P$13,$R$13,IF($AB$2=$P$14,$R$14,IF($AB$2=$P$15,$R$15,IF($AB$2=$P$16,$R$16,IF($AB$2=$P$17,$R$17,IF($AB$2=$P$18,$R$18,IF($AB$2=$P$19,$R$19,0)))))))))))))))</f>
        <v>Предупреждение</v>
      </c>
      <c r="BM42" s="4"/>
      <c r="BN42" s="4"/>
      <c r="BO42" s="4"/>
      <c r="BP42" s="4"/>
    </row>
    <row r="43" spans="1:68" ht="15" customHeight="1">
      <c r="A43" s="244" t="str">
        <f t="shared" ref="A43:A50" si="2">$R$2&amp;".XVLX"</f>
        <v>Диагностика.DI_DIAG_BUF.XVLX</v>
      </c>
      <c r="B43" s="245">
        <v>11000</v>
      </c>
      <c r="C43" s="245" t="s">
        <v>5</v>
      </c>
      <c r="D43" s="246">
        <v>2147483680</v>
      </c>
      <c r="BM43" s="4"/>
      <c r="BN43" s="4"/>
      <c r="BO43" s="4"/>
      <c r="BP43" s="4"/>
    </row>
    <row r="44" spans="1:68" ht="15" customHeight="1">
      <c r="A44" s="19" t="str">
        <f t="shared" si="2"/>
        <v>Диагностика.DI_DIAG_BUF.XVLX</v>
      </c>
      <c r="B44" s="11">
        <v>7999</v>
      </c>
      <c r="C44" s="11" t="s">
        <v>0</v>
      </c>
      <c r="D44" s="20" t="str">
        <f>"#"&amp;$S$2&amp;"#"&amp;$T$2&amp;"\"&amp;$P$2&amp;"\XVLX"</f>
        <v>#1#treiOPCDA.CoOPCserv.1\pcmaster\DI_DIAG\XVLX</v>
      </c>
      <c r="BM44" s="4"/>
      <c r="BN44" s="4"/>
      <c r="BO44" s="4"/>
      <c r="BP44" s="4"/>
    </row>
    <row r="45" spans="1:68" ht="15" customHeight="1">
      <c r="A45" s="19" t="str">
        <f t="shared" si="2"/>
        <v>Диагностика.DI_DIAG_BUF.XVLX</v>
      </c>
      <c r="B45" s="11">
        <v>7998</v>
      </c>
      <c r="C45" s="11" t="s">
        <v>6</v>
      </c>
      <c r="D45" s="20">
        <v>1</v>
      </c>
      <c r="BM45" s="4"/>
      <c r="BN45" s="4"/>
      <c r="BO45" s="4"/>
      <c r="BP45" s="4"/>
    </row>
    <row r="46" spans="1:68" ht="15" customHeight="1">
      <c r="A46" s="19" t="str">
        <f t="shared" si="2"/>
        <v>Диагностика.DI_DIAG_BUF.XVLX</v>
      </c>
      <c r="B46" s="11">
        <v>101</v>
      </c>
      <c r="C46" s="11" t="s">
        <v>0</v>
      </c>
      <c r="D46" s="20" t="s">
        <v>234</v>
      </c>
      <c r="BM46" s="4"/>
      <c r="BN46" s="4"/>
      <c r="BO46" s="4"/>
      <c r="BP46" s="4"/>
    </row>
    <row r="47" spans="1:68" ht="15" customHeight="1">
      <c r="A47" s="19" t="str">
        <f t="shared" si="2"/>
        <v>Диагностика.DI_DIAG_BUF.XVLX</v>
      </c>
      <c r="B47" s="11">
        <v>3</v>
      </c>
      <c r="C47" s="11" t="s">
        <v>1</v>
      </c>
      <c r="D47" s="20">
        <v>192</v>
      </c>
      <c r="BM47" s="4"/>
      <c r="BN47" s="4"/>
      <c r="BO47" s="4"/>
      <c r="BP47" s="4"/>
    </row>
    <row r="48" spans="1:68" ht="15" customHeight="1">
      <c r="A48" s="19" t="str">
        <f t="shared" si="2"/>
        <v>Диагностика.DI_DIAG_BUF.XVLX</v>
      </c>
      <c r="B48" s="11">
        <v>2</v>
      </c>
      <c r="C48" s="11" t="s">
        <v>2</v>
      </c>
      <c r="D48" s="20" t="s">
        <v>3</v>
      </c>
      <c r="BM48" s="4"/>
      <c r="BN48" s="4"/>
      <c r="BO48" s="4"/>
      <c r="BP48" s="4"/>
    </row>
    <row r="49" spans="1:68" ht="15" customHeight="1">
      <c r="A49" s="19" t="str">
        <f t="shared" si="2"/>
        <v>Диагностика.DI_DIAG_BUF.XVLX</v>
      </c>
      <c r="B49" s="11">
        <v>1</v>
      </c>
      <c r="C49" s="11" t="s">
        <v>1</v>
      </c>
      <c r="D49" s="20">
        <v>11</v>
      </c>
      <c r="BM49" s="4"/>
      <c r="BN49" s="4"/>
      <c r="BO49" s="4"/>
      <c r="BP49" s="4"/>
    </row>
    <row r="50" spans="1:68">
      <c r="A50" s="21" t="str">
        <f t="shared" si="2"/>
        <v>Диагностика.DI_DIAG_BUF.XVLX</v>
      </c>
      <c r="B50" s="27">
        <v>7200</v>
      </c>
      <c r="C50" s="27" t="s">
        <v>2</v>
      </c>
      <c r="D50" s="248" t="str">
        <f>IF($AA$2=1,"True","False")</f>
        <v>False</v>
      </c>
    </row>
    <row r="51" spans="1:68">
      <c r="A51" s="163" t="str">
        <f t="shared" ref="A51:A59" si="3">$R$2&amp;".BUF.DVXX"</f>
        <v>Диагностика.DI_DIAG_BUF.BUF.DVXX</v>
      </c>
      <c r="B51" s="123">
        <v>11154</v>
      </c>
      <c r="C51" s="123" t="s">
        <v>4</v>
      </c>
      <c r="D51" s="124">
        <f>$S$9</f>
        <v>27</v>
      </c>
    </row>
    <row r="52" spans="1:68">
      <c r="A52" s="110" t="str">
        <f t="shared" si="3"/>
        <v>Диагностика.DI_DIAG_BUF.BUF.DVXX</v>
      </c>
      <c r="B52" s="111">
        <v>11150</v>
      </c>
      <c r="C52" s="111" t="s">
        <v>0</v>
      </c>
      <c r="D52" s="112" t="s">
        <v>513</v>
      </c>
    </row>
    <row r="53" spans="1:68">
      <c r="A53" s="110" t="str">
        <f t="shared" si="3"/>
        <v>Диагностика.DI_DIAG_BUF.BUF.DVXX</v>
      </c>
      <c r="B53" s="111">
        <v>11152</v>
      </c>
      <c r="C53" s="111" t="s">
        <v>0</v>
      </c>
      <c r="D53" s="113" t="str">
        <f>$R$9</f>
        <v>Недостоверность</v>
      </c>
    </row>
    <row r="54" spans="1:68">
      <c r="A54" s="110" t="str">
        <f t="shared" si="3"/>
        <v>Диагностика.DI_DIAG_BUF.BUF.DVXX</v>
      </c>
      <c r="B54" s="111">
        <v>11000</v>
      </c>
      <c r="C54" s="111" t="s">
        <v>5</v>
      </c>
      <c r="D54" s="112">
        <v>2147483680</v>
      </c>
    </row>
    <row r="55" spans="1:68">
      <c r="A55" s="19" t="str">
        <f t="shared" si="3"/>
        <v>Диагностика.DI_DIAG_BUF.BUF.DVXX</v>
      </c>
      <c r="B55" s="11">
        <v>101</v>
      </c>
      <c r="C55" s="11" t="s">
        <v>0</v>
      </c>
      <c r="D55" s="20" t="s">
        <v>232</v>
      </c>
    </row>
    <row r="56" spans="1:68">
      <c r="A56" s="19" t="str">
        <f t="shared" si="3"/>
        <v>Диагностика.DI_DIAG_BUF.BUF.DVXX</v>
      </c>
      <c r="B56" s="11">
        <v>7050</v>
      </c>
      <c r="C56" s="11" t="s">
        <v>0</v>
      </c>
      <c r="D56" s="20" t="str">
        <f>"&lt;Addr AnswerSignalType=©0© Protocol=©IEC4Std© Type=©Protocol© ProtocolType=©30© Address=©XXX© ModuleNo=©" &amp; $T$9&amp; "© Role=©Master© Station=©" &amp; $T$11 &amp; "©  /&gt;"</f>
        <v>&lt;Addr AnswerSignalType=©0© Protocol=©IEC4Std© Type=©Protocol© ProtocolType=©30© Address=©XXX© ModuleNo=©1© Role=©Master© Station=©1©  /&gt;</v>
      </c>
    </row>
    <row r="57" spans="1:68">
      <c r="A57" s="19" t="str">
        <f t="shared" si="3"/>
        <v>Диагностика.DI_DIAG_BUF.BUF.DVXX</v>
      </c>
      <c r="B57" s="11">
        <v>3</v>
      </c>
      <c r="C57" s="11" t="s">
        <v>1</v>
      </c>
      <c r="D57" s="20">
        <v>192</v>
      </c>
    </row>
    <row r="58" spans="1:68">
      <c r="A58" s="19" t="str">
        <f t="shared" si="3"/>
        <v>Диагностика.DI_DIAG_BUF.BUF.DVXX</v>
      </c>
      <c r="B58" s="11">
        <v>2</v>
      </c>
      <c r="C58" s="11" t="s">
        <v>2</v>
      </c>
      <c r="D58" s="20" t="s">
        <v>3</v>
      </c>
    </row>
    <row r="59" spans="1:68">
      <c r="A59" s="19" t="str">
        <f t="shared" si="3"/>
        <v>Диагностика.DI_DIAG_BUF.BUF.DVXX</v>
      </c>
      <c r="B59" s="11">
        <v>1</v>
      </c>
      <c r="C59" s="11" t="s">
        <v>1</v>
      </c>
      <c r="D59" s="20">
        <v>11</v>
      </c>
    </row>
    <row r="60" spans="1:68">
      <c r="A60" s="241" t="str">
        <f t="shared" ref="A60:A69" si="4">$R$2&amp;".BUF.XVLX"</f>
        <v>Диагностика.DI_DIAG_BUF.BUF.XVLX</v>
      </c>
      <c r="B60" s="242">
        <v>11154</v>
      </c>
      <c r="C60" s="242" t="s">
        <v>4</v>
      </c>
      <c r="D60" s="243">
        <f>IF($AB$2=$P$5,$S$5,IF($AB$2=$P$6,$S$6,IF($AB$2=$P$7,$S$7,IF($AB$2=$P$8,$S$8,IF($AB$2=$P$9,$S$9,IF($AB$2=$P$10,$S$10,IF($AB$2=$P$11,$S$11,IF($AB$2=$P$12,$S$12,IF($AB$2=$P$13,$S$13,IF($AB$2=$P$14,$S$14,IF($AB$2=$P$15,$S$15,IF($AB$2=$P$16,$S$16,IF($AB$2=$P$17,$S$17,IF($AB$2=$P$18,$S$18,IF($AB$2=$P$19,$S$19,0)))))))))))))))</f>
        <v>24</v>
      </c>
    </row>
    <row r="61" spans="1:68">
      <c r="A61" s="244" t="str">
        <f t="shared" si="4"/>
        <v>Диагностика.DI_DIAG_BUF.BUF.XVLX</v>
      </c>
      <c r="B61" s="245">
        <v>11150</v>
      </c>
      <c r="C61" s="245" t="s">
        <v>0</v>
      </c>
      <c r="D61" s="246" t="s">
        <v>178</v>
      </c>
    </row>
    <row r="62" spans="1:68">
      <c r="A62" s="244" t="str">
        <f t="shared" si="4"/>
        <v>Диагностика.DI_DIAG_BUF.BUF.XVLX</v>
      </c>
      <c r="B62" s="245">
        <v>11152</v>
      </c>
      <c r="C62" s="245" t="s">
        <v>0</v>
      </c>
      <c r="D62" s="247" t="str">
        <f>IF($AB$2=$P$5,$R$5,IF($AB$2=$P$6,$R$6,IF($AB$2=$P$7,$R$7,IF($AB$2=$P$8,$R$8,IF($AB$2=$P$9,$R$9,IF($AB$2=$P$10,$R$10,IF($AB$2=$P$11,$R$11,IF($AB$2=$P$12,$R$12,IF($AB$2=$P$13,$R$13,IF($AB$2=$P$14,$R$14,IF($AB$2=$P$15,$R$15,IF($AB$2=$P$16,$R$16,IF($AB$2=$P$17,$R$17,IF($AB$2=$P$18,$R$18,IF($AB$2=$P$19,$R$19,0)))))))))))))))</f>
        <v>Предупреждение</v>
      </c>
    </row>
    <row r="63" spans="1:68">
      <c r="A63" s="244" t="str">
        <f t="shared" si="4"/>
        <v>Диагностика.DI_DIAG_BUF.BUF.XVLX</v>
      </c>
      <c r="B63" s="245">
        <v>11000</v>
      </c>
      <c r="C63" s="245" t="s">
        <v>5</v>
      </c>
      <c r="D63" s="246">
        <v>2147483680</v>
      </c>
    </row>
    <row r="64" spans="1:68">
      <c r="A64" s="19" t="str">
        <f t="shared" si="4"/>
        <v>Диагностика.DI_DIAG_BUF.BUF.XVLX</v>
      </c>
      <c r="B64" s="11">
        <v>101</v>
      </c>
      <c r="C64" s="11" t="s">
        <v>0</v>
      </c>
      <c r="D64" s="20" t="s">
        <v>234</v>
      </c>
    </row>
    <row r="65" spans="1:4">
      <c r="A65" s="19" t="str">
        <f t="shared" si="4"/>
        <v>Диагностика.DI_DIAG_BUF.BUF.XVLX</v>
      </c>
      <c r="B65" s="11">
        <v>7050</v>
      </c>
      <c r="C65" s="11" t="s">
        <v>0</v>
      </c>
      <c r="D65" s="20" t="str">
        <f>"&lt;Addr AnswerSignalType=©0© Protocol=©IEC4Std© Type=©Protocol© ProtocolType=©30© Address=©XXX© ModuleNo=©" &amp; $T$9&amp; "© Role=©Master© Station=©" &amp; $T$11 &amp; "©  /&gt;"</f>
        <v>&lt;Addr AnswerSignalType=©0© Protocol=©IEC4Std© Type=©Protocol© ProtocolType=©30© Address=©XXX© ModuleNo=©1© Role=©Master© Station=©1©  /&gt;</v>
      </c>
    </row>
    <row r="66" spans="1:4">
      <c r="A66" s="19" t="str">
        <f t="shared" si="4"/>
        <v>Диагностика.DI_DIAG_BUF.BUF.XVLX</v>
      </c>
      <c r="B66" s="11">
        <v>3</v>
      </c>
      <c r="C66" s="11" t="s">
        <v>1</v>
      </c>
      <c r="D66" s="20">
        <v>192</v>
      </c>
    </row>
    <row r="67" spans="1:4">
      <c r="A67" s="19" t="str">
        <f t="shared" si="4"/>
        <v>Диагностика.DI_DIAG_BUF.BUF.XVLX</v>
      </c>
      <c r="B67" s="11">
        <v>2</v>
      </c>
      <c r="C67" s="11" t="s">
        <v>2</v>
      </c>
      <c r="D67" s="20" t="s">
        <v>3</v>
      </c>
    </row>
    <row r="68" spans="1:4">
      <c r="A68" s="19" t="str">
        <f t="shared" si="4"/>
        <v>Диагностика.DI_DIAG_BUF.BUF.XVLX</v>
      </c>
      <c r="B68" s="11">
        <v>1</v>
      </c>
      <c r="C68" s="11" t="s">
        <v>1</v>
      </c>
      <c r="D68" s="20">
        <v>11</v>
      </c>
    </row>
    <row r="69" spans="1:4">
      <c r="A69" s="21" t="str">
        <f t="shared" si="4"/>
        <v>Диагностика.DI_DIAG_BUF.BUF.XVLX</v>
      </c>
      <c r="B69" s="27">
        <v>7200</v>
      </c>
      <c r="C69" s="27" t="s">
        <v>2</v>
      </c>
      <c r="D69" s="248" t="str">
        <f>IF($AA$2=1,"True","False")</f>
        <v>False</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Лист162">
    <tabColor rgb="FFFFC000"/>
  </sheetPr>
  <dimension ref="A1:BP440"/>
  <sheetViews>
    <sheetView topLeftCell="A170"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7"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57" t="s">
        <v>84</v>
      </c>
      <c r="C1" s="257"/>
      <c r="D1" s="257"/>
      <c r="E1" s="257"/>
      <c r="F1" s="257"/>
      <c r="P1" s="263"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1"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61"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61" t="str">
        <f>Таблица!AL1</f>
        <v>Для TREI
FB_IMstp_S, FB_IMs_S, FB_IMp_S, FB_IMv_S, FB_IM_ADES_S: Настройка перехода ручной-/автоматический-(TRUE/FALSE) 
FB_DI_S: Генерировать метки времени (TRUE/FALSE)</v>
      </c>
      <c r="AY1" s="261"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61" t="str">
        <f>Таблица!AN1</f>
        <v>Для TREI
FB_AI_S, FB_QSA_S: Верхний предел датчика
FB_IMp_S, FB_IMv_S, FB_IM_ADES_S, FB_OZK_KD_S: Время перестановки</v>
      </c>
      <c r="BA1" s="261"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t="s">
        <v>1400</v>
      </c>
      <c r="Q2" s="2" t="s">
        <v>1811</v>
      </c>
      <c r="R2" s="2" t="s">
        <v>1791</v>
      </c>
      <c r="S2" s="3">
        <v>1</v>
      </c>
      <c r="T2" s="3" t="s">
        <v>1698</v>
      </c>
      <c r="U2" s="3"/>
      <c r="V2" s="3" t="s">
        <v>569</v>
      </c>
      <c r="W2" s="12"/>
      <c r="X2" s="12"/>
      <c r="Y2" s="12"/>
      <c r="Z2" s="12"/>
      <c r="AA2" s="12"/>
      <c r="AB2" s="2" t="s">
        <v>230</v>
      </c>
      <c r="AC2" s="2" t="s">
        <v>226</v>
      </c>
      <c r="AD2" s="2"/>
      <c r="AE2" s="2" t="s">
        <v>1414</v>
      </c>
      <c r="AF2" s="2"/>
      <c r="AG2" s="2"/>
      <c r="AH2" s="2"/>
      <c r="AI2" s="2"/>
      <c r="AJ2" s="2"/>
      <c r="AK2" s="2" t="s">
        <v>1346</v>
      </c>
      <c r="AL2" s="2"/>
      <c r="AM2" s="2"/>
      <c r="AN2" s="2"/>
      <c r="AO2" s="2" t="s">
        <v>1347</v>
      </c>
      <c r="AP2" s="2"/>
      <c r="AQ2" s="2" t="s">
        <v>1344</v>
      </c>
      <c r="AR2" s="2" t="s">
        <v>1345</v>
      </c>
      <c r="AS2" s="2"/>
      <c r="AT2" s="2"/>
      <c r="AU2" s="2"/>
      <c r="AV2" s="2"/>
      <c r="AW2" s="2"/>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AB3" s="10"/>
      <c r="AC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7" t="s">
        <v>1793</v>
      </c>
      <c r="T4" s="548" t="str">
        <f>Настройки!M11</f>
        <v>№ Модуля commands</v>
      </c>
      <c r="U4" s="10"/>
      <c r="V4" s="10"/>
      <c r="W4" s="10"/>
      <c r="X4" s="10"/>
      <c r="Y4" s="10"/>
      <c r="Z4" s="10"/>
      <c r="AA4" s="10"/>
      <c r="AB4" s="10"/>
      <c r="AC4" s="10"/>
      <c r="BM4" s="4"/>
      <c r="BN4" s="4"/>
      <c r="BO4" s="4"/>
      <c r="BP4" s="4"/>
    </row>
    <row r="5" spans="1:68" ht="15" customHeight="1">
      <c r="A5" s="9"/>
      <c r="B5" s="9"/>
      <c r="C5" s="9"/>
      <c r="D5" s="9"/>
      <c r="E5" s="9"/>
      <c r="F5" s="9"/>
      <c r="P5" s="6" t="str">
        <f>Настройки!A2</f>
        <v>Авария</v>
      </c>
      <c r="Q5" s="5">
        <f>Настройки!B2</f>
        <v>4</v>
      </c>
      <c r="R5" s="5" t="str">
        <f>Настройки!C2</f>
        <v>Авария</v>
      </c>
      <c r="S5" s="12">
        <v>23</v>
      </c>
      <c r="T5" s="458">
        <f>Настройки!M12</f>
        <v>1</v>
      </c>
      <c r="U5" s="10"/>
      <c r="V5" s="10"/>
      <c r="W5" s="10"/>
      <c r="X5" s="10"/>
      <c r="Y5" s="10"/>
      <c r="Z5" s="10"/>
      <c r="AA5" s="10"/>
      <c r="AB5" s="10"/>
      <c r="AC5" s="10"/>
      <c r="BM5" s="4"/>
      <c r="BN5" s="4"/>
      <c r="BO5" s="4"/>
      <c r="BP5" s="4"/>
    </row>
    <row r="6" spans="1:68" ht="15" customHeight="1">
      <c r="A6" s="9"/>
      <c r="B6" s="9"/>
      <c r="C6" s="9"/>
      <c r="D6" s="9"/>
      <c r="E6" s="9"/>
      <c r="F6" s="9"/>
      <c r="P6" s="6" t="str">
        <f>Настройки!A3</f>
        <v>Предупреждение</v>
      </c>
      <c r="Q6" s="5">
        <f>Настройки!B3</f>
        <v>8</v>
      </c>
      <c r="R6" s="5" t="str">
        <f>Настройки!C3</f>
        <v>Предупреждение</v>
      </c>
      <c r="S6" s="12">
        <v>24</v>
      </c>
      <c r="T6" s="608" t="str">
        <f>Настройки!M7</f>
        <v>Отображение Таблицы подлючений в диаг.</v>
      </c>
      <c r="U6" s="10"/>
      <c r="V6" s="10"/>
      <c r="W6" s="10"/>
      <c r="X6" s="10"/>
      <c r="Y6" s="10"/>
      <c r="Z6" s="10"/>
      <c r="AA6" s="10"/>
      <c r="AB6" s="10"/>
      <c r="AC6" s="10"/>
      <c r="BM6" s="4"/>
      <c r="BN6" s="4"/>
      <c r="BO6" s="4"/>
      <c r="BP6" s="4"/>
    </row>
    <row r="7" spans="1:68" ht="15" customHeight="1">
      <c r="A7" s="9"/>
      <c r="B7" s="9"/>
      <c r="C7" s="9"/>
      <c r="D7" s="9"/>
      <c r="E7" s="9"/>
      <c r="F7" s="9"/>
      <c r="P7" s="6" t="str">
        <f>Настройки!A4</f>
        <v>Неисправность</v>
      </c>
      <c r="Q7" s="5">
        <f>Настройки!B4</f>
        <v>12</v>
      </c>
      <c r="R7" s="5" t="str">
        <f>Настройки!C4</f>
        <v>Неисправность</v>
      </c>
      <c r="S7" s="12">
        <v>25</v>
      </c>
      <c r="T7" s="644" t="b">
        <f>Настройки!M8</f>
        <v>0</v>
      </c>
      <c r="U7" s="10"/>
      <c r="V7" s="10"/>
      <c r="W7" s="10"/>
      <c r="X7" s="10"/>
      <c r="Y7" s="10"/>
      <c r="Z7" s="10"/>
      <c r="AA7" s="10"/>
      <c r="AB7" s="10"/>
      <c r="AC7" s="10"/>
      <c r="BM7" s="4"/>
      <c r="BN7" s="4"/>
      <c r="BO7" s="4"/>
      <c r="BP7" s="4"/>
    </row>
    <row r="8" spans="1:68" ht="15" customHeight="1">
      <c r="A8" s="9"/>
      <c r="B8" s="9"/>
      <c r="C8" s="9"/>
      <c r="D8" s="9"/>
      <c r="E8" s="9"/>
      <c r="F8" s="9"/>
      <c r="P8" s="6" t="str">
        <f>Настройки!A5</f>
        <v>Телесигнализация</v>
      </c>
      <c r="Q8" s="5">
        <f>Настройки!B5</f>
        <v>18</v>
      </c>
      <c r="R8" s="5" t="str">
        <f>Настройки!C5</f>
        <v>Телесигнализация</v>
      </c>
      <c r="S8" s="12">
        <v>26</v>
      </c>
      <c r="T8" s="548" t="str">
        <f>Настройки!M13</f>
        <v>Номер модуля IEC 4</v>
      </c>
      <c r="U8" s="10"/>
      <c r="V8" s="10"/>
      <c r="W8" s="10"/>
      <c r="X8" s="10"/>
      <c r="Y8" s="10"/>
      <c r="Z8" s="10"/>
      <c r="AA8" s="10"/>
      <c r="AB8" s="10"/>
      <c r="AC8" s="10"/>
      <c r="BM8" s="4"/>
      <c r="BN8" s="4"/>
      <c r="BO8" s="4"/>
      <c r="BP8" s="4"/>
    </row>
    <row r="9" spans="1:68" ht="15" customHeight="1">
      <c r="A9" s="9"/>
      <c r="B9" s="9"/>
      <c r="C9" s="9"/>
      <c r="D9" s="9"/>
      <c r="E9" s="9"/>
      <c r="F9" s="9"/>
      <c r="P9" s="6" t="str">
        <f>Настройки!A6</f>
        <v>Недостоверность</v>
      </c>
      <c r="Q9" s="5">
        <f>Настройки!B6</f>
        <v>10</v>
      </c>
      <c r="R9" s="5" t="str">
        <f>Настройки!C6</f>
        <v>Недостоверность</v>
      </c>
      <c r="S9" s="12">
        <v>27</v>
      </c>
      <c r="T9" s="456">
        <f>Настройки!M14</f>
        <v>1</v>
      </c>
      <c r="U9" s="10"/>
      <c r="V9" s="10"/>
      <c r="W9" s="10"/>
      <c r="X9" s="10"/>
      <c r="Y9" s="10"/>
      <c r="Z9" s="10"/>
      <c r="AA9" s="10"/>
      <c r="AB9" s="10"/>
      <c r="AC9" s="10"/>
      <c r="BM9" s="4"/>
      <c r="BN9" s="4"/>
      <c r="BO9" s="4"/>
      <c r="BP9" s="4"/>
    </row>
    <row r="10" spans="1:68" ht="15" customHeight="1">
      <c r="A10" s="9"/>
      <c r="B10" s="9"/>
      <c r="C10" s="9"/>
      <c r="D10" s="9"/>
      <c r="E10" s="9"/>
      <c r="F10" s="9"/>
      <c r="P10" s="6" t="str">
        <f>Настройки!A7</f>
        <v>Имитация</v>
      </c>
      <c r="Q10" s="5">
        <f>Настройки!B7</f>
        <v>16</v>
      </c>
      <c r="R10" s="5" t="str">
        <f>Настройки!C7</f>
        <v>Имитация</v>
      </c>
      <c r="S10" s="12"/>
      <c r="T10" s="548" t="str">
        <f>Настройки!M15</f>
        <v>Номер КП модуля IEC 4</v>
      </c>
      <c r="U10" s="10"/>
      <c r="V10" s="10"/>
      <c r="W10" s="10"/>
      <c r="X10" s="10"/>
      <c r="Y10" s="10"/>
      <c r="Z10" s="10"/>
      <c r="AA10" s="10"/>
      <c r="AB10" s="10"/>
      <c r="AC10" s="10"/>
      <c r="BM10" s="4"/>
      <c r="BN10" s="4"/>
      <c r="BO10" s="4"/>
      <c r="BP10" s="4"/>
    </row>
    <row r="11" spans="1:68" ht="15" customHeight="1">
      <c r="A11" s="9"/>
      <c r="B11" s="9"/>
      <c r="C11" s="9"/>
      <c r="D11" s="9"/>
      <c r="E11" s="9"/>
      <c r="F11" s="9"/>
      <c r="P11" s="6" t="str">
        <f>Настройки!A8</f>
        <v>Ремонт</v>
      </c>
      <c r="Q11" s="5">
        <f>Настройки!B8</f>
        <v>14</v>
      </c>
      <c r="R11" s="5" t="str">
        <f>Настройки!C8</f>
        <v>Ремонт</v>
      </c>
      <c r="S11" s="12">
        <v>29</v>
      </c>
      <c r="T11" s="656">
        <f>Настройки!M16</f>
        <v>1</v>
      </c>
      <c r="U11" s="10"/>
      <c r="V11" s="10"/>
      <c r="W11" s="10"/>
      <c r="X11" s="10"/>
      <c r="Y11" s="10"/>
      <c r="Z11" s="10"/>
      <c r="AA11" s="10"/>
      <c r="AB11" s="10"/>
      <c r="AC11" s="10"/>
      <c r="BM11" s="4"/>
      <c r="BN11" s="4"/>
      <c r="BO11" s="4"/>
      <c r="BP11" s="4"/>
    </row>
    <row r="12" spans="1:68"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2"/>
      <c r="T12" s="10"/>
      <c r="U12" s="10"/>
      <c r="V12" s="10"/>
      <c r="W12" s="10"/>
      <c r="X12" s="10"/>
      <c r="Y12" s="10"/>
      <c r="Z12" s="10"/>
      <c r="AA12" s="10"/>
      <c r="AB12" s="10"/>
      <c r="AC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2"/>
      <c r="T13" s="10"/>
      <c r="U13" s="10"/>
      <c r="V13" s="10"/>
      <c r="W13" s="10"/>
      <c r="X13" s="10"/>
      <c r="Y13" s="10"/>
      <c r="Z13" s="10"/>
      <c r="AA13" s="10"/>
      <c r="AB13" s="10"/>
      <c r="AC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2"/>
      <c r="T14" s="10"/>
      <c r="U14" s="10"/>
      <c r="V14" s="10"/>
      <c r="W14" s="10"/>
      <c r="X14" s="10"/>
      <c r="Y14" s="10"/>
      <c r="Z14" s="10"/>
      <c r="AA14" s="10"/>
      <c r="AB14" s="10"/>
      <c r="AC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2"/>
      <c r="T15" s="10"/>
      <c r="U15" s="10"/>
      <c r="V15" s="10"/>
      <c r="W15" s="10"/>
      <c r="X15" s="10"/>
      <c r="Y15" s="10"/>
      <c r="Z15" s="10"/>
      <c r="AA15" s="10"/>
      <c r="AB15" s="10"/>
      <c r="AC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2"/>
      <c r="T16" s="10"/>
      <c r="U16" s="10"/>
      <c r="V16" s="10"/>
      <c r="W16" s="10"/>
      <c r="X16" s="10"/>
      <c r="Y16" s="10"/>
      <c r="Z16" s="10"/>
      <c r="AA16" s="10"/>
      <c r="AB16" s="10"/>
      <c r="AC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2"/>
      <c r="T17" s="10"/>
      <c r="U17" s="10"/>
      <c r="V17" s="10"/>
      <c r="W17" s="10"/>
      <c r="X17" s="10"/>
      <c r="Y17" s="10"/>
      <c r="Z17" s="10"/>
      <c r="AA17" s="10"/>
      <c r="AB17" s="10"/>
      <c r="AC17" s="10"/>
      <c r="BM17" s="4"/>
      <c r="BN17" s="4"/>
      <c r="BO17" s="4"/>
      <c r="BP17" s="4"/>
    </row>
    <row r="18" spans="1:68" ht="15" customHeight="1">
      <c r="A18" s="9"/>
      <c r="B18" s="9"/>
      <c r="C18" s="9"/>
      <c r="D18" s="9"/>
      <c r="E18" s="9"/>
      <c r="F18" s="9"/>
      <c r="P18" s="6" t="str">
        <f>Настройки!A15</f>
        <v>Отключение</v>
      </c>
      <c r="Q18" s="5">
        <f>Настройки!B15</f>
        <v>13</v>
      </c>
      <c r="R18" s="5" t="str">
        <f>Настройки!C15</f>
        <v>Отключение</v>
      </c>
      <c r="S18" s="12"/>
      <c r="T18" s="10"/>
      <c r="U18" s="10"/>
      <c r="V18" s="10"/>
      <c r="W18" s="10"/>
      <c r="X18" s="10"/>
      <c r="Y18" s="10"/>
      <c r="Z18" s="10"/>
      <c r="AA18" s="10"/>
      <c r="AB18" s="10"/>
      <c r="AC18" s="10"/>
      <c r="BM18" s="4"/>
      <c r="BN18" s="4"/>
      <c r="BO18" s="4"/>
      <c r="BP18" s="4"/>
    </row>
    <row r="19" spans="1:68" ht="15" customHeight="1">
      <c r="A19" s="9"/>
      <c r="B19" s="9"/>
      <c r="C19" s="9"/>
      <c r="D19" s="9"/>
      <c r="E19" s="9"/>
      <c r="F19" s="9"/>
      <c r="P19" s="6" t="str">
        <f>Настройки!A16</f>
        <v>Информация</v>
      </c>
      <c r="Q19" s="5">
        <f>Настройки!B16</f>
        <v>22</v>
      </c>
      <c r="R19" s="5" t="str">
        <f>Настройки!C16</f>
        <v>Информация</v>
      </c>
      <c r="S19" s="12"/>
      <c r="T19" s="10"/>
      <c r="U19" s="10"/>
      <c r="V19" s="10"/>
      <c r="W19" s="10"/>
      <c r="X19" s="10"/>
      <c r="Y19" s="10"/>
      <c r="Z19" s="10"/>
      <c r="AA19" s="10"/>
      <c r="AB19" s="10"/>
      <c r="AC19" s="10"/>
      <c r="BM19" s="4"/>
      <c r="BN19" s="4"/>
      <c r="BO19" s="4"/>
      <c r="BP19" s="4"/>
    </row>
    <row r="20" spans="1:68" ht="15" customHeight="1">
      <c r="A20" s="16" t="str">
        <f t="shared" ref="A20:A32" si="0">$R$2</f>
        <v>FB_DO_BUF_S</v>
      </c>
      <c r="B20" s="17">
        <v>11001</v>
      </c>
      <c r="C20" s="17" t="s">
        <v>0</v>
      </c>
      <c r="D20" s="18" t="str">
        <f>$Q$2</f>
        <v>Дискретный выход FB с буферизацией</v>
      </c>
      <c r="E20" s="4"/>
      <c r="F20" s="4"/>
      <c r="BM20" s="4"/>
      <c r="BN20" s="4"/>
      <c r="BO20" s="4"/>
      <c r="BP20" s="4"/>
    </row>
    <row r="21" spans="1:68" ht="15" customHeight="1">
      <c r="A21" s="19" t="str">
        <f t="shared" si="0"/>
        <v>FB_DO_BUF_S</v>
      </c>
      <c r="B21" s="11">
        <v>11156</v>
      </c>
      <c r="C21" s="11" t="s">
        <v>0</v>
      </c>
      <c r="D21" s="20" t="str">
        <f>$V$2</f>
        <v>Тестовый экран</v>
      </c>
      <c r="E21" s="4"/>
      <c r="F21" s="4"/>
      <c r="BM21" s="4"/>
      <c r="BN21" s="4"/>
      <c r="BO21" s="4"/>
      <c r="BP21" s="4"/>
    </row>
    <row r="22" spans="1:68" ht="15" customHeight="1">
      <c r="A22" s="19" t="str">
        <f t="shared" si="0"/>
        <v>FB_DO_BUF_S</v>
      </c>
      <c r="B22" s="11">
        <v>1</v>
      </c>
      <c r="C22" s="11" t="s">
        <v>1</v>
      </c>
      <c r="D22" s="20">
        <v>17</v>
      </c>
      <c r="BM22" s="4"/>
      <c r="BN22" s="4"/>
      <c r="BO22" s="4"/>
      <c r="BP22" s="4"/>
    </row>
    <row r="23" spans="1:68" ht="15" customHeight="1">
      <c r="A23" s="16" t="str">
        <f t="shared" si="0"/>
        <v>FB_DO_BUF_S</v>
      </c>
      <c r="B23" s="17">
        <v>100</v>
      </c>
      <c r="C23" s="17" t="s">
        <v>0</v>
      </c>
      <c r="D23" s="18" t="b">
        <f>$T$7</f>
        <v>0</v>
      </c>
      <c r="BF23" s="4"/>
      <c r="BG23" s="4"/>
      <c r="BH23" s="4"/>
      <c r="BI23" s="4"/>
    </row>
    <row r="24" spans="1:68" ht="15" customHeight="1">
      <c r="A24" s="19" t="str">
        <f t="shared" si="0"/>
        <v>FB_DO_BUF_S</v>
      </c>
      <c r="B24" s="11">
        <v>11120</v>
      </c>
      <c r="C24" s="11" t="s">
        <v>0</v>
      </c>
      <c r="D24" s="20" t="str">
        <f>$AC$2</f>
        <v>Желтый</v>
      </c>
      <c r="BM24" s="4"/>
      <c r="BN24" s="4"/>
      <c r="BO24" s="4"/>
      <c r="BP24" s="4"/>
    </row>
    <row r="25" spans="1:68" ht="15" customHeight="1">
      <c r="A25" s="19" t="str">
        <f t="shared" si="0"/>
        <v>FB_DO_BUF_S</v>
      </c>
      <c r="B25" s="11">
        <v>11121</v>
      </c>
      <c r="C25" s="11" t="s">
        <v>0</v>
      </c>
      <c r="D25" s="20" t="str">
        <f>$AK$2</f>
        <v>10+10</v>
      </c>
      <c r="BM25" s="4"/>
      <c r="BN25" s="4"/>
      <c r="BO25" s="4"/>
      <c r="BP25" s="4"/>
    </row>
    <row r="26" spans="1:68" ht="15" customHeight="1">
      <c r="A26" s="19" t="str">
        <f t="shared" si="0"/>
        <v>FB_DO_BUF_S</v>
      </c>
      <c r="B26" s="11">
        <v>11122</v>
      </c>
      <c r="C26" s="11" t="s">
        <v>0</v>
      </c>
      <c r="D26" s="20" t="str">
        <f>$AO$2</f>
        <v>10+11</v>
      </c>
      <c r="BM26" s="4"/>
      <c r="BN26" s="4"/>
      <c r="BO26" s="4"/>
      <c r="BP26" s="4"/>
    </row>
    <row r="27" spans="1:68" ht="15" customHeight="1">
      <c r="A27" s="19" t="str">
        <f t="shared" si="0"/>
        <v>FB_DO_BUF_S</v>
      </c>
      <c r="B27" s="11">
        <v>11123</v>
      </c>
      <c r="C27" s="11" t="s">
        <v>0</v>
      </c>
      <c r="D27" s="20" t="str">
        <f>$AQ$2</f>
        <v>11+5</v>
      </c>
      <c r="BM27" s="4"/>
      <c r="BN27" s="4"/>
      <c r="BO27" s="4"/>
      <c r="BP27" s="4"/>
    </row>
    <row r="28" spans="1:68" ht="15" customHeight="1">
      <c r="A28" s="21" t="str">
        <f t="shared" si="0"/>
        <v>FB_DO_BUF_S</v>
      </c>
      <c r="B28" s="8">
        <v>11124</v>
      </c>
      <c r="C28" s="8" t="s">
        <v>0</v>
      </c>
      <c r="D28" s="22" t="str">
        <f>$AR$2</f>
        <v>11+6</v>
      </c>
      <c r="BM28" s="4"/>
      <c r="BN28" s="4"/>
      <c r="BO28" s="4"/>
      <c r="BP28" s="4"/>
    </row>
    <row r="29" spans="1:68" ht="15" customHeight="1">
      <c r="A29" s="19" t="str">
        <f t="shared" si="0"/>
        <v>FB_DO_BUF_S</v>
      </c>
      <c r="B29" s="11">
        <v>13</v>
      </c>
      <c r="C29" s="11" t="s">
        <v>2</v>
      </c>
      <c r="D29" s="20" t="s">
        <v>3</v>
      </c>
      <c r="BF29" s="4"/>
      <c r="BG29" s="4"/>
      <c r="BH29" s="4"/>
      <c r="BI29" s="4"/>
    </row>
    <row r="30" spans="1:68" ht="15" customHeight="1">
      <c r="A30" s="19" t="str">
        <f t="shared" si="0"/>
        <v>FB_DO_BUF_S</v>
      </c>
      <c r="B30" s="11">
        <v>3000013</v>
      </c>
      <c r="C30" s="11" t="s">
        <v>0</v>
      </c>
      <c r="D30" s="20" t="str">
        <f>$AE$2</f>
        <v>Диагностика.CPU.NOT_LINK.noLink</v>
      </c>
      <c r="BF30" s="4"/>
      <c r="BG30" s="4"/>
      <c r="BH30" s="4"/>
      <c r="BI30" s="4"/>
    </row>
    <row r="31" spans="1:68" ht="15" customHeight="1">
      <c r="A31" s="19" t="str">
        <f t="shared" si="0"/>
        <v>FB_DO_BUF_S</v>
      </c>
      <c r="B31" s="11">
        <v>4000013</v>
      </c>
      <c r="C31" s="11" t="s">
        <v>0</v>
      </c>
      <c r="D31" s="20" t="s">
        <v>1769</v>
      </c>
      <c r="BF31" s="4"/>
      <c r="BG31" s="4"/>
      <c r="BH31" s="4"/>
      <c r="BI31" s="4"/>
    </row>
    <row r="32" spans="1:68" ht="15" customHeight="1">
      <c r="A32" s="21" t="str">
        <f t="shared" si="0"/>
        <v>FB_DO_BUF_S</v>
      </c>
      <c r="B32" s="8">
        <v>7000013</v>
      </c>
      <c r="C32" s="8" t="s">
        <v>6</v>
      </c>
      <c r="D32" s="22">
        <v>2</v>
      </c>
      <c r="BF32" s="4"/>
      <c r="BG32" s="4"/>
      <c r="BH32" s="4"/>
      <c r="BI32" s="4"/>
    </row>
    <row r="33" spans="1:68" ht="15" customHeight="1">
      <c r="A33" s="69" t="str">
        <f t="shared" ref="A33:A42" si="1">$R$2&amp;".LAON"</f>
        <v>FB_DO_BUF_S.LAON</v>
      </c>
      <c r="B33" s="70">
        <v>11154</v>
      </c>
      <c r="C33" s="70" t="s">
        <v>4</v>
      </c>
      <c r="D33" s="144">
        <f>$Q$6</f>
        <v>8</v>
      </c>
      <c r="BM33" s="4"/>
      <c r="BN33" s="4"/>
      <c r="BO33" s="4"/>
      <c r="BP33" s="4"/>
    </row>
    <row r="34" spans="1:68" ht="15" customHeight="1">
      <c r="A34" s="63" t="str">
        <f t="shared" si="1"/>
        <v>FB_DO_BUF_S.LAON</v>
      </c>
      <c r="B34" s="64">
        <v>11150</v>
      </c>
      <c r="C34" s="64" t="s">
        <v>0</v>
      </c>
      <c r="D34" s="65" t="s">
        <v>535</v>
      </c>
      <c r="BM34" s="4"/>
      <c r="BN34" s="4"/>
      <c r="BO34" s="4"/>
      <c r="BP34" s="4"/>
    </row>
    <row r="35" spans="1:68" ht="15" customHeight="1">
      <c r="A35" s="63" t="str">
        <f t="shared" si="1"/>
        <v>FB_DO_BUF_S.LAON</v>
      </c>
      <c r="B35" s="64">
        <v>11152</v>
      </c>
      <c r="C35" s="64" t="s">
        <v>0</v>
      </c>
      <c r="D35" s="99" t="str">
        <f>$R$6</f>
        <v>Предупреждение</v>
      </c>
      <c r="BM35" s="4"/>
      <c r="BN35" s="4"/>
      <c r="BO35" s="4"/>
      <c r="BP35" s="4"/>
    </row>
    <row r="36" spans="1:68" ht="15" customHeight="1">
      <c r="A36" s="63" t="str">
        <f t="shared" si="1"/>
        <v>FB_DO_BUF_S.LAON</v>
      </c>
      <c r="B36" s="64">
        <v>11000</v>
      </c>
      <c r="C36" s="64" t="s">
        <v>5</v>
      </c>
      <c r="D36" s="65">
        <v>2147483680</v>
      </c>
      <c r="BM36" s="4"/>
      <c r="BN36" s="4"/>
      <c r="BO36" s="4"/>
      <c r="BP36" s="4"/>
    </row>
    <row r="37" spans="1:68" ht="15" customHeight="1">
      <c r="A37" s="19" t="str">
        <f t="shared" si="1"/>
        <v>FB_DO_BUF_S.LAON</v>
      </c>
      <c r="B37" s="11">
        <v>7999</v>
      </c>
      <c r="C37" s="11" t="s">
        <v>0</v>
      </c>
      <c r="D37" s="20" t="str">
        <f>"#"&amp;$S$2&amp;"#"&amp;$T$2&amp;"\"&amp;$P$2&amp;"\LAON"</f>
        <v>#1#treiOPCDA.CoOPCserv.1\pcmaster\ALARM_SOUND\LAON</v>
      </c>
      <c r="BM37" s="4"/>
      <c r="BN37" s="4"/>
      <c r="BO37" s="4"/>
      <c r="BP37" s="4"/>
    </row>
    <row r="38" spans="1:68" ht="15" customHeight="1">
      <c r="A38" s="19" t="str">
        <f t="shared" si="1"/>
        <v>FB_DO_BUF_S.LAON</v>
      </c>
      <c r="B38" s="11">
        <v>7998</v>
      </c>
      <c r="C38" s="11" t="s">
        <v>6</v>
      </c>
      <c r="D38" s="20">
        <v>1</v>
      </c>
      <c r="BM38" s="4"/>
      <c r="BN38" s="4"/>
      <c r="BO38" s="4"/>
      <c r="BP38" s="4"/>
    </row>
    <row r="39" spans="1:68" ht="15" customHeight="1">
      <c r="A39" s="19" t="str">
        <f t="shared" si="1"/>
        <v>FB_DO_BUF_S.LAON</v>
      </c>
      <c r="B39" s="11">
        <v>101</v>
      </c>
      <c r="C39" s="11" t="s">
        <v>0</v>
      </c>
      <c r="D39" s="20" t="s">
        <v>159</v>
      </c>
      <c r="BM39" s="4"/>
      <c r="BN39" s="4"/>
      <c r="BO39" s="4"/>
      <c r="BP39" s="4"/>
    </row>
    <row r="40" spans="1:68" ht="15" customHeight="1">
      <c r="A40" s="19" t="str">
        <f t="shared" si="1"/>
        <v>FB_DO_BUF_S.LAON</v>
      </c>
      <c r="B40" s="11">
        <v>3</v>
      </c>
      <c r="C40" s="11" t="s">
        <v>1</v>
      </c>
      <c r="D40" s="20">
        <v>192</v>
      </c>
      <c r="BM40" s="4"/>
      <c r="BN40" s="4"/>
      <c r="BO40" s="4"/>
      <c r="BP40" s="4"/>
    </row>
    <row r="41" spans="1:68" ht="15" customHeight="1">
      <c r="A41" s="19" t="str">
        <f t="shared" si="1"/>
        <v>FB_DO_BUF_S.LAON</v>
      </c>
      <c r="B41" s="11">
        <v>2</v>
      </c>
      <c r="C41" s="11" t="s">
        <v>2</v>
      </c>
      <c r="D41" s="20" t="s">
        <v>3</v>
      </c>
      <c r="BM41" s="4"/>
      <c r="BN41" s="4"/>
      <c r="BO41" s="4"/>
      <c r="BP41" s="4"/>
    </row>
    <row r="42" spans="1:68" ht="15" customHeight="1">
      <c r="A42" s="21" t="str">
        <f t="shared" si="1"/>
        <v>FB_DO_BUF_S.LAON</v>
      </c>
      <c r="B42" s="8">
        <v>1</v>
      </c>
      <c r="C42" s="8" t="s">
        <v>1</v>
      </c>
      <c r="D42" s="22">
        <v>11</v>
      </c>
      <c r="BM42" s="4"/>
      <c r="BN42" s="4"/>
      <c r="BO42" s="4"/>
      <c r="BP42" s="4"/>
    </row>
    <row r="43" spans="1:68" ht="15" customHeight="1">
      <c r="A43" s="69" t="str">
        <f t="shared" ref="A43:A52" si="2">$R$2&amp;".LAOF"</f>
        <v>FB_DO_BUF_S.LAOF</v>
      </c>
      <c r="B43" s="70">
        <v>11154</v>
      </c>
      <c r="C43" s="70" t="s">
        <v>4</v>
      </c>
      <c r="D43" s="144">
        <f>$Q$6</f>
        <v>8</v>
      </c>
      <c r="BM43" s="4"/>
      <c r="BN43" s="4"/>
      <c r="BO43" s="4"/>
      <c r="BP43" s="4"/>
    </row>
    <row r="44" spans="1:68" ht="15" customHeight="1">
      <c r="A44" s="63" t="str">
        <f t="shared" si="2"/>
        <v>FB_DO_BUF_S.LAOF</v>
      </c>
      <c r="B44" s="64">
        <v>11150</v>
      </c>
      <c r="C44" s="64" t="s">
        <v>0</v>
      </c>
      <c r="D44" s="65" t="s">
        <v>536</v>
      </c>
      <c r="BM44" s="4"/>
      <c r="BN44" s="4"/>
      <c r="BO44" s="4"/>
      <c r="BP44" s="4"/>
    </row>
    <row r="45" spans="1:68" ht="15" customHeight="1">
      <c r="A45" s="63" t="str">
        <f t="shared" si="2"/>
        <v>FB_DO_BUF_S.LAOF</v>
      </c>
      <c r="B45" s="64">
        <v>11152</v>
      </c>
      <c r="C45" s="64" t="s">
        <v>0</v>
      </c>
      <c r="D45" s="99" t="str">
        <f>$R$6</f>
        <v>Предупреждение</v>
      </c>
      <c r="BM45" s="4"/>
      <c r="BN45" s="4"/>
      <c r="BO45" s="4"/>
      <c r="BP45" s="4"/>
    </row>
    <row r="46" spans="1:68" ht="15" customHeight="1">
      <c r="A46" s="63" t="str">
        <f t="shared" si="2"/>
        <v>FB_DO_BUF_S.LAOF</v>
      </c>
      <c r="B46" s="64">
        <v>11000</v>
      </c>
      <c r="C46" s="64" t="s">
        <v>5</v>
      </c>
      <c r="D46" s="65">
        <v>2147483680</v>
      </c>
      <c r="BM46" s="4"/>
      <c r="BN46" s="4"/>
      <c r="BO46" s="4"/>
      <c r="BP46" s="4"/>
    </row>
    <row r="47" spans="1:68" ht="15" customHeight="1">
      <c r="A47" s="19" t="str">
        <f t="shared" si="2"/>
        <v>FB_DO_BUF_S.LAOF</v>
      </c>
      <c r="B47" s="11">
        <v>7999</v>
      </c>
      <c r="C47" s="11" t="s">
        <v>0</v>
      </c>
      <c r="D47" s="20" t="str">
        <f>"#"&amp;$S$2&amp;"#"&amp;$T$2&amp;"\"&amp;$P$2&amp;"\LAOF"</f>
        <v>#1#treiOPCDA.CoOPCserv.1\pcmaster\ALARM_SOUND\LAOF</v>
      </c>
      <c r="BM47" s="4"/>
      <c r="BN47" s="4"/>
      <c r="BO47" s="4"/>
      <c r="BP47" s="4"/>
    </row>
    <row r="48" spans="1:68" ht="15" customHeight="1">
      <c r="A48" s="19" t="str">
        <f t="shared" si="2"/>
        <v>FB_DO_BUF_S.LAOF</v>
      </c>
      <c r="B48" s="11">
        <v>7998</v>
      </c>
      <c r="C48" s="11" t="s">
        <v>6</v>
      </c>
      <c r="D48" s="20">
        <v>1</v>
      </c>
      <c r="BM48" s="4"/>
      <c r="BN48" s="4"/>
      <c r="BO48" s="4"/>
      <c r="BP48" s="4"/>
    </row>
    <row r="49" spans="1:68" ht="15" customHeight="1">
      <c r="A49" s="19" t="str">
        <f t="shared" si="2"/>
        <v>FB_DO_BUF_S.LAOF</v>
      </c>
      <c r="B49" s="11">
        <v>101</v>
      </c>
      <c r="C49" s="11" t="s">
        <v>0</v>
      </c>
      <c r="D49" s="20" t="s">
        <v>525</v>
      </c>
      <c r="BM49" s="4"/>
      <c r="BN49" s="4"/>
      <c r="BO49" s="4"/>
      <c r="BP49" s="4"/>
    </row>
    <row r="50" spans="1:68" ht="15" customHeight="1">
      <c r="A50" s="19" t="str">
        <f t="shared" si="2"/>
        <v>FB_DO_BUF_S.LAOF</v>
      </c>
      <c r="B50" s="11">
        <v>3</v>
      </c>
      <c r="C50" s="11" t="s">
        <v>1</v>
      </c>
      <c r="D50" s="20">
        <v>192</v>
      </c>
      <c r="BM50" s="4"/>
      <c r="BN50" s="4"/>
      <c r="BO50" s="4"/>
      <c r="BP50" s="4"/>
    </row>
    <row r="51" spans="1:68" ht="15" customHeight="1">
      <c r="A51" s="19" t="str">
        <f t="shared" si="2"/>
        <v>FB_DO_BUF_S.LAOF</v>
      </c>
      <c r="B51" s="11">
        <v>2</v>
      </c>
      <c r="C51" s="11" t="s">
        <v>2</v>
      </c>
      <c r="D51" s="20" t="s">
        <v>3</v>
      </c>
      <c r="BM51" s="4"/>
      <c r="BN51" s="4"/>
      <c r="BO51" s="4"/>
      <c r="BP51" s="4"/>
    </row>
    <row r="52" spans="1:68" ht="15" customHeight="1">
      <c r="A52" s="21" t="str">
        <f t="shared" si="2"/>
        <v>FB_DO_BUF_S.LAOF</v>
      </c>
      <c r="B52" s="8">
        <v>1</v>
      </c>
      <c r="C52" s="8" t="s">
        <v>1</v>
      </c>
      <c r="D52" s="22">
        <v>11</v>
      </c>
      <c r="BM52" s="4"/>
      <c r="BN52" s="4"/>
      <c r="BO52" s="4"/>
      <c r="BP52" s="4"/>
    </row>
    <row r="53" spans="1:68" ht="15" customHeight="1">
      <c r="A53" s="69" t="str">
        <f t="shared" ref="A53:A62" si="3">$R$2&amp;".CEON"</f>
        <v>FB_DO_BUF_S.CEON</v>
      </c>
      <c r="B53" s="70">
        <v>11154</v>
      </c>
      <c r="C53" s="70" t="s">
        <v>4</v>
      </c>
      <c r="D53" s="144">
        <f>$Q$6</f>
        <v>8</v>
      </c>
      <c r="BM53" s="4"/>
      <c r="BN53" s="4"/>
      <c r="BO53" s="4"/>
      <c r="BP53" s="4"/>
    </row>
    <row r="54" spans="1:68" ht="15" customHeight="1">
      <c r="A54" s="63" t="str">
        <f t="shared" si="3"/>
        <v>FB_DO_BUF_S.CEON</v>
      </c>
      <c r="B54" s="64">
        <v>11150</v>
      </c>
      <c r="C54" s="64" t="s">
        <v>0</v>
      </c>
      <c r="D54" s="65" t="s">
        <v>1829</v>
      </c>
      <c r="BM54" s="4"/>
      <c r="BN54" s="4"/>
      <c r="BO54" s="4"/>
      <c r="BP54" s="4"/>
    </row>
    <row r="55" spans="1:68" ht="15" customHeight="1">
      <c r="A55" s="63" t="str">
        <f t="shared" si="3"/>
        <v>FB_DO_BUF_S.CEON</v>
      </c>
      <c r="B55" s="64">
        <v>11152</v>
      </c>
      <c r="C55" s="64" t="s">
        <v>0</v>
      </c>
      <c r="D55" s="99" t="str">
        <f>$R$6</f>
        <v>Предупреждение</v>
      </c>
      <c r="BM55" s="4"/>
      <c r="BN55" s="4"/>
      <c r="BO55" s="4"/>
      <c r="BP55" s="4"/>
    </row>
    <row r="56" spans="1:68" ht="15" customHeight="1">
      <c r="A56" s="63" t="str">
        <f t="shared" si="3"/>
        <v>FB_DO_BUF_S.CEON</v>
      </c>
      <c r="B56" s="64">
        <v>11000</v>
      </c>
      <c r="C56" s="64" t="s">
        <v>5</v>
      </c>
      <c r="D56" s="65">
        <v>2147483680</v>
      </c>
      <c r="BM56" s="4"/>
      <c r="BN56" s="4"/>
      <c r="BO56" s="4"/>
      <c r="BP56" s="4"/>
    </row>
    <row r="57" spans="1:68" ht="15" customHeight="1">
      <c r="A57" s="19" t="str">
        <f t="shared" si="3"/>
        <v>FB_DO_BUF_S.CEON</v>
      </c>
      <c r="B57" s="11">
        <v>7999</v>
      </c>
      <c r="C57" s="11" t="s">
        <v>0</v>
      </c>
      <c r="D57" s="20" t="str">
        <f>"#"&amp;$S$2&amp;"#"&amp;$T$2&amp;"\"&amp;$P$2&amp;"\CEON"</f>
        <v>#1#treiOPCDA.CoOPCserv.1\pcmaster\ALARM_SOUND\CEON</v>
      </c>
      <c r="BM57" s="4"/>
      <c r="BN57" s="4"/>
      <c r="BO57" s="4"/>
      <c r="BP57" s="4"/>
    </row>
    <row r="58" spans="1:68" ht="15" customHeight="1">
      <c r="A58" s="19" t="str">
        <f t="shared" si="3"/>
        <v>FB_DO_BUF_S.CEON</v>
      </c>
      <c r="B58" s="11">
        <v>7998</v>
      </c>
      <c r="C58" s="11" t="s">
        <v>6</v>
      </c>
      <c r="D58" s="20">
        <v>1</v>
      </c>
      <c r="BM58" s="4"/>
      <c r="BN58" s="4"/>
      <c r="BO58" s="4"/>
      <c r="BP58" s="4"/>
    </row>
    <row r="59" spans="1:68" ht="15" customHeight="1">
      <c r="A59" s="19" t="str">
        <f t="shared" si="3"/>
        <v>FB_DO_BUF_S.CEON</v>
      </c>
      <c r="B59" s="11">
        <v>101</v>
      </c>
      <c r="C59" s="11" t="s">
        <v>0</v>
      </c>
      <c r="D59" s="20" t="s">
        <v>1835</v>
      </c>
      <c r="BM59" s="4"/>
      <c r="BN59" s="4"/>
      <c r="BO59" s="4"/>
      <c r="BP59" s="4"/>
    </row>
    <row r="60" spans="1:68" ht="15" customHeight="1">
      <c r="A60" s="19" t="str">
        <f t="shared" si="3"/>
        <v>FB_DO_BUF_S.CEON</v>
      </c>
      <c r="B60" s="11">
        <v>3</v>
      </c>
      <c r="C60" s="11" t="s">
        <v>1</v>
      </c>
      <c r="D60" s="20">
        <v>192</v>
      </c>
      <c r="BM60" s="4"/>
      <c r="BN60" s="4"/>
      <c r="BO60" s="4"/>
      <c r="BP60" s="4"/>
    </row>
    <row r="61" spans="1:68" ht="15" customHeight="1">
      <c r="A61" s="19" t="str">
        <f t="shared" si="3"/>
        <v>FB_DO_BUF_S.CEON</v>
      </c>
      <c r="B61" s="11">
        <v>2</v>
      </c>
      <c r="C61" s="11" t="s">
        <v>2</v>
      </c>
      <c r="D61" s="20" t="s">
        <v>3</v>
      </c>
      <c r="BM61" s="4"/>
      <c r="BN61" s="4"/>
      <c r="BO61" s="4"/>
      <c r="BP61" s="4"/>
    </row>
    <row r="62" spans="1:68" ht="15" customHeight="1">
      <c r="A62" s="21" t="str">
        <f t="shared" si="3"/>
        <v>FB_DO_BUF_S.CEON</v>
      </c>
      <c r="B62" s="8">
        <v>1</v>
      </c>
      <c r="C62" s="8" t="s">
        <v>1</v>
      </c>
      <c r="D62" s="22">
        <v>11</v>
      </c>
      <c r="BM62" s="4"/>
      <c r="BN62" s="4"/>
      <c r="BO62" s="4"/>
      <c r="BP62" s="4"/>
    </row>
    <row r="63" spans="1:68" ht="15" customHeight="1">
      <c r="A63" s="69" t="str">
        <f t="shared" ref="A63:A72" si="4">$R$2&amp;".CEOF"</f>
        <v>FB_DO_BUF_S.CEOF</v>
      </c>
      <c r="B63" s="70">
        <v>11154</v>
      </c>
      <c r="C63" s="70" t="s">
        <v>4</v>
      </c>
      <c r="D63" s="144">
        <f>$Q$6</f>
        <v>8</v>
      </c>
    </row>
    <row r="64" spans="1:68" ht="15" customHeight="1">
      <c r="A64" s="63" t="str">
        <f t="shared" si="4"/>
        <v>FB_DO_BUF_S.CEOF</v>
      </c>
      <c r="B64" s="64">
        <v>11150</v>
      </c>
      <c r="C64" s="64" t="s">
        <v>0</v>
      </c>
      <c r="D64" s="65" t="s">
        <v>1830</v>
      </c>
    </row>
    <row r="65" spans="1:22" ht="15" customHeight="1">
      <c r="A65" s="63" t="str">
        <f t="shared" si="4"/>
        <v>FB_DO_BUF_S.CEOF</v>
      </c>
      <c r="B65" s="64">
        <v>11152</v>
      </c>
      <c r="C65" s="64" t="s">
        <v>0</v>
      </c>
      <c r="D65" s="99" t="str">
        <f>$R$6</f>
        <v>Предупреждение</v>
      </c>
    </row>
    <row r="66" spans="1:22" ht="15" customHeight="1">
      <c r="A66" s="63" t="str">
        <f t="shared" si="4"/>
        <v>FB_DO_BUF_S.CEOF</v>
      </c>
      <c r="B66" s="64">
        <v>11000</v>
      </c>
      <c r="C66" s="64" t="s">
        <v>5</v>
      </c>
      <c r="D66" s="65">
        <v>2147483680</v>
      </c>
    </row>
    <row r="67" spans="1:22">
      <c r="A67" s="19" t="str">
        <f t="shared" si="4"/>
        <v>FB_DO_BUF_S.CEOF</v>
      </c>
      <c r="B67" s="11">
        <v>7999</v>
      </c>
      <c r="C67" s="11" t="s">
        <v>0</v>
      </c>
      <c r="D67" s="20" t="str">
        <f>"#"&amp;$S$2&amp;"#"&amp;$T$2&amp;"\"&amp;$P$2&amp;"\CEOF"</f>
        <v>#1#treiOPCDA.CoOPCserv.1\pcmaster\ALARM_SOUND\CEOF</v>
      </c>
      <c r="Q67" s="4"/>
      <c r="R67" s="4"/>
      <c r="S67" s="4"/>
      <c r="T67" s="4"/>
      <c r="U67" s="4"/>
      <c r="V67" s="4"/>
    </row>
    <row r="68" spans="1:22">
      <c r="A68" s="19" t="str">
        <f t="shared" si="4"/>
        <v>FB_DO_BUF_S.CEOF</v>
      </c>
      <c r="B68" s="11">
        <v>7998</v>
      </c>
      <c r="C68" s="11" t="s">
        <v>6</v>
      </c>
      <c r="D68" s="20">
        <v>1</v>
      </c>
      <c r="Q68" s="4"/>
      <c r="R68" s="4"/>
      <c r="S68" s="4"/>
      <c r="T68" s="4"/>
      <c r="U68" s="4"/>
      <c r="V68" s="4"/>
    </row>
    <row r="69" spans="1:22">
      <c r="A69" s="19" t="str">
        <f t="shared" si="4"/>
        <v>FB_DO_BUF_S.CEOF</v>
      </c>
      <c r="B69" s="11">
        <v>101</v>
      </c>
      <c r="C69" s="11" t="s">
        <v>0</v>
      </c>
      <c r="D69" s="20" t="s">
        <v>1836</v>
      </c>
      <c r="Q69" s="4"/>
      <c r="R69" s="4"/>
      <c r="S69" s="4"/>
      <c r="T69" s="4"/>
      <c r="U69" s="4"/>
      <c r="V69" s="4"/>
    </row>
    <row r="70" spans="1:22">
      <c r="A70" s="19" t="str">
        <f t="shared" si="4"/>
        <v>FB_DO_BUF_S.CEOF</v>
      </c>
      <c r="B70" s="11">
        <v>3</v>
      </c>
      <c r="C70" s="11" t="s">
        <v>1</v>
      </c>
      <c r="D70" s="20">
        <v>192</v>
      </c>
      <c r="Q70" s="4"/>
      <c r="R70" s="4"/>
      <c r="S70" s="4"/>
      <c r="T70" s="4"/>
      <c r="U70" s="4"/>
      <c r="V70" s="4"/>
    </row>
    <row r="71" spans="1:22">
      <c r="A71" s="19" t="str">
        <f t="shared" si="4"/>
        <v>FB_DO_BUF_S.CEOF</v>
      </c>
      <c r="B71" s="11">
        <v>2</v>
      </c>
      <c r="C71" s="11" t="s">
        <v>2</v>
      </c>
      <c r="D71" s="20" t="s">
        <v>3</v>
      </c>
      <c r="Q71" s="4"/>
      <c r="R71" s="4"/>
      <c r="S71" s="4"/>
      <c r="T71" s="4"/>
      <c r="U71" s="4"/>
      <c r="V71" s="4"/>
    </row>
    <row r="72" spans="1:22">
      <c r="A72" s="21" t="str">
        <f t="shared" si="4"/>
        <v>FB_DO_BUF_S.CEOF</v>
      </c>
      <c r="B72" s="8">
        <v>1</v>
      </c>
      <c r="C72" s="8" t="s">
        <v>1</v>
      </c>
      <c r="D72" s="22">
        <v>11</v>
      </c>
      <c r="Q72" s="4"/>
      <c r="R72" s="4"/>
      <c r="S72" s="4"/>
      <c r="T72" s="4"/>
      <c r="U72" s="4"/>
      <c r="V72" s="4"/>
    </row>
    <row r="73" spans="1:22" ht="15" customHeight="1">
      <c r="A73" s="69" t="str">
        <f t="shared" ref="A73:A82" si="5">$R$2&amp;".CBON"</f>
        <v>FB_DO_BUF_S.CBON</v>
      </c>
      <c r="B73" s="70">
        <v>11154</v>
      </c>
      <c r="C73" s="70" t="s">
        <v>4</v>
      </c>
      <c r="D73" s="144">
        <f>$Q$6</f>
        <v>8</v>
      </c>
    </row>
    <row r="74" spans="1:22" ht="15" customHeight="1">
      <c r="A74" s="63" t="str">
        <f t="shared" si="5"/>
        <v>FB_DO_BUF_S.CBON</v>
      </c>
      <c r="B74" s="64">
        <v>11150</v>
      </c>
      <c r="C74" s="64" t="s">
        <v>0</v>
      </c>
      <c r="D74" s="65" t="s">
        <v>1831</v>
      </c>
    </row>
    <row r="75" spans="1:22" ht="15" customHeight="1">
      <c r="A75" s="63" t="str">
        <f t="shared" si="5"/>
        <v>FB_DO_BUF_S.CBON</v>
      </c>
      <c r="B75" s="64">
        <v>11152</v>
      </c>
      <c r="C75" s="64" t="s">
        <v>0</v>
      </c>
      <c r="D75" s="99" t="str">
        <f>$R$6</f>
        <v>Предупреждение</v>
      </c>
    </row>
    <row r="76" spans="1:22" ht="15" customHeight="1">
      <c r="A76" s="63" t="str">
        <f t="shared" si="5"/>
        <v>FB_DO_BUF_S.CBON</v>
      </c>
      <c r="B76" s="64">
        <v>11000</v>
      </c>
      <c r="C76" s="64" t="s">
        <v>5</v>
      </c>
      <c r="D76" s="65">
        <v>2147483680</v>
      </c>
    </row>
    <row r="77" spans="1:22">
      <c r="A77" s="19" t="str">
        <f t="shared" si="5"/>
        <v>FB_DO_BUF_S.CBON</v>
      </c>
      <c r="B77" s="11">
        <v>7999</v>
      </c>
      <c r="C77" s="11" t="s">
        <v>0</v>
      </c>
      <c r="D77" s="20" t="str">
        <f>"#"&amp;$S$2&amp;"#"&amp;$T$2&amp;"\"&amp;$P$2&amp;"\CBON"</f>
        <v>#1#treiOPCDA.CoOPCserv.1\pcmaster\ALARM_SOUND\CBON</v>
      </c>
    </row>
    <row r="78" spans="1:22">
      <c r="A78" s="19" t="str">
        <f t="shared" si="5"/>
        <v>FB_DO_BUF_S.CBON</v>
      </c>
      <c r="B78" s="11">
        <v>7998</v>
      </c>
      <c r="C78" s="11" t="s">
        <v>6</v>
      </c>
      <c r="D78" s="20">
        <v>1</v>
      </c>
    </row>
    <row r="79" spans="1:22">
      <c r="A79" s="19" t="str">
        <f t="shared" si="5"/>
        <v>FB_DO_BUF_S.CBON</v>
      </c>
      <c r="B79" s="11">
        <v>101</v>
      </c>
      <c r="C79" s="11" t="s">
        <v>0</v>
      </c>
      <c r="D79" s="20" t="s">
        <v>1837</v>
      </c>
    </row>
    <row r="80" spans="1:22">
      <c r="A80" s="19" t="str">
        <f t="shared" si="5"/>
        <v>FB_DO_BUF_S.CBON</v>
      </c>
      <c r="B80" s="11">
        <v>3</v>
      </c>
      <c r="C80" s="11" t="s">
        <v>1</v>
      </c>
      <c r="D80" s="20">
        <v>192</v>
      </c>
    </row>
    <row r="81" spans="1:22">
      <c r="A81" s="19" t="str">
        <f t="shared" si="5"/>
        <v>FB_DO_BUF_S.CBON</v>
      </c>
      <c r="B81" s="11">
        <v>2</v>
      </c>
      <c r="C81" s="11" t="s">
        <v>2</v>
      </c>
      <c r="D81" s="20" t="s">
        <v>3</v>
      </c>
    </row>
    <row r="82" spans="1:22">
      <c r="A82" s="21" t="str">
        <f t="shared" si="5"/>
        <v>FB_DO_BUF_S.CBON</v>
      </c>
      <c r="B82" s="8">
        <v>1</v>
      </c>
      <c r="C82" s="8" t="s">
        <v>1</v>
      </c>
      <c r="D82" s="22">
        <v>11</v>
      </c>
    </row>
    <row r="83" spans="1:22" ht="15" customHeight="1">
      <c r="A83" s="69" t="str">
        <f t="shared" ref="A83:A92" si="6">$R$2&amp;".CBOF"</f>
        <v>FB_DO_BUF_S.CBOF</v>
      </c>
      <c r="B83" s="70">
        <v>11154</v>
      </c>
      <c r="C83" s="70" t="s">
        <v>4</v>
      </c>
      <c r="D83" s="144">
        <f>$Q$6</f>
        <v>8</v>
      </c>
    </row>
    <row r="84" spans="1:22" ht="15" customHeight="1">
      <c r="A84" s="63" t="str">
        <f t="shared" si="6"/>
        <v>FB_DO_BUF_S.CBOF</v>
      </c>
      <c r="B84" s="64">
        <v>11150</v>
      </c>
      <c r="C84" s="64" t="s">
        <v>0</v>
      </c>
      <c r="D84" s="65" t="s">
        <v>1832</v>
      </c>
    </row>
    <row r="85" spans="1:22" ht="15" customHeight="1">
      <c r="A85" s="63" t="str">
        <f t="shared" si="6"/>
        <v>FB_DO_BUF_S.CBOF</v>
      </c>
      <c r="B85" s="64">
        <v>11152</v>
      </c>
      <c r="C85" s="64" t="s">
        <v>0</v>
      </c>
      <c r="D85" s="99" t="str">
        <f>$R$6</f>
        <v>Предупреждение</v>
      </c>
    </row>
    <row r="86" spans="1:22" ht="15" customHeight="1">
      <c r="A86" s="63" t="str">
        <f t="shared" si="6"/>
        <v>FB_DO_BUF_S.CBOF</v>
      </c>
      <c r="B86" s="64">
        <v>11000</v>
      </c>
      <c r="C86" s="64" t="s">
        <v>5</v>
      </c>
      <c r="D86" s="65">
        <v>2147483680</v>
      </c>
    </row>
    <row r="87" spans="1:22">
      <c r="A87" s="19" t="str">
        <f t="shared" si="6"/>
        <v>FB_DO_BUF_S.CBOF</v>
      </c>
      <c r="B87" s="11">
        <v>7999</v>
      </c>
      <c r="C87" s="11" t="s">
        <v>0</v>
      </c>
      <c r="D87" s="20" t="str">
        <f>"#"&amp;$S$2&amp;"#"&amp;$T$2&amp;"\"&amp;$P$2&amp;"\CBOF"</f>
        <v>#1#treiOPCDA.CoOPCserv.1\pcmaster\ALARM_SOUND\CBOF</v>
      </c>
    </row>
    <row r="88" spans="1:22">
      <c r="A88" s="19" t="str">
        <f t="shared" si="6"/>
        <v>FB_DO_BUF_S.CBOF</v>
      </c>
      <c r="B88" s="11">
        <v>7998</v>
      </c>
      <c r="C88" s="11" t="s">
        <v>6</v>
      </c>
      <c r="D88" s="20">
        <v>1</v>
      </c>
    </row>
    <row r="89" spans="1:22">
      <c r="A89" s="19" t="str">
        <f t="shared" si="6"/>
        <v>FB_DO_BUF_S.CBOF</v>
      </c>
      <c r="B89" s="11">
        <v>101</v>
      </c>
      <c r="C89" s="11" t="s">
        <v>0</v>
      </c>
      <c r="D89" s="20" t="s">
        <v>1838</v>
      </c>
    </row>
    <row r="90" spans="1:22">
      <c r="A90" s="19" t="str">
        <f t="shared" si="6"/>
        <v>FB_DO_BUF_S.CBOF</v>
      </c>
      <c r="B90" s="11">
        <v>3</v>
      </c>
      <c r="C90" s="11" t="s">
        <v>1</v>
      </c>
      <c r="D90" s="20">
        <v>192</v>
      </c>
    </row>
    <row r="91" spans="1:22">
      <c r="A91" s="19" t="str">
        <f t="shared" si="6"/>
        <v>FB_DO_BUF_S.CBOF</v>
      </c>
      <c r="B91" s="11">
        <v>2</v>
      </c>
      <c r="C91" s="11" t="s">
        <v>2</v>
      </c>
      <c r="D91" s="20" t="s">
        <v>3</v>
      </c>
    </row>
    <row r="92" spans="1:22">
      <c r="A92" s="21" t="str">
        <f t="shared" si="6"/>
        <v>FB_DO_BUF_S.CBOF</v>
      </c>
      <c r="B92" s="8">
        <v>1</v>
      </c>
      <c r="C92" s="8" t="s">
        <v>1</v>
      </c>
      <c r="D92" s="22">
        <v>11</v>
      </c>
    </row>
    <row r="93" spans="1:22" s="4" customFormat="1">
      <c r="A93" s="217" t="str">
        <f t="shared" ref="A93:A102" si="7">$R$2&amp;".FCOM"</f>
        <v>FB_DO_BUF_S.FCOM</v>
      </c>
      <c r="B93" s="218">
        <v>11154</v>
      </c>
      <c r="C93" s="218" t="s">
        <v>4</v>
      </c>
      <c r="D93" s="219">
        <f>$Q$7</f>
        <v>12</v>
      </c>
    </row>
    <row r="94" spans="1:22">
      <c r="A94" s="211" t="str">
        <f t="shared" si="7"/>
        <v>FB_DO_BUF_S.FCOM</v>
      </c>
      <c r="B94" s="212">
        <v>11150</v>
      </c>
      <c r="C94" s="212" t="s">
        <v>0</v>
      </c>
      <c r="D94" s="213" t="s">
        <v>537</v>
      </c>
      <c r="Q94" s="4"/>
      <c r="R94" s="4"/>
      <c r="S94" s="4"/>
      <c r="T94" s="4"/>
      <c r="U94" s="4"/>
      <c r="V94" s="4"/>
    </row>
    <row r="95" spans="1:22">
      <c r="A95" s="211" t="str">
        <f t="shared" si="7"/>
        <v>FB_DO_BUF_S.FCOM</v>
      </c>
      <c r="B95" s="212">
        <v>11152</v>
      </c>
      <c r="C95" s="212" t="s">
        <v>0</v>
      </c>
      <c r="D95" s="220" t="str">
        <f>$R$7</f>
        <v>Неисправность</v>
      </c>
      <c r="Q95" s="4"/>
      <c r="R95" s="4"/>
      <c r="S95" s="4"/>
      <c r="T95" s="4"/>
      <c r="U95" s="4"/>
      <c r="V95" s="4"/>
    </row>
    <row r="96" spans="1:22">
      <c r="A96" s="211" t="str">
        <f t="shared" si="7"/>
        <v>FB_DO_BUF_S.FCOM</v>
      </c>
      <c r="B96" s="212">
        <v>11000</v>
      </c>
      <c r="C96" s="212" t="s">
        <v>5</v>
      </c>
      <c r="D96" s="213">
        <v>2147483680</v>
      </c>
      <c r="Q96" s="4"/>
      <c r="R96" s="4"/>
      <c r="S96" s="4"/>
      <c r="T96" s="4"/>
      <c r="U96" s="4"/>
      <c r="V96" s="4"/>
    </row>
    <row r="97" spans="1:22">
      <c r="A97" s="19" t="str">
        <f t="shared" si="7"/>
        <v>FB_DO_BUF_S.FCOM</v>
      </c>
      <c r="B97" s="11">
        <v>7999</v>
      </c>
      <c r="C97" s="11" t="s">
        <v>0</v>
      </c>
      <c r="D97" s="20" t="str">
        <f>"#"&amp;$S$2&amp;"#"&amp;$T$2&amp;"\"&amp;$P$2&amp;"\FCOM"</f>
        <v>#1#treiOPCDA.CoOPCserv.1\pcmaster\ALARM_SOUND\FCOM</v>
      </c>
      <c r="Q97" s="4"/>
      <c r="R97" s="4"/>
      <c r="S97" s="4"/>
      <c r="T97" s="4"/>
      <c r="U97" s="4"/>
      <c r="V97" s="4"/>
    </row>
    <row r="98" spans="1:22">
      <c r="A98" s="19" t="str">
        <f t="shared" si="7"/>
        <v>FB_DO_BUF_S.FCOM</v>
      </c>
      <c r="B98" s="11">
        <v>7998</v>
      </c>
      <c r="C98" s="11" t="s">
        <v>6</v>
      </c>
      <c r="D98" s="20">
        <v>1</v>
      </c>
      <c r="Q98" s="4"/>
      <c r="R98" s="4"/>
      <c r="S98" s="4"/>
      <c r="T98" s="4"/>
      <c r="U98" s="4"/>
      <c r="V98" s="4"/>
    </row>
    <row r="99" spans="1:22" s="4" customFormat="1">
      <c r="A99" s="19" t="str">
        <f t="shared" si="7"/>
        <v>FB_DO_BUF_S.FCOM</v>
      </c>
      <c r="B99" s="11">
        <v>101</v>
      </c>
      <c r="C99" s="11" t="s">
        <v>0</v>
      </c>
      <c r="D99" s="20" t="s">
        <v>149</v>
      </c>
    </row>
    <row r="100" spans="1:22">
      <c r="A100" s="19" t="str">
        <f t="shared" si="7"/>
        <v>FB_DO_BUF_S.FCOM</v>
      </c>
      <c r="B100" s="11">
        <v>3</v>
      </c>
      <c r="C100" s="11" t="s">
        <v>1</v>
      </c>
      <c r="D100" s="20">
        <v>192</v>
      </c>
      <c r="Q100" s="4"/>
      <c r="R100" s="4"/>
      <c r="S100" s="4"/>
      <c r="T100" s="4"/>
      <c r="U100" s="4"/>
      <c r="V100" s="4"/>
    </row>
    <row r="101" spans="1:22">
      <c r="A101" s="19" t="str">
        <f t="shared" si="7"/>
        <v>FB_DO_BUF_S.FCOM</v>
      </c>
      <c r="B101" s="11">
        <v>2</v>
      </c>
      <c r="C101" s="11" t="s">
        <v>2</v>
      </c>
      <c r="D101" s="20" t="s">
        <v>3</v>
      </c>
    </row>
    <row r="102" spans="1:22">
      <c r="A102" s="21" t="str">
        <f t="shared" si="7"/>
        <v>FB_DO_BUF_S.FCOM</v>
      </c>
      <c r="B102" s="8">
        <v>1</v>
      </c>
      <c r="C102" s="8" t="s">
        <v>1</v>
      </c>
      <c r="D102" s="22">
        <v>11</v>
      </c>
    </row>
    <row r="103" spans="1:22">
      <c r="A103" s="163" t="str">
        <f t="shared" ref="A103:A112" si="8">$R$2&amp;".DOON"</f>
        <v>FB_DO_BUF_S.DOON</v>
      </c>
      <c r="B103" s="123">
        <v>11154</v>
      </c>
      <c r="C103" s="123" t="s">
        <v>4</v>
      </c>
      <c r="D103" s="124">
        <f>$Q$9</f>
        <v>10</v>
      </c>
    </row>
    <row r="104" spans="1:22">
      <c r="A104" s="110" t="str">
        <f t="shared" si="8"/>
        <v>FB_DO_BUF_S.DOON</v>
      </c>
      <c r="B104" s="111">
        <v>11150</v>
      </c>
      <c r="C104" s="111" t="s">
        <v>0</v>
      </c>
      <c r="D104" s="112" t="s">
        <v>538</v>
      </c>
    </row>
    <row r="105" spans="1:22">
      <c r="A105" s="110" t="str">
        <f t="shared" si="8"/>
        <v>FB_DO_BUF_S.DOON</v>
      </c>
      <c r="B105" s="111">
        <v>11152</v>
      </c>
      <c r="C105" s="111" t="s">
        <v>0</v>
      </c>
      <c r="D105" s="113" t="str">
        <f>$R$9</f>
        <v>Недостоверность</v>
      </c>
    </row>
    <row r="106" spans="1:22">
      <c r="A106" s="110" t="str">
        <f t="shared" si="8"/>
        <v>FB_DO_BUF_S.DOON</v>
      </c>
      <c r="B106" s="111">
        <v>11000</v>
      </c>
      <c r="C106" s="111" t="s">
        <v>5</v>
      </c>
      <c r="D106" s="112">
        <v>2147483680</v>
      </c>
    </row>
    <row r="107" spans="1:22">
      <c r="A107" s="19" t="str">
        <f t="shared" si="8"/>
        <v>FB_DO_BUF_S.DOON</v>
      </c>
      <c r="B107" s="11">
        <v>7999</v>
      </c>
      <c r="C107" s="11" t="s">
        <v>0</v>
      </c>
      <c r="D107" s="20" t="str">
        <f>"#"&amp;$S$2&amp;"#"&amp;$T$2&amp;"\"&amp;$P$2&amp;"\DOON"</f>
        <v>#1#treiOPCDA.CoOPCserv.1\pcmaster\ALARM_SOUND\DOON</v>
      </c>
    </row>
    <row r="108" spans="1:22">
      <c r="A108" s="19" t="str">
        <f t="shared" si="8"/>
        <v>FB_DO_BUF_S.DOON</v>
      </c>
      <c r="B108" s="11">
        <v>7998</v>
      </c>
      <c r="C108" s="11" t="s">
        <v>6</v>
      </c>
      <c r="D108" s="20">
        <v>1</v>
      </c>
    </row>
    <row r="109" spans="1:22">
      <c r="A109" s="19" t="str">
        <f t="shared" si="8"/>
        <v>FB_DO_BUF_S.DOON</v>
      </c>
      <c r="B109" s="11">
        <v>101</v>
      </c>
      <c r="C109" s="11" t="s">
        <v>0</v>
      </c>
      <c r="D109" s="20" t="s">
        <v>272</v>
      </c>
    </row>
    <row r="110" spans="1:22">
      <c r="A110" s="19" t="str">
        <f t="shared" si="8"/>
        <v>FB_DO_BUF_S.DOON</v>
      </c>
      <c r="B110" s="11">
        <v>3</v>
      </c>
      <c r="C110" s="11" t="s">
        <v>1</v>
      </c>
      <c r="D110" s="20">
        <v>192</v>
      </c>
    </row>
    <row r="111" spans="1:22">
      <c r="A111" s="19" t="str">
        <f t="shared" si="8"/>
        <v>FB_DO_BUF_S.DOON</v>
      </c>
      <c r="B111" s="11">
        <v>2</v>
      </c>
      <c r="C111" s="11" t="s">
        <v>2</v>
      </c>
      <c r="D111" s="20" t="s">
        <v>3</v>
      </c>
    </row>
    <row r="112" spans="1:22">
      <c r="A112" s="21" t="str">
        <f t="shared" si="8"/>
        <v>FB_DO_BUF_S.DOON</v>
      </c>
      <c r="B112" s="8">
        <v>1</v>
      </c>
      <c r="C112" s="8" t="s">
        <v>1</v>
      </c>
      <c r="D112" s="22">
        <v>11</v>
      </c>
    </row>
    <row r="113" spans="1:4">
      <c r="A113" s="163" t="str">
        <f t="shared" ref="A113:A122" si="9">$R$2&amp;".DOOF"</f>
        <v>FB_DO_BUF_S.DOOF</v>
      </c>
      <c r="B113" s="123">
        <v>11154</v>
      </c>
      <c r="C113" s="123" t="s">
        <v>4</v>
      </c>
      <c r="D113" s="124">
        <f>$Q$9</f>
        <v>10</v>
      </c>
    </row>
    <row r="114" spans="1:4">
      <c r="A114" s="110" t="str">
        <f t="shared" si="9"/>
        <v>FB_DO_BUF_S.DOOF</v>
      </c>
      <c r="B114" s="111">
        <v>11150</v>
      </c>
      <c r="C114" s="111" t="s">
        <v>0</v>
      </c>
      <c r="D114" s="112" t="s">
        <v>539</v>
      </c>
    </row>
    <row r="115" spans="1:4">
      <c r="A115" s="110" t="str">
        <f t="shared" si="9"/>
        <v>FB_DO_BUF_S.DOOF</v>
      </c>
      <c r="B115" s="111">
        <v>11152</v>
      </c>
      <c r="C115" s="111" t="s">
        <v>0</v>
      </c>
      <c r="D115" s="113" t="str">
        <f>$R$9</f>
        <v>Недостоверность</v>
      </c>
    </row>
    <row r="116" spans="1:4">
      <c r="A116" s="110" t="str">
        <f t="shared" si="9"/>
        <v>FB_DO_BUF_S.DOOF</v>
      </c>
      <c r="B116" s="111">
        <v>11000</v>
      </c>
      <c r="C116" s="111" t="s">
        <v>5</v>
      </c>
      <c r="D116" s="112">
        <v>2147483680</v>
      </c>
    </row>
    <row r="117" spans="1:4">
      <c r="A117" s="19" t="str">
        <f t="shared" si="9"/>
        <v>FB_DO_BUF_S.DOOF</v>
      </c>
      <c r="B117" s="11">
        <v>7999</v>
      </c>
      <c r="C117" s="11" t="s">
        <v>0</v>
      </c>
      <c r="D117" s="20" t="str">
        <f>"#"&amp;$S$2&amp;"#"&amp;$T$2&amp;"\"&amp;$P$2&amp;"\DOOF"</f>
        <v>#1#treiOPCDA.CoOPCserv.1\pcmaster\ALARM_SOUND\DOOF</v>
      </c>
    </row>
    <row r="118" spans="1:4">
      <c r="A118" s="19" t="str">
        <f t="shared" si="9"/>
        <v>FB_DO_BUF_S.DOOF</v>
      </c>
      <c r="B118" s="11">
        <v>7998</v>
      </c>
      <c r="C118" s="11" t="s">
        <v>6</v>
      </c>
      <c r="D118" s="20">
        <v>1</v>
      </c>
    </row>
    <row r="119" spans="1:4">
      <c r="A119" s="19" t="str">
        <f t="shared" si="9"/>
        <v>FB_DO_BUF_S.DOOF</v>
      </c>
      <c r="B119" s="11">
        <v>101</v>
      </c>
      <c r="C119" s="11" t="s">
        <v>0</v>
      </c>
      <c r="D119" s="20" t="s">
        <v>540</v>
      </c>
    </row>
    <row r="120" spans="1:4">
      <c r="A120" s="19" t="str">
        <f t="shared" si="9"/>
        <v>FB_DO_BUF_S.DOOF</v>
      </c>
      <c r="B120" s="11">
        <v>3</v>
      </c>
      <c r="C120" s="11" t="s">
        <v>1</v>
      </c>
      <c r="D120" s="20">
        <v>192</v>
      </c>
    </row>
    <row r="121" spans="1:4">
      <c r="A121" s="19" t="str">
        <f t="shared" si="9"/>
        <v>FB_DO_BUF_S.DOOF</v>
      </c>
      <c r="B121" s="11">
        <v>2</v>
      </c>
      <c r="C121" s="11" t="s">
        <v>2</v>
      </c>
      <c r="D121" s="20" t="s">
        <v>3</v>
      </c>
    </row>
    <row r="122" spans="1:4">
      <c r="A122" s="21" t="str">
        <f t="shared" si="9"/>
        <v>FB_DO_BUF_S.DOOF</v>
      </c>
      <c r="B122" s="8">
        <v>1</v>
      </c>
      <c r="C122" s="8" t="s">
        <v>1</v>
      </c>
      <c r="D122" s="22">
        <v>11</v>
      </c>
    </row>
    <row r="123" spans="1:4">
      <c r="A123" s="163" t="str">
        <f t="shared" ref="A123:A132" si="10">$R$2&amp;".DRCX"</f>
        <v>FB_DO_BUF_S.DRCX</v>
      </c>
      <c r="B123" s="123">
        <v>11154</v>
      </c>
      <c r="C123" s="123" t="s">
        <v>4</v>
      </c>
      <c r="D123" s="124">
        <f>$Q$9</f>
        <v>10</v>
      </c>
    </row>
    <row r="124" spans="1:4">
      <c r="A124" s="110" t="str">
        <f t="shared" si="10"/>
        <v>FB_DO_BUF_S.DRCX</v>
      </c>
      <c r="B124" s="111">
        <v>11150</v>
      </c>
      <c r="C124" s="111" t="s">
        <v>0</v>
      </c>
      <c r="D124" s="112" t="s">
        <v>534</v>
      </c>
    </row>
    <row r="125" spans="1:4">
      <c r="A125" s="110" t="str">
        <f t="shared" si="10"/>
        <v>FB_DO_BUF_S.DRCX</v>
      </c>
      <c r="B125" s="111">
        <v>11152</v>
      </c>
      <c r="C125" s="111" t="s">
        <v>0</v>
      </c>
      <c r="D125" s="113" t="str">
        <f>$R$9</f>
        <v>Недостоверность</v>
      </c>
    </row>
    <row r="126" spans="1:4">
      <c r="A126" s="110" t="str">
        <f t="shared" si="10"/>
        <v>FB_DO_BUF_S.DRCX</v>
      </c>
      <c r="B126" s="111">
        <v>11000</v>
      </c>
      <c r="C126" s="111" t="s">
        <v>5</v>
      </c>
      <c r="D126" s="112">
        <v>2147483680</v>
      </c>
    </row>
    <row r="127" spans="1:4">
      <c r="A127" s="19" t="str">
        <f t="shared" si="10"/>
        <v>FB_DO_BUF_S.DRCX</v>
      </c>
      <c r="B127" s="11">
        <v>7999</v>
      </c>
      <c r="C127" s="11" t="s">
        <v>0</v>
      </c>
      <c r="D127" s="20" t="str">
        <f>"#"&amp;$S$2&amp;"#"&amp;$T$2&amp;"\"&amp;$P$2&amp;"\DRCX"</f>
        <v>#1#treiOPCDA.CoOPCserv.1\pcmaster\ALARM_SOUND\DRCX</v>
      </c>
    </row>
    <row r="128" spans="1:4">
      <c r="A128" s="19" t="str">
        <f t="shared" si="10"/>
        <v>FB_DO_BUF_S.DRCX</v>
      </c>
      <c r="B128" s="11">
        <v>7998</v>
      </c>
      <c r="C128" s="11" t="s">
        <v>6</v>
      </c>
      <c r="D128" s="20">
        <v>1</v>
      </c>
    </row>
    <row r="129" spans="1:4">
      <c r="A129" s="19" t="str">
        <f t="shared" si="10"/>
        <v>FB_DO_BUF_S.DRCX</v>
      </c>
      <c r="B129" s="11">
        <v>101</v>
      </c>
      <c r="C129" s="11" t="s">
        <v>0</v>
      </c>
      <c r="D129" s="20" t="s">
        <v>573</v>
      </c>
    </row>
    <row r="130" spans="1:4">
      <c r="A130" s="19" t="str">
        <f t="shared" si="10"/>
        <v>FB_DO_BUF_S.DRCX</v>
      </c>
      <c r="B130" s="11">
        <v>3</v>
      </c>
      <c r="C130" s="11" t="s">
        <v>1</v>
      </c>
      <c r="D130" s="20">
        <v>192</v>
      </c>
    </row>
    <row r="131" spans="1:4">
      <c r="A131" s="19" t="str">
        <f t="shared" si="10"/>
        <v>FB_DO_BUF_S.DRCX</v>
      </c>
      <c r="B131" s="11">
        <v>2</v>
      </c>
      <c r="C131" s="11" t="s">
        <v>2</v>
      </c>
      <c r="D131" s="20" t="s">
        <v>3</v>
      </c>
    </row>
    <row r="132" spans="1:4">
      <c r="A132" s="21" t="str">
        <f t="shared" si="10"/>
        <v>FB_DO_BUF_S.DRCX</v>
      </c>
      <c r="B132" s="8">
        <v>1</v>
      </c>
      <c r="C132" s="8" t="s">
        <v>1</v>
      </c>
      <c r="D132" s="22">
        <v>11</v>
      </c>
    </row>
    <row r="133" spans="1:4">
      <c r="A133" s="163" t="str">
        <f>$R$2&amp;".DVXX"</f>
        <v>FB_DO_BUF_S.DVXX</v>
      </c>
      <c r="B133" s="123">
        <v>11154</v>
      </c>
      <c r="C133" s="123" t="s">
        <v>4</v>
      </c>
      <c r="D133" s="124">
        <f>$Q$9</f>
        <v>10</v>
      </c>
    </row>
    <row r="134" spans="1:4">
      <c r="A134" s="110" t="str">
        <f>$R$2&amp;".DVXX"</f>
        <v>FB_DO_BUF_S.DVXX</v>
      </c>
      <c r="B134" s="111">
        <v>11150</v>
      </c>
      <c r="C134" s="111" t="s">
        <v>0</v>
      </c>
      <c r="D134" s="112" t="s">
        <v>513</v>
      </c>
    </row>
    <row r="135" spans="1:4">
      <c r="A135" s="110" t="str">
        <f>$R$2&amp;".DVXX"</f>
        <v>FB_DO_BUF_S.DVXX</v>
      </c>
      <c r="B135" s="111">
        <v>11152</v>
      </c>
      <c r="C135" s="111" t="s">
        <v>0</v>
      </c>
      <c r="D135" s="113" t="str">
        <f>$R$9</f>
        <v>Недостоверность</v>
      </c>
    </row>
    <row r="136" spans="1:4">
      <c r="A136" s="110" t="str">
        <f>$R$2&amp;".DVXX"</f>
        <v>FB_DO_BUF_S.DVXX</v>
      </c>
      <c r="B136" s="111">
        <v>11000</v>
      </c>
      <c r="C136" s="111" t="s">
        <v>5</v>
      </c>
      <c r="D136" s="112">
        <v>2147483680</v>
      </c>
    </row>
    <row r="137" spans="1:4">
      <c r="A137" s="19" t="str">
        <f t="shared" ref="A137:A142" si="11">$R$2&amp;".DVXX"</f>
        <v>FB_DO_BUF_S.DVXX</v>
      </c>
      <c r="B137" s="11">
        <v>7999</v>
      </c>
      <c r="C137" s="11" t="s">
        <v>0</v>
      </c>
      <c r="D137" s="20" t="str">
        <f>"#"&amp;$S$2&amp;"#"&amp;$T$2&amp;"\"&amp;$P$2&amp;"\DVXX"</f>
        <v>#1#treiOPCDA.CoOPCserv.1\pcmaster\ALARM_SOUND\DVXX</v>
      </c>
    </row>
    <row r="138" spans="1:4">
      <c r="A138" s="19" t="str">
        <f t="shared" si="11"/>
        <v>FB_DO_BUF_S.DVXX</v>
      </c>
      <c r="B138" s="11">
        <v>7998</v>
      </c>
      <c r="C138" s="11" t="s">
        <v>6</v>
      </c>
      <c r="D138" s="20">
        <v>1</v>
      </c>
    </row>
    <row r="139" spans="1:4">
      <c r="A139" s="19" t="str">
        <f t="shared" si="11"/>
        <v>FB_DO_BUF_S.DVXX</v>
      </c>
      <c r="B139" s="11">
        <v>101</v>
      </c>
      <c r="C139" s="11" t="s">
        <v>0</v>
      </c>
      <c r="D139" s="20" t="s">
        <v>83</v>
      </c>
    </row>
    <row r="140" spans="1:4">
      <c r="A140" s="19" t="str">
        <f t="shared" si="11"/>
        <v>FB_DO_BUF_S.DVXX</v>
      </c>
      <c r="B140" s="11">
        <v>3</v>
      </c>
      <c r="C140" s="11" t="s">
        <v>1</v>
      </c>
      <c r="D140" s="20">
        <v>192</v>
      </c>
    </row>
    <row r="141" spans="1:4">
      <c r="A141" s="19" t="str">
        <f t="shared" si="11"/>
        <v>FB_DO_BUF_S.DVXX</v>
      </c>
      <c r="B141" s="11">
        <v>2</v>
      </c>
      <c r="C141" s="11" t="s">
        <v>2</v>
      </c>
      <c r="D141" s="20" t="s">
        <v>3</v>
      </c>
    </row>
    <row r="142" spans="1:4">
      <c r="A142" s="19" t="str">
        <f t="shared" si="11"/>
        <v>FB_DO_BUF_S.DVXX</v>
      </c>
      <c r="B142" s="11">
        <v>1</v>
      </c>
      <c r="C142" s="11" t="s">
        <v>1</v>
      </c>
      <c r="D142" s="20">
        <v>11</v>
      </c>
    </row>
    <row r="143" spans="1:4">
      <c r="A143" s="130" t="str">
        <f t="shared" ref="A143:A154" si="12">$R$2&amp;".XRPX"</f>
        <v>FB_DO_BUF_S.XRPX</v>
      </c>
      <c r="B143" s="131">
        <v>11154</v>
      </c>
      <c r="C143" s="131" t="s">
        <v>4</v>
      </c>
      <c r="D143" s="132">
        <f>$Q$11</f>
        <v>14</v>
      </c>
    </row>
    <row r="144" spans="1:4">
      <c r="A144" s="133" t="str">
        <f t="shared" si="12"/>
        <v>FB_DO_BUF_S.XRPX</v>
      </c>
      <c r="B144" s="134">
        <v>11150</v>
      </c>
      <c r="C144" s="134" t="s">
        <v>0</v>
      </c>
      <c r="D144" s="135" t="s">
        <v>530</v>
      </c>
    </row>
    <row r="145" spans="1:4">
      <c r="A145" s="133" t="str">
        <f t="shared" si="12"/>
        <v>FB_DO_BUF_S.XRPX</v>
      </c>
      <c r="B145" s="134">
        <v>11152</v>
      </c>
      <c r="C145" s="134" t="s">
        <v>0</v>
      </c>
      <c r="D145" s="136" t="str">
        <f>$R$11</f>
        <v>Ремонт</v>
      </c>
    </row>
    <row r="146" spans="1:4">
      <c r="A146" s="133" t="str">
        <f t="shared" si="12"/>
        <v>FB_DO_BUF_S.XRPX</v>
      </c>
      <c r="B146" s="134">
        <v>11000</v>
      </c>
      <c r="C146" s="134" t="s">
        <v>5</v>
      </c>
      <c r="D146" s="135">
        <v>2147483680</v>
      </c>
    </row>
    <row r="147" spans="1:4">
      <c r="A147" s="19" t="str">
        <f t="shared" si="12"/>
        <v>FB_DO_BUF_S.XRPX</v>
      </c>
      <c r="B147" s="11">
        <v>7999</v>
      </c>
      <c r="C147" s="11" t="s">
        <v>0</v>
      </c>
      <c r="D147" s="20" t="str">
        <f>"#"&amp;$S$2&amp;"#"&amp;$T$2&amp;"\"&amp;$P$2&amp;"\XRPX"</f>
        <v>#1#treiOPCDA.CoOPCserv.1\pcmaster\ALARM_SOUND\XRPX</v>
      </c>
    </row>
    <row r="148" spans="1:4">
      <c r="A148" s="19" t="str">
        <f t="shared" si="12"/>
        <v>FB_DO_BUF_S.XRPX</v>
      </c>
      <c r="B148" s="11">
        <v>7998</v>
      </c>
      <c r="C148" s="11" t="s">
        <v>6</v>
      </c>
      <c r="D148" s="20">
        <v>1</v>
      </c>
    </row>
    <row r="149" spans="1:4">
      <c r="A149" s="19" t="str">
        <f t="shared" si="12"/>
        <v>FB_DO_BUF_S.XRPX</v>
      </c>
      <c r="B149" s="11">
        <v>101</v>
      </c>
      <c r="C149" s="11" t="s">
        <v>0</v>
      </c>
      <c r="D149" s="20" t="s">
        <v>181</v>
      </c>
    </row>
    <row r="150" spans="1:4">
      <c r="A150" s="19" t="str">
        <f t="shared" si="12"/>
        <v>FB_DO_BUF_S.XRPX</v>
      </c>
      <c r="B150" s="11">
        <v>3</v>
      </c>
      <c r="C150" s="11" t="s">
        <v>1</v>
      </c>
      <c r="D150" s="20">
        <v>192</v>
      </c>
    </row>
    <row r="151" spans="1:4">
      <c r="A151" s="19" t="str">
        <f t="shared" si="12"/>
        <v>FB_DO_BUF_S.XRPX</v>
      </c>
      <c r="B151" s="11">
        <v>2</v>
      </c>
      <c r="C151" s="11" t="s">
        <v>2</v>
      </c>
      <c r="D151" s="20" t="s">
        <v>3</v>
      </c>
    </row>
    <row r="152" spans="1:4">
      <c r="A152" s="19" t="str">
        <f t="shared" si="12"/>
        <v>FB_DO_BUF_S.XRPX</v>
      </c>
      <c r="B152" s="11">
        <v>1</v>
      </c>
      <c r="C152" s="11" t="s">
        <v>1</v>
      </c>
      <c r="D152" s="20">
        <v>11</v>
      </c>
    </row>
    <row r="153" spans="1:4" ht="13.5" customHeight="1">
      <c r="A153" s="29" t="str">
        <f t="shared" si="12"/>
        <v>FB_DO_BUF_S.XRPX</v>
      </c>
      <c r="B153" s="1">
        <v>4000000</v>
      </c>
      <c r="C153" s="1" t="s">
        <v>0</v>
      </c>
      <c r="D153" s="415" t="s">
        <v>1480</v>
      </c>
    </row>
    <row r="154" spans="1:4">
      <c r="A154" s="26" t="str">
        <f t="shared" si="12"/>
        <v>FB_DO_BUF_S.XRPX</v>
      </c>
      <c r="B154" s="27">
        <v>7000000</v>
      </c>
      <c r="C154" s="27" t="s">
        <v>6</v>
      </c>
      <c r="D154" s="28">
        <v>2</v>
      </c>
    </row>
    <row r="155" spans="1:4">
      <c r="A155" s="100" t="str">
        <f>$R$2&amp;".CAON"</f>
        <v>FB_DO_BUF_S.CAON</v>
      </c>
      <c r="B155" s="101">
        <v>11154</v>
      </c>
      <c r="C155" s="101" t="s">
        <v>4</v>
      </c>
      <c r="D155" s="102">
        <v>18</v>
      </c>
    </row>
    <row r="156" spans="1:4">
      <c r="A156" s="100" t="str">
        <f t="shared" ref="A156:A164" si="13">$R$2&amp;".CAON"</f>
        <v>FB_DO_BUF_S.CAON</v>
      </c>
      <c r="B156" s="101">
        <v>11150</v>
      </c>
      <c r="C156" s="101" t="s">
        <v>0</v>
      </c>
      <c r="D156" s="103" t="s">
        <v>1827</v>
      </c>
    </row>
    <row r="157" spans="1:4">
      <c r="A157" s="100" t="str">
        <f t="shared" si="13"/>
        <v>FB_DO_BUF_S.CAON</v>
      </c>
      <c r="B157" s="101">
        <v>11152</v>
      </c>
      <c r="C157" s="101" t="s">
        <v>0</v>
      </c>
      <c r="D157" s="104" t="s">
        <v>231</v>
      </c>
    </row>
    <row r="158" spans="1:4">
      <c r="A158" s="100" t="str">
        <f t="shared" si="13"/>
        <v>FB_DO_BUF_S.CAON</v>
      </c>
      <c r="B158" s="101">
        <v>11000</v>
      </c>
      <c r="C158" s="101" t="s">
        <v>5</v>
      </c>
      <c r="D158" s="103">
        <v>2147483680</v>
      </c>
    </row>
    <row r="159" spans="1:4">
      <c r="A159" s="19" t="str">
        <f t="shared" si="13"/>
        <v>FB_DO_BUF_S.CAON</v>
      </c>
      <c r="B159" s="11">
        <v>7999</v>
      </c>
      <c r="C159" s="11" t="s">
        <v>0</v>
      </c>
      <c r="D159" s="20" t="str">
        <f>"#"&amp;$S$2&amp;"#"&amp;$T$2&amp;"\"&amp;$P$2&amp;"\CAON"</f>
        <v>#1#treiOPCDA.CoOPCserv.1\pcmaster\ALARM_SOUND\CAON</v>
      </c>
    </row>
    <row r="160" spans="1:4">
      <c r="A160" s="19" t="str">
        <f t="shared" si="13"/>
        <v>FB_DO_BUF_S.CAON</v>
      </c>
      <c r="B160" s="11">
        <v>7998</v>
      </c>
      <c r="C160" s="11" t="s">
        <v>6</v>
      </c>
      <c r="D160" s="20">
        <v>1</v>
      </c>
    </row>
    <row r="161" spans="1:4">
      <c r="A161" s="19" t="str">
        <f t="shared" si="13"/>
        <v>FB_DO_BUF_S.CAON</v>
      </c>
      <c r="B161" s="11">
        <v>101</v>
      </c>
      <c r="C161" s="11" t="s">
        <v>0</v>
      </c>
      <c r="D161" s="20" t="s">
        <v>1839</v>
      </c>
    </row>
    <row r="162" spans="1:4">
      <c r="A162" s="19" t="str">
        <f t="shared" si="13"/>
        <v>FB_DO_BUF_S.CAON</v>
      </c>
      <c r="B162" s="11">
        <v>3</v>
      </c>
      <c r="C162" s="11" t="s">
        <v>1</v>
      </c>
      <c r="D162" s="20">
        <v>192</v>
      </c>
    </row>
    <row r="163" spans="1:4">
      <c r="A163" s="19" t="str">
        <f t="shared" si="13"/>
        <v>FB_DO_BUF_S.CAON</v>
      </c>
      <c r="B163" s="11">
        <v>2</v>
      </c>
      <c r="C163" s="11" t="s">
        <v>2</v>
      </c>
      <c r="D163" s="20" t="s">
        <v>3</v>
      </c>
    </row>
    <row r="164" spans="1:4">
      <c r="A164" s="21" t="str">
        <f t="shared" si="13"/>
        <v>FB_DO_BUF_S.CAON</v>
      </c>
      <c r="B164" s="8">
        <v>1</v>
      </c>
      <c r="C164" s="8" t="s">
        <v>1</v>
      </c>
      <c r="D164" s="22">
        <v>11</v>
      </c>
    </row>
    <row r="165" spans="1:4">
      <c r="A165" s="100" t="str">
        <f>$R$2&amp;".CAOF"</f>
        <v>FB_DO_BUF_S.CAOF</v>
      </c>
      <c r="B165" s="101">
        <v>11154</v>
      </c>
      <c r="C165" s="101" t="s">
        <v>4</v>
      </c>
      <c r="D165" s="102">
        <v>18</v>
      </c>
    </row>
    <row r="166" spans="1:4">
      <c r="A166" s="100" t="str">
        <f t="shared" ref="A166:A174" si="14">$R$2&amp;".CAOF"</f>
        <v>FB_DO_BUF_S.CAOF</v>
      </c>
      <c r="B166" s="101">
        <v>11150</v>
      </c>
      <c r="C166" s="101" t="s">
        <v>0</v>
      </c>
      <c r="D166" s="103" t="s">
        <v>1828</v>
      </c>
    </row>
    <row r="167" spans="1:4">
      <c r="A167" s="100" t="str">
        <f t="shared" si="14"/>
        <v>FB_DO_BUF_S.CAOF</v>
      </c>
      <c r="B167" s="101">
        <v>11152</v>
      </c>
      <c r="C167" s="101" t="s">
        <v>0</v>
      </c>
      <c r="D167" s="104" t="s">
        <v>231</v>
      </c>
    </row>
    <row r="168" spans="1:4">
      <c r="A168" s="100" t="str">
        <f t="shared" si="14"/>
        <v>FB_DO_BUF_S.CAOF</v>
      </c>
      <c r="B168" s="101">
        <v>11000</v>
      </c>
      <c r="C168" s="101" t="s">
        <v>5</v>
      </c>
      <c r="D168" s="103">
        <v>2147483680</v>
      </c>
    </row>
    <row r="169" spans="1:4">
      <c r="A169" s="19" t="str">
        <f t="shared" si="14"/>
        <v>FB_DO_BUF_S.CAOF</v>
      </c>
      <c r="B169" s="11">
        <v>7999</v>
      </c>
      <c r="C169" s="11" t="s">
        <v>0</v>
      </c>
      <c r="D169" s="20" t="str">
        <f>"#"&amp;$S$2&amp;"#"&amp;$T$2&amp;"\"&amp;$P$2&amp;"\CAOF"</f>
        <v>#1#treiOPCDA.CoOPCserv.1\pcmaster\ALARM_SOUND\CAOF</v>
      </c>
    </row>
    <row r="170" spans="1:4">
      <c r="A170" s="19" t="str">
        <f t="shared" si="14"/>
        <v>FB_DO_BUF_S.CAOF</v>
      </c>
      <c r="B170" s="11">
        <v>7998</v>
      </c>
      <c r="C170" s="11" t="s">
        <v>6</v>
      </c>
      <c r="D170" s="20">
        <v>1</v>
      </c>
    </row>
    <row r="171" spans="1:4">
      <c r="A171" s="19" t="str">
        <f t="shared" si="14"/>
        <v>FB_DO_BUF_S.CAOF</v>
      </c>
      <c r="B171" s="11">
        <v>101</v>
      </c>
      <c r="C171" s="11" t="s">
        <v>0</v>
      </c>
      <c r="D171" s="20" t="s">
        <v>1840</v>
      </c>
    </row>
    <row r="172" spans="1:4">
      <c r="A172" s="19" t="str">
        <f t="shared" si="14"/>
        <v>FB_DO_BUF_S.CAOF</v>
      </c>
      <c r="B172" s="11">
        <v>3</v>
      </c>
      <c r="C172" s="11" t="s">
        <v>1</v>
      </c>
      <c r="D172" s="20">
        <v>192</v>
      </c>
    </row>
    <row r="173" spans="1:4">
      <c r="A173" s="19" t="str">
        <f t="shared" si="14"/>
        <v>FB_DO_BUF_S.CAOF</v>
      </c>
      <c r="B173" s="11">
        <v>2</v>
      </c>
      <c r="C173" s="11" t="s">
        <v>2</v>
      </c>
      <c r="D173" s="20" t="s">
        <v>3</v>
      </c>
    </row>
    <row r="174" spans="1:4">
      <c r="A174" s="21" t="str">
        <f t="shared" si="14"/>
        <v>FB_DO_BUF_S.CAOF</v>
      </c>
      <c r="B174" s="8">
        <v>1</v>
      </c>
      <c r="C174" s="8" t="s">
        <v>1</v>
      </c>
      <c r="D174" s="22">
        <v>11</v>
      </c>
    </row>
    <row r="175" spans="1:4">
      <c r="A175" s="100" t="str">
        <f t="shared" ref="A175:A184" si="15">$R$2&amp;".XMMX"</f>
        <v>FB_DO_BUF_S.XMMX</v>
      </c>
      <c r="B175" s="101">
        <v>11154</v>
      </c>
      <c r="C175" s="101" t="s">
        <v>4</v>
      </c>
      <c r="D175" s="102">
        <v>18</v>
      </c>
    </row>
    <row r="176" spans="1:4">
      <c r="A176" s="100" t="str">
        <f t="shared" si="15"/>
        <v>FB_DO_BUF_S.XMMX</v>
      </c>
      <c r="B176" s="101">
        <v>11150</v>
      </c>
      <c r="C176" s="101" t="s">
        <v>0</v>
      </c>
      <c r="D176" s="103" t="s">
        <v>532</v>
      </c>
    </row>
    <row r="177" spans="1:4">
      <c r="A177" s="100" t="str">
        <f t="shared" si="15"/>
        <v>FB_DO_BUF_S.XMMX</v>
      </c>
      <c r="B177" s="101">
        <v>11152</v>
      </c>
      <c r="C177" s="101" t="s">
        <v>0</v>
      </c>
      <c r="D177" s="104" t="s">
        <v>231</v>
      </c>
    </row>
    <row r="178" spans="1:4">
      <c r="A178" s="100" t="str">
        <f t="shared" si="15"/>
        <v>FB_DO_BUF_S.XMMX</v>
      </c>
      <c r="B178" s="101">
        <v>11000</v>
      </c>
      <c r="C178" s="101" t="s">
        <v>5</v>
      </c>
      <c r="D178" s="103">
        <v>2147483680</v>
      </c>
    </row>
    <row r="179" spans="1:4">
      <c r="A179" s="19" t="str">
        <f t="shared" si="15"/>
        <v>FB_DO_BUF_S.XMMX</v>
      </c>
      <c r="B179" s="11">
        <v>7999</v>
      </c>
      <c r="C179" s="11" t="s">
        <v>0</v>
      </c>
      <c r="D179" s="20" t="str">
        <f>"#"&amp;$S$2&amp;"#"&amp;$T$2&amp;"\"&amp;$P$2&amp;"\XMMX"</f>
        <v>#1#treiOPCDA.CoOPCserv.1\pcmaster\ALARM_SOUND\XMMX</v>
      </c>
    </row>
    <row r="180" spans="1:4">
      <c r="A180" s="19" t="str">
        <f t="shared" si="15"/>
        <v>FB_DO_BUF_S.XMMX</v>
      </c>
      <c r="B180" s="11">
        <v>7998</v>
      </c>
      <c r="C180" s="11" t="s">
        <v>6</v>
      </c>
      <c r="D180" s="20">
        <v>1</v>
      </c>
    </row>
    <row r="181" spans="1:4">
      <c r="A181" s="19" t="str">
        <f t="shared" si="15"/>
        <v>FB_DO_BUF_S.XMMX</v>
      </c>
      <c r="B181" s="11">
        <v>101</v>
      </c>
      <c r="C181" s="11" t="s">
        <v>0</v>
      </c>
      <c r="D181" s="20" t="s">
        <v>574</v>
      </c>
    </row>
    <row r="182" spans="1:4">
      <c r="A182" s="19" t="str">
        <f t="shared" si="15"/>
        <v>FB_DO_BUF_S.XMMX</v>
      </c>
      <c r="B182" s="11">
        <v>3</v>
      </c>
      <c r="C182" s="11" t="s">
        <v>1</v>
      </c>
      <c r="D182" s="20">
        <v>192</v>
      </c>
    </row>
    <row r="183" spans="1:4">
      <c r="A183" s="19" t="str">
        <f t="shared" si="15"/>
        <v>FB_DO_BUF_S.XMMX</v>
      </c>
      <c r="B183" s="11">
        <v>2</v>
      </c>
      <c r="C183" s="11" t="s">
        <v>2</v>
      </c>
      <c r="D183" s="20" t="s">
        <v>3</v>
      </c>
    </row>
    <row r="184" spans="1:4">
      <c r="A184" s="21" t="str">
        <f t="shared" si="15"/>
        <v>FB_DO_BUF_S.XMMX</v>
      </c>
      <c r="B184" s="8">
        <v>1</v>
      </c>
      <c r="C184" s="8" t="s">
        <v>1</v>
      </c>
      <c r="D184" s="22">
        <v>11</v>
      </c>
    </row>
    <row r="185" spans="1:4">
      <c r="A185" s="159" t="str">
        <f t="shared" ref="A185:A194" si="16">$R$2&amp;".XRCX"</f>
        <v>FB_DO_BUF_S.XRCX</v>
      </c>
      <c r="B185" s="160">
        <v>11154</v>
      </c>
      <c r="C185" s="160" t="s">
        <v>4</v>
      </c>
      <c r="D185" s="161">
        <f>$Q$8</f>
        <v>18</v>
      </c>
    </row>
    <row r="186" spans="1:4">
      <c r="A186" s="100" t="str">
        <f t="shared" si="16"/>
        <v>FB_DO_BUF_S.XRCX</v>
      </c>
      <c r="B186" s="101">
        <v>11150</v>
      </c>
      <c r="C186" s="101" t="s">
        <v>0</v>
      </c>
      <c r="D186" s="103" t="s">
        <v>533</v>
      </c>
    </row>
    <row r="187" spans="1:4">
      <c r="A187" s="100" t="str">
        <f t="shared" si="16"/>
        <v>FB_DO_BUF_S.XRCX</v>
      </c>
      <c r="B187" s="101">
        <v>11152</v>
      </c>
      <c r="C187" s="101" t="s">
        <v>0</v>
      </c>
      <c r="D187" s="104" t="str">
        <f>$R$8</f>
        <v>Телесигнализация</v>
      </c>
    </row>
    <row r="188" spans="1:4">
      <c r="A188" s="100" t="str">
        <f t="shared" si="16"/>
        <v>FB_DO_BUF_S.XRCX</v>
      </c>
      <c r="B188" s="101">
        <v>11000</v>
      </c>
      <c r="C188" s="101" t="s">
        <v>5</v>
      </c>
      <c r="D188" s="103">
        <v>2147483680</v>
      </c>
    </row>
    <row r="189" spans="1:4">
      <c r="A189" s="19" t="str">
        <f t="shared" si="16"/>
        <v>FB_DO_BUF_S.XRCX</v>
      </c>
      <c r="B189" s="11">
        <v>7999</v>
      </c>
      <c r="C189" s="11" t="s">
        <v>0</v>
      </c>
      <c r="D189" s="20" t="str">
        <f>"#"&amp;$S$2&amp;"#"&amp;$T$2&amp;"\"&amp;$P$2&amp;"\XRCX"</f>
        <v>#1#treiOPCDA.CoOPCserv.1\pcmaster\ALARM_SOUND\XRCX</v>
      </c>
    </row>
    <row r="190" spans="1:4">
      <c r="A190" s="19" t="str">
        <f t="shared" si="16"/>
        <v>FB_DO_BUF_S.XRCX</v>
      </c>
      <c r="B190" s="11">
        <v>7998</v>
      </c>
      <c r="C190" s="11" t="s">
        <v>6</v>
      </c>
      <c r="D190" s="20">
        <v>1</v>
      </c>
    </row>
    <row r="191" spans="1:4">
      <c r="A191" s="19" t="str">
        <f t="shared" si="16"/>
        <v>FB_DO_BUF_S.XRCX</v>
      </c>
      <c r="B191" s="11">
        <v>101</v>
      </c>
      <c r="C191" s="11" t="s">
        <v>0</v>
      </c>
      <c r="D191" s="20" t="s">
        <v>575</v>
      </c>
    </row>
    <row r="192" spans="1:4">
      <c r="A192" s="19" t="str">
        <f t="shared" si="16"/>
        <v>FB_DO_BUF_S.XRCX</v>
      </c>
      <c r="B192" s="11">
        <v>3</v>
      </c>
      <c r="C192" s="11" t="s">
        <v>1</v>
      </c>
      <c r="D192" s="20">
        <v>192</v>
      </c>
    </row>
    <row r="193" spans="1:4">
      <c r="A193" s="19" t="str">
        <f t="shared" si="16"/>
        <v>FB_DO_BUF_S.XRCX</v>
      </c>
      <c r="B193" s="11">
        <v>2</v>
      </c>
      <c r="C193" s="11" t="s">
        <v>2</v>
      </c>
      <c r="D193" s="20" t="s">
        <v>3</v>
      </c>
    </row>
    <row r="194" spans="1:4">
      <c r="A194" s="21" t="str">
        <f t="shared" si="16"/>
        <v>FB_DO_BUF_S.XRCX</v>
      </c>
      <c r="B194" s="8">
        <v>1</v>
      </c>
      <c r="C194" s="8" t="s">
        <v>1</v>
      </c>
      <c r="D194" s="22">
        <v>11</v>
      </c>
    </row>
    <row r="195" spans="1:4">
      <c r="A195" s="241" t="str">
        <f t="shared" ref="A195:A204" si="17">$R$2&amp;".XVLX"</f>
        <v>FB_DO_BUF_S.XVLX</v>
      </c>
      <c r="B195" s="242">
        <v>11154</v>
      </c>
      <c r="C195" s="242" t="s">
        <v>4</v>
      </c>
      <c r="D195" s="243">
        <f>IF($AB$2=$P$5,$Q$5,IF($AB$2=$P$6,$Q$6,IF($AB$2=$P$7,$Q$7,IF($AB$2=$P$8,$Q$8,IF($AB$2=$P$9,$Q$9,IF($AB$2=$P$10,$Q$10,IF($AB$2=$P$11,$Q$11,IF($AB$2=$P$12,$Q$12,IF($AB$2=$P$13,$Q$13,IF($AB$2=$P$14,$Q$14,0))))))))))</f>
        <v>8</v>
      </c>
    </row>
    <row r="196" spans="1:4">
      <c r="A196" s="244" t="str">
        <f t="shared" si="17"/>
        <v>FB_DO_BUF_S.XVLX</v>
      </c>
      <c r="B196" s="245">
        <v>11150</v>
      </c>
      <c r="C196" s="245" t="s">
        <v>0</v>
      </c>
      <c r="D196" s="246" t="s">
        <v>178</v>
      </c>
    </row>
    <row r="197" spans="1:4">
      <c r="A197" s="244" t="str">
        <f t="shared" si="17"/>
        <v>FB_DO_BUF_S.XVLX</v>
      </c>
      <c r="B197" s="245">
        <v>11152</v>
      </c>
      <c r="C197" s="245" t="s">
        <v>0</v>
      </c>
      <c r="D197" s="247" t="str">
        <f>IF($AB$2=$P$5,$R$5,IF($AB$2=$P$6,$R$6,IF($AB$2=$P$7,$R$7,IF($AB$2=$P$8,$R$8,IF($AB$2=$P$9,$R$9,IF($AB$2=$P$10,$R$10,IF($AB$2=$P$11,$R$11,IF($AB$2=$P$12,$R$12,IF($AB$2=$P$13,$R$13,IF($AB$2=$P$14,$R$14,0))))))))))</f>
        <v>Предупреждение</v>
      </c>
    </row>
    <row r="198" spans="1:4">
      <c r="A198" s="244" t="str">
        <f t="shared" si="17"/>
        <v>FB_DO_BUF_S.XVLX</v>
      </c>
      <c r="B198" s="245">
        <v>11000</v>
      </c>
      <c r="C198" s="245" t="s">
        <v>5</v>
      </c>
      <c r="D198" s="246">
        <v>2147483680</v>
      </c>
    </row>
    <row r="199" spans="1:4">
      <c r="A199" s="19" t="str">
        <f t="shared" si="17"/>
        <v>FB_DO_BUF_S.XVLX</v>
      </c>
      <c r="B199" s="11">
        <v>7999</v>
      </c>
      <c r="C199" s="11" t="s">
        <v>0</v>
      </c>
      <c r="D199" s="20" t="str">
        <f>"#"&amp;$S$2&amp;"#"&amp;$T$2&amp;"\"&amp;$P$2&amp;"\XVLX"</f>
        <v>#1#treiOPCDA.CoOPCserv.1\pcmaster\ALARM_SOUND\XVLX</v>
      </c>
    </row>
    <row r="200" spans="1:4">
      <c r="A200" s="19" t="str">
        <f t="shared" si="17"/>
        <v>FB_DO_BUF_S.XVLX</v>
      </c>
      <c r="B200" s="11">
        <v>7998</v>
      </c>
      <c r="C200" s="11" t="s">
        <v>6</v>
      </c>
      <c r="D200" s="20">
        <v>1</v>
      </c>
    </row>
    <row r="201" spans="1:4">
      <c r="A201" s="19" t="str">
        <f t="shared" si="17"/>
        <v>FB_DO_BUF_S.XVLX</v>
      </c>
      <c r="B201" s="11">
        <v>101</v>
      </c>
      <c r="C201" s="11" t="s">
        <v>0</v>
      </c>
      <c r="D201" s="20" t="s">
        <v>572</v>
      </c>
    </row>
    <row r="202" spans="1:4">
      <c r="A202" s="19" t="str">
        <f t="shared" si="17"/>
        <v>FB_DO_BUF_S.XVLX</v>
      </c>
      <c r="B202" s="11">
        <v>3</v>
      </c>
      <c r="C202" s="11" t="s">
        <v>1</v>
      </c>
      <c r="D202" s="20">
        <v>192</v>
      </c>
    </row>
    <row r="203" spans="1:4">
      <c r="A203" s="19" t="str">
        <f t="shared" si="17"/>
        <v>FB_DO_BUF_S.XVLX</v>
      </c>
      <c r="B203" s="11">
        <v>2</v>
      </c>
      <c r="C203" s="11" t="s">
        <v>2</v>
      </c>
      <c r="D203" s="20" t="s">
        <v>3</v>
      </c>
    </row>
    <row r="204" spans="1:4">
      <c r="A204" s="21" t="str">
        <f t="shared" si="17"/>
        <v>FB_DO_BUF_S.XVLX</v>
      </c>
      <c r="B204" s="8">
        <v>1</v>
      </c>
      <c r="C204" s="8" t="s">
        <v>1</v>
      </c>
      <c r="D204" s="22">
        <v>11</v>
      </c>
    </row>
    <row r="205" spans="1:4">
      <c r="A205" s="266" t="str">
        <f>$R$2&amp;".Commands.STCX"</f>
        <v>FB_DO_BUF_S.Commands.STCX</v>
      </c>
      <c r="B205" s="267">
        <v>1</v>
      </c>
      <c r="C205" s="267" t="s">
        <v>1</v>
      </c>
      <c r="D205" s="268">
        <v>3</v>
      </c>
    </row>
    <row r="206" spans="1:4">
      <c r="A206" s="269" t="str">
        <f>$R$2&amp;".Commands.STCX"</f>
        <v>FB_DO_BUF_S.Commands.STCX</v>
      </c>
      <c r="B206" s="270">
        <v>101</v>
      </c>
      <c r="C206" s="270" t="s">
        <v>0</v>
      </c>
      <c r="D206" s="271" t="s">
        <v>127</v>
      </c>
    </row>
    <row r="207" spans="1:4">
      <c r="A207" s="269" t="str">
        <f>$R$2&amp;".Commands.STCX"</f>
        <v>FB_DO_BUF_S.Commands.STCX</v>
      </c>
      <c r="B207" s="270">
        <v>7998</v>
      </c>
      <c r="C207" s="270" t="s">
        <v>6</v>
      </c>
      <c r="D207" s="271">
        <v>2</v>
      </c>
    </row>
    <row r="208" spans="1:4">
      <c r="A208" s="272" t="str">
        <f>$R$2&amp;".Commands.STCX"</f>
        <v>FB_DO_BUF_S.Commands.STCX</v>
      </c>
      <c r="B208" s="273">
        <v>7999</v>
      </c>
      <c r="C208" s="273" t="s">
        <v>0</v>
      </c>
      <c r="D208" s="274" t="str">
        <f>"#"&amp;$T$5&amp;"#"&amp;$T$2&amp;"\"&amp;$P$2&amp;"\STCX"</f>
        <v>#1#treiOPCDA.CoOPCserv.1\pcmaster\ALARM_SOUND\STCX</v>
      </c>
    </row>
    <row r="209" spans="1:4">
      <c r="A209" s="16" t="str">
        <f>$R$2&amp;".Commands.COON"</f>
        <v>FB_DO_BUF_S.Commands.COON</v>
      </c>
      <c r="B209" s="17">
        <v>101</v>
      </c>
      <c r="C209" s="17" t="s">
        <v>0</v>
      </c>
      <c r="D209" s="18" t="s">
        <v>408</v>
      </c>
    </row>
    <row r="210" spans="1:4">
      <c r="A210" s="19" t="str">
        <f>$R$2&amp;".Commands.COON"</f>
        <v>FB_DO_BUF_S.Commands.COON</v>
      </c>
      <c r="B210" s="11">
        <v>7999</v>
      </c>
      <c r="C210" s="11" t="s">
        <v>0</v>
      </c>
      <c r="D210" s="20" t="str">
        <f>"#"&amp;$T$5&amp;"#"&amp;$T$2&amp;"\"&amp;$P$2&amp;"\COON"</f>
        <v>#1#treiOPCDA.CoOPCserv.1\pcmaster\ALARM_SOUND\COON</v>
      </c>
    </row>
    <row r="211" spans="1:4">
      <c r="A211" s="19" t="str">
        <f>$R$2&amp;".Commands.COON"</f>
        <v>FB_DO_BUF_S.Commands.COON</v>
      </c>
      <c r="B211" s="11">
        <v>7998</v>
      </c>
      <c r="C211" s="11" t="s">
        <v>6</v>
      </c>
      <c r="D211" s="20">
        <v>2</v>
      </c>
    </row>
    <row r="212" spans="1:4">
      <c r="A212" s="21" t="str">
        <f>$R$2&amp;".Commands.COON"</f>
        <v>FB_DO_BUF_S.Commands.COON</v>
      </c>
      <c r="B212" s="8">
        <v>1</v>
      </c>
      <c r="C212" s="8" t="s">
        <v>1</v>
      </c>
      <c r="D212" s="22">
        <v>11</v>
      </c>
    </row>
    <row r="213" spans="1:4">
      <c r="A213" s="16" t="str">
        <f>$R$2&amp;".Commands.COOF"</f>
        <v>FB_DO_BUF_S.Commands.COOF</v>
      </c>
      <c r="B213" s="17">
        <v>101</v>
      </c>
      <c r="C213" s="17" t="s">
        <v>0</v>
      </c>
      <c r="D213" s="18" t="s">
        <v>409</v>
      </c>
    </row>
    <row r="214" spans="1:4">
      <c r="A214" s="19" t="str">
        <f>$R$2&amp;".Commands.COOF"</f>
        <v>FB_DO_BUF_S.Commands.COOF</v>
      </c>
      <c r="B214" s="11">
        <v>7999</v>
      </c>
      <c r="C214" s="11" t="s">
        <v>0</v>
      </c>
      <c r="D214" s="20" t="str">
        <f>"#"&amp;$T$5&amp;"#"&amp;$T$2&amp;"\"&amp;$P$2&amp;"\COOF"</f>
        <v>#1#treiOPCDA.CoOPCserv.1\pcmaster\ALARM_SOUND\COOF</v>
      </c>
    </row>
    <row r="215" spans="1:4">
      <c r="A215" s="19" t="str">
        <f>$R$2&amp;".Commands.COOF"</f>
        <v>FB_DO_BUF_S.Commands.COOF</v>
      </c>
      <c r="B215" s="11">
        <v>7998</v>
      </c>
      <c r="C215" s="11" t="s">
        <v>6</v>
      </c>
      <c r="D215" s="20">
        <v>2</v>
      </c>
    </row>
    <row r="216" spans="1:4">
      <c r="A216" s="21" t="str">
        <f>$R$2&amp;".Commands.COOF"</f>
        <v>FB_DO_BUF_S.Commands.COOF</v>
      </c>
      <c r="B216" s="8">
        <v>1</v>
      </c>
      <c r="C216" s="8" t="s">
        <v>1</v>
      </c>
      <c r="D216" s="22">
        <v>11</v>
      </c>
    </row>
    <row r="217" spans="1:4">
      <c r="A217" s="16" t="str">
        <f>$R$2&amp;".Commands.CRPX"</f>
        <v>FB_DO_BUF_S.Commands.CRPX</v>
      </c>
      <c r="B217" s="17">
        <v>101</v>
      </c>
      <c r="C217" s="17" t="s">
        <v>0</v>
      </c>
      <c r="D217" s="18" t="s">
        <v>90</v>
      </c>
    </row>
    <row r="218" spans="1:4">
      <c r="A218" s="19" t="str">
        <f>$R$2&amp;".Commands.CRPX"</f>
        <v>FB_DO_BUF_S.Commands.CRPX</v>
      </c>
      <c r="B218" s="11">
        <v>7999</v>
      </c>
      <c r="C218" s="11" t="s">
        <v>0</v>
      </c>
      <c r="D218" s="20" t="str">
        <f>"#"&amp;$T$5&amp;"#"&amp;$T$2&amp;"\"&amp;$P$2&amp;"\CRPX"</f>
        <v>#1#treiOPCDA.CoOPCserv.1\pcmaster\ALARM_SOUND\CRPX</v>
      </c>
    </row>
    <row r="219" spans="1:4">
      <c r="A219" s="19" t="str">
        <f>$R$2&amp;".Commands.CRPX"</f>
        <v>FB_DO_BUF_S.Commands.CRPX</v>
      </c>
      <c r="B219" s="11">
        <v>7998</v>
      </c>
      <c r="C219" s="11" t="s">
        <v>6</v>
      </c>
      <c r="D219" s="20">
        <v>2</v>
      </c>
    </row>
    <row r="220" spans="1:4">
      <c r="A220" s="21" t="str">
        <f>$R$2&amp;".Commands.CRPX"</f>
        <v>FB_DO_BUF_S.Commands.CRPX</v>
      </c>
      <c r="B220" s="8">
        <v>1</v>
      </c>
      <c r="C220" s="8" t="s">
        <v>1</v>
      </c>
      <c r="D220" s="22">
        <v>11</v>
      </c>
    </row>
    <row r="221" spans="1:4">
      <c r="A221" s="16" t="str">
        <f>$R$2&amp;".Commands.CMMX"</f>
        <v>FB_DO_BUF_S.Commands.CMMX</v>
      </c>
      <c r="B221" s="17">
        <v>101</v>
      </c>
      <c r="C221" s="17" t="s">
        <v>0</v>
      </c>
      <c r="D221" s="18" t="s">
        <v>94</v>
      </c>
    </row>
    <row r="222" spans="1:4">
      <c r="A222" s="19" t="str">
        <f>$R$2&amp;".Commands.CMMX"</f>
        <v>FB_DO_BUF_S.Commands.CMMX</v>
      </c>
      <c r="B222" s="11">
        <v>7999</v>
      </c>
      <c r="C222" s="11" t="s">
        <v>0</v>
      </c>
      <c r="D222" s="20" t="str">
        <f>"#"&amp;$T$5&amp;"#"&amp;$T$2&amp;"\"&amp;$P$2&amp;"\CMMX"</f>
        <v>#1#treiOPCDA.CoOPCserv.1\pcmaster\ALARM_SOUND\CMMX</v>
      </c>
    </row>
    <row r="223" spans="1:4">
      <c r="A223" s="19" t="str">
        <f>$R$2&amp;".Commands.CMMX"</f>
        <v>FB_DO_BUF_S.Commands.CMMX</v>
      </c>
      <c r="B223" s="11">
        <v>7998</v>
      </c>
      <c r="C223" s="11" t="s">
        <v>6</v>
      </c>
      <c r="D223" s="20">
        <v>2</v>
      </c>
    </row>
    <row r="224" spans="1:4">
      <c r="A224" s="21" t="str">
        <f>$R$2&amp;".Commands.CMMX"</f>
        <v>FB_DO_BUF_S.Commands.CMMX</v>
      </c>
      <c r="B224" s="8">
        <v>1</v>
      </c>
      <c r="C224" s="8" t="s">
        <v>1</v>
      </c>
      <c r="D224" s="22">
        <v>11</v>
      </c>
    </row>
    <row r="225" spans="1:4">
      <c r="A225" s="19" t="str">
        <f t="shared" ref="A225:A230" si="18">$R$2&amp;".OCON"</f>
        <v>FB_DO_BUF_S.OCON</v>
      </c>
      <c r="B225" s="11">
        <v>7999</v>
      </c>
      <c r="C225" s="11" t="s">
        <v>0</v>
      </c>
      <c r="D225" s="20" t="str">
        <f>"#"&amp;$S$2&amp;"#"&amp;$T$2&amp;"\"&amp;$P$2&amp;"\OCON"</f>
        <v>#1#treiOPCDA.CoOPCserv.1\pcmaster\ALARM_SOUND\OCON</v>
      </c>
    </row>
    <row r="226" spans="1:4">
      <c r="A226" s="19" t="str">
        <f t="shared" si="18"/>
        <v>FB_DO_BUF_S.OCON</v>
      </c>
      <c r="B226" s="11">
        <v>7998</v>
      </c>
      <c r="C226" s="11" t="s">
        <v>6</v>
      </c>
      <c r="D226" s="20">
        <v>1</v>
      </c>
    </row>
    <row r="227" spans="1:4">
      <c r="A227" s="19" t="str">
        <f t="shared" si="18"/>
        <v>FB_DO_BUF_S.OCON</v>
      </c>
      <c r="B227" s="11">
        <v>101</v>
      </c>
      <c r="C227" s="11" t="s">
        <v>0</v>
      </c>
      <c r="D227" s="20" t="s">
        <v>526</v>
      </c>
    </row>
    <row r="228" spans="1:4">
      <c r="A228" s="19" t="str">
        <f t="shared" si="18"/>
        <v>FB_DO_BUF_S.OCON</v>
      </c>
      <c r="B228" s="11">
        <v>3</v>
      </c>
      <c r="C228" s="11" t="s">
        <v>1</v>
      </c>
      <c r="D228" s="20">
        <v>192</v>
      </c>
    </row>
    <row r="229" spans="1:4">
      <c r="A229" s="19" t="str">
        <f t="shared" si="18"/>
        <v>FB_DO_BUF_S.OCON</v>
      </c>
      <c r="B229" s="11">
        <v>2</v>
      </c>
      <c r="C229" s="11" t="s">
        <v>2</v>
      </c>
      <c r="D229" s="20" t="s">
        <v>3</v>
      </c>
    </row>
    <row r="230" spans="1:4">
      <c r="A230" s="21" t="str">
        <f t="shared" si="18"/>
        <v>FB_DO_BUF_S.OCON</v>
      </c>
      <c r="B230" s="8">
        <v>1</v>
      </c>
      <c r="C230" s="8" t="s">
        <v>1</v>
      </c>
      <c r="D230" s="22">
        <v>11</v>
      </c>
    </row>
    <row r="231" spans="1:4">
      <c r="A231" s="19" t="str">
        <f t="shared" ref="A231:A236" si="19">$R$2&amp;".OCOF"</f>
        <v>FB_DO_BUF_S.OCOF</v>
      </c>
      <c r="B231" s="11">
        <v>7999</v>
      </c>
      <c r="C231" s="11" t="s">
        <v>0</v>
      </c>
      <c r="D231" s="20" t="str">
        <f>"#"&amp;$S$2&amp;"#"&amp;$T$2&amp;"\"&amp;$P$2&amp;"\OCOF"</f>
        <v>#1#treiOPCDA.CoOPCserv.1\pcmaster\ALARM_SOUND\OCOF</v>
      </c>
    </row>
    <row r="232" spans="1:4">
      <c r="A232" s="19" t="str">
        <f t="shared" si="19"/>
        <v>FB_DO_BUF_S.OCOF</v>
      </c>
      <c r="B232" s="11">
        <v>7998</v>
      </c>
      <c r="C232" s="11" t="s">
        <v>6</v>
      </c>
      <c r="D232" s="20">
        <v>1</v>
      </c>
    </row>
    <row r="233" spans="1:4">
      <c r="A233" s="19" t="str">
        <f t="shared" si="19"/>
        <v>FB_DO_BUF_S.OCOF</v>
      </c>
      <c r="B233" s="11">
        <v>101</v>
      </c>
      <c r="C233" s="11" t="s">
        <v>0</v>
      </c>
      <c r="D233" s="20" t="s">
        <v>541</v>
      </c>
    </row>
    <row r="234" spans="1:4">
      <c r="A234" s="19" t="str">
        <f t="shared" si="19"/>
        <v>FB_DO_BUF_S.OCOF</v>
      </c>
      <c r="B234" s="11">
        <v>3</v>
      </c>
      <c r="C234" s="11" t="s">
        <v>1</v>
      </c>
      <c r="D234" s="20">
        <v>192</v>
      </c>
    </row>
    <row r="235" spans="1:4">
      <c r="A235" s="19" t="str">
        <f t="shared" si="19"/>
        <v>FB_DO_BUF_S.OCOF</v>
      </c>
      <c r="B235" s="11">
        <v>2</v>
      </c>
      <c r="C235" s="11" t="s">
        <v>2</v>
      </c>
      <c r="D235" s="20" t="s">
        <v>3</v>
      </c>
    </row>
    <row r="236" spans="1:4">
      <c r="A236" s="21" t="str">
        <f t="shared" si="19"/>
        <v>FB_DO_BUF_S.OCOF</v>
      </c>
      <c r="B236" s="8">
        <v>1</v>
      </c>
      <c r="C236" s="8" t="s">
        <v>1</v>
      </c>
      <c r="D236" s="22">
        <v>11</v>
      </c>
    </row>
    <row r="237" spans="1:4">
      <c r="A237" s="19" t="str">
        <f t="shared" ref="A237:A242" si="20">$R$2&amp;".CDON"</f>
        <v>FB_DO_BUF_S.CDON</v>
      </c>
      <c r="B237" s="11">
        <v>7999</v>
      </c>
      <c r="C237" s="11" t="s">
        <v>0</v>
      </c>
      <c r="D237" s="20" t="str">
        <f>"#"&amp;$S$2&amp;"#"&amp;$T$2&amp;"\"&amp;$P$2&amp;"\CDON"</f>
        <v>#1#treiOPCDA.CoOPCserv.1\pcmaster\ALARM_SOUND\CDON</v>
      </c>
    </row>
    <row r="238" spans="1:4">
      <c r="A238" s="19" t="str">
        <f t="shared" si="20"/>
        <v>FB_DO_BUF_S.CDON</v>
      </c>
      <c r="B238" s="11">
        <v>7998</v>
      </c>
      <c r="C238" s="11" t="s">
        <v>6</v>
      </c>
      <c r="D238" s="20">
        <v>1</v>
      </c>
    </row>
    <row r="239" spans="1:4">
      <c r="A239" s="19" t="str">
        <f t="shared" si="20"/>
        <v>FB_DO_BUF_S.CDON</v>
      </c>
      <c r="B239" s="11">
        <v>101</v>
      </c>
      <c r="C239" s="11" t="s">
        <v>0</v>
      </c>
      <c r="D239" s="20" t="s">
        <v>543</v>
      </c>
    </row>
    <row r="240" spans="1:4">
      <c r="A240" s="19" t="str">
        <f t="shared" si="20"/>
        <v>FB_DO_BUF_S.CDON</v>
      </c>
      <c r="B240" s="11">
        <v>3</v>
      </c>
      <c r="C240" s="11" t="s">
        <v>1</v>
      </c>
      <c r="D240" s="20">
        <v>192</v>
      </c>
    </row>
    <row r="241" spans="1:4">
      <c r="A241" s="19" t="str">
        <f t="shared" si="20"/>
        <v>FB_DO_BUF_S.CDON</v>
      </c>
      <c r="B241" s="11">
        <v>2</v>
      </c>
      <c r="C241" s="11" t="s">
        <v>2</v>
      </c>
      <c r="D241" s="20" t="s">
        <v>3</v>
      </c>
    </row>
    <row r="242" spans="1:4">
      <c r="A242" s="21" t="str">
        <f t="shared" si="20"/>
        <v>FB_DO_BUF_S.CDON</v>
      </c>
      <c r="B242" s="8">
        <v>1</v>
      </c>
      <c r="C242" s="8" t="s">
        <v>1</v>
      </c>
      <c r="D242" s="22">
        <v>11</v>
      </c>
    </row>
    <row r="243" spans="1:4">
      <c r="A243" s="19" t="str">
        <f t="shared" ref="A243:A248" si="21">$R$2&amp;".CDOF"</f>
        <v>FB_DO_BUF_S.CDOF</v>
      </c>
      <c r="B243" s="11">
        <v>7999</v>
      </c>
      <c r="C243" s="11" t="s">
        <v>0</v>
      </c>
      <c r="D243" s="20" t="str">
        <f>"#"&amp;$S$2&amp;"#"&amp;$T$2&amp;"\"&amp;$P$2&amp;"\CDOF"</f>
        <v>#1#treiOPCDA.CoOPCserv.1\pcmaster\ALARM_SOUND\CDOF</v>
      </c>
    </row>
    <row r="244" spans="1:4">
      <c r="A244" s="19" t="str">
        <f t="shared" si="21"/>
        <v>FB_DO_BUF_S.CDOF</v>
      </c>
      <c r="B244" s="11">
        <v>7998</v>
      </c>
      <c r="C244" s="11" t="s">
        <v>6</v>
      </c>
      <c r="D244" s="20">
        <v>1</v>
      </c>
    </row>
    <row r="245" spans="1:4">
      <c r="A245" s="19" t="str">
        <f t="shared" si="21"/>
        <v>FB_DO_BUF_S.CDOF</v>
      </c>
      <c r="B245" s="11">
        <v>101</v>
      </c>
      <c r="C245" s="11" t="s">
        <v>0</v>
      </c>
      <c r="D245" s="20" t="s">
        <v>542</v>
      </c>
    </row>
    <row r="246" spans="1:4">
      <c r="A246" s="19" t="str">
        <f t="shared" si="21"/>
        <v>FB_DO_BUF_S.CDOF</v>
      </c>
      <c r="B246" s="11">
        <v>3</v>
      </c>
      <c r="C246" s="11" t="s">
        <v>1</v>
      </c>
      <c r="D246" s="20">
        <v>192</v>
      </c>
    </row>
    <row r="247" spans="1:4">
      <c r="A247" s="19" t="str">
        <f t="shared" si="21"/>
        <v>FB_DO_BUF_S.CDOF</v>
      </c>
      <c r="B247" s="11">
        <v>2</v>
      </c>
      <c r="C247" s="11" t="s">
        <v>2</v>
      </c>
      <c r="D247" s="20" t="s">
        <v>3</v>
      </c>
    </row>
    <row r="248" spans="1:4">
      <c r="A248" s="21" t="str">
        <f t="shared" si="21"/>
        <v>FB_DO_BUF_S.CDOF</v>
      </c>
      <c r="B248" s="8">
        <v>1</v>
      </c>
      <c r="C248" s="8" t="s">
        <v>1</v>
      </c>
      <c r="D248" s="22">
        <v>11</v>
      </c>
    </row>
    <row r="249" spans="1:4">
      <c r="A249" s="19" t="str">
        <f t="shared" ref="A249:A254" si="22">$R$2&amp;".OXON"</f>
        <v>FB_DO_BUF_S.OXON</v>
      </c>
      <c r="B249" s="11">
        <v>7999</v>
      </c>
      <c r="C249" s="11" t="s">
        <v>0</v>
      </c>
      <c r="D249" s="20" t="str">
        <f>"#"&amp;$S$2&amp;"#"&amp;$T$2&amp;"\"&amp;$P$2&amp;"\OXON"</f>
        <v>#1#treiOPCDA.CoOPCserv.1\pcmaster\ALARM_SOUND\OXON</v>
      </c>
    </row>
    <row r="250" spans="1:4">
      <c r="A250" s="19" t="str">
        <f t="shared" si="22"/>
        <v>FB_DO_BUF_S.OXON</v>
      </c>
      <c r="B250" s="11">
        <v>7998</v>
      </c>
      <c r="C250" s="11" t="s">
        <v>6</v>
      </c>
      <c r="D250" s="20">
        <v>1</v>
      </c>
    </row>
    <row r="251" spans="1:4">
      <c r="A251" s="19" t="str">
        <f t="shared" si="22"/>
        <v>FB_DO_BUF_S.OXON</v>
      </c>
      <c r="B251" s="11">
        <v>101</v>
      </c>
      <c r="C251" s="11" t="s">
        <v>0</v>
      </c>
      <c r="D251" s="20" t="s">
        <v>271</v>
      </c>
    </row>
    <row r="252" spans="1:4">
      <c r="A252" s="19" t="str">
        <f t="shared" si="22"/>
        <v>FB_DO_BUF_S.OXON</v>
      </c>
      <c r="B252" s="11">
        <v>3</v>
      </c>
      <c r="C252" s="11" t="s">
        <v>1</v>
      </c>
      <c r="D252" s="20">
        <v>192</v>
      </c>
    </row>
    <row r="253" spans="1:4">
      <c r="A253" s="19" t="str">
        <f t="shared" si="22"/>
        <v>FB_DO_BUF_S.OXON</v>
      </c>
      <c r="B253" s="11">
        <v>2</v>
      </c>
      <c r="C253" s="11" t="s">
        <v>2</v>
      </c>
      <c r="D253" s="20" t="s">
        <v>3</v>
      </c>
    </row>
    <row r="254" spans="1:4">
      <c r="A254" s="21" t="str">
        <f t="shared" si="22"/>
        <v>FB_DO_BUF_S.OXON</v>
      </c>
      <c r="B254" s="8">
        <v>1</v>
      </c>
      <c r="C254" s="8" t="s">
        <v>1</v>
      </c>
      <c r="D254" s="22">
        <v>11</v>
      </c>
    </row>
    <row r="255" spans="1:4">
      <c r="A255" s="19" t="str">
        <f t="shared" ref="A255:A260" si="23">$R$2&amp;".OXOF"</f>
        <v>FB_DO_BUF_S.OXOF</v>
      </c>
      <c r="B255" s="11">
        <v>7999</v>
      </c>
      <c r="C255" s="11" t="s">
        <v>0</v>
      </c>
      <c r="D255" s="20" t="str">
        <f>"#"&amp;$S$2&amp;"#"&amp;$T$2&amp;"\"&amp;$P$2&amp;"\OXOF"</f>
        <v>#1#treiOPCDA.CoOPCserv.1\pcmaster\ALARM_SOUND\OXOF</v>
      </c>
    </row>
    <row r="256" spans="1:4">
      <c r="A256" s="19" t="str">
        <f t="shared" si="23"/>
        <v>FB_DO_BUF_S.OXOF</v>
      </c>
      <c r="B256" s="11">
        <v>7998</v>
      </c>
      <c r="C256" s="11" t="s">
        <v>6</v>
      </c>
      <c r="D256" s="20">
        <v>1</v>
      </c>
    </row>
    <row r="257" spans="1:4">
      <c r="A257" s="19" t="str">
        <f t="shared" si="23"/>
        <v>FB_DO_BUF_S.OXOF</v>
      </c>
      <c r="B257" s="11">
        <v>101</v>
      </c>
      <c r="C257" s="11" t="s">
        <v>0</v>
      </c>
      <c r="D257" s="20" t="s">
        <v>132</v>
      </c>
    </row>
    <row r="258" spans="1:4">
      <c r="A258" s="19" t="str">
        <f t="shared" si="23"/>
        <v>FB_DO_BUF_S.OXOF</v>
      </c>
      <c r="B258" s="11">
        <v>3</v>
      </c>
      <c r="C258" s="11" t="s">
        <v>1</v>
      </c>
      <c r="D258" s="20">
        <v>192</v>
      </c>
    </row>
    <row r="259" spans="1:4">
      <c r="A259" s="19" t="str">
        <f t="shared" si="23"/>
        <v>FB_DO_BUF_S.OXOF</v>
      </c>
      <c r="B259" s="11">
        <v>2</v>
      </c>
      <c r="C259" s="11" t="s">
        <v>2</v>
      </c>
      <c r="D259" s="20" t="s">
        <v>3</v>
      </c>
    </row>
    <row r="260" spans="1:4">
      <c r="A260" s="21" t="str">
        <f t="shared" si="23"/>
        <v>FB_DO_BUF_S.OXOF</v>
      </c>
      <c r="B260" s="8">
        <v>1</v>
      </c>
      <c r="C260" s="8" t="s">
        <v>1</v>
      </c>
      <c r="D260" s="22">
        <v>11</v>
      </c>
    </row>
    <row r="261" spans="1:4">
      <c r="A261" s="19" t="str">
        <f t="shared" ref="A261:A266" si="24">$R$2&amp;".FXXX"</f>
        <v>FB_DO_BUF_S.FXXX</v>
      </c>
      <c r="B261" s="11">
        <v>7999</v>
      </c>
      <c r="C261" s="11" t="s">
        <v>0</v>
      </c>
      <c r="D261" s="20" t="str">
        <f>"#"&amp;$S$2&amp;"#"&amp;$T$2&amp;"\"&amp;$P$2&amp;"\FXXX"</f>
        <v>#1#treiOPCDA.CoOPCserv.1\pcmaster\ALARM_SOUND\FXXX</v>
      </c>
    </row>
    <row r="262" spans="1:4">
      <c r="A262" s="19" t="str">
        <f t="shared" si="24"/>
        <v>FB_DO_BUF_S.FXXX</v>
      </c>
      <c r="B262" s="11">
        <v>7998</v>
      </c>
      <c r="C262" s="11" t="s">
        <v>6</v>
      </c>
      <c r="D262" s="20">
        <v>1</v>
      </c>
    </row>
    <row r="263" spans="1:4">
      <c r="A263" s="19" t="str">
        <f t="shared" si="24"/>
        <v>FB_DO_BUF_S.FXXX</v>
      </c>
      <c r="B263" s="11">
        <v>101</v>
      </c>
      <c r="C263" s="11" t="s">
        <v>0</v>
      </c>
      <c r="D263" s="20" t="s">
        <v>434</v>
      </c>
    </row>
    <row r="264" spans="1:4">
      <c r="A264" s="19" t="str">
        <f t="shared" si="24"/>
        <v>FB_DO_BUF_S.FXXX</v>
      </c>
      <c r="B264" s="11">
        <v>3</v>
      </c>
      <c r="C264" s="11" t="s">
        <v>1</v>
      </c>
      <c r="D264" s="20">
        <v>192</v>
      </c>
    </row>
    <row r="265" spans="1:4">
      <c r="A265" s="19" t="str">
        <f t="shared" si="24"/>
        <v>FB_DO_BUF_S.FXXX</v>
      </c>
      <c r="B265" s="11">
        <v>2</v>
      </c>
      <c r="C265" s="11" t="s">
        <v>2</v>
      </c>
      <c r="D265" s="20" t="s">
        <v>3</v>
      </c>
    </row>
    <row r="266" spans="1:4">
      <c r="A266" s="21" t="str">
        <f t="shared" si="24"/>
        <v>FB_DO_BUF_S.FXXX</v>
      </c>
      <c r="B266" s="8">
        <v>1</v>
      </c>
      <c r="C266" s="8" t="s">
        <v>1</v>
      </c>
      <c r="D266" s="22">
        <v>11</v>
      </c>
    </row>
    <row r="267" spans="1:4">
      <c r="A267" s="19" t="str">
        <f t="shared" ref="A267:A272" si="25">$R$2&amp;".IVXX"</f>
        <v>FB_DO_BUF_S.IVXX</v>
      </c>
      <c r="B267" s="11">
        <v>7999</v>
      </c>
      <c r="C267" s="11" t="s">
        <v>0</v>
      </c>
      <c r="D267" s="20" t="str">
        <f>"#"&amp;$S$2&amp;"#"&amp;$T$2&amp;"\"&amp;$P$2&amp;"\IVXX"</f>
        <v>#1#treiOPCDA.CoOPCserv.1\pcmaster\ALARM_SOUND\IVXX</v>
      </c>
    </row>
    <row r="268" spans="1:4">
      <c r="A268" s="19" t="str">
        <f t="shared" si="25"/>
        <v>FB_DO_BUF_S.IVXX</v>
      </c>
      <c r="B268" s="11">
        <v>7998</v>
      </c>
      <c r="C268" s="11" t="s">
        <v>6</v>
      </c>
      <c r="D268" s="20">
        <v>1</v>
      </c>
    </row>
    <row r="269" spans="1:4">
      <c r="A269" s="19" t="str">
        <f t="shared" si="25"/>
        <v>FB_DO_BUF_S.IVXX</v>
      </c>
      <c r="B269" s="11">
        <v>101</v>
      </c>
      <c r="C269" s="11" t="s">
        <v>0</v>
      </c>
      <c r="D269" s="20" t="s">
        <v>42</v>
      </c>
    </row>
    <row r="270" spans="1:4">
      <c r="A270" s="19" t="str">
        <f t="shared" si="25"/>
        <v>FB_DO_BUF_S.IVXX</v>
      </c>
      <c r="B270" s="11">
        <v>3</v>
      </c>
      <c r="C270" s="11" t="s">
        <v>1</v>
      </c>
      <c r="D270" s="20">
        <v>192</v>
      </c>
    </row>
    <row r="271" spans="1:4">
      <c r="A271" s="19" t="str">
        <f t="shared" si="25"/>
        <v>FB_DO_BUF_S.IVXX</v>
      </c>
      <c r="B271" s="11">
        <v>2</v>
      </c>
      <c r="C271" s="11" t="s">
        <v>2</v>
      </c>
      <c r="D271" s="20" t="s">
        <v>3</v>
      </c>
    </row>
    <row r="272" spans="1:4">
      <c r="A272" s="21" t="str">
        <f t="shared" si="25"/>
        <v>FB_DO_BUF_S.IVXX</v>
      </c>
      <c r="B272" s="8">
        <v>1</v>
      </c>
      <c r="C272" s="8" t="s">
        <v>1</v>
      </c>
      <c r="D272" s="22">
        <v>11</v>
      </c>
    </row>
    <row r="273" spans="1:4">
      <c r="A273" s="19" t="str">
        <f t="shared" ref="A273:A278" si="26">$R$2&amp;".IRCX"</f>
        <v>FB_DO_BUF_S.IRCX</v>
      </c>
      <c r="B273" s="11">
        <v>7999</v>
      </c>
      <c r="C273" s="11" t="s">
        <v>0</v>
      </c>
      <c r="D273" s="20" t="str">
        <f>"#"&amp;$S$2&amp;"#"&amp;$T$2&amp;"\"&amp;$P$2&amp;"\IRCX"</f>
        <v>#1#treiOPCDA.CoOPCserv.1\pcmaster\ALARM_SOUND\IRCX</v>
      </c>
    </row>
    <row r="274" spans="1:4">
      <c r="A274" s="19" t="str">
        <f t="shared" si="26"/>
        <v>FB_DO_BUF_S.IRCX</v>
      </c>
      <c r="B274" s="11">
        <v>7998</v>
      </c>
      <c r="C274" s="11" t="s">
        <v>6</v>
      </c>
      <c r="D274" s="20">
        <v>1</v>
      </c>
    </row>
    <row r="275" spans="1:4">
      <c r="A275" s="19" t="str">
        <f t="shared" si="26"/>
        <v>FB_DO_BUF_S.IRCX</v>
      </c>
      <c r="B275" s="11">
        <v>101</v>
      </c>
      <c r="C275" s="11" t="s">
        <v>0</v>
      </c>
      <c r="D275" s="20" t="s">
        <v>576</v>
      </c>
    </row>
    <row r="276" spans="1:4">
      <c r="A276" s="19" t="str">
        <f t="shared" si="26"/>
        <v>FB_DO_BUF_S.IRCX</v>
      </c>
      <c r="B276" s="11">
        <v>3</v>
      </c>
      <c r="C276" s="11" t="s">
        <v>1</v>
      </c>
      <c r="D276" s="20">
        <v>192</v>
      </c>
    </row>
    <row r="277" spans="1:4">
      <c r="A277" s="19" t="str">
        <f t="shared" si="26"/>
        <v>FB_DO_BUF_S.IRCX</v>
      </c>
      <c r="B277" s="11">
        <v>2</v>
      </c>
      <c r="C277" s="11" t="s">
        <v>2</v>
      </c>
      <c r="D277" s="20" t="s">
        <v>3</v>
      </c>
    </row>
    <row r="278" spans="1:4">
      <c r="A278" s="21" t="str">
        <f t="shared" si="26"/>
        <v>FB_DO_BUF_S.IRCX</v>
      </c>
      <c r="B278" s="8">
        <v>1</v>
      </c>
      <c r="C278" s="8" t="s">
        <v>1</v>
      </c>
      <c r="D278" s="22">
        <v>11</v>
      </c>
    </row>
    <row r="279" spans="1:4">
      <c r="A279" s="19" t="str">
        <f t="shared" ref="A279:A284" si="27">$R$2&amp;".CPMM"</f>
        <v>FB_DO_BUF_S.CPMM</v>
      </c>
      <c r="B279" s="11">
        <v>7999</v>
      </c>
      <c r="C279" s="11" t="s">
        <v>0</v>
      </c>
      <c r="D279" s="20" t="str">
        <f>"#"&amp;$S$2&amp;"#"&amp;$T$2&amp;"\"&amp;$P$2&amp;"\CPMM"</f>
        <v>#1#treiOPCDA.CoOPCserv.1\pcmaster\ALARM_SOUND\CPMM</v>
      </c>
    </row>
    <row r="280" spans="1:4">
      <c r="A280" s="19" t="str">
        <f t="shared" si="27"/>
        <v>FB_DO_BUF_S.CPMM</v>
      </c>
      <c r="B280" s="11">
        <v>7998</v>
      </c>
      <c r="C280" s="11" t="s">
        <v>6</v>
      </c>
      <c r="D280" s="20">
        <v>1</v>
      </c>
    </row>
    <row r="281" spans="1:4">
      <c r="A281" s="19" t="str">
        <f t="shared" si="27"/>
        <v>FB_DO_BUF_S.CPMM</v>
      </c>
      <c r="B281" s="11">
        <v>101</v>
      </c>
      <c r="C281" s="11" t="s">
        <v>0</v>
      </c>
      <c r="D281" s="20" t="s">
        <v>115</v>
      </c>
    </row>
    <row r="282" spans="1:4">
      <c r="A282" s="19" t="str">
        <f t="shared" si="27"/>
        <v>FB_DO_BUF_S.CPMM</v>
      </c>
      <c r="B282" s="11">
        <v>3</v>
      </c>
      <c r="C282" s="11" t="s">
        <v>1</v>
      </c>
      <c r="D282" s="20">
        <v>192</v>
      </c>
    </row>
    <row r="283" spans="1:4">
      <c r="A283" s="19" t="str">
        <f t="shared" si="27"/>
        <v>FB_DO_BUF_S.CPMM</v>
      </c>
      <c r="B283" s="11">
        <v>2</v>
      </c>
      <c r="C283" s="11" t="s">
        <v>2</v>
      </c>
      <c r="D283" s="20" t="s">
        <v>266</v>
      </c>
    </row>
    <row r="284" spans="1:4">
      <c r="A284" s="21" t="str">
        <f t="shared" si="27"/>
        <v>FB_DO_BUF_S.CPMM</v>
      </c>
      <c r="B284" s="8">
        <v>1</v>
      </c>
      <c r="C284" s="8" t="s">
        <v>1</v>
      </c>
      <c r="D284" s="22">
        <v>11</v>
      </c>
    </row>
    <row r="285" spans="1:4">
      <c r="A285" s="19" t="str">
        <f t="shared" ref="A285:A290" si="28">$R$2&amp;".SMMX"</f>
        <v>FB_DO_BUF_S.SMMX</v>
      </c>
      <c r="B285" s="11">
        <v>7999</v>
      </c>
      <c r="C285" s="11" t="s">
        <v>0</v>
      </c>
      <c r="D285" s="20" t="str">
        <f>"#"&amp;$S$2&amp;"#"&amp;$T$2&amp;"\"&amp;$P$2&amp;"\SMMX"</f>
        <v>#1#treiOPCDA.CoOPCserv.1\pcmaster\ALARM_SOUND\SMMX</v>
      </c>
    </row>
    <row r="286" spans="1:4">
      <c r="A286" s="19" t="str">
        <f t="shared" si="28"/>
        <v>FB_DO_BUF_S.SMMX</v>
      </c>
      <c r="B286" s="11">
        <v>7998</v>
      </c>
      <c r="C286" s="11" t="s">
        <v>6</v>
      </c>
      <c r="D286" s="20">
        <v>1</v>
      </c>
    </row>
    <row r="287" spans="1:4">
      <c r="A287" s="19" t="str">
        <f t="shared" si="28"/>
        <v>FB_DO_BUF_S.SMMX</v>
      </c>
      <c r="B287" s="11">
        <v>101</v>
      </c>
      <c r="C287" s="11" t="s">
        <v>0</v>
      </c>
      <c r="D287" s="20" t="s">
        <v>251</v>
      </c>
    </row>
    <row r="288" spans="1:4">
      <c r="A288" s="19" t="str">
        <f t="shared" si="28"/>
        <v>FB_DO_BUF_S.SMMX</v>
      </c>
      <c r="B288" s="11">
        <v>3</v>
      </c>
      <c r="C288" s="11" t="s">
        <v>1</v>
      </c>
      <c r="D288" s="20">
        <v>192</v>
      </c>
    </row>
    <row r="289" spans="1:4">
      <c r="A289" s="19" t="str">
        <f t="shared" si="28"/>
        <v>FB_DO_BUF_S.SMMX</v>
      </c>
      <c r="B289" s="11">
        <v>2</v>
      </c>
      <c r="C289" s="11" t="s">
        <v>2</v>
      </c>
      <c r="D289" s="20" t="s">
        <v>3</v>
      </c>
    </row>
    <row r="290" spans="1:4">
      <c r="A290" s="21" t="str">
        <f t="shared" si="28"/>
        <v>FB_DO_BUF_S.SMMX</v>
      </c>
      <c r="B290" s="8">
        <v>1</v>
      </c>
      <c r="C290" s="8" t="s">
        <v>1</v>
      </c>
      <c r="D290" s="22">
        <v>11</v>
      </c>
    </row>
    <row r="291" spans="1:4">
      <c r="A291" s="266" t="str">
        <f t="shared" ref="A291:A296" si="29">$R$2&amp;".STCX"</f>
        <v>FB_DO_BUF_S.STCX</v>
      </c>
      <c r="B291" s="267">
        <v>3</v>
      </c>
      <c r="C291" s="267" t="s">
        <v>1</v>
      </c>
      <c r="D291" s="268">
        <v>192</v>
      </c>
    </row>
    <row r="292" spans="1:4">
      <c r="A292" s="269" t="str">
        <f t="shared" si="29"/>
        <v>FB_DO_BUF_S.STCX</v>
      </c>
      <c r="B292" s="270">
        <v>2</v>
      </c>
      <c r="C292" s="270" t="s">
        <v>6</v>
      </c>
      <c r="D292" s="271">
        <v>0</v>
      </c>
    </row>
    <row r="293" spans="1:4">
      <c r="A293" s="269" t="str">
        <f t="shared" si="29"/>
        <v>FB_DO_BUF_S.STCX</v>
      </c>
      <c r="B293" s="270">
        <v>1</v>
      </c>
      <c r="C293" s="270" t="s">
        <v>1</v>
      </c>
      <c r="D293" s="271">
        <v>3</v>
      </c>
    </row>
    <row r="294" spans="1:4">
      <c r="A294" s="269" t="str">
        <f t="shared" si="29"/>
        <v>FB_DO_BUF_S.STCX</v>
      </c>
      <c r="B294" s="270">
        <v>101</v>
      </c>
      <c r="C294" s="270" t="s">
        <v>0</v>
      </c>
      <c r="D294" s="271" t="s">
        <v>127</v>
      </c>
    </row>
    <row r="295" spans="1:4">
      <c r="A295" s="269" t="str">
        <f t="shared" si="29"/>
        <v>FB_DO_BUF_S.STCX</v>
      </c>
      <c r="B295" s="270">
        <v>7998</v>
      </c>
      <c r="C295" s="270" t="s">
        <v>6</v>
      </c>
      <c r="D295" s="271">
        <v>1</v>
      </c>
    </row>
    <row r="296" spans="1:4">
      <c r="A296" s="272" t="str">
        <f t="shared" si="29"/>
        <v>FB_DO_BUF_S.STCX</v>
      </c>
      <c r="B296" s="273">
        <v>7999</v>
      </c>
      <c r="C296" s="273" t="s">
        <v>0</v>
      </c>
      <c r="D296" s="274" t="str">
        <f>"#"&amp;$S$2&amp;"#"&amp;$T$2&amp;"\"&amp;$P$2&amp;"\STCX"</f>
        <v>#1#treiOPCDA.CoOPCserv.1\pcmaster\ALARM_SOUND\STCX</v>
      </c>
    </row>
    <row r="297" spans="1:4">
      <c r="A297" s="241" t="str">
        <f t="shared" ref="A297:A305" si="30">$R$2&amp;".BUF.XVLX"</f>
        <v>FB_DO_BUF_S.BUF.XVLX</v>
      </c>
      <c r="B297" s="242">
        <v>7050</v>
      </c>
      <c r="C297" s="242" t="s">
        <v>0</v>
      </c>
      <c r="D297" s="654" t="str">
        <f>"&lt;Addr AnswerSignalType=©0© Protocol=©IEC4Std© Type=©Protocol© ProtocolType=©30© Address=©XXX© ModuleNo=©" &amp; $T$9&amp; "© Role=©Master© Station=©" &amp; $T$11 &amp; "©  /&gt;"</f>
        <v>&lt;Addr AnswerSignalType=©0© Protocol=©IEC4Std© Type=©Protocol© ProtocolType=©30© Address=©XXX© ModuleNo=©1© Role=©Master© Station=©1©  /&gt;</v>
      </c>
    </row>
    <row r="298" spans="1:4">
      <c r="A298" s="244" t="str">
        <f t="shared" si="30"/>
        <v>FB_DO_BUF_S.BUF.XVLX</v>
      </c>
      <c r="B298" s="245">
        <v>11154</v>
      </c>
      <c r="C298" s="245" t="s">
        <v>4</v>
      </c>
      <c r="D298" s="655">
        <f>IF($AB$2=$P$5,$S$5,IF($AB$2=$P$6,$S$6,IF($AB$2=$P$7,$S$7,IF($AB$2=$P$8,$S$8,IF($AB$2=$P$9,$S$9,IF($AB$2=$P$10,$S$10,IF($AB$2=$P$11,$S$11,IF($AB$2=$P$12,$S$12,IF($AB$2=$P$13,$S$13,IF($AB$2=$P$14,$S$14,IF($AB$2=$P$15,$S$15,IF($AB$2=$P$16,$S$16,IF($AB$2=$P$17,$S$17,IF($AB$2=$P$18,$S$18,IF($AB$2=$P$19,$S$19,0)))))))))))))))</f>
        <v>24</v>
      </c>
    </row>
    <row r="299" spans="1:4">
      <c r="A299" s="244" t="str">
        <f t="shared" si="30"/>
        <v>FB_DO_BUF_S.BUF.XVLX</v>
      </c>
      <c r="B299" s="245">
        <v>11150</v>
      </c>
      <c r="C299" s="245" t="s">
        <v>0</v>
      </c>
      <c r="D299" s="246" t="s">
        <v>178</v>
      </c>
    </row>
    <row r="300" spans="1:4">
      <c r="A300" s="244" t="str">
        <f t="shared" si="30"/>
        <v>FB_DO_BUF_S.BUF.XVLX</v>
      </c>
      <c r="B300" s="245">
        <v>11152</v>
      </c>
      <c r="C300" s="245" t="s">
        <v>0</v>
      </c>
      <c r="D300" s="247" t="str">
        <f>IF($AB$2=$P$5,$R$5,IF($AB$2=$P$6,$R$6,IF($AB$2=$P$7,$R$7,IF($AB$2=$P$8,$R$8,IF($AB$2=$P$9,$R$9,IF($AB$2=$P$10,$R$10,IF($AB$2=$P$11,$R$11,IF($AB$2=$P$12,$R$12,IF($AB$2=$P$13,$R$13,IF($AB$2=$P$14,$R$14,IF($AB$2=$P$15,$R$15,IF($AB$2=$P$16,$R$16,IF($AB$2=$P$17,$R$17,IF($AB$2=$P$18,$R$18,IF($AB$2=$P$19,$R$19,0)))))))))))))))</f>
        <v>Предупреждение</v>
      </c>
    </row>
    <row r="301" spans="1:4">
      <c r="A301" s="244" t="str">
        <f t="shared" si="30"/>
        <v>FB_DO_BUF_S.BUF.XVLX</v>
      </c>
      <c r="B301" s="245">
        <v>11000</v>
      </c>
      <c r="C301" s="245" t="s">
        <v>5</v>
      </c>
      <c r="D301" s="246">
        <v>2147483680</v>
      </c>
    </row>
    <row r="302" spans="1:4">
      <c r="A302" s="19" t="str">
        <f t="shared" si="30"/>
        <v>FB_DO_BUF_S.BUF.XVLX</v>
      </c>
      <c r="B302" s="11">
        <v>101</v>
      </c>
      <c r="C302" s="11" t="s">
        <v>0</v>
      </c>
      <c r="D302" s="20" t="s">
        <v>572</v>
      </c>
    </row>
    <row r="303" spans="1:4">
      <c r="A303" s="19" t="str">
        <f t="shared" si="30"/>
        <v>FB_DO_BUF_S.BUF.XVLX</v>
      </c>
      <c r="B303" s="11">
        <v>3</v>
      </c>
      <c r="C303" s="11" t="s">
        <v>1</v>
      </c>
      <c r="D303" s="20">
        <v>192</v>
      </c>
    </row>
    <row r="304" spans="1:4">
      <c r="A304" s="19" t="str">
        <f t="shared" si="30"/>
        <v>FB_DO_BUF_S.BUF.XVLX</v>
      </c>
      <c r="B304" s="11">
        <v>2</v>
      </c>
      <c r="C304" s="11" t="s">
        <v>2</v>
      </c>
      <c r="D304" s="20" t="s">
        <v>3</v>
      </c>
    </row>
    <row r="305" spans="1:4">
      <c r="A305" s="19" t="str">
        <f t="shared" si="30"/>
        <v>FB_DO_BUF_S.BUF.XVLX</v>
      </c>
      <c r="B305" s="11">
        <v>1</v>
      </c>
      <c r="C305" s="11" t="s">
        <v>1</v>
      </c>
      <c r="D305" s="20">
        <v>11</v>
      </c>
    </row>
    <row r="306" spans="1:4">
      <c r="A306" s="163" t="str">
        <f t="shared" ref="A306:A314" si="31">$R$2&amp;".BUF.DVXX"</f>
        <v>FB_DO_BUF_S.BUF.DVXX</v>
      </c>
      <c r="B306" s="123">
        <v>11154</v>
      </c>
      <c r="C306" s="123" t="s">
        <v>4</v>
      </c>
      <c r="D306" s="124">
        <f>$S$9</f>
        <v>27</v>
      </c>
    </row>
    <row r="307" spans="1:4">
      <c r="A307" s="110" t="str">
        <f t="shared" si="31"/>
        <v>FB_DO_BUF_S.BUF.DVXX</v>
      </c>
      <c r="B307" s="111">
        <v>11150</v>
      </c>
      <c r="C307" s="111" t="s">
        <v>0</v>
      </c>
      <c r="D307" s="112" t="s">
        <v>513</v>
      </c>
    </row>
    <row r="308" spans="1:4">
      <c r="A308" s="110" t="str">
        <f t="shared" si="31"/>
        <v>FB_DO_BUF_S.BUF.DVXX</v>
      </c>
      <c r="B308" s="111">
        <v>11152</v>
      </c>
      <c r="C308" s="111" t="s">
        <v>0</v>
      </c>
      <c r="D308" s="113" t="str">
        <f>$R$9</f>
        <v>Недостоверность</v>
      </c>
    </row>
    <row r="309" spans="1:4">
      <c r="A309" s="110" t="str">
        <f t="shared" si="31"/>
        <v>FB_DO_BUF_S.BUF.DVXX</v>
      </c>
      <c r="B309" s="111">
        <v>11000</v>
      </c>
      <c r="C309" s="111" t="s">
        <v>5</v>
      </c>
      <c r="D309" s="112">
        <v>2147483680</v>
      </c>
    </row>
    <row r="310" spans="1:4">
      <c r="A310" s="19" t="str">
        <f t="shared" si="31"/>
        <v>FB_DO_BUF_S.BUF.DVXX</v>
      </c>
      <c r="B310" s="11">
        <v>101</v>
      </c>
      <c r="C310" s="11" t="s">
        <v>0</v>
      </c>
      <c r="D310" s="20" t="s">
        <v>83</v>
      </c>
    </row>
    <row r="311" spans="1:4">
      <c r="A311" s="19" t="str">
        <f t="shared" si="31"/>
        <v>FB_DO_BUF_S.BUF.DVXX</v>
      </c>
      <c r="B311" s="11">
        <v>7050</v>
      </c>
      <c r="C311" s="11" t="s">
        <v>0</v>
      </c>
      <c r="D311" s="20" t="str">
        <f>"&lt;Addr AnswerSignalType=©0© Protocol=©IEC4Std© Type=©Protocol© ProtocolType=©30© Address=©XXX© ModuleNo=©" &amp; $T$9&amp; "© Role=©Master© Station=©" &amp; $T$11 &amp; "©  /&gt;"</f>
        <v>&lt;Addr AnswerSignalType=©0© Protocol=©IEC4Std© Type=©Protocol© ProtocolType=©30© Address=©XXX© ModuleNo=©1© Role=©Master© Station=©1©  /&gt;</v>
      </c>
    </row>
    <row r="312" spans="1:4">
      <c r="A312" s="19" t="str">
        <f t="shared" si="31"/>
        <v>FB_DO_BUF_S.BUF.DVXX</v>
      </c>
      <c r="B312" s="11">
        <v>3</v>
      </c>
      <c r="C312" s="11" t="s">
        <v>1</v>
      </c>
      <c r="D312" s="20">
        <v>192</v>
      </c>
    </row>
    <row r="313" spans="1:4">
      <c r="A313" s="19" t="str">
        <f t="shared" si="31"/>
        <v>FB_DO_BUF_S.BUF.DVXX</v>
      </c>
      <c r="B313" s="11">
        <v>2</v>
      </c>
      <c r="C313" s="11" t="s">
        <v>2</v>
      </c>
      <c r="D313" s="20" t="s">
        <v>3</v>
      </c>
    </row>
    <row r="314" spans="1:4">
      <c r="A314" s="21" t="str">
        <f t="shared" si="31"/>
        <v>FB_DO_BUF_S.BUF.DVXX</v>
      </c>
      <c r="B314" s="8">
        <v>1</v>
      </c>
      <c r="C314" s="8" t="s">
        <v>1</v>
      </c>
      <c r="D314" s="22">
        <v>11</v>
      </c>
    </row>
    <row r="315" spans="1:4">
      <c r="A315" s="163" t="str">
        <f t="shared" ref="A315:A323" si="32">$R$2&amp;".BUF.DRCX"</f>
        <v>FB_DO_BUF_S.BUF.DRCX</v>
      </c>
      <c r="B315" s="123">
        <v>11154</v>
      </c>
      <c r="C315" s="123" t="s">
        <v>4</v>
      </c>
      <c r="D315" s="124">
        <f>$S$9</f>
        <v>27</v>
      </c>
    </row>
    <row r="316" spans="1:4">
      <c r="A316" s="110" t="str">
        <f t="shared" si="32"/>
        <v>FB_DO_BUF_S.BUF.DRCX</v>
      </c>
      <c r="B316" s="111">
        <v>11150</v>
      </c>
      <c r="C316" s="111" t="s">
        <v>0</v>
      </c>
      <c r="D316" s="112" t="s">
        <v>105</v>
      </c>
    </row>
    <row r="317" spans="1:4">
      <c r="A317" s="110" t="str">
        <f t="shared" si="32"/>
        <v>FB_DO_BUF_S.BUF.DRCX</v>
      </c>
      <c r="B317" s="111">
        <v>11152</v>
      </c>
      <c r="C317" s="111" t="s">
        <v>0</v>
      </c>
      <c r="D317" s="113" t="str">
        <f>$R$9</f>
        <v>Недостоверность</v>
      </c>
    </row>
    <row r="318" spans="1:4">
      <c r="A318" s="110" t="str">
        <f t="shared" si="32"/>
        <v>FB_DO_BUF_S.BUF.DRCX</v>
      </c>
      <c r="B318" s="111">
        <v>11000</v>
      </c>
      <c r="C318" s="111" t="s">
        <v>5</v>
      </c>
      <c r="D318" s="112">
        <v>2147483680</v>
      </c>
    </row>
    <row r="319" spans="1:4">
      <c r="A319" s="19" t="str">
        <f t="shared" si="32"/>
        <v>FB_DO_BUF_S.BUF.DRCX</v>
      </c>
      <c r="B319" s="11">
        <v>101</v>
      </c>
      <c r="C319" s="11" t="s">
        <v>0</v>
      </c>
      <c r="D319" s="20" t="s">
        <v>573</v>
      </c>
    </row>
    <row r="320" spans="1:4">
      <c r="A320" s="19" t="str">
        <f t="shared" si="32"/>
        <v>FB_DO_BUF_S.BUF.DRCX</v>
      </c>
      <c r="B320" s="11">
        <v>7050</v>
      </c>
      <c r="C320" s="11" t="s">
        <v>0</v>
      </c>
      <c r="D320" s="20" t="str">
        <f>"&lt;Addr AnswerSignalType=©0© Protocol=©IEC4Std© Type=©Protocol© ProtocolType=©30© Address=©XXX© ModuleNo=©" &amp; $T$9&amp; "© Role=©Master© Station=©" &amp; $T$11 &amp; "©  /&gt;"</f>
        <v>&lt;Addr AnswerSignalType=©0© Protocol=©IEC4Std© Type=©Protocol© ProtocolType=©30© Address=©XXX© ModuleNo=©1© Role=©Master© Station=©1©  /&gt;</v>
      </c>
    </row>
    <row r="321" spans="1:4">
      <c r="A321" s="19" t="str">
        <f t="shared" si="32"/>
        <v>FB_DO_BUF_S.BUF.DRCX</v>
      </c>
      <c r="B321" s="11">
        <v>3</v>
      </c>
      <c r="C321" s="11" t="s">
        <v>1</v>
      </c>
      <c r="D321" s="20">
        <v>192</v>
      </c>
    </row>
    <row r="322" spans="1:4">
      <c r="A322" s="19" t="str">
        <f t="shared" si="32"/>
        <v>FB_DO_BUF_S.BUF.DRCX</v>
      </c>
      <c r="B322" s="11">
        <v>2</v>
      </c>
      <c r="C322" s="11" t="s">
        <v>2</v>
      </c>
      <c r="D322" s="20" t="s">
        <v>3</v>
      </c>
    </row>
    <row r="323" spans="1:4">
      <c r="A323" s="21" t="str">
        <f t="shared" si="32"/>
        <v>FB_DO_BUF_S.BUF.DRCX</v>
      </c>
      <c r="B323" s="8">
        <v>1</v>
      </c>
      <c r="C323" s="8" t="s">
        <v>1</v>
      </c>
      <c r="D323" s="22">
        <v>11</v>
      </c>
    </row>
    <row r="324" spans="1:4">
      <c r="A324" s="163" t="str">
        <f t="shared" ref="A324:A332" si="33">$R$2&amp;".BUF.DOON"</f>
        <v>FB_DO_BUF_S.BUF.DOON</v>
      </c>
      <c r="B324" s="123">
        <v>11154</v>
      </c>
      <c r="C324" s="123" t="s">
        <v>4</v>
      </c>
      <c r="D324" s="124">
        <f>$S$9</f>
        <v>27</v>
      </c>
    </row>
    <row r="325" spans="1:4">
      <c r="A325" s="110" t="str">
        <f t="shared" si="33"/>
        <v>FB_DO_BUF_S.BUF.DOON</v>
      </c>
      <c r="B325" s="111">
        <v>11150</v>
      </c>
      <c r="C325" s="111" t="s">
        <v>0</v>
      </c>
      <c r="D325" s="112" t="str">
        <f>"Недостоверность: выходное  значение  Открыть"</f>
        <v>Недостоверность: выходное  значение  Открыть</v>
      </c>
    </row>
    <row r="326" spans="1:4">
      <c r="A326" s="110" t="str">
        <f t="shared" si="33"/>
        <v>FB_DO_BUF_S.BUF.DOON</v>
      </c>
      <c r="B326" s="111">
        <v>11152</v>
      </c>
      <c r="C326" s="111" t="s">
        <v>0</v>
      </c>
      <c r="D326" s="113" t="str">
        <f>$R$9</f>
        <v>Недостоверность</v>
      </c>
    </row>
    <row r="327" spans="1:4">
      <c r="A327" s="110" t="str">
        <f t="shared" si="33"/>
        <v>FB_DO_BUF_S.BUF.DOON</v>
      </c>
      <c r="B327" s="111">
        <v>11000</v>
      </c>
      <c r="C327" s="111" t="s">
        <v>5</v>
      </c>
      <c r="D327" s="112">
        <v>2147483680</v>
      </c>
    </row>
    <row r="328" spans="1:4">
      <c r="A328" s="19" t="str">
        <f t="shared" si="33"/>
        <v>FB_DO_BUF_S.BUF.DOON</v>
      </c>
      <c r="B328" s="11">
        <v>101</v>
      </c>
      <c r="C328" s="11" t="s">
        <v>0</v>
      </c>
      <c r="D328" s="20" t="str">
        <f>"Недостоверное Выходное  значение Открыть"</f>
        <v>Недостоверное Выходное  значение Открыть</v>
      </c>
    </row>
    <row r="329" spans="1:4">
      <c r="A329" s="19" t="str">
        <f t="shared" si="33"/>
        <v>FB_DO_BUF_S.BUF.DOON</v>
      </c>
      <c r="B329" s="11">
        <v>7050</v>
      </c>
      <c r="C329" s="11" t="s">
        <v>0</v>
      </c>
      <c r="D329" s="20" t="str">
        <f>"&lt;Addr AnswerSignalType=©0© Protocol=©IEC4Std© Type=©Protocol© ProtocolType=©30© Address=©XXX© ModuleNo=©" &amp; $T$9&amp; "© Role=©Master© Station=©" &amp; $T$11 &amp; "©  /&gt;"</f>
        <v>&lt;Addr AnswerSignalType=©0© Protocol=©IEC4Std© Type=©Protocol© ProtocolType=©30© Address=©XXX© ModuleNo=©1© Role=©Master© Station=©1©  /&gt;</v>
      </c>
    </row>
    <row r="330" spans="1:4">
      <c r="A330" s="19" t="str">
        <f t="shared" si="33"/>
        <v>FB_DO_BUF_S.BUF.DOON</v>
      </c>
      <c r="B330" s="11">
        <v>3</v>
      </c>
      <c r="C330" s="11" t="s">
        <v>1</v>
      </c>
      <c r="D330" s="20">
        <v>192</v>
      </c>
    </row>
    <row r="331" spans="1:4">
      <c r="A331" s="19" t="str">
        <f t="shared" si="33"/>
        <v>FB_DO_BUF_S.BUF.DOON</v>
      </c>
      <c r="B331" s="11">
        <v>2</v>
      </c>
      <c r="C331" s="11" t="s">
        <v>2</v>
      </c>
      <c r="D331" s="20" t="s">
        <v>3</v>
      </c>
    </row>
    <row r="332" spans="1:4">
      <c r="A332" s="21" t="str">
        <f t="shared" si="33"/>
        <v>FB_DO_BUF_S.BUF.DOON</v>
      </c>
      <c r="B332" s="8">
        <v>1</v>
      </c>
      <c r="C332" s="8" t="s">
        <v>1</v>
      </c>
      <c r="D332" s="22">
        <v>11</v>
      </c>
    </row>
    <row r="333" spans="1:4">
      <c r="A333" s="163" t="str">
        <f t="shared" ref="A333:A341" si="34">$R$2&amp;".BUF.DOOF"</f>
        <v>FB_DO_BUF_S.BUF.DOOF</v>
      </c>
      <c r="B333" s="123">
        <v>11154</v>
      </c>
      <c r="C333" s="123" t="s">
        <v>4</v>
      </c>
      <c r="D333" s="124">
        <f>$S$9</f>
        <v>27</v>
      </c>
    </row>
    <row r="334" spans="1:4">
      <c r="A334" s="110" t="str">
        <f t="shared" si="34"/>
        <v>FB_DO_BUF_S.BUF.DOOF</v>
      </c>
      <c r="B334" s="111">
        <v>11150</v>
      </c>
      <c r="C334" s="111" t="s">
        <v>0</v>
      </c>
      <c r="D334" s="112" t="str">
        <f>"Недостоверность: выходное  значение Закрыть"</f>
        <v>Недостоверность: выходное  значение Закрыть</v>
      </c>
    </row>
    <row r="335" spans="1:4">
      <c r="A335" s="110" t="str">
        <f t="shared" si="34"/>
        <v>FB_DO_BUF_S.BUF.DOOF</v>
      </c>
      <c r="B335" s="111">
        <v>11152</v>
      </c>
      <c r="C335" s="111" t="s">
        <v>0</v>
      </c>
      <c r="D335" s="113" t="str">
        <f>$R$9</f>
        <v>Недостоверность</v>
      </c>
    </row>
    <row r="336" spans="1:4">
      <c r="A336" s="110" t="str">
        <f t="shared" si="34"/>
        <v>FB_DO_BUF_S.BUF.DOOF</v>
      </c>
      <c r="B336" s="111">
        <v>11000</v>
      </c>
      <c r="C336" s="111" t="s">
        <v>5</v>
      </c>
      <c r="D336" s="112">
        <v>2147483680</v>
      </c>
    </row>
    <row r="337" spans="1:4">
      <c r="A337" s="19" t="str">
        <f t="shared" si="34"/>
        <v>FB_DO_BUF_S.BUF.DOOF</v>
      </c>
      <c r="B337" s="11">
        <v>101</v>
      </c>
      <c r="C337" s="11" t="s">
        <v>0</v>
      </c>
      <c r="D337" s="20" t="str">
        <f>"Недостоверное Выходное значение Закрыть"</f>
        <v>Недостоверное Выходное значение Закрыть</v>
      </c>
    </row>
    <row r="338" spans="1:4">
      <c r="A338" s="19" t="str">
        <f t="shared" si="34"/>
        <v>FB_DO_BUF_S.BUF.DOOF</v>
      </c>
      <c r="B338" s="11">
        <v>7050</v>
      </c>
      <c r="C338" s="11" t="s">
        <v>0</v>
      </c>
      <c r="D338" s="20" t="str">
        <f>"&lt;Addr AnswerSignalType=©0© Protocol=©IEC4Std© Type=©Protocol© ProtocolType=©30© Address=©XXX© ModuleNo=©" &amp; $T$9&amp; "© Role=©Master© Station=©" &amp; $T$11 &amp; "©  /&gt;"</f>
        <v>&lt;Addr AnswerSignalType=©0© Protocol=©IEC4Std© Type=©Protocol© ProtocolType=©30© Address=©XXX© ModuleNo=©1© Role=©Master© Station=©1©  /&gt;</v>
      </c>
    </row>
    <row r="339" spans="1:4">
      <c r="A339" s="19" t="str">
        <f t="shared" si="34"/>
        <v>FB_DO_BUF_S.BUF.DOOF</v>
      </c>
      <c r="B339" s="11">
        <v>3</v>
      </c>
      <c r="C339" s="11" t="s">
        <v>1</v>
      </c>
      <c r="D339" s="20">
        <v>192</v>
      </c>
    </row>
    <row r="340" spans="1:4">
      <c r="A340" s="19" t="str">
        <f t="shared" si="34"/>
        <v>FB_DO_BUF_S.BUF.DOOF</v>
      </c>
      <c r="B340" s="11">
        <v>2</v>
      </c>
      <c r="C340" s="11" t="s">
        <v>2</v>
      </c>
      <c r="D340" s="20" t="s">
        <v>3</v>
      </c>
    </row>
    <row r="341" spans="1:4">
      <c r="A341" s="21" t="str">
        <f t="shared" si="34"/>
        <v>FB_DO_BUF_S.BUF.DOOF</v>
      </c>
      <c r="B341" s="8">
        <v>1</v>
      </c>
      <c r="C341" s="8" t="s">
        <v>1</v>
      </c>
      <c r="D341" s="22">
        <v>11</v>
      </c>
    </row>
    <row r="342" spans="1:4">
      <c r="A342" s="159" t="str">
        <f t="shared" ref="A342:A350" si="35">$R$2&amp;".BUF.XRCX"</f>
        <v>FB_DO_BUF_S.BUF.XRCX</v>
      </c>
      <c r="B342" s="160">
        <v>11154</v>
      </c>
      <c r="C342" s="160" t="s">
        <v>4</v>
      </c>
      <c r="D342" s="161">
        <f>$S$8</f>
        <v>26</v>
      </c>
    </row>
    <row r="343" spans="1:4">
      <c r="A343" s="100" t="str">
        <f t="shared" si="35"/>
        <v>FB_DO_BUF_S.BUF.XRCX</v>
      </c>
      <c r="B343" s="101">
        <v>11150</v>
      </c>
      <c r="C343" s="101" t="s">
        <v>0</v>
      </c>
      <c r="D343" s="103" t="s">
        <v>136</v>
      </c>
    </row>
    <row r="344" spans="1:4">
      <c r="A344" s="100" t="str">
        <f t="shared" si="35"/>
        <v>FB_DO_BUF_S.BUF.XRCX</v>
      </c>
      <c r="B344" s="101">
        <v>11152</v>
      </c>
      <c r="C344" s="101" t="s">
        <v>0</v>
      </c>
      <c r="D344" s="104" t="str">
        <f>$R$8</f>
        <v>Телесигнализация</v>
      </c>
    </row>
    <row r="345" spans="1:4">
      <c r="A345" s="100" t="str">
        <f t="shared" si="35"/>
        <v>FB_DO_BUF_S.BUF.XRCX</v>
      </c>
      <c r="B345" s="101">
        <v>11000</v>
      </c>
      <c r="C345" s="101" t="s">
        <v>5</v>
      </c>
      <c r="D345" s="103">
        <v>2147483680</v>
      </c>
    </row>
    <row r="346" spans="1:4">
      <c r="A346" s="19" t="str">
        <f t="shared" si="35"/>
        <v>FB_DO_BUF_S.BUF.XRCX</v>
      </c>
      <c r="B346" s="11">
        <v>101</v>
      </c>
      <c r="C346" s="11" t="s">
        <v>0</v>
      </c>
      <c r="D346" s="20" t="s">
        <v>575</v>
      </c>
    </row>
    <row r="347" spans="1:4">
      <c r="A347" s="19" t="str">
        <f t="shared" si="35"/>
        <v>FB_DO_BUF_S.BUF.XRCX</v>
      </c>
      <c r="B347" s="11">
        <v>7050</v>
      </c>
      <c r="C347" s="11" t="s">
        <v>0</v>
      </c>
      <c r="D347" s="20" t="str">
        <f>"&lt;Addr AnswerSignalType=©0© Protocol=©IEC4Std© Type=©Protocol© ProtocolType=©30© Address=©XXX© ModuleNo=©" &amp; $T$9&amp; "© Role=©Master© Station=©" &amp; $T$11 &amp; "©  /&gt;"</f>
        <v>&lt;Addr AnswerSignalType=©0© Protocol=©IEC4Std© Type=©Protocol© ProtocolType=©30© Address=©XXX© ModuleNo=©1© Role=©Master© Station=©1©  /&gt;</v>
      </c>
    </row>
    <row r="348" spans="1:4">
      <c r="A348" s="19" t="str">
        <f t="shared" si="35"/>
        <v>FB_DO_BUF_S.BUF.XRCX</v>
      </c>
      <c r="B348" s="11">
        <v>3</v>
      </c>
      <c r="C348" s="11" t="s">
        <v>1</v>
      </c>
      <c r="D348" s="20">
        <v>192</v>
      </c>
    </row>
    <row r="349" spans="1:4">
      <c r="A349" s="19" t="str">
        <f t="shared" si="35"/>
        <v>FB_DO_BUF_S.BUF.XRCX</v>
      </c>
      <c r="B349" s="11">
        <v>2</v>
      </c>
      <c r="C349" s="11" t="s">
        <v>2</v>
      </c>
      <c r="D349" s="20" t="s">
        <v>3</v>
      </c>
    </row>
    <row r="350" spans="1:4">
      <c r="A350" s="21" t="str">
        <f t="shared" si="35"/>
        <v>FB_DO_BUF_S.BUF.XRCX</v>
      </c>
      <c r="B350" s="8">
        <v>1</v>
      </c>
      <c r="C350" s="8" t="s">
        <v>1</v>
      </c>
      <c r="D350" s="22">
        <v>11</v>
      </c>
    </row>
    <row r="351" spans="1:4">
      <c r="A351" s="100" t="str">
        <f t="shared" ref="A351:A359" si="36">$R$2&amp;".BUF.XMMX"</f>
        <v>FB_DO_BUF_S.BUF.XMMX</v>
      </c>
      <c r="B351" s="101">
        <v>11154</v>
      </c>
      <c r="C351" s="101" t="s">
        <v>4</v>
      </c>
      <c r="D351" s="102">
        <f>$S$8</f>
        <v>26</v>
      </c>
    </row>
    <row r="352" spans="1:4">
      <c r="A352" s="100" t="str">
        <f t="shared" si="36"/>
        <v>FB_DO_BUF_S.BUF.XMMX</v>
      </c>
      <c r="B352" s="101">
        <v>11150</v>
      </c>
      <c r="C352" s="101" t="s">
        <v>0</v>
      </c>
      <c r="D352" s="103" t="s">
        <v>134</v>
      </c>
    </row>
    <row r="353" spans="1:4">
      <c r="A353" s="100" t="str">
        <f t="shared" si="36"/>
        <v>FB_DO_BUF_S.BUF.XMMX</v>
      </c>
      <c r="B353" s="101">
        <v>11152</v>
      </c>
      <c r="C353" s="101" t="s">
        <v>0</v>
      </c>
      <c r="D353" s="104" t="str">
        <f>$R$8</f>
        <v>Телесигнализация</v>
      </c>
    </row>
    <row r="354" spans="1:4">
      <c r="A354" s="100" t="str">
        <f t="shared" si="36"/>
        <v>FB_DO_BUF_S.BUF.XMMX</v>
      </c>
      <c r="B354" s="101">
        <v>11000</v>
      </c>
      <c r="C354" s="101" t="s">
        <v>5</v>
      </c>
      <c r="D354" s="103">
        <v>2147483680</v>
      </c>
    </row>
    <row r="355" spans="1:4">
      <c r="A355" s="19" t="str">
        <f t="shared" si="36"/>
        <v>FB_DO_BUF_S.BUF.XMMX</v>
      </c>
      <c r="B355" s="11">
        <v>101</v>
      </c>
      <c r="C355" s="11" t="s">
        <v>0</v>
      </c>
      <c r="D355" s="20" t="s">
        <v>574</v>
      </c>
    </row>
    <row r="356" spans="1:4">
      <c r="A356" s="19" t="str">
        <f t="shared" si="36"/>
        <v>FB_DO_BUF_S.BUF.XMMX</v>
      </c>
      <c r="B356" s="11">
        <v>7050</v>
      </c>
      <c r="C356" s="11" t="s">
        <v>0</v>
      </c>
      <c r="D356" s="20" t="str">
        <f>"&lt;Addr AnswerSignalType=©0© Protocol=©IEC4Std© Type=©Protocol© ProtocolType=©30© Address=©XXX© ModuleNo=©" &amp; $T$9&amp; "© Role=©Master© Station=©" &amp; $T$11 &amp; "©  /&gt;"</f>
        <v>&lt;Addr AnswerSignalType=©0© Protocol=©IEC4Std© Type=©Protocol© ProtocolType=©30© Address=©XXX© ModuleNo=©1© Role=©Master© Station=©1©  /&gt;</v>
      </c>
    </row>
    <row r="357" spans="1:4">
      <c r="A357" s="19" t="str">
        <f t="shared" si="36"/>
        <v>FB_DO_BUF_S.BUF.XMMX</v>
      </c>
      <c r="B357" s="11">
        <v>3</v>
      </c>
      <c r="C357" s="11" t="s">
        <v>1</v>
      </c>
      <c r="D357" s="20">
        <v>192</v>
      </c>
    </row>
    <row r="358" spans="1:4">
      <c r="A358" s="19" t="str">
        <f t="shared" si="36"/>
        <v>FB_DO_BUF_S.BUF.XMMX</v>
      </c>
      <c r="B358" s="11">
        <v>2</v>
      </c>
      <c r="C358" s="11" t="s">
        <v>2</v>
      </c>
      <c r="D358" s="20" t="s">
        <v>3</v>
      </c>
    </row>
    <row r="359" spans="1:4">
      <c r="A359" s="21" t="str">
        <f t="shared" si="36"/>
        <v>FB_DO_BUF_S.BUF.XMMX</v>
      </c>
      <c r="B359" s="8">
        <v>1</v>
      </c>
      <c r="C359" s="8" t="s">
        <v>1</v>
      </c>
      <c r="D359" s="22">
        <v>11</v>
      </c>
    </row>
    <row r="360" spans="1:4">
      <c r="A360" s="159" t="str">
        <f>$R$2&amp;".BUF.CAON"</f>
        <v>FB_DO_BUF_S.BUF.CAON</v>
      </c>
      <c r="B360" s="160">
        <v>11154</v>
      </c>
      <c r="C360" s="160" t="s">
        <v>4</v>
      </c>
      <c r="D360" s="161">
        <f>$S$8</f>
        <v>26</v>
      </c>
    </row>
    <row r="361" spans="1:4">
      <c r="A361" s="100" t="str">
        <f t="shared" ref="A361:A368" si="37">$R$2&amp;".BUF.CAON"</f>
        <v>FB_DO_BUF_S.BUF.CAON</v>
      </c>
      <c r="B361" s="101">
        <v>11150</v>
      </c>
      <c r="C361" s="101" t="s">
        <v>0</v>
      </c>
      <c r="D361" s="103" t="s">
        <v>1839</v>
      </c>
    </row>
    <row r="362" spans="1:4">
      <c r="A362" s="100" t="str">
        <f t="shared" si="37"/>
        <v>FB_DO_BUF_S.BUF.CAON</v>
      </c>
      <c r="B362" s="101">
        <v>11152</v>
      </c>
      <c r="C362" s="101" t="s">
        <v>0</v>
      </c>
      <c r="D362" s="104" t="str">
        <f>$R$8</f>
        <v>Телесигнализация</v>
      </c>
    </row>
    <row r="363" spans="1:4">
      <c r="A363" s="100" t="str">
        <f t="shared" si="37"/>
        <v>FB_DO_BUF_S.BUF.CAON</v>
      </c>
      <c r="B363" s="101">
        <v>11000</v>
      </c>
      <c r="C363" s="101" t="s">
        <v>5</v>
      </c>
      <c r="D363" s="103">
        <v>2147483680</v>
      </c>
    </row>
    <row r="364" spans="1:4">
      <c r="A364" s="19" t="str">
        <f t="shared" si="37"/>
        <v>FB_DO_BUF_S.BUF.CAON</v>
      </c>
      <c r="B364" s="11">
        <v>101</v>
      </c>
      <c r="C364" s="11" t="s">
        <v>0</v>
      </c>
      <c r="D364" s="20" t="s">
        <v>1839</v>
      </c>
    </row>
    <row r="365" spans="1:4">
      <c r="A365" s="19" t="str">
        <f t="shared" si="37"/>
        <v>FB_DO_BUF_S.BUF.CAON</v>
      </c>
      <c r="B365" s="11">
        <v>7050</v>
      </c>
      <c r="C365" s="11" t="s">
        <v>0</v>
      </c>
      <c r="D365" s="20" t="str">
        <f>"&lt;Addr AnswerSignalType=©0© Protocol=©IEC4Std© Type=©Protocol© ProtocolType=©30© Address=©XXX© ModuleNo=©" &amp; $T$9&amp; "© Role=©Master© Station=©" &amp; $T$11 &amp; "©  /&gt;"</f>
        <v>&lt;Addr AnswerSignalType=©0© Protocol=©IEC4Std© Type=©Protocol© ProtocolType=©30© Address=©XXX© ModuleNo=©1© Role=©Master© Station=©1©  /&gt;</v>
      </c>
    </row>
    <row r="366" spans="1:4">
      <c r="A366" s="19" t="str">
        <f t="shared" si="37"/>
        <v>FB_DO_BUF_S.BUF.CAON</v>
      </c>
      <c r="B366" s="11">
        <v>3</v>
      </c>
      <c r="C366" s="11" t="s">
        <v>1</v>
      </c>
      <c r="D366" s="20">
        <v>192</v>
      </c>
    </row>
    <row r="367" spans="1:4">
      <c r="A367" s="19" t="str">
        <f t="shared" si="37"/>
        <v>FB_DO_BUF_S.BUF.CAON</v>
      </c>
      <c r="B367" s="11">
        <v>2</v>
      </c>
      <c r="C367" s="11" t="s">
        <v>2</v>
      </c>
      <c r="D367" s="20" t="s">
        <v>3</v>
      </c>
    </row>
    <row r="368" spans="1:4">
      <c r="A368" s="21" t="str">
        <f t="shared" si="37"/>
        <v>FB_DO_BUF_S.BUF.CAON</v>
      </c>
      <c r="B368" s="8">
        <v>1</v>
      </c>
      <c r="C368" s="8" t="s">
        <v>1</v>
      </c>
      <c r="D368" s="22">
        <v>11</v>
      </c>
    </row>
    <row r="369" spans="1:4">
      <c r="A369" s="159" t="str">
        <f>$R$2&amp;".BUF.CAOF"</f>
        <v>FB_DO_BUF_S.BUF.CAOF</v>
      </c>
      <c r="B369" s="160">
        <v>11154</v>
      </c>
      <c r="C369" s="160" t="s">
        <v>4</v>
      </c>
      <c r="D369" s="161">
        <f>$S$8</f>
        <v>26</v>
      </c>
    </row>
    <row r="370" spans="1:4">
      <c r="A370" s="100" t="str">
        <f t="shared" ref="A370:A377" si="38">$R$2&amp;".BUF.CAOF"</f>
        <v>FB_DO_BUF_S.BUF.CAOF</v>
      </c>
      <c r="B370" s="101">
        <v>11150</v>
      </c>
      <c r="C370" s="101" t="s">
        <v>0</v>
      </c>
      <c r="D370" s="103" t="s">
        <v>1840</v>
      </c>
    </row>
    <row r="371" spans="1:4">
      <c r="A371" s="100" t="str">
        <f t="shared" si="38"/>
        <v>FB_DO_BUF_S.BUF.CAOF</v>
      </c>
      <c r="B371" s="101">
        <v>11152</v>
      </c>
      <c r="C371" s="101" t="s">
        <v>0</v>
      </c>
      <c r="D371" s="104" t="str">
        <f>$R$8</f>
        <v>Телесигнализация</v>
      </c>
    </row>
    <row r="372" spans="1:4">
      <c r="A372" s="100" t="str">
        <f t="shared" si="38"/>
        <v>FB_DO_BUF_S.BUF.CAOF</v>
      </c>
      <c r="B372" s="101">
        <v>11000</v>
      </c>
      <c r="C372" s="101" t="s">
        <v>5</v>
      </c>
      <c r="D372" s="103">
        <v>2147483680</v>
      </c>
    </row>
    <row r="373" spans="1:4">
      <c r="A373" s="19" t="str">
        <f t="shared" si="38"/>
        <v>FB_DO_BUF_S.BUF.CAOF</v>
      </c>
      <c r="B373" s="11">
        <v>101</v>
      </c>
      <c r="C373" s="11" t="s">
        <v>0</v>
      </c>
      <c r="D373" s="20" t="s">
        <v>1840</v>
      </c>
    </row>
    <row r="374" spans="1:4">
      <c r="A374" s="19" t="str">
        <f t="shared" si="38"/>
        <v>FB_DO_BUF_S.BUF.CAOF</v>
      </c>
      <c r="B374" s="11">
        <v>7050</v>
      </c>
      <c r="C374" s="11" t="s">
        <v>0</v>
      </c>
      <c r="D374" s="20" t="str">
        <f>"&lt;Addr AnswerSignalType=©0© Protocol=©IEC4Std© Type=©Protocol© ProtocolType=©30© Address=©XXX© ModuleNo=©" &amp; $T$9&amp; "© Role=©Master© Station=©" &amp; $T$11 &amp; "©  /&gt;"</f>
        <v>&lt;Addr AnswerSignalType=©0© Protocol=©IEC4Std© Type=©Protocol© ProtocolType=©30© Address=©XXX© ModuleNo=©1© Role=©Master© Station=©1©  /&gt;</v>
      </c>
    </row>
    <row r="375" spans="1:4">
      <c r="A375" s="19" t="str">
        <f t="shared" si="38"/>
        <v>FB_DO_BUF_S.BUF.CAOF</v>
      </c>
      <c r="B375" s="11">
        <v>3</v>
      </c>
      <c r="C375" s="11" t="s">
        <v>1</v>
      </c>
      <c r="D375" s="20">
        <v>192</v>
      </c>
    </row>
    <row r="376" spans="1:4">
      <c r="A376" s="19" t="str">
        <f t="shared" si="38"/>
        <v>FB_DO_BUF_S.BUF.CAOF</v>
      </c>
      <c r="B376" s="11">
        <v>2</v>
      </c>
      <c r="C376" s="11" t="s">
        <v>2</v>
      </c>
      <c r="D376" s="20" t="s">
        <v>3</v>
      </c>
    </row>
    <row r="377" spans="1:4">
      <c r="A377" s="21" t="str">
        <f t="shared" si="38"/>
        <v>FB_DO_BUF_S.BUF.CAOF</v>
      </c>
      <c r="B377" s="8">
        <v>1</v>
      </c>
      <c r="C377" s="8" t="s">
        <v>1</v>
      </c>
      <c r="D377" s="22">
        <v>11</v>
      </c>
    </row>
    <row r="378" spans="1:4">
      <c r="A378" s="69" t="str">
        <f t="shared" ref="A378:A386" si="39">$R$2&amp;".BUF.LAON"</f>
        <v>FB_DO_BUF_S.BUF.LAON</v>
      </c>
      <c r="B378" s="70">
        <v>11154</v>
      </c>
      <c r="C378" s="70" t="s">
        <v>4</v>
      </c>
      <c r="D378" s="144">
        <f>$S$6</f>
        <v>24</v>
      </c>
    </row>
    <row r="379" spans="1:4">
      <c r="A379" s="63" t="str">
        <f t="shared" si="39"/>
        <v>FB_DO_BUF_S.BUF.LAON</v>
      </c>
      <c r="B379" s="64">
        <v>11150</v>
      </c>
      <c r="C379" s="64" t="s">
        <v>0</v>
      </c>
      <c r="D379" s="65" t="s">
        <v>1833</v>
      </c>
    </row>
    <row r="380" spans="1:4">
      <c r="A380" s="63" t="str">
        <f t="shared" si="39"/>
        <v>FB_DO_BUF_S.BUF.LAON</v>
      </c>
      <c r="B380" s="64">
        <v>11152</v>
      </c>
      <c r="C380" s="64" t="s">
        <v>0</v>
      </c>
      <c r="D380" s="99" t="str">
        <f>$R$6</f>
        <v>Предупреждение</v>
      </c>
    </row>
    <row r="381" spans="1:4">
      <c r="A381" s="63" t="str">
        <f t="shared" si="39"/>
        <v>FB_DO_BUF_S.BUF.LAON</v>
      </c>
      <c r="B381" s="64">
        <v>11000</v>
      </c>
      <c r="C381" s="64" t="s">
        <v>5</v>
      </c>
      <c r="D381" s="65">
        <v>2147483680</v>
      </c>
    </row>
    <row r="382" spans="1:4">
      <c r="A382" s="19" t="str">
        <f t="shared" si="39"/>
        <v>FB_DO_BUF_S.BUF.LAON</v>
      </c>
      <c r="B382" s="11">
        <v>101</v>
      </c>
      <c r="C382" s="11" t="s">
        <v>0</v>
      </c>
      <c r="D382" s="20" t="s">
        <v>1833</v>
      </c>
    </row>
    <row r="383" spans="1:4">
      <c r="A383" s="19" t="str">
        <f t="shared" si="39"/>
        <v>FB_DO_BUF_S.BUF.LAON</v>
      </c>
      <c r="B383" s="11">
        <v>7050</v>
      </c>
      <c r="C383" s="11" t="s">
        <v>0</v>
      </c>
      <c r="D383" s="20" t="str">
        <f>"&lt;Addr AnswerSignalType=©0© Protocol=©IEC4Std© Type=©Protocol© ProtocolType=©30© Address=©XXX© ModuleNo=©" &amp; $T$9&amp; "© Role=©Master© Station=©" &amp; $T$11 &amp; "©  /&gt;"</f>
        <v>&lt;Addr AnswerSignalType=©0© Protocol=©IEC4Std© Type=©Protocol© ProtocolType=©30© Address=©XXX© ModuleNo=©1© Role=©Master© Station=©1©  /&gt;</v>
      </c>
    </row>
    <row r="384" spans="1:4">
      <c r="A384" s="19" t="str">
        <f t="shared" si="39"/>
        <v>FB_DO_BUF_S.BUF.LAON</v>
      </c>
      <c r="B384" s="11">
        <v>3</v>
      </c>
      <c r="C384" s="11" t="s">
        <v>1</v>
      </c>
      <c r="D384" s="20">
        <v>192</v>
      </c>
    </row>
    <row r="385" spans="1:4">
      <c r="A385" s="19" t="str">
        <f t="shared" si="39"/>
        <v>FB_DO_BUF_S.BUF.LAON</v>
      </c>
      <c r="B385" s="11">
        <v>2</v>
      </c>
      <c r="C385" s="11" t="s">
        <v>2</v>
      </c>
      <c r="D385" s="20" t="s">
        <v>3</v>
      </c>
    </row>
    <row r="386" spans="1:4">
      <c r="A386" s="21" t="str">
        <f t="shared" si="39"/>
        <v>FB_DO_BUF_S.BUF.LAON</v>
      </c>
      <c r="B386" s="8">
        <v>1</v>
      </c>
      <c r="C386" s="8" t="s">
        <v>1</v>
      </c>
      <c r="D386" s="22">
        <v>11</v>
      </c>
    </row>
    <row r="387" spans="1:4">
      <c r="A387" s="69" t="str">
        <f t="shared" ref="A387:A395" si="40">$R$2&amp;".BUF.LAOF"</f>
        <v>FB_DO_BUF_S.BUF.LAOF</v>
      </c>
      <c r="B387" s="70">
        <v>11154</v>
      </c>
      <c r="C387" s="70" t="s">
        <v>4</v>
      </c>
      <c r="D387" s="144">
        <f>$S$6</f>
        <v>24</v>
      </c>
    </row>
    <row r="388" spans="1:4">
      <c r="A388" s="63" t="str">
        <f t="shared" si="40"/>
        <v>FB_DO_BUF_S.BUF.LAOF</v>
      </c>
      <c r="B388" s="64">
        <v>11150</v>
      </c>
      <c r="C388" s="64" t="s">
        <v>0</v>
      </c>
      <c r="D388" s="65" t="s">
        <v>1834</v>
      </c>
    </row>
    <row r="389" spans="1:4">
      <c r="A389" s="63" t="str">
        <f t="shared" si="40"/>
        <v>FB_DO_BUF_S.BUF.LAOF</v>
      </c>
      <c r="B389" s="64">
        <v>11152</v>
      </c>
      <c r="C389" s="64" t="s">
        <v>0</v>
      </c>
      <c r="D389" s="99" t="str">
        <f>$R$6</f>
        <v>Предупреждение</v>
      </c>
    </row>
    <row r="390" spans="1:4">
      <c r="A390" s="63" t="str">
        <f t="shared" si="40"/>
        <v>FB_DO_BUF_S.BUF.LAOF</v>
      </c>
      <c r="B390" s="64">
        <v>11000</v>
      </c>
      <c r="C390" s="64" t="s">
        <v>5</v>
      </c>
      <c r="D390" s="65">
        <v>2147483680</v>
      </c>
    </row>
    <row r="391" spans="1:4">
      <c r="A391" s="19" t="str">
        <f t="shared" si="40"/>
        <v>FB_DO_BUF_S.BUF.LAOF</v>
      </c>
      <c r="B391" s="11">
        <v>101</v>
      </c>
      <c r="C391" s="11" t="s">
        <v>0</v>
      </c>
      <c r="D391" s="20" t="s">
        <v>1834</v>
      </c>
    </row>
    <row r="392" spans="1:4">
      <c r="A392" s="19" t="str">
        <f t="shared" si="40"/>
        <v>FB_DO_BUF_S.BUF.LAOF</v>
      </c>
      <c r="B392" s="11">
        <v>7050</v>
      </c>
      <c r="C392" s="11" t="s">
        <v>0</v>
      </c>
      <c r="D392" s="20" t="str">
        <f>"&lt;Addr AnswerSignalType=©0© Protocol=©IEC4Std© Type=©Protocol© ProtocolType=©30© Address=©XXX© ModuleNo=©" &amp; $T$9&amp; "© Role=©Master© Station=©" &amp; $T$11 &amp; "©  /&gt;"</f>
        <v>&lt;Addr AnswerSignalType=©0© Protocol=©IEC4Std© Type=©Protocol© ProtocolType=©30© Address=©XXX© ModuleNo=©1© Role=©Master© Station=©1©  /&gt;</v>
      </c>
    </row>
    <row r="393" spans="1:4">
      <c r="A393" s="19" t="str">
        <f t="shared" si="40"/>
        <v>FB_DO_BUF_S.BUF.LAOF</v>
      </c>
      <c r="B393" s="11">
        <v>3</v>
      </c>
      <c r="C393" s="11" t="s">
        <v>1</v>
      </c>
      <c r="D393" s="20">
        <v>192</v>
      </c>
    </row>
    <row r="394" spans="1:4">
      <c r="A394" s="19" t="str">
        <f t="shared" si="40"/>
        <v>FB_DO_BUF_S.BUF.LAOF</v>
      </c>
      <c r="B394" s="11">
        <v>2</v>
      </c>
      <c r="C394" s="11" t="s">
        <v>2</v>
      </c>
      <c r="D394" s="20" t="s">
        <v>3</v>
      </c>
    </row>
    <row r="395" spans="1:4">
      <c r="A395" s="21" t="str">
        <f t="shared" si="40"/>
        <v>FB_DO_BUF_S.BUF.LAOF</v>
      </c>
      <c r="B395" s="8">
        <v>1</v>
      </c>
      <c r="C395" s="8" t="s">
        <v>1</v>
      </c>
      <c r="D395" s="22">
        <v>11</v>
      </c>
    </row>
    <row r="396" spans="1:4">
      <c r="A396" s="69" t="str">
        <f t="shared" ref="A396:A404" si="41">$R$2&amp;".BUF.CEON"</f>
        <v>FB_DO_BUF_S.BUF.CEON</v>
      </c>
      <c r="B396" s="70">
        <v>11154</v>
      </c>
      <c r="C396" s="70" t="s">
        <v>4</v>
      </c>
      <c r="D396" s="144">
        <f>$S$6</f>
        <v>24</v>
      </c>
    </row>
    <row r="397" spans="1:4">
      <c r="A397" s="63" t="str">
        <f t="shared" si="41"/>
        <v>FB_DO_BUF_S.BUF.CEON</v>
      </c>
      <c r="B397" s="64">
        <v>11150</v>
      </c>
      <c r="C397" s="64" t="s">
        <v>0</v>
      </c>
      <c r="D397" s="65" t="s">
        <v>1835</v>
      </c>
    </row>
    <row r="398" spans="1:4">
      <c r="A398" s="63" t="str">
        <f t="shared" si="41"/>
        <v>FB_DO_BUF_S.BUF.CEON</v>
      </c>
      <c r="B398" s="64">
        <v>11152</v>
      </c>
      <c r="C398" s="64" t="s">
        <v>0</v>
      </c>
      <c r="D398" s="99" t="str">
        <f>$R$6</f>
        <v>Предупреждение</v>
      </c>
    </row>
    <row r="399" spans="1:4">
      <c r="A399" s="63" t="str">
        <f t="shared" si="41"/>
        <v>FB_DO_BUF_S.BUF.CEON</v>
      </c>
      <c r="B399" s="64">
        <v>11000</v>
      </c>
      <c r="C399" s="64" t="s">
        <v>5</v>
      </c>
      <c r="D399" s="65">
        <v>2147483680</v>
      </c>
    </row>
    <row r="400" spans="1:4">
      <c r="A400" s="19" t="str">
        <f t="shared" si="41"/>
        <v>FB_DO_BUF_S.BUF.CEON</v>
      </c>
      <c r="B400" s="11">
        <v>101</v>
      </c>
      <c r="C400" s="11" t="s">
        <v>0</v>
      </c>
      <c r="D400" s="20" t="s">
        <v>1835</v>
      </c>
    </row>
    <row r="401" spans="1:4">
      <c r="A401" s="19" t="str">
        <f t="shared" si="41"/>
        <v>FB_DO_BUF_S.BUF.CEON</v>
      </c>
      <c r="B401" s="11">
        <v>7050</v>
      </c>
      <c r="C401" s="11" t="s">
        <v>0</v>
      </c>
      <c r="D401" s="20" t="str">
        <f>"&lt;Addr AnswerSignalType=©0© Protocol=©IEC4Std© Type=©Protocol© ProtocolType=©30© Address=©XXX© ModuleNo=©" &amp; $T$9&amp; "© Role=©Master© Station=©" &amp; $T$11 &amp; "©  /&gt;"</f>
        <v>&lt;Addr AnswerSignalType=©0© Protocol=©IEC4Std© Type=©Protocol© ProtocolType=©30© Address=©XXX© ModuleNo=©1© Role=©Master© Station=©1©  /&gt;</v>
      </c>
    </row>
    <row r="402" spans="1:4">
      <c r="A402" s="19" t="str">
        <f t="shared" si="41"/>
        <v>FB_DO_BUF_S.BUF.CEON</v>
      </c>
      <c r="B402" s="11">
        <v>3</v>
      </c>
      <c r="C402" s="11" t="s">
        <v>1</v>
      </c>
      <c r="D402" s="20">
        <v>192</v>
      </c>
    </row>
    <row r="403" spans="1:4">
      <c r="A403" s="19" t="str">
        <f t="shared" si="41"/>
        <v>FB_DO_BUF_S.BUF.CEON</v>
      </c>
      <c r="B403" s="11">
        <v>2</v>
      </c>
      <c r="C403" s="11" t="s">
        <v>2</v>
      </c>
      <c r="D403" s="20" t="s">
        <v>3</v>
      </c>
    </row>
    <row r="404" spans="1:4">
      <c r="A404" s="21" t="str">
        <f t="shared" si="41"/>
        <v>FB_DO_BUF_S.BUF.CEON</v>
      </c>
      <c r="B404" s="8">
        <v>1</v>
      </c>
      <c r="C404" s="8" t="s">
        <v>1</v>
      </c>
      <c r="D404" s="22">
        <v>11</v>
      </c>
    </row>
    <row r="405" spans="1:4">
      <c r="A405" s="69" t="str">
        <f t="shared" ref="A405:A413" si="42">$R$2&amp;".BUF.CEOF"</f>
        <v>FB_DO_BUF_S.BUF.CEOF</v>
      </c>
      <c r="B405" s="70">
        <v>11154</v>
      </c>
      <c r="C405" s="70" t="s">
        <v>4</v>
      </c>
      <c r="D405" s="144">
        <f>$S$6</f>
        <v>24</v>
      </c>
    </row>
    <row r="406" spans="1:4">
      <c r="A406" s="63" t="str">
        <f t="shared" si="42"/>
        <v>FB_DO_BUF_S.BUF.CEOF</v>
      </c>
      <c r="B406" s="64">
        <v>11150</v>
      </c>
      <c r="C406" s="64" t="s">
        <v>0</v>
      </c>
      <c r="D406" s="65" t="s">
        <v>1836</v>
      </c>
    </row>
    <row r="407" spans="1:4">
      <c r="A407" s="63" t="str">
        <f t="shared" si="42"/>
        <v>FB_DO_BUF_S.BUF.CEOF</v>
      </c>
      <c r="B407" s="64">
        <v>11152</v>
      </c>
      <c r="C407" s="64" t="s">
        <v>0</v>
      </c>
      <c r="D407" s="99" t="str">
        <f>$R$6</f>
        <v>Предупреждение</v>
      </c>
    </row>
    <row r="408" spans="1:4">
      <c r="A408" s="63" t="str">
        <f t="shared" si="42"/>
        <v>FB_DO_BUF_S.BUF.CEOF</v>
      </c>
      <c r="B408" s="64">
        <v>11000</v>
      </c>
      <c r="C408" s="64" t="s">
        <v>5</v>
      </c>
      <c r="D408" s="65">
        <v>2147483680</v>
      </c>
    </row>
    <row r="409" spans="1:4">
      <c r="A409" s="19" t="str">
        <f t="shared" si="42"/>
        <v>FB_DO_BUF_S.BUF.CEOF</v>
      </c>
      <c r="B409" s="11">
        <v>101</v>
      </c>
      <c r="C409" s="11" t="s">
        <v>0</v>
      </c>
      <c r="D409" s="20" t="s">
        <v>1836</v>
      </c>
    </row>
    <row r="410" spans="1:4">
      <c r="A410" s="19" t="str">
        <f t="shared" si="42"/>
        <v>FB_DO_BUF_S.BUF.CEOF</v>
      </c>
      <c r="B410" s="11">
        <v>7050</v>
      </c>
      <c r="C410" s="11" t="s">
        <v>0</v>
      </c>
      <c r="D410" s="20" t="str">
        <f>"&lt;Addr AnswerSignalType=©0© Protocol=©IEC4Std© Type=©Protocol© ProtocolType=©30© Address=©XXX© ModuleNo=©" &amp; $T$9&amp; "© Role=©Master© Station=©" &amp; $T$11 &amp; "©  /&gt;"</f>
        <v>&lt;Addr AnswerSignalType=©0© Protocol=©IEC4Std© Type=©Protocol© ProtocolType=©30© Address=©XXX© ModuleNo=©1© Role=©Master© Station=©1©  /&gt;</v>
      </c>
    </row>
    <row r="411" spans="1:4">
      <c r="A411" s="19" t="str">
        <f t="shared" si="42"/>
        <v>FB_DO_BUF_S.BUF.CEOF</v>
      </c>
      <c r="B411" s="11">
        <v>3</v>
      </c>
      <c r="C411" s="11" t="s">
        <v>1</v>
      </c>
      <c r="D411" s="20">
        <v>192</v>
      </c>
    </row>
    <row r="412" spans="1:4">
      <c r="A412" s="19" t="str">
        <f t="shared" si="42"/>
        <v>FB_DO_BUF_S.BUF.CEOF</v>
      </c>
      <c r="B412" s="11">
        <v>2</v>
      </c>
      <c r="C412" s="11" t="s">
        <v>2</v>
      </c>
      <c r="D412" s="20" t="s">
        <v>3</v>
      </c>
    </row>
    <row r="413" spans="1:4">
      <c r="A413" s="21" t="str">
        <f t="shared" si="42"/>
        <v>FB_DO_BUF_S.BUF.CEOF</v>
      </c>
      <c r="B413" s="8">
        <v>1</v>
      </c>
      <c r="C413" s="8" t="s">
        <v>1</v>
      </c>
      <c r="D413" s="22">
        <v>11</v>
      </c>
    </row>
    <row r="414" spans="1:4">
      <c r="A414" s="69" t="str">
        <f>$R$2&amp;".BUF.CBON"</f>
        <v>FB_DO_BUF_S.BUF.CBON</v>
      </c>
      <c r="B414" s="70">
        <v>11154</v>
      </c>
      <c r="C414" s="70" t="s">
        <v>4</v>
      </c>
      <c r="D414" s="144">
        <f>$S$6</f>
        <v>24</v>
      </c>
    </row>
    <row r="415" spans="1:4">
      <c r="A415" s="63" t="str">
        <f t="shared" ref="A415:A422" si="43">$R$2&amp;".BUF.CBON"</f>
        <v>FB_DO_BUF_S.BUF.CBON</v>
      </c>
      <c r="B415" s="64">
        <v>11150</v>
      </c>
      <c r="C415" s="64" t="s">
        <v>0</v>
      </c>
      <c r="D415" s="65" t="s">
        <v>1837</v>
      </c>
    </row>
    <row r="416" spans="1:4">
      <c r="A416" s="63" t="str">
        <f t="shared" si="43"/>
        <v>FB_DO_BUF_S.BUF.CBON</v>
      </c>
      <c r="B416" s="64">
        <v>11152</v>
      </c>
      <c r="C416" s="64" t="s">
        <v>0</v>
      </c>
      <c r="D416" s="99" t="str">
        <f>$R$6</f>
        <v>Предупреждение</v>
      </c>
    </row>
    <row r="417" spans="1:4">
      <c r="A417" s="63" t="str">
        <f t="shared" si="43"/>
        <v>FB_DO_BUF_S.BUF.CBON</v>
      </c>
      <c r="B417" s="64">
        <v>11000</v>
      </c>
      <c r="C417" s="64" t="s">
        <v>5</v>
      </c>
      <c r="D417" s="65">
        <v>2147483680</v>
      </c>
    </row>
    <row r="418" spans="1:4">
      <c r="A418" s="19" t="str">
        <f t="shared" si="43"/>
        <v>FB_DO_BUF_S.BUF.CBON</v>
      </c>
      <c r="B418" s="11">
        <v>101</v>
      </c>
      <c r="C418" s="11" t="s">
        <v>0</v>
      </c>
      <c r="D418" s="20" t="s">
        <v>1837</v>
      </c>
    </row>
    <row r="419" spans="1:4">
      <c r="A419" s="19" t="str">
        <f t="shared" si="43"/>
        <v>FB_DO_BUF_S.BUF.CBON</v>
      </c>
      <c r="B419" s="11">
        <v>7050</v>
      </c>
      <c r="C419" s="11" t="s">
        <v>0</v>
      </c>
      <c r="D419" s="20" t="str">
        <f>"&lt;Addr AnswerSignalType=©0© Protocol=©IEC4Std© Type=©Protocol© ProtocolType=©30© Address=©XXX© ModuleNo=©" &amp; $T$9&amp; "© Role=©Master© Station=©" &amp; $T$11 &amp; "©  /&gt;"</f>
        <v>&lt;Addr AnswerSignalType=©0© Protocol=©IEC4Std© Type=©Protocol© ProtocolType=©30© Address=©XXX© ModuleNo=©1© Role=©Master© Station=©1©  /&gt;</v>
      </c>
    </row>
    <row r="420" spans="1:4">
      <c r="A420" s="19" t="str">
        <f t="shared" si="43"/>
        <v>FB_DO_BUF_S.BUF.CBON</v>
      </c>
      <c r="B420" s="11">
        <v>3</v>
      </c>
      <c r="C420" s="11" t="s">
        <v>1</v>
      </c>
      <c r="D420" s="20">
        <v>192</v>
      </c>
    </row>
    <row r="421" spans="1:4">
      <c r="A421" s="19" t="str">
        <f t="shared" si="43"/>
        <v>FB_DO_BUF_S.BUF.CBON</v>
      </c>
      <c r="B421" s="11">
        <v>2</v>
      </c>
      <c r="C421" s="11" t="s">
        <v>2</v>
      </c>
      <c r="D421" s="20" t="s">
        <v>3</v>
      </c>
    </row>
    <row r="422" spans="1:4">
      <c r="A422" s="21" t="str">
        <f t="shared" si="43"/>
        <v>FB_DO_BUF_S.BUF.CBON</v>
      </c>
      <c r="B422" s="8">
        <v>1</v>
      </c>
      <c r="C422" s="8" t="s">
        <v>1</v>
      </c>
      <c r="D422" s="22">
        <v>11</v>
      </c>
    </row>
    <row r="423" spans="1:4">
      <c r="A423" s="69" t="str">
        <f>$R$2&amp;".BUF.CBOF"</f>
        <v>FB_DO_BUF_S.BUF.CBOF</v>
      </c>
      <c r="B423" s="70">
        <v>11154</v>
      </c>
      <c r="C423" s="70" t="s">
        <v>4</v>
      </c>
      <c r="D423" s="144">
        <f>$S$6</f>
        <v>24</v>
      </c>
    </row>
    <row r="424" spans="1:4">
      <c r="A424" s="63" t="str">
        <f t="shared" ref="A424:A431" si="44">$R$2&amp;".BUF.CBOF"</f>
        <v>FB_DO_BUF_S.BUF.CBOF</v>
      </c>
      <c r="B424" s="64">
        <v>11150</v>
      </c>
      <c r="C424" s="64" t="s">
        <v>0</v>
      </c>
      <c r="D424" s="65" t="s">
        <v>1838</v>
      </c>
    </row>
    <row r="425" spans="1:4">
      <c r="A425" s="63" t="str">
        <f t="shared" si="44"/>
        <v>FB_DO_BUF_S.BUF.CBOF</v>
      </c>
      <c r="B425" s="64">
        <v>11152</v>
      </c>
      <c r="C425" s="64" t="s">
        <v>0</v>
      </c>
      <c r="D425" s="99" t="str">
        <f>$R$6</f>
        <v>Предупреждение</v>
      </c>
    </row>
    <row r="426" spans="1:4">
      <c r="A426" s="63" t="str">
        <f t="shared" si="44"/>
        <v>FB_DO_BUF_S.BUF.CBOF</v>
      </c>
      <c r="B426" s="64">
        <v>11000</v>
      </c>
      <c r="C426" s="64" t="s">
        <v>5</v>
      </c>
      <c r="D426" s="65">
        <v>2147483680</v>
      </c>
    </row>
    <row r="427" spans="1:4">
      <c r="A427" s="19" t="str">
        <f t="shared" si="44"/>
        <v>FB_DO_BUF_S.BUF.CBOF</v>
      </c>
      <c r="B427" s="11">
        <v>101</v>
      </c>
      <c r="C427" s="11" t="s">
        <v>0</v>
      </c>
      <c r="D427" s="20" t="s">
        <v>1838</v>
      </c>
    </row>
    <row r="428" spans="1:4">
      <c r="A428" s="19" t="str">
        <f t="shared" si="44"/>
        <v>FB_DO_BUF_S.BUF.CBOF</v>
      </c>
      <c r="B428" s="11">
        <v>7050</v>
      </c>
      <c r="C428" s="11" t="s">
        <v>0</v>
      </c>
      <c r="D428" s="20" t="str">
        <f>"&lt;Addr AnswerSignalType=©0© Protocol=©IEC4Std© Type=©Protocol© ProtocolType=©30© Address=©XXX© ModuleNo=©" &amp; $T$9&amp; "© Role=©Master© Station=©" &amp; $T$11 &amp; "©  /&gt;"</f>
        <v>&lt;Addr AnswerSignalType=©0© Protocol=©IEC4Std© Type=©Protocol© ProtocolType=©30© Address=©XXX© ModuleNo=©1© Role=©Master© Station=©1©  /&gt;</v>
      </c>
    </row>
    <row r="429" spans="1:4">
      <c r="A429" s="19" t="str">
        <f t="shared" si="44"/>
        <v>FB_DO_BUF_S.BUF.CBOF</v>
      </c>
      <c r="B429" s="11">
        <v>3</v>
      </c>
      <c r="C429" s="11" t="s">
        <v>1</v>
      </c>
      <c r="D429" s="20">
        <v>192</v>
      </c>
    </row>
    <row r="430" spans="1:4">
      <c r="A430" s="19" t="str">
        <f t="shared" si="44"/>
        <v>FB_DO_BUF_S.BUF.CBOF</v>
      </c>
      <c r="B430" s="11">
        <v>2</v>
      </c>
      <c r="C430" s="11" t="s">
        <v>2</v>
      </c>
      <c r="D430" s="20" t="s">
        <v>3</v>
      </c>
    </row>
    <row r="431" spans="1:4">
      <c r="A431" s="21" t="str">
        <f t="shared" si="44"/>
        <v>FB_DO_BUF_S.BUF.CBOF</v>
      </c>
      <c r="B431" s="8">
        <v>1</v>
      </c>
      <c r="C431" s="8" t="s">
        <v>1</v>
      </c>
      <c r="D431" s="22">
        <v>11</v>
      </c>
    </row>
    <row r="432" spans="1:4">
      <c r="A432" s="217" t="str">
        <f t="shared" ref="A432:A440" si="45">$R$2&amp;".BUF.FCOM"</f>
        <v>FB_DO_BUF_S.BUF.FCOM</v>
      </c>
      <c r="B432" s="218">
        <v>11154</v>
      </c>
      <c r="C432" s="218" t="s">
        <v>4</v>
      </c>
      <c r="D432" s="219">
        <f>$S$7</f>
        <v>25</v>
      </c>
    </row>
    <row r="433" spans="1:4">
      <c r="A433" s="211" t="str">
        <f t="shared" si="45"/>
        <v>FB_DO_BUF_S.BUF.FCOM</v>
      </c>
      <c r="B433" s="212">
        <v>11150</v>
      </c>
      <c r="C433" s="212" t="s">
        <v>0</v>
      </c>
      <c r="D433" s="213" t="s">
        <v>149</v>
      </c>
    </row>
    <row r="434" spans="1:4">
      <c r="A434" s="211" t="str">
        <f t="shared" si="45"/>
        <v>FB_DO_BUF_S.BUF.FCOM</v>
      </c>
      <c r="B434" s="212">
        <v>11152</v>
      </c>
      <c r="C434" s="212" t="s">
        <v>0</v>
      </c>
      <c r="D434" s="220" t="str">
        <f>$R$7</f>
        <v>Неисправность</v>
      </c>
    </row>
    <row r="435" spans="1:4">
      <c r="A435" s="211" t="str">
        <f t="shared" si="45"/>
        <v>FB_DO_BUF_S.BUF.FCOM</v>
      </c>
      <c r="B435" s="212">
        <v>11000</v>
      </c>
      <c r="C435" s="212" t="s">
        <v>5</v>
      </c>
      <c r="D435" s="213">
        <v>2147483680</v>
      </c>
    </row>
    <row r="436" spans="1:4">
      <c r="A436" s="19" t="str">
        <f t="shared" si="45"/>
        <v>FB_DO_BUF_S.BUF.FCOM</v>
      </c>
      <c r="B436" s="11">
        <v>101</v>
      </c>
      <c r="C436" s="11" t="s">
        <v>0</v>
      </c>
      <c r="D436" s="20" t="s">
        <v>149</v>
      </c>
    </row>
    <row r="437" spans="1:4">
      <c r="A437" s="19" t="str">
        <f t="shared" si="45"/>
        <v>FB_DO_BUF_S.BUF.FCOM</v>
      </c>
      <c r="B437" s="11">
        <v>7050</v>
      </c>
      <c r="C437" s="11" t="s">
        <v>0</v>
      </c>
      <c r="D437" s="20" t="str">
        <f>"&lt;Addr AnswerSignalType=©0© Protocol=©IEC4Std© Type=©Protocol© ProtocolType=©30© Address=©XXX© ModuleNo=©" &amp; $T$9&amp; "© Role=©Master© Station=©" &amp; $T$11 &amp; "©  /&gt;"</f>
        <v>&lt;Addr AnswerSignalType=©0© Protocol=©IEC4Std© Type=©Protocol© ProtocolType=©30© Address=©XXX© ModuleNo=©1© Role=©Master© Station=©1©  /&gt;</v>
      </c>
    </row>
    <row r="438" spans="1:4">
      <c r="A438" s="19" t="str">
        <f t="shared" si="45"/>
        <v>FB_DO_BUF_S.BUF.FCOM</v>
      </c>
      <c r="B438" s="11">
        <v>3</v>
      </c>
      <c r="C438" s="11" t="s">
        <v>1</v>
      </c>
      <c r="D438" s="20">
        <v>192</v>
      </c>
    </row>
    <row r="439" spans="1:4">
      <c r="A439" s="19" t="str">
        <f t="shared" si="45"/>
        <v>FB_DO_BUF_S.BUF.FCOM</v>
      </c>
      <c r="B439" s="11">
        <v>2</v>
      </c>
      <c r="C439" s="11" t="s">
        <v>2</v>
      </c>
      <c r="D439" s="20" t="s">
        <v>3</v>
      </c>
    </row>
    <row r="440" spans="1:4">
      <c r="A440" s="21" t="str">
        <f t="shared" si="45"/>
        <v>FB_DO_BUF_S.BUF.FCOM</v>
      </c>
      <c r="B440" s="8">
        <v>1</v>
      </c>
      <c r="C440" s="8" t="s">
        <v>1</v>
      </c>
      <c r="D440" s="22">
        <v>11</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Лист169">
    <tabColor rgb="FFFFC000"/>
  </sheetPr>
  <dimension ref="A1:BP32"/>
  <sheetViews>
    <sheetView topLeftCell="A4"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8.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57"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t="s">
        <v>524</v>
      </c>
      <c r="Q2" s="2" t="s">
        <v>1813</v>
      </c>
      <c r="R2" s="2" t="s">
        <v>1802</v>
      </c>
      <c r="S2" s="3">
        <v>1</v>
      </c>
      <c r="T2" s="3" t="s">
        <v>1698</v>
      </c>
      <c r="U2" s="3"/>
      <c r="V2" s="3" t="s">
        <v>569</v>
      </c>
      <c r="W2" s="12"/>
      <c r="X2" s="12"/>
      <c r="Y2" s="12"/>
      <c r="Z2" s="12"/>
      <c r="AA2" s="12"/>
      <c r="AB2" s="2"/>
      <c r="AC2" s="2"/>
      <c r="AD2" s="2"/>
      <c r="AE2" s="2" t="s">
        <v>1414</v>
      </c>
      <c r="AF2" s="2"/>
      <c r="AG2" s="2"/>
      <c r="AH2" s="2"/>
      <c r="AI2" s="2"/>
      <c r="AJ2" s="2"/>
      <c r="AK2" s="2"/>
      <c r="AL2" s="2"/>
      <c r="AM2" s="2"/>
      <c r="AN2" s="2"/>
      <c r="AO2" s="2"/>
      <c r="AP2" s="2"/>
      <c r="AQ2" s="2"/>
      <c r="AR2" s="2"/>
      <c r="AS2" s="2"/>
      <c r="AT2" s="2"/>
      <c r="AU2" s="2"/>
      <c r="AV2" s="2"/>
      <c r="AW2" s="2"/>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AB3" s="10"/>
      <c r="AC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7" t="s">
        <v>1793</v>
      </c>
      <c r="T4" s="548" t="str">
        <f>Настройки!M11</f>
        <v>№ Модуля commands</v>
      </c>
      <c r="U4" s="10"/>
      <c r="V4" s="10"/>
      <c r="W4" s="10"/>
      <c r="X4" s="10"/>
      <c r="Y4" s="10"/>
      <c r="Z4" s="10"/>
      <c r="AA4" s="10"/>
      <c r="AB4" s="10"/>
      <c r="AC4" s="10"/>
      <c r="BM4" s="4"/>
      <c r="BN4" s="4"/>
      <c r="BO4" s="4"/>
      <c r="BP4" s="4"/>
    </row>
    <row r="5" spans="1:68" ht="15" customHeight="1">
      <c r="A5" s="9"/>
      <c r="B5" s="9"/>
      <c r="C5" s="9"/>
      <c r="D5" s="9"/>
      <c r="E5" s="9"/>
      <c r="F5" s="9"/>
      <c r="P5" s="6" t="str">
        <f>Настройки!A2</f>
        <v>Авария</v>
      </c>
      <c r="Q5" s="5">
        <f>Настройки!B2</f>
        <v>4</v>
      </c>
      <c r="R5" s="5" t="str">
        <f>Настройки!C2</f>
        <v>Авария</v>
      </c>
      <c r="S5" s="12">
        <v>23</v>
      </c>
      <c r="T5" s="458">
        <f>Настройки!M12</f>
        <v>1</v>
      </c>
      <c r="U5" s="10"/>
      <c r="V5" s="10"/>
      <c r="W5" s="10"/>
      <c r="X5" s="10"/>
      <c r="Y5" s="10"/>
      <c r="Z5" s="10"/>
      <c r="AA5" s="10"/>
      <c r="AB5" s="10"/>
      <c r="AC5" s="10"/>
      <c r="BM5" s="4"/>
      <c r="BN5" s="4"/>
      <c r="BO5" s="4"/>
      <c r="BP5" s="4"/>
    </row>
    <row r="6" spans="1:68" ht="15" customHeight="1">
      <c r="A6" s="9"/>
      <c r="B6" s="9"/>
      <c r="C6" s="9"/>
      <c r="D6" s="9"/>
      <c r="E6" s="9"/>
      <c r="F6" s="9"/>
      <c r="P6" s="6" t="str">
        <f>Настройки!A3</f>
        <v>Предупреждение</v>
      </c>
      <c r="Q6" s="5">
        <f>Настройки!B3</f>
        <v>8</v>
      </c>
      <c r="R6" s="5" t="str">
        <f>Настройки!C3</f>
        <v>Предупреждение</v>
      </c>
      <c r="S6" s="12">
        <v>24</v>
      </c>
      <c r="T6" s="608" t="str">
        <f>Настройки!M7</f>
        <v>Отображение Таблицы подлючений в диаг.</v>
      </c>
      <c r="U6" s="10"/>
      <c r="V6" s="10"/>
      <c r="W6" s="10"/>
      <c r="X6" s="10"/>
      <c r="Y6" s="10"/>
      <c r="Z6" s="10"/>
      <c r="AA6" s="10"/>
      <c r="AB6" s="10"/>
      <c r="AC6" s="10"/>
      <c r="BM6" s="4"/>
      <c r="BN6" s="4"/>
      <c r="BO6" s="4"/>
      <c r="BP6" s="4"/>
    </row>
    <row r="7" spans="1:68" ht="15" customHeight="1">
      <c r="A7" s="9"/>
      <c r="B7" s="9"/>
      <c r="C7" s="9"/>
      <c r="D7" s="9"/>
      <c r="E7" s="9"/>
      <c r="F7" s="9"/>
      <c r="P7" s="6" t="str">
        <f>Настройки!A4</f>
        <v>Неисправность</v>
      </c>
      <c r="Q7" s="5">
        <f>Настройки!B4</f>
        <v>12</v>
      </c>
      <c r="R7" s="5" t="str">
        <f>Настройки!C4</f>
        <v>Неисправность</v>
      </c>
      <c r="S7" s="12">
        <v>25</v>
      </c>
      <c r="T7" s="644" t="b">
        <f>Настройки!M8</f>
        <v>0</v>
      </c>
      <c r="U7" s="10"/>
      <c r="V7" s="10"/>
      <c r="W7" s="10"/>
      <c r="X7" s="10"/>
      <c r="Y7" s="10"/>
      <c r="Z7" s="10"/>
      <c r="AA7" s="10"/>
      <c r="AB7" s="10"/>
      <c r="AC7" s="10"/>
      <c r="BM7" s="4"/>
      <c r="BN7" s="4"/>
      <c r="BO7" s="4"/>
      <c r="BP7" s="4"/>
    </row>
    <row r="8" spans="1:68" ht="15" customHeight="1">
      <c r="A8" s="9"/>
      <c r="B8" s="9"/>
      <c r="C8" s="9"/>
      <c r="D8" s="9"/>
      <c r="E8" s="9"/>
      <c r="F8" s="9"/>
      <c r="P8" s="6" t="str">
        <f>Настройки!A5</f>
        <v>Телесигнализация</v>
      </c>
      <c r="Q8" s="5">
        <f>Настройки!B5</f>
        <v>18</v>
      </c>
      <c r="R8" s="5" t="str">
        <f>Настройки!C5</f>
        <v>Телесигнализация</v>
      </c>
      <c r="S8" s="12">
        <v>26</v>
      </c>
      <c r="T8" s="548" t="str">
        <f>Настройки!M13</f>
        <v>Номер модуля IEC 4</v>
      </c>
      <c r="U8" s="10"/>
      <c r="V8" s="10"/>
      <c r="W8" s="10"/>
      <c r="X8" s="10"/>
      <c r="Y8" s="10"/>
      <c r="Z8" s="10"/>
      <c r="AA8" s="10"/>
      <c r="AB8" s="10"/>
      <c r="AC8" s="10"/>
      <c r="BM8" s="4"/>
      <c r="BN8" s="4"/>
      <c r="BO8" s="4"/>
      <c r="BP8" s="4"/>
    </row>
    <row r="9" spans="1:68" ht="15" customHeight="1">
      <c r="A9" s="9"/>
      <c r="B9" s="9"/>
      <c r="C9" s="9"/>
      <c r="D9" s="9"/>
      <c r="E9" s="9"/>
      <c r="F9" s="9"/>
      <c r="P9" s="6" t="str">
        <f>Настройки!A6</f>
        <v>Недостоверность</v>
      </c>
      <c r="Q9" s="5">
        <f>Настройки!B6</f>
        <v>10</v>
      </c>
      <c r="R9" s="5" t="str">
        <f>Настройки!C6</f>
        <v>Недостоверность</v>
      </c>
      <c r="S9" s="12">
        <v>27</v>
      </c>
      <c r="T9" s="456">
        <f>Настройки!M14</f>
        <v>1</v>
      </c>
      <c r="U9" s="10"/>
      <c r="V9" s="10"/>
      <c r="W9" s="10"/>
      <c r="X9" s="10"/>
      <c r="Y9" s="10"/>
      <c r="Z9" s="10"/>
      <c r="AA9" s="10"/>
      <c r="AB9" s="10"/>
      <c r="AC9" s="10"/>
      <c r="BM9" s="4"/>
      <c r="BN9" s="4"/>
      <c r="BO9" s="4"/>
      <c r="BP9" s="4"/>
    </row>
    <row r="10" spans="1:68" ht="15" customHeight="1">
      <c r="A10" s="9"/>
      <c r="B10" s="9"/>
      <c r="C10" s="9"/>
      <c r="D10" s="9"/>
      <c r="E10" s="9"/>
      <c r="F10" s="9"/>
      <c r="P10" s="6" t="str">
        <f>Настройки!A7</f>
        <v>Имитация</v>
      </c>
      <c r="Q10" s="5">
        <f>Настройки!B7</f>
        <v>16</v>
      </c>
      <c r="R10" s="5" t="str">
        <f>Настройки!C7</f>
        <v>Имитация</v>
      </c>
      <c r="S10" s="12"/>
      <c r="T10" s="548" t="str">
        <f>Настройки!M15</f>
        <v>Номер КП модуля IEC 4</v>
      </c>
      <c r="U10" s="10"/>
      <c r="V10" s="10"/>
      <c r="W10" s="10"/>
      <c r="X10" s="10"/>
      <c r="Y10" s="10"/>
      <c r="Z10" s="10"/>
      <c r="AA10" s="10"/>
      <c r="AB10" s="10"/>
      <c r="AC10" s="10"/>
      <c r="BM10" s="4"/>
      <c r="BN10" s="4"/>
      <c r="BO10" s="4"/>
      <c r="BP10" s="4"/>
    </row>
    <row r="11" spans="1:68" ht="15" customHeight="1">
      <c r="A11" s="9"/>
      <c r="B11" s="9"/>
      <c r="C11" s="9"/>
      <c r="D11" s="9"/>
      <c r="E11" s="9"/>
      <c r="F11" s="9"/>
      <c r="P11" s="6" t="str">
        <f>Настройки!A8</f>
        <v>Ремонт</v>
      </c>
      <c r="Q11" s="5">
        <f>Настройки!B8</f>
        <v>14</v>
      </c>
      <c r="R11" s="5" t="str">
        <f>Настройки!C8</f>
        <v>Ремонт</v>
      </c>
      <c r="S11" s="12">
        <v>29</v>
      </c>
      <c r="T11" s="656">
        <f>Настройки!M16</f>
        <v>1</v>
      </c>
      <c r="U11" s="10"/>
      <c r="V11" s="10"/>
      <c r="W11" s="10"/>
      <c r="X11" s="10"/>
      <c r="Y11" s="10"/>
      <c r="Z11" s="10"/>
      <c r="AA11" s="10"/>
      <c r="AB11" s="10"/>
      <c r="AC11" s="10"/>
      <c r="BM11" s="4"/>
      <c r="BN11" s="4"/>
      <c r="BO11" s="4"/>
      <c r="BP11" s="4"/>
    </row>
    <row r="12" spans="1:68"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2"/>
      <c r="T12" s="10"/>
      <c r="U12" s="10"/>
      <c r="V12" s="10"/>
      <c r="W12" s="10"/>
      <c r="X12" s="10"/>
      <c r="Y12" s="10"/>
      <c r="Z12" s="10"/>
      <c r="AA12" s="10"/>
      <c r="AB12" s="10"/>
      <c r="AC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2"/>
      <c r="T13" s="10"/>
      <c r="U13" s="10"/>
      <c r="V13" s="10"/>
      <c r="W13" s="10"/>
      <c r="X13" s="10"/>
      <c r="Y13" s="10"/>
      <c r="Z13" s="10"/>
      <c r="AA13" s="10"/>
      <c r="AB13" s="10"/>
      <c r="AC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2"/>
      <c r="T14" s="10"/>
      <c r="U14" s="10"/>
      <c r="V14" s="10"/>
      <c r="W14" s="10"/>
      <c r="X14" s="10"/>
      <c r="Y14" s="10"/>
      <c r="Z14" s="10"/>
      <c r="AA14" s="10"/>
      <c r="AB14" s="10"/>
      <c r="AC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2"/>
      <c r="T15" s="10"/>
      <c r="U15" s="10"/>
      <c r="V15" s="10"/>
      <c r="W15" s="10"/>
      <c r="X15" s="10"/>
      <c r="Y15" s="10"/>
      <c r="Z15" s="10"/>
      <c r="AA15" s="10"/>
      <c r="AB15" s="10"/>
      <c r="AC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2"/>
      <c r="T16" s="10"/>
      <c r="U16" s="10"/>
      <c r="V16" s="10"/>
      <c r="W16" s="10"/>
      <c r="X16" s="10"/>
      <c r="Y16" s="10"/>
      <c r="Z16" s="10"/>
      <c r="AA16" s="10"/>
      <c r="AB16" s="10"/>
      <c r="AC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2"/>
      <c r="T17" s="10"/>
      <c r="U17" s="10"/>
      <c r="V17" s="10"/>
      <c r="W17" s="10"/>
      <c r="X17" s="10"/>
      <c r="Y17" s="10"/>
      <c r="Z17" s="10"/>
      <c r="AA17" s="10"/>
      <c r="AB17" s="10"/>
      <c r="AC17" s="10"/>
      <c r="BM17" s="4"/>
      <c r="BN17" s="4"/>
      <c r="BO17" s="4"/>
      <c r="BP17" s="4"/>
    </row>
    <row r="18" spans="1:68" ht="15" customHeight="1">
      <c r="A18" s="9"/>
      <c r="B18" s="9"/>
      <c r="C18" s="9"/>
      <c r="D18" s="9"/>
      <c r="E18" s="9"/>
      <c r="F18" s="9"/>
      <c r="P18" s="6" t="str">
        <f>Настройки!A15</f>
        <v>Отключение</v>
      </c>
      <c r="Q18" s="5">
        <f>Настройки!B15</f>
        <v>13</v>
      </c>
      <c r="R18" s="5" t="str">
        <f>Настройки!C15</f>
        <v>Отключение</v>
      </c>
      <c r="S18" s="12"/>
      <c r="T18" s="10"/>
      <c r="U18" s="10"/>
      <c r="V18" s="10"/>
      <c r="W18" s="10"/>
      <c r="X18" s="10"/>
      <c r="Y18" s="10"/>
      <c r="Z18" s="10"/>
      <c r="AA18" s="10"/>
      <c r="AB18" s="10"/>
      <c r="AC18" s="10"/>
      <c r="BM18" s="4"/>
      <c r="BN18" s="4"/>
      <c r="BO18" s="4"/>
      <c r="BP18" s="4"/>
    </row>
    <row r="19" spans="1:68" ht="15" customHeight="1">
      <c r="A19" s="9"/>
      <c r="B19" s="9"/>
      <c r="C19" s="9"/>
      <c r="D19" s="9"/>
      <c r="E19" s="9"/>
      <c r="F19" s="9"/>
      <c r="P19" s="6" t="str">
        <f>Настройки!A16</f>
        <v>Информация</v>
      </c>
      <c r="Q19" s="5">
        <f>Настройки!B16</f>
        <v>22</v>
      </c>
      <c r="R19" s="5" t="str">
        <f>Настройки!C16</f>
        <v>Информация</v>
      </c>
      <c r="S19" s="12"/>
      <c r="T19" s="10"/>
      <c r="U19" s="10"/>
      <c r="V19" s="10"/>
      <c r="W19" s="10"/>
      <c r="X19" s="10"/>
      <c r="Y19" s="10"/>
      <c r="Z19" s="10"/>
      <c r="AA19" s="10"/>
      <c r="AB19" s="10"/>
      <c r="AC19" s="10"/>
      <c r="BM19" s="4"/>
      <c r="BN19" s="4"/>
      <c r="BO19" s="4"/>
      <c r="BP19" s="4"/>
    </row>
    <row r="20" spans="1:68" ht="15" customHeight="1">
      <c r="A20" s="16" t="str">
        <f>$R$2</f>
        <v>DO_BUF</v>
      </c>
      <c r="B20" s="17">
        <v>11001</v>
      </c>
      <c r="C20" s="17" t="s">
        <v>0</v>
      </c>
      <c r="D20" s="18" t="str">
        <f>$Q$2</f>
        <v>Дискретный выход (для кнопок) с буферизацией</v>
      </c>
      <c r="BM20" s="4"/>
      <c r="BN20" s="4"/>
      <c r="BO20" s="4"/>
      <c r="BP20" s="4"/>
    </row>
    <row r="21" spans="1:68" ht="15" customHeight="1">
      <c r="A21" s="19" t="str">
        <f t="shared" ref="A21:A32" si="0">$R$2</f>
        <v>DO_BUF</v>
      </c>
      <c r="B21" s="11">
        <v>11156</v>
      </c>
      <c r="C21" s="11" t="s">
        <v>0</v>
      </c>
      <c r="D21" s="20" t="str">
        <f>$V$2</f>
        <v>Тестовый экран</v>
      </c>
      <c r="BM21" s="4"/>
      <c r="BN21" s="4"/>
      <c r="BO21" s="4"/>
      <c r="BP21" s="4"/>
    </row>
    <row r="22" spans="1:68" ht="15" customHeight="1">
      <c r="A22" s="19" t="str">
        <f t="shared" si="0"/>
        <v>DO_BUF</v>
      </c>
      <c r="B22" s="11">
        <v>100</v>
      </c>
      <c r="C22" s="11" t="s">
        <v>0</v>
      </c>
      <c r="D22" s="20" t="b">
        <f>$T$7</f>
        <v>0</v>
      </c>
      <c r="BF22" s="4"/>
      <c r="BG22" s="4"/>
      <c r="BH22" s="4"/>
      <c r="BI22" s="4"/>
    </row>
    <row r="23" spans="1:68">
      <c r="A23" s="16" t="str">
        <f t="shared" si="0"/>
        <v>DO_BUF</v>
      </c>
      <c r="B23" s="17">
        <v>13</v>
      </c>
      <c r="C23" s="17" t="s">
        <v>2</v>
      </c>
      <c r="D23" s="18" t="s">
        <v>3</v>
      </c>
    </row>
    <row r="24" spans="1:68" ht="15" customHeight="1">
      <c r="A24" s="19" t="str">
        <f t="shared" si="0"/>
        <v>DO_BUF</v>
      </c>
      <c r="B24" s="11">
        <v>3000013</v>
      </c>
      <c r="C24" s="11" t="s">
        <v>0</v>
      </c>
      <c r="D24" s="20" t="str">
        <f>$AE$2</f>
        <v>Диагностика.CPU.NOT_LINK.noLink</v>
      </c>
      <c r="BF24" s="4"/>
      <c r="BG24" s="4"/>
      <c r="BH24" s="4"/>
      <c r="BI24" s="4"/>
    </row>
    <row r="25" spans="1:68" ht="15" customHeight="1">
      <c r="A25" s="19" t="str">
        <f t="shared" si="0"/>
        <v>DO_BUF</v>
      </c>
      <c r="B25" s="11">
        <v>4000013</v>
      </c>
      <c r="C25" s="11" t="s">
        <v>0</v>
      </c>
      <c r="D25" s="20" t="s">
        <v>1776</v>
      </c>
      <c r="BF25" s="4"/>
      <c r="BG25" s="4"/>
      <c r="BH25" s="4"/>
      <c r="BI25" s="4"/>
    </row>
    <row r="26" spans="1:68" ht="15" customHeight="1">
      <c r="A26" s="21" t="str">
        <f t="shared" si="0"/>
        <v>DO_BUF</v>
      </c>
      <c r="B26" s="8">
        <v>7000013</v>
      </c>
      <c r="C26" s="8" t="s">
        <v>6</v>
      </c>
      <c r="D26" s="22">
        <v>2</v>
      </c>
      <c r="BF26" s="4"/>
      <c r="BG26" s="4"/>
      <c r="BH26" s="4"/>
      <c r="BI26" s="4"/>
    </row>
    <row r="27" spans="1:68">
      <c r="A27" s="19" t="str">
        <f t="shared" si="0"/>
        <v>DO_BUF</v>
      </c>
      <c r="B27" s="11">
        <v>7999</v>
      </c>
      <c r="C27" s="11" t="s">
        <v>0</v>
      </c>
      <c r="D27" s="20" t="str">
        <f>"#"&amp;$T$5&amp;"#"&amp;$T$2&amp;"\"&amp;$P$2</f>
        <v>#1#treiOPCDA.CoOPCserv.1\pcmaster\DO_OPC</v>
      </c>
    </row>
    <row r="28" spans="1:68">
      <c r="A28" s="19" t="str">
        <f t="shared" si="0"/>
        <v>DO_BUF</v>
      </c>
      <c r="B28" s="11">
        <v>7998</v>
      </c>
      <c r="C28" s="11" t="s">
        <v>6</v>
      </c>
      <c r="D28" s="20">
        <v>2</v>
      </c>
    </row>
    <row r="29" spans="1:68">
      <c r="A29" s="19" t="str">
        <f t="shared" si="0"/>
        <v>DO_BUF</v>
      </c>
      <c r="B29" s="11">
        <v>101</v>
      </c>
      <c r="C29" s="11" t="s">
        <v>0</v>
      </c>
      <c r="D29" s="20" t="str">
        <f>$Q$2</f>
        <v>Дискретный выход (для кнопок) с буферизацией</v>
      </c>
    </row>
    <row r="30" spans="1:68">
      <c r="A30" s="19" t="str">
        <f t="shared" si="0"/>
        <v>DO_BUF</v>
      </c>
      <c r="B30" s="11">
        <v>3</v>
      </c>
      <c r="C30" s="11" t="s">
        <v>1</v>
      </c>
      <c r="D30" s="20">
        <v>192</v>
      </c>
    </row>
    <row r="31" spans="1:68">
      <c r="A31" s="19" t="str">
        <f t="shared" si="0"/>
        <v>DO_BUF</v>
      </c>
      <c r="B31" s="11">
        <v>2</v>
      </c>
      <c r="C31" s="11" t="s">
        <v>2</v>
      </c>
      <c r="D31" s="20" t="s">
        <v>3</v>
      </c>
    </row>
    <row r="32" spans="1:68">
      <c r="A32" s="21" t="str">
        <f t="shared" si="0"/>
        <v>DO_BUF</v>
      </c>
      <c r="B32" s="8">
        <v>1</v>
      </c>
      <c r="C32" s="8" t="s">
        <v>1</v>
      </c>
      <c r="D32" s="22">
        <v>11</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Лист163">
    <tabColor rgb="FFFFC000"/>
  </sheetPr>
  <dimension ref="A1:BN672"/>
  <sheetViews>
    <sheetView topLeftCell="A623" zoomScale="80" zoomScaleNormal="80"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7.33203125" customWidth="1"/>
    <col min="56" max="56" width="10.33203125" customWidth="1"/>
    <col min="57" max="57" width="10" customWidth="1"/>
    <col min="59" max="59" width="7.109375" customWidth="1"/>
    <col min="60" max="60" width="10.88671875" customWidth="1"/>
    <col min="62" max="62" width="65.109375" customWidth="1"/>
  </cols>
  <sheetData>
    <row r="1" spans="1:66" s="258" customFormat="1" ht="204.6" thickBot="1">
      <c r="A1" s="257"/>
      <c r="B1" s="257" t="s">
        <v>84</v>
      </c>
      <c r="C1" s="257"/>
      <c r="D1" s="257"/>
      <c r="E1" s="257"/>
      <c r="F1" s="257"/>
      <c r="P1" s="263"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1"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61"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61" t="str">
        <f>Таблица!AL1</f>
        <v>Для TREI
FB_IMstp_S, FB_IMs_S, FB_IMp_S, FB_IMv_S, FB_IM_ADES_S: Настройка перехода ручной-/автоматический-(TRUE/FALSE) 
FB_DI_S: Генерировать метки времени (TRUE/FALSE)</v>
      </c>
      <c r="AY1" s="261"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61" t="str">
        <f>Таблица!AN1</f>
        <v>Для TREI
FB_AI_S, FB_QSA_S: Верхний предел датчика
FB_IMp_S, FB_IMv_S, FB_IM_ADES_S, FB_OZK_KD_S: Время перестановки</v>
      </c>
      <c r="BA1" s="261"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K1" s="259"/>
      <c r="BL1" s="259"/>
      <c r="BM1" s="259"/>
      <c r="BN1" s="259"/>
    </row>
    <row r="2" spans="1:66">
      <c r="A2" s="9"/>
      <c r="B2" s="9"/>
      <c r="C2" s="9"/>
      <c r="D2" s="9"/>
      <c r="E2" s="9"/>
      <c r="F2" s="9"/>
      <c r="P2" s="2" t="s">
        <v>715</v>
      </c>
      <c r="Q2" s="2" t="s">
        <v>767</v>
      </c>
      <c r="R2" s="2" t="s">
        <v>596</v>
      </c>
      <c r="S2" s="3">
        <v>1</v>
      </c>
      <c r="T2" s="3" t="s">
        <v>1698</v>
      </c>
      <c r="U2" s="3"/>
      <c r="V2" s="3" t="s">
        <v>569</v>
      </c>
      <c r="W2" s="12"/>
      <c r="X2" s="12" t="s">
        <v>295</v>
      </c>
      <c r="Y2" s="12"/>
      <c r="Z2" s="12"/>
      <c r="AA2" s="12"/>
      <c r="AB2" s="2"/>
      <c r="AC2" s="2"/>
      <c r="AD2" s="2"/>
      <c r="AE2" s="2" t="s">
        <v>1414</v>
      </c>
      <c r="AF2" s="2"/>
      <c r="AG2" s="2"/>
      <c r="AH2" s="2"/>
      <c r="AI2" s="2"/>
      <c r="AJ2" s="2"/>
      <c r="AK2" s="2"/>
      <c r="AL2" s="2" t="s">
        <v>1241</v>
      </c>
      <c r="AM2" s="2" t="s">
        <v>1242</v>
      </c>
      <c r="AN2" s="2" t="s">
        <v>1243</v>
      </c>
      <c r="AO2" s="2" t="s">
        <v>1244</v>
      </c>
      <c r="AP2" s="2" t="s">
        <v>1245</v>
      </c>
      <c r="AQ2" s="2" t="s">
        <v>1246</v>
      </c>
      <c r="AR2" s="2"/>
      <c r="AS2" s="2"/>
      <c r="AT2" s="2"/>
      <c r="AU2" s="2"/>
      <c r="AV2" s="2"/>
      <c r="AW2" s="2"/>
      <c r="AX2" s="2"/>
      <c r="AY2" s="2"/>
      <c r="AZ2" s="2"/>
      <c r="BA2" s="2"/>
      <c r="BK2" s="4"/>
      <c r="BL2" s="4"/>
      <c r="BM2" s="4"/>
      <c r="BN2" s="4"/>
    </row>
    <row r="3" spans="1:66">
      <c r="A3" s="9"/>
      <c r="B3" s="9"/>
      <c r="C3" s="9"/>
      <c r="D3" s="9"/>
      <c r="E3" s="9"/>
      <c r="F3" s="9"/>
      <c r="P3" s="10"/>
      <c r="Q3" s="10"/>
      <c r="R3" s="10"/>
      <c r="S3" s="10"/>
      <c r="T3" s="10"/>
      <c r="U3" s="10"/>
      <c r="V3" s="10"/>
      <c r="W3" s="10"/>
      <c r="X3" s="10"/>
      <c r="Y3" s="10"/>
      <c r="Z3" s="10"/>
      <c r="AA3" s="10"/>
      <c r="BK3" s="4"/>
      <c r="BL3" s="4"/>
      <c r="BM3" s="4"/>
      <c r="BN3" s="4"/>
    </row>
    <row r="4" spans="1:66">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K4" s="4"/>
      <c r="BL4" s="4"/>
      <c r="BM4" s="4"/>
      <c r="BN4" s="4"/>
    </row>
    <row r="5" spans="1:66">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K5" s="4"/>
      <c r="BL5" s="4"/>
      <c r="BM5" s="4"/>
      <c r="BN5" s="4"/>
    </row>
    <row r="6" spans="1:66">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K6" s="4"/>
      <c r="BL6" s="4"/>
      <c r="BM6" s="4"/>
      <c r="BN6" s="4"/>
    </row>
    <row r="7" spans="1:66">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K7" s="4"/>
      <c r="BL7" s="4"/>
      <c r="BM7" s="4"/>
      <c r="BN7" s="4"/>
    </row>
    <row r="8" spans="1:66">
      <c r="A8" s="9"/>
      <c r="B8" s="9"/>
      <c r="C8" s="9"/>
      <c r="D8" s="9"/>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BK8" s="4"/>
      <c r="BL8" s="4"/>
      <c r="BM8" s="4"/>
      <c r="BN8" s="4"/>
    </row>
    <row r="9" spans="1:66">
      <c r="A9" s="9"/>
      <c r="B9" s="9"/>
      <c r="C9" s="9"/>
      <c r="D9" s="9"/>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BK9" s="4"/>
      <c r="BL9" s="4"/>
      <c r="BM9" s="4"/>
      <c r="BN9" s="4"/>
    </row>
    <row r="10" spans="1:66">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BK10" s="4"/>
      <c r="BL10" s="4"/>
      <c r="BM10" s="4"/>
      <c r="BN10" s="4"/>
    </row>
    <row r="11" spans="1:66">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BK11" s="4"/>
      <c r="BL11" s="4"/>
      <c r="BM11" s="4"/>
      <c r="BN11" s="4"/>
    </row>
    <row r="12" spans="1:66">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BK12" s="4"/>
      <c r="BL12" s="4"/>
      <c r="BM12" s="4"/>
      <c r="BN12" s="4"/>
    </row>
    <row r="13" spans="1:66">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K13" s="4"/>
      <c r="BL13" s="4"/>
      <c r="BM13" s="4"/>
      <c r="BN13" s="4"/>
    </row>
    <row r="14" spans="1:66">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K14" s="4"/>
      <c r="BL14" s="4"/>
      <c r="BM14" s="4"/>
      <c r="BN14" s="4"/>
    </row>
    <row r="15" spans="1:66">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K15" s="4"/>
      <c r="BL15" s="4"/>
      <c r="BM15" s="4"/>
      <c r="BN15" s="4"/>
    </row>
    <row r="16" spans="1:66">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K16" s="4"/>
      <c r="BL16" s="4"/>
      <c r="BM16" s="4"/>
      <c r="BN16" s="4"/>
    </row>
    <row r="17" spans="1:66">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K17" s="4"/>
      <c r="BL17" s="4"/>
      <c r="BM17" s="4"/>
      <c r="BN17" s="4"/>
    </row>
    <row r="18" spans="1:66">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K18" s="4"/>
      <c r="BL18" s="4"/>
      <c r="BM18" s="4"/>
      <c r="BN18" s="4"/>
    </row>
    <row r="19" spans="1:66">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K19" s="4"/>
      <c r="BL19" s="4"/>
      <c r="BM19" s="4"/>
      <c r="BN19" s="4"/>
    </row>
    <row r="20" spans="1:66">
      <c r="A20" s="16" t="str">
        <f t="shared" ref="A20:A34" si="0">$R$2</f>
        <v>FB_REG_S</v>
      </c>
      <c r="B20" s="17">
        <v>11001</v>
      </c>
      <c r="C20" s="17" t="s">
        <v>0</v>
      </c>
      <c r="D20" s="18" t="str">
        <f>$Q$2&amp;". "</f>
        <v xml:space="preserve">Регулятор FB. </v>
      </c>
      <c r="E20" s="4"/>
      <c r="F20" s="4"/>
      <c r="BK20" s="4"/>
      <c r="BL20" s="4"/>
      <c r="BM20" s="4"/>
      <c r="BN20" s="4"/>
    </row>
    <row r="21" spans="1:66">
      <c r="A21" s="19" t="str">
        <f t="shared" si="0"/>
        <v>FB_REG_S</v>
      </c>
      <c r="B21" s="11">
        <v>11156</v>
      </c>
      <c r="C21" s="11" t="s">
        <v>0</v>
      </c>
      <c r="D21" s="20" t="str">
        <f>$V$2</f>
        <v>Тестовый экран</v>
      </c>
      <c r="E21" s="4"/>
      <c r="F21" s="4"/>
      <c r="BK21" s="4"/>
      <c r="BL21" s="4"/>
      <c r="BM21" s="4"/>
      <c r="BN21" s="4"/>
    </row>
    <row r="22" spans="1:66">
      <c r="A22" s="19" t="str">
        <f t="shared" si="0"/>
        <v>FB_REG_S</v>
      </c>
      <c r="B22" s="11">
        <v>1</v>
      </c>
      <c r="C22" s="11" t="s">
        <v>1</v>
      </c>
      <c r="D22" s="20">
        <v>17</v>
      </c>
      <c r="BK22" s="4"/>
      <c r="BL22" s="4"/>
      <c r="BM22" s="4"/>
      <c r="BN22" s="4"/>
    </row>
    <row r="23" spans="1:66" ht="15" customHeight="1">
      <c r="A23" s="16" t="str">
        <f t="shared" si="0"/>
        <v>FB_REG_S</v>
      </c>
      <c r="B23" s="17">
        <v>100</v>
      </c>
      <c r="C23" s="17" t="s">
        <v>0</v>
      </c>
      <c r="D23" s="18" t="b">
        <f>$T$7</f>
        <v>0</v>
      </c>
      <c r="BF23" s="4"/>
      <c r="BG23" s="4"/>
      <c r="BH23" s="4"/>
      <c r="BI23" s="4"/>
    </row>
    <row r="24" spans="1:66">
      <c r="A24" s="19" t="str">
        <f t="shared" si="0"/>
        <v>FB_REG_S</v>
      </c>
      <c r="B24" s="11">
        <v>11120</v>
      </c>
      <c r="C24" s="11" t="s">
        <v>0</v>
      </c>
      <c r="D24" s="20" t="str">
        <f>$X$2</f>
        <v>С</v>
      </c>
      <c r="BK24" s="4"/>
      <c r="BL24" s="4"/>
      <c r="BM24" s="4"/>
      <c r="BN24" s="4"/>
    </row>
    <row r="25" spans="1:66">
      <c r="A25" s="19" t="str">
        <f t="shared" si="0"/>
        <v>FB_REG_S</v>
      </c>
      <c r="B25" s="11">
        <v>11121</v>
      </c>
      <c r="C25" s="11" t="s">
        <v>0</v>
      </c>
      <c r="D25" s="20" t="str">
        <f>$AL$2</f>
        <v>3+2</v>
      </c>
      <c r="BK25" s="4"/>
      <c r="BL25" s="4"/>
      <c r="BM25" s="4"/>
      <c r="BN25" s="4"/>
    </row>
    <row r="26" spans="1:66">
      <c r="A26" s="19" t="str">
        <f t="shared" si="0"/>
        <v>FB_REG_S</v>
      </c>
      <c r="B26" s="11">
        <v>11122</v>
      </c>
      <c r="C26" s="11" t="s">
        <v>0</v>
      </c>
      <c r="D26" s="20" t="str">
        <f>$AM$2</f>
        <v>3+3</v>
      </c>
      <c r="BK26" s="4"/>
      <c r="BL26" s="4"/>
      <c r="BM26" s="4"/>
      <c r="BN26" s="4"/>
    </row>
    <row r="27" spans="1:66">
      <c r="A27" s="19" t="str">
        <f t="shared" si="0"/>
        <v>FB_REG_S</v>
      </c>
      <c r="B27" s="11">
        <v>11123</v>
      </c>
      <c r="C27" s="11" t="s">
        <v>0</v>
      </c>
      <c r="D27" s="20" t="str">
        <f>$AN$2</f>
        <v>1+15</v>
      </c>
      <c r="BK27" s="4"/>
      <c r="BL27" s="4"/>
      <c r="BM27" s="4"/>
      <c r="BN27" s="4"/>
    </row>
    <row r="28" spans="1:66">
      <c r="A28" s="19" t="str">
        <f t="shared" si="0"/>
        <v>FB_REG_S</v>
      </c>
      <c r="B28" s="11">
        <v>11124</v>
      </c>
      <c r="C28" s="11" t="s">
        <v>0</v>
      </c>
      <c r="D28" s="20" t="str">
        <f>$AO$2</f>
        <v>1+16</v>
      </c>
      <c r="BK28" s="4"/>
      <c r="BL28" s="4"/>
      <c r="BM28" s="4"/>
      <c r="BN28" s="4"/>
    </row>
    <row r="29" spans="1:66">
      <c r="A29" s="19" t="str">
        <f t="shared" si="0"/>
        <v>FB_REG_S</v>
      </c>
      <c r="B29" s="11">
        <v>11125</v>
      </c>
      <c r="C29" s="11" t="s">
        <v>0</v>
      </c>
      <c r="D29" s="20" t="str">
        <f>$AP$2</f>
        <v>1+17</v>
      </c>
      <c r="BK29" s="4"/>
      <c r="BL29" s="4"/>
      <c r="BM29" s="4"/>
      <c r="BN29" s="4"/>
    </row>
    <row r="30" spans="1:66">
      <c r="A30" s="19" t="str">
        <f t="shared" si="0"/>
        <v>FB_REG_S</v>
      </c>
      <c r="B30" s="11">
        <v>11126</v>
      </c>
      <c r="C30" s="11" t="s">
        <v>0</v>
      </c>
      <c r="D30" s="20" t="str">
        <f>$AQ$2</f>
        <v>4+1</v>
      </c>
      <c r="BK30" s="4"/>
      <c r="BL30" s="4"/>
      <c r="BM30" s="4"/>
      <c r="BN30" s="4"/>
    </row>
    <row r="31" spans="1:66" ht="15" customHeight="1">
      <c r="A31" s="16" t="str">
        <f t="shared" si="0"/>
        <v>FB_REG_S</v>
      </c>
      <c r="B31" s="17">
        <v>13</v>
      </c>
      <c r="C31" s="17" t="s">
        <v>2</v>
      </c>
      <c r="D31" s="18" t="s">
        <v>3</v>
      </c>
      <c r="BF31" s="4"/>
      <c r="BG31" s="4"/>
      <c r="BH31" s="4"/>
      <c r="BI31" s="4"/>
    </row>
    <row r="32" spans="1:66" ht="15" customHeight="1">
      <c r="A32" s="19" t="str">
        <f t="shared" si="0"/>
        <v>FB_REG_S</v>
      </c>
      <c r="B32" s="11">
        <v>3000013</v>
      </c>
      <c r="C32" s="11" t="s">
        <v>0</v>
      </c>
      <c r="D32" s="20" t="str">
        <f>$AE$2</f>
        <v>Диагностика.CPU.NOT_LINK.noLink</v>
      </c>
      <c r="BF32" s="4"/>
      <c r="BG32" s="4"/>
      <c r="BH32" s="4"/>
      <c r="BI32" s="4"/>
    </row>
    <row r="33" spans="1:66" ht="15" customHeight="1">
      <c r="A33" s="19" t="str">
        <f t="shared" si="0"/>
        <v>FB_REG_S</v>
      </c>
      <c r="B33" s="11">
        <v>4000013</v>
      </c>
      <c r="C33" s="11" t="s">
        <v>0</v>
      </c>
      <c r="D33" s="20" t="s">
        <v>1770</v>
      </c>
      <c r="BF33" s="4"/>
      <c r="BG33" s="4"/>
      <c r="BH33" s="4"/>
      <c r="BI33" s="4"/>
    </row>
    <row r="34" spans="1:66" ht="15" customHeight="1">
      <c r="A34" s="21" t="str">
        <f t="shared" si="0"/>
        <v>FB_REG_S</v>
      </c>
      <c r="B34" s="8">
        <v>7000013</v>
      </c>
      <c r="C34" s="8" t="s">
        <v>6</v>
      </c>
      <c r="D34" s="22">
        <v>2</v>
      </c>
      <c r="BF34" s="4"/>
      <c r="BG34" s="4"/>
      <c r="BH34" s="4"/>
      <c r="BI34" s="4"/>
    </row>
    <row r="35" spans="1:66">
      <c r="A35" s="63" t="str">
        <f t="shared" ref="A35:A44" si="1">$R$2&amp;".ILCX"</f>
        <v>FB_REG_S.ILCX</v>
      </c>
      <c r="B35" s="64">
        <v>11154</v>
      </c>
      <c r="C35" s="64" t="s">
        <v>4</v>
      </c>
      <c r="D35" s="98">
        <f>$Q$6</f>
        <v>8</v>
      </c>
      <c r="BK35" s="4"/>
      <c r="BL35" s="4"/>
      <c r="BM35" s="4"/>
      <c r="BN35" s="4"/>
    </row>
    <row r="36" spans="1:66">
      <c r="A36" s="63" t="str">
        <f t="shared" si="1"/>
        <v>FB_REG_S.ILCX</v>
      </c>
      <c r="B36" s="64">
        <v>11150</v>
      </c>
      <c r="C36" s="64" t="s">
        <v>0</v>
      </c>
      <c r="D36" s="65" t="s">
        <v>188</v>
      </c>
      <c r="BK36" s="4"/>
      <c r="BL36" s="4"/>
      <c r="BM36" s="4"/>
      <c r="BN36" s="4"/>
    </row>
    <row r="37" spans="1:66">
      <c r="A37" s="63" t="str">
        <f t="shared" si="1"/>
        <v>FB_REG_S.ILCX</v>
      </c>
      <c r="B37" s="64">
        <v>11152</v>
      </c>
      <c r="C37" s="64" t="s">
        <v>0</v>
      </c>
      <c r="D37" s="99" t="str">
        <f>$R$6</f>
        <v>Предупреждение</v>
      </c>
      <c r="BK37" s="4"/>
      <c r="BL37" s="4"/>
      <c r="BM37" s="4"/>
      <c r="BN37" s="4"/>
    </row>
    <row r="38" spans="1:66">
      <c r="A38" s="63" t="str">
        <f t="shared" si="1"/>
        <v>FB_REG_S.ILCX</v>
      </c>
      <c r="B38" s="64">
        <v>11000</v>
      </c>
      <c r="C38" s="64" t="s">
        <v>5</v>
      </c>
      <c r="D38" s="65">
        <v>2147483680</v>
      </c>
      <c r="BK38" s="4"/>
      <c r="BL38" s="4"/>
      <c r="BM38" s="4"/>
      <c r="BN38" s="4"/>
    </row>
    <row r="39" spans="1:66">
      <c r="A39" s="19" t="str">
        <f t="shared" si="1"/>
        <v>FB_REG_S.ILCX</v>
      </c>
      <c r="B39" s="11">
        <v>7999</v>
      </c>
      <c r="C39" s="11" t="s">
        <v>0</v>
      </c>
      <c r="D39" s="20" t="str">
        <f>"#"&amp;$S$2&amp;"#"&amp;$T$2&amp;"\"&amp;$P$2&amp;"\ILCX"</f>
        <v>#1#treiOPCDA.CoOPCserv.1\pcmaster\REG_test\ILCX</v>
      </c>
      <c r="BK39" s="4"/>
      <c r="BL39" s="4"/>
      <c r="BM39" s="4"/>
      <c r="BN39" s="4"/>
    </row>
    <row r="40" spans="1:66">
      <c r="A40" s="19" t="str">
        <f t="shared" si="1"/>
        <v>FB_REG_S.ILCX</v>
      </c>
      <c r="B40" s="11">
        <v>7998</v>
      </c>
      <c r="C40" s="11" t="s">
        <v>6</v>
      </c>
      <c r="D40" s="20">
        <v>1</v>
      </c>
      <c r="BK40" s="4"/>
      <c r="BL40" s="4"/>
      <c r="BM40" s="4"/>
      <c r="BN40" s="4"/>
    </row>
    <row r="41" spans="1:66">
      <c r="A41" s="19" t="str">
        <f t="shared" si="1"/>
        <v>FB_REG_S.ILCX</v>
      </c>
      <c r="B41" s="11">
        <v>101</v>
      </c>
      <c r="C41" s="11" t="s">
        <v>0</v>
      </c>
      <c r="D41" s="20" t="s">
        <v>194</v>
      </c>
      <c r="BK41" s="4"/>
      <c r="BL41" s="4"/>
      <c r="BM41" s="4"/>
      <c r="BN41" s="4"/>
    </row>
    <row r="42" spans="1:66">
      <c r="A42" s="19" t="str">
        <f t="shared" si="1"/>
        <v>FB_REG_S.ILCX</v>
      </c>
      <c r="B42" s="11">
        <v>3</v>
      </c>
      <c r="C42" s="11" t="s">
        <v>1</v>
      </c>
      <c r="D42" s="20">
        <v>192</v>
      </c>
      <c r="BK42" s="4"/>
      <c r="BL42" s="4"/>
      <c r="BM42" s="4"/>
      <c r="BN42" s="4"/>
    </row>
    <row r="43" spans="1:66">
      <c r="A43" s="19" t="str">
        <f t="shared" si="1"/>
        <v>FB_REG_S.ILCX</v>
      </c>
      <c r="B43" s="11">
        <v>2</v>
      </c>
      <c r="C43" s="11" t="s">
        <v>2</v>
      </c>
      <c r="D43" s="20" t="s">
        <v>3</v>
      </c>
      <c r="BK43" s="4"/>
      <c r="BL43" s="4"/>
      <c r="BM43" s="4"/>
      <c r="BN43" s="4"/>
    </row>
    <row r="44" spans="1:66">
      <c r="A44" s="21" t="str">
        <f t="shared" si="1"/>
        <v>FB_REG_S.ILCX</v>
      </c>
      <c r="B44" s="8">
        <v>1</v>
      </c>
      <c r="C44" s="8" t="s">
        <v>1</v>
      </c>
      <c r="D44" s="22">
        <v>11</v>
      </c>
      <c r="BK44" s="4"/>
      <c r="BL44" s="4"/>
      <c r="BM44" s="4"/>
      <c r="BN44" s="4"/>
    </row>
    <row r="45" spans="1:66">
      <c r="A45" s="69" t="str">
        <f>$R$2&amp;".CBXX"</f>
        <v>FB_REG_S.CBXX</v>
      </c>
      <c r="B45" s="70">
        <v>11154</v>
      </c>
      <c r="C45" s="70" t="s">
        <v>4</v>
      </c>
      <c r="D45" s="144">
        <f>$Q$6</f>
        <v>8</v>
      </c>
      <c r="BK45" s="4"/>
      <c r="BL45" s="4"/>
      <c r="BM45" s="4"/>
      <c r="BN45" s="4"/>
    </row>
    <row r="46" spans="1:66">
      <c r="A46" s="63" t="str">
        <f t="shared" ref="A46:A54" si="2">$R$2&amp;".CBXX"</f>
        <v>FB_REG_S.CBXX</v>
      </c>
      <c r="B46" s="64">
        <v>11150</v>
      </c>
      <c r="C46" s="64" t="s">
        <v>0</v>
      </c>
      <c r="D46" s="65" t="s">
        <v>2754</v>
      </c>
      <c r="BK46" s="4"/>
      <c r="BL46" s="4"/>
      <c r="BM46" s="4"/>
      <c r="BN46" s="4"/>
    </row>
    <row r="47" spans="1:66">
      <c r="A47" s="63" t="str">
        <f t="shared" si="2"/>
        <v>FB_REG_S.CBXX</v>
      </c>
      <c r="B47" s="64">
        <v>11152</v>
      </c>
      <c r="C47" s="64" t="s">
        <v>0</v>
      </c>
      <c r="D47" s="99" t="str">
        <f>$R$6</f>
        <v>Предупреждение</v>
      </c>
      <c r="BK47" s="4"/>
      <c r="BL47" s="4"/>
      <c r="BM47" s="4"/>
      <c r="BN47" s="4"/>
    </row>
    <row r="48" spans="1:66">
      <c r="A48" s="63" t="str">
        <f t="shared" si="2"/>
        <v>FB_REG_S.CBXX</v>
      </c>
      <c r="B48" s="64">
        <v>11000</v>
      </c>
      <c r="C48" s="64" t="s">
        <v>5</v>
      </c>
      <c r="D48" s="65">
        <v>2147483680</v>
      </c>
      <c r="BK48" s="4"/>
      <c r="BL48" s="4"/>
      <c r="BM48" s="4"/>
      <c r="BN48" s="4"/>
    </row>
    <row r="49" spans="1:66">
      <c r="A49" s="19" t="str">
        <f t="shared" si="2"/>
        <v>FB_REG_S.CBXX</v>
      </c>
      <c r="B49" s="11">
        <v>7999</v>
      </c>
      <c r="C49" s="11" t="s">
        <v>0</v>
      </c>
      <c r="D49" s="20" t="str">
        <f>"#"&amp;$S$2&amp;"#"&amp;$T$2&amp;"\"&amp;$P$2&amp;"\CBXX"</f>
        <v>#1#treiOPCDA.CoOPCserv.1\pcmaster\REG_test\CBXX</v>
      </c>
      <c r="BK49" s="4"/>
      <c r="BL49" s="4"/>
      <c r="BM49" s="4"/>
      <c r="BN49" s="4"/>
    </row>
    <row r="50" spans="1:66">
      <c r="A50" s="19" t="str">
        <f t="shared" si="2"/>
        <v>FB_REG_S.CBXX</v>
      </c>
      <c r="B50" s="11">
        <v>7998</v>
      </c>
      <c r="C50" s="11" t="s">
        <v>6</v>
      </c>
      <c r="D50" s="20">
        <v>1</v>
      </c>
      <c r="BK50" s="4"/>
      <c r="BL50" s="4"/>
      <c r="BM50" s="4"/>
      <c r="BN50" s="4"/>
    </row>
    <row r="51" spans="1:66">
      <c r="A51" s="19" t="str">
        <f t="shared" si="2"/>
        <v>FB_REG_S.CBXX</v>
      </c>
      <c r="B51" s="11">
        <v>101</v>
      </c>
      <c r="C51" s="11" t="s">
        <v>0</v>
      </c>
      <c r="D51" s="20" t="s">
        <v>2754</v>
      </c>
      <c r="BK51" s="4"/>
      <c r="BL51" s="4"/>
      <c r="BM51" s="4"/>
      <c r="BN51" s="4"/>
    </row>
    <row r="52" spans="1:66">
      <c r="A52" s="19" t="str">
        <f t="shared" si="2"/>
        <v>FB_REG_S.CBXX</v>
      </c>
      <c r="B52" s="11">
        <v>3</v>
      </c>
      <c r="C52" s="11" t="s">
        <v>1</v>
      </c>
      <c r="D52" s="20">
        <v>192</v>
      </c>
      <c r="BK52" s="4"/>
      <c r="BL52" s="4"/>
      <c r="BM52" s="4"/>
      <c r="BN52" s="4"/>
    </row>
    <row r="53" spans="1:66">
      <c r="A53" s="19" t="str">
        <f t="shared" si="2"/>
        <v>FB_REG_S.CBXX</v>
      </c>
      <c r="B53" s="11">
        <v>2</v>
      </c>
      <c r="C53" s="11" t="s">
        <v>2</v>
      </c>
      <c r="D53" s="20" t="s">
        <v>3</v>
      </c>
      <c r="BK53" s="4"/>
      <c r="BL53" s="4"/>
      <c r="BM53" s="4"/>
      <c r="BN53" s="4"/>
    </row>
    <row r="54" spans="1:66">
      <c r="A54" s="21" t="str">
        <f t="shared" si="2"/>
        <v>FB_REG_S.CBXX</v>
      </c>
      <c r="B54" s="8">
        <v>1</v>
      </c>
      <c r="C54" s="8" t="s">
        <v>1</v>
      </c>
      <c r="D54" s="22">
        <v>11</v>
      </c>
      <c r="BK54" s="4"/>
      <c r="BL54" s="4"/>
      <c r="BM54" s="4"/>
      <c r="BN54" s="4"/>
    </row>
    <row r="55" spans="1:66">
      <c r="A55" s="69" t="str">
        <f>$R$2&amp;".CEXX"</f>
        <v>FB_REG_S.CEXX</v>
      </c>
      <c r="B55" s="70">
        <v>11154</v>
      </c>
      <c r="C55" s="70" t="s">
        <v>4</v>
      </c>
      <c r="D55" s="144">
        <f>$Q$6</f>
        <v>8</v>
      </c>
      <c r="BK55" s="4"/>
      <c r="BL55" s="4"/>
      <c r="BM55" s="4"/>
      <c r="BN55" s="4"/>
    </row>
    <row r="56" spans="1:66">
      <c r="A56" s="63" t="str">
        <f t="shared" ref="A56:A64" si="3">$R$2&amp;".CEXX"</f>
        <v>FB_REG_S.CEXX</v>
      </c>
      <c r="B56" s="64">
        <v>11150</v>
      </c>
      <c r="C56" s="64" t="s">
        <v>0</v>
      </c>
      <c r="D56" s="65" t="s">
        <v>2753</v>
      </c>
      <c r="BK56" s="4"/>
      <c r="BL56" s="4"/>
      <c r="BM56" s="4"/>
      <c r="BN56" s="4"/>
    </row>
    <row r="57" spans="1:66">
      <c r="A57" s="63" t="str">
        <f t="shared" si="3"/>
        <v>FB_REG_S.CEXX</v>
      </c>
      <c r="B57" s="64">
        <v>11152</v>
      </c>
      <c r="C57" s="64" t="s">
        <v>0</v>
      </c>
      <c r="D57" s="99" t="str">
        <f>$R$6</f>
        <v>Предупреждение</v>
      </c>
      <c r="BK57" s="4"/>
      <c r="BL57" s="4"/>
      <c r="BM57" s="4"/>
      <c r="BN57" s="4"/>
    </row>
    <row r="58" spans="1:66">
      <c r="A58" s="63" t="str">
        <f t="shared" si="3"/>
        <v>FB_REG_S.CEXX</v>
      </c>
      <c r="B58" s="64">
        <v>11000</v>
      </c>
      <c r="C58" s="64" t="s">
        <v>5</v>
      </c>
      <c r="D58" s="65">
        <v>2147483680</v>
      </c>
      <c r="BK58" s="4"/>
      <c r="BL58" s="4"/>
      <c r="BM58" s="4"/>
      <c r="BN58" s="4"/>
    </row>
    <row r="59" spans="1:66">
      <c r="A59" s="19" t="str">
        <f t="shared" si="3"/>
        <v>FB_REG_S.CEXX</v>
      </c>
      <c r="B59" s="11">
        <v>7999</v>
      </c>
      <c r="C59" s="11" t="s">
        <v>0</v>
      </c>
      <c r="D59" s="20" t="str">
        <f>"#"&amp;$S$2&amp;"#"&amp;$T$2&amp;"\"&amp;$P$2&amp;"\CEXX"</f>
        <v>#1#treiOPCDA.CoOPCserv.1\pcmaster\REG_test\CEXX</v>
      </c>
      <c r="BK59" s="4"/>
      <c r="BL59" s="4"/>
      <c r="BM59" s="4"/>
      <c r="BN59" s="4"/>
    </row>
    <row r="60" spans="1:66">
      <c r="A60" s="19" t="str">
        <f t="shared" si="3"/>
        <v>FB_REG_S.CEXX</v>
      </c>
      <c r="B60" s="11">
        <v>7998</v>
      </c>
      <c r="C60" s="11" t="s">
        <v>6</v>
      </c>
      <c r="D60" s="20">
        <v>1</v>
      </c>
      <c r="BK60" s="4"/>
      <c r="BL60" s="4"/>
      <c r="BM60" s="4"/>
      <c r="BN60" s="4"/>
    </row>
    <row r="61" spans="1:66">
      <c r="A61" s="19" t="str">
        <f t="shared" si="3"/>
        <v>FB_REG_S.CEXX</v>
      </c>
      <c r="B61" s="11">
        <v>101</v>
      </c>
      <c r="C61" s="11" t="s">
        <v>0</v>
      </c>
      <c r="D61" s="20" t="s">
        <v>2753</v>
      </c>
      <c r="BK61" s="4"/>
      <c r="BL61" s="4"/>
      <c r="BM61" s="4"/>
      <c r="BN61" s="4"/>
    </row>
    <row r="62" spans="1:66">
      <c r="A62" s="19" t="str">
        <f t="shared" si="3"/>
        <v>FB_REG_S.CEXX</v>
      </c>
      <c r="B62" s="11">
        <v>3</v>
      </c>
      <c r="C62" s="11" t="s">
        <v>1</v>
      </c>
      <c r="D62" s="20">
        <v>192</v>
      </c>
      <c r="BK62" s="4"/>
      <c r="BL62" s="4"/>
      <c r="BM62" s="4"/>
      <c r="BN62" s="4"/>
    </row>
    <row r="63" spans="1:66">
      <c r="A63" s="19" t="str">
        <f t="shared" si="3"/>
        <v>FB_REG_S.CEXX</v>
      </c>
      <c r="B63" s="11">
        <v>2</v>
      </c>
      <c r="C63" s="11" t="s">
        <v>2</v>
      </c>
      <c r="D63" s="20" t="s">
        <v>3</v>
      </c>
      <c r="BK63" s="4"/>
      <c r="BL63" s="4"/>
      <c r="BM63" s="4"/>
      <c r="BN63" s="4"/>
    </row>
    <row r="64" spans="1:66">
      <c r="A64" s="21" t="str">
        <f t="shared" si="3"/>
        <v>FB_REG_S.CEXX</v>
      </c>
      <c r="B64" s="8">
        <v>1</v>
      </c>
      <c r="C64" s="8" t="s">
        <v>1</v>
      </c>
      <c r="D64" s="22">
        <v>11</v>
      </c>
      <c r="BK64" s="4"/>
      <c r="BL64" s="4"/>
      <c r="BM64" s="4"/>
      <c r="BN64" s="4"/>
    </row>
    <row r="65" spans="1:66">
      <c r="A65" s="69" t="str">
        <f t="shared" ref="A65:A74" si="4">$R$2&amp;".XMMX"</f>
        <v>FB_REG_S.XMMX</v>
      </c>
      <c r="B65" s="70">
        <v>11154</v>
      </c>
      <c r="C65" s="70" t="s">
        <v>4</v>
      </c>
      <c r="D65" s="144">
        <f>$Q$6</f>
        <v>8</v>
      </c>
      <c r="BK65" s="4"/>
      <c r="BL65" s="4"/>
      <c r="BM65" s="4"/>
      <c r="BN65" s="4"/>
    </row>
    <row r="66" spans="1:66">
      <c r="A66" s="63" t="str">
        <f t="shared" si="4"/>
        <v>FB_REG_S.XMMX</v>
      </c>
      <c r="B66" s="64">
        <v>11150</v>
      </c>
      <c r="C66" s="64" t="s">
        <v>0</v>
      </c>
      <c r="D66" s="65" t="s">
        <v>134</v>
      </c>
      <c r="BK66" s="4"/>
      <c r="BL66" s="4"/>
      <c r="BM66" s="4"/>
      <c r="BN66" s="4"/>
    </row>
    <row r="67" spans="1:66">
      <c r="A67" s="63" t="str">
        <f t="shared" si="4"/>
        <v>FB_REG_S.XMMX</v>
      </c>
      <c r="B67" s="64">
        <v>11152</v>
      </c>
      <c r="C67" s="64" t="s">
        <v>0</v>
      </c>
      <c r="D67" s="99" t="str">
        <f>$R$6</f>
        <v>Предупреждение</v>
      </c>
      <c r="BK67" s="4"/>
      <c r="BL67" s="4"/>
      <c r="BM67" s="4"/>
      <c r="BN67" s="4"/>
    </row>
    <row r="68" spans="1:66">
      <c r="A68" s="63" t="str">
        <f t="shared" si="4"/>
        <v>FB_REG_S.XMMX</v>
      </c>
      <c r="B68" s="64">
        <v>11000</v>
      </c>
      <c r="C68" s="64" t="s">
        <v>5</v>
      </c>
      <c r="D68" s="65">
        <v>2147483680</v>
      </c>
      <c r="BK68" s="4"/>
      <c r="BL68" s="4"/>
      <c r="BM68" s="4"/>
      <c r="BN68" s="4"/>
    </row>
    <row r="69" spans="1:66">
      <c r="A69" s="19" t="str">
        <f t="shared" si="4"/>
        <v>FB_REG_S.XMMX</v>
      </c>
      <c r="B69" s="11">
        <v>7999</v>
      </c>
      <c r="C69" s="11" t="s">
        <v>0</v>
      </c>
      <c r="D69" s="20" t="str">
        <f>"#"&amp;$S$2&amp;"#"&amp;$T$2&amp;"\"&amp;$P$2&amp;"\XMMX"</f>
        <v>#1#treiOPCDA.CoOPCserv.1\pcmaster\REG_test\XMMX</v>
      </c>
      <c r="BK69" s="4"/>
      <c r="BL69" s="4"/>
      <c r="BM69" s="4"/>
      <c r="BN69" s="4"/>
    </row>
    <row r="70" spans="1:66">
      <c r="A70" s="19" t="str">
        <f t="shared" si="4"/>
        <v>FB_REG_S.XMMX</v>
      </c>
      <c r="B70" s="11">
        <v>7998</v>
      </c>
      <c r="C70" s="11" t="s">
        <v>6</v>
      </c>
      <c r="D70" s="20">
        <v>1</v>
      </c>
      <c r="BK70" s="4"/>
      <c r="BL70" s="4"/>
      <c r="BM70" s="4"/>
      <c r="BN70" s="4"/>
    </row>
    <row r="71" spans="1:66">
      <c r="A71" s="19" t="str">
        <f t="shared" si="4"/>
        <v>FB_REG_S.XMMX</v>
      </c>
      <c r="B71" s="11">
        <v>101</v>
      </c>
      <c r="C71" s="11" t="s">
        <v>0</v>
      </c>
      <c r="D71" s="20" t="s">
        <v>199</v>
      </c>
      <c r="BK71" s="4"/>
      <c r="BL71" s="4"/>
      <c r="BM71" s="4"/>
      <c r="BN71" s="4"/>
    </row>
    <row r="72" spans="1:66">
      <c r="A72" s="19" t="str">
        <f t="shared" si="4"/>
        <v>FB_REG_S.XMMX</v>
      </c>
      <c r="B72" s="11">
        <v>3</v>
      </c>
      <c r="C72" s="11" t="s">
        <v>1</v>
      </c>
      <c r="D72" s="20">
        <v>192</v>
      </c>
      <c r="BK72" s="4"/>
      <c r="BL72" s="4"/>
      <c r="BM72" s="4"/>
      <c r="BN72" s="4"/>
    </row>
    <row r="73" spans="1:66">
      <c r="A73" s="19" t="str">
        <f t="shared" si="4"/>
        <v>FB_REG_S.XMMX</v>
      </c>
      <c r="B73" s="11">
        <v>2</v>
      </c>
      <c r="C73" s="11" t="s">
        <v>2</v>
      </c>
      <c r="D73" s="20" t="s">
        <v>3</v>
      </c>
      <c r="BK73" s="4"/>
      <c r="BL73" s="4"/>
      <c r="BM73" s="4"/>
      <c r="BN73" s="4"/>
    </row>
    <row r="74" spans="1:66">
      <c r="A74" s="21" t="str">
        <f t="shared" si="4"/>
        <v>FB_REG_S.XMMX</v>
      </c>
      <c r="B74" s="8">
        <v>1</v>
      </c>
      <c r="C74" s="8" t="s">
        <v>1</v>
      </c>
      <c r="D74" s="22">
        <v>11</v>
      </c>
      <c r="BK74" s="4"/>
      <c r="BL74" s="4"/>
      <c r="BM74" s="4"/>
      <c r="BN74" s="4"/>
    </row>
    <row r="75" spans="1:66">
      <c r="A75" s="217" t="str">
        <f t="shared" ref="A75:A84" si="5">$R$2&amp;".IFXX"</f>
        <v>FB_REG_S.IFXX</v>
      </c>
      <c r="B75" s="218">
        <v>11154</v>
      </c>
      <c r="C75" s="218" t="s">
        <v>4</v>
      </c>
      <c r="D75" s="219">
        <f>$Q$7</f>
        <v>12</v>
      </c>
      <c r="BK75" s="4"/>
      <c r="BL75" s="4"/>
      <c r="BM75" s="4"/>
      <c r="BN75" s="4"/>
    </row>
    <row r="76" spans="1:66">
      <c r="A76" s="211" t="str">
        <f t="shared" si="5"/>
        <v>FB_REG_S.IFXX</v>
      </c>
      <c r="B76" s="212">
        <v>11150</v>
      </c>
      <c r="C76" s="212" t="s">
        <v>0</v>
      </c>
      <c r="D76" s="213" t="s">
        <v>110</v>
      </c>
      <c r="BK76" s="4"/>
      <c r="BL76" s="4"/>
      <c r="BM76" s="4"/>
      <c r="BN76" s="4"/>
    </row>
    <row r="77" spans="1:66">
      <c r="A77" s="211" t="str">
        <f t="shared" si="5"/>
        <v>FB_REG_S.IFXX</v>
      </c>
      <c r="B77" s="212">
        <v>11152</v>
      </c>
      <c r="C77" s="212" t="s">
        <v>0</v>
      </c>
      <c r="D77" s="220" t="str">
        <f>$R$7</f>
        <v>Неисправность</v>
      </c>
      <c r="BK77" s="4"/>
      <c r="BL77" s="4"/>
      <c r="BM77" s="4"/>
      <c r="BN77" s="4"/>
    </row>
    <row r="78" spans="1:66">
      <c r="A78" s="211" t="str">
        <f t="shared" si="5"/>
        <v>FB_REG_S.IFXX</v>
      </c>
      <c r="B78" s="212">
        <v>11000</v>
      </c>
      <c r="C78" s="212" t="s">
        <v>5</v>
      </c>
      <c r="D78" s="213">
        <v>2147483680</v>
      </c>
      <c r="BK78" s="4"/>
      <c r="BL78" s="4"/>
      <c r="BM78" s="4"/>
      <c r="BN78" s="4"/>
    </row>
    <row r="79" spans="1:66">
      <c r="A79" s="19" t="str">
        <f t="shared" si="5"/>
        <v>FB_REG_S.IFXX</v>
      </c>
      <c r="B79" s="11">
        <v>7999</v>
      </c>
      <c r="C79" s="11" t="s">
        <v>0</v>
      </c>
      <c r="D79" s="20" t="str">
        <f>"#"&amp;$S$2&amp;"#"&amp;$T$2&amp;"\"&amp;$P$2&amp;"\IFXX"</f>
        <v>#1#treiOPCDA.CoOPCserv.1\pcmaster\REG_test\IFXX</v>
      </c>
      <c r="BK79" s="4"/>
      <c r="BL79" s="4"/>
      <c r="BM79" s="4"/>
      <c r="BN79" s="4"/>
    </row>
    <row r="80" spans="1:66">
      <c r="A80" s="19" t="str">
        <f t="shared" si="5"/>
        <v>FB_REG_S.IFXX</v>
      </c>
      <c r="B80" s="11">
        <v>7998</v>
      </c>
      <c r="C80" s="11" t="s">
        <v>6</v>
      </c>
      <c r="D80" s="20">
        <v>1</v>
      </c>
      <c r="BK80" s="4"/>
      <c r="BL80" s="4"/>
      <c r="BM80" s="4"/>
      <c r="BN80" s="4"/>
    </row>
    <row r="81" spans="1:66">
      <c r="A81" s="19" t="str">
        <f t="shared" si="5"/>
        <v>FB_REG_S.IFXX</v>
      </c>
      <c r="B81" s="11">
        <v>101</v>
      </c>
      <c r="C81" s="11" t="s">
        <v>0</v>
      </c>
      <c r="D81" s="20" t="s">
        <v>195</v>
      </c>
      <c r="BK81" s="4"/>
      <c r="BL81" s="4"/>
      <c r="BM81" s="4"/>
      <c r="BN81" s="4"/>
    </row>
    <row r="82" spans="1:66">
      <c r="A82" s="19" t="str">
        <f t="shared" si="5"/>
        <v>FB_REG_S.IFXX</v>
      </c>
      <c r="B82" s="11">
        <v>3</v>
      </c>
      <c r="C82" s="11" t="s">
        <v>1</v>
      </c>
      <c r="D82" s="20">
        <v>192</v>
      </c>
      <c r="BK82" s="4"/>
      <c r="BL82" s="4"/>
      <c r="BM82" s="4"/>
      <c r="BN82" s="4"/>
    </row>
    <row r="83" spans="1:66">
      <c r="A83" s="19" t="str">
        <f t="shared" si="5"/>
        <v>FB_REG_S.IFXX</v>
      </c>
      <c r="B83" s="11">
        <v>2</v>
      </c>
      <c r="C83" s="11" t="s">
        <v>2</v>
      </c>
      <c r="D83" s="20" t="s">
        <v>3</v>
      </c>
      <c r="BK83" s="4"/>
      <c r="BL83" s="4"/>
      <c r="BM83" s="4"/>
      <c r="BN83" s="4"/>
    </row>
    <row r="84" spans="1:66">
      <c r="A84" s="21" t="str">
        <f t="shared" si="5"/>
        <v>FB_REG_S.IFXX</v>
      </c>
      <c r="B84" s="8">
        <v>1</v>
      </c>
      <c r="C84" s="8" t="s">
        <v>1</v>
      </c>
      <c r="D84" s="22">
        <v>11</v>
      </c>
      <c r="BK84" s="4"/>
      <c r="BL84" s="4"/>
      <c r="BM84" s="4"/>
      <c r="BN84" s="4"/>
    </row>
    <row r="85" spans="1:66">
      <c r="A85" s="217" t="str">
        <f t="shared" ref="A85:A94" si="6">$R$2&amp;".FSCX"</f>
        <v>FB_REG_S.FSCX</v>
      </c>
      <c r="B85" s="218">
        <v>11154</v>
      </c>
      <c r="C85" s="218" t="s">
        <v>4</v>
      </c>
      <c r="D85" s="219">
        <f>$Q$7</f>
        <v>12</v>
      </c>
      <c r="BK85" s="4"/>
      <c r="BL85" s="4"/>
      <c r="BM85" s="4"/>
      <c r="BN85" s="4"/>
    </row>
    <row r="86" spans="1:66">
      <c r="A86" s="211" t="str">
        <f t="shared" si="6"/>
        <v>FB_REG_S.FSCX</v>
      </c>
      <c r="B86" s="212">
        <v>11150</v>
      </c>
      <c r="C86" s="212" t="s">
        <v>0</v>
      </c>
      <c r="D86" s="213" t="s">
        <v>2750</v>
      </c>
      <c r="BK86" s="4"/>
      <c r="BL86" s="4"/>
      <c r="BM86" s="4"/>
      <c r="BN86" s="4"/>
    </row>
    <row r="87" spans="1:66">
      <c r="A87" s="211" t="str">
        <f t="shared" si="6"/>
        <v>FB_REG_S.FSCX</v>
      </c>
      <c r="B87" s="212">
        <v>11152</v>
      </c>
      <c r="C87" s="212" t="s">
        <v>0</v>
      </c>
      <c r="D87" s="220" t="str">
        <f>$R$7</f>
        <v>Неисправность</v>
      </c>
      <c r="BK87" s="4"/>
      <c r="BL87" s="4"/>
      <c r="BM87" s="4"/>
      <c r="BN87" s="4"/>
    </row>
    <row r="88" spans="1:66">
      <c r="A88" s="211" t="str">
        <f t="shared" si="6"/>
        <v>FB_REG_S.FSCX</v>
      </c>
      <c r="B88" s="212">
        <v>11000</v>
      </c>
      <c r="C88" s="212" t="s">
        <v>5</v>
      </c>
      <c r="D88" s="213">
        <v>2147483680</v>
      </c>
      <c r="BK88" s="4"/>
      <c r="BL88" s="4"/>
      <c r="BM88" s="4"/>
      <c r="BN88" s="4"/>
    </row>
    <row r="89" spans="1:66">
      <c r="A89" s="19" t="str">
        <f t="shared" si="6"/>
        <v>FB_REG_S.FSCX</v>
      </c>
      <c r="B89" s="11">
        <v>7999</v>
      </c>
      <c r="C89" s="11" t="s">
        <v>0</v>
      </c>
      <c r="D89" s="20" t="str">
        <f>"#"&amp;$S$2&amp;"#"&amp;$T$2&amp;"\"&amp;$P$2&amp;"\FSCX"</f>
        <v>#1#treiOPCDA.CoOPCserv.1\pcmaster\REG_test\FSCX</v>
      </c>
      <c r="BK89" s="4"/>
      <c r="BL89" s="4"/>
      <c r="BM89" s="4"/>
      <c r="BN89" s="4"/>
    </row>
    <row r="90" spans="1:66">
      <c r="A90" s="19" t="str">
        <f t="shared" si="6"/>
        <v>FB_REG_S.FSCX</v>
      </c>
      <c r="B90" s="11">
        <v>7998</v>
      </c>
      <c r="C90" s="11" t="s">
        <v>6</v>
      </c>
      <c r="D90" s="20">
        <v>1</v>
      </c>
      <c r="BK90" s="4"/>
      <c r="BL90" s="4"/>
      <c r="BM90" s="4"/>
      <c r="BN90" s="4"/>
    </row>
    <row r="91" spans="1:66">
      <c r="A91" s="19" t="str">
        <f t="shared" si="6"/>
        <v>FB_REG_S.FSCX</v>
      </c>
      <c r="B91" s="11">
        <v>101</v>
      </c>
      <c r="C91" s="11" t="s">
        <v>0</v>
      </c>
      <c r="D91" s="20" t="s">
        <v>2750</v>
      </c>
      <c r="BK91" s="4"/>
      <c r="BL91" s="4"/>
      <c r="BM91" s="4"/>
      <c r="BN91" s="4"/>
    </row>
    <row r="92" spans="1:66">
      <c r="A92" s="19" t="str">
        <f t="shared" si="6"/>
        <v>FB_REG_S.FSCX</v>
      </c>
      <c r="B92" s="11">
        <v>3</v>
      </c>
      <c r="C92" s="11" t="s">
        <v>1</v>
      </c>
      <c r="D92" s="20">
        <v>192</v>
      </c>
      <c r="BK92" s="4"/>
      <c r="BL92" s="4"/>
      <c r="BM92" s="4"/>
      <c r="BN92" s="4"/>
    </row>
    <row r="93" spans="1:66">
      <c r="A93" s="19" t="str">
        <f t="shared" si="6"/>
        <v>FB_REG_S.FSCX</v>
      </c>
      <c r="B93" s="11">
        <v>2</v>
      </c>
      <c r="C93" s="11" t="s">
        <v>2</v>
      </c>
      <c r="D93" s="20" t="s">
        <v>3</v>
      </c>
      <c r="BK93" s="4"/>
      <c r="BL93" s="4"/>
      <c r="BM93" s="4"/>
      <c r="BN93" s="4"/>
    </row>
    <row r="94" spans="1:66">
      <c r="A94" s="21" t="str">
        <f t="shared" si="6"/>
        <v>FB_REG_S.FSCX</v>
      </c>
      <c r="B94" s="8">
        <v>1</v>
      </c>
      <c r="C94" s="8" t="s">
        <v>1</v>
      </c>
      <c r="D94" s="22">
        <v>11</v>
      </c>
      <c r="BK94" s="4"/>
      <c r="BL94" s="4"/>
      <c r="BM94" s="4"/>
      <c r="BN94" s="4"/>
    </row>
    <row r="95" spans="1:66">
      <c r="A95" s="217" t="str">
        <f t="shared" ref="A95:A104" si="7">$R$2&amp;".FBXX"</f>
        <v>FB_REG_S.FBXX</v>
      </c>
      <c r="B95" s="218">
        <v>11154</v>
      </c>
      <c r="C95" s="218" t="s">
        <v>4</v>
      </c>
      <c r="D95" s="219">
        <f>$Q$7</f>
        <v>12</v>
      </c>
      <c r="BK95" s="4"/>
      <c r="BL95" s="4"/>
      <c r="BM95" s="4"/>
      <c r="BN95" s="4"/>
    </row>
    <row r="96" spans="1:66">
      <c r="A96" s="211" t="str">
        <f t="shared" si="7"/>
        <v>FB_REG_S.FBXX</v>
      </c>
      <c r="B96" s="212">
        <v>11150</v>
      </c>
      <c r="C96" s="212" t="s">
        <v>0</v>
      </c>
      <c r="D96" s="213" t="s">
        <v>2751</v>
      </c>
      <c r="BK96" s="4"/>
      <c r="BL96" s="4"/>
      <c r="BM96" s="4"/>
      <c r="BN96" s="4"/>
    </row>
    <row r="97" spans="1:66">
      <c r="A97" s="211" t="str">
        <f t="shared" si="7"/>
        <v>FB_REG_S.FBXX</v>
      </c>
      <c r="B97" s="212">
        <v>11152</v>
      </c>
      <c r="C97" s="212" t="s">
        <v>0</v>
      </c>
      <c r="D97" s="220" t="str">
        <f>$R$7</f>
        <v>Неисправность</v>
      </c>
      <c r="BK97" s="4"/>
      <c r="BL97" s="4"/>
      <c r="BM97" s="4"/>
      <c r="BN97" s="4"/>
    </row>
    <row r="98" spans="1:66">
      <c r="A98" s="211" t="str">
        <f t="shared" si="7"/>
        <v>FB_REG_S.FBXX</v>
      </c>
      <c r="B98" s="212">
        <v>11000</v>
      </c>
      <c r="C98" s="212" t="s">
        <v>5</v>
      </c>
      <c r="D98" s="213">
        <v>2147483680</v>
      </c>
      <c r="BK98" s="4"/>
      <c r="BL98" s="4"/>
      <c r="BM98" s="4"/>
      <c r="BN98" s="4"/>
    </row>
    <row r="99" spans="1:66">
      <c r="A99" s="19" t="str">
        <f t="shared" si="7"/>
        <v>FB_REG_S.FBXX</v>
      </c>
      <c r="B99" s="11">
        <v>7999</v>
      </c>
      <c r="C99" s="11" t="s">
        <v>0</v>
      </c>
      <c r="D99" s="20" t="str">
        <f>"#"&amp;$S$2&amp;"#"&amp;$T$2&amp;"\"&amp;$P$2&amp;"\FBXX"</f>
        <v>#1#treiOPCDA.CoOPCserv.1\pcmaster\REG_test\FBXX</v>
      </c>
      <c r="BK99" s="4"/>
      <c r="BL99" s="4"/>
      <c r="BM99" s="4"/>
      <c r="BN99" s="4"/>
    </row>
    <row r="100" spans="1:66">
      <c r="A100" s="19" t="str">
        <f t="shared" si="7"/>
        <v>FB_REG_S.FBXX</v>
      </c>
      <c r="B100" s="11">
        <v>7998</v>
      </c>
      <c r="C100" s="11" t="s">
        <v>6</v>
      </c>
      <c r="D100" s="20">
        <v>1</v>
      </c>
      <c r="BK100" s="4"/>
      <c r="BL100" s="4"/>
      <c r="BM100" s="4"/>
      <c r="BN100" s="4"/>
    </row>
    <row r="101" spans="1:66">
      <c r="A101" s="19" t="str">
        <f t="shared" si="7"/>
        <v>FB_REG_S.FBXX</v>
      </c>
      <c r="B101" s="11">
        <v>101</v>
      </c>
      <c r="C101" s="11" t="s">
        <v>0</v>
      </c>
      <c r="D101" s="20" t="s">
        <v>2751</v>
      </c>
      <c r="BK101" s="4"/>
      <c r="BL101" s="4"/>
      <c r="BM101" s="4"/>
      <c r="BN101" s="4"/>
    </row>
    <row r="102" spans="1:66">
      <c r="A102" s="19" t="str">
        <f t="shared" si="7"/>
        <v>FB_REG_S.FBXX</v>
      </c>
      <c r="B102" s="11">
        <v>3</v>
      </c>
      <c r="C102" s="11" t="s">
        <v>1</v>
      </c>
      <c r="D102" s="20">
        <v>192</v>
      </c>
      <c r="BK102" s="4"/>
      <c r="BL102" s="4"/>
      <c r="BM102" s="4"/>
      <c r="BN102" s="4"/>
    </row>
    <row r="103" spans="1:66">
      <c r="A103" s="19" t="str">
        <f t="shared" si="7"/>
        <v>FB_REG_S.FBXX</v>
      </c>
      <c r="B103" s="11">
        <v>2</v>
      </c>
      <c r="C103" s="11" t="s">
        <v>2</v>
      </c>
      <c r="D103" s="20" t="s">
        <v>3</v>
      </c>
      <c r="BK103" s="4"/>
      <c r="BL103" s="4"/>
      <c r="BM103" s="4"/>
      <c r="BN103" s="4"/>
    </row>
    <row r="104" spans="1:66">
      <c r="A104" s="21" t="str">
        <f t="shared" si="7"/>
        <v>FB_REG_S.FBXX</v>
      </c>
      <c r="B104" s="8">
        <v>1</v>
      </c>
      <c r="C104" s="8" t="s">
        <v>1</v>
      </c>
      <c r="D104" s="22">
        <v>11</v>
      </c>
      <c r="BK104" s="4"/>
      <c r="BL104" s="4"/>
      <c r="BM104" s="4"/>
      <c r="BN104" s="4"/>
    </row>
    <row r="105" spans="1:66">
      <c r="A105" s="217" t="str">
        <f t="shared" ref="A105:A114" si="8">$R$2&amp;".FMVX"</f>
        <v>FB_REG_S.FMVX</v>
      </c>
      <c r="B105" s="218">
        <v>11154</v>
      </c>
      <c r="C105" s="218" t="s">
        <v>4</v>
      </c>
      <c r="D105" s="219">
        <f>$Q$7</f>
        <v>12</v>
      </c>
      <c r="BK105" s="4"/>
      <c r="BL105" s="4"/>
      <c r="BM105" s="4"/>
      <c r="BN105" s="4"/>
    </row>
    <row r="106" spans="1:66">
      <c r="A106" s="211" t="str">
        <f t="shared" si="8"/>
        <v>FB_REG_S.FMVX</v>
      </c>
      <c r="B106" s="212">
        <v>11150</v>
      </c>
      <c r="C106" s="212" t="s">
        <v>0</v>
      </c>
      <c r="D106" s="213" t="s">
        <v>198</v>
      </c>
      <c r="BK106" s="4"/>
      <c r="BL106" s="4"/>
      <c r="BM106" s="4"/>
      <c r="BN106" s="4"/>
    </row>
    <row r="107" spans="1:66">
      <c r="A107" s="211" t="str">
        <f t="shared" si="8"/>
        <v>FB_REG_S.FMVX</v>
      </c>
      <c r="B107" s="212">
        <v>11152</v>
      </c>
      <c r="C107" s="212" t="s">
        <v>0</v>
      </c>
      <c r="D107" s="220" t="str">
        <f>$R$7</f>
        <v>Неисправность</v>
      </c>
      <c r="BK107" s="4"/>
      <c r="BL107" s="4"/>
      <c r="BM107" s="4"/>
      <c r="BN107" s="4"/>
    </row>
    <row r="108" spans="1:66">
      <c r="A108" s="211" t="str">
        <f t="shared" si="8"/>
        <v>FB_REG_S.FMVX</v>
      </c>
      <c r="B108" s="212">
        <v>11000</v>
      </c>
      <c r="C108" s="212" t="s">
        <v>5</v>
      </c>
      <c r="D108" s="213">
        <v>2147483680</v>
      </c>
      <c r="BK108" s="4"/>
      <c r="BL108" s="4"/>
      <c r="BM108" s="4"/>
      <c r="BN108" s="4"/>
    </row>
    <row r="109" spans="1:66">
      <c r="A109" s="19" t="str">
        <f t="shared" si="8"/>
        <v>FB_REG_S.FMVX</v>
      </c>
      <c r="B109" s="11">
        <v>7999</v>
      </c>
      <c r="C109" s="11" t="s">
        <v>0</v>
      </c>
      <c r="D109" s="20" t="str">
        <f>"#"&amp;$S$2&amp;"#"&amp;$T$2&amp;"\"&amp;$P$2&amp;"\FMVX"</f>
        <v>#1#treiOPCDA.CoOPCserv.1\pcmaster\REG_test\FMVX</v>
      </c>
      <c r="BK109" s="4"/>
      <c r="BL109" s="4"/>
      <c r="BM109" s="4"/>
      <c r="BN109" s="4"/>
    </row>
    <row r="110" spans="1:66">
      <c r="A110" s="19" t="str">
        <f t="shared" si="8"/>
        <v>FB_REG_S.FMVX</v>
      </c>
      <c r="B110" s="11">
        <v>7998</v>
      </c>
      <c r="C110" s="11" t="s">
        <v>6</v>
      </c>
      <c r="D110" s="20">
        <v>1</v>
      </c>
      <c r="BK110" s="4"/>
      <c r="BL110" s="4"/>
      <c r="BM110" s="4"/>
      <c r="BN110" s="4"/>
    </row>
    <row r="111" spans="1:66">
      <c r="A111" s="19" t="str">
        <f t="shared" si="8"/>
        <v>FB_REG_S.FMVX</v>
      </c>
      <c r="B111" s="11">
        <v>101</v>
      </c>
      <c r="C111" s="11" t="s">
        <v>0</v>
      </c>
      <c r="D111" s="20" t="s">
        <v>198</v>
      </c>
      <c r="BK111" s="4"/>
      <c r="BL111" s="4"/>
      <c r="BM111" s="4"/>
      <c r="BN111" s="4"/>
    </row>
    <row r="112" spans="1:66">
      <c r="A112" s="19" t="str">
        <f t="shared" si="8"/>
        <v>FB_REG_S.FMVX</v>
      </c>
      <c r="B112" s="11">
        <v>3</v>
      </c>
      <c r="C112" s="11" t="s">
        <v>1</v>
      </c>
      <c r="D112" s="20">
        <v>192</v>
      </c>
      <c r="BK112" s="4"/>
      <c r="BL112" s="4"/>
      <c r="BM112" s="4"/>
      <c r="BN112" s="4"/>
    </row>
    <row r="113" spans="1:66">
      <c r="A113" s="19" t="str">
        <f t="shared" si="8"/>
        <v>FB_REG_S.FMVX</v>
      </c>
      <c r="B113" s="11">
        <v>2</v>
      </c>
      <c r="C113" s="11" t="s">
        <v>2</v>
      </c>
      <c r="D113" s="20" t="s">
        <v>3</v>
      </c>
      <c r="BK113" s="4"/>
      <c r="BL113" s="4"/>
      <c r="BM113" s="4"/>
      <c r="BN113" s="4"/>
    </row>
    <row r="114" spans="1:66">
      <c r="A114" s="21" t="str">
        <f t="shared" si="8"/>
        <v>FB_REG_S.FMVX</v>
      </c>
      <c r="B114" s="8">
        <v>1</v>
      </c>
      <c r="C114" s="8" t="s">
        <v>1</v>
      </c>
      <c r="D114" s="22">
        <v>11</v>
      </c>
      <c r="BK114" s="4"/>
      <c r="BL114" s="4"/>
      <c r="BM114" s="4"/>
      <c r="BN114" s="4"/>
    </row>
    <row r="115" spans="1:66">
      <c r="A115" s="217" t="str">
        <f t="shared" ref="A115:A124" si="9">$R$2&amp;".FUCM"</f>
        <v>FB_REG_S.FUCM</v>
      </c>
      <c r="B115" s="218">
        <v>11154</v>
      </c>
      <c r="C115" s="218" t="s">
        <v>4</v>
      </c>
      <c r="D115" s="219">
        <f>$Q$7</f>
        <v>12</v>
      </c>
      <c r="BK115" s="4"/>
      <c r="BL115" s="4"/>
      <c r="BM115" s="4"/>
      <c r="BN115" s="4"/>
    </row>
    <row r="116" spans="1:66">
      <c r="A116" s="211" t="str">
        <f t="shared" si="9"/>
        <v>FB_REG_S.FUCM</v>
      </c>
      <c r="B116" s="212">
        <v>11150</v>
      </c>
      <c r="C116" s="212" t="s">
        <v>0</v>
      </c>
      <c r="D116" s="213" t="s">
        <v>167</v>
      </c>
      <c r="BK116" s="4"/>
      <c r="BL116" s="4"/>
      <c r="BM116" s="4"/>
      <c r="BN116" s="4"/>
    </row>
    <row r="117" spans="1:66">
      <c r="A117" s="211" t="str">
        <f t="shared" si="9"/>
        <v>FB_REG_S.FUCM</v>
      </c>
      <c r="B117" s="212">
        <v>11152</v>
      </c>
      <c r="C117" s="212" t="s">
        <v>0</v>
      </c>
      <c r="D117" s="220" t="str">
        <f>$R$7</f>
        <v>Неисправность</v>
      </c>
      <c r="BK117" s="4"/>
      <c r="BL117" s="4"/>
      <c r="BM117" s="4"/>
      <c r="BN117" s="4"/>
    </row>
    <row r="118" spans="1:66">
      <c r="A118" s="211" t="str">
        <f t="shared" si="9"/>
        <v>FB_REG_S.FUCM</v>
      </c>
      <c r="B118" s="212">
        <v>11000</v>
      </c>
      <c r="C118" s="212" t="s">
        <v>5</v>
      </c>
      <c r="D118" s="213">
        <v>2147483680</v>
      </c>
      <c r="BK118" s="4"/>
      <c r="BL118" s="4"/>
      <c r="BM118" s="4"/>
      <c r="BN118" s="4"/>
    </row>
    <row r="119" spans="1:66">
      <c r="A119" s="19" t="str">
        <f t="shared" si="9"/>
        <v>FB_REG_S.FUCM</v>
      </c>
      <c r="B119" s="11">
        <v>7999</v>
      </c>
      <c r="C119" s="11" t="s">
        <v>0</v>
      </c>
      <c r="D119" s="20" t="str">
        <f>"#"&amp;$S$2&amp;"#"&amp;$T$2&amp;"\"&amp;$P$2&amp;"\FUCM"</f>
        <v>#1#treiOPCDA.CoOPCserv.1\pcmaster\REG_test\FUCM</v>
      </c>
      <c r="BK119" s="4"/>
      <c r="BL119" s="4"/>
      <c r="BM119" s="4"/>
      <c r="BN119" s="4"/>
    </row>
    <row r="120" spans="1:66">
      <c r="A120" s="19" t="str">
        <f t="shared" si="9"/>
        <v>FB_REG_S.FUCM</v>
      </c>
      <c r="B120" s="11">
        <v>7998</v>
      </c>
      <c r="C120" s="11" t="s">
        <v>6</v>
      </c>
      <c r="D120" s="20">
        <v>1</v>
      </c>
      <c r="BK120" s="4"/>
      <c r="BL120" s="4"/>
      <c r="BM120" s="4"/>
      <c r="BN120" s="4"/>
    </row>
    <row r="121" spans="1:66">
      <c r="A121" s="19" t="str">
        <f t="shared" si="9"/>
        <v>FB_REG_S.FUCM</v>
      </c>
      <c r="B121" s="11">
        <v>101</v>
      </c>
      <c r="C121" s="11" t="s">
        <v>0</v>
      </c>
      <c r="D121" s="20" t="s">
        <v>167</v>
      </c>
      <c r="BK121" s="4"/>
      <c r="BL121" s="4"/>
      <c r="BM121" s="4"/>
      <c r="BN121" s="4"/>
    </row>
    <row r="122" spans="1:66">
      <c r="A122" s="19" t="str">
        <f t="shared" si="9"/>
        <v>FB_REG_S.FUCM</v>
      </c>
      <c r="B122" s="11">
        <v>3</v>
      </c>
      <c r="C122" s="11" t="s">
        <v>1</v>
      </c>
      <c r="D122" s="20">
        <v>192</v>
      </c>
      <c r="BK122" s="4"/>
      <c r="BL122" s="4"/>
      <c r="BM122" s="4"/>
      <c r="BN122" s="4"/>
    </row>
    <row r="123" spans="1:66">
      <c r="A123" s="19" t="str">
        <f t="shared" si="9"/>
        <v>FB_REG_S.FUCM</v>
      </c>
      <c r="B123" s="11">
        <v>2</v>
      </c>
      <c r="C123" s="11" t="s">
        <v>2</v>
      </c>
      <c r="D123" s="20" t="s">
        <v>3</v>
      </c>
      <c r="BK123" s="4"/>
      <c r="BL123" s="4"/>
      <c r="BM123" s="4"/>
      <c r="BN123" s="4"/>
    </row>
    <row r="124" spans="1:66">
      <c r="A124" s="21" t="str">
        <f t="shared" si="9"/>
        <v>FB_REG_S.FUCM</v>
      </c>
      <c r="B124" s="8">
        <v>1</v>
      </c>
      <c r="C124" s="8" t="s">
        <v>1</v>
      </c>
      <c r="D124" s="22">
        <v>11</v>
      </c>
      <c r="BK124" s="4"/>
      <c r="BL124" s="4"/>
      <c r="BM124" s="4"/>
      <c r="BN124" s="4"/>
    </row>
    <row r="125" spans="1:66">
      <c r="A125" s="217" t="str">
        <f t="shared" ref="A125:A134" si="10">$R$2&amp;".FDCM"</f>
        <v>FB_REG_S.FDCM</v>
      </c>
      <c r="B125" s="218">
        <v>11154</v>
      </c>
      <c r="C125" s="218" t="s">
        <v>4</v>
      </c>
      <c r="D125" s="219">
        <f>$Q$7</f>
        <v>12</v>
      </c>
      <c r="BK125" s="4"/>
      <c r="BL125" s="4"/>
      <c r="BM125" s="4"/>
      <c r="BN125" s="4"/>
    </row>
    <row r="126" spans="1:66">
      <c r="A126" s="211" t="str">
        <f t="shared" si="10"/>
        <v>FB_REG_S.FDCM</v>
      </c>
      <c r="B126" s="212">
        <v>11150</v>
      </c>
      <c r="C126" s="212" t="s">
        <v>0</v>
      </c>
      <c r="D126" s="213" t="s">
        <v>168</v>
      </c>
      <c r="BK126" s="4"/>
      <c r="BL126" s="4"/>
      <c r="BM126" s="4"/>
      <c r="BN126" s="4"/>
    </row>
    <row r="127" spans="1:66">
      <c r="A127" s="211" t="str">
        <f t="shared" si="10"/>
        <v>FB_REG_S.FDCM</v>
      </c>
      <c r="B127" s="212">
        <v>11152</v>
      </c>
      <c r="C127" s="212" t="s">
        <v>0</v>
      </c>
      <c r="D127" s="220" t="str">
        <f>$R$7</f>
        <v>Неисправность</v>
      </c>
      <c r="BK127" s="4"/>
      <c r="BL127" s="4"/>
      <c r="BM127" s="4"/>
      <c r="BN127" s="4"/>
    </row>
    <row r="128" spans="1:66">
      <c r="A128" s="211" t="str">
        <f t="shared" si="10"/>
        <v>FB_REG_S.FDCM</v>
      </c>
      <c r="B128" s="212">
        <v>11000</v>
      </c>
      <c r="C128" s="212" t="s">
        <v>5</v>
      </c>
      <c r="D128" s="213">
        <v>2147483680</v>
      </c>
      <c r="BK128" s="4"/>
      <c r="BL128" s="4"/>
      <c r="BM128" s="4"/>
      <c r="BN128" s="4"/>
    </row>
    <row r="129" spans="1:66">
      <c r="A129" s="19" t="str">
        <f t="shared" si="10"/>
        <v>FB_REG_S.FDCM</v>
      </c>
      <c r="B129" s="11">
        <v>7999</v>
      </c>
      <c r="C129" s="11" t="s">
        <v>0</v>
      </c>
      <c r="D129" s="20" t="str">
        <f>"#"&amp;$S$2&amp;"#"&amp;$T$2&amp;"\"&amp;$P$2&amp;"\FDCM"</f>
        <v>#1#treiOPCDA.CoOPCserv.1\pcmaster\REG_test\FDCM</v>
      </c>
      <c r="BK129" s="4"/>
      <c r="BL129" s="4"/>
      <c r="BM129" s="4"/>
      <c r="BN129" s="4"/>
    </row>
    <row r="130" spans="1:66">
      <c r="A130" s="19" t="str">
        <f t="shared" si="10"/>
        <v>FB_REG_S.FDCM</v>
      </c>
      <c r="B130" s="11">
        <v>7998</v>
      </c>
      <c r="C130" s="11" t="s">
        <v>6</v>
      </c>
      <c r="D130" s="20">
        <v>1</v>
      </c>
      <c r="BK130" s="4"/>
      <c r="BL130" s="4"/>
      <c r="BM130" s="4"/>
      <c r="BN130" s="4"/>
    </row>
    <row r="131" spans="1:66">
      <c r="A131" s="19" t="str">
        <f t="shared" si="10"/>
        <v>FB_REG_S.FDCM</v>
      </c>
      <c r="B131" s="11">
        <v>101</v>
      </c>
      <c r="C131" s="11" t="s">
        <v>0</v>
      </c>
      <c r="D131" s="20" t="s">
        <v>168</v>
      </c>
      <c r="BK131" s="4"/>
      <c r="BL131" s="4"/>
      <c r="BM131" s="4"/>
      <c r="BN131" s="4"/>
    </row>
    <row r="132" spans="1:66">
      <c r="A132" s="19" t="str">
        <f t="shared" si="10"/>
        <v>FB_REG_S.FDCM</v>
      </c>
      <c r="B132" s="11">
        <v>3</v>
      </c>
      <c r="C132" s="11" t="s">
        <v>1</v>
      </c>
      <c r="D132" s="20">
        <v>192</v>
      </c>
      <c r="BK132" s="4"/>
      <c r="BL132" s="4"/>
      <c r="BM132" s="4"/>
      <c r="BN132" s="4"/>
    </row>
    <row r="133" spans="1:66">
      <c r="A133" s="19" t="str">
        <f t="shared" si="10"/>
        <v>FB_REG_S.FDCM</v>
      </c>
      <c r="B133" s="11">
        <v>2</v>
      </c>
      <c r="C133" s="11" t="s">
        <v>2</v>
      </c>
      <c r="D133" s="20" t="s">
        <v>3</v>
      </c>
      <c r="BK133" s="4"/>
      <c r="BL133" s="4"/>
      <c r="BM133" s="4"/>
      <c r="BN133" s="4"/>
    </row>
    <row r="134" spans="1:66">
      <c r="A134" s="21" t="str">
        <f t="shared" si="10"/>
        <v>FB_REG_S.FDCM</v>
      </c>
      <c r="B134" s="8">
        <v>1</v>
      </c>
      <c r="C134" s="8" t="s">
        <v>1</v>
      </c>
      <c r="D134" s="22">
        <v>11</v>
      </c>
      <c r="BK134" s="4"/>
      <c r="BL134" s="4"/>
      <c r="BM134" s="4"/>
      <c r="BN134" s="4"/>
    </row>
    <row r="135" spans="1:66">
      <c r="A135" s="163" t="str">
        <f t="shared" ref="A135:A144" si="11">$R$2&amp;".DLCX"</f>
        <v>FB_REG_S.DLCX</v>
      </c>
      <c r="B135" s="123">
        <v>11154</v>
      </c>
      <c r="C135" s="123" t="s">
        <v>4</v>
      </c>
      <c r="D135" s="124">
        <f>$Q$9</f>
        <v>10</v>
      </c>
      <c r="BK135" s="4"/>
      <c r="BL135" s="4"/>
      <c r="BM135" s="4"/>
      <c r="BN135" s="4"/>
    </row>
    <row r="136" spans="1:66">
      <c r="A136" s="110" t="str">
        <f t="shared" si="11"/>
        <v>FB_REG_S.DLCX</v>
      </c>
      <c r="B136" s="111">
        <v>11150</v>
      </c>
      <c r="C136" s="111" t="s">
        <v>0</v>
      </c>
      <c r="D136" s="112" t="s">
        <v>166</v>
      </c>
      <c r="BK136" s="4"/>
      <c r="BL136" s="4"/>
      <c r="BM136" s="4"/>
      <c r="BN136" s="4"/>
    </row>
    <row r="137" spans="1:66">
      <c r="A137" s="110" t="str">
        <f t="shared" si="11"/>
        <v>FB_REG_S.DLCX</v>
      </c>
      <c r="B137" s="111">
        <v>11152</v>
      </c>
      <c r="C137" s="111" t="s">
        <v>0</v>
      </c>
      <c r="D137" s="113" t="str">
        <f>$R$9</f>
        <v>Недостоверность</v>
      </c>
      <c r="BK137" s="4"/>
      <c r="BL137" s="4"/>
      <c r="BM137" s="4"/>
      <c r="BN137" s="4"/>
    </row>
    <row r="138" spans="1:66">
      <c r="A138" s="110" t="str">
        <f t="shared" si="11"/>
        <v>FB_REG_S.DLCX</v>
      </c>
      <c r="B138" s="111">
        <v>11000</v>
      </c>
      <c r="C138" s="111" t="s">
        <v>5</v>
      </c>
      <c r="D138" s="112">
        <v>2147483680</v>
      </c>
      <c r="BK138" s="4"/>
      <c r="BL138" s="4"/>
      <c r="BM138" s="4"/>
      <c r="BN138" s="4"/>
    </row>
    <row r="139" spans="1:66">
      <c r="A139" s="19" t="str">
        <f t="shared" si="11"/>
        <v>FB_REG_S.DLCX</v>
      </c>
      <c r="B139" s="11">
        <v>7999</v>
      </c>
      <c r="C139" s="11" t="s">
        <v>0</v>
      </c>
      <c r="D139" s="20" t="str">
        <f>"#"&amp;$S$2&amp;"#"&amp;$T$2&amp;"\"&amp;$P$2&amp;"\DLCX"</f>
        <v>#1#treiOPCDA.CoOPCserv.1\pcmaster\REG_test\DLCX</v>
      </c>
      <c r="BK139" s="4"/>
      <c r="BL139" s="4"/>
      <c r="BM139" s="4"/>
      <c r="BN139" s="4"/>
    </row>
    <row r="140" spans="1:66">
      <c r="A140" s="19" t="str">
        <f t="shared" si="11"/>
        <v>FB_REG_S.DLCX</v>
      </c>
      <c r="B140" s="11">
        <v>7998</v>
      </c>
      <c r="C140" s="11" t="s">
        <v>6</v>
      </c>
      <c r="D140" s="20">
        <v>1</v>
      </c>
      <c r="BK140" s="4"/>
      <c r="BL140" s="4"/>
      <c r="BM140" s="4"/>
      <c r="BN140" s="4"/>
    </row>
    <row r="141" spans="1:66">
      <c r="A141" s="19" t="str">
        <f t="shared" si="11"/>
        <v>FB_REG_S.DLCX</v>
      </c>
      <c r="B141" s="11">
        <v>101</v>
      </c>
      <c r="C141" s="11" t="s">
        <v>0</v>
      </c>
      <c r="D141" s="20" t="s">
        <v>578</v>
      </c>
      <c r="BK141" s="4"/>
      <c r="BL141" s="4"/>
      <c r="BM141" s="4"/>
      <c r="BN141" s="4"/>
    </row>
    <row r="142" spans="1:66">
      <c r="A142" s="19" t="str">
        <f t="shared" si="11"/>
        <v>FB_REG_S.DLCX</v>
      </c>
      <c r="B142" s="11">
        <v>3</v>
      </c>
      <c r="C142" s="11" t="s">
        <v>1</v>
      </c>
      <c r="D142" s="20">
        <v>192</v>
      </c>
      <c r="BK142" s="4"/>
      <c r="BL142" s="4"/>
      <c r="BM142" s="4"/>
      <c r="BN142" s="4"/>
    </row>
    <row r="143" spans="1:66">
      <c r="A143" s="19" t="str">
        <f t="shared" si="11"/>
        <v>FB_REG_S.DLCX</v>
      </c>
      <c r="B143" s="11">
        <v>2</v>
      </c>
      <c r="C143" s="11" t="s">
        <v>2</v>
      </c>
      <c r="D143" s="20" t="s">
        <v>3</v>
      </c>
      <c r="BK143" s="4"/>
      <c r="BL143" s="4"/>
      <c r="BM143" s="4"/>
      <c r="BN143" s="4"/>
    </row>
    <row r="144" spans="1:66">
      <c r="A144" s="21" t="str">
        <f t="shared" si="11"/>
        <v>FB_REG_S.DLCX</v>
      </c>
      <c r="B144" s="8">
        <v>1</v>
      </c>
      <c r="C144" s="8" t="s">
        <v>1</v>
      </c>
      <c r="D144" s="22">
        <v>11</v>
      </c>
      <c r="BK144" s="4"/>
      <c r="BL144" s="4"/>
      <c r="BM144" s="4"/>
      <c r="BN144" s="4"/>
    </row>
    <row r="145" spans="1:66">
      <c r="A145" s="163" t="str">
        <f t="shared" ref="A145:A154" si="12">$R$2&amp;".DRCX"</f>
        <v>FB_REG_S.DRCX</v>
      </c>
      <c r="B145" s="123">
        <v>11154</v>
      </c>
      <c r="C145" s="123" t="s">
        <v>4</v>
      </c>
      <c r="D145" s="124">
        <f>$Q$9</f>
        <v>10</v>
      </c>
      <c r="BK145" s="4"/>
      <c r="BL145" s="4"/>
      <c r="BM145" s="4"/>
      <c r="BN145" s="4"/>
    </row>
    <row r="146" spans="1:66">
      <c r="A146" s="110" t="str">
        <f t="shared" si="12"/>
        <v>FB_REG_S.DRCX</v>
      </c>
      <c r="B146" s="111">
        <v>11150</v>
      </c>
      <c r="C146" s="111" t="s">
        <v>0</v>
      </c>
      <c r="D146" s="112" t="s">
        <v>105</v>
      </c>
      <c r="BK146" s="4"/>
      <c r="BL146" s="4"/>
      <c r="BM146" s="4"/>
      <c r="BN146" s="4"/>
    </row>
    <row r="147" spans="1:66">
      <c r="A147" s="110" t="str">
        <f t="shared" si="12"/>
        <v>FB_REG_S.DRCX</v>
      </c>
      <c r="B147" s="111">
        <v>11152</v>
      </c>
      <c r="C147" s="111" t="s">
        <v>0</v>
      </c>
      <c r="D147" s="113" t="str">
        <f>$R$9</f>
        <v>Недостоверность</v>
      </c>
      <c r="BK147" s="4"/>
      <c r="BL147" s="4"/>
      <c r="BM147" s="4"/>
      <c r="BN147" s="4"/>
    </row>
    <row r="148" spans="1:66">
      <c r="A148" s="110" t="str">
        <f t="shared" si="12"/>
        <v>FB_REG_S.DRCX</v>
      </c>
      <c r="B148" s="111">
        <v>11000</v>
      </c>
      <c r="C148" s="111" t="s">
        <v>5</v>
      </c>
      <c r="D148" s="112">
        <v>2147483680</v>
      </c>
      <c r="BK148" s="4"/>
      <c r="BL148" s="4"/>
      <c r="BM148" s="4"/>
      <c r="BN148" s="4"/>
    </row>
    <row r="149" spans="1:66">
      <c r="A149" s="19" t="str">
        <f t="shared" si="12"/>
        <v>FB_REG_S.DRCX</v>
      </c>
      <c r="B149" s="11">
        <v>7999</v>
      </c>
      <c r="C149" s="11" t="s">
        <v>0</v>
      </c>
      <c r="D149" s="20" t="str">
        <f>"#"&amp;$S$2&amp;"#"&amp;$T$2&amp;"\"&amp;$P$2&amp;"\DRCX"</f>
        <v>#1#treiOPCDA.CoOPCserv.1\pcmaster\REG_test\DRCX</v>
      </c>
      <c r="BK149" s="4"/>
      <c r="BL149" s="4"/>
      <c r="BM149" s="4"/>
      <c r="BN149" s="4"/>
    </row>
    <row r="150" spans="1:66">
      <c r="A150" s="19" t="str">
        <f t="shared" si="12"/>
        <v>FB_REG_S.DRCX</v>
      </c>
      <c r="B150" s="11">
        <v>7998</v>
      </c>
      <c r="C150" s="11" t="s">
        <v>6</v>
      </c>
      <c r="D150" s="20">
        <v>1</v>
      </c>
      <c r="BK150" s="4"/>
      <c r="BL150" s="4"/>
      <c r="BM150" s="4"/>
      <c r="BN150" s="4"/>
    </row>
    <row r="151" spans="1:66">
      <c r="A151" s="19" t="str">
        <f t="shared" si="12"/>
        <v>FB_REG_S.DRCX</v>
      </c>
      <c r="B151" s="11">
        <v>101</v>
      </c>
      <c r="C151" s="11" t="s">
        <v>0</v>
      </c>
      <c r="D151" s="20" t="s">
        <v>573</v>
      </c>
      <c r="BK151" s="4"/>
      <c r="BL151" s="4"/>
      <c r="BM151" s="4"/>
      <c r="BN151" s="4"/>
    </row>
    <row r="152" spans="1:66">
      <c r="A152" s="19" t="str">
        <f t="shared" si="12"/>
        <v>FB_REG_S.DRCX</v>
      </c>
      <c r="B152" s="11">
        <v>3</v>
      </c>
      <c r="C152" s="11" t="s">
        <v>1</v>
      </c>
      <c r="D152" s="20">
        <v>192</v>
      </c>
      <c r="BK152" s="4"/>
      <c r="BL152" s="4"/>
      <c r="BM152" s="4"/>
      <c r="BN152" s="4"/>
    </row>
    <row r="153" spans="1:66">
      <c r="A153" s="19" t="str">
        <f t="shared" si="12"/>
        <v>FB_REG_S.DRCX</v>
      </c>
      <c r="B153" s="11">
        <v>2</v>
      </c>
      <c r="C153" s="11" t="s">
        <v>2</v>
      </c>
      <c r="D153" s="20" t="s">
        <v>3</v>
      </c>
      <c r="BK153" s="4"/>
      <c r="BL153" s="4"/>
      <c r="BM153" s="4"/>
      <c r="BN153" s="4"/>
    </row>
    <row r="154" spans="1:66">
      <c r="A154" s="21" t="str">
        <f t="shared" si="12"/>
        <v>FB_REG_S.DRCX</v>
      </c>
      <c r="B154" s="8">
        <v>1</v>
      </c>
      <c r="C154" s="8" t="s">
        <v>1</v>
      </c>
      <c r="D154" s="22">
        <v>11</v>
      </c>
      <c r="BK154" s="4"/>
      <c r="BL154" s="4"/>
      <c r="BM154" s="4"/>
      <c r="BN154" s="4"/>
    </row>
    <row r="155" spans="1:66">
      <c r="A155" s="163" t="str">
        <f t="shared" ref="A155:A164" si="13">$R$2&amp;".DFXX"</f>
        <v>FB_REG_S.DFXX</v>
      </c>
      <c r="B155" s="123">
        <v>11154</v>
      </c>
      <c r="C155" s="123" t="s">
        <v>4</v>
      </c>
      <c r="D155" s="124">
        <f>$Q$9</f>
        <v>10</v>
      </c>
      <c r="BK155" s="4"/>
      <c r="BL155" s="4"/>
      <c r="BM155" s="4"/>
      <c r="BN155" s="4"/>
    </row>
    <row r="156" spans="1:66">
      <c r="A156" s="110" t="str">
        <f t="shared" si="13"/>
        <v>FB_REG_S.DFXX</v>
      </c>
      <c r="B156" s="111">
        <v>11150</v>
      </c>
      <c r="C156" s="111" t="s">
        <v>0</v>
      </c>
      <c r="D156" s="112" t="s">
        <v>104</v>
      </c>
      <c r="BK156" s="4"/>
      <c r="BL156" s="4"/>
      <c r="BM156" s="4"/>
      <c r="BN156" s="4"/>
    </row>
    <row r="157" spans="1:66">
      <c r="A157" s="110" t="str">
        <f t="shared" si="13"/>
        <v>FB_REG_S.DFXX</v>
      </c>
      <c r="B157" s="111">
        <v>11152</v>
      </c>
      <c r="C157" s="111" t="s">
        <v>0</v>
      </c>
      <c r="D157" s="113" t="str">
        <f>$R$9</f>
        <v>Недостоверность</v>
      </c>
      <c r="BK157" s="4"/>
      <c r="BL157" s="4"/>
      <c r="BM157" s="4"/>
      <c r="BN157" s="4"/>
    </row>
    <row r="158" spans="1:66">
      <c r="A158" s="110" t="str">
        <f t="shared" si="13"/>
        <v>FB_REG_S.DFXX</v>
      </c>
      <c r="B158" s="111">
        <v>11000</v>
      </c>
      <c r="C158" s="111" t="s">
        <v>5</v>
      </c>
      <c r="D158" s="112">
        <v>2147483680</v>
      </c>
      <c r="BK158" s="4"/>
      <c r="BL158" s="4"/>
      <c r="BM158" s="4"/>
      <c r="BN158" s="4"/>
    </row>
    <row r="159" spans="1:66">
      <c r="A159" s="19" t="str">
        <f t="shared" si="13"/>
        <v>FB_REG_S.DFXX</v>
      </c>
      <c r="B159" s="11">
        <v>7999</v>
      </c>
      <c r="C159" s="11" t="s">
        <v>0</v>
      </c>
      <c r="D159" s="20" t="str">
        <f>"#"&amp;$S$2&amp;"#"&amp;$T$2&amp;"\"&amp;$P$2&amp;"\DFXX"</f>
        <v>#1#treiOPCDA.CoOPCserv.1\pcmaster\REG_test\DFXX</v>
      </c>
      <c r="BK159" s="4"/>
      <c r="BL159" s="4"/>
      <c r="BM159" s="4"/>
      <c r="BN159" s="4"/>
    </row>
    <row r="160" spans="1:66">
      <c r="A160" s="19" t="str">
        <f t="shared" si="13"/>
        <v>FB_REG_S.DFXX</v>
      </c>
      <c r="B160" s="11">
        <v>7998</v>
      </c>
      <c r="C160" s="11" t="s">
        <v>6</v>
      </c>
      <c r="D160" s="20">
        <v>1</v>
      </c>
      <c r="BK160" s="4"/>
      <c r="BL160" s="4"/>
      <c r="BM160" s="4"/>
      <c r="BN160" s="4"/>
    </row>
    <row r="161" spans="1:66">
      <c r="A161" s="19" t="str">
        <f t="shared" si="13"/>
        <v>FB_REG_S.DFXX</v>
      </c>
      <c r="B161" s="11">
        <v>101</v>
      </c>
      <c r="C161" s="11" t="s">
        <v>0</v>
      </c>
      <c r="D161" s="20" t="s">
        <v>520</v>
      </c>
      <c r="BK161" s="4"/>
      <c r="BL161" s="4"/>
      <c r="BM161" s="4"/>
      <c r="BN161" s="4"/>
    </row>
    <row r="162" spans="1:66">
      <c r="A162" s="19" t="str">
        <f t="shared" si="13"/>
        <v>FB_REG_S.DFXX</v>
      </c>
      <c r="B162" s="11">
        <v>3</v>
      </c>
      <c r="C162" s="11" t="s">
        <v>1</v>
      </c>
      <c r="D162" s="20">
        <v>192</v>
      </c>
      <c r="BK162" s="4"/>
      <c r="BL162" s="4"/>
      <c r="BM162" s="4"/>
      <c r="BN162" s="4"/>
    </row>
    <row r="163" spans="1:66">
      <c r="A163" s="19" t="str">
        <f t="shared" si="13"/>
        <v>FB_REG_S.DFXX</v>
      </c>
      <c r="B163" s="11">
        <v>2</v>
      </c>
      <c r="C163" s="11" t="s">
        <v>2</v>
      </c>
      <c r="D163" s="20" t="s">
        <v>3</v>
      </c>
      <c r="BK163" s="4"/>
      <c r="BL163" s="4"/>
      <c r="BM163" s="4"/>
      <c r="BN163" s="4"/>
    </row>
    <row r="164" spans="1:66">
      <c r="A164" s="21" t="str">
        <f t="shared" si="13"/>
        <v>FB_REG_S.DFXX</v>
      </c>
      <c r="B164" s="8">
        <v>1</v>
      </c>
      <c r="C164" s="8" t="s">
        <v>1</v>
      </c>
      <c r="D164" s="22">
        <v>11</v>
      </c>
      <c r="BK164" s="4"/>
      <c r="BL164" s="4"/>
      <c r="BM164" s="4"/>
      <c r="BN164" s="4"/>
    </row>
    <row r="165" spans="1:66">
      <c r="A165" s="163" t="str">
        <f t="shared" ref="A165:A174" si="14">$R$2&amp;".DCPX"</f>
        <v>FB_REG_S.DCPX</v>
      </c>
      <c r="B165" s="123">
        <v>11154</v>
      </c>
      <c r="C165" s="123" t="s">
        <v>4</v>
      </c>
      <c r="D165" s="124">
        <f>$Q$9</f>
        <v>10</v>
      </c>
      <c r="BK165" s="4"/>
      <c r="BL165" s="4"/>
      <c r="BM165" s="4"/>
      <c r="BN165" s="4"/>
    </row>
    <row r="166" spans="1:66">
      <c r="A166" s="110" t="str">
        <f t="shared" si="14"/>
        <v>FB_REG_S.DCPX</v>
      </c>
      <c r="B166" s="111">
        <v>11150</v>
      </c>
      <c r="C166" s="111" t="s">
        <v>0</v>
      </c>
      <c r="D166" s="112" t="s">
        <v>2747</v>
      </c>
      <c r="BK166" s="4"/>
      <c r="BL166" s="4"/>
      <c r="BM166" s="4"/>
      <c r="BN166" s="4"/>
    </row>
    <row r="167" spans="1:66">
      <c r="A167" s="110" t="str">
        <f t="shared" si="14"/>
        <v>FB_REG_S.DCPX</v>
      </c>
      <c r="B167" s="111">
        <v>11152</v>
      </c>
      <c r="C167" s="111" t="s">
        <v>0</v>
      </c>
      <c r="D167" s="113" t="str">
        <f>$R$9</f>
        <v>Недостоверность</v>
      </c>
      <c r="BK167" s="4"/>
      <c r="BL167" s="4"/>
      <c r="BM167" s="4"/>
      <c r="BN167" s="4"/>
    </row>
    <row r="168" spans="1:66">
      <c r="A168" s="110" t="str">
        <f t="shared" si="14"/>
        <v>FB_REG_S.DCPX</v>
      </c>
      <c r="B168" s="111">
        <v>11000</v>
      </c>
      <c r="C168" s="111" t="s">
        <v>5</v>
      </c>
      <c r="D168" s="112">
        <v>2147483680</v>
      </c>
      <c r="BK168" s="4"/>
      <c r="BL168" s="4"/>
      <c r="BM168" s="4"/>
      <c r="BN168" s="4"/>
    </row>
    <row r="169" spans="1:66">
      <c r="A169" s="19" t="str">
        <f t="shared" si="14"/>
        <v>FB_REG_S.DCPX</v>
      </c>
      <c r="B169" s="11">
        <v>7999</v>
      </c>
      <c r="C169" s="11" t="s">
        <v>0</v>
      </c>
      <c r="D169" s="20" t="str">
        <f>"#"&amp;$S$2&amp;"#"&amp;$T$2&amp;"\"&amp;$P$2&amp;"\DCPX"</f>
        <v>#1#treiOPCDA.CoOPCserv.1\pcmaster\REG_test\DCPX</v>
      </c>
      <c r="BK169" s="4"/>
      <c r="BL169" s="4"/>
      <c r="BM169" s="4"/>
      <c r="BN169" s="4"/>
    </row>
    <row r="170" spans="1:66">
      <c r="A170" s="19" t="str">
        <f t="shared" si="14"/>
        <v>FB_REG_S.DCPX</v>
      </c>
      <c r="B170" s="11">
        <v>7998</v>
      </c>
      <c r="C170" s="11" t="s">
        <v>6</v>
      </c>
      <c r="D170" s="20">
        <v>1</v>
      </c>
      <c r="BK170" s="4"/>
      <c r="BL170" s="4"/>
      <c r="BM170" s="4"/>
      <c r="BN170" s="4"/>
    </row>
    <row r="171" spans="1:66">
      <c r="A171" s="19" t="str">
        <f t="shared" si="14"/>
        <v>FB_REG_S.DCPX</v>
      </c>
      <c r="B171" s="11">
        <v>101</v>
      </c>
      <c r="C171" s="11" t="s">
        <v>0</v>
      </c>
      <c r="D171" s="20" t="s">
        <v>2747</v>
      </c>
      <c r="BK171" s="4"/>
      <c r="BL171" s="4"/>
      <c r="BM171" s="4"/>
      <c r="BN171" s="4"/>
    </row>
    <row r="172" spans="1:66">
      <c r="A172" s="19" t="str">
        <f t="shared" si="14"/>
        <v>FB_REG_S.DCPX</v>
      </c>
      <c r="B172" s="11">
        <v>3</v>
      </c>
      <c r="C172" s="11" t="s">
        <v>1</v>
      </c>
      <c r="D172" s="20">
        <v>192</v>
      </c>
      <c r="BK172" s="4"/>
      <c r="BL172" s="4"/>
      <c r="BM172" s="4"/>
      <c r="BN172" s="4"/>
    </row>
    <row r="173" spans="1:66">
      <c r="A173" s="19" t="str">
        <f t="shared" si="14"/>
        <v>FB_REG_S.DCPX</v>
      </c>
      <c r="B173" s="11">
        <v>2</v>
      </c>
      <c r="C173" s="11" t="s">
        <v>2</v>
      </c>
      <c r="D173" s="20" t="s">
        <v>3</v>
      </c>
      <c r="BK173" s="4"/>
      <c r="BL173" s="4"/>
      <c r="BM173" s="4"/>
      <c r="BN173" s="4"/>
    </row>
    <row r="174" spans="1:66">
      <c r="A174" s="21" t="str">
        <f t="shared" si="14"/>
        <v>FB_REG_S.DCPX</v>
      </c>
      <c r="B174" s="8">
        <v>1</v>
      </c>
      <c r="C174" s="8" t="s">
        <v>1</v>
      </c>
      <c r="D174" s="22">
        <v>11</v>
      </c>
      <c r="BK174" s="4"/>
      <c r="BL174" s="4"/>
      <c r="BM174" s="4"/>
      <c r="BN174" s="4"/>
    </row>
    <row r="175" spans="1:66">
      <c r="A175" s="163" t="str">
        <f>$R$2&amp;".DCAX"</f>
        <v>FB_REG_S.DCAX</v>
      </c>
      <c r="B175" s="123">
        <v>11154</v>
      </c>
      <c r="C175" s="123" t="s">
        <v>4</v>
      </c>
      <c r="D175" s="124">
        <f>$Q$9</f>
        <v>10</v>
      </c>
      <c r="BK175" s="4"/>
      <c r="BL175" s="4"/>
      <c r="BM175" s="4"/>
      <c r="BN175" s="4"/>
    </row>
    <row r="176" spans="1:66">
      <c r="A176" s="110" t="str">
        <f t="shared" ref="A176:A184" si="15">$R$2&amp;".DCAX"</f>
        <v>FB_REG_S.DCAX</v>
      </c>
      <c r="B176" s="111">
        <v>11150</v>
      </c>
      <c r="C176" s="111" t="s">
        <v>0</v>
      </c>
      <c r="D176" s="112" t="s">
        <v>2749</v>
      </c>
      <c r="BK176" s="4"/>
      <c r="BL176" s="4"/>
      <c r="BM176" s="4"/>
      <c r="BN176" s="4"/>
    </row>
    <row r="177" spans="1:66">
      <c r="A177" s="110" t="str">
        <f t="shared" si="15"/>
        <v>FB_REG_S.DCAX</v>
      </c>
      <c r="B177" s="111">
        <v>11152</v>
      </c>
      <c r="C177" s="111" t="s">
        <v>0</v>
      </c>
      <c r="D177" s="113" t="str">
        <f>$R$9</f>
        <v>Недостоверность</v>
      </c>
      <c r="BK177" s="4"/>
      <c r="BL177" s="4"/>
      <c r="BM177" s="4"/>
      <c r="BN177" s="4"/>
    </row>
    <row r="178" spans="1:66">
      <c r="A178" s="110" t="str">
        <f t="shared" si="15"/>
        <v>FB_REG_S.DCAX</v>
      </c>
      <c r="B178" s="111">
        <v>11000</v>
      </c>
      <c r="C178" s="111" t="s">
        <v>5</v>
      </c>
      <c r="D178" s="112">
        <v>2147483680</v>
      </c>
      <c r="BK178" s="4"/>
      <c r="BL178" s="4"/>
      <c r="BM178" s="4"/>
      <c r="BN178" s="4"/>
    </row>
    <row r="179" spans="1:66">
      <c r="A179" s="19" t="str">
        <f t="shared" si="15"/>
        <v>FB_REG_S.DCAX</v>
      </c>
      <c r="B179" s="11">
        <v>7999</v>
      </c>
      <c r="C179" s="11" t="s">
        <v>0</v>
      </c>
      <c r="D179" s="20" t="str">
        <f>"#"&amp;$S$2&amp;"#"&amp;$T$2&amp;"\"&amp;$P$2&amp;"\DCAX"</f>
        <v>#1#treiOPCDA.CoOPCserv.1\pcmaster\REG_test\DCAX</v>
      </c>
      <c r="BK179" s="4"/>
      <c r="BL179" s="4"/>
      <c r="BM179" s="4"/>
      <c r="BN179" s="4"/>
    </row>
    <row r="180" spans="1:66">
      <c r="A180" s="19" t="str">
        <f t="shared" si="15"/>
        <v>FB_REG_S.DCAX</v>
      </c>
      <c r="B180" s="11">
        <v>7998</v>
      </c>
      <c r="C180" s="11" t="s">
        <v>6</v>
      </c>
      <c r="D180" s="20">
        <v>1</v>
      </c>
      <c r="BK180" s="4"/>
      <c r="BL180" s="4"/>
      <c r="BM180" s="4"/>
      <c r="BN180" s="4"/>
    </row>
    <row r="181" spans="1:66">
      <c r="A181" s="19" t="str">
        <f t="shared" si="15"/>
        <v>FB_REG_S.DCAX</v>
      </c>
      <c r="B181" s="11">
        <v>101</v>
      </c>
      <c r="C181" s="11" t="s">
        <v>0</v>
      </c>
      <c r="D181" s="20" t="s">
        <v>2749</v>
      </c>
      <c r="BK181" s="4"/>
      <c r="BL181" s="4"/>
      <c r="BM181" s="4"/>
      <c r="BN181" s="4"/>
    </row>
    <row r="182" spans="1:66">
      <c r="A182" s="19" t="str">
        <f t="shared" si="15"/>
        <v>FB_REG_S.DCAX</v>
      </c>
      <c r="B182" s="11">
        <v>3</v>
      </c>
      <c r="C182" s="11" t="s">
        <v>1</v>
      </c>
      <c r="D182" s="20">
        <v>192</v>
      </c>
      <c r="BK182" s="4"/>
      <c r="BL182" s="4"/>
      <c r="BM182" s="4"/>
      <c r="BN182" s="4"/>
    </row>
    <row r="183" spans="1:66">
      <c r="A183" s="19" t="str">
        <f t="shared" si="15"/>
        <v>FB_REG_S.DCAX</v>
      </c>
      <c r="B183" s="11">
        <v>2</v>
      </c>
      <c r="C183" s="11" t="s">
        <v>2</v>
      </c>
      <c r="D183" s="20" t="s">
        <v>3</v>
      </c>
      <c r="BK183" s="4"/>
      <c r="BL183" s="4"/>
      <c r="BM183" s="4"/>
      <c r="BN183" s="4"/>
    </row>
    <row r="184" spans="1:66">
      <c r="A184" s="21" t="str">
        <f t="shared" si="15"/>
        <v>FB_REG_S.DCAX</v>
      </c>
      <c r="B184" s="8">
        <v>1</v>
      </c>
      <c r="C184" s="8" t="s">
        <v>1</v>
      </c>
      <c r="D184" s="22">
        <v>11</v>
      </c>
      <c r="BK184" s="4"/>
      <c r="BL184" s="4"/>
      <c r="BM184" s="4"/>
      <c r="BN184" s="4"/>
    </row>
    <row r="185" spans="1:66">
      <c r="A185" s="137" t="str">
        <f t="shared" ref="A185:A196" si="16">$R$2&amp;".XRPX"</f>
        <v>FB_REG_S.XRPX</v>
      </c>
      <c r="B185" s="138">
        <v>11154</v>
      </c>
      <c r="C185" s="138" t="s">
        <v>4</v>
      </c>
      <c r="D185" s="139">
        <f>$Q$11</f>
        <v>14</v>
      </c>
      <c r="BK185" s="4"/>
      <c r="BL185" s="4"/>
      <c r="BM185" s="4"/>
      <c r="BN185" s="4"/>
    </row>
    <row r="186" spans="1:66">
      <c r="A186" s="140" t="str">
        <f t="shared" si="16"/>
        <v>FB_REG_S.XRPX</v>
      </c>
      <c r="B186" s="141">
        <v>11150</v>
      </c>
      <c r="C186" s="141" t="s">
        <v>0</v>
      </c>
      <c r="D186" s="142" t="s">
        <v>89</v>
      </c>
      <c r="BK186" s="4"/>
      <c r="BL186" s="4"/>
      <c r="BM186" s="4"/>
      <c r="BN186" s="4"/>
    </row>
    <row r="187" spans="1:66">
      <c r="A187" s="140" t="str">
        <f t="shared" si="16"/>
        <v>FB_REG_S.XRPX</v>
      </c>
      <c r="B187" s="141">
        <v>11152</v>
      </c>
      <c r="C187" s="141" t="s">
        <v>0</v>
      </c>
      <c r="D187" s="143" t="str">
        <f>$R$11</f>
        <v>Ремонт</v>
      </c>
      <c r="BK187" s="4"/>
      <c r="BL187" s="4"/>
      <c r="BM187" s="4"/>
      <c r="BN187" s="4"/>
    </row>
    <row r="188" spans="1:66">
      <c r="A188" s="140" t="str">
        <f t="shared" si="16"/>
        <v>FB_REG_S.XRPX</v>
      </c>
      <c r="B188" s="141">
        <v>11000</v>
      </c>
      <c r="C188" s="141" t="s">
        <v>5</v>
      </c>
      <c r="D188" s="142">
        <v>2147483680</v>
      </c>
      <c r="BK188" s="4"/>
      <c r="BL188" s="4"/>
      <c r="BM188" s="4"/>
      <c r="BN188" s="4"/>
    </row>
    <row r="189" spans="1:66">
      <c r="A189" s="19" t="str">
        <f t="shared" si="16"/>
        <v>FB_REG_S.XRPX</v>
      </c>
      <c r="B189" s="11">
        <v>7999</v>
      </c>
      <c r="C189" s="11" t="s">
        <v>0</v>
      </c>
      <c r="D189" s="20" t="str">
        <f>"#"&amp;$S$2&amp;"#"&amp;$T$2&amp;"\"&amp;$P$2&amp;"\XRPX"</f>
        <v>#1#treiOPCDA.CoOPCserv.1\pcmaster\REG_test\XRPX</v>
      </c>
      <c r="BK189" s="4"/>
      <c r="BL189" s="4"/>
      <c r="BM189" s="4"/>
      <c r="BN189" s="4"/>
    </row>
    <row r="190" spans="1:66">
      <c r="A190" s="19" t="str">
        <f t="shared" si="16"/>
        <v>FB_REG_S.XRPX</v>
      </c>
      <c r="B190" s="11">
        <v>7998</v>
      </c>
      <c r="C190" s="11" t="s">
        <v>6</v>
      </c>
      <c r="D190" s="20">
        <v>1</v>
      </c>
      <c r="BK190" s="4"/>
      <c r="BL190" s="4"/>
      <c r="BM190" s="4"/>
      <c r="BN190" s="4"/>
    </row>
    <row r="191" spans="1:66">
      <c r="A191" s="19" t="str">
        <f t="shared" si="16"/>
        <v>FB_REG_S.XRPX</v>
      </c>
      <c r="B191" s="11">
        <v>101</v>
      </c>
      <c r="C191" s="11" t="s">
        <v>0</v>
      </c>
      <c r="D191" s="20" t="s">
        <v>137</v>
      </c>
      <c r="BK191" s="4"/>
      <c r="BL191" s="4"/>
      <c r="BM191" s="4"/>
      <c r="BN191" s="4"/>
    </row>
    <row r="192" spans="1:66">
      <c r="A192" s="19" t="str">
        <f t="shared" si="16"/>
        <v>FB_REG_S.XRPX</v>
      </c>
      <c r="B192" s="11">
        <v>3</v>
      </c>
      <c r="C192" s="11" t="s">
        <v>1</v>
      </c>
      <c r="D192" s="20">
        <v>192</v>
      </c>
      <c r="BK192" s="4"/>
      <c r="BL192" s="4"/>
      <c r="BM192" s="4"/>
      <c r="BN192" s="4"/>
    </row>
    <row r="193" spans="1:66">
      <c r="A193" s="19" t="str">
        <f t="shared" si="16"/>
        <v>FB_REG_S.XRPX</v>
      </c>
      <c r="B193" s="11">
        <v>2</v>
      </c>
      <c r="C193" s="11" t="s">
        <v>2</v>
      </c>
      <c r="D193" s="20" t="s">
        <v>3</v>
      </c>
      <c r="BK193" s="4"/>
      <c r="BL193" s="4"/>
      <c r="BM193" s="4"/>
      <c r="BN193" s="4"/>
    </row>
    <row r="194" spans="1:66">
      <c r="A194" s="19" t="str">
        <f t="shared" si="16"/>
        <v>FB_REG_S.XRPX</v>
      </c>
      <c r="B194" s="11">
        <v>1</v>
      </c>
      <c r="C194" s="11" t="s">
        <v>1</v>
      </c>
      <c r="D194" s="20">
        <v>11</v>
      </c>
      <c r="BK194" s="4"/>
      <c r="BL194" s="4"/>
      <c r="BM194" s="4"/>
      <c r="BN194" s="4"/>
    </row>
    <row r="195" spans="1:66" ht="13.5" customHeight="1">
      <c r="A195" s="29" t="str">
        <f t="shared" si="16"/>
        <v>FB_REG_S.XRPX</v>
      </c>
      <c r="B195" s="1">
        <v>4000000</v>
      </c>
      <c r="C195" s="1" t="s">
        <v>0</v>
      </c>
      <c r="D195" s="415" t="s">
        <v>1484</v>
      </c>
      <c r="BK195" s="4"/>
      <c r="BL195" s="4"/>
      <c r="BM195" s="4"/>
      <c r="BN195" s="4"/>
    </row>
    <row r="196" spans="1:66">
      <c r="A196" s="26" t="str">
        <f t="shared" si="16"/>
        <v>FB_REG_S.XRPX</v>
      </c>
      <c r="B196" s="27">
        <v>7000000</v>
      </c>
      <c r="C196" s="27" t="s">
        <v>6</v>
      </c>
      <c r="D196" s="28">
        <v>2</v>
      </c>
      <c r="BK196" s="4"/>
      <c r="BL196" s="4"/>
      <c r="BM196" s="4"/>
      <c r="BN196" s="4"/>
    </row>
    <row r="197" spans="1:66">
      <c r="A197" s="159" t="str">
        <f t="shared" ref="A197:A206" si="17">$R$2&amp;".IRCX"</f>
        <v>FB_REG_S.IRCX</v>
      </c>
      <c r="B197" s="160">
        <v>11154</v>
      </c>
      <c r="C197" s="160" t="s">
        <v>4</v>
      </c>
      <c r="D197" s="161">
        <f>$Q$8</f>
        <v>18</v>
      </c>
      <c r="BK197" s="4"/>
      <c r="BL197" s="4"/>
      <c r="BM197" s="4"/>
      <c r="BN197" s="4"/>
    </row>
    <row r="198" spans="1:66">
      <c r="A198" s="100" t="str">
        <f t="shared" si="17"/>
        <v>FB_REG_S.IRCX</v>
      </c>
      <c r="B198" s="101">
        <v>11150</v>
      </c>
      <c r="C198" s="101" t="s">
        <v>0</v>
      </c>
      <c r="D198" s="103" t="s">
        <v>136</v>
      </c>
      <c r="BK198" s="4"/>
      <c r="BL198" s="4"/>
      <c r="BM198" s="4"/>
      <c r="BN198" s="4"/>
    </row>
    <row r="199" spans="1:66">
      <c r="A199" s="100" t="str">
        <f t="shared" si="17"/>
        <v>FB_REG_S.IRCX</v>
      </c>
      <c r="B199" s="101">
        <v>11152</v>
      </c>
      <c r="C199" s="101" t="s">
        <v>0</v>
      </c>
      <c r="D199" s="104" t="str">
        <f>$R$8</f>
        <v>Телесигнализация</v>
      </c>
      <c r="BK199" s="4"/>
      <c r="BL199" s="4"/>
      <c r="BM199" s="4"/>
      <c r="BN199" s="4"/>
    </row>
    <row r="200" spans="1:66">
      <c r="A200" s="100" t="str">
        <f t="shared" si="17"/>
        <v>FB_REG_S.IRCX</v>
      </c>
      <c r="B200" s="101">
        <v>11000</v>
      </c>
      <c r="C200" s="101" t="s">
        <v>5</v>
      </c>
      <c r="D200" s="103">
        <v>2147483680</v>
      </c>
      <c r="BK200" s="4"/>
      <c r="BL200" s="4"/>
      <c r="BM200" s="4"/>
      <c r="BN200" s="4"/>
    </row>
    <row r="201" spans="1:66">
      <c r="A201" s="19" t="str">
        <f t="shared" si="17"/>
        <v>FB_REG_S.IRCX</v>
      </c>
      <c r="B201" s="11">
        <v>7999</v>
      </c>
      <c r="C201" s="11" t="s">
        <v>0</v>
      </c>
      <c r="D201" s="20" t="str">
        <f>"#"&amp;$S$2&amp;"#"&amp;$T$2&amp;"\"&amp;$P$2&amp;"\IRCX"</f>
        <v>#1#treiOPCDA.CoOPCserv.1\pcmaster\REG_test\IRCX</v>
      </c>
      <c r="BK201" s="4"/>
      <c r="BL201" s="4"/>
      <c r="BM201" s="4"/>
      <c r="BN201" s="4"/>
    </row>
    <row r="202" spans="1:66">
      <c r="A202" s="19" t="str">
        <f t="shared" si="17"/>
        <v>FB_REG_S.IRCX</v>
      </c>
      <c r="B202" s="11">
        <v>7998</v>
      </c>
      <c r="C202" s="11" t="s">
        <v>6</v>
      </c>
      <c r="D202" s="20">
        <v>1</v>
      </c>
      <c r="BK202" s="4"/>
      <c r="BL202" s="4"/>
      <c r="BM202" s="4"/>
      <c r="BN202" s="4"/>
    </row>
    <row r="203" spans="1:66">
      <c r="A203" s="19" t="str">
        <f t="shared" si="17"/>
        <v>FB_REG_S.IRCX</v>
      </c>
      <c r="B203" s="11">
        <v>101</v>
      </c>
      <c r="C203" s="11" t="s">
        <v>0</v>
      </c>
      <c r="D203" s="20" t="s">
        <v>193</v>
      </c>
      <c r="BK203" s="4"/>
      <c r="BL203" s="4"/>
      <c r="BM203" s="4"/>
      <c r="BN203" s="4"/>
    </row>
    <row r="204" spans="1:66">
      <c r="A204" s="19" t="str">
        <f t="shared" si="17"/>
        <v>FB_REG_S.IRCX</v>
      </c>
      <c r="B204" s="11">
        <v>3</v>
      </c>
      <c r="C204" s="11" t="s">
        <v>1</v>
      </c>
      <c r="D204" s="20">
        <v>192</v>
      </c>
      <c r="BK204" s="4"/>
      <c r="BL204" s="4"/>
      <c r="BM204" s="4"/>
      <c r="BN204" s="4"/>
    </row>
    <row r="205" spans="1:66">
      <c r="A205" s="19" t="str">
        <f t="shared" si="17"/>
        <v>FB_REG_S.IRCX</v>
      </c>
      <c r="B205" s="11">
        <v>2</v>
      </c>
      <c r="C205" s="11" t="s">
        <v>2</v>
      </c>
      <c r="D205" s="20" t="s">
        <v>3</v>
      </c>
      <c r="BK205" s="4"/>
      <c r="BL205" s="4"/>
      <c r="BM205" s="4"/>
      <c r="BN205" s="4"/>
    </row>
    <row r="206" spans="1:66">
      <c r="A206" s="21" t="str">
        <f t="shared" si="17"/>
        <v>FB_REG_S.IRCX</v>
      </c>
      <c r="B206" s="8">
        <v>1</v>
      </c>
      <c r="C206" s="8" t="s">
        <v>1</v>
      </c>
      <c r="D206" s="22">
        <v>11</v>
      </c>
      <c r="BK206" s="4"/>
      <c r="BL206" s="4"/>
      <c r="BM206" s="4"/>
      <c r="BN206" s="4"/>
    </row>
    <row r="207" spans="1:66">
      <c r="A207" s="159" t="str">
        <f t="shared" ref="A207:A216" si="18">$R$2&amp;".XONX"</f>
        <v>FB_REG_S.XONX</v>
      </c>
      <c r="B207" s="160">
        <v>11154</v>
      </c>
      <c r="C207" s="160" t="s">
        <v>4</v>
      </c>
      <c r="D207" s="161">
        <f>$Q$8</f>
        <v>18</v>
      </c>
      <c r="BK207" s="4"/>
      <c r="BL207" s="4"/>
      <c r="BM207" s="4"/>
      <c r="BN207" s="4"/>
    </row>
    <row r="208" spans="1:66">
      <c r="A208" s="100" t="str">
        <f t="shared" si="18"/>
        <v>FB_REG_S.XONX</v>
      </c>
      <c r="B208" s="101">
        <v>11150</v>
      </c>
      <c r="C208" s="101" t="s">
        <v>0</v>
      </c>
      <c r="D208" s="103" t="s">
        <v>200</v>
      </c>
      <c r="BK208" s="4"/>
      <c r="BL208" s="4"/>
      <c r="BM208" s="4"/>
      <c r="BN208" s="4"/>
    </row>
    <row r="209" spans="1:66">
      <c r="A209" s="100" t="str">
        <f t="shared" si="18"/>
        <v>FB_REG_S.XONX</v>
      </c>
      <c r="B209" s="101">
        <v>11152</v>
      </c>
      <c r="C209" s="101" t="s">
        <v>0</v>
      </c>
      <c r="D209" s="104" t="str">
        <f>$R$8</f>
        <v>Телесигнализация</v>
      </c>
      <c r="BK209" s="4"/>
      <c r="BL209" s="4"/>
      <c r="BM209" s="4"/>
      <c r="BN209" s="4"/>
    </row>
    <row r="210" spans="1:66">
      <c r="A210" s="100" t="str">
        <f t="shared" si="18"/>
        <v>FB_REG_S.XONX</v>
      </c>
      <c r="B210" s="101">
        <v>11000</v>
      </c>
      <c r="C210" s="101" t="s">
        <v>5</v>
      </c>
      <c r="D210" s="103">
        <v>2147483680</v>
      </c>
      <c r="BK210" s="4"/>
      <c r="BL210" s="4"/>
      <c r="BM210" s="4"/>
      <c r="BN210" s="4"/>
    </row>
    <row r="211" spans="1:66">
      <c r="A211" s="19" t="str">
        <f t="shared" si="18"/>
        <v>FB_REG_S.XONX</v>
      </c>
      <c r="B211" s="11">
        <v>7999</v>
      </c>
      <c r="C211" s="11" t="s">
        <v>0</v>
      </c>
      <c r="D211" s="20" t="str">
        <f>"#"&amp;$S$2&amp;"#"&amp;$T$2&amp;"\"&amp;$P$2&amp;"\XONX"</f>
        <v>#1#treiOPCDA.CoOPCserv.1\pcmaster\REG_test\XONX</v>
      </c>
      <c r="BK211" s="4"/>
      <c r="BL211" s="4"/>
      <c r="BM211" s="4"/>
      <c r="BN211" s="4"/>
    </row>
    <row r="212" spans="1:66">
      <c r="A212" s="19" t="str">
        <f t="shared" si="18"/>
        <v>FB_REG_S.XONX</v>
      </c>
      <c r="B212" s="11">
        <v>7998</v>
      </c>
      <c r="C212" s="11" t="s">
        <v>6</v>
      </c>
      <c r="D212" s="20">
        <v>1</v>
      </c>
      <c r="BK212" s="4"/>
      <c r="BL212" s="4"/>
      <c r="BM212" s="4"/>
      <c r="BN212" s="4"/>
    </row>
    <row r="213" spans="1:66">
      <c r="A213" s="19" t="str">
        <f t="shared" si="18"/>
        <v>FB_REG_S.XONX</v>
      </c>
      <c r="B213" s="11">
        <v>101</v>
      </c>
      <c r="C213" s="11" t="s">
        <v>0</v>
      </c>
      <c r="D213" s="20" t="s">
        <v>196</v>
      </c>
      <c r="Q213" s="1"/>
      <c r="R213" s="1"/>
      <c r="S213" s="1"/>
      <c r="T213" s="1"/>
      <c r="U213" s="1"/>
      <c r="V213" s="1"/>
      <c r="BK213" s="4"/>
      <c r="BL213" s="4"/>
      <c r="BM213" s="4"/>
      <c r="BN213" s="4"/>
    </row>
    <row r="214" spans="1:66">
      <c r="A214" s="19" t="str">
        <f t="shared" si="18"/>
        <v>FB_REG_S.XONX</v>
      </c>
      <c r="B214" s="11">
        <v>3</v>
      </c>
      <c r="C214" s="11" t="s">
        <v>1</v>
      </c>
      <c r="D214" s="20">
        <v>192</v>
      </c>
      <c r="Q214" s="1"/>
      <c r="R214" s="1"/>
      <c r="S214" s="1"/>
      <c r="T214" s="1"/>
      <c r="U214" s="1"/>
      <c r="V214" s="1"/>
      <c r="BK214" s="4"/>
      <c r="BL214" s="4"/>
      <c r="BM214" s="4"/>
      <c r="BN214" s="4"/>
    </row>
    <row r="215" spans="1:66">
      <c r="A215" s="19" t="str">
        <f t="shared" si="18"/>
        <v>FB_REG_S.XONX</v>
      </c>
      <c r="B215" s="11">
        <v>2</v>
      </c>
      <c r="C215" s="11" t="s">
        <v>2</v>
      </c>
      <c r="D215" s="20" t="s">
        <v>3</v>
      </c>
      <c r="Q215" s="1"/>
      <c r="R215" s="1"/>
      <c r="S215" s="1"/>
      <c r="T215" s="1"/>
      <c r="U215" s="1"/>
      <c r="V215" s="1"/>
      <c r="BK215" s="4"/>
      <c r="BL215" s="4"/>
      <c r="BM215" s="4"/>
      <c r="BN215" s="4"/>
    </row>
    <row r="216" spans="1:66">
      <c r="A216" s="21" t="str">
        <f t="shared" si="18"/>
        <v>FB_REG_S.XONX</v>
      </c>
      <c r="B216" s="8">
        <v>1</v>
      </c>
      <c r="C216" s="8" t="s">
        <v>1</v>
      </c>
      <c r="D216" s="22">
        <v>11</v>
      </c>
      <c r="Q216" s="1"/>
      <c r="R216" s="1"/>
      <c r="S216" s="1"/>
      <c r="T216" s="1"/>
      <c r="U216" s="1"/>
      <c r="V216" s="1"/>
      <c r="BK216" s="4"/>
      <c r="BL216" s="4"/>
      <c r="BM216" s="4"/>
      <c r="BN216" s="4"/>
    </row>
    <row r="217" spans="1:66">
      <c r="A217" s="159" t="str">
        <f t="shared" ref="A217:A226" si="19">$R$2&amp;".XOFX"</f>
        <v>FB_REG_S.XOFX</v>
      </c>
      <c r="B217" s="160">
        <v>11154</v>
      </c>
      <c r="C217" s="160" t="s">
        <v>4</v>
      </c>
      <c r="D217" s="161">
        <f>$Q$8</f>
        <v>18</v>
      </c>
      <c r="Q217" s="1"/>
      <c r="R217" s="1"/>
      <c r="S217" s="1"/>
      <c r="T217" s="1"/>
      <c r="U217" s="1"/>
      <c r="V217" s="1"/>
      <c r="BK217" s="4"/>
      <c r="BL217" s="4"/>
      <c r="BM217" s="4"/>
      <c r="BN217" s="4"/>
    </row>
    <row r="218" spans="1:66">
      <c r="A218" s="100" t="str">
        <f t="shared" si="19"/>
        <v>FB_REG_S.XOFX</v>
      </c>
      <c r="B218" s="101">
        <v>11150</v>
      </c>
      <c r="C218" s="101" t="s">
        <v>0</v>
      </c>
      <c r="D218" s="103" t="s">
        <v>201</v>
      </c>
      <c r="Q218" s="1"/>
      <c r="R218" s="1"/>
      <c r="S218" s="1"/>
      <c r="T218" s="1"/>
      <c r="U218" s="1"/>
      <c r="V218" s="1"/>
      <c r="BK218" s="4"/>
      <c r="BL218" s="4"/>
      <c r="BM218" s="4"/>
      <c r="BN218" s="4"/>
    </row>
    <row r="219" spans="1:66">
      <c r="A219" s="100" t="str">
        <f t="shared" si="19"/>
        <v>FB_REG_S.XOFX</v>
      </c>
      <c r="B219" s="101">
        <v>11152</v>
      </c>
      <c r="C219" s="101" t="s">
        <v>0</v>
      </c>
      <c r="D219" s="104" t="str">
        <f>$R$8</f>
        <v>Телесигнализация</v>
      </c>
      <c r="Q219" s="11"/>
      <c r="R219" s="11"/>
      <c r="S219" s="11"/>
      <c r="T219" s="11"/>
      <c r="U219" s="1"/>
      <c r="V219" s="1"/>
      <c r="BK219" s="4"/>
      <c r="BL219" s="4"/>
      <c r="BM219" s="4"/>
      <c r="BN219" s="4"/>
    </row>
    <row r="220" spans="1:66">
      <c r="A220" s="100" t="str">
        <f t="shared" si="19"/>
        <v>FB_REG_S.XOFX</v>
      </c>
      <c r="B220" s="101">
        <v>11000</v>
      </c>
      <c r="C220" s="101" t="s">
        <v>5</v>
      </c>
      <c r="D220" s="103">
        <v>2147483680</v>
      </c>
      <c r="Q220" s="11"/>
      <c r="R220" s="11"/>
      <c r="S220" s="11"/>
      <c r="T220" s="11"/>
      <c r="U220" s="1"/>
      <c r="V220" s="1"/>
      <c r="BK220" s="4"/>
      <c r="BL220" s="4"/>
      <c r="BM220" s="4"/>
      <c r="BN220" s="4"/>
    </row>
    <row r="221" spans="1:66">
      <c r="A221" s="19" t="str">
        <f t="shared" si="19"/>
        <v>FB_REG_S.XOFX</v>
      </c>
      <c r="B221" s="11">
        <v>7999</v>
      </c>
      <c r="C221" s="11" t="s">
        <v>0</v>
      </c>
      <c r="D221" s="20" t="str">
        <f>"#"&amp;$S$2&amp;"#"&amp;$T$2&amp;"\"&amp;$P$2&amp;"\XOFX"</f>
        <v>#1#treiOPCDA.CoOPCserv.1\pcmaster\REG_test\XOFX</v>
      </c>
      <c r="Q221" s="11"/>
      <c r="R221" s="11"/>
      <c r="S221" s="11"/>
      <c r="T221" s="11"/>
      <c r="U221" s="1"/>
      <c r="V221" s="1"/>
      <c r="BK221" s="4"/>
      <c r="BL221" s="4"/>
      <c r="BM221" s="4"/>
      <c r="BN221" s="4"/>
    </row>
    <row r="222" spans="1:66">
      <c r="A222" s="19" t="str">
        <f t="shared" si="19"/>
        <v>FB_REG_S.XOFX</v>
      </c>
      <c r="B222" s="11">
        <v>7998</v>
      </c>
      <c r="C222" s="11" t="s">
        <v>6</v>
      </c>
      <c r="D222" s="20">
        <v>1</v>
      </c>
      <c r="Q222" s="11"/>
      <c r="R222" s="11"/>
      <c r="S222" s="11"/>
      <c r="T222" s="11"/>
      <c r="U222" s="1"/>
      <c r="V222" s="1"/>
      <c r="BK222" s="4"/>
      <c r="BL222" s="4"/>
      <c r="BM222" s="4"/>
      <c r="BN222" s="4"/>
    </row>
    <row r="223" spans="1:66">
      <c r="A223" s="19" t="str">
        <f t="shared" si="19"/>
        <v>FB_REG_S.XOFX</v>
      </c>
      <c r="B223" s="11">
        <v>101</v>
      </c>
      <c r="C223" s="11" t="s">
        <v>0</v>
      </c>
      <c r="D223" s="20" t="s">
        <v>197</v>
      </c>
      <c r="Q223" s="11"/>
      <c r="R223" s="11"/>
      <c r="S223" s="11"/>
      <c r="T223" s="11"/>
      <c r="U223" s="1"/>
      <c r="V223" s="1"/>
      <c r="BK223" s="4"/>
      <c r="BL223" s="4"/>
      <c r="BM223" s="4"/>
      <c r="BN223" s="4"/>
    </row>
    <row r="224" spans="1:66">
      <c r="A224" s="19" t="str">
        <f t="shared" si="19"/>
        <v>FB_REG_S.XOFX</v>
      </c>
      <c r="B224" s="11">
        <v>3</v>
      </c>
      <c r="C224" s="11" t="s">
        <v>1</v>
      </c>
      <c r="D224" s="20">
        <v>192</v>
      </c>
      <c r="Q224" s="11"/>
      <c r="R224" s="11"/>
      <c r="S224" s="11"/>
      <c r="T224" s="11"/>
      <c r="U224" s="1"/>
      <c r="V224" s="1"/>
      <c r="BK224" s="4"/>
      <c r="BL224" s="4"/>
      <c r="BM224" s="4"/>
      <c r="BN224" s="4"/>
    </row>
    <row r="225" spans="1:66">
      <c r="A225" s="19" t="str">
        <f t="shared" si="19"/>
        <v>FB_REG_S.XOFX</v>
      </c>
      <c r="B225" s="11">
        <v>2</v>
      </c>
      <c r="C225" s="11" t="s">
        <v>2</v>
      </c>
      <c r="D225" s="20" t="s">
        <v>3</v>
      </c>
      <c r="Q225" s="1"/>
      <c r="R225" s="1"/>
      <c r="S225" s="1"/>
      <c r="T225" s="1"/>
      <c r="U225" s="1"/>
      <c r="V225" s="1"/>
      <c r="BK225" s="4"/>
      <c r="BL225" s="4"/>
      <c r="BM225" s="4"/>
      <c r="BN225" s="4"/>
    </row>
    <row r="226" spans="1:66">
      <c r="A226" s="21" t="str">
        <f t="shared" si="19"/>
        <v>FB_REG_S.XOFX</v>
      </c>
      <c r="B226" s="8">
        <v>1</v>
      </c>
      <c r="C226" s="8" t="s">
        <v>1</v>
      </c>
      <c r="D226" s="22">
        <v>11</v>
      </c>
      <c r="Q226" s="1"/>
      <c r="R226" s="1"/>
      <c r="S226" s="1"/>
      <c r="T226" s="1"/>
      <c r="U226" s="1"/>
      <c r="V226" s="1"/>
      <c r="BK226" s="4"/>
      <c r="BL226" s="4"/>
      <c r="BM226" s="4"/>
      <c r="BN226" s="4"/>
    </row>
    <row r="227" spans="1:66">
      <c r="A227" s="159" t="str">
        <f>$R$2&amp;".XNWX"</f>
        <v>FB_REG_S.XNWX</v>
      </c>
      <c r="B227" s="160">
        <v>11154</v>
      </c>
      <c r="C227" s="160" t="s">
        <v>4</v>
      </c>
      <c r="D227" s="161">
        <f>$Q$8</f>
        <v>18</v>
      </c>
      <c r="Q227" s="1"/>
      <c r="R227" s="1"/>
      <c r="S227" s="1"/>
      <c r="T227" s="1"/>
      <c r="U227" s="1"/>
      <c r="V227" s="1"/>
      <c r="BK227" s="4"/>
      <c r="BL227" s="4"/>
      <c r="BM227" s="4"/>
      <c r="BN227" s="4"/>
    </row>
    <row r="228" spans="1:66">
      <c r="A228" s="100" t="str">
        <f t="shared" ref="A228:A236" si="20">$R$2&amp;".XNWX"</f>
        <v>FB_REG_S.XNWX</v>
      </c>
      <c r="B228" s="101">
        <v>11150</v>
      </c>
      <c r="C228" s="101" t="s">
        <v>0</v>
      </c>
      <c r="D228" s="103" t="s">
        <v>2755</v>
      </c>
      <c r="Q228" s="1"/>
      <c r="R228" s="1"/>
      <c r="S228" s="1"/>
      <c r="T228" s="1"/>
      <c r="U228" s="1"/>
      <c r="V228" s="1"/>
      <c r="BK228" s="4"/>
      <c r="BL228" s="4"/>
      <c r="BM228" s="4"/>
      <c r="BN228" s="4"/>
    </row>
    <row r="229" spans="1:66">
      <c r="A229" s="100" t="str">
        <f t="shared" si="20"/>
        <v>FB_REG_S.XNWX</v>
      </c>
      <c r="B229" s="101">
        <v>11152</v>
      </c>
      <c r="C229" s="101" t="s">
        <v>0</v>
      </c>
      <c r="D229" s="104" t="str">
        <f>$R$8</f>
        <v>Телесигнализация</v>
      </c>
      <c r="Q229" s="11"/>
      <c r="R229" s="11"/>
      <c r="S229" s="11"/>
      <c r="T229" s="11"/>
      <c r="U229" s="1"/>
      <c r="V229" s="1"/>
      <c r="BK229" s="4"/>
      <c r="BL229" s="4"/>
      <c r="BM229" s="4"/>
      <c r="BN229" s="4"/>
    </row>
    <row r="230" spans="1:66">
      <c r="A230" s="100" t="str">
        <f t="shared" si="20"/>
        <v>FB_REG_S.XNWX</v>
      </c>
      <c r="B230" s="101">
        <v>11000</v>
      </c>
      <c r="C230" s="101" t="s">
        <v>5</v>
      </c>
      <c r="D230" s="103">
        <v>2147483680</v>
      </c>
      <c r="Q230" s="11"/>
      <c r="R230" s="11"/>
      <c r="S230" s="11"/>
      <c r="T230" s="11"/>
      <c r="U230" s="1"/>
      <c r="V230" s="1"/>
      <c r="BK230" s="4"/>
      <c r="BL230" s="4"/>
      <c r="BM230" s="4"/>
      <c r="BN230" s="4"/>
    </row>
    <row r="231" spans="1:66">
      <c r="A231" s="19" t="str">
        <f t="shared" si="20"/>
        <v>FB_REG_S.XNWX</v>
      </c>
      <c r="B231" s="11">
        <v>7999</v>
      </c>
      <c r="C231" s="11" t="s">
        <v>0</v>
      </c>
      <c r="D231" s="20" t="str">
        <f>"#"&amp;$S$2&amp;"#"&amp;$T$2&amp;"\"&amp;$P$2&amp;"\XNWX"</f>
        <v>#1#treiOPCDA.CoOPCserv.1\pcmaster\REG_test\XNWX</v>
      </c>
      <c r="Q231" s="11"/>
      <c r="R231" s="11"/>
      <c r="S231" s="11"/>
      <c r="T231" s="11"/>
      <c r="U231" s="1"/>
      <c r="V231" s="1"/>
      <c r="BK231" s="4"/>
      <c r="BL231" s="4"/>
      <c r="BM231" s="4"/>
      <c r="BN231" s="4"/>
    </row>
    <row r="232" spans="1:66">
      <c r="A232" s="19" t="str">
        <f t="shared" si="20"/>
        <v>FB_REG_S.XNWX</v>
      </c>
      <c r="B232" s="11">
        <v>7998</v>
      </c>
      <c r="C232" s="11" t="s">
        <v>6</v>
      </c>
      <c r="D232" s="20">
        <v>1</v>
      </c>
      <c r="Q232" s="11"/>
      <c r="R232" s="11"/>
      <c r="S232" s="11"/>
      <c r="T232" s="11"/>
      <c r="U232" s="1"/>
      <c r="V232" s="1"/>
      <c r="BK232" s="4"/>
      <c r="BL232" s="4"/>
      <c r="BM232" s="4"/>
      <c r="BN232" s="4"/>
    </row>
    <row r="233" spans="1:66">
      <c r="A233" s="19" t="str">
        <f t="shared" si="20"/>
        <v>FB_REG_S.XNWX</v>
      </c>
      <c r="B233" s="11">
        <v>101</v>
      </c>
      <c r="C233" s="11" t="s">
        <v>0</v>
      </c>
      <c r="D233" s="20" t="s">
        <v>2755</v>
      </c>
      <c r="Q233" s="11"/>
      <c r="R233" s="11"/>
      <c r="S233" s="11"/>
      <c r="T233" s="11"/>
      <c r="U233" s="1"/>
      <c r="V233" s="1"/>
      <c r="BK233" s="4"/>
      <c r="BL233" s="4"/>
      <c r="BM233" s="4"/>
      <c r="BN233" s="4"/>
    </row>
    <row r="234" spans="1:66">
      <c r="A234" s="19" t="str">
        <f t="shared" si="20"/>
        <v>FB_REG_S.XNWX</v>
      </c>
      <c r="B234" s="11">
        <v>3</v>
      </c>
      <c r="C234" s="11" t="s">
        <v>1</v>
      </c>
      <c r="D234" s="20">
        <v>192</v>
      </c>
      <c r="Q234" s="11"/>
      <c r="R234" s="11"/>
      <c r="S234" s="11"/>
      <c r="T234" s="11"/>
      <c r="U234" s="1"/>
      <c r="V234" s="1"/>
      <c r="BK234" s="4"/>
      <c r="BL234" s="4"/>
      <c r="BM234" s="4"/>
      <c r="BN234" s="4"/>
    </row>
    <row r="235" spans="1:66">
      <c r="A235" s="19" t="str">
        <f t="shared" si="20"/>
        <v>FB_REG_S.XNWX</v>
      </c>
      <c r="B235" s="11">
        <v>2</v>
      </c>
      <c r="C235" s="11" t="s">
        <v>2</v>
      </c>
      <c r="D235" s="20" t="s">
        <v>3</v>
      </c>
      <c r="Q235" s="1"/>
      <c r="R235" s="1"/>
      <c r="S235" s="1"/>
      <c r="T235" s="1"/>
      <c r="U235" s="1"/>
      <c r="V235" s="1"/>
      <c r="BK235" s="4"/>
      <c r="BL235" s="4"/>
      <c r="BM235" s="4"/>
      <c r="BN235" s="4"/>
    </row>
    <row r="236" spans="1:66">
      <c r="A236" s="21" t="str">
        <f t="shared" si="20"/>
        <v>FB_REG_S.XNWX</v>
      </c>
      <c r="B236" s="8">
        <v>1</v>
      </c>
      <c r="C236" s="8" t="s">
        <v>1</v>
      </c>
      <c r="D236" s="22">
        <v>11</v>
      </c>
      <c r="Q236" s="1"/>
      <c r="R236" s="1"/>
      <c r="S236" s="1"/>
      <c r="T236" s="1"/>
      <c r="U236" s="1"/>
      <c r="V236" s="1"/>
      <c r="BK236" s="4"/>
      <c r="BL236" s="4"/>
      <c r="BM236" s="4"/>
      <c r="BN236" s="4"/>
    </row>
    <row r="237" spans="1:66">
      <c r="A237" s="275" t="str">
        <f>$R$2&amp;".Commands.SFTX"</f>
        <v>FB_REG_S.Commands.SFTX</v>
      </c>
      <c r="B237" s="276">
        <v>1</v>
      </c>
      <c r="C237" s="276" t="s">
        <v>1</v>
      </c>
      <c r="D237" s="277">
        <v>4</v>
      </c>
      <c r="BK237" s="4"/>
      <c r="BL237" s="4"/>
      <c r="BM237" s="4"/>
      <c r="BN237" s="4"/>
    </row>
    <row r="238" spans="1:66">
      <c r="A238" s="278" t="str">
        <f>$R$2&amp;".Commands.SFTX"</f>
        <v>FB_REG_S.Commands.SFTX</v>
      </c>
      <c r="B238" s="279">
        <v>101</v>
      </c>
      <c r="C238" s="279" t="s">
        <v>0</v>
      </c>
      <c r="D238" s="280" t="s">
        <v>622</v>
      </c>
      <c r="BK238" s="4"/>
      <c r="BL238" s="4"/>
      <c r="BM238" s="4"/>
      <c r="BN238" s="4"/>
    </row>
    <row r="239" spans="1:66">
      <c r="A239" s="278" t="str">
        <f>$R$2&amp;".Commands.SFTX"</f>
        <v>FB_REG_S.Commands.SFTX</v>
      </c>
      <c r="B239" s="279">
        <v>7998</v>
      </c>
      <c r="C239" s="279" t="s">
        <v>6</v>
      </c>
      <c r="D239" s="280">
        <v>2</v>
      </c>
      <c r="BK239" s="4"/>
      <c r="BL239" s="4"/>
      <c r="BM239" s="4"/>
      <c r="BN239" s="4"/>
    </row>
    <row r="240" spans="1:66">
      <c r="A240" s="281" t="str">
        <f>$R$2&amp;".Commands.SFTX"</f>
        <v>FB_REG_S.Commands.SFTX</v>
      </c>
      <c r="B240" s="282">
        <v>7999</v>
      </c>
      <c r="C240" s="282" t="s">
        <v>0</v>
      </c>
      <c r="D240" s="283" t="str">
        <f>"#"&amp;$T$5&amp;"#"&amp;$T$2&amp;"\"&amp;$P$2&amp;"\SFTX"</f>
        <v>#1#treiOPCDA.CoOPCserv.1\pcmaster\REG_test\SFTX</v>
      </c>
      <c r="BK240" s="4"/>
      <c r="BL240" s="4"/>
      <c r="BM240" s="4"/>
      <c r="BN240" s="4"/>
    </row>
    <row r="241" spans="1:66">
      <c r="A241" s="275" t="str">
        <f>$R$2&amp;".Commands.SDTX"</f>
        <v>FB_REG_S.Commands.SDTX</v>
      </c>
      <c r="B241" s="276">
        <v>1</v>
      </c>
      <c r="C241" s="276" t="s">
        <v>1</v>
      </c>
      <c r="D241" s="277">
        <v>4</v>
      </c>
      <c r="BK241" s="4"/>
      <c r="BL241" s="4"/>
      <c r="BM241" s="4"/>
      <c r="BN241" s="4"/>
    </row>
    <row r="242" spans="1:66">
      <c r="A242" s="278" t="str">
        <f>$R$2&amp;".Commands.SDTX"</f>
        <v>FB_REG_S.Commands.SDTX</v>
      </c>
      <c r="B242" s="279">
        <v>101</v>
      </c>
      <c r="C242" s="279" t="s">
        <v>0</v>
      </c>
      <c r="D242" s="280" t="s">
        <v>623</v>
      </c>
      <c r="BK242" s="4"/>
      <c r="BL242" s="4"/>
      <c r="BM242" s="4"/>
      <c r="BN242" s="4"/>
    </row>
    <row r="243" spans="1:66">
      <c r="A243" s="278" t="str">
        <f>$R$2&amp;".Commands.SDTX"</f>
        <v>FB_REG_S.Commands.SDTX</v>
      </c>
      <c r="B243" s="279">
        <v>7998</v>
      </c>
      <c r="C243" s="279" t="s">
        <v>6</v>
      </c>
      <c r="D243" s="280">
        <v>2</v>
      </c>
      <c r="BK243" s="4"/>
      <c r="BL243" s="4"/>
      <c r="BM243" s="4"/>
      <c r="BN243" s="4"/>
    </row>
    <row r="244" spans="1:66">
      <c r="A244" s="281" t="str">
        <f>$R$2&amp;".Commands.SDTX"</f>
        <v>FB_REG_S.Commands.SDTX</v>
      </c>
      <c r="B244" s="282">
        <v>7999</v>
      </c>
      <c r="C244" s="282" t="s">
        <v>0</v>
      </c>
      <c r="D244" s="283" t="str">
        <f>"#"&amp;$T$5&amp;"#"&amp;$T$2&amp;"\"&amp;$P$2&amp;"\SDTX"</f>
        <v>#1#treiOPCDA.CoOPCserv.1\pcmaster\REG_test\SDTX</v>
      </c>
      <c r="BK244" s="4"/>
      <c r="BL244" s="4"/>
      <c r="BM244" s="4"/>
      <c r="BN244" s="4"/>
    </row>
    <row r="245" spans="1:66">
      <c r="A245" s="275" t="str">
        <f>$R$2&amp;".Commands.SPCX"</f>
        <v>FB_REG_S.Commands.SPCX</v>
      </c>
      <c r="B245" s="276">
        <v>1</v>
      </c>
      <c r="C245" s="276" t="s">
        <v>1</v>
      </c>
      <c r="D245" s="277">
        <v>4</v>
      </c>
      <c r="BK245" s="4"/>
      <c r="BL245" s="4"/>
      <c r="BM245" s="4"/>
      <c r="BN245" s="4"/>
    </row>
    <row r="246" spans="1:66">
      <c r="A246" s="278" t="str">
        <f>$R$2&amp;".Commands.SPCX"</f>
        <v>FB_REG_S.Commands.SPCX</v>
      </c>
      <c r="B246" s="279">
        <v>101</v>
      </c>
      <c r="C246" s="279" t="s">
        <v>0</v>
      </c>
      <c r="D246" s="280" t="s">
        <v>208</v>
      </c>
      <c r="BK246" s="4"/>
      <c r="BL246" s="4"/>
      <c r="BM246" s="4"/>
      <c r="BN246" s="4"/>
    </row>
    <row r="247" spans="1:66">
      <c r="A247" s="278" t="str">
        <f>$R$2&amp;".Commands.SPCX"</f>
        <v>FB_REG_S.Commands.SPCX</v>
      </c>
      <c r="B247" s="279">
        <v>7998</v>
      </c>
      <c r="C247" s="279" t="s">
        <v>6</v>
      </c>
      <c r="D247" s="280">
        <v>2</v>
      </c>
      <c r="BK247" s="4"/>
      <c r="BL247" s="4"/>
      <c r="BM247" s="4"/>
      <c r="BN247" s="4"/>
    </row>
    <row r="248" spans="1:66">
      <c r="A248" s="281" t="str">
        <f>$R$2&amp;".Commands.SPCX"</f>
        <v>FB_REG_S.Commands.SPCX</v>
      </c>
      <c r="B248" s="282">
        <v>7999</v>
      </c>
      <c r="C248" s="282" t="s">
        <v>0</v>
      </c>
      <c r="D248" s="283" t="str">
        <f>"#"&amp;$T$5&amp;"#"&amp;$T$2&amp;"\"&amp;$P$2&amp;"\SPCX"</f>
        <v>#1#treiOPCDA.CoOPCserv.1\pcmaster\REG_test\SPCX</v>
      </c>
      <c r="BK248" s="4"/>
      <c r="BL248" s="4"/>
      <c r="BM248" s="4"/>
      <c r="BN248" s="4"/>
    </row>
    <row r="249" spans="1:66">
      <c r="A249" s="275" t="str">
        <f>$R$2&amp;".Commands.SDCX"</f>
        <v>FB_REG_S.Commands.SDCX</v>
      </c>
      <c r="B249" s="276">
        <v>1</v>
      </c>
      <c r="C249" s="276" t="s">
        <v>1</v>
      </c>
      <c r="D249" s="277">
        <v>4</v>
      </c>
      <c r="BK249" s="4"/>
      <c r="BL249" s="4"/>
      <c r="BM249" s="4"/>
      <c r="BN249" s="4"/>
    </row>
    <row r="250" spans="1:66">
      <c r="A250" s="278" t="str">
        <f>$R$2&amp;".Commands.SDCX"</f>
        <v>FB_REG_S.Commands.SDCX</v>
      </c>
      <c r="B250" s="279">
        <v>101</v>
      </c>
      <c r="C250" s="279" t="s">
        <v>0</v>
      </c>
      <c r="D250" s="280" t="s">
        <v>209</v>
      </c>
      <c r="BK250" s="4"/>
      <c r="BL250" s="4"/>
      <c r="BM250" s="4"/>
      <c r="BN250" s="4"/>
    </row>
    <row r="251" spans="1:66">
      <c r="A251" s="278" t="str">
        <f>$R$2&amp;".Commands.SDCX"</f>
        <v>FB_REG_S.Commands.SDCX</v>
      </c>
      <c r="B251" s="279">
        <v>7998</v>
      </c>
      <c r="C251" s="279" t="s">
        <v>6</v>
      </c>
      <c r="D251" s="280">
        <v>2</v>
      </c>
      <c r="BK251" s="4"/>
      <c r="BL251" s="4"/>
      <c r="BM251" s="4"/>
      <c r="BN251" s="4"/>
    </row>
    <row r="252" spans="1:66">
      <c r="A252" s="281" t="str">
        <f>$R$2&amp;".Commands.SDCX"</f>
        <v>FB_REG_S.Commands.SDCX</v>
      </c>
      <c r="B252" s="282">
        <v>7999</v>
      </c>
      <c r="C252" s="282" t="s">
        <v>0</v>
      </c>
      <c r="D252" s="283" t="str">
        <f>"#"&amp;$T$5&amp;"#"&amp;$T$2&amp;"\"&amp;$P$2&amp;"\SDCX"</f>
        <v>#1#treiOPCDA.CoOPCserv.1\pcmaster\REG_test\SDCX</v>
      </c>
      <c r="BK252" s="4"/>
      <c r="BL252" s="4"/>
      <c r="BM252" s="4"/>
      <c r="BN252" s="4"/>
    </row>
    <row r="253" spans="1:66">
      <c r="A253" s="275" t="str">
        <f>$R$2&amp;".Commands.SICX"</f>
        <v>FB_REG_S.Commands.SICX</v>
      </c>
      <c r="B253" s="276">
        <v>1</v>
      </c>
      <c r="C253" s="276" t="s">
        <v>1</v>
      </c>
      <c r="D253" s="277">
        <v>4</v>
      </c>
      <c r="BK253" s="4"/>
      <c r="BL253" s="4"/>
      <c r="BM253" s="4"/>
      <c r="BN253" s="4"/>
    </row>
    <row r="254" spans="1:66">
      <c r="A254" s="278" t="str">
        <f>$R$2&amp;".Commands.SICX"</f>
        <v>FB_REG_S.Commands.SICX</v>
      </c>
      <c r="B254" s="279">
        <v>101</v>
      </c>
      <c r="C254" s="279" t="s">
        <v>0</v>
      </c>
      <c r="D254" s="280" t="s">
        <v>210</v>
      </c>
      <c r="BK254" s="4"/>
      <c r="BL254" s="4"/>
      <c r="BM254" s="4"/>
      <c r="BN254" s="4"/>
    </row>
    <row r="255" spans="1:66">
      <c r="A255" s="278" t="str">
        <f>$R$2&amp;".Commands.SICX"</f>
        <v>FB_REG_S.Commands.SICX</v>
      </c>
      <c r="B255" s="279">
        <v>7998</v>
      </c>
      <c r="C255" s="279" t="s">
        <v>6</v>
      </c>
      <c r="D255" s="280">
        <v>2</v>
      </c>
      <c r="BK255" s="4"/>
      <c r="BL255" s="4"/>
      <c r="BM255" s="4"/>
      <c r="BN255" s="4"/>
    </row>
    <row r="256" spans="1:66">
      <c r="A256" s="281" t="str">
        <f>$R$2&amp;".Commands.SICX"</f>
        <v>FB_REG_S.Commands.SICX</v>
      </c>
      <c r="B256" s="282">
        <v>7999</v>
      </c>
      <c r="C256" s="282" t="s">
        <v>0</v>
      </c>
      <c r="D256" s="283" t="str">
        <f>"#"&amp;$T$5&amp;"#"&amp;$T$2&amp;"\"&amp;$P$2&amp;"\SICX"</f>
        <v>#1#treiOPCDA.CoOPCserv.1\pcmaster\REG_test\SICX</v>
      </c>
      <c r="BK256" s="4"/>
      <c r="BL256" s="4"/>
      <c r="BM256" s="4"/>
      <c r="BN256" s="4"/>
    </row>
    <row r="257" spans="1:66">
      <c r="A257" s="275" t="str">
        <f>$R$2&amp;".Commands.SBSX"</f>
        <v>FB_REG_S.Commands.SBSX</v>
      </c>
      <c r="B257" s="276">
        <v>1</v>
      </c>
      <c r="C257" s="276" t="s">
        <v>1</v>
      </c>
      <c r="D257" s="277">
        <v>4</v>
      </c>
      <c r="BK257" s="4"/>
      <c r="BL257" s="4"/>
      <c r="BM257" s="4"/>
      <c r="BN257" s="4"/>
    </row>
    <row r="258" spans="1:66">
      <c r="A258" s="278" t="str">
        <f>$R$2&amp;".Commands.SBSX"</f>
        <v>FB_REG_S.Commands.SBSX</v>
      </c>
      <c r="B258" s="279">
        <v>101</v>
      </c>
      <c r="C258" s="279" t="s">
        <v>0</v>
      </c>
      <c r="D258" s="280" t="s">
        <v>211</v>
      </c>
      <c r="BK258" s="4"/>
      <c r="BL258" s="4"/>
      <c r="BM258" s="4"/>
      <c r="BN258" s="4"/>
    </row>
    <row r="259" spans="1:66">
      <c r="A259" s="278" t="str">
        <f>$R$2&amp;".Commands.SBSX"</f>
        <v>FB_REG_S.Commands.SBSX</v>
      </c>
      <c r="B259" s="279">
        <v>7998</v>
      </c>
      <c r="C259" s="279" t="s">
        <v>6</v>
      </c>
      <c r="D259" s="280">
        <v>2</v>
      </c>
      <c r="BK259" s="4"/>
      <c r="BL259" s="4"/>
      <c r="BM259" s="4"/>
      <c r="BN259" s="4"/>
    </row>
    <row r="260" spans="1:66">
      <c r="A260" s="281" t="str">
        <f>$R$2&amp;".Commands.SBSX"</f>
        <v>FB_REG_S.Commands.SBSX</v>
      </c>
      <c r="B260" s="282">
        <v>7999</v>
      </c>
      <c r="C260" s="282" t="s">
        <v>0</v>
      </c>
      <c r="D260" s="283" t="str">
        <f>"#"&amp;$T$5&amp;"#"&amp;$T$2&amp;"\"&amp;$P$2&amp;"\SBSX"</f>
        <v>#1#treiOPCDA.CoOPCserv.1\pcmaster\REG_test\SBSX</v>
      </c>
      <c r="BK260" s="4"/>
      <c r="BL260" s="4"/>
      <c r="BM260" s="4"/>
      <c r="BN260" s="4"/>
    </row>
    <row r="261" spans="1:66">
      <c r="A261" s="275" t="str">
        <f>$R$2&amp;".Commands.SSPH"</f>
        <v>FB_REG_S.Commands.SSPH</v>
      </c>
      <c r="B261" s="276">
        <v>1</v>
      </c>
      <c r="C261" s="276" t="s">
        <v>1</v>
      </c>
      <c r="D261" s="277">
        <v>4</v>
      </c>
      <c r="BK261" s="4"/>
      <c r="BL261" s="4"/>
      <c r="BM261" s="4"/>
      <c r="BN261" s="4"/>
    </row>
    <row r="262" spans="1:66">
      <c r="A262" s="278" t="str">
        <f t="shared" ref="A262:A264" si="21">$R$2&amp;".Commands.SSPH"</f>
        <v>FB_REG_S.Commands.SSPH</v>
      </c>
      <c r="B262" s="279">
        <v>101</v>
      </c>
      <c r="C262" s="279" t="s">
        <v>0</v>
      </c>
      <c r="D262" s="280" t="s">
        <v>214</v>
      </c>
      <c r="BK262" s="4"/>
      <c r="BL262" s="4"/>
      <c r="BM262" s="4"/>
      <c r="BN262" s="4"/>
    </row>
    <row r="263" spans="1:66">
      <c r="A263" s="278" t="str">
        <f t="shared" si="21"/>
        <v>FB_REG_S.Commands.SSPH</v>
      </c>
      <c r="B263" s="279">
        <v>7998</v>
      </c>
      <c r="C263" s="279" t="s">
        <v>6</v>
      </c>
      <c r="D263" s="280">
        <v>2</v>
      </c>
      <c r="BK263" s="4"/>
      <c r="BL263" s="4"/>
      <c r="BM263" s="4"/>
      <c r="BN263" s="4"/>
    </row>
    <row r="264" spans="1:66">
      <c r="A264" s="281" t="str">
        <f t="shared" si="21"/>
        <v>FB_REG_S.Commands.SSPH</v>
      </c>
      <c r="B264" s="282">
        <v>7999</v>
      </c>
      <c r="C264" s="282" t="s">
        <v>0</v>
      </c>
      <c r="D264" s="283" t="str">
        <f>"#"&amp;$T$5&amp;"#"&amp;$T$2&amp;"\"&amp;$P$2&amp;"\SSPH"</f>
        <v>#1#treiOPCDA.CoOPCserv.1\pcmaster\REG_test\SSPH</v>
      </c>
      <c r="BK264" s="4"/>
      <c r="BL264" s="4"/>
      <c r="BM264" s="4"/>
      <c r="BN264" s="4"/>
    </row>
    <row r="265" spans="1:66">
      <c r="A265" s="275" t="str">
        <f>$R$2&amp;".Commands.SSPL"</f>
        <v>FB_REG_S.Commands.SSPL</v>
      </c>
      <c r="B265" s="276">
        <v>1</v>
      </c>
      <c r="C265" s="276" t="s">
        <v>1</v>
      </c>
      <c r="D265" s="277">
        <v>4</v>
      </c>
      <c r="BK265" s="4"/>
      <c r="BL265" s="4"/>
      <c r="BM265" s="4"/>
      <c r="BN265" s="4"/>
    </row>
    <row r="266" spans="1:66">
      <c r="A266" s="278" t="str">
        <f t="shared" ref="A266:A268" si="22">$R$2&amp;".Commands.SSPL"</f>
        <v>FB_REG_S.Commands.SSPL</v>
      </c>
      <c r="B266" s="279">
        <v>101</v>
      </c>
      <c r="C266" s="279" t="s">
        <v>0</v>
      </c>
      <c r="D266" s="280" t="s">
        <v>215</v>
      </c>
      <c r="BK266" s="4"/>
      <c r="BL266" s="4"/>
      <c r="BM266" s="4"/>
      <c r="BN266" s="4"/>
    </row>
    <row r="267" spans="1:66">
      <c r="A267" s="278" t="str">
        <f t="shared" si="22"/>
        <v>FB_REG_S.Commands.SSPL</v>
      </c>
      <c r="B267" s="279">
        <v>7998</v>
      </c>
      <c r="C267" s="279" t="s">
        <v>6</v>
      </c>
      <c r="D267" s="280">
        <v>2</v>
      </c>
      <c r="BK267" s="4"/>
      <c r="BL267" s="4"/>
      <c r="BM267" s="4"/>
      <c r="BN267" s="4"/>
    </row>
    <row r="268" spans="1:66">
      <c r="A268" s="281" t="str">
        <f t="shared" si="22"/>
        <v>FB_REG_S.Commands.SSPL</v>
      </c>
      <c r="B268" s="282">
        <v>7999</v>
      </c>
      <c r="C268" s="282" t="s">
        <v>0</v>
      </c>
      <c r="D268" s="283" t="str">
        <f>"#"&amp;$T$5&amp;"#"&amp;$T$2&amp;"\"&amp;$P$2&amp;"\SSPL"</f>
        <v>#1#treiOPCDA.CoOPCserv.1\pcmaster\REG_test\SSPL</v>
      </c>
      <c r="BK268" s="4"/>
      <c r="BL268" s="4"/>
      <c r="BM268" s="4"/>
      <c r="BN268" s="4"/>
    </row>
    <row r="269" spans="1:66">
      <c r="A269" s="275" t="str">
        <f>$R$2&amp;".Commands.SCAH"</f>
        <v>FB_REG_S.Commands.SCAH</v>
      </c>
      <c r="B269" s="276">
        <v>1</v>
      </c>
      <c r="C269" s="276" t="s">
        <v>1</v>
      </c>
      <c r="D269" s="277">
        <v>4</v>
      </c>
      <c r="BK269" s="4"/>
      <c r="BL269" s="4"/>
      <c r="BM269" s="4"/>
      <c r="BN269" s="4"/>
    </row>
    <row r="270" spans="1:66">
      <c r="A270" s="278" t="str">
        <f t="shared" ref="A270:A272" si="23">$R$2&amp;".Commands.SCAH"</f>
        <v>FB_REG_S.Commands.SCAH</v>
      </c>
      <c r="B270" s="279">
        <v>101</v>
      </c>
      <c r="C270" s="279" t="s">
        <v>0</v>
      </c>
      <c r="D270" s="280" t="s">
        <v>216</v>
      </c>
      <c r="BK270" s="4"/>
      <c r="BL270" s="4"/>
      <c r="BM270" s="4"/>
      <c r="BN270" s="4"/>
    </row>
    <row r="271" spans="1:66">
      <c r="A271" s="278" t="str">
        <f t="shared" si="23"/>
        <v>FB_REG_S.Commands.SCAH</v>
      </c>
      <c r="B271" s="279">
        <v>7998</v>
      </c>
      <c r="C271" s="279" t="s">
        <v>6</v>
      </c>
      <c r="D271" s="280">
        <v>2</v>
      </c>
      <c r="BK271" s="4"/>
      <c r="BL271" s="4"/>
      <c r="BM271" s="4"/>
      <c r="BN271" s="4"/>
    </row>
    <row r="272" spans="1:66">
      <c r="A272" s="281" t="str">
        <f t="shared" si="23"/>
        <v>FB_REG_S.Commands.SCAH</v>
      </c>
      <c r="B272" s="282">
        <v>7999</v>
      </c>
      <c r="C272" s="282" t="s">
        <v>0</v>
      </c>
      <c r="D272" s="283" t="str">
        <f>"#"&amp;$T$5&amp;"#"&amp;$T$2&amp;"\"&amp;$P$2&amp;"\SCAH"</f>
        <v>#1#treiOPCDA.CoOPCserv.1\pcmaster\REG_test\SCAH</v>
      </c>
      <c r="BK272" s="4"/>
      <c r="BL272" s="4"/>
      <c r="BM272" s="4"/>
      <c r="BN272" s="4"/>
    </row>
    <row r="273" spans="1:66">
      <c r="A273" s="275" t="str">
        <f>$R$2&amp;".Commands.SCAL"</f>
        <v>FB_REG_S.Commands.SCAL</v>
      </c>
      <c r="B273" s="276">
        <v>1</v>
      </c>
      <c r="C273" s="276" t="s">
        <v>1</v>
      </c>
      <c r="D273" s="277">
        <v>4</v>
      </c>
      <c r="BK273" s="4"/>
      <c r="BL273" s="4"/>
      <c r="BM273" s="4"/>
      <c r="BN273" s="4"/>
    </row>
    <row r="274" spans="1:66">
      <c r="A274" s="278" t="str">
        <f t="shared" ref="A274:A276" si="24">$R$2&amp;".Commands.SCAL"</f>
        <v>FB_REG_S.Commands.SCAL</v>
      </c>
      <c r="B274" s="279">
        <v>101</v>
      </c>
      <c r="C274" s="279" t="s">
        <v>0</v>
      </c>
      <c r="D274" s="280" t="s">
        <v>217</v>
      </c>
      <c r="BK274" s="4"/>
      <c r="BL274" s="4"/>
      <c r="BM274" s="4"/>
      <c r="BN274" s="4"/>
    </row>
    <row r="275" spans="1:66">
      <c r="A275" s="278" t="str">
        <f t="shared" si="24"/>
        <v>FB_REG_S.Commands.SCAL</v>
      </c>
      <c r="B275" s="279">
        <v>7998</v>
      </c>
      <c r="C275" s="279" t="s">
        <v>6</v>
      </c>
      <c r="D275" s="280">
        <v>2</v>
      </c>
      <c r="BK275" s="4"/>
      <c r="BL275" s="4"/>
      <c r="BM275" s="4"/>
      <c r="BN275" s="4"/>
    </row>
    <row r="276" spans="1:66">
      <c r="A276" s="281" t="str">
        <f t="shared" si="24"/>
        <v>FB_REG_S.Commands.SCAL</v>
      </c>
      <c r="B276" s="282">
        <v>7999</v>
      </c>
      <c r="C276" s="282" t="s">
        <v>0</v>
      </c>
      <c r="D276" s="283" t="str">
        <f>"#"&amp;$T$5&amp;"#"&amp;$T$2&amp;"\"&amp;$P$2&amp;"\SCAL"</f>
        <v>#1#treiOPCDA.CoOPCserv.1\pcmaster\REG_test\SCAL</v>
      </c>
      <c r="BK276" s="4"/>
      <c r="BL276" s="4"/>
      <c r="BM276" s="4"/>
      <c r="BN276" s="4"/>
    </row>
    <row r="277" spans="1:66">
      <c r="A277" s="275" t="str">
        <f>$R$2&amp;".Commands.SOPX"</f>
        <v>FB_REG_S.Commands.SOPX</v>
      </c>
      <c r="B277" s="276">
        <v>1</v>
      </c>
      <c r="C277" s="276" t="s">
        <v>1</v>
      </c>
      <c r="D277" s="277">
        <v>4</v>
      </c>
      <c r="BK277" s="4"/>
      <c r="BL277" s="4"/>
      <c r="BM277" s="4"/>
      <c r="BN277" s="4"/>
    </row>
    <row r="278" spans="1:66">
      <c r="A278" s="278" t="str">
        <f t="shared" ref="A278:A280" si="25">$R$2&amp;".Commands.SOPX"</f>
        <v>FB_REG_S.Commands.SOPX</v>
      </c>
      <c r="B278" s="279">
        <v>101</v>
      </c>
      <c r="C278" s="279" t="s">
        <v>0</v>
      </c>
      <c r="D278" s="280" t="s">
        <v>218</v>
      </c>
      <c r="BK278" s="4"/>
      <c r="BL278" s="4"/>
      <c r="BM278" s="4"/>
      <c r="BN278" s="4"/>
    </row>
    <row r="279" spans="1:66">
      <c r="A279" s="278" t="str">
        <f t="shared" si="25"/>
        <v>FB_REG_S.Commands.SOPX</v>
      </c>
      <c r="B279" s="279">
        <v>7998</v>
      </c>
      <c r="C279" s="279" t="s">
        <v>6</v>
      </c>
      <c r="D279" s="280">
        <v>2</v>
      </c>
      <c r="BK279" s="4"/>
      <c r="BL279" s="4"/>
      <c r="BM279" s="4"/>
      <c r="BN279" s="4"/>
    </row>
    <row r="280" spans="1:66">
      <c r="A280" s="281" t="str">
        <f t="shared" si="25"/>
        <v>FB_REG_S.Commands.SOPX</v>
      </c>
      <c r="B280" s="282">
        <v>7999</v>
      </c>
      <c r="C280" s="282" t="s">
        <v>0</v>
      </c>
      <c r="D280" s="283" t="str">
        <f>"#"&amp;$T$5&amp;"#"&amp;$T$2&amp;"\"&amp;$P$2&amp;"\SOPX"</f>
        <v>#1#treiOPCDA.CoOPCserv.1\pcmaster\REG_test\SOPX</v>
      </c>
      <c r="BK280" s="4"/>
      <c r="BL280" s="4"/>
      <c r="BM280" s="4"/>
      <c r="BN280" s="4"/>
    </row>
    <row r="281" spans="1:66">
      <c r="A281" s="275" t="str">
        <f>$R$2&amp;".Commands.SDBX"</f>
        <v>FB_REG_S.Commands.SDBX</v>
      </c>
      <c r="B281" s="276">
        <v>1</v>
      </c>
      <c r="C281" s="276" t="s">
        <v>1</v>
      </c>
      <c r="D281" s="277">
        <v>4</v>
      </c>
      <c r="BK281" s="4"/>
      <c r="BL281" s="4"/>
      <c r="BM281" s="4"/>
      <c r="BN281" s="4"/>
    </row>
    <row r="282" spans="1:66">
      <c r="A282" s="278" t="str">
        <f>$R$2&amp;".Commands.SDBX"</f>
        <v>FB_REG_S.Commands.SDBX</v>
      </c>
      <c r="B282" s="279">
        <v>101</v>
      </c>
      <c r="C282" s="279" t="s">
        <v>0</v>
      </c>
      <c r="D282" s="280" t="s">
        <v>219</v>
      </c>
      <c r="BK282" s="4"/>
      <c r="BL282" s="4"/>
      <c r="BM282" s="4"/>
      <c r="BN282" s="4"/>
    </row>
    <row r="283" spans="1:66">
      <c r="A283" s="278" t="str">
        <f>$R$2&amp;".Commands.SDBX"</f>
        <v>FB_REG_S.Commands.SDBX</v>
      </c>
      <c r="B283" s="279">
        <v>7998</v>
      </c>
      <c r="C283" s="279" t="s">
        <v>6</v>
      </c>
      <c r="D283" s="280">
        <v>2</v>
      </c>
      <c r="BK283" s="4"/>
      <c r="BL283" s="4"/>
      <c r="BM283" s="4"/>
      <c r="BN283" s="4"/>
    </row>
    <row r="284" spans="1:66">
      <c r="A284" s="281" t="str">
        <f>$R$2&amp;".Commands.SDBX"</f>
        <v>FB_REG_S.Commands.SDBX</v>
      </c>
      <c r="B284" s="282">
        <v>7999</v>
      </c>
      <c r="C284" s="282" t="s">
        <v>0</v>
      </c>
      <c r="D284" s="283" t="str">
        <f>"#"&amp;$T$5&amp;"#"&amp;$T$2&amp;"\"&amp;$P$2&amp;"\SDBX"</f>
        <v>#1#treiOPCDA.CoOPCserv.1\pcmaster\REG_test\SDBX</v>
      </c>
      <c r="BK284" s="4"/>
      <c r="BL284" s="4"/>
      <c r="BM284" s="4"/>
      <c r="BN284" s="4"/>
    </row>
    <row r="285" spans="1:66">
      <c r="A285" s="275" t="str">
        <f>$R$2&amp;".Commands.SEPX"</f>
        <v>FB_REG_S.Commands.SEPX</v>
      </c>
      <c r="B285" s="276">
        <v>1</v>
      </c>
      <c r="C285" s="276" t="s">
        <v>1</v>
      </c>
      <c r="D285" s="277">
        <v>4</v>
      </c>
      <c r="BK285" s="4"/>
      <c r="BL285" s="4"/>
      <c r="BM285" s="4"/>
      <c r="BN285" s="4"/>
    </row>
    <row r="286" spans="1:66">
      <c r="A286" s="278" t="str">
        <f>$R$2&amp;".Commands.SEPX"</f>
        <v>FB_REG_S.Commands.SEPX</v>
      </c>
      <c r="B286" s="279">
        <v>101</v>
      </c>
      <c r="C286" s="279" t="s">
        <v>0</v>
      </c>
      <c r="D286" s="280" t="s">
        <v>220</v>
      </c>
      <c r="BK286" s="4"/>
      <c r="BL286" s="4"/>
      <c r="BM286" s="4"/>
      <c r="BN286" s="4"/>
    </row>
    <row r="287" spans="1:66">
      <c r="A287" s="278" t="str">
        <f>$R$2&amp;".Commands.SEPX"</f>
        <v>FB_REG_S.Commands.SEPX</v>
      </c>
      <c r="B287" s="279">
        <v>7998</v>
      </c>
      <c r="C287" s="279" t="s">
        <v>6</v>
      </c>
      <c r="D287" s="280">
        <v>2</v>
      </c>
      <c r="BK287" s="4"/>
      <c r="BL287" s="4"/>
      <c r="BM287" s="4"/>
      <c r="BN287" s="4"/>
    </row>
    <row r="288" spans="1:66">
      <c r="A288" s="281" t="str">
        <f>$R$2&amp;".Commands.SEPX"</f>
        <v>FB_REG_S.Commands.SEPX</v>
      </c>
      <c r="B288" s="282">
        <v>7999</v>
      </c>
      <c r="C288" s="282" t="s">
        <v>0</v>
      </c>
      <c r="D288" s="283" t="str">
        <f>"#"&amp;$T$5&amp;"#"&amp;$T$2&amp;"\"&amp;$P$2&amp;"\SEPX"</f>
        <v>#1#treiOPCDA.CoOPCserv.1\pcmaster\REG_test\SEPX</v>
      </c>
      <c r="BK288" s="4"/>
      <c r="BL288" s="4"/>
      <c r="BM288" s="4"/>
      <c r="BN288" s="4"/>
    </row>
    <row r="289" spans="1:66">
      <c r="A289" s="275" t="str">
        <f>$R$2&amp;".Commands.SMVX"</f>
        <v>FB_REG_S.Commands.SMVX</v>
      </c>
      <c r="B289" s="276">
        <v>1</v>
      </c>
      <c r="C289" s="276" t="s">
        <v>1</v>
      </c>
      <c r="D289" s="277">
        <v>4</v>
      </c>
      <c r="BK289" s="4"/>
      <c r="BL289" s="4"/>
      <c r="BM289" s="4"/>
      <c r="BN289" s="4"/>
    </row>
    <row r="290" spans="1:66">
      <c r="A290" s="278" t="str">
        <f>$R$2&amp;".Commands.SMVX"</f>
        <v>FB_REG_S.Commands.SMVX</v>
      </c>
      <c r="B290" s="279">
        <v>101</v>
      </c>
      <c r="C290" s="279" t="s">
        <v>0</v>
      </c>
      <c r="D290" s="280" t="s">
        <v>221</v>
      </c>
      <c r="BK290" s="4"/>
      <c r="BL290" s="4"/>
      <c r="BM290" s="4"/>
      <c r="BN290" s="4"/>
    </row>
    <row r="291" spans="1:66">
      <c r="A291" s="278" t="str">
        <f>$R$2&amp;".Commands.SMVX"</f>
        <v>FB_REG_S.Commands.SMVX</v>
      </c>
      <c r="B291" s="279">
        <v>7998</v>
      </c>
      <c r="C291" s="279" t="s">
        <v>6</v>
      </c>
      <c r="D291" s="280">
        <v>2</v>
      </c>
      <c r="BK291" s="4"/>
      <c r="BL291" s="4"/>
      <c r="BM291" s="4"/>
      <c r="BN291" s="4"/>
    </row>
    <row r="292" spans="1:66">
      <c r="A292" s="281" t="str">
        <f>$R$2&amp;".Commands.SMVX"</f>
        <v>FB_REG_S.Commands.SMVX</v>
      </c>
      <c r="B292" s="282">
        <v>7999</v>
      </c>
      <c r="C292" s="282" t="s">
        <v>0</v>
      </c>
      <c r="D292" s="283" t="str">
        <f>"#"&amp;$T$5&amp;"#"&amp;$T$2&amp;"\"&amp;$P$2&amp;"\SMVX"</f>
        <v>#1#treiOPCDA.CoOPCserv.1\pcmaster\REG_test\SMVX</v>
      </c>
      <c r="BK292" s="4"/>
      <c r="BL292" s="4"/>
      <c r="BM292" s="4"/>
      <c r="BN292" s="4"/>
    </row>
    <row r="293" spans="1:66">
      <c r="A293" s="275" t="str">
        <f>$R$2&amp;".Commands.SBPX"</f>
        <v>FB_REG_S.Commands.SBPX</v>
      </c>
      <c r="B293" s="276">
        <v>1</v>
      </c>
      <c r="C293" s="276" t="s">
        <v>1</v>
      </c>
      <c r="D293" s="277">
        <v>4</v>
      </c>
      <c r="BK293" s="4"/>
      <c r="BL293" s="4"/>
      <c r="BM293" s="4"/>
      <c r="BN293" s="4"/>
    </row>
    <row r="294" spans="1:66">
      <c r="A294" s="278" t="str">
        <f>$R$2&amp;".Commands.SBPX"</f>
        <v>FB_REG_S.Commands.SBPX</v>
      </c>
      <c r="B294" s="279">
        <v>101</v>
      </c>
      <c r="C294" s="279" t="s">
        <v>0</v>
      </c>
      <c r="D294" s="280" t="s">
        <v>624</v>
      </c>
      <c r="BK294" s="4"/>
      <c r="BL294" s="4"/>
      <c r="BM294" s="4"/>
      <c r="BN294" s="4"/>
    </row>
    <row r="295" spans="1:66">
      <c r="A295" s="278" t="str">
        <f>$R$2&amp;".Commands.SBPX"</f>
        <v>FB_REG_S.Commands.SBPX</v>
      </c>
      <c r="B295" s="279">
        <v>7998</v>
      </c>
      <c r="C295" s="279" t="s">
        <v>6</v>
      </c>
      <c r="D295" s="280">
        <v>2</v>
      </c>
      <c r="BK295" s="4"/>
      <c r="BL295" s="4"/>
      <c r="BM295" s="4"/>
      <c r="BN295" s="4"/>
    </row>
    <row r="296" spans="1:66">
      <c r="A296" s="281" t="str">
        <f>$R$2&amp;".Commands.SBPX"</f>
        <v>FB_REG_S.Commands.SBPX</v>
      </c>
      <c r="B296" s="282">
        <v>7999</v>
      </c>
      <c r="C296" s="282" t="s">
        <v>0</v>
      </c>
      <c r="D296" s="283" t="str">
        <f>"#"&amp;$T$5&amp;"#"&amp;$T$2&amp;"\"&amp;$P$2&amp;"\SBPX"</f>
        <v>#1#treiOPCDA.CoOPCserv.1\pcmaster\REG_test\SBPX</v>
      </c>
      <c r="BK296" s="4"/>
      <c r="BL296" s="4"/>
      <c r="BM296" s="4"/>
      <c r="BN296" s="4"/>
    </row>
    <row r="297" spans="1:66">
      <c r="A297" s="275" t="str">
        <f>$R$2&amp;".Commands.SSPX"</f>
        <v>FB_REG_S.Commands.SSPX</v>
      </c>
      <c r="B297" s="276">
        <v>1</v>
      </c>
      <c r="C297" s="276" t="s">
        <v>1</v>
      </c>
      <c r="D297" s="277">
        <v>4</v>
      </c>
      <c r="BK297" s="4"/>
      <c r="BL297" s="4"/>
      <c r="BM297" s="4"/>
      <c r="BN297" s="4"/>
    </row>
    <row r="298" spans="1:66">
      <c r="A298" s="278" t="str">
        <f t="shared" ref="A298:A300" si="26">$R$2&amp;".Commands.SSPX"</f>
        <v>FB_REG_S.Commands.SSPX</v>
      </c>
      <c r="B298" s="279">
        <v>101</v>
      </c>
      <c r="C298" s="279" t="s">
        <v>0</v>
      </c>
      <c r="D298" s="280" t="s">
        <v>213</v>
      </c>
      <c r="BK298" s="4"/>
      <c r="BL298" s="4"/>
      <c r="BM298" s="4"/>
      <c r="BN298" s="4"/>
    </row>
    <row r="299" spans="1:66">
      <c r="A299" s="278" t="str">
        <f t="shared" si="26"/>
        <v>FB_REG_S.Commands.SSPX</v>
      </c>
      <c r="B299" s="279">
        <v>7998</v>
      </c>
      <c r="C299" s="279" t="s">
        <v>6</v>
      </c>
      <c r="D299" s="280">
        <v>2</v>
      </c>
      <c r="BK299" s="4"/>
      <c r="BL299" s="4"/>
      <c r="BM299" s="4"/>
      <c r="BN299" s="4"/>
    </row>
    <row r="300" spans="1:66">
      <c r="A300" s="281" t="str">
        <f t="shared" si="26"/>
        <v>FB_REG_S.Commands.SSPX</v>
      </c>
      <c r="B300" s="282">
        <v>7999</v>
      </c>
      <c r="C300" s="282" t="s">
        <v>0</v>
      </c>
      <c r="D300" s="283" t="str">
        <f>"#"&amp;$T$5&amp;"#"&amp;$T$2&amp;"\"&amp;$P$2&amp;"\SSPX"</f>
        <v>#1#treiOPCDA.CoOPCserv.1\pcmaster\REG_test\SSPX</v>
      </c>
      <c r="BK300" s="4"/>
      <c r="BL300" s="4"/>
      <c r="BM300" s="4"/>
      <c r="BN300" s="4"/>
    </row>
    <row r="301" spans="1:66">
      <c r="A301" s="266" t="str">
        <f>$R$2&amp;".Commands.SWSX"</f>
        <v>FB_REG_S.Commands.SWSX</v>
      </c>
      <c r="B301" s="267">
        <v>1</v>
      </c>
      <c r="C301" s="267" t="s">
        <v>1</v>
      </c>
      <c r="D301" s="268">
        <v>3</v>
      </c>
      <c r="BK301" s="4"/>
      <c r="BL301" s="4"/>
      <c r="BM301" s="4"/>
      <c r="BN301" s="4"/>
    </row>
    <row r="302" spans="1:66">
      <c r="A302" s="269" t="str">
        <f>$R$2&amp;".Commands.SWSX"</f>
        <v>FB_REG_S.Commands.SWSX</v>
      </c>
      <c r="B302" s="270">
        <v>101</v>
      </c>
      <c r="C302" s="270" t="s">
        <v>0</v>
      </c>
      <c r="D302" s="271" t="s">
        <v>212</v>
      </c>
      <c r="BK302" s="4"/>
      <c r="BL302" s="4"/>
      <c r="BM302" s="4"/>
      <c r="BN302" s="4"/>
    </row>
    <row r="303" spans="1:66">
      <c r="A303" s="269" t="str">
        <f>$R$2&amp;".Commands.SWSX"</f>
        <v>FB_REG_S.Commands.SWSX</v>
      </c>
      <c r="B303" s="270">
        <v>7998</v>
      </c>
      <c r="C303" s="270" t="s">
        <v>6</v>
      </c>
      <c r="D303" s="271">
        <v>2</v>
      </c>
      <c r="BK303" s="4"/>
      <c r="BL303" s="4"/>
      <c r="BM303" s="4"/>
      <c r="BN303" s="4"/>
    </row>
    <row r="304" spans="1:66">
      <c r="A304" s="272" t="str">
        <f>$R$2&amp;".Commands.SWSX"</f>
        <v>FB_REG_S.Commands.SWSX</v>
      </c>
      <c r="B304" s="273">
        <v>7999</v>
      </c>
      <c r="C304" s="273" t="s">
        <v>0</v>
      </c>
      <c r="D304" s="274" t="str">
        <f>"#"&amp;$T$5&amp;"#"&amp;$T$2&amp;"\"&amp;$P$2&amp;"\SWSX"</f>
        <v>#1#treiOPCDA.CoOPCserv.1\pcmaster\REG_test\SWSX</v>
      </c>
    </row>
    <row r="305" spans="1:4">
      <c r="A305" s="266" t="str">
        <f>$R$2&amp;".Commands.SMVT"</f>
        <v>FB_REG_S.Commands.SMVT</v>
      </c>
      <c r="B305" s="267">
        <v>1</v>
      </c>
      <c r="C305" s="267" t="s">
        <v>1</v>
      </c>
      <c r="D305" s="268">
        <v>3</v>
      </c>
    </row>
    <row r="306" spans="1:4">
      <c r="A306" s="269" t="str">
        <f>$R$2&amp;".Commands.SMVT"</f>
        <v>FB_REG_S.Commands.SMVT</v>
      </c>
      <c r="B306" s="270">
        <v>101</v>
      </c>
      <c r="C306" s="270" t="s">
        <v>0</v>
      </c>
      <c r="D306" s="271" t="s">
        <v>222</v>
      </c>
    </row>
    <row r="307" spans="1:4">
      <c r="A307" s="269" t="str">
        <f>$R$2&amp;".Commands.SMVT"</f>
        <v>FB_REG_S.Commands.SMVT</v>
      </c>
      <c r="B307" s="270">
        <v>7998</v>
      </c>
      <c r="C307" s="270" t="s">
        <v>6</v>
      </c>
      <c r="D307" s="271">
        <v>2</v>
      </c>
    </row>
    <row r="308" spans="1:4">
      <c r="A308" s="272" t="str">
        <f>$R$2&amp;".Commands.SMVT"</f>
        <v>FB_REG_S.Commands.SMVT</v>
      </c>
      <c r="B308" s="273">
        <v>7999</v>
      </c>
      <c r="C308" s="273" t="s">
        <v>0</v>
      </c>
      <c r="D308" s="274" t="str">
        <f>"#"&amp;$T$5&amp;"#"&amp;$T$2&amp;"\"&amp;$P$2&amp;"\SMVT"</f>
        <v>#1#treiOPCDA.CoOPCserv.1\pcmaster\REG_test\SMVT</v>
      </c>
    </row>
    <row r="309" spans="1:4">
      <c r="A309" s="16" t="str">
        <f>$R$2&amp;".Commands.CMMX"</f>
        <v>FB_REG_S.Commands.CMMX</v>
      </c>
      <c r="B309" s="17">
        <v>101</v>
      </c>
      <c r="C309" s="17" t="s">
        <v>0</v>
      </c>
      <c r="D309" s="18" t="s">
        <v>202</v>
      </c>
    </row>
    <row r="310" spans="1:4">
      <c r="A310" s="19" t="str">
        <f>$R$2&amp;".Commands.CMMX"</f>
        <v>FB_REG_S.Commands.CMMX</v>
      </c>
      <c r="B310" s="11">
        <v>7999</v>
      </c>
      <c r="C310" s="11" t="s">
        <v>0</v>
      </c>
      <c r="D310" s="20" t="str">
        <f>"#"&amp;$T$5&amp;"#"&amp;$T$2&amp;"\"&amp;$P$2&amp;"\CMMX"</f>
        <v>#1#treiOPCDA.CoOPCserv.1\pcmaster\REG_test\CMMX</v>
      </c>
    </row>
    <row r="311" spans="1:4">
      <c r="A311" s="19" t="str">
        <f>$R$2&amp;".Commands.CMMX"</f>
        <v>FB_REG_S.Commands.CMMX</v>
      </c>
      <c r="B311" s="11">
        <v>7998</v>
      </c>
      <c r="C311" s="11" t="s">
        <v>6</v>
      </c>
      <c r="D311" s="20">
        <v>2</v>
      </c>
    </row>
    <row r="312" spans="1:4">
      <c r="A312" s="21" t="str">
        <f>$R$2&amp;".Commands.CMMX"</f>
        <v>FB_REG_S.Commands.CMMX</v>
      </c>
      <c r="B312" s="8">
        <v>1</v>
      </c>
      <c r="C312" s="8" t="s">
        <v>1</v>
      </c>
      <c r="D312" s="22">
        <v>11</v>
      </c>
    </row>
    <row r="313" spans="1:4">
      <c r="A313" s="16" t="str">
        <f>$R$2&amp;".Commands.CRPX"</f>
        <v>FB_REG_S.Commands.CRPX</v>
      </c>
      <c r="B313" s="17">
        <v>101</v>
      </c>
      <c r="C313" s="17" t="s">
        <v>0</v>
      </c>
      <c r="D313" s="18" t="s">
        <v>113</v>
      </c>
    </row>
    <row r="314" spans="1:4">
      <c r="A314" s="19" t="str">
        <f>$R$2&amp;".Commands.CRPX"</f>
        <v>FB_REG_S.Commands.CRPX</v>
      </c>
      <c r="B314" s="11">
        <v>7999</v>
      </c>
      <c r="C314" s="11" t="s">
        <v>0</v>
      </c>
      <c r="D314" s="20" t="str">
        <f>"#"&amp;$T$5&amp;"#"&amp;$T$2&amp;"\"&amp;$P$2&amp;"\CRPX"</f>
        <v>#1#treiOPCDA.CoOPCserv.1\pcmaster\REG_test\CRPX</v>
      </c>
    </row>
    <row r="315" spans="1:4">
      <c r="A315" s="19" t="str">
        <f>$R$2&amp;".Commands.CRPX"</f>
        <v>FB_REG_S.Commands.CRPX</v>
      </c>
      <c r="B315" s="11">
        <v>7998</v>
      </c>
      <c r="C315" s="11" t="s">
        <v>6</v>
      </c>
      <c r="D315" s="20">
        <v>2</v>
      </c>
    </row>
    <row r="316" spans="1:4">
      <c r="A316" s="21" t="str">
        <f>$R$2&amp;".Commands.CRPX"</f>
        <v>FB_REG_S.Commands.CRPX</v>
      </c>
      <c r="B316" s="8">
        <v>1</v>
      </c>
      <c r="C316" s="8" t="s">
        <v>1</v>
      </c>
      <c r="D316" s="22">
        <v>11</v>
      </c>
    </row>
    <row r="317" spans="1:4">
      <c r="A317" s="16" t="str">
        <f>$R$2&amp;".Commands.CCRM"</f>
        <v>FB_REG_S.Commands.CCRM</v>
      </c>
      <c r="B317" s="17">
        <v>101</v>
      </c>
      <c r="C317" s="17" t="s">
        <v>0</v>
      </c>
      <c r="D317" s="18" t="s">
        <v>203</v>
      </c>
    </row>
    <row r="318" spans="1:4">
      <c r="A318" s="19" t="str">
        <f>$R$2&amp;".Commands.CCRM"</f>
        <v>FB_REG_S.Commands.CCRM</v>
      </c>
      <c r="B318" s="11">
        <v>7999</v>
      </c>
      <c r="C318" s="11" t="s">
        <v>0</v>
      </c>
      <c r="D318" s="20" t="str">
        <f>"#"&amp;$T$5&amp;"#"&amp;$T$2&amp;"\"&amp;$P$2&amp;"\CCRM"</f>
        <v>#1#treiOPCDA.CoOPCserv.1\pcmaster\REG_test\CCRM</v>
      </c>
    </row>
    <row r="319" spans="1:4">
      <c r="A319" s="19" t="str">
        <f>$R$2&amp;".Commands.CCRM"</f>
        <v>FB_REG_S.Commands.CCRM</v>
      </c>
      <c r="B319" s="11">
        <v>7998</v>
      </c>
      <c r="C319" s="11" t="s">
        <v>6</v>
      </c>
      <c r="D319" s="20">
        <v>2</v>
      </c>
    </row>
    <row r="320" spans="1:4">
      <c r="A320" s="21" t="str">
        <f>$R$2&amp;".Commands.CCRM"</f>
        <v>FB_REG_S.Commands.CCRM</v>
      </c>
      <c r="B320" s="8">
        <v>1</v>
      </c>
      <c r="C320" s="8" t="s">
        <v>1</v>
      </c>
      <c r="D320" s="22">
        <v>11</v>
      </c>
    </row>
    <row r="321" spans="1:66">
      <c r="A321" s="16" t="str">
        <f>$R$2&amp;".Commands.CNWX"</f>
        <v>FB_REG_S.Commands.CNWX</v>
      </c>
      <c r="B321" s="17">
        <v>101</v>
      </c>
      <c r="C321" s="17" t="s">
        <v>0</v>
      </c>
      <c r="D321" s="18" t="s">
        <v>2756</v>
      </c>
    </row>
    <row r="322" spans="1:66">
      <c r="A322" s="19" t="str">
        <f t="shared" ref="A322:A324" si="27">$R$2&amp;".Commands.CNWX"</f>
        <v>FB_REG_S.Commands.CNWX</v>
      </c>
      <c r="B322" s="11">
        <v>7999</v>
      </c>
      <c r="C322" s="11" t="s">
        <v>0</v>
      </c>
      <c r="D322" s="20" t="str">
        <f>"#"&amp;$T$5&amp;"#"&amp;$T$2&amp;"\"&amp;$P$2&amp;"\CNWX"</f>
        <v>#1#treiOPCDA.CoOPCserv.1\pcmaster\REG_test\CNWX</v>
      </c>
    </row>
    <row r="323" spans="1:66">
      <c r="A323" s="19" t="str">
        <f t="shared" si="27"/>
        <v>FB_REG_S.Commands.CNWX</v>
      </c>
      <c r="B323" s="11">
        <v>7998</v>
      </c>
      <c r="C323" s="11" t="s">
        <v>6</v>
      </c>
      <c r="D323" s="20">
        <v>2</v>
      </c>
    </row>
    <row r="324" spans="1:66">
      <c r="A324" s="21" t="str">
        <f t="shared" si="27"/>
        <v>FB_REG_S.Commands.CNWX</v>
      </c>
      <c r="B324" s="8">
        <v>1</v>
      </c>
      <c r="C324" s="8" t="s">
        <v>1</v>
      </c>
      <c r="D324" s="22">
        <v>11</v>
      </c>
    </row>
    <row r="325" spans="1:66">
      <c r="A325" s="19" t="str">
        <f t="shared" ref="A325:A330" si="28">$R$2&amp;".XDAX"</f>
        <v>FB_REG_S.XDAX</v>
      </c>
      <c r="B325" s="11">
        <v>7999</v>
      </c>
      <c r="C325" s="11" t="s">
        <v>0</v>
      </c>
      <c r="D325" s="20" t="str">
        <f>"#"&amp;$S$2&amp;"#"&amp;$T$2&amp;"\"&amp;$P$2&amp;"\XDAX"</f>
        <v>#1#treiOPCDA.CoOPCserv.1\pcmaster\REG_test\XDAX</v>
      </c>
      <c r="BK325" s="4"/>
      <c r="BL325" s="4"/>
      <c r="BM325" s="4"/>
      <c r="BN325" s="4"/>
    </row>
    <row r="326" spans="1:66">
      <c r="A326" s="19" t="str">
        <f t="shared" si="28"/>
        <v>FB_REG_S.XDAX</v>
      </c>
      <c r="B326" s="11">
        <v>7998</v>
      </c>
      <c r="C326" s="11" t="s">
        <v>6</v>
      </c>
      <c r="D326" s="20">
        <v>1</v>
      </c>
      <c r="BK326" s="4"/>
      <c r="BL326" s="4"/>
      <c r="BM326" s="4"/>
      <c r="BN326" s="4"/>
    </row>
    <row r="327" spans="1:66">
      <c r="A327" s="19" t="str">
        <f t="shared" si="28"/>
        <v>FB_REG_S.XDAX</v>
      </c>
      <c r="B327" s="11">
        <v>101</v>
      </c>
      <c r="C327" s="11" t="s">
        <v>0</v>
      </c>
      <c r="D327" s="20" t="s">
        <v>2918</v>
      </c>
      <c r="BK327" s="4"/>
      <c r="BL327" s="4"/>
      <c r="BM327" s="4"/>
      <c r="BN327" s="4"/>
    </row>
    <row r="328" spans="1:66">
      <c r="A328" s="19" t="str">
        <f t="shared" si="28"/>
        <v>FB_REG_S.XDAX</v>
      </c>
      <c r="B328" s="11">
        <v>3</v>
      </c>
      <c r="C328" s="11" t="s">
        <v>1</v>
      </c>
      <c r="D328" s="20">
        <v>192</v>
      </c>
      <c r="BK328" s="4"/>
      <c r="BL328" s="4"/>
      <c r="BM328" s="4"/>
      <c r="BN328" s="4"/>
    </row>
    <row r="329" spans="1:66">
      <c r="A329" s="19" t="str">
        <f t="shared" si="28"/>
        <v>FB_REG_S.XDAX</v>
      </c>
      <c r="B329" s="11">
        <v>2</v>
      </c>
      <c r="C329" s="11" t="s">
        <v>2</v>
      </c>
      <c r="D329" s="20" t="s">
        <v>3</v>
      </c>
      <c r="BK329" s="4"/>
      <c r="BL329" s="4"/>
      <c r="BM329" s="4"/>
      <c r="BN329" s="4"/>
    </row>
    <row r="330" spans="1:66">
      <c r="A330" s="21" t="str">
        <f t="shared" si="28"/>
        <v>FB_REG_S.XDAX</v>
      </c>
      <c r="B330" s="8">
        <v>1</v>
      </c>
      <c r="C330" s="8" t="s">
        <v>1</v>
      </c>
      <c r="D330" s="22">
        <v>11</v>
      </c>
      <c r="BK330" s="4"/>
      <c r="BL330" s="4"/>
      <c r="BM330" s="4"/>
      <c r="BN330" s="4"/>
    </row>
    <row r="331" spans="1:66">
      <c r="A331" s="19" t="str">
        <f t="shared" ref="A331:A336" si="29">$R$2&amp;".XRCX"</f>
        <v>FB_REG_S.XRCX</v>
      </c>
      <c r="B331" s="11">
        <v>7999</v>
      </c>
      <c r="C331" s="11" t="s">
        <v>0</v>
      </c>
      <c r="D331" s="20" t="str">
        <f>"#"&amp;$S$2&amp;"#"&amp;$T$2&amp;"\"&amp;$P$2&amp;"\XRCX"</f>
        <v>#1#treiOPCDA.CoOPCserv.1\pcmaster\REG_test\XRCX</v>
      </c>
      <c r="Q331" s="1"/>
      <c r="R331" s="1"/>
      <c r="S331" s="1"/>
      <c r="T331" s="1"/>
      <c r="U331" s="1"/>
      <c r="V331" s="1"/>
      <c r="BK331" s="4"/>
      <c r="BL331" s="4"/>
      <c r="BM331" s="4"/>
      <c r="BN331" s="4"/>
    </row>
    <row r="332" spans="1:66">
      <c r="A332" s="19" t="str">
        <f t="shared" si="29"/>
        <v>FB_REG_S.XRCX</v>
      </c>
      <c r="B332" s="11">
        <v>7998</v>
      </c>
      <c r="C332" s="11" t="s">
        <v>6</v>
      </c>
      <c r="D332" s="20">
        <v>1</v>
      </c>
      <c r="Q332" s="1"/>
      <c r="R332" s="1"/>
      <c r="S332" s="1"/>
      <c r="T332" s="1"/>
      <c r="U332" s="1"/>
      <c r="V332" s="1"/>
      <c r="BK332" s="4"/>
      <c r="BL332" s="4"/>
      <c r="BM332" s="4"/>
      <c r="BN332" s="4"/>
    </row>
    <row r="333" spans="1:66">
      <c r="A333" s="19" t="str">
        <f t="shared" si="29"/>
        <v>FB_REG_S.XRCX</v>
      </c>
      <c r="B333" s="11">
        <v>101</v>
      </c>
      <c r="C333" s="11" t="s">
        <v>0</v>
      </c>
      <c r="D333" s="20" t="s">
        <v>575</v>
      </c>
      <c r="BK333" s="4"/>
      <c r="BL333" s="4"/>
      <c r="BM333" s="4"/>
      <c r="BN333" s="4"/>
    </row>
    <row r="334" spans="1:66">
      <c r="A334" s="19" t="str">
        <f t="shared" si="29"/>
        <v>FB_REG_S.XRCX</v>
      </c>
      <c r="B334" s="11">
        <v>3</v>
      </c>
      <c r="C334" s="11" t="s">
        <v>1</v>
      </c>
      <c r="D334" s="20">
        <v>192</v>
      </c>
      <c r="BK334" s="4"/>
      <c r="BL334" s="4"/>
      <c r="BM334" s="4"/>
      <c r="BN334" s="4"/>
    </row>
    <row r="335" spans="1:66">
      <c r="A335" s="19" t="str">
        <f t="shared" si="29"/>
        <v>FB_REG_S.XRCX</v>
      </c>
      <c r="B335" s="11">
        <v>2</v>
      </c>
      <c r="C335" s="11" t="s">
        <v>2</v>
      </c>
      <c r="D335" s="20" t="s">
        <v>3</v>
      </c>
      <c r="BK335" s="4"/>
      <c r="BL335" s="4"/>
      <c r="BM335" s="4"/>
      <c r="BN335" s="4"/>
    </row>
    <row r="336" spans="1:66">
      <c r="A336" s="21" t="str">
        <f t="shared" si="29"/>
        <v>FB_REG_S.XRCX</v>
      </c>
      <c r="B336" s="8">
        <v>1</v>
      </c>
      <c r="C336" s="8" t="s">
        <v>1</v>
      </c>
      <c r="D336" s="22">
        <v>11</v>
      </c>
      <c r="BK336" s="4"/>
      <c r="BL336" s="4"/>
      <c r="BM336" s="4"/>
      <c r="BN336" s="4"/>
    </row>
    <row r="337" spans="1:4">
      <c r="A337" s="19" t="str">
        <f t="shared" ref="A337:A342" si="30">$R$2&amp;".FXXX"</f>
        <v>FB_REG_S.FXXX</v>
      </c>
      <c r="B337" s="11">
        <v>7999</v>
      </c>
      <c r="C337" s="11" t="s">
        <v>0</v>
      </c>
      <c r="D337" s="20" t="str">
        <f>"#"&amp;$S$2&amp;"#"&amp;$T$2&amp;"\"&amp;$P$2&amp;"\FXXX"</f>
        <v>#1#treiOPCDA.CoOPCserv.1\pcmaster\REG_test\FXXX</v>
      </c>
    </row>
    <row r="338" spans="1:4">
      <c r="A338" s="19" t="str">
        <f t="shared" si="30"/>
        <v>FB_REG_S.FXXX</v>
      </c>
      <c r="B338" s="11">
        <v>7998</v>
      </c>
      <c r="C338" s="11" t="s">
        <v>6</v>
      </c>
      <c r="D338" s="20">
        <v>1</v>
      </c>
    </row>
    <row r="339" spans="1:4">
      <c r="A339" s="19" t="str">
        <f t="shared" si="30"/>
        <v>FB_REG_S.FXXX</v>
      </c>
      <c r="B339" s="11">
        <v>101</v>
      </c>
      <c r="C339" s="11" t="s">
        <v>0</v>
      </c>
      <c r="D339" s="20" t="s">
        <v>139</v>
      </c>
    </row>
    <row r="340" spans="1:4">
      <c r="A340" s="19" t="str">
        <f t="shared" si="30"/>
        <v>FB_REG_S.FXXX</v>
      </c>
      <c r="B340" s="11">
        <v>3</v>
      </c>
      <c r="C340" s="11" t="s">
        <v>1</v>
      </c>
      <c r="D340" s="20">
        <v>192</v>
      </c>
    </row>
    <row r="341" spans="1:4">
      <c r="A341" s="19" t="str">
        <f t="shared" si="30"/>
        <v>FB_REG_S.FXXX</v>
      </c>
      <c r="B341" s="11">
        <v>2</v>
      </c>
      <c r="C341" s="11" t="s">
        <v>2</v>
      </c>
      <c r="D341" s="20" t="s">
        <v>3</v>
      </c>
    </row>
    <row r="342" spans="1:4">
      <c r="A342" s="21" t="str">
        <f t="shared" si="30"/>
        <v>FB_REG_S.FXXX</v>
      </c>
      <c r="B342" s="8">
        <v>1</v>
      </c>
      <c r="C342" s="8" t="s">
        <v>1</v>
      </c>
      <c r="D342" s="22">
        <v>11</v>
      </c>
    </row>
    <row r="343" spans="1:4">
      <c r="A343" s="19" t="str">
        <f t="shared" ref="A343:A348" si="31">$R$2&amp;".CCRM"</f>
        <v>FB_REG_S.CCRM</v>
      </c>
      <c r="B343" s="11">
        <v>7999</v>
      </c>
      <c r="C343" s="11" t="s">
        <v>0</v>
      </c>
      <c r="D343" s="20" t="str">
        <f>"#"&amp;$S$2&amp;"#"&amp;$T$2&amp;"\"&amp;$P$2&amp;"\CCRM"</f>
        <v>#1#treiOPCDA.CoOPCserv.1\pcmaster\REG_test\CCRM</v>
      </c>
    </row>
    <row r="344" spans="1:4">
      <c r="A344" s="19" t="str">
        <f t="shared" si="31"/>
        <v>FB_REG_S.CCRM</v>
      </c>
      <c r="B344" s="11">
        <v>7998</v>
      </c>
      <c r="C344" s="11" t="s">
        <v>6</v>
      </c>
      <c r="D344" s="20">
        <v>1</v>
      </c>
    </row>
    <row r="345" spans="1:4">
      <c r="A345" s="19" t="str">
        <f t="shared" si="31"/>
        <v>FB_REG_S.CCRM</v>
      </c>
      <c r="B345" s="11">
        <v>101</v>
      </c>
      <c r="C345" s="11" t="s">
        <v>0</v>
      </c>
      <c r="D345" s="20" t="s">
        <v>203</v>
      </c>
    </row>
    <row r="346" spans="1:4">
      <c r="A346" s="19" t="str">
        <f t="shared" si="31"/>
        <v>FB_REG_S.CCRM</v>
      </c>
      <c r="B346" s="11">
        <v>3</v>
      </c>
      <c r="C346" s="11" t="s">
        <v>1</v>
      </c>
      <c r="D346" s="20">
        <v>192</v>
      </c>
    </row>
    <row r="347" spans="1:4">
      <c r="A347" s="19" t="str">
        <f t="shared" si="31"/>
        <v>FB_REG_S.CCRM</v>
      </c>
      <c r="B347" s="11">
        <v>2</v>
      </c>
      <c r="C347" s="11" t="s">
        <v>2</v>
      </c>
      <c r="D347" s="20" t="s">
        <v>3</v>
      </c>
    </row>
    <row r="348" spans="1:4">
      <c r="A348" s="21" t="str">
        <f t="shared" si="31"/>
        <v>FB_REG_S.CCRM</v>
      </c>
      <c r="B348" s="8">
        <v>1</v>
      </c>
      <c r="C348" s="8" t="s">
        <v>1</v>
      </c>
      <c r="D348" s="22">
        <v>11</v>
      </c>
    </row>
    <row r="349" spans="1:4">
      <c r="A349" s="19" t="str">
        <f t="shared" ref="A349:A354" si="32">$R$2&amp;".CIXX"</f>
        <v>FB_REG_S.CIXX</v>
      </c>
      <c r="B349" s="11">
        <v>7999</v>
      </c>
      <c r="C349" s="11" t="s">
        <v>0</v>
      </c>
      <c r="D349" s="20" t="str">
        <f>"#"&amp;$S$2&amp;"#"&amp;$T$2&amp;"\"&amp;$P$2&amp;"\CIXX"</f>
        <v>#1#treiOPCDA.CoOPCserv.1\pcmaster\REG_test\CIXX</v>
      </c>
    </row>
    <row r="350" spans="1:4">
      <c r="A350" s="19" t="str">
        <f t="shared" si="32"/>
        <v>FB_REG_S.CIXX</v>
      </c>
      <c r="B350" s="11">
        <v>7998</v>
      </c>
      <c r="C350" s="11" t="s">
        <v>6</v>
      </c>
      <c r="D350" s="20">
        <v>1</v>
      </c>
    </row>
    <row r="351" spans="1:4">
      <c r="A351" s="19" t="str">
        <f t="shared" si="32"/>
        <v>FB_REG_S.CIXX</v>
      </c>
      <c r="B351" s="11">
        <v>101</v>
      </c>
      <c r="C351" s="11" t="s">
        <v>0</v>
      </c>
      <c r="D351" s="20" t="s">
        <v>204</v>
      </c>
    </row>
    <row r="352" spans="1:4">
      <c r="A352" s="19" t="str">
        <f t="shared" si="32"/>
        <v>FB_REG_S.CIXX</v>
      </c>
      <c r="B352" s="11">
        <v>3</v>
      </c>
      <c r="C352" s="11" t="s">
        <v>1</v>
      </c>
      <c r="D352" s="20">
        <v>192</v>
      </c>
    </row>
    <row r="353" spans="1:4">
      <c r="A353" s="19" t="str">
        <f t="shared" si="32"/>
        <v>FB_REG_S.CIXX</v>
      </c>
      <c r="B353" s="11">
        <v>2</v>
      </c>
      <c r="C353" s="11" t="s">
        <v>2</v>
      </c>
      <c r="D353" s="20" t="s">
        <v>3</v>
      </c>
    </row>
    <row r="354" spans="1:4">
      <c r="A354" s="21" t="str">
        <f t="shared" si="32"/>
        <v>FB_REG_S.CIXX</v>
      </c>
      <c r="B354" s="8">
        <v>1</v>
      </c>
      <c r="C354" s="8" t="s">
        <v>1</v>
      </c>
      <c r="D354" s="22">
        <v>11</v>
      </c>
    </row>
    <row r="355" spans="1:4">
      <c r="A355" s="19" t="str">
        <f t="shared" ref="A355:A360" si="33">$R$2&amp;".CPMM"</f>
        <v>FB_REG_S.CPMM</v>
      </c>
      <c r="B355" s="11">
        <v>7999</v>
      </c>
      <c r="C355" s="11" t="s">
        <v>0</v>
      </c>
      <c r="D355" s="20" t="str">
        <f>"#"&amp;$S$2&amp;"#"&amp;$T$2&amp;"\"&amp;$P$2&amp;"\CPMM"</f>
        <v>#1#treiOPCDA.CoOPCserv.1\pcmaster\REG_test\CPMM</v>
      </c>
    </row>
    <row r="356" spans="1:4">
      <c r="A356" s="19" t="str">
        <f t="shared" si="33"/>
        <v>FB_REG_S.CPMM</v>
      </c>
      <c r="B356" s="11">
        <v>7998</v>
      </c>
      <c r="C356" s="11" t="s">
        <v>6</v>
      </c>
      <c r="D356" s="20">
        <v>1</v>
      </c>
    </row>
    <row r="357" spans="1:4">
      <c r="A357" s="19" t="str">
        <f t="shared" si="33"/>
        <v>FB_REG_S.CPMM</v>
      </c>
      <c r="B357" s="11">
        <v>101</v>
      </c>
      <c r="C357" s="11" t="s">
        <v>0</v>
      </c>
      <c r="D357" s="20" t="s">
        <v>115</v>
      </c>
    </row>
    <row r="358" spans="1:4">
      <c r="A358" s="19" t="str">
        <f t="shared" si="33"/>
        <v>FB_REG_S.CPMM</v>
      </c>
      <c r="B358" s="11">
        <v>3</v>
      </c>
      <c r="C358" s="11" t="s">
        <v>1</v>
      </c>
      <c r="D358" s="20">
        <v>192</v>
      </c>
    </row>
    <row r="359" spans="1:4">
      <c r="A359" s="19" t="str">
        <f t="shared" si="33"/>
        <v>FB_REG_S.CPMM</v>
      </c>
      <c r="B359" s="11">
        <v>2</v>
      </c>
      <c r="C359" s="11" t="s">
        <v>2</v>
      </c>
      <c r="D359" s="20" t="s">
        <v>266</v>
      </c>
    </row>
    <row r="360" spans="1:4">
      <c r="A360" s="21" t="str">
        <f t="shared" si="33"/>
        <v>FB_REG_S.CPMM</v>
      </c>
      <c r="B360" s="8">
        <v>1</v>
      </c>
      <c r="C360" s="8" t="s">
        <v>1</v>
      </c>
      <c r="D360" s="22">
        <v>11</v>
      </c>
    </row>
    <row r="361" spans="1:4">
      <c r="A361" s="275" t="str">
        <f t="shared" ref="A361:A366" si="34">$R$2&amp;".SFTX"</f>
        <v>FB_REG_S.SFTX</v>
      </c>
      <c r="B361" s="276">
        <v>3</v>
      </c>
      <c r="C361" s="276" t="s">
        <v>1</v>
      </c>
      <c r="D361" s="277">
        <v>192</v>
      </c>
    </row>
    <row r="362" spans="1:4">
      <c r="A362" s="278" t="str">
        <f t="shared" si="34"/>
        <v>FB_REG_S.SFTX</v>
      </c>
      <c r="B362" s="279">
        <v>2</v>
      </c>
      <c r="C362" s="279" t="s">
        <v>80</v>
      </c>
      <c r="D362" s="280">
        <v>0</v>
      </c>
    </row>
    <row r="363" spans="1:4">
      <c r="A363" s="278" t="str">
        <f t="shared" si="34"/>
        <v>FB_REG_S.SFTX</v>
      </c>
      <c r="B363" s="279">
        <v>1</v>
      </c>
      <c r="C363" s="279" t="s">
        <v>1</v>
      </c>
      <c r="D363" s="280">
        <v>4</v>
      </c>
    </row>
    <row r="364" spans="1:4">
      <c r="A364" s="278" t="str">
        <f t="shared" si="34"/>
        <v>FB_REG_S.SFTX</v>
      </c>
      <c r="B364" s="279">
        <v>101</v>
      </c>
      <c r="C364" s="279" t="s">
        <v>0</v>
      </c>
      <c r="D364" s="280" t="s">
        <v>622</v>
      </c>
    </row>
    <row r="365" spans="1:4">
      <c r="A365" s="278" t="str">
        <f t="shared" si="34"/>
        <v>FB_REG_S.SFTX</v>
      </c>
      <c r="B365" s="279">
        <v>7998</v>
      </c>
      <c r="C365" s="279" t="s">
        <v>6</v>
      </c>
      <c r="D365" s="280">
        <v>1</v>
      </c>
    </row>
    <row r="366" spans="1:4">
      <c r="A366" s="281" t="str">
        <f t="shared" si="34"/>
        <v>FB_REG_S.SFTX</v>
      </c>
      <c r="B366" s="282">
        <v>7999</v>
      </c>
      <c r="C366" s="282" t="s">
        <v>0</v>
      </c>
      <c r="D366" s="283" t="str">
        <f>"#"&amp;$S$2&amp;"#"&amp;$T$2&amp;"\"&amp;$P$2&amp;"\SFTX"</f>
        <v>#1#treiOPCDA.CoOPCserv.1\pcmaster\REG_test\SFTX</v>
      </c>
    </row>
    <row r="367" spans="1:4">
      <c r="A367" s="275" t="str">
        <f t="shared" ref="A367:A372" si="35">$R$2&amp;".SDTX"</f>
        <v>FB_REG_S.SDTX</v>
      </c>
      <c r="B367" s="276">
        <v>3</v>
      </c>
      <c r="C367" s="276" t="s">
        <v>1</v>
      </c>
      <c r="D367" s="277">
        <v>192</v>
      </c>
    </row>
    <row r="368" spans="1:4">
      <c r="A368" s="278" t="str">
        <f t="shared" si="35"/>
        <v>FB_REG_S.SDTX</v>
      </c>
      <c r="B368" s="279">
        <v>2</v>
      </c>
      <c r="C368" s="279" t="s">
        <v>80</v>
      </c>
      <c r="D368" s="280">
        <v>0</v>
      </c>
    </row>
    <row r="369" spans="1:4">
      <c r="A369" s="278" t="str">
        <f t="shared" si="35"/>
        <v>FB_REG_S.SDTX</v>
      </c>
      <c r="B369" s="279">
        <v>1</v>
      </c>
      <c r="C369" s="279" t="s">
        <v>1</v>
      </c>
      <c r="D369" s="280">
        <v>4</v>
      </c>
    </row>
    <row r="370" spans="1:4">
      <c r="A370" s="278" t="str">
        <f t="shared" si="35"/>
        <v>FB_REG_S.SDTX</v>
      </c>
      <c r="B370" s="279">
        <v>101</v>
      </c>
      <c r="C370" s="279" t="s">
        <v>0</v>
      </c>
      <c r="D370" s="280" t="s">
        <v>623</v>
      </c>
    </row>
    <row r="371" spans="1:4">
      <c r="A371" s="278" t="str">
        <f t="shared" si="35"/>
        <v>FB_REG_S.SDTX</v>
      </c>
      <c r="B371" s="279">
        <v>7998</v>
      </c>
      <c r="C371" s="279" t="s">
        <v>6</v>
      </c>
      <c r="D371" s="280">
        <v>1</v>
      </c>
    </row>
    <row r="372" spans="1:4">
      <c r="A372" s="281" t="str">
        <f t="shared" si="35"/>
        <v>FB_REG_S.SDTX</v>
      </c>
      <c r="B372" s="282">
        <v>7999</v>
      </c>
      <c r="C372" s="282" t="s">
        <v>0</v>
      </c>
      <c r="D372" s="283" t="str">
        <f>"#"&amp;$S$2&amp;"#"&amp;$T$2&amp;"\"&amp;$P$2&amp;"\SDTX"</f>
        <v>#1#treiOPCDA.CoOPCserv.1\pcmaster\REG_test\SDTX</v>
      </c>
    </row>
    <row r="373" spans="1:4">
      <c r="A373" s="275" t="str">
        <f t="shared" ref="A373:A378" si="36">$R$2&amp;".ICPX"</f>
        <v>FB_REG_S.ICPX</v>
      </c>
      <c r="B373" s="276">
        <v>3</v>
      </c>
      <c r="C373" s="276" t="s">
        <v>1</v>
      </c>
      <c r="D373" s="277">
        <v>192</v>
      </c>
    </row>
    <row r="374" spans="1:4">
      <c r="A374" s="278" t="str">
        <f t="shared" si="36"/>
        <v>FB_REG_S.ICPX</v>
      </c>
      <c r="B374" s="279">
        <v>2</v>
      </c>
      <c r="C374" s="279" t="s">
        <v>80</v>
      </c>
      <c r="D374" s="280">
        <v>0</v>
      </c>
    </row>
    <row r="375" spans="1:4">
      <c r="A375" s="278" t="str">
        <f t="shared" si="36"/>
        <v>FB_REG_S.ICPX</v>
      </c>
      <c r="B375" s="279">
        <v>1</v>
      </c>
      <c r="C375" s="279" t="s">
        <v>1</v>
      </c>
      <c r="D375" s="280">
        <v>4</v>
      </c>
    </row>
    <row r="376" spans="1:4">
      <c r="A376" s="278" t="str">
        <f t="shared" si="36"/>
        <v>FB_REG_S.ICPX</v>
      </c>
      <c r="B376" s="279">
        <v>101</v>
      </c>
      <c r="C376" s="279" t="s">
        <v>0</v>
      </c>
      <c r="D376" s="280" t="s">
        <v>205</v>
      </c>
    </row>
    <row r="377" spans="1:4">
      <c r="A377" s="278" t="str">
        <f t="shared" si="36"/>
        <v>FB_REG_S.ICPX</v>
      </c>
      <c r="B377" s="279">
        <v>7998</v>
      </c>
      <c r="C377" s="279" t="s">
        <v>6</v>
      </c>
      <c r="D377" s="280">
        <v>1</v>
      </c>
    </row>
    <row r="378" spans="1:4">
      <c r="A378" s="281" t="str">
        <f t="shared" si="36"/>
        <v>FB_REG_S.ICPX</v>
      </c>
      <c r="B378" s="282">
        <v>7999</v>
      </c>
      <c r="C378" s="282" t="s">
        <v>0</v>
      </c>
      <c r="D378" s="283" t="str">
        <f>"#"&amp;$S$2&amp;"#"&amp;$T$2&amp;"\"&amp;$P$2&amp;"\ICPX"</f>
        <v>#1#treiOPCDA.CoOPCserv.1\pcmaster\REG_test\ICPX</v>
      </c>
    </row>
    <row r="379" spans="1:4">
      <c r="A379" s="275" t="str">
        <f>$R$2&amp;".XPVX"</f>
        <v>FB_REG_S.XPVX</v>
      </c>
      <c r="B379" s="276">
        <v>3</v>
      </c>
      <c r="C379" s="276" t="s">
        <v>1</v>
      </c>
      <c r="D379" s="277">
        <v>192</v>
      </c>
    </row>
    <row r="380" spans="1:4">
      <c r="A380" s="278" t="str">
        <f t="shared" ref="A380:A384" si="37">$R$2&amp;".XPVX"</f>
        <v>FB_REG_S.XPVX</v>
      </c>
      <c r="B380" s="279">
        <v>2</v>
      </c>
      <c r="C380" s="279" t="s">
        <v>80</v>
      </c>
      <c r="D380" s="280">
        <v>0</v>
      </c>
    </row>
    <row r="381" spans="1:4">
      <c r="A381" s="278" t="str">
        <f t="shared" si="37"/>
        <v>FB_REG_S.XPVX</v>
      </c>
      <c r="B381" s="279">
        <v>1</v>
      </c>
      <c r="C381" s="279" t="s">
        <v>1</v>
      </c>
      <c r="D381" s="280">
        <v>4</v>
      </c>
    </row>
    <row r="382" spans="1:4">
      <c r="A382" s="278" t="str">
        <f t="shared" si="37"/>
        <v>FB_REG_S.XPVX</v>
      </c>
      <c r="B382" s="279">
        <v>101</v>
      </c>
      <c r="C382" s="279" t="s">
        <v>0</v>
      </c>
      <c r="D382" s="280" t="s">
        <v>2919</v>
      </c>
    </row>
    <row r="383" spans="1:4">
      <c r="A383" s="278" t="str">
        <f t="shared" si="37"/>
        <v>FB_REG_S.XPVX</v>
      </c>
      <c r="B383" s="279">
        <v>7998</v>
      </c>
      <c r="C383" s="279" t="s">
        <v>6</v>
      </c>
      <c r="D383" s="280">
        <v>1</v>
      </c>
    </row>
    <row r="384" spans="1:4">
      <c r="A384" s="281" t="str">
        <f t="shared" si="37"/>
        <v>FB_REG_S.XPVX</v>
      </c>
      <c r="B384" s="282">
        <v>7999</v>
      </c>
      <c r="C384" s="282" t="s">
        <v>0</v>
      </c>
      <c r="D384" s="283" t="str">
        <f>"#"&amp;$S$2&amp;"#"&amp;$T$2&amp;"\"&amp;$P$2&amp;"\XPVX"</f>
        <v>#1#treiOPCDA.CoOPCserv.1\pcmaster\REG_test\XPVX</v>
      </c>
    </row>
    <row r="385" spans="1:4">
      <c r="A385" s="275" t="str">
        <f>$R$2&amp;".OCAX"</f>
        <v>FB_REG_S.OCAX</v>
      </c>
      <c r="B385" s="276">
        <v>3</v>
      </c>
      <c r="C385" s="276" t="s">
        <v>1</v>
      </c>
      <c r="D385" s="277">
        <v>192</v>
      </c>
    </row>
    <row r="386" spans="1:4">
      <c r="A386" s="278" t="str">
        <f t="shared" ref="A386:A390" si="38">$R$2&amp;".OCAX"</f>
        <v>FB_REG_S.OCAX</v>
      </c>
      <c r="B386" s="279">
        <v>2</v>
      </c>
      <c r="C386" s="279" t="s">
        <v>80</v>
      </c>
      <c r="D386" s="280">
        <v>0</v>
      </c>
    </row>
    <row r="387" spans="1:4">
      <c r="A387" s="278" t="str">
        <f t="shared" si="38"/>
        <v>FB_REG_S.OCAX</v>
      </c>
      <c r="B387" s="279">
        <v>1</v>
      </c>
      <c r="C387" s="279" t="s">
        <v>1</v>
      </c>
      <c r="D387" s="280">
        <v>4</v>
      </c>
    </row>
    <row r="388" spans="1:4">
      <c r="A388" s="278" t="str">
        <f t="shared" si="38"/>
        <v>FB_REG_S.OCAX</v>
      </c>
      <c r="B388" s="279">
        <v>101</v>
      </c>
      <c r="C388" s="279" t="s">
        <v>0</v>
      </c>
      <c r="D388" s="280" t="s">
        <v>579</v>
      </c>
    </row>
    <row r="389" spans="1:4">
      <c r="A389" s="278" t="str">
        <f t="shared" si="38"/>
        <v>FB_REG_S.OCAX</v>
      </c>
      <c r="B389" s="279">
        <v>7998</v>
      </c>
      <c r="C389" s="279" t="s">
        <v>6</v>
      </c>
      <c r="D389" s="280">
        <v>1</v>
      </c>
    </row>
    <row r="390" spans="1:4">
      <c r="A390" s="281" t="str">
        <f t="shared" si="38"/>
        <v>FB_REG_S.OCAX</v>
      </c>
      <c r="B390" s="282">
        <v>7999</v>
      </c>
      <c r="C390" s="282" t="s">
        <v>0</v>
      </c>
      <c r="D390" s="283" t="str">
        <f>"#"&amp;$S$2&amp;"#"&amp;$T$2&amp;"\"&amp;$P$2&amp;"\OCAX"</f>
        <v>#1#treiOPCDA.CoOPCserv.1\pcmaster\REG_test\OCAX</v>
      </c>
    </row>
    <row r="391" spans="1:4">
      <c r="A391" s="275" t="str">
        <f>$R$2&amp;".XCAP"</f>
        <v>FB_REG_S.XCAP</v>
      </c>
      <c r="B391" s="276">
        <v>3</v>
      </c>
      <c r="C391" s="276" t="s">
        <v>1</v>
      </c>
      <c r="D391" s="277">
        <v>192</v>
      </c>
    </row>
    <row r="392" spans="1:4">
      <c r="A392" s="278" t="str">
        <f t="shared" ref="A392:A396" si="39">$R$2&amp;".XCAP"</f>
        <v>FB_REG_S.XCAP</v>
      </c>
      <c r="B392" s="279">
        <v>2</v>
      </c>
      <c r="C392" s="279" t="s">
        <v>80</v>
      </c>
      <c r="D392" s="280">
        <v>0</v>
      </c>
    </row>
    <row r="393" spans="1:4">
      <c r="A393" s="278" t="str">
        <f t="shared" si="39"/>
        <v>FB_REG_S.XCAP</v>
      </c>
      <c r="B393" s="279">
        <v>1</v>
      </c>
      <c r="C393" s="279" t="s">
        <v>1</v>
      </c>
      <c r="D393" s="280">
        <v>4</v>
      </c>
    </row>
    <row r="394" spans="1:4">
      <c r="A394" s="278" t="str">
        <f t="shared" si="39"/>
        <v>FB_REG_S.XCAP</v>
      </c>
      <c r="B394" s="279">
        <v>101</v>
      </c>
      <c r="C394" s="279" t="s">
        <v>0</v>
      </c>
      <c r="D394" s="280" t="s">
        <v>2920</v>
      </c>
    </row>
    <row r="395" spans="1:4">
      <c r="A395" s="278" t="str">
        <f t="shared" si="39"/>
        <v>FB_REG_S.XCAP</v>
      </c>
      <c r="B395" s="279">
        <v>7998</v>
      </c>
      <c r="C395" s="279" t="s">
        <v>6</v>
      </c>
      <c r="D395" s="280">
        <v>1</v>
      </c>
    </row>
    <row r="396" spans="1:4">
      <c r="A396" s="281" t="str">
        <f t="shared" si="39"/>
        <v>FB_REG_S.XCAP</v>
      </c>
      <c r="B396" s="282">
        <v>7999</v>
      </c>
      <c r="C396" s="282" t="s">
        <v>0</v>
      </c>
      <c r="D396" s="283" t="str">
        <f>"#"&amp;$S$2&amp;"#"&amp;$T$2&amp;"\"&amp;$P$2&amp;"\XCAP"</f>
        <v>#1#treiOPCDA.CoOPCserv.1\pcmaster\REG_test\XCAP</v>
      </c>
    </row>
    <row r="397" spans="1:4">
      <c r="A397" s="275" t="str">
        <f t="shared" ref="A397:A402" si="40">$R$2&amp;".XCPP"</f>
        <v>FB_REG_S.XCPP</v>
      </c>
      <c r="B397" s="276">
        <v>3</v>
      </c>
      <c r="C397" s="276" t="s">
        <v>1</v>
      </c>
      <c r="D397" s="277">
        <v>192</v>
      </c>
    </row>
    <row r="398" spans="1:4">
      <c r="A398" s="278" t="str">
        <f t="shared" si="40"/>
        <v>FB_REG_S.XCPP</v>
      </c>
      <c r="B398" s="279">
        <v>2</v>
      </c>
      <c r="C398" s="279" t="s">
        <v>80</v>
      </c>
      <c r="D398" s="280">
        <v>0</v>
      </c>
    </row>
    <row r="399" spans="1:4">
      <c r="A399" s="278" t="str">
        <f t="shared" si="40"/>
        <v>FB_REG_S.XCPP</v>
      </c>
      <c r="B399" s="279">
        <v>1</v>
      </c>
      <c r="C399" s="279" t="s">
        <v>1</v>
      </c>
      <c r="D399" s="280">
        <v>4</v>
      </c>
    </row>
    <row r="400" spans="1:4">
      <c r="A400" s="278" t="str">
        <f t="shared" si="40"/>
        <v>FB_REG_S.XCPP</v>
      </c>
      <c r="B400" s="279">
        <v>101</v>
      </c>
      <c r="C400" s="279" t="s">
        <v>0</v>
      </c>
      <c r="D400" s="280" t="s">
        <v>207</v>
      </c>
    </row>
    <row r="401" spans="1:4">
      <c r="A401" s="278" t="str">
        <f t="shared" si="40"/>
        <v>FB_REG_S.XCPP</v>
      </c>
      <c r="B401" s="279">
        <v>7998</v>
      </c>
      <c r="C401" s="279" t="s">
        <v>6</v>
      </c>
      <c r="D401" s="280">
        <v>1</v>
      </c>
    </row>
    <row r="402" spans="1:4">
      <c r="A402" s="281" t="str">
        <f t="shared" si="40"/>
        <v>FB_REG_S.XCPP</v>
      </c>
      <c r="B402" s="282">
        <v>7999</v>
      </c>
      <c r="C402" s="282" t="s">
        <v>0</v>
      </c>
      <c r="D402" s="283" t="str">
        <f>"#"&amp;$S$2&amp;"#"&amp;$T$2&amp;"\"&amp;$P$2&amp;"\XCPP"</f>
        <v>#1#treiOPCDA.CoOPCserv.1\pcmaster\REG_test\XCPP</v>
      </c>
    </row>
    <row r="403" spans="1:4">
      <c r="A403" s="275" t="str">
        <f t="shared" ref="A403:A408" si="41">$R$2&amp;".SPCX"</f>
        <v>FB_REG_S.SPCX</v>
      </c>
      <c r="B403" s="276">
        <v>3</v>
      </c>
      <c r="C403" s="276" t="s">
        <v>1</v>
      </c>
      <c r="D403" s="277">
        <v>192</v>
      </c>
    </row>
    <row r="404" spans="1:4">
      <c r="A404" s="278" t="str">
        <f t="shared" si="41"/>
        <v>FB_REG_S.SPCX</v>
      </c>
      <c r="B404" s="279">
        <v>2</v>
      </c>
      <c r="C404" s="279" t="s">
        <v>80</v>
      </c>
      <c r="D404" s="280">
        <v>0</v>
      </c>
    </row>
    <row r="405" spans="1:4">
      <c r="A405" s="278" t="str">
        <f t="shared" si="41"/>
        <v>FB_REG_S.SPCX</v>
      </c>
      <c r="B405" s="279">
        <v>1</v>
      </c>
      <c r="C405" s="279" t="s">
        <v>1</v>
      </c>
      <c r="D405" s="280">
        <v>4</v>
      </c>
    </row>
    <row r="406" spans="1:4">
      <c r="A406" s="278" t="str">
        <f t="shared" si="41"/>
        <v>FB_REG_S.SPCX</v>
      </c>
      <c r="B406" s="279">
        <v>101</v>
      </c>
      <c r="C406" s="279" t="s">
        <v>0</v>
      </c>
      <c r="D406" s="280" t="s">
        <v>208</v>
      </c>
    </row>
    <row r="407" spans="1:4">
      <c r="A407" s="278" t="str">
        <f t="shared" si="41"/>
        <v>FB_REG_S.SPCX</v>
      </c>
      <c r="B407" s="279">
        <v>7998</v>
      </c>
      <c r="C407" s="279" t="s">
        <v>6</v>
      </c>
      <c r="D407" s="280">
        <v>1</v>
      </c>
    </row>
    <row r="408" spans="1:4">
      <c r="A408" s="281" t="str">
        <f t="shared" si="41"/>
        <v>FB_REG_S.SPCX</v>
      </c>
      <c r="B408" s="282">
        <v>7999</v>
      </c>
      <c r="C408" s="282" t="s">
        <v>0</v>
      </c>
      <c r="D408" s="283" t="str">
        <f>"#"&amp;$S$2&amp;"#"&amp;$T$2&amp;"\"&amp;$P$2&amp;"\SPCX"</f>
        <v>#1#treiOPCDA.CoOPCserv.1\pcmaster\REG_test\SPCX</v>
      </c>
    </row>
    <row r="409" spans="1:4">
      <c r="A409" s="275" t="str">
        <f t="shared" ref="A409:A414" si="42">$R$2&amp;".SDCX"</f>
        <v>FB_REG_S.SDCX</v>
      </c>
      <c r="B409" s="276">
        <v>3</v>
      </c>
      <c r="C409" s="276" t="s">
        <v>1</v>
      </c>
      <c r="D409" s="277">
        <v>192</v>
      </c>
    </row>
    <row r="410" spans="1:4">
      <c r="A410" s="278" t="str">
        <f t="shared" si="42"/>
        <v>FB_REG_S.SDCX</v>
      </c>
      <c r="B410" s="279">
        <v>2</v>
      </c>
      <c r="C410" s="279" t="s">
        <v>80</v>
      </c>
      <c r="D410" s="280">
        <v>0</v>
      </c>
    </row>
    <row r="411" spans="1:4">
      <c r="A411" s="278" t="str">
        <f t="shared" si="42"/>
        <v>FB_REG_S.SDCX</v>
      </c>
      <c r="B411" s="279">
        <v>1</v>
      </c>
      <c r="C411" s="279" t="s">
        <v>1</v>
      </c>
      <c r="D411" s="280">
        <v>4</v>
      </c>
    </row>
    <row r="412" spans="1:4">
      <c r="A412" s="278" t="str">
        <f t="shared" si="42"/>
        <v>FB_REG_S.SDCX</v>
      </c>
      <c r="B412" s="279">
        <v>101</v>
      </c>
      <c r="C412" s="279" t="s">
        <v>0</v>
      </c>
      <c r="D412" s="280" t="s">
        <v>209</v>
      </c>
    </row>
    <row r="413" spans="1:4">
      <c r="A413" s="278" t="str">
        <f t="shared" si="42"/>
        <v>FB_REG_S.SDCX</v>
      </c>
      <c r="B413" s="279">
        <v>7998</v>
      </c>
      <c r="C413" s="279" t="s">
        <v>6</v>
      </c>
      <c r="D413" s="280">
        <v>1</v>
      </c>
    </row>
    <row r="414" spans="1:4">
      <c r="A414" s="281" t="str">
        <f t="shared" si="42"/>
        <v>FB_REG_S.SDCX</v>
      </c>
      <c r="B414" s="282">
        <v>7999</v>
      </c>
      <c r="C414" s="282" t="s">
        <v>0</v>
      </c>
      <c r="D414" s="283" t="str">
        <f>"#"&amp;$S$2&amp;"#"&amp;$T$2&amp;"\"&amp;$P$2&amp;"\SDCX"</f>
        <v>#1#treiOPCDA.CoOPCserv.1\pcmaster\REG_test\SDCX</v>
      </c>
    </row>
    <row r="415" spans="1:4">
      <c r="A415" s="275" t="str">
        <f t="shared" ref="A415:A420" si="43">$R$2&amp;".SICX"</f>
        <v>FB_REG_S.SICX</v>
      </c>
      <c r="B415" s="276">
        <v>3</v>
      </c>
      <c r="C415" s="276" t="s">
        <v>1</v>
      </c>
      <c r="D415" s="277">
        <v>192</v>
      </c>
    </row>
    <row r="416" spans="1:4">
      <c r="A416" s="278" t="str">
        <f t="shared" si="43"/>
        <v>FB_REG_S.SICX</v>
      </c>
      <c r="B416" s="279">
        <v>2</v>
      </c>
      <c r="C416" s="279" t="s">
        <v>80</v>
      </c>
      <c r="D416" s="280">
        <v>0</v>
      </c>
    </row>
    <row r="417" spans="1:4">
      <c r="A417" s="278" t="str">
        <f t="shared" si="43"/>
        <v>FB_REG_S.SICX</v>
      </c>
      <c r="B417" s="279">
        <v>1</v>
      </c>
      <c r="C417" s="279" t="s">
        <v>1</v>
      </c>
      <c r="D417" s="280">
        <v>4</v>
      </c>
    </row>
    <row r="418" spans="1:4">
      <c r="A418" s="278" t="str">
        <f t="shared" si="43"/>
        <v>FB_REG_S.SICX</v>
      </c>
      <c r="B418" s="279">
        <v>101</v>
      </c>
      <c r="C418" s="279" t="s">
        <v>0</v>
      </c>
      <c r="D418" s="280" t="s">
        <v>210</v>
      </c>
    </row>
    <row r="419" spans="1:4">
      <c r="A419" s="278" t="str">
        <f t="shared" si="43"/>
        <v>FB_REG_S.SICX</v>
      </c>
      <c r="B419" s="279">
        <v>7998</v>
      </c>
      <c r="C419" s="279" t="s">
        <v>6</v>
      </c>
      <c r="D419" s="280">
        <v>1</v>
      </c>
    </row>
    <row r="420" spans="1:4">
      <c r="A420" s="281" t="str">
        <f t="shared" si="43"/>
        <v>FB_REG_S.SICX</v>
      </c>
      <c r="B420" s="282">
        <v>7999</v>
      </c>
      <c r="C420" s="282" t="s">
        <v>0</v>
      </c>
      <c r="D420" s="283" t="str">
        <f>"#"&amp;$S$2&amp;"#"&amp;$T$2&amp;"\"&amp;$P$2&amp;"\SICX"</f>
        <v>#1#treiOPCDA.CoOPCserv.1\pcmaster\REG_test\SICX</v>
      </c>
    </row>
    <row r="421" spans="1:4">
      <c r="A421" s="275" t="str">
        <f t="shared" ref="A421:A426" si="44">$R$2&amp;".SBSX"</f>
        <v>FB_REG_S.SBSX</v>
      </c>
      <c r="B421" s="276">
        <v>3</v>
      </c>
      <c r="C421" s="276" t="s">
        <v>1</v>
      </c>
      <c r="D421" s="277">
        <v>192</v>
      </c>
    </row>
    <row r="422" spans="1:4">
      <c r="A422" s="278" t="str">
        <f t="shared" si="44"/>
        <v>FB_REG_S.SBSX</v>
      </c>
      <c r="B422" s="279">
        <v>2</v>
      </c>
      <c r="C422" s="279" t="s">
        <v>80</v>
      </c>
      <c r="D422" s="280">
        <v>0</v>
      </c>
    </row>
    <row r="423" spans="1:4">
      <c r="A423" s="278" t="str">
        <f t="shared" si="44"/>
        <v>FB_REG_S.SBSX</v>
      </c>
      <c r="B423" s="279">
        <v>1</v>
      </c>
      <c r="C423" s="279" t="s">
        <v>1</v>
      </c>
      <c r="D423" s="280">
        <v>4</v>
      </c>
    </row>
    <row r="424" spans="1:4">
      <c r="A424" s="278" t="str">
        <f t="shared" si="44"/>
        <v>FB_REG_S.SBSX</v>
      </c>
      <c r="B424" s="279">
        <v>101</v>
      </c>
      <c r="C424" s="279" t="s">
        <v>0</v>
      </c>
      <c r="D424" s="280" t="s">
        <v>211</v>
      </c>
    </row>
    <row r="425" spans="1:4">
      <c r="A425" s="278" t="str">
        <f t="shared" si="44"/>
        <v>FB_REG_S.SBSX</v>
      </c>
      <c r="B425" s="279">
        <v>7998</v>
      </c>
      <c r="C425" s="279" t="s">
        <v>6</v>
      </c>
      <c r="D425" s="280">
        <v>1</v>
      </c>
    </row>
    <row r="426" spans="1:4">
      <c r="A426" s="281" t="str">
        <f t="shared" si="44"/>
        <v>FB_REG_S.SBSX</v>
      </c>
      <c r="B426" s="282">
        <v>7999</v>
      </c>
      <c r="C426" s="282" t="s">
        <v>0</v>
      </c>
      <c r="D426" s="283" t="str">
        <f>"#"&amp;$S$2&amp;"#"&amp;$T$2&amp;"\"&amp;$P$2&amp;"\SBSX"</f>
        <v>#1#treiOPCDA.CoOPCserv.1\pcmaster\REG_test\SBSX</v>
      </c>
    </row>
    <row r="427" spans="1:4">
      <c r="A427" s="275" t="str">
        <f t="shared" ref="A427:A432" si="45">$R$2&amp;".SAPH"</f>
        <v>FB_REG_S.SAPH</v>
      </c>
      <c r="B427" s="276">
        <v>3</v>
      </c>
      <c r="C427" s="276" t="s">
        <v>1</v>
      </c>
      <c r="D427" s="277">
        <v>192</v>
      </c>
    </row>
    <row r="428" spans="1:4">
      <c r="A428" s="278" t="str">
        <f t="shared" si="45"/>
        <v>FB_REG_S.SAPH</v>
      </c>
      <c r="B428" s="279">
        <v>2</v>
      </c>
      <c r="C428" s="279" t="s">
        <v>80</v>
      </c>
      <c r="D428" s="280">
        <v>0</v>
      </c>
    </row>
    <row r="429" spans="1:4">
      <c r="A429" s="278" t="str">
        <f t="shared" si="45"/>
        <v>FB_REG_S.SAPH</v>
      </c>
      <c r="B429" s="279">
        <v>1</v>
      </c>
      <c r="C429" s="279" t="s">
        <v>1</v>
      </c>
      <c r="D429" s="280">
        <v>4</v>
      </c>
    </row>
    <row r="430" spans="1:4">
      <c r="A430" s="278" t="str">
        <f t="shared" si="45"/>
        <v>FB_REG_S.SAPH</v>
      </c>
      <c r="B430" s="279">
        <v>101</v>
      </c>
      <c r="C430" s="279" t="s">
        <v>0</v>
      </c>
      <c r="D430" s="280" t="s">
        <v>214</v>
      </c>
    </row>
    <row r="431" spans="1:4">
      <c r="A431" s="278" t="str">
        <f t="shared" si="45"/>
        <v>FB_REG_S.SAPH</v>
      </c>
      <c r="B431" s="279">
        <v>7998</v>
      </c>
      <c r="C431" s="279" t="s">
        <v>6</v>
      </c>
      <c r="D431" s="280">
        <v>1</v>
      </c>
    </row>
    <row r="432" spans="1:4">
      <c r="A432" s="281" t="str">
        <f t="shared" si="45"/>
        <v>FB_REG_S.SAPH</v>
      </c>
      <c r="B432" s="282">
        <v>7999</v>
      </c>
      <c r="C432" s="282" t="s">
        <v>0</v>
      </c>
      <c r="D432" s="283" t="str">
        <f>"#"&amp;$S$2&amp;"#"&amp;$T$2&amp;"\"&amp;$P$2&amp;"\SAPH"</f>
        <v>#1#treiOPCDA.CoOPCserv.1\pcmaster\REG_test\SAPH</v>
      </c>
    </row>
    <row r="433" spans="1:21">
      <c r="A433" s="275" t="str">
        <f t="shared" ref="A433:A438" si="46">$R$2&amp;".SAPL"</f>
        <v>FB_REG_S.SAPL</v>
      </c>
      <c r="B433" s="276">
        <v>3</v>
      </c>
      <c r="C433" s="276" t="s">
        <v>1</v>
      </c>
      <c r="D433" s="277">
        <v>192</v>
      </c>
    </row>
    <row r="434" spans="1:21">
      <c r="A434" s="278" t="str">
        <f t="shared" si="46"/>
        <v>FB_REG_S.SAPL</v>
      </c>
      <c r="B434" s="279">
        <v>2</v>
      </c>
      <c r="C434" s="279" t="s">
        <v>80</v>
      </c>
      <c r="D434" s="280">
        <v>0</v>
      </c>
    </row>
    <row r="435" spans="1:21">
      <c r="A435" s="278" t="str">
        <f t="shared" si="46"/>
        <v>FB_REG_S.SAPL</v>
      </c>
      <c r="B435" s="279">
        <v>1</v>
      </c>
      <c r="C435" s="279" t="s">
        <v>1</v>
      </c>
      <c r="D435" s="280">
        <v>4</v>
      </c>
    </row>
    <row r="436" spans="1:21">
      <c r="A436" s="278" t="str">
        <f t="shared" si="46"/>
        <v>FB_REG_S.SAPL</v>
      </c>
      <c r="B436" s="279">
        <v>101</v>
      </c>
      <c r="C436" s="279" t="s">
        <v>0</v>
      </c>
      <c r="D436" s="280" t="s">
        <v>215</v>
      </c>
    </row>
    <row r="437" spans="1:21">
      <c r="A437" s="278" t="str">
        <f t="shared" si="46"/>
        <v>FB_REG_S.SAPL</v>
      </c>
      <c r="B437" s="279">
        <v>7998</v>
      </c>
      <c r="C437" s="279" t="s">
        <v>6</v>
      </c>
      <c r="D437" s="280">
        <v>1</v>
      </c>
    </row>
    <row r="438" spans="1:21">
      <c r="A438" s="281" t="str">
        <f t="shared" si="46"/>
        <v>FB_REG_S.SAPL</v>
      </c>
      <c r="B438" s="282">
        <v>7999</v>
      </c>
      <c r="C438" s="282" t="s">
        <v>0</v>
      </c>
      <c r="D438" s="283" t="str">
        <f>"#"&amp;$S$2&amp;"#"&amp;$T$2&amp;"\"&amp;$P$2&amp;"\SAPL"</f>
        <v>#1#treiOPCDA.CoOPCserv.1\pcmaster\REG_test\SAPL</v>
      </c>
    </row>
    <row r="439" spans="1:21">
      <c r="A439" s="275" t="str">
        <f>$R$2&amp;".SSPH"</f>
        <v>FB_REG_S.SSPH</v>
      </c>
      <c r="B439" s="276">
        <v>3</v>
      </c>
      <c r="C439" s="276" t="s">
        <v>1</v>
      </c>
      <c r="D439" s="277">
        <v>192</v>
      </c>
    </row>
    <row r="440" spans="1:21">
      <c r="A440" s="278" t="str">
        <f t="shared" ref="A440:A444" si="47">$R$2&amp;".SSPH"</f>
        <v>FB_REG_S.SSPH</v>
      </c>
      <c r="B440" s="279">
        <v>2</v>
      </c>
      <c r="C440" s="279" t="s">
        <v>80</v>
      </c>
      <c r="D440" s="280">
        <v>0</v>
      </c>
    </row>
    <row r="441" spans="1:21">
      <c r="A441" s="278" t="str">
        <f t="shared" si="47"/>
        <v>FB_REG_S.SSPH</v>
      </c>
      <c r="B441" s="279">
        <v>1</v>
      </c>
      <c r="C441" s="279" t="s">
        <v>1</v>
      </c>
      <c r="D441" s="280">
        <v>4</v>
      </c>
    </row>
    <row r="442" spans="1:21">
      <c r="A442" s="278" t="str">
        <f t="shared" si="47"/>
        <v>FB_REG_S.SSPH</v>
      </c>
      <c r="B442" s="279">
        <v>101</v>
      </c>
      <c r="C442" s="279" t="s">
        <v>0</v>
      </c>
      <c r="D442" s="280" t="s">
        <v>216</v>
      </c>
    </row>
    <row r="443" spans="1:21">
      <c r="A443" s="278" t="str">
        <f t="shared" si="47"/>
        <v>FB_REG_S.SSPH</v>
      </c>
      <c r="B443" s="279">
        <v>7998</v>
      </c>
      <c r="C443" s="279" t="s">
        <v>6</v>
      </c>
      <c r="D443" s="280">
        <v>1</v>
      </c>
    </row>
    <row r="444" spans="1:21">
      <c r="A444" s="281" t="str">
        <f t="shared" si="47"/>
        <v>FB_REG_S.SSPH</v>
      </c>
      <c r="B444" s="282">
        <v>7999</v>
      </c>
      <c r="C444" s="282" t="s">
        <v>0</v>
      </c>
      <c r="D444" s="283" t="str">
        <f>"#"&amp;$S$2&amp;"#"&amp;$T$2&amp;"\"&amp;$P$2&amp;"\SSPH"</f>
        <v>#1#treiOPCDA.CoOPCserv.1\pcmaster\REG_test\SSPH</v>
      </c>
    </row>
    <row r="445" spans="1:21">
      <c r="A445" s="275" t="str">
        <f>$R$2&amp;".SSPL"</f>
        <v>FB_REG_S.SSPL</v>
      </c>
      <c r="B445" s="276">
        <v>3</v>
      </c>
      <c r="C445" s="276" t="s">
        <v>1</v>
      </c>
      <c r="D445" s="277">
        <v>192</v>
      </c>
      <c r="U445" t="s">
        <v>827</v>
      </c>
    </row>
    <row r="446" spans="1:21">
      <c r="A446" s="278" t="str">
        <f t="shared" ref="A446:A450" si="48">$R$2&amp;".SSPL"</f>
        <v>FB_REG_S.SSPL</v>
      </c>
      <c r="B446" s="279">
        <v>2</v>
      </c>
      <c r="C446" s="279" t="s">
        <v>80</v>
      </c>
      <c r="D446" s="280">
        <v>0</v>
      </c>
    </row>
    <row r="447" spans="1:21">
      <c r="A447" s="278" t="str">
        <f t="shared" si="48"/>
        <v>FB_REG_S.SSPL</v>
      </c>
      <c r="B447" s="279">
        <v>1</v>
      </c>
      <c r="C447" s="279" t="s">
        <v>1</v>
      </c>
      <c r="D447" s="280">
        <v>4</v>
      </c>
    </row>
    <row r="448" spans="1:21">
      <c r="A448" s="278" t="str">
        <f t="shared" si="48"/>
        <v>FB_REG_S.SSPL</v>
      </c>
      <c r="B448" s="279">
        <v>101</v>
      </c>
      <c r="C448" s="279" t="s">
        <v>0</v>
      </c>
      <c r="D448" s="280" t="s">
        <v>217</v>
      </c>
    </row>
    <row r="449" spans="1:4">
      <c r="A449" s="278" t="str">
        <f t="shared" si="48"/>
        <v>FB_REG_S.SSPL</v>
      </c>
      <c r="B449" s="279">
        <v>7998</v>
      </c>
      <c r="C449" s="279" t="s">
        <v>6</v>
      </c>
      <c r="D449" s="280">
        <v>1</v>
      </c>
    </row>
    <row r="450" spans="1:4">
      <c r="A450" s="281" t="str">
        <f t="shared" si="48"/>
        <v>FB_REG_S.SSPL</v>
      </c>
      <c r="B450" s="282">
        <v>7999</v>
      </c>
      <c r="C450" s="282" t="s">
        <v>0</v>
      </c>
      <c r="D450" s="283" t="str">
        <f>"#"&amp;$S$2&amp;"#"&amp;$T$2&amp;"\"&amp;$P$2&amp;"\SSPL"</f>
        <v>#1#treiOPCDA.CoOPCserv.1\pcmaster\REG_test\SSPL</v>
      </c>
    </row>
    <row r="451" spans="1:4">
      <c r="A451" s="275" t="str">
        <f>$R$2&amp;".SOPX"</f>
        <v>FB_REG_S.SOPX</v>
      </c>
      <c r="B451" s="276">
        <v>3</v>
      </c>
      <c r="C451" s="276" t="s">
        <v>1</v>
      </c>
      <c r="D451" s="277">
        <v>192</v>
      </c>
    </row>
    <row r="452" spans="1:4">
      <c r="A452" s="278" t="str">
        <f t="shared" ref="A452:A456" si="49">$R$2&amp;".SOPX"</f>
        <v>FB_REG_S.SOPX</v>
      </c>
      <c r="B452" s="279">
        <v>2</v>
      </c>
      <c r="C452" s="279" t="s">
        <v>80</v>
      </c>
      <c r="D452" s="280">
        <v>0</v>
      </c>
    </row>
    <row r="453" spans="1:4">
      <c r="A453" s="278" t="str">
        <f t="shared" si="49"/>
        <v>FB_REG_S.SOPX</v>
      </c>
      <c r="B453" s="279">
        <v>1</v>
      </c>
      <c r="C453" s="279" t="s">
        <v>1</v>
      </c>
      <c r="D453" s="280">
        <v>4</v>
      </c>
    </row>
    <row r="454" spans="1:4">
      <c r="A454" s="278" t="str">
        <f t="shared" si="49"/>
        <v>FB_REG_S.SOPX</v>
      </c>
      <c r="B454" s="279">
        <v>101</v>
      </c>
      <c r="C454" s="279" t="s">
        <v>0</v>
      </c>
      <c r="D454" s="280" t="s">
        <v>218</v>
      </c>
    </row>
    <row r="455" spans="1:4">
      <c r="A455" s="278" t="str">
        <f t="shared" si="49"/>
        <v>FB_REG_S.SOPX</v>
      </c>
      <c r="B455" s="279">
        <v>7998</v>
      </c>
      <c r="C455" s="279" t="s">
        <v>6</v>
      </c>
      <c r="D455" s="280">
        <v>1</v>
      </c>
    </row>
    <row r="456" spans="1:4">
      <c r="A456" s="281" t="str">
        <f t="shared" si="49"/>
        <v>FB_REG_S.SOPX</v>
      </c>
      <c r="B456" s="282">
        <v>7999</v>
      </c>
      <c r="C456" s="282" t="s">
        <v>0</v>
      </c>
      <c r="D456" s="283" t="str">
        <f>"#"&amp;$S$2&amp;"#"&amp;$T$2&amp;"\"&amp;$P$2&amp;"\SOPX"</f>
        <v>#1#treiOPCDA.CoOPCserv.1\pcmaster\REG_test\SOPX</v>
      </c>
    </row>
    <row r="457" spans="1:4">
      <c r="A457" s="275" t="str">
        <f t="shared" ref="A457:A462" si="50">$R$2&amp;".SDBX"</f>
        <v>FB_REG_S.SDBX</v>
      </c>
      <c r="B457" s="276">
        <v>3</v>
      </c>
      <c r="C457" s="276" t="s">
        <v>1</v>
      </c>
      <c r="D457" s="277">
        <v>192</v>
      </c>
    </row>
    <row r="458" spans="1:4">
      <c r="A458" s="278" t="str">
        <f t="shared" si="50"/>
        <v>FB_REG_S.SDBX</v>
      </c>
      <c r="B458" s="279">
        <v>2</v>
      </c>
      <c r="C458" s="279" t="s">
        <v>80</v>
      </c>
      <c r="D458" s="280">
        <v>0</v>
      </c>
    </row>
    <row r="459" spans="1:4">
      <c r="A459" s="278" t="str">
        <f t="shared" si="50"/>
        <v>FB_REG_S.SDBX</v>
      </c>
      <c r="B459" s="279">
        <v>1</v>
      </c>
      <c r="C459" s="279" t="s">
        <v>1</v>
      </c>
      <c r="D459" s="280">
        <v>4</v>
      </c>
    </row>
    <row r="460" spans="1:4">
      <c r="A460" s="278" t="str">
        <f t="shared" si="50"/>
        <v>FB_REG_S.SDBX</v>
      </c>
      <c r="B460" s="279">
        <v>101</v>
      </c>
      <c r="C460" s="279" t="s">
        <v>0</v>
      </c>
      <c r="D460" s="280" t="s">
        <v>219</v>
      </c>
    </row>
    <row r="461" spans="1:4">
      <c r="A461" s="278" t="str">
        <f t="shared" si="50"/>
        <v>FB_REG_S.SDBX</v>
      </c>
      <c r="B461" s="279">
        <v>7998</v>
      </c>
      <c r="C461" s="279" t="s">
        <v>6</v>
      </c>
      <c r="D461" s="280">
        <v>1</v>
      </c>
    </row>
    <row r="462" spans="1:4">
      <c r="A462" s="281" t="str">
        <f t="shared" si="50"/>
        <v>FB_REG_S.SDBX</v>
      </c>
      <c r="B462" s="282">
        <v>7999</v>
      </c>
      <c r="C462" s="282" t="s">
        <v>0</v>
      </c>
      <c r="D462" s="283" t="str">
        <f>"#"&amp;$S$2&amp;"#"&amp;$T$2&amp;"\"&amp;$P$2&amp;"\SDBX"</f>
        <v>#1#treiOPCDA.CoOPCserv.1\pcmaster\REG_test\SDBX</v>
      </c>
    </row>
    <row r="463" spans="1:4">
      <c r="A463" s="275" t="str">
        <f t="shared" ref="A463:A468" si="51">$R$2&amp;".SEPX"</f>
        <v>FB_REG_S.SEPX</v>
      </c>
      <c r="B463" s="276">
        <v>3</v>
      </c>
      <c r="C463" s="276" t="s">
        <v>1</v>
      </c>
      <c r="D463" s="277">
        <v>192</v>
      </c>
    </row>
    <row r="464" spans="1:4">
      <c r="A464" s="278" t="str">
        <f t="shared" si="51"/>
        <v>FB_REG_S.SEPX</v>
      </c>
      <c r="B464" s="279">
        <v>2</v>
      </c>
      <c r="C464" s="279" t="s">
        <v>80</v>
      </c>
      <c r="D464" s="280">
        <v>0</v>
      </c>
    </row>
    <row r="465" spans="1:4">
      <c r="A465" s="278" t="str">
        <f t="shared" si="51"/>
        <v>FB_REG_S.SEPX</v>
      </c>
      <c r="B465" s="279">
        <v>1</v>
      </c>
      <c r="C465" s="279" t="s">
        <v>1</v>
      </c>
      <c r="D465" s="280">
        <v>4</v>
      </c>
    </row>
    <row r="466" spans="1:4">
      <c r="A466" s="278" t="str">
        <f t="shared" si="51"/>
        <v>FB_REG_S.SEPX</v>
      </c>
      <c r="B466" s="279">
        <v>101</v>
      </c>
      <c r="C466" s="279" t="s">
        <v>0</v>
      </c>
      <c r="D466" s="280" t="s">
        <v>220</v>
      </c>
    </row>
    <row r="467" spans="1:4">
      <c r="A467" s="278" t="str">
        <f t="shared" si="51"/>
        <v>FB_REG_S.SEPX</v>
      </c>
      <c r="B467" s="279">
        <v>7998</v>
      </c>
      <c r="C467" s="279" t="s">
        <v>6</v>
      </c>
      <c r="D467" s="280">
        <v>1</v>
      </c>
    </row>
    <row r="468" spans="1:4">
      <c r="A468" s="281" t="str">
        <f t="shared" si="51"/>
        <v>FB_REG_S.SEPX</v>
      </c>
      <c r="B468" s="282">
        <v>7999</v>
      </c>
      <c r="C468" s="282" t="s">
        <v>0</v>
      </c>
      <c r="D468" s="283" t="str">
        <f>"#"&amp;$S$2&amp;"#"&amp;$T$2&amp;"\"&amp;$P$2&amp;"\SEPX"</f>
        <v>#1#treiOPCDA.CoOPCserv.1\pcmaster\REG_test\SEPX</v>
      </c>
    </row>
    <row r="469" spans="1:4">
      <c r="A469" s="275" t="str">
        <f t="shared" ref="A469:A474" si="52">$R$2&amp;".SMVX"</f>
        <v>FB_REG_S.SMVX</v>
      </c>
      <c r="B469" s="276">
        <v>3</v>
      </c>
      <c r="C469" s="276" t="s">
        <v>1</v>
      </c>
      <c r="D469" s="277">
        <v>192</v>
      </c>
    </row>
    <row r="470" spans="1:4">
      <c r="A470" s="278" t="str">
        <f t="shared" si="52"/>
        <v>FB_REG_S.SMVX</v>
      </c>
      <c r="B470" s="279">
        <v>2</v>
      </c>
      <c r="C470" s="279" t="s">
        <v>80</v>
      </c>
      <c r="D470" s="280">
        <v>0</v>
      </c>
    </row>
    <row r="471" spans="1:4">
      <c r="A471" s="278" t="str">
        <f t="shared" si="52"/>
        <v>FB_REG_S.SMVX</v>
      </c>
      <c r="B471" s="279">
        <v>1</v>
      </c>
      <c r="C471" s="279" t="s">
        <v>1</v>
      </c>
      <c r="D471" s="280">
        <v>4</v>
      </c>
    </row>
    <row r="472" spans="1:4">
      <c r="A472" s="278" t="str">
        <f t="shared" si="52"/>
        <v>FB_REG_S.SMVX</v>
      </c>
      <c r="B472" s="279">
        <v>101</v>
      </c>
      <c r="C472" s="279" t="s">
        <v>0</v>
      </c>
      <c r="D472" s="280" t="s">
        <v>221</v>
      </c>
    </row>
    <row r="473" spans="1:4">
      <c r="A473" s="278" t="str">
        <f t="shared" si="52"/>
        <v>FB_REG_S.SMVX</v>
      </c>
      <c r="B473" s="279">
        <v>7998</v>
      </c>
      <c r="C473" s="279" t="s">
        <v>6</v>
      </c>
      <c r="D473" s="280">
        <v>1</v>
      </c>
    </row>
    <row r="474" spans="1:4">
      <c r="A474" s="281" t="str">
        <f t="shared" si="52"/>
        <v>FB_REG_S.SMVX</v>
      </c>
      <c r="B474" s="282">
        <v>7999</v>
      </c>
      <c r="C474" s="282" t="s">
        <v>0</v>
      </c>
      <c r="D474" s="283" t="str">
        <f>"#"&amp;$S$2&amp;"#"&amp;$T$2&amp;"\"&amp;$P$2&amp;"\SMVX"</f>
        <v>#1#treiOPCDA.CoOPCserv.1\pcmaster\REG_test\SMVX</v>
      </c>
    </row>
    <row r="475" spans="1:4">
      <c r="A475" s="275" t="str">
        <f t="shared" ref="A475:A480" si="53">$R$2&amp;".SBPX"</f>
        <v>FB_REG_S.SBPX</v>
      </c>
      <c r="B475" s="276">
        <v>3</v>
      </c>
      <c r="C475" s="276" t="s">
        <v>1</v>
      </c>
      <c r="D475" s="277">
        <v>192</v>
      </c>
    </row>
    <row r="476" spans="1:4">
      <c r="A476" s="278" t="str">
        <f t="shared" si="53"/>
        <v>FB_REG_S.SBPX</v>
      </c>
      <c r="B476" s="279">
        <v>2</v>
      </c>
      <c r="C476" s="279" t="s">
        <v>80</v>
      </c>
      <c r="D476" s="280">
        <v>0</v>
      </c>
    </row>
    <row r="477" spans="1:4">
      <c r="A477" s="278" t="str">
        <f t="shared" si="53"/>
        <v>FB_REG_S.SBPX</v>
      </c>
      <c r="B477" s="279">
        <v>1</v>
      </c>
      <c r="C477" s="279" t="s">
        <v>1</v>
      </c>
      <c r="D477" s="280">
        <v>4</v>
      </c>
    </row>
    <row r="478" spans="1:4">
      <c r="A478" s="278" t="str">
        <f t="shared" si="53"/>
        <v>FB_REG_S.SBPX</v>
      </c>
      <c r="B478" s="279">
        <v>101</v>
      </c>
      <c r="C478" s="279" t="s">
        <v>0</v>
      </c>
      <c r="D478" s="280" t="s">
        <v>624</v>
      </c>
    </row>
    <row r="479" spans="1:4">
      <c r="A479" s="278" t="str">
        <f t="shared" si="53"/>
        <v>FB_REG_S.SBPX</v>
      </c>
      <c r="B479" s="279">
        <v>7998</v>
      </c>
      <c r="C479" s="279" t="s">
        <v>6</v>
      </c>
      <c r="D479" s="280">
        <v>1</v>
      </c>
    </row>
    <row r="480" spans="1:4">
      <c r="A480" s="281" t="str">
        <f t="shared" si="53"/>
        <v>FB_REG_S.SBPX</v>
      </c>
      <c r="B480" s="282">
        <v>7999</v>
      </c>
      <c r="C480" s="282" t="s">
        <v>0</v>
      </c>
      <c r="D480" s="283" t="str">
        <f>"#"&amp;$S$2&amp;"#"&amp;$T$2&amp;"\"&amp;$P$2&amp;"\SBPX"</f>
        <v>#1#treiOPCDA.CoOPCserv.1\pcmaster\REG_test\SBPX</v>
      </c>
    </row>
    <row r="481" spans="1:4">
      <c r="A481" s="275" t="str">
        <f>$R$2&amp;".SSPX"</f>
        <v>FB_REG_S.SSPX</v>
      </c>
      <c r="B481" s="276">
        <v>3</v>
      </c>
      <c r="C481" s="276" t="s">
        <v>1</v>
      </c>
      <c r="D481" s="277">
        <v>192</v>
      </c>
    </row>
    <row r="482" spans="1:4">
      <c r="A482" s="278" t="str">
        <f t="shared" ref="A482:A486" si="54">$R$2&amp;".SSPX"</f>
        <v>FB_REG_S.SSPX</v>
      </c>
      <c r="B482" s="279">
        <v>2</v>
      </c>
      <c r="C482" s="279" t="s">
        <v>80</v>
      </c>
      <c r="D482" s="280">
        <v>0</v>
      </c>
    </row>
    <row r="483" spans="1:4">
      <c r="A483" s="278" t="str">
        <f t="shared" si="54"/>
        <v>FB_REG_S.SSPX</v>
      </c>
      <c r="B483" s="279">
        <v>1</v>
      </c>
      <c r="C483" s="279" t="s">
        <v>1</v>
      </c>
      <c r="D483" s="280">
        <v>4</v>
      </c>
    </row>
    <row r="484" spans="1:4">
      <c r="A484" s="278" t="str">
        <f t="shared" si="54"/>
        <v>FB_REG_S.SSPX</v>
      </c>
      <c r="B484" s="279">
        <v>101</v>
      </c>
      <c r="C484" s="279" t="s">
        <v>0</v>
      </c>
      <c r="D484" s="280" t="s">
        <v>213</v>
      </c>
    </row>
    <row r="485" spans="1:4">
      <c r="A485" s="278" t="str">
        <f t="shared" si="54"/>
        <v>FB_REG_S.SSPX</v>
      </c>
      <c r="B485" s="279">
        <v>7998</v>
      </c>
      <c r="C485" s="279" t="s">
        <v>6</v>
      </c>
      <c r="D485" s="280">
        <v>1</v>
      </c>
    </row>
    <row r="486" spans="1:4">
      <c r="A486" s="281" t="str">
        <f t="shared" si="54"/>
        <v>FB_REG_S.SSPX</v>
      </c>
      <c r="B486" s="282">
        <v>7999</v>
      </c>
      <c r="C486" s="282" t="s">
        <v>0</v>
      </c>
      <c r="D486" s="283" t="str">
        <f>"#"&amp;$S$2&amp;"#"&amp;$T$2&amp;"\"&amp;$P$2&amp;"\SSPX"</f>
        <v>#1#treiOPCDA.CoOPCserv.1\pcmaster\REG_test\SSPX</v>
      </c>
    </row>
    <row r="487" spans="1:4">
      <c r="A487" s="266" t="str">
        <f t="shared" ref="A487:A492" si="55">$R$2&amp;".SWSX"</f>
        <v>FB_REG_S.SWSX</v>
      </c>
      <c r="B487" s="267">
        <v>3</v>
      </c>
      <c r="C487" s="267" t="s">
        <v>1</v>
      </c>
      <c r="D487" s="268">
        <v>192</v>
      </c>
    </row>
    <row r="488" spans="1:4">
      <c r="A488" s="269" t="str">
        <f t="shared" si="55"/>
        <v>FB_REG_S.SWSX</v>
      </c>
      <c r="B488" s="270">
        <v>2</v>
      </c>
      <c r="C488" s="270" t="s">
        <v>6</v>
      </c>
      <c r="D488" s="271">
        <v>0</v>
      </c>
    </row>
    <row r="489" spans="1:4">
      <c r="A489" s="269" t="str">
        <f t="shared" si="55"/>
        <v>FB_REG_S.SWSX</v>
      </c>
      <c r="B489" s="270">
        <v>1</v>
      </c>
      <c r="C489" s="270" t="s">
        <v>1</v>
      </c>
      <c r="D489" s="271">
        <v>3</v>
      </c>
    </row>
    <row r="490" spans="1:4">
      <c r="A490" s="269" t="str">
        <f t="shared" si="55"/>
        <v>FB_REG_S.SWSX</v>
      </c>
      <c r="B490" s="270">
        <v>101</v>
      </c>
      <c r="C490" s="270" t="s">
        <v>0</v>
      </c>
      <c r="D490" s="271" t="s">
        <v>212</v>
      </c>
    </row>
    <row r="491" spans="1:4">
      <c r="A491" s="269" t="str">
        <f t="shared" si="55"/>
        <v>FB_REG_S.SWSX</v>
      </c>
      <c r="B491" s="270">
        <v>7998</v>
      </c>
      <c r="C491" s="270" t="s">
        <v>6</v>
      </c>
      <c r="D491" s="271">
        <v>1</v>
      </c>
    </row>
    <row r="492" spans="1:4">
      <c r="A492" s="272" t="str">
        <f t="shared" si="55"/>
        <v>FB_REG_S.SWSX</v>
      </c>
      <c r="B492" s="273">
        <v>7999</v>
      </c>
      <c r="C492" s="273" t="s">
        <v>0</v>
      </c>
      <c r="D492" s="274" t="str">
        <f>"#"&amp;$S$2&amp;"#"&amp;$T$2&amp;"\"&amp;$P$2&amp;"\SWSX"</f>
        <v>#1#treiOPCDA.CoOPCserv.1\pcmaster\REG_test\SWSX</v>
      </c>
    </row>
    <row r="493" spans="1:4">
      <c r="A493" s="266" t="str">
        <f t="shared" ref="A493:A498" si="56">$R$2&amp;".SMVT"</f>
        <v>FB_REG_S.SMVT</v>
      </c>
      <c r="B493" s="267">
        <v>3</v>
      </c>
      <c r="C493" s="267" t="s">
        <v>1</v>
      </c>
      <c r="D493" s="268">
        <v>192</v>
      </c>
    </row>
    <row r="494" spans="1:4">
      <c r="A494" s="269" t="str">
        <f t="shared" si="56"/>
        <v>FB_REG_S.SMVT</v>
      </c>
      <c r="B494" s="270">
        <v>2</v>
      </c>
      <c r="C494" s="270" t="s">
        <v>6</v>
      </c>
      <c r="D494" s="271">
        <v>0</v>
      </c>
    </row>
    <row r="495" spans="1:4">
      <c r="A495" s="269" t="str">
        <f t="shared" si="56"/>
        <v>FB_REG_S.SMVT</v>
      </c>
      <c r="B495" s="270">
        <v>1</v>
      </c>
      <c r="C495" s="270" t="s">
        <v>1</v>
      </c>
      <c r="D495" s="271">
        <v>3</v>
      </c>
    </row>
    <row r="496" spans="1:4">
      <c r="A496" s="269" t="str">
        <f t="shared" si="56"/>
        <v>FB_REG_S.SMVT</v>
      </c>
      <c r="B496" s="270">
        <v>101</v>
      </c>
      <c r="C496" s="270" t="s">
        <v>0</v>
      </c>
      <c r="D496" s="271" t="s">
        <v>222</v>
      </c>
    </row>
    <row r="497" spans="1:4">
      <c r="A497" s="269" t="str">
        <f t="shared" si="56"/>
        <v>FB_REG_S.SMVT</v>
      </c>
      <c r="B497" s="270">
        <v>7998</v>
      </c>
      <c r="C497" s="270" t="s">
        <v>6</v>
      </c>
      <c r="D497" s="271">
        <v>1</v>
      </c>
    </row>
    <row r="498" spans="1:4">
      <c r="A498" s="272" t="str">
        <f t="shared" si="56"/>
        <v>FB_REG_S.SMVT</v>
      </c>
      <c r="B498" s="273">
        <v>7999</v>
      </c>
      <c r="C498" s="273" t="s">
        <v>0</v>
      </c>
      <c r="D498" s="274" t="str">
        <f>"#"&amp;$S$2&amp;"#"&amp;$T$2&amp;"\"&amp;$P$2&amp;"\SMVT"</f>
        <v>#1#treiOPCDA.CoOPCserv.1\pcmaster\REG_test\SMVT</v>
      </c>
    </row>
    <row r="499" spans="1:4">
      <c r="A499" s="163" t="str">
        <f t="shared" ref="A499:A507" si="57">$R$2&amp;".BUF.DLCX"</f>
        <v>FB_REG_S.BUF.DLCX</v>
      </c>
      <c r="B499" s="123">
        <v>11154</v>
      </c>
      <c r="C499" s="123" t="s">
        <v>4</v>
      </c>
      <c r="D499" s="124">
        <f>$S$9</f>
        <v>0</v>
      </c>
    </row>
    <row r="500" spans="1:4">
      <c r="A500" s="110" t="str">
        <f t="shared" si="57"/>
        <v>FB_REG_S.BUF.DLCX</v>
      </c>
      <c r="B500" s="111">
        <v>11150</v>
      </c>
      <c r="C500" s="111" t="s">
        <v>0</v>
      </c>
      <c r="D500" s="112" t="s">
        <v>166</v>
      </c>
    </row>
    <row r="501" spans="1:4">
      <c r="A501" s="110" t="str">
        <f t="shared" si="57"/>
        <v>FB_REG_S.BUF.DLCX</v>
      </c>
      <c r="B501" s="111">
        <v>11152</v>
      </c>
      <c r="C501" s="111" t="s">
        <v>0</v>
      </c>
      <c r="D501" s="113" t="str">
        <f>$R$9</f>
        <v>Недостоверность</v>
      </c>
    </row>
    <row r="502" spans="1:4">
      <c r="A502" s="110" t="str">
        <f t="shared" si="57"/>
        <v>FB_REG_S.BUF.DLCX</v>
      </c>
      <c r="B502" s="111">
        <v>11000</v>
      </c>
      <c r="C502" s="111" t="s">
        <v>5</v>
      </c>
      <c r="D502" s="112">
        <v>2147483680</v>
      </c>
    </row>
    <row r="503" spans="1:4">
      <c r="A503" s="19" t="str">
        <f t="shared" si="57"/>
        <v>FB_REG_S.BUF.DLCX</v>
      </c>
      <c r="B503" s="11">
        <v>101</v>
      </c>
      <c r="C503" s="11" t="s">
        <v>0</v>
      </c>
      <c r="D503" s="20" t="s">
        <v>2748</v>
      </c>
    </row>
    <row r="504" spans="1:4">
      <c r="A504" s="19" t="str">
        <f t="shared" si="57"/>
        <v>FB_REG_S.BUF.DLCX</v>
      </c>
      <c r="B504" s="11">
        <v>7050</v>
      </c>
      <c r="C504" s="11" t="s">
        <v>0</v>
      </c>
      <c r="D504" s="20" t="str">
        <f>"&lt;Addr AnswerSignalType=©0© Protocol=©IEC4Std© Type=©Protocol© ProtocolType=©30© Address=©XXX© ModuleNo=©" &amp; $T$9&amp; "© Role=©Master© Station=©" &amp; $T$11 &amp; "©  /&gt;"</f>
        <v>&lt;Addr AnswerSignalType=©0© Protocol=©IEC4Std© Type=©Protocol© ProtocolType=©30© Address=©XXX© ModuleNo=©© Role=©Master© Station=©©  /&gt;</v>
      </c>
    </row>
    <row r="505" spans="1:4">
      <c r="A505" s="19" t="str">
        <f t="shared" si="57"/>
        <v>FB_REG_S.BUF.DLCX</v>
      </c>
      <c r="B505" s="11">
        <v>3</v>
      </c>
      <c r="C505" s="11" t="s">
        <v>1</v>
      </c>
      <c r="D505" s="20">
        <v>192</v>
      </c>
    </row>
    <row r="506" spans="1:4">
      <c r="A506" s="19" t="str">
        <f t="shared" si="57"/>
        <v>FB_REG_S.BUF.DLCX</v>
      </c>
      <c r="B506" s="11">
        <v>2</v>
      </c>
      <c r="C506" s="11" t="s">
        <v>2</v>
      </c>
      <c r="D506" s="20" t="s">
        <v>3</v>
      </c>
    </row>
    <row r="507" spans="1:4">
      <c r="A507" s="21" t="str">
        <f t="shared" si="57"/>
        <v>FB_REG_S.BUF.DLCX</v>
      </c>
      <c r="B507" s="8">
        <v>1</v>
      </c>
      <c r="C507" s="8" t="s">
        <v>1</v>
      </c>
      <c r="D507" s="22">
        <v>11</v>
      </c>
    </row>
    <row r="508" spans="1:4">
      <c r="A508" s="163" t="str">
        <f t="shared" ref="A508:A516" si="58">$R$2&amp;".BUF.DRCX"</f>
        <v>FB_REG_S.BUF.DRCX</v>
      </c>
      <c r="B508" s="123">
        <v>11154</v>
      </c>
      <c r="C508" s="123" t="s">
        <v>4</v>
      </c>
      <c r="D508" s="124">
        <f>$S$9</f>
        <v>0</v>
      </c>
    </row>
    <row r="509" spans="1:4">
      <c r="A509" s="110" t="str">
        <f t="shared" si="58"/>
        <v>FB_REG_S.BUF.DRCX</v>
      </c>
      <c r="B509" s="111">
        <v>11150</v>
      </c>
      <c r="C509" s="111" t="s">
        <v>0</v>
      </c>
      <c r="D509" s="112" t="s">
        <v>105</v>
      </c>
    </row>
    <row r="510" spans="1:4">
      <c r="A510" s="110" t="str">
        <f t="shared" si="58"/>
        <v>FB_REG_S.BUF.DRCX</v>
      </c>
      <c r="B510" s="111">
        <v>11152</v>
      </c>
      <c r="C510" s="111" t="s">
        <v>0</v>
      </c>
      <c r="D510" s="113" t="str">
        <f>$R$9</f>
        <v>Недостоверность</v>
      </c>
    </row>
    <row r="511" spans="1:4">
      <c r="A511" s="110" t="str">
        <f t="shared" si="58"/>
        <v>FB_REG_S.BUF.DRCX</v>
      </c>
      <c r="B511" s="111">
        <v>11000</v>
      </c>
      <c r="C511" s="111" t="s">
        <v>5</v>
      </c>
      <c r="D511" s="112">
        <v>2147483680</v>
      </c>
    </row>
    <row r="512" spans="1:4">
      <c r="A512" s="19" t="str">
        <f t="shared" si="58"/>
        <v>FB_REG_S.BUF.DRCX</v>
      </c>
      <c r="B512" s="11">
        <v>101</v>
      </c>
      <c r="C512" s="11" t="s">
        <v>0</v>
      </c>
      <c r="D512" s="20" t="s">
        <v>105</v>
      </c>
    </row>
    <row r="513" spans="1:4">
      <c r="A513" s="19" t="str">
        <f t="shared" si="58"/>
        <v>FB_REG_S.BUF.DRCX</v>
      </c>
      <c r="B513" s="11">
        <v>7050</v>
      </c>
      <c r="C513" s="11" t="s">
        <v>0</v>
      </c>
      <c r="D513" s="20" t="str">
        <f>"&lt;Addr AnswerSignalType=©0© Protocol=©IEC4Std© Type=©Protocol© ProtocolType=©30© Address=©XXX© ModuleNo=©" &amp; $T$9&amp; "© Role=©Master© Station=©" &amp; $T$11 &amp; "©  /&gt;"</f>
        <v>&lt;Addr AnswerSignalType=©0© Protocol=©IEC4Std© Type=©Protocol© ProtocolType=©30© Address=©XXX© ModuleNo=©© Role=©Master© Station=©©  /&gt;</v>
      </c>
    </row>
    <row r="514" spans="1:4">
      <c r="A514" s="19" t="str">
        <f t="shared" si="58"/>
        <v>FB_REG_S.BUF.DRCX</v>
      </c>
      <c r="B514" s="11">
        <v>3</v>
      </c>
      <c r="C514" s="11" t="s">
        <v>1</v>
      </c>
      <c r="D514" s="20">
        <v>192</v>
      </c>
    </row>
    <row r="515" spans="1:4">
      <c r="A515" s="19" t="str">
        <f t="shared" si="58"/>
        <v>FB_REG_S.BUF.DRCX</v>
      </c>
      <c r="B515" s="11">
        <v>2</v>
      </c>
      <c r="C515" s="11" t="s">
        <v>2</v>
      </c>
      <c r="D515" s="20" t="s">
        <v>3</v>
      </c>
    </row>
    <row r="516" spans="1:4">
      <c r="A516" s="21" t="str">
        <f t="shared" si="58"/>
        <v>FB_REG_S.BUF.DRCX</v>
      </c>
      <c r="B516" s="8">
        <v>1</v>
      </c>
      <c r="C516" s="8" t="s">
        <v>1</v>
      </c>
      <c r="D516" s="22">
        <v>11</v>
      </c>
    </row>
    <row r="517" spans="1:4">
      <c r="A517" s="163" t="str">
        <f t="shared" ref="A517:A525" si="59">$R$2&amp;".BUF.DFXX"</f>
        <v>FB_REG_S.BUF.DFXX</v>
      </c>
      <c r="B517" s="123">
        <v>11154</v>
      </c>
      <c r="C517" s="123" t="s">
        <v>4</v>
      </c>
      <c r="D517" s="124">
        <f>$S$9</f>
        <v>0</v>
      </c>
    </row>
    <row r="518" spans="1:4">
      <c r="A518" s="110" t="str">
        <f t="shared" si="59"/>
        <v>FB_REG_S.BUF.DFXX</v>
      </c>
      <c r="B518" s="111">
        <v>11150</v>
      </c>
      <c r="C518" s="111" t="s">
        <v>0</v>
      </c>
      <c r="D518" s="112" t="s">
        <v>104</v>
      </c>
    </row>
    <row r="519" spans="1:4">
      <c r="A519" s="110" t="str">
        <f t="shared" si="59"/>
        <v>FB_REG_S.BUF.DFXX</v>
      </c>
      <c r="B519" s="111">
        <v>11152</v>
      </c>
      <c r="C519" s="111" t="s">
        <v>0</v>
      </c>
      <c r="D519" s="113" t="str">
        <f>$R$9</f>
        <v>Недостоверность</v>
      </c>
    </row>
    <row r="520" spans="1:4">
      <c r="A520" s="110" t="str">
        <f t="shared" si="59"/>
        <v>FB_REG_S.BUF.DFXX</v>
      </c>
      <c r="B520" s="111">
        <v>11000</v>
      </c>
      <c r="C520" s="111" t="s">
        <v>5</v>
      </c>
      <c r="D520" s="112">
        <v>2147483680</v>
      </c>
    </row>
    <row r="521" spans="1:4">
      <c r="A521" s="19" t="str">
        <f t="shared" si="59"/>
        <v>FB_REG_S.BUF.DFXX</v>
      </c>
      <c r="B521" s="11">
        <v>101</v>
      </c>
      <c r="C521" s="11" t="s">
        <v>0</v>
      </c>
      <c r="D521" s="20" t="s">
        <v>104</v>
      </c>
    </row>
    <row r="522" spans="1:4">
      <c r="A522" s="19" t="str">
        <f t="shared" si="59"/>
        <v>FB_REG_S.BUF.DFXX</v>
      </c>
      <c r="B522" s="11">
        <v>7050</v>
      </c>
      <c r="C522" s="11" t="s">
        <v>0</v>
      </c>
      <c r="D522" s="20" t="str">
        <f>"&lt;Addr AnswerSignalType=©0© Protocol=©IEC4Std© Type=©Protocol© ProtocolType=©30© Address=©XXX© ModuleNo=©" &amp; $T$9&amp; "© Role=©Master© Station=©" &amp; $T$11 &amp; "©  /&gt;"</f>
        <v>&lt;Addr AnswerSignalType=©0© Protocol=©IEC4Std© Type=©Protocol© ProtocolType=©30© Address=©XXX© ModuleNo=©© Role=©Master© Station=©©  /&gt;</v>
      </c>
    </row>
    <row r="523" spans="1:4">
      <c r="A523" s="19" t="str">
        <f t="shared" si="59"/>
        <v>FB_REG_S.BUF.DFXX</v>
      </c>
      <c r="B523" s="11">
        <v>3</v>
      </c>
      <c r="C523" s="11" t="s">
        <v>1</v>
      </c>
      <c r="D523" s="20">
        <v>192</v>
      </c>
    </row>
    <row r="524" spans="1:4">
      <c r="A524" s="19" t="str">
        <f t="shared" si="59"/>
        <v>FB_REG_S.BUF.DFXX</v>
      </c>
      <c r="B524" s="11">
        <v>2</v>
      </c>
      <c r="C524" s="11" t="s">
        <v>2</v>
      </c>
      <c r="D524" s="20" t="s">
        <v>3</v>
      </c>
    </row>
    <row r="525" spans="1:4">
      <c r="A525" s="21" t="str">
        <f t="shared" si="59"/>
        <v>FB_REG_S.BUF.DFXX</v>
      </c>
      <c r="B525" s="8">
        <v>1</v>
      </c>
      <c r="C525" s="8" t="s">
        <v>1</v>
      </c>
      <c r="D525" s="22">
        <v>11</v>
      </c>
    </row>
    <row r="526" spans="1:4">
      <c r="A526" s="163" t="str">
        <f t="shared" ref="A526:A534" si="60">$R$2&amp;".BUF.DCPX"</f>
        <v>FB_REG_S.BUF.DCPX</v>
      </c>
      <c r="B526" s="123">
        <v>11154</v>
      </c>
      <c r="C526" s="123" t="s">
        <v>4</v>
      </c>
      <c r="D526" s="124">
        <f>$S$9</f>
        <v>0</v>
      </c>
    </row>
    <row r="527" spans="1:4">
      <c r="A527" s="110" t="str">
        <f t="shared" si="60"/>
        <v>FB_REG_S.BUF.DCPX</v>
      </c>
      <c r="B527" s="111">
        <v>11150</v>
      </c>
      <c r="C527" s="111" t="s">
        <v>0</v>
      </c>
      <c r="D527" s="112" t="s">
        <v>2747</v>
      </c>
    </row>
    <row r="528" spans="1:4">
      <c r="A528" s="110" t="str">
        <f t="shared" si="60"/>
        <v>FB_REG_S.BUF.DCPX</v>
      </c>
      <c r="B528" s="111">
        <v>11152</v>
      </c>
      <c r="C528" s="111" t="s">
        <v>0</v>
      </c>
      <c r="D528" s="113" t="str">
        <f>$R$9</f>
        <v>Недостоверность</v>
      </c>
    </row>
    <row r="529" spans="1:4">
      <c r="A529" s="110" t="str">
        <f t="shared" si="60"/>
        <v>FB_REG_S.BUF.DCPX</v>
      </c>
      <c r="B529" s="111">
        <v>11000</v>
      </c>
      <c r="C529" s="111" t="s">
        <v>5</v>
      </c>
      <c r="D529" s="112">
        <v>2147483680</v>
      </c>
    </row>
    <row r="530" spans="1:4">
      <c r="A530" s="19" t="str">
        <f t="shared" si="60"/>
        <v>FB_REG_S.BUF.DCPX</v>
      </c>
      <c r="B530" s="11">
        <v>101</v>
      </c>
      <c r="C530" s="11" t="s">
        <v>0</v>
      </c>
      <c r="D530" s="20" t="s">
        <v>2747</v>
      </c>
    </row>
    <row r="531" spans="1:4">
      <c r="A531" s="19" t="str">
        <f t="shared" si="60"/>
        <v>FB_REG_S.BUF.DCPX</v>
      </c>
      <c r="B531" s="11">
        <v>7050</v>
      </c>
      <c r="C531" s="11" t="s">
        <v>0</v>
      </c>
      <c r="D531" s="20" t="str">
        <f>"&lt;Addr AnswerSignalType=©0© Protocol=©IEC4Std© Type=©Protocol© ProtocolType=©30© Address=©XXX© ModuleNo=©" &amp; $T$9&amp; "© Role=©Master© Station=©" &amp; $T$11 &amp; "©  /&gt;"</f>
        <v>&lt;Addr AnswerSignalType=©0© Protocol=©IEC4Std© Type=©Protocol© ProtocolType=©30© Address=©XXX© ModuleNo=©© Role=©Master© Station=©©  /&gt;</v>
      </c>
    </row>
    <row r="532" spans="1:4">
      <c r="A532" s="19" t="str">
        <f t="shared" si="60"/>
        <v>FB_REG_S.BUF.DCPX</v>
      </c>
      <c r="B532" s="11">
        <v>3</v>
      </c>
      <c r="C532" s="11" t="s">
        <v>1</v>
      </c>
      <c r="D532" s="20">
        <v>192</v>
      </c>
    </row>
    <row r="533" spans="1:4">
      <c r="A533" s="19" t="str">
        <f t="shared" si="60"/>
        <v>FB_REG_S.BUF.DCPX</v>
      </c>
      <c r="B533" s="11">
        <v>2</v>
      </c>
      <c r="C533" s="11" t="s">
        <v>2</v>
      </c>
      <c r="D533" s="20" t="s">
        <v>3</v>
      </c>
    </row>
    <row r="534" spans="1:4">
      <c r="A534" s="21" t="str">
        <f t="shared" si="60"/>
        <v>FB_REG_S.BUF.DCPX</v>
      </c>
      <c r="B534" s="8">
        <v>1</v>
      </c>
      <c r="C534" s="8" t="s">
        <v>1</v>
      </c>
      <c r="D534" s="22">
        <v>11</v>
      </c>
    </row>
    <row r="535" spans="1:4">
      <c r="A535" s="163" t="str">
        <f>$R$2&amp;".BUF.DCAX"</f>
        <v>FB_REG_S.BUF.DCAX</v>
      </c>
      <c r="B535" s="123">
        <v>11154</v>
      </c>
      <c r="C535" s="123" t="s">
        <v>4</v>
      </c>
      <c r="D535" s="124">
        <f>$S$9</f>
        <v>0</v>
      </c>
    </row>
    <row r="536" spans="1:4">
      <c r="A536" s="110" t="str">
        <f t="shared" ref="A536:A543" si="61">$R$2&amp;".BUF.DCAX"</f>
        <v>FB_REG_S.BUF.DCAX</v>
      </c>
      <c r="B536" s="111">
        <v>11150</v>
      </c>
      <c r="C536" s="111" t="s">
        <v>0</v>
      </c>
      <c r="D536" s="112" t="s">
        <v>2749</v>
      </c>
    </row>
    <row r="537" spans="1:4">
      <c r="A537" s="110" t="str">
        <f t="shared" si="61"/>
        <v>FB_REG_S.BUF.DCAX</v>
      </c>
      <c r="B537" s="111">
        <v>11152</v>
      </c>
      <c r="C537" s="111" t="s">
        <v>0</v>
      </c>
      <c r="D537" s="113" t="str">
        <f>$R$9</f>
        <v>Недостоверность</v>
      </c>
    </row>
    <row r="538" spans="1:4">
      <c r="A538" s="110" t="str">
        <f t="shared" si="61"/>
        <v>FB_REG_S.BUF.DCAX</v>
      </c>
      <c r="B538" s="111">
        <v>11000</v>
      </c>
      <c r="C538" s="111" t="s">
        <v>5</v>
      </c>
      <c r="D538" s="112">
        <v>2147483680</v>
      </c>
    </row>
    <row r="539" spans="1:4">
      <c r="A539" s="19" t="str">
        <f t="shared" si="61"/>
        <v>FB_REG_S.BUF.DCAX</v>
      </c>
      <c r="B539" s="11">
        <v>101</v>
      </c>
      <c r="C539" s="11" t="s">
        <v>0</v>
      </c>
      <c r="D539" s="20" t="s">
        <v>2749</v>
      </c>
    </row>
    <row r="540" spans="1:4">
      <c r="A540" s="19" t="str">
        <f t="shared" si="61"/>
        <v>FB_REG_S.BUF.DCAX</v>
      </c>
      <c r="B540" s="11">
        <v>7050</v>
      </c>
      <c r="C540" s="11" t="s">
        <v>0</v>
      </c>
      <c r="D540" s="20" t="str">
        <f>"&lt;Addr AnswerSignalType=©0© Protocol=©IEC4Std© Type=©Protocol© ProtocolType=©30© Address=©XXX© ModuleNo=©" &amp; $T$9&amp; "© Role=©Master© Station=©" &amp; $T$11 &amp; "©  /&gt;"</f>
        <v>&lt;Addr AnswerSignalType=©0© Protocol=©IEC4Std© Type=©Protocol© ProtocolType=©30© Address=©XXX© ModuleNo=©© Role=©Master© Station=©©  /&gt;</v>
      </c>
    </row>
    <row r="541" spans="1:4">
      <c r="A541" s="19" t="str">
        <f t="shared" si="61"/>
        <v>FB_REG_S.BUF.DCAX</v>
      </c>
      <c r="B541" s="11">
        <v>3</v>
      </c>
      <c r="C541" s="11" t="s">
        <v>1</v>
      </c>
      <c r="D541" s="20">
        <v>192</v>
      </c>
    </row>
    <row r="542" spans="1:4">
      <c r="A542" s="19" t="str">
        <f t="shared" si="61"/>
        <v>FB_REG_S.BUF.DCAX</v>
      </c>
      <c r="B542" s="11">
        <v>2</v>
      </c>
      <c r="C542" s="11" t="s">
        <v>2</v>
      </c>
      <c r="D542" s="20" t="s">
        <v>3</v>
      </c>
    </row>
    <row r="543" spans="1:4">
      <c r="A543" s="21" t="str">
        <f t="shared" si="61"/>
        <v>FB_REG_S.BUF.DCAX</v>
      </c>
      <c r="B543" s="8">
        <v>1</v>
      </c>
      <c r="C543" s="8" t="s">
        <v>1</v>
      </c>
      <c r="D543" s="22">
        <v>11</v>
      </c>
    </row>
    <row r="544" spans="1:4">
      <c r="A544" s="69" t="str">
        <f>$R$2&amp;".BUF.CEXX"</f>
        <v>FB_REG_S.BUF.CEXX</v>
      </c>
      <c r="B544" s="70">
        <v>11154</v>
      </c>
      <c r="C544" s="70" t="s">
        <v>4</v>
      </c>
      <c r="D544" s="144">
        <f>$S$6</f>
        <v>0</v>
      </c>
    </row>
    <row r="545" spans="1:4">
      <c r="A545" s="63" t="str">
        <f t="shared" ref="A545:A552" si="62">$R$2&amp;".BUF.CEXX"</f>
        <v>FB_REG_S.BUF.CEXX</v>
      </c>
      <c r="B545" s="64">
        <v>11150</v>
      </c>
      <c r="C545" s="64" t="s">
        <v>0</v>
      </c>
      <c r="D545" s="65" t="s">
        <v>2753</v>
      </c>
    </row>
    <row r="546" spans="1:4">
      <c r="A546" s="63" t="str">
        <f t="shared" si="62"/>
        <v>FB_REG_S.BUF.CEXX</v>
      </c>
      <c r="B546" s="64">
        <v>11152</v>
      </c>
      <c r="C546" s="64" t="s">
        <v>0</v>
      </c>
      <c r="D546" s="99" t="str">
        <f>$R$6</f>
        <v>Предупреждение</v>
      </c>
    </row>
    <row r="547" spans="1:4">
      <c r="A547" s="63" t="str">
        <f t="shared" si="62"/>
        <v>FB_REG_S.BUF.CEXX</v>
      </c>
      <c r="B547" s="64">
        <v>11000</v>
      </c>
      <c r="C547" s="64" t="s">
        <v>5</v>
      </c>
      <c r="D547" s="65">
        <v>2147483680</v>
      </c>
    </row>
    <row r="548" spans="1:4">
      <c r="A548" s="19" t="str">
        <f t="shared" si="62"/>
        <v>FB_REG_S.BUF.CEXX</v>
      </c>
      <c r="B548" s="11">
        <v>101</v>
      </c>
      <c r="C548" s="11" t="s">
        <v>0</v>
      </c>
      <c r="D548" s="20" t="s">
        <v>2753</v>
      </c>
    </row>
    <row r="549" spans="1:4">
      <c r="A549" s="19" t="str">
        <f t="shared" si="62"/>
        <v>FB_REG_S.BUF.CEXX</v>
      </c>
      <c r="B549" s="11">
        <v>7050</v>
      </c>
      <c r="C549" s="11" t="s">
        <v>0</v>
      </c>
      <c r="D549" s="20" t="str">
        <f>"&lt;Addr AnswerSignalType=©0© Protocol=©IEC4Std© Type=©Protocol© ProtocolType=©30© Address=©XXX© ModuleNo=©" &amp; $T$9&amp; "© Role=©Master© Station=©" &amp; $T$11 &amp; "©  /&gt;"</f>
        <v>&lt;Addr AnswerSignalType=©0© Protocol=©IEC4Std© Type=©Protocol© ProtocolType=©30© Address=©XXX© ModuleNo=©© Role=©Master© Station=©©  /&gt;</v>
      </c>
    </row>
    <row r="550" spans="1:4">
      <c r="A550" s="19" t="str">
        <f t="shared" si="62"/>
        <v>FB_REG_S.BUF.CEXX</v>
      </c>
      <c r="B550" s="11">
        <v>3</v>
      </c>
      <c r="C550" s="11" t="s">
        <v>1</v>
      </c>
      <c r="D550" s="20">
        <v>192</v>
      </c>
    </row>
    <row r="551" spans="1:4">
      <c r="A551" s="19" t="str">
        <f t="shared" si="62"/>
        <v>FB_REG_S.BUF.CEXX</v>
      </c>
      <c r="B551" s="11">
        <v>2</v>
      </c>
      <c r="C551" s="11" t="s">
        <v>2</v>
      </c>
      <c r="D551" s="20" t="s">
        <v>3</v>
      </c>
    </row>
    <row r="552" spans="1:4">
      <c r="A552" s="21" t="str">
        <f t="shared" si="62"/>
        <v>FB_REG_S.BUF.CEXX</v>
      </c>
      <c r="B552" s="8">
        <v>1</v>
      </c>
      <c r="C552" s="8" t="s">
        <v>1</v>
      </c>
      <c r="D552" s="22">
        <v>11</v>
      </c>
    </row>
    <row r="553" spans="1:4">
      <c r="A553" s="69" t="str">
        <f t="shared" ref="A553:A561" si="63">$R$2&amp;".BUF.XMMX"</f>
        <v>FB_REG_S.BUF.XMMX</v>
      </c>
      <c r="B553" s="70">
        <v>11154</v>
      </c>
      <c r="C553" s="70" t="s">
        <v>4</v>
      </c>
      <c r="D553" s="144">
        <f>$S$6</f>
        <v>0</v>
      </c>
    </row>
    <row r="554" spans="1:4">
      <c r="A554" s="63" t="str">
        <f t="shared" si="63"/>
        <v>FB_REG_S.BUF.XMMX</v>
      </c>
      <c r="B554" s="64">
        <v>11150</v>
      </c>
      <c r="C554" s="64" t="s">
        <v>0</v>
      </c>
      <c r="D554" s="65" t="s">
        <v>134</v>
      </c>
    </row>
    <row r="555" spans="1:4">
      <c r="A555" s="63" t="str">
        <f t="shared" si="63"/>
        <v>FB_REG_S.BUF.XMMX</v>
      </c>
      <c r="B555" s="64">
        <v>11152</v>
      </c>
      <c r="C555" s="64" t="s">
        <v>0</v>
      </c>
      <c r="D555" s="99" t="str">
        <f>$R$6</f>
        <v>Предупреждение</v>
      </c>
    </row>
    <row r="556" spans="1:4">
      <c r="A556" s="63" t="str">
        <f t="shared" si="63"/>
        <v>FB_REG_S.BUF.XMMX</v>
      </c>
      <c r="B556" s="64">
        <v>11000</v>
      </c>
      <c r="C556" s="64" t="s">
        <v>5</v>
      </c>
      <c r="D556" s="65">
        <v>2147483680</v>
      </c>
    </row>
    <row r="557" spans="1:4">
      <c r="A557" s="19" t="str">
        <f t="shared" si="63"/>
        <v>FB_REG_S.BUF.XMMX</v>
      </c>
      <c r="B557" s="11">
        <v>101</v>
      </c>
      <c r="C557" s="11" t="s">
        <v>0</v>
      </c>
      <c r="D557" s="20" t="s">
        <v>134</v>
      </c>
    </row>
    <row r="558" spans="1:4">
      <c r="A558" s="19" t="str">
        <f t="shared" si="63"/>
        <v>FB_REG_S.BUF.XMMX</v>
      </c>
      <c r="B558" s="11">
        <v>7050</v>
      </c>
      <c r="C558" s="11" t="s">
        <v>0</v>
      </c>
      <c r="D558" s="20" t="str">
        <f>"&lt;Addr AnswerSignalType=©0© Protocol=©IEC4Std© Type=©Protocol© ProtocolType=©30© Address=©XXX© ModuleNo=©" &amp; $T$9&amp; "© Role=©Master© Station=©" &amp; $T$11 &amp; "©  /&gt;"</f>
        <v>&lt;Addr AnswerSignalType=©0© Protocol=©IEC4Std© Type=©Protocol© ProtocolType=©30© Address=©XXX© ModuleNo=©© Role=©Master© Station=©©  /&gt;</v>
      </c>
    </row>
    <row r="559" spans="1:4">
      <c r="A559" s="19" t="str">
        <f t="shared" si="63"/>
        <v>FB_REG_S.BUF.XMMX</v>
      </c>
      <c r="B559" s="11">
        <v>3</v>
      </c>
      <c r="C559" s="11" t="s">
        <v>1</v>
      </c>
      <c r="D559" s="20">
        <v>192</v>
      </c>
    </row>
    <row r="560" spans="1:4">
      <c r="A560" s="19" t="str">
        <f t="shared" si="63"/>
        <v>FB_REG_S.BUF.XMMX</v>
      </c>
      <c r="B560" s="11">
        <v>2</v>
      </c>
      <c r="C560" s="11" t="s">
        <v>2</v>
      </c>
      <c r="D560" s="20" t="s">
        <v>3</v>
      </c>
    </row>
    <row r="561" spans="1:4">
      <c r="A561" s="21" t="str">
        <f t="shared" si="63"/>
        <v>FB_REG_S.BUF.XMMX</v>
      </c>
      <c r="B561" s="8">
        <v>1</v>
      </c>
      <c r="C561" s="8" t="s">
        <v>1</v>
      </c>
      <c r="D561" s="22">
        <v>11</v>
      </c>
    </row>
    <row r="562" spans="1:4">
      <c r="A562" s="159" t="str">
        <f t="shared" ref="A562:A570" si="64">$R$2&amp;".BUF.XRCX"</f>
        <v>FB_REG_S.BUF.XRCX</v>
      </c>
      <c r="B562" s="160">
        <v>11154</v>
      </c>
      <c r="C562" s="160" t="s">
        <v>4</v>
      </c>
      <c r="D562" s="161">
        <f>$S$8</f>
        <v>0</v>
      </c>
    </row>
    <row r="563" spans="1:4">
      <c r="A563" s="100" t="str">
        <f t="shared" si="64"/>
        <v>FB_REG_S.BUF.XRCX</v>
      </c>
      <c r="B563" s="101">
        <v>11150</v>
      </c>
      <c r="C563" s="101" t="s">
        <v>0</v>
      </c>
      <c r="D563" s="103" t="s">
        <v>136</v>
      </c>
    </row>
    <row r="564" spans="1:4">
      <c r="A564" s="100" t="str">
        <f t="shared" si="64"/>
        <v>FB_REG_S.BUF.XRCX</v>
      </c>
      <c r="B564" s="101">
        <v>11152</v>
      </c>
      <c r="C564" s="101" t="s">
        <v>0</v>
      </c>
      <c r="D564" s="104" t="str">
        <f>$R$8</f>
        <v>Телесигнализация</v>
      </c>
    </row>
    <row r="565" spans="1:4">
      <c r="A565" s="100" t="str">
        <f t="shared" si="64"/>
        <v>FB_REG_S.BUF.XRCX</v>
      </c>
      <c r="B565" s="101">
        <v>11000</v>
      </c>
      <c r="C565" s="101" t="s">
        <v>5</v>
      </c>
      <c r="D565" s="103">
        <v>2147483680</v>
      </c>
    </row>
    <row r="566" spans="1:4">
      <c r="A566" s="19" t="str">
        <f t="shared" si="64"/>
        <v>FB_REG_S.BUF.XRCX</v>
      </c>
      <c r="B566" s="11">
        <v>101</v>
      </c>
      <c r="C566" s="11" t="s">
        <v>0</v>
      </c>
      <c r="D566" s="20" t="s">
        <v>575</v>
      </c>
    </row>
    <row r="567" spans="1:4">
      <c r="A567" s="19" t="str">
        <f t="shared" si="64"/>
        <v>FB_REG_S.BUF.XRCX</v>
      </c>
      <c r="B567" s="11">
        <v>7050</v>
      </c>
      <c r="C567" s="11" t="s">
        <v>0</v>
      </c>
      <c r="D567" s="20" t="str">
        <f>"&lt;Addr AnswerSignalType=©0© Protocol=©IEC4Std© Type=©Protocol© ProtocolType=©30© Address=©XXX© ModuleNo=©" &amp; $T$9&amp; "© Role=©Master© Station=©" &amp; $T$11 &amp; "©  /&gt;"</f>
        <v>&lt;Addr AnswerSignalType=©0© Protocol=©IEC4Std© Type=©Protocol© ProtocolType=©30© Address=©XXX© ModuleNo=©© Role=©Master© Station=©©  /&gt;</v>
      </c>
    </row>
    <row r="568" spans="1:4">
      <c r="A568" s="19" t="str">
        <f t="shared" si="64"/>
        <v>FB_REG_S.BUF.XRCX</v>
      </c>
      <c r="B568" s="11">
        <v>3</v>
      </c>
      <c r="C568" s="11" t="s">
        <v>1</v>
      </c>
      <c r="D568" s="20">
        <v>192</v>
      </c>
    </row>
    <row r="569" spans="1:4">
      <c r="A569" s="19" t="str">
        <f t="shared" si="64"/>
        <v>FB_REG_S.BUF.XRCX</v>
      </c>
      <c r="B569" s="11">
        <v>2</v>
      </c>
      <c r="C569" s="11" t="s">
        <v>2</v>
      </c>
      <c r="D569" s="20" t="s">
        <v>3</v>
      </c>
    </row>
    <row r="570" spans="1:4">
      <c r="A570" s="21" t="str">
        <f t="shared" si="64"/>
        <v>FB_REG_S.BUF.XRCX</v>
      </c>
      <c r="B570" s="8">
        <v>1</v>
      </c>
      <c r="C570" s="8" t="s">
        <v>1</v>
      </c>
      <c r="D570" s="22">
        <v>11</v>
      </c>
    </row>
    <row r="571" spans="1:4">
      <c r="A571" s="217" t="str">
        <f t="shared" ref="A571:A579" si="65">$R$2&amp;".BUF.FSCX"</f>
        <v>FB_REG_S.BUF.FSCX</v>
      </c>
      <c r="B571" s="218">
        <v>11154</v>
      </c>
      <c r="C571" s="218" t="s">
        <v>4</v>
      </c>
      <c r="D571" s="219">
        <f>$S$7</f>
        <v>0</v>
      </c>
    </row>
    <row r="572" spans="1:4">
      <c r="A572" s="211" t="str">
        <f t="shared" si="65"/>
        <v>FB_REG_S.BUF.FSCX</v>
      </c>
      <c r="B572" s="212">
        <v>11150</v>
      </c>
      <c r="C572" s="212" t="s">
        <v>0</v>
      </c>
      <c r="D572" s="213" t="s">
        <v>2750</v>
      </c>
    </row>
    <row r="573" spans="1:4">
      <c r="A573" s="211" t="str">
        <f t="shared" si="65"/>
        <v>FB_REG_S.BUF.FSCX</v>
      </c>
      <c r="B573" s="212">
        <v>11152</v>
      </c>
      <c r="C573" s="212" t="s">
        <v>0</v>
      </c>
      <c r="D573" s="220" t="str">
        <f>$R$7</f>
        <v>Неисправность</v>
      </c>
    </row>
    <row r="574" spans="1:4">
      <c r="A574" s="211" t="str">
        <f t="shared" si="65"/>
        <v>FB_REG_S.BUF.FSCX</v>
      </c>
      <c r="B574" s="212">
        <v>11000</v>
      </c>
      <c r="C574" s="212" t="s">
        <v>5</v>
      </c>
      <c r="D574" s="213">
        <v>2147483680</v>
      </c>
    </row>
    <row r="575" spans="1:4">
      <c r="A575" s="19" t="str">
        <f t="shared" si="65"/>
        <v>FB_REG_S.BUF.FSCX</v>
      </c>
      <c r="B575" s="11">
        <v>101</v>
      </c>
      <c r="C575" s="11" t="s">
        <v>0</v>
      </c>
      <c r="D575" s="20" t="s">
        <v>2750</v>
      </c>
    </row>
    <row r="576" spans="1:4">
      <c r="A576" s="19" t="str">
        <f t="shared" si="65"/>
        <v>FB_REG_S.BUF.FSCX</v>
      </c>
      <c r="B576" s="11">
        <v>7050</v>
      </c>
      <c r="C576" s="11" t="s">
        <v>0</v>
      </c>
      <c r="D576" s="20" t="str">
        <f>"&lt;Addr AnswerSignalType=©0© Protocol=©IEC4Std© Type=©Protocol© ProtocolType=©30© Address=©XXX© ModuleNo=©" &amp; $T$9&amp; "© Role=©Master© Station=©" &amp; $T$11 &amp; "©  /&gt;"</f>
        <v>&lt;Addr AnswerSignalType=©0© Protocol=©IEC4Std© Type=©Protocol© ProtocolType=©30© Address=©XXX© ModuleNo=©© Role=©Master© Station=©©  /&gt;</v>
      </c>
    </row>
    <row r="577" spans="1:4">
      <c r="A577" s="19" t="str">
        <f t="shared" si="65"/>
        <v>FB_REG_S.BUF.FSCX</v>
      </c>
      <c r="B577" s="11">
        <v>3</v>
      </c>
      <c r="C577" s="11" t="s">
        <v>1</v>
      </c>
      <c r="D577" s="20">
        <v>192</v>
      </c>
    </row>
    <row r="578" spans="1:4">
      <c r="A578" s="19" t="str">
        <f t="shared" si="65"/>
        <v>FB_REG_S.BUF.FSCX</v>
      </c>
      <c r="B578" s="11">
        <v>2</v>
      </c>
      <c r="C578" s="11" t="s">
        <v>2</v>
      </c>
      <c r="D578" s="20" t="s">
        <v>3</v>
      </c>
    </row>
    <row r="579" spans="1:4">
      <c r="A579" s="21" t="str">
        <f t="shared" si="65"/>
        <v>FB_REG_S.BUF.FSCX</v>
      </c>
      <c r="B579" s="8">
        <v>1</v>
      </c>
      <c r="C579" s="8" t="s">
        <v>1</v>
      </c>
      <c r="D579" s="22">
        <v>11</v>
      </c>
    </row>
    <row r="580" spans="1:4">
      <c r="A580" s="217" t="str">
        <f t="shared" ref="A580:A588" si="66">$R$2&amp;".BUF.FBXX"</f>
        <v>FB_REG_S.BUF.FBXX</v>
      </c>
      <c r="B580" s="218">
        <v>11154</v>
      </c>
      <c r="C580" s="218" t="s">
        <v>4</v>
      </c>
      <c r="D580" s="219">
        <f>$S$7</f>
        <v>0</v>
      </c>
    </row>
    <row r="581" spans="1:4">
      <c r="A581" s="211" t="str">
        <f t="shared" si="66"/>
        <v>FB_REG_S.BUF.FBXX</v>
      </c>
      <c r="B581" s="212">
        <v>11150</v>
      </c>
      <c r="C581" s="212" t="s">
        <v>0</v>
      </c>
      <c r="D581" s="213" t="s">
        <v>2751</v>
      </c>
    </row>
    <row r="582" spans="1:4">
      <c r="A582" s="211" t="str">
        <f t="shared" si="66"/>
        <v>FB_REG_S.BUF.FBXX</v>
      </c>
      <c r="B582" s="212">
        <v>11152</v>
      </c>
      <c r="C582" s="212" t="s">
        <v>0</v>
      </c>
      <c r="D582" s="220" t="str">
        <f>$R$7</f>
        <v>Неисправность</v>
      </c>
    </row>
    <row r="583" spans="1:4">
      <c r="A583" s="211" t="str">
        <f t="shared" si="66"/>
        <v>FB_REG_S.BUF.FBXX</v>
      </c>
      <c r="B583" s="212">
        <v>11000</v>
      </c>
      <c r="C583" s="212" t="s">
        <v>5</v>
      </c>
      <c r="D583" s="213">
        <v>2147483680</v>
      </c>
    </row>
    <row r="584" spans="1:4">
      <c r="A584" s="19" t="str">
        <f t="shared" si="66"/>
        <v>FB_REG_S.BUF.FBXX</v>
      </c>
      <c r="B584" s="11">
        <v>101</v>
      </c>
      <c r="C584" s="11" t="s">
        <v>0</v>
      </c>
      <c r="D584" s="20" t="s">
        <v>2751</v>
      </c>
    </row>
    <row r="585" spans="1:4">
      <c r="A585" s="19" t="str">
        <f t="shared" si="66"/>
        <v>FB_REG_S.BUF.FBXX</v>
      </c>
      <c r="B585" s="11">
        <v>7050</v>
      </c>
      <c r="C585" s="11" t="s">
        <v>0</v>
      </c>
      <c r="D585" s="20" t="str">
        <f>"&lt;Addr AnswerSignalType=©0© Protocol=©IEC4Std© Type=©Protocol© ProtocolType=©30© Address=©XXX© ModuleNo=©" &amp; $T$9&amp; "© Role=©Master© Station=©" &amp; $T$11 &amp; "©  /&gt;"</f>
        <v>&lt;Addr AnswerSignalType=©0© Protocol=©IEC4Std© Type=©Protocol© ProtocolType=©30© Address=©XXX© ModuleNo=©© Role=©Master© Station=©©  /&gt;</v>
      </c>
    </row>
    <row r="586" spans="1:4">
      <c r="A586" s="19" t="str">
        <f t="shared" si="66"/>
        <v>FB_REG_S.BUF.FBXX</v>
      </c>
      <c r="B586" s="11">
        <v>3</v>
      </c>
      <c r="C586" s="11" t="s">
        <v>1</v>
      </c>
      <c r="D586" s="20">
        <v>192</v>
      </c>
    </row>
    <row r="587" spans="1:4">
      <c r="A587" s="19" t="str">
        <f t="shared" si="66"/>
        <v>FB_REG_S.BUF.FBXX</v>
      </c>
      <c r="B587" s="11">
        <v>2</v>
      </c>
      <c r="C587" s="11" t="s">
        <v>2</v>
      </c>
      <c r="D587" s="20" t="s">
        <v>3</v>
      </c>
    </row>
    <row r="588" spans="1:4">
      <c r="A588" s="21" t="str">
        <f t="shared" si="66"/>
        <v>FB_REG_S.BUF.FBXX</v>
      </c>
      <c r="B588" s="8">
        <v>1</v>
      </c>
      <c r="C588" s="8" t="s">
        <v>1</v>
      </c>
      <c r="D588" s="22">
        <v>11</v>
      </c>
    </row>
    <row r="589" spans="1:4">
      <c r="A589" s="217" t="str">
        <f t="shared" ref="A589:A597" si="67">$R$2&amp;".BUF.FMVX"</f>
        <v>FB_REG_S.BUF.FMVX</v>
      </c>
      <c r="B589" s="218">
        <v>11154</v>
      </c>
      <c r="C589" s="218" t="s">
        <v>4</v>
      </c>
      <c r="D589" s="219">
        <f>$S$7</f>
        <v>0</v>
      </c>
    </row>
    <row r="590" spans="1:4">
      <c r="A590" s="211" t="str">
        <f t="shared" si="67"/>
        <v>FB_REG_S.BUF.FMVX</v>
      </c>
      <c r="B590" s="212">
        <v>11150</v>
      </c>
      <c r="C590" s="212" t="s">
        <v>0</v>
      </c>
      <c r="D590" s="213" t="s">
        <v>198</v>
      </c>
    </row>
    <row r="591" spans="1:4">
      <c r="A591" s="211" t="str">
        <f t="shared" si="67"/>
        <v>FB_REG_S.BUF.FMVX</v>
      </c>
      <c r="B591" s="212">
        <v>11152</v>
      </c>
      <c r="C591" s="212" t="s">
        <v>0</v>
      </c>
      <c r="D591" s="220" t="str">
        <f>$R$7</f>
        <v>Неисправность</v>
      </c>
    </row>
    <row r="592" spans="1:4">
      <c r="A592" s="211" t="str">
        <f t="shared" si="67"/>
        <v>FB_REG_S.BUF.FMVX</v>
      </c>
      <c r="B592" s="212">
        <v>11000</v>
      </c>
      <c r="C592" s="212" t="s">
        <v>5</v>
      </c>
      <c r="D592" s="213">
        <v>2147483680</v>
      </c>
    </row>
    <row r="593" spans="1:4">
      <c r="A593" s="19" t="str">
        <f t="shared" si="67"/>
        <v>FB_REG_S.BUF.FMVX</v>
      </c>
      <c r="B593" s="11">
        <v>101</v>
      </c>
      <c r="C593" s="11" t="s">
        <v>0</v>
      </c>
      <c r="D593" s="20" t="s">
        <v>198</v>
      </c>
    </row>
    <row r="594" spans="1:4">
      <c r="A594" s="19" t="str">
        <f t="shared" si="67"/>
        <v>FB_REG_S.BUF.FMVX</v>
      </c>
      <c r="B594" s="11">
        <v>7050</v>
      </c>
      <c r="C594" s="11" t="s">
        <v>0</v>
      </c>
      <c r="D594" s="20" t="str">
        <f>"&lt;Addr AnswerSignalType=©0© Protocol=©IEC4Std© Type=©Protocol© ProtocolType=©30© Address=©XXX© ModuleNo=©" &amp; $T$9&amp; "© Role=©Master© Station=©" &amp; $T$11 &amp; "©  /&gt;"</f>
        <v>&lt;Addr AnswerSignalType=©0© Protocol=©IEC4Std© Type=©Protocol© ProtocolType=©30© Address=©XXX© ModuleNo=©© Role=©Master© Station=©©  /&gt;</v>
      </c>
    </row>
    <row r="595" spans="1:4">
      <c r="A595" s="19" t="str">
        <f t="shared" si="67"/>
        <v>FB_REG_S.BUF.FMVX</v>
      </c>
      <c r="B595" s="11">
        <v>3</v>
      </c>
      <c r="C595" s="11" t="s">
        <v>1</v>
      </c>
      <c r="D595" s="20">
        <v>192</v>
      </c>
    </row>
    <row r="596" spans="1:4">
      <c r="A596" s="19" t="str">
        <f t="shared" si="67"/>
        <v>FB_REG_S.BUF.FMVX</v>
      </c>
      <c r="B596" s="11">
        <v>2</v>
      </c>
      <c r="C596" s="11" t="s">
        <v>2</v>
      </c>
      <c r="D596" s="20" t="s">
        <v>3</v>
      </c>
    </row>
    <row r="597" spans="1:4">
      <c r="A597" s="21" t="str">
        <f t="shared" si="67"/>
        <v>FB_REG_S.BUF.FMVX</v>
      </c>
      <c r="B597" s="8">
        <v>1</v>
      </c>
      <c r="C597" s="8" t="s">
        <v>1</v>
      </c>
      <c r="D597" s="22">
        <v>11</v>
      </c>
    </row>
    <row r="598" spans="1:4">
      <c r="A598" s="217" t="str">
        <f t="shared" ref="A598:A606" si="68">$R$2&amp;".BUF.FUCM"</f>
        <v>FB_REG_S.BUF.FUCM</v>
      </c>
      <c r="B598" s="218">
        <v>11154</v>
      </c>
      <c r="C598" s="218" t="s">
        <v>4</v>
      </c>
      <c r="D598" s="219">
        <f>$S$7</f>
        <v>0</v>
      </c>
    </row>
    <row r="599" spans="1:4">
      <c r="A599" s="211" t="str">
        <f t="shared" si="68"/>
        <v>FB_REG_S.BUF.FUCM</v>
      </c>
      <c r="B599" s="212">
        <v>11150</v>
      </c>
      <c r="C599" s="212" t="s">
        <v>0</v>
      </c>
      <c r="D599" s="213" t="s">
        <v>167</v>
      </c>
    </row>
    <row r="600" spans="1:4">
      <c r="A600" s="211" t="str">
        <f t="shared" si="68"/>
        <v>FB_REG_S.BUF.FUCM</v>
      </c>
      <c r="B600" s="212">
        <v>11152</v>
      </c>
      <c r="C600" s="212" t="s">
        <v>0</v>
      </c>
      <c r="D600" s="220" t="str">
        <f>$R$7</f>
        <v>Неисправность</v>
      </c>
    </row>
    <row r="601" spans="1:4">
      <c r="A601" s="211" t="str">
        <f t="shared" si="68"/>
        <v>FB_REG_S.BUF.FUCM</v>
      </c>
      <c r="B601" s="212">
        <v>11000</v>
      </c>
      <c r="C601" s="212" t="s">
        <v>5</v>
      </c>
      <c r="D601" s="213">
        <v>2147483680</v>
      </c>
    </row>
    <row r="602" spans="1:4">
      <c r="A602" s="19" t="str">
        <f t="shared" si="68"/>
        <v>FB_REG_S.BUF.FUCM</v>
      </c>
      <c r="B602" s="11">
        <v>101</v>
      </c>
      <c r="C602" s="11" t="s">
        <v>0</v>
      </c>
      <c r="D602" s="20" t="s">
        <v>167</v>
      </c>
    </row>
    <row r="603" spans="1:4">
      <c r="A603" s="19" t="str">
        <f t="shared" si="68"/>
        <v>FB_REG_S.BUF.FUCM</v>
      </c>
      <c r="B603" s="11">
        <v>7050</v>
      </c>
      <c r="C603" s="11" t="s">
        <v>0</v>
      </c>
      <c r="D603" s="20" t="str">
        <f>"&lt;Addr AnswerSignalType=©0© Protocol=©IEC4Std© Type=©Protocol© ProtocolType=©30© Address=©XXX© ModuleNo=©" &amp; $T$9&amp; "© Role=©Master© Station=©" &amp; $T$11 &amp; "©  /&gt;"</f>
        <v>&lt;Addr AnswerSignalType=©0© Protocol=©IEC4Std© Type=©Protocol© ProtocolType=©30© Address=©XXX© ModuleNo=©© Role=©Master© Station=©©  /&gt;</v>
      </c>
    </row>
    <row r="604" spans="1:4">
      <c r="A604" s="19" t="str">
        <f t="shared" si="68"/>
        <v>FB_REG_S.BUF.FUCM</v>
      </c>
      <c r="B604" s="11">
        <v>3</v>
      </c>
      <c r="C604" s="11" t="s">
        <v>1</v>
      </c>
      <c r="D604" s="20">
        <v>192</v>
      </c>
    </row>
    <row r="605" spans="1:4">
      <c r="A605" s="19" t="str">
        <f t="shared" si="68"/>
        <v>FB_REG_S.BUF.FUCM</v>
      </c>
      <c r="B605" s="11">
        <v>2</v>
      </c>
      <c r="C605" s="11" t="s">
        <v>2</v>
      </c>
      <c r="D605" s="20" t="s">
        <v>3</v>
      </c>
    </row>
    <row r="606" spans="1:4">
      <c r="A606" s="21" t="str">
        <f t="shared" si="68"/>
        <v>FB_REG_S.BUF.FUCM</v>
      </c>
      <c r="B606" s="8">
        <v>1</v>
      </c>
      <c r="C606" s="8" t="s">
        <v>1</v>
      </c>
      <c r="D606" s="22">
        <v>11</v>
      </c>
    </row>
    <row r="607" spans="1:4">
      <c r="A607" s="217" t="str">
        <f t="shared" ref="A607:A615" si="69">$R$2&amp;".BUF.FDCM"</f>
        <v>FB_REG_S.BUF.FDCM</v>
      </c>
      <c r="B607" s="218">
        <v>11154</v>
      </c>
      <c r="C607" s="218" t="s">
        <v>4</v>
      </c>
      <c r="D607" s="219">
        <f>$S$7</f>
        <v>0</v>
      </c>
    </row>
    <row r="608" spans="1:4">
      <c r="A608" s="211" t="str">
        <f t="shared" si="69"/>
        <v>FB_REG_S.BUF.FDCM</v>
      </c>
      <c r="B608" s="212">
        <v>11150</v>
      </c>
      <c r="C608" s="212" t="s">
        <v>0</v>
      </c>
      <c r="D608" s="213" t="s">
        <v>168</v>
      </c>
    </row>
    <row r="609" spans="1:4">
      <c r="A609" s="211" t="str">
        <f t="shared" si="69"/>
        <v>FB_REG_S.BUF.FDCM</v>
      </c>
      <c r="B609" s="212">
        <v>11152</v>
      </c>
      <c r="C609" s="212" t="s">
        <v>0</v>
      </c>
      <c r="D609" s="220" t="str">
        <f>$R$7</f>
        <v>Неисправность</v>
      </c>
    </row>
    <row r="610" spans="1:4">
      <c r="A610" s="211" t="str">
        <f t="shared" si="69"/>
        <v>FB_REG_S.BUF.FDCM</v>
      </c>
      <c r="B610" s="212">
        <v>11000</v>
      </c>
      <c r="C610" s="212" t="s">
        <v>5</v>
      </c>
      <c r="D610" s="213">
        <v>2147483680</v>
      </c>
    </row>
    <row r="611" spans="1:4">
      <c r="A611" s="19" t="str">
        <f t="shared" si="69"/>
        <v>FB_REG_S.BUF.FDCM</v>
      </c>
      <c r="B611" s="11">
        <v>101</v>
      </c>
      <c r="C611" s="11" t="s">
        <v>0</v>
      </c>
      <c r="D611" s="20" t="s">
        <v>168</v>
      </c>
    </row>
    <row r="612" spans="1:4">
      <c r="A612" s="19" t="str">
        <f t="shared" si="69"/>
        <v>FB_REG_S.BUF.FDCM</v>
      </c>
      <c r="B612" s="11">
        <v>7050</v>
      </c>
      <c r="C612" s="11" t="s">
        <v>0</v>
      </c>
      <c r="D612" s="20" t="str">
        <f>"&lt;Addr AnswerSignalType=©0© Protocol=©IEC4Std© Type=©Protocol© ProtocolType=©30© Address=©XXX© ModuleNo=©" &amp; $T$9&amp; "© Role=©Master© Station=©" &amp; $T$11 &amp; "©  /&gt;"</f>
        <v>&lt;Addr AnswerSignalType=©0© Protocol=©IEC4Std© Type=©Protocol© ProtocolType=©30© Address=©XXX© ModuleNo=©© Role=©Master© Station=©©  /&gt;</v>
      </c>
    </row>
    <row r="613" spans="1:4">
      <c r="A613" s="19" t="str">
        <f t="shared" si="69"/>
        <v>FB_REG_S.BUF.FDCM</v>
      </c>
      <c r="B613" s="11">
        <v>3</v>
      </c>
      <c r="C613" s="11" t="s">
        <v>1</v>
      </c>
      <c r="D613" s="20">
        <v>192</v>
      </c>
    </row>
    <row r="614" spans="1:4">
      <c r="A614" s="19" t="str">
        <f t="shared" si="69"/>
        <v>FB_REG_S.BUF.FDCM</v>
      </c>
      <c r="B614" s="11">
        <v>2</v>
      </c>
      <c r="C614" s="11" t="s">
        <v>2</v>
      </c>
      <c r="D614" s="20" t="s">
        <v>3</v>
      </c>
    </row>
    <row r="615" spans="1:4">
      <c r="A615" s="21" t="str">
        <f t="shared" si="69"/>
        <v>FB_REG_S.BUF.FDCM</v>
      </c>
      <c r="B615" s="8">
        <v>1</v>
      </c>
      <c r="C615" s="8" t="s">
        <v>1</v>
      </c>
      <c r="D615" s="22">
        <v>11</v>
      </c>
    </row>
    <row r="616" spans="1:4">
      <c r="A616" s="217" t="str">
        <f t="shared" ref="A616:A624" si="70">$R$2&amp;".BUF.IFXX"</f>
        <v>FB_REG_S.BUF.IFXX</v>
      </c>
      <c r="B616" s="218">
        <v>11154</v>
      </c>
      <c r="C616" s="218" t="s">
        <v>4</v>
      </c>
      <c r="D616" s="219">
        <f>$S$7</f>
        <v>0</v>
      </c>
    </row>
    <row r="617" spans="1:4">
      <c r="A617" s="211" t="str">
        <f t="shared" si="70"/>
        <v>FB_REG_S.BUF.IFXX</v>
      </c>
      <c r="B617" s="212">
        <v>11150</v>
      </c>
      <c r="C617" s="212" t="s">
        <v>0</v>
      </c>
      <c r="D617" s="213" t="s">
        <v>110</v>
      </c>
    </row>
    <row r="618" spans="1:4">
      <c r="A618" s="211" t="str">
        <f t="shared" si="70"/>
        <v>FB_REG_S.BUF.IFXX</v>
      </c>
      <c r="B618" s="212">
        <v>11152</v>
      </c>
      <c r="C618" s="212" t="s">
        <v>0</v>
      </c>
      <c r="D618" s="220" t="str">
        <f>$R$7</f>
        <v>Неисправность</v>
      </c>
    </row>
    <row r="619" spans="1:4">
      <c r="A619" s="211" t="str">
        <f t="shared" si="70"/>
        <v>FB_REG_S.BUF.IFXX</v>
      </c>
      <c r="B619" s="212">
        <v>11000</v>
      </c>
      <c r="C619" s="212" t="s">
        <v>5</v>
      </c>
      <c r="D619" s="213">
        <v>2147483680</v>
      </c>
    </row>
    <row r="620" spans="1:4">
      <c r="A620" s="19" t="str">
        <f t="shared" si="70"/>
        <v>FB_REG_S.BUF.IFXX</v>
      </c>
      <c r="B620" s="11">
        <v>101</v>
      </c>
      <c r="C620" s="11" t="s">
        <v>0</v>
      </c>
      <c r="D620" s="20" t="s">
        <v>195</v>
      </c>
    </row>
    <row r="621" spans="1:4">
      <c r="A621" s="19" t="str">
        <f t="shared" si="70"/>
        <v>FB_REG_S.BUF.IFXX</v>
      </c>
      <c r="B621" s="11">
        <v>7050</v>
      </c>
      <c r="C621" s="11" t="s">
        <v>0</v>
      </c>
      <c r="D621" s="20" t="str">
        <f>"&lt;Addr AnswerSignalType=©0© Protocol=©IEC4Std© Type=©Protocol© ProtocolType=©30© Address=©XXX© ModuleNo=©" &amp; $T$9&amp; "© Role=©Master© Station=©" &amp; $T$11 &amp; "©  /&gt;"</f>
        <v>&lt;Addr AnswerSignalType=©0© Protocol=©IEC4Std© Type=©Protocol© ProtocolType=©30© Address=©XXX© ModuleNo=©© Role=©Master© Station=©©  /&gt;</v>
      </c>
    </row>
    <row r="622" spans="1:4">
      <c r="A622" s="19" t="str">
        <f t="shared" si="70"/>
        <v>FB_REG_S.BUF.IFXX</v>
      </c>
      <c r="B622" s="11">
        <v>3</v>
      </c>
      <c r="C622" s="11" t="s">
        <v>1</v>
      </c>
      <c r="D622" s="20">
        <v>192</v>
      </c>
    </row>
    <row r="623" spans="1:4">
      <c r="A623" s="19" t="str">
        <f t="shared" si="70"/>
        <v>FB_REG_S.BUF.IFXX</v>
      </c>
      <c r="B623" s="11">
        <v>2</v>
      </c>
      <c r="C623" s="11" t="s">
        <v>2</v>
      </c>
      <c r="D623" s="20" t="s">
        <v>3</v>
      </c>
    </row>
    <row r="624" spans="1:4">
      <c r="A624" s="21" t="str">
        <f t="shared" si="70"/>
        <v>FB_REG_S.BUF.IFXX</v>
      </c>
      <c r="B624" s="8">
        <v>1</v>
      </c>
      <c r="C624" s="8" t="s">
        <v>1</v>
      </c>
      <c r="D624" s="22">
        <v>11</v>
      </c>
    </row>
    <row r="625" spans="1:4">
      <c r="A625" s="217" t="str">
        <f>$R$2&amp;".BUF.FCPX"</f>
        <v>FB_REG_S.BUF.FCPX</v>
      </c>
      <c r="B625" s="218">
        <v>11154</v>
      </c>
      <c r="C625" s="218" t="s">
        <v>4</v>
      </c>
      <c r="D625" s="219">
        <f>$S$7</f>
        <v>0</v>
      </c>
    </row>
    <row r="626" spans="1:4">
      <c r="A626" s="211" t="str">
        <f t="shared" ref="A626:A633" si="71">$R$2&amp;".BUF.FCPX"</f>
        <v>FB_REG_S.BUF.FCPX</v>
      </c>
      <c r="B626" s="212">
        <v>11150</v>
      </c>
      <c r="C626" s="212" t="s">
        <v>0</v>
      </c>
      <c r="D626" s="213" t="s">
        <v>2752</v>
      </c>
    </row>
    <row r="627" spans="1:4">
      <c r="A627" s="211" t="str">
        <f t="shared" si="71"/>
        <v>FB_REG_S.BUF.FCPX</v>
      </c>
      <c r="B627" s="212">
        <v>11152</v>
      </c>
      <c r="C627" s="212" t="s">
        <v>0</v>
      </c>
      <c r="D627" s="220" t="str">
        <f>$R$7</f>
        <v>Неисправность</v>
      </c>
    </row>
    <row r="628" spans="1:4">
      <c r="A628" s="211" t="str">
        <f t="shared" si="71"/>
        <v>FB_REG_S.BUF.FCPX</v>
      </c>
      <c r="B628" s="212">
        <v>11000</v>
      </c>
      <c r="C628" s="212" t="s">
        <v>5</v>
      </c>
      <c r="D628" s="213">
        <v>2147483680</v>
      </c>
    </row>
    <row r="629" spans="1:4">
      <c r="A629" s="19" t="str">
        <f t="shared" si="71"/>
        <v>FB_REG_S.BUF.FCPX</v>
      </c>
      <c r="B629" s="11">
        <v>101</v>
      </c>
      <c r="C629" s="11" t="s">
        <v>0</v>
      </c>
      <c r="D629" s="20" t="s">
        <v>2752</v>
      </c>
    </row>
    <row r="630" spans="1:4">
      <c r="A630" s="19" t="str">
        <f t="shared" si="71"/>
        <v>FB_REG_S.BUF.FCPX</v>
      </c>
      <c r="B630" s="11">
        <v>7050</v>
      </c>
      <c r="C630" s="11" t="s">
        <v>0</v>
      </c>
      <c r="D630" s="20" t="str">
        <f>"&lt;Addr AnswerSignalType=©0© Protocol=©IEC4Std© Type=©Protocol© ProtocolType=©30© Address=©XXX© ModuleNo=©" &amp; $T$9&amp; "© Role=©Master© Station=©" &amp; $T$11 &amp; "©  /&gt;"</f>
        <v>&lt;Addr AnswerSignalType=©0© Protocol=©IEC4Std© Type=©Protocol© ProtocolType=©30© Address=©XXX© ModuleNo=©© Role=©Master© Station=©©  /&gt;</v>
      </c>
    </row>
    <row r="631" spans="1:4">
      <c r="A631" s="19" t="str">
        <f t="shared" si="71"/>
        <v>FB_REG_S.BUF.FCPX</v>
      </c>
      <c r="B631" s="11">
        <v>3</v>
      </c>
      <c r="C631" s="11" t="s">
        <v>1</v>
      </c>
      <c r="D631" s="20">
        <v>192</v>
      </c>
    </row>
    <row r="632" spans="1:4">
      <c r="A632" s="19" t="str">
        <f t="shared" si="71"/>
        <v>FB_REG_S.BUF.FCPX</v>
      </c>
      <c r="B632" s="11">
        <v>2</v>
      </c>
      <c r="C632" s="11" t="s">
        <v>2</v>
      </c>
      <c r="D632" s="20" t="s">
        <v>3</v>
      </c>
    </row>
    <row r="633" spans="1:4">
      <c r="A633" s="21" t="str">
        <f t="shared" si="71"/>
        <v>FB_REG_S.BUF.FCPX</v>
      </c>
      <c r="B633" s="8">
        <v>1</v>
      </c>
      <c r="C633" s="8" t="s">
        <v>1</v>
      </c>
      <c r="D633" s="22">
        <v>11</v>
      </c>
    </row>
    <row r="634" spans="1:4">
      <c r="A634" s="275" t="str">
        <f>$R$2&amp;".BUF.SEPX"</f>
        <v>FB_REG_S.BUF.SEPX</v>
      </c>
      <c r="B634" s="276">
        <v>7050</v>
      </c>
      <c r="C634" s="276" t="s">
        <v>0</v>
      </c>
      <c r="D634" s="277" t="str">
        <f>"&lt;Addr AnswerSignalType=©0© Protocol=©IEC4Std© Type=©Protocol© ProtocolType=©36© Address=©XXX© ModuleNo=©" &amp; $T$9&amp; "© Role=©Master© Station=©" &amp; $T$11 &amp; "©  /&gt;"</f>
        <v>&lt;Addr AnswerSignalType=©0© Protocol=©IEC4Std© Type=©Protocol© ProtocolType=©36© Address=©XXX© ModuleNo=©© Role=©Master© Station=©©  /&gt;</v>
      </c>
    </row>
    <row r="635" spans="1:4">
      <c r="A635" s="278" t="str">
        <f t="shared" ref="A635:A638" si="72">$R$2&amp;".BUF.SEPX"</f>
        <v>FB_REG_S.BUF.SEPX</v>
      </c>
      <c r="B635" s="279">
        <v>3</v>
      </c>
      <c r="C635" s="279" t="s">
        <v>1</v>
      </c>
      <c r="D635" s="280">
        <v>192</v>
      </c>
    </row>
    <row r="636" spans="1:4">
      <c r="A636" s="278" t="str">
        <f t="shared" si="72"/>
        <v>FB_REG_S.BUF.SEPX</v>
      </c>
      <c r="B636" s="279">
        <v>2</v>
      </c>
      <c r="C636" s="279" t="s">
        <v>80</v>
      </c>
      <c r="D636" s="280">
        <v>0</v>
      </c>
    </row>
    <row r="637" spans="1:4">
      <c r="A637" s="278" t="str">
        <f t="shared" si="72"/>
        <v>FB_REG_S.BUF.SEPX</v>
      </c>
      <c r="B637" s="279">
        <v>1</v>
      </c>
      <c r="C637" s="279" t="s">
        <v>1</v>
      </c>
      <c r="D637" s="280">
        <v>4</v>
      </c>
    </row>
    <row r="638" spans="1:4">
      <c r="A638" s="281" t="str">
        <f t="shared" si="72"/>
        <v>FB_REG_S.BUF.SEPX</v>
      </c>
      <c r="B638" s="282">
        <v>101</v>
      </c>
      <c r="C638" s="282" t="s">
        <v>0</v>
      </c>
      <c r="D638" s="283" t="s">
        <v>220</v>
      </c>
    </row>
    <row r="639" spans="1:4">
      <c r="A639" s="275" t="str">
        <f>$R$2&amp;".BUF.SBPX"</f>
        <v>FB_REG_S.BUF.SBPX</v>
      </c>
      <c r="B639" s="276">
        <v>7050</v>
      </c>
      <c r="C639" s="276" t="s">
        <v>0</v>
      </c>
      <c r="D639" s="277" t="str">
        <f>"&lt;Addr AnswerSignalType=©0© Protocol=©IEC4Std© Type=©Protocol© ProtocolType=©36© Address=©XXX© ModuleNo=©" &amp; $T$9&amp; "© Role=©Master© Station=©" &amp; $T$11 &amp; "©  /&gt;"</f>
        <v>&lt;Addr AnswerSignalType=©0© Protocol=©IEC4Std© Type=©Protocol© ProtocolType=©36© Address=©XXX© ModuleNo=©© Role=©Master© Station=©©  /&gt;</v>
      </c>
    </row>
    <row r="640" spans="1:4">
      <c r="A640" s="278" t="str">
        <f t="shared" ref="A640:A643" si="73">$R$2&amp;".BUF.SBPX"</f>
        <v>FB_REG_S.BUF.SBPX</v>
      </c>
      <c r="B640" s="279">
        <v>3</v>
      </c>
      <c r="C640" s="279" t="s">
        <v>1</v>
      </c>
      <c r="D640" s="280">
        <v>192</v>
      </c>
    </row>
    <row r="641" spans="1:4">
      <c r="A641" s="278" t="str">
        <f t="shared" si="73"/>
        <v>FB_REG_S.BUF.SBPX</v>
      </c>
      <c r="B641" s="279">
        <v>2</v>
      </c>
      <c r="C641" s="279" t="s">
        <v>80</v>
      </c>
      <c r="D641" s="280">
        <v>0</v>
      </c>
    </row>
    <row r="642" spans="1:4">
      <c r="A642" s="278" t="str">
        <f t="shared" si="73"/>
        <v>FB_REG_S.BUF.SBPX</v>
      </c>
      <c r="B642" s="279">
        <v>1</v>
      </c>
      <c r="C642" s="279" t="s">
        <v>1</v>
      </c>
      <c r="D642" s="280">
        <v>4</v>
      </c>
    </row>
    <row r="643" spans="1:4">
      <c r="A643" s="281" t="str">
        <f t="shared" si="73"/>
        <v>FB_REG_S.BUF.SBPX</v>
      </c>
      <c r="B643" s="282">
        <v>101</v>
      </c>
      <c r="C643" s="282" t="s">
        <v>0</v>
      </c>
      <c r="D643" s="283" t="s">
        <v>624</v>
      </c>
    </row>
    <row r="644" spans="1:4">
      <c r="A644" s="275" t="str">
        <f>$R$2&amp;".BUF.XCAP"</f>
        <v>FB_REG_S.BUF.XCAP</v>
      </c>
      <c r="B644" s="276">
        <v>7050</v>
      </c>
      <c r="C644" s="276" t="s">
        <v>0</v>
      </c>
      <c r="D644" s="277" t="str">
        <f>"&lt;Addr AnswerSignalType=©0© Protocol=©IEC4Std© Type=©Protocol© ProtocolType=©36© Address=©XXX© ModuleNo=©" &amp; $T$9&amp; "© Role=©Master© Station=©" &amp; $T$11 &amp; "©  /&gt;"</f>
        <v>&lt;Addr AnswerSignalType=©0© Protocol=©IEC4Std© Type=©Protocol© ProtocolType=©36© Address=©XXX© ModuleNo=©© Role=©Master© Station=©©  /&gt;</v>
      </c>
    </row>
    <row r="645" spans="1:4">
      <c r="A645" s="278" t="str">
        <f t="shared" ref="A645:A648" si="74">$R$2&amp;".BUF.XCAP"</f>
        <v>FB_REG_S.BUF.XCAP</v>
      </c>
      <c r="B645" s="279">
        <v>3</v>
      </c>
      <c r="C645" s="279" t="s">
        <v>1</v>
      </c>
      <c r="D645" s="280">
        <v>192</v>
      </c>
    </row>
    <row r="646" spans="1:4">
      <c r="A646" s="278" t="str">
        <f t="shared" si="74"/>
        <v>FB_REG_S.BUF.XCAP</v>
      </c>
      <c r="B646" s="279">
        <v>2</v>
      </c>
      <c r="C646" s="279" t="s">
        <v>80</v>
      </c>
      <c r="D646" s="280">
        <v>0</v>
      </c>
    </row>
    <row r="647" spans="1:4">
      <c r="A647" s="278" t="str">
        <f t="shared" si="74"/>
        <v>FB_REG_S.BUF.XCAP</v>
      </c>
      <c r="B647" s="279">
        <v>1</v>
      </c>
      <c r="C647" s="279" t="s">
        <v>1</v>
      </c>
      <c r="D647" s="280">
        <v>4</v>
      </c>
    </row>
    <row r="648" spans="1:4">
      <c r="A648" s="278" t="str">
        <f t="shared" si="74"/>
        <v>FB_REG_S.BUF.XCAP</v>
      </c>
      <c r="B648" s="279">
        <v>101</v>
      </c>
      <c r="C648" s="279" t="s">
        <v>0</v>
      </c>
      <c r="D648" s="280" t="s">
        <v>2746</v>
      </c>
    </row>
    <row r="649" spans="1:4">
      <c r="A649" s="275" t="str">
        <f>$R$2&amp;".BUF.XCPP"</f>
        <v>FB_REG_S.BUF.XCPP</v>
      </c>
      <c r="B649" s="276">
        <v>7050</v>
      </c>
      <c r="C649" s="276" t="s">
        <v>0</v>
      </c>
      <c r="D649" s="277" t="str">
        <f>"&lt;Addr AnswerSignalType=©0© Protocol=©IEC4Std© Type=©Protocol© ProtocolType=©36© Address=©XXX© ModuleNo=©" &amp; $T$9&amp; "© Role=©Master© Station=©" &amp; $T$11 &amp; "©  /&gt;"</f>
        <v>&lt;Addr AnswerSignalType=©0© Protocol=©IEC4Std© Type=©Protocol© ProtocolType=©36© Address=©XXX© ModuleNo=©© Role=©Master© Station=©©  /&gt;</v>
      </c>
    </row>
    <row r="650" spans="1:4">
      <c r="A650" s="278" t="str">
        <f>$R$2&amp;".BUF.XCPP"</f>
        <v>FB_REG_S.BUF.XCPP</v>
      </c>
      <c r="B650" s="279">
        <v>3</v>
      </c>
      <c r="C650" s="279" t="s">
        <v>1</v>
      </c>
      <c r="D650" s="280">
        <v>192</v>
      </c>
    </row>
    <row r="651" spans="1:4">
      <c r="A651" s="278" t="str">
        <f>$R$2&amp;".BUF.XCPP"</f>
        <v>FB_REG_S.BUF.XCPP</v>
      </c>
      <c r="B651" s="279">
        <v>2</v>
      </c>
      <c r="C651" s="279" t="s">
        <v>80</v>
      </c>
      <c r="D651" s="280">
        <v>0</v>
      </c>
    </row>
    <row r="652" spans="1:4">
      <c r="A652" s="278" t="str">
        <f>$R$2&amp;".BUF.XCPP"</f>
        <v>FB_REG_S.BUF.XCPP</v>
      </c>
      <c r="B652" s="279">
        <v>1</v>
      </c>
      <c r="C652" s="279" t="s">
        <v>1</v>
      </c>
      <c r="D652" s="280">
        <v>4</v>
      </c>
    </row>
    <row r="653" spans="1:4">
      <c r="A653" s="281" t="str">
        <f>$R$2&amp;".BUF.XCPP"</f>
        <v>FB_REG_S.BUF.XCPP</v>
      </c>
      <c r="B653" s="282">
        <v>101</v>
      </c>
      <c r="C653" s="282" t="s">
        <v>0</v>
      </c>
      <c r="D653" s="283" t="s">
        <v>207</v>
      </c>
    </row>
    <row r="654" spans="1:4">
      <c r="A654" s="275" t="str">
        <f>$R$2&amp;".BUF.XPVX"</f>
        <v>FB_REG_S.BUF.XPVX</v>
      </c>
      <c r="B654" s="276">
        <v>7050</v>
      </c>
      <c r="C654" s="276" t="s">
        <v>0</v>
      </c>
      <c r="D654" s="277" t="str">
        <f>"&lt;Addr AnswerSignalType=©0© Protocol=©IEC4Std© Type=©Protocol© ProtocolType=©36© Address=©XXX© ModuleNo=©" &amp; $T$9&amp; "© Role=©Master© Station=©" &amp; $T$11 &amp; "©  /&gt;"</f>
        <v>&lt;Addr AnswerSignalType=©0© Protocol=©IEC4Std© Type=©Protocol© ProtocolType=©36© Address=©XXX© ModuleNo=©© Role=©Master© Station=©©  /&gt;</v>
      </c>
    </row>
    <row r="655" spans="1:4">
      <c r="A655" s="278" t="str">
        <f t="shared" ref="A655:A658" si="75">$R$2&amp;".BUF.XPVX"</f>
        <v>FB_REG_S.BUF.XPVX</v>
      </c>
      <c r="B655" s="279">
        <v>101</v>
      </c>
      <c r="C655" s="279" t="s">
        <v>0</v>
      </c>
      <c r="D655" s="280" t="s">
        <v>206</v>
      </c>
    </row>
    <row r="656" spans="1:4">
      <c r="A656" s="278" t="str">
        <f t="shared" si="75"/>
        <v>FB_REG_S.BUF.XPVX</v>
      </c>
      <c r="B656" s="279">
        <v>3</v>
      </c>
      <c r="C656" s="279" t="s">
        <v>1</v>
      </c>
      <c r="D656" s="280">
        <v>192</v>
      </c>
    </row>
    <row r="657" spans="1:4">
      <c r="A657" s="278" t="str">
        <f t="shared" si="75"/>
        <v>FB_REG_S.BUF.XPVX</v>
      </c>
      <c r="B657" s="279">
        <v>2</v>
      </c>
      <c r="C657" s="279" t="s">
        <v>80</v>
      </c>
      <c r="D657" s="280">
        <v>0</v>
      </c>
    </row>
    <row r="658" spans="1:4">
      <c r="A658" s="278" t="str">
        <f t="shared" si="75"/>
        <v>FB_REG_S.BUF.XPVX</v>
      </c>
      <c r="B658" s="279">
        <v>1</v>
      </c>
      <c r="C658" s="279" t="s">
        <v>1</v>
      </c>
      <c r="D658" s="280">
        <v>4</v>
      </c>
    </row>
    <row r="659" spans="1:4">
      <c r="A659" s="275" t="str">
        <f>$R$2&amp;".BUF.SSPX"</f>
        <v>FB_REG_S.BUF.SSPX</v>
      </c>
      <c r="B659" s="276">
        <v>7050</v>
      </c>
      <c r="C659" s="276" t="s">
        <v>0</v>
      </c>
      <c r="D659" s="277" t="str">
        <f>"&lt;Addr AnswerSignalType=©0© Protocol=©IEC4Std© Type=©Protocol© ProtocolType=©16© Address=©XXX© ModuleNo=©" &amp; $T$9&amp; "© Role=©Master© Station=©" &amp; $T$11 &amp; "©  /&gt;"</f>
        <v>&lt;Addr AnswerSignalType=©0© Protocol=©IEC4Std© Type=©Protocol© ProtocolType=©16© Address=©XXX© ModuleNo=©© Role=©Master© Station=©©  /&gt;</v>
      </c>
    </row>
    <row r="660" spans="1:4">
      <c r="A660" s="278" t="str">
        <f>$R$2&amp;".BUF.SSPX"</f>
        <v>FB_REG_S.BUF.SSPX</v>
      </c>
      <c r="B660" s="279">
        <v>3</v>
      </c>
      <c r="C660" s="279" t="s">
        <v>1</v>
      </c>
      <c r="D660" s="280">
        <v>192</v>
      </c>
    </row>
    <row r="661" spans="1:4">
      <c r="A661" s="278" t="str">
        <f>$R$2&amp;".BUF.SSPX"</f>
        <v>FB_REG_S.BUF.SSPX</v>
      </c>
      <c r="B661" s="279">
        <v>2</v>
      </c>
      <c r="C661" s="279" t="s">
        <v>80</v>
      </c>
      <c r="D661" s="280">
        <v>0</v>
      </c>
    </row>
    <row r="662" spans="1:4">
      <c r="A662" s="278" t="str">
        <f>$R$2&amp;".BUF.SSPX"</f>
        <v>FB_REG_S.BUF.SSPX</v>
      </c>
      <c r="B662" s="279">
        <v>1</v>
      </c>
      <c r="C662" s="279" t="s">
        <v>1</v>
      </c>
      <c r="D662" s="280">
        <v>4</v>
      </c>
    </row>
    <row r="663" spans="1:4">
      <c r="A663" s="281" t="str">
        <f>$R$2&amp;".BUF.SSPX"</f>
        <v>FB_REG_S.BUF.SSPX</v>
      </c>
      <c r="B663" s="282">
        <v>101</v>
      </c>
      <c r="C663" s="282" t="s">
        <v>0</v>
      </c>
      <c r="D663" s="283" t="s">
        <v>213</v>
      </c>
    </row>
    <row r="664" spans="1:4">
      <c r="A664" s="69" t="str">
        <f t="shared" ref="A664:A672" si="76">$R$2&amp;".BUF.CBXX"</f>
        <v>FB_REG_S.BUF.CBXX</v>
      </c>
      <c r="B664" s="70">
        <v>11154</v>
      </c>
      <c r="C664" s="70" t="s">
        <v>4</v>
      </c>
      <c r="D664" s="144">
        <f>$S$6</f>
        <v>0</v>
      </c>
    </row>
    <row r="665" spans="1:4">
      <c r="A665" s="63" t="str">
        <f t="shared" si="76"/>
        <v>FB_REG_S.BUF.CBXX</v>
      </c>
      <c r="B665" s="64">
        <v>11150</v>
      </c>
      <c r="C665" s="64" t="s">
        <v>0</v>
      </c>
      <c r="D665" s="65" t="s">
        <v>2754</v>
      </c>
    </row>
    <row r="666" spans="1:4">
      <c r="A666" s="63" t="str">
        <f t="shared" si="76"/>
        <v>FB_REG_S.BUF.CBXX</v>
      </c>
      <c r="B666" s="64">
        <v>11152</v>
      </c>
      <c r="C666" s="64" t="s">
        <v>0</v>
      </c>
      <c r="D666" s="99" t="str">
        <f>$R$6</f>
        <v>Предупреждение</v>
      </c>
    </row>
    <row r="667" spans="1:4">
      <c r="A667" s="63" t="str">
        <f t="shared" si="76"/>
        <v>FB_REG_S.BUF.CBXX</v>
      </c>
      <c r="B667" s="64">
        <v>11000</v>
      </c>
      <c r="C667" s="64" t="s">
        <v>5</v>
      </c>
      <c r="D667" s="65">
        <v>2147483680</v>
      </c>
    </row>
    <row r="668" spans="1:4">
      <c r="A668" s="19" t="str">
        <f t="shared" si="76"/>
        <v>FB_REG_S.BUF.CBXX</v>
      </c>
      <c r="B668" s="11">
        <v>101</v>
      </c>
      <c r="C668" s="11" t="s">
        <v>0</v>
      </c>
      <c r="D668" s="20" t="s">
        <v>2754</v>
      </c>
    </row>
    <row r="669" spans="1:4">
      <c r="A669" s="19" t="str">
        <f t="shared" si="76"/>
        <v>FB_REG_S.BUF.CBXX</v>
      </c>
      <c r="B669" s="11">
        <v>7050</v>
      </c>
      <c r="C669" s="11" t="s">
        <v>0</v>
      </c>
      <c r="D669" s="20" t="str">
        <f>"&lt;Addr AnswerSignalType=©0© Protocol=©IEC4Std© Type=©Protocol© ProtocolType=©30© Address=©XXX© ModuleNo=©" &amp; $T$9&amp; "© Role=©Master© Station=©" &amp; $T$11 &amp; "©  /&gt;"</f>
        <v>&lt;Addr AnswerSignalType=©0© Protocol=©IEC4Std© Type=©Protocol© ProtocolType=©30© Address=©XXX© ModuleNo=©© Role=©Master© Station=©©  /&gt;</v>
      </c>
    </row>
    <row r="670" spans="1:4">
      <c r="A670" s="19" t="str">
        <f t="shared" si="76"/>
        <v>FB_REG_S.BUF.CBXX</v>
      </c>
      <c r="B670" s="11">
        <v>3</v>
      </c>
      <c r="C670" s="11" t="s">
        <v>1</v>
      </c>
      <c r="D670" s="20">
        <v>192</v>
      </c>
    </row>
    <row r="671" spans="1:4">
      <c r="A671" s="19" t="str">
        <f t="shared" si="76"/>
        <v>FB_REG_S.BUF.CBXX</v>
      </c>
      <c r="B671" s="11">
        <v>2</v>
      </c>
      <c r="C671" s="11" t="s">
        <v>2</v>
      </c>
      <c r="D671" s="20" t="s">
        <v>3</v>
      </c>
    </row>
    <row r="672" spans="1:4">
      <c r="A672" s="21" t="str">
        <f t="shared" si="76"/>
        <v>FB_REG_S.BUF.CBXX</v>
      </c>
      <c r="B672" s="8">
        <v>1</v>
      </c>
      <c r="C672" s="8" t="s">
        <v>1</v>
      </c>
      <c r="D672" s="22">
        <v>11</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Лист156">
    <tabColor rgb="FFFFC000"/>
  </sheetPr>
  <dimension ref="A1:BP806"/>
  <sheetViews>
    <sheetView topLeftCell="A322" workbookViewId="0">
      <selection activeCell="D2" sqref="D2:D4"/>
    </sheetView>
  </sheetViews>
  <sheetFormatPr defaultRowHeight="14.4"/>
  <cols>
    <col min="1" max="1" width="37.109375" customWidth="1"/>
    <col min="2" max="2" width="9.5546875" customWidth="1"/>
    <col min="4" max="4" width="63.88671875" customWidth="1"/>
    <col min="5" max="15" width="9.109375" hidden="1" customWidth="1"/>
    <col min="16" max="16" width="23" customWidth="1"/>
    <col min="17" max="17" width="40.6640625" customWidth="1"/>
    <col min="18" max="18" width="37.88671875" customWidth="1"/>
    <col min="19" max="19" width="20.88671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7.33203125" customWidth="1"/>
    <col min="56" max="56" width="10.33203125" customWidth="1"/>
    <col min="57" max="57" width="10" customWidth="1"/>
    <col min="59" max="59" width="7.109375" customWidth="1"/>
    <col min="60" max="60" width="10.88671875" customWidth="1"/>
    <col min="62" max="62" width="65.109375" customWidth="1"/>
  </cols>
  <sheetData>
    <row r="1" spans="1:53" s="258" customFormat="1" ht="204.6" thickBot="1">
      <c r="A1" s="257"/>
      <c r="B1" s="257" t="s">
        <v>84</v>
      </c>
      <c r="C1" s="257"/>
      <c r="D1" s="257"/>
      <c r="E1" s="257"/>
      <c r="F1" s="257"/>
      <c r="P1" s="263"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1"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61"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61" t="str">
        <f>Таблица!AL1</f>
        <v>Для TREI
FB_IMstp_S, FB_IMs_S, FB_IMp_S, FB_IMv_S, FB_IM_ADES_S: Настройка перехода ручной-/автоматический-(TRUE/FALSE) 
FB_DI_S: Генерировать метки времени (TRUE/FALSE)</v>
      </c>
      <c r="AY1" s="261"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61" t="str">
        <f>Таблица!AN1</f>
        <v>Для TREI
FB_AI_S, FB_QSA_S: Верхний предел датчика
FB_IMp_S, FB_IMv_S, FB_IM_ADES_S, FB_OZK_KD_S: Время перестановки</v>
      </c>
      <c r="BA1" s="261"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row>
    <row r="2" spans="1:53" ht="15" customHeight="1">
      <c r="A2" s="10"/>
      <c r="B2" s="10"/>
      <c r="C2" s="10"/>
      <c r="D2" s="330" t="s">
        <v>621</v>
      </c>
      <c r="E2" s="10"/>
      <c r="F2" s="10"/>
      <c r="P2" s="2" t="s">
        <v>1821</v>
      </c>
      <c r="Q2" s="2" t="s">
        <v>1810</v>
      </c>
      <c r="R2" s="2" t="s">
        <v>1789</v>
      </c>
      <c r="S2" s="3">
        <v>1</v>
      </c>
      <c r="T2" s="3" t="s">
        <v>1698</v>
      </c>
      <c r="U2" s="3"/>
      <c r="V2" s="3" t="s">
        <v>569</v>
      </c>
      <c r="W2" s="12"/>
      <c r="X2" s="12"/>
      <c r="Y2" s="12"/>
      <c r="Z2" s="12"/>
      <c r="AA2" s="12"/>
      <c r="AB2" s="2"/>
      <c r="AC2" s="2"/>
      <c r="AD2" s="2"/>
      <c r="AE2" s="2" t="s">
        <v>1414</v>
      </c>
      <c r="AF2" s="2"/>
      <c r="AG2" s="2"/>
      <c r="AH2" s="2"/>
      <c r="AI2" s="2"/>
      <c r="AJ2" s="2"/>
      <c r="AK2" s="2"/>
      <c r="AL2" s="2" t="s">
        <v>1223</v>
      </c>
      <c r="AM2" s="2" t="s">
        <v>1224</v>
      </c>
      <c r="AN2" s="2" t="s">
        <v>1225</v>
      </c>
      <c r="AO2" s="2" t="s">
        <v>1226</v>
      </c>
      <c r="AP2" s="2" t="s">
        <v>1227</v>
      </c>
      <c r="AQ2" s="2" t="s">
        <v>1228</v>
      </c>
      <c r="AR2" s="2" t="s">
        <v>1229</v>
      </c>
      <c r="AS2" s="2" t="s">
        <v>1866</v>
      </c>
      <c r="AT2" s="2"/>
      <c r="AU2" s="2"/>
      <c r="AV2" s="2"/>
      <c r="AW2" s="2">
        <v>5</v>
      </c>
      <c r="AX2" s="2" t="s">
        <v>72</v>
      </c>
      <c r="AY2" s="2"/>
      <c r="AZ2" s="2">
        <v>6</v>
      </c>
      <c r="BA2" s="2">
        <v>1</v>
      </c>
    </row>
    <row r="3" spans="1:53" ht="15" customHeight="1">
      <c r="A3" s="10"/>
      <c r="B3" s="10"/>
      <c r="C3" s="10"/>
      <c r="D3" s="331"/>
      <c r="E3" s="10"/>
      <c r="F3" s="10"/>
      <c r="P3" s="10"/>
      <c r="Q3" s="10"/>
      <c r="R3" s="10"/>
      <c r="S3" s="10"/>
      <c r="T3" s="10"/>
      <c r="U3" s="10"/>
      <c r="V3" s="10"/>
      <c r="W3" s="10"/>
      <c r="X3" s="10"/>
      <c r="Y3" s="10"/>
      <c r="Z3" s="10"/>
      <c r="AA3" s="10"/>
    </row>
    <row r="4" spans="1:53" ht="15" customHeight="1">
      <c r="A4" s="10"/>
      <c r="B4" s="10"/>
      <c r="C4" s="10"/>
      <c r="D4" s="331"/>
      <c r="E4" s="10"/>
      <c r="F4" s="10"/>
      <c r="P4" s="7" t="str">
        <f>Настройки!A1</f>
        <v>Событие</v>
      </c>
      <c r="Q4" s="7" t="str">
        <f>Настройки!B1</f>
        <v>Важность</v>
      </c>
      <c r="R4" s="7" t="str">
        <f>Настройки!C1</f>
        <v>Звук</v>
      </c>
      <c r="S4" s="7" t="s">
        <v>1793</v>
      </c>
      <c r="T4" s="548" t="str">
        <f>Настройки!M11</f>
        <v>№ Модуля commands</v>
      </c>
      <c r="U4" s="10"/>
      <c r="V4" s="10"/>
      <c r="W4" s="10"/>
      <c r="X4" s="10"/>
      <c r="Y4" s="10"/>
      <c r="Z4" s="10"/>
      <c r="AA4" s="10"/>
    </row>
    <row r="5" spans="1:53" ht="15" customHeight="1">
      <c r="A5" s="10"/>
      <c r="B5" s="10"/>
      <c r="C5" s="10"/>
      <c r="D5" s="10"/>
      <c r="E5" s="10"/>
      <c r="F5" s="10"/>
      <c r="P5" s="6" t="str">
        <f>Настройки!A2</f>
        <v>Авария</v>
      </c>
      <c r="Q5" s="5">
        <f>Настройки!B2</f>
        <v>4</v>
      </c>
      <c r="R5" s="5" t="str">
        <f>Настройки!C2</f>
        <v>Авария</v>
      </c>
      <c r="S5" s="12">
        <v>23</v>
      </c>
      <c r="T5" s="458">
        <f>Настройки!M12</f>
        <v>1</v>
      </c>
      <c r="U5" s="10"/>
      <c r="V5" s="10"/>
      <c r="W5" s="10"/>
      <c r="X5" s="10"/>
      <c r="Y5" s="10"/>
      <c r="Z5" s="10"/>
      <c r="AA5" s="10"/>
    </row>
    <row r="6" spans="1:53" ht="15" customHeight="1">
      <c r="A6" s="10"/>
      <c r="B6" s="10"/>
      <c r="C6" s="10"/>
      <c r="D6" s="10"/>
      <c r="E6" s="10"/>
      <c r="F6" s="10"/>
      <c r="P6" s="6" t="str">
        <f>Настройки!A3</f>
        <v>Предупреждение</v>
      </c>
      <c r="Q6" s="5">
        <f>Настройки!B3</f>
        <v>8</v>
      </c>
      <c r="R6" s="5" t="str">
        <f>Настройки!C3</f>
        <v>Предупреждение</v>
      </c>
      <c r="S6" s="12">
        <v>24</v>
      </c>
      <c r="T6" s="608" t="str">
        <f>Настройки!M7</f>
        <v>Отображение Таблицы подлючений в диаг.</v>
      </c>
      <c r="U6" s="10"/>
      <c r="V6" s="10"/>
      <c r="W6" s="10"/>
      <c r="X6" s="10"/>
      <c r="Y6" s="10"/>
      <c r="Z6" s="10"/>
      <c r="AA6" s="10"/>
    </row>
    <row r="7" spans="1:53" ht="15" customHeight="1">
      <c r="A7" s="10"/>
      <c r="B7" s="10"/>
      <c r="C7" s="10"/>
      <c r="D7" s="10"/>
      <c r="E7" s="10"/>
      <c r="F7" s="10"/>
      <c r="P7" s="6" t="str">
        <f>Настройки!A4</f>
        <v>Неисправность</v>
      </c>
      <c r="Q7" s="5">
        <f>Настройки!B4</f>
        <v>12</v>
      </c>
      <c r="R7" s="5" t="str">
        <f>Настройки!C4</f>
        <v>Неисправность</v>
      </c>
      <c r="S7" s="12">
        <v>25</v>
      </c>
      <c r="T7" s="644" t="b">
        <f>Настройки!M8</f>
        <v>0</v>
      </c>
      <c r="U7" s="10"/>
      <c r="V7" s="10"/>
      <c r="W7" s="10"/>
      <c r="X7" s="10"/>
      <c r="Y7" s="10"/>
      <c r="Z7" s="10"/>
      <c r="AA7" s="10"/>
    </row>
    <row r="8" spans="1:53" ht="15" customHeight="1">
      <c r="A8" s="10"/>
      <c r="B8" s="10"/>
      <c r="C8" s="10"/>
      <c r="D8" s="10"/>
      <c r="E8" s="10"/>
      <c r="F8" s="10"/>
      <c r="P8" s="6" t="str">
        <f>Настройки!A5</f>
        <v>Телесигнализация</v>
      </c>
      <c r="Q8" s="5">
        <f>Настройки!B5</f>
        <v>18</v>
      </c>
      <c r="R8" s="5" t="str">
        <f>Настройки!C5</f>
        <v>Телесигнализация</v>
      </c>
      <c r="S8" s="12">
        <v>26</v>
      </c>
      <c r="T8" s="548" t="str">
        <f>Настройки!M13</f>
        <v>Номер модуля IEC 4</v>
      </c>
      <c r="U8" s="10"/>
      <c r="V8" s="10"/>
      <c r="W8" s="10"/>
      <c r="X8" s="10"/>
      <c r="Y8" s="10"/>
      <c r="Z8" s="10"/>
      <c r="AA8" s="10"/>
    </row>
    <row r="9" spans="1:53" ht="15" customHeight="1">
      <c r="A9" s="10"/>
      <c r="B9" s="10"/>
      <c r="C9" s="10"/>
      <c r="D9" s="10"/>
      <c r="E9" s="10"/>
      <c r="F9" s="10"/>
      <c r="P9" s="6" t="str">
        <f>Настройки!A6</f>
        <v>Недостоверность</v>
      </c>
      <c r="Q9" s="5">
        <f>Настройки!B6</f>
        <v>10</v>
      </c>
      <c r="R9" s="5" t="str">
        <f>Настройки!C6</f>
        <v>Недостоверность</v>
      </c>
      <c r="S9" s="12">
        <v>27</v>
      </c>
      <c r="T9" s="456">
        <f>Настройки!M14</f>
        <v>1</v>
      </c>
      <c r="U9" s="10"/>
      <c r="V9" s="10"/>
      <c r="W9" s="10"/>
      <c r="X9" s="10"/>
      <c r="Y9" s="10"/>
      <c r="Z9" s="10"/>
      <c r="AA9" s="10"/>
    </row>
    <row r="10" spans="1:53" ht="15" customHeight="1">
      <c r="A10" s="10"/>
      <c r="B10" s="10"/>
      <c r="C10" s="10"/>
      <c r="D10" s="10"/>
      <c r="E10" s="10"/>
      <c r="F10" s="10"/>
      <c r="P10" s="6" t="str">
        <f>Настройки!A7</f>
        <v>Имитация</v>
      </c>
      <c r="Q10" s="5">
        <f>Настройки!B7</f>
        <v>16</v>
      </c>
      <c r="R10" s="5" t="str">
        <f>Настройки!C7</f>
        <v>Имитация</v>
      </c>
      <c r="S10" s="12"/>
      <c r="T10" s="548" t="str">
        <f>Настройки!M15</f>
        <v>Номер КП модуля IEC 4</v>
      </c>
      <c r="U10" s="10"/>
      <c r="V10" s="10"/>
      <c r="W10" s="10"/>
      <c r="X10" s="10"/>
      <c r="Y10" s="10"/>
      <c r="Z10" s="10"/>
      <c r="AA10" s="10"/>
    </row>
    <row r="11" spans="1:53" ht="15" customHeight="1">
      <c r="A11" s="10"/>
      <c r="B11" s="10"/>
      <c r="C11" s="10"/>
      <c r="D11" s="10"/>
      <c r="E11" s="10"/>
      <c r="F11" s="10"/>
      <c r="P11" s="6" t="str">
        <f>Настройки!A8</f>
        <v>Ремонт</v>
      </c>
      <c r="Q11" s="5">
        <f>Настройки!B8</f>
        <v>14</v>
      </c>
      <c r="R11" s="5" t="str">
        <f>Настройки!C8</f>
        <v>Ремонт</v>
      </c>
      <c r="S11" s="12">
        <v>29</v>
      </c>
      <c r="T11" s="656">
        <f>Настройки!M16</f>
        <v>1</v>
      </c>
      <c r="U11" s="10"/>
      <c r="V11" s="10"/>
      <c r="W11" s="10"/>
      <c r="X11" s="10"/>
      <c r="Y11" s="10"/>
      <c r="Z11" s="10"/>
      <c r="AA11" s="10"/>
    </row>
    <row r="12" spans="1:53" ht="15" customHeight="1">
      <c r="A12" s="10"/>
      <c r="B12" s="10"/>
      <c r="C12" s="10"/>
      <c r="D12" s="10"/>
      <c r="E12" s="10"/>
      <c r="F12" s="10"/>
      <c r="P12" s="6" t="str">
        <f>Настройки!A9</f>
        <v>Команда оператора</v>
      </c>
      <c r="Q12" s="5">
        <f>Настройки!B9</f>
        <v>20</v>
      </c>
      <c r="R12" s="5" t="str">
        <f>Настройки!C9</f>
        <v>Команда оператора</v>
      </c>
      <c r="S12" s="12"/>
      <c r="T12" s="10"/>
      <c r="U12" s="10"/>
      <c r="V12" s="10"/>
      <c r="W12" s="10"/>
      <c r="X12" s="10"/>
      <c r="Y12" s="10"/>
      <c r="Z12" s="10"/>
      <c r="AA12" s="10"/>
    </row>
    <row r="13" spans="1:53" ht="15" customHeight="1">
      <c r="A13" s="10"/>
      <c r="B13" s="10"/>
      <c r="C13" s="10"/>
      <c r="D13" s="10"/>
      <c r="E13" s="10"/>
      <c r="F13" s="10"/>
      <c r="P13" s="6" t="str">
        <f>Настройки!A10</f>
        <v>Тревога</v>
      </c>
      <c r="Q13" s="5">
        <f>Настройки!B10</f>
        <v>5</v>
      </c>
      <c r="R13" s="5" t="str">
        <f>Настройки!C10</f>
        <v>Тревога</v>
      </c>
      <c r="S13" s="12"/>
      <c r="T13" s="10"/>
      <c r="U13" s="10"/>
      <c r="V13" s="10"/>
      <c r="W13" s="10"/>
      <c r="X13" s="10"/>
      <c r="Y13" s="10"/>
      <c r="Z13" s="10"/>
      <c r="AA13" s="10"/>
    </row>
    <row r="14" spans="1:53" ht="15" customHeight="1">
      <c r="A14" s="10"/>
      <c r="B14" s="10"/>
      <c r="C14" s="10"/>
      <c r="D14" s="10"/>
      <c r="E14" s="10"/>
      <c r="F14" s="10"/>
      <c r="P14" s="6" t="str">
        <f>Настройки!A11</f>
        <v>Тушение</v>
      </c>
      <c r="Q14" s="5">
        <f>Настройки!B11</f>
        <v>1</v>
      </c>
      <c r="R14" s="5" t="str">
        <f>Настройки!C11</f>
        <v>Тушение</v>
      </c>
      <c r="S14" s="12"/>
      <c r="T14" s="10"/>
      <c r="U14" s="10"/>
      <c r="V14" s="10"/>
      <c r="W14" s="10"/>
      <c r="X14" s="10"/>
      <c r="Y14" s="10"/>
      <c r="Z14" s="10"/>
      <c r="AA14" s="10"/>
    </row>
    <row r="15" spans="1:53" ht="15" customHeight="1">
      <c r="A15" s="10"/>
      <c r="B15" s="10"/>
      <c r="C15" s="10"/>
      <c r="D15" s="10"/>
      <c r="E15" s="10"/>
      <c r="F15" s="10"/>
      <c r="P15" s="6" t="str">
        <f>Настройки!A12</f>
        <v>Пожар</v>
      </c>
      <c r="Q15" s="5">
        <f>Настройки!B12</f>
        <v>2</v>
      </c>
      <c r="R15" s="5" t="str">
        <f>Настройки!C12</f>
        <v>Пожар</v>
      </c>
      <c r="S15" s="12"/>
      <c r="T15" s="10"/>
      <c r="U15" s="10"/>
      <c r="V15" s="10"/>
      <c r="W15" s="10"/>
      <c r="X15" s="10"/>
      <c r="Y15" s="10"/>
      <c r="Z15" s="10"/>
      <c r="AA15" s="10"/>
    </row>
    <row r="16" spans="1:53" ht="15" customHeight="1">
      <c r="A16" s="10"/>
      <c r="B16" s="10"/>
      <c r="C16" s="10"/>
      <c r="D16" s="10"/>
      <c r="E16" s="10"/>
      <c r="F16" s="10"/>
      <c r="P16" s="6" t="str">
        <f>Настройки!A13</f>
        <v>Порог 2</v>
      </c>
      <c r="Q16" s="5">
        <f>Настройки!B13</f>
        <v>3</v>
      </c>
      <c r="R16" s="5" t="str">
        <f>Настройки!C13</f>
        <v>Порог 2</v>
      </c>
      <c r="S16" s="12"/>
      <c r="T16" s="10"/>
      <c r="U16" s="10"/>
      <c r="V16" s="10"/>
      <c r="W16" s="10"/>
      <c r="X16" s="10"/>
      <c r="Y16" s="10"/>
      <c r="Z16" s="10"/>
      <c r="AA16" s="10"/>
    </row>
    <row r="17" spans="1:27" ht="15" customHeight="1">
      <c r="A17" s="10"/>
      <c r="B17" s="10"/>
      <c r="C17" s="10"/>
      <c r="D17" s="10"/>
      <c r="E17" s="10"/>
      <c r="F17" s="10"/>
      <c r="P17" s="6" t="str">
        <f>Настройки!A14</f>
        <v>Порог 1</v>
      </c>
      <c r="Q17" s="5">
        <f>Настройки!B14</f>
        <v>6</v>
      </c>
      <c r="R17" s="5" t="str">
        <f>Настройки!C14</f>
        <v>Порог 1</v>
      </c>
      <c r="S17" s="12"/>
      <c r="T17" s="10"/>
      <c r="U17" s="10"/>
      <c r="V17" s="10"/>
      <c r="W17" s="10"/>
      <c r="X17" s="10"/>
      <c r="Y17" s="10"/>
      <c r="Z17" s="10"/>
      <c r="AA17" s="10"/>
    </row>
    <row r="18" spans="1:27" ht="15" customHeight="1">
      <c r="A18" s="10"/>
      <c r="B18" s="10"/>
      <c r="C18" s="10"/>
      <c r="D18" s="10"/>
      <c r="E18" s="10"/>
      <c r="F18" s="10"/>
      <c r="P18" s="6" t="str">
        <f>Настройки!A15</f>
        <v>Отключение</v>
      </c>
      <c r="Q18" s="5">
        <f>Настройки!B15</f>
        <v>13</v>
      </c>
      <c r="R18" s="5" t="str">
        <f>Настройки!C15</f>
        <v>Отключение</v>
      </c>
      <c r="S18" s="12"/>
      <c r="T18" s="10"/>
      <c r="U18" s="10"/>
      <c r="V18" s="10"/>
      <c r="W18" s="10"/>
      <c r="X18" s="10"/>
      <c r="Y18" s="10"/>
      <c r="Z18" s="10"/>
      <c r="AA18" s="10"/>
    </row>
    <row r="19" spans="1:27" ht="15" customHeight="1">
      <c r="A19" s="10"/>
      <c r="B19" s="10"/>
      <c r="C19" s="10"/>
      <c r="D19" s="10"/>
      <c r="E19" s="10"/>
      <c r="F19" s="10"/>
      <c r="P19" s="6" t="str">
        <f>Настройки!A16</f>
        <v>Информация</v>
      </c>
      <c r="Q19" s="5">
        <f>Настройки!B16</f>
        <v>22</v>
      </c>
      <c r="R19" s="5" t="str">
        <f>Настройки!C16</f>
        <v>Информация</v>
      </c>
      <c r="S19" s="12"/>
      <c r="T19" s="10"/>
      <c r="U19" s="10"/>
      <c r="V19" s="10"/>
      <c r="W19" s="10"/>
      <c r="X19" s="10"/>
      <c r="Y19" s="10"/>
      <c r="Z19" s="10"/>
      <c r="AA19" s="10"/>
    </row>
    <row r="20" spans="1:27" ht="15" customHeight="1">
      <c r="A20" s="23" t="str">
        <f t="shared" ref="A20:A36" si="0">$R$2</f>
        <v>FB_IMv_BUF_S</v>
      </c>
      <c r="B20" s="24">
        <v>11001</v>
      </c>
      <c r="C20" s="24" t="s">
        <v>0</v>
      </c>
      <c r="D20" s="25" t="str">
        <f>$Q$2&amp;". "</f>
        <v xml:space="preserve">Задвижка FB с буферизацией. </v>
      </c>
    </row>
    <row r="21" spans="1:27" ht="15" customHeight="1">
      <c r="A21" s="29" t="str">
        <f t="shared" si="0"/>
        <v>FB_IMv_BUF_S</v>
      </c>
      <c r="B21">
        <v>11156</v>
      </c>
      <c r="C21" t="s">
        <v>0</v>
      </c>
      <c r="D21" s="30" t="str">
        <f>$V$2</f>
        <v>Тестовый экран</v>
      </c>
    </row>
    <row r="22" spans="1:27" ht="15" customHeight="1">
      <c r="A22" s="26" t="str">
        <f t="shared" si="0"/>
        <v>FB_IMv_BUF_S</v>
      </c>
      <c r="B22" s="27">
        <v>1</v>
      </c>
      <c r="C22" s="27" t="s">
        <v>1</v>
      </c>
      <c r="D22" s="28">
        <v>17</v>
      </c>
    </row>
    <row r="23" spans="1:27" ht="15" customHeight="1">
      <c r="A23" s="23" t="str">
        <f t="shared" si="0"/>
        <v>FB_IMv_BUF_S</v>
      </c>
      <c r="B23" s="24">
        <v>100</v>
      </c>
      <c r="C23" s="24" t="s">
        <v>0</v>
      </c>
      <c r="D23" s="30" t="b">
        <f>$T$7</f>
        <v>0</v>
      </c>
    </row>
    <row r="24" spans="1:27" ht="15" customHeight="1">
      <c r="A24" s="29" t="str">
        <f t="shared" si="0"/>
        <v>FB_IMv_BUF_S</v>
      </c>
      <c r="B24">
        <v>11120</v>
      </c>
      <c r="C24" t="s">
        <v>0</v>
      </c>
      <c r="D24" s="30" t="str">
        <f>$AL$2</f>
        <v>7+6</v>
      </c>
    </row>
    <row r="25" spans="1:27" ht="15" customHeight="1">
      <c r="A25" s="29" t="str">
        <f t="shared" si="0"/>
        <v>FB_IMv_BUF_S</v>
      </c>
      <c r="B25">
        <v>11121</v>
      </c>
      <c r="C25" t="s">
        <v>0</v>
      </c>
      <c r="D25" s="30" t="str">
        <f>$AM$2</f>
        <v>7+7</v>
      </c>
    </row>
    <row r="26" spans="1:27" ht="15" customHeight="1">
      <c r="A26" s="29" t="str">
        <f t="shared" si="0"/>
        <v>FB_IMv_BUF_S</v>
      </c>
      <c r="B26">
        <v>11122</v>
      </c>
      <c r="C26" t="s">
        <v>0</v>
      </c>
      <c r="D26" s="30" t="str">
        <f>$AN$2</f>
        <v>7+8</v>
      </c>
    </row>
    <row r="27" spans="1:27" ht="15" customHeight="1">
      <c r="A27" s="29" t="str">
        <f t="shared" si="0"/>
        <v>FB_IMv_BUF_S</v>
      </c>
      <c r="B27">
        <v>11123</v>
      </c>
      <c r="C27" t="s">
        <v>0</v>
      </c>
      <c r="D27" s="30" t="str">
        <f>$AO$2</f>
        <v>7+9</v>
      </c>
    </row>
    <row r="28" spans="1:27" ht="15" customHeight="1">
      <c r="A28" s="29" t="str">
        <f t="shared" si="0"/>
        <v>FB_IMv_BUF_S</v>
      </c>
      <c r="B28">
        <v>11124</v>
      </c>
      <c r="C28" t="s">
        <v>0</v>
      </c>
      <c r="D28" s="30" t="str">
        <f>$AP$2</f>
        <v>7+11</v>
      </c>
    </row>
    <row r="29" spans="1:27" ht="15" customHeight="1">
      <c r="A29" s="29" t="str">
        <f t="shared" si="0"/>
        <v>FB_IMv_BUF_S</v>
      </c>
      <c r="B29">
        <v>11125</v>
      </c>
      <c r="C29" t="s">
        <v>0</v>
      </c>
      <c r="D29" s="30" t="str">
        <f>$AQ$2</f>
        <v>2+4</v>
      </c>
    </row>
    <row r="30" spans="1:27" ht="15" customHeight="1">
      <c r="A30" s="29" t="str">
        <f t="shared" si="0"/>
        <v>FB_IMv_BUF_S</v>
      </c>
      <c r="B30">
        <v>11126</v>
      </c>
      <c r="C30" t="s">
        <v>0</v>
      </c>
      <c r="D30" s="30" t="str">
        <f>$AR$2</f>
        <v>2+5</v>
      </c>
    </row>
    <row r="31" spans="1:27" ht="15" customHeight="1">
      <c r="A31" s="29" t="str">
        <f t="shared" si="0"/>
        <v>FB_IMv_BUF_S</v>
      </c>
      <c r="B31">
        <v>11127</v>
      </c>
      <c r="C31" t="s">
        <v>0</v>
      </c>
      <c r="D31" s="30" t="str">
        <f>$AS$2</f>
        <v>2+6</v>
      </c>
    </row>
    <row r="32" spans="1:27" ht="15" customHeight="1">
      <c r="A32" s="29" t="str">
        <f t="shared" si="0"/>
        <v>FB_IMv_BUF_S</v>
      </c>
      <c r="B32">
        <v>201</v>
      </c>
      <c r="C32" t="s">
        <v>6</v>
      </c>
      <c r="D32" s="30">
        <f>$BA$2</f>
        <v>1</v>
      </c>
    </row>
    <row r="33" spans="1:68" ht="15" customHeight="1">
      <c r="A33" s="23" t="str">
        <f t="shared" si="0"/>
        <v>FB_IMv_BUF_S</v>
      </c>
      <c r="B33" s="24">
        <v>13</v>
      </c>
      <c r="C33" s="24" t="s">
        <v>2</v>
      </c>
      <c r="D33" s="25" t="s">
        <v>3</v>
      </c>
    </row>
    <row r="34" spans="1:68" ht="15" customHeight="1">
      <c r="A34" s="29" t="str">
        <f t="shared" si="0"/>
        <v>FB_IMv_BUF_S</v>
      </c>
      <c r="B34">
        <v>3000013</v>
      </c>
      <c r="C34" t="s">
        <v>0</v>
      </c>
      <c r="D34" s="30" t="str">
        <f>$AE$2</f>
        <v>Диагностика.CPU.NOT_LINK.noLink</v>
      </c>
    </row>
    <row r="35" spans="1:68" ht="15" customHeight="1">
      <c r="A35" s="29" t="str">
        <f t="shared" si="0"/>
        <v>FB_IMv_BUF_S</v>
      </c>
      <c r="B35">
        <v>4000013</v>
      </c>
      <c r="C35" t="s">
        <v>0</v>
      </c>
      <c r="D35" s="30" t="s">
        <v>1770</v>
      </c>
    </row>
    <row r="36" spans="1:68" ht="15" customHeight="1">
      <c r="A36" s="26" t="str">
        <f t="shared" si="0"/>
        <v>FB_IMv_BUF_S</v>
      </c>
      <c r="B36" s="27">
        <v>7000013</v>
      </c>
      <c r="C36" s="27" t="s">
        <v>6</v>
      </c>
      <c r="D36" s="28">
        <v>2</v>
      </c>
    </row>
    <row r="37" spans="1:68" ht="15" customHeight="1">
      <c r="A37" s="69" t="str">
        <f t="shared" ref="A37:A46" si="1">$R$2&amp;".LAON"</f>
        <v>FB_IMv_BUF_S.LAON</v>
      </c>
      <c r="B37" s="70">
        <v>11154</v>
      </c>
      <c r="C37" s="70" t="s">
        <v>4</v>
      </c>
      <c r="D37" s="144">
        <f>$Q$6</f>
        <v>8</v>
      </c>
      <c r="BM37" s="4"/>
      <c r="BN37" s="4"/>
      <c r="BO37" s="4"/>
      <c r="BP37" s="4"/>
    </row>
    <row r="38" spans="1:68" ht="15" customHeight="1">
      <c r="A38" s="63" t="str">
        <f t="shared" si="1"/>
        <v>FB_IMv_BUF_S.LAON</v>
      </c>
      <c r="B38" s="64">
        <v>11150</v>
      </c>
      <c r="C38" s="64" t="s">
        <v>0</v>
      </c>
      <c r="D38" s="65" t="s">
        <v>1841</v>
      </c>
      <c r="BM38" s="4"/>
      <c r="BN38" s="4"/>
      <c r="BO38" s="4"/>
      <c r="BP38" s="4"/>
    </row>
    <row r="39" spans="1:68" ht="15" customHeight="1">
      <c r="A39" s="63" t="str">
        <f t="shared" si="1"/>
        <v>FB_IMv_BUF_S.LAON</v>
      </c>
      <c r="B39" s="64">
        <v>11152</v>
      </c>
      <c r="C39" s="64" t="s">
        <v>0</v>
      </c>
      <c r="D39" s="99" t="str">
        <f>$R$6</f>
        <v>Предупреждение</v>
      </c>
      <c r="BM39" s="4"/>
      <c r="BN39" s="4"/>
      <c r="BO39" s="4"/>
      <c r="BP39" s="4"/>
    </row>
    <row r="40" spans="1:68" ht="15" customHeight="1">
      <c r="A40" s="63" t="str">
        <f t="shared" si="1"/>
        <v>FB_IMv_BUF_S.LAON</v>
      </c>
      <c r="B40" s="64">
        <v>11000</v>
      </c>
      <c r="C40" s="64" t="s">
        <v>5</v>
      </c>
      <c r="D40" s="65">
        <v>2147483680</v>
      </c>
      <c r="BM40" s="4"/>
      <c r="BN40" s="4"/>
      <c r="BO40" s="4"/>
      <c r="BP40" s="4"/>
    </row>
    <row r="41" spans="1:68" ht="15" customHeight="1">
      <c r="A41" s="19" t="str">
        <f t="shared" si="1"/>
        <v>FB_IMv_BUF_S.LAON</v>
      </c>
      <c r="B41" s="11">
        <v>7999</v>
      </c>
      <c r="C41" s="11" t="s">
        <v>0</v>
      </c>
      <c r="D41" s="20" t="str">
        <f>"#"&amp;$S$2&amp;"#"&amp;$T$2&amp;"\"&amp;$P$2&amp;"\LAON"</f>
        <v>#1#treiOPCDA.CoOPCserv.1\pcmaster\KMZ1_BUF\LAON</v>
      </c>
      <c r="BM41" s="4"/>
      <c r="BN41" s="4"/>
      <c r="BO41" s="4"/>
      <c r="BP41" s="4"/>
    </row>
    <row r="42" spans="1:68" ht="15" customHeight="1">
      <c r="A42" s="19" t="str">
        <f t="shared" si="1"/>
        <v>FB_IMv_BUF_S.LAON</v>
      </c>
      <c r="B42" s="11">
        <v>7998</v>
      </c>
      <c r="C42" s="11" t="s">
        <v>6</v>
      </c>
      <c r="D42" s="20">
        <v>1</v>
      </c>
      <c r="BM42" s="4"/>
      <c r="BN42" s="4"/>
      <c r="BO42" s="4"/>
      <c r="BP42" s="4"/>
    </row>
    <row r="43" spans="1:68" ht="15" customHeight="1">
      <c r="A43" s="19" t="str">
        <f t="shared" si="1"/>
        <v>FB_IMv_BUF_S.LAON</v>
      </c>
      <c r="B43" s="11">
        <v>101</v>
      </c>
      <c r="C43" s="11" t="s">
        <v>0</v>
      </c>
      <c r="D43" s="20" t="s">
        <v>1841</v>
      </c>
      <c r="BM43" s="4"/>
      <c r="BN43" s="4"/>
      <c r="BO43" s="4"/>
      <c r="BP43" s="4"/>
    </row>
    <row r="44" spans="1:68" ht="15" customHeight="1">
      <c r="A44" s="19" t="str">
        <f t="shared" si="1"/>
        <v>FB_IMv_BUF_S.LAON</v>
      </c>
      <c r="B44" s="11">
        <v>3</v>
      </c>
      <c r="C44" s="11" t="s">
        <v>1</v>
      </c>
      <c r="D44" s="20">
        <v>192</v>
      </c>
      <c r="BM44" s="4"/>
      <c r="BN44" s="4"/>
      <c r="BO44" s="4"/>
      <c r="BP44" s="4"/>
    </row>
    <row r="45" spans="1:68" ht="15" customHeight="1">
      <c r="A45" s="19" t="str">
        <f t="shared" si="1"/>
        <v>FB_IMv_BUF_S.LAON</v>
      </c>
      <c r="B45" s="11">
        <v>2</v>
      </c>
      <c r="C45" s="11" t="s">
        <v>2</v>
      </c>
      <c r="D45" s="20" t="s">
        <v>3</v>
      </c>
      <c r="BM45" s="4"/>
      <c r="BN45" s="4"/>
      <c r="BO45" s="4"/>
      <c r="BP45" s="4"/>
    </row>
    <row r="46" spans="1:68" ht="15" customHeight="1">
      <c r="A46" s="21" t="str">
        <f t="shared" si="1"/>
        <v>FB_IMv_BUF_S.LAON</v>
      </c>
      <c r="B46" s="8">
        <v>1</v>
      </c>
      <c r="C46" s="8" t="s">
        <v>1</v>
      </c>
      <c r="D46" s="22">
        <v>11</v>
      </c>
      <c r="BM46" s="4"/>
      <c r="BN46" s="4"/>
      <c r="BO46" s="4"/>
      <c r="BP46" s="4"/>
    </row>
    <row r="47" spans="1:68" ht="15" customHeight="1">
      <c r="A47" s="69" t="str">
        <f t="shared" ref="A47:A56" si="2">$R$2&amp;".LAOF"</f>
        <v>FB_IMv_BUF_S.LAOF</v>
      </c>
      <c r="B47" s="70">
        <v>11154</v>
      </c>
      <c r="C47" s="70" t="s">
        <v>4</v>
      </c>
      <c r="D47" s="144">
        <f>$Q$6</f>
        <v>8</v>
      </c>
      <c r="BM47" s="4"/>
      <c r="BN47" s="4"/>
      <c r="BO47" s="4"/>
      <c r="BP47" s="4"/>
    </row>
    <row r="48" spans="1:68" ht="15" customHeight="1">
      <c r="A48" s="63" t="str">
        <f t="shared" si="2"/>
        <v>FB_IMv_BUF_S.LAOF</v>
      </c>
      <c r="B48" s="64">
        <v>11150</v>
      </c>
      <c r="C48" s="64" t="s">
        <v>0</v>
      </c>
      <c r="D48" s="65" t="s">
        <v>1842</v>
      </c>
      <c r="BM48" s="4"/>
      <c r="BN48" s="4"/>
      <c r="BO48" s="4"/>
      <c r="BP48" s="4"/>
    </row>
    <row r="49" spans="1:68" ht="15" customHeight="1">
      <c r="A49" s="63" t="str">
        <f t="shared" si="2"/>
        <v>FB_IMv_BUF_S.LAOF</v>
      </c>
      <c r="B49" s="64">
        <v>11152</v>
      </c>
      <c r="C49" s="64" t="s">
        <v>0</v>
      </c>
      <c r="D49" s="99" t="str">
        <f>$R$6</f>
        <v>Предупреждение</v>
      </c>
      <c r="BM49" s="4"/>
      <c r="BN49" s="4"/>
      <c r="BO49" s="4"/>
      <c r="BP49" s="4"/>
    </row>
    <row r="50" spans="1:68" ht="15" customHeight="1">
      <c r="A50" s="63" t="str">
        <f t="shared" si="2"/>
        <v>FB_IMv_BUF_S.LAOF</v>
      </c>
      <c r="B50" s="64">
        <v>11000</v>
      </c>
      <c r="C50" s="64" t="s">
        <v>5</v>
      </c>
      <c r="D50" s="65">
        <v>2147483680</v>
      </c>
      <c r="BM50" s="4"/>
      <c r="BN50" s="4"/>
      <c r="BO50" s="4"/>
      <c r="BP50" s="4"/>
    </row>
    <row r="51" spans="1:68" ht="15" customHeight="1">
      <c r="A51" s="19" t="str">
        <f t="shared" si="2"/>
        <v>FB_IMv_BUF_S.LAOF</v>
      </c>
      <c r="B51" s="11">
        <v>7999</v>
      </c>
      <c r="C51" s="11" t="s">
        <v>0</v>
      </c>
      <c r="D51" s="20" t="str">
        <f>"#"&amp;$S$2&amp;"#"&amp;$T$2&amp;"\"&amp;$P$2&amp;"\LAOF"</f>
        <v>#1#treiOPCDA.CoOPCserv.1\pcmaster\KMZ1_BUF\LAOF</v>
      </c>
      <c r="BM51" s="4"/>
      <c r="BN51" s="4"/>
      <c r="BO51" s="4"/>
      <c r="BP51" s="4"/>
    </row>
    <row r="52" spans="1:68" ht="15" customHeight="1">
      <c r="A52" s="19" t="str">
        <f t="shared" si="2"/>
        <v>FB_IMv_BUF_S.LAOF</v>
      </c>
      <c r="B52" s="11">
        <v>7998</v>
      </c>
      <c r="C52" s="11" t="s">
        <v>6</v>
      </c>
      <c r="D52" s="20">
        <v>1</v>
      </c>
      <c r="BM52" s="4"/>
      <c r="BN52" s="4"/>
      <c r="BO52" s="4"/>
      <c r="BP52" s="4"/>
    </row>
    <row r="53" spans="1:68" ht="15" customHeight="1">
      <c r="A53" s="19" t="str">
        <f t="shared" si="2"/>
        <v>FB_IMv_BUF_S.LAOF</v>
      </c>
      <c r="B53" s="11">
        <v>101</v>
      </c>
      <c r="C53" s="11" t="s">
        <v>0</v>
      </c>
      <c r="D53" s="20" t="s">
        <v>1842</v>
      </c>
      <c r="BM53" s="4"/>
      <c r="BN53" s="4"/>
      <c r="BO53" s="4"/>
      <c r="BP53" s="4"/>
    </row>
    <row r="54" spans="1:68" ht="15" customHeight="1">
      <c r="A54" s="19" t="str">
        <f t="shared" si="2"/>
        <v>FB_IMv_BUF_S.LAOF</v>
      </c>
      <c r="B54" s="11">
        <v>3</v>
      </c>
      <c r="C54" s="11" t="s">
        <v>1</v>
      </c>
      <c r="D54" s="20">
        <v>192</v>
      </c>
      <c r="BM54" s="4"/>
      <c r="BN54" s="4"/>
      <c r="BO54" s="4"/>
      <c r="BP54" s="4"/>
    </row>
    <row r="55" spans="1:68" ht="15" customHeight="1">
      <c r="A55" s="19" t="str">
        <f t="shared" si="2"/>
        <v>FB_IMv_BUF_S.LAOF</v>
      </c>
      <c r="B55" s="11">
        <v>2</v>
      </c>
      <c r="C55" s="11" t="s">
        <v>2</v>
      </c>
      <c r="D55" s="20" t="s">
        <v>3</v>
      </c>
      <c r="BM55" s="4"/>
      <c r="BN55" s="4"/>
      <c r="BO55" s="4"/>
      <c r="BP55" s="4"/>
    </row>
    <row r="56" spans="1:68" ht="15" customHeight="1">
      <c r="A56" s="21" t="str">
        <f t="shared" si="2"/>
        <v>FB_IMv_BUF_S.LAOF</v>
      </c>
      <c r="B56" s="8">
        <v>1</v>
      </c>
      <c r="C56" s="8" t="s">
        <v>1</v>
      </c>
      <c r="D56" s="22">
        <v>11</v>
      </c>
      <c r="BM56" s="4"/>
      <c r="BN56" s="4"/>
      <c r="BO56" s="4"/>
      <c r="BP56" s="4"/>
    </row>
    <row r="57" spans="1:68" ht="15" customHeight="1">
      <c r="A57" s="63" t="str">
        <f t="shared" ref="A57:A66" si="3">$R$2&amp;".ILCX"</f>
        <v>FB_IMv_BUF_S.ILCX</v>
      </c>
      <c r="B57" s="64">
        <v>11154</v>
      </c>
      <c r="C57" s="64" t="s">
        <v>4</v>
      </c>
      <c r="D57" s="98">
        <f>$Q$6</f>
        <v>8</v>
      </c>
      <c r="BK57" s="4"/>
      <c r="BL57" s="4"/>
      <c r="BM57" s="4"/>
      <c r="BN57" s="4"/>
    </row>
    <row r="58" spans="1:68" ht="15" customHeight="1">
      <c r="A58" s="63" t="str">
        <f t="shared" si="3"/>
        <v>FB_IMv_BUF_S.ILCX</v>
      </c>
      <c r="B58" s="64">
        <v>11150</v>
      </c>
      <c r="C58" s="64" t="s">
        <v>0</v>
      </c>
      <c r="D58" s="65" t="s">
        <v>188</v>
      </c>
      <c r="BK58" s="4"/>
      <c r="BL58" s="4"/>
      <c r="BM58" s="4"/>
      <c r="BN58" s="4"/>
    </row>
    <row r="59" spans="1:68" ht="15" customHeight="1">
      <c r="A59" s="63" t="str">
        <f t="shared" si="3"/>
        <v>FB_IMv_BUF_S.ILCX</v>
      </c>
      <c r="B59" s="64">
        <v>11152</v>
      </c>
      <c r="C59" s="64" t="s">
        <v>0</v>
      </c>
      <c r="D59" s="99" t="str">
        <f>$R$6</f>
        <v>Предупреждение</v>
      </c>
      <c r="BK59" s="4"/>
      <c r="BL59" s="4"/>
      <c r="BM59" s="4"/>
      <c r="BN59" s="4"/>
    </row>
    <row r="60" spans="1:68" ht="15" customHeight="1">
      <c r="A60" s="63" t="str">
        <f t="shared" si="3"/>
        <v>FB_IMv_BUF_S.ILCX</v>
      </c>
      <c r="B60" s="64">
        <v>11000</v>
      </c>
      <c r="C60" s="64" t="s">
        <v>5</v>
      </c>
      <c r="D60" s="65">
        <v>2147483680</v>
      </c>
      <c r="BK60" s="4"/>
      <c r="BL60" s="4"/>
      <c r="BM60" s="4"/>
      <c r="BN60" s="4"/>
    </row>
    <row r="61" spans="1:68" ht="15" customHeight="1">
      <c r="A61" s="19" t="str">
        <f t="shared" si="3"/>
        <v>FB_IMv_BUF_S.ILCX</v>
      </c>
      <c r="B61" s="11">
        <v>7999</v>
      </c>
      <c r="C61" s="11" t="s">
        <v>0</v>
      </c>
      <c r="D61" s="20" t="str">
        <f>"#"&amp;$S$2&amp;"#"&amp;$T$2&amp;"\"&amp;$P$2&amp;"\ILCX"</f>
        <v>#1#treiOPCDA.CoOPCserv.1\pcmaster\KMZ1_BUF\ILCX</v>
      </c>
      <c r="BK61" s="4"/>
      <c r="BL61" s="4"/>
      <c r="BM61" s="4"/>
      <c r="BN61" s="4"/>
    </row>
    <row r="62" spans="1:68" ht="15" customHeight="1">
      <c r="A62" s="19" t="str">
        <f t="shared" si="3"/>
        <v>FB_IMv_BUF_S.ILCX</v>
      </c>
      <c r="B62" s="11">
        <v>7998</v>
      </c>
      <c r="C62" s="11" t="s">
        <v>6</v>
      </c>
      <c r="D62" s="20">
        <v>1</v>
      </c>
      <c r="BK62" s="4"/>
      <c r="BL62" s="4"/>
      <c r="BM62" s="4"/>
      <c r="BN62" s="4"/>
    </row>
    <row r="63" spans="1:68" ht="15" customHeight="1">
      <c r="A63" s="19" t="str">
        <f t="shared" si="3"/>
        <v>FB_IMv_BUF_S.ILCX</v>
      </c>
      <c r="B63" s="11">
        <v>101</v>
      </c>
      <c r="C63" s="11" t="s">
        <v>0</v>
      </c>
      <c r="D63" s="20" t="s">
        <v>577</v>
      </c>
      <c r="BK63" s="4"/>
      <c r="BL63" s="4"/>
      <c r="BM63" s="4"/>
      <c r="BN63" s="4"/>
    </row>
    <row r="64" spans="1:68" ht="15" customHeight="1">
      <c r="A64" s="19" t="str">
        <f t="shared" si="3"/>
        <v>FB_IMv_BUF_S.ILCX</v>
      </c>
      <c r="B64" s="11">
        <v>3</v>
      </c>
      <c r="C64" s="11" t="s">
        <v>1</v>
      </c>
      <c r="D64" s="20">
        <v>192</v>
      </c>
      <c r="BK64" s="4"/>
      <c r="BL64" s="4"/>
      <c r="BM64" s="4"/>
      <c r="BN64" s="4"/>
    </row>
    <row r="65" spans="1:66" ht="15" customHeight="1">
      <c r="A65" s="19" t="str">
        <f t="shared" si="3"/>
        <v>FB_IMv_BUF_S.ILCX</v>
      </c>
      <c r="B65" s="11">
        <v>2</v>
      </c>
      <c r="C65" s="11" t="s">
        <v>2</v>
      </c>
      <c r="D65" s="20" t="s">
        <v>3</v>
      </c>
      <c r="BK65" s="4"/>
      <c r="BL65" s="4"/>
      <c r="BM65" s="4"/>
      <c r="BN65" s="4"/>
    </row>
    <row r="66" spans="1:66" ht="15" customHeight="1">
      <c r="A66" s="21" t="str">
        <f t="shared" si="3"/>
        <v>FB_IMv_BUF_S.ILCX</v>
      </c>
      <c r="B66" s="8">
        <v>1</v>
      </c>
      <c r="C66" s="8" t="s">
        <v>1</v>
      </c>
      <c r="D66" s="22">
        <v>11</v>
      </c>
      <c r="BK66" s="4"/>
      <c r="BL66" s="4"/>
      <c r="BM66" s="4"/>
      <c r="BN66" s="4"/>
    </row>
    <row r="67" spans="1:66" ht="15" customHeight="1">
      <c r="A67" s="69" t="str">
        <f t="shared" ref="A67:A76" si="4">$R$2&amp;".CEON"</f>
        <v>FB_IMv_BUF_S.CEON</v>
      </c>
      <c r="B67" s="70">
        <v>11154</v>
      </c>
      <c r="C67" s="70" t="s">
        <v>4</v>
      </c>
      <c r="D67" s="144">
        <f>$Q$6</f>
        <v>8</v>
      </c>
      <c r="BK67" s="4"/>
      <c r="BL67" s="4"/>
      <c r="BM67" s="4"/>
      <c r="BN67" s="4"/>
    </row>
    <row r="68" spans="1:66" ht="15" customHeight="1">
      <c r="A68" s="63" t="str">
        <f t="shared" si="4"/>
        <v>FB_IMv_BUF_S.CEON</v>
      </c>
      <c r="B68" s="64">
        <v>11150</v>
      </c>
      <c r="C68" s="64" t="s">
        <v>0</v>
      </c>
      <c r="D68" s="65" t="s">
        <v>1845</v>
      </c>
      <c r="BK68" s="4"/>
      <c r="BL68" s="4"/>
      <c r="BM68" s="4"/>
      <c r="BN68" s="4"/>
    </row>
    <row r="69" spans="1:66" ht="15" customHeight="1">
      <c r="A69" s="63" t="str">
        <f t="shared" si="4"/>
        <v>FB_IMv_BUF_S.CEON</v>
      </c>
      <c r="B69" s="64">
        <v>11152</v>
      </c>
      <c r="C69" s="64" t="s">
        <v>0</v>
      </c>
      <c r="D69" s="99" t="str">
        <f>$R$6</f>
        <v>Предупреждение</v>
      </c>
      <c r="BK69" s="4"/>
      <c r="BL69" s="4"/>
      <c r="BM69" s="4"/>
      <c r="BN69" s="4"/>
    </row>
    <row r="70" spans="1:66" ht="15" customHeight="1">
      <c r="A70" s="63" t="str">
        <f t="shared" si="4"/>
        <v>FB_IMv_BUF_S.CEON</v>
      </c>
      <c r="B70" s="64">
        <v>11000</v>
      </c>
      <c r="C70" s="64" t="s">
        <v>5</v>
      </c>
      <c r="D70" s="65">
        <v>2147483680</v>
      </c>
      <c r="BK70" s="4"/>
      <c r="BL70" s="4"/>
      <c r="BM70" s="4"/>
      <c r="BN70" s="4"/>
    </row>
    <row r="71" spans="1:66" ht="15" customHeight="1">
      <c r="A71" s="19" t="str">
        <f t="shared" si="4"/>
        <v>FB_IMv_BUF_S.CEON</v>
      </c>
      <c r="B71" s="11">
        <v>7999</v>
      </c>
      <c r="C71" s="11" t="s">
        <v>0</v>
      </c>
      <c r="D71" s="20" t="str">
        <f>"#"&amp;$S$2&amp;"#"&amp;$T$2&amp;"\"&amp;$P$2&amp;"\CEON"</f>
        <v>#1#treiOPCDA.CoOPCserv.1\pcmaster\KMZ1_BUF\CEON</v>
      </c>
      <c r="BK71" s="4"/>
      <c r="BL71" s="4"/>
      <c r="BM71" s="4"/>
      <c r="BN71" s="4"/>
    </row>
    <row r="72" spans="1:66" ht="15" customHeight="1">
      <c r="A72" s="19" t="str">
        <f t="shared" si="4"/>
        <v>FB_IMv_BUF_S.CEON</v>
      </c>
      <c r="B72" s="11">
        <v>7998</v>
      </c>
      <c r="C72" s="11" t="s">
        <v>6</v>
      </c>
      <c r="D72" s="20">
        <v>1</v>
      </c>
      <c r="BK72" s="4"/>
      <c r="BL72" s="4"/>
      <c r="BM72" s="4"/>
      <c r="BN72" s="4"/>
    </row>
    <row r="73" spans="1:66" ht="15" customHeight="1">
      <c r="A73" s="19" t="str">
        <f t="shared" si="4"/>
        <v>FB_IMv_BUF_S.CEON</v>
      </c>
      <c r="B73" s="11">
        <v>101</v>
      </c>
      <c r="C73" s="11" t="s">
        <v>0</v>
      </c>
      <c r="D73" s="20" t="s">
        <v>1845</v>
      </c>
      <c r="BK73" s="4"/>
      <c r="BL73" s="4"/>
      <c r="BM73" s="4"/>
      <c r="BN73" s="4"/>
    </row>
    <row r="74" spans="1:66" ht="15" customHeight="1">
      <c r="A74" s="19" t="str">
        <f t="shared" si="4"/>
        <v>FB_IMv_BUF_S.CEON</v>
      </c>
      <c r="B74" s="11">
        <v>3</v>
      </c>
      <c r="C74" s="11" t="s">
        <v>1</v>
      </c>
      <c r="D74" s="20">
        <v>192</v>
      </c>
      <c r="BK74" s="4"/>
      <c r="BL74" s="4"/>
      <c r="BM74" s="4"/>
      <c r="BN74" s="4"/>
    </row>
    <row r="75" spans="1:66" ht="15" customHeight="1">
      <c r="A75" s="19" t="str">
        <f t="shared" si="4"/>
        <v>FB_IMv_BUF_S.CEON</v>
      </c>
      <c r="B75" s="11">
        <v>2</v>
      </c>
      <c r="C75" s="11" t="s">
        <v>2</v>
      </c>
      <c r="D75" s="20" t="s">
        <v>3</v>
      </c>
      <c r="BK75" s="4"/>
      <c r="BL75" s="4"/>
      <c r="BM75" s="4"/>
      <c r="BN75" s="4"/>
    </row>
    <row r="76" spans="1:66" ht="15" customHeight="1">
      <c r="A76" s="21" t="str">
        <f t="shared" si="4"/>
        <v>FB_IMv_BUF_S.CEON</v>
      </c>
      <c r="B76" s="8">
        <v>1</v>
      </c>
      <c r="C76" s="8" t="s">
        <v>1</v>
      </c>
      <c r="D76" s="22">
        <v>11</v>
      </c>
      <c r="BK76" s="4"/>
      <c r="BL76" s="4"/>
      <c r="BM76" s="4"/>
      <c r="BN76" s="4"/>
    </row>
    <row r="77" spans="1:66" ht="15" customHeight="1">
      <c r="A77" s="69" t="str">
        <f t="shared" ref="A77:A86" si="5">$R$2&amp;".CEOF"</f>
        <v>FB_IMv_BUF_S.CEOF</v>
      </c>
      <c r="B77" s="70">
        <v>11154</v>
      </c>
      <c r="C77" s="70" t="s">
        <v>4</v>
      </c>
      <c r="D77" s="144">
        <f>$Q$6</f>
        <v>8</v>
      </c>
      <c r="BK77" s="4"/>
      <c r="BL77" s="4"/>
      <c r="BM77" s="4"/>
      <c r="BN77" s="4"/>
    </row>
    <row r="78" spans="1:66" ht="15" customHeight="1">
      <c r="A78" s="63" t="str">
        <f t="shared" si="5"/>
        <v>FB_IMv_BUF_S.CEOF</v>
      </c>
      <c r="B78" s="64">
        <v>11150</v>
      </c>
      <c r="C78" s="64" t="s">
        <v>0</v>
      </c>
      <c r="D78" s="65" t="s">
        <v>1846</v>
      </c>
      <c r="BK78" s="4"/>
      <c r="BL78" s="4"/>
      <c r="BM78" s="4"/>
      <c r="BN78" s="4"/>
    </row>
    <row r="79" spans="1:66" ht="15" customHeight="1">
      <c r="A79" s="63" t="str">
        <f t="shared" si="5"/>
        <v>FB_IMv_BUF_S.CEOF</v>
      </c>
      <c r="B79" s="64">
        <v>11152</v>
      </c>
      <c r="C79" s="64" t="s">
        <v>0</v>
      </c>
      <c r="D79" s="99" t="str">
        <f>$R$6</f>
        <v>Предупреждение</v>
      </c>
      <c r="BK79" s="4"/>
      <c r="BL79" s="4"/>
      <c r="BM79" s="4"/>
      <c r="BN79" s="4"/>
    </row>
    <row r="80" spans="1:66" ht="15" customHeight="1">
      <c r="A80" s="63" t="str">
        <f t="shared" si="5"/>
        <v>FB_IMv_BUF_S.CEOF</v>
      </c>
      <c r="B80" s="64">
        <v>11000</v>
      </c>
      <c r="C80" s="64" t="s">
        <v>5</v>
      </c>
      <c r="D80" s="65">
        <v>2147483680</v>
      </c>
      <c r="BK80" s="4"/>
      <c r="BL80" s="4"/>
      <c r="BM80" s="4"/>
      <c r="BN80" s="4"/>
    </row>
    <row r="81" spans="1:66" ht="15" customHeight="1">
      <c r="A81" s="19" t="str">
        <f t="shared" si="5"/>
        <v>FB_IMv_BUF_S.CEOF</v>
      </c>
      <c r="B81" s="11">
        <v>7999</v>
      </c>
      <c r="C81" s="11" t="s">
        <v>0</v>
      </c>
      <c r="D81" s="20" t="str">
        <f>"#"&amp;$S$2&amp;"#"&amp;$T$2&amp;"\"&amp;$P$2&amp;"\CEOF"</f>
        <v>#1#treiOPCDA.CoOPCserv.1\pcmaster\KMZ1_BUF\CEOF</v>
      </c>
      <c r="BK81" s="4"/>
      <c r="BL81" s="4"/>
      <c r="BM81" s="4"/>
      <c r="BN81" s="4"/>
    </row>
    <row r="82" spans="1:66" ht="15" customHeight="1">
      <c r="A82" s="19" t="str">
        <f t="shared" si="5"/>
        <v>FB_IMv_BUF_S.CEOF</v>
      </c>
      <c r="B82" s="11">
        <v>7998</v>
      </c>
      <c r="C82" s="11" t="s">
        <v>6</v>
      </c>
      <c r="D82" s="20">
        <v>1</v>
      </c>
      <c r="BK82" s="4"/>
      <c r="BL82" s="4"/>
      <c r="BM82" s="4"/>
      <c r="BN82" s="4"/>
    </row>
    <row r="83" spans="1:66" ht="15" customHeight="1">
      <c r="A83" s="19" t="str">
        <f t="shared" si="5"/>
        <v>FB_IMv_BUF_S.CEOF</v>
      </c>
      <c r="B83" s="11">
        <v>101</v>
      </c>
      <c r="C83" s="11" t="s">
        <v>0</v>
      </c>
      <c r="D83" s="20" t="s">
        <v>1846</v>
      </c>
      <c r="BK83" s="4"/>
      <c r="BL83" s="4"/>
      <c r="BM83" s="4"/>
      <c r="BN83" s="4"/>
    </row>
    <row r="84" spans="1:66" ht="15" customHeight="1">
      <c r="A84" s="19" t="str">
        <f t="shared" si="5"/>
        <v>FB_IMv_BUF_S.CEOF</v>
      </c>
      <c r="B84" s="11">
        <v>3</v>
      </c>
      <c r="C84" s="11" t="s">
        <v>1</v>
      </c>
      <c r="D84" s="20">
        <v>192</v>
      </c>
      <c r="BK84" s="4"/>
      <c r="BL84" s="4"/>
      <c r="BM84" s="4"/>
      <c r="BN84" s="4"/>
    </row>
    <row r="85" spans="1:66" ht="15" customHeight="1">
      <c r="A85" s="19" t="str">
        <f t="shared" si="5"/>
        <v>FB_IMv_BUF_S.CEOF</v>
      </c>
      <c r="B85" s="11">
        <v>2</v>
      </c>
      <c r="C85" s="11" t="s">
        <v>2</v>
      </c>
      <c r="D85" s="20" t="s">
        <v>3</v>
      </c>
      <c r="BK85" s="4"/>
      <c r="BL85" s="4"/>
      <c r="BM85" s="4"/>
      <c r="BN85" s="4"/>
    </row>
    <row r="86" spans="1:66" ht="15" customHeight="1">
      <c r="A86" s="21" t="str">
        <f t="shared" si="5"/>
        <v>FB_IMv_BUF_S.CEOF</v>
      </c>
      <c r="B86" s="8">
        <v>1</v>
      </c>
      <c r="C86" s="8" t="s">
        <v>1</v>
      </c>
      <c r="D86" s="22">
        <v>11</v>
      </c>
      <c r="BK86" s="4"/>
      <c r="BL86" s="4"/>
      <c r="BM86" s="4"/>
      <c r="BN86" s="4"/>
    </row>
    <row r="87" spans="1:66" ht="15" customHeight="1">
      <c r="A87" s="69" t="str">
        <f t="shared" ref="A87:A96" si="6">$R$2&amp;".FRQX"</f>
        <v>FB_IMv_BUF_S.FRQX</v>
      </c>
      <c r="B87" s="70">
        <v>11154</v>
      </c>
      <c r="C87" s="70" t="s">
        <v>4</v>
      </c>
      <c r="D87" s="144">
        <f>$Q$6</f>
        <v>8</v>
      </c>
      <c r="BK87" s="4"/>
      <c r="BL87" s="4"/>
      <c r="BM87" s="4"/>
      <c r="BN87" s="4"/>
    </row>
    <row r="88" spans="1:66" ht="15" customHeight="1">
      <c r="A88" s="63" t="str">
        <f t="shared" si="6"/>
        <v>FB_IMv_BUF_S.FRQX</v>
      </c>
      <c r="B88" s="64">
        <v>11150</v>
      </c>
      <c r="C88" s="64" t="s">
        <v>0</v>
      </c>
      <c r="D88" s="65" t="s">
        <v>157</v>
      </c>
      <c r="BK88" s="4"/>
      <c r="BL88" s="4"/>
      <c r="BM88" s="4"/>
      <c r="BN88" s="4"/>
    </row>
    <row r="89" spans="1:66" ht="15" customHeight="1">
      <c r="A89" s="63" t="str">
        <f t="shared" si="6"/>
        <v>FB_IMv_BUF_S.FRQX</v>
      </c>
      <c r="B89" s="64">
        <v>11152</v>
      </c>
      <c r="C89" s="64" t="s">
        <v>0</v>
      </c>
      <c r="D89" s="99" t="str">
        <f>$R$6</f>
        <v>Предупреждение</v>
      </c>
      <c r="BK89" s="4"/>
      <c r="BL89" s="4"/>
      <c r="BM89" s="4"/>
      <c r="BN89" s="4"/>
    </row>
    <row r="90" spans="1:66" ht="15" customHeight="1">
      <c r="A90" s="63" t="str">
        <f t="shared" si="6"/>
        <v>FB_IMv_BUF_S.FRQX</v>
      </c>
      <c r="B90" s="64">
        <v>11000</v>
      </c>
      <c r="C90" s="64" t="s">
        <v>5</v>
      </c>
      <c r="D90" s="65">
        <v>2147483680</v>
      </c>
      <c r="BK90" s="4"/>
      <c r="BL90" s="4"/>
      <c r="BM90" s="4"/>
      <c r="BN90" s="4"/>
    </row>
    <row r="91" spans="1:66" ht="15" customHeight="1">
      <c r="A91" s="19" t="str">
        <f t="shared" si="6"/>
        <v>FB_IMv_BUF_S.FRQX</v>
      </c>
      <c r="B91" s="11">
        <v>7999</v>
      </c>
      <c r="C91" s="11" t="s">
        <v>0</v>
      </c>
      <c r="D91" s="20" t="str">
        <f>"#"&amp;$S$2&amp;"#"&amp;$T$2&amp;"\"&amp;$P$2&amp;"\FRQX"</f>
        <v>#1#treiOPCDA.CoOPCserv.1\pcmaster\KMZ1_BUF\FRQX</v>
      </c>
      <c r="BK91" s="4"/>
      <c r="BL91" s="4"/>
      <c r="BM91" s="4"/>
      <c r="BN91" s="4"/>
    </row>
    <row r="92" spans="1:66" ht="15" customHeight="1">
      <c r="A92" s="19" t="str">
        <f t="shared" si="6"/>
        <v>FB_IMv_BUF_S.FRQX</v>
      </c>
      <c r="B92" s="11">
        <v>7998</v>
      </c>
      <c r="C92" s="11" t="s">
        <v>6</v>
      </c>
      <c r="D92" s="20">
        <v>1</v>
      </c>
      <c r="BK92" s="4"/>
      <c r="BL92" s="4"/>
      <c r="BM92" s="4"/>
      <c r="BN92" s="4"/>
    </row>
    <row r="93" spans="1:66" ht="15" customHeight="1">
      <c r="A93" s="19" t="str">
        <f t="shared" si="6"/>
        <v>FB_IMv_BUF_S.FRQX</v>
      </c>
      <c r="B93" s="11">
        <v>101</v>
      </c>
      <c r="C93" s="11" t="s">
        <v>0</v>
      </c>
      <c r="D93" s="20" t="s">
        <v>157</v>
      </c>
      <c r="BK93" s="4"/>
      <c r="BL93" s="4"/>
      <c r="BM93" s="4"/>
      <c r="BN93" s="4"/>
    </row>
    <row r="94" spans="1:66" ht="15" customHeight="1">
      <c r="A94" s="19" t="str">
        <f t="shared" si="6"/>
        <v>FB_IMv_BUF_S.FRQX</v>
      </c>
      <c r="B94" s="11">
        <v>3</v>
      </c>
      <c r="C94" s="11" t="s">
        <v>1</v>
      </c>
      <c r="D94" s="20">
        <v>192</v>
      </c>
      <c r="BK94" s="4"/>
      <c r="BL94" s="4"/>
      <c r="BM94" s="4"/>
      <c r="BN94" s="4"/>
    </row>
    <row r="95" spans="1:66" ht="15" customHeight="1">
      <c r="A95" s="19" t="str">
        <f t="shared" si="6"/>
        <v>FB_IMv_BUF_S.FRQX</v>
      </c>
      <c r="B95" s="11">
        <v>2</v>
      </c>
      <c r="C95" s="11" t="s">
        <v>2</v>
      </c>
      <c r="D95" s="20" t="s">
        <v>3</v>
      </c>
      <c r="BK95" s="4"/>
      <c r="BL95" s="4"/>
      <c r="BM95" s="4"/>
      <c r="BN95" s="4"/>
    </row>
    <row r="96" spans="1:66" ht="15" customHeight="1">
      <c r="A96" s="21" t="str">
        <f t="shared" si="6"/>
        <v>FB_IMv_BUF_S.FRQX</v>
      </c>
      <c r="B96" s="8">
        <v>1</v>
      </c>
      <c r="C96" s="8" t="s">
        <v>1</v>
      </c>
      <c r="D96" s="22">
        <v>11</v>
      </c>
      <c r="BK96" s="4"/>
      <c r="BL96" s="4"/>
      <c r="BM96" s="4"/>
      <c r="BN96" s="4"/>
    </row>
    <row r="97" spans="1:66" ht="15" customHeight="1">
      <c r="A97" s="69" t="str">
        <f t="shared" ref="A97:A106" si="7">$R$2&amp;".CBON"</f>
        <v>FB_IMv_BUF_S.CBON</v>
      </c>
      <c r="B97" s="70">
        <v>11154</v>
      </c>
      <c r="C97" s="70" t="s">
        <v>4</v>
      </c>
      <c r="D97" s="144">
        <f>$Q$6</f>
        <v>8</v>
      </c>
      <c r="BK97" s="4"/>
      <c r="BL97" s="4"/>
      <c r="BM97" s="4"/>
      <c r="BN97" s="4"/>
    </row>
    <row r="98" spans="1:66" ht="15" customHeight="1">
      <c r="A98" s="63" t="str">
        <f t="shared" si="7"/>
        <v>FB_IMv_BUF_S.CBON</v>
      </c>
      <c r="B98" s="64">
        <v>11150</v>
      </c>
      <c r="C98" s="64" t="s">
        <v>0</v>
      </c>
      <c r="D98" s="65" t="s">
        <v>1847</v>
      </c>
      <c r="BK98" s="4"/>
      <c r="BL98" s="4"/>
      <c r="BM98" s="4"/>
      <c r="BN98" s="4"/>
    </row>
    <row r="99" spans="1:66" ht="15" customHeight="1">
      <c r="A99" s="63" t="str">
        <f t="shared" si="7"/>
        <v>FB_IMv_BUF_S.CBON</v>
      </c>
      <c r="B99" s="64">
        <v>11152</v>
      </c>
      <c r="C99" s="64" t="s">
        <v>0</v>
      </c>
      <c r="D99" s="99" t="str">
        <f>$R$6</f>
        <v>Предупреждение</v>
      </c>
      <c r="BK99" s="4"/>
      <c r="BL99" s="4"/>
      <c r="BM99" s="4"/>
      <c r="BN99" s="4"/>
    </row>
    <row r="100" spans="1:66" ht="15" customHeight="1">
      <c r="A100" s="63" t="str">
        <f t="shared" si="7"/>
        <v>FB_IMv_BUF_S.CBON</v>
      </c>
      <c r="B100" s="64">
        <v>11000</v>
      </c>
      <c r="C100" s="64" t="s">
        <v>5</v>
      </c>
      <c r="D100" s="65">
        <v>2147483680</v>
      </c>
      <c r="BK100" s="4"/>
      <c r="BL100" s="4"/>
      <c r="BM100" s="4"/>
      <c r="BN100" s="4"/>
    </row>
    <row r="101" spans="1:66" ht="15" customHeight="1">
      <c r="A101" s="19" t="str">
        <f t="shared" si="7"/>
        <v>FB_IMv_BUF_S.CBON</v>
      </c>
      <c r="B101" s="11">
        <v>7999</v>
      </c>
      <c r="C101" s="11" t="s">
        <v>0</v>
      </c>
      <c r="D101" s="20" t="str">
        <f>"#"&amp;$S$2&amp;"#"&amp;$T$2&amp;"\"&amp;$P$2&amp;"\CBON"</f>
        <v>#1#treiOPCDA.CoOPCserv.1\pcmaster\KMZ1_BUF\CBON</v>
      </c>
      <c r="BK101" s="4"/>
      <c r="BL101" s="4"/>
      <c r="BM101" s="4"/>
      <c r="BN101" s="4"/>
    </row>
    <row r="102" spans="1:66" ht="15" customHeight="1">
      <c r="A102" s="19" t="str">
        <f t="shared" si="7"/>
        <v>FB_IMv_BUF_S.CBON</v>
      </c>
      <c r="B102" s="11">
        <v>7998</v>
      </c>
      <c r="C102" s="11" t="s">
        <v>6</v>
      </c>
      <c r="D102" s="20">
        <v>1</v>
      </c>
      <c r="BK102" s="4"/>
      <c r="BL102" s="4"/>
      <c r="BM102" s="4"/>
      <c r="BN102" s="4"/>
    </row>
    <row r="103" spans="1:66" ht="15" customHeight="1">
      <c r="A103" s="19" t="str">
        <f t="shared" si="7"/>
        <v>FB_IMv_BUF_S.CBON</v>
      </c>
      <c r="B103" s="11">
        <v>101</v>
      </c>
      <c r="C103" s="11" t="s">
        <v>0</v>
      </c>
      <c r="D103" s="20" t="s">
        <v>1847</v>
      </c>
      <c r="BK103" s="4"/>
      <c r="BL103" s="4"/>
      <c r="BM103" s="4"/>
      <c r="BN103" s="4"/>
    </row>
    <row r="104" spans="1:66" ht="15" customHeight="1">
      <c r="A104" s="19" t="str">
        <f t="shared" si="7"/>
        <v>FB_IMv_BUF_S.CBON</v>
      </c>
      <c r="B104" s="11">
        <v>3</v>
      </c>
      <c r="C104" s="11" t="s">
        <v>1</v>
      </c>
      <c r="D104" s="20">
        <v>192</v>
      </c>
      <c r="BK104" s="4"/>
      <c r="BL104" s="4"/>
      <c r="BM104" s="4"/>
      <c r="BN104" s="4"/>
    </row>
    <row r="105" spans="1:66" ht="15" customHeight="1">
      <c r="A105" s="19" t="str">
        <f t="shared" si="7"/>
        <v>FB_IMv_BUF_S.CBON</v>
      </c>
      <c r="B105" s="11">
        <v>2</v>
      </c>
      <c r="C105" s="11" t="s">
        <v>2</v>
      </c>
      <c r="D105" s="20" t="s">
        <v>3</v>
      </c>
      <c r="BK105" s="4"/>
      <c r="BL105" s="4"/>
      <c r="BM105" s="4"/>
      <c r="BN105" s="4"/>
    </row>
    <row r="106" spans="1:66" ht="15" customHeight="1">
      <c r="A106" s="21" t="str">
        <f t="shared" si="7"/>
        <v>FB_IMv_BUF_S.CBON</v>
      </c>
      <c r="B106" s="8">
        <v>1</v>
      </c>
      <c r="C106" s="8" t="s">
        <v>1</v>
      </c>
      <c r="D106" s="22">
        <v>11</v>
      </c>
      <c r="BK106" s="4"/>
      <c r="BL106" s="4"/>
      <c r="BM106" s="4"/>
      <c r="BN106" s="4"/>
    </row>
    <row r="107" spans="1:66" ht="15" customHeight="1">
      <c r="A107" s="69" t="str">
        <f t="shared" ref="A107:A116" si="8">$R$2&amp;".CBOF"</f>
        <v>FB_IMv_BUF_S.CBOF</v>
      </c>
      <c r="B107" s="70">
        <v>11154</v>
      </c>
      <c r="C107" s="70" t="s">
        <v>4</v>
      </c>
      <c r="D107" s="144">
        <f>$Q$6</f>
        <v>8</v>
      </c>
      <c r="BK107" s="4"/>
      <c r="BL107" s="4"/>
      <c r="BM107" s="4"/>
      <c r="BN107" s="4"/>
    </row>
    <row r="108" spans="1:66" ht="15" customHeight="1">
      <c r="A108" s="63" t="str">
        <f t="shared" si="8"/>
        <v>FB_IMv_BUF_S.CBOF</v>
      </c>
      <c r="B108" s="64">
        <v>11150</v>
      </c>
      <c r="C108" s="64" t="s">
        <v>0</v>
      </c>
      <c r="D108" s="65" t="s">
        <v>1848</v>
      </c>
      <c r="BK108" s="4"/>
      <c r="BL108" s="4"/>
      <c r="BM108" s="4"/>
      <c r="BN108" s="4"/>
    </row>
    <row r="109" spans="1:66" ht="15" customHeight="1">
      <c r="A109" s="63" t="str">
        <f t="shared" si="8"/>
        <v>FB_IMv_BUF_S.CBOF</v>
      </c>
      <c r="B109" s="64">
        <v>11152</v>
      </c>
      <c r="C109" s="64" t="s">
        <v>0</v>
      </c>
      <c r="D109" s="99" t="str">
        <f>$R$6</f>
        <v>Предупреждение</v>
      </c>
      <c r="BK109" s="4"/>
      <c r="BL109" s="4"/>
      <c r="BM109" s="4"/>
      <c r="BN109" s="4"/>
    </row>
    <row r="110" spans="1:66" ht="15" customHeight="1">
      <c r="A110" s="63" t="str">
        <f t="shared" si="8"/>
        <v>FB_IMv_BUF_S.CBOF</v>
      </c>
      <c r="B110" s="64">
        <v>11000</v>
      </c>
      <c r="C110" s="64" t="s">
        <v>5</v>
      </c>
      <c r="D110" s="65">
        <v>2147483680</v>
      </c>
      <c r="BK110" s="4"/>
      <c r="BL110" s="4"/>
      <c r="BM110" s="4"/>
      <c r="BN110" s="4"/>
    </row>
    <row r="111" spans="1:66" ht="15" customHeight="1">
      <c r="A111" s="19" t="str">
        <f t="shared" si="8"/>
        <v>FB_IMv_BUF_S.CBOF</v>
      </c>
      <c r="B111" s="11">
        <v>7999</v>
      </c>
      <c r="C111" s="11" t="s">
        <v>0</v>
      </c>
      <c r="D111" s="20" t="str">
        <f>"#"&amp;$S$2&amp;"#"&amp;$T$2&amp;"\"&amp;$P$2&amp;"\CBOF"</f>
        <v>#1#treiOPCDA.CoOPCserv.1\pcmaster\KMZ1_BUF\CBOF</v>
      </c>
      <c r="BK111" s="4"/>
      <c r="BL111" s="4"/>
      <c r="BM111" s="4"/>
      <c r="BN111" s="4"/>
    </row>
    <row r="112" spans="1:66" ht="15" customHeight="1">
      <c r="A112" s="19" t="str">
        <f t="shared" si="8"/>
        <v>FB_IMv_BUF_S.CBOF</v>
      </c>
      <c r="B112" s="11">
        <v>7998</v>
      </c>
      <c r="C112" s="11" t="s">
        <v>6</v>
      </c>
      <c r="D112" s="20">
        <v>1</v>
      </c>
      <c r="BK112" s="4"/>
      <c r="BL112" s="4"/>
      <c r="BM112" s="4"/>
      <c r="BN112" s="4"/>
    </row>
    <row r="113" spans="1:66" ht="15" customHeight="1">
      <c r="A113" s="19" t="str">
        <f t="shared" si="8"/>
        <v>FB_IMv_BUF_S.CBOF</v>
      </c>
      <c r="B113" s="11">
        <v>101</v>
      </c>
      <c r="C113" s="11" t="s">
        <v>0</v>
      </c>
      <c r="D113" s="20" t="s">
        <v>1848</v>
      </c>
      <c r="BK113" s="4"/>
      <c r="BL113" s="4"/>
      <c r="BM113" s="4"/>
      <c r="BN113" s="4"/>
    </row>
    <row r="114" spans="1:66" ht="15" customHeight="1">
      <c r="A114" s="19" t="str">
        <f t="shared" si="8"/>
        <v>FB_IMv_BUF_S.CBOF</v>
      </c>
      <c r="B114" s="11">
        <v>3</v>
      </c>
      <c r="C114" s="11" t="s">
        <v>1</v>
      </c>
      <c r="D114" s="20">
        <v>192</v>
      </c>
      <c r="BK114" s="4"/>
      <c r="BL114" s="4"/>
      <c r="BM114" s="4"/>
      <c r="BN114" s="4"/>
    </row>
    <row r="115" spans="1:66" s="4" customFormat="1">
      <c r="A115" s="19" t="str">
        <f t="shared" si="8"/>
        <v>FB_IMv_BUF_S.CBOF</v>
      </c>
      <c r="B115" s="11">
        <v>2</v>
      </c>
      <c r="C115" s="11" t="s">
        <v>2</v>
      </c>
      <c r="D115" s="20" t="s">
        <v>3</v>
      </c>
      <c r="Q115"/>
    </row>
    <row r="116" spans="1:66">
      <c r="A116" s="21" t="str">
        <f t="shared" si="8"/>
        <v>FB_IMv_BUF_S.CBOF</v>
      </c>
      <c r="B116" s="8">
        <v>1</v>
      </c>
      <c r="C116" s="8" t="s">
        <v>1</v>
      </c>
      <c r="D116" s="22">
        <v>11</v>
      </c>
    </row>
    <row r="117" spans="1:66" ht="15" customHeight="1">
      <c r="A117" s="217" t="str">
        <f t="shared" ref="A117:A126" si="9">$R$2&amp;".IFXX"</f>
        <v>FB_IMv_BUF_S.IFXX</v>
      </c>
      <c r="B117" s="218">
        <v>11154</v>
      </c>
      <c r="C117" s="218" t="s">
        <v>4</v>
      </c>
      <c r="D117" s="219">
        <f>$Q$7</f>
        <v>12</v>
      </c>
      <c r="BK117" s="4"/>
      <c r="BL117" s="4"/>
      <c r="BM117" s="4"/>
      <c r="BN117" s="4"/>
    </row>
    <row r="118" spans="1:66" ht="15" customHeight="1">
      <c r="A118" s="211" t="str">
        <f t="shared" si="9"/>
        <v>FB_IMv_BUF_S.IFXX</v>
      </c>
      <c r="B118" s="212">
        <v>11150</v>
      </c>
      <c r="C118" s="212" t="s">
        <v>0</v>
      </c>
      <c r="D118" s="213" t="s">
        <v>110</v>
      </c>
      <c r="BK118" s="4"/>
      <c r="BL118" s="4"/>
      <c r="BM118" s="4"/>
      <c r="BN118" s="4"/>
    </row>
    <row r="119" spans="1:66" ht="15" customHeight="1">
      <c r="A119" s="211" t="str">
        <f t="shared" si="9"/>
        <v>FB_IMv_BUF_S.IFXX</v>
      </c>
      <c r="B119" s="212">
        <v>11152</v>
      </c>
      <c r="C119" s="212" t="s">
        <v>0</v>
      </c>
      <c r="D119" s="220" t="str">
        <f>$R$7</f>
        <v>Неисправность</v>
      </c>
      <c r="BK119" s="4"/>
      <c r="BL119" s="4"/>
      <c r="BM119" s="4"/>
      <c r="BN119" s="4"/>
    </row>
    <row r="120" spans="1:66" ht="15" customHeight="1">
      <c r="A120" s="211" t="str">
        <f t="shared" si="9"/>
        <v>FB_IMv_BUF_S.IFXX</v>
      </c>
      <c r="B120" s="212">
        <v>11000</v>
      </c>
      <c r="C120" s="212" t="s">
        <v>5</v>
      </c>
      <c r="D120" s="213">
        <v>2147483680</v>
      </c>
      <c r="BK120" s="4"/>
      <c r="BL120" s="4"/>
      <c r="BM120" s="4"/>
      <c r="BN120" s="4"/>
    </row>
    <row r="121" spans="1:66" ht="15" customHeight="1">
      <c r="A121" s="19" t="str">
        <f t="shared" si="9"/>
        <v>FB_IMv_BUF_S.IFXX</v>
      </c>
      <c r="B121" s="11">
        <v>7999</v>
      </c>
      <c r="C121" s="11" t="s">
        <v>0</v>
      </c>
      <c r="D121" s="20" t="str">
        <f>"#"&amp;$S$2&amp;"#"&amp;$T$2&amp;"\"&amp;$P$2&amp;"\IFXX"</f>
        <v>#1#treiOPCDA.CoOPCserv.1\pcmaster\KMZ1_BUF\IFXX</v>
      </c>
      <c r="BK121" s="4"/>
      <c r="BL121" s="4"/>
      <c r="BM121" s="4"/>
      <c r="BN121" s="4"/>
    </row>
    <row r="122" spans="1:66" ht="15" customHeight="1">
      <c r="A122" s="19" t="str">
        <f t="shared" si="9"/>
        <v>FB_IMv_BUF_S.IFXX</v>
      </c>
      <c r="B122" s="11">
        <v>7998</v>
      </c>
      <c r="C122" s="11" t="s">
        <v>6</v>
      </c>
      <c r="D122" s="20">
        <v>1</v>
      </c>
      <c r="BK122" s="4"/>
      <c r="BL122" s="4"/>
      <c r="BM122" s="4"/>
      <c r="BN122" s="4"/>
    </row>
    <row r="123" spans="1:66" ht="15" customHeight="1">
      <c r="A123" s="19" t="str">
        <f t="shared" si="9"/>
        <v>FB_IMv_BUF_S.IFXX</v>
      </c>
      <c r="B123" s="11">
        <v>101</v>
      </c>
      <c r="C123" s="11" t="s">
        <v>0</v>
      </c>
      <c r="D123" s="20" t="s">
        <v>176</v>
      </c>
      <c r="BK123" s="4"/>
      <c r="BL123" s="4"/>
      <c r="BM123" s="4"/>
      <c r="BN123" s="4"/>
    </row>
    <row r="124" spans="1:66" ht="15" customHeight="1">
      <c r="A124" s="19" t="str">
        <f t="shared" si="9"/>
        <v>FB_IMv_BUF_S.IFXX</v>
      </c>
      <c r="B124" s="11">
        <v>3</v>
      </c>
      <c r="C124" s="11" t="s">
        <v>1</v>
      </c>
      <c r="D124" s="20">
        <v>192</v>
      </c>
      <c r="BK124" s="4"/>
      <c r="BL124" s="4"/>
      <c r="BM124" s="4"/>
      <c r="BN124" s="4"/>
    </row>
    <row r="125" spans="1:66" ht="15" customHeight="1">
      <c r="A125" s="19" t="str">
        <f t="shared" si="9"/>
        <v>FB_IMv_BUF_S.IFXX</v>
      </c>
      <c r="B125" s="11">
        <v>2</v>
      </c>
      <c r="C125" s="11" t="s">
        <v>2</v>
      </c>
      <c r="D125" s="20" t="s">
        <v>3</v>
      </c>
      <c r="BK125" s="4"/>
      <c r="BL125" s="4"/>
      <c r="BM125" s="4"/>
      <c r="BN125" s="4"/>
    </row>
    <row r="126" spans="1:66" ht="15" customHeight="1">
      <c r="A126" s="21" t="str">
        <f t="shared" si="9"/>
        <v>FB_IMv_BUF_S.IFXX</v>
      </c>
      <c r="B126" s="8">
        <v>1</v>
      </c>
      <c r="C126" s="8" t="s">
        <v>1</v>
      </c>
      <c r="D126" s="22">
        <v>11</v>
      </c>
      <c r="BK126" s="4"/>
      <c r="BL126" s="4"/>
      <c r="BM126" s="4"/>
      <c r="BN126" s="4"/>
    </row>
    <row r="127" spans="1:66" ht="15" customHeight="1">
      <c r="A127" s="217" t="str">
        <f t="shared" ref="A127:A136" si="10">$R$2&amp;".FONX"</f>
        <v>FB_IMv_BUF_S.FONX</v>
      </c>
      <c r="B127" s="218">
        <v>11154</v>
      </c>
      <c r="C127" s="218" t="s">
        <v>4</v>
      </c>
      <c r="D127" s="219">
        <f>$Q$7</f>
        <v>12</v>
      </c>
      <c r="BK127" s="4"/>
      <c r="BL127" s="4"/>
      <c r="BM127" s="4"/>
      <c r="BN127" s="4"/>
    </row>
    <row r="128" spans="1:66" ht="15" customHeight="1">
      <c r="A128" s="211" t="str">
        <f t="shared" si="10"/>
        <v>FB_IMv_BUF_S.FONX</v>
      </c>
      <c r="B128" s="212">
        <v>11150</v>
      </c>
      <c r="C128" s="212" t="s">
        <v>0</v>
      </c>
      <c r="D128" s="213" t="str">
        <f>"Не  открылся"</f>
        <v>Не  открылся</v>
      </c>
      <c r="BK128" s="4"/>
      <c r="BL128" s="4"/>
      <c r="BM128" s="4"/>
      <c r="BN128" s="4"/>
    </row>
    <row r="129" spans="1:66" ht="15" customHeight="1">
      <c r="A129" s="211" t="str">
        <f t="shared" si="10"/>
        <v>FB_IMv_BUF_S.FONX</v>
      </c>
      <c r="B129" s="212">
        <v>11152</v>
      </c>
      <c r="C129" s="212" t="s">
        <v>0</v>
      </c>
      <c r="D129" s="220" t="str">
        <f>$R$7</f>
        <v>Неисправность</v>
      </c>
      <c r="BK129" s="4"/>
      <c r="BL129" s="4"/>
      <c r="BM129" s="4"/>
      <c r="BN129" s="4"/>
    </row>
    <row r="130" spans="1:66" ht="15" customHeight="1">
      <c r="A130" s="211" t="str">
        <f t="shared" si="10"/>
        <v>FB_IMv_BUF_S.FONX</v>
      </c>
      <c r="B130" s="212">
        <v>11000</v>
      </c>
      <c r="C130" s="212" t="s">
        <v>5</v>
      </c>
      <c r="D130" s="213">
        <v>2147483680</v>
      </c>
      <c r="BK130" s="4"/>
      <c r="BL130" s="4"/>
      <c r="BM130" s="4"/>
      <c r="BN130" s="4"/>
    </row>
    <row r="131" spans="1:66" ht="15" customHeight="1">
      <c r="A131" s="19" t="str">
        <f t="shared" si="10"/>
        <v>FB_IMv_BUF_S.FONX</v>
      </c>
      <c r="B131" s="11">
        <v>7999</v>
      </c>
      <c r="C131" s="11" t="s">
        <v>0</v>
      </c>
      <c r="D131" s="20" t="str">
        <f>"#"&amp;$S$2&amp;"#"&amp;$T$2&amp;"\"&amp;$P$2&amp;"\FONX"</f>
        <v>#1#treiOPCDA.CoOPCserv.1\pcmaster\KMZ1_BUF\FONX</v>
      </c>
      <c r="BK131" s="4"/>
      <c r="BL131" s="4"/>
      <c r="BM131" s="4"/>
      <c r="BN131" s="4"/>
    </row>
    <row r="132" spans="1:66" ht="15" customHeight="1">
      <c r="A132" s="19" t="str">
        <f t="shared" si="10"/>
        <v>FB_IMv_BUF_S.FONX</v>
      </c>
      <c r="B132" s="11">
        <v>7998</v>
      </c>
      <c r="C132" s="11" t="s">
        <v>6</v>
      </c>
      <c r="D132" s="20">
        <v>1</v>
      </c>
      <c r="BK132" s="4"/>
      <c r="BL132" s="4"/>
      <c r="BM132" s="4"/>
      <c r="BN132" s="4"/>
    </row>
    <row r="133" spans="1:66" ht="15" customHeight="1">
      <c r="A133" s="19" t="str">
        <f t="shared" si="10"/>
        <v>FB_IMv_BUF_S.FONX</v>
      </c>
      <c r="B133" s="11">
        <v>101</v>
      </c>
      <c r="C133" s="11" t="s">
        <v>0</v>
      </c>
      <c r="D133" s="20" t="str">
        <f>"Не открылся"</f>
        <v>Не открылся</v>
      </c>
      <c r="BK133" s="4"/>
      <c r="BL133" s="4"/>
      <c r="BM133" s="4"/>
      <c r="BN133" s="4"/>
    </row>
    <row r="134" spans="1:66" ht="15" customHeight="1">
      <c r="A134" s="19" t="str">
        <f t="shared" si="10"/>
        <v>FB_IMv_BUF_S.FONX</v>
      </c>
      <c r="B134" s="11">
        <v>3</v>
      </c>
      <c r="C134" s="11" t="s">
        <v>1</v>
      </c>
      <c r="D134" s="20">
        <v>192</v>
      </c>
      <c r="BK134" s="4"/>
      <c r="BL134" s="4"/>
      <c r="BM134" s="4"/>
      <c r="BN134" s="4"/>
    </row>
    <row r="135" spans="1:66" ht="15" customHeight="1">
      <c r="A135" s="19" t="str">
        <f t="shared" si="10"/>
        <v>FB_IMv_BUF_S.FONX</v>
      </c>
      <c r="B135" s="11">
        <v>2</v>
      </c>
      <c r="C135" s="11" t="s">
        <v>2</v>
      </c>
      <c r="D135" s="20" t="s">
        <v>3</v>
      </c>
      <c r="BK135" s="4"/>
      <c r="BL135" s="4"/>
      <c r="BM135" s="4"/>
      <c r="BN135" s="4"/>
    </row>
    <row r="136" spans="1:66" ht="15" customHeight="1">
      <c r="A136" s="21" t="str">
        <f t="shared" si="10"/>
        <v>FB_IMv_BUF_S.FONX</v>
      </c>
      <c r="B136" s="8">
        <v>1</v>
      </c>
      <c r="C136" s="8" t="s">
        <v>1</v>
      </c>
      <c r="D136" s="22">
        <v>11</v>
      </c>
      <c r="BK136" s="4"/>
      <c r="BL136" s="4"/>
      <c r="BM136" s="4"/>
      <c r="BN136" s="4"/>
    </row>
    <row r="137" spans="1:66" ht="15" customHeight="1">
      <c r="A137" s="217" t="str">
        <f t="shared" ref="A137:A146" si="11">$R$2&amp;".FOFX"</f>
        <v>FB_IMv_BUF_S.FOFX</v>
      </c>
      <c r="B137" s="218">
        <v>11154</v>
      </c>
      <c r="C137" s="218" t="s">
        <v>4</v>
      </c>
      <c r="D137" s="219">
        <f>$Q$7</f>
        <v>12</v>
      </c>
      <c r="BK137" s="4"/>
      <c r="BL137" s="4"/>
      <c r="BM137" s="4"/>
      <c r="BN137" s="4"/>
    </row>
    <row r="138" spans="1:66" ht="15" customHeight="1">
      <c r="A138" s="211" t="str">
        <f t="shared" si="11"/>
        <v>FB_IMv_BUF_S.FOFX</v>
      </c>
      <c r="B138" s="212">
        <v>11150</v>
      </c>
      <c r="C138" s="212" t="s">
        <v>0</v>
      </c>
      <c r="D138" s="213" t="str">
        <f>"Не  закрылся"</f>
        <v>Не  закрылся</v>
      </c>
      <c r="BK138" s="4"/>
      <c r="BL138" s="4"/>
      <c r="BM138" s="4"/>
      <c r="BN138" s="4"/>
    </row>
    <row r="139" spans="1:66" ht="15" customHeight="1">
      <c r="A139" s="211" t="str">
        <f t="shared" si="11"/>
        <v>FB_IMv_BUF_S.FOFX</v>
      </c>
      <c r="B139" s="212">
        <v>11152</v>
      </c>
      <c r="C139" s="212" t="s">
        <v>0</v>
      </c>
      <c r="D139" s="220" t="str">
        <f>$R$7</f>
        <v>Неисправность</v>
      </c>
      <c r="BK139" s="4"/>
      <c r="BL139" s="4"/>
      <c r="BM139" s="4"/>
      <c r="BN139" s="4"/>
    </row>
    <row r="140" spans="1:66" ht="15" customHeight="1">
      <c r="A140" s="211" t="str">
        <f t="shared" si="11"/>
        <v>FB_IMv_BUF_S.FOFX</v>
      </c>
      <c r="B140" s="212">
        <v>11000</v>
      </c>
      <c r="C140" s="212" t="s">
        <v>5</v>
      </c>
      <c r="D140" s="213">
        <v>2147483680</v>
      </c>
      <c r="BK140" s="4"/>
      <c r="BL140" s="4"/>
      <c r="BM140" s="4"/>
      <c r="BN140" s="4"/>
    </row>
    <row r="141" spans="1:66" ht="15" customHeight="1">
      <c r="A141" s="19" t="str">
        <f t="shared" si="11"/>
        <v>FB_IMv_BUF_S.FOFX</v>
      </c>
      <c r="B141" s="11">
        <v>7999</v>
      </c>
      <c r="C141" s="11" t="s">
        <v>0</v>
      </c>
      <c r="D141" s="20" t="str">
        <f>"#"&amp;$S$2&amp;"#"&amp;$T$2&amp;"\"&amp;$P$2&amp;"\FOFX"</f>
        <v>#1#treiOPCDA.CoOPCserv.1\pcmaster\KMZ1_BUF\FOFX</v>
      </c>
      <c r="BK141" s="4"/>
      <c r="BL141" s="4"/>
      <c r="BM141" s="4"/>
      <c r="BN141" s="4"/>
    </row>
    <row r="142" spans="1:66" ht="15" customHeight="1">
      <c r="A142" s="19" t="str">
        <f t="shared" si="11"/>
        <v>FB_IMv_BUF_S.FOFX</v>
      </c>
      <c r="B142" s="11">
        <v>7998</v>
      </c>
      <c r="C142" s="11" t="s">
        <v>6</v>
      </c>
      <c r="D142" s="20">
        <v>1</v>
      </c>
      <c r="BK142" s="4"/>
      <c r="BL142" s="4"/>
      <c r="BM142" s="4"/>
      <c r="BN142" s="4"/>
    </row>
    <row r="143" spans="1:66" ht="15" customHeight="1">
      <c r="A143" s="19" t="str">
        <f t="shared" si="11"/>
        <v>FB_IMv_BUF_S.FOFX</v>
      </c>
      <c r="B143" s="11">
        <v>101</v>
      </c>
      <c r="C143" s="11" t="s">
        <v>0</v>
      </c>
      <c r="D143" s="20" t="str">
        <f>"Не  закрылся"</f>
        <v>Не  закрылся</v>
      </c>
      <c r="BK143" s="4"/>
      <c r="BL143" s="4"/>
      <c r="BM143" s="4"/>
      <c r="BN143" s="4"/>
    </row>
    <row r="144" spans="1:66" ht="15" customHeight="1">
      <c r="A144" s="19" t="str">
        <f t="shared" si="11"/>
        <v>FB_IMv_BUF_S.FOFX</v>
      </c>
      <c r="B144" s="11">
        <v>3</v>
      </c>
      <c r="C144" s="11" t="s">
        <v>1</v>
      </c>
      <c r="D144" s="20">
        <v>192</v>
      </c>
      <c r="BK144" s="4"/>
      <c r="BL144" s="4"/>
      <c r="BM144" s="4"/>
      <c r="BN144" s="4"/>
    </row>
    <row r="145" spans="1:66" ht="15" customHeight="1">
      <c r="A145" s="19" t="str">
        <f t="shared" si="11"/>
        <v>FB_IMv_BUF_S.FOFX</v>
      </c>
      <c r="B145" s="11">
        <v>2</v>
      </c>
      <c r="C145" s="11" t="s">
        <v>2</v>
      </c>
      <c r="D145" s="20" t="s">
        <v>3</v>
      </c>
      <c r="BK145" s="4"/>
      <c r="BL145" s="4"/>
      <c r="BM145" s="4"/>
      <c r="BN145" s="4"/>
    </row>
    <row r="146" spans="1:66" ht="15" customHeight="1">
      <c r="A146" s="21" t="str">
        <f t="shared" si="11"/>
        <v>FB_IMv_BUF_S.FOFX</v>
      </c>
      <c r="B146" s="8">
        <v>1</v>
      </c>
      <c r="C146" s="8" t="s">
        <v>1</v>
      </c>
      <c r="D146" s="22">
        <v>11</v>
      </c>
      <c r="BK146" s="4"/>
      <c r="BL146" s="4"/>
      <c r="BM146" s="4"/>
      <c r="BN146" s="4"/>
    </row>
    <row r="147" spans="1:66" ht="15" customHeight="1">
      <c r="A147" s="217" t="str">
        <f t="shared" ref="A147:A156" si="12">$R$2&amp;".FFON"</f>
        <v>FB_IMv_BUF_S.FFON</v>
      </c>
      <c r="B147" s="218">
        <v>11154</v>
      </c>
      <c r="C147" s="218" t="s">
        <v>4</v>
      </c>
      <c r="D147" s="219">
        <f>$Q$7</f>
        <v>12</v>
      </c>
      <c r="BK147" s="4"/>
      <c r="BL147" s="4"/>
      <c r="BM147" s="4"/>
      <c r="BN147" s="4"/>
    </row>
    <row r="148" spans="1:66" ht="15" customHeight="1">
      <c r="A148" s="211" t="str">
        <f t="shared" si="12"/>
        <v>FB_IMv_BUF_S.FFON</v>
      </c>
      <c r="B148" s="212">
        <v>11150</v>
      </c>
      <c r="C148" s="212" t="s">
        <v>0</v>
      </c>
      <c r="D148" s="213" t="str">
        <f>"Несанкционированное  открытие"</f>
        <v>Несанкционированное  открытие</v>
      </c>
      <c r="BK148" s="4"/>
      <c r="BL148" s="4"/>
      <c r="BM148" s="4"/>
      <c r="BN148" s="4"/>
    </row>
    <row r="149" spans="1:66" ht="15" customHeight="1">
      <c r="A149" s="211" t="str">
        <f t="shared" si="12"/>
        <v>FB_IMv_BUF_S.FFON</v>
      </c>
      <c r="B149" s="212">
        <v>11152</v>
      </c>
      <c r="C149" s="212" t="s">
        <v>0</v>
      </c>
      <c r="D149" s="220" t="str">
        <f>$R$7</f>
        <v>Неисправность</v>
      </c>
      <c r="BK149" s="4"/>
      <c r="BL149" s="4"/>
      <c r="BM149" s="4"/>
      <c r="BN149" s="4"/>
    </row>
    <row r="150" spans="1:66" ht="15" customHeight="1">
      <c r="A150" s="211" t="str">
        <f t="shared" si="12"/>
        <v>FB_IMv_BUF_S.FFON</v>
      </c>
      <c r="B150" s="212">
        <v>11000</v>
      </c>
      <c r="C150" s="212" t="s">
        <v>5</v>
      </c>
      <c r="D150" s="213">
        <v>2147483680</v>
      </c>
      <c r="BK150" s="4"/>
      <c r="BL150" s="4"/>
      <c r="BM150" s="4"/>
      <c r="BN150" s="4"/>
    </row>
    <row r="151" spans="1:66" ht="15" customHeight="1">
      <c r="A151" s="19" t="str">
        <f t="shared" si="12"/>
        <v>FB_IMv_BUF_S.FFON</v>
      </c>
      <c r="B151" s="11">
        <v>7999</v>
      </c>
      <c r="C151" s="11" t="s">
        <v>0</v>
      </c>
      <c r="D151" s="20" t="str">
        <f>"#"&amp;$S$2&amp;"#"&amp;$T$2&amp;"\"&amp;$P$2&amp;"\FFON"</f>
        <v>#1#treiOPCDA.CoOPCserv.1\pcmaster\KMZ1_BUF\FFON</v>
      </c>
      <c r="BK151" s="4"/>
      <c r="BL151" s="4"/>
      <c r="BM151" s="4"/>
      <c r="BN151" s="4"/>
    </row>
    <row r="152" spans="1:66" ht="15" customHeight="1">
      <c r="A152" s="19" t="str">
        <f t="shared" si="12"/>
        <v>FB_IMv_BUF_S.FFON</v>
      </c>
      <c r="B152" s="11">
        <v>7998</v>
      </c>
      <c r="C152" s="11" t="s">
        <v>6</v>
      </c>
      <c r="D152" s="20">
        <v>1</v>
      </c>
      <c r="BK152" s="4"/>
      <c r="BL152" s="4"/>
      <c r="BM152" s="4"/>
      <c r="BN152" s="4"/>
    </row>
    <row r="153" spans="1:66" ht="15" customHeight="1">
      <c r="A153" s="19" t="str">
        <f t="shared" si="12"/>
        <v>FB_IMv_BUF_S.FFON</v>
      </c>
      <c r="B153" s="11">
        <v>101</v>
      </c>
      <c r="C153" s="11" t="s">
        <v>0</v>
      </c>
      <c r="D153" s="20" t="str">
        <f>"Несанкционированное открытие"</f>
        <v>Несанкционированное открытие</v>
      </c>
      <c r="BK153" s="4"/>
      <c r="BL153" s="4"/>
      <c r="BM153" s="4"/>
      <c r="BN153" s="4"/>
    </row>
    <row r="154" spans="1:66" ht="15" customHeight="1">
      <c r="A154" s="19" t="str">
        <f t="shared" si="12"/>
        <v>FB_IMv_BUF_S.FFON</v>
      </c>
      <c r="B154" s="11">
        <v>3</v>
      </c>
      <c r="C154" s="11" t="s">
        <v>1</v>
      </c>
      <c r="D154" s="20">
        <v>192</v>
      </c>
      <c r="BK154" s="4"/>
      <c r="BL154" s="4"/>
      <c r="BM154" s="4"/>
      <c r="BN154" s="4"/>
    </row>
    <row r="155" spans="1:66" ht="15" customHeight="1">
      <c r="A155" s="19" t="str">
        <f t="shared" si="12"/>
        <v>FB_IMv_BUF_S.FFON</v>
      </c>
      <c r="B155" s="11">
        <v>2</v>
      </c>
      <c r="C155" s="11" t="s">
        <v>2</v>
      </c>
      <c r="D155" s="20" t="s">
        <v>3</v>
      </c>
      <c r="BK155" s="4"/>
      <c r="BL155" s="4"/>
      <c r="BM155" s="4"/>
      <c r="BN155" s="4"/>
    </row>
    <row r="156" spans="1:66" ht="15" customHeight="1">
      <c r="A156" s="21" t="str">
        <f t="shared" si="12"/>
        <v>FB_IMv_BUF_S.FFON</v>
      </c>
      <c r="B156" s="8">
        <v>1</v>
      </c>
      <c r="C156" s="8" t="s">
        <v>1</v>
      </c>
      <c r="D156" s="22">
        <v>11</v>
      </c>
      <c r="BK156" s="4"/>
      <c r="BL156" s="4"/>
      <c r="BM156" s="4"/>
      <c r="BN156" s="4"/>
    </row>
    <row r="157" spans="1:66" ht="15" customHeight="1">
      <c r="A157" s="217" t="str">
        <f t="shared" ref="A157:A166" si="13">$R$2&amp;".FFOF"</f>
        <v>FB_IMv_BUF_S.FFOF</v>
      </c>
      <c r="B157" s="218">
        <v>11154</v>
      </c>
      <c r="C157" s="218" t="s">
        <v>4</v>
      </c>
      <c r="D157" s="219">
        <f>$Q$7</f>
        <v>12</v>
      </c>
      <c r="BK157" s="4"/>
      <c r="BL157" s="4"/>
      <c r="BM157" s="4"/>
      <c r="BN157" s="4"/>
    </row>
    <row r="158" spans="1:66" ht="15" customHeight="1">
      <c r="A158" s="211" t="str">
        <f t="shared" si="13"/>
        <v>FB_IMv_BUF_S.FFOF</v>
      </c>
      <c r="B158" s="212">
        <v>11150</v>
      </c>
      <c r="C158" s="212" t="s">
        <v>0</v>
      </c>
      <c r="D158" s="213" t="str">
        <f>"Несанкционированное закрытие"</f>
        <v>Несанкционированное закрытие</v>
      </c>
      <c r="BK158" s="4"/>
      <c r="BL158" s="4"/>
      <c r="BM158" s="4"/>
      <c r="BN158" s="4"/>
    </row>
    <row r="159" spans="1:66" ht="15" customHeight="1">
      <c r="A159" s="211" t="str">
        <f t="shared" si="13"/>
        <v>FB_IMv_BUF_S.FFOF</v>
      </c>
      <c r="B159" s="212">
        <v>11152</v>
      </c>
      <c r="C159" s="212" t="s">
        <v>0</v>
      </c>
      <c r="D159" s="220" t="str">
        <f>$R$7</f>
        <v>Неисправность</v>
      </c>
      <c r="BK159" s="4"/>
      <c r="BL159" s="4"/>
      <c r="BM159" s="4"/>
      <c r="BN159" s="4"/>
    </row>
    <row r="160" spans="1:66" ht="15" customHeight="1">
      <c r="A160" s="211" t="str">
        <f t="shared" si="13"/>
        <v>FB_IMv_BUF_S.FFOF</v>
      </c>
      <c r="B160" s="212">
        <v>11000</v>
      </c>
      <c r="C160" s="212" t="s">
        <v>5</v>
      </c>
      <c r="D160" s="213">
        <v>2147483680</v>
      </c>
      <c r="BK160" s="4"/>
      <c r="BL160" s="4"/>
      <c r="BM160" s="4"/>
      <c r="BN160" s="4"/>
    </row>
    <row r="161" spans="1:66" ht="15" customHeight="1">
      <c r="A161" s="19" t="str">
        <f t="shared" si="13"/>
        <v>FB_IMv_BUF_S.FFOF</v>
      </c>
      <c r="B161" s="11">
        <v>7999</v>
      </c>
      <c r="C161" s="11" t="s">
        <v>0</v>
      </c>
      <c r="D161" s="20" t="str">
        <f>"#"&amp;$S$2&amp;"#"&amp;$T$2&amp;"\"&amp;$P$2&amp;"\FFOF"</f>
        <v>#1#treiOPCDA.CoOPCserv.1\pcmaster\KMZ1_BUF\FFOF</v>
      </c>
      <c r="BK161" s="4"/>
      <c r="BL161" s="4"/>
      <c r="BM161" s="4"/>
      <c r="BN161" s="4"/>
    </row>
    <row r="162" spans="1:66" ht="15" customHeight="1">
      <c r="A162" s="19" t="str">
        <f t="shared" si="13"/>
        <v>FB_IMv_BUF_S.FFOF</v>
      </c>
      <c r="B162" s="11">
        <v>7998</v>
      </c>
      <c r="C162" s="11" t="s">
        <v>6</v>
      </c>
      <c r="D162" s="20">
        <v>1</v>
      </c>
      <c r="BK162" s="4"/>
      <c r="BL162" s="4"/>
      <c r="BM162" s="4"/>
      <c r="BN162" s="4"/>
    </row>
    <row r="163" spans="1:66" ht="15" customHeight="1">
      <c r="A163" s="19" t="str">
        <f t="shared" si="13"/>
        <v>FB_IMv_BUF_S.FFOF</v>
      </c>
      <c r="B163" s="11">
        <v>101</v>
      </c>
      <c r="C163" s="11" t="s">
        <v>0</v>
      </c>
      <c r="D163" s="20" t="str">
        <f>"Несанкционированное закрытие"</f>
        <v>Несанкционированное закрытие</v>
      </c>
      <c r="BK163" s="4"/>
      <c r="BL163" s="4"/>
      <c r="BM163" s="4"/>
      <c r="BN163" s="4"/>
    </row>
    <row r="164" spans="1:66" ht="15" customHeight="1">
      <c r="A164" s="19" t="str">
        <f t="shared" si="13"/>
        <v>FB_IMv_BUF_S.FFOF</v>
      </c>
      <c r="B164" s="11">
        <v>3</v>
      </c>
      <c r="C164" s="11" t="s">
        <v>1</v>
      </c>
      <c r="D164" s="20">
        <v>192</v>
      </c>
      <c r="BK164" s="4"/>
      <c r="BL164" s="4"/>
      <c r="BM164" s="4"/>
      <c r="BN164" s="4"/>
    </row>
    <row r="165" spans="1:66" ht="15" customHeight="1">
      <c r="A165" s="19" t="str">
        <f t="shared" si="13"/>
        <v>FB_IMv_BUF_S.FFOF</v>
      </c>
      <c r="B165" s="11">
        <v>2</v>
      </c>
      <c r="C165" s="11" t="s">
        <v>2</v>
      </c>
      <c r="D165" s="20" t="s">
        <v>3</v>
      </c>
      <c r="BK165" s="4"/>
      <c r="BL165" s="4"/>
      <c r="BM165" s="4"/>
      <c r="BN165" s="4"/>
    </row>
    <row r="166" spans="1:66" ht="15" customHeight="1">
      <c r="A166" s="21" t="str">
        <f t="shared" si="13"/>
        <v>FB_IMv_BUF_S.FFOF</v>
      </c>
      <c r="B166" s="8">
        <v>1</v>
      </c>
      <c r="C166" s="8" t="s">
        <v>1</v>
      </c>
      <c r="D166" s="22">
        <v>11</v>
      </c>
      <c r="BK166" s="4"/>
      <c r="BL166" s="4"/>
      <c r="BM166" s="4"/>
      <c r="BN166" s="4"/>
    </row>
    <row r="167" spans="1:66" ht="15" customHeight="1">
      <c r="A167" s="217" t="str">
        <f t="shared" ref="A167:A176" si="14">$R$2&amp;".FUSX"</f>
        <v>FB_IMv_BUF_S.FUSX</v>
      </c>
      <c r="B167" s="218">
        <v>11154</v>
      </c>
      <c r="C167" s="218" t="s">
        <v>4</v>
      </c>
      <c r="D167" s="219">
        <f>$Q$7</f>
        <v>12</v>
      </c>
      <c r="BK167" s="4"/>
      <c r="BL167" s="4"/>
      <c r="BM167" s="4"/>
      <c r="BN167" s="4"/>
    </row>
    <row r="168" spans="1:66" ht="15" customHeight="1">
      <c r="A168" s="211" t="str">
        <f t="shared" si="14"/>
        <v>FB_IMv_BUF_S.FUSX</v>
      </c>
      <c r="B168" s="212">
        <v>11150</v>
      </c>
      <c r="C168" s="212" t="s">
        <v>0</v>
      </c>
      <c r="D168" s="213" t="s">
        <v>154</v>
      </c>
      <c r="BK168" s="4"/>
      <c r="BL168" s="4"/>
      <c r="BM168" s="4"/>
      <c r="BN168" s="4"/>
    </row>
    <row r="169" spans="1:66" ht="15" customHeight="1">
      <c r="A169" s="211" t="str">
        <f t="shared" si="14"/>
        <v>FB_IMv_BUF_S.FUSX</v>
      </c>
      <c r="B169" s="212">
        <v>11152</v>
      </c>
      <c r="C169" s="212" t="s">
        <v>0</v>
      </c>
      <c r="D169" s="220" t="str">
        <f>$R$7</f>
        <v>Неисправность</v>
      </c>
      <c r="BK169" s="4"/>
      <c r="BL169" s="4"/>
      <c r="BM169" s="4"/>
      <c r="BN169" s="4"/>
    </row>
    <row r="170" spans="1:66" ht="15" customHeight="1">
      <c r="A170" s="211" t="str">
        <f t="shared" si="14"/>
        <v>FB_IMv_BUF_S.FUSX</v>
      </c>
      <c r="B170" s="212">
        <v>11000</v>
      </c>
      <c r="C170" s="212" t="s">
        <v>5</v>
      </c>
      <c r="D170" s="213">
        <v>2147483680</v>
      </c>
      <c r="BK170" s="4"/>
      <c r="BL170" s="4"/>
      <c r="BM170" s="4"/>
      <c r="BN170" s="4"/>
    </row>
    <row r="171" spans="1:66" ht="15" customHeight="1">
      <c r="A171" s="19" t="str">
        <f t="shared" si="14"/>
        <v>FB_IMv_BUF_S.FUSX</v>
      </c>
      <c r="B171" s="11">
        <v>7999</v>
      </c>
      <c r="C171" s="11" t="s">
        <v>0</v>
      </c>
      <c r="D171" s="20" t="str">
        <f>"#"&amp;$S$2&amp;"#"&amp;$T$2&amp;"\"&amp;$P$2&amp;"\FUSX"</f>
        <v>#1#treiOPCDA.CoOPCserv.1\pcmaster\KMZ1_BUF\FUSX</v>
      </c>
      <c r="BK171" s="4"/>
      <c r="BL171" s="4"/>
      <c r="BM171" s="4"/>
      <c r="BN171" s="4"/>
    </row>
    <row r="172" spans="1:66" ht="15" customHeight="1">
      <c r="A172" s="19" t="str">
        <f t="shared" si="14"/>
        <v>FB_IMv_BUF_S.FUSX</v>
      </c>
      <c r="B172" s="11">
        <v>7998</v>
      </c>
      <c r="C172" s="11" t="s">
        <v>6</v>
      </c>
      <c r="D172" s="20">
        <v>1</v>
      </c>
      <c r="BK172" s="4"/>
      <c r="BL172" s="4"/>
      <c r="BM172" s="4"/>
      <c r="BN172" s="4"/>
    </row>
    <row r="173" spans="1:66" ht="15" customHeight="1">
      <c r="A173" s="19" t="str">
        <f t="shared" si="14"/>
        <v>FB_IMv_BUF_S.FUSX</v>
      </c>
      <c r="B173" s="11">
        <v>101</v>
      </c>
      <c r="C173" s="11" t="s">
        <v>0</v>
      </c>
      <c r="D173" s="20" t="s">
        <v>153</v>
      </c>
      <c r="BK173" s="4"/>
      <c r="BL173" s="4"/>
      <c r="BM173" s="4"/>
      <c r="BN173" s="4"/>
    </row>
    <row r="174" spans="1:66" ht="15" customHeight="1">
      <c r="A174" s="19" t="str">
        <f t="shared" si="14"/>
        <v>FB_IMv_BUF_S.FUSX</v>
      </c>
      <c r="B174" s="11">
        <v>3</v>
      </c>
      <c r="C174" s="11" t="s">
        <v>1</v>
      </c>
      <c r="D174" s="20">
        <v>192</v>
      </c>
      <c r="BK174" s="4"/>
      <c r="BL174" s="4"/>
      <c r="BM174" s="4"/>
      <c r="BN174" s="4"/>
    </row>
    <row r="175" spans="1:66" ht="15" customHeight="1">
      <c r="A175" s="19" t="str">
        <f t="shared" si="14"/>
        <v>FB_IMv_BUF_S.FUSX</v>
      </c>
      <c r="B175" s="11">
        <v>2</v>
      </c>
      <c r="C175" s="11" t="s">
        <v>2</v>
      </c>
      <c r="D175" s="20" t="s">
        <v>3</v>
      </c>
      <c r="BK175" s="4"/>
      <c r="BL175" s="4"/>
      <c r="BM175" s="4"/>
      <c r="BN175" s="4"/>
    </row>
    <row r="176" spans="1:66" ht="15" customHeight="1">
      <c r="A176" s="21" t="str">
        <f t="shared" si="14"/>
        <v>FB_IMv_BUF_S.FUSX</v>
      </c>
      <c r="B176" s="8">
        <v>1</v>
      </c>
      <c r="C176" s="8" t="s">
        <v>1</v>
      </c>
      <c r="D176" s="22">
        <v>11</v>
      </c>
      <c r="BK176" s="4"/>
      <c r="BL176" s="4"/>
      <c r="BM176" s="4"/>
      <c r="BN176" s="4"/>
    </row>
    <row r="177" spans="1:66" ht="15" customHeight="1">
      <c r="A177" s="217" t="str">
        <f t="shared" ref="A177:A186" si="15">$R$2&amp;".FDSX"</f>
        <v>FB_IMv_BUF_S.FDSX</v>
      </c>
      <c r="B177" s="218">
        <v>11154</v>
      </c>
      <c r="C177" s="218" t="s">
        <v>4</v>
      </c>
      <c r="D177" s="219">
        <f>$Q$7</f>
        <v>12</v>
      </c>
      <c r="BK177" s="4"/>
      <c r="BL177" s="4"/>
      <c r="BM177" s="4"/>
      <c r="BN177" s="4"/>
    </row>
    <row r="178" spans="1:66" ht="15" customHeight="1">
      <c r="A178" s="211" t="str">
        <f t="shared" si="15"/>
        <v>FB_IMv_BUF_S.FDSX</v>
      </c>
      <c r="B178" s="212">
        <v>11150</v>
      </c>
      <c r="C178" s="212" t="s">
        <v>0</v>
      </c>
      <c r="D178" s="213" t="s">
        <v>161</v>
      </c>
      <c r="BK178" s="4"/>
      <c r="BL178" s="4"/>
      <c r="BM178" s="4"/>
      <c r="BN178" s="4"/>
    </row>
    <row r="179" spans="1:66" ht="15" customHeight="1">
      <c r="A179" s="211" t="str">
        <f t="shared" si="15"/>
        <v>FB_IMv_BUF_S.FDSX</v>
      </c>
      <c r="B179" s="212">
        <v>11152</v>
      </c>
      <c r="C179" s="212" t="s">
        <v>0</v>
      </c>
      <c r="D179" s="220" t="str">
        <f>$R$7</f>
        <v>Неисправность</v>
      </c>
      <c r="BK179" s="4"/>
      <c r="BL179" s="4"/>
      <c r="BM179" s="4"/>
      <c r="BN179" s="4"/>
    </row>
    <row r="180" spans="1:66" ht="15" customHeight="1">
      <c r="A180" s="211" t="str">
        <f t="shared" si="15"/>
        <v>FB_IMv_BUF_S.FDSX</v>
      </c>
      <c r="B180" s="212">
        <v>11000</v>
      </c>
      <c r="C180" s="212" t="s">
        <v>5</v>
      </c>
      <c r="D180" s="213">
        <v>2147483680</v>
      </c>
      <c r="BK180" s="4"/>
      <c r="BL180" s="4"/>
      <c r="BM180" s="4"/>
      <c r="BN180" s="4"/>
    </row>
    <row r="181" spans="1:66" ht="15" customHeight="1">
      <c r="A181" s="19" t="str">
        <f t="shared" si="15"/>
        <v>FB_IMv_BUF_S.FDSX</v>
      </c>
      <c r="B181" s="11">
        <v>7999</v>
      </c>
      <c r="C181" s="11" t="s">
        <v>0</v>
      </c>
      <c r="D181" s="20" t="str">
        <f>"#"&amp;$S$2&amp;"#"&amp;$T$2&amp;"\"&amp;$P$2&amp;"\FDSX"</f>
        <v>#1#treiOPCDA.CoOPCserv.1\pcmaster\KMZ1_BUF\FDSX</v>
      </c>
      <c r="BK181" s="4"/>
      <c r="BL181" s="4"/>
      <c r="BM181" s="4"/>
      <c r="BN181" s="4"/>
    </row>
    <row r="182" spans="1:66" ht="15" customHeight="1">
      <c r="A182" s="19" t="str">
        <f t="shared" si="15"/>
        <v>FB_IMv_BUF_S.FDSX</v>
      </c>
      <c r="B182" s="11">
        <v>7998</v>
      </c>
      <c r="C182" s="11" t="s">
        <v>6</v>
      </c>
      <c r="D182" s="20">
        <v>1</v>
      </c>
      <c r="BK182" s="4"/>
      <c r="BL182" s="4"/>
      <c r="BM182" s="4"/>
      <c r="BN182" s="4"/>
    </row>
    <row r="183" spans="1:66" ht="15" customHeight="1">
      <c r="A183" s="19" t="str">
        <f t="shared" si="15"/>
        <v>FB_IMv_BUF_S.FDSX</v>
      </c>
      <c r="B183" s="11">
        <v>101</v>
      </c>
      <c r="C183" s="11" t="s">
        <v>0</v>
      </c>
      <c r="D183" s="20" t="s">
        <v>161</v>
      </c>
      <c r="BK183" s="4"/>
      <c r="BL183" s="4"/>
      <c r="BM183" s="4"/>
      <c r="BN183" s="4"/>
    </row>
    <row r="184" spans="1:66" ht="15" customHeight="1">
      <c r="A184" s="19" t="str">
        <f t="shared" si="15"/>
        <v>FB_IMv_BUF_S.FDSX</v>
      </c>
      <c r="B184" s="11">
        <v>3</v>
      </c>
      <c r="C184" s="11" t="s">
        <v>1</v>
      </c>
      <c r="D184" s="20">
        <v>192</v>
      </c>
      <c r="BK184" s="4"/>
      <c r="BL184" s="4"/>
      <c r="BM184" s="4"/>
      <c r="BN184" s="4"/>
    </row>
    <row r="185" spans="1:66" ht="15" customHeight="1">
      <c r="A185" s="19" t="str">
        <f t="shared" si="15"/>
        <v>FB_IMv_BUF_S.FDSX</v>
      </c>
      <c r="B185" s="11">
        <v>2</v>
      </c>
      <c r="C185" s="11" t="s">
        <v>2</v>
      </c>
      <c r="D185" s="20" t="s">
        <v>3</v>
      </c>
      <c r="BK185" s="4"/>
      <c r="BL185" s="4"/>
      <c r="BM185" s="4"/>
      <c r="BN185" s="4"/>
    </row>
    <row r="186" spans="1:66" ht="15" customHeight="1">
      <c r="A186" s="21" t="str">
        <f t="shared" si="15"/>
        <v>FB_IMv_BUF_S.FDSX</v>
      </c>
      <c r="B186" s="8">
        <v>1</v>
      </c>
      <c r="C186" s="8" t="s">
        <v>1</v>
      </c>
      <c r="D186" s="22">
        <v>11</v>
      </c>
      <c r="BK186" s="4"/>
      <c r="BL186" s="4"/>
      <c r="BM186" s="4"/>
      <c r="BN186" s="4"/>
    </row>
    <row r="187" spans="1:66" ht="15" customHeight="1">
      <c r="A187" s="217" t="str">
        <f t="shared" ref="A187:A196" si="16">$R$2&amp;".FUCX"</f>
        <v>FB_IMv_BUF_S.FUCX</v>
      </c>
      <c r="B187" s="218">
        <v>11154</v>
      </c>
      <c r="C187" s="218" t="s">
        <v>4</v>
      </c>
      <c r="D187" s="219">
        <f>$Q$7</f>
        <v>12</v>
      </c>
      <c r="BK187" s="4"/>
      <c r="BL187" s="4"/>
      <c r="BM187" s="4"/>
      <c r="BN187" s="4"/>
    </row>
    <row r="188" spans="1:66" ht="15" customHeight="1">
      <c r="A188" s="211" t="str">
        <f t="shared" si="16"/>
        <v>FB_IMv_BUF_S.FUCX</v>
      </c>
      <c r="B188" s="212">
        <v>11150</v>
      </c>
      <c r="C188" s="212" t="s">
        <v>0</v>
      </c>
      <c r="D188" s="213" t="s">
        <v>167</v>
      </c>
      <c r="BK188" s="4"/>
      <c r="BL188" s="4"/>
      <c r="BM188" s="4"/>
      <c r="BN188" s="4"/>
    </row>
    <row r="189" spans="1:66" ht="15" customHeight="1">
      <c r="A189" s="211" t="str">
        <f t="shared" si="16"/>
        <v>FB_IMv_BUF_S.FUCX</v>
      </c>
      <c r="B189" s="212">
        <v>11152</v>
      </c>
      <c r="C189" s="212" t="s">
        <v>0</v>
      </c>
      <c r="D189" s="220" t="str">
        <f>$R$7</f>
        <v>Неисправность</v>
      </c>
      <c r="BK189" s="4"/>
      <c r="BL189" s="4"/>
      <c r="BM189" s="4"/>
      <c r="BN189" s="4"/>
    </row>
    <row r="190" spans="1:66" ht="15" customHeight="1">
      <c r="A190" s="211" t="str">
        <f t="shared" si="16"/>
        <v>FB_IMv_BUF_S.FUCX</v>
      </c>
      <c r="B190" s="212">
        <v>11000</v>
      </c>
      <c r="C190" s="212" t="s">
        <v>5</v>
      </c>
      <c r="D190" s="213">
        <v>2147483680</v>
      </c>
      <c r="BK190" s="4"/>
      <c r="BL190" s="4"/>
      <c r="BM190" s="4"/>
      <c r="BN190" s="4"/>
    </row>
    <row r="191" spans="1:66" ht="15" customHeight="1">
      <c r="A191" s="19" t="str">
        <f t="shared" si="16"/>
        <v>FB_IMv_BUF_S.FUCX</v>
      </c>
      <c r="B191" s="11">
        <v>7999</v>
      </c>
      <c r="C191" s="11" t="s">
        <v>0</v>
      </c>
      <c r="D191" s="20" t="str">
        <f>"#"&amp;$S$2&amp;"#"&amp;$T$2&amp;"\"&amp;$P$2&amp;"\FUCX"</f>
        <v>#1#treiOPCDA.CoOPCserv.1\pcmaster\KMZ1_BUF\FUCX</v>
      </c>
      <c r="BK191" s="4"/>
      <c r="BL191" s="4"/>
      <c r="BM191" s="4"/>
      <c r="BN191" s="4"/>
    </row>
    <row r="192" spans="1:66" ht="15" customHeight="1">
      <c r="A192" s="19" t="str">
        <f t="shared" si="16"/>
        <v>FB_IMv_BUF_S.FUCX</v>
      </c>
      <c r="B192" s="11">
        <v>7998</v>
      </c>
      <c r="C192" s="11" t="s">
        <v>6</v>
      </c>
      <c r="D192" s="20">
        <v>1</v>
      </c>
      <c r="BK192" s="4"/>
      <c r="BL192" s="4"/>
      <c r="BM192" s="4"/>
      <c r="BN192" s="4"/>
    </row>
    <row r="193" spans="1:66" ht="15" customHeight="1">
      <c r="A193" s="19" t="str">
        <f t="shared" si="16"/>
        <v>FB_IMv_BUF_S.FUCX</v>
      </c>
      <c r="B193" s="11">
        <v>101</v>
      </c>
      <c r="C193" s="11" t="s">
        <v>0</v>
      </c>
      <c r="D193" s="20" t="s">
        <v>167</v>
      </c>
      <c r="BK193" s="4"/>
      <c r="BL193" s="4"/>
      <c r="BM193" s="4"/>
      <c r="BN193" s="4"/>
    </row>
    <row r="194" spans="1:66" ht="15" customHeight="1">
      <c r="A194" s="19" t="str">
        <f t="shared" si="16"/>
        <v>FB_IMv_BUF_S.FUCX</v>
      </c>
      <c r="B194" s="11">
        <v>3</v>
      </c>
      <c r="C194" s="11" t="s">
        <v>1</v>
      </c>
      <c r="D194" s="20">
        <v>192</v>
      </c>
      <c r="BK194" s="4"/>
      <c r="BL194" s="4"/>
      <c r="BM194" s="4"/>
      <c r="BN194" s="4"/>
    </row>
    <row r="195" spans="1:66" ht="15" customHeight="1">
      <c r="A195" s="19" t="str">
        <f t="shared" si="16"/>
        <v>FB_IMv_BUF_S.FUCX</v>
      </c>
      <c r="B195" s="11">
        <v>2</v>
      </c>
      <c r="C195" s="11" t="s">
        <v>2</v>
      </c>
      <c r="D195" s="20" t="s">
        <v>3</v>
      </c>
      <c r="BK195" s="4"/>
      <c r="BL195" s="4"/>
      <c r="BM195" s="4"/>
      <c r="BN195" s="4"/>
    </row>
    <row r="196" spans="1:66" ht="15" customHeight="1">
      <c r="A196" s="21" t="str">
        <f t="shared" si="16"/>
        <v>FB_IMv_BUF_S.FUCX</v>
      </c>
      <c r="B196" s="8">
        <v>1</v>
      </c>
      <c r="C196" s="8" t="s">
        <v>1</v>
      </c>
      <c r="D196" s="22">
        <v>11</v>
      </c>
      <c r="BK196" s="4"/>
      <c r="BL196" s="4"/>
      <c r="BM196" s="4"/>
      <c r="BN196" s="4"/>
    </row>
    <row r="197" spans="1:66" ht="15" customHeight="1">
      <c r="A197" s="217" t="str">
        <f t="shared" ref="A197:A206" si="17">$R$2&amp;".FDCX"</f>
        <v>FB_IMv_BUF_S.FDCX</v>
      </c>
      <c r="B197" s="218">
        <v>11154</v>
      </c>
      <c r="C197" s="218" t="s">
        <v>4</v>
      </c>
      <c r="D197" s="219">
        <f>$Q$7</f>
        <v>12</v>
      </c>
      <c r="BK197" s="4"/>
      <c r="BL197" s="4"/>
      <c r="BM197" s="4"/>
      <c r="BN197" s="4"/>
    </row>
    <row r="198" spans="1:66" ht="15" customHeight="1">
      <c r="A198" s="211" t="str">
        <f t="shared" si="17"/>
        <v>FB_IMv_BUF_S.FDCX</v>
      </c>
      <c r="B198" s="212">
        <v>11150</v>
      </c>
      <c r="C198" s="212" t="s">
        <v>0</v>
      </c>
      <c r="D198" s="213" t="s">
        <v>168</v>
      </c>
      <c r="BK198" s="4"/>
      <c r="BL198" s="4"/>
      <c r="BM198" s="4"/>
      <c r="BN198" s="4"/>
    </row>
    <row r="199" spans="1:66" ht="15" customHeight="1">
      <c r="A199" s="211" t="str">
        <f t="shared" si="17"/>
        <v>FB_IMv_BUF_S.FDCX</v>
      </c>
      <c r="B199" s="212">
        <v>11152</v>
      </c>
      <c r="C199" s="212" t="s">
        <v>0</v>
      </c>
      <c r="D199" s="220" t="str">
        <f>$R$7</f>
        <v>Неисправность</v>
      </c>
      <c r="BK199" s="4"/>
      <c r="BL199" s="4"/>
      <c r="BM199" s="4"/>
      <c r="BN199" s="4"/>
    </row>
    <row r="200" spans="1:66" ht="15" customHeight="1">
      <c r="A200" s="211" t="str">
        <f t="shared" si="17"/>
        <v>FB_IMv_BUF_S.FDCX</v>
      </c>
      <c r="B200" s="212">
        <v>11000</v>
      </c>
      <c r="C200" s="212" t="s">
        <v>5</v>
      </c>
      <c r="D200" s="213">
        <v>2147483680</v>
      </c>
      <c r="BK200" s="4"/>
      <c r="BL200" s="4"/>
      <c r="BM200" s="4"/>
      <c r="BN200" s="4"/>
    </row>
    <row r="201" spans="1:66" ht="15" customHeight="1">
      <c r="A201" s="19" t="str">
        <f t="shared" si="17"/>
        <v>FB_IMv_BUF_S.FDCX</v>
      </c>
      <c r="B201" s="11">
        <v>7999</v>
      </c>
      <c r="C201" s="11" t="s">
        <v>0</v>
      </c>
      <c r="D201" s="20" t="str">
        <f>"#"&amp;$S$2&amp;"#"&amp;$T$2&amp;"\"&amp;$P$2&amp;"\FDCX"</f>
        <v>#1#treiOPCDA.CoOPCserv.1\pcmaster\KMZ1_BUF\FDCX</v>
      </c>
      <c r="BK201" s="4"/>
      <c r="BL201" s="4"/>
      <c r="BM201" s="4"/>
      <c r="BN201" s="4"/>
    </row>
    <row r="202" spans="1:66" ht="15" customHeight="1">
      <c r="A202" s="19" t="str">
        <f t="shared" si="17"/>
        <v>FB_IMv_BUF_S.FDCX</v>
      </c>
      <c r="B202" s="11">
        <v>7998</v>
      </c>
      <c r="C202" s="11" t="s">
        <v>6</v>
      </c>
      <c r="D202" s="20">
        <v>1</v>
      </c>
      <c r="BK202" s="4"/>
      <c r="BL202" s="4"/>
      <c r="BM202" s="4"/>
      <c r="BN202" s="4"/>
    </row>
    <row r="203" spans="1:66" ht="15" customHeight="1">
      <c r="A203" s="19" t="str">
        <f t="shared" si="17"/>
        <v>FB_IMv_BUF_S.FDCX</v>
      </c>
      <c r="B203" s="11">
        <v>101</v>
      </c>
      <c r="C203" s="11" t="s">
        <v>0</v>
      </c>
      <c r="D203" s="20" t="s">
        <v>168</v>
      </c>
      <c r="BK203" s="4"/>
      <c r="BL203" s="4"/>
      <c r="BM203" s="4"/>
      <c r="BN203" s="4"/>
    </row>
    <row r="204" spans="1:66" ht="15" customHeight="1">
      <c r="A204" s="19" t="str">
        <f t="shared" si="17"/>
        <v>FB_IMv_BUF_S.FDCX</v>
      </c>
      <c r="B204" s="11">
        <v>3</v>
      </c>
      <c r="C204" s="11" t="s">
        <v>1</v>
      </c>
      <c r="D204" s="20">
        <v>192</v>
      </c>
      <c r="BK204" s="4"/>
      <c r="BL204" s="4"/>
      <c r="BM204" s="4"/>
      <c r="BN204" s="4"/>
    </row>
    <row r="205" spans="1:66" ht="15" customHeight="1">
      <c r="A205" s="19" t="str">
        <f t="shared" si="17"/>
        <v>FB_IMv_BUF_S.FDCX</v>
      </c>
      <c r="B205" s="11">
        <v>2</v>
      </c>
      <c r="C205" s="11" t="s">
        <v>2</v>
      </c>
      <c r="D205" s="20" t="s">
        <v>3</v>
      </c>
      <c r="BK205" s="4"/>
      <c r="BL205" s="4"/>
      <c r="BM205" s="4"/>
      <c r="BN205" s="4"/>
    </row>
    <row r="206" spans="1:66" ht="15" customHeight="1">
      <c r="A206" s="21" t="str">
        <f t="shared" si="17"/>
        <v>FB_IMv_BUF_S.FDCX</v>
      </c>
      <c r="B206" s="8">
        <v>1</v>
      </c>
      <c r="C206" s="8" t="s">
        <v>1</v>
      </c>
      <c r="D206" s="22">
        <v>11</v>
      </c>
      <c r="BK206" s="4"/>
      <c r="BL206" s="4"/>
      <c r="BM206" s="4"/>
      <c r="BN206" s="4"/>
    </row>
    <row r="207" spans="1:66" ht="15" customHeight="1">
      <c r="A207" s="217" t="str">
        <f t="shared" ref="A207:A216" si="18">$R$2&amp;".FCOM"</f>
        <v>FB_IMv_BUF_S.FCOM</v>
      </c>
      <c r="B207" s="218">
        <v>11154</v>
      </c>
      <c r="C207" s="218" t="s">
        <v>4</v>
      </c>
      <c r="D207" s="219">
        <f>$Q$7</f>
        <v>12</v>
      </c>
      <c r="BK207" s="4"/>
      <c r="BL207" s="4"/>
      <c r="BM207" s="4"/>
      <c r="BN207" s="4"/>
    </row>
    <row r="208" spans="1:66" ht="15" customHeight="1">
      <c r="A208" s="211" t="str">
        <f t="shared" si="18"/>
        <v>FB_IMv_BUF_S.FCOM</v>
      </c>
      <c r="B208" s="212">
        <v>11150</v>
      </c>
      <c r="C208" s="212" t="s">
        <v>0</v>
      </c>
      <c r="D208" s="213" t="s">
        <v>149</v>
      </c>
      <c r="BK208" s="4"/>
      <c r="BL208" s="4"/>
      <c r="BM208" s="4"/>
      <c r="BN208" s="4"/>
    </row>
    <row r="209" spans="1:66" ht="15" customHeight="1">
      <c r="A209" s="211" t="str">
        <f t="shared" si="18"/>
        <v>FB_IMv_BUF_S.FCOM</v>
      </c>
      <c r="B209" s="212">
        <v>11152</v>
      </c>
      <c r="C209" s="212" t="s">
        <v>0</v>
      </c>
      <c r="D209" s="220" t="str">
        <f>$R$7</f>
        <v>Неисправность</v>
      </c>
      <c r="BK209" s="4"/>
      <c r="BL209" s="4"/>
      <c r="BM209" s="4"/>
      <c r="BN209" s="4"/>
    </row>
    <row r="210" spans="1:66" ht="15" customHeight="1">
      <c r="A210" s="211" t="str">
        <f t="shared" si="18"/>
        <v>FB_IMv_BUF_S.FCOM</v>
      </c>
      <c r="B210" s="212">
        <v>11000</v>
      </c>
      <c r="C210" s="212" t="s">
        <v>5</v>
      </c>
      <c r="D210" s="213">
        <v>2147483680</v>
      </c>
      <c r="BK210" s="4"/>
      <c r="BL210" s="4"/>
      <c r="BM210" s="4"/>
      <c r="BN210" s="4"/>
    </row>
    <row r="211" spans="1:66" ht="15" customHeight="1">
      <c r="A211" s="19" t="str">
        <f t="shared" si="18"/>
        <v>FB_IMv_BUF_S.FCOM</v>
      </c>
      <c r="B211" s="11">
        <v>7999</v>
      </c>
      <c r="C211" s="11" t="s">
        <v>0</v>
      </c>
      <c r="D211" s="20" t="str">
        <f>"#"&amp;$S$2&amp;"#"&amp;$T$2&amp;"\"&amp;$P$2&amp;"\FCOM"</f>
        <v>#1#treiOPCDA.CoOPCserv.1\pcmaster\KMZ1_BUF\FCOM</v>
      </c>
      <c r="BK211" s="4"/>
      <c r="BL211" s="4"/>
      <c r="BM211" s="4"/>
      <c r="BN211" s="4"/>
    </row>
    <row r="212" spans="1:66" ht="15" customHeight="1">
      <c r="A212" s="19" t="str">
        <f t="shared" si="18"/>
        <v>FB_IMv_BUF_S.FCOM</v>
      </c>
      <c r="B212" s="11">
        <v>7998</v>
      </c>
      <c r="C212" s="11" t="s">
        <v>6</v>
      </c>
      <c r="D212" s="20">
        <v>1</v>
      </c>
      <c r="BK212" s="4"/>
      <c r="BL212" s="4"/>
      <c r="BM212" s="4"/>
      <c r="BN212" s="4"/>
    </row>
    <row r="213" spans="1:66" ht="15" customHeight="1">
      <c r="A213" s="19" t="str">
        <f t="shared" si="18"/>
        <v>FB_IMv_BUF_S.FCOM</v>
      </c>
      <c r="B213" s="11">
        <v>101</v>
      </c>
      <c r="C213" s="11" t="s">
        <v>0</v>
      </c>
      <c r="D213" s="20" t="s">
        <v>149</v>
      </c>
      <c r="BK213" s="4"/>
      <c r="BL213" s="4"/>
      <c r="BM213" s="4"/>
      <c r="BN213" s="4"/>
    </row>
    <row r="214" spans="1:66" ht="15" customHeight="1">
      <c r="A214" s="19" t="str">
        <f t="shared" si="18"/>
        <v>FB_IMv_BUF_S.FCOM</v>
      </c>
      <c r="B214" s="11">
        <v>3</v>
      </c>
      <c r="C214" s="11" t="s">
        <v>1</v>
      </c>
      <c r="D214" s="20">
        <v>192</v>
      </c>
      <c r="BK214" s="4"/>
      <c r="BL214" s="4"/>
      <c r="BM214" s="4"/>
      <c r="BN214" s="4"/>
    </row>
    <row r="215" spans="1:66" ht="15" customHeight="1">
      <c r="A215" s="19" t="str">
        <f t="shared" si="18"/>
        <v>FB_IMv_BUF_S.FCOM</v>
      </c>
      <c r="B215" s="11">
        <v>2</v>
      </c>
      <c r="C215" s="11" t="s">
        <v>2</v>
      </c>
      <c r="D215" s="20" t="s">
        <v>3</v>
      </c>
      <c r="BK215" s="4"/>
      <c r="BL215" s="4"/>
      <c r="BM215" s="4"/>
      <c r="BN215" s="4"/>
    </row>
    <row r="216" spans="1:66" ht="15" customHeight="1">
      <c r="A216" s="21" t="str">
        <f t="shared" si="18"/>
        <v>FB_IMv_BUF_S.FCOM</v>
      </c>
      <c r="B216" s="8">
        <v>1</v>
      </c>
      <c r="C216" s="8" t="s">
        <v>1</v>
      </c>
      <c r="D216" s="22">
        <v>11</v>
      </c>
      <c r="BK216" s="4"/>
      <c r="BL216" s="4"/>
      <c r="BM216" s="4"/>
      <c r="BN216" s="4"/>
    </row>
    <row r="217" spans="1:66" ht="15" customHeight="1">
      <c r="A217" s="163" t="str">
        <f t="shared" ref="A217:A226" si="19">$R$2&amp;".DONX"</f>
        <v>FB_IMv_BUF_S.DONX</v>
      </c>
      <c r="B217" s="123">
        <v>11154</v>
      </c>
      <c r="C217" s="123" t="s">
        <v>4</v>
      </c>
      <c r="D217" s="124">
        <f>$Q$9</f>
        <v>10</v>
      </c>
      <c r="BK217" s="4"/>
      <c r="BL217" s="4"/>
      <c r="BM217" s="4"/>
      <c r="BN217" s="4"/>
    </row>
    <row r="218" spans="1:66" ht="15" customHeight="1">
      <c r="A218" s="110" t="str">
        <f t="shared" si="19"/>
        <v>FB_IMv_BUF_S.DONX</v>
      </c>
      <c r="B218" s="111">
        <v>11150</v>
      </c>
      <c r="C218" s="111" t="s">
        <v>0</v>
      </c>
      <c r="D218" s="112" t="str">
        <f>"Недостоверность: входное значение Открыт"</f>
        <v>Недостоверность: входное значение Открыт</v>
      </c>
      <c r="BK218" s="4"/>
      <c r="BL218" s="4"/>
      <c r="BM218" s="4"/>
      <c r="BN218" s="4"/>
    </row>
    <row r="219" spans="1:66" ht="15" customHeight="1">
      <c r="A219" s="110" t="str">
        <f t="shared" si="19"/>
        <v>FB_IMv_BUF_S.DONX</v>
      </c>
      <c r="B219" s="111">
        <v>11152</v>
      </c>
      <c r="C219" s="111" t="s">
        <v>0</v>
      </c>
      <c r="D219" s="113" t="str">
        <f>$R$9</f>
        <v>Недостоверность</v>
      </c>
      <c r="BK219" s="4"/>
      <c r="BL219" s="4"/>
      <c r="BM219" s="4"/>
      <c r="BN219" s="4"/>
    </row>
    <row r="220" spans="1:66" ht="15" customHeight="1">
      <c r="A220" s="110" t="str">
        <f t="shared" si="19"/>
        <v>FB_IMv_BUF_S.DONX</v>
      </c>
      <c r="B220" s="111">
        <v>11000</v>
      </c>
      <c r="C220" s="111" t="s">
        <v>5</v>
      </c>
      <c r="D220" s="112">
        <v>2147483680</v>
      </c>
      <c r="BK220" s="4"/>
      <c r="BL220" s="4"/>
      <c r="BM220" s="4"/>
      <c r="BN220" s="4"/>
    </row>
    <row r="221" spans="1:66" ht="15" customHeight="1">
      <c r="A221" s="19" t="str">
        <f t="shared" si="19"/>
        <v>FB_IMv_BUF_S.DONX</v>
      </c>
      <c r="B221" s="11">
        <v>7999</v>
      </c>
      <c r="C221" s="11" t="s">
        <v>0</v>
      </c>
      <c r="D221" s="20" t="str">
        <f>"#"&amp;$S$2&amp;"#"&amp;$T$2&amp;"\"&amp;$P$2&amp;"\DONX"</f>
        <v>#1#treiOPCDA.CoOPCserv.1\pcmaster\KMZ1_BUF\DONX</v>
      </c>
      <c r="BK221" s="4"/>
      <c r="BL221" s="4"/>
      <c r="BM221" s="4"/>
      <c r="BN221" s="4"/>
    </row>
    <row r="222" spans="1:66" ht="15" customHeight="1">
      <c r="A222" s="19" t="str">
        <f t="shared" si="19"/>
        <v>FB_IMv_BUF_S.DONX</v>
      </c>
      <c r="B222" s="11">
        <v>7998</v>
      </c>
      <c r="C222" s="11" t="s">
        <v>6</v>
      </c>
      <c r="D222" s="20">
        <v>1</v>
      </c>
      <c r="BK222" s="4"/>
      <c r="BL222" s="4"/>
      <c r="BM222" s="4"/>
      <c r="BN222" s="4"/>
    </row>
    <row r="223" spans="1:66" ht="15" customHeight="1">
      <c r="A223" s="19" t="str">
        <f t="shared" si="19"/>
        <v>FB_IMv_BUF_S.DONX</v>
      </c>
      <c r="B223" s="11">
        <v>101</v>
      </c>
      <c r="C223" s="11" t="s">
        <v>0</v>
      </c>
      <c r="D223" s="20" t="str">
        <f>"Недостоверное Входное значение Открыт"</f>
        <v>Недостоверное Входное значение Открыт</v>
      </c>
      <c r="BK223" s="4"/>
      <c r="BL223" s="4"/>
      <c r="BM223" s="4"/>
      <c r="BN223" s="4"/>
    </row>
    <row r="224" spans="1:66" ht="15" customHeight="1">
      <c r="A224" s="19" t="str">
        <f t="shared" si="19"/>
        <v>FB_IMv_BUF_S.DONX</v>
      </c>
      <c r="B224" s="11">
        <v>3</v>
      </c>
      <c r="C224" s="11" t="s">
        <v>1</v>
      </c>
      <c r="D224" s="20">
        <v>192</v>
      </c>
      <c r="BK224" s="4"/>
      <c r="BL224" s="4"/>
      <c r="BM224" s="4"/>
      <c r="BN224" s="4"/>
    </row>
    <row r="225" spans="1:66" ht="15" customHeight="1">
      <c r="A225" s="19" t="str">
        <f t="shared" si="19"/>
        <v>FB_IMv_BUF_S.DONX</v>
      </c>
      <c r="B225" s="11">
        <v>2</v>
      </c>
      <c r="C225" s="11" t="s">
        <v>2</v>
      </c>
      <c r="D225" s="20" t="s">
        <v>3</v>
      </c>
      <c r="BK225" s="4"/>
      <c r="BL225" s="4"/>
      <c r="BM225" s="4"/>
      <c r="BN225" s="4"/>
    </row>
    <row r="226" spans="1:66" ht="15" customHeight="1">
      <c r="A226" s="21" t="str">
        <f t="shared" si="19"/>
        <v>FB_IMv_BUF_S.DONX</v>
      </c>
      <c r="B226" s="8">
        <v>1</v>
      </c>
      <c r="C226" s="8" t="s">
        <v>1</v>
      </c>
      <c r="D226" s="22">
        <v>11</v>
      </c>
      <c r="BK226" s="4"/>
      <c r="BL226" s="4"/>
      <c r="BM226" s="4"/>
      <c r="BN226" s="4"/>
    </row>
    <row r="227" spans="1:66" ht="15" customHeight="1">
      <c r="A227" s="163" t="str">
        <f t="shared" ref="A227:A236" si="20">$R$2&amp;".DOFX"</f>
        <v>FB_IMv_BUF_S.DOFX</v>
      </c>
      <c r="B227" s="123">
        <v>11154</v>
      </c>
      <c r="C227" s="123" t="s">
        <v>4</v>
      </c>
      <c r="D227" s="124">
        <f>$Q$9</f>
        <v>10</v>
      </c>
      <c r="BK227" s="4"/>
      <c r="BL227" s="4"/>
      <c r="BM227" s="4"/>
      <c r="BN227" s="4"/>
    </row>
    <row r="228" spans="1:66" ht="15" customHeight="1">
      <c r="A228" s="110" t="str">
        <f t="shared" si="20"/>
        <v>FB_IMv_BUF_S.DOFX</v>
      </c>
      <c r="B228" s="111">
        <v>11150</v>
      </c>
      <c r="C228" s="111" t="s">
        <v>0</v>
      </c>
      <c r="D228" s="112" t="str">
        <f>"Недостоверность: входное значение Закрыт"</f>
        <v>Недостоверность: входное значение Закрыт</v>
      </c>
      <c r="BK228" s="4"/>
      <c r="BL228" s="4"/>
      <c r="BM228" s="4"/>
      <c r="BN228" s="4"/>
    </row>
    <row r="229" spans="1:66" ht="15" customHeight="1">
      <c r="A229" s="110" t="str">
        <f t="shared" si="20"/>
        <v>FB_IMv_BUF_S.DOFX</v>
      </c>
      <c r="B229" s="111">
        <v>11152</v>
      </c>
      <c r="C229" s="111" t="s">
        <v>0</v>
      </c>
      <c r="D229" s="113" t="str">
        <f>$R$9</f>
        <v>Недостоверность</v>
      </c>
      <c r="BK229" s="4"/>
      <c r="BL229" s="4"/>
      <c r="BM229" s="4"/>
      <c r="BN229" s="4"/>
    </row>
    <row r="230" spans="1:66" ht="15" customHeight="1">
      <c r="A230" s="110" t="str">
        <f t="shared" si="20"/>
        <v>FB_IMv_BUF_S.DOFX</v>
      </c>
      <c r="B230" s="111">
        <v>11000</v>
      </c>
      <c r="C230" s="111" t="s">
        <v>5</v>
      </c>
      <c r="D230" s="112">
        <v>2147483680</v>
      </c>
      <c r="BK230" s="4"/>
      <c r="BL230" s="4"/>
      <c r="BM230" s="4"/>
      <c r="BN230" s="4"/>
    </row>
    <row r="231" spans="1:66" ht="15" customHeight="1">
      <c r="A231" s="19" t="str">
        <f t="shared" si="20"/>
        <v>FB_IMv_BUF_S.DOFX</v>
      </c>
      <c r="B231" s="11">
        <v>7999</v>
      </c>
      <c r="C231" s="11" t="s">
        <v>0</v>
      </c>
      <c r="D231" s="20" t="str">
        <f>"#"&amp;$S$2&amp;"#"&amp;$T$2&amp;"\"&amp;$P$2&amp;"\DOFX"</f>
        <v>#1#treiOPCDA.CoOPCserv.1\pcmaster\KMZ1_BUF\DOFX</v>
      </c>
      <c r="BK231" s="4"/>
      <c r="BL231" s="4"/>
      <c r="BM231" s="4"/>
      <c r="BN231" s="4"/>
    </row>
    <row r="232" spans="1:66" ht="15" customHeight="1">
      <c r="A232" s="19" t="str">
        <f t="shared" si="20"/>
        <v>FB_IMv_BUF_S.DOFX</v>
      </c>
      <c r="B232" s="11">
        <v>7998</v>
      </c>
      <c r="C232" s="11" t="s">
        <v>6</v>
      </c>
      <c r="D232" s="20">
        <v>1</v>
      </c>
      <c r="BK232" s="4"/>
      <c r="BL232" s="4"/>
      <c r="BM232" s="4"/>
      <c r="BN232" s="4"/>
    </row>
    <row r="233" spans="1:66" ht="15" customHeight="1">
      <c r="A233" s="19" t="str">
        <f t="shared" si="20"/>
        <v>FB_IMv_BUF_S.DOFX</v>
      </c>
      <c r="B233" s="11">
        <v>101</v>
      </c>
      <c r="C233" s="11" t="s">
        <v>0</v>
      </c>
      <c r="D233" s="20" t="str">
        <f>"Недостоверное Входное значение Закрыт"</f>
        <v>Недостоверное Входное значение Закрыт</v>
      </c>
      <c r="BK233" s="4"/>
      <c r="BL233" s="4"/>
      <c r="BM233" s="4"/>
      <c r="BN233" s="4"/>
    </row>
    <row r="234" spans="1:66" ht="15" customHeight="1">
      <c r="A234" s="19" t="str">
        <f t="shared" si="20"/>
        <v>FB_IMv_BUF_S.DOFX</v>
      </c>
      <c r="B234" s="11">
        <v>3</v>
      </c>
      <c r="C234" s="11" t="s">
        <v>1</v>
      </c>
      <c r="D234" s="20">
        <v>192</v>
      </c>
      <c r="BK234" s="4"/>
      <c r="BL234" s="4"/>
      <c r="BM234" s="4"/>
      <c r="BN234" s="4"/>
    </row>
    <row r="235" spans="1:66" ht="15" customHeight="1">
      <c r="A235" s="19" t="str">
        <f t="shared" si="20"/>
        <v>FB_IMv_BUF_S.DOFX</v>
      </c>
      <c r="B235" s="11">
        <v>2</v>
      </c>
      <c r="C235" s="11" t="s">
        <v>2</v>
      </c>
      <c r="D235" s="20" t="s">
        <v>3</v>
      </c>
      <c r="BK235" s="4"/>
      <c r="BL235" s="4"/>
      <c r="BM235" s="4"/>
      <c r="BN235" s="4"/>
    </row>
    <row r="236" spans="1:66" ht="15" customHeight="1">
      <c r="A236" s="21" t="str">
        <f t="shared" si="20"/>
        <v>FB_IMv_BUF_S.DOFX</v>
      </c>
      <c r="B236" s="8">
        <v>1</v>
      </c>
      <c r="C236" s="8" t="s">
        <v>1</v>
      </c>
      <c r="D236" s="22">
        <v>11</v>
      </c>
      <c r="BK236" s="4"/>
      <c r="BL236" s="4"/>
      <c r="BM236" s="4"/>
      <c r="BN236" s="4"/>
    </row>
    <row r="237" spans="1:66" ht="15" customHeight="1">
      <c r="A237" s="163" t="str">
        <f t="shared" ref="A237:A246" si="21">$R$2&amp;".DLCX"</f>
        <v>FB_IMv_BUF_S.DLCX</v>
      </c>
      <c r="B237" s="123">
        <v>11154</v>
      </c>
      <c r="C237" s="123" t="s">
        <v>4</v>
      </c>
      <c r="D237" s="124">
        <f>$Q$9</f>
        <v>10</v>
      </c>
      <c r="BK237" s="4"/>
      <c r="BL237" s="4"/>
      <c r="BM237" s="4"/>
      <c r="BN237" s="4"/>
    </row>
    <row r="238" spans="1:66" ht="15" customHeight="1">
      <c r="A238" s="110" t="str">
        <f t="shared" si="21"/>
        <v>FB_IMv_BUF_S.DLCX</v>
      </c>
      <c r="B238" s="111">
        <v>11150</v>
      </c>
      <c r="C238" s="111" t="s">
        <v>0</v>
      </c>
      <c r="D238" s="112" t="s">
        <v>166</v>
      </c>
      <c r="BK238" s="4"/>
      <c r="BL238" s="4"/>
      <c r="BM238" s="4"/>
      <c r="BN238" s="4"/>
    </row>
    <row r="239" spans="1:66" ht="15" customHeight="1">
      <c r="A239" s="110" t="str">
        <f t="shared" si="21"/>
        <v>FB_IMv_BUF_S.DLCX</v>
      </c>
      <c r="B239" s="111">
        <v>11152</v>
      </c>
      <c r="C239" s="111" t="s">
        <v>0</v>
      </c>
      <c r="D239" s="113" t="str">
        <f>$R$9</f>
        <v>Недостоверность</v>
      </c>
      <c r="BK239" s="4"/>
      <c r="BL239" s="4"/>
      <c r="BM239" s="4"/>
      <c r="BN239" s="4"/>
    </row>
    <row r="240" spans="1:66" ht="15" customHeight="1">
      <c r="A240" s="110" t="str">
        <f t="shared" si="21"/>
        <v>FB_IMv_BUF_S.DLCX</v>
      </c>
      <c r="B240" s="111">
        <v>11000</v>
      </c>
      <c r="C240" s="111" t="s">
        <v>5</v>
      </c>
      <c r="D240" s="112">
        <v>2147483680</v>
      </c>
      <c r="BK240" s="4"/>
      <c r="BL240" s="4"/>
      <c r="BM240" s="4"/>
      <c r="BN240" s="4"/>
    </row>
    <row r="241" spans="1:66" ht="15" customHeight="1">
      <c r="A241" s="19" t="str">
        <f t="shared" si="21"/>
        <v>FB_IMv_BUF_S.DLCX</v>
      </c>
      <c r="B241" s="11">
        <v>7999</v>
      </c>
      <c r="C241" s="11" t="s">
        <v>0</v>
      </c>
      <c r="D241" s="20" t="str">
        <f>"#"&amp;$S$2&amp;"#"&amp;$T$2&amp;"\"&amp;$P$2&amp;"\DLCX"</f>
        <v>#1#treiOPCDA.CoOPCserv.1\pcmaster\KMZ1_BUF\DLCX</v>
      </c>
      <c r="BK241" s="4"/>
      <c r="BL241" s="4"/>
      <c r="BM241" s="4"/>
      <c r="BN241" s="4"/>
    </row>
    <row r="242" spans="1:66" ht="15" customHeight="1">
      <c r="A242" s="19" t="str">
        <f t="shared" si="21"/>
        <v>FB_IMv_BUF_S.DLCX</v>
      </c>
      <c r="B242" s="11">
        <v>7998</v>
      </c>
      <c r="C242" s="11" t="s">
        <v>6</v>
      </c>
      <c r="D242" s="20">
        <v>1</v>
      </c>
      <c r="BK242" s="4"/>
      <c r="BL242" s="4"/>
      <c r="BM242" s="4"/>
      <c r="BN242" s="4"/>
    </row>
    <row r="243" spans="1:66" ht="15" customHeight="1">
      <c r="A243" s="19" t="str">
        <f t="shared" si="21"/>
        <v>FB_IMv_BUF_S.DLCX</v>
      </c>
      <c r="B243" s="11">
        <v>101</v>
      </c>
      <c r="C243" s="11" t="s">
        <v>0</v>
      </c>
      <c r="D243" s="20" t="s">
        <v>578</v>
      </c>
      <c r="BK243" s="4"/>
      <c r="BL243" s="4"/>
      <c r="BM243" s="4"/>
      <c r="BN243" s="4"/>
    </row>
    <row r="244" spans="1:66" ht="15" customHeight="1">
      <c r="A244" s="19" t="str">
        <f t="shared" si="21"/>
        <v>FB_IMv_BUF_S.DLCX</v>
      </c>
      <c r="B244" s="11">
        <v>3</v>
      </c>
      <c r="C244" s="11" t="s">
        <v>1</v>
      </c>
      <c r="D244" s="20">
        <v>192</v>
      </c>
      <c r="BK244" s="4"/>
      <c r="BL244" s="4"/>
      <c r="BM244" s="4"/>
      <c r="BN244" s="4"/>
    </row>
    <row r="245" spans="1:66" ht="15" customHeight="1">
      <c r="A245" s="19" t="str">
        <f t="shared" si="21"/>
        <v>FB_IMv_BUF_S.DLCX</v>
      </c>
      <c r="B245" s="11">
        <v>2</v>
      </c>
      <c r="C245" s="11" t="s">
        <v>2</v>
      </c>
      <c r="D245" s="20" t="s">
        <v>3</v>
      </c>
      <c r="BK245" s="4"/>
      <c r="BL245" s="4"/>
      <c r="BM245" s="4"/>
      <c r="BN245" s="4"/>
    </row>
    <row r="246" spans="1:66" ht="15" customHeight="1">
      <c r="A246" s="21" t="str">
        <f t="shared" si="21"/>
        <v>FB_IMv_BUF_S.DLCX</v>
      </c>
      <c r="B246" s="8">
        <v>1</v>
      </c>
      <c r="C246" s="8" t="s">
        <v>1</v>
      </c>
      <c r="D246" s="22">
        <v>11</v>
      </c>
      <c r="BK246" s="4"/>
      <c r="BL246" s="4"/>
      <c r="BM246" s="4"/>
      <c r="BN246" s="4"/>
    </row>
    <row r="247" spans="1:66" ht="15" customHeight="1">
      <c r="A247" s="163" t="str">
        <f t="shared" ref="A247:A256" si="22">$R$2&amp;".DRCX"</f>
        <v>FB_IMv_BUF_S.DRCX</v>
      </c>
      <c r="B247" s="123">
        <v>11154</v>
      </c>
      <c r="C247" s="123" t="s">
        <v>4</v>
      </c>
      <c r="D247" s="124">
        <f>$Q$9</f>
        <v>10</v>
      </c>
      <c r="BK247" s="4"/>
      <c r="BL247" s="4"/>
      <c r="BM247" s="4"/>
      <c r="BN247" s="4"/>
    </row>
    <row r="248" spans="1:66" ht="15" customHeight="1">
      <c r="A248" s="110" t="str">
        <f t="shared" si="22"/>
        <v>FB_IMv_BUF_S.DRCX</v>
      </c>
      <c r="B248" s="111">
        <v>11150</v>
      </c>
      <c r="C248" s="111" t="s">
        <v>0</v>
      </c>
      <c r="D248" s="112" t="s">
        <v>105</v>
      </c>
      <c r="BK248" s="4"/>
      <c r="BL248" s="4"/>
      <c r="BM248" s="4"/>
      <c r="BN248" s="4"/>
    </row>
    <row r="249" spans="1:66" ht="15" customHeight="1">
      <c r="A249" s="110" t="str">
        <f t="shared" si="22"/>
        <v>FB_IMv_BUF_S.DRCX</v>
      </c>
      <c r="B249" s="111">
        <v>11152</v>
      </c>
      <c r="C249" s="111" t="s">
        <v>0</v>
      </c>
      <c r="D249" s="113" t="str">
        <f>$R$9</f>
        <v>Недостоверность</v>
      </c>
      <c r="BK249" s="4"/>
      <c r="BL249" s="4"/>
      <c r="BM249" s="4"/>
      <c r="BN249" s="4"/>
    </row>
    <row r="250" spans="1:66" ht="15" customHeight="1">
      <c r="A250" s="110" t="str">
        <f t="shared" si="22"/>
        <v>FB_IMv_BUF_S.DRCX</v>
      </c>
      <c r="B250" s="111">
        <v>11000</v>
      </c>
      <c r="C250" s="111" t="s">
        <v>5</v>
      </c>
      <c r="D250" s="112">
        <v>2147483680</v>
      </c>
      <c r="BK250" s="4"/>
      <c r="BL250" s="4"/>
      <c r="BM250" s="4"/>
      <c r="BN250" s="4"/>
    </row>
    <row r="251" spans="1:66" ht="15" customHeight="1">
      <c r="A251" s="19" t="str">
        <f t="shared" si="22"/>
        <v>FB_IMv_BUF_S.DRCX</v>
      </c>
      <c r="B251" s="11">
        <v>7999</v>
      </c>
      <c r="C251" s="11" t="s">
        <v>0</v>
      </c>
      <c r="D251" s="20" t="str">
        <f>"#"&amp;$S$2&amp;"#"&amp;$T$2&amp;"\"&amp;$P$2&amp;"\DRCX"</f>
        <v>#1#treiOPCDA.CoOPCserv.1\pcmaster\KMZ1_BUF\DRCX</v>
      </c>
      <c r="BK251" s="4"/>
      <c r="BL251" s="4"/>
      <c r="BM251" s="4"/>
      <c r="BN251" s="4"/>
    </row>
    <row r="252" spans="1:66" ht="15" customHeight="1">
      <c r="A252" s="19" t="str">
        <f t="shared" si="22"/>
        <v>FB_IMv_BUF_S.DRCX</v>
      </c>
      <c r="B252" s="11">
        <v>7998</v>
      </c>
      <c r="C252" s="11" t="s">
        <v>6</v>
      </c>
      <c r="D252" s="20">
        <v>1</v>
      </c>
      <c r="BK252" s="4"/>
      <c r="BL252" s="4"/>
      <c r="BM252" s="4"/>
      <c r="BN252" s="4"/>
    </row>
    <row r="253" spans="1:66" ht="15" customHeight="1">
      <c r="A253" s="19" t="str">
        <f t="shared" si="22"/>
        <v>FB_IMv_BUF_S.DRCX</v>
      </c>
      <c r="B253" s="11">
        <v>101</v>
      </c>
      <c r="C253" s="11" t="s">
        <v>0</v>
      </c>
      <c r="D253" s="20" t="s">
        <v>573</v>
      </c>
      <c r="BK253" s="4"/>
      <c r="BL253" s="4"/>
      <c r="BM253" s="4"/>
      <c r="BN253" s="4"/>
    </row>
    <row r="254" spans="1:66" ht="15" customHeight="1">
      <c r="A254" s="19" t="str">
        <f t="shared" si="22"/>
        <v>FB_IMv_BUF_S.DRCX</v>
      </c>
      <c r="B254" s="11">
        <v>3</v>
      </c>
      <c r="C254" s="11" t="s">
        <v>1</v>
      </c>
      <c r="D254" s="20">
        <v>192</v>
      </c>
      <c r="BK254" s="4"/>
      <c r="BL254" s="4"/>
      <c r="BM254" s="4"/>
      <c r="BN254" s="4"/>
    </row>
    <row r="255" spans="1:66" ht="15" customHeight="1">
      <c r="A255" s="19" t="str">
        <f t="shared" si="22"/>
        <v>FB_IMv_BUF_S.DRCX</v>
      </c>
      <c r="B255" s="11">
        <v>2</v>
      </c>
      <c r="C255" s="11" t="s">
        <v>2</v>
      </c>
      <c r="D255" s="20" t="s">
        <v>3</v>
      </c>
      <c r="BK255" s="4"/>
      <c r="BL255" s="4"/>
      <c r="BM255" s="4"/>
      <c r="BN255" s="4"/>
    </row>
    <row r="256" spans="1:66" ht="15" customHeight="1">
      <c r="A256" s="21" t="str">
        <f t="shared" si="22"/>
        <v>FB_IMv_BUF_S.DRCX</v>
      </c>
      <c r="B256" s="8">
        <v>1</v>
      </c>
      <c r="C256" s="8" t="s">
        <v>1</v>
      </c>
      <c r="D256" s="22">
        <v>11</v>
      </c>
      <c r="BK256" s="4"/>
      <c r="BL256" s="4"/>
      <c r="BM256" s="4"/>
      <c r="BN256" s="4"/>
    </row>
    <row r="257" spans="1:66" ht="15" customHeight="1">
      <c r="A257" s="163" t="str">
        <f t="shared" ref="A257:A266" si="23">$R$2&amp;".DFXX"</f>
        <v>FB_IMv_BUF_S.DFXX</v>
      </c>
      <c r="B257" s="123">
        <v>11154</v>
      </c>
      <c r="C257" s="123" t="s">
        <v>4</v>
      </c>
      <c r="D257" s="124">
        <f>$Q$9</f>
        <v>10</v>
      </c>
      <c r="BK257" s="4"/>
      <c r="BL257" s="4"/>
      <c r="BM257" s="4"/>
      <c r="BN257" s="4"/>
    </row>
    <row r="258" spans="1:66" ht="15" customHeight="1">
      <c r="A258" s="110" t="str">
        <f t="shared" si="23"/>
        <v>FB_IMv_BUF_S.DFXX</v>
      </c>
      <c r="B258" s="111">
        <v>11150</v>
      </c>
      <c r="C258" s="111" t="s">
        <v>0</v>
      </c>
      <c r="D258" s="112" t="s">
        <v>104</v>
      </c>
      <c r="BK258" s="4"/>
      <c r="BL258" s="4"/>
      <c r="BM258" s="4"/>
      <c r="BN258" s="4"/>
    </row>
    <row r="259" spans="1:66" ht="15" customHeight="1">
      <c r="A259" s="110" t="str">
        <f t="shared" si="23"/>
        <v>FB_IMv_BUF_S.DFXX</v>
      </c>
      <c r="B259" s="111">
        <v>11152</v>
      </c>
      <c r="C259" s="111" t="s">
        <v>0</v>
      </c>
      <c r="D259" s="113" t="str">
        <f>$R$9</f>
        <v>Недостоверность</v>
      </c>
      <c r="BK259" s="4"/>
      <c r="BL259" s="4"/>
      <c r="BM259" s="4"/>
      <c r="BN259" s="4"/>
    </row>
    <row r="260" spans="1:66" ht="15" customHeight="1">
      <c r="A260" s="110" t="str">
        <f t="shared" si="23"/>
        <v>FB_IMv_BUF_S.DFXX</v>
      </c>
      <c r="B260" s="111">
        <v>11000</v>
      </c>
      <c r="C260" s="111" t="s">
        <v>5</v>
      </c>
      <c r="D260" s="112">
        <v>2147483680</v>
      </c>
      <c r="BK260" s="4"/>
      <c r="BL260" s="4"/>
      <c r="BM260" s="4"/>
      <c r="BN260" s="4"/>
    </row>
    <row r="261" spans="1:66" ht="15" customHeight="1">
      <c r="A261" s="19" t="str">
        <f t="shared" si="23"/>
        <v>FB_IMv_BUF_S.DFXX</v>
      </c>
      <c r="B261" s="11">
        <v>7999</v>
      </c>
      <c r="C261" s="11" t="s">
        <v>0</v>
      </c>
      <c r="D261" s="20" t="str">
        <f>"#"&amp;$S$2&amp;"#"&amp;$T$2&amp;"\"&amp;$P$2&amp;"\DFXX"</f>
        <v>#1#treiOPCDA.CoOPCserv.1\pcmaster\KMZ1_BUF\DFXX</v>
      </c>
      <c r="BK261" s="4"/>
      <c r="BL261" s="4"/>
      <c r="BM261" s="4"/>
      <c r="BN261" s="4"/>
    </row>
    <row r="262" spans="1:66" ht="15" customHeight="1">
      <c r="A262" s="19" t="str">
        <f t="shared" si="23"/>
        <v>FB_IMv_BUF_S.DFXX</v>
      </c>
      <c r="B262" s="11">
        <v>7998</v>
      </c>
      <c r="C262" s="11" t="s">
        <v>6</v>
      </c>
      <c r="D262" s="20">
        <v>1</v>
      </c>
      <c r="BK262" s="4"/>
      <c r="BL262" s="4"/>
      <c r="BM262" s="4"/>
      <c r="BN262" s="4"/>
    </row>
    <row r="263" spans="1:66" ht="15" customHeight="1">
      <c r="A263" s="19" t="str">
        <f t="shared" si="23"/>
        <v>FB_IMv_BUF_S.DFXX</v>
      </c>
      <c r="B263" s="11">
        <v>101</v>
      </c>
      <c r="C263" s="11" t="s">
        <v>0</v>
      </c>
      <c r="D263" s="20" t="s">
        <v>520</v>
      </c>
      <c r="BK263" s="4"/>
      <c r="BL263" s="4"/>
      <c r="BM263" s="4"/>
      <c r="BN263" s="4"/>
    </row>
    <row r="264" spans="1:66" ht="15" customHeight="1">
      <c r="A264" s="19" t="str">
        <f t="shared" si="23"/>
        <v>FB_IMv_BUF_S.DFXX</v>
      </c>
      <c r="B264" s="11">
        <v>3</v>
      </c>
      <c r="C264" s="11" t="s">
        <v>1</v>
      </c>
      <c r="D264" s="20">
        <v>192</v>
      </c>
      <c r="BK264" s="4"/>
      <c r="BL264" s="4"/>
      <c r="BM264" s="4"/>
      <c r="BN264" s="4"/>
    </row>
    <row r="265" spans="1:66" ht="15" customHeight="1">
      <c r="A265" s="19" t="str">
        <f t="shared" si="23"/>
        <v>FB_IMv_BUF_S.DFXX</v>
      </c>
      <c r="B265" s="11">
        <v>2</v>
      </c>
      <c r="C265" s="11" t="s">
        <v>2</v>
      </c>
      <c r="D265" s="20" t="s">
        <v>3</v>
      </c>
      <c r="BK265" s="4"/>
      <c r="BL265" s="4"/>
      <c r="BM265" s="4"/>
      <c r="BN265" s="4"/>
    </row>
    <row r="266" spans="1:66" ht="15" customHeight="1">
      <c r="A266" s="21" t="str">
        <f t="shared" si="23"/>
        <v>FB_IMv_BUF_S.DFXX</v>
      </c>
      <c r="B266" s="8">
        <v>1</v>
      </c>
      <c r="C266" s="8" t="s">
        <v>1</v>
      </c>
      <c r="D266" s="22">
        <v>11</v>
      </c>
      <c r="BK266" s="4"/>
      <c r="BL266" s="4"/>
      <c r="BM266" s="4"/>
      <c r="BN266" s="4"/>
    </row>
    <row r="267" spans="1:66" ht="15" customHeight="1">
      <c r="A267" s="163" t="str">
        <f t="shared" ref="A267:A276" si="24">$R$2&amp;".DOON"</f>
        <v>FB_IMv_BUF_S.DOON</v>
      </c>
      <c r="B267" s="123">
        <v>11154</v>
      </c>
      <c r="C267" s="123" t="s">
        <v>4</v>
      </c>
      <c r="D267" s="124">
        <f>$Q$9</f>
        <v>10</v>
      </c>
      <c r="BK267" s="4"/>
      <c r="BL267" s="4"/>
      <c r="BM267" s="4"/>
      <c r="BN267" s="4"/>
    </row>
    <row r="268" spans="1:66" ht="15" customHeight="1">
      <c r="A268" s="110" t="str">
        <f t="shared" si="24"/>
        <v>FB_IMv_BUF_S.DOON</v>
      </c>
      <c r="B268" s="111">
        <v>11150</v>
      </c>
      <c r="C268" s="111" t="s">
        <v>0</v>
      </c>
      <c r="D268" s="112" t="str">
        <f>"Недостоверность: выходное  значение  Открыть"</f>
        <v>Недостоверность: выходное  значение  Открыть</v>
      </c>
      <c r="BK268" s="4"/>
      <c r="BL268" s="4"/>
      <c r="BM268" s="4"/>
      <c r="BN268" s="4"/>
    </row>
    <row r="269" spans="1:66" ht="15" customHeight="1">
      <c r="A269" s="110" t="str">
        <f t="shared" si="24"/>
        <v>FB_IMv_BUF_S.DOON</v>
      </c>
      <c r="B269" s="111">
        <v>11152</v>
      </c>
      <c r="C269" s="111" t="s">
        <v>0</v>
      </c>
      <c r="D269" s="113" t="str">
        <f>$R$9</f>
        <v>Недостоверность</v>
      </c>
      <c r="BK269" s="4"/>
      <c r="BL269" s="4"/>
      <c r="BM269" s="4"/>
      <c r="BN269" s="4"/>
    </row>
    <row r="270" spans="1:66" ht="15" customHeight="1">
      <c r="A270" s="110" t="str">
        <f t="shared" si="24"/>
        <v>FB_IMv_BUF_S.DOON</v>
      </c>
      <c r="B270" s="111">
        <v>11000</v>
      </c>
      <c r="C270" s="111" t="s">
        <v>5</v>
      </c>
      <c r="D270" s="112">
        <v>2147483680</v>
      </c>
      <c r="BK270" s="4"/>
      <c r="BL270" s="4"/>
      <c r="BM270" s="4"/>
      <c r="BN270" s="4"/>
    </row>
    <row r="271" spans="1:66" ht="15" customHeight="1">
      <c r="A271" s="19" t="str">
        <f t="shared" si="24"/>
        <v>FB_IMv_BUF_S.DOON</v>
      </c>
      <c r="B271" s="11">
        <v>7999</v>
      </c>
      <c r="C271" s="11" t="s">
        <v>0</v>
      </c>
      <c r="D271" s="20" t="str">
        <f>"#"&amp;$S$2&amp;"#"&amp;$T$2&amp;"\"&amp;$P$2&amp;"\DOON"</f>
        <v>#1#treiOPCDA.CoOPCserv.1\pcmaster\KMZ1_BUF\DOON</v>
      </c>
      <c r="BK271" s="4"/>
      <c r="BL271" s="4"/>
      <c r="BM271" s="4"/>
      <c r="BN271" s="4"/>
    </row>
    <row r="272" spans="1:66" ht="15" customHeight="1">
      <c r="A272" s="19" t="str">
        <f t="shared" si="24"/>
        <v>FB_IMv_BUF_S.DOON</v>
      </c>
      <c r="B272" s="11">
        <v>7998</v>
      </c>
      <c r="C272" s="11" t="s">
        <v>6</v>
      </c>
      <c r="D272" s="20">
        <v>1</v>
      </c>
      <c r="BK272" s="4"/>
      <c r="BL272" s="4"/>
      <c r="BM272" s="4"/>
      <c r="BN272" s="4"/>
    </row>
    <row r="273" spans="1:66" ht="15" customHeight="1">
      <c r="A273" s="19" t="str">
        <f t="shared" si="24"/>
        <v>FB_IMv_BUF_S.DOON</v>
      </c>
      <c r="B273" s="11">
        <v>101</v>
      </c>
      <c r="C273" s="11" t="s">
        <v>0</v>
      </c>
      <c r="D273" s="20" t="str">
        <f>"Недостоверное Выходное  значение Открыть"</f>
        <v>Недостоверное Выходное  значение Открыть</v>
      </c>
      <c r="BK273" s="4"/>
      <c r="BL273" s="4"/>
      <c r="BM273" s="4"/>
      <c r="BN273" s="4"/>
    </row>
    <row r="274" spans="1:66" ht="15" customHeight="1">
      <c r="A274" s="19" t="str">
        <f t="shared" si="24"/>
        <v>FB_IMv_BUF_S.DOON</v>
      </c>
      <c r="B274" s="11">
        <v>3</v>
      </c>
      <c r="C274" s="11" t="s">
        <v>1</v>
      </c>
      <c r="D274" s="20">
        <v>192</v>
      </c>
      <c r="BK274" s="4"/>
      <c r="BL274" s="4"/>
      <c r="BM274" s="4"/>
      <c r="BN274" s="4"/>
    </row>
    <row r="275" spans="1:66" ht="15" customHeight="1">
      <c r="A275" s="19" t="str">
        <f t="shared" si="24"/>
        <v>FB_IMv_BUF_S.DOON</v>
      </c>
      <c r="B275" s="11">
        <v>2</v>
      </c>
      <c r="C275" s="11" t="s">
        <v>2</v>
      </c>
      <c r="D275" s="20" t="s">
        <v>3</v>
      </c>
      <c r="BK275" s="4"/>
      <c r="BL275" s="4"/>
      <c r="BM275" s="4"/>
      <c r="BN275" s="4"/>
    </row>
    <row r="276" spans="1:66" ht="15" customHeight="1">
      <c r="A276" s="21" t="str">
        <f t="shared" si="24"/>
        <v>FB_IMv_BUF_S.DOON</v>
      </c>
      <c r="B276" s="8">
        <v>1</v>
      </c>
      <c r="C276" s="8" t="s">
        <v>1</v>
      </c>
      <c r="D276" s="22">
        <v>11</v>
      </c>
      <c r="BK276" s="4"/>
      <c r="BL276" s="4"/>
      <c r="BM276" s="4"/>
      <c r="BN276" s="4"/>
    </row>
    <row r="277" spans="1:66" ht="15" customHeight="1">
      <c r="A277" s="163" t="str">
        <f t="shared" ref="A277:A286" si="25">$R$2&amp;".DOOF"</f>
        <v>FB_IMv_BUF_S.DOOF</v>
      </c>
      <c r="B277" s="123">
        <v>11154</v>
      </c>
      <c r="C277" s="123" t="s">
        <v>4</v>
      </c>
      <c r="D277" s="124">
        <f>$Q$9</f>
        <v>10</v>
      </c>
      <c r="BK277" s="4"/>
      <c r="BL277" s="4"/>
      <c r="BM277" s="4"/>
      <c r="BN277" s="4"/>
    </row>
    <row r="278" spans="1:66" ht="15" customHeight="1">
      <c r="A278" s="110" t="str">
        <f t="shared" si="25"/>
        <v>FB_IMv_BUF_S.DOOF</v>
      </c>
      <c r="B278" s="111">
        <v>11150</v>
      </c>
      <c r="C278" s="111" t="s">
        <v>0</v>
      </c>
      <c r="D278" s="112" t="str">
        <f>"Недостоверность: выходное  значение Закрыть"</f>
        <v>Недостоверность: выходное  значение Закрыть</v>
      </c>
      <c r="BK278" s="4"/>
      <c r="BL278" s="4"/>
      <c r="BM278" s="4"/>
      <c r="BN278" s="4"/>
    </row>
    <row r="279" spans="1:66" ht="15" customHeight="1">
      <c r="A279" s="110" t="str">
        <f t="shared" si="25"/>
        <v>FB_IMv_BUF_S.DOOF</v>
      </c>
      <c r="B279" s="111">
        <v>11152</v>
      </c>
      <c r="C279" s="111" t="s">
        <v>0</v>
      </c>
      <c r="D279" s="113" t="str">
        <f>$R$9</f>
        <v>Недостоверность</v>
      </c>
      <c r="BK279" s="4"/>
      <c r="BL279" s="4"/>
      <c r="BM279" s="4"/>
      <c r="BN279" s="4"/>
    </row>
    <row r="280" spans="1:66" ht="15" customHeight="1">
      <c r="A280" s="110" t="str">
        <f t="shared" si="25"/>
        <v>FB_IMv_BUF_S.DOOF</v>
      </c>
      <c r="B280" s="111">
        <v>11000</v>
      </c>
      <c r="C280" s="111" t="s">
        <v>5</v>
      </c>
      <c r="D280" s="112">
        <v>2147483680</v>
      </c>
      <c r="BK280" s="4"/>
      <c r="BL280" s="4"/>
      <c r="BM280" s="4"/>
      <c r="BN280" s="4"/>
    </row>
    <row r="281" spans="1:66" ht="15" customHeight="1">
      <c r="A281" s="19" t="str">
        <f t="shared" si="25"/>
        <v>FB_IMv_BUF_S.DOOF</v>
      </c>
      <c r="B281" s="11">
        <v>7999</v>
      </c>
      <c r="C281" s="11" t="s">
        <v>0</v>
      </c>
      <c r="D281" s="20" t="str">
        <f>"#"&amp;$S$2&amp;"#"&amp;$T$2&amp;"\"&amp;$P$2&amp;"\DOOF"</f>
        <v>#1#treiOPCDA.CoOPCserv.1\pcmaster\KMZ1_BUF\DOOF</v>
      </c>
      <c r="BK281" s="4"/>
      <c r="BL281" s="4"/>
      <c r="BM281" s="4"/>
      <c r="BN281" s="4"/>
    </row>
    <row r="282" spans="1:66" ht="15" customHeight="1">
      <c r="A282" s="19" t="str">
        <f t="shared" si="25"/>
        <v>FB_IMv_BUF_S.DOOF</v>
      </c>
      <c r="B282" s="11">
        <v>7998</v>
      </c>
      <c r="C282" s="11" t="s">
        <v>6</v>
      </c>
      <c r="D282" s="20">
        <v>1</v>
      </c>
      <c r="BK282" s="4"/>
      <c r="BL282" s="4"/>
      <c r="BM282" s="4"/>
      <c r="BN282" s="4"/>
    </row>
    <row r="283" spans="1:66" ht="15" customHeight="1">
      <c r="A283" s="19" t="str">
        <f t="shared" si="25"/>
        <v>FB_IMv_BUF_S.DOOF</v>
      </c>
      <c r="B283" s="11">
        <v>101</v>
      </c>
      <c r="C283" s="11" t="s">
        <v>0</v>
      </c>
      <c r="D283" s="20" t="str">
        <f>"Недостоверное Выходное значение Закрыть"</f>
        <v>Недостоверное Выходное значение Закрыть</v>
      </c>
      <c r="BK283" s="4"/>
      <c r="BL283" s="4"/>
      <c r="BM283" s="4"/>
      <c r="BN283" s="4"/>
    </row>
    <row r="284" spans="1:66" ht="15" customHeight="1">
      <c r="A284" s="19" t="str">
        <f t="shared" si="25"/>
        <v>FB_IMv_BUF_S.DOOF</v>
      </c>
      <c r="B284" s="11">
        <v>3</v>
      </c>
      <c r="C284" s="11" t="s">
        <v>1</v>
      </c>
      <c r="D284" s="20">
        <v>192</v>
      </c>
      <c r="BK284" s="4"/>
      <c r="BL284" s="4"/>
      <c r="BM284" s="4"/>
      <c r="BN284" s="4"/>
    </row>
    <row r="285" spans="1:66" ht="15" customHeight="1">
      <c r="A285" s="19" t="str">
        <f t="shared" si="25"/>
        <v>FB_IMv_BUF_S.DOOF</v>
      </c>
      <c r="B285" s="11">
        <v>2</v>
      </c>
      <c r="C285" s="11" t="s">
        <v>2</v>
      </c>
      <c r="D285" s="20" t="s">
        <v>3</v>
      </c>
      <c r="BK285" s="4"/>
      <c r="BL285" s="4"/>
      <c r="BM285" s="4"/>
      <c r="BN285" s="4"/>
    </row>
    <row r="286" spans="1:66" ht="15" customHeight="1">
      <c r="A286" s="21" t="str">
        <f t="shared" si="25"/>
        <v>FB_IMv_BUF_S.DOOF</v>
      </c>
      <c r="B286" s="8">
        <v>1</v>
      </c>
      <c r="C286" s="8" t="s">
        <v>1</v>
      </c>
      <c r="D286" s="22">
        <v>11</v>
      </c>
      <c r="BK286" s="4"/>
      <c r="BL286" s="4"/>
      <c r="BM286" s="4"/>
      <c r="BN286" s="4"/>
    </row>
    <row r="287" spans="1:66" ht="15" customHeight="1">
      <c r="A287" s="163" t="str">
        <f t="shared" ref="A287:A296" si="26">$R$2&amp;".DOSP"</f>
        <v>FB_IMv_BUF_S.DOSP</v>
      </c>
      <c r="B287" s="123">
        <v>11154</v>
      </c>
      <c r="C287" s="123" t="s">
        <v>4</v>
      </c>
      <c r="D287" s="124">
        <f>$Q$9</f>
        <v>10</v>
      </c>
      <c r="BK287" s="4"/>
      <c r="BL287" s="4"/>
      <c r="BM287" s="4"/>
      <c r="BN287" s="4"/>
    </row>
    <row r="288" spans="1:66" ht="15" customHeight="1">
      <c r="A288" s="110" t="str">
        <f t="shared" si="26"/>
        <v>FB_IMv_BUF_S.DOSP</v>
      </c>
      <c r="B288" s="111">
        <v>11150</v>
      </c>
      <c r="C288" s="111" t="s">
        <v>0</v>
      </c>
      <c r="D288" s="112" t="s">
        <v>189</v>
      </c>
      <c r="BK288" s="4"/>
      <c r="BL288" s="4"/>
      <c r="BM288" s="4"/>
      <c r="BN288" s="4"/>
    </row>
    <row r="289" spans="1:66" ht="15" customHeight="1">
      <c r="A289" s="110" t="str">
        <f t="shared" si="26"/>
        <v>FB_IMv_BUF_S.DOSP</v>
      </c>
      <c r="B289" s="111">
        <v>11152</v>
      </c>
      <c r="C289" s="111" t="s">
        <v>0</v>
      </c>
      <c r="D289" s="113" t="str">
        <f>$R$9</f>
        <v>Недостоверность</v>
      </c>
      <c r="BK289" s="4"/>
      <c r="BL289" s="4"/>
      <c r="BM289" s="4"/>
      <c r="BN289" s="4"/>
    </row>
    <row r="290" spans="1:66" ht="15" customHeight="1">
      <c r="A290" s="110" t="str">
        <f t="shared" si="26"/>
        <v>FB_IMv_BUF_S.DOSP</v>
      </c>
      <c r="B290" s="111">
        <v>11000</v>
      </c>
      <c r="C290" s="111" t="s">
        <v>5</v>
      </c>
      <c r="D290" s="112">
        <v>2147483680</v>
      </c>
      <c r="BK290" s="4"/>
      <c r="BL290" s="4"/>
      <c r="BM290" s="4"/>
      <c r="BN290" s="4"/>
    </row>
    <row r="291" spans="1:66" ht="15" customHeight="1">
      <c r="A291" s="19" t="str">
        <f t="shared" si="26"/>
        <v>FB_IMv_BUF_S.DOSP</v>
      </c>
      <c r="B291" s="11">
        <v>7999</v>
      </c>
      <c r="C291" s="11" t="s">
        <v>0</v>
      </c>
      <c r="D291" s="20" t="str">
        <f>"#"&amp;$S$2&amp;"#"&amp;$T$2&amp;"\"&amp;$P$2&amp;"\DOSP"</f>
        <v>#1#treiOPCDA.CoOPCserv.1\pcmaster\KMZ1_BUF\DOSP</v>
      </c>
      <c r="BK291" s="4"/>
      <c r="BL291" s="4"/>
      <c r="BM291" s="4"/>
      <c r="BN291" s="4"/>
    </row>
    <row r="292" spans="1:66" ht="15" customHeight="1">
      <c r="A292" s="19" t="str">
        <f t="shared" si="26"/>
        <v>FB_IMv_BUF_S.DOSP</v>
      </c>
      <c r="B292" s="11">
        <v>7998</v>
      </c>
      <c r="C292" s="11" t="s">
        <v>6</v>
      </c>
      <c r="D292" s="20">
        <v>1</v>
      </c>
      <c r="BK292" s="4"/>
      <c r="BL292" s="4"/>
      <c r="BM292" s="4"/>
      <c r="BN292" s="4"/>
    </row>
    <row r="293" spans="1:66" ht="15" customHeight="1">
      <c r="A293" s="19" t="str">
        <f t="shared" si="26"/>
        <v>FB_IMv_BUF_S.DOSP</v>
      </c>
      <c r="B293" s="11">
        <v>101</v>
      </c>
      <c r="C293" s="11" t="s">
        <v>0</v>
      </c>
      <c r="D293" s="20" t="s">
        <v>103</v>
      </c>
      <c r="BK293" s="4"/>
      <c r="BL293" s="4"/>
      <c r="BM293" s="4"/>
      <c r="BN293" s="4"/>
    </row>
    <row r="294" spans="1:66" ht="15" customHeight="1">
      <c r="A294" s="19" t="str">
        <f t="shared" si="26"/>
        <v>FB_IMv_BUF_S.DOSP</v>
      </c>
      <c r="B294" s="11">
        <v>3</v>
      </c>
      <c r="C294" s="11" t="s">
        <v>1</v>
      </c>
      <c r="D294" s="20">
        <v>192</v>
      </c>
      <c r="BK294" s="4"/>
      <c r="BL294" s="4"/>
      <c r="BM294" s="4"/>
      <c r="BN294" s="4"/>
    </row>
    <row r="295" spans="1:66" ht="15" customHeight="1">
      <c r="A295" s="19" t="str">
        <f t="shared" si="26"/>
        <v>FB_IMv_BUF_S.DOSP</v>
      </c>
      <c r="B295" s="11">
        <v>2</v>
      </c>
      <c r="C295" s="11" t="s">
        <v>2</v>
      </c>
      <c r="D295" s="20" t="s">
        <v>3</v>
      </c>
      <c r="BK295" s="4"/>
      <c r="BL295" s="4"/>
      <c r="BM295" s="4"/>
      <c r="BN295" s="4"/>
    </row>
    <row r="296" spans="1:66" ht="15" customHeight="1">
      <c r="A296" s="19" t="str">
        <f t="shared" si="26"/>
        <v>FB_IMv_BUF_S.DOSP</v>
      </c>
      <c r="B296" s="11">
        <v>1</v>
      </c>
      <c r="C296" s="11" t="s">
        <v>1</v>
      </c>
      <c r="D296" s="20">
        <v>11</v>
      </c>
      <c r="BK296" s="4"/>
      <c r="BL296" s="4"/>
      <c r="BM296" s="4"/>
      <c r="BN296" s="4"/>
    </row>
    <row r="297" spans="1:66" ht="15" customHeight="1">
      <c r="A297" s="137" t="str">
        <f t="shared" ref="A297:A308" si="27">$R$2&amp;".XRPX"</f>
        <v>FB_IMv_BUF_S.XRPX</v>
      </c>
      <c r="B297" s="138">
        <v>11154</v>
      </c>
      <c r="C297" s="138" t="s">
        <v>4</v>
      </c>
      <c r="D297" s="139">
        <f>$Q$11</f>
        <v>14</v>
      </c>
      <c r="BK297" s="4"/>
      <c r="BL297" s="4"/>
      <c r="BM297" s="4"/>
      <c r="BN297" s="4"/>
    </row>
    <row r="298" spans="1:66" ht="15" customHeight="1">
      <c r="A298" s="140" t="str">
        <f t="shared" si="27"/>
        <v>FB_IMv_BUF_S.XRPX</v>
      </c>
      <c r="B298" s="141">
        <v>11150</v>
      </c>
      <c r="C298" s="141" t="s">
        <v>0</v>
      </c>
      <c r="D298" s="142" t="s">
        <v>89</v>
      </c>
      <c r="BK298" s="4"/>
      <c r="BL298" s="4"/>
      <c r="BM298" s="4"/>
      <c r="BN298" s="4"/>
    </row>
    <row r="299" spans="1:66" ht="15" customHeight="1">
      <c r="A299" s="140" t="str">
        <f t="shared" si="27"/>
        <v>FB_IMv_BUF_S.XRPX</v>
      </c>
      <c r="B299" s="141">
        <v>11152</v>
      </c>
      <c r="C299" s="141" t="s">
        <v>0</v>
      </c>
      <c r="D299" s="143" t="str">
        <f>$R$11</f>
        <v>Ремонт</v>
      </c>
      <c r="BK299" s="4"/>
      <c r="BL299" s="4"/>
      <c r="BM299" s="4"/>
      <c r="BN299" s="4"/>
    </row>
    <row r="300" spans="1:66" ht="15" customHeight="1">
      <c r="A300" s="140" t="str">
        <f t="shared" si="27"/>
        <v>FB_IMv_BUF_S.XRPX</v>
      </c>
      <c r="B300" s="141">
        <v>11000</v>
      </c>
      <c r="C300" s="141" t="s">
        <v>5</v>
      </c>
      <c r="D300" s="142">
        <v>2147483680</v>
      </c>
      <c r="BK300" s="4"/>
      <c r="BL300" s="4"/>
      <c r="BM300" s="4"/>
      <c r="BN300" s="4"/>
    </row>
    <row r="301" spans="1:66" ht="15" customHeight="1">
      <c r="A301" s="19" t="str">
        <f t="shared" si="27"/>
        <v>FB_IMv_BUF_S.XRPX</v>
      </c>
      <c r="B301" s="11">
        <v>7999</v>
      </c>
      <c r="C301" s="11" t="s">
        <v>0</v>
      </c>
      <c r="D301" s="20" t="str">
        <f>"#"&amp;$S$2&amp;"#"&amp;$T$2&amp;"\"&amp;$P$2&amp;"\XRPX"</f>
        <v>#1#treiOPCDA.CoOPCserv.1\pcmaster\KMZ1_BUF\XRPX</v>
      </c>
      <c r="BK301" s="4"/>
      <c r="BL301" s="4"/>
      <c r="BM301" s="4"/>
      <c r="BN301" s="4"/>
    </row>
    <row r="302" spans="1:66" ht="15" customHeight="1">
      <c r="A302" s="19" t="str">
        <f t="shared" si="27"/>
        <v>FB_IMv_BUF_S.XRPX</v>
      </c>
      <c r="B302" s="11">
        <v>7998</v>
      </c>
      <c r="C302" s="11" t="s">
        <v>6</v>
      </c>
      <c r="D302" s="20">
        <v>1</v>
      </c>
      <c r="BK302" s="4"/>
      <c r="BL302" s="4"/>
      <c r="BM302" s="4"/>
      <c r="BN302" s="4"/>
    </row>
    <row r="303" spans="1:66" ht="15" customHeight="1">
      <c r="A303" s="19" t="str">
        <f t="shared" si="27"/>
        <v>FB_IMv_BUF_S.XRPX</v>
      </c>
      <c r="B303" s="11">
        <v>101</v>
      </c>
      <c r="C303" s="11" t="s">
        <v>0</v>
      </c>
      <c r="D303" s="20" t="s">
        <v>137</v>
      </c>
      <c r="BK303" s="4"/>
      <c r="BL303" s="4"/>
      <c r="BM303" s="4"/>
      <c r="BN303" s="4"/>
    </row>
    <row r="304" spans="1:66" ht="15" customHeight="1">
      <c r="A304" s="19" t="str">
        <f t="shared" si="27"/>
        <v>FB_IMv_BUF_S.XRPX</v>
      </c>
      <c r="B304" s="11">
        <v>3</v>
      </c>
      <c r="C304" s="11" t="s">
        <v>1</v>
      </c>
      <c r="D304" s="20">
        <v>192</v>
      </c>
      <c r="BK304" s="4"/>
      <c r="BL304" s="4"/>
      <c r="BM304" s="4"/>
      <c r="BN304" s="4"/>
    </row>
    <row r="305" spans="1:66" ht="15" customHeight="1">
      <c r="A305" s="19" t="str">
        <f t="shared" si="27"/>
        <v>FB_IMv_BUF_S.XRPX</v>
      </c>
      <c r="B305" s="11">
        <v>2</v>
      </c>
      <c r="C305" s="11" t="s">
        <v>2</v>
      </c>
      <c r="D305" s="20" t="s">
        <v>3</v>
      </c>
      <c r="BK305" s="4"/>
      <c r="BL305" s="4"/>
      <c r="BM305" s="4"/>
      <c r="BN305" s="4"/>
    </row>
    <row r="306" spans="1:66" ht="15" customHeight="1">
      <c r="A306" s="19" t="str">
        <f t="shared" si="27"/>
        <v>FB_IMv_BUF_S.XRPX</v>
      </c>
      <c r="B306" s="11">
        <v>1</v>
      </c>
      <c r="C306" s="11" t="s">
        <v>1</v>
      </c>
      <c r="D306" s="20">
        <v>11</v>
      </c>
      <c r="BK306" s="4"/>
      <c r="BL306" s="4"/>
      <c r="BM306" s="4"/>
      <c r="BN306" s="4"/>
    </row>
    <row r="307" spans="1:66" ht="15" customHeight="1">
      <c r="A307" s="29" t="str">
        <f t="shared" si="27"/>
        <v>FB_IMv_BUF_S.XRPX</v>
      </c>
      <c r="B307" s="1">
        <v>4000000</v>
      </c>
      <c r="C307" s="1" t="s">
        <v>0</v>
      </c>
      <c r="D307" s="415" t="s">
        <v>1481</v>
      </c>
      <c r="BK307" s="4"/>
      <c r="BL307" s="4"/>
      <c r="BM307" s="4"/>
      <c r="BN307" s="4"/>
    </row>
    <row r="308" spans="1:66" ht="15" customHeight="1">
      <c r="A308" s="26" t="str">
        <f t="shared" si="27"/>
        <v>FB_IMv_BUF_S.XRPX</v>
      </c>
      <c r="B308" s="27">
        <v>7000000</v>
      </c>
      <c r="C308" s="27" t="s">
        <v>6</v>
      </c>
      <c r="D308" s="28">
        <v>2</v>
      </c>
      <c r="BK308" s="4"/>
      <c r="BL308" s="4"/>
      <c r="BM308" s="4"/>
      <c r="BN308" s="4"/>
    </row>
    <row r="309" spans="1:66" ht="15" customHeight="1">
      <c r="A309" s="100" t="str">
        <f t="shared" ref="A309:A318" si="28">$R$2&amp;".XMMX"</f>
        <v>FB_IMv_BUF_S.XMMX</v>
      </c>
      <c r="B309" s="101">
        <v>11154</v>
      </c>
      <c r="C309" s="101" t="s">
        <v>4</v>
      </c>
      <c r="D309" s="102">
        <f>$Q$8</f>
        <v>18</v>
      </c>
      <c r="BK309" s="4"/>
      <c r="BL309" s="4"/>
      <c r="BM309" s="4"/>
      <c r="BN309" s="4"/>
    </row>
    <row r="310" spans="1:66" ht="15" customHeight="1">
      <c r="A310" s="100" t="str">
        <f t="shared" si="28"/>
        <v>FB_IMv_BUF_S.XMMX</v>
      </c>
      <c r="B310" s="101">
        <v>11150</v>
      </c>
      <c r="C310" s="101" t="s">
        <v>0</v>
      </c>
      <c r="D310" s="103" t="s">
        <v>134</v>
      </c>
      <c r="BK310" s="4"/>
      <c r="BL310" s="4"/>
      <c r="BM310" s="4"/>
      <c r="BN310" s="4"/>
    </row>
    <row r="311" spans="1:66" ht="15" customHeight="1">
      <c r="A311" s="100" t="str">
        <f t="shared" si="28"/>
        <v>FB_IMv_BUF_S.XMMX</v>
      </c>
      <c r="B311" s="101">
        <v>11152</v>
      </c>
      <c r="C311" s="101" t="s">
        <v>0</v>
      </c>
      <c r="D311" s="104" t="str">
        <f>$R$8</f>
        <v>Телесигнализация</v>
      </c>
      <c r="BK311" s="4"/>
      <c r="BL311" s="4"/>
      <c r="BM311" s="4"/>
      <c r="BN311" s="4"/>
    </row>
    <row r="312" spans="1:66" ht="15" customHeight="1">
      <c r="A312" s="100" t="str">
        <f t="shared" si="28"/>
        <v>FB_IMv_BUF_S.XMMX</v>
      </c>
      <c r="B312" s="101">
        <v>11000</v>
      </c>
      <c r="C312" s="101" t="s">
        <v>5</v>
      </c>
      <c r="D312" s="103">
        <v>2147483680</v>
      </c>
      <c r="BK312" s="4"/>
      <c r="BL312" s="4"/>
      <c r="BM312" s="4"/>
      <c r="BN312" s="4"/>
    </row>
    <row r="313" spans="1:66" ht="15" customHeight="1">
      <c r="A313" s="19" t="str">
        <f t="shared" si="28"/>
        <v>FB_IMv_BUF_S.XMMX</v>
      </c>
      <c r="B313" s="11">
        <v>7999</v>
      </c>
      <c r="C313" s="11" t="s">
        <v>0</v>
      </c>
      <c r="D313" s="20" t="str">
        <f>"#"&amp;$S$2&amp;"#"&amp;$T$2&amp;"\"&amp;$P$2&amp;"\XMMX"</f>
        <v>#1#treiOPCDA.CoOPCserv.1\pcmaster\KMZ1_BUF\XMMX</v>
      </c>
      <c r="BK313" s="4"/>
      <c r="BL313" s="4"/>
      <c r="BM313" s="4"/>
      <c r="BN313" s="4"/>
    </row>
    <row r="314" spans="1:66" ht="15" customHeight="1">
      <c r="A314" s="19" t="str">
        <f t="shared" si="28"/>
        <v>FB_IMv_BUF_S.XMMX</v>
      </c>
      <c r="B314" s="11">
        <v>7998</v>
      </c>
      <c r="C314" s="11" t="s">
        <v>6</v>
      </c>
      <c r="D314" s="20">
        <v>1</v>
      </c>
      <c r="BK314" s="4"/>
      <c r="BL314" s="4"/>
      <c r="BM314" s="4"/>
      <c r="BN314" s="4"/>
    </row>
    <row r="315" spans="1:66" ht="15" customHeight="1">
      <c r="A315" s="19" t="str">
        <f t="shared" si="28"/>
        <v>FB_IMv_BUF_S.XMMX</v>
      </c>
      <c r="B315" s="11">
        <v>101</v>
      </c>
      <c r="C315" s="11" t="s">
        <v>0</v>
      </c>
      <c r="D315" s="20" t="s">
        <v>574</v>
      </c>
      <c r="BK315" s="4"/>
      <c r="BL315" s="4"/>
      <c r="BM315" s="4"/>
      <c r="BN315" s="4"/>
    </row>
    <row r="316" spans="1:66" ht="15" customHeight="1">
      <c r="A316" s="19" t="str">
        <f t="shared" si="28"/>
        <v>FB_IMv_BUF_S.XMMX</v>
      </c>
      <c r="B316" s="11">
        <v>3</v>
      </c>
      <c r="C316" s="11" t="s">
        <v>1</v>
      </c>
      <c r="D316" s="20">
        <v>192</v>
      </c>
      <c r="BK316" s="4"/>
      <c r="BL316" s="4"/>
      <c r="BM316" s="4"/>
      <c r="BN316" s="4"/>
    </row>
    <row r="317" spans="1:66" ht="15" customHeight="1">
      <c r="A317" s="19" t="str">
        <f t="shared" si="28"/>
        <v>FB_IMv_BUF_S.XMMX</v>
      </c>
      <c r="B317" s="11">
        <v>2</v>
      </c>
      <c r="C317" s="11" t="s">
        <v>2</v>
      </c>
      <c r="D317" s="20" t="s">
        <v>3</v>
      </c>
      <c r="BK317" s="4"/>
      <c r="BL317" s="4"/>
      <c r="BM317" s="4"/>
      <c r="BN317" s="4"/>
    </row>
    <row r="318" spans="1:66" ht="15" customHeight="1">
      <c r="A318" s="21" t="str">
        <f t="shared" si="28"/>
        <v>FB_IMv_BUF_S.XMMX</v>
      </c>
      <c r="B318" s="8">
        <v>1</v>
      </c>
      <c r="C318" s="8" t="s">
        <v>1</v>
      </c>
      <c r="D318" s="22">
        <v>11</v>
      </c>
      <c r="BK318" s="4"/>
      <c r="BL318" s="4"/>
      <c r="BM318" s="4"/>
      <c r="BN318" s="4"/>
    </row>
    <row r="319" spans="1:66" ht="15" customHeight="1">
      <c r="A319" s="159" t="str">
        <f t="shared" ref="A319:A328" si="29">$R$2&amp;".XONX"</f>
        <v>FB_IMv_BUF_S.XONX</v>
      </c>
      <c r="B319" s="160">
        <v>11154</v>
      </c>
      <c r="C319" s="160" t="s">
        <v>4</v>
      </c>
      <c r="D319" s="161">
        <f>$Q$8</f>
        <v>18</v>
      </c>
      <c r="BK319" s="4"/>
      <c r="BL319" s="4"/>
      <c r="BM319" s="4"/>
      <c r="BN319" s="4"/>
    </row>
    <row r="320" spans="1:66" ht="15" customHeight="1">
      <c r="A320" s="100" t="str">
        <f t="shared" si="29"/>
        <v>FB_IMv_BUF_S.XONX</v>
      </c>
      <c r="B320" s="101">
        <v>11150</v>
      </c>
      <c r="C320" s="101" t="s">
        <v>0</v>
      </c>
      <c r="D320" s="103" t="s">
        <v>685</v>
      </c>
      <c r="BK320" s="4"/>
      <c r="BL320" s="4"/>
      <c r="BM320" s="4"/>
      <c r="BN320" s="4"/>
    </row>
    <row r="321" spans="1:66" ht="15" customHeight="1">
      <c r="A321" s="100" t="str">
        <f t="shared" si="29"/>
        <v>FB_IMv_BUF_S.XONX</v>
      </c>
      <c r="B321" s="101">
        <v>11152</v>
      </c>
      <c r="C321" s="101" t="s">
        <v>0</v>
      </c>
      <c r="D321" s="104" t="str">
        <f>$R$8</f>
        <v>Телесигнализация</v>
      </c>
      <c r="BK321" s="4"/>
      <c r="BL321" s="4"/>
      <c r="BM321" s="4"/>
      <c r="BN321" s="4"/>
    </row>
    <row r="322" spans="1:66" ht="15" customHeight="1">
      <c r="A322" s="100" t="str">
        <f t="shared" si="29"/>
        <v>FB_IMv_BUF_S.XONX</v>
      </c>
      <c r="B322" s="101">
        <v>11000</v>
      </c>
      <c r="C322" s="101" t="s">
        <v>5</v>
      </c>
      <c r="D322" s="103">
        <v>2147483680</v>
      </c>
      <c r="BK322" s="4"/>
      <c r="BL322" s="4"/>
      <c r="BM322" s="4"/>
      <c r="BN322" s="4"/>
    </row>
    <row r="323" spans="1:66" ht="15" customHeight="1">
      <c r="A323" s="19" t="str">
        <f t="shared" si="29"/>
        <v>FB_IMv_BUF_S.XONX</v>
      </c>
      <c r="B323" s="11">
        <v>7999</v>
      </c>
      <c r="C323" s="11" t="s">
        <v>0</v>
      </c>
      <c r="D323" s="20" t="str">
        <f>"#"&amp;$S$2&amp;"#"&amp;$T$2&amp;"\"&amp;$P$2&amp;"\XONX"</f>
        <v>#1#treiOPCDA.CoOPCserv.1\pcmaster\KMZ1_BUF\XONX</v>
      </c>
      <c r="BK323" s="4"/>
      <c r="BL323" s="4"/>
      <c r="BM323" s="4"/>
      <c r="BN323" s="4"/>
    </row>
    <row r="324" spans="1:66" ht="15" customHeight="1">
      <c r="A324" s="19" t="str">
        <f t="shared" si="29"/>
        <v>FB_IMv_BUF_S.XONX</v>
      </c>
      <c r="B324" s="11">
        <v>7998</v>
      </c>
      <c r="C324" s="11" t="s">
        <v>6</v>
      </c>
      <c r="D324" s="20">
        <v>1</v>
      </c>
      <c r="BK324" s="4"/>
      <c r="BL324" s="4"/>
      <c r="BM324" s="4"/>
      <c r="BN324" s="4"/>
    </row>
    <row r="325" spans="1:66" ht="15" customHeight="1">
      <c r="A325" s="19" t="str">
        <f t="shared" si="29"/>
        <v>FB_IMv_BUF_S.XONX</v>
      </c>
      <c r="B325" s="11">
        <v>101</v>
      </c>
      <c r="C325" s="11" t="s">
        <v>0</v>
      </c>
      <c r="D325" s="20" t="str">
        <f>"Выходное значение Открыт"</f>
        <v>Выходное значение Открыт</v>
      </c>
      <c r="BK325" s="4"/>
      <c r="BL325" s="4"/>
      <c r="BM325" s="4"/>
      <c r="BN325" s="4"/>
    </row>
    <row r="326" spans="1:66" ht="15" customHeight="1">
      <c r="A326" s="19" t="str">
        <f t="shared" si="29"/>
        <v>FB_IMv_BUF_S.XONX</v>
      </c>
      <c r="B326" s="11">
        <v>3</v>
      </c>
      <c r="C326" s="11" t="s">
        <v>1</v>
      </c>
      <c r="D326" s="20">
        <v>192</v>
      </c>
      <c r="BK326" s="4"/>
      <c r="BL326" s="4"/>
      <c r="BM326" s="4"/>
      <c r="BN326" s="4"/>
    </row>
    <row r="327" spans="1:66" ht="15" customHeight="1">
      <c r="A327" s="19" t="str">
        <f t="shared" si="29"/>
        <v>FB_IMv_BUF_S.XONX</v>
      </c>
      <c r="B327" s="11">
        <v>2</v>
      </c>
      <c r="C327" s="11" t="s">
        <v>2</v>
      </c>
      <c r="D327" s="20" t="s">
        <v>3</v>
      </c>
      <c r="BK327" s="4"/>
      <c r="BL327" s="4"/>
      <c r="BM327" s="4"/>
      <c r="BN327" s="4"/>
    </row>
    <row r="328" spans="1:66" ht="15" customHeight="1">
      <c r="A328" s="21" t="str">
        <f t="shared" si="29"/>
        <v>FB_IMv_BUF_S.XONX</v>
      </c>
      <c r="B328" s="8">
        <v>1</v>
      </c>
      <c r="C328" s="8" t="s">
        <v>1</v>
      </c>
      <c r="D328" s="22">
        <v>11</v>
      </c>
      <c r="BK328" s="4"/>
      <c r="BL328" s="4"/>
      <c r="BM328" s="4"/>
      <c r="BN328" s="4"/>
    </row>
    <row r="329" spans="1:66" ht="15" customHeight="1">
      <c r="A329" s="159" t="str">
        <f t="shared" ref="A329:A338" si="30">$R$2&amp;".XOFX"</f>
        <v>FB_IMv_BUF_S.XOFX</v>
      </c>
      <c r="B329" s="160">
        <v>11154</v>
      </c>
      <c r="C329" s="160" t="s">
        <v>4</v>
      </c>
      <c r="D329" s="161">
        <f>$Q$8</f>
        <v>18</v>
      </c>
      <c r="BK329" s="4"/>
      <c r="BL329" s="4"/>
      <c r="BM329" s="4"/>
      <c r="BN329" s="4"/>
    </row>
    <row r="330" spans="1:66" ht="15" customHeight="1">
      <c r="A330" s="100" t="str">
        <f t="shared" si="30"/>
        <v>FB_IMv_BUF_S.XOFX</v>
      </c>
      <c r="B330" s="101">
        <v>11150</v>
      </c>
      <c r="C330" s="101" t="s">
        <v>0</v>
      </c>
      <c r="D330" s="103" t="s">
        <v>816</v>
      </c>
      <c r="BK330" s="4"/>
      <c r="BL330" s="4"/>
      <c r="BM330" s="4"/>
      <c r="BN330" s="4"/>
    </row>
    <row r="331" spans="1:66" ht="15" customHeight="1">
      <c r="A331" s="100" t="str">
        <f t="shared" si="30"/>
        <v>FB_IMv_BUF_S.XOFX</v>
      </c>
      <c r="B331" s="101">
        <v>11152</v>
      </c>
      <c r="C331" s="101" t="s">
        <v>0</v>
      </c>
      <c r="D331" s="104" t="str">
        <f>$R$8</f>
        <v>Телесигнализация</v>
      </c>
      <c r="BK331" s="4"/>
      <c r="BL331" s="4"/>
      <c r="BM331" s="4"/>
      <c r="BN331" s="4"/>
    </row>
    <row r="332" spans="1:66" ht="15" customHeight="1">
      <c r="A332" s="100" t="str">
        <f t="shared" si="30"/>
        <v>FB_IMv_BUF_S.XOFX</v>
      </c>
      <c r="B332" s="101">
        <v>11000</v>
      </c>
      <c r="C332" s="101" t="s">
        <v>5</v>
      </c>
      <c r="D332" s="103">
        <v>2147483680</v>
      </c>
      <c r="BK332" s="4"/>
      <c r="BL332" s="4"/>
      <c r="BM332" s="4"/>
      <c r="BN332" s="4"/>
    </row>
    <row r="333" spans="1:66" ht="15" customHeight="1">
      <c r="A333" s="19" t="str">
        <f t="shared" si="30"/>
        <v>FB_IMv_BUF_S.XOFX</v>
      </c>
      <c r="B333" s="11">
        <v>7999</v>
      </c>
      <c r="C333" s="11" t="s">
        <v>0</v>
      </c>
      <c r="D333" s="20" t="str">
        <f>"#"&amp;$S$2&amp;"#"&amp;$T$2&amp;"\"&amp;$P$2&amp;"\XOFX"</f>
        <v>#1#treiOPCDA.CoOPCserv.1\pcmaster\KMZ1_BUF\XOFX</v>
      </c>
      <c r="BK333" s="4"/>
      <c r="BL333" s="4"/>
      <c r="BM333" s="4"/>
      <c r="BN333" s="4"/>
    </row>
    <row r="334" spans="1:66" ht="15" customHeight="1">
      <c r="A334" s="19" t="str">
        <f t="shared" si="30"/>
        <v>FB_IMv_BUF_S.XOFX</v>
      </c>
      <c r="B334" s="11">
        <v>7998</v>
      </c>
      <c r="C334" s="11" t="s">
        <v>6</v>
      </c>
      <c r="D334" s="20">
        <v>1</v>
      </c>
      <c r="BK334" s="4"/>
      <c r="BL334" s="4"/>
      <c r="BM334" s="4"/>
      <c r="BN334" s="4"/>
    </row>
    <row r="335" spans="1:66" ht="15" customHeight="1">
      <c r="A335" s="19" t="str">
        <f t="shared" si="30"/>
        <v>FB_IMv_BUF_S.XOFX</v>
      </c>
      <c r="B335" s="11">
        <v>101</v>
      </c>
      <c r="C335" s="11" t="s">
        <v>0</v>
      </c>
      <c r="D335" s="20" t="str">
        <f>"Выходное значение Закрыт"</f>
        <v>Выходное значение Закрыт</v>
      </c>
      <c r="BK335" s="4"/>
      <c r="BL335" s="4"/>
      <c r="BM335" s="4"/>
      <c r="BN335" s="4"/>
    </row>
    <row r="336" spans="1:66" ht="15" customHeight="1">
      <c r="A336" s="19" t="str">
        <f t="shared" si="30"/>
        <v>FB_IMv_BUF_S.XOFX</v>
      </c>
      <c r="B336" s="11">
        <v>3</v>
      </c>
      <c r="C336" s="11" t="s">
        <v>1</v>
      </c>
      <c r="D336" s="20">
        <v>192</v>
      </c>
      <c r="BK336" s="4"/>
      <c r="BL336" s="4"/>
      <c r="BM336" s="4"/>
      <c r="BN336" s="4"/>
    </row>
    <row r="337" spans="1:66" ht="15" customHeight="1">
      <c r="A337" s="19" t="str">
        <f t="shared" si="30"/>
        <v>FB_IMv_BUF_S.XOFX</v>
      </c>
      <c r="B337" s="11">
        <v>2</v>
      </c>
      <c r="C337" s="11" t="s">
        <v>2</v>
      </c>
      <c r="D337" s="20" t="s">
        <v>3</v>
      </c>
      <c r="BK337" s="4"/>
      <c r="BL337" s="4"/>
      <c r="BM337" s="4"/>
      <c r="BN337" s="4"/>
    </row>
    <row r="338" spans="1:66" ht="15" customHeight="1">
      <c r="A338" s="21" t="str">
        <f t="shared" si="30"/>
        <v>FB_IMv_BUF_S.XOFX</v>
      </c>
      <c r="B338" s="8">
        <v>1</v>
      </c>
      <c r="C338" s="8" t="s">
        <v>1</v>
      </c>
      <c r="D338" s="22">
        <v>11</v>
      </c>
      <c r="BK338" s="4"/>
      <c r="BL338" s="4"/>
      <c r="BM338" s="4"/>
      <c r="BN338" s="4"/>
    </row>
    <row r="339" spans="1:66" ht="15" customHeight="1">
      <c r="A339" s="159" t="str">
        <f t="shared" ref="A339:A348" si="31">$R$2&amp;".XRCX"</f>
        <v>FB_IMv_BUF_S.XRCX</v>
      </c>
      <c r="B339" s="160">
        <v>11154</v>
      </c>
      <c r="C339" s="160" t="s">
        <v>4</v>
      </c>
      <c r="D339" s="161">
        <f>$Q$8</f>
        <v>18</v>
      </c>
      <c r="BK339" s="4"/>
      <c r="BL339" s="4"/>
      <c r="BM339" s="4"/>
      <c r="BN339" s="4"/>
    </row>
    <row r="340" spans="1:66" ht="15" customHeight="1">
      <c r="A340" s="100" t="str">
        <f t="shared" si="31"/>
        <v>FB_IMv_BUF_S.XRCX</v>
      </c>
      <c r="B340" s="101">
        <v>11150</v>
      </c>
      <c r="C340" s="101" t="s">
        <v>0</v>
      </c>
      <c r="D340" s="103" t="s">
        <v>136</v>
      </c>
      <c r="BK340" s="4"/>
      <c r="BL340" s="4"/>
      <c r="BM340" s="4"/>
      <c r="BN340" s="4"/>
    </row>
    <row r="341" spans="1:66" ht="15" customHeight="1">
      <c r="A341" s="100" t="str">
        <f t="shared" si="31"/>
        <v>FB_IMv_BUF_S.XRCX</v>
      </c>
      <c r="B341" s="101">
        <v>11152</v>
      </c>
      <c r="C341" s="101" t="s">
        <v>0</v>
      </c>
      <c r="D341" s="104" t="str">
        <f>$R$8</f>
        <v>Телесигнализация</v>
      </c>
      <c r="BK341" s="4"/>
      <c r="BL341" s="4"/>
      <c r="BM341" s="4"/>
      <c r="BN341" s="4"/>
    </row>
    <row r="342" spans="1:66" ht="15" customHeight="1">
      <c r="A342" s="100" t="str">
        <f t="shared" si="31"/>
        <v>FB_IMv_BUF_S.XRCX</v>
      </c>
      <c r="B342" s="101">
        <v>11000</v>
      </c>
      <c r="C342" s="101" t="s">
        <v>5</v>
      </c>
      <c r="D342" s="103">
        <v>2147483680</v>
      </c>
      <c r="BK342" s="4"/>
      <c r="BL342" s="4"/>
      <c r="BM342" s="4"/>
      <c r="BN342" s="4"/>
    </row>
    <row r="343" spans="1:66" ht="15" customHeight="1">
      <c r="A343" s="19" t="str">
        <f t="shared" si="31"/>
        <v>FB_IMv_BUF_S.XRCX</v>
      </c>
      <c r="B343" s="11">
        <v>7999</v>
      </c>
      <c r="C343" s="11" t="s">
        <v>0</v>
      </c>
      <c r="D343" s="20" t="str">
        <f>"#"&amp;$S$2&amp;"#"&amp;$T$2&amp;"\"&amp;$P$2&amp;"\XRCX"</f>
        <v>#1#treiOPCDA.CoOPCserv.1\pcmaster\KMZ1_BUF\XRCX</v>
      </c>
      <c r="BK343" s="4"/>
      <c r="BL343" s="4"/>
      <c r="BM343" s="4"/>
      <c r="BN343" s="4"/>
    </row>
    <row r="344" spans="1:66" ht="15" customHeight="1">
      <c r="A344" s="19" t="str">
        <f t="shared" si="31"/>
        <v>FB_IMv_BUF_S.XRCX</v>
      </c>
      <c r="B344" s="11">
        <v>7998</v>
      </c>
      <c r="C344" s="11" t="s">
        <v>6</v>
      </c>
      <c r="D344" s="20">
        <v>1</v>
      </c>
      <c r="BK344" s="4"/>
      <c r="BL344" s="4"/>
      <c r="BM344" s="4"/>
      <c r="BN344" s="4"/>
    </row>
    <row r="345" spans="1:66" ht="15" customHeight="1">
      <c r="A345" s="19" t="str">
        <f t="shared" si="31"/>
        <v>FB_IMv_BUF_S.XRCX</v>
      </c>
      <c r="B345" s="11">
        <v>101</v>
      </c>
      <c r="C345" s="11" t="s">
        <v>0</v>
      </c>
      <c r="D345" s="20" t="s">
        <v>575</v>
      </c>
      <c r="BK345" s="4"/>
      <c r="BL345" s="4"/>
      <c r="BM345" s="4"/>
      <c r="BN345" s="4"/>
    </row>
    <row r="346" spans="1:66" ht="15" customHeight="1">
      <c r="A346" s="19" t="str">
        <f t="shared" si="31"/>
        <v>FB_IMv_BUF_S.XRCX</v>
      </c>
      <c r="B346" s="11">
        <v>3</v>
      </c>
      <c r="C346" s="11" t="s">
        <v>1</v>
      </c>
      <c r="D346" s="20">
        <v>192</v>
      </c>
      <c r="BK346" s="4"/>
      <c r="BL346" s="4"/>
      <c r="BM346" s="4"/>
      <c r="BN346" s="4"/>
    </row>
    <row r="347" spans="1:66" ht="15" customHeight="1">
      <c r="A347" s="19" t="str">
        <f t="shared" si="31"/>
        <v>FB_IMv_BUF_S.XRCX</v>
      </c>
      <c r="B347" s="11">
        <v>2</v>
      </c>
      <c r="C347" s="11" t="s">
        <v>2</v>
      </c>
      <c r="D347" s="20" t="s">
        <v>3</v>
      </c>
      <c r="BK347" s="4"/>
      <c r="BL347" s="4"/>
      <c r="BM347" s="4"/>
      <c r="BN347" s="4"/>
    </row>
    <row r="348" spans="1:66" ht="15" customHeight="1">
      <c r="A348" s="21" t="str">
        <f t="shared" si="31"/>
        <v>FB_IMv_BUF_S.XRCX</v>
      </c>
      <c r="B348" s="8">
        <v>1</v>
      </c>
      <c r="C348" s="8" t="s">
        <v>1</v>
      </c>
      <c r="D348" s="22">
        <v>11</v>
      </c>
      <c r="BK348" s="4"/>
      <c r="BL348" s="4"/>
      <c r="BM348" s="4"/>
      <c r="BN348" s="4"/>
    </row>
    <row r="349" spans="1:66" ht="15" customHeight="1">
      <c r="A349" s="159" t="str">
        <f t="shared" ref="A349:A358" si="32">$R$2&amp;".OXSP"</f>
        <v>FB_IMv_BUF_S.OXSP</v>
      </c>
      <c r="B349" s="160">
        <v>11154</v>
      </c>
      <c r="C349" s="160" t="s">
        <v>4</v>
      </c>
      <c r="D349" s="161">
        <f>$Q$8</f>
        <v>18</v>
      </c>
      <c r="BK349" s="4"/>
      <c r="BL349" s="4"/>
      <c r="BM349" s="4"/>
      <c r="BN349" s="4"/>
    </row>
    <row r="350" spans="1:66" ht="15" customHeight="1">
      <c r="A350" s="100" t="str">
        <f t="shared" si="32"/>
        <v>FB_IMv_BUF_S.OXSP</v>
      </c>
      <c r="B350" s="101">
        <v>11150</v>
      </c>
      <c r="C350" s="101" t="s">
        <v>0</v>
      </c>
      <c r="D350" s="103" t="s">
        <v>190</v>
      </c>
      <c r="BK350" s="4"/>
      <c r="BL350" s="4"/>
      <c r="BM350" s="4"/>
      <c r="BN350" s="4"/>
    </row>
    <row r="351" spans="1:66" ht="15" customHeight="1">
      <c r="A351" s="100" t="str">
        <f t="shared" si="32"/>
        <v>FB_IMv_BUF_S.OXSP</v>
      </c>
      <c r="B351" s="101">
        <v>11152</v>
      </c>
      <c r="C351" s="101" t="s">
        <v>0</v>
      </c>
      <c r="D351" s="104" t="str">
        <f>$R$8</f>
        <v>Телесигнализация</v>
      </c>
      <c r="BK351" s="4"/>
      <c r="BL351" s="4"/>
      <c r="BM351" s="4"/>
      <c r="BN351" s="4"/>
    </row>
    <row r="352" spans="1:66" ht="15" customHeight="1">
      <c r="A352" s="100" t="str">
        <f t="shared" si="32"/>
        <v>FB_IMv_BUF_S.OXSP</v>
      </c>
      <c r="B352" s="101">
        <v>11000</v>
      </c>
      <c r="C352" s="101" t="s">
        <v>5</v>
      </c>
      <c r="D352" s="103">
        <v>2147483680</v>
      </c>
      <c r="BK352" s="4"/>
      <c r="BL352" s="4"/>
      <c r="BM352" s="4"/>
      <c r="BN352" s="4"/>
    </row>
    <row r="353" spans="1:66" ht="15" customHeight="1">
      <c r="A353" s="19" t="str">
        <f t="shared" si="32"/>
        <v>FB_IMv_BUF_S.OXSP</v>
      </c>
      <c r="B353" s="11">
        <v>7999</v>
      </c>
      <c r="C353" s="11" t="s">
        <v>0</v>
      </c>
      <c r="D353" s="20" t="str">
        <f>"#"&amp;$S$2&amp;"#"&amp;$T$2&amp;"\"&amp;$P$2&amp;"\OXSP"</f>
        <v>#1#treiOPCDA.CoOPCserv.1\pcmaster\KMZ1_BUF\OXSP</v>
      </c>
      <c r="BK353" s="4"/>
      <c r="BL353" s="4"/>
      <c r="BM353" s="4"/>
      <c r="BN353" s="4"/>
    </row>
    <row r="354" spans="1:66" ht="15" customHeight="1">
      <c r="A354" s="19" t="str">
        <f t="shared" si="32"/>
        <v>FB_IMv_BUF_S.OXSP</v>
      </c>
      <c r="B354" s="11">
        <v>7998</v>
      </c>
      <c r="C354" s="11" t="s">
        <v>6</v>
      </c>
      <c r="D354" s="20">
        <v>1</v>
      </c>
      <c r="BK354" s="4"/>
      <c r="BL354" s="4"/>
      <c r="BM354" s="4"/>
      <c r="BN354" s="4"/>
    </row>
    <row r="355" spans="1:66" ht="15" customHeight="1">
      <c r="A355" s="19" t="str">
        <f t="shared" si="32"/>
        <v>FB_IMv_BUF_S.OXSP</v>
      </c>
      <c r="B355" s="11">
        <v>101</v>
      </c>
      <c r="C355" s="11" t="s">
        <v>0</v>
      </c>
      <c r="D355" s="20" t="s">
        <v>133</v>
      </c>
      <c r="BK355" s="4"/>
      <c r="BL355" s="4"/>
      <c r="BM355" s="4"/>
      <c r="BN355" s="4"/>
    </row>
    <row r="356" spans="1:66" ht="15" customHeight="1">
      <c r="A356" s="19" t="str">
        <f t="shared" si="32"/>
        <v>FB_IMv_BUF_S.OXSP</v>
      </c>
      <c r="B356" s="11">
        <v>3</v>
      </c>
      <c r="C356" s="11" t="s">
        <v>1</v>
      </c>
      <c r="D356" s="20">
        <v>192</v>
      </c>
      <c r="BK356" s="4"/>
      <c r="BL356" s="4"/>
      <c r="BM356" s="4"/>
      <c r="BN356" s="4"/>
    </row>
    <row r="357" spans="1:66" ht="15" customHeight="1">
      <c r="A357" s="19" t="str">
        <f t="shared" si="32"/>
        <v>FB_IMv_BUF_S.OXSP</v>
      </c>
      <c r="B357" s="11">
        <v>2</v>
      </c>
      <c r="C357" s="11" t="s">
        <v>2</v>
      </c>
      <c r="D357" s="20" t="s">
        <v>3</v>
      </c>
      <c r="BK357" s="4"/>
      <c r="BL357" s="4"/>
      <c r="BM357" s="4"/>
      <c r="BN357" s="4"/>
    </row>
    <row r="358" spans="1:66" ht="15" customHeight="1">
      <c r="A358" s="21" t="str">
        <f t="shared" si="32"/>
        <v>FB_IMv_BUF_S.OXSP</v>
      </c>
      <c r="B358" s="8">
        <v>1</v>
      </c>
      <c r="C358" s="8" t="s">
        <v>1</v>
      </c>
      <c r="D358" s="22">
        <v>11</v>
      </c>
      <c r="BK358" s="4"/>
      <c r="BL358" s="4"/>
      <c r="BM358" s="4"/>
      <c r="BN358" s="4"/>
    </row>
    <row r="359" spans="1:66">
      <c r="A359" s="100" t="str">
        <f>$R$2&amp;".CAON"</f>
        <v>FB_IMv_BUF_S.CAON</v>
      </c>
      <c r="B359" s="101">
        <v>11154</v>
      </c>
      <c r="C359" s="101" t="s">
        <v>4</v>
      </c>
      <c r="D359" s="102">
        <v>18</v>
      </c>
    </row>
    <row r="360" spans="1:66">
      <c r="A360" s="100" t="str">
        <f t="shared" ref="A360:A368" si="33">$R$2&amp;".CAON"</f>
        <v>FB_IMv_BUF_S.CAON</v>
      </c>
      <c r="B360" s="101">
        <v>11150</v>
      </c>
      <c r="C360" s="101" t="s">
        <v>0</v>
      </c>
      <c r="D360" s="103" t="s">
        <v>1843</v>
      </c>
    </row>
    <row r="361" spans="1:66">
      <c r="A361" s="100" t="str">
        <f t="shared" si="33"/>
        <v>FB_IMv_BUF_S.CAON</v>
      </c>
      <c r="B361" s="101">
        <v>11152</v>
      </c>
      <c r="C361" s="101" t="s">
        <v>0</v>
      </c>
      <c r="D361" s="104" t="s">
        <v>231</v>
      </c>
    </row>
    <row r="362" spans="1:66">
      <c r="A362" s="100" t="str">
        <f t="shared" si="33"/>
        <v>FB_IMv_BUF_S.CAON</v>
      </c>
      <c r="B362" s="101">
        <v>11000</v>
      </c>
      <c r="C362" s="101" t="s">
        <v>5</v>
      </c>
      <c r="D362" s="103">
        <v>2147483680</v>
      </c>
    </row>
    <row r="363" spans="1:66">
      <c r="A363" s="19" t="str">
        <f t="shared" si="33"/>
        <v>FB_IMv_BUF_S.CAON</v>
      </c>
      <c r="B363" s="11">
        <v>7999</v>
      </c>
      <c r="C363" s="11" t="s">
        <v>0</v>
      </c>
      <c r="D363" s="20" t="str">
        <f>"#"&amp;$S$2&amp;"#"&amp;$T$2&amp;"\"&amp;$P$2&amp;"\CAON"</f>
        <v>#1#treiOPCDA.CoOPCserv.1\pcmaster\KMZ1_BUF\CAON</v>
      </c>
    </row>
    <row r="364" spans="1:66">
      <c r="A364" s="19" t="str">
        <f t="shared" si="33"/>
        <v>FB_IMv_BUF_S.CAON</v>
      </c>
      <c r="B364" s="11">
        <v>7998</v>
      </c>
      <c r="C364" s="11" t="s">
        <v>6</v>
      </c>
      <c r="D364" s="20">
        <v>1</v>
      </c>
    </row>
    <row r="365" spans="1:66">
      <c r="A365" s="19" t="str">
        <f t="shared" si="33"/>
        <v>FB_IMv_BUF_S.CAON</v>
      </c>
      <c r="B365" s="11">
        <v>101</v>
      </c>
      <c r="C365" s="11" t="s">
        <v>0</v>
      </c>
      <c r="D365" s="20" t="s">
        <v>1843</v>
      </c>
    </row>
    <row r="366" spans="1:66">
      <c r="A366" s="19" t="str">
        <f t="shared" si="33"/>
        <v>FB_IMv_BUF_S.CAON</v>
      </c>
      <c r="B366" s="11">
        <v>3</v>
      </c>
      <c r="C366" s="11" t="s">
        <v>1</v>
      </c>
      <c r="D366" s="20">
        <v>192</v>
      </c>
    </row>
    <row r="367" spans="1:66">
      <c r="A367" s="19" t="str">
        <f t="shared" si="33"/>
        <v>FB_IMv_BUF_S.CAON</v>
      </c>
      <c r="B367" s="11">
        <v>2</v>
      </c>
      <c r="C367" s="11" t="s">
        <v>2</v>
      </c>
      <c r="D367" s="20" t="s">
        <v>3</v>
      </c>
    </row>
    <row r="368" spans="1:66">
      <c r="A368" s="21" t="str">
        <f t="shared" si="33"/>
        <v>FB_IMv_BUF_S.CAON</v>
      </c>
      <c r="B368" s="8">
        <v>1</v>
      </c>
      <c r="C368" s="8" t="s">
        <v>1</v>
      </c>
      <c r="D368" s="22">
        <v>11</v>
      </c>
    </row>
    <row r="369" spans="1:66">
      <c r="A369" s="100" t="str">
        <f>$R$2&amp;".CAOF"</f>
        <v>FB_IMv_BUF_S.CAOF</v>
      </c>
      <c r="B369" s="101">
        <v>11154</v>
      </c>
      <c r="C369" s="101" t="s">
        <v>4</v>
      </c>
      <c r="D369" s="102">
        <v>18</v>
      </c>
    </row>
    <row r="370" spans="1:66">
      <c r="A370" s="100" t="str">
        <f t="shared" ref="A370:A378" si="34">$R$2&amp;".CAOF"</f>
        <v>FB_IMv_BUF_S.CAOF</v>
      </c>
      <c r="B370" s="101">
        <v>11150</v>
      </c>
      <c r="C370" s="101" t="s">
        <v>0</v>
      </c>
      <c r="D370" s="103" t="s">
        <v>1844</v>
      </c>
    </row>
    <row r="371" spans="1:66">
      <c r="A371" s="100" t="str">
        <f t="shared" si="34"/>
        <v>FB_IMv_BUF_S.CAOF</v>
      </c>
      <c r="B371" s="101">
        <v>11152</v>
      </c>
      <c r="C371" s="101" t="s">
        <v>0</v>
      </c>
      <c r="D371" s="104" t="s">
        <v>231</v>
      </c>
    </row>
    <row r="372" spans="1:66">
      <c r="A372" s="100" t="str">
        <f t="shared" si="34"/>
        <v>FB_IMv_BUF_S.CAOF</v>
      </c>
      <c r="B372" s="101">
        <v>11000</v>
      </c>
      <c r="C372" s="101" t="s">
        <v>5</v>
      </c>
      <c r="D372" s="103">
        <v>2147483680</v>
      </c>
    </row>
    <row r="373" spans="1:66">
      <c r="A373" s="19" t="str">
        <f t="shared" si="34"/>
        <v>FB_IMv_BUF_S.CAOF</v>
      </c>
      <c r="B373" s="11">
        <v>7999</v>
      </c>
      <c r="C373" s="11" t="s">
        <v>0</v>
      </c>
      <c r="D373" s="20" t="str">
        <f>"#"&amp;$S$2&amp;"#"&amp;$T$2&amp;"\"&amp;$P$2&amp;"\CAOF"</f>
        <v>#1#treiOPCDA.CoOPCserv.1\pcmaster\KMZ1_BUF\CAOF</v>
      </c>
    </row>
    <row r="374" spans="1:66">
      <c r="A374" s="19" t="str">
        <f t="shared" si="34"/>
        <v>FB_IMv_BUF_S.CAOF</v>
      </c>
      <c r="B374" s="11">
        <v>7998</v>
      </c>
      <c r="C374" s="11" t="s">
        <v>6</v>
      </c>
      <c r="D374" s="20">
        <v>1</v>
      </c>
    </row>
    <row r="375" spans="1:66">
      <c r="A375" s="19" t="str">
        <f t="shared" si="34"/>
        <v>FB_IMv_BUF_S.CAOF</v>
      </c>
      <c r="B375" s="11">
        <v>101</v>
      </c>
      <c r="C375" s="11" t="s">
        <v>0</v>
      </c>
      <c r="D375" s="20" t="s">
        <v>1844</v>
      </c>
    </row>
    <row r="376" spans="1:66">
      <c r="A376" s="19" t="str">
        <f t="shared" si="34"/>
        <v>FB_IMv_BUF_S.CAOF</v>
      </c>
      <c r="B376" s="11">
        <v>3</v>
      </c>
      <c r="C376" s="11" t="s">
        <v>1</v>
      </c>
      <c r="D376" s="20">
        <v>192</v>
      </c>
    </row>
    <row r="377" spans="1:66">
      <c r="A377" s="19" t="str">
        <f t="shared" si="34"/>
        <v>FB_IMv_BUF_S.CAOF</v>
      </c>
      <c r="B377" s="11">
        <v>2</v>
      </c>
      <c r="C377" s="11" t="s">
        <v>2</v>
      </c>
      <c r="D377" s="20" t="s">
        <v>3</v>
      </c>
    </row>
    <row r="378" spans="1:66">
      <c r="A378" s="21" t="str">
        <f t="shared" si="34"/>
        <v>FB_IMv_BUF_S.CAOF</v>
      </c>
      <c r="B378" s="8">
        <v>1</v>
      </c>
      <c r="C378" s="8" t="s">
        <v>1</v>
      </c>
      <c r="D378" s="22">
        <v>11</v>
      </c>
    </row>
    <row r="379" spans="1:66" ht="15" customHeight="1">
      <c r="A379" s="16" t="str">
        <f>$R$2&amp;".Commands.COON"</f>
        <v>FB_IMv_BUF_S.Commands.COON</v>
      </c>
      <c r="B379" s="17">
        <v>101</v>
      </c>
      <c r="C379" s="17" t="s">
        <v>0</v>
      </c>
      <c r="D379" s="18" t="str">
        <f>"Команда оператора Открыть"</f>
        <v>Команда оператора Открыть</v>
      </c>
      <c r="BK379" s="4"/>
      <c r="BL379" s="4"/>
      <c r="BM379" s="4"/>
      <c r="BN379" s="4"/>
    </row>
    <row r="380" spans="1:66" ht="15" customHeight="1">
      <c r="A380" s="19" t="str">
        <f>$R$2&amp;".Commands.COON"</f>
        <v>FB_IMv_BUF_S.Commands.COON</v>
      </c>
      <c r="B380" s="11">
        <v>7999</v>
      </c>
      <c r="C380" s="11" t="s">
        <v>0</v>
      </c>
      <c r="D380" s="20" t="str">
        <f>"#"&amp;$T$5&amp;"#"&amp;$T$2&amp;"\"&amp;$P$2&amp;"\COON"</f>
        <v>#1#treiOPCDA.CoOPCserv.1\pcmaster\KMZ1_BUF\COON</v>
      </c>
      <c r="BK380" s="4"/>
      <c r="BL380" s="4"/>
      <c r="BM380" s="4"/>
      <c r="BN380" s="4"/>
    </row>
    <row r="381" spans="1:66" ht="15" customHeight="1">
      <c r="A381" s="19" t="str">
        <f>$R$2&amp;".Commands.COON"</f>
        <v>FB_IMv_BUF_S.Commands.COON</v>
      </c>
      <c r="B381" s="11">
        <v>7998</v>
      </c>
      <c r="C381" s="11" t="s">
        <v>6</v>
      </c>
      <c r="D381" s="20">
        <v>2</v>
      </c>
      <c r="BK381" s="4"/>
      <c r="BL381" s="4"/>
      <c r="BM381" s="4"/>
      <c r="BN381" s="4"/>
    </row>
    <row r="382" spans="1:66" ht="15" customHeight="1">
      <c r="A382" s="21" t="str">
        <f>$R$2&amp;".Commands.COON"</f>
        <v>FB_IMv_BUF_S.Commands.COON</v>
      </c>
      <c r="B382" s="8">
        <v>1</v>
      </c>
      <c r="C382" s="8" t="s">
        <v>1</v>
      </c>
      <c r="D382" s="22">
        <v>11</v>
      </c>
      <c r="BK382" s="4"/>
      <c r="BL382" s="4"/>
      <c r="BM382" s="4"/>
      <c r="BN382" s="4"/>
    </row>
    <row r="383" spans="1:66" ht="15" customHeight="1">
      <c r="A383" s="16" t="str">
        <f>$R$2&amp;".Commands.COOF"</f>
        <v>FB_IMv_BUF_S.Commands.COOF</v>
      </c>
      <c r="B383" s="17">
        <v>101</v>
      </c>
      <c r="C383" s="17" t="s">
        <v>0</v>
      </c>
      <c r="D383" s="18" t="str">
        <f>"Команда оператора Закрыть"</f>
        <v>Команда оператора Закрыть</v>
      </c>
      <c r="BK383" s="4"/>
      <c r="BL383" s="4"/>
      <c r="BM383" s="4"/>
      <c r="BN383" s="4"/>
    </row>
    <row r="384" spans="1:66" ht="15" customHeight="1">
      <c r="A384" s="19" t="str">
        <f>$R$2&amp;".Commands.COOF"</f>
        <v>FB_IMv_BUF_S.Commands.COOF</v>
      </c>
      <c r="B384" s="11">
        <v>7999</v>
      </c>
      <c r="C384" s="11" t="s">
        <v>0</v>
      </c>
      <c r="D384" s="20" t="str">
        <f>"#"&amp;$T$5&amp;"#"&amp;$T$2&amp;"\"&amp;$P$2&amp;"\COOF"</f>
        <v>#1#treiOPCDA.CoOPCserv.1\pcmaster\KMZ1_BUF\COOF</v>
      </c>
      <c r="BK384" s="4"/>
      <c r="BL384" s="4"/>
      <c r="BM384" s="4"/>
      <c r="BN384" s="4"/>
    </row>
    <row r="385" spans="1:66" ht="15" customHeight="1">
      <c r="A385" s="19" t="str">
        <f>$R$2&amp;".Commands.COOF"</f>
        <v>FB_IMv_BUF_S.Commands.COOF</v>
      </c>
      <c r="B385" s="11">
        <v>7998</v>
      </c>
      <c r="C385" s="11" t="s">
        <v>6</v>
      </c>
      <c r="D385" s="20">
        <v>2</v>
      </c>
      <c r="BK385" s="4"/>
      <c r="BL385" s="4"/>
      <c r="BM385" s="4"/>
      <c r="BN385" s="4"/>
    </row>
    <row r="386" spans="1:66" ht="15" customHeight="1">
      <c r="A386" s="21" t="str">
        <f>$R$2&amp;".Commands.COOF"</f>
        <v>FB_IMv_BUF_S.Commands.COOF</v>
      </c>
      <c r="B386" s="8">
        <v>1</v>
      </c>
      <c r="C386" s="8" t="s">
        <v>1</v>
      </c>
      <c r="D386" s="22">
        <v>11</v>
      </c>
      <c r="BK386" s="4"/>
      <c r="BL386" s="4"/>
      <c r="BM386" s="4"/>
      <c r="BN386" s="4"/>
    </row>
    <row r="387" spans="1:66" ht="15" customHeight="1">
      <c r="A387" s="16" t="str">
        <f>$R$2&amp;".Commands.COSP"</f>
        <v>FB_IMv_BUF_S.Commands.COSP</v>
      </c>
      <c r="B387" s="17">
        <v>101</v>
      </c>
      <c r="C387" s="17" t="s">
        <v>0</v>
      </c>
      <c r="D387" s="18" t="s">
        <v>111</v>
      </c>
      <c r="BK387" s="4"/>
      <c r="BL387" s="4"/>
      <c r="BM387" s="4"/>
      <c r="BN387" s="4"/>
    </row>
    <row r="388" spans="1:66" ht="15" customHeight="1">
      <c r="A388" s="19" t="str">
        <f>$R$2&amp;".Commands.COSP"</f>
        <v>FB_IMv_BUF_S.Commands.COSP</v>
      </c>
      <c r="B388" s="11">
        <v>7999</v>
      </c>
      <c r="C388" s="11" t="s">
        <v>0</v>
      </c>
      <c r="D388" s="20" t="str">
        <f>"#"&amp;$T$5&amp;"#"&amp;$T$2&amp;"\"&amp;$P$2&amp;"\COSP"</f>
        <v>#1#treiOPCDA.CoOPCserv.1\pcmaster\KMZ1_BUF\COSP</v>
      </c>
      <c r="BK388" s="4"/>
      <c r="BL388" s="4"/>
      <c r="BM388" s="4"/>
      <c r="BN388" s="4"/>
    </row>
    <row r="389" spans="1:66" ht="15" customHeight="1">
      <c r="A389" s="19" t="str">
        <f>$R$2&amp;".Commands.COSP"</f>
        <v>FB_IMv_BUF_S.Commands.COSP</v>
      </c>
      <c r="B389" s="11">
        <v>7998</v>
      </c>
      <c r="C389" s="11" t="s">
        <v>6</v>
      </c>
      <c r="D389" s="20">
        <v>2</v>
      </c>
      <c r="BK389" s="4"/>
      <c r="BL389" s="4"/>
      <c r="BM389" s="4"/>
      <c r="BN389" s="4"/>
    </row>
    <row r="390" spans="1:66" ht="15" customHeight="1">
      <c r="A390" s="21" t="str">
        <f>$R$2&amp;".Commands.COSP"</f>
        <v>FB_IMv_BUF_S.Commands.COSP</v>
      </c>
      <c r="B390" s="8">
        <v>1</v>
      </c>
      <c r="C390" s="8" t="s">
        <v>1</v>
      </c>
      <c r="D390" s="22">
        <v>11</v>
      </c>
      <c r="BK390" s="4"/>
      <c r="BL390" s="4"/>
      <c r="BM390" s="4"/>
      <c r="BN390" s="4"/>
    </row>
    <row r="391" spans="1:66" ht="15" customHeight="1">
      <c r="A391" s="16" t="str">
        <f>$R$2&amp;".Commands.CRPX"</f>
        <v>FB_IMv_BUF_S.Commands.CRPX</v>
      </c>
      <c r="B391" s="17">
        <v>101</v>
      </c>
      <c r="C391" s="17" t="s">
        <v>0</v>
      </c>
      <c r="D391" s="18" t="s">
        <v>113</v>
      </c>
      <c r="BK391" s="4"/>
      <c r="BL391" s="4"/>
      <c r="BM391" s="4"/>
      <c r="BN391" s="4"/>
    </row>
    <row r="392" spans="1:66" ht="15" customHeight="1">
      <c r="A392" s="19" t="str">
        <f>$R$2&amp;".Commands.CRPX"</f>
        <v>FB_IMv_BUF_S.Commands.CRPX</v>
      </c>
      <c r="B392" s="11">
        <v>7999</v>
      </c>
      <c r="C392" s="11" t="s">
        <v>0</v>
      </c>
      <c r="D392" s="20" t="str">
        <f>"#"&amp;$T$5&amp;"#"&amp;$T$2&amp;"\"&amp;$P$2&amp;"\CRPX"</f>
        <v>#1#treiOPCDA.CoOPCserv.1\pcmaster\KMZ1_BUF\CRPX</v>
      </c>
      <c r="BK392" s="4"/>
      <c r="BL392" s="4"/>
      <c r="BM392" s="4"/>
      <c r="BN392" s="4"/>
    </row>
    <row r="393" spans="1:66" ht="15" customHeight="1">
      <c r="A393" s="19" t="str">
        <f>$R$2&amp;".Commands.CRPX"</f>
        <v>FB_IMv_BUF_S.Commands.CRPX</v>
      </c>
      <c r="B393" s="11">
        <v>7998</v>
      </c>
      <c r="C393" s="11" t="s">
        <v>6</v>
      </c>
      <c r="D393" s="20">
        <v>2</v>
      </c>
      <c r="BK393" s="4"/>
      <c r="BL393" s="4"/>
      <c r="BM393" s="4"/>
      <c r="BN393" s="4"/>
    </row>
    <row r="394" spans="1:66" ht="15" customHeight="1">
      <c r="A394" s="21" t="str">
        <f>$R$2&amp;".Commands.CRPX"</f>
        <v>FB_IMv_BUF_S.Commands.CRPX</v>
      </c>
      <c r="B394" s="8">
        <v>1</v>
      </c>
      <c r="C394" s="8" t="s">
        <v>1</v>
      </c>
      <c r="D394" s="22">
        <v>11</v>
      </c>
      <c r="BK394" s="4"/>
      <c r="BL394" s="4"/>
      <c r="BM394" s="4"/>
      <c r="BN394" s="4"/>
    </row>
    <row r="395" spans="1:66" ht="15" customHeight="1">
      <c r="A395" s="16" t="str">
        <f>$R$2&amp;".Commands.CRST"</f>
        <v>FB_IMv_BUF_S.Commands.CRST</v>
      </c>
      <c r="B395" s="17">
        <v>101</v>
      </c>
      <c r="C395" s="17" t="s">
        <v>0</v>
      </c>
      <c r="D395" s="18" t="s">
        <v>114</v>
      </c>
      <c r="BK395" s="4"/>
      <c r="BL395" s="4"/>
      <c r="BM395" s="4"/>
      <c r="BN395" s="4"/>
    </row>
    <row r="396" spans="1:66" ht="15" customHeight="1">
      <c r="A396" s="19" t="str">
        <f>$R$2&amp;".Commands.CRST"</f>
        <v>FB_IMv_BUF_S.Commands.CRST</v>
      </c>
      <c r="B396" s="11">
        <v>7999</v>
      </c>
      <c r="C396" s="11" t="s">
        <v>0</v>
      </c>
      <c r="D396" s="20" t="str">
        <f>"#"&amp;$T$5&amp;"#"&amp;$T$2&amp;"\"&amp;$P$2&amp;"\CRST"</f>
        <v>#1#treiOPCDA.CoOPCserv.1\pcmaster\KMZ1_BUF\CRST</v>
      </c>
      <c r="BK396" s="4"/>
      <c r="BL396" s="4"/>
      <c r="BM396" s="4"/>
      <c r="BN396" s="4"/>
    </row>
    <row r="397" spans="1:66" ht="15" customHeight="1">
      <c r="A397" s="19" t="str">
        <f>$R$2&amp;".Commands.CRST"</f>
        <v>FB_IMv_BUF_S.Commands.CRST</v>
      </c>
      <c r="B397" s="11">
        <v>7998</v>
      </c>
      <c r="C397" s="11" t="s">
        <v>6</v>
      </c>
      <c r="D397" s="20">
        <v>2</v>
      </c>
      <c r="BK397" s="4"/>
      <c r="BL397" s="4"/>
      <c r="BM397" s="4"/>
      <c r="BN397" s="4"/>
    </row>
    <row r="398" spans="1:66" ht="15" customHeight="1">
      <c r="A398" s="21" t="str">
        <f>$R$2&amp;".Commands.CRST"</f>
        <v>FB_IMv_BUF_S.Commands.CRST</v>
      </c>
      <c r="B398" s="8">
        <v>1</v>
      </c>
      <c r="C398" s="8" t="s">
        <v>1</v>
      </c>
      <c r="D398" s="22">
        <v>11</v>
      </c>
      <c r="BK398" s="4"/>
      <c r="BL398" s="4"/>
      <c r="BM398" s="4"/>
      <c r="BN398" s="4"/>
    </row>
    <row r="399" spans="1:66" ht="15" customHeight="1">
      <c r="A399" s="16" t="str">
        <f>$R$2&amp;".Commands.CMMX"</f>
        <v>FB_IMv_BUF_S.Commands.CMMX</v>
      </c>
      <c r="B399" s="17">
        <v>101</v>
      </c>
      <c r="C399" s="17" t="s">
        <v>0</v>
      </c>
      <c r="D399" s="18" t="s">
        <v>94</v>
      </c>
      <c r="BK399" s="4"/>
      <c r="BL399" s="4"/>
      <c r="BM399" s="4"/>
      <c r="BN399" s="4"/>
    </row>
    <row r="400" spans="1:66" ht="15" customHeight="1">
      <c r="A400" s="19" t="str">
        <f>$R$2&amp;".Commands.CMMX"</f>
        <v>FB_IMv_BUF_S.Commands.CMMX</v>
      </c>
      <c r="B400" s="11">
        <v>7999</v>
      </c>
      <c r="C400" s="11" t="s">
        <v>0</v>
      </c>
      <c r="D400" s="20" t="str">
        <f>"#"&amp;$T$5&amp;"#"&amp;$T$2&amp;"\"&amp;$P$2&amp;"\CMMX"</f>
        <v>#1#treiOPCDA.CoOPCserv.1\pcmaster\KMZ1_BUF\CMMX</v>
      </c>
      <c r="BK400" s="4"/>
      <c r="BL400" s="4"/>
      <c r="BM400" s="4"/>
      <c r="BN400" s="4"/>
    </row>
    <row r="401" spans="1:66" ht="15" customHeight="1">
      <c r="A401" s="19" t="str">
        <f>$R$2&amp;".Commands.CMMX"</f>
        <v>FB_IMv_BUF_S.Commands.CMMX</v>
      </c>
      <c r="B401" s="11">
        <v>7998</v>
      </c>
      <c r="C401" s="11" t="s">
        <v>6</v>
      </c>
      <c r="D401" s="20">
        <v>2</v>
      </c>
      <c r="BK401" s="4"/>
      <c r="BL401" s="4"/>
      <c r="BM401" s="4"/>
      <c r="BN401" s="4"/>
    </row>
    <row r="402" spans="1:66" ht="15" customHeight="1">
      <c r="A402" s="21" t="str">
        <f>$R$2&amp;".Commands.CMMX"</f>
        <v>FB_IMv_BUF_S.Commands.CMMX</v>
      </c>
      <c r="B402" s="8">
        <v>1</v>
      </c>
      <c r="C402" s="8" t="s">
        <v>1</v>
      </c>
      <c r="D402" s="22">
        <v>11</v>
      </c>
      <c r="BK402" s="4"/>
      <c r="BL402" s="4"/>
      <c r="BM402" s="4"/>
      <c r="BN402" s="4"/>
    </row>
    <row r="403" spans="1:66" ht="15" customHeight="1">
      <c r="A403" s="16" t="str">
        <f>$R$2&amp;".Commands.CRRX"</f>
        <v>FB_IMv_BUF_S.Commands.CRRX</v>
      </c>
      <c r="B403" s="17">
        <v>101</v>
      </c>
      <c r="C403" s="17" t="s">
        <v>0</v>
      </c>
      <c r="D403" s="18" t="s">
        <v>116</v>
      </c>
      <c r="BK403" s="4"/>
      <c r="BL403" s="4"/>
      <c r="BM403" s="4"/>
      <c r="BN403" s="4"/>
    </row>
    <row r="404" spans="1:66" ht="15" customHeight="1">
      <c r="A404" s="19" t="str">
        <f>$R$2&amp;".Commands.CRRX"</f>
        <v>FB_IMv_BUF_S.Commands.CRRX</v>
      </c>
      <c r="B404" s="11">
        <v>7999</v>
      </c>
      <c r="C404" s="11" t="s">
        <v>0</v>
      </c>
      <c r="D404" s="20" t="str">
        <f>"#"&amp;$T$5&amp;"#"&amp;$T$2&amp;"\"&amp;$P$2&amp;"\CRRX"</f>
        <v>#1#treiOPCDA.CoOPCserv.1\pcmaster\KMZ1_BUF\CRRX</v>
      </c>
      <c r="BK404" s="4"/>
      <c r="BL404" s="4"/>
      <c r="BM404" s="4"/>
      <c r="BN404" s="4"/>
    </row>
    <row r="405" spans="1:66" ht="15" customHeight="1">
      <c r="A405" s="19" t="str">
        <f>$R$2&amp;".Commands.CRRX"</f>
        <v>FB_IMv_BUF_S.Commands.CRRX</v>
      </c>
      <c r="B405" s="11">
        <v>7998</v>
      </c>
      <c r="C405" s="11" t="s">
        <v>6</v>
      </c>
      <c r="D405" s="20">
        <v>2</v>
      </c>
      <c r="BK405" s="4"/>
      <c r="BL405" s="4"/>
      <c r="BM405" s="4"/>
      <c r="BN405" s="4"/>
    </row>
    <row r="406" spans="1:66" ht="15" customHeight="1">
      <c r="A406" s="21" t="str">
        <f>$R$2&amp;".Commands.CRRX"</f>
        <v>FB_IMv_BUF_S.Commands.CRRX</v>
      </c>
      <c r="B406" s="8">
        <v>1</v>
      </c>
      <c r="C406" s="8" t="s">
        <v>1</v>
      </c>
      <c r="D406" s="22">
        <v>11</v>
      </c>
      <c r="BK406" s="4"/>
      <c r="BL406" s="4"/>
      <c r="BM406" s="4"/>
      <c r="BN406" s="4"/>
    </row>
    <row r="407" spans="1:66" ht="15" customHeight="1">
      <c r="A407" s="266" t="str">
        <f>$R$2&amp;".Commands.STCX"</f>
        <v>FB_IMv_BUF_S.Commands.STCX</v>
      </c>
      <c r="B407" s="267">
        <v>1</v>
      </c>
      <c r="C407" s="267" t="s">
        <v>1</v>
      </c>
      <c r="D407" s="268">
        <v>3</v>
      </c>
      <c r="BK407" s="4"/>
      <c r="BL407" s="4"/>
      <c r="BM407" s="4"/>
      <c r="BN407" s="4"/>
    </row>
    <row r="408" spans="1:66" ht="15" customHeight="1">
      <c r="A408" s="269" t="str">
        <f>$R$2&amp;".Commands.STCX"</f>
        <v>FB_IMv_BUF_S.Commands.STCX</v>
      </c>
      <c r="B408" s="270">
        <v>101</v>
      </c>
      <c r="C408" s="270" t="s">
        <v>0</v>
      </c>
      <c r="D408" s="271" t="s">
        <v>127</v>
      </c>
      <c r="BK408" s="4"/>
      <c r="BL408" s="4"/>
      <c r="BM408" s="4"/>
      <c r="BN408" s="4"/>
    </row>
    <row r="409" spans="1:66" ht="15" customHeight="1">
      <c r="A409" s="269" t="str">
        <f>$R$2&amp;".Commands.STCX"</f>
        <v>FB_IMv_BUF_S.Commands.STCX</v>
      </c>
      <c r="B409" s="270">
        <v>7998</v>
      </c>
      <c r="C409" s="270" t="s">
        <v>6</v>
      </c>
      <c r="D409" s="271">
        <v>2</v>
      </c>
      <c r="BK409" s="4"/>
      <c r="BL409" s="4"/>
      <c r="BM409" s="4"/>
      <c r="BN409" s="4"/>
    </row>
    <row r="410" spans="1:66" ht="15" customHeight="1">
      <c r="A410" s="272" t="str">
        <f>$R$2&amp;".Commands.STCX"</f>
        <v>FB_IMv_BUF_S.Commands.STCX</v>
      </c>
      <c r="B410" s="273">
        <v>7999</v>
      </c>
      <c r="C410" s="273" t="s">
        <v>0</v>
      </c>
      <c r="D410" s="274" t="str">
        <f>"#"&amp;$T$5&amp;"#"&amp;$T$2&amp;"\"&amp;$P$2&amp;"\STCX"</f>
        <v>#1#treiOPCDA.CoOPCserv.1\pcmaster\KMZ1_BUF\STCX</v>
      </c>
      <c r="BK410" s="4"/>
      <c r="BL410" s="4"/>
      <c r="BM410" s="4"/>
      <c r="BN410" s="4"/>
    </row>
    <row r="411" spans="1:66" ht="15" customHeight="1">
      <c r="A411" s="266" t="str">
        <f>$R$2&amp;".Commands.STSX"</f>
        <v>FB_IMv_BUF_S.Commands.STSX</v>
      </c>
      <c r="B411" s="267">
        <v>1</v>
      </c>
      <c r="C411" s="267" t="s">
        <v>1</v>
      </c>
      <c r="D411" s="268">
        <v>3</v>
      </c>
      <c r="BK411" s="4"/>
      <c r="BL411" s="4"/>
      <c r="BM411" s="4"/>
      <c r="BN411" s="4"/>
    </row>
    <row r="412" spans="1:66" ht="15" customHeight="1">
      <c r="A412" s="269" t="str">
        <f>$R$2&amp;".Commands.STSX"</f>
        <v>FB_IMv_BUF_S.Commands.STSX</v>
      </c>
      <c r="B412" s="270">
        <v>101</v>
      </c>
      <c r="C412" s="270" t="s">
        <v>0</v>
      </c>
      <c r="D412" s="271" t="s">
        <v>128</v>
      </c>
      <c r="BK412" s="4"/>
      <c r="BL412" s="4"/>
      <c r="BM412" s="4"/>
      <c r="BN412" s="4"/>
    </row>
    <row r="413" spans="1:66" ht="15" customHeight="1">
      <c r="A413" s="269" t="str">
        <f>$R$2&amp;".Commands.STSX"</f>
        <v>FB_IMv_BUF_S.Commands.STSX</v>
      </c>
      <c r="B413" s="270">
        <v>7998</v>
      </c>
      <c r="C413" s="270" t="s">
        <v>6</v>
      </c>
      <c r="D413" s="271">
        <v>2</v>
      </c>
      <c r="BK413" s="4"/>
      <c r="BL413" s="4"/>
      <c r="BM413" s="4"/>
      <c r="BN413" s="4"/>
    </row>
    <row r="414" spans="1:66" ht="15" customHeight="1">
      <c r="A414" s="272" t="str">
        <f>$R$2&amp;".Commands.STSX"</f>
        <v>FB_IMv_BUF_S.Commands.STSX</v>
      </c>
      <c r="B414" s="273">
        <v>7999</v>
      </c>
      <c r="C414" s="273" t="s">
        <v>0</v>
      </c>
      <c r="D414" s="274" t="str">
        <f>"#"&amp;$T$5&amp;"#"&amp;$T$2&amp;"\"&amp;$P$2&amp;"\STSX"</f>
        <v>#1#treiOPCDA.CoOPCserv.1\pcmaster\KMZ1_BUF\STSX</v>
      </c>
      <c r="BK414" s="4"/>
      <c r="BL414" s="4"/>
      <c r="BM414" s="4"/>
      <c r="BN414" s="4"/>
    </row>
    <row r="415" spans="1:66" ht="15" customHeight="1">
      <c r="A415" s="266" t="str">
        <f>$R$2&amp;".Commands.STPR"</f>
        <v>FB_IMv_BUF_S.Commands.STPR</v>
      </c>
      <c r="B415" s="267">
        <v>1</v>
      </c>
      <c r="C415" s="267" t="s">
        <v>1</v>
      </c>
      <c r="D415" s="268">
        <v>3</v>
      </c>
      <c r="BK415" s="4"/>
      <c r="BL415" s="4"/>
      <c r="BM415" s="4"/>
      <c r="BN415" s="4"/>
    </row>
    <row r="416" spans="1:66" ht="15" customHeight="1">
      <c r="A416" s="269" t="str">
        <f>$R$2&amp;".Commands.STPR"</f>
        <v>FB_IMv_BUF_S.Commands.STPR</v>
      </c>
      <c r="B416" s="270">
        <v>101</v>
      </c>
      <c r="C416" s="270" t="s">
        <v>0</v>
      </c>
      <c r="D416" s="271" t="s">
        <v>129</v>
      </c>
      <c r="BK416" s="4"/>
      <c r="BL416" s="4"/>
      <c r="BM416" s="4"/>
      <c r="BN416" s="4"/>
    </row>
    <row r="417" spans="1:66" ht="15" customHeight="1">
      <c r="A417" s="269" t="str">
        <f>$R$2&amp;".Commands.STPR"</f>
        <v>FB_IMv_BUF_S.Commands.STPR</v>
      </c>
      <c r="B417" s="270">
        <v>7998</v>
      </c>
      <c r="C417" s="270" t="s">
        <v>6</v>
      </c>
      <c r="D417" s="271">
        <v>2</v>
      </c>
      <c r="BK417" s="4"/>
      <c r="BL417" s="4"/>
      <c r="BM417" s="4"/>
      <c r="BN417" s="4"/>
    </row>
    <row r="418" spans="1:66" ht="15" customHeight="1">
      <c r="A418" s="272" t="str">
        <f>$R$2&amp;".Commands.STPR"</f>
        <v>FB_IMv_BUF_S.Commands.STPR</v>
      </c>
      <c r="B418" s="273">
        <v>7999</v>
      </c>
      <c r="C418" s="273" t="s">
        <v>0</v>
      </c>
      <c r="D418" s="274" t="str">
        <f>"#"&amp;$T$5&amp;"#"&amp;$T$2&amp;"\"&amp;$P$2&amp;"\STPR"</f>
        <v>#1#treiOPCDA.CoOPCserv.1\pcmaster\KMZ1_BUF\STPR</v>
      </c>
      <c r="BK418" s="4"/>
      <c r="BL418" s="4"/>
      <c r="BM418" s="4"/>
      <c r="BN418" s="4"/>
    </row>
    <row r="419" spans="1:66" ht="15" customHeight="1">
      <c r="A419" s="266" t="str">
        <f>$R$2&amp;".Commands.SRQX"</f>
        <v>FB_IMv_BUF_S.Commands.SRQX</v>
      </c>
      <c r="B419" s="267">
        <v>1</v>
      </c>
      <c r="C419" s="267" t="s">
        <v>1</v>
      </c>
      <c r="D419" s="268">
        <v>3</v>
      </c>
      <c r="BK419" s="4"/>
      <c r="BL419" s="4"/>
      <c r="BM419" s="4"/>
      <c r="BN419" s="4"/>
    </row>
    <row r="420" spans="1:66" ht="15" customHeight="1">
      <c r="A420" s="269" t="str">
        <f>$R$2&amp;".Commands.SRQX"</f>
        <v>FB_IMv_BUF_S.Commands.SRQX</v>
      </c>
      <c r="B420" s="270">
        <v>101</v>
      </c>
      <c r="C420" s="270" t="s">
        <v>0</v>
      </c>
      <c r="D420" s="271" t="s">
        <v>125</v>
      </c>
      <c r="BK420" s="4"/>
      <c r="BL420" s="4"/>
      <c r="BM420" s="4"/>
      <c r="BN420" s="4"/>
    </row>
    <row r="421" spans="1:66" ht="15" customHeight="1">
      <c r="A421" s="269" t="str">
        <f>$R$2&amp;".Commands.SRQX"</f>
        <v>FB_IMv_BUF_S.Commands.SRQX</v>
      </c>
      <c r="B421" s="270">
        <v>7998</v>
      </c>
      <c r="C421" s="270" t="s">
        <v>6</v>
      </c>
      <c r="D421" s="271">
        <v>2</v>
      </c>
      <c r="BK421" s="4"/>
      <c r="BL421" s="4"/>
      <c r="BM421" s="4"/>
      <c r="BN421" s="4"/>
    </row>
    <row r="422" spans="1:66" ht="15" customHeight="1">
      <c r="A422" s="272" t="str">
        <f>$R$2&amp;".Commands.SRQX"</f>
        <v>FB_IMv_BUF_S.Commands.SRQX</v>
      </c>
      <c r="B422" s="273">
        <v>7999</v>
      </c>
      <c r="C422" s="273" t="s">
        <v>0</v>
      </c>
      <c r="D422" s="274" t="str">
        <f>"#"&amp;$T$5&amp;"#"&amp;$T$2&amp;"\"&amp;$P$2&amp;"\SRQX"</f>
        <v>#1#treiOPCDA.CoOPCserv.1\pcmaster\KMZ1_BUF\SRQX</v>
      </c>
      <c r="BK422" s="4"/>
      <c r="BL422" s="4"/>
      <c r="BM422" s="4"/>
      <c r="BN422" s="4"/>
    </row>
    <row r="423" spans="1:66" ht="15" customHeight="1">
      <c r="A423" s="19" t="str">
        <f t="shared" ref="A423:A428" si="35">$R$2&amp;".IONX"</f>
        <v>FB_IMv_BUF_S.IONX</v>
      </c>
      <c r="B423" s="11">
        <v>7999</v>
      </c>
      <c r="C423" s="11" t="s">
        <v>0</v>
      </c>
      <c r="D423" s="20" t="str">
        <f>"#"&amp;$S$2&amp;"#"&amp;$T$2&amp;"\"&amp;$P$2&amp;"\IONX"</f>
        <v>#1#treiOPCDA.CoOPCserv.1\pcmaster\KMZ1_BUF\IONX</v>
      </c>
      <c r="BK423" s="4"/>
      <c r="BL423" s="4"/>
      <c r="BM423" s="4"/>
      <c r="BN423" s="4"/>
    </row>
    <row r="424" spans="1:66" ht="15" customHeight="1">
      <c r="A424" s="19" t="str">
        <f t="shared" si="35"/>
        <v>FB_IMv_BUF_S.IONX</v>
      </c>
      <c r="B424" s="11">
        <v>7998</v>
      </c>
      <c r="C424" s="11" t="s">
        <v>6</v>
      </c>
      <c r="D424" s="20">
        <v>1</v>
      </c>
      <c r="BK424" s="4"/>
      <c r="BL424" s="4"/>
      <c r="BM424" s="4"/>
      <c r="BN424" s="4"/>
    </row>
    <row r="425" spans="1:66" ht="15" customHeight="1">
      <c r="A425" s="19" t="str">
        <f t="shared" si="35"/>
        <v>FB_IMv_BUF_S.IONX</v>
      </c>
      <c r="B425" s="11">
        <v>101</v>
      </c>
      <c r="C425" s="11" t="s">
        <v>0</v>
      </c>
      <c r="D425" s="20" t="str">
        <f>"Входное значение  Открыт" &amp;" (физ сигнал)"</f>
        <v>Входное значение  Открыт (физ сигнал)</v>
      </c>
      <c r="BK425" s="4"/>
      <c r="BL425" s="4"/>
      <c r="BM425" s="4"/>
      <c r="BN425" s="4"/>
    </row>
    <row r="426" spans="1:66" ht="15" customHeight="1">
      <c r="A426" s="19" t="str">
        <f t="shared" si="35"/>
        <v>FB_IMv_BUF_S.IONX</v>
      </c>
      <c r="B426" s="11">
        <v>3</v>
      </c>
      <c r="C426" s="11" t="s">
        <v>1</v>
      </c>
      <c r="D426" s="20">
        <v>192</v>
      </c>
      <c r="BK426" s="4"/>
      <c r="BL426" s="4"/>
      <c r="BM426" s="4"/>
      <c r="BN426" s="4"/>
    </row>
    <row r="427" spans="1:66" ht="15" customHeight="1">
      <c r="A427" s="19" t="str">
        <f t="shared" si="35"/>
        <v>FB_IMv_BUF_S.IONX</v>
      </c>
      <c r="B427" s="11">
        <v>2</v>
      </c>
      <c r="C427" s="11" t="s">
        <v>2</v>
      </c>
      <c r="D427" s="20" t="s">
        <v>3</v>
      </c>
      <c r="BK427" s="4"/>
      <c r="BL427" s="4"/>
      <c r="BM427" s="4"/>
      <c r="BN427" s="4"/>
    </row>
    <row r="428" spans="1:66" ht="15" customHeight="1">
      <c r="A428" s="21" t="str">
        <f t="shared" si="35"/>
        <v>FB_IMv_BUF_S.IONX</v>
      </c>
      <c r="B428" s="8">
        <v>1</v>
      </c>
      <c r="C428" s="8" t="s">
        <v>1</v>
      </c>
      <c r="D428" s="22">
        <v>11</v>
      </c>
      <c r="BK428" s="4"/>
      <c r="BL428" s="4"/>
      <c r="BM428" s="4"/>
      <c r="BN428" s="4"/>
    </row>
    <row r="429" spans="1:66" ht="15" customHeight="1">
      <c r="A429" s="19" t="str">
        <f t="shared" ref="A429:A434" si="36">$R$2&amp;".IOFX"</f>
        <v>FB_IMv_BUF_S.IOFX</v>
      </c>
      <c r="B429" s="11">
        <v>7999</v>
      </c>
      <c r="C429" s="11" t="s">
        <v>0</v>
      </c>
      <c r="D429" s="20" t="str">
        <f>"#"&amp;$S$2&amp;"#"&amp;$T$2&amp;"\"&amp;$P$2&amp;"\IOFX"</f>
        <v>#1#treiOPCDA.CoOPCserv.1\pcmaster\KMZ1_BUF\IOFX</v>
      </c>
      <c r="BK429" s="4"/>
      <c r="BL429" s="4"/>
      <c r="BM429" s="4"/>
      <c r="BN429" s="4"/>
    </row>
    <row r="430" spans="1:66" ht="15" customHeight="1">
      <c r="A430" s="19" t="str">
        <f t="shared" si="36"/>
        <v>FB_IMv_BUF_S.IOFX</v>
      </c>
      <c r="B430" s="11">
        <v>7998</v>
      </c>
      <c r="C430" s="11" t="s">
        <v>6</v>
      </c>
      <c r="D430" s="20">
        <v>1</v>
      </c>
      <c r="BK430" s="4"/>
      <c r="BL430" s="4"/>
      <c r="BM430" s="4"/>
      <c r="BN430" s="4"/>
    </row>
    <row r="431" spans="1:66" ht="15" customHeight="1">
      <c r="A431" s="19" t="str">
        <f t="shared" si="36"/>
        <v>FB_IMv_BUF_S.IOFX</v>
      </c>
      <c r="B431" s="11">
        <v>101</v>
      </c>
      <c r="C431" s="11" t="s">
        <v>0</v>
      </c>
      <c r="D431" s="20" t="str">
        <f>"Входное значение  Закрыт" &amp;" (физ сигнал)"</f>
        <v>Входное значение  Закрыт (физ сигнал)</v>
      </c>
      <c r="BK431" s="4"/>
      <c r="BL431" s="4"/>
      <c r="BM431" s="4"/>
      <c r="BN431" s="4"/>
    </row>
    <row r="432" spans="1:66" ht="15" customHeight="1">
      <c r="A432" s="19" t="str">
        <f t="shared" si="36"/>
        <v>FB_IMv_BUF_S.IOFX</v>
      </c>
      <c r="B432" s="11">
        <v>3</v>
      </c>
      <c r="C432" s="11" t="s">
        <v>1</v>
      </c>
      <c r="D432" s="20">
        <v>192</v>
      </c>
      <c r="BK432" s="4"/>
      <c r="BL432" s="4"/>
      <c r="BM432" s="4"/>
      <c r="BN432" s="4"/>
    </row>
    <row r="433" spans="1:66" ht="15" customHeight="1">
      <c r="A433" s="19" t="str">
        <f t="shared" si="36"/>
        <v>FB_IMv_BUF_S.IOFX</v>
      </c>
      <c r="B433" s="11">
        <v>2</v>
      </c>
      <c r="C433" s="11" t="s">
        <v>2</v>
      </c>
      <c r="D433" s="20" t="s">
        <v>3</v>
      </c>
      <c r="BK433" s="4"/>
      <c r="BL433" s="4"/>
      <c r="BM433" s="4"/>
      <c r="BN433" s="4"/>
    </row>
    <row r="434" spans="1:66" ht="15" customHeight="1">
      <c r="A434" s="21" t="str">
        <f t="shared" si="36"/>
        <v>FB_IMv_BUF_S.IOFX</v>
      </c>
      <c r="B434" s="8">
        <v>1</v>
      </c>
      <c r="C434" s="8" t="s">
        <v>1</v>
      </c>
      <c r="D434" s="22">
        <v>11</v>
      </c>
      <c r="BK434" s="4"/>
      <c r="BL434" s="4"/>
      <c r="BM434" s="4"/>
      <c r="BN434" s="4"/>
    </row>
    <row r="435" spans="1:66" ht="15" customHeight="1">
      <c r="A435" s="19" t="str">
        <f t="shared" ref="A435:A440" si="37">$R$2&amp;".IRCX"</f>
        <v>FB_IMv_BUF_S.IRCX</v>
      </c>
      <c r="B435" s="11">
        <v>7999</v>
      </c>
      <c r="C435" s="11" t="s">
        <v>0</v>
      </c>
      <c r="D435" s="20" t="str">
        <f>"#"&amp;$S$2&amp;"#"&amp;$T$2&amp;"\"&amp;$P$2&amp;"\IRCX"</f>
        <v>#1#treiOPCDA.CoOPCserv.1\pcmaster\KMZ1_BUF\IRCX</v>
      </c>
      <c r="BK435" s="4"/>
      <c r="BL435" s="4"/>
      <c r="BM435" s="4"/>
      <c r="BN435" s="4"/>
    </row>
    <row r="436" spans="1:66" ht="15" customHeight="1">
      <c r="A436" s="19" t="str">
        <f t="shared" si="37"/>
        <v>FB_IMv_BUF_S.IRCX</v>
      </c>
      <c r="B436" s="11">
        <v>7998</v>
      </c>
      <c r="C436" s="11" t="s">
        <v>6</v>
      </c>
      <c r="D436" s="20">
        <v>1</v>
      </c>
      <c r="BK436" s="4"/>
      <c r="BL436" s="4"/>
      <c r="BM436" s="4"/>
      <c r="BN436" s="4"/>
    </row>
    <row r="437" spans="1:66" ht="15" customHeight="1">
      <c r="A437" s="19" t="str">
        <f t="shared" si="37"/>
        <v>FB_IMv_BUF_S.IRCX</v>
      </c>
      <c r="B437" s="11">
        <v>101</v>
      </c>
      <c r="C437" s="11" t="s">
        <v>0</v>
      </c>
      <c r="D437" s="20" t="s">
        <v>576</v>
      </c>
      <c r="BK437" s="4"/>
      <c r="BL437" s="4"/>
      <c r="BM437" s="4"/>
      <c r="BN437" s="4"/>
    </row>
    <row r="438" spans="1:66" ht="15" customHeight="1">
      <c r="A438" s="19" t="str">
        <f t="shared" si="37"/>
        <v>FB_IMv_BUF_S.IRCX</v>
      </c>
      <c r="B438" s="11">
        <v>3</v>
      </c>
      <c r="C438" s="11" t="s">
        <v>1</v>
      </c>
      <c r="D438" s="20">
        <v>192</v>
      </c>
      <c r="BK438" s="4"/>
      <c r="BL438" s="4"/>
      <c r="BM438" s="4"/>
      <c r="BN438" s="4"/>
    </row>
    <row r="439" spans="1:66" ht="15" customHeight="1">
      <c r="A439" s="19" t="str">
        <f t="shared" si="37"/>
        <v>FB_IMv_BUF_S.IRCX</v>
      </c>
      <c r="B439" s="11">
        <v>2</v>
      </c>
      <c r="C439" s="11" t="s">
        <v>2</v>
      </c>
      <c r="D439" s="20" t="s">
        <v>3</v>
      </c>
      <c r="BK439" s="4"/>
      <c r="BL439" s="4"/>
      <c r="BM439" s="4"/>
      <c r="BN439" s="4"/>
    </row>
    <row r="440" spans="1:66" ht="15" customHeight="1">
      <c r="A440" s="21" t="str">
        <f t="shared" si="37"/>
        <v>FB_IMv_BUF_S.IRCX</v>
      </c>
      <c r="B440" s="8">
        <v>1</v>
      </c>
      <c r="C440" s="8" t="s">
        <v>1</v>
      </c>
      <c r="D440" s="22">
        <v>11</v>
      </c>
      <c r="BK440" s="4"/>
      <c r="BL440" s="4"/>
      <c r="BM440" s="4"/>
      <c r="BN440" s="4"/>
    </row>
    <row r="441" spans="1:66" ht="15" customHeight="1">
      <c r="A441" s="19" t="str">
        <f t="shared" ref="A441:A446" si="38">$R$2&amp;".OXON"</f>
        <v>FB_IMv_BUF_S.OXON</v>
      </c>
      <c r="B441" s="11">
        <v>7999</v>
      </c>
      <c r="C441" s="11" t="s">
        <v>0</v>
      </c>
      <c r="D441" s="20" t="str">
        <f>"#"&amp;$S$2&amp;"#"&amp;$T$2&amp;"\"&amp;$P$2&amp;"\OXON"</f>
        <v>#1#treiOPCDA.CoOPCserv.1\pcmaster\KMZ1_BUF\OXON</v>
      </c>
      <c r="BK441" s="4"/>
      <c r="BL441" s="4"/>
      <c r="BM441" s="4"/>
      <c r="BN441" s="4"/>
    </row>
    <row r="442" spans="1:66" ht="15" customHeight="1">
      <c r="A442" s="19" t="str">
        <f t="shared" si="38"/>
        <v>FB_IMv_BUF_S.OXON</v>
      </c>
      <c r="B442" s="11">
        <v>7998</v>
      </c>
      <c r="C442" s="11" t="s">
        <v>6</v>
      </c>
      <c r="D442" s="20">
        <v>1</v>
      </c>
      <c r="BK442" s="4"/>
      <c r="BL442" s="4"/>
      <c r="BM442" s="4"/>
      <c r="BN442" s="4"/>
    </row>
    <row r="443" spans="1:66" ht="15" customHeight="1">
      <c r="A443" s="19" t="str">
        <f t="shared" si="38"/>
        <v>FB_IMv_BUF_S.OXON</v>
      </c>
      <c r="B443" s="11">
        <v>101</v>
      </c>
      <c r="C443" s="11" t="s">
        <v>0</v>
      </c>
      <c r="D443" s="20" t="str">
        <f>"Выходное значение Открыть"</f>
        <v>Выходное значение Открыть</v>
      </c>
      <c r="BK443" s="4"/>
      <c r="BL443" s="4"/>
      <c r="BM443" s="4"/>
      <c r="BN443" s="4"/>
    </row>
    <row r="444" spans="1:66" ht="15" customHeight="1">
      <c r="A444" s="19" t="str">
        <f t="shared" si="38"/>
        <v>FB_IMv_BUF_S.OXON</v>
      </c>
      <c r="B444" s="11">
        <v>3</v>
      </c>
      <c r="C444" s="11" t="s">
        <v>1</v>
      </c>
      <c r="D444" s="20">
        <v>192</v>
      </c>
      <c r="BK444" s="4"/>
      <c r="BL444" s="4"/>
      <c r="BM444" s="4"/>
      <c r="BN444" s="4"/>
    </row>
    <row r="445" spans="1:66" ht="15" customHeight="1">
      <c r="A445" s="19" t="str">
        <f t="shared" si="38"/>
        <v>FB_IMv_BUF_S.OXON</v>
      </c>
      <c r="B445" s="11">
        <v>2</v>
      </c>
      <c r="C445" s="11" t="s">
        <v>2</v>
      </c>
      <c r="D445" s="20" t="s">
        <v>3</v>
      </c>
      <c r="BK445" s="4"/>
      <c r="BL445" s="4"/>
      <c r="BM445" s="4"/>
      <c r="BN445" s="4"/>
    </row>
    <row r="446" spans="1:66" ht="15" customHeight="1">
      <c r="A446" s="21" t="str">
        <f t="shared" si="38"/>
        <v>FB_IMv_BUF_S.OXON</v>
      </c>
      <c r="B446" s="8">
        <v>1</v>
      </c>
      <c r="C446" s="8" t="s">
        <v>1</v>
      </c>
      <c r="D446" s="22">
        <v>11</v>
      </c>
      <c r="BK446" s="4"/>
      <c r="BL446" s="4"/>
      <c r="BM446" s="4"/>
      <c r="BN446" s="4"/>
    </row>
    <row r="447" spans="1:66" ht="15" customHeight="1">
      <c r="A447" s="19" t="str">
        <f t="shared" ref="A447:A452" si="39">$R$2&amp;".OXOF"</f>
        <v>FB_IMv_BUF_S.OXOF</v>
      </c>
      <c r="B447" s="11">
        <v>7999</v>
      </c>
      <c r="C447" s="11" t="s">
        <v>0</v>
      </c>
      <c r="D447" s="20" t="str">
        <f>"#"&amp;$S$2&amp;"#"&amp;$T$2&amp;"\"&amp;$P$2&amp;"\OXOF"</f>
        <v>#1#treiOPCDA.CoOPCserv.1\pcmaster\KMZ1_BUF\OXOF</v>
      </c>
      <c r="BK447" s="4"/>
      <c r="BL447" s="4"/>
      <c r="BM447" s="4"/>
      <c r="BN447" s="4"/>
    </row>
    <row r="448" spans="1:66" ht="15" customHeight="1">
      <c r="A448" s="19" t="str">
        <f t="shared" si="39"/>
        <v>FB_IMv_BUF_S.OXOF</v>
      </c>
      <c r="B448" s="11">
        <v>7998</v>
      </c>
      <c r="C448" s="11" t="s">
        <v>6</v>
      </c>
      <c r="D448" s="20">
        <v>1</v>
      </c>
      <c r="BK448" s="4"/>
      <c r="BL448" s="4"/>
      <c r="BM448" s="4"/>
      <c r="BN448" s="4"/>
    </row>
    <row r="449" spans="1:66" ht="15" customHeight="1">
      <c r="A449" s="19" t="str">
        <f t="shared" si="39"/>
        <v>FB_IMv_BUF_S.OXOF</v>
      </c>
      <c r="B449" s="11">
        <v>101</v>
      </c>
      <c r="C449" s="11" t="s">
        <v>0</v>
      </c>
      <c r="D449" s="20" t="str">
        <f>"Выходное значение Закрыть"</f>
        <v>Выходное значение Закрыть</v>
      </c>
      <c r="BK449" s="4"/>
      <c r="BL449" s="4"/>
      <c r="BM449" s="4"/>
      <c r="BN449" s="4"/>
    </row>
    <row r="450" spans="1:66" ht="15" customHeight="1">
      <c r="A450" s="19" t="str">
        <f t="shared" si="39"/>
        <v>FB_IMv_BUF_S.OXOF</v>
      </c>
      <c r="B450" s="11">
        <v>3</v>
      </c>
      <c r="C450" s="11" t="s">
        <v>1</v>
      </c>
      <c r="D450" s="20">
        <v>192</v>
      </c>
      <c r="BK450" s="4"/>
      <c r="BL450" s="4"/>
      <c r="BM450" s="4"/>
      <c r="BN450" s="4"/>
    </row>
    <row r="451" spans="1:66" ht="15" customHeight="1">
      <c r="A451" s="19" t="str">
        <f t="shared" si="39"/>
        <v>FB_IMv_BUF_S.OXOF</v>
      </c>
      <c r="B451" s="11">
        <v>2</v>
      </c>
      <c r="C451" s="11" t="s">
        <v>2</v>
      </c>
      <c r="D451" s="20" t="s">
        <v>3</v>
      </c>
      <c r="BK451" s="4"/>
      <c r="BL451" s="4"/>
      <c r="BM451" s="4"/>
      <c r="BN451" s="4"/>
    </row>
    <row r="452" spans="1:66" ht="15" customHeight="1">
      <c r="A452" s="21" t="str">
        <f t="shared" si="39"/>
        <v>FB_IMv_BUF_S.OXOF</v>
      </c>
      <c r="B452" s="8">
        <v>1</v>
      </c>
      <c r="C452" s="8" t="s">
        <v>1</v>
      </c>
      <c r="D452" s="22">
        <v>11</v>
      </c>
      <c r="BK452" s="4"/>
      <c r="BL452" s="4"/>
      <c r="BM452" s="4"/>
      <c r="BN452" s="4"/>
    </row>
    <row r="453" spans="1:66" ht="15" customHeight="1">
      <c r="A453" s="19" t="str">
        <f t="shared" ref="A453:A458" si="40">$R$2&amp;".XONP"</f>
        <v>FB_IMv_BUF_S.XONP</v>
      </c>
      <c r="B453" s="11">
        <v>7999</v>
      </c>
      <c r="C453" s="11" t="s">
        <v>0</v>
      </c>
      <c r="D453" s="20" t="str">
        <f>"#"&amp;$S$2&amp;"#"&amp;$T$2&amp;"\"&amp;$P$2&amp;"\XONP"</f>
        <v>#1#treiOPCDA.CoOPCserv.1\pcmaster\KMZ1_BUF\XONP</v>
      </c>
      <c r="BK453" s="4"/>
      <c r="BL453" s="4"/>
      <c r="BM453" s="4"/>
      <c r="BN453" s="4"/>
    </row>
    <row r="454" spans="1:66" ht="15" customHeight="1">
      <c r="A454" s="19" t="str">
        <f t="shared" si="40"/>
        <v>FB_IMv_BUF_S.XONP</v>
      </c>
      <c r="B454" s="11">
        <v>7998</v>
      </c>
      <c r="C454" s="11" t="s">
        <v>6</v>
      </c>
      <c r="D454" s="20">
        <v>1</v>
      </c>
      <c r="BK454" s="4"/>
      <c r="BL454" s="4"/>
      <c r="BM454" s="4"/>
      <c r="BN454" s="4"/>
    </row>
    <row r="455" spans="1:66" ht="15" customHeight="1">
      <c r="A455" s="19" t="str">
        <f t="shared" si="40"/>
        <v>FB_IMv_BUF_S.XONP</v>
      </c>
      <c r="B455" s="11">
        <v>101</v>
      </c>
      <c r="C455" s="11" t="s">
        <v>0</v>
      </c>
      <c r="D455" s="20" t="str">
        <f>"Выходное значение Открывается"</f>
        <v>Выходное значение Открывается</v>
      </c>
      <c r="BK455" s="4"/>
      <c r="BL455" s="4"/>
      <c r="BM455" s="4"/>
      <c r="BN455" s="4"/>
    </row>
    <row r="456" spans="1:66" ht="15" customHeight="1">
      <c r="A456" s="19" t="str">
        <f t="shared" si="40"/>
        <v>FB_IMv_BUF_S.XONP</v>
      </c>
      <c r="B456" s="11">
        <v>3</v>
      </c>
      <c r="C456" s="11" t="s">
        <v>1</v>
      </c>
      <c r="D456" s="20">
        <v>192</v>
      </c>
      <c r="BK456" s="4"/>
      <c r="BL456" s="4"/>
      <c r="BM456" s="4"/>
      <c r="BN456" s="4"/>
    </row>
    <row r="457" spans="1:66" ht="15" customHeight="1">
      <c r="A457" s="19" t="str">
        <f t="shared" si="40"/>
        <v>FB_IMv_BUF_S.XONP</v>
      </c>
      <c r="B457" s="11">
        <v>2</v>
      </c>
      <c r="C457" s="11" t="s">
        <v>2</v>
      </c>
      <c r="D457" s="20" t="s">
        <v>3</v>
      </c>
      <c r="BK457" s="4"/>
      <c r="BL457" s="4"/>
      <c r="BM457" s="4"/>
      <c r="BN457" s="4"/>
    </row>
    <row r="458" spans="1:66" ht="15" customHeight="1">
      <c r="A458" s="21" t="str">
        <f t="shared" si="40"/>
        <v>FB_IMv_BUF_S.XONP</v>
      </c>
      <c r="B458" s="8">
        <v>1</v>
      </c>
      <c r="C458" s="8" t="s">
        <v>1</v>
      </c>
      <c r="D458" s="22">
        <v>11</v>
      </c>
      <c r="BK458" s="4"/>
      <c r="BL458" s="4"/>
      <c r="BM458" s="4"/>
      <c r="BN458" s="4"/>
    </row>
    <row r="459" spans="1:66" ht="15" customHeight="1">
      <c r="A459" s="19" t="str">
        <f t="shared" ref="A459:A464" si="41">$R$2&amp;".XOFP"</f>
        <v>FB_IMv_BUF_S.XOFP</v>
      </c>
      <c r="B459" s="11">
        <v>7999</v>
      </c>
      <c r="C459" s="11" t="s">
        <v>0</v>
      </c>
      <c r="D459" s="20" t="str">
        <f>"#"&amp;$S$2&amp;"#"&amp;$T$2&amp;"\"&amp;$P$2&amp;"\XOFP"</f>
        <v>#1#treiOPCDA.CoOPCserv.1\pcmaster\KMZ1_BUF\XOFP</v>
      </c>
      <c r="BK459" s="4"/>
      <c r="BL459" s="4"/>
      <c r="BM459" s="4"/>
      <c r="BN459" s="4"/>
    </row>
    <row r="460" spans="1:66" ht="15" customHeight="1">
      <c r="A460" s="19" t="str">
        <f t="shared" si="41"/>
        <v>FB_IMv_BUF_S.XOFP</v>
      </c>
      <c r="B460" s="11">
        <v>7998</v>
      </c>
      <c r="C460" s="11" t="s">
        <v>6</v>
      </c>
      <c r="D460" s="20">
        <v>1</v>
      </c>
      <c r="BK460" s="4"/>
      <c r="BL460" s="4"/>
      <c r="BM460" s="4"/>
      <c r="BN460" s="4"/>
    </row>
    <row r="461" spans="1:66" ht="15" customHeight="1">
      <c r="A461" s="19" t="str">
        <f t="shared" si="41"/>
        <v>FB_IMv_BUF_S.XOFP</v>
      </c>
      <c r="B461" s="11">
        <v>101</v>
      </c>
      <c r="C461" s="11" t="s">
        <v>0</v>
      </c>
      <c r="D461" s="20" t="str">
        <f>"Выходное значение Закрывается"</f>
        <v>Выходное значение Закрывается</v>
      </c>
      <c r="BK461" s="4"/>
      <c r="BL461" s="4"/>
      <c r="BM461" s="4"/>
      <c r="BN461" s="4"/>
    </row>
    <row r="462" spans="1:66" ht="15" customHeight="1">
      <c r="A462" s="19" t="str">
        <f t="shared" si="41"/>
        <v>FB_IMv_BUF_S.XOFP</v>
      </c>
      <c r="B462" s="11">
        <v>3</v>
      </c>
      <c r="C462" s="11" t="s">
        <v>1</v>
      </c>
      <c r="D462" s="20">
        <v>192</v>
      </c>
      <c r="BK462" s="4"/>
      <c r="BL462" s="4"/>
      <c r="BM462" s="4"/>
      <c r="BN462" s="4"/>
    </row>
    <row r="463" spans="1:66" ht="15" customHeight="1">
      <c r="A463" s="19" t="str">
        <f t="shared" si="41"/>
        <v>FB_IMv_BUF_S.XOFP</v>
      </c>
      <c r="B463" s="11">
        <v>2</v>
      </c>
      <c r="C463" s="11" t="s">
        <v>2</v>
      </c>
      <c r="D463" s="20" t="s">
        <v>3</v>
      </c>
      <c r="BK463" s="4"/>
      <c r="BL463" s="4"/>
      <c r="BM463" s="4"/>
      <c r="BN463" s="4"/>
    </row>
    <row r="464" spans="1:66" ht="15" customHeight="1">
      <c r="A464" s="21" t="str">
        <f t="shared" si="41"/>
        <v>FB_IMv_BUF_S.XOFP</v>
      </c>
      <c r="B464" s="8">
        <v>1</v>
      </c>
      <c r="C464" s="8" t="s">
        <v>1</v>
      </c>
      <c r="D464" s="22">
        <v>11</v>
      </c>
      <c r="BK464" s="4"/>
      <c r="BL464" s="4"/>
      <c r="BM464" s="4"/>
      <c r="BN464" s="4"/>
    </row>
    <row r="465" spans="1:66" ht="15" customHeight="1">
      <c r="A465" s="19" t="str">
        <f t="shared" ref="A465:A470" si="42">$R$2&amp;".XSPP"</f>
        <v>FB_IMv_BUF_S.XSPP</v>
      </c>
      <c r="B465" s="11">
        <v>7999</v>
      </c>
      <c r="C465" s="11" t="s">
        <v>0</v>
      </c>
      <c r="D465" s="20" t="str">
        <f>"#"&amp;$S$2&amp;"#"&amp;$T$2&amp;"\"&amp;$P$2&amp;"\XSPP"</f>
        <v>#1#treiOPCDA.CoOPCserv.1\pcmaster\KMZ1_BUF\XSPP</v>
      </c>
      <c r="BK465" s="4"/>
      <c r="BL465" s="4"/>
      <c r="BM465" s="4"/>
      <c r="BN465" s="4"/>
    </row>
    <row r="466" spans="1:66" ht="15" customHeight="1">
      <c r="A466" s="19" t="str">
        <f t="shared" si="42"/>
        <v>FB_IMv_BUF_S.XSPP</v>
      </c>
      <c r="B466" s="11">
        <v>7998</v>
      </c>
      <c r="C466" s="11" t="s">
        <v>6</v>
      </c>
      <c r="D466" s="20">
        <v>1</v>
      </c>
      <c r="BK466" s="4"/>
      <c r="BL466" s="4"/>
      <c r="BM466" s="4"/>
      <c r="BN466" s="4"/>
    </row>
    <row r="467" spans="1:66" ht="15" customHeight="1">
      <c r="A467" s="19" t="str">
        <f t="shared" si="42"/>
        <v>FB_IMv_BUF_S.XSPP</v>
      </c>
      <c r="B467" s="11">
        <v>101</v>
      </c>
      <c r="C467" s="11" t="s">
        <v>0</v>
      </c>
      <c r="D467" s="20" t="s">
        <v>171</v>
      </c>
      <c r="BK467" s="4"/>
      <c r="BL467" s="4"/>
      <c r="BM467" s="4"/>
      <c r="BN467" s="4"/>
    </row>
    <row r="468" spans="1:66" ht="15" customHeight="1">
      <c r="A468" s="19" t="str">
        <f t="shared" si="42"/>
        <v>FB_IMv_BUF_S.XSPP</v>
      </c>
      <c r="B468" s="11">
        <v>3</v>
      </c>
      <c r="C468" s="11" t="s">
        <v>1</v>
      </c>
      <c r="D468" s="20">
        <v>192</v>
      </c>
      <c r="BK468" s="4"/>
      <c r="BL468" s="4"/>
      <c r="BM468" s="4"/>
      <c r="BN468" s="4"/>
    </row>
    <row r="469" spans="1:66" ht="15" customHeight="1">
      <c r="A469" s="19" t="str">
        <f t="shared" si="42"/>
        <v>FB_IMv_BUF_S.XSPP</v>
      </c>
      <c r="B469" s="11">
        <v>2</v>
      </c>
      <c r="C469" s="11" t="s">
        <v>2</v>
      </c>
      <c r="D469" s="20" t="s">
        <v>3</v>
      </c>
      <c r="BK469" s="4"/>
      <c r="BL469" s="4"/>
      <c r="BM469" s="4"/>
      <c r="BN469" s="4"/>
    </row>
    <row r="470" spans="1:66" ht="15" customHeight="1">
      <c r="A470" s="21" t="str">
        <f t="shared" si="42"/>
        <v>FB_IMv_BUF_S.XSPP</v>
      </c>
      <c r="B470" s="8">
        <v>1</v>
      </c>
      <c r="C470" s="8" t="s">
        <v>1</v>
      </c>
      <c r="D470" s="22">
        <v>11</v>
      </c>
      <c r="BK470" s="4"/>
      <c r="BL470" s="4"/>
      <c r="BM470" s="4"/>
      <c r="BN470" s="4"/>
    </row>
    <row r="471" spans="1:66" ht="15" customHeight="1">
      <c r="A471" s="19" t="str">
        <f t="shared" ref="A471:A476" si="43">$R$2&amp;".XPRP"</f>
        <v>FB_IMv_BUF_S.XPRP</v>
      </c>
      <c r="B471" s="11">
        <v>7999</v>
      </c>
      <c r="C471" s="11" t="s">
        <v>0</v>
      </c>
      <c r="D471" s="20" t="str">
        <f>"#"&amp;$S$2&amp;"#"&amp;$T$2&amp;"\"&amp;$P$2&amp;"\XPRP"</f>
        <v>#1#treiOPCDA.CoOPCserv.1\pcmaster\KMZ1_BUF\XPRP</v>
      </c>
      <c r="BK471" s="4"/>
      <c r="BL471" s="4"/>
      <c r="BM471" s="4"/>
      <c r="BN471" s="4"/>
    </row>
    <row r="472" spans="1:66" ht="15" customHeight="1">
      <c r="A472" s="19" t="str">
        <f t="shared" si="43"/>
        <v>FB_IMv_BUF_S.XPRP</v>
      </c>
      <c r="B472" s="11">
        <v>7998</v>
      </c>
      <c r="C472" s="11" t="s">
        <v>6</v>
      </c>
      <c r="D472" s="20">
        <v>1</v>
      </c>
      <c r="BK472" s="4"/>
      <c r="BL472" s="4"/>
      <c r="BM472" s="4"/>
      <c r="BN472" s="4"/>
    </row>
    <row r="473" spans="1:66" ht="15" customHeight="1">
      <c r="A473" s="19" t="str">
        <f t="shared" si="43"/>
        <v>FB_IMv_BUF_S.XPRP</v>
      </c>
      <c r="B473" s="11">
        <v>101</v>
      </c>
      <c r="C473" s="11" t="s">
        <v>0</v>
      </c>
      <c r="D473" s="20" t="s">
        <v>135</v>
      </c>
      <c r="BK473" s="4"/>
      <c r="BL473" s="4"/>
      <c r="BM473" s="4"/>
      <c r="BN473" s="4"/>
    </row>
    <row r="474" spans="1:66" ht="15" customHeight="1">
      <c r="A474" s="19" t="str">
        <f t="shared" si="43"/>
        <v>FB_IMv_BUF_S.XPRP</v>
      </c>
      <c r="B474" s="11">
        <v>3</v>
      </c>
      <c r="C474" s="11" t="s">
        <v>1</v>
      </c>
      <c r="D474" s="20">
        <v>192</v>
      </c>
      <c r="BK474" s="4"/>
      <c r="BL474" s="4"/>
      <c r="BM474" s="4"/>
      <c r="BN474" s="4"/>
    </row>
    <row r="475" spans="1:66" ht="15" customHeight="1">
      <c r="A475" s="19" t="str">
        <f t="shared" si="43"/>
        <v>FB_IMv_BUF_S.XPRP</v>
      </c>
      <c r="B475" s="11">
        <v>2</v>
      </c>
      <c r="C475" s="11" t="s">
        <v>2</v>
      </c>
      <c r="D475" s="20" t="s">
        <v>3</v>
      </c>
      <c r="BK475" s="4"/>
      <c r="BL475" s="4"/>
      <c r="BM475" s="4"/>
      <c r="BN475" s="4"/>
    </row>
    <row r="476" spans="1:66" ht="15" customHeight="1">
      <c r="A476" s="21" t="str">
        <f t="shared" si="43"/>
        <v>FB_IMv_BUF_S.XPRP</v>
      </c>
      <c r="B476" s="8">
        <v>1</v>
      </c>
      <c r="C476" s="8" t="s">
        <v>1</v>
      </c>
      <c r="D476" s="22">
        <v>11</v>
      </c>
      <c r="BK476" s="4"/>
      <c r="BL476" s="4"/>
      <c r="BM476" s="4"/>
      <c r="BN476" s="4"/>
    </row>
    <row r="477" spans="1:66" ht="15" customHeight="1">
      <c r="A477" s="19" t="str">
        <f t="shared" ref="A477:A482" si="44">$R$2&amp;".OCON"</f>
        <v>FB_IMv_BUF_S.OCON</v>
      </c>
      <c r="B477" s="11">
        <v>7999</v>
      </c>
      <c r="C477" s="11" t="s">
        <v>0</v>
      </c>
      <c r="D477" s="20" t="str">
        <f>"#"&amp;$S$2&amp;"#"&amp;$T$2&amp;"\"&amp;$P$2&amp;"\OCON"</f>
        <v>#1#treiOPCDA.CoOPCserv.1\pcmaster\KMZ1_BUF\OCON</v>
      </c>
      <c r="BK477" s="4"/>
      <c r="BL477" s="4"/>
      <c r="BM477" s="4"/>
      <c r="BN477" s="4"/>
    </row>
    <row r="478" spans="1:66" ht="15" customHeight="1">
      <c r="A478" s="19" t="str">
        <f t="shared" si="44"/>
        <v>FB_IMv_BUF_S.OCON</v>
      </c>
      <c r="B478" s="11">
        <v>7998</v>
      </c>
      <c r="C478" s="11" t="s">
        <v>6</v>
      </c>
      <c r="D478" s="20">
        <v>1</v>
      </c>
      <c r="BK478" s="4"/>
      <c r="BL478" s="4"/>
      <c r="BM478" s="4"/>
      <c r="BN478" s="4"/>
    </row>
    <row r="479" spans="1:66" ht="15" customHeight="1">
      <c r="A479" s="19" t="str">
        <f t="shared" si="44"/>
        <v>FB_IMv_BUF_S.OCON</v>
      </c>
      <c r="B479" s="11">
        <v>101</v>
      </c>
      <c r="C479" s="11" t="s">
        <v>0</v>
      </c>
      <c r="D479" s="20" t="str">
        <f>"Постоянная команда Открыть"</f>
        <v>Постоянная команда Открыть</v>
      </c>
      <c r="BK479" s="4"/>
      <c r="BL479" s="4"/>
      <c r="BM479" s="4"/>
      <c r="BN479" s="4"/>
    </row>
    <row r="480" spans="1:66" ht="15" customHeight="1">
      <c r="A480" s="19" t="str">
        <f t="shared" si="44"/>
        <v>FB_IMv_BUF_S.OCON</v>
      </c>
      <c r="B480" s="11">
        <v>3</v>
      </c>
      <c r="C480" s="11" t="s">
        <v>1</v>
      </c>
      <c r="D480" s="20">
        <v>192</v>
      </c>
      <c r="BK480" s="4"/>
      <c r="BL480" s="4"/>
      <c r="BM480" s="4"/>
      <c r="BN480" s="4"/>
    </row>
    <row r="481" spans="1:66" ht="15" customHeight="1">
      <c r="A481" s="19" t="str">
        <f t="shared" si="44"/>
        <v>FB_IMv_BUF_S.OCON</v>
      </c>
      <c r="B481" s="11">
        <v>2</v>
      </c>
      <c r="C481" s="11" t="s">
        <v>2</v>
      </c>
      <c r="D481" s="20" t="s">
        <v>3</v>
      </c>
      <c r="BK481" s="4"/>
      <c r="BL481" s="4"/>
      <c r="BM481" s="4"/>
      <c r="BN481" s="4"/>
    </row>
    <row r="482" spans="1:66" ht="15" customHeight="1">
      <c r="A482" s="21" t="str">
        <f t="shared" si="44"/>
        <v>FB_IMv_BUF_S.OCON</v>
      </c>
      <c r="B482" s="8">
        <v>1</v>
      </c>
      <c r="C482" s="8" t="s">
        <v>1</v>
      </c>
      <c r="D482" s="22">
        <v>11</v>
      </c>
      <c r="BK482" s="4"/>
      <c r="BL482" s="4"/>
      <c r="BM482" s="4"/>
      <c r="BN482" s="4"/>
    </row>
    <row r="483" spans="1:66" ht="15" customHeight="1">
      <c r="A483" s="19" t="str">
        <f t="shared" ref="A483:A488" si="45">$R$2&amp;".OCOF"</f>
        <v>FB_IMv_BUF_S.OCOF</v>
      </c>
      <c r="B483" s="11">
        <v>7999</v>
      </c>
      <c r="C483" s="11" t="s">
        <v>0</v>
      </c>
      <c r="D483" s="20" t="str">
        <f>"#"&amp;$S$2&amp;"#"&amp;$T$2&amp;"\"&amp;$P$2&amp;"\OCOF"</f>
        <v>#1#treiOPCDA.CoOPCserv.1\pcmaster\KMZ1_BUF\OCOF</v>
      </c>
      <c r="BK483" s="4"/>
      <c r="BL483" s="4"/>
      <c r="BM483" s="4"/>
      <c r="BN483" s="4"/>
    </row>
    <row r="484" spans="1:66" ht="15" customHeight="1">
      <c r="A484" s="19" t="str">
        <f t="shared" si="45"/>
        <v>FB_IMv_BUF_S.OCOF</v>
      </c>
      <c r="B484" s="11">
        <v>7998</v>
      </c>
      <c r="C484" s="11" t="s">
        <v>6</v>
      </c>
      <c r="D484" s="20">
        <v>1</v>
      </c>
      <c r="BK484" s="4"/>
      <c r="BL484" s="4"/>
      <c r="BM484" s="4"/>
      <c r="BN484" s="4"/>
    </row>
    <row r="485" spans="1:66" ht="15" customHeight="1">
      <c r="A485" s="19" t="str">
        <f t="shared" si="45"/>
        <v>FB_IMv_BUF_S.OCOF</v>
      </c>
      <c r="B485" s="11">
        <v>101</v>
      </c>
      <c r="C485" s="11" t="s">
        <v>0</v>
      </c>
      <c r="D485" s="20" t="str">
        <f>"Постоянная команда  Закрыть"</f>
        <v>Постоянная команда  Закрыть</v>
      </c>
      <c r="BK485" s="4"/>
      <c r="BL485" s="4"/>
      <c r="BM485" s="4"/>
      <c r="BN485" s="4"/>
    </row>
    <row r="486" spans="1:66" ht="15" customHeight="1">
      <c r="A486" s="19" t="str">
        <f t="shared" si="45"/>
        <v>FB_IMv_BUF_S.OCOF</v>
      </c>
      <c r="B486" s="11">
        <v>3</v>
      </c>
      <c r="C486" s="11" t="s">
        <v>1</v>
      </c>
      <c r="D486" s="20">
        <v>192</v>
      </c>
      <c r="BK486" s="4"/>
      <c r="BL486" s="4"/>
      <c r="BM486" s="4"/>
      <c r="BN486" s="4"/>
    </row>
    <row r="487" spans="1:66" ht="15" customHeight="1">
      <c r="A487" s="19" t="str">
        <f t="shared" si="45"/>
        <v>FB_IMv_BUF_S.OCOF</v>
      </c>
      <c r="B487" s="11">
        <v>2</v>
      </c>
      <c r="C487" s="11" t="s">
        <v>2</v>
      </c>
      <c r="D487" s="20" t="s">
        <v>3</v>
      </c>
      <c r="BK487" s="4"/>
      <c r="BL487" s="4"/>
      <c r="BM487" s="4"/>
      <c r="BN487" s="4"/>
    </row>
    <row r="488" spans="1:66" ht="15" customHeight="1">
      <c r="A488" s="21" t="str">
        <f t="shared" si="45"/>
        <v>FB_IMv_BUF_S.OCOF</v>
      </c>
      <c r="B488" s="8">
        <v>1</v>
      </c>
      <c r="C488" s="8" t="s">
        <v>1</v>
      </c>
      <c r="D488" s="22">
        <v>11</v>
      </c>
      <c r="BK488" s="4"/>
      <c r="BL488" s="4"/>
      <c r="BM488" s="4"/>
      <c r="BN488" s="4"/>
    </row>
    <row r="489" spans="1:66">
      <c r="A489" s="19" t="str">
        <f t="shared" ref="A489:A494" si="46">$R$2&amp;".CPMM"</f>
        <v>FB_IMv_BUF_S.CPMM</v>
      </c>
      <c r="B489" s="11">
        <v>7999</v>
      </c>
      <c r="C489" s="11" t="s">
        <v>0</v>
      </c>
      <c r="D489" s="20" t="str">
        <f>"#"&amp;$S$2&amp;"#"&amp;$T$2&amp;"\"&amp;$P$2&amp;"\CPMM"</f>
        <v>#1#treiOPCDA.CoOPCserv.1\pcmaster\KMZ1_BUF\CPMM</v>
      </c>
    </row>
    <row r="490" spans="1:66">
      <c r="A490" s="19" t="str">
        <f t="shared" si="46"/>
        <v>FB_IMv_BUF_S.CPMM</v>
      </c>
      <c r="B490" s="11">
        <v>7998</v>
      </c>
      <c r="C490" s="11" t="s">
        <v>6</v>
      </c>
      <c r="D490" s="20">
        <v>1</v>
      </c>
    </row>
    <row r="491" spans="1:66">
      <c r="A491" s="19" t="str">
        <f t="shared" si="46"/>
        <v>FB_IMv_BUF_S.CPMM</v>
      </c>
      <c r="B491" s="11">
        <v>101</v>
      </c>
      <c r="C491" s="11" t="s">
        <v>0</v>
      </c>
      <c r="D491" s="20" t="s">
        <v>115</v>
      </c>
    </row>
    <row r="492" spans="1:66">
      <c r="A492" s="19" t="str">
        <f t="shared" si="46"/>
        <v>FB_IMv_BUF_S.CPMM</v>
      </c>
      <c r="B492" s="11">
        <v>3</v>
      </c>
      <c r="C492" s="11" t="s">
        <v>1</v>
      </c>
      <c r="D492" s="20">
        <v>192</v>
      </c>
    </row>
    <row r="493" spans="1:66">
      <c r="A493" s="19" t="str">
        <f t="shared" si="46"/>
        <v>FB_IMv_BUF_S.CPMM</v>
      </c>
      <c r="B493" s="11">
        <v>2</v>
      </c>
      <c r="C493" s="11" t="s">
        <v>2</v>
      </c>
      <c r="D493" s="20" t="s">
        <v>266</v>
      </c>
    </row>
    <row r="494" spans="1:66">
      <c r="A494" s="21" t="str">
        <f t="shared" si="46"/>
        <v>FB_IMv_BUF_S.CPMM</v>
      </c>
      <c r="B494" s="8">
        <v>1</v>
      </c>
      <c r="C494" s="8" t="s">
        <v>1</v>
      </c>
      <c r="D494" s="22">
        <v>11</v>
      </c>
    </row>
    <row r="495" spans="1:66">
      <c r="A495" s="19" t="str">
        <f t="shared" ref="A495:A500" si="47">$R$2&amp;".CDON"</f>
        <v>FB_IMv_BUF_S.CDON</v>
      </c>
      <c r="B495" s="11">
        <v>7999</v>
      </c>
      <c r="C495" s="11" t="s">
        <v>0</v>
      </c>
      <c r="D495" s="20" t="str">
        <f>"#"&amp;$S$2&amp;"#"&amp;$T$2&amp;"\"&amp;$P$2&amp;"\CDON"</f>
        <v>#1#treiOPCDA.CoOPCserv.1\pcmaster\KMZ1_BUF\CDON</v>
      </c>
    </row>
    <row r="496" spans="1:66">
      <c r="A496" s="19" t="str">
        <f t="shared" si="47"/>
        <v>FB_IMv_BUF_S.CDON</v>
      </c>
      <c r="B496" s="11">
        <v>7998</v>
      </c>
      <c r="C496" s="11" t="s">
        <v>6</v>
      </c>
      <c r="D496" s="20">
        <v>1</v>
      </c>
    </row>
    <row r="497" spans="1:4">
      <c r="A497" s="19" t="str">
        <f t="shared" si="47"/>
        <v>FB_IMv_BUF_S.CDON</v>
      </c>
      <c r="B497" s="11">
        <v>101</v>
      </c>
      <c r="C497" s="11" t="s">
        <v>0</v>
      </c>
      <c r="D497" s="20" t="str">
        <f>"Запрет открытие"</f>
        <v>Запрет открытие</v>
      </c>
    </row>
    <row r="498" spans="1:4">
      <c r="A498" s="19" t="str">
        <f t="shared" si="47"/>
        <v>FB_IMv_BUF_S.CDON</v>
      </c>
      <c r="B498" s="11">
        <v>3</v>
      </c>
      <c r="C498" s="11" t="s">
        <v>1</v>
      </c>
      <c r="D498" s="20">
        <v>192</v>
      </c>
    </row>
    <row r="499" spans="1:4">
      <c r="A499" s="19" t="str">
        <f t="shared" si="47"/>
        <v>FB_IMv_BUF_S.CDON</v>
      </c>
      <c r="B499" s="11">
        <v>2</v>
      </c>
      <c r="C499" s="11" t="s">
        <v>2</v>
      </c>
      <c r="D499" s="20" t="s">
        <v>3</v>
      </c>
    </row>
    <row r="500" spans="1:4">
      <c r="A500" s="21" t="str">
        <f t="shared" si="47"/>
        <v>FB_IMv_BUF_S.CDON</v>
      </c>
      <c r="B500" s="8">
        <v>1</v>
      </c>
      <c r="C500" s="8" t="s">
        <v>1</v>
      </c>
      <c r="D500" s="22">
        <v>11</v>
      </c>
    </row>
    <row r="501" spans="1:4">
      <c r="A501" s="19" t="str">
        <f t="shared" ref="A501:A506" si="48">$R$2&amp;".CDOF"</f>
        <v>FB_IMv_BUF_S.CDOF</v>
      </c>
      <c r="B501" s="11">
        <v>7999</v>
      </c>
      <c r="C501" s="11" t="s">
        <v>0</v>
      </c>
      <c r="D501" s="20" t="str">
        <f>"#"&amp;$S$2&amp;"#"&amp;$T$2&amp;"\"&amp;$P$2&amp;"\CDOF"</f>
        <v>#1#treiOPCDA.CoOPCserv.1\pcmaster\KMZ1_BUF\CDOF</v>
      </c>
    </row>
    <row r="502" spans="1:4">
      <c r="A502" s="19" t="str">
        <f t="shared" si="48"/>
        <v>FB_IMv_BUF_S.CDOF</v>
      </c>
      <c r="B502" s="11">
        <v>7998</v>
      </c>
      <c r="C502" s="11" t="s">
        <v>6</v>
      </c>
      <c r="D502" s="20">
        <v>1</v>
      </c>
    </row>
    <row r="503" spans="1:4">
      <c r="A503" s="19" t="str">
        <f t="shared" si="48"/>
        <v>FB_IMv_BUF_S.CDOF</v>
      </c>
      <c r="B503" s="11">
        <v>101</v>
      </c>
      <c r="C503" s="11" t="s">
        <v>0</v>
      </c>
      <c r="D503" s="20" t="str">
        <f>"Запрет закрытие"</f>
        <v>Запрет закрытие</v>
      </c>
    </row>
    <row r="504" spans="1:4">
      <c r="A504" s="19" t="str">
        <f t="shared" si="48"/>
        <v>FB_IMv_BUF_S.CDOF</v>
      </c>
      <c r="B504" s="11">
        <v>3</v>
      </c>
      <c r="C504" s="11" t="s">
        <v>1</v>
      </c>
      <c r="D504" s="20">
        <v>192</v>
      </c>
    </row>
    <row r="505" spans="1:4">
      <c r="A505" s="19" t="str">
        <f t="shared" si="48"/>
        <v>FB_IMv_BUF_S.CDOF</v>
      </c>
      <c r="B505" s="11">
        <v>2</v>
      </c>
      <c r="C505" s="11" t="s">
        <v>2</v>
      </c>
      <c r="D505" s="20" t="s">
        <v>3</v>
      </c>
    </row>
    <row r="506" spans="1:4">
      <c r="A506" s="21" t="str">
        <f t="shared" si="48"/>
        <v>FB_IMv_BUF_S.CDOF</v>
      </c>
      <c r="B506" s="8">
        <v>1</v>
      </c>
      <c r="C506" s="8" t="s">
        <v>1</v>
      </c>
      <c r="D506" s="22">
        <v>11</v>
      </c>
    </row>
    <row r="507" spans="1:4">
      <c r="A507" s="19" t="str">
        <f t="shared" ref="A507:A512" si="49">$R$2&amp;".FXXX"</f>
        <v>FB_IMv_BUF_S.FXXX</v>
      </c>
      <c r="B507" s="11">
        <v>7999</v>
      </c>
      <c r="C507" s="11" t="s">
        <v>0</v>
      </c>
      <c r="D507" s="20" t="str">
        <f>"#"&amp;$S$2&amp;"#"&amp;$T$2&amp;"\"&amp;$P$2&amp;"\FXXX"</f>
        <v>#1#treiOPCDA.CoOPCserv.1\pcmaster\KMZ1_BUF\FXXX</v>
      </c>
    </row>
    <row r="508" spans="1:4">
      <c r="A508" s="19" t="str">
        <f t="shared" si="49"/>
        <v>FB_IMv_BUF_S.FXXX</v>
      </c>
      <c r="B508" s="11">
        <v>7998</v>
      </c>
      <c r="C508" s="11" t="s">
        <v>6</v>
      </c>
      <c r="D508" s="20">
        <v>1</v>
      </c>
    </row>
    <row r="509" spans="1:4">
      <c r="A509" s="19" t="str">
        <f t="shared" si="49"/>
        <v>FB_IMv_BUF_S.FXXX</v>
      </c>
      <c r="B509" s="11">
        <v>101</v>
      </c>
      <c r="C509" s="11" t="s">
        <v>0</v>
      </c>
      <c r="D509" s="20" t="s">
        <v>139</v>
      </c>
    </row>
    <row r="510" spans="1:4">
      <c r="A510" s="19" t="str">
        <f t="shared" si="49"/>
        <v>FB_IMv_BUF_S.FXXX</v>
      </c>
      <c r="B510" s="11">
        <v>3</v>
      </c>
      <c r="C510" s="11" t="s">
        <v>1</v>
      </c>
      <c r="D510" s="20">
        <v>192</v>
      </c>
    </row>
    <row r="511" spans="1:4">
      <c r="A511" s="19" t="str">
        <f t="shared" si="49"/>
        <v>FB_IMv_BUF_S.FXXX</v>
      </c>
      <c r="B511" s="11">
        <v>2</v>
      </c>
      <c r="C511" s="11" t="s">
        <v>2</v>
      </c>
      <c r="D511" s="20" t="s">
        <v>3</v>
      </c>
    </row>
    <row r="512" spans="1:4">
      <c r="A512" s="21" t="str">
        <f t="shared" si="49"/>
        <v>FB_IMv_BUF_S.FXXX</v>
      </c>
      <c r="B512" s="8">
        <v>1</v>
      </c>
      <c r="C512" s="8" t="s">
        <v>1</v>
      </c>
      <c r="D512" s="22">
        <v>11</v>
      </c>
    </row>
    <row r="513" spans="1:4">
      <c r="A513" s="19" t="str">
        <f t="shared" ref="A513:A518" si="50">$R$2&amp;".SMMX"</f>
        <v>FB_IMv_BUF_S.SMMX</v>
      </c>
      <c r="B513" s="11">
        <v>7999</v>
      </c>
      <c r="C513" s="11" t="s">
        <v>0</v>
      </c>
      <c r="D513" s="20" t="str">
        <f>"#"&amp;$S$2&amp;"#"&amp;$T$2&amp;"\"&amp;$P$2&amp;"\SMMX"</f>
        <v>#1#treiOPCDA.CoOPCserv.1\pcmaster\KMZ1_BUF\SMMX</v>
      </c>
    </row>
    <row r="514" spans="1:4">
      <c r="A514" s="19" t="str">
        <f t="shared" si="50"/>
        <v>FB_IMv_BUF_S.SMMX</v>
      </c>
      <c r="B514" s="11">
        <v>7998</v>
      </c>
      <c r="C514" s="11" t="s">
        <v>6</v>
      </c>
      <c r="D514" s="20">
        <v>1</v>
      </c>
    </row>
    <row r="515" spans="1:4">
      <c r="A515" s="19" t="str">
        <f t="shared" si="50"/>
        <v>FB_IMv_BUF_S.SMMX</v>
      </c>
      <c r="B515" s="11">
        <v>101</v>
      </c>
      <c r="C515" s="11" t="s">
        <v>0</v>
      </c>
      <c r="D515" s="20" t="s">
        <v>251</v>
      </c>
    </row>
    <row r="516" spans="1:4">
      <c r="A516" s="19" t="str">
        <f t="shared" si="50"/>
        <v>FB_IMv_BUF_S.SMMX</v>
      </c>
      <c r="B516" s="11">
        <v>3</v>
      </c>
      <c r="C516" s="11" t="s">
        <v>1</v>
      </c>
      <c r="D516" s="20">
        <v>192</v>
      </c>
    </row>
    <row r="517" spans="1:4">
      <c r="A517" s="19" t="str">
        <f t="shared" si="50"/>
        <v>FB_IMv_BUF_S.SMMX</v>
      </c>
      <c r="B517" s="11">
        <v>2</v>
      </c>
      <c r="C517" s="11" t="s">
        <v>2</v>
      </c>
      <c r="D517" s="20" t="s">
        <v>3</v>
      </c>
    </row>
    <row r="518" spans="1:4">
      <c r="A518" s="21" t="str">
        <f t="shared" si="50"/>
        <v>FB_IMv_BUF_S.SMMX</v>
      </c>
      <c r="B518" s="8">
        <v>1</v>
      </c>
      <c r="C518" s="8" t="s">
        <v>1</v>
      </c>
      <c r="D518" s="22">
        <v>11</v>
      </c>
    </row>
    <row r="519" spans="1:4">
      <c r="A519" s="266" t="str">
        <f t="shared" ref="A519:A524" si="51">$R$2&amp;".XRON"</f>
        <v>FB_IMv_BUF_S.XRON</v>
      </c>
      <c r="B519" s="267">
        <v>3</v>
      </c>
      <c r="C519" s="267" t="s">
        <v>1</v>
      </c>
      <c r="D519" s="268">
        <v>192</v>
      </c>
    </row>
    <row r="520" spans="1:4">
      <c r="A520" s="269" t="str">
        <f t="shared" si="51"/>
        <v>FB_IMv_BUF_S.XRON</v>
      </c>
      <c r="B520" s="270">
        <v>2</v>
      </c>
      <c r="C520" s="270" t="s">
        <v>6</v>
      </c>
      <c r="D520" s="271">
        <v>0</v>
      </c>
    </row>
    <row r="521" spans="1:4">
      <c r="A521" s="269" t="str">
        <f t="shared" si="51"/>
        <v>FB_IMv_BUF_S.XRON</v>
      </c>
      <c r="B521" s="270">
        <v>1</v>
      </c>
      <c r="C521" s="270" t="s">
        <v>1</v>
      </c>
      <c r="D521" s="271">
        <v>3</v>
      </c>
    </row>
    <row r="522" spans="1:4">
      <c r="A522" s="269" t="str">
        <f t="shared" si="51"/>
        <v>FB_IMv_BUF_S.XRON</v>
      </c>
      <c r="B522" s="270">
        <v>101</v>
      </c>
      <c r="C522" s="270" t="s">
        <v>0</v>
      </c>
      <c r="D522" s="271" t="str">
        <f>"Счетчик отработки концевика Открыт"</f>
        <v>Счетчик отработки концевика Открыт</v>
      </c>
    </row>
    <row r="523" spans="1:4">
      <c r="A523" s="269" t="str">
        <f t="shared" si="51"/>
        <v>FB_IMv_BUF_S.XRON</v>
      </c>
      <c r="B523" s="270">
        <v>7998</v>
      </c>
      <c r="C523" s="270" t="s">
        <v>6</v>
      </c>
      <c r="D523" s="271">
        <v>1</v>
      </c>
    </row>
    <row r="524" spans="1:4">
      <c r="A524" s="269" t="str">
        <f t="shared" si="51"/>
        <v>FB_IMv_BUF_S.XRON</v>
      </c>
      <c r="B524" s="270">
        <v>7999</v>
      </c>
      <c r="C524" s="270" t="s">
        <v>0</v>
      </c>
      <c r="D524" s="271" t="str">
        <f>"#"&amp;$S$2&amp;"#"&amp;$T$2&amp;"\"&amp;$P$2&amp;"\XRON"</f>
        <v>#1#treiOPCDA.CoOPCserv.1\pcmaster\KMZ1_BUF\XRON</v>
      </c>
    </row>
    <row r="525" spans="1:4">
      <c r="A525" s="266" t="str">
        <f t="shared" ref="A525:A530" si="52">$R$2&amp;".XROF"</f>
        <v>FB_IMv_BUF_S.XROF</v>
      </c>
      <c r="B525" s="267">
        <v>3</v>
      </c>
      <c r="C525" s="267" t="s">
        <v>1</v>
      </c>
      <c r="D525" s="268">
        <v>192</v>
      </c>
    </row>
    <row r="526" spans="1:4">
      <c r="A526" s="269" t="str">
        <f t="shared" si="52"/>
        <v>FB_IMv_BUF_S.XROF</v>
      </c>
      <c r="B526" s="270">
        <v>2</v>
      </c>
      <c r="C526" s="270" t="s">
        <v>6</v>
      </c>
      <c r="D526" s="271">
        <v>0</v>
      </c>
    </row>
    <row r="527" spans="1:4">
      <c r="A527" s="269" t="str">
        <f t="shared" si="52"/>
        <v>FB_IMv_BUF_S.XROF</v>
      </c>
      <c r="B527" s="270">
        <v>1</v>
      </c>
      <c r="C527" s="270" t="s">
        <v>1</v>
      </c>
      <c r="D527" s="271">
        <v>3</v>
      </c>
    </row>
    <row r="528" spans="1:4">
      <c r="A528" s="269" t="str">
        <f t="shared" si="52"/>
        <v>FB_IMv_BUF_S.XROF</v>
      </c>
      <c r="B528" s="270">
        <v>101</v>
      </c>
      <c r="C528" s="270" t="s">
        <v>0</v>
      </c>
      <c r="D528" s="271" t="str">
        <f>"Счетчик отработки концевика Закрыт"</f>
        <v>Счетчик отработки концевика Закрыт</v>
      </c>
    </row>
    <row r="529" spans="1:4">
      <c r="A529" s="269" t="str">
        <f t="shared" si="52"/>
        <v>FB_IMv_BUF_S.XROF</v>
      </c>
      <c r="B529" s="270">
        <v>7998</v>
      </c>
      <c r="C529" s="270" t="s">
        <v>6</v>
      </c>
      <c r="D529" s="271">
        <v>1</v>
      </c>
    </row>
    <row r="530" spans="1:4">
      <c r="A530" s="272" t="str">
        <f t="shared" si="52"/>
        <v>FB_IMv_BUF_S.XROF</v>
      </c>
      <c r="B530" s="273">
        <v>7999</v>
      </c>
      <c r="C530" s="273" t="s">
        <v>0</v>
      </c>
      <c r="D530" s="274" t="str">
        <f>"#"&amp;$S$2&amp;"#"&amp;$T$2&amp;"\"&amp;$P$2&amp;"\XROF"</f>
        <v>#1#treiOPCDA.CoOPCserv.1\pcmaster\KMZ1_BUF\XROF</v>
      </c>
    </row>
    <row r="531" spans="1:4">
      <c r="A531" s="266" t="str">
        <f t="shared" ref="A531:A536" si="53">$R$2&amp;".STCX"</f>
        <v>FB_IMv_BUF_S.STCX</v>
      </c>
      <c r="B531" s="267">
        <v>3</v>
      </c>
      <c r="C531" s="267" t="s">
        <v>1</v>
      </c>
      <c r="D531" s="268">
        <v>192</v>
      </c>
    </row>
    <row r="532" spans="1:4">
      <c r="A532" s="269" t="str">
        <f t="shared" si="53"/>
        <v>FB_IMv_BUF_S.STCX</v>
      </c>
      <c r="B532" s="270">
        <v>2</v>
      </c>
      <c r="C532" s="270" t="s">
        <v>6</v>
      </c>
      <c r="D532" s="271">
        <v>0</v>
      </c>
    </row>
    <row r="533" spans="1:4">
      <c r="A533" s="269" t="str">
        <f t="shared" si="53"/>
        <v>FB_IMv_BUF_S.STCX</v>
      </c>
      <c r="B533" s="270">
        <v>1</v>
      </c>
      <c r="C533" s="270" t="s">
        <v>1</v>
      </c>
      <c r="D533" s="271">
        <v>3</v>
      </c>
    </row>
    <row r="534" spans="1:4">
      <c r="A534" s="269" t="str">
        <f t="shared" si="53"/>
        <v>FB_IMv_BUF_S.STCX</v>
      </c>
      <c r="B534" s="270">
        <v>101</v>
      </c>
      <c r="C534" s="270" t="s">
        <v>0</v>
      </c>
      <c r="D534" s="271" t="s">
        <v>127</v>
      </c>
    </row>
    <row r="535" spans="1:4">
      <c r="A535" s="269" t="str">
        <f t="shared" si="53"/>
        <v>FB_IMv_BUF_S.STCX</v>
      </c>
      <c r="B535" s="270">
        <v>7998</v>
      </c>
      <c r="C535" s="270" t="s">
        <v>6</v>
      </c>
      <c r="D535" s="271">
        <v>1</v>
      </c>
    </row>
    <row r="536" spans="1:4">
      <c r="A536" s="272" t="str">
        <f t="shared" si="53"/>
        <v>FB_IMv_BUF_S.STCX</v>
      </c>
      <c r="B536" s="273">
        <v>7999</v>
      </c>
      <c r="C536" s="273" t="s">
        <v>0</v>
      </c>
      <c r="D536" s="274" t="str">
        <f>"#"&amp;$S$2&amp;"#"&amp;$T$2&amp;"\"&amp;$P$2&amp;"\STCX"</f>
        <v>#1#treiOPCDA.CoOPCserv.1\pcmaster\KMZ1_BUF\STCX</v>
      </c>
    </row>
    <row r="537" spans="1:4">
      <c r="A537" s="266" t="str">
        <f t="shared" ref="A537:A542" si="54">$R$2&amp;".STSX"</f>
        <v>FB_IMv_BUF_S.STSX</v>
      </c>
      <c r="B537" s="267">
        <v>3</v>
      </c>
      <c r="C537" s="267" t="s">
        <v>1</v>
      </c>
      <c r="D537" s="268">
        <v>192</v>
      </c>
    </row>
    <row r="538" spans="1:4">
      <c r="A538" s="269" t="str">
        <f t="shared" si="54"/>
        <v>FB_IMv_BUF_S.STSX</v>
      </c>
      <c r="B538" s="270">
        <v>2</v>
      </c>
      <c r="C538" s="270" t="s">
        <v>6</v>
      </c>
      <c r="D538" s="271">
        <v>0</v>
      </c>
    </row>
    <row r="539" spans="1:4">
      <c r="A539" s="269" t="str">
        <f t="shared" si="54"/>
        <v>FB_IMv_BUF_S.STSX</v>
      </c>
      <c r="B539" s="270">
        <v>1</v>
      </c>
      <c r="C539" s="270" t="s">
        <v>1</v>
      </c>
      <c r="D539" s="271">
        <v>3</v>
      </c>
    </row>
    <row r="540" spans="1:4">
      <c r="A540" s="269" t="str">
        <f t="shared" si="54"/>
        <v>FB_IMv_BUF_S.STSX</v>
      </c>
      <c r="B540" s="270">
        <v>101</v>
      </c>
      <c r="C540" s="270" t="s">
        <v>0</v>
      </c>
      <c r="D540" s="271" t="s">
        <v>128</v>
      </c>
    </row>
    <row r="541" spans="1:4">
      <c r="A541" s="269" t="str">
        <f t="shared" si="54"/>
        <v>FB_IMv_BUF_S.STSX</v>
      </c>
      <c r="B541" s="270">
        <v>7998</v>
      </c>
      <c r="C541" s="270" t="s">
        <v>6</v>
      </c>
      <c r="D541" s="271">
        <v>1</v>
      </c>
    </row>
    <row r="542" spans="1:4">
      <c r="A542" s="272" t="str">
        <f t="shared" si="54"/>
        <v>FB_IMv_BUF_S.STSX</v>
      </c>
      <c r="B542" s="273">
        <v>7999</v>
      </c>
      <c r="C542" s="273" t="s">
        <v>0</v>
      </c>
      <c r="D542" s="274" t="str">
        <f>"#"&amp;$S$2&amp;"#"&amp;$T$2&amp;"\"&amp;$P$2&amp;"\STSX"</f>
        <v>#1#treiOPCDA.CoOPCserv.1\pcmaster\KMZ1_BUF\STSX</v>
      </c>
    </row>
    <row r="543" spans="1:4">
      <c r="A543" s="266" t="str">
        <f t="shared" ref="A543:A548" si="55">$R$2&amp;".STPR"</f>
        <v>FB_IMv_BUF_S.STPR</v>
      </c>
      <c r="B543" s="267">
        <v>3</v>
      </c>
      <c r="C543" s="267" t="s">
        <v>1</v>
      </c>
      <c r="D543" s="268">
        <v>192</v>
      </c>
    </row>
    <row r="544" spans="1:4">
      <c r="A544" s="269" t="str">
        <f t="shared" si="55"/>
        <v>FB_IMv_BUF_S.STPR</v>
      </c>
      <c r="B544" s="270">
        <v>2</v>
      </c>
      <c r="C544" s="270" t="s">
        <v>6</v>
      </c>
      <c r="D544" s="271">
        <v>0</v>
      </c>
    </row>
    <row r="545" spans="1:4">
      <c r="A545" s="269" t="str">
        <f t="shared" si="55"/>
        <v>FB_IMv_BUF_S.STPR</v>
      </c>
      <c r="B545" s="270">
        <v>1</v>
      </c>
      <c r="C545" s="270" t="s">
        <v>1</v>
      </c>
      <c r="D545" s="271">
        <v>3</v>
      </c>
    </row>
    <row r="546" spans="1:4">
      <c r="A546" s="269" t="str">
        <f t="shared" si="55"/>
        <v>FB_IMv_BUF_S.STPR</v>
      </c>
      <c r="B546" s="270">
        <v>101</v>
      </c>
      <c r="C546" s="270" t="s">
        <v>0</v>
      </c>
      <c r="D546" s="271" t="s">
        <v>129</v>
      </c>
    </row>
    <row r="547" spans="1:4">
      <c r="A547" s="269" t="str">
        <f t="shared" si="55"/>
        <v>FB_IMv_BUF_S.STPR</v>
      </c>
      <c r="B547" s="270">
        <v>7998</v>
      </c>
      <c r="C547" s="270" t="s">
        <v>6</v>
      </c>
      <c r="D547" s="271">
        <v>1</v>
      </c>
    </row>
    <row r="548" spans="1:4">
      <c r="A548" s="272" t="str">
        <f t="shared" si="55"/>
        <v>FB_IMv_BUF_S.STPR</v>
      </c>
      <c r="B548" s="273">
        <v>7999</v>
      </c>
      <c r="C548" s="273" t="s">
        <v>0</v>
      </c>
      <c r="D548" s="274" t="str">
        <f>"#"&amp;$S$2&amp;"#"&amp;$T$2&amp;"\"&amp;$P$2&amp;"\STPR"</f>
        <v>#1#treiOPCDA.CoOPCserv.1\pcmaster\KMZ1_BUF\STPR</v>
      </c>
    </row>
    <row r="549" spans="1:4">
      <c r="A549" s="266" t="str">
        <f t="shared" ref="A549:A554" si="56">$R$2&amp;".SRQX"</f>
        <v>FB_IMv_BUF_S.SRQX</v>
      </c>
      <c r="B549" s="267">
        <v>3</v>
      </c>
      <c r="C549" s="267" t="s">
        <v>1</v>
      </c>
      <c r="D549" s="268">
        <v>192</v>
      </c>
    </row>
    <row r="550" spans="1:4">
      <c r="A550" s="269" t="str">
        <f t="shared" si="56"/>
        <v>FB_IMv_BUF_S.SRQX</v>
      </c>
      <c r="B550" s="270">
        <v>2</v>
      </c>
      <c r="C550" s="270" t="s">
        <v>6</v>
      </c>
      <c r="D550" s="271">
        <v>0</v>
      </c>
    </row>
    <row r="551" spans="1:4">
      <c r="A551" s="269" t="str">
        <f t="shared" si="56"/>
        <v>FB_IMv_BUF_S.SRQX</v>
      </c>
      <c r="B551" s="270">
        <v>1</v>
      </c>
      <c r="C551" s="270" t="s">
        <v>1</v>
      </c>
      <c r="D551" s="271">
        <v>3</v>
      </c>
    </row>
    <row r="552" spans="1:4">
      <c r="A552" s="269" t="str">
        <f t="shared" si="56"/>
        <v>FB_IMv_BUF_S.SRQX</v>
      </c>
      <c r="B552" s="270">
        <v>101</v>
      </c>
      <c r="C552" s="270" t="s">
        <v>0</v>
      </c>
      <c r="D552" s="271" t="s">
        <v>125</v>
      </c>
    </row>
    <row r="553" spans="1:4">
      <c r="A553" s="269" t="str">
        <f t="shared" si="56"/>
        <v>FB_IMv_BUF_S.SRQX</v>
      </c>
      <c r="B553" s="270">
        <v>7998</v>
      </c>
      <c r="C553" s="270" t="s">
        <v>6</v>
      </c>
      <c r="D553" s="271">
        <v>1</v>
      </c>
    </row>
    <row r="554" spans="1:4">
      <c r="A554" s="272" t="str">
        <f t="shared" si="56"/>
        <v>FB_IMv_BUF_S.SRQX</v>
      </c>
      <c r="B554" s="273">
        <v>7999</v>
      </c>
      <c r="C554" s="273" t="s">
        <v>0</v>
      </c>
      <c r="D554" s="274" t="str">
        <f>"#"&amp;$S$2&amp;"#"&amp;$T$2&amp;"\"&amp;$P$2&amp;"\SRQX"</f>
        <v>#1#treiOPCDA.CoOPCserv.1\pcmaster\KMZ1_BUF\SRQX</v>
      </c>
    </row>
    <row r="555" spans="1:4" ht="15" customHeight="1">
      <c r="A555" s="163" t="str">
        <f t="shared" ref="A555:A563" si="57">$R$2&amp;".BUF.DONX"</f>
        <v>FB_IMv_BUF_S.BUF.DONX</v>
      </c>
      <c r="B555" s="123">
        <v>11154</v>
      </c>
      <c r="C555" s="123" t="s">
        <v>4</v>
      </c>
      <c r="D555" s="124">
        <f>$S$9</f>
        <v>27</v>
      </c>
    </row>
    <row r="556" spans="1:4" ht="15" customHeight="1">
      <c r="A556" s="110" t="str">
        <f t="shared" si="57"/>
        <v>FB_IMv_BUF_S.BUF.DONX</v>
      </c>
      <c r="B556" s="678">
        <v>11150</v>
      </c>
      <c r="C556" s="678" t="s">
        <v>0</v>
      </c>
      <c r="D556" s="112" t="str">
        <f>"Недостоверность: входное значение Открыт"</f>
        <v>Недостоверность: входное значение Открыт</v>
      </c>
    </row>
    <row r="557" spans="1:4" ht="15" customHeight="1">
      <c r="A557" s="110" t="str">
        <f t="shared" si="57"/>
        <v>FB_IMv_BUF_S.BUF.DONX</v>
      </c>
      <c r="B557" s="678">
        <v>11152</v>
      </c>
      <c r="C557" s="678" t="s">
        <v>0</v>
      </c>
      <c r="D557" s="112" t="str">
        <f>$R$9</f>
        <v>Недостоверность</v>
      </c>
    </row>
    <row r="558" spans="1:4" ht="15" customHeight="1">
      <c r="A558" s="110" t="str">
        <f t="shared" si="57"/>
        <v>FB_IMv_BUF_S.BUF.DONX</v>
      </c>
      <c r="B558" s="678">
        <v>11000</v>
      </c>
      <c r="C558" s="678" t="s">
        <v>5</v>
      </c>
      <c r="D558" s="112">
        <v>2147483680</v>
      </c>
    </row>
    <row r="559" spans="1:4" ht="15" customHeight="1">
      <c r="A559" s="29" t="str">
        <f t="shared" si="57"/>
        <v>FB_IMv_BUF_S.BUF.DONX</v>
      </c>
      <c r="B559">
        <v>101</v>
      </c>
      <c r="C559" t="s">
        <v>0</v>
      </c>
      <c r="D559" s="30" t="str">
        <f>"Недостоверное Входное значение Открыт"</f>
        <v>Недостоверное Входное значение Открыт</v>
      </c>
    </row>
    <row r="560" spans="1:4" ht="15" customHeight="1">
      <c r="A560" s="29" t="str">
        <f t="shared" si="57"/>
        <v>FB_IMv_BUF_S.BUF.DONX</v>
      </c>
      <c r="B560">
        <v>7050</v>
      </c>
      <c r="C560" t="s">
        <v>0</v>
      </c>
      <c r="D560" s="30" t="str">
        <f>"&lt;Addr AnswerSignalType=©0© Protocol=©IEC4Std© Type=©Protocol© ProtocolType=©30© Address=©XXX© ModuleNo=©" &amp; $T$9&amp; "© Role=©Master© Station=©" &amp; $T$11 &amp; "©  /&gt;"</f>
        <v>&lt;Addr AnswerSignalType=©0© Protocol=©IEC4Std© Type=©Protocol© ProtocolType=©30© Address=©XXX© ModuleNo=©1© Role=©Master© Station=©1©  /&gt;</v>
      </c>
    </row>
    <row r="561" spans="1:4" ht="15" customHeight="1">
      <c r="A561" s="29" t="str">
        <f t="shared" si="57"/>
        <v>FB_IMv_BUF_S.BUF.DONX</v>
      </c>
      <c r="B561">
        <v>3</v>
      </c>
      <c r="C561" t="s">
        <v>1</v>
      </c>
      <c r="D561" s="30">
        <v>192</v>
      </c>
    </row>
    <row r="562" spans="1:4" ht="15" customHeight="1">
      <c r="A562" s="29" t="str">
        <f t="shared" si="57"/>
        <v>FB_IMv_BUF_S.BUF.DONX</v>
      </c>
      <c r="B562">
        <v>2</v>
      </c>
      <c r="C562" t="s">
        <v>2</v>
      </c>
      <c r="D562" s="30" t="s">
        <v>3</v>
      </c>
    </row>
    <row r="563" spans="1:4" ht="15" customHeight="1">
      <c r="A563" s="26" t="str">
        <f t="shared" si="57"/>
        <v>FB_IMv_BUF_S.BUF.DONX</v>
      </c>
      <c r="B563" s="27">
        <v>1</v>
      </c>
      <c r="C563" s="27" t="s">
        <v>1</v>
      </c>
      <c r="D563" s="28">
        <v>11</v>
      </c>
    </row>
    <row r="564" spans="1:4">
      <c r="A564" s="163" t="str">
        <f t="shared" ref="A564:A572" si="58">$R$2&amp;".BUF.DOFX"</f>
        <v>FB_IMv_BUF_S.BUF.DOFX</v>
      </c>
      <c r="B564" s="123">
        <v>11154</v>
      </c>
      <c r="C564" s="123" t="s">
        <v>4</v>
      </c>
      <c r="D564" s="124">
        <f>$S$9</f>
        <v>27</v>
      </c>
    </row>
    <row r="565" spans="1:4">
      <c r="A565" s="110" t="str">
        <f t="shared" si="58"/>
        <v>FB_IMv_BUF_S.BUF.DOFX</v>
      </c>
      <c r="B565" s="678">
        <v>11150</v>
      </c>
      <c r="C565" s="678" t="s">
        <v>0</v>
      </c>
      <c r="D565" s="112" t="str">
        <f>"Недостоверность: входное значение Закрыт"</f>
        <v>Недостоверность: входное значение Закрыт</v>
      </c>
    </row>
    <row r="566" spans="1:4">
      <c r="A566" s="110" t="str">
        <f t="shared" si="58"/>
        <v>FB_IMv_BUF_S.BUF.DOFX</v>
      </c>
      <c r="B566" s="678">
        <v>11152</v>
      </c>
      <c r="C566" s="678" t="s">
        <v>0</v>
      </c>
      <c r="D566" s="112" t="str">
        <f>$R$9</f>
        <v>Недостоверность</v>
      </c>
    </row>
    <row r="567" spans="1:4">
      <c r="A567" s="110" t="str">
        <f t="shared" si="58"/>
        <v>FB_IMv_BUF_S.BUF.DOFX</v>
      </c>
      <c r="B567" s="678">
        <v>11000</v>
      </c>
      <c r="C567" s="678" t="s">
        <v>5</v>
      </c>
      <c r="D567" s="112">
        <v>2147483680</v>
      </c>
    </row>
    <row r="568" spans="1:4">
      <c r="A568" s="29" t="str">
        <f t="shared" si="58"/>
        <v>FB_IMv_BUF_S.BUF.DOFX</v>
      </c>
      <c r="B568">
        <v>101</v>
      </c>
      <c r="C568" t="s">
        <v>0</v>
      </c>
      <c r="D568" s="30" t="str">
        <f>"Недостоверное Входное значение Закрыт"</f>
        <v>Недостоверное Входное значение Закрыт</v>
      </c>
    </row>
    <row r="569" spans="1:4">
      <c r="A569" s="29" t="str">
        <f t="shared" si="58"/>
        <v>FB_IMv_BUF_S.BUF.DOFX</v>
      </c>
      <c r="B569">
        <v>7050</v>
      </c>
      <c r="C569" t="s">
        <v>0</v>
      </c>
      <c r="D569" s="30" t="str">
        <f>"&lt;Addr AnswerSignalType=©0© Protocol=©IEC4Std© Type=©Protocol© ProtocolType=©30© Address=©XXX© ModuleNo=©" &amp; $T$9&amp; "© Role=©Master© Station=©" &amp; $T$11 &amp; "©  /&gt;"</f>
        <v>&lt;Addr AnswerSignalType=©0© Protocol=©IEC4Std© Type=©Protocol© ProtocolType=©30© Address=©XXX© ModuleNo=©1© Role=©Master© Station=©1©  /&gt;</v>
      </c>
    </row>
    <row r="570" spans="1:4">
      <c r="A570" s="29" t="str">
        <f t="shared" si="58"/>
        <v>FB_IMv_BUF_S.BUF.DOFX</v>
      </c>
      <c r="B570">
        <v>3</v>
      </c>
      <c r="C570" t="s">
        <v>1</v>
      </c>
      <c r="D570" s="30">
        <v>192</v>
      </c>
    </row>
    <row r="571" spans="1:4">
      <c r="A571" s="29" t="str">
        <f t="shared" si="58"/>
        <v>FB_IMv_BUF_S.BUF.DOFX</v>
      </c>
      <c r="B571">
        <v>2</v>
      </c>
      <c r="C571" t="s">
        <v>2</v>
      </c>
      <c r="D571" s="30" t="s">
        <v>3</v>
      </c>
    </row>
    <row r="572" spans="1:4">
      <c r="A572" s="26" t="str">
        <f t="shared" si="58"/>
        <v>FB_IMv_BUF_S.BUF.DOFX</v>
      </c>
      <c r="B572" s="27">
        <v>1</v>
      </c>
      <c r="C572" s="27" t="s">
        <v>1</v>
      </c>
      <c r="D572" s="28">
        <v>11</v>
      </c>
    </row>
    <row r="573" spans="1:4">
      <c r="A573" s="163" t="str">
        <f t="shared" ref="A573:A581" si="59">$R$2&amp;".BUF.DLCX"</f>
        <v>FB_IMv_BUF_S.BUF.DLCX</v>
      </c>
      <c r="B573" s="123">
        <v>11154</v>
      </c>
      <c r="C573" s="123" t="s">
        <v>4</v>
      </c>
      <c r="D573" s="124">
        <f>$S$9</f>
        <v>27</v>
      </c>
    </row>
    <row r="574" spans="1:4">
      <c r="A574" s="110" t="str">
        <f t="shared" si="59"/>
        <v>FB_IMv_BUF_S.BUF.DLCX</v>
      </c>
      <c r="B574" s="678">
        <v>11150</v>
      </c>
      <c r="C574" s="678" t="s">
        <v>0</v>
      </c>
      <c r="D574" s="112" t="s">
        <v>166</v>
      </c>
    </row>
    <row r="575" spans="1:4">
      <c r="A575" s="110" t="str">
        <f t="shared" si="59"/>
        <v>FB_IMv_BUF_S.BUF.DLCX</v>
      </c>
      <c r="B575" s="678">
        <v>11152</v>
      </c>
      <c r="C575" s="678" t="s">
        <v>0</v>
      </c>
      <c r="D575" s="112" t="str">
        <f>$R$9</f>
        <v>Недостоверность</v>
      </c>
    </row>
    <row r="576" spans="1:4">
      <c r="A576" s="110" t="str">
        <f t="shared" si="59"/>
        <v>FB_IMv_BUF_S.BUF.DLCX</v>
      </c>
      <c r="B576" s="678">
        <v>11000</v>
      </c>
      <c r="C576" s="678" t="s">
        <v>5</v>
      </c>
      <c r="D576" s="112">
        <v>2147483680</v>
      </c>
    </row>
    <row r="577" spans="1:4">
      <c r="A577" s="29" t="str">
        <f t="shared" si="59"/>
        <v>FB_IMv_BUF_S.BUF.DLCX</v>
      </c>
      <c r="B577">
        <v>101</v>
      </c>
      <c r="C577" t="s">
        <v>0</v>
      </c>
      <c r="D577" s="30" t="s">
        <v>578</v>
      </c>
    </row>
    <row r="578" spans="1:4">
      <c r="A578" s="29" t="str">
        <f t="shared" si="59"/>
        <v>FB_IMv_BUF_S.BUF.DLCX</v>
      </c>
      <c r="B578">
        <v>7050</v>
      </c>
      <c r="C578" t="s">
        <v>0</v>
      </c>
      <c r="D578" s="30" t="str">
        <f>"&lt;Addr AnswerSignalType=©0© Protocol=©IEC4Std© Type=©Protocol© ProtocolType=©30© Address=©XXX© ModuleNo=©" &amp; $T$9&amp; "© Role=©Master© Station=©" &amp; $T$11 &amp; "©  /&gt;"</f>
        <v>&lt;Addr AnswerSignalType=©0© Protocol=©IEC4Std© Type=©Protocol© ProtocolType=©30© Address=©XXX© ModuleNo=©1© Role=©Master© Station=©1©  /&gt;</v>
      </c>
    </row>
    <row r="579" spans="1:4">
      <c r="A579" s="29" t="str">
        <f t="shared" si="59"/>
        <v>FB_IMv_BUF_S.BUF.DLCX</v>
      </c>
      <c r="B579">
        <v>3</v>
      </c>
      <c r="C579" t="s">
        <v>1</v>
      </c>
      <c r="D579" s="30">
        <v>192</v>
      </c>
    </row>
    <row r="580" spans="1:4">
      <c r="A580" s="29" t="str">
        <f t="shared" si="59"/>
        <v>FB_IMv_BUF_S.BUF.DLCX</v>
      </c>
      <c r="B580">
        <v>2</v>
      </c>
      <c r="C580" t="s">
        <v>2</v>
      </c>
      <c r="D580" s="30" t="s">
        <v>3</v>
      </c>
    </row>
    <row r="581" spans="1:4">
      <c r="A581" s="26" t="str">
        <f t="shared" si="59"/>
        <v>FB_IMv_BUF_S.BUF.DLCX</v>
      </c>
      <c r="B581" s="27">
        <v>1</v>
      </c>
      <c r="C581" s="27" t="s">
        <v>1</v>
      </c>
      <c r="D581" s="28">
        <v>11</v>
      </c>
    </row>
    <row r="582" spans="1:4">
      <c r="A582" s="163" t="str">
        <f t="shared" ref="A582:A590" si="60">$R$2&amp;".BUF.DRCX"</f>
        <v>FB_IMv_BUF_S.BUF.DRCX</v>
      </c>
      <c r="B582" s="123">
        <v>11154</v>
      </c>
      <c r="C582" s="123" t="s">
        <v>4</v>
      </c>
      <c r="D582" s="124">
        <f>$S$9</f>
        <v>27</v>
      </c>
    </row>
    <row r="583" spans="1:4">
      <c r="A583" s="110" t="str">
        <f t="shared" si="60"/>
        <v>FB_IMv_BUF_S.BUF.DRCX</v>
      </c>
      <c r="B583" s="678">
        <v>11150</v>
      </c>
      <c r="C583" s="678" t="s">
        <v>0</v>
      </c>
      <c r="D583" s="112" t="s">
        <v>105</v>
      </c>
    </row>
    <row r="584" spans="1:4">
      <c r="A584" s="110" t="str">
        <f t="shared" si="60"/>
        <v>FB_IMv_BUF_S.BUF.DRCX</v>
      </c>
      <c r="B584" s="678">
        <v>11152</v>
      </c>
      <c r="C584" s="678" t="s">
        <v>0</v>
      </c>
      <c r="D584" s="112" t="str">
        <f>$R$9</f>
        <v>Недостоверность</v>
      </c>
    </row>
    <row r="585" spans="1:4">
      <c r="A585" s="110" t="str">
        <f t="shared" si="60"/>
        <v>FB_IMv_BUF_S.BUF.DRCX</v>
      </c>
      <c r="B585" s="678">
        <v>11000</v>
      </c>
      <c r="C585" s="678" t="s">
        <v>5</v>
      </c>
      <c r="D585" s="112">
        <v>2147483680</v>
      </c>
    </row>
    <row r="586" spans="1:4">
      <c r="A586" s="29" t="str">
        <f t="shared" si="60"/>
        <v>FB_IMv_BUF_S.BUF.DRCX</v>
      </c>
      <c r="B586">
        <v>101</v>
      </c>
      <c r="C586" t="s">
        <v>0</v>
      </c>
      <c r="D586" s="30" t="s">
        <v>573</v>
      </c>
    </row>
    <row r="587" spans="1:4">
      <c r="A587" s="29" t="str">
        <f t="shared" si="60"/>
        <v>FB_IMv_BUF_S.BUF.DRCX</v>
      </c>
      <c r="B587">
        <v>7050</v>
      </c>
      <c r="C587" t="s">
        <v>0</v>
      </c>
      <c r="D587" s="30" t="str">
        <f>"&lt;Addr AnswerSignalType=©0© Protocol=©IEC4Std© Type=©Protocol© ProtocolType=©30© Address=©XXX© ModuleNo=©" &amp; $T$9&amp; "© Role=©Master© Station=©" &amp; $T$11 &amp; "©  /&gt;"</f>
        <v>&lt;Addr AnswerSignalType=©0© Protocol=©IEC4Std© Type=©Protocol© ProtocolType=©30© Address=©XXX© ModuleNo=©1© Role=©Master© Station=©1©  /&gt;</v>
      </c>
    </row>
    <row r="588" spans="1:4">
      <c r="A588" s="29" t="str">
        <f t="shared" si="60"/>
        <v>FB_IMv_BUF_S.BUF.DRCX</v>
      </c>
      <c r="B588">
        <v>3</v>
      </c>
      <c r="C588" t="s">
        <v>1</v>
      </c>
      <c r="D588" s="30">
        <v>192</v>
      </c>
    </row>
    <row r="589" spans="1:4">
      <c r="A589" s="29" t="str">
        <f t="shared" si="60"/>
        <v>FB_IMv_BUF_S.BUF.DRCX</v>
      </c>
      <c r="B589">
        <v>2</v>
      </c>
      <c r="C589" t="s">
        <v>2</v>
      </c>
      <c r="D589" s="30" t="s">
        <v>3</v>
      </c>
    </row>
    <row r="590" spans="1:4">
      <c r="A590" s="26" t="str">
        <f t="shared" si="60"/>
        <v>FB_IMv_BUF_S.BUF.DRCX</v>
      </c>
      <c r="B590" s="27">
        <v>1</v>
      </c>
      <c r="C590" s="27" t="s">
        <v>1</v>
      </c>
      <c r="D590" s="28">
        <v>11</v>
      </c>
    </row>
    <row r="591" spans="1:4">
      <c r="A591" s="163" t="str">
        <f t="shared" ref="A591:A599" si="61">$R$2&amp;".BUF.DFXX"</f>
        <v>FB_IMv_BUF_S.BUF.DFXX</v>
      </c>
      <c r="B591" s="123">
        <v>11154</v>
      </c>
      <c r="C591" s="123" t="s">
        <v>4</v>
      </c>
      <c r="D591" s="124">
        <f>$S$9</f>
        <v>27</v>
      </c>
    </row>
    <row r="592" spans="1:4">
      <c r="A592" s="110" t="str">
        <f t="shared" si="61"/>
        <v>FB_IMv_BUF_S.BUF.DFXX</v>
      </c>
      <c r="B592" s="678">
        <v>11150</v>
      </c>
      <c r="C592" s="678" t="s">
        <v>0</v>
      </c>
      <c r="D592" s="112" t="s">
        <v>104</v>
      </c>
    </row>
    <row r="593" spans="1:4">
      <c r="A593" s="110" t="str">
        <f t="shared" si="61"/>
        <v>FB_IMv_BUF_S.BUF.DFXX</v>
      </c>
      <c r="B593" s="678">
        <v>11152</v>
      </c>
      <c r="C593" s="678" t="s">
        <v>0</v>
      </c>
      <c r="D593" s="112" t="str">
        <f>$R$9</f>
        <v>Недостоверность</v>
      </c>
    </row>
    <row r="594" spans="1:4">
      <c r="A594" s="110" t="str">
        <f t="shared" si="61"/>
        <v>FB_IMv_BUF_S.BUF.DFXX</v>
      </c>
      <c r="B594" s="678">
        <v>11000</v>
      </c>
      <c r="C594" s="678" t="s">
        <v>5</v>
      </c>
      <c r="D594" s="112">
        <v>2147483680</v>
      </c>
    </row>
    <row r="595" spans="1:4">
      <c r="A595" s="29" t="str">
        <f t="shared" si="61"/>
        <v>FB_IMv_BUF_S.BUF.DFXX</v>
      </c>
      <c r="B595">
        <v>101</v>
      </c>
      <c r="C595" t="s">
        <v>0</v>
      </c>
      <c r="D595" s="30" t="s">
        <v>520</v>
      </c>
    </row>
    <row r="596" spans="1:4">
      <c r="A596" s="29" t="str">
        <f t="shared" si="61"/>
        <v>FB_IMv_BUF_S.BUF.DFXX</v>
      </c>
      <c r="B596">
        <v>7050</v>
      </c>
      <c r="C596" t="s">
        <v>0</v>
      </c>
      <c r="D596" s="30" t="str">
        <f>"&lt;Addr AnswerSignalType=©0© Protocol=©IEC4Std© Type=©Protocol© ProtocolType=©30© Address=©XXX© ModuleNo=©" &amp; $T$9&amp; "© Role=©Master© Station=©" &amp; $T$11 &amp; "©  /&gt;"</f>
        <v>&lt;Addr AnswerSignalType=©0© Protocol=©IEC4Std© Type=©Protocol© ProtocolType=©30© Address=©XXX© ModuleNo=©1© Role=©Master© Station=©1©  /&gt;</v>
      </c>
    </row>
    <row r="597" spans="1:4">
      <c r="A597" s="29" t="str">
        <f t="shared" si="61"/>
        <v>FB_IMv_BUF_S.BUF.DFXX</v>
      </c>
      <c r="B597">
        <v>3</v>
      </c>
      <c r="C597" t="s">
        <v>1</v>
      </c>
      <c r="D597" s="30">
        <v>192</v>
      </c>
    </row>
    <row r="598" spans="1:4">
      <c r="A598" s="29" t="str">
        <f t="shared" si="61"/>
        <v>FB_IMv_BUF_S.BUF.DFXX</v>
      </c>
      <c r="B598">
        <v>2</v>
      </c>
      <c r="C598" t="s">
        <v>2</v>
      </c>
      <c r="D598" s="30" t="s">
        <v>3</v>
      </c>
    </row>
    <row r="599" spans="1:4">
      <c r="A599" s="26" t="str">
        <f t="shared" si="61"/>
        <v>FB_IMv_BUF_S.BUF.DFXX</v>
      </c>
      <c r="B599" s="27">
        <v>1</v>
      </c>
      <c r="C599" s="27" t="s">
        <v>1</v>
      </c>
      <c r="D599" s="28">
        <v>11</v>
      </c>
    </row>
    <row r="600" spans="1:4">
      <c r="A600" s="163" t="str">
        <f t="shared" ref="A600:A608" si="62">$R$2&amp;".BUF.DOON"</f>
        <v>FB_IMv_BUF_S.BUF.DOON</v>
      </c>
      <c r="B600" s="123">
        <v>11154</v>
      </c>
      <c r="C600" s="123" t="s">
        <v>4</v>
      </c>
      <c r="D600" s="124">
        <f>$S$9</f>
        <v>27</v>
      </c>
    </row>
    <row r="601" spans="1:4">
      <c r="A601" s="110" t="str">
        <f t="shared" si="62"/>
        <v>FB_IMv_BUF_S.BUF.DOON</v>
      </c>
      <c r="B601" s="678">
        <v>11150</v>
      </c>
      <c r="C601" s="678" t="s">
        <v>0</v>
      </c>
      <c r="D601" s="112" t="str">
        <f>"Недостоверность: выходное  значение  Открыть"</f>
        <v>Недостоверность: выходное  значение  Открыть</v>
      </c>
    </row>
    <row r="602" spans="1:4">
      <c r="A602" s="110" t="str">
        <f t="shared" si="62"/>
        <v>FB_IMv_BUF_S.BUF.DOON</v>
      </c>
      <c r="B602" s="678">
        <v>11152</v>
      </c>
      <c r="C602" s="678" t="s">
        <v>0</v>
      </c>
      <c r="D602" s="112" t="str">
        <f>$R$9</f>
        <v>Недостоверность</v>
      </c>
    </row>
    <row r="603" spans="1:4">
      <c r="A603" s="110" t="str">
        <f t="shared" si="62"/>
        <v>FB_IMv_BUF_S.BUF.DOON</v>
      </c>
      <c r="B603" s="678">
        <v>11000</v>
      </c>
      <c r="C603" s="678" t="s">
        <v>5</v>
      </c>
      <c r="D603" s="112">
        <v>2147483680</v>
      </c>
    </row>
    <row r="604" spans="1:4">
      <c r="A604" s="29" t="str">
        <f t="shared" si="62"/>
        <v>FB_IMv_BUF_S.BUF.DOON</v>
      </c>
      <c r="B604">
        <v>101</v>
      </c>
      <c r="C604" t="s">
        <v>0</v>
      </c>
      <c r="D604" s="30" t="str">
        <f>"Недостоверное Выходное  значение Открыть"</f>
        <v>Недостоверное Выходное  значение Открыть</v>
      </c>
    </row>
    <row r="605" spans="1:4">
      <c r="A605" s="29" t="str">
        <f t="shared" si="62"/>
        <v>FB_IMv_BUF_S.BUF.DOON</v>
      </c>
      <c r="B605">
        <v>7050</v>
      </c>
      <c r="C605" t="s">
        <v>0</v>
      </c>
      <c r="D605" s="30" t="str">
        <f>"&lt;Addr AnswerSignalType=©0© Protocol=©IEC4Std© Type=©Protocol© ProtocolType=©30© Address=©XXX© ModuleNo=©" &amp; $T$9&amp; "© Role=©Master© Station=©" &amp; $T$11 &amp; "©  /&gt;"</f>
        <v>&lt;Addr AnswerSignalType=©0© Protocol=©IEC4Std© Type=©Protocol© ProtocolType=©30© Address=©XXX© ModuleNo=©1© Role=©Master© Station=©1©  /&gt;</v>
      </c>
    </row>
    <row r="606" spans="1:4">
      <c r="A606" s="29" t="str">
        <f t="shared" si="62"/>
        <v>FB_IMv_BUF_S.BUF.DOON</v>
      </c>
      <c r="B606">
        <v>3</v>
      </c>
      <c r="C606" t="s">
        <v>1</v>
      </c>
      <c r="D606" s="30">
        <v>192</v>
      </c>
    </row>
    <row r="607" spans="1:4">
      <c r="A607" s="29" t="str">
        <f t="shared" si="62"/>
        <v>FB_IMv_BUF_S.BUF.DOON</v>
      </c>
      <c r="B607">
        <v>2</v>
      </c>
      <c r="C607" t="s">
        <v>2</v>
      </c>
      <c r="D607" s="30" t="s">
        <v>3</v>
      </c>
    </row>
    <row r="608" spans="1:4">
      <c r="A608" s="26" t="str">
        <f t="shared" si="62"/>
        <v>FB_IMv_BUF_S.BUF.DOON</v>
      </c>
      <c r="B608" s="27">
        <v>1</v>
      </c>
      <c r="C608" s="27" t="s">
        <v>1</v>
      </c>
      <c r="D608" s="28">
        <v>11</v>
      </c>
    </row>
    <row r="609" spans="1:4">
      <c r="A609" s="163" t="str">
        <f t="shared" ref="A609:A617" si="63">$R$2&amp;".BUF.DOOF"</f>
        <v>FB_IMv_BUF_S.BUF.DOOF</v>
      </c>
      <c r="B609" s="123">
        <v>11154</v>
      </c>
      <c r="C609" s="123" t="s">
        <v>4</v>
      </c>
      <c r="D609" s="124">
        <f>$S$9</f>
        <v>27</v>
      </c>
    </row>
    <row r="610" spans="1:4">
      <c r="A610" s="110" t="str">
        <f t="shared" si="63"/>
        <v>FB_IMv_BUF_S.BUF.DOOF</v>
      </c>
      <c r="B610" s="678">
        <v>11150</v>
      </c>
      <c r="C610" s="678" t="s">
        <v>0</v>
      </c>
      <c r="D610" s="112" t="str">
        <f>"Недостоверность: выходное  значение Закрыть"</f>
        <v>Недостоверность: выходное  значение Закрыть</v>
      </c>
    </row>
    <row r="611" spans="1:4">
      <c r="A611" s="110" t="str">
        <f t="shared" si="63"/>
        <v>FB_IMv_BUF_S.BUF.DOOF</v>
      </c>
      <c r="B611" s="678">
        <v>11152</v>
      </c>
      <c r="C611" s="678" t="s">
        <v>0</v>
      </c>
      <c r="D611" s="112" t="str">
        <f>$R$9</f>
        <v>Недостоверность</v>
      </c>
    </row>
    <row r="612" spans="1:4">
      <c r="A612" s="110" t="str">
        <f t="shared" si="63"/>
        <v>FB_IMv_BUF_S.BUF.DOOF</v>
      </c>
      <c r="B612" s="678">
        <v>11000</v>
      </c>
      <c r="C612" s="678" t="s">
        <v>5</v>
      </c>
      <c r="D612" s="112">
        <v>2147483680</v>
      </c>
    </row>
    <row r="613" spans="1:4">
      <c r="A613" s="29" t="str">
        <f t="shared" si="63"/>
        <v>FB_IMv_BUF_S.BUF.DOOF</v>
      </c>
      <c r="B613">
        <v>101</v>
      </c>
      <c r="C613" t="s">
        <v>0</v>
      </c>
      <c r="D613" s="30" t="str">
        <f>"Недостоверное Выходное значение Закрыть"</f>
        <v>Недостоверное Выходное значение Закрыть</v>
      </c>
    </row>
    <row r="614" spans="1:4">
      <c r="A614" s="29" t="str">
        <f t="shared" si="63"/>
        <v>FB_IMv_BUF_S.BUF.DOOF</v>
      </c>
      <c r="B614">
        <v>7050</v>
      </c>
      <c r="C614" t="s">
        <v>0</v>
      </c>
      <c r="D614" s="30" t="str">
        <f>"&lt;Addr AnswerSignalType=©0© Protocol=©IEC4Std© Type=©Protocol© ProtocolType=©30© Address=©XXX© ModuleNo=©" &amp; $T$9&amp; "© Role=©Master© Station=©" &amp; $T$11 &amp; "©  /&gt;"</f>
        <v>&lt;Addr AnswerSignalType=©0© Protocol=©IEC4Std© Type=©Protocol© ProtocolType=©30© Address=©XXX© ModuleNo=©1© Role=©Master© Station=©1©  /&gt;</v>
      </c>
    </row>
    <row r="615" spans="1:4">
      <c r="A615" s="29" t="str">
        <f t="shared" si="63"/>
        <v>FB_IMv_BUF_S.BUF.DOOF</v>
      </c>
      <c r="B615">
        <v>3</v>
      </c>
      <c r="C615" t="s">
        <v>1</v>
      </c>
      <c r="D615" s="30">
        <v>192</v>
      </c>
    </row>
    <row r="616" spans="1:4">
      <c r="A616" s="29" t="str">
        <f t="shared" si="63"/>
        <v>FB_IMv_BUF_S.BUF.DOOF</v>
      </c>
      <c r="B616">
        <v>2</v>
      </c>
      <c r="C616" t="s">
        <v>2</v>
      </c>
      <c r="D616" s="30" t="s">
        <v>3</v>
      </c>
    </row>
    <row r="617" spans="1:4">
      <c r="A617" s="26" t="str">
        <f t="shared" si="63"/>
        <v>FB_IMv_BUF_S.BUF.DOOF</v>
      </c>
      <c r="B617" s="27">
        <v>1</v>
      </c>
      <c r="C617" s="27" t="s">
        <v>1</v>
      </c>
      <c r="D617" s="28">
        <v>11</v>
      </c>
    </row>
    <row r="618" spans="1:4">
      <c r="A618" s="159" t="str">
        <f t="shared" ref="A618:A626" si="64">$R$2&amp;".BUF.XONX"</f>
        <v>FB_IMv_BUF_S.BUF.XONX</v>
      </c>
      <c r="B618" s="160">
        <v>11154</v>
      </c>
      <c r="C618" s="160" t="s">
        <v>4</v>
      </c>
      <c r="D618" s="161">
        <f>$S$8</f>
        <v>26</v>
      </c>
    </row>
    <row r="619" spans="1:4">
      <c r="A619" s="100" t="str">
        <f t="shared" si="64"/>
        <v>FB_IMv_BUF_S.BUF.XONX</v>
      </c>
      <c r="B619" s="679">
        <v>11150</v>
      </c>
      <c r="C619" s="679" t="s">
        <v>0</v>
      </c>
      <c r="D619" s="103" t="s">
        <v>685</v>
      </c>
    </row>
    <row r="620" spans="1:4">
      <c r="A620" s="100" t="str">
        <f t="shared" si="64"/>
        <v>FB_IMv_BUF_S.BUF.XONX</v>
      </c>
      <c r="B620" s="679">
        <v>11152</v>
      </c>
      <c r="C620" s="679" t="s">
        <v>0</v>
      </c>
      <c r="D620" s="103" t="str">
        <f>$R$8</f>
        <v>Телесигнализация</v>
      </c>
    </row>
    <row r="621" spans="1:4">
      <c r="A621" s="100" t="str">
        <f t="shared" si="64"/>
        <v>FB_IMv_BUF_S.BUF.XONX</v>
      </c>
      <c r="B621" s="679">
        <v>11000</v>
      </c>
      <c r="C621" s="679" t="s">
        <v>5</v>
      </c>
      <c r="D621" s="103">
        <v>2147483680</v>
      </c>
    </row>
    <row r="622" spans="1:4">
      <c r="A622" s="29" t="str">
        <f t="shared" si="64"/>
        <v>FB_IMv_BUF_S.BUF.XONX</v>
      </c>
      <c r="B622">
        <v>101</v>
      </c>
      <c r="C622" t="s">
        <v>0</v>
      </c>
      <c r="D622" s="30" t="s">
        <v>685</v>
      </c>
    </row>
    <row r="623" spans="1:4">
      <c r="A623" s="29" t="str">
        <f t="shared" si="64"/>
        <v>FB_IMv_BUF_S.BUF.XONX</v>
      </c>
      <c r="B623">
        <v>7050</v>
      </c>
      <c r="C623" t="s">
        <v>0</v>
      </c>
      <c r="D623" s="30" t="str">
        <f>"&lt;Addr AnswerSignalType=©0© Protocol=©IEC4Std© Type=©Protocol© ProtocolType=©30© Address=©XXX© ModuleNo=©" &amp; $T$9&amp; "© Role=©Master© Station=©" &amp; $T$11 &amp; "©  /&gt;"</f>
        <v>&lt;Addr AnswerSignalType=©0© Protocol=©IEC4Std© Type=©Protocol© ProtocolType=©30© Address=©XXX© ModuleNo=©1© Role=©Master© Station=©1©  /&gt;</v>
      </c>
    </row>
    <row r="624" spans="1:4">
      <c r="A624" s="29" t="str">
        <f t="shared" si="64"/>
        <v>FB_IMv_BUF_S.BUF.XONX</v>
      </c>
      <c r="B624">
        <v>3</v>
      </c>
      <c r="C624" t="s">
        <v>1</v>
      </c>
      <c r="D624" s="30">
        <v>192</v>
      </c>
    </row>
    <row r="625" spans="1:4">
      <c r="A625" s="29" t="str">
        <f t="shared" si="64"/>
        <v>FB_IMv_BUF_S.BUF.XONX</v>
      </c>
      <c r="B625">
        <v>2</v>
      </c>
      <c r="C625" t="s">
        <v>2</v>
      </c>
      <c r="D625" s="30" t="s">
        <v>3</v>
      </c>
    </row>
    <row r="626" spans="1:4">
      <c r="A626" s="26" t="str">
        <f t="shared" si="64"/>
        <v>FB_IMv_BUF_S.BUF.XONX</v>
      </c>
      <c r="B626" s="27">
        <v>1</v>
      </c>
      <c r="C626" s="27" t="s">
        <v>1</v>
      </c>
      <c r="D626" s="28">
        <v>11</v>
      </c>
    </row>
    <row r="627" spans="1:4">
      <c r="A627" s="159" t="str">
        <f t="shared" ref="A627:A635" si="65">$R$2&amp;".BUF.XOFX"</f>
        <v>FB_IMv_BUF_S.BUF.XOFX</v>
      </c>
      <c r="B627" s="160">
        <v>11154</v>
      </c>
      <c r="C627" s="160" t="s">
        <v>4</v>
      </c>
      <c r="D627" s="161">
        <f>$S$8</f>
        <v>26</v>
      </c>
    </row>
    <row r="628" spans="1:4">
      <c r="A628" s="100" t="str">
        <f t="shared" si="65"/>
        <v>FB_IMv_BUF_S.BUF.XOFX</v>
      </c>
      <c r="B628" s="679">
        <v>11150</v>
      </c>
      <c r="C628" s="679" t="s">
        <v>0</v>
      </c>
      <c r="D628" s="103" t="s">
        <v>816</v>
      </c>
    </row>
    <row r="629" spans="1:4">
      <c r="A629" s="100" t="str">
        <f t="shared" si="65"/>
        <v>FB_IMv_BUF_S.BUF.XOFX</v>
      </c>
      <c r="B629" s="679">
        <v>11152</v>
      </c>
      <c r="C629" s="679" t="s">
        <v>0</v>
      </c>
      <c r="D629" s="103" t="str">
        <f>$R$8</f>
        <v>Телесигнализация</v>
      </c>
    </row>
    <row r="630" spans="1:4">
      <c r="A630" s="100" t="str">
        <f t="shared" si="65"/>
        <v>FB_IMv_BUF_S.BUF.XOFX</v>
      </c>
      <c r="B630" s="679">
        <v>11000</v>
      </c>
      <c r="C630" s="679" t="s">
        <v>5</v>
      </c>
      <c r="D630" s="103">
        <v>2147483680</v>
      </c>
    </row>
    <row r="631" spans="1:4">
      <c r="A631" s="29" t="str">
        <f t="shared" si="65"/>
        <v>FB_IMv_BUF_S.BUF.XOFX</v>
      </c>
      <c r="B631">
        <v>101</v>
      </c>
      <c r="C631" t="s">
        <v>0</v>
      </c>
      <c r="D631" s="30" t="s">
        <v>816</v>
      </c>
    </row>
    <row r="632" spans="1:4">
      <c r="A632" s="29" t="str">
        <f t="shared" si="65"/>
        <v>FB_IMv_BUF_S.BUF.XOFX</v>
      </c>
      <c r="B632">
        <v>7050</v>
      </c>
      <c r="C632" t="s">
        <v>0</v>
      </c>
      <c r="D632" s="30" t="str">
        <f>"&lt;Addr AnswerSignalType=©0© Protocol=©IEC4Std© Type=©Protocol© ProtocolType=©30© Address=©XXX© ModuleNo=©" &amp; $T$9&amp; "© Role=©Master© Station=©" &amp; $T$11 &amp; "©  /&gt;"</f>
        <v>&lt;Addr AnswerSignalType=©0© Protocol=©IEC4Std© Type=©Protocol© ProtocolType=©30© Address=©XXX© ModuleNo=©1© Role=©Master© Station=©1©  /&gt;</v>
      </c>
    </row>
    <row r="633" spans="1:4">
      <c r="A633" s="29" t="str">
        <f t="shared" si="65"/>
        <v>FB_IMv_BUF_S.BUF.XOFX</v>
      </c>
      <c r="B633">
        <v>3</v>
      </c>
      <c r="C633" t="s">
        <v>1</v>
      </c>
      <c r="D633" s="30">
        <v>192</v>
      </c>
    </row>
    <row r="634" spans="1:4">
      <c r="A634" s="29" t="str">
        <f t="shared" si="65"/>
        <v>FB_IMv_BUF_S.BUF.XOFX</v>
      </c>
      <c r="B634">
        <v>2</v>
      </c>
      <c r="C634" t="s">
        <v>2</v>
      </c>
      <c r="D634" s="30" t="s">
        <v>3</v>
      </c>
    </row>
    <row r="635" spans="1:4">
      <c r="A635" s="26" t="str">
        <f t="shared" si="65"/>
        <v>FB_IMv_BUF_S.BUF.XOFX</v>
      </c>
      <c r="B635" s="27">
        <v>1</v>
      </c>
      <c r="C635" s="27" t="s">
        <v>1</v>
      </c>
      <c r="D635" s="28">
        <v>11</v>
      </c>
    </row>
    <row r="636" spans="1:4">
      <c r="A636" s="159" t="str">
        <f t="shared" ref="A636:A644" si="66">$R$2&amp;".BUF.XRCX"</f>
        <v>FB_IMv_BUF_S.BUF.XRCX</v>
      </c>
      <c r="B636" s="160">
        <v>11154</v>
      </c>
      <c r="C636" s="160" t="s">
        <v>4</v>
      </c>
      <c r="D636" s="161">
        <f>$S$8</f>
        <v>26</v>
      </c>
    </row>
    <row r="637" spans="1:4">
      <c r="A637" s="100" t="str">
        <f t="shared" si="66"/>
        <v>FB_IMv_BUF_S.BUF.XRCX</v>
      </c>
      <c r="B637" s="679">
        <v>11150</v>
      </c>
      <c r="C637" s="679" t="s">
        <v>0</v>
      </c>
      <c r="D637" s="103" t="s">
        <v>136</v>
      </c>
    </row>
    <row r="638" spans="1:4">
      <c r="A638" s="100" t="str">
        <f t="shared" si="66"/>
        <v>FB_IMv_BUF_S.BUF.XRCX</v>
      </c>
      <c r="B638" s="679">
        <v>11152</v>
      </c>
      <c r="C638" s="679" t="s">
        <v>0</v>
      </c>
      <c r="D638" s="103" t="str">
        <f>$R$8</f>
        <v>Телесигнализация</v>
      </c>
    </row>
    <row r="639" spans="1:4">
      <c r="A639" s="100" t="str">
        <f t="shared" si="66"/>
        <v>FB_IMv_BUF_S.BUF.XRCX</v>
      </c>
      <c r="B639" s="679">
        <v>11000</v>
      </c>
      <c r="C639" s="679" t="s">
        <v>5</v>
      </c>
      <c r="D639" s="103">
        <v>2147483680</v>
      </c>
    </row>
    <row r="640" spans="1:4">
      <c r="A640" s="29" t="str">
        <f t="shared" si="66"/>
        <v>FB_IMv_BUF_S.BUF.XRCX</v>
      </c>
      <c r="B640">
        <v>101</v>
      </c>
      <c r="C640" t="s">
        <v>0</v>
      </c>
      <c r="D640" s="30" t="s">
        <v>575</v>
      </c>
    </row>
    <row r="641" spans="1:4">
      <c r="A641" s="29" t="str">
        <f t="shared" si="66"/>
        <v>FB_IMv_BUF_S.BUF.XRCX</v>
      </c>
      <c r="B641">
        <v>7050</v>
      </c>
      <c r="C641" t="s">
        <v>0</v>
      </c>
      <c r="D641" s="30" t="str">
        <f>"&lt;Addr AnswerSignalType=©0© Protocol=©IEC4Std© Type=©Protocol© ProtocolType=©30© Address=©XXX© ModuleNo=©" &amp; $T$9&amp; "© Role=©Master© Station=©" &amp; $T$11 &amp; "©  /&gt;"</f>
        <v>&lt;Addr AnswerSignalType=©0© Protocol=©IEC4Std© Type=©Protocol© ProtocolType=©30© Address=©XXX© ModuleNo=©1© Role=©Master© Station=©1©  /&gt;</v>
      </c>
    </row>
    <row r="642" spans="1:4">
      <c r="A642" s="29" t="str">
        <f t="shared" si="66"/>
        <v>FB_IMv_BUF_S.BUF.XRCX</v>
      </c>
      <c r="B642">
        <v>3</v>
      </c>
      <c r="C642" t="s">
        <v>1</v>
      </c>
      <c r="D642" s="30">
        <v>192</v>
      </c>
    </row>
    <row r="643" spans="1:4">
      <c r="A643" s="29" t="str">
        <f t="shared" si="66"/>
        <v>FB_IMv_BUF_S.BUF.XRCX</v>
      </c>
      <c r="B643">
        <v>2</v>
      </c>
      <c r="C643" t="s">
        <v>2</v>
      </c>
      <c r="D643" s="30" t="s">
        <v>3</v>
      </c>
    </row>
    <row r="644" spans="1:4">
      <c r="A644" s="26" t="str">
        <f t="shared" si="66"/>
        <v>FB_IMv_BUF_S.BUF.XRCX</v>
      </c>
      <c r="B644" s="27">
        <v>1</v>
      </c>
      <c r="C644" s="27" t="s">
        <v>1</v>
      </c>
      <c r="D644" s="28">
        <v>11</v>
      </c>
    </row>
    <row r="645" spans="1:4">
      <c r="A645" s="100" t="str">
        <f t="shared" ref="A645:A653" si="67">$R$2&amp;".BUF.XMMX"</f>
        <v>FB_IMv_BUF_S.BUF.XMMX</v>
      </c>
      <c r="B645" s="679">
        <v>11154</v>
      </c>
      <c r="C645" s="679" t="s">
        <v>4</v>
      </c>
      <c r="D645" s="102">
        <f>$S$8</f>
        <v>26</v>
      </c>
    </row>
    <row r="646" spans="1:4">
      <c r="A646" s="100" t="str">
        <f t="shared" si="67"/>
        <v>FB_IMv_BUF_S.BUF.XMMX</v>
      </c>
      <c r="B646" s="679">
        <v>11150</v>
      </c>
      <c r="C646" s="679" t="s">
        <v>0</v>
      </c>
      <c r="D646" s="103" t="s">
        <v>134</v>
      </c>
    </row>
    <row r="647" spans="1:4">
      <c r="A647" s="100" t="str">
        <f t="shared" si="67"/>
        <v>FB_IMv_BUF_S.BUF.XMMX</v>
      </c>
      <c r="B647" s="679">
        <v>11152</v>
      </c>
      <c r="C647" s="679" t="s">
        <v>0</v>
      </c>
      <c r="D647" s="103" t="str">
        <f>$R$8</f>
        <v>Телесигнализация</v>
      </c>
    </row>
    <row r="648" spans="1:4">
      <c r="A648" s="100" t="str">
        <f t="shared" si="67"/>
        <v>FB_IMv_BUF_S.BUF.XMMX</v>
      </c>
      <c r="B648" s="679">
        <v>11000</v>
      </c>
      <c r="C648" s="679" t="s">
        <v>5</v>
      </c>
      <c r="D648" s="103">
        <v>2147483680</v>
      </c>
    </row>
    <row r="649" spans="1:4">
      <c r="A649" s="29" t="str">
        <f t="shared" si="67"/>
        <v>FB_IMv_BUF_S.BUF.XMMX</v>
      </c>
      <c r="B649">
        <v>101</v>
      </c>
      <c r="C649" t="s">
        <v>0</v>
      </c>
      <c r="D649" s="30" t="s">
        <v>574</v>
      </c>
    </row>
    <row r="650" spans="1:4">
      <c r="A650" s="29" t="str">
        <f t="shared" si="67"/>
        <v>FB_IMv_BUF_S.BUF.XMMX</v>
      </c>
      <c r="B650">
        <v>7050</v>
      </c>
      <c r="C650" t="s">
        <v>0</v>
      </c>
      <c r="D650" s="30" t="str">
        <f>"&lt;Addr AnswerSignalType=©0© Protocol=©IEC4Std© Type=©Protocol© ProtocolType=©30© Address=©XXX© ModuleNo=©" &amp; $T$9&amp; "© Role=©Master© Station=©" &amp; $T$11 &amp; "©  /&gt;"</f>
        <v>&lt;Addr AnswerSignalType=©0© Protocol=©IEC4Std© Type=©Protocol© ProtocolType=©30© Address=©XXX© ModuleNo=©1© Role=©Master© Station=©1©  /&gt;</v>
      </c>
    </row>
    <row r="651" spans="1:4">
      <c r="A651" s="29" t="str">
        <f t="shared" si="67"/>
        <v>FB_IMv_BUF_S.BUF.XMMX</v>
      </c>
      <c r="B651">
        <v>3</v>
      </c>
      <c r="C651" t="s">
        <v>1</v>
      </c>
      <c r="D651" s="30">
        <v>192</v>
      </c>
    </row>
    <row r="652" spans="1:4">
      <c r="A652" s="29" t="str">
        <f t="shared" si="67"/>
        <v>FB_IMv_BUF_S.BUF.XMMX</v>
      </c>
      <c r="B652">
        <v>2</v>
      </c>
      <c r="C652" t="s">
        <v>2</v>
      </c>
      <c r="D652" s="30" t="s">
        <v>3</v>
      </c>
    </row>
    <row r="653" spans="1:4">
      <c r="A653" s="26" t="str">
        <f t="shared" si="67"/>
        <v>FB_IMv_BUF_S.BUF.XMMX</v>
      </c>
      <c r="B653" s="27">
        <v>1</v>
      </c>
      <c r="C653" s="27" t="s">
        <v>1</v>
      </c>
      <c r="D653" s="28">
        <v>11</v>
      </c>
    </row>
    <row r="654" spans="1:4">
      <c r="A654" s="159" t="str">
        <f>$R$2&amp;".BUF.CAON"</f>
        <v>FB_IMv_BUF_S.BUF.CAON</v>
      </c>
      <c r="B654" s="160">
        <v>11154</v>
      </c>
      <c r="C654" s="160" t="s">
        <v>4</v>
      </c>
      <c r="D654" s="161">
        <f>$S$8</f>
        <v>26</v>
      </c>
    </row>
    <row r="655" spans="1:4">
      <c r="A655" s="100" t="str">
        <f t="shared" ref="A655:A662" si="68">$R$2&amp;".BUF.CAON"</f>
        <v>FB_IMv_BUF_S.BUF.CAON</v>
      </c>
      <c r="B655" s="679">
        <v>11150</v>
      </c>
      <c r="C655" s="679" t="s">
        <v>0</v>
      </c>
      <c r="D655" s="103" t="s">
        <v>1843</v>
      </c>
    </row>
    <row r="656" spans="1:4">
      <c r="A656" s="100" t="str">
        <f t="shared" si="68"/>
        <v>FB_IMv_BUF_S.BUF.CAON</v>
      </c>
      <c r="B656" s="679">
        <v>11152</v>
      </c>
      <c r="C656" s="679" t="s">
        <v>0</v>
      </c>
      <c r="D656" s="103" t="str">
        <f>$R$8</f>
        <v>Телесигнализация</v>
      </c>
    </row>
    <row r="657" spans="1:4">
      <c r="A657" s="100" t="str">
        <f t="shared" si="68"/>
        <v>FB_IMv_BUF_S.BUF.CAON</v>
      </c>
      <c r="B657" s="679">
        <v>11000</v>
      </c>
      <c r="C657" s="679" t="s">
        <v>5</v>
      </c>
      <c r="D657" s="103">
        <v>2147483680</v>
      </c>
    </row>
    <row r="658" spans="1:4">
      <c r="A658" s="29" t="str">
        <f t="shared" si="68"/>
        <v>FB_IMv_BUF_S.BUF.CAON</v>
      </c>
      <c r="B658">
        <v>101</v>
      </c>
      <c r="C658" t="s">
        <v>0</v>
      </c>
      <c r="D658" s="30" t="s">
        <v>1843</v>
      </c>
    </row>
    <row r="659" spans="1:4">
      <c r="A659" s="29" t="str">
        <f t="shared" si="68"/>
        <v>FB_IMv_BUF_S.BUF.CAON</v>
      </c>
      <c r="B659">
        <v>7050</v>
      </c>
      <c r="C659" t="s">
        <v>0</v>
      </c>
      <c r="D659" s="30" t="str">
        <f>"&lt;Addr AnswerSignalType=©0© Protocol=©IEC4Std© Type=©Protocol© ProtocolType=©30© Address=©XXX© ModuleNo=©" &amp; $T$9&amp; "© Role=©Master© Station=©" &amp; $T$11 &amp; "©  /&gt;"</f>
        <v>&lt;Addr AnswerSignalType=©0© Protocol=©IEC4Std© Type=©Protocol© ProtocolType=©30© Address=©XXX© ModuleNo=©1© Role=©Master© Station=©1©  /&gt;</v>
      </c>
    </row>
    <row r="660" spans="1:4">
      <c r="A660" s="29" t="str">
        <f t="shared" si="68"/>
        <v>FB_IMv_BUF_S.BUF.CAON</v>
      </c>
      <c r="B660">
        <v>3</v>
      </c>
      <c r="C660" t="s">
        <v>1</v>
      </c>
      <c r="D660" s="30">
        <v>192</v>
      </c>
    </row>
    <row r="661" spans="1:4">
      <c r="A661" s="29" t="str">
        <f t="shared" si="68"/>
        <v>FB_IMv_BUF_S.BUF.CAON</v>
      </c>
      <c r="B661">
        <v>2</v>
      </c>
      <c r="C661" t="s">
        <v>2</v>
      </c>
      <c r="D661" s="30" t="s">
        <v>3</v>
      </c>
    </row>
    <row r="662" spans="1:4">
      <c r="A662" s="26" t="str">
        <f t="shared" si="68"/>
        <v>FB_IMv_BUF_S.BUF.CAON</v>
      </c>
      <c r="B662" s="27">
        <v>1</v>
      </c>
      <c r="C662" s="27" t="s">
        <v>1</v>
      </c>
      <c r="D662" s="28">
        <v>11</v>
      </c>
    </row>
    <row r="663" spans="1:4">
      <c r="A663" s="159" t="str">
        <f>$R$2&amp;".BUF.CAOF"</f>
        <v>FB_IMv_BUF_S.BUF.CAOF</v>
      </c>
      <c r="B663" s="160">
        <v>11154</v>
      </c>
      <c r="C663" s="160" t="s">
        <v>4</v>
      </c>
      <c r="D663" s="161">
        <f>$S$8</f>
        <v>26</v>
      </c>
    </row>
    <row r="664" spans="1:4">
      <c r="A664" s="100" t="str">
        <f t="shared" ref="A664:A671" si="69">$R$2&amp;".BUF.CAOF"</f>
        <v>FB_IMv_BUF_S.BUF.CAOF</v>
      </c>
      <c r="B664" s="679">
        <v>11150</v>
      </c>
      <c r="C664" s="679" t="s">
        <v>0</v>
      </c>
      <c r="D664" s="103" t="s">
        <v>1844</v>
      </c>
    </row>
    <row r="665" spans="1:4">
      <c r="A665" s="100" t="str">
        <f t="shared" si="69"/>
        <v>FB_IMv_BUF_S.BUF.CAOF</v>
      </c>
      <c r="B665" s="679">
        <v>11152</v>
      </c>
      <c r="C665" s="679" t="s">
        <v>0</v>
      </c>
      <c r="D665" s="103" t="str">
        <f>$R$8</f>
        <v>Телесигнализация</v>
      </c>
    </row>
    <row r="666" spans="1:4">
      <c r="A666" s="100" t="str">
        <f t="shared" si="69"/>
        <v>FB_IMv_BUF_S.BUF.CAOF</v>
      </c>
      <c r="B666" s="679">
        <v>11000</v>
      </c>
      <c r="C666" s="679" t="s">
        <v>5</v>
      </c>
      <c r="D666" s="103">
        <v>2147483680</v>
      </c>
    </row>
    <row r="667" spans="1:4">
      <c r="A667" s="29" t="str">
        <f t="shared" si="69"/>
        <v>FB_IMv_BUF_S.BUF.CAOF</v>
      </c>
      <c r="B667">
        <v>101</v>
      </c>
      <c r="C667" t="s">
        <v>0</v>
      </c>
      <c r="D667" s="30" t="s">
        <v>1844</v>
      </c>
    </row>
    <row r="668" spans="1:4">
      <c r="A668" s="29" t="str">
        <f t="shared" si="69"/>
        <v>FB_IMv_BUF_S.BUF.CAOF</v>
      </c>
      <c r="B668">
        <v>7050</v>
      </c>
      <c r="C668" t="s">
        <v>0</v>
      </c>
      <c r="D668" s="30" t="str">
        <f>"&lt;Addr AnswerSignalType=©0© Protocol=©IEC4Std© Type=©Protocol© ProtocolType=©30© Address=©XXX© ModuleNo=©" &amp; $T$9&amp; "© Role=©Master© Station=©" &amp; $T$11 &amp; "©  /&gt;"</f>
        <v>&lt;Addr AnswerSignalType=©0© Protocol=©IEC4Std© Type=©Protocol© ProtocolType=©30© Address=©XXX© ModuleNo=©1© Role=©Master© Station=©1©  /&gt;</v>
      </c>
    </row>
    <row r="669" spans="1:4">
      <c r="A669" s="29" t="str">
        <f t="shared" si="69"/>
        <v>FB_IMv_BUF_S.BUF.CAOF</v>
      </c>
      <c r="B669">
        <v>3</v>
      </c>
      <c r="C669" t="s">
        <v>1</v>
      </c>
      <c r="D669" s="30">
        <v>192</v>
      </c>
    </row>
    <row r="670" spans="1:4">
      <c r="A670" s="29" t="str">
        <f t="shared" si="69"/>
        <v>FB_IMv_BUF_S.BUF.CAOF</v>
      </c>
      <c r="B670">
        <v>2</v>
      </c>
      <c r="C670" t="s">
        <v>2</v>
      </c>
      <c r="D670" s="30" t="s">
        <v>3</v>
      </c>
    </row>
    <row r="671" spans="1:4">
      <c r="A671" s="26" t="str">
        <f t="shared" si="69"/>
        <v>FB_IMv_BUF_S.BUF.CAOF</v>
      </c>
      <c r="B671" s="27">
        <v>1</v>
      </c>
      <c r="C671" s="27" t="s">
        <v>1</v>
      </c>
      <c r="D671" s="28">
        <v>11</v>
      </c>
    </row>
    <row r="672" spans="1:4">
      <c r="A672" s="69" t="str">
        <f t="shared" ref="A672:A680" si="70">$R$2&amp;".BUF.LAON"</f>
        <v>FB_IMv_BUF_S.BUF.LAON</v>
      </c>
      <c r="B672" s="70">
        <v>11154</v>
      </c>
      <c r="C672" s="70" t="s">
        <v>4</v>
      </c>
      <c r="D672" s="144">
        <f>$S$6</f>
        <v>24</v>
      </c>
    </row>
    <row r="673" spans="1:4">
      <c r="A673" s="63" t="str">
        <f t="shared" si="70"/>
        <v>FB_IMv_BUF_S.BUF.LAON</v>
      </c>
      <c r="B673" s="52">
        <v>11150</v>
      </c>
      <c r="C673" s="52" t="s">
        <v>0</v>
      </c>
      <c r="D673" s="65" t="s">
        <v>1841</v>
      </c>
    </row>
    <row r="674" spans="1:4">
      <c r="A674" s="63" t="str">
        <f t="shared" si="70"/>
        <v>FB_IMv_BUF_S.BUF.LAON</v>
      </c>
      <c r="B674" s="52">
        <v>11152</v>
      </c>
      <c r="C674" s="52" t="s">
        <v>0</v>
      </c>
      <c r="D674" s="65" t="str">
        <f>$R$6</f>
        <v>Предупреждение</v>
      </c>
    </row>
    <row r="675" spans="1:4">
      <c r="A675" s="63" t="str">
        <f t="shared" si="70"/>
        <v>FB_IMv_BUF_S.BUF.LAON</v>
      </c>
      <c r="B675" s="52">
        <v>11000</v>
      </c>
      <c r="C675" s="52" t="s">
        <v>5</v>
      </c>
      <c r="D675" s="65">
        <v>2147483680</v>
      </c>
    </row>
    <row r="676" spans="1:4">
      <c r="A676" s="29" t="str">
        <f t="shared" si="70"/>
        <v>FB_IMv_BUF_S.BUF.LAON</v>
      </c>
      <c r="B676">
        <v>101</v>
      </c>
      <c r="C676" t="s">
        <v>0</v>
      </c>
      <c r="D676" s="30" t="s">
        <v>1841</v>
      </c>
    </row>
    <row r="677" spans="1:4">
      <c r="A677" s="29" t="str">
        <f t="shared" si="70"/>
        <v>FB_IMv_BUF_S.BUF.LAON</v>
      </c>
      <c r="B677">
        <v>7050</v>
      </c>
      <c r="C677" t="s">
        <v>0</v>
      </c>
      <c r="D677" s="30" t="str">
        <f>"&lt;Addr AnswerSignalType=©0© Protocol=©IEC4Std© Type=©Protocol© ProtocolType=©30© Address=©XXX© ModuleNo=©" &amp; $T$9&amp; "© Role=©Master© Station=©" &amp; $T$11 &amp; "©  /&gt;"</f>
        <v>&lt;Addr AnswerSignalType=©0© Protocol=©IEC4Std© Type=©Protocol© ProtocolType=©30© Address=©XXX© ModuleNo=©1© Role=©Master© Station=©1©  /&gt;</v>
      </c>
    </row>
    <row r="678" spans="1:4">
      <c r="A678" s="29" t="str">
        <f t="shared" si="70"/>
        <v>FB_IMv_BUF_S.BUF.LAON</v>
      </c>
      <c r="B678">
        <v>3</v>
      </c>
      <c r="C678" t="s">
        <v>1</v>
      </c>
      <c r="D678" s="30">
        <v>192</v>
      </c>
    </row>
    <row r="679" spans="1:4">
      <c r="A679" s="29" t="str">
        <f t="shared" si="70"/>
        <v>FB_IMv_BUF_S.BUF.LAON</v>
      </c>
      <c r="B679">
        <v>2</v>
      </c>
      <c r="C679" t="s">
        <v>2</v>
      </c>
      <c r="D679" s="30" t="s">
        <v>3</v>
      </c>
    </row>
    <row r="680" spans="1:4">
      <c r="A680" s="26" t="str">
        <f t="shared" si="70"/>
        <v>FB_IMv_BUF_S.BUF.LAON</v>
      </c>
      <c r="B680" s="27">
        <v>1</v>
      </c>
      <c r="C680" s="27" t="s">
        <v>1</v>
      </c>
      <c r="D680" s="28">
        <v>11</v>
      </c>
    </row>
    <row r="681" spans="1:4">
      <c r="A681" s="69" t="str">
        <f t="shared" ref="A681:A689" si="71">$R$2&amp;".BUF.LAOF"</f>
        <v>FB_IMv_BUF_S.BUF.LAOF</v>
      </c>
      <c r="B681" s="70">
        <v>11154</v>
      </c>
      <c r="C681" s="70" t="s">
        <v>4</v>
      </c>
      <c r="D681" s="144">
        <f>$S$6</f>
        <v>24</v>
      </c>
    </row>
    <row r="682" spans="1:4">
      <c r="A682" s="63" t="str">
        <f t="shared" si="71"/>
        <v>FB_IMv_BUF_S.BUF.LAOF</v>
      </c>
      <c r="B682" s="52">
        <v>11150</v>
      </c>
      <c r="C682" s="52" t="s">
        <v>0</v>
      </c>
      <c r="D682" s="65" t="s">
        <v>1842</v>
      </c>
    </row>
    <row r="683" spans="1:4">
      <c r="A683" s="63" t="str">
        <f t="shared" si="71"/>
        <v>FB_IMv_BUF_S.BUF.LAOF</v>
      </c>
      <c r="B683" s="52">
        <v>11152</v>
      </c>
      <c r="C683" s="52" t="s">
        <v>0</v>
      </c>
      <c r="D683" s="65" t="str">
        <f>$R$6</f>
        <v>Предупреждение</v>
      </c>
    </row>
    <row r="684" spans="1:4">
      <c r="A684" s="63" t="str">
        <f t="shared" si="71"/>
        <v>FB_IMv_BUF_S.BUF.LAOF</v>
      </c>
      <c r="B684" s="52">
        <v>11000</v>
      </c>
      <c r="C684" s="52" t="s">
        <v>5</v>
      </c>
      <c r="D684" s="65">
        <v>2147483680</v>
      </c>
    </row>
    <row r="685" spans="1:4">
      <c r="A685" s="29" t="str">
        <f t="shared" si="71"/>
        <v>FB_IMv_BUF_S.BUF.LAOF</v>
      </c>
      <c r="B685">
        <v>101</v>
      </c>
      <c r="C685" t="s">
        <v>0</v>
      </c>
      <c r="D685" s="30" t="s">
        <v>1842</v>
      </c>
    </row>
    <row r="686" spans="1:4">
      <c r="A686" s="29" t="str">
        <f t="shared" si="71"/>
        <v>FB_IMv_BUF_S.BUF.LAOF</v>
      </c>
      <c r="B686">
        <v>7050</v>
      </c>
      <c r="C686" t="s">
        <v>0</v>
      </c>
      <c r="D686" s="30" t="str">
        <f>"&lt;Addr AnswerSignalType=©0© Protocol=©IEC4Std© Type=©Protocol© ProtocolType=©30© Address=©XXX© ModuleNo=©" &amp; $T$9&amp; "© Role=©Master© Station=©" &amp; $T$11 &amp; "©  /&gt;"</f>
        <v>&lt;Addr AnswerSignalType=©0© Protocol=©IEC4Std© Type=©Protocol© ProtocolType=©30© Address=©XXX© ModuleNo=©1© Role=©Master© Station=©1©  /&gt;</v>
      </c>
    </row>
    <row r="687" spans="1:4">
      <c r="A687" s="29" t="str">
        <f t="shared" si="71"/>
        <v>FB_IMv_BUF_S.BUF.LAOF</v>
      </c>
      <c r="B687">
        <v>3</v>
      </c>
      <c r="C687" t="s">
        <v>1</v>
      </c>
      <c r="D687" s="30">
        <v>192</v>
      </c>
    </row>
    <row r="688" spans="1:4">
      <c r="A688" s="29" t="str">
        <f t="shared" si="71"/>
        <v>FB_IMv_BUF_S.BUF.LAOF</v>
      </c>
      <c r="B688">
        <v>2</v>
      </c>
      <c r="C688" t="s">
        <v>2</v>
      </c>
      <c r="D688" s="30" t="s">
        <v>3</v>
      </c>
    </row>
    <row r="689" spans="1:4">
      <c r="A689" s="26" t="str">
        <f t="shared" si="71"/>
        <v>FB_IMv_BUF_S.BUF.LAOF</v>
      </c>
      <c r="B689" s="27">
        <v>1</v>
      </c>
      <c r="C689" s="27" t="s">
        <v>1</v>
      </c>
      <c r="D689" s="28">
        <v>11</v>
      </c>
    </row>
    <row r="690" spans="1:4">
      <c r="A690" s="69" t="str">
        <f t="shared" ref="A690:A698" si="72">$R$2&amp;".BUF.CEON"</f>
        <v>FB_IMv_BUF_S.BUF.CEON</v>
      </c>
      <c r="B690" s="70">
        <v>11154</v>
      </c>
      <c r="C690" s="70" t="s">
        <v>4</v>
      </c>
      <c r="D690" s="144">
        <f>$S$6</f>
        <v>24</v>
      </c>
    </row>
    <row r="691" spans="1:4">
      <c r="A691" s="63" t="str">
        <f t="shared" si="72"/>
        <v>FB_IMv_BUF_S.BUF.CEON</v>
      </c>
      <c r="B691" s="52">
        <v>11150</v>
      </c>
      <c r="C691" s="52" t="s">
        <v>0</v>
      </c>
      <c r="D691" s="65" t="s">
        <v>1845</v>
      </c>
    </row>
    <row r="692" spans="1:4">
      <c r="A692" s="63" t="str">
        <f t="shared" si="72"/>
        <v>FB_IMv_BUF_S.BUF.CEON</v>
      </c>
      <c r="B692" s="52">
        <v>11152</v>
      </c>
      <c r="C692" s="52" t="s">
        <v>0</v>
      </c>
      <c r="D692" s="65" t="str">
        <f>$R$6</f>
        <v>Предупреждение</v>
      </c>
    </row>
    <row r="693" spans="1:4">
      <c r="A693" s="63" t="str">
        <f t="shared" si="72"/>
        <v>FB_IMv_BUF_S.BUF.CEON</v>
      </c>
      <c r="B693" s="52">
        <v>11000</v>
      </c>
      <c r="C693" s="52" t="s">
        <v>5</v>
      </c>
      <c r="D693" s="65">
        <v>2147483680</v>
      </c>
    </row>
    <row r="694" spans="1:4">
      <c r="A694" s="29" t="str">
        <f t="shared" si="72"/>
        <v>FB_IMv_BUF_S.BUF.CEON</v>
      </c>
      <c r="B694">
        <v>101</v>
      </c>
      <c r="C694" t="s">
        <v>0</v>
      </c>
      <c r="D694" s="30" t="s">
        <v>1845</v>
      </c>
    </row>
    <row r="695" spans="1:4">
      <c r="A695" s="29" t="str">
        <f t="shared" si="72"/>
        <v>FB_IMv_BUF_S.BUF.CEON</v>
      </c>
      <c r="B695">
        <v>7050</v>
      </c>
      <c r="C695" t="s">
        <v>0</v>
      </c>
      <c r="D695" s="30" t="str">
        <f>"&lt;Addr AnswerSignalType=©0© Protocol=©IEC4Std© Type=©Protocol© ProtocolType=©30© Address=©XXX© ModuleNo=©" &amp; $T$9&amp; "© Role=©Master© Station=©" &amp; $T$11 &amp; "©  /&gt;"</f>
        <v>&lt;Addr AnswerSignalType=©0© Protocol=©IEC4Std© Type=©Protocol© ProtocolType=©30© Address=©XXX© ModuleNo=©1© Role=©Master© Station=©1©  /&gt;</v>
      </c>
    </row>
    <row r="696" spans="1:4">
      <c r="A696" s="29" t="str">
        <f t="shared" si="72"/>
        <v>FB_IMv_BUF_S.BUF.CEON</v>
      </c>
      <c r="B696">
        <v>3</v>
      </c>
      <c r="C696" t="s">
        <v>1</v>
      </c>
      <c r="D696" s="30">
        <v>192</v>
      </c>
    </row>
    <row r="697" spans="1:4">
      <c r="A697" s="29" t="str">
        <f t="shared" si="72"/>
        <v>FB_IMv_BUF_S.BUF.CEON</v>
      </c>
      <c r="B697">
        <v>2</v>
      </c>
      <c r="C697" t="s">
        <v>2</v>
      </c>
      <c r="D697" s="30" t="s">
        <v>3</v>
      </c>
    </row>
    <row r="698" spans="1:4">
      <c r="A698" s="26" t="str">
        <f t="shared" si="72"/>
        <v>FB_IMv_BUF_S.BUF.CEON</v>
      </c>
      <c r="B698" s="27">
        <v>1</v>
      </c>
      <c r="C698" s="27" t="s">
        <v>1</v>
      </c>
      <c r="D698" s="28">
        <v>11</v>
      </c>
    </row>
    <row r="699" spans="1:4">
      <c r="A699" s="69" t="str">
        <f t="shared" ref="A699:A707" si="73">$R$2&amp;".BUF.CEOF"</f>
        <v>FB_IMv_BUF_S.BUF.CEOF</v>
      </c>
      <c r="B699" s="70">
        <v>11154</v>
      </c>
      <c r="C699" s="70" t="s">
        <v>4</v>
      </c>
      <c r="D699" s="144">
        <f>$S$6</f>
        <v>24</v>
      </c>
    </row>
    <row r="700" spans="1:4">
      <c r="A700" s="63" t="str">
        <f t="shared" si="73"/>
        <v>FB_IMv_BUF_S.BUF.CEOF</v>
      </c>
      <c r="B700" s="52">
        <v>11150</v>
      </c>
      <c r="C700" s="52" t="s">
        <v>0</v>
      </c>
      <c r="D700" s="65" t="s">
        <v>1846</v>
      </c>
    </row>
    <row r="701" spans="1:4">
      <c r="A701" s="63" t="str">
        <f t="shared" si="73"/>
        <v>FB_IMv_BUF_S.BUF.CEOF</v>
      </c>
      <c r="B701" s="52">
        <v>11152</v>
      </c>
      <c r="C701" s="52" t="s">
        <v>0</v>
      </c>
      <c r="D701" s="65" t="str">
        <f>$R$6</f>
        <v>Предупреждение</v>
      </c>
    </row>
    <row r="702" spans="1:4">
      <c r="A702" s="63" t="str">
        <f t="shared" si="73"/>
        <v>FB_IMv_BUF_S.BUF.CEOF</v>
      </c>
      <c r="B702" s="52">
        <v>11000</v>
      </c>
      <c r="C702" s="52" t="s">
        <v>5</v>
      </c>
      <c r="D702" s="65">
        <v>2147483680</v>
      </c>
    </row>
    <row r="703" spans="1:4">
      <c r="A703" s="29" t="str">
        <f t="shared" si="73"/>
        <v>FB_IMv_BUF_S.BUF.CEOF</v>
      </c>
      <c r="B703">
        <v>101</v>
      </c>
      <c r="C703" t="s">
        <v>0</v>
      </c>
      <c r="D703" s="30" t="s">
        <v>1846</v>
      </c>
    </row>
    <row r="704" spans="1:4">
      <c r="A704" s="29" t="str">
        <f t="shared" si="73"/>
        <v>FB_IMv_BUF_S.BUF.CEOF</v>
      </c>
      <c r="B704">
        <v>7050</v>
      </c>
      <c r="C704" t="s">
        <v>0</v>
      </c>
      <c r="D704" s="30" t="str">
        <f>"&lt;Addr AnswerSignalType=©0© Protocol=©IEC4Std© Type=©Protocol© ProtocolType=©30© Address=©XXX© ModuleNo=©" &amp; $T$9&amp; "© Role=©Master© Station=©" &amp; $T$11 &amp; "©  /&gt;"</f>
        <v>&lt;Addr AnswerSignalType=©0© Protocol=©IEC4Std© Type=©Protocol© ProtocolType=©30© Address=©XXX© ModuleNo=©1© Role=©Master© Station=©1©  /&gt;</v>
      </c>
    </row>
    <row r="705" spans="1:4">
      <c r="A705" s="29" t="str">
        <f t="shared" si="73"/>
        <v>FB_IMv_BUF_S.BUF.CEOF</v>
      </c>
      <c r="B705">
        <v>3</v>
      </c>
      <c r="C705" t="s">
        <v>1</v>
      </c>
      <c r="D705" s="30">
        <v>192</v>
      </c>
    </row>
    <row r="706" spans="1:4">
      <c r="A706" s="29" t="str">
        <f t="shared" si="73"/>
        <v>FB_IMv_BUF_S.BUF.CEOF</v>
      </c>
      <c r="B706">
        <v>2</v>
      </c>
      <c r="C706" t="s">
        <v>2</v>
      </c>
      <c r="D706" s="30" t="s">
        <v>3</v>
      </c>
    </row>
    <row r="707" spans="1:4">
      <c r="A707" s="26" t="str">
        <f t="shared" si="73"/>
        <v>FB_IMv_BUF_S.BUF.CEOF</v>
      </c>
      <c r="B707" s="27">
        <v>1</v>
      </c>
      <c r="C707" s="27" t="s">
        <v>1</v>
      </c>
      <c r="D707" s="28">
        <v>11</v>
      </c>
    </row>
    <row r="708" spans="1:4">
      <c r="A708" s="69" t="str">
        <f t="shared" ref="A708:A716" si="74">$R$2&amp;".BUF.FRQX"</f>
        <v>FB_IMv_BUF_S.BUF.FRQX</v>
      </c>
      <c r="B708" s="70">
        <v>11154</v>
      </c>
      <c r="C708" s="70" t="s">
        <v>4</v>
      </c>
      <c r="D708" s="144">
        <f>$S$6</f>
        <v>24</v>
      </c>
    </row>
    <row r="709" spans="1:4">
      <c r="A709" s="63" t="str">
        <f t="shared" si="74"/>
        <v>FB_IMv_BUF_S.BUF.FRQX</v>
      </c>
      <c r="B709" s="52">
        <v>11150</v>
      </c>
      <c r="C709" s="52" t="s">
        <v>0</v>
      </c>
      <c r="D709" s="65" t="s">
        <v>157</v>
      </c>
    </row>
    <row r="710" spans="1:4">
      <c r="A710" s="63" t="str">
        <f t="shared" si="74"/>
        <v>FB_IMv_BUF_S.BUF.FRQX</v>
      </c>
      <c r="B710" s="52">
        <v>11152</v>
      </c>
      <c r="C710" s="52" t="s">
        <v>0</v>
      </c>
      <c r="D710" s="65" t="str">
        <f>$R$6</f>
        <v>Предупреждение</v>
      </c>
    </row>
    <row r="711" spans="1:4">
      <c r="A711" s="63" t="str">
        <f t="shared" si="74"/>
        <v>FB_IMv_BUF_S.BUF.FRQX</v>
      </c>
      <c r="B711" s="52">
        <v>11000</v>
      </c>
      <c r="C711" s="52" t="s">
        <v>5</v>
      </c>
      <c r="D711" s="65">
        <v>2147483680</v>
      </c>
    </row>
    <row r="712" spans="1:4">
      <c r="A712" s="29" t="str">
        <f t="shared" si="74"/>
        <v>FB_IMv_BUF_S.BUF.FRQX</v>
      </c>
      <c r="B712">
        <v>101</v>
      </c>
      <c r="C712" t="s">
        <v>0</v>
      </c>
      <c r="D712" s="30" t="s">
        <v>157</v>
      </c>
    </row>
    <row r="713" spans="1:4">
      <c r="A713" s="29" t="str">
        <f t="shared" si="74"/>
        <v>FB_IMv_BUF_S.BUF.FRQX</v>
      </c>
      <c r="B713">
        <v>7050</v>
      </c>
      <c r="C713" t="s">
        <v>0</v>
      </c>
      <c r="D713" s="30" t="str">
        <f>"&lt;Addr AnswerSignalType=©0© Protocol=©IEC4Std© Type=©Protocol© ProtocolType=©30© Address=©XXX© ModuleNo=©" &amp; $T$9&amp; "© Role=©Master© Station=©" &amp; $T$11 &amp; "©  /&gt;"</f>
        <v>&lt;Addr AnswerSignalType=©0© Protocol=©IEC4Std© Type=©Protocol© ProtocolType=©30© Address=©XXX© ModuleNo=©1© Role=©Master© Station=©1©  /&gt;</v>
      </c>
    </row>
    <row r="714" spans="1:4">
      <c r="A714" s="29" t="str">
        <f t="shared" si="74"/>
        <v>FB_IMv_BUF_S.BUF.FRQX</v>
      </c>
      <c r="B714">
        <v>3</v>
      </c>
      <c r="C714" t="s">
        <v>1</v>
      </c>
      <c r="D714" s="30">
        <v>192</v>
      </c>
    </row>
    <row r="715" spans="1:4">
      <c r="A715" s="29" t="str">
        <f t="shared" si="74"/>
        <v>FB_IMv_BUF_S.BUF.FRQX</v>
      </c>
      <c r="B715">
        <v>2</v>
      </c>
      <c r="C715" t="s">
        <v>2</v>
      </c>
      <c r="D715" s="30" t="s">
        <v>3</v>
      </c>
    </row>
    <row r="716" spans="1:4">
      <c r="A716" s="26" t="str">
        <f t="shared" si="74"/>
        <v>FB_IMv_BUF_S.BUF.FRQX</v>
      </c>
      <c r="B716" s="27">
        <v>1</v>
      </c>
      <c r="C716" s="27" t="s">
        <v>1</v>
      </c>
      <c r="D716" s="28">
        <v>11</v>
      </c>
    </row>
    <row r="717" spans="1:4">
      <c r="A717" s="217" t="str">
        <f t="shared" ref="A717:A725" si="75">$R$2&amp;".BUF.IFXX"</f>
        <v>FB_IMv_BUF_S.BUF.IFXX</v>
      </c>
      <c r="B717" s="218">
        <v>11154</v>
      </c>
      <c r="C717" s="218" t="s">
        <v>4</v>
      </c>
      <c r="D717" s="219">
        <f>$S$7</f>
        <v>25</v>
      </c>
    </row>
    <row r="718" spans="1:4">
      <c r="A718" s="211" t="str">
        <f t="shared" si="75"/>
        <v>FB_IMv_BUF_S.BUF.IFXX</v>
      </c>
      <c r="B718" s="677">
        <v>11150</v>
      </c>
      <c r="C718" s="677" t="s">
        <v>0</v>
      </c>
      <c r="D718" s="213" t="s">
        <v>110</v>
      </c>
    </row>
    <row r="719" spans="1:4">
      <c r="A719" s="211" t="str">
        <f t="shared" si="75"/>
        <v>FB_IMv_BUF_S.BUF.IFXX</v>
      </c>
      <c r="B719" s="677">
        <v>11152</v>
      </c>
      <c r="C719" s="677" t="s">
        <v>0</v>
      </c>
      <c r="D719" s="213" t="str">
        <f>$R$7</f>
        <v>Неисправность</v>
      </c>
    </row>
    <row r="720" spans="1:4">
      <c r="A720" s="211" t="str">
        <f t="shared" si="75"/>
        <v>FB_IMv_BUF_S.BUF.IFXX</v>
      </c>
      <c r="B720" s="677">
        <v>11000</v>
      </c>
      <c r="C720" s="677" t="s">
        <v>5</v>
      </c>
      <c r="D720" s="213">
        <v>2147483680</v>
      </c>
    </row>
    <row r="721" spans="1:4">
      <c r="A721" s="29" t="str">
        <f t="shared" si="75"/>
        <v>FB_IMv_BUF_S.BUF.IFXX</v>
      </c>
      <c r="B721">
        <v>101</v>
      </c>
      <c r="C721" t="s">
        <v>0</v>
      </c>
      <c r="D721" s="30" t="s">
        <v>176</v>
      </c>
    </row>
    <row r="722" spans="1:4">
      <c r="A722" s="29" t="str">
        <f t="shared" si="75"/>
        <v>FB_IMv_BUF_S.BUF.IFXX</v>
      </c>
      <c r="B722">
        <v>7050</v>
      </c>
      <c r="C722" t="s">
        <v>0</v>
      </c>
      <c r="D722" s="30" t="str">
        <f>"&lt;Addr AnswerSignalType=©0© Protocol=©IEC4Std© Type=©Protocol© ProtocolType=©30© Address=©XXX© ModuleNo=©" &amp; $T$9&amp; "© Role=©Master© Station=©" &amp; $T$11 &amp; "©  /&gt;"</f>
        <v>&lt;Addr AnswerSignalType=©0© Protocol=©IEC4Std© Type=©Protocol© ProtocolType=©30© Address=©XXX© ModuleNo=©1© Role=©Master© Station=©1©  /&gt;</v>
      </c>
    </row>
    <row r="723" spans="1:4">
      <c r="A723" s="29" t="str">
        <f t="shared" si="75"/>
        <v>FB_IMv_BUF_S.BUF.IFXX</v>
      </c>
      <c r="B723">
        <v>3</v>
      </c>
      <c r="C723" t="s">
        <v>1</v>
      </c>
      <c r="D723" s="30">
        <v>192</v>
      </c>
    </row>
    <row r="724" spans="1:4">
      <c r="A724" s="29" t="str">
        <f t="shared" si="75"/>
        <v>FB_IMv_BUF_S.BUF.IFXX</v>
      </c>
      <c r="B724">
        <v>2</v>
      </c>
      <c r="C724" t="s">
        <v>2</v>
      </c>
      <c r="D724" s="30" t="s">
        <v>3</v>
      </c>
    </row>
    <row r="725" spans="1:4">
      <c r="A725" s="26" t="str">
        <f t="shared" si="75"/>
        <v>FB_IMv_BUF_S.BUF.IFXX</v>
      </c>
      <c r="B725" s="27">
        <v>1</v>
      </c>
      <c r="C725" s="27" t="s">
        <v>1</v>
      </c>
      <c r="D725" s="28">
        <v>11</v>
      </c>
    </row>
    <row r="726" spans="1:4">
      <c r="A726" s="217" t="str">
        <f t="shared" ref="A726:A734" si="76">$R$2&amp;".BUF.FONX"</f>
        <v>FB_IMv_BUF_S.BUF.FONX</v>
      </c>
      <c r="B726" s="218">
        <v>11154</v>
      </c>
      <c r="C726" s="218" t="s">
        <v>4</v>
      </c>
      <c r="D726" s="219">
        <f>$S$7</f>
        <v>25</v>
      </c>
    </row>
    <row r="727" spans="1:4">
      <c r="A727" s="211" t="str">
        <f t="shared" si="76"/>
        <v>FB_IMv_BUF_S.BUF.FONX</v>
      </c>
      <c r="B727" s="677">
        <v>11150</v>
      </c>
      <c r="C727" s="677" t="s">
        <v>0</v>
      </c>
      <c r="D727" s="213" t="str">
        <f>"Не  открылся"</f>
        <v>Не  открылся</v>
      </c>
    </row>
    <row r="728" spans="1:4">
      <c r="A728" s="211" t="str">
        <f t="shared" si="76"/>
        <v>FB_IMv_BUF_S.BUF.FONX</v>
      </c>
      <c r="B728" s="677">
        <v>11152</v>
      </c>
      <c r="C728" s="677" t="s">
        <v>0</v>
      </c>
      <c r="D728" s="213" t="str">
        <f>$R$7</f>
        <v>Неисправность</v>
      </c>
    </row>
    <row r="729" spans="1:4">
      <c r="A729" s="211" t="str">
        <f t="shared" si="76"/>
        <v>FB_IMv_BUF_S.BUF.FONX</v>
      </c>
      <c r="B729" s="677">
        <v>11000</v>
      </c>
      <c r="C729" s="677" t="s">
        <v>5</v>
      </c>
      <c r="D729" s="213">
        <v>2147483680</v>
      </c>
    </row>
    <row r="730" spans="1:4">
      <c r="A730" s="29" t="str">
        <f t="shared" si="76"/>
        <v>FB_IMv_BUF_S.BUF.FONX</v>
      </c>
      <c r="B730">
        <v>101</v>
      </c>
      <c r="C730" t="s">
        <v>0</v>
      </c>
      <c r="D730" s="30" t="str">
        <f>"Не открылся"</f>
        <v>Не открылся</v>
      </c>
    </row>
    <row r="731" spans="1:4">
      <c r="A731" s="29" t="str">
        <f t="shared" si="76"/>
        <v>FB_IMv_BUF_S.BUF.FONX</v>
      </c>
      <c r="B731">
        <v>7050</v>
      </c>
      <c r="C731" t="s">
        <v>0</v>
      </c>
      <c r="D731" s="30" t="str">
        <f>"&lt;Addr AnswerSignalType=©0© Protocol=©IEC4Std© Type=©Protocol© ProtocolType=©30© Address=©XXX© ModuleNo=©" &amp; $T$9&amp; "© Role=©Master© Station=©" &amp; $T$11 &amp; "©  /&gt;"</f>
        <v>&lt;Addr AnswerSignalType=©0© Protocol=©IEC4Std© Type=©Protocol© ProtocolType=©30© Address=©XXX© ModuleNo=©1© Role=©Master© Station=©1©  /&gt;</v>
      </c>
    </row>
    <row r="732" spans="1:4">
      <c r="A732" s="29" t="str">
        <f t="shared" si="76"/>
        <v>FB_IMv_BUF_S.BUF.FONX</v>
      </c>
      <c r="B732">
        <v>3</v>
      </c>
      <c r="C732" t="s">
        <v>1</v>
      </c>
      <c r="D732" s="30">
        <v>192</v>
      </c>
    </row>
    <row r="733" spans="1:4">
      <c r="A733" s="29" t="str">
        <f t="shared" si="76"/>
        <v>FB_IMv_BUF_S.BUF.FONX</v>
      </c>
      <c r="B733">
        <v>2</v>
      </c>
      <c r="C733" t="s">
        <v>2</v>
      </c>
      <c r="D733" s="30" t="s">
        <v>3</v>
      </c>
    </row>
    <row r="734" spans="1:4">
      <c r="A734" s="26" t="str">
        <f t="shared" si="76"/>
        <v>FB_IMv_BUF_S.BUF.FONX</v>
      </c>
      <c r="B734" s="27">
        <v>1</v>
      </c>
      <c r="C734" s="27" t="s">
        <v>1</v>
      </c>
      <c r="D734" s="28">
        <v>11</v>
      </c>
    </row>
    <row r="735" spans="1:4">
      <c r="A735" s="217" t="str">
        <f t="shared" ref="A735:A743" si="77">$R$2&amp;".BUF.FOFX"</f>
        <v>FB_IMv_BUF_S.BUF.FOFX</v>
      </c>
      <c r="B735" s="218">
        <v>11154</v>
      </c>
      <c r="C735" s="218" t="s">
        <v>4</v>
      </c>
      <c r="D735" s="219">
        <f>$S$7</f>
        <v>25</v>
      </c>
    </row>
    <row r="736" spans="1:4">
      <c r="A736" s="211" t="str">
        <f t="shared" si="77"/>
        <v>FB_IMv_BUF_S.BUF.FOFX</v>
      </c>
      <c r="B736" s="677">
        <v>11150</v>
      </c>
      <c r="C736" s="677" t="s">
        <v>0</v>
      </c>
      <c r="D736" s="213" t="str">
        <f>"Не  закрылся"</f>
        <v>Не  закрылся</v>
      </c>
    </row>
    <row r="737" spans="1:4">
      <c r="A737" s="211" t="str">
        <f t="shared" si="77"/>
        <v>FB_IMv_BUF_S.BUF.FOFX</v>
      </c>
      <c r="B737" s="677">
        <v>11152</v>
      </c>
      <c r="C737" s="677" t="s">
        <v>0</v>
      </c>
      <c r="D737" s="213" t="str">
        <f>$R$7</f>
        <v>Неисправность</v>
      </c>
    </row>
    <row r="738" spans="1:4">
      <c r="A738" s="211" t="str">
        <f t="shared" si="77"/>
        <v>FB_IMv_BUF_S.BUF.FOFX</v>
      </c>
      <c r="B738" s="677">
        <v>11000</v>
      </c>
      <c r="C738" s="677" t="s">
        <v>5</v>
      </c>
      <c r="D738" s="213">
        <v>2147483680</v>
      </c>
    </row>
    <row r="739" spans="1:4">
      <c r="A739" s="29" t="str">
        <f t="shared" si="77"/>
        <v>FB_IMv_BUF_S.BUF.FOFX</v>
      </c>
      <c r="B739">
        <v>101</v>
      </c>
      <c r="C739" t="s">
        <v>0</v>
      </c>
      <c r="D739" s="30" t="str">
        <f>"Не  закрылся"</f>
        <v>Не  закрылся</v>
      </c>
    </row>
    <row r="740" spans="1:4">
      <c r="A740" s="29" t="str">
        <f t="shared" si="77"/>
        <v>FB_IMv_BUF_S.BUF.FOFX</v>
      </c>
      <c r="B740">
        <v>7050</v>
      </c>
      <c r="C740" t="s">
        <v>0</v>
      </c>
      <c r="D740" s="30" t="str">
        <f>"&lt;Addr AnswerSignalType=©0© Protocol=©IEC4Std© Type=©Protocol© ProtocolType=©30© Address=©XXX© ModuleNo=©" &amp; $T$9&amp; "© Role=©Master© Station=©" &amp; $T$11 &amp; "©  /&gt;"</f>
        <v>&lt;Addr AnswerSignalType=©0© Protocol=©IEC4Std© Type=©Protocol© ProtocolType=©30© Address=©XXX© ModuleNo=©1© Role=©Master© Station=©1©  /&gt;</v>
      </c>
    </row>
    <row r="741" spans="1:4">
      <c r="A741" s="29" t="str">
        <f t="shared" si="77"/>
        <v>FB_IMv_BUF_S.BUF.FOFX</v>
      </c>
      <c r="B741">
        <v>3</v>
      </c>
      <c r="C741" t="s">
        <v>1</v>
      </c>
      <c r="D741" s="30">
        <v>192</v>
      </c>
    </row>
    <row r="742" spans="1:4">
      <c r="A742" s="29" t="str">
        <f t="shared" si="77"/>
        <v>FB_IMv_BUF_S.BUF.FOFX</v>
      </c>
      <c r="B742">
        <v>2</v>
      </c>
      <c r="C742" t="s">
        <v>2</v>
      </c>
      <c r="D742" s="30" t="s">
        <v>3</v>
      </c>
    </row>
    <row r="743" spans="1:4">
      <c r="A743" s="26" t="str">
        <f t="shared" si="77"/>
        <v>FB_IMv_BUF_S.BUF.FOFX</v>
      </c>
      <c r="B743" s="27">
        <v>1</v>
      </c>
      <c r="C743" s="27" t="s">
        <v>1</v>
      </c>
      <c r="D743" s="28">
        <v>11</v>
      </c>
    </row>
    <row r="744" spans="1:4">
      <c r="A744" s="217" t="str">
        <f t="shared" ref="A744:A752" si="78">$R$2&amp;".BUF.FFON"</f>
        <v>FB_IMv_BUF_S.BUF.FFON</v>
      </c>
      <c r="B744" s="218">
        <v>11154</v>
      </c>
      <c r="C744" s="218" t="s">
        <v>4</v>
      </c>
      <c r="D744" s="219">
        <f>$S$7</f>
        <v>25</v>
      </c>
    </row>
    <row r="745" spans="1:4">
      <c r="A745" s="211" t="str">
        <f t="shared" si="78"/>
        <v>FB_IMv_BUF_S.BUF.FFON</v>
      </c>
      <c r="B745" s="677">
        <v>11150</v>
      </c>
      <c r="C745" s="677" t="s">
        <v>0</v>
      </c>
      <c r="D745" s="213" t="str">
        <f>"Несанкционированное  открытие"</f>
        <v>Несанкционированное  открытие</v>
      </c>
    </row>
    <row r="746" spans="1:4">
      <c r="A746" s="211" t="str">
        <f t="shared" si="78"/>
        <v>FB_IMv_BUF_S.BUF.FFON</v>
      </c>
      <c r="B746" s="677">
        <v>11152</v>
      </c>
      <c r="C746" s="677" t="s">
        <v>0</v>
      </c>
      <c r="D746" s="213" t="str">
        <f>$R$7</f>
        <v>Неисправность</v>
      </c>
    </row>
    <row r="747" spans="1:4">
      <c r="A747" s="211" t="str">
        <f t="shared" si="78"/>
        <v>FB_IMv_BUF_S.BUF.FFON</v>
      </c>
      <c r="B747" s="677">
        <v>11000</v>
      </c>
      <c r="C747" s="677" t="s">
        <v>5</v>
      </c>
      <c r="D747" s="213">
        <v>2147483680</v>
      </c>
    </row>
    <row r="748" spans="1:4">
      <c r="A748" s="29" t="str">
        <f t="shared" si="78"/>
        <v>FB_IMv_BUF_S.BUF.FFON</v>
      </c>
      <c r="B748">
        <v>101</v>
      </c>
      <c r="C748" t="s">
        <v>0</v>
      </c>
      <c r="D748" s="30" t="str">
        <f>"Несанкционированное открытие"</f>
        <v>Несанкционированное открытие</v>
      </c>
    </row>
    <row r="749" spans="1:4">
      <c r="A749" s="29" t="str">
        <f t="shared" si="78"/>
        <v>FB_IMv_BUF_S.BUF.FFON</v>
      </c>
      <c r="B749">
        <v>7050</v>
      </c>
      <c r="C749" t="s">
        <v>0</v>
      </c>
      <c r="D749" s="30" t="str">
        <f>"&lt;Addr AnswerSignalType=©0© Protocol=©IEC4Std© Type=©Protocol© ProtocolType=©30© Address=©XXX© ModuleNo=©" &amp; $T$9&amp; "© Role=©Master© Station=©" &amp; $T$11 &amp; "©  /&gt;"</f>
        <v>&lt;Addr AnswerSignalType=©0© Protocol=©IEC4Std© Type=©Protocol© ProtocolType=©30© Address=©XXX© ModuleNo=©1© Role=©Master© Station=©1©  /&gt;</v>
      </c>
    </row>
    <row r="750" spans="1:4">
      <c r="A750" s="29" t="str">
        <f t="shared" si="78"/>
        <v>FB_IMv_BUF_S.BUF.FFON</v>
      </c>
      <c r="B750">
        <v>3</v>
      </c>
      <c r="C750" t="s">
        <v>1</v>
      </c>
      <c r="D750" s="30">
        <v>192</v>
      </c>
    </row>
    <row r="751" spans="1:4">
      <c r="A751" s="29" t="str">
        <f t="shared" si="78"/>
        <v>FB_IMv_BUF_S.BUF.FFON</v>
      </c>
      <c r="B751">
        <v>2</v>
      </c>
      <c r="C751" t="s">
        <v>2</v>
      </c>
      <c r="D751" s="30" t="s">
        <v>3</v>
      </c>
    </row>
    <row r="752" spans="1:4">
      <c r="A752" s="26" t="str">
        <f t="shared" si="78"/>
        <v>FB_IMv_BUF_S.BUF.FFON</v>
      </c>
      <c r="B752" s="27">
        <v>1</v>
      </c>
      <c r="C752" s="27" t="s">
        <v>1</v>
      </c>
      <c r="D752" s="28">
        <v>11</v>
      </c>
    </row>
    <row r="753" spans="1:4">
      <c r="A753" s="217" t="str">
        <f t="shared" ref="A753:A761" si="79">$R$2&amp;".BUF.FFOF"</f>
        <v>FB_IMv_BUF_S.BUF.FFOF</v>
      </c>
      <c r="B753" s="218">
        <v>11154</v>
      </c>
      <c r="C753" s="218" t="s">
        <v>4</v>
      </c>
      <c r="D753" s="219">
        <f>$S$7</f>
        <v>25</v>
      </c>
    </row>
    <row r="754" spans="1:4">
      <c r="A754" s="211" t="str">
        <f t="shared" si="79"/>
        <v>FB_IMv_BUF_S.BUF.FFOF</v>
      </c>
      <c r="B754" s="677">
        <v>11150</v>
      </c>
      <c r="C754" s="677" t="s">
        <v>0</v>
      </c>
      <c r="D754" s="213" t="str">
        <f>"Несанкционированное закрытие"</f>
        <v>Несанкционированное закрытие</v>
      </c>
    </row>
    <row r="755" spans="1:4">
      <c r="A755" s="211" t="str">
        <f t="shared" si="79"/>
        <v>FB_IMv_BUF_S.BUF.FFOF</v>
      </c>
      <c r="B755" s="677">
        <v>11152</v>
      </c>
      <c r="C755" s="677" t="s">
        <v>0</v>
      </c>
      <c r="D755" s="213" t="str">
        <f>$R$7</f>
        <v>Неисправность</v>
      </c>
    </row>
    <row r="756" spans="1:4">
      <c r="A756" s="211" t="str">
        <f t="shared" si="79"/>
        <v>FB_IMv_BUF_S.BUF.FFOF</v>
      </c>
      <c r="B756" s="677">
        <v>11000</v>
      </c>
      <c r="C756" s="677" t="s">
        <v>5</v>
      </c>
      <c r="D756" s="213">
        <v>2147483680</v>
      </c>
    </row>
    <row r="757" spans="1:4">
      <c r="A757" s="29" t="str">
        <f t="shared" si="79"/>
        <v>FB_IMv_BUF_S.BUF.FFOF</v>
      </c>
      <c r="B757">
        <v>101</v>
      </c>
      <c r="C757" t="s">
        <v>0</v>
      </c>
      <c r="D757" s="30" t="str">
        <f>"Несанкционированное закрытие"</f>
        <v>Несанкционированное закрытие</v>
      </c>
    </row>
    <row r="758" spans="1:4">
      <c r="A758" s="29" t="str">
        <f t="shared" si="79"/>
        <v>FB_IMv_BUF_S.BUF.FFOF</v>
      </c>
      <c r="B758">
        <v>7050</v>
      </c>
      <c r="C758" t="s">
        <v>0</v>
      </c>
      <c r="D758" s="30" t="str">
        <f>"&lt;Addr AnswerSignalType=©0© Protocol=©IEC4Std© Type=©Protocol© ProtocolType=©30© Address=©XXX© ModuleNo=©" &amp; $T$9&amp; "© Role=©Master© Station=©" &amp; $T$11 &amp; "©  /&gt;"</f>
        <v>&lt;Addr AnswerSignalType=©0© Protocol=©IEC4Std© Type=©Protocol© ProtocolType=©30© Address=©XXX© ModuleNo=©1© Role=©Master© Station=©1©  /&gt;</v>
      </c>
    </row>
    <row r="759" spans="1:4">
      <c r="A759" s="29" t="str">
        <f t="shared" si="79"/>
        <v>FB_IMv_BUF_S.BUF.FFOF</v>
      </c>
      <c r="B759">
        <v>3</v>
      </c>
      <c r="C759" t="s">
        <v>1</v>
      </c>
      <c r="D759" s="30">
        <v>192</v>
      </c>
    </row>
    <row r="760" spans="1:4">
      <c r="A760" s="29" t="str">
        <f t="shared" si="79"/>
        <v>FB_IMv_BUF_S.BUF.FFOF</v>
      </c>
      <c r="B760">
        <v>2</v>
      </c>
      <c r="C760" t="s">
        <v>2</v>
      </c>
      <c r="D760" s="30" t="s">
        <v>3</v>
      </c>
    </row>
    <row r="761" spans="1:4">
      <c r="A761" s="26" t="str">
        <f t="shared" si="79"/>
        <v>FB_IMv_BUF_S.BUF.FFOF</v>
      </c>
      <c r="B761" s="27">
        <v>1</v>
      </c>
      <c r="C761" s="27" t="s">
        <v>1</v>
      </c>
      <c r="D761" s="28">
        <v>11</v>
      </c>
    </row>
    <row r="762" spans="1:4">
      <c r="A762" s="217" t="str">
        <f t="shared" ref="A762:A770" si="80">$R$2&amp;".BUF.FUSX"</f>
        <v>FB_IMv_BUF_S.BUF.FUSX</v>
      </c>
      <c r="B762" s="218">
        <v>11154</v>
      </c>
      <c r="C762" s="218" t="s">
        <v>4</v>
      </c>
      <c r="D762" s="219">
        <f>$S$7</f>
        <v>25</v>
      </c>
    </row>
    <row r="763" spans="1:4">
      <c r="A763" s="211" t="str">
        <f t="shared" si="80"/>
        <v>FB_IMv_BUF_S.BUF.FUSX</v>
      </c>
      <c r="B763" s="677">
        <v>11150</v>
      </c>
      <c r="C763" s="677" t="s">
        <v>0</v>
      </c>
      <c r="D763" s="213" t="s">
        <v>154</v>
      </c>
    </row>
    <row r="764" spans="1:4">
      <c r="A764" s="211" t="str">
        <f t="shared" si="80"/>
        <v>FB_IMv_BUF_S.BUF.FUSX</v>
      </c>
      <c r="B764" s="677">
        <v>11152</v>
      </c>
      <c r="C764" s="677" t="s">
        <v>0</v>
      </c>
      <c r="D764" s="213" t="str">
        <f>$R$7</f>
        <v>Неисправность</v>
      </c>
    </row>
    <row r="765" spans="1:4">
      <c r="A765" s="211" t="str">
        <f t="shared" si="80"/>
        <v>FB_IMv_BUF_S.BUF.FUSX</v>
      </c>
      <c r="B765" s="677">
        <v>11000</v>
      </c>
      <c r="C765" s="677" t="s">
        <v>5</v>
      </c>
      <c r="D765" s="213">
        <v>2147483680</v>
      </c>
    </row>
    <row r="766" spans="1:4">
      <c r="A766" s="29" t="str">
        <f t="shared" si="80"/>
        <v>FB_IMv_BUF_S.BUF.FUSX</v>
      </c>
      <c r="B766">
        <v>101</v>
      </c>
      <c r="C766" t="s">
        <v>0</v>
      </c>
      <c r="D766" s="30" t="s">
        <v>153</v>
      </c>
    </row>
    <row r="767" spans="1:4">
      <c r="A767" s="29" t="str">
        <f t="shared" si="80"/>
        <v>FB_IMv_BUF_S.BUF.FUSX</v>
      </c>
      <c r="B767">
        <v>7050</v>
      </c>
      <c r="C767" t="s">
        <v>0</v>
      </c>
      <c r="D767" s="30" t="str">
        <f>"&lt;Addr AnswerSignalType=©0© Protocol=©IEC4Std© Type=©Protocol© ProtocolType=©30© Address=©XXX© ModuleNo=©" &amp; $T$9&amp; "© Role=©Master© Station=©" &amp; $T$11 &amp; "©  /&gt;"</f>
        <v>&lt;Addr AnswerSignalType=©0© Protocol=©IEC4Std© Type=©Protocol© ProtocolType=©30© Address=©XXX© ModuleNo=©1© Role=©Master© Station=©1©  /&gt;</v>
      </c>
    </row>
    <row r="768" spans="1:4">
      <c r="A768" s="29" t="str">
        <f t="shared" si="80"/>
        <v>FB_IMv_BUF_S.BUF.FUSX</v>
      </c>
      <c r="B768">
        <v>3</v>
      </c>
      <c r="C768" t="s">
        <v>1</v>
      </c>
      <c r="D768" s="30">
        <v>192</v>
      </c>
    </row>
    <row r="769" spans="1:4">
      <c r="A769" s="29" t="str">
        <f t="shared" si="80"/>
        <v>FB_IMv_BUF_S.BUF.FUSX</v>
      </c>
      <c r="B769">
        <v>2</v>
      </c>
      <c r="C769" t="s">
        <v>2</v>
      </c>
      <c r="D769" s="30" t="s">
        <v>3</v>
      </c>
    </row>
    <row r="770" spans="1:4">
      <c r="A770" s="26" t="str">
        <f t="shared" si="80"/>
        <v>FB_IMv_BUF_S.BUF.FUSX</v>
      </c>
      <c r="B770" s="27">
        <v>1</v>
      </c>
      <c r="C770" s="27" t="s">
        <v>1</v>
      </c>
      <c r="D770" s="28">
        <v>11</v>
      </c>
    </row>
    <row r="771" spans="1:4">
      <c r="A771" s="217" t="str">
        <f t="shared" ref="A771:A779" si="81">$R$2&amp;".BUF.FDSX"</f>
        <v>FB_IMv_BUF_S.BUF.FDSX</v>
      </c>
      <c r="B771" s="218">
        <v>11154</v>
      </c>
      <c r="C771" s="218" t="s">
        <v>4</v>
      </c>
      <c r="D771" s="219">
        <f>$S$7</f>
        <v>25</v>
      </c>
    </row>
    <row r="772" spans="1:4">
      <c r="A772" s="211" t="str">
        <f t="shared" si="81"/>
        <v>FB_IMv_BUF_S.BUF.FDSX</v>
      </c>
      <c r="B772" s="677">
        <v>11150</v>
      </c>
      <c r="C772" s="677" t="s">
        <v>0</v>
      </c>
      <c r="D772" s="213" t="s">
        <v>161</v>
      </c>
    </row>
    <row r="773" spans="1:4">
      <c r="A773" s="211" t="str">
        <f t="shared" si="81"/>
        <v>FB_IMv_BUF_S.BUF.FDSX</v>
      </c>
      <c r="B773" s="677">
        <v>11152</v>
      </c>
      <c r="C773" s="677" t="s">
        <v>0</v>
      </c>
      <c r="D773" s="213" t="str">
        <f>$R$7</f>
        <v>Неисправность</v>
      </c>
    </row>
    <row r="774" spans="1:4">
      <c r="A774" s="211" t="str">
        <f t="shared" si="81"/>
        <v>FB_IMv_BUF_S.BUF.FDSX</v>
      </c>
      <c r="B774" s="677">
        <v>11000</v>
      </c>
      <c r="C774" s="677" t="s">
        <v>5</v>
      </c>
      <c r="D774" s="213">
        <v>2147483680</v>
      </c>
    </row>
    <row r="775" spans="1:4">
      <c r="A775" s="29" t="str">
        <f t="shared" si="81"/>
        <v>FB_IMv_BUF_S.BUF.FDSX</v>
      </c>
      <c r="B775">
        <v>101</v>
      </c>
      <c r="C775" t="s">
        <v>0</v>
      </c>
      <c r="D775" s="30" t="s">
        <v>161</v>
      </c>
    </row>
    <row r="776" spans="1:4">
      <c r="A776" s="29" t="str">
        <f t="shared" si="81"/>
        <v>FB_IMv_BUF_S.BUF.FDSX</v>
      </c>
      <c r="B776">
        <v>7050</v>
      </c>
      <c r="C776" t="s">
        <v>0</v>
      </c>
      <c r="D776" s="30" t="str">
        <f>"&lt;Addr AnswerSignalType=©0© Protocol=©IEC4Std© Type=©Protocol© ProtocolType=©30© Address=©XXX© ModuleNo=©" &amp; $T$9&amp; "© Role=©Master© Station=©" &amp; $T$11 &amp; "©  /&gt;"</f>
        <v>&lt;Addr AnswerSignalType=©0© Protocol=©IEC4Std© Type=©Protocol© ProtocolType=©30© Address=©XXX© ModuleNo=©1© Role=©Master© Station=©1©  /&gt;</v>
      </c>
    </row>
    <row r="777" spans="1:4">
      <c r="A777" s="29" t="str">
        <f t="shared" si="81"/>
        <v>FB_IMv_BUF_S.BUF.FDSX</v>
      </c>
      <c r="B777">
        <v>3</v>
      </c>
      <c r="C777" t="s">
        <v>1</v>
      </c>
      <c r="D777" s="30">
        <v>192</v>
      </c>
    </row>
    <row r="778" spans="1:4">
      <c r="A778" s="29" t="str">
        <f t="shared" si="81"/>
        <v>FB_IMv_BUF_S.BUF.FDSX</v>
      </c>
      <c r="B778">
        <v>2</v>
      </c>
      <c r="C778" t="s">
        <v>2</v>
      </c>
      <c r="D778" s="30" t="s">
        <v>3</v>
      </c>
    </row>
    <row r="779" spans="1:4">
      <c r="A779" s="26" t="str">
        <f t="shared" si="81"/>
        <v>FB_IMv_BUF_S.BUF.FDSX</v>
      </c>
      <c r="B779" s="27">
        <v>1</v>
      </c>
      <c r="C779" s="27" t="s">
        <v>1</v>
      </c>
      <c r="D779" s="28">
        <v>11</v>
      </c>
    </row>
    <row r="780" spans="1:4">
      <c r="A780" s="217" t="str">
        <f t="shared" ref="A780:A788" si="82">$R$2&amp;".BUF.FUCX"</f>
        <v>FB_IMv_BUF_S.BUF.FUCX</v>
      </c>
      <c r="B780" s="218">
        <v>11154</v>
      </c>
      <c r="C780" s="218" t="s">
        <v>4</v>
      </c>
      <c r="D780" s="219">
        <f>$S$7</f>
        <v>25</v>
      </c>
    </row>
    <row r="781" spans="1:4">
      <c r="A781" s="211" t="str">
        <f t="shared" si="82"/>
        <v>FB_IMv_BUF_S.BUF.FUCX</v>
      </c>
      <c r="B781" s="677">
        <v>11150</v>
      </c>
      <c r="C781" s="677" t="s">
        <v>0</v>
      </c>
      <c r="D781" s="213" t="s">
        <v>167</v>
      </c>
    </row>
    <row r="782" spans="1:4">
      <c r="A782" s="211" t="str">
        <f t="shared" si="82"/>
        <v>FB_IMv_BUF_S.BUF.FUCX</v>
      </c>
      <c r="B782" s="677">
        <v>11152</v>
      </c>
      <c r="C782" s="677" t="s">
        <v>0</v>
      </c>
      <c r="D782" s="213" t="str">
        <f>$R$7</f>
        <v>Неисправность</v>
      </c>
    </row>
    <row r="783" spans="1:4">
      <c r="A783" s="211" t="str">
        <f t="shared" si="82"/>
        <v>FB_IMv_BUF_S.BUF.FUCX</v>
      </c>
      <c r="B783" s="677">
        <v>11000</v>
      </c>
      <c r="C783" s="677" t="s">
        <v>5</v>
      </c>
      <c r="D783" s="213">
        <v>2147483680</v>
      </c>
    </row>
    <row r="784" spans="1:4">
      <c r="A784" s="29" t="str">
        <f t="shared" si="82"/>
        <v>FB_IMv_BUF_S.BUF.FUCX</v>
      </c>
      <c r="B784">
        <v>101</v>
      </c>
      <c r="C784" t="s">
        <v>0</v>
      </c>
      <c r="D784" s="30" t="s">
        <v>167</v>
      </c>
    </row>
    <row r="785" spans="1:4">
      <c r="A785" s="29" t="str">
        <f t="shared" si="82"/>
        <v>FB_IMv_BUF_S.BUF.FUCX</v>
      </c>
      <c r="B785">
        <v>7050</v>
      </c>
      <c r="C785" t="s">
        <v>0</v>
      </c>
      <c r="D785" s="30" t="str">
        <f>"&lt;Addr AnswerSignalType=©0© Protocol=©IEC4Std© Type=©Protocol© ProtocolType=©30© Address=©XXX© ModuleNo=©" &amp; $T$9&amp; "© Role=©Master© Station=©" &amp; $T$11 &amp; "©  /&gt;"</f>
        <v>&lt;Addr AnswerSignalType=©0© Protocol=©IEC4Std© Type=©Protocol© ProtocolType=©30© Address=©XXX© ModuleNo=©1© Role=©Master© Station=©1©  /&gt;</v>
      </c>
    </row>
    <row r="786" spans="1:4">
      <c r="A786" s="29" t="str">
        <f t="shared" si="82"/>
        <v>FB_IMv_BUF_S.BUF.FUCX</v>
      </c>
      <c r="B786">
        <v>3</v>
      </c>
      <c r="C786" t="s">
        <v>1</v>
      </c>
      <c r="D786" s="30">
        <v>192</v>
      </c>
    </row>
    <row r="787" spans="1:4">
      <c r="A787" s="29" t="str">
        <f t="shared" si="82"/>
        <v>FB_IMv_BUF_S.BUF.FUCX</v>
      </c>
      <c r="B787">
        <v>2</v>
      </c>
      <c r="C787" t="s">
        <v>2</v>
      </c>
      <c r="D787" s="30" t="s">
        <v>3</v>
      </c>
    </row>
    <row r="788" spans="1:4">
      <c r="A788" s="26" t="str">
        <f t="shared" si="82"/>
        <v>FB_IMv_BUF_S.BUF.FUCX</v>
      </c>
      <c r="B788" s="27">
        <v>1</v>
      </c>
      <c r="C788" s="27" t="s">
        <v>1</v>
      </c>
      <c r="D788" s="28">
        <v>11</v>
      </c>
    </row>
    <row r="789" spans="1:4">
      <c r="A789" s="217" t="str">
        <f t="shared" ref="A789:A797" si="83">$R$2&amp;".BUF.FDCX"</f>
        <v>FB_IMv_BUF_S.BUF.FDCX</v>
      </c>
      <c r="B789" s="218">
        <v>11154</v>
      </c>
      <c r="C789" s="218" t="s">
        <v>4</v>
      </c>
      <c r="D789" s="219">
        <f>$S$7</f>
        <v>25</v>
      </c>
    </row>
    <row r="790" spans="1:4">
      <c r="A790" s="211" t="str">
        <f t="shared" si="83"/>
        <v>FB_IMv_BUF_S.BUF.FDCX</v>
      </c>
      <c r="B790" s="677">
        <v>11150</v>
      </c>
      <c r="C790" s="677" t="s">
        <v>0</v>
      </c>
      <c r="D790" s="213" t="s">
        <v>168</v>
      </c>
    </row>
    <row r="791" spans="1:4">
      <c r="A791" s="211" t="str">
        <f t="shared" si="83"/>
        <v>FB_IMv_BUF_S.BUF.FDCX</v>
      </c>
      <c r="B791" s="677">
        <v>11152</v>
      </c>
      <c r="C791" s="677" t="s">
        <v>0</v>
      </c>
      <c r="D791" s="213" t="str">
        <f>$R$7</f>
        <v>Неисправность</v>
      </c>
    </row>
    <row r="792" spans="1:4">
      <c r="A792" s="211" t="str">
        <f t="shared" si="83"/>
        <v>FB_IMv_BUF_S.BUF.FDCX</v>
      </c>
      <c r="B792" s="677">
        <v>11000</v>
      </c>
      <c r="C792" s="677" t="s">
        <v>5</v>
      </c>
      <c r="D792" s="213">
        <v>2147483680</v>
      </c>
    </row>
    <row r="793" spans="1:4">
      <c r="A793" s="29" t="str">
        <f t="shared" si="83"/>
        <v>FB_IMv_BUF_S.BUF.FDCX</v>
      </c>
      <c r="B793">
        <v>101</v>
      </c>
      <c r="C793" t="s">
        <v>0</v>
      </c>
      <c r="D793" s="30" t="s">
        <v>168</v>
      </c>
    </row>
    <row r="794" spans="1:4">
      <c r="A794" s="29" t="str">
        <f t="shared" si="83"/>
        <v>FB_IMv_BUF_S.BUF.FDCX</v>
      </c>
      <c r="B794">
        <v>7050</v>
      </c>
      <c r="C794" t="s">
        <v>0</v>
      </c>
      <c r="D794" s="30" t="str">
        <f>"&lt;Addr AnswerSignalType=©0© Protocol=©IEC4Std© Type=©Protocol© ProtocolType=©30© Address=©XXX© ModuleNo=©" &amp; $T$9&amp; "© Role=©Master© Station=©" &amp; $T$11 &amp; "©  /&gt;"</f>
        <v>&lt;Addr AnswerSignalType=©0© Protocol=©IEC4Std© Type=©Protocol© ProtocolType=©30© Address=©XXX© ModuleNo=©1© Role=©Master© Station=©1©  /&gt;</v>
      </c>
    </row>
    <row r="795" spans="1:4">
      <c r="A795" s="29" t="str">
        <f t="shared" si="83"/>
        <v>FB_IMv_BUF_S.BUF.FDCX</v>
      </c>
      <c r="B795">
        <v>3</v>
      </c>
      <c r="C795" t="s">
        <v>1</v>
      </c>
      <c r="D795" s="30">
        <v>192</v>
      </c>
    </row>
    <row r="796" spans="1:4">
      <c r="A796" s="29" t="str">
        <f t="shared" si="83"/>
        <v>FB_IMv_BUF_S.BUF.FDCX</v>
      </c>
      <c r="B796">
        <v>2</v>
      </c>
      <c r="C796" t="s">
        <v>2</v>
      </c>
      <c r="D796" s="30" t="s">
        <v>3</v>
      </c>
    </row>
    <row r="797" spans="1:4">
      <c r="A797" s="26" t="str">
        <f t="shared" si="83"/>
        <v>FB_IMv_BUF_S.BUF.FDCX</v>
      </c>
      <c r="B797" s="27">
        <v>1</v>
      </c>
      <c r="C797" s="27" t="s">
        <v>1</v>
      </c>
      <c r="D797" s="28">
        <v>11</v>
      </c>
    </row>
    <row r="798" spans="1:4">
      <c r="A798" s="217" t="str">
        <f t="shared" ref="A798:A806" si="84">$R$2&amp;".BUF.FCOM"</f>
        <v>FB_IMv_BUF_S.BUF.FCOM</v>
      </c>
      <c r="B798" s="218">
        <v>11154</v>
      </c>
      <c r="C798" s="218" t="s">
        <v>4</v>
      </c>
      <c r="D798" s="219">
        <f>$S$7</f>
        <v>25</v>
      </c>
    </row>
    <row r="799" spans="1:4">
      <c r="A799" s="211" t="str">
        <f t="shared" si="84"/>
        <v>FB_IMv_BUF_S.BUF.FCOM</v>
      </c>
      <c r="B799" s="677">
        <v>11150</v>
      </c>
      <c r="C799" s="677" t="s">
        <v>0</v>
      </c>
      <c r="D799" s="213" t="s">
        <v>149</v>
      </c>
    </row>
    <row r="800" spans="1:4">
      <c r="A800" s="211" t="str">
        <f t="shared" si="84"/>
        <v>FB_IMv_BUF_S.BUF.FCOM</v>
      </c>
      <c r="B800" s="677">
        <v>11152</v>
      </c>
      <c r="C800" s="677" t="s">
        <v>0</v>
      </c>
      <c r="D800" s="213" t="str">
        <f>$R$7</f>
        <v>Неисправность</v>
      </c>
    </row>
    <row r="801" spans="1:4">
      <c r="A801" s="211" t="str">
        <f t="shared" si="84"/>
        <v>FB_IMv_BUF_S.BUF.FCOM</v>
      </c>
      <c r="B801" s="677">
        <v>11000</v>
      </c>
      <c r="C801" s="677" t="s">
        <v>5</v>
      </c>
      <c r="D801" s="213">
        <v>2147483680</v>
      </c>
    </row>
    <row r="802" spans="1:4">
      <c r="A802" s="29" t="str">
        <f t="shared" si="84"/>
        <v>FB_IMv_BUF_S.BUF.FCOM</v>
      </c>
      <c r="B802">
        <v>101</v>
      </c>
      <c r="C802" t="s">
        <v>0</v>
      </c>
      <c r="D802" s="30" t="s">
        <v>149</v>
      </c>
    </row>
    <row r="803" spans="1:4">
      <c r="A803" s="29" t="str">
        <f t="shared" si="84"/>
        <v>FB_IMv_BUF_S.BUF.FCOM</v>
      </c>
      <c r="B803">
        <v>7050</v>
      </c>
      <c r="C803" t="s">
        <v>0</v>
      </c>
      <c r="D803" s="30" t="str">
        <f>"&lt;Addr AnswerSignalType=©0© Protocol=©IEC4Std© Type=©Protocol© ProtocolType=©30© Address=©XXX© ModuleNo=©" &amp; $T$9&amp; "© Role=©Master© Station=©" &amp; $T$11 &amp; "©  /&gt;"</f>
        <v>&lt;Addr AnswerSignalType=©0© Protocol=©IEC4Std© Type=©Protocol© ProtocolType=©30© Address=©XXX© ModuleNo=©1© Role=©Master© Station=©1©  /&gt;</v>
      </c>
    </row>
    <row r="804" spans="1:4">
      <c r="A804" s="29" t="str">
        <f t="shared" si="84"/>
        <v>FB_IMv_BUF_S.BUF.FCOM</v>
      </c>
      <c r="B804">
        <v>3</v>
      </c>
      <c r="C804" t="s">
        <v>1</v>
      </c>
      <c r="D804" s="30">
        <v>192</v>
      </c>
    </row>
    <row r="805" spans="1:4">
      <c r="A805" s="29" t="str">
        <f t="shared" si="84"/>
        <v>FB_IMv_BUF_S.BUF.FCOM</v>
      </c>
      <c r="B805">
        <v>2</v>
      </c>
      <c r="C805" t="s">
        <v>2</v>
      </c>
      <c r="D805" s="30" t="s">
        <v>3</v>
      </c>
    </row>
    <row r="806" spans="1:4">
      <c r="A806" s="26" t="str">
        <f t="shared" si="84"/>
        <v>FB_IMv_BUF_S.BUF.FCOM</v>
      </c>
      <c r="B806" s="27">
        <v>1</v>
      </c>
      <c r="C806" s="27" t="s">
        <v>1</v>
      </c>
      <c r="D806" s="28">
        <v>11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Лист179">
    <tabColor rgb="FFFFC000"/>
  </sheetPr>
  <dimension ref="A1:BN690"/>
  <sheetViews>
    <sheetView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21.1093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7.33203125" customWidth="1"/>
    <col min="56" max="56" width="10.33203125" customWidth="1"/>
    <col min="57" max="57" width="10" customWidth="1"/>
    <col min="59" max="59" width="7.109375" customWidth="1"/>
    <col min="60" max="60" width="10.88671875" customWidth="1"/>
    <col min="62" max="62" width="65.109375" customWidth="1"/>
  </cols>
  <sheetData>
    <row r="1" spans="1:66" s="258" customFormat="1" ht="204.6" thickBot="1">
      <c r="A1" s="257"/>
      <c r="B1" s="257" t="s">
        <v>84</v>
      </c>
      <c r="C1" s="257"/>
      <c r="D1" s="257"/>
      <c r="E1" s="257"/>
      <c r="F1" s="257"/>
      <c r="P1" s="263"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1"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61"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61" t="str">
        <f>Таблица!AL1</f>
        <v>Для TREI
FB_IMstp_S, FB_IMs_S, FB_IMp_S, FB_IMv_S, FB_IM_ADES_S: Настройка перехода ручной-/автоматический-(TRUE/FALSE) 
FB_DI_S: Генерировать метки времени (TRUE/FALSE)</v>
      </c>
      <c r="AY1" s="261"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61" t="str">
        <f>Таблица!AN1</f>
        <v>Для TREI
FB_AI_S, FB_QSA_S: Верхний предел датчика
FB_IMp_S, FB_IMv_S, FB_IM_ADES_S, FB_OZK_KD_S: Время перестановки</v>
      </c>
      <c r="BA1" s="261"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K1" s="259"/>
      <c r="BL1" s="259"/>
      <c r="BM1" s="259"/>
      <c r="BN1" s="259"/>
    </row>
    <row r="2" spans="1:66">
      <c r="A2" s="9"/>
      <c r="B2" s="9"/>
      <c r="C2" s="9"/>
      <c r="D2" s="9"/>
      <c r="E2" s="9"/>
      <c r="F2" s="9"/>
      <c r="P2" s="2" t="s">
        <v>1818</v>
      </c>
      <c r="Q2" s="2" t="s">
        <v>1819</v>
      </c>
      <c r="R2" s="2" t="s">
        <v>1817</v>
      </c>
      <c r="S2" s="3">
        <v>1</v>
      </c>
      <c r="T2" s="3" t="s">
        <v>1698</v>
      </c>
      <c r="U2" s="3"/>
      <c r="V2" s="3" t="s">
        <v>569</v>
      </c>
      <c r="W2" s="12"/>
      <c r="X2" s="12" t="s">
        <v>295</v>
      </c>
      <c r="Y2" s="12"/>
      <c r="Z2" s="12"/>
      <c r="AA2" s="12"/>
      <c r="AB2" s="2"/>
      <c r="AC2" s="2"/>
      <c r="AD2" s="2"/>
      <c r="AE2" s="2" t="s">
        <v>1414</v>
      </c>
      <c r="AF2" s="2"/>
      <c r="AG2" s="2"/>
      <c r="AH2" s="2"/>
      <c r="AI2" s="2"/>
      <c r="AJ2" s="2"/>
      <c r="AK2" s="2"/>
      <c r="AL2" s="2" t="s">
        <v>1241</v>
      </c>
      <c r="AM2" s="2" t="s">
        <v>1242</v>
      </c>
      <c r="AN2" s="2" t="s">
        <v>1243</v>
      </c>
      <c r="AO2" s="2" t="s">
        <v>1244</v>
      </c>
      <c r="AP2" s="2" t="s">
        <v>1245</v>
      </c>
      <c r="AQ2" s="2" t="s">
        <v>1246</v>
      </c>
      <c r="AR2" s="2"/>
      <c r="AS2" s="2"/>
      <c r="AT2" s="2"/>
      <c r="AU2" s="2"/>
      <c r="AV2" s="2"/>
      <c r="AW2" s="2"/>
      <c r="AX2" s="2"/>
      <c r="AY2" s="2"/>
      <c r="AZ2" s="2"/>
      <c r="BA2" s="2"/>
      <c r="BK2" s="4"/>
      <c r="BL2" s="4"/>
      <c r="BM2" s="4"/>
      <c r="BN2" s="4"/>
    </row>
    <row r="3" spans="1:66">
      <c r="A3" s="9"/>
      <c r="B3" s="9"/>
      <c r="C3" s="9"/>
      <c r="D3" s="9"/>
      <c r="E3" s="9"/>
      <c r="F3" s="9"/>
      <c r="P3" s="10"/>
      <c r="Q3" s="10"/>
      <c r="R3" s="10"/>
      <c r="S3" s="10"/>
      <c r="T3" s="10"/>
      <c r="U3" s="10"/>
      <c r="V3" s="10"/>
      <c r="W3" s="10"/>
      <c r="X3" s="10"/>
      <c r="Y3" s="10"/>
      <c r="Z3" s="10"/>
      <c r="AA3" s="10"/>
      <c r="BK3" s="4"/>
      <c r="BL3" s="4"/>
      <c r="BM3" s="4"/>
      <c r="BN3" s="4"/>
    </row>
    <row r="4" spans="1:66">
      <c r="A4" s="9"/>
      <c r="B4" s="9"/>
      <c r="C4" s="9"/>
      <c r="D4" s="9"/>
      <c r="E4" s="9"/>
      <c r="F4" s="9"/>
      <c r="P4" s="7" t="str">
        <f>Настройки!A1</f>
        <v>Событие</v>
      </c>
      <c r="Q4" s="7" t="str">
        <f>Настройки!B1</f>
        <v>Важность</v>
      </c>
      <c r="R4" s="7" t="str">
        <f>Настройки!C1</f>
        <v>Звук</v>
      </c>
      <c r="S4" s="7" t="s">
        <v>1793</v>
      </c>
      <c r="T4" s="548" t="str">
        <f>Настройки!M11</f>
        <v>№ Модуля commands</v>
      </c>
      <c r="U4" s="10"/>
      <c r="V4" s="10"/>
      <c r="W4" s="10"/>
      <c r="X4" s="10"/>
      <c r="Y4" s="10"/>
      <c r="Z4" s="10"/>
      <c r="AA4" s="10"/>
      <c r="BK4" s="4"/>
      <c r="BL4" s="4"/>
      <c r="BM4" s="4"/>
      <c r="BN4" s="4"/>
    </row>
    <row r="5" spans="1:66">
      <c r="A5" s="9"/>
      <c r="B5" s="9"/>
      <c r="C5" s="9"/>
      <c r="D5" s="9"/>
      <c r="E5" s="9"/>
      <c r="F5" s="9"/>
      <c r="P5" s="6" t="str">
        <f>Настройки!A2</f>
        <v>Авария</v>
      </c>
      <c r="Q5" s="5">
        <f>Настройки!B2</f>
        <v>4</v>
      </c>
      <c r="R5" s="5" t="str">
        <f>Настройки!C2</f>
        <v>Авария</v>
      </c>
      <c r="S5" s="12">
        <v>23</v>
      </c>
      <c r="T5" s="458">
        <f>Настройки!M12</f>
        <v>1</v>
      </c>
      <c r="U5" s="10"/>
      <c r="V5" s="10"/>
      <c r="W5" s="10"/>
      <c r="X5" s="10"/>
      <c r="Y5" s="10"/>
      <c r="Z5" s="10"/>
      <c r="AA5" s="10"/>
      <c r="BK5" s="4"/>
      <c r="BL5" s="4"/>
      <c r="BM5" s="4"/>
      <c r="BN5" s="4"/>
    </row>
    <row r="6" spans="1:66">
      <c r="A6" s="9"/>
      <c r="B6" s="9"/>
      <c r="C6" s="9"/>
      <c r="D6" s="9"/>
      <c r="E6" s="9"/>
      <c r="F6" s="9"/>
      <c r="P6" s="6" t="str">
        <f>Настройки!A3</f>
        <v>Предупреждение</v>
      </c>
      <c r="Q6" s="5">
        <f>Настройки!B3</f>
        <v>8</v>
      </c>
      <c r="R6" s="5" t="str">
        <f>Настройки!C3</f>
        <v>Предупреждение</v>
      </c>
      <c r="S6" s="12">
        <v>24</v>
      </c>
      <c r="T6" s="608" t="str">
        <f>Настройки!M7</f>
        <v>Отображение Таблицы подлючений в диаг.</v>
      </c>
      <c r="U6" s="10"/>
      <c r="V6" s="10"/>
      <c r="W6" s="10"/>
      <c r="X6" s="10"/>
      <c r="Y6" s="10"/>
      <c r="Z6" s="10"/>
      <c r="AA6" s="10"/>
      <c r="BK6" s="4"/>
      <c r="BL6" s="4"/>
      <c r="BM6" s="4"/>
      <c r="BN6" s="4"/>
    </row>
    <row r="7" spans="1:66">
      <c r="A7" s="9"/>
      <c r="B7" s="9"/>
      <c r="C7" s="9"/>
      <c r="D7" s="9"/>
      <c r="E7" s="9"/>
      <c r="F7" s="9"/>
      <c r="P7" s="6" t="str">
        <f>Настройки!A4</f>
        <v>Неисправность</v>
      </c>
      <c r="Q7" s="5">
        <f>Настройки!B4</f>
        <v>12</v>
      </c>
      <c r="R7" s="5" t="str">
        <f>Настройки!C4</f>
        <v>Неисправность</v>
      </c>
      <c r="S7" s="12">
        <v>25</v>
      </c>
      <c r="T7" s="644" t="b">
        <f>Настройки!M8</f>
        <v>0</v>
      </c>
      <c r="U7" s="10"/>
      <c r="V7" s="10"/>
      <c r="W7" s="10"/>
      <c r="X7" s="10"/>
      <c r="Y7" s="10"/>
      <c r="Z7" s="10"/>
      <c r="AA7" s="10"/>
      <c r="BK7" s="4"/>
      <c r="BL7" s="4"/>
      <c r="BM7" s="4"/>
      <c r="BN7" s="4"/>
    </row>
    <row r="8" spans="1:66">
      <c r="A8" s="9"/>
      <c r="B8" s="9"/>
      <c r="C8" s="9"/>
      <c r="D8" s="9"/>
      <c r="E8" s="9"/>
      <c r="F8" s="9"/>
      <c r="P8" s="6" t="str">
        <f>Настройки!A5</f>
        <v>Телесигнализация</v>
      </c>
      <c r="Q8" s="5">
        <f>Настройки!B5</f>
        <v>18</v>
      </c>
      <c r="R8" s="5" t="str">
        <f>Настройки!C5</f>
        <v>Телесигнализация</v>
      </c>
      <c r="S8" s="12">
        <v>26</v>
      </c>
      <c r="T8" s="548" t="str">
        <f>Настройки!M13</f>
        <v>Номер модуля IEC 4</v>
      </c>
      <c r="U8" s="10"/>
      <c r="V8" s="10"/>
      <c r="W8" s="10"/>
      <c r="X8" s="10"/>
      <c r="Y8" s="10"/>
      <c r="Z8" s="10"/>
      <c r="AA8" s="10"/>
      <c r="BK8" s="4"/>
      <c r="BL8" s="4"/>
      <c r="BM8" s="4"/>
      <c r="BN8" s="4"/>
    </row>
    <row r="9" spans="1:66">
      <c r="A9" s="9"/>
      <c r="B9" s="9"/>
      <c r="C9" s="9"/>
      <c r="D9" s="9"/>
      <c r="E9" s="9"/>
      <c r="F9" s="9"/>
      <c r="P9" s="6" t="str">
        <f>Настройки!A6</f>
        <v>Недостоверность</v>
      </c>
      <c r="Q9" s="5">
        <f>Настройки!B6</f>
        <v>10</v>
      </c>
      <c r="R9" s="5" t="str">
        <f>Настройки!C6</f>
        <v>Недостоверность</v>
      </c>
      <c r="S9" s="12">
        <v>27</v>
      </c>
      <c r="T9" s="456">
        <f>Настройки!M14</f>
        <v>1</v>
      </c>
      <c r="U9" s="10"/>
      <c r="V9" s="10"/>
      <c r="W9" s="10"/>
      <c r="X9" s="10"/>
      <c r="Y9" s="10"/>
      <c r="Z9" s="10"/>
      <c r="AA9" s="10"/>
      <c r="BK9" s="4"/>
      <c r="BL9" s="4"/>
      <c r="BM9" s="4"/>
      <c r="BN9" s="4"/>
    </row>
    <row r="10" spans="1:66">
      <c r="A10" s="9"/>
      <c r="B10" s="9"/>
      <c r="C10" s="9"/>
      <c r="D10" s="9"/>
      <c r="E10" s="9"/>
      <c r="F10" s="9"/>
      <c r="P10" s="6" t="str">
        <f>Настройки!A7</f>
        <v>Имитация</v>
      </c>
      <c r="Q10" s="5">
        <f>Настройки!B7</f>
        <v>16</v>
      </c>
      <c r="R10" s="5" t="str">
        <f>Настройки!C7</f>
        <v>Имитация</v>
      </c>
      <c r="S10" s="12"/>
      <c r="T10" s="548" t="str">
        <f>Настройки!M15</f>
        <v>Номер КП модуля IEC 4</v>
      </c>
      <c r="U10" s="10"/>
      <c r="V10" s="10"/>
      <c r="W10" s="10"/>
      <c r="X10" s="10"/>
      <c r="Y10" s="10"/>
      <c r="Z10" s="10"/>
      <c r="AA10" s="10"/>
      <c r="BK10" s="4"/>
      <c r="BL10" s="4"/>
      <c r="BM10" s="4"/>
      <c r="BN10" s="4"/>
    </row>
    <row r="11" spans="1:66">
      <c r="A11" s="9"/>
      <c r="B11" s="9"/>
      <c r="C11" s="9"/>
      <c r="D11" s="9"/>
      <c r="E11" s="9"/>
      <c r="F11" s="9"/>
      <c r="P11" s="6" t="str">
        <f>Настройки!A8</f>
        <v>Ремонт</v>
      </c>
      <c r="Q11" s="5">
        <f>Настройки!B8</f>
        <v>14</v>
      </c>
      <c r="R11" s="5" t="str">
        <f>Настройки!C8</f>
        <v>Ремонт</v>
      </c>
      <c r="S11" s="12">
        <v>29</v>
      </c>
      <c r="T11" s="656">
        <f>Настройки!M16</f>
        <v>1</v>
      </c>
      <c r="U11" s="10"/>
      <c r="V11" s="10"/>
      <c r="W11" s="10"/>
      <c r="X11" s="10"/>
      <c r="Y11" s="10"/>
      <c r="Z11" s="10"/>
      <c r="AA11" s="10"/>
      <c r="BK11" s="4"/>
      <c r="BL11" s="4"/>
      <c r="BM11" s="4"/>
      <c r="BN11" s="4"/>
    </row>
    <row r="12" spans="1:66">
      <c r="A12" s="9"/>
      <c r="B12" s="9"/>
      <c r="C12" s="9"/>
      <c r="D12" s="9"/>
      <c r="E12" s="9"/>
      <c r="F12" s="9"/>
      <c r="P12" s="6" t="str">
        <f>Настройки!A9</f>
        <v>Команда оператора</v>
      </c>
      <c r="Q12" s="5">
        <f>Настройки!B9</f>
        <v>20</v>
      </c>
      <c r="R12" s="5" t="str">
        <f>Настройки!C9</f>
        <v>Команда оператора</v>
      </c>
      <c r="S12" s="12"/>
      <c r="T12" s="10"/>
      <c r="U12" s="10"/>
      <c r="V12" s="10"/>
      <c r="W12" s="10"/>
      <c r="X12" s="10"/>
      <c r="Y12" s="10"/>
      <c r="Z12" s="10"/>
      <c r="AA12" s="10"/>
      <c r="BK12" s="4"/>
      <c r="BL12" s="4"/>
      <c r="BM12" s="4"/>
      <c r="BN12" s="4"/>
    </row>
    <row r="13" spans="1:66">
      <c r="A13" s="9"/>
      <c r="B13" s="9"/>
      <c r="C13" s="9"/>
      <c r="D13" s="9"/>
      <c r="E13" s="9"/>
      <c r="F13" s="9"/>
      <c r="P13" s="6" t="str">
        <f>Настройки!A10</f>
        <v>Тревога</v>
      </c>
      <c r="Q13" s="5">
        <f>Настройки!B10</f>
        <v>5</v>
      </c>
      <c r="R13" s="5" t="str">
        <f>Настройки!C10</f>
        <v>Тревога</v>
      </c>
      <c r="S13" s="12"/>
      <c r="T13" s="10"/>
      <c r="U13" s="10"/>
      <c r="V13" s="10"/>
      <c r="W13" s="10"/>
      <c r="X13" s="10"/>
      <c r="Y13" s="10"/>
      <c r="Z13" s="10"/>
      <c r="AA13" s="10"/>
      <c r="BK13" s="4"/>
      <c r="BL13" s="4"/>
      <c r="BM13" s="4"/>
      <c r="BN13" s="4"/>
    </row>
    <row r="14" spans="1:66">
      <c r="A14" s="9"/>
      <c r="B14" s="9"/>
      <c r="C14" s="9"/>
      <c r="D14" s="9"/>
      <c r="E14" s="9"/>
      <c r="F14" s="9"/>
      <c r="P14" s="6" t="str">
        <f>Настройки!A11</f>
        <v>Тушение</v>
      </c>
      <c r="Q14" s="5">
        <f>Настройки!B11</f>
        <v>1</v>
      </c>
      <c r="R14" s="5" t="str">
        <f>Настройки!C11</f>
        <v>Тушение</v>
      </c>
      <c r="S14" s="12"/>
      <c r="T14" s="10"/>
      <c r="U14" s="10"/>
      <c r="V14" s="10"/>
      <c r="W14" s="10"/>
      <c r="X14" s="10"/>
      <c r="Y14" s="10"/>
      <c r="Z14" s="10"/>
      <c r="AA14" s="10"/>
      <c r="BK14" s="4"/>
      <c r="BL14" s="4"/>
      <c r="BM14" s="4"/>
      <c r="BN14" s="4"/>
    </row>
    <row r="15" spans="1:66">
      <c r="A15" s="9"/>
      <c r="B15" s="9"/>
      <c r="C15" s="9"/>
      <c r="D15" s="9"/>
      <c r="E15" s="9"/>
      <c r="F15" s="9"/>
      <c r="P15" s="6" t="str">
        <f>Настройки!A12</f>
        <v>Пожар</v>
      </c>
      <c r="Q15" s="5">
        <f>Настройки!B12</f>
        <v>2</v>
      </c>
      <c r="R15" s="5" t="str">
        <f>Настройки!C12</f>
        <v>Пожар</v>
      </c>
      <c r="S15" s="12"/>
      <c r="T15" s="10"/>
      <c r="U15" s="10"/>
      <c r="V15" s="10"/>
      <c r="W15" s="10"/>
      <c r="X15" s="10"/>
      <c r="Y15" s="10"/>
      <c r="Z15" s="10"/>
      <c r="AA15" s="10"/>
      <c r="BK15" s="4"/>
      <c r="BL15" s="4"/>
      <c r="BM15" s="4"/>
      <c r="BN15" s="4"/>
    </row>
    <row r="16" spans="1:66">
      <c r="A16" s="9"/>
      <c r="B16" s="9"/>
      <c r="C16" s="9"/>
      <c r="D16" s="9"/>
      <c r="E16" s="9"/>
      <c r="F16" s="9"/>
      <c r="P16" s="6" t="str">
        <f>Настройки!A13</f>
        <v>Порог 2</v>
      </c>
      <c r="Q16" s="5">
        <f>Настройки!B13</f>
        <v>3</v>
      </c>
      <c r="R16" s="5" t="str">
        <f>Настройки!C13</f>
        <v>Порог 2</v>
      </c>
      <c r="S16" s="12"/>
      <c r="T16" s="10"/>
      <c r="U16" s="10"/>
      <c r="V16" s="10"/>
      <c r="W16" s="10"/>
      <c r="X16" s="10"/>
      <c r="Y16" s="10"/>
      <c r="Z16" s="10"/>
      <c r="AA16" s="10"/>
      <c r="BK16" s="4"/>
      <c r="BL16" s="4"/>
      <c r="BM16" s="4"/>
      <c r="BN16" s="4"/>
    </row>
    <row r="17" spans="1:66">
      <c r="A17" s="9"/>
      <c r="B17" s="9"/>
      <c r="C17" s="9"/>
      <c r="D17" s="9"/>
      <c r="E17" s="9"/>
      <c r="F17" s="9"/>
      <c r="P17" s="6" t="str">
        <f>Настройки!A14</f>
        <v>Порог 1</v>
      </c>
      <c r="Q17" s="5">
        <f>Настройки!B14</f>
        <v>6</v>
      </c>
      <c r="R17" s="5" t="str">
        <f>Настройки!C14</f>
        <v>Порог 1</v>
      </c>
      <c r="S17" s="12"/>
      <c r="T17" s="10"/>
      <c r="U17" s="10"/>
      <c r="V17" s="10"/>
      <c r="W17" s="10"/>
      <c r="X17" s="10"/>
      <c r="Y17" s="10"/>
      <c r="Z17" s="10"/>
      <c r="AA17" s="10"/>
      <c r="BK17" s="4"/>
      <c r="BL17" s="4"/>
      <c r="BM17" s="4"/>
      <c r="BN17" s="4"/>
    </row>
    <row r="18" spans="1:66">
      <c r="A18" s="9"/>
      <c r="B18" s="9"/>
      <c r="C18" s="9"/>
      <c r="D18" s="9"/>
      <c r="E18" s="9"/>
      <c r="F18" s="9"/>
      <c r="P18" s="6" t="str">
        <f>Настройки!A15</f>
        <v>Отключение</v>
      </c>
      <c r="Q18" s="5">
        <f>Настройки!B15</f>
        <v>13</v>
      </c>
      <c r="R18" s="5" t="str">
        <f>Настройки!C15</f>
        <v>Отключение</v>
      </c>
      <c r="S18" s="12"/>
      <c r="T18" s="10"/>
      <c r="U18" s="10"/>
      <c r="V18" s="10"/>
      <c r="W18" s="10"/>
      <c r="X18" s="10"/>
      <c r="Y18" s="10"/>
      <c r="Z18" s="10"/>
      <c r="AA18" s="10"/>
      <c r="BK18" s="4"/>
      <c r="BL18" s="4"/>
      <c r="BM18" s="4"/>
      <c r="BN18" s="4"/>
    </row>
    <row r="19" spans="1:66">
      <c r="A19" s="9"/>
      <c r="B19" s="9"/>
      <c r="C19" s="9"/>
      <c r="D19" s="9"/>
      <c r="E19" s="9"/>
      <c r="F19" s="9"/>
      <c r="P19" s="6" t="str">
        <f>Настройки!A16</f>
        <v>Информация</v>
      </c>
      <c r="Q19" s="5">
        <f>Настройки!B16</f>
        <v>22</v>
      </c>
      <c r="R19" s="5" t="str">
        <f>Настройки!C16</f>
        <v>Информация</v>
      </c>
      <c r="S19" s="12"/>
      <c r="T19" s="10"/>
      <c r="U19" s="10"/>
      <c r="V19" s="10"/>
      <c r="W19" s="10"/>
      <c r="X19" s="10"/>
      <c r="Y19" s="10"/>
      <c r="Z19" s="10"/>
      <c r="AA19" s="10"/>
      <c r="BK19" s="4"/>
      <c r="BL19" s="4"/>
      <c r="BM19" s="4"/>
      <c r="BN19" s="4"/>
    </row>
    <row r="20" spans="1:66">
      <c r="A20" s="16" t="str">
        <f t="shared" ref="A20:A34" si="0">$R$2</f>
        <v>FB_dREG_BUF_S</v>
      </c>
      <c r="B20" s="17">
        <v>11001</v>
      </c>
      <c r="C20" s="17" t="s">
        <v>0</v>
      </c>
      <c r="D20" s="18" t="str">
        <f>$Q$2&amp;". "</f>
        <v xml:space="preserve">Дискретный регулятор FB с буферизацией. </v>
      </c>
      <c r="E20" s="4"/>
      <c r="F20" s="4"/>
      <c r="BK20" s="4"/>
      <c r="BL20" s="4"/>
      <c r="BM20" s="4"/>
      <c r="BN20" s="4"/>
    </row>
    <row r="21" spans="1:66">
      <c r="A21" s="19" t="str">
        <f t="shared" si="0"/>
        <v>FB_dREG_BUF_S</v>
      </c>
      <c r="B21" s="11">
        <v>11156</v>
      </c>
      <c r="C21" s="11" t="s">
        <v>0</v>
      </c>
      <c r="D21" s="20" t="str">
        <f>$V$2</f>
        <v>Тестовый экран</v>
      </c>
      <c r="E21" s="4"/>
      <c r="F21" s="4"/>
      <c r="BK21" s="4"/>
      <c r="BL21" s="4"/>
      <c r="BM21" s="4"/>
      <c r="BN21" s="4"/>
    </row>
    <row r="22" spans="1:66">
      <c r="A22" s="19" t="str">
        <f t="shared" si="0"/>
        <v>FB_dREG_BUF_S</v>
      </c>
      <c r="B22" s="11">
        <v>1</v>
      </c>
      <c r="C22" s="11" t="s">
        <v>1</v>
      </c>
      <c r="D22" s="20">
        <v>17</v>
      </c>
      <c r="BK22" s="4"/>
      <c r="BL22" s="4"/>
      <c r="BM22" s="4"/>
      <c r="BN22" s="4"/>
    </row>
    <row r="23" spans="1:66" ht="15" customHeight="1">
      <c r="A23" s="16" t="str">
        <f t="shared" si="0"/>
        <v>FB_dREG_BUF_S</v>
      </c>
      <c r="B23" s="17">
        <v>100</v>
      </c>
      <c r="C23" s="17" t="s">
        <v>0</v>
      </c>
      <c r="D23" s="18" t="b">
        <f>$T$7</f>
        <v>0</v>
      </c>
      <c r="BF23" s="4"/>
      <c r="BG23" s="4"/>
      <c r="BH23" s="4"/>
      <c r="BI23" s="4"/>
    </row>
    <row r="24" spans="1:66">
      <c r="A24" s="19" t="str">
        <f t="shared" si="0"/>
        <v>FB_dREG_BUF_S</v>
      </c>
      <c r="B24" s="11">
        <v>11120</v>
      </c>
      <c r="C24" s="11" t="s">
        <v>0</v>
      </c>
      <c r="D24" s="20" t="str">
        <f>$X$2</f>
        <v>С</v>
      </c>
      <c r="BK24" s="4"/>
      <c r="BL24" s="4"/>
      <c r="BM24" s="4"/>
      <c r="BN24" s="4"/>
    </row>
    <row r="25" spans="1:66">
      <c r="A25" s="19" t="str">
        <f t="shared" si="0"/>
        <v>FB_dREG_BUF_S</v>
      </c>
      <c r="B25" s="11">
        <v>11121</v>
      </c>
      <c r="C25" s="11" t="s">
        <v>0</v>
      </c>
      <c r="D25" s="20" t="str">
        <f>$AL$2</f>
        <v>3+2</v>
      </c>
      <c r="BK25" s="4"/>
      <c r="BL25" s="4"/>
      <c r="BM25" s="4"/>
      <c r="BN25" s="4"/>
    </row>
    <row r="26" spans="1:66">
      <c r="A26" s="19" t="str">
        <f t="shared" si="0"/>
        <v>FB_dREG_BUF_S</v>
      </c>
      <c r="B26" s="11">
        <v>11122</v>
      </c>
      <c r="C26" s="11" t="s">
        <v>0</v>
      </c>
      <c r="D26" s="20" t="str">
        <f>$AM$2</f>
        <v>3+3</v>
      </c>
      <c r="BK26" s="4"/>
      <c r="BL26" s="4"/>
      <c r="BM26" s="4"/>
      <c r="BN26" s="4"/>
    </row>
    <row r="27" spans="1:66">
      <c r="A27" s="19" t="str">
        <f t="shared" si="0"/>
        <v>FB_dREG_BUF_S</v>
      </c>
      <c r="B27" s="11">
        <v>11123</v>
      </c>
      <c r="C27" s="11" t="s">
        <v>0</v>
      </c>
      <c r="D27" s="20" t="str">
        <f>$AN$2</f>
        <v>1+15</v>
      </c>
      <c r="BK27" s="4"/>
      <c r="BL27" s="4"/>
      <c r="BM27" s="4"/>
      <c r="BN27" s="4"/>
    </row>
    <row r="28" spans="1:66">
      <c r="A28" s="19" t="str">
        <f t="shared" si="0"/>
        <v>FB_dREG_BUF_S</v>
      </c>
      <c r="B28" s="11">
        <v>11124</v>
      </c>
      <c r="C28" s="11" t="s">
        <v>0</v>
      </c>
      <c r="D28" s="20" t="str">
        <f>$AO$2</f>
        <v>1+16</v>
      </c>
      <c r="BK28" s="4"/>
      <c r="BL28" s="4"/>
      <c r="BM28" s="4"/>
      <c r="BN28" s="4"/>
    </row>
    <row r="29" spans="1:66">
      <c r="A29" s="19" t="str">
        <f t="shared" si="0"/>
        <v>FB_dREG_BUF_S</v>
      </c>
      <c r="B29" s="11">
        <v>11125</v>
      </c>
      <c r="C29" s="11" t="s">
        <v>0</v>
      </c>
      <c r="D29" s="20" t="str">
        <f>$AP$2</f>
        <v>1+17</v>
      </c>
      <c r="BK29" s="4"/>
      <c r="BL29" s="4"/>
      <c r="BM29" s="4"/>
      <c r="BN29" s="4"/>
    </row>
    <row r="30" spans="1:66">
      <c r="A30" s="19" t="str">
        <f t="shared" si="0"/>
        <v>FB_dREG_BUF_S</v>
      </c>
      <c r="B30" s="11">
        <v>11126</v>
      </c>
      <c r="C30" s="11" t="s">
        <v>0</v>
      </c>
      <c r="D30" s="20" t="str">
        <f>$AQ$2</f>
        <v>4+1</v>
      </c>
      <c r="BK30" s="4"/>
      <c r="BL30" s="4"/>
      <c r="BM30" s="4"/>
      <c r="BN30" s="4"/>
    </row>
    <row r="31" spans="1:66" ht="15" customHeight="1">
      <c r="A31" s="16" t="str">
        <f t="shared" si="0"/>
        <v>FB_dREG_BUF_S</v>
      </c>
      <c r="B31" s="17">
        <v>13</v>
      </c>
      <c r="C31" s="17" t="s">
        <v>2</v>
      </c>
      <c r="D31" s="18" t="s">
        <v>3</v>
      </c>
      <c r="BF31" s="4"/>
      <c r="BG31" s="4"/>
      <c r="BH31" s="4"/>
      <c r="BI31" s="4"/>
    </row>
    <row r="32" spans="1:66" ht="15" customHeight="1">
      <c r="A32" s="19" t="str">
        <f t="shared" si="0"/>
        <v>FB_dREG_BUF_S</v>
      </c>
      <c r="B32" s="11">
        <v>3000013</v>
      </c>
      <c r="C32" s="11" t="s">
        <v>0</v>
      </c>
      <c r="D32" s="20" t="str">
        <f>$AE$2</f>
        <v>Диагностика.CPU.NOT_LINK.noLink</v>
      </c>
      <c r="BF32" s="4"/>
      <c r="BG32" s="4"/>
      <c r="BH32" s="4"/>
      <c r="BI32" s="4"/>
    </row>
    <row r="33" spans="1:66" ht="15" customHeight="1">
      <c r="A33" s="19" t="str">
        <f t="shared" si="0"/>
        <v>FB_dREG_BUF_S</v>
      </c>
      <c r="B33" s="11">
        <v>4000013</v>
      </c>
      <c r="C33" s="11" t="s">
        <v>0</v>
      </c>
      <c r="D33" s="20" t="s">
        <v>1770</v>
      </c>
      <c r="BF33" s="4"/>
      <c r="BG33" s="4"/>
      <c r="BH33" s="4"/>
      <c r="BI33" s="4"/>
    </row>
    <row r="34" spans="1:66" ht="15" customHeight="1">
      <c r="A34" s="21" t="str">
        <f t="shared" si="0"/>
        <v>FB_dREG_BUF_S</v>
      </c>
      <c r="B34" s="8">
        <v>7000013</v>
      </c>
      <c r="C34" s="8" t="s">
        <v>6</v>
      </c>
      <c r="D34" s="22">
        <v>2</v>
      </c>
      <c r="BF34" s="4"/>
      <c r="BG34" s="4"/>
      <c r="BH34" s="4"/>
      <c r="BI34" s="4"/>
    </row>
    <row r="35" spans="1:66">
      <c r="A35" s="63" t="str">
        <f t="shared" ref="A35:A44" si="1">$R$2&amp;".ILCX"</f>
        <v>FB_dREG_BUF_S.ILCX</v>
      </c>
      <c r="B35" s="64">
        <v>11154</v>
      </c>
      <c r="C35" s="64" t="s">
        <v>4</v>
      </c>
      <c r="D35" s="98">
        <f>$Q$6</f>
        <v>8</v>
      </c>
      <c r="BK35" s="4"/>
      <c r="BL35" s="4"/>
      <c r="BM35" s="4"/>
      <c r="BN35" s="4"/>
    </row>
    <row r="36" spans="1:66">
      <c r="A36" s="63" t="str">
        <f t="shared" si="1"/>
        <v>FB_dREG_BUF_S.ILCX</v>
      </c>
      <c r="B36" s="64">
        <v>11150</v>
      </c>
      <c r="C36" s="64" t="s">
        <v>0</v>
      </c>
      <c r="D36" s="65" t="s">
        <v>188</v>
      </c>
      <c r="BK36" s="4"/>
      <c r="BL36" s="4"/>
      <c r="BM36" s="4"/>
      <c r="BN36" s="4"/>
    </row>
    <row r="37" spans="1:66">
      <c r="A37" s="63" t="str">
        <f t="shared" si="1"/>
        <v>FB_dREG_BUF_S.ILCX</v>
      </c>
      <c r="B37" s="64">
        <v>11152</v>
      </c>
      <c r="C37" s="64" t="s">
        <v>0</v>
      </c>
      <c r="D37" s="99" t="str">
        <f>$R$6</f>
        <v>Предупреждение</v>
      </c>
      <c r="BK37" s="4"/>
      <c r="BL37" s="4"/>
      <c r="BM37" s="4"/>
      <c r="BN37" s="4"/>
    </row>
    <row r="38" spans="1:66">
      <c r="A38" s="63" t="str">
        <f t="shared" si="1"/>
        <v>FB_dREG_BUF_S.ILCX</v>
      </c>
      <c r="B38" s="64">
        <v>11000</v>
      </c>
      <c r="C38" s="64" t="s">
        <v>5</v>
      </c>
      <c r="D38" s="65">
        <v>2147483680</v>
      </c>
      <c r="BK38" s="4"/>
      <c r="BL38" s="4"/>
      <c r="BM38" s="4"/>
      <c r="BN38" s="4"/>
    </row>
    <row r="39" spans="1:66">
      <c r="A39" s="19" t="str">
        <f t="shared" si="1"/>
        <v>FB_dREG_BUF_S.ILCX</v>
      </c>
      <c r="B39" s="11">
        <v>7999</v>
      </c>
      <c r="C39" s="11" t="s">
        <v>0</v>
      </c>
      <c r="D39" s="20" t="str">
        <f>"#"&amp;$S$2&amp;"#"&amp;$T$2&amp;"\"&amp;$P$2&amp;"\ILCX"</f>
        <v>#1#treiOPCDA.CoOPCserv.1\pcmaster\dREG_test\ILCX</v>
      </c>
      <c r="BK39" s="4"/>
      <c r="BL39" s="4"/>
      <c r="BM39" s="4"/>
      <c r="BN39" s="4"/>
    </row>
    <row r="40" spans="1:66">
      <c r="A40" s="19" t="str">
        <f t="shared" si="1"/>
        <v>FB_dREG_BUF_S.ILCX</v>
      </c>
      <c r="B40" s="11">
        <v>7998</v>
      </c>
      <c r="C40" s="11" t="s">
        <v>6</v>
      </c>
      <c r="D40" s="20">
        <v>1</v>
      </c>
      <c r="BK40" s="4"/>
      <c r="BL40" s="4"/>
      <c r="BM40" s="4"/>
      <c r="BN40" s="4"/>
    </row>
    <row r="41" spans="1:66">
      <c r="A41" s="19" t="str">
        <f t="shared" si="1"/>
        <v>FB_dREG_BUF_S.ILCX</v>
      </c>
      <c r="B41" s="11">
        <v>101</v>
      </c>
      <c r="C41" s="11" t="s">
        <v>0</v>
      </c>
      <c r="D41" s="20" t="s">
        <v>194</v>
      </c>
      <c r="BK41" s="4"/>
      <c r="BL41" s="4"/>
      <c r="BM41" s="4"/>
      <c r="BN41" s="4"/>
    </row>
    <row r="42" spans="1:66">
      <c r="A42" s="19" t="str">
        <f t="shared" si="1"/>
        <v>FB_dREG_BUF_S.ILCX</v>
      </c>
      <c r="B42" s="11">
        <v>3</v>
      </c>
      <c r="C42" s="11" t="s">
        <v>1</v>
      </c>
      <c r="D42" s="20">
        <v>192</v>
      </c>
      <c r="BK42" s="4"/>
      <c r="BL42" s="4"/>
      <c r="BM42" s="4"/>
      <c r="BN42" s="4"/>
    </row>
    <row r="43" spans="1:66">
      <c r="A43" s="19" t="str">
        <f t="shared" si="1"/>
        <v>FB_dREG_BUF_S.ILCX</v>
      </c>
      <c r="B43" s="11">
        <v>2</v>
      </c>
      <c r="C43" s="11" t="s">
        <v>2</v>
      </c>
      <c r="D43" s="20" t="s">
        <v>3</v>
      </c>
      <c r="BK43" s="4"/>
      <c r="BL43" s="4"/>
      <c r="BM43" s="4"/>
      <c r="BN43" s="4"/>
    </row>
    <row r="44" spans="1:66">
      <c r="A44" s="21" t="str">
        <f t="shared" si="1"/>
        <v>FB_dREG_BUF_S.ILCX</v>
      </c>
      <c r="B44" s="8">
        <v>1</v>
      </c>
      <c r="C44" s="8" t="s">
        <v>1</v>
      </c>
      <c r="D44" s="22">
        <v>11</v>
      </c>
      <c r="BK44" s="4"/>
      <c r="BL44" s="4"/>
      <c r="BM44" s="4"/>
      <c r="BN44" s="4"/>
    </row>
    <row r="45" spans="1:66" ht="15" customHeight="1">
      <c r="A45" s="69" t="str">
        <f>$R$2&amp;".CEXX"</f>
        <v>FB_dREG_BUF_S.CEXX</v>
      </c>
      <c r="B45" s="70">
        <v>11154</v>
      </c>
      <c r="C45" s="70" t="s">
        <v>4</v>
      </c>
      <c r="D45" s="144">
        <f>$Q$6</f>
        <v>8</v>
      </c>
      <c r="BK45" s="4"/>
      <c r="BL45" s="4"/>
      <c r="BM45" s="4"/>
      <c r="BN45" s="4"/>
    </row>
    <row r="46" spans="1:66" ht="15" customHeight="1">
      <c r="A46" s="63" t="str">
        <f t="shared" ref="A46:A54" si="2">$R$2&amp;".CEXX"</f>
        <v>FB_dREG_BUF_S.CEXX</v>
      </c>
      <c r="B46" s="64">
        <v>11150</v>
      </c>
      <c r="C46" s="64" t="s">
        <v>0</v>
      </c>
      <c r="D46" s="65" t="s">
        <v>2753</v>
      </c>
      <c r="BK46" s="4"/>
      <c r="BL46" s="4"/>
      <c r="BM46" s="4"/>
      <c r="BN46" s="4"/>
    </row>
    <row r="47" spans="1:66" ht="15" customHeight="1">
      <c r="A47" s="63" t="str">
        <f t="shared" si="2"/>
        <v>FB_dREG_BUF_S.CEXX</v>
      </c>
      <c r="B47" s="64">
        <v>11152</v>
      </c>
      <c r="C47" s="64" t="s">
        <v>0</v>
      </c>
      <c r="D47" s="99" t="str">
        <f>$R$6</f>
        <v>Предупреждение</v>
      </c>
      <c r="BK47" s="4"/>
      <c r="BL47" s="4"/>
      <c r="BM47" s="4"/>
      <c r="BN47" s="4"/>
    </row>
    <row r="48" spans="1:66" ht="15" customHeight="1">
      <c r="A48" s="63" t="str">
        <f t="shared" si="2"/>
        <v>FB_dREG_BUF_S.CEXX</v>
      </c>
      <c r="B48" s="64">
        <v>11000</v>
      </c>
      <c r="C48" s="64" t="s">
        <v>5</v>
      </c>
      <c r="D48" s="65">
        <v>2147483680</v>
      </c>
      <c r="BK48" s="4"/>
      <c r="BL48" s="4"/>
      <c r="BM48" s="4"/>
      <c r="BN48" s="4"/>
    </row>
    <row r="49" spans="1:66" ht="15" customHeight="1">
      <c r="A49" s="19" t="str">
        <f t="shared" si="2"/>
        <v>FB_dREG_BUF_S.CEXX</v>
      </c>
      <c r="B49" s="11">
        <v>7999</v>
      </c>
      <c r="C49" s="11" t="s">
        <v>0</v>
      </c>
      <c r="D49" s="20" t="str">
        <f>"#"&amp;$S$2&amp;"#"&amp;$T$2&amp;"\"&amp;$P$2&amp;"\CEXX"</f>
        <v>#1#treiOPCDA.CoOPCserv.1\pcmaster\dREG_test\CEXX</v>
      </c>
      <c r="BK49" s="4"/>
      <c r="BL49" s="4"/>
      <c r="BM49" s="4"/>
      <c r="BN49" s="4"/>
    </row>
    <row r="50" spans="1:66" ht="15" customHeight="1">
      <c r="A50" s="19" t="str">
        <f t="shared" si="2"/>
        <v>FB_dREG_BUF_S.CEXX</v>
      </c>
      <c r="B50" s="11">
        <v>7998</v>
      </c>
      <c r="C50" s="11" t="s">
        <v>6</v>
      </c>
      <c r="D50" s="20">
        <v>1</v>
      </c>
      <c r="BK50" s="4"/>
      <c r="BL50" s="4"/>
      <c r="BM50" s="4"/>
      <c r="BN50" s="4"/>
    </row>
    <row r="51" spans="1:66" ht="15" customHeight="1">
      <c r="A51" s="19" t="str">
        <f t="shared" si="2"/>
        <v>FB_dREG_BUF_S.CEXX</v>
      </c>
      <c r="B51" s="11">
        <v>101</v>
      </c>
      <c r="C51" s="11" t="s">
        <v>0</v>
      </c>
      <c r="D51" s="20" t="s">
        <v>2753</v>
      </c>
      <c r="BK51" s="4"/>
      <c r="BL51" s="4"/>
      <c r="BM51" s="4"/>
      <c r="BN51" s="4"/>
    </row>
    <row r="52" spans="1:66" ht="15" customHeight="1">
      <c r="A52" s="19" t="str">
        <f t="shared" si="2"/>
        <v>FB_dREG_BUF_S.CEXX</v>
      </c>
      <c r="B52" s="11">
        <v>3</v>
      </c>
      <c r="C52" s="11" t="s">
        <v>1</v>
      </c>
      <c r="D52" s="20">
        <v>192</v>
      </c>
      <c r="BK52" s="4"/>
      <c r="BL52" s="4"/>
      <c r="BM52" s="4"/>
      <c r="BN52" s="4"/>
    </row>
    <row r="53" spans="1:66" ht="15" customHeight="1">
      <c r="A53" s="19" t="str">
        <f t="shared" si="2"/>
        <v>FB_dREG_BUF_S.CEXX</v>
      </c>
      <c r="B53" s="11">
        <v>2</v>
      </c>
      <c r="C53" s="11" t="s">
        <v>2</v>
      </c>
      <c r="D53" s="20" t="s">
        <v>3</v>
      </c>
      <c r="BK53" s="4"/>
      <c r="BL53" s="4"/>
      <c r="BM53" s="4"/>
      <c r="BN53" s="4"/>
    </row>
    <row r="54" spans="1:66" ht="15" customHeight="1">
      <c r="A54" s="21" t="str">
        <f t="shared" si="2"/>
        <v>FB_dREG_BUF_S.CEXX</v>
      </c>
      <c r="B54" s="8">
        <v>1</v>
      </c>
      <c r="C54" s="8" t="s">
        <v>1</v>
      </c>
      <c r="D54" s="22">
        <v>11</v>
      </c>
      <c r="BK54" s="4"/>
      <c r="BL54" s="4"/>
      <c r="BM54" s="4"/>
      <c r="BN54" s="4"/>
    </row>
    <row r="55" spans="1:66">
      <c r="A55" s="69" t="str">
        <f t="shared" ref="A55:A64" si="3">$R$2&amp;".XMMX"</f>
        <v>FB_dREG_BUF_S.XMMX</v>
      </c>
      <c r="B55" s="70">
        <v>11154</v>
      </c>
      <c r="C55" s="70" t="s">
        <v>4</v>
      </c>
      <c r="D55" s="144">
        <f>$Q$6</f>
        <v>8</v>
      </c>
      <c r="BK55" s="4"/>
      <c r="BL55" s="4"/>
      <c r="BM55" s="4"/>
      <c r="BN55" s="4"/>
    </row>
    <row r="56" spans="1:66">
      <c r="A56" s="63" t="str">
        <f t="shared" si="3"/>
        <v>FB_dREG_BUF_S.XMMX</v>
      </c>
      <c r="B56" s="64">
        <v>11150</v>
      </c>
      <c r="C56" s="64" t="s">
        <v>0</v>
      </c>
      <c r="D56" s="65" t="s">
        <v>134</v>
      </c>
      <c r="BK56" s="4"/>
      <c r="BL56" s="4"/>
      <c r="BM56" s="4"/>
      <c r="BN56" s="4"/>
    </row>
    <row r="57" spans="1:66">
      <c r="A57" s="63" t="str">
        <f t="shared" si="3"/>
        <v>FB_dREG_BUF_S.XMMX</v>
      </c>
      <c r="B57" s="64">
        <v>11152</v>
      </c>
      <c r="C57" s="64" t="s">
        <v>0</v>
      </c>
      <c r="D57" s="99" t="str">
        <f>$R$6</f>
        <v>Предупреждение</v>
      </c>
      <c r="BK57" s="4"/>
      <c r="BL57" s="4"/>
      <c r="BM57" s="4"/>
      <c r="BN57" s="4"/>
    </row>
    <row r="58" spans="1:66">
      <c r="A58" s="63" t="str">
        <f t="shared" si="3"/>
        <v>FB_dREG_BUF_S.XMMX</v>
      </c>
      <c r="B58" s="64">
        <v>11000</v>
      </c>
      <c r="C58" s="64" t="s">
        <v>5</v>
      </c>
      <c r="D58" s="65">
        <v>2147483680</v>
      </c>
      <c r="BK58" s="4"/>
      <c r="BL58" s="4"/>
      <c r="BM58" s="4"/>
      <c r="BN58" s="4"/>
    </row>
    <row r="59" spans="1:66">
      <c r="A59" s="19" t="str">
        <f t="shared" si="3"/>
        <v>FB_dREG_BUF_S.XMMX</v>
      </c>
      <c r="B59" s="11">
        <v>7999</v>
      </c>
      <c r="C59" s="11" t="s">
        <v>0</v>
      </c>
      <c r="D59" s="20" t="str">
        <f>"#"&amp;$S$2&amp;"#"&amp;$T$2&amp;"\"&amp;$P$2&amp;"\XMMX"</f>
        <v>#1#treiOPCDA.CoOPCserv.1\pcmaster\dREG_test\XMMX</v>
      </c>
      <c r="BK59" s="4"/>
      <c r="BL59" s="4"/>
      <c r="BM59" s="4"/>
      <c r="BN59" s="4"/>
    </row>
    <row r="60" spans="1:66">
      <c r="A60" s="19" t="str">
        <f t="shared" si="3"/>
        <v>FB_dREG_BUF_S.XMMX</v>
      </c>
      <c r="B60" s="11">
        <v>7998</v>
      </c>
      <c r="C60" s="11" t="s">
        <v>6</v>
      </c>
      <c r="D60" s="20">
        <v>1</v>
      </c>
      <c r="BK60" s="4"/>
      <c r="BL60" s="4"/>
      <c r="BM60" s="4"/>
      <c r="BN60" s="4"/>
    </row>
    <row r="61" spans="1:66">
      <c r="A61" s="19" t="str">
        <f t="shared" si="3"/>
        <v>FB_dREG_BUF_S.XMMX</v>
      </c>
      <c r="B61" s="11">
        <v>101</v>
      </c>
      <c r="C61" s="11" t="s">
        <v>0</v>
      </c>
      <c r="D61" s="20" t="s">
        <v>134</v>
      </c>
      <c r="BK61" s="4"/>
      <c r="BL61" s="4"/>
      <c r="BM61" s="4"/>
      <c r="BN61" s="4"/>
    </row>
    <row r="62" spans="1:66">
      <c r="A62" s="19" t="str">
        <f t="shared" si="3"/>
        <v>FB_dREG_BUF_S.XMMX</v>
      </c>
      <c r="B62" s="11">
        <v>3</v>
      </c>
      <c r="C62" s="11" t="s">
        <v>1</v>
      </c>
      <c r="D62" s="20">
        <v>192</v>
      </c>
      <c r="BK62" s="4"/>
      <c r="BL62" s="4"/>
      <c r="BM62" s="4"/>
      <c r="BN62" s="4"/>
    </row>
    <row r="63" spans="1:66">
      <c r="A63" s="19" t="str">
        <f t="shared" si="3"/>
        <v>FB_dREG_BUF_S.XMMX</v>
      </c>
      <c r="B63" s="11">
        <v>2</v>
      </c>
      <c r="C63" s="11" t="s">
        <v>2</v>
      </c>
      <c r="D63" s="20" t="s">
        <v>3</v>
      </c>
      <c r="BK63" s="4"/>
      <c r="BL63" s="4"/>
      <c r="BM63" s="4"/>
      <c r="BN63" s="4"/>
    </row>
    <row r="64" spans="1:66">
      <c r="A64" s="21" t="str">
        <f t="shared" si="3"/>
        <v>FB_dREG_BUF_S.XMMX</v>
      </c>
      <c r="B64" s="8">
        <v>1</v>
      </c>
      <c r="C64" s="8" t="s">
        <v>1</v>
      </c>
      <c r="D64" s="22">
        <v>11</v>
      </c>
      <c r="BK64" s="4"/>
      <c r="BL64" s="4"/>
      <c r="BM64" s="4"/>
      <c r="BN64" s="4"/>
    </row>
    <row r="65" spans="1:66">
      <c r="A65" s="69" t="str">
        <f>$R$2&amp;".CBXX"</f>
        <v>FB_dREG_BUF_S.CBXX</v>
      </c>
      <c r="B65" s="70">
        <v>11154</v>
      </c>
      <c r="C65" s="70" t="s">
        <v>4</v>
      </c>
      <c r="D65" s="144">
        <f>$Q$6</f>
        <v>8</v>
      </c>
      <c r="BK65" s="4"/>
      <c r="BL65" s="4"/>
      <c r="BM65" s="4"/>
      <c r="BN65" s="4"/>
    </row>
    <row r="66" spans="1:66">
      <c r="A66" s="63" t="str">
        <f t="shared" ref="A66:A74" si="4">$R$2&amp;".CBXX"</f>
        <v>FB_dREG_BUF_S.CBXX</v>
      </c>
      <c r="B66" s="64">
        <v>11150</v>
      </c>
      <c r="C66" s="64" t="s">
        <v>0</v>
      </c>
      <c r="D66" s="65" t="s">
        <v>2754</v>
      </c>
      <c r="BK66" s="4"/>
      <c r="BL66" s="4"/>
      <c r="BM66" s="4"/>
      <c r="BN66" s="4"/>
    </row>
    <row r="67" spans="1:66">
      <c r="A67" s="63" t="str">
        <f t="shared" si="4"/>
        <v>FB_dREG_BUF_S.CBXX</v>
      </c>
      <c r="B67" s="64">
        <v>11152</v>
      </c>
      <c r="C67" s="64" t="s">
        <v>0</v>
      </c>
      <c r="D67" s="99" t="str">
        <f>$R$6</f>
        <v>Предупреждение</v>
      </c>
      <c r="BK67" s="4"/>
      <c r="BL67" s="4"/>
      <c r="BM67" s="4"/>
      <c r="BN67" s="4"/>
    </row>
    <row r="68" spans="1:66">
      <c r="A68" s="63" t="str">
        <f t="shared" si="4"/>
        <v>FB_dREG_BUF_S.CBXX</v>
      </c>
      <c r="B68" s="64">
        <v>11000</v>
      </c>
      <c r="C68" s="64" t="s">
        <v>5</v>
      </c>
      <c r="D68" s="65">
        <v>2147483680</v>
      </c>
      <c r="BK68" s="4"/>
      <c r="BL68" s="4"/>
      <c r="BM68" s="4"/>
      <c r="BN68" s="4"/>
    </row>
    <row r="69" spans="1:66">
      <c r="A69" s="19" t="str">
        <f t="shared" si="4"/>
        <v>FB_dREG_BUF_S.CBXX</v>
      </c>
      <c r="B69" s="11">
        <v>7999</v>
      </c>
      <c r="C69" s="11" t="s">
        <v>0</v>
      </c>
      <c r="D69" s="20" t="str">
        <f>"#"&amp;$S$2&amp;"#"&amp;$T$2&amp;"\"&amp;$P$2&amp;"\CBXX"</f>
        <v>#1#treiOPCDA.CoOPCserv.1\pcmaster\dREG_test\CBXX</v>
      </c>
      <c r="BK69" s="4"/>
      <c r="BL69" s="4"/>
      <c r="BM69" s="4"/>
      <c r="BN69" s="4"/>
    </row>
    <row r="70" spans="1:66">
      <c r="A70" s="19" t="str">
        <f t="shared" si="4"/>
        <v>FB_dREG_BUF_S.CBXX</v>
      </c>
      <c r="B70" s="11">
        <v>7998</v>
      </c>
      <c r="C70" s="11" t="s">
        <v>6</v>
      </c>
      <c r="D70" s="20">
        <v>1</v>
      </c>
      <c r="BK70" s="4"/>
      <c r="BL70" s="4"/>
      <c r="BM70" s="4"/>
      <c r="BN70" s="4"/>
    </row>
    <row r="71" spans="1:66">
      <c r="A71" s="19" t="str">
        <f t="shared" si="4"/>
        <v>FB_dREG_BUF_S.CBXX</v>
      </c>
      <c r="B71" s="11">
        <v>101</v>
      </c>
      <c r="C71" s="11" t="s">
        <v>0</v>
      </c>
      <c r="D71" s="20" t="s">
        <v>2754</v>
      </c>
      <c r="BK71" s="4"/>
      <c r="BL71" s="4"/>
      <c r="BM71" s="4"/>
      <c r="BN71" s="4"/>
    </row>
    <row r="72" spans="1:66">
      <c r="A72" s="19" t="str">
        <f t="shared" si="4"/>
        <v>FB_dREG_BUF_S.CBXX</v>
      </c>
      <c r="B72" s="11">
        <v>3</v>
      </c>
      <c r="C72" s="11" t="s">
        <v>1</v>
      </c>
      <c r="D72" s="20">
        <v>192</v>
      </c>
      <c r="BK72" s="4"/>
      <c r="BL72" s="4"/>
      <c r="BM72" s="4"/>
      <c r="BN72" s="4"/>
    </row>
    <row r="73" spans="1:66">
      <c r="A73" s="19" t="str">
        <f t="shared" si="4"/>
        <v>FB_dREG_BUF_S.CBXX</v>
      </c>
      <c r="B73" s="11">
        <v>2</v>
      </c>
      <c r="C73" s="11" t="s">
        <v>2</v>
      </c>
      <c r="D73" s="20" t="s">
        <v>3</v>
      </c>
      <c r="BK73" s="4"/>
      <c r="BL73" s="4"/>
      <c r="BM73" s="4"/>
      <c r="BN73" s="4"/>
    </row>
    <row r="74" spans="1:66">
      <c r="A74" s="21" t="str">
        <f t="shared" si="4"/>
        <v>FB_dREG_BUF_S.CBXX</v>
      </c>
      <c r="B74" s="8">
        <v>1</v>
      </c>
      <c r="C74" s="8" t="s">
        <v>1</v>
      </c>
      <c r="D74" s="22">
        <v>11</v>
      </c>
      <c r="BK74" s="4"/>
      <c r="BL74" s="4"/>
      <c r="BM74" s="4"/>
      <c r="BN74" s="4"/>
    </row>
    <row r="75" spans="1:66">
      <c r="A75" s="217" t="str">
        <f t="shared" ref="A75:A84" si="5">$R$2&amp;".IFXX"</f>
        <v>FB_dREG_BUF_S.IFXX</v>
      </c>
      <c r="B75" s="218">
        <v>11154</v>
      </c>
      <c r="C75" s="218" t="s">
        <v>4</v>
      </c>
      <c r="D75" s="219">
        <f>$Q$7</f>
        <v>12</v>
      </c>
      <c r="BK75" s="4"/>
      <c r="BL75" s="4"/>
      <c r="BM75" s="4"/>
      <c r="BN75" s="4"/>
    </row>
    <row r="76" spans="1:66">
      <c r="A76" s="211" t="str">
        <f t="shared" si="5"/>
        <v>FB_dREG_BUF_S.IFXX</v>
      </c>
      <c r="B76" s="212">
        <v>11150</v>
      </c>
      <c r="C76" s="212" t="s">
        <v>0</v>
      </c>
      <c r="D76" s="213" t="s">
        <v>110</v>
      </c>
      <c r="BK76" s="4"/>
      <c r="BL76" s="4"/>
      <c r="BM76" s="4"/>
      <c r="BN76" s="4"/>
    </row>
    <row r="77" spans="1:66">
      <c r="A77" s="211" t="str">
        <f t="shared" si="5"/>
        <v>FB_dREG_BUF_S.IFXX</v>
      </c>
      <c r="B77" s="212">
        <v>11152</v>
      </c>
      <c r="C77" s="212" t="s">
        <v>0</v>
      </c>
      <c r="D77" s="220" t="str">
        <f>$R$7</f>
        <v>Неисправность</v>
      </c>
      <c r="BK77" s="4"/>
      <c r="BL77" s="4"/>
      <c r="BM77" s="4"/>
      <c r="BN77" s="4"/>
    </row>
    <row r="78" spans="1:66">
      <c r="A78" s="211" t="str">
        <f t="shared" si="5"/>
        <v>FB_dREG_BUF_S.IFXX</v>
      </c>
      <c r="B78" s="212">
        <v>11000</v>
      </c>
      <c r="C78" s="212" t="s">
        <v>5</v>
      </c>
      <c r="D78" s="213">
        <v>2147483680</v>
      </c>
      <c r="BK78" s="4"/>
      <c r="BL78" s="4"/>
      <c r="BM78" s="4"/>
      <c r="BN78" s="4"/>
    </row>
    <row r="79" spans="1:66">
      <c r="A79" s="19" t="str">
        <f t="shared" si="5"/>
        <v>FB_dREG_BUF_S.IFXX</v>
      </c>
      <c r="B79" s="11">
        <v>7999</v>
      </c>
      <c r="C79" s="11" t="s">
        <v>0</v>
      </c>
      <c r="D79" s="20" t="str">
        <f>"#"&amp;$S$2&amp;"#"&amp;$T$2&amp;"\"&amp;$P$2&amp;"\IFXX"</f>
        <v>#1#treiOPCDA.CoOPCserv.1\pcmaster\dREG_test\IFXX</v>
      </c>
      <c r="BK79" s="4"/>
      <c r="BL79" s="4"/>
      <c r="BM79" s="4"/>
      <c r="BN79" s="4"/>
    </row>
    <row r="80" spans="1:66">
      <c r="A80" s="19" t="str">
        <f t="shared" si="5"/>
        <v>FB_dREG_BUF_S.IFXX</v>
      </c>
      <c r="B80" s="11">
        <v>7998</v>
      </c>
      <c r="C80" s="11" t="s">
        <v>6</v>
      </c>
      <c r="D80" s="20">
        <v>1</v>
      </c>
      <c r="BK80" s="4"/>
      <c r="BL80" s="4"/>
      <c r="BM80" s="4"/>
      <c r="BN80" s="4"/>
    </row>
    <row r="81" spans="1:66">
      <c r="A81" s="19" t="str">
        <f t="shared" si="5"/>
        <v>FB_dREG_BUF_S.IFXX</v>
      </c>
      <c r="B81" s="11">
        <v>101</v>
      </c>
      <c r="C81" s="11" t="s">
        <v>0</v>
      </c>
      <c r="D81" s="20" t="s">
        <v>195</v>
      </c>
      <c r="BK81" s="4"/>
      <c r="BL81" s="4"/>
      <c r="BM81" s="4"/>
      <c r="BN81" s="4"/>
    </row>
    <row r="82" spans="1:66">
      <c r="A82" s="19" t="str">
        <f t="shared" si="5"/>
        <v>FB_dREG_BUF_S.IFXX</v>
      </c>
      <c r="B82" s="11">
        <v>3</v>
      </c>
      <c r="C82" s="11" t="s">
        <v>1</v>
      </c>
      <c r="D82" s="20">
        <v>192</v>
      </c>
      <c r="BK82" s="4"/>
      <c r="BL82" s="4"/>
      <c r="BM82" s="4"/>
      <c r="BN82" s="4"/>
    </row>
    <row r="83" spans="1:66">
      <c r="A83" s="19" t="str">
        <f t="shared" si="5"/>
        <v>FB_dREG_BUF_S.IFXX</v>
      </c>
      <c r="B83" s="11">
        <v>2</v>
      </c>
      <c r="C83" s="11" t="s">
        <v>2</v>
      </c>
      <c r="D83" s="20" t="s">
        <v>3</v>
      </c>
      <c r="BK83" s="4"/>
      <c r="BL83" s="4"/>
      <c r="BM83" s="4"/>
      <c r="BN83" s="4"/>
    </row>
    <row r="84" spans="1:66">
      <c r="A84" s="21" t="str">
        <f t="shared" si="5"/>
        <v>FB_dREG_BUF_S.IFXX</v>
      </c>
      <c r="B84" s="8">
        <v>1</v>
      </c>
      <c r="C84" s="8" t="s">
        <v>1</v>
      </c>
      <c r="D84" s="22">
        <v>11</v>
      </c>
      <c r="BK84" s="4"/>
      <c r="BL84" s="4"/>
      <c r="BM84" s="4"/>
      <c r="BN84" s="4"/>
    </row>
    <row r="85" spans="1:66">
      <c r="A85" s="217" t="str">
        <f t="shared" ref="A85:A94" si="6">$R$2&amp;".FSCX"</f>
        <v>FB_dREG_BUF_S.FSCX</v>
      </c>
      <c r="B85" s="218">
        <v>11154</v>
      </c>
      <c r="C85" s="218" t="s">
        <v>4</v>
      </c>
      <c r="D85" s="219">
        <f>$Q$7</f>
        <v>12</v>
      </c>
      <c r="BK85" s="4"/>
      <c r="BL85" s="4"/>
      <c r="BM85" s="4"/>
      <c r="BN85" s="4"/>
    </row>
    <row r="86" spans="1:66">
      <c r="A86" s="211" t="str">
        <f t="shared" si="6"/>
        <v>FB_dREG_BUF_S.FSCX</v>
      </c>
      <c r="B86" s="212">
        <v>11150</v>
      </c>
      <c r="C86" s="212" t="s">
        <v>0</v>
      </c>
      <c r="D86" s="213" t="s">
        <v>2750</v>
      </c>
      <c r="BK86" s="4"/>
      <c r="BL86" s="4"/>
      <c r="BM86" s="4"/>
      <c r="BN86" s="4"/>
    </row>
    <row r="87" spans="1:66">
      <c r="A87" s="211" t="str">
        <f t="shared" si="6"/>
        <v>FB_dREG_BUF_S.FSCX</v>
      </c>
      <c r="B87" s="212">
        <v>11152</v>
      </c>
      <c r="C87" s="212" t="s">
        <v>0</v>
      </c>
      <c r="D87" s="220" t="str">
        <f>$R$7</f>
        <v>Неисправность</v>
      </c>
      <c r="BK87" s="4"/>
      <c r="BL87" s="4"/>
      <c r="BM87" s="4"/>
      <c r="BN87" s="4"/>
    </row>
    <row r="88" spans="1:66">
      <c r="A88" s="211" t="str">
        <f t="shared" si="6"/>
        <v>FB_dREG_BUF_S.FSCX</v>
      </c>
      <c r="B88" s="212">
        <v>11000</v>
      </c>
      <c r="C88" s="212" t="s">
        <v>5</v>
      </c>
      <c r="D88" s="213">
        <v>2147483680</v>
      </c>
      <c r="BK88" s="4"/>
      <c r="BL88" s="4"/>
      <c r="BM88" s="4"/>
      <c r="BN88" s="4"/>
    </row>
    <row r="89" spans="1:66">
      <c r="A89" s="19" t="str">
        <f t="shared" si="6"/>
        <v>FB_dREG_BUF_S.FSCX</v>
      </c>
      <c r="B89" s="11">
        <v>7999</v>
      </c>
      <c r="C89" s="11" t="s">
        <v>0</v>
      </c>
      <c r="D89" s="20" t="str">
        <f>"#"&amp;$S$2&amp;"#"&amp;$T$2&amp;"\"&amp;$P$2&amp;"\FSCX"</f>
        <v>#1#treiOPCDA.CoOPCserv.1\pcmaster\dREG_test\FSCX</v>
      </c>
      <c r="BK89" s="4"/>
      <c r="BL89" s="4"/>
      <c r="BM89" s="4"/>
      <c r="BN89" s="4"/>
    </row>
    <row r="90" spans="1:66">
      <c r="A90" s="19" t="str">
        <f t="shared" si="6"/>
        <v>FB_dREG_BUF_S.FSCX</v>
      </c>
      <c r="B90" s="11">
        <v>7998</v>
      </c>
      <c r="C90" s="11" t="s">
        <v>6</v>
      </c>
      <c r="D90" s="20">
        <v>1</v>
      </c>
      <c r="BK90" s="4"/>
      <c r="BL90" s="4"/>
      <c r="BM90" s="4"/>
      <c r="BN90" s="4"/>
    </row>
    <row r="91" spans="1:66">
      <c r="A91" s="19" t="str">
        <f t="shared" si="6"/>
        <v>FB_dREG_BUF_S.FSCX</v>
      </c>
      <c r="B91" s="11">
        <v>101</v>
      </c>
      <c r="C91" s="11" t="s">
        <v>0</v>
      </c>
      <c r="D91" s="20" t="s">
        <v>2750</v>
      </c>
      <c r="BK91" s="4"/>
      <c r="BL91" s="4"/>
      <c r="BM91" s="4"/>
      <c r="BN91" s="4"/>
    </row>
    <row r="92" spans="1:66">
      <c r="A92" s="19" t="str">
        <f t="shared" si="6"/>
        <v>FB_dREG_BUF_S.FSCX</v>
      </c>
      <c r="B92" s="11">
        <v>3</v>
      </c>
      <c r="C92" s="11" t="s">
        <v>1</v>
      </c>
      <c r="D92" s="20">
        <v>192</v>
      </c>
      <c r="BK92" s="4"/>
      <c r="BL92" s="4"/>
      <c r="BM92" s="4"/>
      <c r="BN92" s="4"/>
    </row>
    <row r="93" spans="1:66">
      <c r="A93" s="19" t="str">
        <f t="shared" si="6"/>
        <v>FB_dREG_BUF_S.FSCX</v>
      </c>
      <c r="B93" s="11">
        <v>2</v>
      </c>
      <c r="C93" s="11" t="s">
        <v>2</v>
      </c>
      <c r="D93" s="20" t="s">
        <v>3</v>
      </c>
      <c r="BK93" s="4"/>
      <c r="BL93" s="4"/>
      <c r="BM93" s="4"/>
      <c r="BN93" s="4"/>
    </row>
    <row r="94" spans="1:66">
      <c r="A94" s="21" t="str">
        <f t="shared" si="6"/>
        <v>FB_dREG_BUF_S.FSCX</v>
      </c>
      <c r="B94" s="8">
        <v>1</v>
      </c>
      <c r="C94" s="8" t="s">
        <v>1</v>
      </c>
      <c r="D94" s="22">
        <v>11</v>
      </c>
      <c r="BK94" s="4"/>
      <c r="BL94" s="4"/>
      <c r="BM94" s="4"/>
      <c r="BN94" s="4"/>
    </row>
    <row r="95" spans="1:66">
      <c r="A95" s="217" t="str">
        <f t="shared" ref="A95:A104" si="7">$R$2&amp;".FBXX"</f>
        <v>FB_dREG_BUF_S.FBXX</v>
      </c>
      <c r="B95" s="218">
        <v>11154</v>
      </c>
      <c r="C95" s="218" t="s">
        <v>4</v>
      </c>
      <c r="D95" s="219">
        <f>$Q$7</f>
        <v>12</v>
      </c>
      <c r="BK95" s="4"/>
      <c r="BL95" s="4"/>
      <c r="BM95" s="4"/>
      <c r="BN95" s="4"/>
    </row>
    <row r="96" spans="1:66">
      <c r="A96" s="211" t="str">
        <f t="shared" si="7"/>
        <v>FB_dREG_BUF_S.FBXX</v>
      </c>
      <c r="B96" s="212">
        <v>11150</v>
      </c>
      <c r="C96" s="212" t="s">
        <v>0</v>
      </c>
      <c r="D96" s="213" t="s">
        <v>2751</v>
      </c>
      <c r="BK96" s="4"/>
      <c r="BL96" s="4"/>
      <c r="BM96" s="4"/>
      <c r="BN96" s="4"/>
    </row>
    <row r="97" spans="1:66">
      <c r="A97" s="211" t="str">
        <f t="shared" si="7"/>
        <v>FB_dREG_BUF_S.FBXX</v>
      </c>
      <c r="B97" s="212">
        <v>11152</v>
      </c>
      <c r="C97" s="212" t="s">
        <v>0</v>
      </c>
      <c r="D97" s="220" t="str">
        <f>$R$7</f>
        <v>Неисправность</v>
      </c>
      <c r="BK97" s="4"/>
      <c r="BL97" s="4"/>
      <c r="BM97" s="4"/>
      <c r="BN97" s="4"/>
    </row>
    <row r="98" spans="1:66">
      <c r="A98" s="211" t="str">
        <f t="shared" si="7"/>
        <v>FB_dREG_BUF_S.FBXX</v>
      </c>
      <c r="B98" s="212">
        <v>11000</v>
      </c>
      <c r="C98" s="212" t="s">
        <v>5</v>
      </c>
      <c r="D98" s="213">
        <v>2147483680</v>
      </c>
      <c r="BK98" s="4"/>
      <c r="BL98" s="4"/>
      <c r="BM98" s="4"/>
      <c r="BN98" s="4"/>
    </row>
    <row r="99" spans="1:66">
      <c r="A99" s="19" t="str">
        <f t="shared" si="7"/>
        <v>FB_dREG_BUF_S.FBXX</v>
      </c>
      <c r="B99" s="11">
        <v>7999</v>
      </c>
      <c r="C99" s="11" t="s">
        <v>0</v>
      </c>
      <c r="D99" s="20" t="str">
        <f>"#"&amp;$S$2&amp;"#"&amp;$T$2&amp;"\"&amp;$P$2&amp;"\FBXX"</f>
        <v>#1#treiOPCDA.CoOPCserv.1\pcmaster\dREG_test\FBXX</v>
      </c>
      <c r="BK99" s="4"/>
      <c r="BL99" s="4"/>
      <c r="BM99" s="4"/>
      <c r="BN99" s="4"/>
    </row>
    <row r="100" spans="1:66">
      <c r="A100" s="19" t="str">
        <f t="shared" si="7"/>
        <v>FB_dREG_BUF_S.FBXX</v>
      </c>
      <c r="B100" s="11">
        <v>7998</v>
      </c>
      <c r="C100" s="11" t="s">
        <v>6</v>
      </c>
      <c r="D100" s="20">
        <v>1</v>
      </c>
      <c r="BK100" s="4"/>
      <c r="BL100" s="4"/>
      <c r="BM100" s="4"/>
      <c r="BN100" s="4"/>
    </row>
    <row r="101" spans="1:66">
      <c r="A101" s="19" t="str">
        <f t="shared" si="7"/>
        <v>FB_dREG_BUF_S.FBXX</v>
      </c>
      <c r="B101" s="11">
        <v>101</v>
      </c>
      <c r="C101" s="11" t="s">
        <v>0</v>
      </c>
      <c r="D101" s="20" t="s">
        <v>2751</v>
      </c>
      <c r="BK101" s="4"/>
      <c r="BL101" s="4"/>
      <c r="BM101" s="4"/>
      <c r="BN101" s="4"/>
    </row>
    <row r="102" spans="1:66">
      <c r="A102" s="19" t="str">
        <f t="shared" si="7"/>
        <v>FB_dREG_BUF_S.FBXX</v>
      </c>
      <c r="B102" s="11">
        <v>3</v>
      </c>
      <c r="C102" s="11" t="s">
        <v>1</v>
      </c>
      <c r="D102" s="20">
        <v>192</v>
      </c>
      <c r="BK102" s="4"/>
      <c r="BL102" s="4"/>
      <c r="BM102" s="4"/>
      <c r="BN102" s="4"/>
    </row>
    <row r="103" spans="1:66">
      <c r="A103" s="19" t="str">
        <f t="shared" si="7"/>
        <v>FB_dREG_BUF_S.FBXX</v>
      </c>
      <c r="B103" s="11">
        <v>2</v>
      </c>
      <c r="C103" s="11" t="s">
        <v>2</v>
      </c>
      <c r="D103" s="20" t="s">
        <v>3</v>
      </c>
      <c r="BK103" s="4"/>
      <c r="BL103" s="4"/>
      <c r="BM103" s="4"/>
      <c r="BN103" s="4"/>
    </row>
    <row r="104" spans="1:66">
      <c r="A104" s="21" t="str">
        <f t="shared" si="7"/>
        <v>FB_dREG_BUF_S.FBXX</v>
      </c>
      <c r="B104" s="8">
        <v>1</v>
      </c>
      <c r="C104" s="8" t="s">
        <v>1</v>
      </c>
      <c r="D104" s="22">
        <v>11</v>
      </c>
      <c r="BK104" s="4"/>
      <c r="BL104" s="4"/>
      <c r="BM104" s="4"/>
      <c r="BN104" s="4"/>
    </row>
    <row r="105" spans="1:66">
      <c r="A105" s="217" t="str">
        <f t="shared" ref="A105:A114" si="8">$R$2&amp;".FMVX"</f>
        <v>FB_dREG_BUF_S.FMVX</v>
      </c>
      <c r="B105" s="218">
        <v>11154</v>
      </c>
      <c r="C105" s="218" t="s">
        <v>4</v>
      </c>
      <c r="D105" s="219">
        <f>$Q$7</f>
        <v>12</v>
      </c>
      <c r="BK105" s="4"/>
      <c r="BL105" s="4"/>
      <c r="BM105" s="4"/>
      <c r="BN105" s="4"/>
    </row>
    <row r="106" spans="1:66">
      <c r="A106" s="211" t="str">
        <f t="shared" si="8"/>
        <v>FB_dREG_BUF_S.FMVX</v>
      </c>
      <c r="B106" s="212">
        <v>11150</v>
      </c>
      <c r="C106" s="212" t="s">
        <v>0</v>
      </c>
      <c r="D106" s="213" t="s">
        <v>198</v>
      </c>
      <c r="BK106" s="4"/>
      <c r="BL106" s="4"/>
      <c r="BM106" s="4"/>
      <c r="BN106" s="4"/>
    </row>
    <row r="107" spans="1:66">
      <c r="A107" s="211" t="str">
        <f t="shared" si="8"/>
        <v>FB_dREG_BUF_S.FMVX</v>
      </c>
      <c r="B107" s="212">
        <v>11152</v>
      </c>
      <c r="C107" s="212" t="s">
        <v>0</v>
      </c>
      <c r="D107" s="220" t="str">
        <f>$R$7</f>
        <v>Неисправность</v>
      </c>
      <c r="BK107" s="4"/>
      <c r="BL107" s="4"/>
      <c r="BM107" s="4"/>
      <c r="BN107" s="4"/>
    </row>
    <row r="108" spans="1:66">
      <c r="A108" s="211" t="str">
        <f t="shared" si="8"/>
        <v>FB_dREG_BUF_S.FMVX</v>
      </c>
      <c r="B108" s="212">
        <v>11000</v>
      </c>
      <c r="C108" s="212" t="s">
        <v>5</v>
      </c>
      <c r="D108" s="213">
        <v>2147483680</v>
      </c>
      <c r="BK108" s="4"/>
      <c r="BL108" s="4"/>
      <c r="BM108" s="4"/>
      <c r="BN108" s="4"/>
    </row>
    <row r="109" spans="1:66">
      <c r="A109" s="19" t="str">
        <f t="shared" si="8"/>
        <v>FB_dREG_BUF_S.FMVX</v>
      </c>
      <c r="B109" s="11">
        <v>7999</v>
      </c>
      <c r="C109" s="11" t="s">
        <v>0</v>
      </c>
      <c r="D109" s="20" t="str">
        <f>"#"&amp;$S$2&amp;"#"&amp;$T$2&amp;"\"&amp;$P$2&amp;"\FMVX"</f>
        <v>#1#treiOPCDA.CoOPCserv.1\pcmaster\dREG_test\FMVX</v>
      </c>
      <c r="BK109" s="4"/>
      <c r="BL109" s="4"/>
      <c r="BM109" s="4"/>
      <c r="BN109" s="4"/>
    </row>
    <row r="110" spans="1:66">
      <c r="A110" s="19" t="str">
        <f t="shared" si="8"/>
        <v>FB_dREG_BUF_S.FMVX</v>
      </c>
      <c r="B110" s="11">
        <v>7998</v>
      </c>
      <c r="C110" s="11" t="s">
        <v>6</v>
      </c>
      <c r="D110" s="20">
        <v>1</v>
      </c>
      <c r="BK110" s="4"/>
      <c r="BL110" s="4"/>
      <c r="BM110" s="4"/>
      <c r="BN110" s="4"/>
    </row>
    <row r="111" spans="1:66">
      <c r="A111" s="19" t="str">
        <f t="shared" si="8"/>
        <v>FB_dREG_BUF_S.FMVX</v>
      </c>
      <c r="B111" s="11">
        <v>101</v>
      </c>
      <c r="C111" s="11" t="s">
        <v>0</v>
      </c>
      <c r="D111" s="20" t="s">
        <v>198</v>
      </c>
      <c r="BK111" s="4"/>
      <c r="BL111" s="4"/>
      <c r="BM111" s="4"/>
      <c r="BN111" s="4"/>
    </row>
    <row r="112" spans="1:66">
      <c r="A112" s="19" t="str">
        <f t="shared" si="8"/>
        <v>FB_dREG_BUF_S.FMVX</v>
      </c>
      <c r="B112" s="11">
        <v>3</v>
      </c>
      <c r="C112" s="11" t="s">
        <v>1</v>
      </c>
      <c r="D112" s="20">
        <v>192</v>
      </c>
      <c r="BK112" s="4"/>
      <c r="BL112" s="4"/>
      <c r="BM112" s="4"/>
      <c r="BN112" s="4"/>
    </row>
    <row r="113" spans="1:66">
      <c r="A113" s="19" t="str">
        <f t="shared" si="8"/>
        <v>FB_dREG_BUF_S.FMVX</v>
      </c>
      <c r="B113" s="11">
        <v>2</v>
      </c>
      <c r="C113" s="11" t="s">
        <v>2</v>
      </c>
      <c r="D113" s="20" t="s">
        <v>3</v>
      </c>
      <c r="BK113" s="4"/>
      <c r="BL113" s="4"/>
      <c r="BM113" s="4"/>
      <c r="BN113" s="4"/>
    </row>
    <row r="114" spans="1:66">
      <c r="A114" s="21" t="str">
        <f t="shared" si="8"/>
        <v>FB_dREG_BUF_S.FMVX</v>
      </c>
      <c r="B114" s="8">
        <v>1</v>
      </c>
      <c r="C114" s="8" t="s">
        <v>1</v>
      </c>
      <c r="D114" s="22">
        <v>11</v>
      </c>
      <c r="BK114" s="4"/>
      <c r="BL114" s="4"/>
      <c r="BM114" s="4"/>
      <c r="BN114" s="4"/>
    </row>
    <row r="115" spans="1:66">
      <c r="A115" s="217" t="str">
        <f t="shared" ref="A115:A124" si="9">$R$2&amp;".FUCM"</f>
        <v>FB_dREG_BUF_S.FUCM</v>
      </c>
      <c r="B115" s="218">
        <v>11154</v>
      </c>
      <c r="C115" s="218" t="s">
        <v>4</v>
      </c>
      <c r="D115" s="219">
        <f>$Q$7</f>
        <v>12</v>
      </c>
      <c r="BK115" s="4"/>
      <c r="BL115" s="4"/>
      <c r="BM115" s="4"/>
      <c r="BN115" s="4"/>
    </row>
    <row r="116" spans="1:66">
      <c r="A116" s="211" t="str">
        <f t="shared" si="9"/>
        <v>FB_dREG_BUF_S.FUCM</v>
      </c>
      <c r="B116" s="212">
        <v>11150</v>
      </c>
      <c r="C116" s="212" t="s">
        <v>0</v>
      </c>
      <c r="D116" s="213" t="s">
        <v>167</v>
      </c>
      <c r="BK116" s="4"/>
      <c r="BL116" s="4"/>
      <c r="BM116" s="4"/>
      <c r="BN116" s="4"/>
    </row>
    <row r="117" spans="1:66">
      <c r="A117" s="211" t="str">
        <f t="shared" si="9"/>
        <v>FB_dREG_BUF_S.FUCM</v>
      </c>
      <c r="B117" s="212">
        <v>11152</v>
      </c>
      <c r="C117" s="212" t="s">
        <v>0</v>
      </c>
      <c r="D117" s="220" t="str">
        <f>$R$7</f>
        <v>Неисправность</v>
      </c>
      <c r="BK117" s="4"/>
      <c r="BL117" s="4"/>
      <c r="BM117" s="4"/>
      <c r="BN117" s="4"/>
    </row>
    <row r="118" spans="1:66">
      <c r="A118" s="211" t="str">
        <f t="shared" si="9"/>
        <v>FB_dREG_BUF_S.FUCM</v>
      </c>
      <c r="B118" s="212">
        <v>11000</v>
      </c>
      <c r="C118" s="212" t="s">
        <v>5</v>
      </c>
      <c r="D118" s="213">
        <v>2147483680</v>
      </c>
      <c r="BK118" s="4"/>
      <c r="BL118" s="4"/>
      <c r="BM118" s="4"/>
      <c r="BN118" s="4"/>
    </row>
    <row r="119" spans="1:66">
      <c r="A119" s="19" t="str">
        <f t="shared" si="9"/>
        <v>FB_dREG_BUF_S.FUCM</v>
      </c>
      <c r="B119" s="11">
        <v>7999</v>
      </c>
      <c r="C119" s="11" t="s">
        <v>0</v>
      </c>
      <c r="D119" s="20" t="str">
        <f>"#"&amp;$S$2&amp;"#"&amp;$T$2&amp;"\"&amp;$P$2&amp;"\FUCM"</f>
        <v>#1#treiOPCDA.CoOPCserv.1\pcmaster\dREG_test\FUCM</v>
      </c>
      <c r="BK119" s="4"/>
      <c r="BL119" s="4"/>
      <c r="BM119" s="4"/>
      <c r="BN119" s="4"/>
    </row>
    <row r="120" spans="1:66">
      <c r="A120" s="19" t="str">
        <f t="shared" si="9"/>
        <v>FB_dREG_BUF_S.FUCM</v>
      </c>
      <c r="B120" s="11">
        <v>7998</v>
      </c>
      <c r="C120" s="11" t="s">
        <v>6</v>
      </c>
      <c r="D120" s="20">
        <v>1</v>
      </c>
      <c r="BK120" s="4"/>
      <c r="BL120" s="4"/>
      <c r="BM120" s="4"/>
      <c r="BN120" s="4"/>
    </row>
    <row r="121" spans="1:66">
      <c r="A121" s="19" t="str">
        <f t="shared" si="9"/>
        <v>FB_dREG_BUF_S.FUCM</v>
      </c>
      <c r="B121" s="11">
        <v>101</v>
      </c>
      <c r="C121" s="11" t="s">
        <v>0</v>
      </c>
      <c r="D121" s="20" t="s">
        <v>167</v>
      </c>
      <c r="BK121" s="4"/>
      <c r="BL121" s="4"/>
      <c r="BM121" s="4"/>
      <c r="BN121" s="4"/>
    </row>
    <row r="122" spans="1:66">
      <c r="A122" s="19" t="str">
        <f t="shared" si="9"/>
        <v>FB_dREG_BUF_S.FUCM</v>
      </c>
      <c r="B122" s="11">
        <v>3</v>
      </c>
      <c r="C122" s="11" t="s">
        <v>1</v>
      </c>
      <c r="D122" s="20">
        <v>192</v>
      </c>
      <c r="BK122" s="4"/>
      <c r="BL122" s="4"/>
      <c r="BM122" s="4"/>
      <c r="BN122" s="4"/>
    </row>
    <row r="123" spans="1:66">
      <c r="A123" s="19" t="str">
        <f t="shared" si="9"/>
        <v>FB_dREG_BUF_S.FUCM</v>
      </c>
      <c r="B123" s="11">
        <v>2</v>
      </c>
      <c r="C123" s="11" t="s">
        <v>2</v>
      </c>
      <c r="D123" s="20" t="s">
        <v>3</v>
      </c>
      <c r="BK123" s="4"/>
      <c r="BL123" s="4"/>
      <c r="BM123" s="4"/>
      <c r="BN123" s="4"/>
    </row>
    <row r="124" spans="1:66">
      <c r="A124" s="21" t="str">
        <f t="shared" si="9"/>
        <v>FB_dREG_BUF_S.FUCM</v>
      </c>
      <c r="B124" s="8">
        <v>1</v>
      </c>
      <c r="C124" s="8" t="s">
        <v>1</v>
      </c>
      <c r="D124" s="22">
        <v>11</v>
      </c>
      <c r="BK124" s="4"/>
      <c r="BL124" s="4"/>
      <c r="BM124" s="4"/>
      <c r="BN124" s="4"/>
    </row>
    <row r="125" spans="1:66">
      <c r="A125" s="217" t="str">
        <f t="shared" ref="A125:A134" si="10">$R$2&amp;".FDCM"</f>
        <v>FB_dREG_BUF_S.FDCM</v>
      </c>
      <c r="B125" s="218">
        <v>11154</v>
      </c>
      <c r="C125" s="218" t="s">
        <v>4</v>
      </c>
      <c r="D125" s="219">
        <f>$Q$7</f>
        <v>12</v>
      </c>
      <c r="BK125" s="4"/>
      <c r="BL125" s="4"/>
      <c r="BM125" s="4"/>
      <c r="BN125" s="4"/>
    </row>
    <row r="126" spans="1:66">
      <c r="A126" s="211" t="str">
        <f t="shared" si="10"/>
        <v>FB_dREG_BUF_S.FDCM</v>
      </c>
      <c r="B126" s="212">
        <v>11150</v>
      </c>
      <c r="C126" s="212" t="s">
        <v>0</v>
      </c>
      <c r="D126" s="213" t="s">
        <v>168</v>
      </c>
      <c r="BK126" s="4"/>
      <c r="BL126" s="4"/>
      <c r="BM126" s="4"/>
      <c r="BN126" s="4"/>
    </row>
    <row r="127" spans="1:66">
      <c r="A127" s="211" t="str">
        <f t="shared" si="10"/>
        <v>FB_dREG_BUF_S.FDCM</v>
      </c>
      <c r="B127" s="212">
        <v>11152</v>
      </c>
      <c r="C127" s="212" t="s">
        <v>0</v>
      </c>
      <c r="D127" s="220" t="str">
        <f>$R$7</f>
        <v>Неисправность</v>
      </c>
      <c r="BK127" s="4"/>
      <c r="BL127" s="4"/>
      <c r="BM127" s="4"/>
      <c r="BN127" s="4"/>
    </row>
    <row r="128" spans="1:66">
      <c r="A128" s="211" t="str">
        <f t="shared" si="10"/>
        <v>FB_dREG_BUF_S.FDCM</v>
      </c>
      <c r="B128" s="212">
        <v>11000</v>
      </c>
      <c r="C128" s="212" t="s">
        <v>5</v>
      </c>
      <c r="D128" s="213">
        <v>2147483680</v>
      </c>
      <c r="BK128" s="4"/>
      <c r="BL128" s="4"/>
      <c r="BM128" s="4"/>
      <c r="BN128" s="4"/>
    </row>
    <row r="129" spans="1:66">
      <c r="A129" s="19" t="str">
        <f t="shared" si="10"/>
        <v>FB_dREG_BUF_S.FDCM</v>
      </c>
      <c r="B129" s="11">
        <v>7999</v>
      </c>
      <c r="C129" s="11" t="s">
        <v>0</v>
      </c>
      <c r="D129" s="20" t="str">
        <f>"#"&amp;$S$2&amp;"#"&amp;$T$2&amp;"\"&amp;$P$2&amp;"\FDCM"</f>
        <v>#1#treiOPCDA.CoOPCserv.1\pcmaster\dREG_test\FDCM</v>
      </c>
      <c r="BK129" s="4"/>
      <c r="BL129" s="4"/>
      <c r="BM129" s="4"/>
      <c r="BN129" s="4"/>
    </row>
    <row r="130" spans="1:66">
      <c r="A130" s="19" t="str">
        <f t="shared" si="10"/>
        <v>FB_dREG_BUF_S.FDCM</v>
      </c>
      <c r="B130" s="11">
        <v>7998</v>
      </c>
      <c r="C130" s="11" t="s">
        <v>6</v>
      </c>
      <c r="D130" s="20">
        <v>1</v>
      </c>
      <c r="BK130" s="4"/>
      <c r="BL130" s="4"/>
      <c r="BM130" s="4"/>
      <c r="BN130" s="4"/>
    </row>
    <row r="131" spans="1:66">
      <c r="A131" s="19" t="str">
        <f t="shared" si="10"/>
        <v>FB_dREG_BUF_S.FDCM</v>
      </c>
      <c r="B131" s="11">
        <v>101</v>
      </c>
      <c r="C131" s="11" t="s">
        <v>0</v>
      </c>
      <c r="D131" s="20" t="s">
        <v>168</v>
      </c>
      <c r="BK131" s="4"/>
      <c r="BL131" s="4"/>
      <c r="BM131" s="4"/>
      <c r="BN131" s="4"/>
    </row>
    <row r="132" spans="1:66">
      <c r="A132" s="19" t="str">
        <f t="shared" si="10"/>
        <v>FB_dREG_BUF_S.FDCM</v>
      </c>
      <c r="B132" s="11">
        <v>3</v>
      </c>
      <c r="C132" s="11" t="s">
        <v>1</v>
      </c>
      <c r="D132" s="20">
        <v>192</v>
      </c>
      <c r="BK132" s="4"/>
      <c r="BL132" s="4"/>
      <c r="BM132" s="4"/>
      <c r="BN132" s="4"/>
    </row>
    <row r="133" spans="1:66">
      <c r="A133" s="19" t="str">
        <f t="shared" si="10"/>
        <v>FB_dREG_BUF_S.FDCM</v>
      </c>
      <c r="B133" s="11">
        <v>2</v>
      </c>
      <c r="C133" s="11" t="s">
        <v>2</v>
      </c>
      <c r="D133" s="20" t="s">
        <v>3</v>
      </c>
      <c r="BK133" s="4"/>
      <c r="BL133" s="4"/>
      <c r="BM133" s="4"/>
      <c r="BN133" s="4"/>
    </row>
    <row r="134" spans="1:66">
      <c r="A134" s="21" t="str">
        <f t="shared" si="10"/>
        <v>FB_dREG_BUF_S.FDCM</v>
      </c>
      <c r="B134" s="8">
        <v>1</v>
      </c>
      <c r="C134" s="8" t="s">
        <v>1</v>
      </c>
      <c r="D134" s="22">
        <v>11</v>
      </c>
      <c r="BK134" s="4"/>
      <c r="BL134" s="4"/>
      <c r="BM134" s="4"/>
      <c r="BN134" s="4"/>
    </row>
    <row r="135" spans="1:66">
      <c r="A135" s="217" t="str">
        <f>$R$2&amp;".FCPX"</f>
        <v>FB_dREG_BUF_S.FCPX</v>
      </c>
      <c r="B135" s="218">
        <v>11154</v>
      </c>
      <c r="C135" s="218" t="s">
        <v>4</v>
      </c>
      <c r="D135" s="219">
        <f>$Q$7</f>
        <v>12</v>
      </c>
      <c r="BK135" s="4"/>
      <c r="BL135" s="4"/>
      <c r="BM135" s="4"/>
      <c r="BN135" s="4"/>
    </row>
    <row r="136" spans="1:66">
      <c r="A136" s="211" t="str">
        <f t="shared" ref="A136:A144" si="11">$R$2&amp;".FCPX"</f>
        <v>FB_dREG_BUF_S.FCPX</v>
      </c>
      <c r="B136" s="212">
        <v>11150</v>
      </c>
      <c r="C136" s="212" t="s">
        <v>0</v>
      </c>
      <c r="D136" s="213" t="s">
        <v>2752</v>
      </c>
      <c r="BK136" s="4"/>
      <c r="BL136" s="4"/>
      <c r="BM136" s="4"/>
      <c r="BN136" s="4"/>
    </row>
    <row r="137" spans="1:66">
      <c r="A137" s="211" t="str">
        <f t="shared" si="11"/>
        <v>FB_dREG_BUF_S.FCPX</v>
      </c>
      <c r="B137" s="212">
        <v>11152</v>
      </c>
      <c r="C137" s="212" t="s">
        <v>0</v>
      </c>
      <c r="D137" s="220" t="str">
        <f>$R$7</f>
        <v>Неисправность</v>
      </c>
      <c r="BK137" s="4"/>
      <c r="BL137" s="4"/>
      <c r="BM137" s="4"/>
      <c r="BN137" s="4"/>
    </row>
    <row r="138" spans="1:66">
      <c r="A138" s="211" t="str">
        <f t="shared" si="11"/>
        <v>FB_dREG_BUF_S.FCPX</v>
      </c>
      <c r="B138" s="212">
        <v>11000</v>
      </c>
      <c r="C138" s="212" t="s">
        <v>5</v>
      </c>
      <c r="D138" s="213">
        <v>2147483680</v>
      </c>
      <c r="BK138" s="4"/>
      <c r="BL138" s="4"/>
      <c r="BM138" s="4"/>
      <c r="BN138" s="4"/>
    </row>
    <row r="139" spans="1:66">
      <c r="A139" s="19" t="str">
        <f t="shared" si="11"/>
        <v>FB_dREG_BUF_S.FCPX</v>
      </c>
      <c r="B139" s="11">
        <v>7999</v>
      </c>
      <c r="C139" s="11" t="s">
        <v>0</v>
      </c>
      <c r="D139" s="20" t="str">
        <f>"#"&amp;$S$2&amp;"#"&amp;$T$2&amp;"\"&amp;$P$2&amp;"\FCPX"</f>
        <v>#1#treiOPCDA.CoOPCserv.1\pcmaster\dREG_test\FCPX</v>
      </c>
      <c r="BK139" s="4"/>
      <c r="BL139" s="4"/>
      <c r="BM139" s="4"/>
      <c r="BN139" s="4"/>
    </row>
    <row r="140" spans="1:66">
      <c r="A140" s="19" t="str">
        <f t="shared" si="11"/>
        <v>FB_dREG_BUF_S.FCPX</v>
      </c>
      <c r="B140" s="11">
        <v>7998</v>
      </c>
      <c r="C140" s="11" t="s">
        <v>6</v>
      </c>
      <c r="D140" s="20">
        <v>1</v>
      </c>
      <c r="BK140" s="4"/>
      <c r="BL140" s="4"/>
      <c r="BM140" s="4"/>
      <c r="BN140" s="4"/>
    </row>
    <row r="141" spans="1:66">
      <c r="A141" s="19" t="str">
        <f t="shared" si="11"/>
        <v>FB_dREG_BUF_S.FCPX</v>
      </c>
      <c r="B141" s="11">
        <v>101</v>
      </c>
      <c r="C141" s="11" t="s">
        <v>0</v>
      </c>
      <c r="D141" s="20" t="s">
        <v>2752</v>
      </c>
      <c r="BK141" s="4"/>
      <c r="BL141" s="4"/>
      <c r="BM141" s="4"/>
      <c r="BN141" s="4"/>
    </row>
    <row r="142" spans="1:66">
      <c r="A142" s="19" t="str">
        <f t="shared" si="11"/>
        <v>FB_dREG_BUF_S.FCPX</v>
      </c>
      <c r="B142" s="11">
        <v>3</v>
      </c>
      <c r="C142" s="11" t="s">
        <v>1</v>
      </c>
      <c r="D142" s="20">
        <v>192</v>
      </c>
      <c r="BK142" s="4"/>
      <c r="BL142" s="4"/>
      <c r="BM142" s="4"/>
      <c r="BN142" s="4"/>
    </row>
    <row r="143" spans="1:66">
      <c r="A143" s="19" t="str">
        <f t="shared" si="11"/>
        <v>FB_dREG_BUF_S.FCPX</v>
      </c>
      <c r="B143" s="11">
        <v>2</v>
      </c>
      <c r="C143" s="11" t="s">
        <v>2</v>
      </c>
      <c r="D143" s="20" t="s">
        <v>3</v>
      </c>
      <c r="BK143" s="4"/>
      <c r="BL143" s="4"/>
      <c r="BM143" s="4"/>
      <c r="BN143" s="4"/>
    </row>
    <row r="144" spans="1:66">
      <c r="A144" s="21" t="str">
        <f t="shared" si="11"/>
        <v>FB_dREG_BUF_S.FCPX</v>
      </c>
      <c r="B144" s="8">
        <v>1</v>
      </c>
      <c r="C144" s="8" t="s">
        <v>1</v>
      </c>
      <c r="D144" s="22">
        <v>11</v>
      </c>
      <c r="BK144" s="4"/>
      <c r="BL144" s="4"/>
      <c r="BM144" s="4"/>
      <c r="BN144" s="4"/>
    </row>
    <row r="145" spans="1:66">
      <c r="A145" s="163" t="str">
        <f t="shared" ref="A145:A154" si="12">$R$2&amp;".DLCX"</f>
        <v>FB_dREG_BUF_S.DLCX</v>
      </c>
      <c r="B145" s="123">
        <v>11154</v>
      </c>
      <c r="C145" s="123" t="s">
        <v>4</v>
      </c>
      <c r="D145" s="124">
        <f>$Q$9</f>
        <v>10</v>
      </c>
      <c r="BK145" s="4"/>
      <c r="BL145" s="4"/>
      <c r="BM145" s="4"/>
      <c r="BN145" s="4"/>
    </row>
    <row r="146" spans="1:66">
      <c r="A146" s="110" t="str">
        <f t="shared" si="12"/>
        <v>FB_dREG_BUF_S.DLCX</v>
      </c>
      <c r="B146" s="111">
        <v>11150</v>
      </c>
      <c r="C146" s="111" t="s">
        <v>0</v>
      </c>
      <c r="D146" s="112" t="s">
        <v>166</v>
      </c>
      <c r="BK146" s="4"/>
      <c r="BL146" s="4"/>
      <c r="BM146" s="4"/>
      <c r="BN146" s="4"/>
    </row>
    <row r="147" spans="1:66">
      <c r="A147" s="110" t="str">
        <f t="shared" si="12"/>
        <v>FB_dREG_BUF_S.DLCX</v>
      </c>
      <c r="B147" s="111">
        <v>11152</v>
      </c>
      <c r="C147" s="111" t="s">
        <v>0</v>
      </c>
      <c r="D147" s="113" t="str">
        <f>$R$9</f>
        <v>Недостоверность</v>
      </c>
      <c r="BK147" s="4"/>
      <c r="BL147" s="4"/>
      <c r="BM147" s="4"/>
      <c r="BN147" s="4"/>
    </row>
    <row r="148" spans="1:66">
      <c r="A148" s="110" t="str">
        <f t="shared" si="12"/>
        <v>FB_dREG_BUF_S.DLCX</v>
      </c>
      <c r="B148" s="111">
        <v>11000</v>
      </c>
      <c r="C148" s="111" t="s">
        <v>5</v>
      </c>
      <c r="D148" s="112">
        <v>2147483680</v>
      </c>
      <c r="BK148" s="4"/>
      <c r="BL148" s="4"/>
      <c r="BM148" s="4"/>
      <c r="BN148" s="4"/>
    </row>
    <row r="149" spans="1:66">
      <c r="A149" s="19" t="str">
        <f t="shared" si="12"/>
        <v>FB_dREG_BUF_S.DLCX</v>
      </c>
      <c r="B149" s="11">
        <v>7999</v>
      </c>
      <c r="C149" s="11" t="s">
        <v>0</v>
      </c>
      <c r="D149" s="20" t="str">
        <f>"#"&amp;$S$2&amp;"#"&amp;$T$2&amp;"\"&amp;$P$2&amp;"\DLCX"</f>
        <v>#1#treiOPCDA.CoOPCserv.1\pcmaster\dREG_test\DLCX</v>
      </c>
      <c r="BK149" s="4"/>
      <c r="BL149" s="4"/>
      <c r="BM149" s="4"/>
      <c r="BN149" s="4"/>
    </row>
    <row r="150" spans="1:66">
      <c r="A150" s="19" t="str">
        <f t="shared" si="12"/>
        <v>FB_dREG_BUF_S.DLCX</v>
      </c>
      <c r="B150" s="11">
        <v>7998</v>
      </c>
      <c r="C150" s="11" t="s">
        <v>6</v>
      </c>
      <c r="D150" s="20">
        <v>1</v>
      </c>
      <c r="BK150" s="4"/>
      <c r="BL150" s="4"/>
      <c r="BM150" s="4"/>
      <c r="BN150" s="4"/>
    </row>
    <row r="151" spans="1:66">
      <c r="A151" s="19" t="str">
        <f t="shared" si="12"/>
        <v>FB_dREG_BUF_S.DLCX</v>
      </c>
      <c r="B151" s="11">
        <v>101</v>
      </c>
      <c r="C151" s="11" t="s">
        <v>0</v>
      </c>
      <c r="D151" s="20" t="s">
        <v>166</v>
      </c>
      <c r="BK151" s="4"/>
      <c r="BL151" s="4"/>
      <c r="BM151" s="4"/>
      <c r="BN151" s="4"/>
    </row>
    <row r="152" spans="1:66">
      <c r="A152" s="19" t="str">
        <f t="shared" si="12"/>
        <v>FB_dREG_BUF_S.DLCX</v>
      </c>
      <c r="B152" s="11">
        <v>3</v>
      </c>
      <c r="C152" s="11" t="s">
        <v>1</v>
      </c>
      <c r="D152" s="20">
        <v>192</v>
      </c>
      <c r="BK152" s="4"/>
      <c r="BL152" s="4"/>
      <c r="BM152" s="4"/>
      <c r="BN152" s="4"/>
    </row>
    <row r="153" spans="1:66">
      <c r="A153" s="19" t="str">
        <f t="shared" si="12"/>
        <v>FB_dREG_BUF_S.DLCX</v>
      </c>
      <c r="B153" s="11">
        <v>2</v>
      </c>
      <c r="C153" s="11" t="s">
        <v>2</v>
      </c>
      <c r="D153" s="20" t="s">
        <v>3</v>
      </c>
      <c r="BK153" s="4"/>
      <c r="BL153" s="4"/>
      <c r="BM153" s="4"/>
      <c r="BN153" s="4"/>
    </row>
    <row r="154" spans="1:66">
      <c r="A154" s="21" t="str">
        <f t="shared" si="12"/>
        <v>FB_dREG_BUF_S.DLCX</v>
      </c>
      <c r="B154" s="8">
        <v>1</v>
      </c>
      <c r="C154" s="8" t="s">
        <v>1</v>
      </c>
      <c r="D154" s="22">
        <v>11</v>
      </c>
      <c r="BK154" s="4"/>
      <c r="BL154" s="4"/>
      <c r="BM154" s="4"/>
      <c r="BN154" s="4"/>
    </row>
    <row r="155" spans="1:66">
      <c r="A155" s="163" t="str">
        <f t="shared" ref="A155:A164" si="13">$R$2&amp;".DRCX"</f>
        <v>FB_dREG_BUF_S.DRCX</v>
      </c>
      <c r="B155" s="123">
        <v>11154</v>
      </c>
      <c r="C155" s="123" t="s">
        <v>4</v>
      </c>
      <c r="D155" s="124">
        <f>$Q$9</f>
        <v>10</v>
      </c>
      <c r="BK155" s="4"/>
      <c r="BL155" s="4"/>
      <c r="BM155" s="4"/>
      <c r="BN155" s="4"/>
    </row>
    <row r="156" spans="1:66">
      <c r="A156" s="110" t="str">
        <f t="shared" si="13"/>
        <v>FB_dREG_BUF_S.DRCX</v>
      </c>
      <c r="B156" s="111">
        <v>11150</v>
      </c>
      <c r="C156" s="111" t="s">
        <v>0</v>
      </c>
      <c r="D156" s="112" t="s">
        <v>105</v>
      </c>
      <c r="BK156" s="4"/>
      <c r="BL156" s="4"/>
      <c r="BM156" s="4"/>
      <c r="BN156" s="4"/>
    </row>
    <row r="157" spans="1:66">
      <c r="A157" s="110" t="str">
        <f t="shared" si="13"/>
        <v>FB_dREG_BUF_S.DRCX</v>
      </c>
      <c r="B157" s="111">
        <v>11152</v>
      </c>
      <c r="C157" s="111" t="s">
        <v>0</v>
      </c>
      <c r="D157" s="113" t="str">
        <f>$R$9</f>
        <v>Недостоверность</v>
      </c>
      <c r="BK157" s="4"/>
      <c r="BL157" s="4"/>
      <c r="BM157" s="4"/>
      <c r="BN157" s="4"/>
    </row>
    <row r="158" spans="1:66">
      <c r="A158" s="110" t="str">
        <f t="shared" si="13"/>
        <v>FB_dREG_BUF_S.DRCX</v>
      </c>
      <c r="B158" s="111">
        <v>11000</v>
      </c>
      <c r="C158" s="111" t="s">
        <v>5</v>
      </c>
      <c r="D158" s="112">
        <v>2147483680</v>
      </c>
      <c r="BK158" s="4"/>
      <c r="BL158" s="4"/>
      <c r="BM158" s="4"/>
      <c r="BN158" s="4"/>
    </row>
    <row r="159" spans="1:66">
      <c r="A159" s="19" t="str">
        <f t="shared" si="13"/>
        <v>FB_dREG_BUF_S.DRCX</v>
      </c>
      <c r="B159" s="11">
        <v>7999</v>
      </c>
      <c r="C159" s="11" t="s">
        <v>0</v>
      </c>
      <c r="D159" s="20" t="str">
        <f>"#"&amp;$S$2&amp;"#"&amp;$T$2&amp;"\"&amp;$P$2&amp;"\DRCX"</f>
        <v>#1#treiOPCDA.CoOPCserv.1\pcmaster\dREG_test\DRCX</v>
      </c>
      <c r="BK159" s="4"/>
      <c r="BL159" s="4"/>
      <c r="BM159" s="4"/>
      <c r="BN159" s="4"/>
    </row>
    <row r="160" spans="1:66">
      <c r="A160" s="19" t="str">
        <f t="shared" si="13"/>
        <v>FB_dREG_BUF_S.DRCX</v>
      </c>
      <c r="B160" s="11">
        <v>7998</v>
      </c>
      <c r="C160" s="11" t="s">
        <v>6</v>
      </c>
      <c r="D160" s="20">
        <v>1</v>
      </c>
      <c r="BK160" s="4"/>
      <c r="BL160" s="4"/>
      <c r="BM160" s="4"/>
      <c r="BN160" s="4"/>
    </row>
    <row r="161" spans="1:66">
      <c r="A161" s="19" t="str">
        <f t="shared" si="13"/>
        <v>FB_dREG_BUF_S.DRCX</v>
      </c>
      <c r="B161" s="11">
        <v>101</v>
      </c>
      <c r="C161" s="11" t="s">
        <v>0</v>
      </c>
      <c r="D161" s="20" t="s">
        <v>105</v>
      </c>
      <c r="BK161" s="4"/>
      <c r="BL161" s="4"/>
      <c r="BM161" s="4"/>
      <c r="BN161" s="4"/>
    </row>
    <row r="162" spans="1:66">
      <c r="A162" s="19" t="str">
        <f t="shared" si="13"/>
        <v>FB_dREG_BUF_S.DRCX</v>
      </c>
      <c r="B162" s="11">
        <v>3</v>
      </c>
      <c r="C162" s="11" t="s">
        <v>1</v>
      </c>
      <c r="D162" s="20">
        <v>192</v>
      </c>
      <c r="BK162" s="4"/>
      <c r="BL162" s="4"/>
      <c r="BM162" s="4"/>
      <c r="BN162" s="4"/>
    </row>
    <row r="163" spans="1:66">
      <c r="A163" s="19" t="str">
        <f t="shared" si="13"/>
        <v>FB_dREG_BUF_S.DRCX</v>
      </c>
      <c r="B163" s="11">
        <v>2</v>
      </c>
      <c r="C163" s="11" t="s">
        <v>2</v>
      </c>
      <c r="D163" s="20" t="s">
        <v>3</v>
      </c>
      <c r="BK163" s="4"/>
      <c r="BL163" s="4"/>
      <c r="BM163" s="4"/>
      <c r="BN163" s="4"/>
    </row>
    <row r="164" spans="1:66">
      <c r="A164" s="21" t="str">
        <f t="shared" si="13"/>
        <v>FB_dREG_BUF_S.DRCX</v>
      </c>
      <c r="B164" s="8">
        <v>1</v>
      </c>
      <c r="C164" s="8" t="s">
        <v>1</v>
      </c>
      <c r="D164" s="22">
        <v>11</v>
      </c>
      <c r="BK164" s="4"/>
      <c r="BL164" s="4"/>
      <c r="BM164" s="4"/>
      <c r="BN164" s="4"/>
    </row>
    <row r="165" spans="1:66">
      <c r="A165" s="163" t="str">
        <f t="shared" ref="A165:A174" si="14">$R$2&amp;".DFXX"</f>
        <v>FB_dREG_BUF_S.DFXX</v>
      </c>
      <c r="B165" s="123">
        <v>11154</v>
      </c>
      <c r="C165" s="123" t="s">
        <v>4</v>
      </c>
      <c r="D165" s="124">
        <f>$Q$9</f>
        <v>10</v>
      </c>
      <c r="BK165" s="4"/>
      <c r="BL165" s="4"/>
      <c r="BM165" s="4"/>
      <c r="BN165" s="4"/>
    </row>
    <row r="166" spans="1:66">
      <c r="A166" s="110" t="str">
        <f t="shared" si="14"/>
        <v>FB_dREG_BUF_S.DFXX</v>
      </c>
      <c r="B166" s="111">
        <v>11150</v>
      </c>
      <c r="C166" s="111" t="s">
        <v>0</v>
      </c>
      <c r="D166" s="112" t="s">
        <v>104</v>
      </c>
      <c r="BK166" s="4"/>
      <c r="BL166" s="4"/>
      <c r="BM166" s="4"/>
      <c r="BN166" s="4"/>
    </row>
    <row r="167" spans="1:66">
      <c r="A167" s="110" t="str">
        <f t="shared" si="14"/>
        <v>FB_dREG_BUF_S.DFXX</v>
      </c>
      <c r="B167" s="111">
        <v>11152</v>
      </c>
      <c r="C167" s="111" t="s">
        <v>0</v>
      </c>
      <c r="D167" s="113" t="str">
        <f>$R$9</f>
        <v>Недостоверность</v>
      </c>
      <c r="BK167" s="4"/>
      <c r="BL167" s="4"/>
      <c r="BM167" s="4"/>
      <c r="BN167" s="4"/>
    </row>
    <row r="168" spans="1:66">
      <c r="A168" s="110" t="str">
        <f t="shared" si="14"/>
        <v>FB_dREG_BUF_S.DFXX</v>
      </c>
      <c r="B168" s="111">
        <v>11000</v>
      </c>
      <c r="C168" s="111" t="s">
        <v>5</v>
      </c>
      <c r="D168" s="112">
        <v>2147483680</v>
      </c>
      <c r="BK168" s="4"/>
      <c r="BL168" s="4"/>
      <c r="BM168" s="4"/>
      <c r="BN168" s="4"/>
    </row>
    <row r="169" spans="1:66">
      <c r="A169" s="19" t="str">
        <f t="shared" si="14"/>
        <v>FB_dREG_BUF_S.DFXX</v>
      </c>
      <c r="B169" s="11">
        <v>7999</v>
      </c>
      <c r="C169" s="11" t="s">
        <v>0</v>
      </c>
      <c r="D169" s="20" t="str">
        <f>"#"&amp;$S$2&amp;"#"&amp;$T$2&amp;"\"&amp;$P$2&amp;"\DFXX"</f>
        <v>#1#treiOPCDA.CoOPCserv.1\pcmaster\dREG_test\DFXX</v>
      </c>
      <c r="BK169" s="4"/>
      <c r="BL169" s="4"/>
      <c r="BM169" s="4"/>
      <c r="BN169" s="4"/>
    </row>
    <row r="170" spans="1:66">
      <c r="A170" s="19" t="str">
        <f t="shared" si="14"/>
        <v>FB_dREG_BUF_S.DFXX</v>
      </c>
      <c r="B170" s="11">
        <v>7998</v>
      </c>
      <c r="C170" s="11" t="s">
        <v>6</v>
      </c>
      <c r="D170" s="20">
        <v>1</v>
      </c>
      <c r="BK170" s="4"/>
      <c r="BL170" s="4"/>
      <c r="BM170" s="4"/>
      <c r="BN170" s="4"/>
    </row>
    <row r="171" spans="1:66">
      <c r="A171" s="19" t="str">
        <f t="shared" si="14"/>
        <v>FB_dREG_BUF_S.DFXX</v>
      </c>
      <c r="B171" s="11">
        <v>101</v>
      </c>
      <c r="C171" s="11" t="s">
        <v>0</v>
      </c>
      <c r="D171" s="20" t="s">
        <v>104</v>
      </c>
      <c r="BK171" s="4"/>
      <c r="BL171" s="4"/>
      <c r="BM171" s="4"/>
      <c r="BN171" s="4"/>
    </row>
    <row r="172" spans="1:66">
      <c r="A172" s="19" t="str">
        <f t="shared" si="14"/>
        <v>FB_dREG_BUF_S.DFXX</v>
      </c>
      <c r="B172" s="11">
        <v>3</v>
      </c>
      <c r="C172" s="11" t="s">
        <v>1</v>
      </c>
      <c r="D172" s="20">
        <v>192</v>
      </c>
      <c r="BK172" s="4"/>
      <c r="BL172" s="4"/>
      <c r="BM172" s="4"/>
      <c r="BN172" s="4"/>
    </row>
    <row r="173" spans="1:66">
      <c r="A173" s="19" t="str">
        <f t="shared" si="14"/>
        <v>FB_dREG_BUF_S.DFXX</v>
      </c>
      <c r="B173" s="11">
        <v>2</v>
      </c>
      <c r="C173" s="11" t="s">
        <v>2</v>
      </c>
      <c r="D173" s="20" t="s">
        <v>3</v>
      </c>
      <c r="BK173" s="4"/>
      <c r="BL173" s="4"/>
      <c r="BM173" s="4"/>
      <c r="BN173" s="4"/>
    </row>
    <row r="174" spans="1:66">
      <c r="A174" s="21" t="str">
        <f t="shared" si="14"/>
        <v>FB_dREG_BUF_S.DFXX</v>
      </c>
      <c r="B174" s="8">
        <v>1</v>
      </c>
      <c r="C174" s="8" t="s">
        <v>1</v>
      </c>
      <c r="D174" s="22">
        <v>11</v>
      </c>
      <c r="BK174" s="4"/>
      <c r="BL174" s="4"/>
      <c r="BM174" s="4"/>
      <c r="BN174" s="4"/>
    </row>
    <row r="175" spans="1:66">
      <c r="A175" s="163" t="str">
        <f t="shared" ref="A175:A184" si="15">$R$2&amp;".DCPX"</f>
        <v>FB_dREG_BUF_S.DCPX</v>
      </c>
      <c r="B175" s="123">
        <v>11154</v>
      </c>
      <c r="C175" s="123" t="s">
        <v>4</v>
      </c>
      <c r="D175" s="124">
        <f>$Q$9</f>
        <v>10</v>
      </c>
      <c r="BK175" s="4"/>
      <c r="BL175" s="4"/>
      <c r="BM175" s="4"/>
      <c r="BN175" s="4"/>
    </row>
    <row r="176" spans="1:66">
      <c r="A176" s="110" t="str">
        <f t="shared" si="15"/>
        <v>FB_dREG_BUF_S.DCPX</v>
      </c>
      <c r="B176" s="111">
        <v>11150</v>
      </c>
      <c r="C176" s="111" t="s">
        <v>0</v>
      </c>
      <c r="D176" s="112" t="s">
        <v>2747</v>
      </c>
      <c r="BK176" s="4"/>
      <c r="BL176" s="4"/>
      <c r="BM176" s="4"/>
      <c r="BN176" s="4"/>
    </row>
    <row r="177" spans="1:66">
      <c r="A177" s="110" t="str">
        <f t="shared" si="15"/>
        <v>FB_dREG_BUF_S.DCPX</v>
      </c>
      <c r="B177" s="111">
        <v>11152</v>
      </c>
      <c r="C177" s="111" t="s">
        <v>0</v>
      </c>
      <c r="D177" s="113" t="str">
        <f>$R$9</f>
        <v>Недостоверность</v>
      </c>
      <c r="BK177" s="4"/>
      <c r="BL177" s="4"/>
      <c r="BM177" s="4"/>
      <c r="BN177" s="4"/>
    </row>
    <row r="178" spans="1:66">
      <c r="A178" s="110" t="str">
        <f t="shared" si="15"/>
        <v>FB_dREG_BUF_S.DCPX</v>
      </c>
      <c r="B178" s="111">
        <v>11000</v>
      </c>
      <c r="C178" s="111" t="s">
        <v>5</v>
      </c>
      <c r="D178" s="112">
        <v>2147483680</v>
      </c>
      <c r="BK178" s="4"/>
      <c r="BL178" s="4"/>
      <c r="BM178" s="4"/>
      <c r="BN178" s="4"/>
    </row>
    <row r="179" spans="1:66">
      <c r="A179" s="19" t="str">
        <f t="shared" si="15"/>
        <v>FB_dREG_BUF_S.DCPX</v>
      </c>
      <c r="B179" s="11">
        <v>7999</v>
      </c>
      <c r="C179" s="11" t="s">
        <v>0</v>
      </c>
      <c r="D179" s="20" t="str">
        <f>"#"&amp;$S$2&amp;"#"&amp;$T$2&amp;"\"&amp;$P$2&amp;"\DCPX"</f>
        <v>#1#treiOPCDA.CoOPCserv.1\pcmaster\dREG_test\DCPX</v>
      </c>
      <c r="BK179" s="4"/>
      <c r="BL179" s="4"/>
      <c r="BM179" s="4"/>
      <c r="BN179" s="4"/>
    </row>
    <row r="180" spans="1:66">
      <c r="A180" s="19" t="str">
        <f t="shared" si="15"/>
        <v>FB_dREG_BUF_S.DCPX</v>
      </c>
      <c r="B180" s="11">
        <v>7998</v>
      </c>
      <c r="C180" s="11" t="s">
        <v>6</v>
      </c>
      <c r="D180" s="20">
        <v>1</v>
      </c>
      <c r="BK180" s="4"/>
      <c r="BL180" s="4"/>
      <c r="BM180" s="4"/>
      <c r="BN180" s="4"/>
    </row>
    <row r="181" spans="1:66">
      <c r="A181" s="19" t="str">
        <f t="shared" si="15"/>
        <v>FB_dREG_BUF_S.DCPX</v>
      </c>
      <c r="B181" s="11">
        <v>101</v>
      </c>
      <c r="C181" s="11" t="s">
        <v>0</v>
      </c>
      <c r="D181" s="20" t="s">
        <v>2747</v>
      </c>
      <c r="BK181" s="4"/>
      <c r="BL181" s="4"/>
      <c r="BM181" s="4"/>
      <c r="BN181" s="4"/>
    </row>
    <row r="182" spans="1:66">
      <c r="A182" s="19" t="str">
        <f t="shared" si="15"/>
        <v>FB_dREG_BUF_S.DCPX</v>
      </c>
      <c r="B182" s="11">
        <v>3</v>
      </c>
      <c r="C182" s="11" t="s">
        <v>1</v>
      </c>
      <c r="D182" s="20">
        <v>192</v>
      </c>
      <c r="BK182" s="4"/>
      <c r="BL182" s="4"/>
      <c r="BM182" s="4"/>
      <c r="BN182" s="4"/>
    </row>
    <row r="183" spans="1:66">
      <c r="A183" s="19" t="str">
        <f t="shared" si="15"/>
        <v>FB_dREG_BUF_S.DCPX</v>
      </c>
      <c r="B183" s="11">
        <v>2</v>
      </c>
      <c r="C183" s="11" t="s">
        <v>2</v>
      </c>
      <c r="D183" s="20" t="s">
        <v>3</v>
      </c>
      <c r="BK183" s="4"/>
      <c r="BL183" s="4"/>
      <c r="BM183" s="4"/>
      <c r="BN183" s="4"/>
    </row>
    <row r="184" spans="1:66">
      <c r="A184" s="21" t="str">
        <f t="shared" si="15"/>
        <v>FB_dREG_BUF_S.DCPX</v>
      </c>
      <c r="B184" s="8">
        <v>1</v>
      </c>
      <c r="C184" s="8" t="s">
        <v>1</v>
      </c>
      <c r="D184" s="22">
        <v>11</v>
      </c>
      <c r="BK184" s="4"/>
      <c r="BL184" s="4"/>
      <c r="BM184" s="4"/>
      <c r="BN184" s="4"/>
    </row>
    <row r="185" spans="1:66">
      <c r="A185" s="163" t="str">
        <f>$R$2&amp;".DCAX"</f>
        <v>FB_dREG_BUF_S.DCAX</v>
      </c>
      <c r="B185" s="123">
        <v>11154</v>
      </c>
      <c r="C185" s="123" t="s">
        <v>4</v>
      </c>
      <c r="D185" s="124">
        <f>$Q$9</f>
        <v>10</v>
      </c>
      <c r="BK185" s="4"/>
      <c r="BL185" s="4"/>
      <c r="BM185" s="4"/>
      <c r="BN185" s="4"/>
    </row>
    <row r="186" spans="1:66">
      <c r="A186" s="110" t="str">
        <f t="shared" ref="A186:A194" si="16">$R$2&amp;".DCAX"</f>
        <v>FB_dREG_BUF_S.DCAX</v>
      </c>
      <c r="B186" s="111">
        <v>11150</v>
      </c>
      <c r="C186" s="111" t="s">
        <v>0</v>
      </c>
      <c r="D186" s="112" t="s">
        <v>2749</v>
      </c>
      <c r="BK186" s="4"/>
      <c r="BL186" s="4"/>
      <c r="BM186" s="4"/>
      <c r="BN186" s="4"/>
    </row>
    <row r="187" spans="1:66">
      <c r="A187" s="110" t="str">
        <f t="shared" si="16"/>
        <v>FB_dREG_BUF_S.DCAX</v>
      </c>
      <c r="B187" s="111">
        <v>11152</v>
      </c>
      <c r="C187" s="111" t="s">
        <v>0</v>
      </c>
      <c r="D187" s="113" t="str">
        <f>$R$9</f>
        <v>Недостоверность</v>
      </c>
      <c r="BK187" s="4"/>
      <c r="BL187" s="4"/>
      <c r="BM187" s="4"/>
      <c r="BN187" s="4"/>
    </row>
    <row r="188" spans="1:66">
      <c r="A188" s="110" t="str">
        <f t="shared" si="16"/>
        <v>FB_dREG_BUF_S.DCAX</v>
      </c>
      <c r="B188" s="111">
        <v>11000</v>
      </c>
      <c r="C188" s="111" t="s">
        <v>5</v>
      </c>
      <c r="D188" s="112">
        <v>2147483680</v>
      </c>
      <c r="BK188" s="4"/>
      <c r="BL188" s="4"/>
      <c r="BM188" s="4"/>
      <c r="BN188" s="4"/>
    </row>
    <row r="189" spans="1:66">
      <c r="A189" s="19" t="str">
        <f t="shared" si="16"/>
        <v>FB_dREG_BUF_S.DCAX</v>
      </c>
      <c r="B189" s="11">
        <v>7999</v>
      </c>
      <c r="C189" s="11" t="s">
        <v>0</v>
      </c>
      <c r="D189" s="20" t="str">
        <f>"#"&amp;$S$2&amp;"#"&amp;$T$2&amp;"\"&amp;$P$2&amp;"\DCAX"</f>
        <v>#1#treiOPCDA.CoOPCserv.1\pcmaster\dREG_test\DCAX</v>
      </c>
      <c r="BK189" s="4"/>
      <c r="BL189" s="4"/>
      <c r="BM189" s="4"/>
      <c r="BN189" s="4"/>
    </row>
    <row r="190" spans="1:66">
      <c r="A190" s="19" t="str">
        <f t="shared" si="16"/>
        <v>FB_dREG_BUF_S.DCAX</v>
      </c>
      <c r="B190" s="11">
        <v>7998</v>
      </c>
      <c r="C190" s="11" t="s">
        <v>6</v>
      </c>
      <c r="D190" s="20">
        <v>1</v>
      </c>
      <c r="BK190" s="4"/>
      <c r="BL190" s="4"/>
      <c r="BM190" s="4"/>
      <c r="BN190" s="4"/>
    </row>
    <row r="191" spans="1:66">
      <c r="A191" s="19" t="str">
        <f t="shared" si="16"/>
        <v>FB_dREG_BUF_S.DCAX</v>
      </c>
      <c r="B191" s="11">
        <v>101</v>
      </c>
      <c r="C191" s="11" t="s">
        <v>0</v>
      </c>
      <c r="D191" s="20" t="s">
        <v>2749</v>
      </c>
      <c r="BK191" s="4"/>
      <c r="BL191" s="4"/>
      <c r="BM191" s="4"/>
      <c r="BN191" s="4"/>
    </row>
    <row r="192" spans="1:66">
      <c r="A192" s="19" t="str">
        <f t="shared" si="16"/>
        <v>FB_dREG_BUF_S.DCAX</v>
      </c>
      <c r="B192" s="11">
        <v>3</v>
      </c>
      <c r="C192" s="11" t="s">
        <v>1</v>
      </c>
      <c r="D192" s="20">
        <v>192</v>
      </c>
      <c r="BK192" s="4"/>
      <c r="BL192" s="4"/>
      <c r="BM192" s="4"/>
      <c r="BN192" s="4"/>
    </row>
    <row r="193" spans="1:66">
      <c r="A193" s="19" t="str">
        <f t="shared" si="16"/>
        <v>FB_dREG_BUF_S.DCAX</v>
      </c>
      <c r="B193" s="11">
        <v>2</v>
      </c>
      <c r="C193" s="11" t="s">
        <v>2</v>
      </c>
      <c r="D193" s="20" t="s">
        <v>3</v>
      </c>
      <c r="BK193" s="4"/>
      <c r="BL193" s="4"/>
      <c r="BM193" s="4"/>
      <c r="BN193" s="4"/>
    </row>
    <row r="194" spans="1:66">
      <c r="A194" s="21" t="str">
        <f t="shared" si="16"/>
        <v>FB_dREG_BUF_S.DCAX</v>
      </c>
      <c r="B194" s="8">
        <v>1</v>
      </c>
      <c r="C194" s="8" t="s">
        <v>1</v>
      </c>
      <c r="D194" s="22">
        <v>11</v>
      </c>
      <c r="BK194" s="4"/>
      <c r="BL194" s="4"/>
      <c r="BM194" s="4"/>
      <c r="BN194" s="4"/>
    </row>
    <row r="195" spans="1:66">
      <c r="A195" s="137" t="str">
        <f t="shared" ref="A195:A206" si="17">$R$2&amp;".XRPX"</f>
        <v>FB_dREG_BUF_S.XRPX</v>
      </c>
      <c r="B195" s="138">
        <v>11154</v>
      </c>
      <c r="C195" s="138" t="s">
        <v>4</v>
      </c>
      <c r="D195" s="139">
        <f>$Q$11</f>
        <v>14</v>
      </c>
      <c r="BK195" s="4"/>
      <c r="BL195" s="4"/>
      <c r="BM195" s="4"/>
      <c r="BN195" s="4"/>
    </row>
    <row r="196" spans="1:66">
      <c r="A196" s="140" t="str">
        <f t="shared" si="17"/>
        <v>FB_dREG_BUF_S.XRPX</v>
      </c>
      <c r="B196" s="141">
        <v>11150</v>
      </c>
      <c r="C196" s="141" t="s">
        <v>0</v>
      </c>
      <c r="D196" s="142" t="s">
        <v>89</v>
      </c>
      <c r="BK196" s="4"/>
      <c r="BL196" s="4"/>
      <c r="BM196" s="4"/>
      <c r="BN196" s="4"/>
    </row>
    <row r="197" spans="1:66">
      <c r="A197" s="140" t="str">
        <f t="shared" si="17"/>
        <v>FB_dREG_BUF_S.XRPX</v>
      </c>
      <c r="B197" s="141">
        <v>11152</v>
      </c>
      <c r="C197" s="141" t="s">
        <v>0</v>
      </c>
      <c r="D197" s="143" t="str">
        <f>$R$11</f>
        <v>Ремонт</v>
      </c>
      <c r="BK197" s="4"/>
      <c r="BL197" s="4"/>
      <c r="BM197" s="4"/>
      <c r="BN197" s="4"/>
    </row>
    <row r="198" spans="1:66">
      <c r="A198" s="140" t="str">
        <f t="shared" si="17"/>
        <v>FB_dREG_BUF_S.XRPX</v>
      </c>
      <c r="B198" s="141">
        <v>11000</v>
      </c>
      <c r="C198" s="141" t="s">
        <v>5</v>
      </c>
      <c r="D198" s="142">
        <v>2147483680</v>
      </c>
      <c r="BK198" s="4"/>
      <c r="BL198" s="4"/>
      <c r="BM198" s="4"/>
      <c r="BN198" s="4"/>
    </row>
    <row r="199" spans="1:66">
      <c r="A199" s="19" t="str">
        <f t="shared" si="17"/>
        <v>FB_dREG_BUF_S.XRPX</v>
      </c>
      <c r="B199" s="11">
        <v>7999</v>
      </c>
      <c r="C199" s="11" t="s">
        <v>0</v>
      </c>
      <c r="D199" s="20" t="str">
        <f>"#"&amp;$S$2&amp;"#"&amp;$T$2&amp;"\"&amp;$P$2&amp;"\XRPX"</f>
        <v>#1#treiOPCDA.CoOPCserv.1\pcmaster\dREG_test\XRPX</v>
      </c>
      <c r="BK199" s="4"/>
      <c r="BL199" s="4"/>
      <c r="BM199" s="4"/>
      <c r="BN199" s="4"/>
    </row>
    <row r="200" spans="1:66">
      <c r="A200" s="19" t="str">
        <f t="shared" si="17"/>
        <v>FB_dREG_BUF_S.XRPX</v>
      </c>
      <c r="B200" s="11">
        <v>7998</v>
      </c>
      <c r="C200" s="11" t="s">
        <v>6</v>
      </c>
      <c r="D200" s="20">
        <v>1</v>
      </c>
      <c r="BK200" s="4"/>
      <c r="BL200" s="4"/>
      <c r="BM200" s="4"/>
      <c r="BN200" s="4"/>
    </row>
    <row r="201" spans="1:66">
      <c r="A201" s="19" t="str">
        <f t="shared" si="17"/>
        <v>FB_dREG_BUF_S.XRPX</v>
      </c>
      <c r="B201" s="11">
        <v>101</v>
      </c>
      <c r="C201" s="11" t="s">
        <v>0</v>
      </c>
      <c r="D201" s="20" t="s">
        <v>137</v>
      </c>
      <c r="BK201" s="4"/>
      <c r="BL201" s="4"/>
      <c r="BM201" s="4"/>
      <c r="BN201" s="4"/>
    </row>
    <row r="202" spans="1:66">
      <c r="A202" s="19" t="str">
        <f t="shared" si="17"/>
        <v>FB_dREG_BUF_S.XRPX</v>
      </c>
      <c r="B202" s="11">
        <v>3</v>
      </c>
      <c r="C202" s="11" t="s">
        <v>1</v>
      </c>
      <c r="D202" s="20">
        <v>192</v>
      </c>
      <c r="BK202" s="4"/>
      <c r="BL202" s="4"/>
      <c r="BM202" s="4"/>
      <c r="BN202" s="4"/>
    </row>
    <row r="203" spans="1:66">
      <c r="A203" s="19" t="str">
        <f t="shared" si="17"/>
        <v>FB_dREG_BUF_S.XRPX</v>
      </c>
      <c r="B203" s="11">
        <v>2</v>
      </c>
      <c r="C203" s="11" t="s">
        <v>2</v>
      </c>
      <c r="D203" s="20" t="s">
        <v>3</v>
      </c>
      <c r="BK203" s="4"/>
      <c r="BL203" s="4"/>
      <c r="BM203" s="4"/>
      <c r="BN203" s="4"/>
    </row>
    <row r="204" spans="1:66">
      <c r="A204" s="19" t="str">
        <f t="shared" si="17"/>
        <v>FB_dREG_BUF_S.XRPX</v>
      </c>
      <c r="B204" s="11">
        <v>1</v>
      </c>
      <c r="C204" s="11" t="s">
        <v>1</v>
      </c>
      <c r="D204" s="20">
        <v>11</v>
      </c>
      <c r="BK204" s="4"/>
      <c r="BL204" s="4"/>
      <c r="BM204" s="4"/>
      <c r="BN204" s="4"/>
    </row>
    <row r="205" spans="1:66" ht="13.5" customHeight="1">
      <c r="A205" s="29" t="str">
        <f t="shared" si="17"/>
        <v>FB_dREG_BUF_S.XRPX</v>
      </c>
      <c r="B205" s="1">
        <v>4000000</v>
      </c>
      <c r="C205" s="1" t="s">
        <v>0</v>
      </c>
      <c r="D205" s="415" t="s">
        <v>2742</v>
      </c>
      <c r="BK205" s="4"/>
      <c r="BL205" s="4"/>
      <c r="BM205" s="4"/>
      <c r="BN205" s="4"/>
    </row>
    <row r="206" spans="1:66">
      <c r="A206" s="26" t="str">
        <f t="shared" si="17"/>
        <v>FB_dREG_BUF_S.XRPX</v>
      </c>
      <c r="B206" s="27">
        <v>7000000</v>
      </c>
      <c r="C206" s="27" t="s">
        <v>6</v>
      </c>
      <c r="D206" s="28">
        <v>2</v>
      </c>
      <c r="BK206" s="4"/>
      <c r="BL206" s="4"/>
      <c r="BM206" s="4"/>
      <c r="BN206" s="4"/>
    </row>
    <row r="207" spans="1:66">
      <c r="A207" s="159" t="str">
        <f t="shared" ref="A207:A216" si="18">$R$2&amp;".IRCX"</f>
        <v>FB_dREG_BUF_S.IRCX</v>
      </c>
      <c r="B207" s="160">
        <v>11154</v>
      </c>
      <c r="C207" s="160" t="s">
        <v>4</v>
      </c>
      <c r="D207" s="161">
        <f>$Q$8</f>
        <v>18</v>
      </c>
      <c r="BK207" s="4"/>
      <c r="BL207" s="4"/>
      <c r="BM207" s="4"/>
      <c r="BN207" s="4"/>
    </row>
    <row r="208" spans="1:66">
      <c r="A208" s="100" t="str">
        <f t="shared" si="18"/>
        <v>FB_dREG_BUF_S.IRCX</v>
      </c>
      <c r="B208" s="101">
        <v>11150</v>
      </c>
      <c r="C208" s="101" t="s">
        <v>0</v>
      </c>
      <c r="D208" s="103" t="s">
        <v>136</v>
      </c>
      <c r="BK208" s="4"/>
      <c r="BL208" s="4"/>
      <c r="BM208" s="4"/>
      <c r="BN208" s="4"/>
    </row>
    <row r="209" spans="1:66">
      <c r="A209" s="100" t="str">
        <f t="shared" si="18"/>
        <v>FB_dREG_BUF_S.IRCX</v>
      </c>
      <c r="B209" s="101">
        <v>11152</v>
      </c>
      <c r="C209" s="101" t="s">
        <v>0</v>
      </c>
      <c r="D209" s="104" t="str">
        <f>$R$8</f>
        <v>Телесигнализация</v>
      </c>
      <c r="BK209" s="4"/>
      <c r="BL209" s="4"/>
      <c r="BM209" s="4"/>
      <c r="BN209" s="4"/>
    </row>
    <row r="210" spans="1:66">
      <c r="A210" s="100" t="str">
        <f t="shared" si="18"/>
        <v>FB_dREG_BUF_S.IRCX</v>
      </c>
      <c r="B210" s="101">
        <v>11000</v>
      </c>
      <c r="C210" s="101" t="s">
        <v>5</v>
      </c>
      <c r="D210" s="103">
        <v>2147483680</v>
      </c>
      <c r="BK210" s="4"/>
      <c r="BL210" s="4"/>
      <c r="BM210" s="4"/>
      <c r="BN210" s="4"/>
    </row>
    <row r="211" spans="1:66">
      <c r="A211" s="19" t="str">
        <f t="shared" si="18"/>
        <v>FB_dREG_BUF_S.IRCX</v>
      </c>
      <c r="B211" s="11">
        <v>7999</v>
      </c>
      <c r="C211" s="11" t="s">
        <v>0</v>
      </c>
      <c r="D211" s="20" t="str">
        <f>"#"&amp;$S$2&amp;"#"&amp;$T$2&amp;"\"&amp;$P$2&amp;"\IRCX"</f>
        <v>#1#treiOPCDA.CoOPCserv.1\pcmaster\dREG_test\IRCX</v>
      </c>
      <c r="BK211" s="4"/>
      <c r="BL211" s="4"/>
      <c r="BM211" s="4"/>
      <c r="BN211" s="4"/>
    </row>
    <row r="212" spans="1:66">
      <c r="A212" s="19" t="str">
        <f t="shared" si="18"/>
        <v>FB_dREG_BUF_S.IRCX</v>
      </c>
      <c r="B212" s="11">
        <v>7998</v>
      </c>
      <c r="C212" s="11" t="s">
        <v>6</v>
      </c>
      <c r="D212" s="20">
        <v>1</v>
      </c>
      <c r="BK212" s="4"/>
      <c r="BL212" s="4"/>
      <c r="BM212" s="4"/>
      <c r="BN212" s="4"/>
    </row>
    <row r="213" spans="1:66">
      <c r="A213" s="19" t="str">
        <f t="shared" si="18"/>
        <v>FB_dREG_BUF_S.IRCX</v>
      </c>
      <c r="B213" s="11">
        <v>101</v>
      </c>
      <c r="C213" s="11" t="s">
        <v>0</v>
      </c>
      <c r="D213" s="20" t="s">
        <v>193</v>
      </c>
      <c r="BK213" s="4"/>
      <c r="BL213" s="4"/>
      <c r="BM213" s="4"/>
      <c r="BN213" s="4"/>
    </row>
    <row r="214" spans="1:66">
      <c r="A214" s="19" t="str">
        <f t="shared" si="18"/>
        <v>FB_dREG_BUF_S.IRCX</v>
      </c>
      <c r="B214" s="11">
        <v>3</v>
      </c>
      <c r="C214" s="11" t="s">
        <v>1</v>
      </c>
      <c r="D214" s="20">
        <v>192</v>
      </c>
      <c r="BK214" s="4"/>
      <c r="BL214" s="4"/>
      <c r="BM214" s="4"/>
      <c r="BN214" s="4"/>
    </row>
    <row r="215" spans="1:66">
      <c r="A215" s="19" t="str">
        <f t="shared" si="18"/>
        <v>FB_dREG_BUF_S.IRCX</v>
      </c>
      <c r="B215" s="11">
        <v>2</v>
      </c>
      <c r="C215" s="11" t="s">
        <v>2</v>
      </c>
      <c r="D215" s="20" t="s">
        <v>3</v>
      </c>
      <c r="BK215" s="4"/>
      <c r="BL215" s="4"/>
      <c r="BM215" s="4"/>
      <c r="BN215" s="4"/>
    </row>
    <row r="216" spans="1:66">
      <c r="A216" s="21" t="str">
        <f t="shared" si="18"/>
        <v>FB_dREG_BUF_S.IRCX</v>
      </c>
      <c r="B216" s="8">
        <v>1</v>
      </c>
      <c r="C216" s="8" t="s">
        <v>1</v>
      </c>
      <c r="D216" s="22">
        <v>11</v>
      </c>
      <c r="BK216" s="4"/>
      <c r="BL216" s="4"/>
      <c r="BM216" s="4"/>
      <c r="BN216" s="4"/>
    </row>
    <row r="217" spans="1:66">
      <c r="A217" s="159" t="str">
        <f t="shared" ref="A217:A226" si="19">$R$2&amp;".XONX"</f>
        <v>FB_dREG_BUF_S.XONX</v>
      </c>
      <c r="B217" s="160">
        <v>11154</v>
      </c>
      <c r="C217" s="160" t="s">
        <v>4</v>
      </c>
      <c r="D217" s="161">
        <f>$Q$8</f>
        <v>18</v>
      </c>
      <c r="BK217" s="4"/>
      <c r="BL217" s="4"/>
      <c r="BM217" s="4"/>
      <c r="BN217" s="4"/>
    </row>
    <row r="218" spans="1:66">
      <c r="A218" s="100" t="str">
        <f t="shared" si="19"/>
        <v>FB_dREG_BUF_S.XONX</v>
      </c>
      <c r="B218" s="101">
        <v>11150</v>
      </c>
      <c r="C218" s="101" t="s">
        <v>0</v>
      </c>
      <c r="D218" s="103" t="s">
        <v>200</v>
      </c>
      <c r="BK218" s="4"/>
      <c r="BL218" s="4"/>
      <c r="BM218" s="4"/>
      <c r="BN218" s="4"/>
    </row>
    <row r="219" spans="1:66">
      <c r="A219" s="100" t="str">
        <f t="shared" si="19"/>
        <v>FB_dREG_BUF_S.XONX</v>
      </c>
      <c r="B219" s="101">
        <v>11152</v>
      </c>
      <c r="C219" s="101" t="s">
        <v>0</v>
      </c>
      <c r="D219" s="104" t="str">
        <f>$R$8</f>
        <v>Телесигнализация</v>
      </c>
      <c r="BK219" s="4"/>
      <c r="BL219" s="4"/>
      <c r="BM219" s="4"/>
      <c r="BN219" s="4"/>
    </row>
    <row r="220" spans="1:66">
      <c r="A220" s="100" t="str">
        <f t="shared" si="19"/>
        <v>FB_dREG_BUF_S.XONX</v>
      </c>
      <c r="B220" s="101">
        <v>11000</v>
      </c>
      <c r="C220" s="101" t="s">
        <v>5</v>
      </c>
      <c r="D220" s="103">
        <v>2147483680</v>
      </c>
      <c r="BK220" s="4"/>
      <c r="BL220" s="4"/>
      <c r="BM220" s="4"/>
      <c r="BN220" s="4"/>
    </row>
    <row r="221" spans="1:66">
      <c r="A221" s="19" t="str">
        <f t="shared" si="19"/>
        <v>FB_dREG_BUF_S.XONX</v>
      </c>
      <c r="B221" s="11">
        <v>7999</v>
      </c>
      <c r="C221" s="11" t="s">
        <v>0</v>
      </c>
      <c r="D221" s="20" t="str">
        <f>"#"&amp;$S$2&amp;"#"&amp;$T$2&amp;"\"&amp;$P$2&amp;"\XONX"</f>
        <v>#1#treiOPCDA.CoOPCserv.1\pcmaster\dREG_test\XONX</v>
      </c>
      <c r="BK221" s="4"/>
      <c r="BL221" s="4"/>
      <c r="BM221" s="4"/>
      <c r="BN221" s="4"/>
    </row>
    <row r="222" spans="1:66">
      <c r="A222" s="19" t="str">
        <f t="shared" si="19"/>
        <v>FB_dREG_BUF_S.XONX</v>
      </c>
      <c r="B222" s="11">
        <v>7998</v>
      </c>
      <c r="C222" s="11" t="s">
        <v>6</v>
      </c>
      <c r="D222" s="20">
        <v>1</v>
      </c>
      <c r="BK222" s="4"/>
      <c r="BL222" s="4"/>
      <c r="BM222" s="4"/>
      <c r="BN222" s="4"/>
    </row>
    <row r="223" spans="1:66">
      <c r="A223" s="19" t="str">
        <f t="shared" si="19"/>
        <v>FB_dREG_BUF_S.XONX</v>
      </c>
      <c r="B223" s="11">
        <v>101</v>
      </c>
      <c r="C223" s="11" t="s">
        <v>0</v>
      </c>
      <c r="D223" s="20" t="s">
        <v>196</v>
      </c>
      <c r="Q223" s="1"/>
      <c r="R223" s="1"/>
      <c r="S223" s="1"/>
      <c r="T223" s="1"/>
      <c r="U223" s="1"/>
      <c r="V223" s="1"/>
      <c r="BK223" s="4"/>
      <c r="BL223" s="4"/>
      <c r="BM223" s="4"/>
      <c r="BN223" s="4"/>
    </row>
    <row r="224" spans="1:66">
      <c r="A224" s="19" t="str">
        <f t="shared" si="19"/>
        <v>FB_dREG_BUF_S.XONX</v>
      </c>
      <c r="B224" s="11">
        <v>3</v>
      </c>
      <c r="C224" s="11" t="s">
        <v>1</v>
      </c>
      <c r="D224" s="20">
        <v>192</v>
      </c>
      <c r="Q224" s="1"/>
      <c r="R224" s="1"/>
      <c r="S224" s="1"/>
      <c r="T224" s="1"/>
      <c r="U224" s="1"/>
      <c r="V224" s="1"/>
      <c r="BK224" s="4"/>
      <c r="BL224" s="4"/>
      <c r="BM224" s="4"/>
      <c r="BN224" s="4"/>
    </row>
    <row r="225" spans="1:66">
      <c r="A225" s="19" t="str">
        <f t="shared" si="19"/>
        <v>FB_dREG_BUF_S.XONX</v>
      </c>
      <c r="B225" s="11">
        <v>2</v>
      </c>
      <c r="C225" s="11" t="s">
        <v>2</v>
      </c>
      <c r="D225" s="20" t="s">
        <v>3</v>
      </c>
      <c r="Q225" s="1"/>
      <c r="R225" s="1"/>
      <c r="S225" s="1"/>
      <c r="T225" s="1"/>
      <c r="U225" s="1"/>
      <c r="V225" s="1"/>
      <c r="BK225" s="4"/>
      <c r="BL225" s="4"/>
      <c r="BM225" s="4"/>
      <c r="BN225" s="4"/>
    </row>
    <row r="226" spans="1:66">
      <c r="A226" s="21" t="str">
        <f t="shared" si="19"/>
        <v>FB_dREG_BUF_S.XONX</v>
      </c>
      <c r="B226" s="8">
        <v>1</v>
      </c>
      <c r="C226" s="8" t="s">
        <v>1</v>
      </c>
      <c r="D226" s="22">
        <v>11</v>
      </c>
      <c r="Q226" s="1"/>
      <c r="R226" s="1"/>
      <c r="S226" s="1"/>
      <c r="T226" s="1"/>
      <c r="U226" s="1"/>
      <c r="V226" s="1"/>
      <c r="BK226" s="4"/>
      <c r="BL226" s="4"/>
      <c r="BM226" s="4"/>
      <c r="BN226" s="4"/>
    </row>
    <row r="227" spans="1:66">
      <c r="A227" s="159" t="str">
        <f t="shared" ref="A227:A236" si="20">$R$2&amp;".XOFX"</f>
        <v>FB_dREG_BUF_S.XOFX</v>
      </c>
      <c r="B227" s="160">
        <v>11154</v>
      </c>
      <c r="C227" s="160" t="s">
        <v>4</v>
      </c>
      <c r="D227" s="161">
        <f>$Q$8</f>
        <v>18</v>
      </c>
      <c r="Q227" s="1"/>
      <c r="R227" s="1"/>
      <c r="S227" s="1"/>
      <c r="T227" s="1"/>
      <c r="U227" s="1"/>
      <c r="V227" s="1"/>
      <c r="BK227" s="4"/>
      <c r="BL227" s="4"/>
      <c r="BM227" s="4"/>
      <c r="BN227" s="4"/>
    </row>
    <row r="228" spans="1:66">
      <c r="A228" s="100" t="str">
        <f t="shared" si="20"/>
        <v>FB_dREG_BUF_S.XOFX</v>
      </c>
      <c r="B228" s="101">
        <v>11150</v>
      </c>
      <c r="C228" s="101" t="s">
        <v>0</v>
      </c>
      <c r="D228" s="103" t="s">
        <v>201</v>
      </c>
      <c r="Q228" s="1"/>
      <c r="R228" s="1"/>
      <c r="S228" s="1"/>
      <c r="T228" s="1"/>
      <c r="U228" s="1"/>
      <c r="V228" s="1"/>
      <c r="BK228" s="4"/>
      <c r="BL228" s="4"/>
      <c r="BM228" s="4"/>
      <c r="BN228" s="4"/>
    </row>
    <row r="229" spans="1:66">
      <c r="A229" s="100" t="str">
        <f t="shared" si="20"/>
        <v>FB_dREG_BUF_S.XOFX</v>
      </c>
      <c r="B229" s="101">
        <v>11152</v>
      </c>
      <c r="C229" s="101" t="s">
        <v>0</v>
      </c>
      <c r="D229" s="104" t="str">
        <f>$R$8</f>
        <v>Телесигнализация</v>
      </c>
      <c r="Q229" s="11"/>
      <c r="R229" s="11"/>
      <c r="S229" s="11"/>
      <c r="T229" s="11"/>
      <c r="U229" s="1"/>
      <c r="V229" s="1"/>
      <c r="BK229" s="4"/>
      <c r="BL229" s="4"/>
      <c r="BM229" s="4"/>
      <c r="BN229" s="4"/>
    </row>
    <row r="230" spans="1:66">
      <c r="A230" s="100" t="str">
        <f t="shared" si="20"/>
        <v>FB_dREG_BUF_S.XOFX</v>
      </c>
      <c r="B230" s="101">
        <v>11000</v>
      </c>
      <c r="C230" s="101" t="s">
        <v>5</v>
      </c>
      <c r="D230" s="103">
        <v>2147483680</v>
      </c>
      <c r="Q230" s="11"/>
      <c r="R230" s="11"/>
      <c r="S230" s="11"/>
      <c r="T230" s="11"/>
      <c r="U230" s="1"/>
      <c r="V230" s="1"/>
      <c r="BK230" s="4"/>
      <c r="BL230" s="4"/>
      <c r="BM230" s="4"/>
      <c r="BN230" s="4"/>
    </row>
    <row r="231" spans="1:66">
      <c r="A231" s="19" t="str">
        <f t="shared" si="20"/>
        <v>FB_dREG_BUF_S.XOFX</v>
      </c>
      <c r="B231" s="11">
        <v>7999</v>
      </c>
      <c r="C231" s="11" t="s">
        <v>0</v>
      </c>
      <c r="D231" s="20" t="str">
        <f>"#"&amp;$S$2&amp;"#"&amp;$T$2&amp;"\"&amp;$P$2&amp;"\XOFX"</f>
        <v>#1#treiOPCDA.CoOPCserv.1\pcmaster\dREG_test\XOFX</v>
      </c>
      <c r="Q231" s="11"/>
      <c r="R231" s="11"/>
      <c r="S231" s="11"/>
      <c r="T231" s="11"/>
      <c r="U231" s="1"/>
      <c r="V231" s="1"/>
      <c r="BK231" s="4"/>
      <c r="BL231" s="4"/>
      <c r="BM231" s="4"/>
      <c r="BN231" s="4"/>
    </row>
    <row r="232" spans="1:66">
      <c r="A232" s="19" t="str">
        <f t="shared" si="20"/>
        <v>FB_dREG_BUF_S.XOFX</v>
      </c>
      <c r="B232" s="11">
        <v>7998</v>
      </c>
      <c r="C232" s="11" t="s">
        <v>6</v>
      </c>
      <c r="D232" s="20">
        <v>1</v>
      </c>
      <c r="Q232" s="11"/>
      <c r="R232" s="11"/>
      <c r="S232" s="11"/>
      <c r="T232" s="11"/>
      <c r="U232" s="1"/>
      <c r="V232" s="1"/>
      <c r="BK232" s="4"/>
      <c r="BL232" s="4"/>
      <c r="BM232" s="4"/>
      <c r="BN232" s="4"/>
    </row>
    <row r="233" spans="1:66">
      <c r="A233" s="19" t="str">
        <f t="shared" si="20"/>
        <v>FB_dREG_BUF_S.XOFX</v>
      </c>
      <c r="B233" s="11">
        <v>101</v>
      </c>
      <c r="C233" s="11" t="s">
        <v>0</v>
      </c>
      <c r="D233" s="20" t="s">
        <v>197</v>
      </c>
      <c r="Q233" s="11"/>
      <c r="R233" s="11"/>
      <c r="S233" s="11"/>
      <c r="T233" s="11"/>
      <c r="U233" s="1"/>
      <c r="V233" s="1"/>
      <c r="BK233" s="4"/>
      <c r="BL233" s="4"/>
      <c r="BM233" s="4"/>
      <c r="BN233" s="4"/>
    </row>
    <row r="234" spans="1:66">
      <c r="A234" s="19" t="str">
        <f t="shared" si="20"/>
        <v>FB_dREG_BUF_S.XOFX</v>
      </c>
      <c r="B234" s="11">
        <v>3</v>
      </c>
      <c r="C234" s="11" t="s">
        <v>1</v>
      </c>
      <c r="D234" s="20">
        <v>192</v>
      </c>
      <c r="Q234" s="11"/>
      <c r="R234" s="11"/>
      <c r="S234" s="11"/>
      <c r="T234" s="11"/>
      <c r="U234" s="1"/>
      <c r="V234" s="1"/>
      <c r="BK234" s="4"/>
      <c r="BL234" s="4"/>
      <c r="BM234" s="4"/>
      <c r="BN234" s="4"/>
    </row>
    <row r="235" spans="1:66">
      <c r="A235" s="19" t="str">
        <f t="shared" si="20"/>
        <v>FB_dREG_BUF_S.XOFX</v>
      </c>
      <c r="B235" s="11">
        <v>2</v>
      </c>
      <c r="C235" s="11" t="s">
        <v>2</v>
      </c>
      <c r="D235" s="20" t="s">
        <v>3</v>
      </c>
      <c r="Q235" s="1"/>
      <c r="R235" s="1"/>
      <c r="S235" s="1"/>
      <c r="T235" s="1"/>
      <c r="U235" s="1"/>
      <c r="V235" s="1"/>
      <c r="BK235" s="4"/>
      <c r="BL235" s="4"/>
      <c r="BM235" s="4"/>
      <c r="BN235" s="4"/>
    </row>
    <row r="236" spans="1:66">
      <c r="A236" s="21" t="str">
        <f t="shared" si="20"/>
        <v>FB_dREG_BUF_S.XOFX</v>
      </c>
      <c r="B236" s="8">
        <v>1</v>
      </c>
      <c r="C236" s="8" t="s">
        <v>1</v>
      </c>
      <c r="D236" s="22">
        <v>11</v>
      </c>
      <c r="Q236" s="1"/>
      <c r="R236" s="1"/>
      <c r="S236" s="1"/>
      <c r="T236" s="1"/>
      <c r="U236" s="1"/>
      <c r="V236" s="1"/>
      <c r="BK236" s="4"/>
      <c r="BL236" s="4"/>
      <c r="BM236" s="4"/>
      <c r="BN236" s="4"/>
    </row>
    <row r="237" spans="1:66">
      <c r="A237" s="159" t="str">
        <f t="shared" ref="A237:A246" si="21">$R$2&amp;".XRCX"</f>
        <v>FB_dREG_BUF_S.XRCX</v>
      </c>
      <c r="B237" s="160">
        <v>11154</v>
      </c>
      <c r="C237" s="160" t="s">
        <v>4</v>
      </c>
      <c r="D237" s="161">
        <f>$Q$8</f>
        <v>18</v>
      </c>
      <c r="Q237" s="1"/>
      <c r="R237" s="1"/>
      <c r="S237" s="1"/>
      <c r="T237" s="1"/>
      <c r="U237" s="1"/>
      <c r="V237" s="1"/>
      <c r="BK237" s="4"/>
      <c r="BL237" s="4"/>
      <c r="BM237" s="4"/>
      <c r="BN237" s="4"/>
    </row>
    <row r="238" spans="1:66">
      <c r="A238" s="100" t="str">
        <f t="shared" si="21"/>
        <v>FB_dREG_BUF_S.XRCX</v>
      </c>
      <c r="B238" s="101">
        <v>11150</v>
      </c>
      <c r="C238" s="101" t="s">
        <v>0</v>
      </c>
      <c r="D238" s="103" t="s">
        <v>136</v>
      </c>
      <c r="Q238" s="1"/>
      <c r="R238" s="1"/>
      <c r="S238" s="1"/>
      <c r="T238" s="1"/>
      <c r="U238" s="1"/>
      <c r="V238" s="1"/>
      <c r="BK238" s="4"/>
      <c r="BL238" s="4"/>
      <c r="BM238" s="4"/>
      <c r="BN238" s="4"/>
    </row>
    <row r="239" spans="1:66">
      <c r="A239" s="100" t="str">
        <f t="shared" si="21"/>
        <v>FB_dREG_BUF_S.XRCX</v>
      </c>
      <c r="B239" s="101">
        <v>11152</v>
      </c>
      <c r="C239" s="101" t="s">
        <v>0</v>
      </c>
      <c r="D239" s="104" t="str">
        <f>$R$8</f>
        <v>Телесигнализация</v>
      </c>
      <c r="Q239" s="1"/>
      <c r="R239" s="1"/>
      <c r="S239" s="1"/>
      <c r="T239" s="1"/>
      <c r="U239" s="1"/>
      <c r="V239" s="1"/>
      <c r="BK239" s="4"/>
      <c r="BL239" s="4"/>
      <c r="BM239" s="4"/>
      <c r="BN239" s="4"/>
    </row>
    <row r="240" spans="1:66">
      <c r="A240" s="100" t="str">
        <f t="shared" si="21"/>
        <v>FB_dREG_BUF_S.XRCX</v>
      </c>
      <c r="B240" s="101">
        <v>11000</v>
      </c>
      <c r="C240" s="101" t="s">
        <v>5</v>
      </c>
      <c r="D240" s="103">
        <v>2147483680</v>
      </c>
      <c r="Q240" s="1"/>
      <c r="R240" s="1"/>
      <c r="S240" s="1"/>
      <c r="T240" s="1"/>
      <c r="U240" s="1"/>
      <c r="V240" s="1"/>
      <c r="BK240" s="4"/>
      <c r="BL240" s="4"/>
      <c r="BM240" s="4"/>
      <c r="BN240" s="4"/>
    </row>
    <row r="241" spans="1:66">
      <c r="A241" s="19" t="str">
        <f t="shared" si="21"/>
        <v>FB_dREG_BUF_S.XRCX</v>
      </c>
      <c r="B241" s="11">
        <v>7999</v>
      </c>
      <c r="C241" s="11" t="s">
        <v>0</v>
      </c>
      <c r="D241" s="20" t="str">
        <f>"#"&amp;$S$2&amp;"#"&amp;$T$2&amp;"\"&amp;$P$2&amp;"\XRCX"</f>
        <v>#1#treiOPCDA.CoOPCserv.1\pcmaster\dREG_test\XRCX</v>
      </c>
      <c r="Q241" s="1"/>
      <c r="R241" s="1"/>
      <c r="S241" s="1"/>
      <c r="T241" s="1"/>
      <c r="U241" s="1"/>
      <c r="V241" s="1"/>
      <c r="BK241" s="4"/>
      <c r="BL241" s="4"/>
      <c r="BM241" s="4"/>
      <c r="BN241" s="4"/>
    </row>
    <row r="242" spans="1:66">
      <c r="A242" s="19" t="str">
        <f t="shared" si="21"/>
        <v>FB_dREG_BUF_S.XRCX</v>
      </c>
      <c r="B242" s="11">
        <v>7998</v>
      </c>
      <c r="C242" s="11" t="s">
        <v>6</v>
      </c>
      <c r="D242" s="20">
        <v>1</v>
      </c>
      <c r="Q242" s="1"/>
      <c r="R242" s="1"/>
      <c r="S242" s="1"/>
      <c r="T242" s="1"/>
      <c r="U242" s="1"/>
      <c r="V242" s="1"/>
      <c r="BK242" s="4"/>
      <c r="BL242" s="4"/>
      <c r="BM242" s="4"/>
      <c r="BN242" s="4"/>
    </row>
    <row r="243" spans="1:66">
      <c r="A243" s="19" t="str">
        <f t="shared" si="21"/>
        <v>FB_dREG_BUF_S.XRCX</v>
      </c>
      <c r="B243" s="11">
        <v>101</v>
      </c>
      <c r="C243" s="11" t="s">
        <v>0</v>
      </c>
      <c r="D243" s="20" t="s">
        <v>575</v>
      </c>
      <c r="BK243" s="4"/>
      <c r="BL243" s="4"/>
      <c r="BM243" s="4"/>
      <c r="BN243" s="4"/>
    </row>
    <row r="244" spans="1:66">
      <c r="A244" s="19" t="str">
        <f t="shared" si="21"/>
        <v>FB_dREG_BUF_S.XRCX</v>
      </c>
      <c r="B244" s="11">
        <v>3</v>
      </c>
      <c r="C244" s="11" t="s">
        <v>1</v>
      </c>
      <c r="D244" s="20">
        <v>192</v>
      </c>
      <c r="BK244" s="4"/>
      <c r="BL244" s="4"/>
      <c r="BM244" s="4"/>
      <c r="BN244" s="4"/>
    </row>
    <row r="245" spans="1:66">
      <c r="A245" s="19" t="str">
        <f t="shared" si="21"/>
        <v>FB_dREG_BUF_S.XRCX</v>
      </c>
      <c r="B245" s="11">
        <v>2</v>
      </c>
      <c r="C245" s="11" t="s">
        <v>2</v>
      </c>
      <c r="D245" s="20" t="s">
        <v>3</v>
      </c>
      <c r="BK245" s="4"/>
      <c r="BL245" s="4"/>
      <c r="BM245" s="4"/>
      <c r="BN245" s="4"/>
    </row>
    <row r="246" spans="1:66">
      <c r="A246" s="21" t="str">
        <f t="shared" si="21"/>
        <v>FB_dREG_BUF_S.XRCX</v>
      </c>
      <c r="B246" s="8">
        <v>1</v>
      </c>
      <c r="C246" s="8" t="s">
        <v>1</v>
      </c>
      <c r="D246" s="22">
        <v>11</v>
      </c>
      <c r="BK246" s="4"/>
      <c r="BL246" s="4"/>
      <c r="BM246" s="4"/>
      <c r="BN246" s="4"/>
    </row>
    <row r="247" spans="1:66">
      <c r="A247" s="159" t="str">
        <f>$R$2&amp;".XNWX"</f>
        <v>FB_dREG_BUF_S.XNWX</v>
      </c>
      <c r="B247" s="160">
        <v>11154</v>
      </c>
      <c r="C247" s="160" t="s">
        <v>4</v>
      </c>
      <c r="D247" s="161">
        <f>$Q$8</f>
        <v>18</v>
      </c>
      <c r="Q247" s="1"/>
      <c r="R247" s="1"/>
      <c r="S247" s="1"/>
      <c r="T247" s="1"/>
      <c r="U247" s="1"/>
      <c r="V247" s="1"/>
      <c r="BK247" s="4"/>
      <c r="BL247" s="4"/>
      <c r="BM247" s="4"/>
      <c r="BN247" s="4"/>
    </row>
    <row r="248" spans="1:66">
      <c r="A248" s="100" t="str">
        <f t="shared" ref="A248:A256" si="22">$R$2&amp;".XNWX"</f>
        <v>FB_dREG_BUF_S.XNWX</v>
      </c>
      <c r="B248" s="101">
        <v>11150</v>
      </c>
      <c r="C248" s="101" t="s">
        <v>0</v>
      </c>
      <c r="D248" s="103" t="s">
        <v>2755</v>
      </c>
      <c r="Q248" s="1"/>
      <c r="R248" s="1"/>
      <c r="S248" s="1"/>
      <c r="T248" s="1"/>
      <c r="U248" s="1"/>
      <c r="V248" s="1"/>
      <c r="BK248" s="4"/>
      <c r="BL248" s="4"/>
      <c r="BM248" s="4"/>
      <c r="BN248" s="4"/>
    </row>
    <row r="249" spans="1:66">
      <c r="A249" s="100" t="str">
        <f t="shared" si="22"/>
        <v>FB_dREG_BUF_S.XNWX</v>
      </c>
      <c r="B249" s="101">
        <v>11152</v>
      </c>
      <c r="C249" s="101" t="s">
        <v>0</v>
      </c>
      <c r="D249" s="104" t="str">
        <f>$R$8</f>
        <v>Телесигнализация</v>
      </c>
      <c r="Q249" s="1"/>
      <c r="R249" s="1"/>
      <c r="S249" s="1"/>
      <c r="T249" s="1"/>
      <c r="U249" s="1"/>
      <c r="V249" s="1"/>
      <c r="BK249" s="4"/>
      <c r="BL249" s="4"/>
      <c r="BM249" s="4"/>
      <c r="BN249" s="4"/>
    </row>
    <row r="250" spans="1:66">
      <c r="A250" s="100" t="str">
        <f t="shared" si="22"/>
        <v>FB_dREG_BUF_S.XNWX</v>
      </c>
      <c r="B250" s="101">
        <v>11000</v>
      </c>
      <c r="C250" s="101" t="s">
        <v>5</v>
      </c>
      <c r="D250" s="103">
        <v>2147483680</v>
      </c>
      <c r="Q250" s="1"/>
      <c r="R250" s="1"/>
      <c r="S250" s="1"/>
      <c r="T250" s="1"/>
      <c r="U250" s="1"/>
      <c r="V250" s="1"/>
      <c r="BK250" s="4"/>
      <c r="BL250" s="4"/>
      <c r="BM250" s="4"/>
      <c r="BN250" s="4"/>
    </row>
    <row r="251" spans="1:66">
      <c r="A251" s="19" t="str">
        <f t="shared" si="22"/>
        <v>FB_dREG_BUF_S.XNWX</v>
      </c>
      <c r="B251" s="11">
        <v>7999</v>
      </c>
      <c r="C251" s="11" t="s">
        <v>0</v>
      </c>
      <c r="D251" s="20" t="str">
        <f>"#"&amp;$S$2&amp;"#"&amp;$T$2&amp;"\"&amp;$P$2&amp;"\XNWX"</f>
        <v>#1#treiOPCDA.CoOPCserv.1\pcmaster\dREG_test\XNWX</v>
      </c>
      <c r="Q251" s="1"/>
      <c r="R251" s="1"/>
      <c r="S251" s="1"/>
      <c r="T251" s="1"/>
      <c r="U251" s="1"/>
      <c r="V251" s="1"/>
      <c r="BK251" s="4"/>
      <c r="BL251" s="4"/>
      <c r="BM251" s="4"/>
      <c r="BN251" s="4"/>
    </row>
    <row r="252" spans="1:66">
      <c r="A252" s="19" t="str">
        <f t="shared" si="22"/>
        <v>FB_dREG_BUF_S.XNWX</v>
      </c>
      <c r="B252" s="11">
        <v>7998</v>
      </c>
      <c r="C252" s="11" t="s">
        <v>6</v>
      </c>
      <c r="D252" s="20">
        <v>1</v>
      </c>
      <c r="Q252" s="1"/>
      <c r="R252" s="1"/>
      <c r="S252" s="1"/>
      <c r="T252" s="1"/>
      <c r="U252" s="1"/>
      <c r="V252" s="1"/>
      <c r="BK252" s="4"/>
      <c r="BL252" s="4"/>
      <c r="BM252" s="4"/>
      <c r="BN252" s="4"/>
    </row>
    <row r="253" spans="1:66">
      <c r="A253" s="19" t="str">
        <f t="shared" si="22"/>
        <v>FB_dREG_BUF_S.XNWX</v>
      </c>
      <c r="B253" s="11">
        <v>101</v>
      </c>
      <c r="C253" s="11" t="s">
        <v>0</v>
      </c>
      <c r="D253" s="20" t="s">
        <v>2755</v>
      </c>
      <c r="BK253" s="4"/>
      <c r="BL253" s="4"/>
      <c r="BM253" s="4"/>
      <c r="BN253" s="4"/>
    </row>
    <row r="254" spans="1:66">
      <c r="A254" s="19" t="str">
        <f t="shared" si="22"/>
        <v>FB_dREG_BUF_S.XNWX</v>
      </c>
      <c r="B254" s="11">
        <v>3</v>
      </c>
      <c r="C254" s="11" t="s">
        <v>1</v>
      </c>
      <c r="D254" s="20">
        <v>192</v>
      </c>
      <c r="BK254" s="4"/>
      <c r="BL254" s="4"/>
      <c r="BM254" s="4"/>
      <c r="BN254" s="4"/>
    </row>
    <row r="255" spans="1:66">
      <c r="A255" s="19" t="str">
        <f t="shared" si="22"/>
        <v>FB_dREG_BUF_S.XNWX</v>
      </c>
      <c r="B255" s="11">
        <v>2</v>
      </c>
      <c r="C255" s="11" t="s">
        <v>2</v>
      </c>
      <c r="D255" s="20" t="s">
        <v>3</v>
      </c>
      <c r="BK255" s="4"/>
      <c r="BL255" s="4"/>
      <c r="BM255" s="4"/>
      <c r="BN255" s="4"/>
    </row>
    <row r="256" spans="1:66">
      <c r="A256" s="21" t="str">
        <f t="shared" si="22"/>
        <v>FB_dREG_BUF_S.XNWX</v>
      </c>
      <c r="B256" s="8">
        <v>1</v>
      </c>
      <c r="C256" s="8" t="s">
        <v>1</v>
      </c>
      <c r="D256" s="22">
        <v>11</v>
      </c>
      <c r="BK256" s="4"/>
      <c r="BL256" s="4"/>
      <c r="BM256" s="4"/>
      <c r="BN256" s="4"/>
    </row>
    <row r="257" spans="1:66">
      <c r="A257" s="275" t="str">
        <f>$R$2&amp;".Commands.SSPH"</f>
        <v>FB_dREG_BUF_S.Commands.SSPH</v>
      </c>
      <c r="B257" s="276">
        <v>1</v>
      </c>
      <c r="C257" s="276" t="s">
        <v>1</v>
      </c>
      <c r="D257" s="277">
        <v>4</v>
      </c>
      <c r="BK257" s="4"/>
      <c r="BL257" s="4"/>
      <c r="BM257" s="4"/>
      <c r="BN257" s="4"/>
    </row>
    <row r="258" spans="1:66">
      <c r="A258" s="278" t="str">
        <f t="shared" ref="A258:A260" si="23">$R$2&amp;".Commands.SSPH"</f>
        <v>FB_dREG_BUF_S.Commands.SSPH</v>
      </c>
      <c r="B258" s="279">
        <v>101</v>
      </c>
      <c r="C258" s="279" t="s">
        <v>0</v>
      </c>
      <c r="D258" s="280" t="s">
        <v>214</v>
      </c>
      <c r="BK258" s="4"/>
      <c r="BL258" s="4"/>
      <c r="BM258" s="4"/>
      <c r="BN258" s="4"/>
    </row>
    <row r="259" spans="1:66">
      <c r="A259" s="278" t="str">
        <f t="shared" si="23"/>
        <v>FB_dREG_BUF_S.Commands.SSPH</v>
      </c>
      <c r="B259" s="279">
        <v>7998</v>
      </c>
      <c r="C259" s="279" t="s">
        <v>6</v>
      </c>
      <c r="D259" s="280">
        <v>2</v>
      </c>
      <c r="BK259" s="4"/>
      <c r="BL259" s="4"/>
      <c r="BM259" s="4"/>
      <c r="BN259" s="4"/>
    </row>
    <row r="260" spans="1:66">
      <c r="A260" s="281" t="str">
        <f t="shared" si="23"/>
        <v>FB_dREG_BUF_S.Commands.SSPH</v>
      </c>
      <c r="B260" s="282">
        <v>7999</v>
      </c>
      <c r="C260" s="282" t="s">
        <v>0</v>
      </c>
      <c r="D260" s="283" t="str">
        <f>"#"&amp;$T$5&amp;"#"&amp;$T$2&amp;"\"&amp;$P$2&amp;"\SSPH"</f>
        <v>#1#treiOPCDA.CoOPCserv.1\pcmaster\dREG_test\SSPH</v>
      </c>
      <c r="BK260" s="4"/>
      <c r="BL260" s="4"/>
      <c r="BM260" s="4"/>
      <c r="BN260" s="4"/>
    </row>
    <row r="261" spans="1:66">
      <c r="A261" s="275" t="str">
        <f>$R$2&amp;".Commands.SSPL"</f>
        <v>FB_dREG_BUF_S.Commands.SSPL</v>
      </c>
      <c r="B261" s="276">
        <v>1</v>
      </c>
      <c r="C261" s="276" t="s">
        <v>1</v>
      </c>
      <c r="D261" s="277">
        <v>4</v>
      </c>
      <c r="BK261" s="4"/>
      <c r="BL261" s="4"/>
      <c r="BM261" s="4"/>
      <c r="BN261" s="4"/>
    </row>
    <row r="262" spans="1:66">
      <c r="A262" s="278" t="str">
        <f t="shared" ref="A262:A264" si="24">$R$2&amp;".Commands.SSPL"</f>
        <v>FB_dREG_BUF_S.Commands.SSPL</v>
      </c>
      <c r="B262" s="279">
        <v>101</v>
      </c>
      <c r="C262" s="279" t="s">
        <v>0</v>
      </c>
      <c r="D262" s="280" t="s">
        <v>215</v>
      </c>
      <c r="BK262" s="4"/>
      <c r="BL262" s="4"/>
      <c r="BM262" s="4"/>
      <c r="BN262" s="4"/>
    </row>
    <row r="263" spans="1:66">
      <c r="A263" s="278" t="str">
        <f t="shared" si="24"/>
        <v>FB_dREG_BUF_S.Commands.SSPL</v>
      </c>
      <c r="B263" s="279">
        <v>7998</v>
      </c>
      <c r="C263" s="279" t="s">
        <v>6</v>
      </c>
      <c r="D263" s="280">
        <v>2</v>
      </c>
      <c r="BK263" s="4"/>
      <c r="BL263" s="4"/>
      <c r="BM263" s="4"/>
      <c r="BN263" s="4"/>
    </row>
    <row r="264" spans="1:66">
      <c r="A264" s="281" t="str">
        <f t="shared" si="24"/>
        <v>FB_dREG_BUF_S.Commands.SSPL</v>
      </c>
      <c r="B264" s="282">
        <v>7999</v>
      </c>
      <c r="C264" s="282" t="s">
        <v>0</v>
      </c>
      <c r="D264" s="283" t="str">
        <f>"#"&amp;$T$5&amp;"#"&amp;$T$2&amp;"\"&amp;$P$2&amp;"\SSPL"</f>
        <v>#1#treiOPCDA.CoOPCserv.1\pcmaster\dREG_test\SSPL</v>
      </c>
      <c r="BK264" s="4"/>
      <c r="BL264" s="4"/>
      <c r="BM264" s="4"/>
      <c r="BN264" s="4"/>
    </row>
    <row r="265" spans="1:66">
      <c r="A265" s="275" t="str">
        <f>$R$2&amp;".Commands.SCAH"</f>
        <v>FB_dREG_BUF_S.Commands.SCAH</v>
      </c>
      <c r="B265" s="276">
        <v>1</v>
      </c>
      <c r="C265" s="276" t="s">
        <v>1</v>
      </c>
      <c r="D265" s="277">
        <v>4</v>
      </c>
      <c r="BK265" s="4"/>
      <c r="BL265" s="4"/>
      <c r="BM265" s="4"/>
      <c r="BN265" s="4"/>
    </row>
    <row r="266" spans="1:66">
      <c r="A266" s="278" t="str">
        <f>$R$2&amp;".Commands.SCAH"</f>
        <v>FB_dREG_BUF_S.Commands.SCAH</v>
      </c>
      <c r="B266" s="279">
        <v>101</v>
      </c>
      <c r="C266" s="279" t="s">
        <v>0</v>
      </c>
      <c r="D266" s="280" t="s">
        <v>216</v>
      </c>
      <c r="BK266" s="4"/>
      <c r="BL266" s="4"/>
      <c r="BM266" s="4"/>
      <c r="BN266" s="4"/>
    </row>
    <row r="267" spans="1:66">
      <c r="A267" s="278" t="str">
        <f>$R$2&amp;".Commands.SCAH"</f>
        <v>FB_dREG_BUF_S.Commands.SCAH</v>
      </c>
      <c r="B267" s="279">
        <v>7998</v>
      </c>
      <c r="C267" s="279" t="s">
        <v>6</v>
      </c>
      <c r="D267" s="280">
        <v>2</v>
      </c>
      <c r="BK267" s="4"/>
      <c r="BL267" s="4"/>
      <c r="BM267" s="4"/>
      <c r="BN267" s="4"/>
    </row>
    <row r="268" spans="1:66">
      <c r="A268" s="281" t="str">
        <f>$R$2&amp;".Commands.SCAH"</f>
        <v>FB_dREG_BUF_S.Commands.SCAH</v>
      </c>
      <c r="B268" s="282">
        <v>7999</v>
      </c>
      <c r="C268" s="282" t="s">
        <v>0</v>
      </c>
      <c r="D268" s="283" t="str">
        <f>"#"&amp;$T$5&amp;"#"&amp;$T$2&amp;"\"&amp;$P$2&amp;"\SCAH"</f>
        <v>#1#treiOPCDA.CoOPCserv.1\pcmaster\dREG_test\SCAH</v>
      </c>
      <c r="BK268" s="4"/>
      <c r="BL268" s="4"/>
      <c r="BM268" s="4"/>
      <c r="BN268" s="4"/>
    </row>
    <row r="269" spans="1:66">
      <c r="A269" s="275" t="str">
        <f>$R$2&amp;".Commands.SCAL"</f>
        <v>FB_dREG_BUF_S.Commands.SCAL</v>
      </c>
      <c r="B269" s="276">
        <v>1</v>
      </c>
      <c r="C269" s="276" t="s">
        <v>1</v>
      </c>
      <c r="D269" s="277">
        <v>4</v>
      </c>
      <c r="BK269" s="4"/>
      <c r="BL269" s="4"/>
      <c r="BM269" s="4"/>
      <c r="BN269" s="4"/>
    </row>
    <row r="270" spans="1:66">
      <c r="A270" s="278" t="str">
        <f>$R$2&amp;".Commands.SCAL"</f>
        <v>FB_dREG_BUF_S.Commands.SCAL</v>
      </c>
      <c r="B270" s="279">
        <v>101</v>
      </c>
      <c r="C270" s="279" t="s">
        <v>0</v>
      </c>
      <c r="D270" s="280" t="s">
        <v>217</v>
      </c>
      <c r="BK270" s="4"/>
      <c r="BL270" s="4"/>
      <c r="BM270" s="4"/>
      <c r="BN270" s="4"/>
    </row>
    <row r="271" spans="1:66">
      <c r="A271" s="278" t="str">
        <f>$R$2&amp;".Commands.SCAL"</f>
        <v>FB_dREG_BUF_S.Commands.SCAL</v>
      </c>
      <c r="B271" s="279">
        <v>7998</v>
      </c>
      <c r="C271" s="279" t="s">
        <v>6</v>
      </c>
      <c r="D271" s="280">
        <v>2</v>
      </c>
      <c r="BK271" s="4"/>
      <c r="BL271" s="4"/>
      <c r="BM271" s="4"/>
      <c r="BN271" s="4"/>
    </row>
    <row r="272" spans="1:66">
      <c r="A272" s="281" t="str">
        <f>$R$2&amp;".Commands.SCAL"</f>
        <v>FB_dREG_BUF_S.Commands.SCAL</v>
      </c>
      <c r="B272" s="282">
        <v>7999</v>
      </c>
      <c r="C272" s="282" t="s">
        <v>0</v>
      </c>
      <c r="D272" s="283" t="str">
        <f>"#"&amp;$T$5&amp;"#"&amp;$T$2&amp;"\"&amp;$P$2&amp;"\SCAL"</f>
        <v>#1#treiOPCDA.CoOPCserv.1\pcmaster\dREG_test\SCAL</v>
      </c>
      <c r="BK272" s="4"/>
      <c r="BL272" s="4"/>
      <c r="BM272" s="4"/>
      <c r="BN272" s="4"/>
    </row>
    <row r="273" spans="1:66">
      <c r="A273" s="275" t="str">
        <f>$R$2&amp;".Commands.SOPX"</f>
        <v>FB_dREG_BUF_S.Commands.SOPX</v>
      </c>
      <c r="B273" s="276">
        <v>1</v>
      </c>
      <c r="C273" s="276" t="s">
        <v>1</v>
      </c>
      <c r="D273" s="277">
        <v>4</v>
      </c>
      <c r="BK273" s="4"/>
      <c r="BL273" s="4"/>
      <c r="BM273" s="4"/>
      <c r="BN273" s="4"/>
    </row>
    <row r="274" spans="1:66">
      <c r="A274" s="278" t="str">
        <f>$R$2&amp;".Commands.SOPX"</f>
        <v>FB_dREG_BUF_S.Commands.SOPX</v>
      </c>
      <c r="B274" s="279">
        <v>101</v>
      </c>
      <c r="C274" s="279" t="s">
        <v>0</v>
      </c>
      <c r="D274" s="280" t="s">
        <v>218</v>
      </c>
      <c r="BK274" s="4"/>
      <c r="BL274" s="4"/>
      <c r="BM274" s="4"/>
      <c r="BN274" s="4"/>
    </row>
    <row r="275" spans="1:66">
      <c r="A275" s="278" t="str">
        <f>$R$2&amp;".Commands.SOPX"</f>
        <v>FB_dREG_BUF_S.Commands.SOPX</v>
      </c>
      <c r="B275" s="279">
        <v>7998</v>
      </c>
      <c r="C275" s="279" t="s">
        <v>6</v>
      </c>
      <c r="D275" s="280">
        <v>2</v>
      </c>
      <c r="BK275" s="4"/>
      <c r="BL275" s="4"/>
      <c r="BM275" s="4"/>
      <c r="BN275" s="4"/>
    </row>
    <row r="276" spans="1:66">
      <c r="A276" s="281" t="str">
        <f>$R$2&amp;".Commands.SOPX"</f>
        <v>FB_dREG_BUF_S.Commands.SOPX</v>
      </c>
      <c r="B276" s="282">
        <v>7999</v>
      </c>
      <c r="C276" s="282" t="s">
        <v>0</v>
      </c>
      <c r="D276" s="283" t="str">
        <f>"#"&amp;$T$5&amp;"#"&amp;$T$2&amp;"\"&amp;$P$2&amp;"\SOPX"</f>
        <v>#1#treiOPCDA.CoOPCserv.1\pcmaster\dREG_test\SOPX</v>
      </c>
      <c r="BK276" s="4"/>
      <c r="BL276" s="4"/>
      <c r="BM276" s="4"/>
      <c r="BN276" s="4"/>
    </row>
    <row r="277" spans="1:66">
      <c r="A277" s="275" t="str">
        <f>$R$2&amp;".Commands.SEPX"</f>
        <v>FB_dREG_BUF_S.Commands.SEPX</v>
      </c>
      <c r="B277" s="276">
        <v>1</v>
      </c>
      <c r="C277" s="276" t="s">
        <v>1</v>
      </c>
      <c r="D277" s="277">
        <v>4</v>
      </c>
      <c r="BK277" s="4"/>
      <c r="BL277" s="4"/>
      <c r="BM277" s="4"/>
      <c r="BN277" s="4"/>
    </row>
    <row r="278" spans="1:66">
      <c r="A278" s="278" t="str">
        <f>$R$2&amp;".Commands.SEPX"</f>
        <v>FB_dREG_BUF_S.Commands.SEPX</v>
      </c>
      <c r="B278" s="279">
        <v>101</v>
      </c>
      <c r="C278" s="279" t="s">
        <v>0</v>
      </c>
      <c r="D278" s="280" t="s">
        <v>220</v>
      </c>
      <c r="BK278" s="4"/>
      <c r="BL278" s="4"/>
      <c r="BM278" s="4"/>
      <c r="BN278" s="4"/>
    </row>
    <row r="279" spans="1:66">
      <c r="A279" s="278" t="str">
        <f>$R$2&amp;".Commands.SEPX"</f>
        <v>FB_dREG_BUF_S.Commands.SEPX</v>
      </c>
      <c r="B279" s="279">
        <v>7998</v>
      </c>
      <c r="C279" s="279" t="s">
        <v>6</v>
      </c>
      <c r="D279" s="280">
        <v>2</v>
      </c>
      <c r="BK279" s="4"/>
      <c r="BL279" s="4"/>
      <c r="BM279" s="4"/>
      <c r="BN279" s="4"/>
    </row>
    <row r="280" spans="1:66">
      <c r="A280" s="281" t="str">
        <f>$R$2&amp;".Commands.SEPX"</f>
        <v>FB_dREG_BUF_S.Commands.SEPX</v>
      </c>
      <c r="B280" s="282">
        <v>7999</v>
      </c>
      <c r="C280" s="282" t="s">
        <v>0</v>
      </c>
      <c r="D280" s="283" t="str">
        <f>"#"&amp;$T$5&amp;"#"&amp;$T$2&amp;"\"&amp;$P$2&amp;"\SEPX"</f>
        <v>#1#treiOPCDA.CoOPCserv.1\pcmaster\dREG_test\SEPX</v>
      </c>
      <c r="BK280" s="4"/>
      <c r="BL280" s="4"/>
      <c r="BM280" s="4"/>
      <c r="BN280" s="4"/>
    </row>
    <row r="281" spans="1:66">
      <c r="A281" s="275" t="str">
        <f>$R$2&amp;".Commands.SMVX"</f>
        <v>FB_dREG_BUF_S.Commands.SMVX</v>
      </c>
      <c r="B281" s="276">
        <v>1</v>
      </c>
      <c r="C281" s="276" t="s">
        <v>1</v>
      </c>
      <c r="D281" s="277">
        <v>4</v>
      </c>
      <c r="BK281" s="4"/>
      <c r="BL281" s="4"/>
      <c r="BM281" s="4"/>
      <c r="BN281" s="4"/>
    </row>
    <row r="282" spans="1:66">
      <c r="A282" s="278" t="str">
        <f>$R$2&amp;".Commands.SMVX"</f>
        <v>FB_dREG_BUF_S.Commands.SMVX</v>
      </c>
      <c r="B282" s="279">
        <v>101</v>
      </c>
      <c r="C282" s="279" t="s">
        <v>0</v>
      </c>
      <c r="D282" s="280" t="s">
        <v>221</v>
      </c>
      <c r="BK282" s="4"/>
      <c r="BL282" s="4"/>
      <c r="BM282" s="4"/>
      <c r="BN282" s="4"/>
    </row>
    <row r="283" spans="1:66">
      <c r="A283" s="278" t="str">
        <f>$R$2&amp;".Commands.SMVX"</f>
        <v>FB_dREG_BUF_S.Commands.SMVX</v>
      </c>
      <c r="B283" s="279">
        <v>7998</v>
      </c>
      <c r="C283" s="279" t="s">
        <v>6</v>
      </c>
      <c r="D283" s="280">
        <v>2</v>
      </c>
      <c r="BK283" s="4"/>
      <c r="BL283" s="4"/>
      <c r="BM283" s="4"/>
      <c r="BN283" s="4"/>
    </row>
    <row r="284" spans="1:66">
      <c r="A284" s="281" t="str">
        <f>$R$2&amp;".Commands.SMVX"</f>
        <v>FB_dREG_BUF_S.Commands.SMVX</v>
      </c>
      <c r="B284" s="282">
        <v>7999</v>
      </c>
      <c r="C284" s="282" t="s">
        <v>0</v>
      </c>
      <c r="D284" s="283" t="str">
        <f>"#"&amp;$T$5&amp;"#"&amp;$T$2&amp;"\"&amp;$P$2&amp;"\SMVX"</f>
        <v>#1#treiOPCDA.CoOPCserv.1\pcmaster\dREG_test\SMVX</v>
      </c>
      <c r="BK284" s="4"/>
      <c r="BL284" s="4"/>
      <c r="BM284" s="4"/>
      <c r="BN284" s="4"/>
    </row>
    <row r="285" spans="1:66">
      <c r="A285" s="275" t="str">
        <f>$R$2&amp;".Commands.SBPX"</f>
        <v>FB_dREG_BUF_S.Commands.SBPX</v>
      </c>
      <c r="B285" s="276">
        <v>1</v>
      </c>
      <c r="C285" s="276" t="s">
        <v>1</v>
      </c>
      <c r="D285" s="277">
        <v>4</v>
      </c>
      <c r="BK285" s="4"/>
      <c r="BL285" s="4"/>
      <c r="BM285" s="4"/>
      <c r="BN285" s="4"/>
    </row>
    <row r="286" spans="1:66">
      <c r="A286" s="278" t="str">
        <f>$R$2&amp;".Commands.SBPX"</f>
        <v>FB_dREG_BUF_S.Commands.SBPX</v>
      </c>
      <c r="B286" s="279">
        <v>101</v>
      </c>
      <c r="C286" s="279" t="s">
        <v>0</v>
      </c>
      <c r="D286" s="280" t="s">
        <v>624</v>
      </c>
      <c r="BK286" s="4"/>
      <c r="BL286" s="4"/>
      <c r="BM286" s="4"/>
      <c r="BN286" s="4"/>
    </row>
    <row r="287" spans="1:66">
      <c r="A287" s="278" t="str">
        <f>$R$2&amp;".Commands.SBPX"</f>
        <v>FB_dREG_BUF_S.Commands.SBPX</v>
      </c>
      <c r="B287" s="279">
        <v>7998</v>
      </c>
      <c r="C287" s="279" t="s">
        <v>6</v>
      </c>
      <c r="D287" s="280">
        <v>2</v>
      </c>
      <c r="BK287" s="4"/>
      <c r="BL287" s="4"/>
      <c r="BM287" s="4"/>
      <c r="BN287" s="4"/>
    </row>
    <row r="288" spans="1:66">
      <c r="A288" s="281" t="str">
        <f>$R$2&amp;".Commands.SBPX"</f>
        <v>FB_dREG_BUF_S.Commands.SBPX</v>
      </c>
      <c r="B288" s="282">
        <v>7999</v>
      </c>
      <c r="C288" s="282" t="s">
        <v>0</v>
      </c>
      <c r="D288" s="283" t="str">
        <f>"#"&amp;$T$5&amp;"#"&amp;$T$2&amp;"\"&amp;$P$2&amp;"\SBPX"</f>
        <v>#1#treiOPCDA.CoOPCserv.1\pcmaster\dREG_test\SBPX</v>
      </c>
      <c r="BK288" s="4"/>
      <c r="BL288" s="4"/>
      <c r="BM288" s="4"/>
      <c r="BN288" s="4"/>
    </row>
    <row r="289" spans="1:66">
      <c r="A289" s="275" t="str">
        <f>$R$2&amp;".Commands.S1SD"</f>
        <v>FB_dREG_BUF_S.Commands.S1SD</v>
      </c>
      <c r="B289" s="276">
        <v>1</v>
      </c>
      <c r="C289" s="276" t="s">
        <v>1</v>
      </c>
      <c r="D289" s="277">
        <v>4</v>
      </c>
      <c r="BK289" s="4"/>
      <c r="BL289" s="4"/>
      <c r="BM289" s="4"/>
      <c r="BN289" s="4"/>
    </row>
    <row r="290" spans="1:66">
      <c r="A290" s="278" t="str">
        <f>$R$2&amp;".Commands.S1SD"</f>
        <v>FB_dREG_BUF_S.Commands.S1SD</v>
      </c>
      <c r="B290" s="279">
        <v>101</v>
      </c>
      <c r="C290" s="279" t="s">
        <v>0</v>
      </c>
      <c r="D290" s="280" t="s">
        <v>1796</v>
      </c>
      <c r="BK290" s="4"/>
      <c r="BL290" s="4"/>
      <c r="BM290" s="4"/>
      <c r="BN290" s="4"/>
    </row>
    <row r="291" spans="1:66">
      <c r="A291" s="278" t="str">
        <f>$R$2&amp;".Commands.S1SD"</f>
        <v>FB_dREG_BUF_S.Commands.S1SD</v>
      </c>
      <c r="B291" s="279">
        <v>7998</v>
      </c>
      <c r="C291" s="279" t="s">
        <v>6</v>
      </c>
      <c r="D291" s="280">
        <v>2</v>
      </c>
      <c r="BK291" s="4"/>
      <c r="BL291" s="4"/>
      <c r="BM291" s="4"/>
      <c r="BN291" s="4"/>
    </row>
    <row r="292" spans="1:66">
      <c r="A292" s="281" t="str">
        <f>$R$2&amp;".Commands.S1SD"</f>
        <v>FB_dREG_BUF_S.Commands.S1SD</v>
      </c>
      <c r="B292" s="282">
        <v>7999</v>
      </c>
      <c r="C292" s="282" t="s">
        <v>0</v>
      </c>
      <c r="D292" s="283" t="str">
        <f>"#"&amp;$T$5&amp;"#"&amp;$T$2&amp;"\"&amp;$P$2&amp;"\S1SD"</f>
        <v>#1#treiOPCDA.CoOPCserv.1\pcmaster\dREG_test\S1SD</v>
      </c>
      <c r="BK292" s="4"/>
      <c r="BL292" s="4"/>
      <c r="BM292" s="4"/>
      <c r="BN292" s="4"/>
    </row>
    <row r="293" spans="1:66">
      <c r="A293" s="275" t="str">
        <f>$R$2&amp;".Commands.S2SD"</f>
        <v>FB_dREG_BUF_S.Commands.S2SD</v>
      </c>
      <c r="B293" s="276">
        <v>1</v>
      </c>
      <c r="C293" s="276" t="s">
        <v>1</v>
      </c>
      <c r="D293" s="277">
        <v>4</v>
      </c>
      <c r="BK293" s="4"/>
      <c r="BL293" s="4"/>
      <c r="BM293" s="4"/>
      <c r="BN293" s="4"/>
    </row>
    <row r="294" spans="1:66">
      <c r="A294" s="278" t="str">
        <f>$R$2&amp;".Commands.S2SD"</f>
        <v>FB_dREG_BUF_S.Commands.S2SD</v>
      </c>
      <c r="B294" s="279">
        <v>101</v>
      </c>
      <c r="C294" s="279" t="s">
        <v>0</v>
      </c>
      <c r="D294" s="280" t="s">
        <v>1797</v>
      </c>
      <c r="BK294" s="4"/>
      <c r="BL294" s="4"/>
      <c r="BM294" s="4"/>
      <c r="BN294" s="4"/>
    </row>
    <row r="295" spans="1:66">
      <c r="A295" s="278" t="str">
        <f>$R$2&amp;".Commands.S2SD"</f>
        <v>FB_dREG_BUF_S.Commands.S2SD</v>
      </c>
      <c r="B295" s="279">
        <v>7998</v>
      </c>
      <c r="C295" s="279" t="s">
        <v>6</v>
      </c>
      <c r="D295" s="280">
        <v>2</v>
      </c>
      <c r="BK295" s="4"/>
      <c r="BL295" s="4"/>
      <c r="BM295" s="4"/>
      <c r="BN295" s="4"/>
    </row>
    <row r="296" spans="1:66">
      <c r="A296" s="281" t="str">
        <f>$R$2&amp;".Commands.S2SD"</f>
        <v>FB_dREG_BUF_S.Commands.S2SD</v>
      </c>
      <c r="B296" s="282">
        <v>7999</v>
      </c>
      <c r="C296" s="282" t="s">
        <v>0</v>
      </c>
      <c r="D296" s="283" t="str">
        <f>"#"&amp;$T$5&amp;"#"&amp;$T$2&amp;"\"&amp;$P$2&amp;"\S2SD"</f>
        <v>#1#treiOPCDA.CoOPCserv.1\pcmaster\dREG_test\S2SD</v>
      </c>
      <c r="BK296" s="4"/>
      <c r="BL296" s="4"/>
      <c r="BM296" s="4"/>
      <c r="BN296" s="4"/>
    </row>
    <row r="297" spans="1:66">
      <c r="A297" s="275" t="str">
        <f>$R$2&amp;".Commands.S3SD"</f>
        <v>FB_dREG_BUF_S.Commands.S3SD</v>
      </c>
      <c r="B297" s="276">
        <v>1</v>
      </c>
      <c r="C297" s="276" t="s">
        <v>1</v>
      </c>
      <c r="D297" s="277">
        <v>4</v>
      </c>
      <c r="BK297" s="4"/>
      <c r="BL297" s="4"/>
      <c r="BM297" s="4"/>
      <c r="BN297" s="4"/>
    </row>
    <row r="298" spans="1:66">
      <c r="A298" s="278" t="str">
        <f>$R$2&amp;".Commands.S3SD"</f>
        <v>FB_dREG_BUF_S.Commands.S3SD</v>
      </c>
      <c r="B298" s="279">
        <v>101</v>
      </c>
      <c r="C298" s="279" t="s">
        <v>0</v>
      </c>
      <c r="D298" s="280" t="s">
        <v>1798</v>
      </c>
      <c r="BK298" s="4"/>
      <c r="BL298" s="4"/>
      <c r="BM298" s="4"/>
      <c r="BN298" s="4"/>
    </row>
    <row r="299" spans="1:66">
      <c r="A299" s="278" t="str">
        <f>$R$2&amp;".Commands.S3SD"</f>
        <v>FB_dREG_BUF_S.Commands.S3SD</v>
      </c>
      <c r="B299" s="279">
        <v>7998</v>
      </c>
      <c r="C299" s="279" t="s">
        <v>6</v>
      </c>
      <c r="D299" s="280">
        <v>2</v>
      </c>
      <c r="BK299" s="4"/>
      <c r="BL299" s="4"/>
      <c r="BM299" s="4"/>
      <c r="BN299" s="4"/>
    </row>
    <row r="300" spans="1:66">
      <c r="A300" s="281" t="str">
        <f>$R$2&amp;".Commands.S3SD"</f>
        <v>FB_dREG_BUF_S.Commands.S3SD</v>
      </c>
      <c r="B300" s="282">
        <v>7999</v>
      </c>
      <c r="C300" s="282" t="s">
        <v>0</v>
      </c>
      <c r="D300" s="283" t="str">
        <f>"#"&amp;$T$5&amp;"#"&amp;$T$2&amp;"\"&amp;$P$2&amp;"\S3SD"</f>
        <v>#1#treiOPCDA.CoOPCserv.1\pcmaster\dREG_test\S3SD</v>
      </c>
      <c r="BK300" s="4"/>
      <c r="BL300" s="4"/>
      <c r="BM300" s="4"/>
      <c r="BN300" s="4"/>
    </row>
    <row r="301" spans="1:66">
      <c r="A301" s="275" t="str">
        <f>$R$2&amp;".Commands.S1SI"</f>
        <v>FB_dREG_BUF_S.Commands.S1SI</v>
      </c>
      <c r="B301" s="276">
        <v>1</v>
      </c>
      <c r="C301" s="276" t="s">
        <v>1</v>
      </c>
      <c r="D301" s="277">
        <v>4</v>
      </c>
      <c r="BK301" s="4"/>
      <c r="BL301" s="4"/>
      <c r="BM301" s="4"/>
      <c r="BN301" s="4"/>
    </row>
    <row r="302" spans="1:66">
      <c r="A302" s="278" t="str">
        <f>$R$2&amp;".Commands.S1SI"</f>
        <v>FB_dREG_BUF_S.Commands.S1SI</v>
      </c>
      <c r="B302" s="279">
        <v>101</v>
      </c>
      <c r="C302" s="279" t="s">
        <v>0</v>
      </c>
      <c r="D302" s="280" t="s">
        <v>1795</v>
      </c>
      <c r="BK302" s="4"/>
      <c r="BL302" s="4"/>
      <c r="BM302" s="4"/>
      <c r="BN302" s="4"/>
    </row>
    <row r="303" spans="1:66">
      <c r="A303" s="278" t="str">
        <f>$R$2&amp;".Commands.S1SI"</f>
        <v>FB_dREG_BUF_S.Commands.S1SI</v>
      </c>
      <c r="B303" s="279">
        <v>7998</v>
      </c>
      <c r="C303" s="279" t="s">
        <v>6</v>
      </c>
      <c r="D303" s="280">
        <v>2</v>
      </c>
      <c r="BK303" s="4"/>
      <c r="BL303" s="4"/>
      <c r="BM303" s="4"/>
      <c r="BN303" s="4"/>
    </row>
    <row r="304" spans="1:66">
      <c r="A304" s="281" t="str">
        <f>$R$2&amp;".Commands.S1SI"</f>
        <v>FB_dREG_BUF_S.Commands.S1SI</v>
      </c>
      <c r="B304" s="282">
        <v>7999</v>
      </c>
      <c r="C304" s="282" t="s">
        <v>0</v>
      </c>
      <c r="D304" s="283" t="str">
        <f>"#"&amp;$T$5&amp;"#"&amp;$T$2&amp;"\"&amp;$P$2&amp;"\S1SI"</f>
        <v>#1#treiOPCDA.CoOPCserv.1\pcmaster\dREG_test\S1SI</v>
      </c>
      <c r="BK304" s="4"/>
      <c r="BL304" s="4"/>
      <c r="BM304" s="4"/>
      <c r="BN304" s="4"/>
    </row>
    <row r="305" spans="1:66">
      <c r="A305" s="275" t="str">
        <f>$R$2&amp;".Commands.S2SI"</f>
        <v>FB_dREG_BUF_S.Commands.S2SI</v>
      </c>
      <c r="B305" s="276">
        <v>1</v>
      </c>
      <c r="C305" s="276" t="s">
        <v>1</v>
      </c>
      <c r="D305" s="277">
        <v>4</v>
      </c>
      <c r="BK305" s="4"/>
      <c r="BL305" s="4"/>
      <c r="BM305" s="4"/>
      <c r="BN305" s="4"/>
    </row>
    <row r="306" spans="1:66">
      <c r="A306" s="278" t="str">
        <f>$R$2&amp;".Commands.S2SI"</f>
        <v>FB_dREG_BUF_S.Commands.S2SI</v>
      </c>
      <c r="B306" s="279">
        <v>101</v>
      </c>
      <c r="C306" s="279" t="s">
        <v>0</v>
      </c>
      <c r="D306" s="280" t="s">
        <v>1800</v>
      </c>
      <c r="BK306" s="4"/>
      <c r="BL306" s="4"/>
      <c r="BM306" s="4"/>
      <c r="BN306" s="4"/>
    </row>
    <row r="307" spans="1:66">
      <c r="A307" s="278" t="str">
        <f>$R$2&amp;".Commands.S2SI"</f>
        <v>FB_dREG_BUF_S.Commands.S2SI</v>
      </c>
      <c r="B307" s="279">
        <v>7998</v>
      </c>
      <c r="C307" s="279" t="s">
        <v>6</v>
      </c>
      <c r="D307" s="280">
        <v>2</v>
      </c>
      <c r="BK307" s="4"/>
      <c r="BL307" s="4"/>
      <c r="BM307" s="4"/>
      <c r="BN307" s="4"/>
    </row>
    <row r="308" spans="1:66">
      <c r="A308" s="281" t="str">
        <f>$R$2&amp;".Commands.S2SI"</f>
        <v>FB_dREG_BUF_S.Commands.S2SI</v>
      </c>
      <c r="B308" s="282">
        <v>7999</v>
      </c>
      <c r="C308" s="282" t="s">
        <v>0</v>
      </c>
      <c r="D308" s="283" t="str">
        <f>"#"&amp;$T$5&amp;"#"&amp;$T$2&amp;"\"&amp;$P$2&amp;"\S2SI"</f>
        <v>#1#treiOPCDA.CoOPCserv.1\pcmaster\dREG_test\S2SI</v>
      </c>
      <c r="BK308" s="4"/>
      <c r="BL308" s="4"/>
      <c r="BM308" s="4"/>
      <c r="BN308" s="4"/>
    </row>
    <row r="309" spans="1:66">
      <c r="A309" s="275" t="str">
        <f>$R$2&amp;".Commands.S3SI"</f>
        <v>FB_dREG_BUF_S.Commands.S3SI</v>
      </c>
      <c r="B309" s="276">
        <v>1</v>
      </c>
      <c r="C309" s="276" t="s">
        <v>1</v>
      </c>
      <c r="D309" s="277">
        <v>4</v>
      </c>
      <c r="BK309" s="4"/>
      <c r="BL309" s="4"/>
      <c r="BM309" s="4"/>
      <c r="BN309" s="4"/>
    </row>
    <row r="310" spans="1:66">
      <c r="A310" s="278" t="str">
        <f>$R$2&amp;".Commands.S3SI"</f>
        <v>FB_dREG_BUF_S.Commands.S3SI</v>
      </c>
      <c r="B310" s="279">
        <v>101</v>
      </c>
      <c r="C310" s="279" t="s">
        <v>0</v>
      </c>
      <c r="D310" s="280" t="s">
        <v>1799</v>
      </c>
      <c r="BK310" s="4"/>
      <c r="BL310" s="4"/>
      <c r="BM310" s="4"/>
      <c r="BN310" s="4"/>
    </row>
    <row r="311" spans="1:66">
      <c r="A311" s="278" t="str">
        <f>$R$2&amp;".Commands.S3SI"</f>
        <v>FB_dREG_BUF_S.Commands.S3SI</v>
      </c>
      <c r="B311" s="279">
        <v>7998</v>
      </c>
      <c r="C311" s="279" t="s">
        <v>6</v>
      </c>
      <c r="D311" s="280">
        <v>2</v>
      </c>
      <c r="BK311" s="4"/>
      <c r="BL311" s="4"/>
      <c r="BM311" s="4"/>
      <c r="BN311" s="4"/>
    </row>
    <row r="312" spans="1:66">
      <c r="A312" s="281" t="str">
        <f>$R$2&amp;".Commands.S3SI"</f>
        <v>FB_dREG_BUF_S.Commands.S3SI</v>
      </c>
      <c r="B312" s="282">
        <v>7999</v>
      </c>
      <c r="C312" s="282" t="s">
        <v>0</v>
      </c>
      <c r="D312" s="283" t="str">
        <f>"#"&amp;$T$5&amp;"#"&amp;$T$2&amp;"\"&amp;$P$2&amp;"\S3SI"</f>
        <v>#1#treiOPCDA.CoOPCserv.1\pcmaster\dREG_test\S3SI</v>
      </c>
      <c r="BK312" s="4"/>
      <c r="BL312" s="4"/>
      <c r="BM312" s="4"/>
      <c r="BN312" s="4"/>
    </row>
    <row r="313" spans="1:66">
      <c r="A313" s="275" t="str">
        <f>$R$2&amp;".Commands.SSPX"</f>
        <v>FB_dREG_BUF_S.Commands.SSPX</v>
      </c>
      <c r="B313" s="276">
        <v>1</v>
      </c>
      <c r="C313" s="276" t="s">
        <v>1</v>
      </c>
      <c r="D313" s="277">
        <v>4</v>
      </c>
      <c r="BK313" s="4"/>
      <c r="BL313" s="4"/>
      <c r="BM313" s="4"/>
      <c r="BN313" s="4"/>
    </row>
    <row r="314" spans="1:66">
      <c r="A314" s="278" t="str">
        <f>$R$2&amp;".Commands.SSPX"</f>
        <v>FB_dREG_BUF_S.Commands.SSPX</v>
      </c>
      <c r="B314" s="279">
        <v>101</v>
      </c>
      <c r="C314" s="279" t="s">
        <v>0</v>
      </c>
      <c r="D314" s="280" t="s">
        <v>213</v>
      </c>
      <c r="BK314" s="4"/>
      <c r="BL314" s="4"/>
      <c r="BM314" s="4"/>
      <c r="BN314" s="4"/>
    </row>
    <row r="315" spans="1:66">
      <c r="A315" s="278" t="str">
        <f>$R$2&amp;".Commands.SSPX"</f>
        <v>FB_dREG_BUF_S.Commands.SSPX</v>
      </c>
      <c r="B315" s="279">
        <v>7998</v>
      </c>
      <c r="C315" s="279" t="s">
        <v>6</v>
      </c>
      <c r="D315" s="280">
        <v>2</v>
      </c>
      <c r="BK315" s="4"/>
      <c r="BL315" s="4"/>
      <c r="BM315" s="4"/>
      <c r="BN315" s="4"/>
    </row>
    <row r="316" spans="1:66">
      <c r="A316" s="281" t="str">
        <f>$R$2&amp;".Commands.SSPX"</f>
        <v>FB_dREG_BUF_S.Commands.SSPX</v>
      </c>
      <c r="B316" s="282">
        <v>7999</v>
      </c>
      <c r="C316" s="282" t="s">
        <v>0</v>
      </c>
      <c r="D316" s="283" t="str">
        <f>"#"&amp;$T$5&amp;"#"&amp;$T$2&amp;"\"&amp;$P$2&amp;"\SSPX"</f>
        <v>#1#treiOPCDA.CoOPCserv.1\pcmaster\dREG_test\SSPX</v>
      </c>
      <c r="BK316" s="4"/>
      <c r="BL316" s="4"/>
      <c r="BM316" s="4"/>
      <c r="BN316" s="4"/>
    </row>
    <row r="317" spans="1:66">
      <c r="A317" s="275" t="str">
        <f>$R$2&amp;".Commands.SCSV"</f>
        <v>FB_dREG_BUF_S.Commands.SCSV</v>
      </c>
      <c r="B317" s="276">
        <v>1</v>
      </c>
      <c r="C317" s="276" t="s">
        <v>1</v>
      </c>
      <c r="D317" s="277">
        <v>4</v>
      </c>
      <c r="BK317" s="4"/>
      <c r="BL317" s="4"/>
      <c r="BM317" s="4"/>
      <c r="BN317" s="4"/>
    </row>
    <row r="318" spans="1:66">
      <c r="A318" s="278" t="str">
        <f>$R$2&amp;".Commands.SCSV"</f>
        <v>FB_dREG_BUF_S.Commands.SCSV</v>
      </c>
      <c r="B318" s="279">
        <v>101</v>
      </c>
      <c r="C318" s="279" t="s">
        <v>0</v>
      </c>
      <c r="D318" s="280" t="s">
        <v>2757</v>
      </c>
      <c r="BK318" s="4"/>
      <c r="BL318" s="4"/>
      <c r="BM318" s="4"/>
      <c r="BN318" s="4"/>
    </row>
    <row r="319" spans="1:66">
      <c r="A319" s="278" t="str">
        <f>$R$2&amp;".Commands.SCSV"</f>
        <v>FB_dREG_BUF_S.Commands.SCSV</v>
      </c>
      <c r="B319" s="279">
        <v>7998</v>
      </c>
      <c r="C319" s="279" t="s">
        <v>6</v>
      </c>
      <c r="D319" s="280">
        <v>2</v>
      </c>
      <c r="BK319" s="4"/>
      <c r="BL319" s="4"/>
      <c r="BM319" s="4"/>
      <c r="BN319" s="4"/>
    </row>
    <row r="320" spans="1:66">
      <c r="A320" s="281" t="str">
        <f>$R$2&amp;".Commands.SCSV"</f>
        <v>FB_dREG_BUF_S.Commands.SCSV</v>
      </c>
      <c r="B320" s="282">
        <v>7999</v>
      </c>
      <c r="C320" s="282" t="s">
        <v>0</v>
      </c>
      <c r="D320" s="283" t="str">
        <f>"#"&amp;$T$5&amp;"#"&amp;$T$2&amp;"\"&amp;$P$2&amp;"\SCSV"</f>
        <v>#1#treiOPCDA.CoOPCserv.1\pcmaster\dREG_test\SCSV</v>
      </c>
      <c r="BK320" s="4"/>
      <c r="BL320" s="4"/>
      <c r="BM320" s="4"/>
      <c r="BN320" s="4"/>
    </row>
    <row r="321" spans="1:66">
      <c r="A321" s="266" t="str">
        <f>$R$2&amp;".Commands.SMVT"</f>
        <v>FB_dREG_BUF_S.Commands.SMVT</v>
      </c>
      <c r="B321" s="267">
        <v>1</v>
      </c>
      <c r="C321" s="267" t="s">
        <v>1</v>
      </c>
      <c r="D321" s="268">
        <v>3</v>
      </c>
    </row>
    <row r="322" spans="1:66">
      <c r="A322" s="269" t="str">
        <f>$R$2&amp;".Commands.SMVT"</f>
        <v>FB_dREG_BUF_S.Commands.SMVT</v>
      </c>
      <c r="B322" s="270">
        <v>101</v>
      </c>
      <c r="C322" s="270" t="s">
        <v>0</v>
      </c>
      <c r="D322" s="271" t="s">
        <v>222</v>
      </c>
    </row>
    <row r="323" spans="1:66">
      <c r="A323" s="269" t="str">
        <f>$R$2&amp;".Commands.SMVT"</f>
        <v>FB_dREG_BUF_S.Commands.SMVT</v>
      </c>
      <c r="B323" s="270">
        <v>7998</v>
      </c>
      <c r="C323" s="270" t="s">
        <v>6</v>
      </c>
      <c r="D323" s="271">
        <v>2</v>
      </c>
    </row>
    <row r="324" spans="1:66">
      <c r="A324" s="272" t="str">
        <f>$R$2&amp;".Commands.SMVT"</f>
        <v>FB_dREG_BUF_S.Commands.SMVT</v>
      </c>
      <c r="B324" s="273">
        <v>7999</v>
      </c>
      <c r="C324" s="273" t="s">
        <v>0</v>
      </c>
      <c r="D324" s="274" t="str">
        <f>"#"&amp;$T$5&amp;"#"&amp;$T$2&amp;"\"&amp;$P$2&amp;"\SMVT"</f>
        <v>#1#treiOPCDA.CoOPCserv.1\pcmaster\dREG_test\SMVT</v>
      </c>
    </row>
    <row r="325" spans="1:66">
      <c r="A325" s="266" t="str">
        <f>$R$2&amp;".Commands.SDTX"</f>
        <v>FB_dREG_BUF_S.Commands.SDTX</v>
      </c>
      <c r="B325" s="267">
        <v>1</v>
      </c>
      <c r="C325" s="267" t="s">
        <v>1</v>
      </c>
      <c r="D325" s="268">
        <v>3</v>
      </c>
      <c r="BK325" s="4"/>
      <c r="BL325" s="4"/>
      <c r="BM325" s="4"/>
      <c r="BN325" s="4"/>
    </row>
    <row r="326" spans="1:66">
      <c r="A326" s="269" t="str">
        <f>$R$2&amp;".Commands.SDTX"</f>
        <v>FB_dREG_BUF_S.Commands.SDTX</v>
      </c>
      <c r="B326" s="270">
        <v>101</v>
      </c>
      <c r="C326" s="270" t="s">
        <v>0</v>
      </c>
      <c r="D326" s="271" t="s">
        <v>623</v>
      </c>
      <c r="BK326" s="4"/>
      <c r="BL326" s="4"/>
      <c r="BM326" s="4"/>
      <c r="BN326" s="4"/>
    </row>
    <row r="327" spans="1:66">
      <c r="A327" s="269" t="str">
        <f>$R$2&amp;".Commands.SDTX"</f>
        <v>FB_dREG_BUF_S.Commands.SDTX</v>
      </c>
      <c r="B327" s="270">
        <v>7998</v>
      </c>
      <c r="C327" s="270" t="s">
        <v>6</v>
      </c>
      <c r="D327" s="271">
        <v>2</v>
      </c>
      <c r="BK327" s="4"/>
      <c r="BL327" s="4"/>
      <c r="BM327" s="4"/>
      <c r="BN327" s="4"/>
    </row>
    <row r="328" spans="1:66">
      <c r="A328" s="272" t="str">
        <f>$R$2&amp;".Commands.SDTX"</f>
        <v>FB_dREG_BUF_S.Commands.SDTX</v>
      </c>
      <c r="B328" s="273">
        <v>7999</v>
      </c>
      <c r="C328" s="273" t="s">
        <v>0</v>
      </c>
      <c r="D328" s="274" t="str">
        <f>"#"&amp;$T$5&amp;"#"&amp;$T$2&amp;"\"&amp;$P$2&amp;"\SDTX"</f>
        <v>#1#treiOPCDA.CoOPCserv.1\pcmaster\dREG_test\SDTX</v>
      </c>
      <c r="BK328" s="4"/>
      <c r="BL328" s="4"/>
      <c r="BM328" s="4"/>
      <c r="BN328" s="4"/>
    </row>
    <row r="329" spans="1:66">
      <c r="A329" s="266" t="str">
        <f>$R$2&amp;".Commands.SCST"</f>
        <v>FB_dREG_BUF_S.Commands.SCST</v>
      </c>
      <c r="B329" s="267">
        <v>1</v>
      </c>
      <c r="C329" s="267" t="s">
        <v>1</v>
      </c>
      <c r="D329" s="268">
        <v>3</v>
      </c>
      <c r="BK329" s="4"/>
      <c r="BL329" s="4"/>
      <c r="BM329" s="4"/>
      <c r="BN329" s="4"/>
    </row>
    <row r="330" spans="1:66">
      <c r="A330" s="269" t="str">
        <f t="shared" ref="A330:A332" si="25">$R$2&amp;".Commands.SCST"</f>
        <v>FB_dREG_BUF_S.Commands.SCST</v>
      </c>
      <c r="B330" s="270">
        <v>101</v>
      </c>
      <c r="C330" s="270" t="s">
        <v>0</v>
      </c>
      <c r="D330" s="271" t="s">
        <v>2758</v>
      </c>
      <c r="BK330" s="4"/>
      <c r="BL330" s="4"/>
      <c r="BM330" s="4"/>
      <c r="BN330" s="4"/>
    </row>
    <row r="331" spans="1:66">
      <c r="A331" s="269" t="str">
        <f t="shared" si="25"/>
        <v>FB_dREG_BUF_S.Commands.SCST</v>
      </c>
      <c r="B331" s="270">
        <v>7998</v>
      </c>
      <c r="C331" s="270" t="s">
        <v>6</v>
      </c>
      <c r="D331" s="271">
        <v>2</v>
      </c>
      <c r="BK331" s="4"/>
      <c r="BL331" s="4"/>
      <c r="BM331" s="4"/>
      <c r="BN331" s="4"/>
    </row>
    <row r="332" spans="1:66">
      <c r="A332" s="272" t="str">
        <f t="shared" si="25"/>
        <v>FB_dREG_BUF_S.Commands.SCST</v>
      </c>
      <c r="B332" s="273">
        <v>7999</v>
      </c>
      <c r="C332" s="273" t="s">
        <v>0</v>
      </c>
      <c r="D332" s="274" t="str">
        <f>"#"&amp;$T$5&amp;"#"&amp;$T$2&amp;"\"&amp;$P$2&amp;"\SCST"</f>
        <v>#1#treiOPCDA.CoOPCserv.1\pcmaster\dREG_test\SCST</v>
      </c>
      <c r="BK332" s="4"/>
      <c r="BL332" s="4"/>
      <c r="BM332" s="4"/>
      <c r="BN332" s="4"/>
    </row>
    <row r="333" spans="1:66">
      <c r="A333" s="16" t="str">
        <f>$R$2&amp;".Commands.CMMX"</f>
        <v>FB_dREG_BUF_S.Commands.CMMX</v>
      </c>
      <c r="B333" s="17">
        <v>101</v>
      </c>
      <c r="C333" s="17" t="s">
        <v>0</v>
      </c>
      <c r="D333" s="18" t="s">
        <v>202</v>
      </c>
    </row>
    <row r="334" spans="1:66">
      <c r="A334" s="19" t="str">
        <f>$R$2&amp;".Commands.CMMX"</f>
        <v>FB_dREG_BUF_S.Commands.CMMX</v>
      </c>
      <c r="B334" s="11">
        <v>7999</v>
      </c>
      <c r="C334" s="11" t="s">
        <v>0</v>
      </c>
      <c r="D334" s="20" t="str">
        <f>"#"&amp;$T$5&amp;"#"&amp;$T$2&amp;"\"&amp;$P$2&amp;"\CMMX"</f>
        <v>#1#treiOPCDA.CoOPCserv.1\pcmaster\dREG_test\CMMX</v>
      </c>
    </row>
    <row r="335" spans="1:66">
      <c r="A335" s="19" t="str">
        <f>$R$2&amp;".Commands.CMMX"</f>
        <v>FB_dREG_BUF_S.Commands.CMMX</v>
      </c>
      <c r="B335" s="11">
        <v>7998</v>
      </c>
      <c r="C335" s="11" t="s">
        <v>6</v>
      </c>
      <c r="D335" s="20">
        <v>2</v>
      </c>
    </row>
    <row r="336" spans="1:66">
      <c r="A336" s="21" t="str">
        <f>$R$2&amp;".Commands.CMMX"</f>
        <v>FB_dREG_BUF_S.Commands.CMMX</v>
      </c>
      <c r="B336" s="8">
        <v>1</v>
      </c>
      <c r="C336" s="8" t="s">
        <v>1</v>
      </c>
      <c r="D336" s="22">
        <v>11</v>
      </c>
    </row>
    <row r="337" spans="1:4">
      <c r="A337" s="16" t="str">
        <f>$R$2&amp;".Commands.CRPX"</f>
        <v>FB_dREG_BUF_S.Commands.CRPX</v>
      </c>
      <c r="B337" s="17">
        <v>101</v>
      </c>
      <c r="C337" s="17" t="s">
        <v>0</v>
      </c>
      <c r="D337" s="18" t="s">
        <v>113</v>
      </c>
    </row>
    <row r="338" spans="1:4">
      <c r="A338" s="19" t="str">
        <f>$R$2&amp;".Commands.CRPX"</f>
        <v>FB_dREG_BUF_S.Commands.CRPX</v>
      </c>
      <c r="B338" s="11">
        <v>7999</v>
      </c>
      <c r="C338" s="11" t="s">
        <v>0</v>
      </c>
      <c r="D338" s="20" t="str">
        <f>"#"&amp;$T$5&amp;"#"&amp;$T$2&amp;"\"&amp;$P$2&amp;"\CRPX"</f>
        <v>#1#treiOPCDA.CoOPCserv.1\pcmaster\dREG_test\CRPX</v>
      </c>
    </row>
    <row r="339" spans="1:4">
      <c r="A339" s="19" t="str">
        <f>$R$2&amp;".Commands.CRPX"</f>
        <v>FB_dREG_BUF_S.Commands.CRPX</v>
      </c>
      <c r="B339" s="11">
        <v>7998</v>
      </c>
      <c r="C339" s="11" t="s">
        <v>6</v>
      </c>
      <c r="D339" s="20">
        <v>2</v>
      </c>
    </row>
    <row r="340" spans="1:4">
      <c r="A340" s="21" t="str">
        <f>$R$2&amp;".Commands.CRPX"</f>
        <v>FB_dREG_BUF_S.Commands.CRPX</v>
      </c>
      <c r="B340" s="8">
        <v>1</v>
      </c>
      <c r="C340" s="8" t="s">
        <v>1</v>
      </c>
      <c r="D340" s="22">
        <v>11</v>
      </c>
    </row>
    <row r="341" spans="1:4">
      <c r="A341" s="16" t="str">
        <f>$R$2&amp;".Commands.CCRM"</f>
        <v>FB_dREG_BUF_S.Commands.CCRM</v>
      </c>
      <c r="B341" s="17">
        <v>101</v>
      </c>
      <c r="C341" s="17" t="s">
        <v>0</v>
      </c>
      <c r="D341" s="18" t="s">
        <v>203</v>
      </c>
    </row>
    <row r="342" spans="1:4">
      <c r="A342" s="19" t="str">
        <f>$R$2&amp;".Commands.CCRM"</f>
        <v>FB_dREG_BUF_S.Commands.CCRM</v>
      </c>
      <c r="B342" s="11">
        <v>7999</v>
      </c>
      <c r="C342" s="11" t="s">
        <v>0</v>
      </c>
      <c r="D342" s="20" t="str">
        <f>"#"&amp;$T$5&amp;"#"&amp;$T$2&amp;"\"&amp;$P$2&amp;"\CCRM"</f>
        <v>#1#treiOPCDA.CoOPCserv.1\pcmaster\dREG_test\CCRM</v>
      </c>
    </row>
    <row r="343" spans="1:4">
      <c r="A343" s="19" t="str">
        <f>$R$2&amp;".Commands.CCRM"</f>
        <v>FB_dREG_BUF_S.Commands.CCRM</v>
      </c>
      <c r="B343" s="11">
        <v>7998</v>
      </c>
      <c r="C343" s="11" t="s">
        <v>6</v>
      </c>
      <c r="D343" s="20">
        <v>2</v>
      </c>
    </row>
    <row r="344" spans="1:4">
      <c r="A344" s="21" t="str">
        <f>$R$2&amp;".Commands.CCRM"</f>
        <v>FB_dREG_BUF_S.Commands.CCRM</v>
      </c>
      <c r="B344" s="8">
        <v>1</v>
      </c>
      <c r="C344" s="8" t="s">
        <v>1</v>
      </c>
      <c r="D344" s="22">
        <v>11</v>
      </c>
    </row>
    <row r="345" spans="1:4">
      <c r="A345" s="16" t="str">
        <f>$R$2&amp;".Commands.CNWX"</f>
        <v>FB_dREG_BUF_S.Commands.CNWX</v>
      </c>
      <c r="B345" s="17">
        <v>101</v>
      </c>
      <c r="C345" s="17" t="s">
        <v>0</v>
      </c>
      <c r="D345" s="18" t="s">
        <v>2756</v>
      </c>
    </row>
    <row r="346" spans="1:4">
      <c r="A346" s="19" t="str">
        <f t="shared" ref="A346:A348" si="26">$R$2&amp;".Commands.CNWX"</f>
        <v>FB_dREG_BUF_S.Commands.CNWX</v>
      </c>
      <c r="B346" s="11">
        <v>7999</v>
      </c>
      <c r="C346" s="11" t="s">
        <v>0</v>
      </c>
      <c r="D346" s="20" t="str">
        <f>"#"&amp;$T$5&amp;"#"&amp;$T$2&amp;"\"&amp;$P$2&amp;"\CNWX"</f>
        <v>#1#treiOPCDA.CoOPCserv.1\pcmaster\dREG_test\CNWX</v>
      </c>
    </row>
    <row r="347" spans="1:4">
      <c r="A347" s="19" t="str">
        <f t="shared" si="26"/>
        <v>FB_dREG_BUF_S.Commands.CNWX</v>
      </c>
      <c r="B347" s="11">
        <v>7998</v>
      </c>
      <c r="C347" s="11" t="s">
        <v>6</v>
      </c>
      <c r="D347" s="20">
        <v>2</v>
      </c>
    </row>
    <row r="348" spans="1:4">
      <c r="A348" s="21" t="str">
        <f t="shared" si="26"/>
        <v>FB_dREG_BUF_S.Commands.CNWX</v>
      </c>
      <c r="B348" s="8">
        <v>1</v>
      </c>
      <c r="C348" s="8" t="s">
        <v>1</v>
      </c>
      <c r="D348" s="22">
        <v>11</v>
      </c>
    </row>
    <row r="349" spans="1:4">
      <c r="A349" s="19" t="str">
        <f t="shared" ref="A349:A354" si="27">$R$2&amp;".FXXX"</f>
        <v>FB_dREG_BUF_S.FXXX</v>
      </c>
      <c r="B349" s="11">
        <v>7999</v>
      </c>
      <c r="C349" s="11" t="s">
        <v>0</v>
      </c>
      <c r="D349" s="20" t="str">
        <f>"#"&amp;$S$2&amp;"#"&amp;$T$2&amp;"\"&amp;$P$2&amp;"\FXXX"</f>
        <v>#1#treiOPCDA.CoOPCserv.1\pcmaster\dREG_test\FXXX</v>
      </c>
    </row>
    <row r="350" spans="1:4">
      <c r="A350" s="19" t="str">
        <f t="shared" si="27"/>
        <v>FB_dREG_BUF_S.FXXX</v>
      </c>
      <c r="B350" s="11">
        <v>7998</v>
      </c>
      <c r="C350" s="11" t="s">
        <v>6</v>
      </c>
      <c r="D350" s="20">
        <v>1</v>
      </c>
    </row>
    <row r="351" spans="1:4">
      <c r="A351" s="19" t="str">
        <f t="shared" si="27"/>
        <v>FB_dREG_BUF_S.FXXX</v>
      </c>
      <c r="B351" s="11">
        <v>101</v>
      </c>
      <c r="C351" s="11" t="s">
        <v>0</v>
      </c>
      <c r="D351" s="20" t="s">
        <v>139</v>
      </c>
    </row>
    <row r="352" spans="1:4">
      <c r="A352" s="19" t="str">
        <f t="shared" si="27"/>
        <v>FB_dREG_BUF_S.FXXX</v>
      </c>
      <c r="B352" s="11">
        <v>3</v>
      </c>
      <c r="C352" s="11" t="s">
        <v>1</v>
      </c>
      <c r="D352" s="20">
        <v>192</v>
      </c>
    </row>
    <row r="353" spans="1:66">
      <c r="A353" s="19" t="str">
        <f t="shared" si="27"/>
        <v>FB_dREG_BUF_S.FXXX</v>
      </c>
      <c r="B353" s="11">
        <v>2</v>
      </c>
      <c r="C353" s="11" t="s">
        <v>2</v>
      </c>
      <c r="D353" s="20" t="s">
        <v>3</v>
      </c>
    </row>
    <row r="354" spans="1:66">
      <c r="A354" s="21" t="str">
        <f t="shared" si="27"/>
        <v>FB_dREG_BUF_S.FXXX</v>
      </c>
      <c r="B354" s="8">
        <v>1</v>
      </c>
      <c r="C354" s="8" t="s">
        <v>1</v>
      </c>
      <c r="D354" s="22">
        <v>11</v>
      </c>
    </row>
    <row r="355" spans="1:66">
      <c r="A355" s="19" t="str">
        <f t="shared" ref="A355:A360" si="28">$R$2&amp;".XDAX"</f>
        <v>FB_dREG_BUF_S.XDAX</v>
      </c>
      <c r="B355" s="11">
        <v>7999</v>
      </c>
      <c r="C355" s="11" t="s">
        <v>0</v>
      </c>
      <c r="D355" s="20" t="str">
        <f>"#"&amp;$S$2&amp;"#"&amp;$T$2&amp;"\"&amp;$P$2&amp;"\XDAX"</f>
        <v>#1#treiOPCDA.CoOPCserv.1\pcmaster\dREG_test\XDAX</v>
      </c>
      <c r="BK355" s="4"/>
      <c r="BL355" s="4"/>
      <c r="BM355" s="4"/>
      <c r="BN355" s="4"/>
    </row>
    <row r="356" spans="1:66">
      <c r="A356" s="19" t="str">
        <f t="shared" si="28"/>
        <v>FB_dREG_BUF_S.XDAX</v>
      </c>
      <c r="B356" s="11">
        <v>7998</v>
      </c>
      <c r="C356" s="11" t="s">
        <v>6</v>
      </c>
      <c r="D356" s="20">
        <v>1</v>
      </c>
      <c r="BK356" s="4"/>
      <c r="BL356" s="4"/>
      <c r="BM356" s="4"/>
      <c r="BN356" s="4"/>
    </row>
    <row r="357" spans="1:66">
      <c r="A357" s="19" t="str">
        <f t="shared" si="28"/>
        <v>FB_dREG_BUF_S.XDAX</v>
      </c>
      <c r="B357" s="11">
        <v>101</v>
      </c>
      <c r="C357" s="11" t="s">
        <v>0</v>
      </c>
      <c r="D357" s="20" t="s">
        <v>716</v>
      </c>
      <c r="BK357" s="4"/>
      <c r="BL357" s="4"/>
      <c r="BM357" s="4"/>
      <c r="BN357" s="4"/>
    </row>
    <row r="358" spans="1:66">
      <c r="A358" s="19" t="str">
        <f t="shared" si="28"/>
        <v>FB_dREG_BUF_S.XDAX</v>
      </c>
      <c r="B358" s="11">
        <v>3</v>
      </c>
      <c r="C358" s="11" t="s">
        <v>1</v>
      </c>
      <c r="D358" s="20">
        <v>192</v>
      </c>
      <c r="BK358" s="4"/>
      <c r="BL358" s="4"/>
      <c r="BM358" s="4"/>
      <c r="BN358" s="4"/>
    </row>
    <row r="359" spans="1:66">
      <c r="A359" s="19" t="str">
        <f t="shared" si="28"/>
        <v>FB_dREG_BUF_S.XDAX</v>
      </c>
      <c r="B359" s="11">
        <v>2</v>
      </c>
      <c r="C359" s="11" t="s">
        <v>2</v>
      </c>
      <c r="D359" s="20" t="s">
        <v>3</v>
      </c>
      <c r="BK359" s="4"/>
      <c r="BL359" s="4"/>
      <c r="BM359" s="4"/>
      <c r="BN359" s="4"/>
    </row>
    <row r="360" spans="1:66">
      <c r="A360" s="21" t="str">
        <f t="shared" si="28"/>
        <v>FB_dREG_BUF_S.XDAX</v>
      </c>
      <c r="B360" s="8">
        <v>1</v>
      </c>
      <c r="C360" s="8" t="s">
        <v>1</v>
      </c>
      <c r="D360" s="22">
        <v>11</v>
      </c>
      <c r="BK360" s="4"/>
      <c r="BL360" s="4"/>
      <c r="BM360" s="4"/>
      <c r="BN360" s="4"/>
    </row>
    <row r="361" spans="1:66">
      <c r="A361" s="19" t="str">
        <f t="shared" ref="A361:A366" si="29">$R$2&amp;".CCRM"</f>
        <v>FB_dREG_BUF_S.CCRM</v>
      </c>
      <c r="B361" s="11">
        <v>7999</v>
      </c>
      <c r="C361" s="11" t="s">
        <v>0</v>
      </c>
      <c r="D361" s="20" t="str">
        <f>"#"&amp;$S$2&amp;"#"&amp;$T$2&amp;"\"&amp;$P$2&amp;"\CCRM"</f>
        <v>#1#treiOPCDA.CoOPCserv.1\pcmaster\dREG_test\CCRM</v>
      </c>
    </row>
    <row r="362" spans="1:66">
      <c r="A362" s="19" t="str">
        <f t="shared" si="29"/>
        <v>FB_dREG_BUF_S.CCRM</v>
      </c>
      <c r="B362" s="11">
        <v>7998</v>
      </c>
      <c r="C362" s="11" t="s">
        <v>6</v>
      </c>
      <c r="D362" s="20">
        <v>1</v>
      </c>
    </row>
    <row r="363" spans="1:66">
      <c r="A363" s="19" t="str">
        <f t="shared" si="29"/>
        <v>FB_dREG_BUF_S.CCRM</v>
      </c>
      <c r="B363" s="11">
        <v>101</v>
      </c>
      <c r="C363" s="11" t="s">
        <v>0</v>
      </c>
      <c r="D363" s="20" t="s">
        <v>203</v>
      </c>
    </row>
    <row r="364" spans="1:66">
      <c r="A364" s="19" t="str">
        <f t="shared" si="29"/>
        <v>FB_dREG_BUF_S.CCRM</v>
      </c>
      <c r="B364" s="11">
        <v>3</v>
      </c>
      <c r="C364" s="11" t="s">
        <v>1</v>
      </c>
      <c r="D364" s="20">
        <v>192</v>
      </c>
    </row>
    <row r="365" spans="1:66">
      <c r="A365" s="19" t="str">
        <f t="shared" si="29"/>
        <v>FB_dREG_BUF_S.CCRM</v>
      </c>
      <c r="B365" s="11">
        <v>2</v>
      </c>
      <c r="C365" s="11" t="s">
        <v>2</v>
      </c>
      <c r="D365" s="20" t="s">
        <v>3</v>
      </c>
    </row>
    <row r="366" spans="1:66">
      <c r="A366" s="21" t="str">
        <f t="shared" si="29"/>
        <v>FB_dREG_BUF_S.CCRM</v>
      </c>
      <c r="B366" s="8">
        <v>1</v>
      </c>
      <c r="C366" s="8" t="s">
        <v>1</v>
      </c>
      <c r="D366" s="22">
        <v>11</v>
      </c>
    </row>
    <row r="367" spans="1:66">
      <c r="A367" s="19" t="str">
        <f t="shared" ref="A367:A372" si="30">$R$2&amp;".CPMM"</f>
        <v>FB_dREG_BUF_S.CPMM</v>
      </c>
      <c r="B367" s="11">
        <v>7999</v>
      </c>
      <c r="C367" s="11" t="s">
        <v>0</v>
      </c>
      <c r="D367" s="20" t="str">
        <f>"#"&amp;$S$2&amp;"#"&amp;$T$2&amp;"\"&amp;$P$2&amp;"\CPMM"</f>
        <v>#1#treiOPCDA.CoOPCserv.1\pcmaster\dREG_test\CPMM</v>
      </c>
    </row>
    <row r="368" spans="1:66">
      <c r="A368" s="19" t="str">
        <f t="shared" si="30"/>
        <v>FB_dREG_BUF_S.CPMM</v>
      </c>
      <c r="B368" s="11">
        <v>7998</v>
      </c>
      <c r="C368" s="11" t="s">
        <v>6</v>
      </c>
      <c r="D368" s="20">
        <v>1</v>
      </c>
    </row>
    <row r="369" spans="1:4">
      <c r="A369" s="19" t="str">
        <f t="shared" si="30"/>
        <v>FB_dREG_BUF_S.CPMM</v>
      </c>
      <c r="B369" s="11">
        <v>101</v>
      </c>
      <c r="C369" s="11" t="s">
        <v>0</v>
      </c>
      <c r="D369" s="20" t="s">
        <v>115</v>
      </c>
    </row>
    <row r="370" spans="1:4">
      <c r="A370" s="19" t="str">
        <f t="shared" si="30"/>
        <v>FB_dREG_BUF_S.CPMM</v>
      </c>
      <c r="B370" s="11">
        <v>3</v>
      </c>
      <c r="C370" s="11" t="s">
        <v>1</v>
      </c>
      <c r="D370" s="20">
        <v>192</v>
      </c>
    </row>
    <row r="371" spans="1:4">
      <c r="A371" s="19" t="str">
        <f t="shared" si="30"/>
        <v>FB_dREG_BUF_S.CPMM</v>
      </c>
      <c r="B371" s="11">
        <v>2</v>
      </c>
      <c r="C371" s="11" t="s">
        <v>2</v>
      </c>
      <c r="D371" s="20" t="s">
        <v>266</v>
      </c>
    </row>
    <row r="372" spans="1:4">
      <c r="A372" s="21" t="str">
        <f t="shared" si="30"/>
        <v>FB_dREG_BUF_S.CPMM</v>
      </c>
      <c r="B372" s="8">
        <v>1</v>
      </c>
      <c r="C372" s="8" t="s">
        <v>1</v>
      </c>
      <c r="D372" s="22">
        <v>11</v>
      </c>
    </row>
    <row r="373" spans="1:4">
      <c r="A373" s="275" t="str">
        <f t="shared" ref="A373:A378" si="31">$R$2&amp;".ICPX"</f>
        <v>FB_dREG_BUF_S.ICPX</v>
      </c>
      <c r="B373" s="276">
        <v>3</v>
      </c>
      <c r="C373" s="276" t="s">
        <v>1</v>
      </c>
      <c r="D373" s="277">
        <v>192</v>
      </c>
    </row>
    <row r="374" spans="1:4">
      <c r="A374" s="278" t="str">
        <f t="shared" si="31"/>
        <v>FB_dREG_BUF_S.ICPX</v>
      </c>
      <c r="B374" s="279">
        <v>2</v>
      </c>
      <c r="C374" s="279" t="s">
        <v>80</v>
      </c>
      <c r="D374" s="280">
        <v>0</v>
      </c>
    </row>
    <row r="375" spans="1:4">
      <c r="A375" s="278" t="str">
        <f t="shared" si="31"/>
        <v>FB_dREG_BUF_S.ICPX</v>
      </c>
      <c r="B375" s="279">
        <v>1</v>
      </c>
      <c r="C375" s="279" t="s">
        <v>1</v>
      </c>
      <c r="D375" s="280">
        <v>4</v>
      </c>
    </row>
    <row r="376" spans="1:4">
      <c r="A376" s="278" t="str">
        <f t="shared" si="31"/>
        <v>FB_dREG_BUF_S.ICPX</v>
      </c>
      <c r="B376" s="279">
        <v>101</v>
      </c>
      <c r="C376" s="279" t="s">
        <v>0</v>
      </c>
      <c r="D376" s="280" t="s">
        <v>205</v>
      </c>
    </row>
    <row r="377" spans="1:4">
      <c r="A377" s="278" t="str">
        <f t="shared" si="31"/>
        <v>FB_dREG_BUF_S.ICPX</v>
      </c>
      <c r="B377" s="279">
        <v>7998</v>
      </c>
      <c r="C377" s="279" t="s">
        <v>6</v>
      </c>
      <c r="D377" s="280">
        <v>1</v>
      </c>
    </row>
    <row r="378" spans="1:4">
      <c r="A378" s="281" t="str">
        <f t="shared" si="31"/>
        <v>FB_dREG_BUF_S.ICPX</v>
      </c>
      <c r="B378" s="282">
        <v>7999</v>
      </c>
      <c r="C378" s="282" t="s">
        <v>0</v>
      </c>
      <c r="D378" s="283" t="str">
        <f>"#"&amp;$S$2&amp;"#"&amp;$T$2&amp;"\"&amp;$P$2&amp;"\ICPX"</f>
        <v>#1#treiOPCDA.CoOPCserv.1\pcmaster\dREG_test\ICPX</v>
      </c>
    </row>
    <row r="379" spans="1:4">
      <c r="A379" s="275" t="str">
        <f>$R$2&amp;".XPVX"</f>
        <v>FB_dREG_BUF_S.XPVX</v>
      </c>
      <c r="B379" s="276">
        <v>3</v>
      </c>
      <c r="C379" s="276" t="s">
        <v>1</v>
      </c>
      <c r="D379" s="277">
        <v>192</v>
      </c>
    </row>
    <row r="380" spans="1:4">
      <c r="A380" s="278" t="str">
        <f t="shared" ref="A380:A384" si="32">$R$2&amp;".XPVX"</f>
        <v>FB_dREG_BUF_S.XPVX</v>
      </c>
      <c r="B380" s="279">
        <v>2</v>
      </c>
      <c r="C380" s="279" t="s">
        <v>80</v>
      </c>
      <c r="D380" s="280">
        <v>0</v>
      </c>
    </row>
    <row r="381" spans="1:4">
      <c r="A381" s="278" t="str">
        <f t="shared" si="32"/>
        <v>FB_dREG_BUF_S.XPVX</v>
      </c>
      <c r="B381" s="279">
        <v>1</v>
      </c>
      <c r="C381" s="279" t="s">
        <v>1</v>
      </c>
      <c r="D381" s="280">
        <v>4</v>
      </c>
    </row>
    <row r="382" spans="1:4">
      <c r="A382" s="278" t="str">
        <f t="shared" si="32"/>
        <v>FB_dREG_BUF_S.XPVX</v>
      </c>
      <c r="B382" s="279">
        <v>101</v>
      </c>
      <c r="C382" s="279" t="s">
        <v>0</v>
      </c>
      <c r="D382" s="280" t="s">
        <v>206</v>
      </c>
    </row>
    <row r="383" spans="1:4">
      <c r="A383" s="278" t="str">
        <f t="shared" si="32"/>
        <v>FB_dREG_BUF_S.XPVX</v>
      </c>
      <c r="B383" s="279">
        <v>7998</v>
      </c>
      <c r="C383" s="279" t="s">
        <v>6</v>
      </c>
      <c r="D383" s="280">
        <v>1</v>
      </c>
    </row>
    <row r="384" spans="1:4">
      <c r="A384" s="281" t="str">
        <f t="shared" si="32"/>
        <v>FB_dREG_BUF_S.XPVX</v>
      </c>
      <c r="B384" s="282">
        <v>7999</v>
      </c>
      <c r="C384" s="282" t="s">
        <v>0</v>
      </c>
      <c r="D384" s="283" t="str">
        <f>"#"&amp;$S$2&amp;"#"&amp;$T$2&amp;"\"&amp;$P$2&amp;"\XPVX"</f>
        <v>#1#treiOPCDA.CoOPCserv.1\pcmaster\dREG_test\XPVX</v>
      </c>
    </row>
    <row r="385" spans="1:4">
      <c r="A385" s="275" t="str">
        <f>$R$2&amp;".OCAX"</f>
        <v>FB_dREG_BUF_S.OCAX</v>
      </c>
      <c r="B385" s="276">
        <v>3</v>
      </c>
      <c r="C385" s="276" t="s">
        <v>1</v>
      </c>
      <c r="D385" s="277">
        <v>192</v>
      </c>
    </row>
    <row r="386" spans="1:4">
      <c r="A386" s="278" t="str">
        <f t="shared" ref="A386:A390" si="33">$R$2&amp;".OCAX"</f>
        <v>FB_dREG_BUF_S.OCAX</v>
      </c>
      <c r="B386" s="279">
        <v>2</v>
      </c>
      <c r="C386" s="279" t="s">
        <v>80</v>
      </c>
      <c r="D386" s="280">
        <v>0</v>
      </c>
    </row>
    <row r="387" spans="1:4">
      <c r="A387" s="278" t="str">
        <f t="shared" si="33"/>
        <v>FB_dREG_BUF_S.OCAX</v>
      </c>
      <c r="B387" s="279">
        <v>1</v>
      </c>
      <c r="C387" s="279" t="s">
        <v>1</v>
      </c>
      <c r="D387" s="280">
        <v>4</v>
      </c>
    </row>
    <row r="388" spans="1:4">
      <c r="A388" s="278" t="str">
        <f t="shared" si="33"/>
        <v>FB_dREG_BUF_S.OCAX</v>
      </c>
      <c r="B388" s="279">
        <v>101</v>
      </c>
      <c r="C388" s="279" t="s">
        <v>0</v>
      </c>
      <c r="D388" s="280" t="s">
        <v>2744</v>
      </c>
    </row>
    <row r="389" spans="1:4">
      <c r="A389" s="278" t="str">
        <f t="shared" si="33"/>
        <v>FB_dREG_BUF_S.OCAX</v>
      </c>
      <c r="B389" s="279">
        <v>7998</v>
      </c>
      <c r="C389" s="279" t="s">
        <v>6</v>
      </c>
      <c r="D389" s="280">
        <v>1</v>
      </c>
    </row>
    <row r="390" spans="1:4">
      <c r="A390" s="281" t="str">
        <f t="shared" si="33"/>
        <v>FB_dREG_BUF_S.OCAX</v>
      </c>
      <c r="B390" s="282">
        <v>7999</v>
      </c>
      <c r="C390" s="282" t="s">
        <v>0</v>
      </c>
      <c r="D390" s="283" t="str">
        <f>"#"&amp;$S$2&amp;"#"&amp;$T$2&amp;"\"&amp;$P$2&amp;"\OCAX"</f>
        <v>#1#treiOPCDA.CoOPCserv.1\pcmaster\dREG_test\OCAX</v>
      </c>
    </row>
    <row r="391" spans="1:4">
      <c r="A391" s="275" t="str">
        <f>$R$2&amp;".XCAP"</f>
        <v>FB_dREG_BUF_S.XCAP</v>
      </c>
      <c r="B391" s="276">
        <v>3</v>
      </c>
      <c r="C391" s="276" t="s">
        <v>1</v>
      </c>
      <c r="D391" s="277">
        <v>192</v>
      </c>
    </row>
    <row r="392" spans="1:4">
      <c r="A392" s="278" t="str">
        <f t="shared" ref="A392:A396" si="34">$R$2&amp;".XCAP"</f>
        <v>FB_dREG_BUF_S.XCAP</v>
      </c>
      <c r="B392" s="279">
        <v>2</v>
      </c>
      <c r="C392" s="279" t="s">
        <v>80</v>
      </c>
      <c r="D392" s="280">
        <v>0</v>
      </c>
    </row>
    <row r="393" spans="1:4">
      <c r="A393" s="278" t="str">
        <f t="shared" si="34"/>
        <v>FB_dREG_BUF_S.XCAP</v>
      </c>
      <c r="B393" s="279">
        <v>1</v>
      </c>
      <c r="C393" s="279" t="s">
        <v>1</v>
      </c>
      <c r="D393" s="280">
        <v>4</v>
      </c>
    </row>
    <row r="394" spans="1:4">
      <c r="A394" s="278" t="str">
        <f t="shared" si="34"/>
        <v>FB_dREG_BUF_S.XCAP</v>
      </c>
      <c r="B394" s="279">
        <v>101</v>
      </c>
      <c r="C394" s="279" t="s">
        <v>0</v>
      </c>
      <c r="D394" s="280" t="s">
        <v>2746</v>
      </c>
    </row>
    <row r="395" spans="1:4">
      <c r="A395" s="278" t="str">
        <f t="shared" si="34"/>
        <v>FB_dREG_BUF_S.XCAP</v>
      </c>
      <c r="B395" s="279">
        <v>7998</v>
      </c>
      <c r="C395" s="279" t="s">
        <v>6</v>
      </c>
      <c r="D395" s="280">
        <v>1</v>
      </c>
    </row>
    <row r="396" spans="1:4">
      <c r="A396" s="281" t="str">
        <f t="shared" si="34"/>
        <v>FB_dREG_BUF_S.XCAP</v>
      </c>
      <c r="B396" s="282">
        <v>7999</v>
      </c>
      <c r="C396" s="282" t="s">
        <v>0</v>
      </c>
      <c r="D396" s="283" t="str">
        <f>"#"&amp;$S$2&amp;"#"&amp;$T$2&amp;"\"&amp;$P$2&amp;"\XCAP"</f>
        <v>#1#treiOPCDA.CoOPCserv.1\pcmaster\dREG_test\XCAP</v>
      </c>
    </row>
    <row r="397" spans="1:4">
      <c r="A397" s="275" t="str">
        <f t="shared" ref="A397:A402" si="35">$R$2&amp;".XCPP"</f>
        <v>FB_dREG_BUF_S.XCPP</v>
      </c>
      <c r="B397" s="276">
        <v>3</v>
      </c>
      <c r="C397" s="276" t="s">
        <v>1</v>
      </c>
      <c r="D397" s="277">
        <v>192</v>
      </c>
    </row>
    <row r="398" spans="1:4">
      <c r="A398" s="278" t="str">
        <f t="shared" si="35"/>
        <v>FB_dREG_BUF_S.XCPP</v>
      </c>
      <c r="B398" s="279">
        <v>2</v>
      </c>
      <c r="C398" s="279" t="s">
        <v>80</v>
      </c>
      <c r="D398" s="280">
        <v>0</v>
      </c>
    </row>
    <row r="399" spans="1:4">
      <c r="A399" s="278" t="str">
        <f t="shared" si="35"/>
        <v>FB_dREG_BUF_S.XCPP</v>
      </c>
      <c r="B399" s="279">
        <v>1</v>
      </c>
      <c r="C399" s="279" t="s">
        <v>1</v>
      </c>
      <c r="D399" s="280">
        <v>4</v>
      </c>
    </row>
    <row r="400" spans="1:4">
      <c r="A400" s="278" t="str">
        <f t="shared" si="35"/>
        <v>FB_dREG_BUF_S.XCPP</v>
      </c>
      <c r="B400" s="279">
        <v>101</v>
      </c>
      <c r="C400" s="279" t="s">
        <v>0</v>
      </c>
      <c r="D400" s="280" t="s">
        <v>207</v>
      </c>
    </row>
    <row r="401" spans="1:4">
      <c r="A401" s="278" t="str">
        <f t="shared" si="35"/>
        <v>FB_dREG_BUF_S.XCPP</v>
      </c>
      <c r="B401" s="279">
        <v>7998</v>
      </c>
      <c r="C401" s="279" t="s">
        <v>6</v>
      </c>
      <c r="D401" s="280">
        <v>1</v>
      </c>
    </row>
    <row r="402" spans="1:4">
      <c r="A402" s="281" t="str">
        <f t="shared" si="35"/>
        <v>FB_dREG_BUF_S.XCPP</v>
      </c>
      <c r="B402" s="282">
        <v>7999</v>
      </c>
      <c r="C402" s="282" t="s">
        <v>0</v>
      </c>
      <c r="D402" s="283" t="str">
        <f>"#"&amp;$S$2&amp;"#"&amp;$T$2&amp;"\"&amp;$P$2&amp;"\XCPP"</f>
        <v>#1#treiOPCDA.CoOPCserv.1\pcmaster\dREG_test\XCPP</v>
      </c>
    </row>
    <row r="403" spans="1:4">
      <c r="A403" s="275" t="str">
        <f>$R$2&amp;".SSPH"</f>
        <v>FB_dREG_BUF_S.SSPH</v>
      </c>
      <c r="B403" s="276">
        <v>3</v>
      </c>
      <c r="C403" s="276" t="s">
        <v>1</v>
      </c>
      <c r="D403" s="277">
        <v>192</v>
      </c>
    </row>
    <row r="404" spans="1:4">
      <c r="A404" s="278" t="str">
        <f t="shared" ref="A404:A408" si="36">$R$2&amp;".SSPH"</f>
        <v>FB_dREG_BUF_S.SSPH</v>
      </c>
      <c r="B404" s="279">
        <v>2</v>
      </c>
      <c r="C404" s="279" t="s">
        <v>80</v>
      </c>
      <c r="D404" s="280">
        <v>0</v>
      </c>
    </row>
    <row r="405" spans="1:4">
      <c r="A405" s="278" t="str">
        <f t="shared" si="36"/>
        <v>FB_dREG_BUF_S.SSPH</v>
      </c>
      <c r="B405" s="279">
        <v>1</v>
      </c>
      <c r="C405" s="279" t="s">
        <v>1</v>
      </c>
      <c r="D405" s="280">
        <v>4</v>
      </c>
    </row>
    <row r="406" spans="1:4">
      <c r="A406" s="278" t="str">
        <f t="shared" si="36"/>
        <v>FB_dREG_BUF_S.SSPH</v>
      </c>
      <c r="B406" s="279">
        <v>101</v>
      </c>
      <c r="C406" s="279" t="s">
        <v>0</v>
      </c>
      <c r="D406" s="280" t="s">
        <v>214</v>
      </c>
    </row>
    <row r="407" spans="1:4">
      <c r="A407" s="278" t="str">
        <f t="shared" si="36"/>
        <v>FB_dREG_BUF_S.SSPH</v>
      </c>
      <c r="B407" s="279">
        <v>7998</v>
      </c>
      <c r="C407" s="279" t="s">
        <v>6</v>
      </c>
      <c r="D407" s="280">
        <v>1</v>
      </c>
    </row>
    <row r="408" spans="1:4">
      <c r="A408" s="281" t="str">
        <f t="shared" si="36"/>
        <v>FB_dREG_BUF_S.SSPH</v>
      </c>
      <c r="B408" s="282">
        <v>7999</v>
      </c>
      <c r="C408" s="282" t="s">
        <v>0</v>
      </c>
      <c r="D408" s="283" t="str">
        <f>"#"&amp;$S$2&amp;"#"&amp;$T$2&amp;"\"&amp;$P$2&amp;"\SSPH"</f>
        <v>#1#treiOPCDA.CoOPCserv.1\pcmaster\dREG_test\SSPH</v>
      </c>
    </row>
    <row r="409" spans="1:4">
      <c r="A409" s="275" t="str">
        <f>$R$2&amp;".SSPL"</f>
        <v>FB_dREG_BUF_S.SSPL</v>
      </c>
      <c r="B409" s="276">
        <v>3</v>
      </c>
      <c r="C409" s="276" t="s">
        <v>1</v>
      </c>
      <c r="D409" s="277">
        <v>192</v>
      </c>
    </row>
    <row r="410" spans="1:4">
      <c r="A410" s="278" t="str">
        <f t="shared" ref="A410:A414" si="37">$R$2&amp;".SSPL"</f>
        <v>FB_dREG_BUF_S.SSPL</v>
      </c>
      <c r="B410" s="279">
        <v>2</v>
      </c>
      <c r="C410" s="279" t="s">
        <v>80</v>
      </c>
      <c r="D410" s="280">
        <v>0</v>
      </c>
    </row>
    <row r="411" spans="1:4">
      <c r="A411" s="278" t="str">
        <f t="shared" si="37"/>
        <v>FB_dREG_BUF_S.SSPL</v>
      </c>
      <c r="B411" s="279">
        <v>1</v>
      </c>
      <c r="C411" s="279" t="s">
        <v>1</v>
      </c>
      <c r="D411" s="280">
        <v>4</v>
      </c>
    </row>
    <row r="412" spans="1:4">
      <c r="A412" s="278" t="str">
        <f t="shared" si="37"/>
        <v>FB_dREG_BUF_S.SSPL</v>
      </c>
      <c r="B412" s="279">
        <v>101</v>
      </c>
      <c r="C412" s="279" t="s">
        <v>0</v>
      </c>
      <c r="D412" s="280" t="s">
        <v>215</v>
      </c>
    </row>
    <row r="413" spans="1:4">
      <c r="A413" s="278" t="str">
        <f t="shared" si="37"/>
        <v>FB_dREG_BUF_S.SSPL</v>
      </c>
      <c r="B413" s="279">
        <v>7998</v>
      </c>
      <c r="C413" s="279" t="s">
        <v>6</v>
      </c>
      <c r="D413" s="280">
        <v>1</v>
      </c>
    </row>
    <row r="414" spans="1:4">
      <c r="A414" s="281" t="str">
        <f t="shared" si="37"/>
        <v>FB_dREG_BUF_S.SSPL</v>
      </c>
      <c r="B414" s="282">
        <v>7999</v>
      </c>
      <c r="C414" s="282" t="s">
        <v>0</v>
      </c>
      <c r="D414" s="283" t="str">
        <f>"#"&amp;$S$2&amp;"#"&amp;$T$2&amp;"\"&amp;$P$2&amp;"\SSPL"</f>
        <v>#1#treiOPCDA.CoOPCserv.1\pcmaster\dREG_test\SSPL</v>
      </c>
    </row>
    <row r="415" spans="1:4">
      <c r="A415" s="275" t="str">
        <f t="shared" ref="A415:A420" si="38">$R$2&amp;".SCAH"</f>
        <v>FB_dREG_BUF_S.SCAH</v>
      </c>
      <c r="B415" s="276">
        <v>3</v>
      </c>
      <c r="C415" s="276" t="s">
        <v>1</v>
      </c>
      <c r="D415" s="277">
        <v>192</v>
      </c>
    </row>
    <row r="416" spans="1:4">
      <c r="A416" s="278" t="str">
        <f t="shared" si="38"/>
        <v>FB_dREG_BUF_S.SCAH</v>
      </c>
      <c r="B416" s="279">
        <v>2</v>
      </c>
      <c r="C416" s="279" t="s">
        <v>80</v>
      </c>
      <c r="D416" s="280">
        <v>0</v>
      </c>
    </row>
    <row r="417" spans="1:21">
      <c r="A417" s="278" t="str">
        <f t="shared" si="38"/>
        <v>FB_dREG_BUF_S.SCAH</v>
      </c>
      <c r="B417" s="279">
        <v>1</v>
      </c>
      <c r="C417" s="279" t="s">
        <v>1</v>
      </c>
      <c r="D417" s="280">
        <v>4</v>
      </c>
    </row>
    <row r="418" spans="1:21">
      <c r="A418" s="278" t="str">
        <f t="shared" si="38"/>
        <v>FB_dREG_BUF_S.SCAH</v>
      </c>
      <c r="B418" s="279">
        <v>101</v>
      </c>
      <c r="C418" s="279" t="s">
        <v>0</v>
      </c>
      <c r="D418" s="280" t="s">
        <v>216</v>
      </c>
    </row>
    <row r="419" spans="1:21">
      <c r="A419" s="278" t="str">
        <f t="shared" si="38"/>
        <v>FB_dREG_BUF_S.SCAH</v>
      </c>
      <c r="B419" s="279">
        <v>7998</v>
      </c>
      <c r="C419" s="279" t="s">
        <v>6</v>
      </c>
      <c r="D419" s="280">
        <v>1</v>
      </c>
    </row>
    <row r="420" spans="1:21">
      <c r="A420" s="281" t="str">
        <f t="shared" si="38"/>
        <v>FB_dREG_BUF_S.SCAH</v>
      </c>
      <c r="B420" s="282">
        <v>7999</v>
      </c>
      <c r="C420" s="282" t="s">
        <v>0</v>
      </c>
      <c r="D420" s="283" t="str">
        <f>"#"&amp;$S$2&amp;"#"&amp;$T$2&amp;"\"&amp;$P$2&amp;"\SCAH"</f>
        <v>#1#treiOPCDA.CoOPCserv.1\pcmaster\dREG_test\SCAH</v>
      </c>
    </row>
    <row r="421" spans="1:21">
      <c r="A421" s="275" t="str">
        <f t="shared" ref="A421:A426" si="39">$R$2&amp;".SCAL"</f>
        <v>FB_dREG_BUF_S.SCAL</v>
      </c>
      <c r="B421" s="276">
        <v>3</v>
      </c>
      <c r="C421" s="276" t="s">
        <v>1</v>
      </c>
      <c r="D421" s="277">
        <v>192</v>
      </c>
      <c r="U421" t="s">
        <v>827</v>
      </c>
    </row>
    <row r="422" spans="1:21">
      <c r="A422" s="278" t="str">
        <f t="shared" si="39"/>
        <v>FB_dREG_BUF_S.SCAL</v>
      </c>
      <c r="B422" s="279">
        <v>2</v>
      </c>
      <c r="C422" s="279" t="s">
        <v>80</v>
      </c>
      <c r="D422" s="280">
        <v>0</v>
      </c>
    </row>
    <row r="423" spans="1:21">
      <c r="A423" s="278" t="str">
        <f t="shared" si="39"/>
        <v>FB_dREG_BUF_S.SCAL</v>
      </c>
      <c r="B423" s="279">
        <v>1</v>
      </c>
      <c r="C423" s="279" t="s">
        <v>1</v>
      </c>
      <c r="D423" s="280">
        <v>4</v>
      </c>
    </row>
    <row r="424" spans="1:21">
      <c r="A424" s="278" t="str">
        <f t="shared" si="39"/>
        <v>FB_dREG_BUF_S.SCAL</v>
      </c>
      <c r="B424" s="279">
        <v>101</v>
      </c>
      <c r="C424" s="279" t="s">
        <v>0</v>
      </c>
      <c r="D424" s="280" t="s">
        <v>217</v>
      </c>
    </row>
    <row r="425" spans="1:21">
      <c r="A425" s="278" t="str">
        <f t="shared" si="39"/>
        <v>FB_dREG_BUF_S.SCAL</v>
      </c>
      <c r="B425" s="279">
        <v>7998</v>
      </c>
      <c r="C425" s="279" t="s">
        <v>6</v>
      </c>
      <c r="D425" s="280">
        <v>1</v>
      </c>
    </row>
    <row r="426" spans="1:21">
      <c r="A426" s="281" t="str">
        <f t="shared" si="39"/>
        <v>FB_dREG_BUF_S.SCAL</v>
      </c>
      <c r="B426" s="282">
        <v>7999</v>
      </c>
      <c r="C426" s="282" t="s">
        <v>0</v>
      </c>
      <c r="D426" s="283" t="str">
        <f>"#"&amp;$S$2&amp;"#"&amp;$T$2&amp;"\"&amp;$P$2&amp;"\SCAL"</f>
        <v>#1#treiOPCDA.CoOPCserv.1\pcmaster\dREG_test\SCAL</v>
      </c>
    </row>
    <row r="427" spans="1:21">
      <c r="A427" s="275" t="str">
        <f t="shared" ref="A427:A432" si="40">$R$2&amp;".SOPX"</f>
        <v>FB_dREG_BUF_S.SOPX</v>
      </c>
      <c r="B427" s="276">
        <v>3</v>
      </c>
      <c r="C427" s="276" t="s">
        <v>1</v>
      </c>
      <c r="D427" s="277">
        <v>192</v>
      </c>
    </row>
    <row r="428" spans="1:21">
      <c r="A428" s="278" t="str">
        <f t="shared" si="40"/>
        <v>FB_dREG_BUF_S.SOPX</v>
      </c>
      <c r="B428" s="279">
        <v>2</v>
      </c>
      <c r="C428" s="279" t="s">
        <v>80</v>
      </c>
      <c r="D428" s="280">
        <v>0</v>
      </c>
    </row>
    <row r="429" spans="1:21">
      <c r="A429" s="278" t="str">
        <f t="shared" si="40"/>
        <v>FB_dREG_BUF_S.SOPX</v>
      </c>
      <c r="B429" s="279">
        <v>1</v>
      </c>
      <c r="C429" s="279" t="s">
        <v>1</v>
      </c>
      <c r="D429" s="280">
        <v>4</v>
      </c>
    </row>
    <row r="430" spans="1:21">
      <c r="A430" s="278" t="str">
        <f t="shared" si="40"/>
        <v>FB_dREG_BUF_S.SOPX</v>
      </c>
      <c r="B430" s="279">
        <v>101</v>
      </c>
      <c r="C430" s="279" t="s">
        <v>0</v>
      </c>
      <c r="D430" s="280" t="s">
        <v>218</v>
      </c>
    </row>
    <row r="431" spans="1:21">
      <c r="A431" s="278" t="str">
        <f t="shared" si="40"/>
        <v>FB_dREG_BUF_S.SOPX</v>
      </c>
      <c r="B431" s="279">
        <v>7998</v>
      </c>
      <c r="C431" s="279" t="s">
        <v>6</v>
      </c>
      <c r="D431" s="280">
        <v>1</v>
      </c>
    </row>
    <row r="432" spans="1:21">
      <c r="A432" s="281" t="str">
        <f t="shared" si="40"/>
        <v>FB_dREG_BUF_S.SOPX</v>
      </c>
      <c r="B432" s="282">
        <v>7999</v>
      </c>
      <c r="C432" s="282" t="s">
        <v>0</v>
      </c>
      <c r="D432" s="283" t="str">
        <f>"#"&amp;$S$2&amp;"#"&amp;$T$2&amp;"\"&amp;$P$2&amp;"\SOPX"</f>
        <v>#1#treiOPCDA.CoOPCserv.1\pcmaster\dREG_test\SOPX</v>
      </c>
    </row>
    <row r="433" spans="1:4">
      <c r="A433" s="275" t="str">
        <f t="shared" ref="A433:A438" si="41">$R$2&amp;".SEPX"</f>
        <v>FB_dREG_BUF_S.SEPX</v>
      </c>
      <c r="B433" s="276">
        <v>3</v>
      </c>
      <c r="C433" s="276" t="s">
        <v>1</v>
      </c>
      <c r="D433" s="277">
        <v>192</v>
      </c>
    </row>
    <row r="434" spans="1:4">
      <c r="A434" s="278" t="str">
        <f t="shared" si="41"/>
        <v>FB_dREG_BUF_S.SEPX</v>
      </c>
      <c r="B434" s="279">
        <v>2</v>
      </c>
      <c r="C434" s="279" t="s">
        <v>80</v>
      </c>
      <c r="D434" s="280">
        <v>0</v>
      </c>
    </row>
    <row r="435" spans="1:4">
      <c r="A435" s="278" t="str">
        <f t="shared" si="41"/>
        <v>FB_dREG_BUF_S.SEPX</v>
      </c>
      <c r="B435" s="279">
        <v>1</v>
      </c>
      <c r="C435" s="279" t="s">
        <v>1</v>
      </c>
      <c r="D435" s="280">
        <v>4</v>
      </c>
    </row>
    <row r="436" spans="1:4">
      <c r="A436" s="278" t="str">
        <f t="shared" si="41"/>
        <v>FB_dREG_BUF_S.SEPX</v>
      </c>
      <c r="B436" s="279">
        <v>101</v>
      </c>
      <c r="C436" s="279" t="s">
        <v>0</v>
      </c>
      <c r="D436" s="280" t="s">
        <v>220</v>
      </c>
    </row>
    <row r="437" spans="1:4">
      <c r="A437" s="278" t="str">
        <f t="shared" si="41"/>
        <v>FB_dREG_BUF_S.SEPX</v>
      </c>
      <c r="B437" s="279">
        <v>7998</v>
      </c>
      <c r="C437" s="279" t="s">
        <v>6</v>
      </c>
      <c r="D437" s="280">
        <v>1</v>
      </c>
    </row>
    <row r="438" spans="1:4">
      <c r="A438" s="281" t="str">
        <f t="shared" si="41"/>
        <v>FB_dREG_BUF_S.SEPX</v>
      </c>
      <c r="B438" s="282">
        <v>7999</v>
      </c>
      <c r="C438" s="282" t="s">
        <v>0</v>
      </c>
      <c r="D438" s="283" t="str">
        <f>"#"&amp;$S$2&amp;"#"&amp;$T$2&amp;"\"&amp;$P$2&amp;"\SEPX"</f>
        <v>#1#treiOPCDA.CoOPCserv.1\pcmaster\dREG_test\SEPX</v>
      </c>
    </row>
    <row r="439" spans="1:4">
      <c r="A439" s="275" t="str">
        <f t="shared" ref="A439:A444" si="42">$R$2&amp;".SMVX"</f>
        <v>FB_dREG_BUF_S.SMVX</v>
      </c>
      <c r="B439" s="276">
        <v>3</v>
      </c>
      <c r="C439" s="276" t="s">
        <v>1</v>
      </c>
      <c r="D439" s="277">
        <v>192</v>
      </c>
    </row>
    <row r="440" spans="1:4">
      <c r="A440" s="278" t="str">
        <f t="shared" si="42"/>
        <v>FB_dREG_BUF_S.SMVX</v>
      </c>
      <c r="B440" s="279">
        <v>2</v>
      </c>
      <c r="C440" s="279" t="s">
        <v>80</v>
      </c>
      <c r="D440" s="280">
        <v>0</v>
      </c>
    </row>
    <row r="441" spans="1:4">
      <c r="A441" s="278" t="str">
        <f t="shared" si="42"/>
        <v>FB_dREG_BUF_S.SMVX</v>
      </c>
      <c r="B441" s="279">
        <v>1</v>
      </c>
      <c r="C441" s="279" t="s">
        <v>1</v>
      </c>
      <c r="D441" s="280">
        <v>4</v>
      </c>
    </row>
    <row r="442" spans="1:4">
      <c r="A442" s="278" t="str">
        <f t="shared" si="42"/>
        <v>FB_dREG_BUF_S.SMVX</v>
      </c>
      <c r="B442" s="279">
        <v>101</v>
      </c>
      <c r="C442" s="279" t="s">
        <v>0</v>
      </c>
      <c r="D442" s="280" t="s">
        <v>221</v>
      </c>
    </row>
    <row r="443" spans="1:4">
      <c r="A443" s="278" t="str">
        <f t="shared" si="42"/>
        <v>FB_dREG_BUF_S.SMVX</v>
      </c>
      <c r="B443" s="279">
        <v>7998</v>
      </c>
      <c r="C443" s="279" t="s">
        <v>6</v>
      </c>
      <c r="D443" s="280">
        <v>1</v>
      </c>
    </row>
    <row r="444" spans="1:4">
      <c r="A444" s="281" t="str">
        <f t="shared" si="42"/>
        <v>FB_dREG_BUF_S.SMVX</v>
      </c>
      <c r="B444" s="282">
        <v>7999</v>
      </c>
      <c r="C444" s="282" t="s">
        <v>0</v>
      </c>
      <c r="D444" s="283" t="str">
        <f>"#"&amp;$S$2&amp;"#"&amp;$T$2&amp;"\"&amp;$P$2&amp;"\SMVX"</f>
        <v>#1#treiOPCDA.CoOPCserv.1\pcmaster\dREG_test\SMVX</v>
      </c>
    </row>
    <row r="445" spans="1:4">
      <c r="A445" s="275" t="str">
        <f t="shared" ref="A445:A450" si="43">$R$2&amp;".SBPX"</f>
        <v>FB_dREG_BUF_S.SBPX</v>
      </c>
      <c r="B445" s="276">
        <v>3</v>
      </c>
      <c r="C445" s="276" t="s">
        <v>1</v>
      </c>
      <c r="D445" s="277">
        <v>192</v>
      </c>
    </row>
    <row r="446" spans="1:4">
      <c r="A446" s="278" t="str">
        <f t="shared" si="43"/>
        <v>FB_dREG_BUF_S.SBPX</v>
      </c>
      <c r="B446" s="279">
        <v>2</v>
      </c>
      <c r="C446" s="279" t="s">
        <v>80</v>
      </c>
      <c r="D446" s="280">
        <v>0</v>
      </c>
    </row>
    <row r="447" spans="1:4">
      <c r="A447" s="278" t="str">
        <f t="shared" si="43"/>
        <v>FB_dREG_BUF_S.SBPX</v>
      </c>
      <c r="B447" s="279">
        <v>1</v>
      </c>
      <c r="C447" s="279" t="s">
        <v>1</v>
      </c>
      <c r="D447" s="280">
        <v>4</v>
      </c>
    </row>
    <row r="448" spans="1:4">
      <c r="A448" s="278" t="str">
        <f t="shared" si="43"/>
        <v>FB_dREG_BUF_S.SBPX</v>
      </c>
      <c r="B448" s="279">
        <v>101</v>
      </c>
      <c r="C448" s="279" t="s">
        <v>0</v>
      </c>
      <c r="D448" s="280" t="s">
        <v>624</v>
      </c>
    </row>
    <row r="449" spans="1:4">
      <c r="A449" s="278" t="str">
        <f t="shared" si="43"/>
        <v>FB_dREG_BUF_S.SBPX</v>
      </c>
      <c r="B449" s="279">
        <v>7998</v>
      </c>
      <c r="C449" s="279" t="s">
        <v>6</v>
      </c>
      <c r="D449" s="280">
        <v>1</v>
      </c>
    </row>
    <row r="450" spans="1:4">
      <c r="A450" s="281" t="str">
        <f t="shared" si="43"/>
        <v>FB_dREG_BUF_S.SBPX</v>
      </c>
      <c r="B450" s="282">
        <v>7999</v>
      </c>
      <c r="C450" s="282" t="s">
        <v>0</v>
      </c>
      <c r="D450" s="283" t="str">
        <f>"#"&amp;$S$2&amp;"#"&amp;$T$2&amp;"\"&amp;$P$2&amp;"\SBPX"</f>
        <v>#1#treiOPCDA.CoOPCserv.1\pcmaster\dREG_test\SBPX</v>
      </c>
    </row>
    <row r="451" spans="1:4">
      <c r="A451" s="275" t="str">
        <f t="shared" ref="A451:A456" si="44">$R$2&amp;".S1SD"</f>
        <v>FB_dREG_BUF_S.S1SD</v>
      </c>
      <c r="B451" s="276">
        <v>3</v>
      </c>
      <c r="C451" s="276" t="s">
        <v>1</v>
      </c>
      <c r="D451" s="277">
        <v>192</v>
      </c>
    </row>
    <row r="452" spans="1:4">
      <c r="A452" s="278" t="str">
        <f t="shared" si="44"/>
        <v>FB_dREG_BUF_S.S1SD</v>
      </c>
      <c r="B452" s="279">
        <v>2</v>
      </c>
      <c r="C452" s="279" t="s">
        <v>80</v>
      </c>
      <c r="D452" s="280">
        <v>0</v>
      </c>
    </row>
    <row r="453" spans="1:4">
      <c r="A453" s="278" t="str">
        <f t="shared" si="44"/>
        <v>FB_dREG_BUF_S.S1SD</v>
      </c>
      <c r="B453" s="279">
        <v>1</v>
      </c>
      <c r="C453" s="279" t="s">
        <v>1</v>
      </c>
      <c r="D453" s="280">
        <v>4</v>
      </c>
    </row>
    <row r="454" spans="1:4">
      <c r="A454" s="278" t="str">
        <f t="shared" si="44"/>
        <v>FB_dREG_BUF_S.S1SD</v>
      </c>
      <c r="B454" s="279">
        <v>101</v>
      </c>
      <c r="C454" s="279" t="s">
        <v>0</v>
      </c>
      <c r="D454" s="280" t="s">
        <v>1795</v>
      </c>
    </row>
    <row r="455" spans="1:4">
      <c r="A455" s="278" t="str">
        <f t="shared" si="44"/>
        <v>FB_dREG_BUF_S.S1SD</v>
      </c>
      <c r="B455" s="279">
        <v>7998</v>
      </c>
      <c r="C455" s="279" t="s">
        <v>6</v>
      </c>
      <c r="D455" s="280">
        <v>1</v>
      </c>
    </row>
    <row r="456" spans="1:4">
      <c r="A456" s="281" t="str">
        <f t="shared" si="44"/>
        <v>FB_dREG_BUF_S.S1SD</v>
      </c>
      <c r="B456" s="282">
        <v>7999</v>
      </c>
      <c r="C456" s="282" t="s">
        <v>0</v>
      </c>
      <c r="D456" s="283" t="str">
        <f>"#"&amp;$S$2&amp;"#"&amp;$T$2&amp;"\"&amp;$P$2&amp;"\S1SD"</f>
        <v>#1#treiOPCDA.CoOPCserv.1\pcmaster\dREG_test\S1SD</v>
      </c>
    </row>
    <row r="457" spans="1:4">
      <c r="A457" s="275" t="str">
        <f t="shared" ref="A457:A462" si="45">$R$2&amp;".S2SD"</f>
        <v>FB_dREG_BUF_S.S2SD</v>
      </c>
      <c r="B457" s="276">
        <v>3</v>
      </c>
      <c r="C457" s="276" t="s">
        <v>1</v>
      </c>
      <c r="D457" s="277">
        <v>192</v>
      </c>
    </row>
    <row r="458" spans="1:4">
      <c r="A458" s="278" t="str">
        <f t="shared" si="45"/>
        <v>FB_dREG_BUF_S.S2SD</v>
      </c>
      <c r="B458" s="279">
        <v>2</v>
      </c>
      <c r="C458" s="279" t="s">
        <v>80</v>
      </c>
      <c r="D458" s="280">
        <v>0</v>
      </c>
    </row>
    <row r="459" spans="1:4">
      <c r="A459" s="278" t="str">
        <f t="shared" si="45"/>
        <v>FB_dREG_BUF_S.S2SD</v>
      </c>
      <c r="B459" s="279">
        <v>1</v>
      </c>
      <c r="C459" s="279" t="s">
        <v>1</v>
      </c>
      <c r="D459" s="280">
        <v>4</v>
      </c>
    </row>
    <row r="460" spans="1:4">
      <c r="A460" s="278" t="str">
        <f t="shared" si="45"/>
        <v>FB_dREG_BUF_S.S2SD</v>
      </c>
      <c r="B460" s="279">
        <v>101</v>
      </c>
      <c r="C460" s="279" t="s">
        <v>0</v>
      </c>
      <c r="D460" s="280" t="s">
        <v>1800</v>
      </c>
    </row>
    <row r="461" spans="1:4">
      <c r="A461" s="278" t="str">
        <f t="shared" si="45"/>
        <v>FB_dREG_BUF_S.S2SD</v>
      </c>
      <c r="B461" s="279">
        <v>7998</v>
      </c>
      <c r="C461" s="279" t="s">
        <v>6</v>
      </c>
      <c r="D461" s="280">
        <v>1</v>
      </c>
    </row>
    <row r="462" spans="1:4">
      <c r="A462" s="281" t="str">
        <f t="shared" si="45"/>
        <v>FB_dREG_BUF_S.S2SD</v>
      </c>
      <c r="B462" s="282">
        <v>7999</v>
      </c>
      <c r="C462" s="282" t="s">
        <v>0</v>
      </c>
      <c r="D462" s="283" t="str">
        <f>"#"&amp;$S$2&amp;"#"&amp;$T$2&amp;"\"&amp;$P$2&amp;"\S2SD"</f>
        <v>#1#treiOPCDA.CoOPCserv.1\pcmaster\dREG_test\S2SD</v>
      </c>
    </row>
    <row r="463" spans="1:4">
      <c r="A463" s="275" t="str">
        <f t="shared" ref="A463:A468" si="46">$R$2&amp;".S3SD"</f>
        <v>FB_dREG_BUF_S.S3SD</v>
      </c>
      <c r="B463" s="276">
        <v>3</v>
      </c>
      <c r="C463" s="276" t="s">
        <v>1</v>
      </c>
      <c r="D463" s="277">
        <v>192</v>
      </c>
    </row>
    <row r="464" spans="1:4">
      <c r="A464" s="278" t="str">
        <f t="shared" si="46"/>
        <v>FB_dREG_BUF_S.S3SD</v>
      </c>
      <c r="B464" s="279">
        <v>2</v>
      </c>
      <c r="C464" s="279" t="s">
        <v>80</v>
      </c>
      <c r="D464" s="280">
        <v>0</v>
      </c>
    </row>
    <row r="465" spans="1:4">
      <c r="A465" s="278" t="str">
        <f t="shared" si="46"/>
        <v>FB_dREG_BUF_S.S3SD</v>
      </c>
      <c r="B465" s="279">
        <v>1</v>
      </c>
      <c r="C465" s="279" t="s">
        <v>1</v>
      </c>
      <c r="D465" s="280">
        <v>4</v>
      </c>
    </row>
    <row r="466" spans="1:4">
      <c r="A466" s="278" t="str">
        <f t="shared" si="46"/>
        <v>FB_dREG_BUF_S.S3SD</v>
      </c>
      <c r="B466" s="279">
        <v>101</v>
      </c>
      <c r="C466" s="279" t="s">
        <v>0</v>
      </c>
      <c r="D466" s="280" t="s">
        <v>1799</v>
      </c>
    </row>
    <row r="467" spans="1:4">
      <c r="A467" s="278" t="str">
        <f t="shared" si="46"/>
        <v>FB_dREG_BUF_S.S3SD</v>
      </c>
      <c r="B467" s="279">
        <v>7998</v>
      </c>
      <c r="C467" s="279" t="s">
        <v>6</v>
      </c>
      <c r="D467" s="280">
        <v>1</v>
      </c>
    </row>
    <row r="468" spans="1:4">
      <c r="A468" s="281" t="str">
        <f t="shared" si="46"/>
        <v>FB_dREG_BUF_S.S3SD</v>
      </c>
      <c r="B468" s="282">
        <v>7999</v>
      </c>
      <c r="C468" s="282" t="s">
        <v>0</v>
      </c>
      <c r="D468" s="283" t="str">
        <f>"#"&amp;$S$2&amp;"#"&amp;$T$2&amp;"\"&amp;$P$2&amp;"\S3SD"</f>
        <v>#1#treiOPCDA.CoOPCserv.1\pcmaster\dREG_test\S3SD</v>
      </c>
    </row>
    <row r="469" spans="1:4">
      <c r="A469" s="275" t="str">
        <f t="shared" ref="A469:A474" si="47">$R$2&amp;".S1SI"</f>
        <v>FB_dREG_BUF_S.S1SI</v>
      </c>
      <c r="B469" s="276">
        <v>3</v>
      </c>
      <c r="C469" s="276" t="s">
        <v>1</v>
      </c>
      <c r="D469" s="277">
        <v>192</v>
      </c>
    </row>
    <row r="470" spans="1:4">
      <c r="A470" s="278" t="str">
        <f t="shared" si="47"/>
        <v>FB_dREG_BUF_S.S1SI</v>
      </c>
      <c r="B470" s="279">
        <v>2</v>
      </c>
      <c r="C470" s="279" t="s">
        <v>80</v>
      </c>
      <c r="D470" s="280">
        <v>0</v>
      </c>
    </row>
    <row r="471" spans="1:4">
      <c r="A471" s="278" t="str">
        <f t="shared" si="47"/>
        <v>FB_dREG_BUF_S.S1SI</v>
      </c>
      <c r="B471" s="279">
        <v>1</v>
      </c>
      <c r="C471" s="279" t="s">
        <v>1</v>
      </c>
      <c r="D471" s="280">
        <v>4</v>
      </c>
    </row>
    <row r="472" spans="1:4">
      <c r="A472" s="278" t="str">
        <f t="shared" si="47"/>
        <v>FB_dREG_BUF_S.S1SI</v>
      </c>
      <c r="B472" s="279">
        <v>101</v>
      </c>
      <c r="C472" s="279" t="s">
        <v>0</v>
      </c>
      <c r="D472" s="280" t="s">
        <v>1796</v>
      </c>
    </row>
    <row r="473" spans="1:4">
      <c r="A473" s="278" t="str">
        <f t="shared" si="47"/>
        <v>FB_dREG_BUF_S.S1SI</v>
      </c>
      <c r="B473" s="279">
        <v>7998</v>
      </c>
      <c r="C473" s="279" t="s">
        <v>6</v>
      </c>
      <c r="D473" s="280">
        <v>1</v>
      </c>
    </row>
    <row r="474" spans="1:4">
      <c r="A474" s="281" t="str">
        <f t="shared" si="47"/>
        <v>FB_dREG_BUF_S.S1SI</v>
      </c>
      <c r="B474" s="282">
        <v>7999</v>
      </c>
      <c r="C474" s="282" t="s">
        <v>0</v>
      </c>
      <c r="D474" s="283" t="str">
        <f>"#"&amp;$S$2&amp;"#"&amp;$T$2&amp;"\"&amp;$P$2&amp;"\S1SI"</f>
        <v>#1#treiOPCDA.CoOPCserv.1\pcmaster\dREG_test\S1SI</v>
      </c>
    </row>
    <row r="475" spans="1:4">
      <c r="A475" s="275" t="str">
        <f t="shared" ref="A475:A480" si="48">$R$2&amp;".S2SI"</f>
        <v>FB_dREG_BUF_S.S2SI</v>
      </c>
      <c r="B475" s="276">
        <v>3</v>
      </c>
      <c r="C475" s="276" t="s">
        <v>1</v>
      </c>
      <c r="D475" s="277">
        <v>192</v>
      </c>
    </row>
    <row r="476" spans="1:4">
      <c r="A476" s="278" t="str">
        <f t="shared" si="48"/>
        <v>FB_dREG_BUF_S.S2SI</v>
      </c>
      <c r="B476" s="279">
        <v>2</v>
      </c>
      <c r="C476" s="279" t="s">
        <v>80</v>
      </c>
      <c r="D476" s="280">
        <v>0</v>
      </c>
    </row>
    <row r="477" spans="1:4">
      <c r="A477" s="278" t="str">
        <f t="shared" si="48"/>
        <v>FB_dREG_BUF_S.S2SI</v>
      </c>
      <c r="B477" s="279">
        <v>1</v>
      </c>
      <c r="C477" s="279" t="s">
        <v>1</v>
      </c>
      <c r="D477" s="280">
        <v>4</v>
      </c>
    </row>
    <row r="478" spans="1:4">
      <c r="A478" s="278" t="str">
        <f t="shared" si="48"/>
        <v>FB_dREG_BUF_S.S2SI</v>
      </c>
      <c r="B478" s="279">
        <v>101</v>
      </c>
      <c r="C478" s="279" t="s">
        <v>0</v>
      </c>
      <c r="D478" s="280" t="s">
        <v>1797</v>
      </c>
    </row>
    <row r="479" spans="1:4">
      <c r="A479" s="278" t="str">
        <f t="shared" si="48"/>
        <v>FB_dREG_BUF_S.S2SI</v>
      </c>
      <c r="B479" s="279">
        <v>7998</v>
      </c>
      <c r="C479" s="279" t="s">
        <v>6</v>
      </c>
      <c r="D479" s="280">
        <v>1</v>
      </c>
    </row>
    <row r="480" spans="1:4">
      <c r="A480" s="281" t="str">
        <f t="shared" si="48"/>
        <v>FB_dREG_BUF_S.S2SI</v>
      </c>
      <c r="B480" s="282">
        <v>7999</v>
      </c>
      <c r="C480" s="282" t="s">
        <v>0</v>
      </c>
      <c r="D480" s="283" t="str">
        <f>"#"&amp;$S$2&amp;"#"&amp;$T$2&amp;"\"&amp;$P$2&amp;"\S2SI"</f>
        <v>#1#treiOPCDA.CoOPCserv.1\pcmaster\dREG_test\S2SI</v>
      </c>
    </row>
    <row r="481" spans="1:4">
      <c r="A481" s="275" t="str">
        <f t="shared" ref="A481:A486" si="49">$R$2&amp;".S3SI"</f>
        <v>FB_dREG_BUF_S.S3SI</v>
      </c>
      <c r="B481" s="276">
        <v>3</v>
      </c>
      <c r="C481" s="276" t="s">
        <v>1</v>
      </c>
      <c r="D481" s="277">
        <v>192</v>
      </c>
    </row>
    <row r="482" spans="1:4">
      <c r="A482" s="278" t="str">
        <f t="shared" si="49"/>
        <v>FB_dREG_BUF_S.S3SI</v>
      </c>
      <c r="B482" s="279">
        <v>2</v>
      </c>
      <c r="C482" s="279" t="s">
        <v>80</v>
      </c>
      <c r="D482" s="280">
        <v>0</v>
      </c>
    </row>
    <row r="483" spans="1:4">
      <c r="A483" s="278" t="str">
        <f t="shared" si="49"/>
        <v>FB_dREG_BUF_S.S3SI</v>
      </c>
      <c r="B483" s="279">
        <v>1</v>
      </c>
      <c r="C483" s="279" t="s">
        <v>1</v>
      </c>
      <c r="D483" s="280">
        <v>4</v>
      </c>
    </row>
    <row r="484" spans="1:4">
      <c r="A484" s="278" t="str">
        <f t="shared" si="49"/>
        <v>FB_dREG_BUF_S.S3SI</v>
      </c>
      <c r="B484" s="279">
        <v>101</v>
      </c>
      <c r="C484" s="279" t="s">
        <v>0</v>
      </c>
      <c r="D484" s="280" t="s">
        <v>1798</v>
      </c>
    </row>
    <row r="485" spans="1:4">
      <c r="A485" s="278" t="str">
        <f t="shared" si="49"/>
        <v>FB_dREG_BUF_S.S3SI</v>
      </c>
      <c r="B485" s="279">
        <v>7998</v>
      </c>
      <c r="C485" s="279" t="s">
        <v>6</v>
      </c>
      <c r="D485" s="280">
        <v>1</v>
      </c>
    </row>
    <row r="486" spans="1:4">
      <c r="A486" s="281" t="str">
        <f t="shared" si="49"/>
        <v>FB_dREG_BUF_S.S3SI</v>
      </c>
      <c r="B486" s="282">
        <v>7999</v>
      </c>
      <c r="C486" s="282" t="s">
        <v>0</v>
      </c>
      <c r="D486" s="283" t="str">
        <f>"#"&amp;$S$2&amp;"#"&amp;$T$2&amp;"\"&amp;$P$2&amp;"\S3SI"</f>
        <v>#1#treiOPCDA.CoOPCserv.1\pcmaster\dREG_test\S3SI</v>
      </c>
    </row>
    <row r="487" spans="1:4">
      <c r="A487" s="275" t="str">
        <f t="shared" ref="A487:A492" si="50">$R$2&amp;".SSPX"</f>
        <v>FB_dREG_BUF_S.SSPX</v>
      </c>
      <c r="B487" s="276">
        <v>3</v>
      </c>
      <c r="C487" s="276" t="s">
        <v>1</v>
      </c>
      <c r="D487" s="277">
        <v>192</v>
      </c>
    </row>
    <row r="488" spans="1:4">
      <c r="A488" s="278" t="str">
        <f t="shared" si="50"/>
        <v>FB_dREG_BUF_S.SSPX</v>
      </c>
      <c r="B488" s="279">
        <v>2</v>
      </c>
      <c r="C488" s="279" t="s">
        <v>80</v>
      </c>
      <c r="D488" s="280">
        <v>0</v>
      </c>
    </row>
    <row r="489" spans="1:4">
      <c r="A489" s="278" t="str">
        <f t="shared" si="50"/>
        <v>FB_dREG_BUF_S.SSPX</v>
      </c>
      <c r="B489" s="279">
        <v>1</v>
      </c>
      <c r="C489" s="279" t="s">
        <v>1</v>
      </c>
      <c r="D489" s="280">
        <v>4</v>
      </c>
    </row>
    <row r="490" spans="1:4">
      <c r="A490" s="278" t="str">
        <f t="shared" si="50"/>
        <v>FB_dREG_BUF_S.SSPX</v>
      </c>
      <c r="B490" s="279">
        <v>101</v>
      </c>
      <c r="C490" s="279" t="s">
        <v>0</v>
      </c>
      <c r="D490" s="280" t="s">
        <v>213</v>
      </c>
    </row>
    <row r="491" spans="1:4">
      <c r="A491" s="278" t="str">
        <f t="shared" si="50"/>
        <v>FB_dREG_BUF_S.SSPX</v>
      </c>
      <c r="B491" s="279">
        <v>7998</v>
      </c>
      <c r="C491" s="279" t="s">
        <v>6</v>
      </c>
      <c r="D491" s="280">
        <v>1</v>
      </c>
    </row>
    <row r="492" spans="1:4">
      <c r="A492" s="281" t="str">
        <f t="shared" si="50"/>
        <v>FB_dREG_BUF_S.SSPX</v>
      </c>
      <c r="B492" s="282">
        <v>7999</v>
      </c>
      <c r="C492" s="282" t="s">
        <v>0</v>
      </c>
      <c r="D492" s="283" t="str">
        <f>"#"&amp;$S$2&amp;"#"&amp;$T$2&amp;"\"&amp;$P$2&amp;"\SSPX"</f>
        <v>#1#treiOPCDA.CoOPCserv.1\pcmaster\dREG_test\SSPX</v>
      </c>
    </row>
    <row r="493" spans="1:4">
      <c r="A493" s="275" t="str">
        <f>$R$2&amp;".SCSV"</f>
        <v>FB_dREG_BUF_S.SCSV</v>
      </c>
      <c r="B493" s="276">
        <v>3</v>
      </c>
      <c r="C493" s="276" t="s">
        <v>1</v>
      </c>
      <c r="D493" s="277">
        <v>192</v>
      </c>
    </row>
    <row r="494" spans="1:4">
      <c r="A494" s="278" t="str">
        <f t="shared" ref="A494:A498" si="51">$R$2&amp;".SCSV"</f>
        <v>FB_dREG_BUF_S.SCSV</v>
      </c>
      <c r="B494" s="279">
        <v>2</v>
      </c>
      <c r="C494" s="279" t="s">
        <v>80</v>
      </c>
      <c r="D494" s="280">
        <v>0</v>
      </c>
    </row>
    <row r="495" spans="1:4">
      <c r="A495" s="278" t="str">
        <f t="shared" si="51"/>
        <v>FB_dREG_BUF_S.SCSV</v>
      </c>
      <c r="B495" s="279">
        <v>1</v>
      </c>
      <c r="C495" s="279" t="s">
        <v>1</v>
      </c>
      <c r="D495" s="280">
        <v>4</v>
      </c>
    </row>
    <row r="496" spans="1:4">
      <c r="A496" s="278" t="str">
        <f t="shared" si="51"/>
        <v>FB_dREG_BUF_S.SCSV</v>
      </c>
      <c r="B496" s="279">
        <v>101</v>
      </c>
      <c r="C496" s="279" t="s">
        <v>0</v>
      </c>
      <c r="D496" s="280" t="s">
        <v>2757</v>
      </c>
    </row>
    <row r="497" spans="1:4">
      <c r="A497" s="278" t="str">
        <f t="shared" si="51"/>
        <v>FB_dREG_BUF_S.SCSV</v>
      </c>
      <c r="B497" s="279">
        <v>7998</v>
      </c>
      <c r="C497" s="279" t="s">
        <v>6</v>
      </c>
      <c r="D497" s="280">
        <v>1</v>
      </c>
    </row>
    <row r="498" spans="1:4">
      <c r="A498" s="281" t="str">
        <f t="shared" si="51"/>
        <v>FB_dREG_BUF_S.SCSV</v>
      </c>
      <c r="B498" s="282">
        <v>7999</v>
      </c>
      <c r="C498" s="282" t="s">
        <v>0</v>
      </c>
      <c r="D498" s="283" t="str">
        <f>"#"&amp;$S$2&amp;"#"&amp;$T$2&amp;"\"&amp;$P$2&amp;"\SCSV"</f>
        <v>#1#treiOPCDA.CoOPCserv.1\pcmaster\dREG_test\SCSV</v>
      </c>
    </row>
    <row r="499" spans="1:4">
      <c r="A499" s="266" t="str">
        <f t="shared" ref="A499:A504" si="52">$R$2&amp;".SMVT"</f>
        <v>FB_dREG_BUF_S.SMVT</v>
      </c>
      <c r="B499" s="267">
        <v>3</v>
      </c>
      <c r="C499" s="267" t="s">
        <v>1</v>
      </c>
      <c r="D499" s="268">
        <v>192</v>
      </c>
    </row>
    <row r="500" spans="1:4">
      <c r="A500" s="269" t="str">
        <f t="shared" si="52"/>
        <v>FB_dREG_BUF_S.SMVT</v>
      </c>
      <c r="B500" s="270">
        <v>2</v>
      </c>
      <c r="C500" s="270" t="s">
        <v>6</v>
      </c>
      <c r="D500" s="271">
        <v>0</v>
      </c>
    </row>
    <row r="501" spans="1:4">
      <c r="A501" s="269" t="str">
        <f t="shared" si="52"/>
        <v>FB_dREG_BUF_S.SMVT</v>
      </c>
      <c r="B501" s="270">
        <v>1</v>
      </c>
      <c r="C501" s="270" t="s">
        <v>1</v>
      </c>
      <c r="D501" s="271">
        <v>3</v>
      </c>
    </row>
    <row r="502" spans="1:4">
      <c r="A502" s="269" t="str">
        <f t="shared" si="52"/>
        <v>FB_dREG_BUF_S.SMVT</v>
      </c>
      <c r="B502" s="270">
        <v>101</v>
      </c>
      <c r="C502" s="270" t="s">
        <v>0</v>
      </c>
      <c r="D502" s="271" t="s">
        <v>222</v>
      </c>
    </row>
    <row r="503" spans="1:4">
      <c r="A503" s="269" t="str">
        <f t="shared" si="52"/>
        <v>FB_dREG_BUF_S.SMVT</v>
      </c>
      <c r="B503" s="270">
        <v>7998</v>
      </c>
      <c r="C503" s="270" t="s">
        <v>6</v>
      </c>
      <c r="D503" s="271">
        <v>1</v>
      </c>
    </row>
    <row r="504" spans="1:4">
      <c r="A504" s="272" t="str">
        <f t="shared" si="52"/>
        <v>FB_dREG_BUF_S.SMVT</v>
      </c>
      <c r="B504" s="273">
        <v>7999</v>
      </c>
      <c r="C504" s="273" t="s">
        <v>0</v>
      </c>
      <c r="D504" s="274" t="str">
        <f>"#"&amp;$S$2&amp;"#"&amp;$T$2&amp;"\"&amp;$P$2&amp;"\SMVT"</f>
        <v>#1#treiOPCDA.CoOPCserv.1\pcmaster\dREG_test\SMVT</v>
      </c>
    </row>
    <row r="505" spans="1:4">
      <c r="A505" s="266" t="str">
        <f t="shared" ref="A505:A510" si="53">$R$2&amp;".SDTX"</f>
        <v>FB_dREG_BUF_S.SDTX</v>
      </c>
      <c r="B505" s="267">
        <v>3</v>
      </c>
      <c r="C505" s="267" t="s">
        <v>1</v>
      </c>
      <c r="D505" s="268">
        <v>192</v>
      </c>
    </row>
    <row r="506" spans="1:4">
      <c r="A506" s="269" t="str">
        <f t="shared" si="53"/>
        <v>FB_dREG_BUF_S.SDTX</v>
      </c>
      <c r="B506" s="270">
        <v>2</v>
      </c>
      <c r="C506" s="270" t="s">
        <v>6</v>
      </c>
      <c r="D506" s="271">
        <v>0</v>
      </c>
    </row>
    <row r="507" spans="1:4">
      <c r="A507" s="269" t="str">
        <f t="shared" si="53"/>
        <v>FB_dREG_BUF_S.SDTX</v>
      </c>
      <c r="B507" s="270">
        <v>1</v>
      </c>
      <c r="C507" s="270" t="s">
        <v>1</v>
      </c>
      <c r="D507" s="271">
        <v>3</v>
      </c>
    </row>
    <row r="508" spans="1:4">
      <c r="A508" s="269" t="str">
        <f t="shared" si="53"/>
        <v>FB_dREG_BUF_S.SDTX</v>
      </c>
      <c r="B508" s="270">
        <v>101</v>
      </c>
      <c r="C508" s="270" t="s">
        <v>0</v>
      </c>
      <c r="D508" s="271" t="s">
        <v>1794</v>
      </c>
    </row>
    <row r="509" spans="1:4">
      <c r="A509" s="269" t="str">
        <f t="shared" si="53"/>
        <v>FB_dREG_BUF_S.SDTX</v>
      </c>
      <c r="B509" s="270">
        <v>7998</v>
      </c>
      <c r="C509" s="270" t="s">
        <v>6</v>
      </c>
      <c r="D509" s="271">
        <v>1</v>
      </c>
    </row>
    <row r="510" spans="1:4">
      <c r="A510" s="272" t="str">
        <f t="shared" si="53"/>
        <v>FB_dREG_BUF_S.SDTX</v>
      </c>
      <c r="B510" s="273">
        <v>7999</v>
      </c>
      <c r="C510" s="273" t="s">
        <v>0</v>
      </c>
      <c r="D510" s="274" t="str">
        <f>"#"&amp;$S$2&amp;"#"&amp;$T$2&amp;"\"&amp;$P$2&amp;"\SDTX"</f>
        <v>#1#treiOPCDA.CoOPCserv.1\pcmaster\dREG_test\SDTX</v>
      </c>
    </row>
    <row r="511" spans="1:4">
      <c r="A511" s="266" t="str">
        <f>$R$2&amp;".SCST"</f>
        <v>FB_dREG_BUF_S.SCST</v>
      </c>
      <c r="B511" s="267">
        <v>3</v>
      </c>
      <c r="C511" s="267" t="s">
        <v>1</v>
      </c>
      <c r="D511" s="268">
        <v>192</v>
      </c>
    </row>
    <row r="512" spans="1:4">
      <c r="A512" s="269" t="str">
        <f t="shared" ref="A512:A516" si="54">$R$2&amp;".SCST"</f>
        <v>FB_dREG_BUF_S.SCST</v>
      </c>
      <c r="B512" s="270">
        <v>2</v>
      </c>
      <c r="C512" s="270" t="s">
        <v>6</v>
      </c>
      <c r="D512" s="271">
        <v>0</v>
      </c>
    </row>
    <row r="513" spans="1:4">
      <c r="A513" s="269" t="str">
        <f t="shared" si="54"/>
        <v>FB_dREG_BUF_S.SCST</v>
      </c>
      <c r="B513" s="270">
        <v>1</v>
      </c>
      <c r="C513" s="270" t="s">
        <v>1</v>
      </c>
      <c r="D513" s="271">
        <v>3</v>
      </c>
    </row>
    <row r="514" spans="1:4">
      <c r="A514" s="269" t="str">
        <f t="shared" si="54"/>
        <v>FB_dREG_BUF_S.SCST</v>
      </c>
      <c r="B514" s="270">
        <v>101</v>
      </c>
      <c r="C514" s="270" t="s">
        <v>0</v>
      </c>
      <c r="D514" s="271" t="s">
        <v>2758</v>
      </c>
    </row>
    <row r="515" spans="1:4">
      <c r="A515" s="269" t="str">
        <f t="shared" si="54"/>
        <v>FB_dREG_BUF_S.SCST</v>
      </c>
      <c r="B515" s="270">
        <v>7998</v>
      </c>
      <c r="C515" s="270" t="s">
        <v>6</v>
      </c>
      <c r="D515" s="271">
        <v>1</v>
      </c>
    </row>
    <row r="516" spans="1:4">
      <c r="A516" s="272" t="str">
        <f t="shared" si="54"/>
        <v>FB_dREG_BUF_S.SCST</v>
      </c>
      <c r="B516" s="273">
        <v>7999</v>
      </c>
      <c r="C516" s="273" t="s">
        <v>0</v>
      </c>
      <c r="D516" s="274" t="str">
        <f>"#"&amp;$S$2&amp;"#"&amp;$T$2&amp;"\"&amp;$P$2&amp;"\SCST"</f>
        <v>#1#treiOPCDA.CoOPCserv.1\pcmaster\dREG_test\SCST</v>
      </c>
    </row>
    <row r="517" spans="1:4">
      <c r="A517" s="163" t="str">
        <f t="shared" ref="A517:A525" si="55">$R$2&amp;".BUF.DLCX"</f>
        <v>FB_dREG_BUF_S.BUF.DLCX</v>
      </c>
      <c r="B517" s="123">
        <v>11154</v>
      </c>
      <c r="C517" s="123" t="s">
        <v>4</v>
      </c>
      <c r="D517" s="124">
        <f>$S$9</f>
        <v>27</v>
      </c>
    </row>
    <row r="518" spans="1:4">
      <c r="A518" s="110" t="str">
        <f t="shared" si="55"/>
        <v>FB_dREG_BUF_S.BUF.DLCX</v>
      </c>
      <c r="B518" s="111">
        <v>11150</v>
      </c>
      <c r="C518" s="111" t="s">
        <v>0</v>
      </c>
      <c r="D518" s="112" t="s">
        <v>166</v>
      </c>
    </row>
    <row r="519" spans="1:4">
      <c r="A519" s="110" t="str">
        <f t="shared" si="55"/>
        <v>FB_dREG_BUF_S.BUF.DLCX</v>
      </c>
      <c r="B519" s="111">
        <v>11152</v>
      </c>
      <c r="C519" s="111" t="s">
        <v>0</v>
      </c>
      <c r="D519" s="113" t="str">
        <f>$R$9</f>
        <v>Недостоверность</v>
      </c>
    </row>
    <row r="520" spans="1:4">
      <c r="A520" s="110" t="str">
        <f t="shared" si="55"/>
        <v>FB_dREG_BUF_S.BUF.DLCX</v>
      </c>
      <c r="B520" s="111">
        <v>11000</v>
      </c>
      <c r="C520" s="111" t="s">
        <v>5</v>
      </c>
      <c r="D520" s="112">
        <v>2147483680</v>
      </c>
    </row>
    <row r="521" spans="1:4">
      <c r="A521" s="19" t="str">
        <f t="shared" si="55"/>
        <v>FB_dREG_BUF_S.BUF.DLCX</v>
      </c>
      <c r="B521" s="11">
        <v>101</v>
      </c>
      <c r="C521" s="11" t="s">
        <v>0</v>
      </c>
      <c r="D521" s="20" t="s">
        <v>2748</v>
      </c>
    </row>
    <row r="522" spans="1:4">
      <c r="A522" s="19" t="str">
        <f t="shared" si="55"/>
        <v>FB_dREG_BUF_S.BUF.DLCX</v>
      </c>
      <c r="B522" s="11">
        <v>7050</v>
      </c>
      <c r="C522" s="11" t="s">
        <v>0</v>
      </c>
      <c r="D522" s="20" t="str">
        <f>"&lt;Addr AnswerSignalType=©0© Protocol=©IEC4Std© Type=©Protocol© ProtocolType=©30© Address=©XXX© ModuleNo=©" &amp; $T$9&amp; "© Role=©Master© Station=©" &amp; $T$11 &amp; "©  /&gt;"</f>
        <v>&lt;Addr AnswerSignalType=©0© Protocol=©IEC4Std© Type=©Protocol© ProtocolType=©30© Address=©XXX© ModuleNo=©1© Role=©Master© Station=©1©  /&gt;</v>
      </c>
    </row>
    <row r="523" spans="1:4">
      <c r="A523" s="19" t="str">
        <f t="shared" si="55"/>
        <v>FB_dREG_BUF_S.BUF.DLCX</v>
      </c>
      <c r="B523" s="11">
        <v>3</v>
      </c>
      <c r="C523" s="11" t="s">
        <v>1</v>
      </c>
      <c r="D523" s="20">
        <v>192</v>
      </c>
    </row>
    <row r="524" spans="1:4">
      <c r="A524" s="19" t="str">
        <f t="shared" si="55"/>
        <v>FB_dREG_BUF_S.BUF.DLCX</v>
      </c>
      <c r="B524" s="11">
        <v>2</v>
      </c>
      <c r="C524" s="11" t="s">
        <v>2</v>
      </c>
      <c r="D524" s="20" t="s">
        <v>3</v>
      </c>
    </row>
    <row r="525" spans="1:4">
      <c r="A525" s="21" t="str">
        <f t="shared" si="55"/>
        <v>FB_dREG_BUF_S.BUF.DLCX</v>
      </c>
      <c r="B525" s="8">
        <v>1</v>
      </c>
      <c r="C525" s="8" t="s">
        <v>1</v>
      </c>
      <c r="D525" s="22">
        <v>11</v>
      </c>
    </row>
    <row r="526" spans="1:4">
      <c r="A526" s="163" t="str">
        <f t="shared" ref="A526:A534" si="56">$R$2&amp;".BUF.DRCX"</f>
        <v>FB_dREG_BUF_S.BUF.DRCX</v>
      </c>
      <c r="B526" s="123">
        <v>11154</v>
      </c>
      <c r="C526" s="123" t="s">
        <v>4</v>
      </c>
      <c r="D526" s="124">
        <f>$S$9</f>
        <v>27</v>
      </c>
    </row>
    <row r="527" spans="1:4">
      <c r="A527" s="110" t="str">
        <f t="shared" si="56"/>
        <v>FB_dREG_BUF_S.BUF.DRCX</v>
      </c>
      <c r="B527" s="111">
        <v>11150</v>
      </c>
      <c r="C527" s="111" t="s">
        <v>0</v>
      </c>
      <c r="D527" s="112" t="s">
        <v>105</v>
      </c>
    </row>
    <row r="528" spans="1:4">
      <c r="A528" s="110" t="str">
        <f t="shared" si="56"/>
        <v>FB_dREG_BUF_S.BUF.DRCX</v>
      </c>
      <c r="B528" s="111">
        <v>11152</v>
      </c>
      <c r="C528" s="111" t="s">
        <v>0</v>
      </c>
      <c r="D528" s="113" t="str">
        <f>$R$9</f>
        <v>Недостоверность</v>
      </c>
    </row>
    <row r="529" spans="1:4">
      <c r="A529" s="110" t="str">
        <f t="shared" si="56"/>
        <v>FB_dREG_BUF_S.BUF.DRCX</v>
      </c>
      <c r="B529" s="111">
        <v>11000</v>
      </c>
      <c r="C529" s="111" t="s">
        <v>5</v>
      </c>
      <c r="D529" s="112">
        <v>2147483680</v>
      </c>
    </row>
    <row r="530" spans="1:4">
      <c r="A530" s="19" t="str">
        <f t="shared" si="56"/>
        <v>FB_dREG_BUF_S.BUF.DRCX</v>
      </c>
      <c r="B530" s="11">
        <v>101</v>
      </c>
      <c r="C530" s="11" t="s">
        <v>0</v>
      </c>
      <c r="D530" s="20" t="s">
        <v>105</v>
      </c>
    </row>
    <row r="531" spans="1:4">
      <c r="A531" s="19" t="str">
        <f t="shared" si="56"/>
        <v>FB_dREG_BUF_S.BUF.DRCX</v>
      </c>
      <c r="B531" s="11">
        <v>7050</v>
      </c>
      <c r="C531" s="11" t="s">
        <v>0</v>
      </c>
      <c r="D531" s="20" t="str">
        <f>"&lt;Addr AnswerSignalType=©0© Protocol=©IEC4Std© Type=©Protocol© ProtocolType=©30© Address=©XXX© ModuleNo=©" &amp; $T$9&amp; "© Role=©Master© Station=©" &amp; $T$11 &amp; "©  /&gt;"</f>
        <v>&lt;Addr AnswerSignalType=©0© Protocol=©IEC4Std© Type=©Protocol© ProtocolType=©30© Address=©XXX© ModuleNo=©1© Role=©Master© Station=©1©  /&gt;</v>
      </c>
    </row>
    <row r="532" spans="1:4">
      <c r="A532" s="19" t="str">
        <f t="shared" si="56"/>
        <v>FB_dREG_BUF_S.BUF.DRCX</v>
      </c>
      <c r="B532" s="11">
        <v>3</v>
      </c>
      <c r="C532" s="11" t="s">
        <v>1</v>
      </c>
      <c r="D532" s="20">
        <v>192</v>
      </c>
    </row>
    <row r="533" spans="1:4">
      <c r="A533" s="19" t="str">
        <f t="shared" si="56"/>
        <v>FB_dREG_BUF_S.BUF.DRCX</v>
      </c>
      <c r="B533" s="11">
        <v>2</v>
      </c>
      <c r="C533" s="11" t="s">
        <v>2</v>
      </c>
      <c r="D533" s="20" t="s">
        <v>3</v>
      </c>
    </row>
    <row r="534" spans="1:4">
      <c r="A534" s="21" t="str">
        <f t="shared" si="56"/>
        <v>FB_dREG_BUF_S.BUF.DRCX</v>
      </c>
      <c r="B534" s="8">
        <v>1</v>
      </c>
      <c r="C534" s="8" t="s">
        <v>1</v>
      </c>
      <c r="D534" s="22">
        <v>11</v>
      </c>
    </row>
    <row r="535" spans="1:4">
      <c r="A535" s="163" t="str">
        <f t="shared" ref="A535:A543" si="57">$R$2&amp;".BUF.DFXX"</f>
        <v>FB_dREG_BUF_S.BUF.DFXX</v>
      </c>
      <c r="B535" s="123">
        <v>11154</v>
      </c>
      <c r="C535" s="123" t="s">
        <v>4</v>
      </c>
      <c r="D535" s="124">
        <f>$S$9</f>
        <v>27</v>
      </c>
    </row>
    <row r="536" spans="1:4">
      <c r="A536" s="110" t="str">
        <f t="shared" si="57"/>
        <v>FB_dREG_BUF_S.BUF.DFXX</v>
      </c>
      <c r="B536" s="111">
        <v>11150</v>
      </c>
      <c r="C536" s="111" t="s">
        <v>0</v>
      </c>
      <c r="D536" s="112" t="s">
        <v>104</v>
      </c>
    </row>
    <row r="537" spans="1:4">
      <c r="A537" s="110" t="str">
        <f t="shared" si="57"/>
        <v>FB_dREG_BUF_S.BUF.DFXX</v>
      </c>
      <c r="B537" s="111">
        <v>11152</v>
      </c>
      <c r="C537" s="111" t="s">
        <v>0</v>
      </c>
      <c r="D537" s="113" t="str">
        <f>$R$9</f>
        <v>Недостоверность</v>
      </c>
    </row>
    <row r="538" spans="1:4">
      <c r="A538" s="110" t="str">
        <f t="shared" si="57"/>
        <v>FB_dREG_BUF_S.BUF.DFXX</v>
      </c>
      <c r="B538" s="111">
        <v>11000</v>
      </c>
      <c r="C538" s="111" t="s">
        <v>5</v>
      </c>
      <c r="D538" s="112">
        <v>2147483680</v>
      </c>
    </row>
    <row r="539" spans="1:4">
      <c r="A539" s="19" t="str">
        <f t="shared" si="57"/>
        <v>FB_dREG_BUF_S.BUF.DFXX</v>
      </c>
      <c r="B539" s="11">
        <v>101</v>
      </c>
      <c r="C539" s="11" t="s">
        <v>0</v>
      </c>
      <c r="D539" s="20" t="s">
        <v>104</v>
      </c>
    </row>
    <row r="540" spans="1:4">
      <c r="A540" s="19" t="str">
        <f t="shared" si="57"/>
        <v>FB_dREG_BUF_S.BUF.DFXX</v>
      </c>
      <c r="B540" s="11">
        <v>7050</v>
      </c>
      <c r="C540" s="11" t="s">
        <v>0</v>
      </c>
      <c r="D540" s="20" t="str">
        <f>"&lt;Addr AnswerSignalType=©0© Protocol=©IEC4Std© Type=©Protocol© ProtocolType=©30© Address=©XXX© ModuleNo=©" &amp; $T$9&amp; "© Role=©Master© Station=©" &amp; $T$11 &amp; "©  /&gt;"</f>
        <v>&lt;Addr AnswerSignalType=©0© Protocol=©IEC4Std© Type=©Protocol© ProtocolType=©30© Address=©XXX© ModuleNo=©1© Role=©Master© Station=©1©  /&gt;</v>
      </c>
    </row>
    <row r="541" spans="1:4">
      <c r="A541" s="19" t="str">
        <f t="shared" si="57"/>
        <v>FB_dREG_BUF_S.BUF.DFXX</v>
      </c>
      <c r="B541" s="11">
        <v>3</v>
      </c>
      <c r="C541" s="11" t="s">
        <v>1</v>
      </c>
      <c r="D541" s="20">
        <v>192</v>
      </c>
    </row>
    <row r="542" spans="1:4">
      <c r="A542" s="19" t="str">
        <f t="shared" si="57"/>
        <v>FB_dREG_BUF_S.BUF.DFXX</v>
      </c>
      <c r="B542" s="11">
        <v>2</v>
      </c>
      <c r="C542" s="11" t="s">
        <v>2</v>
      </c>
      <c r="D542" s="20" t="s">
        <v>3</v>
      </c>
    </row>
    <row r="543" spans="1:4">
      <c r="A543" s="21" t="str">
        <f t="shared" si="57"/>
        <v>FB_dREG_BUF_S.BUF.DFXX</v>
      </c>
      <c r="B543" s="8">
        <v>1</v>
      </c>
      <c r="C543" s="8" t="s">
        <v>1</v>
      </c>
      <c r="D543" s="22">
        <v>11</v>
      </c>
    </row>
    <row r="544" spans="1:4">
      <c r="A544" s="163" t="str">
        <f t="shared" ref="A544:A552" si="58">$R$2&amp;".BUF.DCPX"</f>
        <v>FB_dREG_BUF_S.BUF.DCPX</v>
      </c>
      <c r="B544" s="123">
        <v>11154</v>
      </c>
      <c r="C544" s="123" t="s">
        <v>4</v>
      </c>
      <c r="D544" s="124">
        <f>$S$9</f>
        <v>27</v>
      </c>
    </row>
    <row r="545" spans="1:4">
      <c r="A545" s="110" t="str">
        <f t="shared" si="58"/>
        <v>FB_dREG_BUF_S.BUF.DCPX</v>
      </c>
      <c r="B545" s="111">
        <v>11150</v>
      </c>
      <c r="C545" s="111" t="s">
        <v>0</v>
      </c>
      <c r="D545" s="112" t="s">
        <v>2747</v>
      </c>
    </row>
    <row r="546" spans="1:4">
      <c r="A546" s="110" t="str">
        <f t="shared" si="58"/>
        <v>FB_dREG_BUF_S.BUF.DCPX</v>
      </c>
      <c r="B546" s="111">
        <v>11152</v>
      </c>
      <c r="C546" s="111" t="s">
        <v>0</v>
      </c>
      <c r="D546" s="113" t="str">
        <f>$R$9</f>
        <v>Недостоверность</v>
      </c>
    </row>
    <row r="547" spans="1:4">
      <c r="A547" s="110" t="str">
        <f t="shared" si="58"/>
        <v>FB_dREG_BUF_S.BUF.DCPX</v>
      </c>
      <c r="B547" s="111">
        <v>11000</v>
      </c>
      <c r="C547" s="111" t="s">
        <v>5</v>
      </c>
      <c r="D547" s="112">
        <v>2147483680</v>
      </c>
    </row>
    <row r="548" spans="1:4">
      <c r="A548" s="19" t="str">
        <f t="shared" si="58"/>
        <v>FB_dREG_BUF_S.BUF.DCPX</v>
      </c>
      <c r="B548" s="11">
        <v>101</v>
      </c>
      <c r="C548" s="11" t="s">
        <v>0</v>
      </c>
      <c r="D548" s="20" t="s">
        <v>2747</v>
      </c>
    </row>
    <row r="549" spans="1:4">
      <c r="A549" s="19" t="str">
        <f t="shared" si="58"/>
        <v>FB_dREG_BUF_S.BUF.DCPX</v>
      </c>
      <c r="B549" s="11">
        <v>7050</v>
      </c>
      <c r="C549" s="11" t="s">
        <v>0</v>
      </c>
      <c r="D549" s="20" t="str">
        <f>"&lt;Addr AnswerSignalType=©0© Protocol=©IEC4Std© Type=©Protocol© ProtocolType=©30© Address=©XXX© ModuleNo=©" &amp; $T$9&amp; "© Role=©Master© Station=©" &amp; $T$11 &amp; "©  /&gt;"</f>
        <v>&lt;Addr AnswerSignalType=©0© Protocol=©IEC4Std© Type=©Protocol© ProtocolType=©30© Address=©XXX© ModuleNo=©1© Role=©Master© Station=©1©  /&gt;</v>
      </c>
    </row>
    <row r="550" spans="1:4">
      <c r="A550" s="19" t="str">
        <f t="shared" si="58"/>
        <v>FB_dREG_BUF_S.BUF.DCPX</v>
      </c>
      <c r="B550" s="11">
        <v>3</v>
      </c>
      <c r="C550" s="11" t="s">
        <v>1</v>
      </c>
      <c r="D550" s="20">
        <v>192</v>
      </c>
    </row>
    <row r="551" spans="1:4">
      <c r="A551" s="19" t="str">
        <f t="shared" si="58"/>
        <v>FB_dREG_BUF_S.BUF.DCPX</v>
      </c>
      <c r="B551" s="11">
        <v>2</v>
      </c>
      <c r="C551" s="11" t="s">
        <v>2</v>
      </c>
      <c r="D551" s="20" t="s">
        <v>3</v>
      </c>
    </row>
    <row r="552" spans="1:4">
      <c r="A552" s="21" t="str">
        <f t="shared" si="58"/>
        <v>FB_dREG_BUF_S.BUF.DCPX</v>
      </c>
      <c r="B552" s="8">
        <v>1</v>
      </c>
      <c r="C552" s="8" t="s">
        <v>1</v>
      </c>
      <c r="D552" s="22">
        <v>11</v>
      </c>
    </row>
    <row r="553" spans="1:4">
      <c r="A553" s="163" t="str">
        <f>$R$2&amp;".BUF.DCAX"</f>
        <v>FB_dREG_BUF_S.BUF.DCAX</v>
      </c>
      <c r="B553" s="123">
        <v>11154</v>
      </c>
      <c r="C553" s="123" t="s">
        <v>4</v>
      </c>
      <c r="D553" s="124">
        <f>$S$9</f>
        <v>27</v>
      </c>
    </row>
    <row r="554" spans="1:4">
      <c r="A554" s="110" t="str">
        <f t="shared" ref="A554:A561" si="59">$R$2&amp;".BUF.DCAX"</f>
        <v>FB_dREG_BUF_S.BUF.DCAX</v>
      </c>
      <c r="B554" s="111">
        <v>11150</v>
      </c>
      <c r="C554" s="111" t="s">
        <v>0</v>
      </c>
      <c r="D554" s="112" t="s">
        <v>2749</v>
      </c>
    </row>
    <row r="555" spans="1:4">
      <c r="A555" s="110" t="str">
        <f t="shared" si="59"/>
        <v>FB_dREG_BUF_S.BUF.DCAX</v>
      </c>
      <c r="B555" s="111">
        <v>11152</v>
      </c>
      <c r="C555" s="111" t="s">
        <v>0</v>
      </c>
      <c r="D555" s="113" t="str">
        <f>$R$9</f>
        <v>Недостоверность</v>
      </c>
    </row>
    <row r="556" spans="1:4">
      <c r="A556" s="110" t="str">
        <f t="shared" si="59"/>
        <v>FB_dREG_BUF_S.BUF.DCAX</v>
      </c>
      <c r="B556" s="111">
        <v>11000</v>
      </c>
      <c r="C556" s="111" t="s">
        <v>5</v>
      </c>
      <c r="D556" s="112">
        <v>2147483680</v>
      </c>
    </row>
    <row r="557" spans="1:4">
      <c r="A557" s="19" t="str">
        <f t="shared" si="59"/>
        <v>FB_dREG_BUF_S.BUF.DCAX</v>
      </c>
      <c r="B557" s="11">
        <v>101</v>
      </c>
      <c r="C557" s="11" t="s">
        <v>0</v>
      </c>
      <c r="D557" s="20" t="s">
        <v>2749</v>
      </c>
    </row>
    <row r="558" spans="1:4">
      <c r="A558" s="19" t="str">
        <f t="shared" si="59"/>
        <v>FB_dREG_BUF_S.BUF.DCAX</v>
      </c>
      <c r="B558" s="11">
        <v>7050</v>
      </c>
      <c r="C558" s="11" t="s">
        <v>0</v>
      </c>
      <c r="D558" s="20" t="str">
        <f>"&lt;Addr AnswerSignalType=©0© Protocol=©IEC4Std© Type=©Protocol© ProtocolType=©30© Address=©XXX© ModuleNo=©" &amp; $T$9&amp; "© Role=©Master© Station=©" &amp; $T$11 &amp; "©  /&gt;"</f>
        <v>&lt;Addr AnswerSignalType=©0© Protocol=©IEC4Std© Type=©Protocol© ProtocolType=©30© Address=©XXX© ModuleNo=©1© Role=©Master© Station=©1©  /&gt;</v>
      </c>
    </row>
    <row r="559" spans="1:4">
      <c r="A559" s="19" t="str">
        <f t="shared" si="59"/>
        <v>FB_dREG_BUF_S.BUF.DCAX</v>
      </c>
      <c r="B559" s="11">
        <v>3</v>
      </c>
      <c r="C559" s="11" t="s">
        <v>1</v>
      </c>
      <c r="D559" s="20">
        <v>192</v>
      </c>
    </row>
    <row r="560" spans="1:4">
      <c r="A560" s="19" t="str">
        <f t="shared" si="59"/>
        <v>FB_dREG_BUF_S.BUF.DCAX</v>
      </c>
      <c r="B560" s="11">
        <v>2</v>
      </c>
      <c r="C560" s="11" t="s">
        <v>2</v>
      </c>
      <c r="D560" s="20" t="s">
        <v>3</v>
      </c>
    </row>
    <row r="561" spans="1:4">
      <c r="A561" s="21" t="str">
        <f t="shared" si="59"/>
        <v>FB_dREG_BUF_S.BUF.DCAX</v>
      </c>
      <c r="B561" s="8">
        <v>1</v>
      </c>
      <c r="C561" s="8" t="s">
        <v>1</v>
      </c>
      <c r="D561" s="22">
        <v>11</v>
      </c>
    </row>
    <row r="562" spans="1:4">
      <c r="A562" s="69" t="str">
        <f>$R$2&amp;".BUF.CEXX"</f>
        <v>FB_dREG_BUF_S.BUF.CEXX</v>
      </c>
      <c r="B562" s="70">
        <v>11154</v>
      </c>
      <c r="C562" s="70" t="s">
        <v>4</v>
      </c>
      <c r="D562" s="144">
        <f>$S$6</f>
        <v>24</v>
      </c>
    </row>
    <row r="563" spans="1:4">
      <c r="A563" s="63" t="str">
        <f t="shared" ref="A563:A570" si="60">$R$2&amp;".BUF.CEXX"</f>
        <v>FB_dREG_BUF_S.BUF.CEXX</v>
      </c>
      <c r="B563" s="64">
        <v>11150</v>
      </c>
      <c r="C563" s="64" t="s">
        <v>0</v>
      </c>
      <c r="D563" s="65" t="s">
        <v>2753</v>
      </c>
    </row>
    <row r="564" spans="1:4">
      <c r="A564" s="63" t="str">
        <f t="shared" si="60"/>
        <v>FB_dREG_BUF_S.BUF.CEXX</v>
      </c>
      <c r="B564" s="64">
        <v>11152</v>
      </c>
      <c r="C564" s="64" t="s">
        <v>0</v>
      </c>
      <c r="D564" s="99" t="str">
        <f>$R$6</f>
        <v>Предупреждение</v>
      </c>
    </row>
    <row r="565" spans="1:4">
      <c r="A565" s="63" t="str">
        <f t="shared" si="60"/>
        <v>FB_dREG_BUF_S.BUF.CEXX</v>
      </c>
      <c r="B565" s="64">
        <v>11000</v>
      </c>
      <c r="C565" s="64" t="s">
        <v>5</v>
      </c>
      <c r="D565" s="65">
        <v>2147483680</v>
      </c>
    </row>
    <row r="566" spans="1:4">
      <c r="A566" s="19" t="str">
        <f t="shared" si="60"/>
        <v>FB_dREG_BUF_S.BUF.CEXX</v>
      </c>
      <c r="B566" s="11">
        <v>101</v>
      </c>
      <c r="C566" s="11" t="s">
        <v>0</v>
      </c>
      <c r="D566" s="20" t="s">
        <v>2753</v>
      </c>
    </row>
    <row r="567" spans="1:4">
      <c r="A567" s="19" t="str">
        <f t="shared" si="60"/>
        <v>FB_dREG_BUF_S.BUF.CEXX</v>
      </c>
      <c r="B567" s="11">
        <v>7050</v>
      </c>
      <c r="C567" s="11" t="s">
        <v>0</v>
      </c>
      <c r="D567" s="20" t="str">
        <f>"&lt;Addr AnswerSignalType=©0© Protocol=©IEC4Std© Type=©Protocol© ProtocolType=©30© Address=©XXX© ModuleNo=©" &amp; $T$9&amp; "© Role=©Master© Station=©" &amp; $T$11 &amp; "©  /&gt;"</f>
        <v>&lt;Addr AnswerSignalType=©0© Protocol=©IEC4Std© Type=©Protocol© ProtocolType=©30© Address=©XXX© ModuleNo=©1© Role=©Master© Station=©1©  /&gt;</v>
      </c>
    </row>
    <row r="568" spans="1:4">
      <c r="A568" s="19" t="str">
        <f t="shared" si="60"/>
        <v>FB_dREG_BUF_S.BUF.CEXX</v>
      </c>
      <c r="B568" s="11">
        <v>3</v>
      </c>
      <c r="C568" s="11" t="s">
        <v>1</v>
      </c>
      <c r="D568" s="20">
        <v>192</v>
      </c>
    </row>
    <row r="569" spans="1:4">
      <c r="A569" s="19" t="str">
        <f t="shared" si="60"/>
        <v>FB_dREG_BUF_S.BUF.CEXX</v>
      </c>
      <c r="B569" s="11">
        <v>2</v>
      </c>
      <c r="C569" s="11" t="s">
        <v>2</v>
      </c>
      <c r="D569" s="20" t="s">
        <v>3</v>
      </c>
    </row>
    <row r="570" spans="1:4">
      <c r="A570" s="21" t="str">
        <f t="shared" si="60"/>
        <v>FB_dREG_BUF_S.BUF.CEXX</v>
      </c>
      <c r="B570" s="8">
        <v>1</v>
      </c>
      <c r="C570" s="8" t="s">
        <v>1</v>
      </c>
      <c r="D570" s="22">
        <v>11</v>
      </c>
    </row>
    <row r="571" spans="1:4">
      <c r="A571" s="69" t="str">
        <f t="shared" ref="A571:A579" si="61">$R$2&amp;".BUF.XMMX"</f>
        <v>FB_dREG_BUF_S.BUF.XMMX</v>
      </c>
      <c r="B571" s="70">
        <v>11154</v>
      </c>
      <c r="C571" s="70" t="s">
        <v>4</v>
      </c>
      <c r="D571" s="144">
        <f>$S$6</f>
        <v>24</v>
      </c>
    </row>
    <row r="572" spans="1:4">
      <c r="A572" s="63" t="str">
        <f t="shared" si="61"/>
        <v>FB_dREG_BUF_S.BUF.XMMX</v>
      </c>
      <c r="B572" s="64">
        <v>11150</v>
      </c>
      <c r="C572" s="64" t="s">
        <v>0</v>
      </c>
      <c r="D572" s="65" t="s">
        <v>134</v>
      </c>
    </row>
    <row r="573" spans="1:4">
      <c r="A573" s="63" t="str">
        <f t="shared" si="61"/>
        <v>FB_dREG_BUF_S.BUF.XMMX</v>
      </c>
      <c r="B573" s="64">
        <v>11152</v>
      </c>
      <c r="C573" s="64" t="s">
        <v>0</v>
      </c>
      <c r="D573" s="99" t="str">
        <f>$R$6</f>
        <v>Предупреждение</v>
      </c>
    </row>
    <row r="574" spans="1:4">
      <c r="A574" s="63" t="str">
        <f t="shared" si="61"/>
        <v>FB_dREG_BUF_S.BUF.XMMX</v>
      </c>
      <c r="B574" s="64">
        <v>11000</v>
      </c>
      <c r="C574" s="64" t="s">
        <v>5</v>
      </c>
      <c r="D574" s="65">
        <v>2147483680</v>
      </c>
    </row>
    <row r="575" spans="1:4">
      <c r="A575" s="19" t="str">
        <f t="shared" si="61"/>
        <v>FB_dREG_BUF_S.BUF.XMMX</v>
      </c>
      <c r="B575" s="11">
        <v>101</v>
      </c>
      <c r="C575" s="11" t="s">
        <v>0</v>
      </c>
      <c r="D575" s="20" t="s">
        <v>134</v>
      </c>
    </row>
    <row r="576" spans="1:4">
      <c r="A576" s="19" t="str">
        <f t="shared" si="61"/>
        <v>FB_dREG_BUF_S.BUF.XMMX</v>
      </c>
      <c r="B576" s="11">
        <v>7050</v>
      </c>
      <c r="C576" s="11" t="s">
        <v>0</v>
      </c>
      <c r="D576" s="20" t="str">
        <f>"&lt;Addr AnswerSignalType=©0© Protocol=©IEC4Std© Type=©Protocol© ProtocolType=©30© Address=©XXX© ModuleNo=©" &amp; $T$9&amp; "© Role=©Master© Station=©" &amp; $T$11 &amp; "©  /&gt;"</f>
        <v>&lt;Addr AnswerSignalType=©0© Protocol=©IEC4Std© Type=©Protocol© ProtocolType=©30© Address=©XXX© ModuleNo=©1© Role=©Master© Station=©1©  /&gt;</v>
      </c>
    </row>
    <row r="577" spans="1:4">
      <c r="A577" s="19" t="str">
        <f t="shared" si="61"/>
        <v>FB_dREG_BUF_S.BUF.XMMX</v>
      </c>
      <c r="B577" s="11">
        <v>3</v>
      </c>
      <c r="C577" s="11" t="s">
        <v>1</v>
      </c>
      <c r="D577" s="20">
        <v>192</v>
      </c>
    </row>
    <row r="578" spans="1:4">
      <c r="A578" s="19" t="str">
        <f t="shared" si="61"/>
        <v>FB_dREG_BUF_S.BUF.XMMX</v>
      </c>
      <c r="B578" s="11">
        <v>2</v>
      </c>
      <c r="C578" s="11" t="s">
        <v>2</v>
      </c>
      <c r="D578" s="20" t="s">
        <v>3</v>
      </c>
    </row>
    <row r="579" spans="1:4">
      <c r="A579" s="21" t="str">
        <f t="shared" si="61"/>
        <v>FB_dREG_BUF_S.BUF.XMMX</v>
      </c>
      <c r="B579" s="8">
        <v>1</v>
      </c>
      <c r="C579" s="8" t="s">
        <v>1</v>
      </c>
      <c r="D579" s="22">
        <v>11</v>
      </c>
    </row>
    <row r="580" spans="1:4">
      <c r="A580" s="159" t="str">
        <f t="shared" ref="A580:A588" si="62">$R$2&amp;".BUF.XRCX"</f>
        <v>FB_dREG_BUF_S.BUF.XRCX</v>
      </c>
      <c r="B580" s="160">
        <v>11154</v>
      </c>
      <c r="C580" s="160" t="s">
        <v>4</v>
      </c>
      <c r="D580" s="161">
        <f>$S$8</f>
        <v>26</v>
      </c>
    </row>
    <row r="581" spans="1:4">
      <c r="A581" s="100" t="str">
        <f t="shared" si="62"/>
        <v>FB_dREG_BUF_S.BUF.XRCX</v>
      </c>
      <c r="B581" s="101">
        <v>11150</v>
      </c>
      <c r="C581" s="101" t="s">
        <v>0</v>
      </c>
      <c r="D581" s="103" t="s">
        <v>136</v>
      </c>
    </row>
    <row r="582" spans="1:4">
      <c r="A582" s="100" t="str">
        <f t="shared" si="62"/>
        <v>FB_dREG_BUF_S.BUF.XRCX</v>
      </c>
      <c r="B582" s="101">
        <v>11152</v>
      </c>
      <c r="C582" s="101" t="s">
        <v>0</v>
      </c>
      <c r="D582" s="104" t="str">
        <f>$R$8</f>
        <v>Телесигнализация</v>
      </c>
    </row>
    <row r="583" spans="1:4">
      <c r="A583" s="100" t="str">
        <f t="shared" si="62"/>
        <v>FB_dREG_BUF_S.BUF.XRCX</v>
      </c>
      <c r="B583" s="101">
        <v>11000</v>
      </c>
      <c r="C583" s="101" t="s">
        <v>5</v>
      </c>
      <c r="D583" s="103">
        <v>2147483680</v>
      </c>
    </row>
    <row r="584" spans="1:4">
      <c r="A584" s="19" t="str">
        <f t="shared" si="62"/>
        <v>FB_dREG_BUF_S.BUF.XRCX</v>
      </c>
      <c r="B584" s="11">
        <v>101</v>
      </c>
      <c r="C584" s="11" t="s">
        <v>0</v>
      </c>
      <c r="D584" s="20" t="s">
        <v>575</v>
      </c>
    </row>
    <row r="585" spans="1:4">
      <c r="A585" s="19" t="str">
        <f t="shared" si="62"/>
        <v>FB_dREG_BUF_S.BUF.XRCX</v>
      </c>
      <c r="B585" s="11">
        <v>7050</v>
      </c>
      <c r="C585" s="11" t="s">
        <v>0</v>
      </c>
      <c r="D585" s="20" t="str">
        <f>"&lt;Addr AnswerSignalType=©0© Protocol=©IEC4Std© Type=©Protocol© ProtocolType=©30© Address=©XXX© ModuleNo=©" &amp; $T$9&amp; "© Role=©Master© Station=©" &amp; $T$11 &amp; "©  /&gt;"</f>
        <v>&lt;Addr AnswerSignalType=©0© Protocol=©IEC4Std© Type=©Protocol© ProtocolType=©30© Address=©XXX© ModuleNo=©1© Role=©Master© Station=©1©  /&gt;</v>
      </c>
    </row>
    <row r="586" spans="1:4">
      <c r="A586" s="19" t="str">
        <f t="shared" si="62"/>
        <v>FB_dREG_BUF_S.BUF.XRCX</v>
      </c>
      <c r="B586" s="11">
        <v>3</v>
      </c>
      <c r="C586" s="11" t="s">
        <v>1</v>
      </c>
      <c r="D586" s="20">
        <v>192</v>
      </c>
    </row>
    <row r="587" spans="1:4">
      <c r="A587" s="19" t="str">
        <f t="shared" si="62"/>
        <v>FB_dREG_BUF_S.BUF.XRCX</v>
      </c>
      <c r="B587" s="11">
        <v>2</v>
      </c>
      <c r="C587" s="11" t="s">
        <v>2</v>
      </c>
      <c r="D587" s="20" t="s">
        <v>3</v>
      </c>
    </row>
    <row r="588" spans="1:4">
      <c r="A588" s="21" t="str">
        <f t="shared" si="62"/>
        <v>FB_dREG_BUF_S.BUF.XRCX</v>
      </c>
      <c r="B588" s="8">
        <v>1</v>
      </c>
      <c r="C588" s="8" t="s">
        <v>1</v>
      </c>
      <c r="D588" s="22">
        <v>11</v>
      </c>
    </row>
    <row r="589" spans="1:4">
      <c r="A589" s="217" t="str">
        <f t="shared" ref="A589:A597" si="63">$R$2&amp;".BUF.FSCX"</f>
        <v>FB_dREG_BUF_S.BUF.FSCX</v>
      </c>
      <c r="B589" s="218">
        <v>11154</v>
      </c>
      <c r="C589" s="218" t="s">
        <v>4</v>
      </c>
      <c r="D589" s="219">
        <f>$S$7</f>
        <v>25</v>
      </c>
    </row>
    <row r="590" spans="1:4">
      <c r="A590" s="211" t="str">
        <f t="shared" si="63"/>
        <v>FB_dREG_BUF_S.BUF.FSCX</v>
      </c>
      <c r="B590" s="212">
        <v>11150</v>
      </c>
      <c r="C590" s="212" t="s">
        <v>0</v>
      </c>
      <c r="D590" s="213" t="s">
        <v>2750</v>
      </c>
    </row>
    <row r="591" spans="1:4">
      <c r="A591" s="211" t="str">
        <f t="shared" si="63"/>
        <v>FB_dREG_BUF_S.BUF.FSCX</v>
      </c>
      <c r="B591" s="212">
        <v>11152</v>
      </c>
      <c r="C591" s="212" t="s">
        <v>0</v>
      </c>
      <c r="D591" s="220" t="str">
        <f>$R$7</f>
        <v>Неисправность</v>
      </c>
    </row>
    <row r="592" spans="1:4">
      <c r="A592" s="211" t="str">
        <f t="shared" si="63"/>
        <v>FB_dREG_BUF_S.BUF.FSCX</v>
      </c>
      <c r="B592" s="212">
        <v>11000</v>
      </c>
      <c r="C592" s="212" t="s">
        <v>5</v>
      </c>
      <c r="D592" s="213">
        <v>2147483680</v>
      </c>
    </row>
    <row r="593" spans="1:4">
      <c r="A593" s="19" t="str">
        <f t="shared" si="63"/>
        <v>FB_dREG_BUF_S.BUF.FSCX</v>
      </c>
      <c r="B593" s="11">
        <v>101</v>
      </c>
      <c r="C593" s="11" t="s">
        <v>0</v>
      </c>
      <c r="D593" s="20" t="s">
        <v>2750</v>
      </c>
    </row>
    <row r="594" spans="1:4">
      <c r="A594" s="19" t="str">
        <f t="shared" si="63"/>
        <v>FB_dREG_BUF_S.BUF.FSCX</v>
      </c>
      <c r="B594" s="11">
        <v>7050</v>
      </c>
      <c r="C594" s="11" t="s">
        <v>0</v>
      </c>
      <c r="D594" s="20" t="str">
        <f>"&lt;Addr AnswerSignalType=©0© Protocol=©IEC4Std© Type=©Protocol© ProtocolType=©30© Address=©XXX© ModuleNo=©" &amp; $T$9&amp; "© Role=©Master© Station=©" &amp; $T$11 &amp; "©  /&gt;"</f>
        <v>&lt;Addr AnswerSignalType=©0© Protocol=©IEC4Std© Type=©Protocol© ProtocolType=©30© Address=©XXX© ModuleNo=©1© Role=©Master© Station=©1©  /&gt;</v>
      </c>
    </row>
    <row r="595" spans="1:4">
      <c r="A595" s="19" t="str">
        <f t="shared" si="63"/>
        <v>FB_dREG_BUF_S.BUF.FSCX</v>
      </c>
      <c r="B595" s="11">
        <v>3</v>
      </c>
      <c r="C595" s="11" t="s">
        <v>1</v>
      </c>
      <c r="D595" s="20">
        <v>192</v>
      </c>
    </row>
    <row r="596" spans="1:4">
      <c r="A596" s="19" t="str">
        <f t="shared" si="63"/>
        <v>FB_dREG_BUF_S.BUF.FSCX</v>
      </c>
      <c r="B596" s="11">
        <v>2</v>
      </c>
      <c r="C596" s="11" t="s">
        <v>2</v>
      </c>
      <c r="D596" s="20" t="s">
        <v>3</v>
      </c>
    </row>
    <row r="597" spans="1:4">
      <c r="A597" s="21" t="str">
        <f t="shared" si="63"/>
        <v>FB_dREG_BUF_S.BUF.FSCX</v>
      </c>
      <c r="B597" s="8">
        <v>1</v>
      </c>
      <c r="C597" s="8" t="s">
        <v>1</v>
      </c>
      <c r="D597" s="22">
        <v>11</v>
      </c>
    </row>
    <row r="598" spans="1:4">
      <c r="A598" s="217" t="str">
        <f t="shared" ref="A598:A606" si="64">$R$2&amp;".BUF.FBXX"</f>
        <v>FB_dREG_BUF_S.BUF.FBXX</v>
      </c>
      <c r="B598" s="218">
        <v>11154</v>
      </c>
      <c r="C598" s="218" t="s">
        <v>4</v>
      </c>
      <c r="D598" s="219">
        <f>$S$7</f>
        <v>25</v>
      </c>
    </row>
    <row r="599" spans="1:4">
      <c r="A599" s="211" t="str">
        <f t="shared" si="64"/>
        <v>FB_dREG_BUF_S.BUF.FBXX</v>
      </c>
      <c r="B599" s="212">
        <v>11150</v>
      </c>
      <c r="C599" s="212" t="s">
        <v>0</v>
      </c>
      <c r="D599" s="213" t="s">
        <v>2751</v>
      </c>
    </row>
    <row r="600" spans="1:4">
      <c r="A600" s="211" t="str">
        <f t="shared" si="64"/>
        <v>FB_dREG_BUF_S.BUF.FBXX</v>
      </c>
      <c r="B600" s="212">
        <v>11152</v>
      </c>
      <c r="C600" s="212" t="s">
        <v>0</v>
      </c>
      <c r="D600" s="220" t="str">
        <f>$R$7</f>
        <v>Неисправность</v>
      </c>
    </row>
    <row r="601" spans="1:4">
      <c r="A601" s="211" t="str">
        <f t="shared" si="64"/>
        <v>FB_dREG_BUF_S.BUF.FBXX</v>
      </c>
      <c r="B601" s="212">
        <v>11000</v>
      </c>
      <c r="C601" s="212" t="s">
        <v>5</v>
      </c>
      <c r="D601" s="213">
        <v>2147483680</v>
      </c>
    </row>
    <row r="602" spans="1:4">
      <c r="A602" s="19" t="str">
        <f t="shared" si="64"/>
        <v>FB_dREG_BUF_S.BUF.FBXX</v>
      </c>
      <c r="B602" s="11">
        <v>101</v>
      </c>
      <c r="C602" s="11" t="s">
        <v>0</v>
      </c>
      <c r="D602" s="20" t="s">
        <v>2751</v>
      </c>
    </row>
    <row r="603" spans="1:4">
      <c r="A603" s="19" t="str">
        <f t="shared" si="64"/>
        <v>FB_dREG_BUF_S.BUF.FBXX</v>
      </c>
      <c r="B603" s="11">
        <v>7050</v>
      </c>
      <c r="C603" s="11" t="s">
        <v>0</v>
      </c>
      <c r="D603" s="20" t="str">
        <f>"&lt;Addr AnswerSignalType=©0© Protocol=©IEC4Std© Type=©Protocol© ProtocolType=©30© Address=©XXX© ModuleNo=©" &amp; $T$9&amp; "© Role=©Master© Station=©" &amp; $T$11 &amp; "©  /&gt;"</f>
        <v>&lt;Addr AnswerSignalType=©0© Protocol=©IEC4Std© Type=©Protocol© ProtocolType=©30© Address=©XXX© ModuleNo=©1© Role=©Master© Station=©1©  /&gt;</v>
      </c>
    </row>
    <row r="604" spans="1:4">
      <c r="A604" s="19" t="str">
        <f t="shared" si="64"/>
        <v>FB_dREG_BUF_S.BUF.FBXX</v>
      </c>
      <c r="B604" s="11">
        <v>3</v>
      </c>
      <c r="C604" s="11" t="s">
        <v>1</v>
      </c>
      <c r="D604" s="20">
        <v>192</v>
      </c>
    </row>
    <row r="605" spans="1:4">
      <c r="A605" s="19" t="str">
        <f t="shared" si="64"/>
        <v>FB_dREG_BUF_S.BUF.FBXX</v>
      </c>
      <c r="B605" s="11">
        <v>2</v>
      </c>
      <c r="C605" s="11" t="s">
        <v>2</v>
      </c>
      <c r="D605" s="20" t="s">
        <v>3</v>
      </c>
    </row>
    <row r="606" spans="1:4">
      <c r="A606" s="21" t="str">
        <f t="shared" si="64"/>
        <v>FB_dREG_BUF_S.BUF.FBXX</v>
      </c>
      <c r="B606" s="8">
        <v>1</v>
      </c>
      <c r="C606" s="8" t="s">
        <v>1</v>
      </c>
      <c r="D606" s="22">
        <v>11</v>
      </c>
    </row>
    <row r="607" spans="1:4">
      <c r="A607" s="217" t="str">
        <f t="shared" ref="A607:A615" si="65">$R$2&amp;".BUF.FMVX"</f>
        <v>FB_dREG_BUF_S.BUF.FMVX</v>
      </c>
      <c r="B607" s="218">
        <v>11154</v>
      </c>
      <c r="C607" s="218" t="s">
        <v>4</v>
      </c>
      <c r="D607" s="219">
        <f>$S$7</f>
        <v>25</v>
      </c>
    </row>
    <row r="608" spans="1:4">
      <c r="A608" s="211" t="str">
        <f t="shared" si="65"/>
        <v>FB_dREG_BUF_S.BUF.FMVX</v>
      </c>
      <c r="B608" s="212">
        <v>11150</v>
      </c>
      <c r="C608" s="212" t="s">
        <v>0</v>
      </c>
      <c r="D608" s="213" t="s">
        <v>198</v>
      </c>
    </row>
    <row r="609" spans="1:4">
      <c r="A609" s="211" t="str">
        <f t="shared" si="65"/>
        <v>FB_dREG_BUF_S.BUF.FMVX</v>
      </c>
      <c r="B609" s="212">
        <v>11152</v>
      </c>
      <c r="C609" s="212" t="s">
        <v>0</v>
      </c>
      <c r="D609" s="220" t="str">
        <f>$R$7</f>
        <v>Неисправность</v>
      </c>
    </row>
    <row r="610" spans="1:4">
      <c r="A610" s="211" t="str">
        <f t="shared" si="65"/>
        <v>FB_dREG_BUF_S.BUF.FMVX</v>
      </c>
      <c r="B610" s="212">
        <v>11000</v>
      </c>
      <c r="C610" s="212" t="s">
        <v>5</v>
      </c>
      <c r="D610" s="213">
        <v>2147483680</v>
      </c>
    </row>
    <row r="611" spans="1:4">
      <c r="A611" s="19" t="str">
        <f t="shared" si="65"/>
        <v>FB_dREG_BUF_S.BUF.FMVX</v>
      </c>
      <c r="B611" s="11">
        <v>101</v>
      </c>
      <c r="C611" s="11" t="s">
        <v>0</v>
      </c>
      <c r="D611" s="20" t="s">
        <v>198</v>
      </c>
    </row>
    <row r="612" spans="1:4">
      <c r="A612" s="19" t="str">
        <f t="shared" si="65"/>
        <v>FB_dREG_BUF_S.BUF.FMVX</v>
      </c>
      <c r="B612" s="11">
        <v>7050</v>
      </c>
      <c r="C612" s="11" t="s">
        <v>0</v>
      </c>
      <c r="D612" s="20" t="str">
        <f>"&lt;Addr AnswerSignalType=©0© Protocol=©IEC4Std© Type=©Protocol© ProtocolType=©30© Address=©XXX© ModuleNo=©" &amp; $T$9&amp; "© Role=©Master© Station=©" &amp; $T$11 &amp; "©  /&gt;"</f>
        <v>&lt;Addr AnswerSignalType=©0© Protocol=©IEC4Std© Type=©Protocol© ProtocolType=©30© Address=©XXX© ModuleNo=©1© Role=©Master© Station=©1©  /&gt;</v>
      </c>
    </row>
    <row r="613" spans="1:4">
      <c r="A613" s="19" t="str">
        <f t="shared" si="65"/>
        <v>FB_dREG_BUF_S.BUF.FMVX</v>
      </c>
      <c r="B613" s="11">
        <v>3</v>
      </c>
      <c r="C613" s="11" t="s">
        <v>1</v>
      </c>
      <c r="D613" s="20">
        <v>192</v>
      </c>
    </row>
    <row r="614" spans="1:4">
      <c r="A614" s="19" t="str">
        <f t="shared" si="65"/>
        <v>FB_dREG_BUF_S.BUF.FMVX</v>
      </c>
      <c r="B614" s="11">
        <v>2</v>
      </c>
      <c r="C614" s="11" t="s">
        <v>2</v>
      </c>
      <c r="D614" s="20" t="s">
        <v>3</v>
      </c>
    </row>
    <row r="615" spans="1:4">
      <c r="A615" s="21" t="str">
        <f t="shared" si="65"/>
        <v>FB_dREG_BUF_S.BUF.FMVX</v>
      </c>
      <c r="B615" s="8">
        <v>1</v>
      </c>
      <c r="C615" s="8" t="s">
        <v>1</v>
      </c>
      <c r="D615" s="22">
        <v>11</v>
      </c>
    </row>
    <row r="616" spans="1:4">
      <c r="A616" s="217" t="str">
        <f t="shared" ref="A616:A624" si="66">$R$2&amp;".BUF.FUCM"</f>
        <v>FB_dREG_BUF_S.BUF.FUCM</v>
      </c>
      <c r="B616" s="218">
        <v>11154</v>
      </c>
      <c r="C616" s="218" t="s">
        <v>4</v>
      </c>
      <c r="D616" s="219">
        <f>$S$7</f>
        <v>25</v>
      </c>
    </row>
    <row r="617" spans="1:4">
      <c r="A617" s="211" t="str">
        <f t="shared" si="66"/>
        <v>FB_dREG_BUF_S.BUF.FUCM</v>
      </c>
      <c r="B617" s="212">
        <v>11150</v>
      </c>
      <c r="C617" s="212" t="s">
        <v>0</v>
      </c>
      <c r="D617" s="213" t="s">
        <v>167</v>
      </c>
    </row>
    <row r="618" spans="1:4">
      <c r="A618" s="211" t="str">
        <f t="shared" si="66"/>
        <v>FB_dREG_BUF_S.BUF.FUCM</v>
      </c>
      <c r="B618" s="212">
        <v>11152</v>
      </c>
      <c r="C618" s="212" t="s">
        <v>0</v>
      </c>
      <c r="D618" s="220" t="str">
        <f>$R$7</f>
        <v>Неисправность</v>
      </c>
    </row>
    <row r="619" spans="1:4">
      <c r="A619" s="211" t="str">
        <f t="shared" si="66"/>
        <v>FB_dREG_BUF_S.BUF.FUCM</v>
      </c>
      <c r="B619" s="212">
        <v>11000</v>
      </c>
      <c r="C619" s="212" t="s">
        <v>5</v>
      </c>
      <c r="D619" s="213">
        <v>2147483680</v>
      </c>
    </row>
    <row r="620" spans="1:4">
      <c r="A620" s="19" t="str">
        <f t="shared" si="66"/>
        <v>FB_dREG_BUF_S.BUF.FUCM</v>
      </c>
      <c r="B620" s="11">
        <v>101</v>
      </c>
      <c r="C620" s="11" t="s">
        <v>0</v>
      </c>
      <c r="D620" s="20" t="s">
        <v>167</v>
      </c>
    </row>
    <row r="621" spans="1:4">
      <c r="A621" s="19" t="str">
        <f t="shared" si="66"/>
        <v>FB_dREG_BUF_S.BUF.FUCM</v>
      </c>
      <c r="B621" s="11">
        <v>7050</v>
      </c>
      <c r="C621" s="11" t="s">
        <v>0</v>
      </c>
      <c r="D621" s="20" t="str">
        <f>"&lt;Addr AnswerSignalType=©0© Protocol=©IEC4Std© Type=©Protocol© ProtocolType=©30© Address=©XXX© ModuleNo=©" &amp; $T$9&amp; "© Role=©Master© Station=©" &amp; $T$11 &amp; "©  /&gt;"</f>
        <v>&lt;Addr AnswerSignalType=©0© Protocol=©IEC4Std© Type=©Protocol© ProtocolType=©30© Address=©XXX© ModuleNo=©1© Role=©Master© Station=©1©  /&gt;</v>
      </c>
    </row>
    <row r="622" spans="1:4">
      <c r="A622" s="19" t="str">
        <f t="shared" si="66"/>
        <v>FB_dREG_BUF_S.BUF.FUCM</v>
      </c>
      <c r="B622" s="11">
        <v>3</v>
      </c>
      <c r="C622" s="11" t="s">
        <v>1</v>
      </c>
      <c r="D622" s="20">
        <v>192</v>
      </c>
    </row>
    <row r="623" spans="1:4">
      <c r="A623" s="19" t="str">
        <f t="shared" si="66"/>
        <v>FB_dREG_BUF_S.BUF.FUCM</v>
      </c>
      <c r="B623" s="11">
        <v>2</v>
      </c>
      <c r="C623" s="11" t="s">
        <v>2</v>
      </c>
      <c r="D623" s="20" t="s">
        <v>3</v>
      </c>
    </row>
    <row r="624" spans="1:4">
      <c r="A624" s="21" t="str">
        <f t="shared" si="66"/>
        <v>FB_dREG_BUF_S.BUF.FUCM</v>
      </c>
      <c r="B624" s="8">
        <v>1</v>
      </c>
      <c r="C624" s="8" t="s">
        <v>1</v>
      </c>
      <c r="D624" s="22">
        <v>11</v>
      </c>
    </row>
    <row r="625" spans="1:66">
      <c r="A625" s="217" t="str">
        <f t="shared" ref="A625:A633" si="67">$R$2&amp;".BUF.FDCM"</f>
        <v>FB_dREG_BUF_S.BUF.FDCM</v>
      </c>
      <c r="B625" s="218">
        <v>11154</v>
      </c>
      <c r="C625" s="218" t="s">
        <v>4</v>
      </c>
      <c r="D625" s="219">
        <f>$S$7</f>
        <v>25</v>
      </c>
    </row>
    <row r="626" spans="1:66">
      <c r="A626" s="211" t="str">
        <f t="shared" si="67"/>
        <v>FB_dREG_BUF_S.BUF.FDCM</v>
      </c>
      <c r="B626" s="212">
        <v>11150</v>
      </c>
      <c r="C626" s="212" t="s">
        <v>0</v>
      </c>
      <c r="D626" s="213" t="s">
        <v>168</v>
      </c>
    </row>
    <row r="627" spans="1:66">
      <c r="A627" s="211" t="str">
        <f t="shared" si="67"/>
        <v>FB_dREG_BUF_S.BUF.FDCM</v>
      </c>
      <c r="B627" s="212">
        <v>11152</v>
      </c>
      <c r="C627" s="212" t="s">
        <v>0</v>
      </c>
      <c r="D627" s="220" t="str">
        <f>$R$7</f>
        <v>Неисправность</v>
      </c>
    </row>
    <row r="628" spans="1:66">
      <c r="A628" s="211" t="str">
        <f t="shared" si="67"/>
        <v>FB_dREG_BUF_S.BUF.FDCM</v>
      </c>
      <c r="B628" s="212">
        <v>11000</v>
      </c>
      <c r="C628" s="212" t="s">
        <v>5</v>
      </c>
      <c r="D628" s="213">
        <v>2147483680</v>
      </c>
    </row>
    <row r="629" spans="1:66">
      <c r="A629" s="19" t="str">
        <f t="shared" si="67"/>
        <v>FB_dREG_BUF_S.BUF.FDCM</v>
      </c>
      <c r="B629" s="11">
        <v>101</v>
      </c>
      <c r="C629" s="11" t="s">
        <v>0</v>
      </c>
      <c r="D629" s="20" t="s">
        <v>168</v>
      </c>
    </row>
    <row r="630" spans="1:66">
      <c r="A630" s="19" t="str">
        <f t="shared" si="67"/>
        <v>FB_dREG_BUF_S.BUF.FDCM</v>
      </c>
      <c r="B630" s="11">
        <v>7050</v>
      </c>
      <c r="C630" s="11" t="s">
        <v>0</v>
      </c>
      <c r="D630" s="20" t="str">
        <f>"&lt;Addr AnswerSignalType=©0© Protocol=©IEC4Std© Type=©Protocol© ProtocolType=©30© Address=©XXX© ModuleNo=©" &amp; $T$9&amp; "© Role=©Master© Station=©" &amp; $T$11 &amp; "©  /&gt;"</f>
        <v>&lt;Addr AnswerSignalType=©0© Protocol=©IEC4Std© Type=©Protocol© ProtocolType=©30© Address=©XXX© ModuleNo=©1© Role=©Master© Station=©1©  /&gt;</v>
      </c>
    </row>
    <row r="631" spans="1:66">
      <c r="A631" s="19" t="str">
        <f t="shared" si="67"/>
        <v>FB_dREG_BUF_S.BUF.FDCM</v>
      </c>
      <c r="B631" s="11">
        <v>3</v>
      </c>
      <c r="C631" s="11" t="s">
        <v>1</v>
      </c>
      <c r="D631" s="20">
        <v>192</v>
      </c>
    </row>
    <row r="632" spans="1:66">
      <c r="A632" s="19" t="str">
        <f t="shared" si="67"/>
        <v>FB_dREG_BUF_S.BUF.FDCM</v>
      </c>
      <c r="B632" s="11">
        <v>2</v>
      </c>
      <c r="C632" s="11" t="s">
        <v>2</v>
      </c>
      <c r="D632" s="20" t="s">
        <v>3</v>
      </c>
    </row>
    <row r="633" spans="1:66">
      <c r="A633" s="21" t="str">
        <f t="shared" si="67"/>
        <v>FB_dREG_BUF_S.BUF.FDCM</v>
      </c>
      <c r="B633" s="8">
        <v>1</v>
      </c>
      <c r="C633" s="8" t="s">
        <v>1</v>
      </c>
      <c r="D633" s="22">
        <v>11</v>
      </c>
    </row>
    <row r="634" spans="1:66">
      <c r="A634" s="217" t="str">
        <f t="shared" ref="A634:A642" si="68">$R$2&amp;".BUF.IFXX"</f>
        <v>FB_dREG_BUF_S.BUF.IFXX</v>
      </c>
      <c r="B634" s="218">
        <v>11154</v>
      </c>
      <c r="C634" s="218" t="s">
        <v>4</v>
      </c>
      <c r="D634" s="219">
        <f>$S$7</f>
        <v>25</v>
      </c>
      <c r="BK634" s="4"/>
      <c r="BL634" s="4"/>
      <c r="BM634" s="4"/>
      <c r="BN634" s="4"/>
    </row>
    <row r="635" spans="1:66">
      <c r="A635" s="211" t="str">
        <f t="shared" si="68"/>
        <v>FB_dREG_BUF_S.BUF.IFXX</v>
      </c>
      <c r="B635" s="212">
        <v>11150</v>
      </c>
      <c r="C635" s="212" t="s">
        <v>0</v>
      </c>
      <c r="D635" s="213" t="s">
        <v>110</v>
      </c>
      <c r="BK635" s="4"/>
      <c r="BL635" s="4"/>
      <c r="BM635" s="4"/>
      <c r="BN635" s="4"/>
    </row>
    <row r="636" spans="1:66">
      <c r="A636" s="211" t="str">
        <f t="shared" si="68"/>
        <v>FB_dREG_BUF_S.BUF.IFXX</v>
      </c>
      <c r="B636" s="212">
        <v>11152</v>
      </c>
      <c r="C636" s="212" t="s">
        <v>0</v>
      </c>
      <c r="D636" s="220" t="str">
        <f>$R$7</f>
        <v>Неисправность</v>
      </c>
      <c r="BK636" s="4"/>
      <c r="BL636" s="4"/>
      <c r="BM636" s="4"/>
      <c r="BN636" s="4"/>
    </row>
    <row r="637" spans="1:66">
      <c r="A637" s="211" t="str">
        <f t="shared" si="68"/>
        <v>FB_dREG_BUF_S.BUF.IFXX</v>
      </c>
      <c r="B637" s="212">
        <v>11000</v>
      </c>
      <c r="C637" s="212" t="s">
        <v>5</v>
      </c>
      <c r="D637" s="213">
        <v>2147483680</v>
      </c>
      <c r="BK637" s="4"/>
      <c r="BL637" s="4"/>
      <c r="BM637" s="4"/>
      <c r="BN637" s="4"/>
    </row>
    <row r="638" spans="1:66">
      <c r="A638" s="19" t="str">
        <f t="shared" si="68"/>
        <v>FB_dREG_BUF_S.BUF.IFXX</v>
      </c>
      <c r="B638" s="11">
        <v>101</v>
      </c>
      <c r="C638" s="11" t="s">
        <v>0</v>
      </c>
      <c r="D638" s="20" t="s">
        <v>195</v>
      </c>
      <c r="BK638" s="4"/>
      <c r="BL638" s="4"/>
      <c r="BM638" s="4"/>
      <c r="BN638" s="4"/>
    </row>
    <row r="639" spans="1:66">
      <c r="A639" s="19" t="str">
        <f t="shared" si="68"/>
        <v>FB_dREG_BUF_S.BUF.IFXX</v>
      </c>
      <c r="B639" s="11">
        <v>7050</v>
      </c>
      <c r="C639" s="11" t="s">
        <v>0</v>
      </c>
      <c r="D639" s="20" t="str">
        <f>"&lt;Addr AnswerSignalType=©0© Protocol=©IEC4Std© Type=©Protocol© ProtocolType=©30© Address=©XXX© ModuleNo=©" &amp; $T$9&amp; "© Role=©Master© Station=©" &amp; $T$11 &amp; "©  /&gt;"</f>
        <v>&lt;Addr AnswerSignalType=©0© Protocol=©IEC4Std© Type=©Protocol© ProtocolType=©30© Address=©XXX© ModuleNo=©1© Role=©Master© Station=©1©  /&gt;</v>
      </c>
      <c r="BK639" s="4"/>
      <c r="BL639" s="4"/>
      <c r="BM639" s="4"/>
      <c r="BN639" s="4"/>
    </row>
    <row r="640" spans="1:66">
      <c r="A640" s="19" t="str">
        <f t="shared" si="68"/>
        <v>FB_dREG_BUF_S.BUF.IFXX</v>
      </c>
      <c r="B640" s="11">
        <v>3</v>
      </c>
      <c r="C640" s="11" t="s">
        <v>1</v>
      </c>
      <c r="D640" s="20">
        <v>192</v>
      </c>
      <c r="BK640" s="4"/>
      <c r="BL640" s="4"/>
      <c r="BM640" s="4"/>
      <c r="BN640" s="4"/>
    </row>
    <row r="641" spans="1:66">
      <c r="A641" s="19" t="str">
        <f t="shared" si="68"/>
        <v>FB_dREG_BUF_S.BUF.IFXX</v>
      </c>
      <c r="B641" s="11">
        <v>2</v>
      </c>
      <c r="C641" s="11" t="s">
        <v>2</v>
      </c>
      <c r="D641" s="20" t="s">
        <v>3</v>
      </c>
      <c r="BK641" s="4"/>
      <c r="BL641" s="4"/>
      <c r="BM641" s="4"/>
      <c r="BN641" s="4"/>
    </row>
    <row r="642" spans="1:66">
      <c r="A642" s="21" t="str">
        <f t="shared" si="68"/>
        <v>FB_dREG_BUF_S.BUF.IFXX</v>
      </c>
      <c r="B642" s="8">
        <v>1</v>
      </c>
      <c r="C642" s="8" t="s">
        <v>1</v>
      </c>
      <c r="D642" s="22">
        <v>11</v>
      </c>
      <c r="BK642" s="4"/>
      <c r="BL642" s="4"/>
      <c r="BM642" s="4"/>
      <c r="BN642" s="4"/>
    </row>
    <row r="643" spans="1:66">
      <c r="A643" s="217" t="str">
        <f>$R$2&amp;".BUF.FCPX"</f>
        <v>FB_dREG_BUF_S.BUF.FCPX</v>
      </c>
      <c r="B643" s="218">
        <v>11154</v>
      </c>
      <c r="C643" s="218" t="s">
        <v>4</v>
      </c>
      <c r="D643" s="219">
        <f>$S$7</f>
        <v>25</v>
      </c>
      <c r="BK643" s="4"/>
      <c r="BL643" s="4"/>
      <c r="BM643" s="4"/>
      <c r="BN643" s="4"/>
    </row>
    <row r="644" spans="1:66">
      <c r="A644" s="211" t="str">
        <f t="shared" ref="A644:A651" si="69">$R$2&amp;".BUF.FCPX"</f>
        <v>FB_dREG_BUF_S.BUF.FCPX</v>
      </c>
      <c r="B644" s="212">
        <v>11150</v>
      </c>
      <c r="C644" s="212" t="s">
        <v>0</v>
      </c>
      <c r="D644" s="213" t="s">
        <v>2752</v>
      </c>
      <c r="BK644" s="4"/>
      <c r="BL644" s="4"/>
      <c r="BM644" s="4"/>
      <c r="BN644" s="4"/>
    </row>
    <row r="645" spans="1:66">
      <c r="A645" s="211" t="str">
        <f t="shared" si="69"/>
        <v>FB_dREG_BUF_S.BUF.FCPX</v>
      </c>
      <c r="B645" s="212">
        <v>11152</v>
      </c>
      <c r="C645" s="212" t="s">
        <v>0</v>
      </c>
      <c r="D645" s="220" t="str">
        <f>$R$7</f>
        <v>Неисправность</v>
      </c>
      <c r="BK645" s="4"/>
      <c r="BL645" s="4"/>
      <c r="BM645" s="4"/>
      <c r="BN645" s="4"/>
    </row>
    <row r="646" spans="1:66">
      <c r="A646" s="211" t="str">
        <f t="shared" si="69"/>
        <v>FB_dREG_BUF_S.BUF.FCPX</v>
      </c>
      <c r="B646" s="212">
        <v>11000</v>
      </c>
      <c r="C646" s="212" t="s">
        <v>5</v>
      </c>
      <c r="D646" s="213">
        <v>2147483680</v>
      </c>
      <c r="BK646" s="4"/>
      <c r="BL646" s="4"/>
      <c r="BM646" s="4"/>
      <c r="BN646" s="4"/>
    </row>
    <row r="647" spans="1:66">
      <c r="A647" s="19" t="str">
        <f t="shared" si="69"/>
        <v>FB_dREG_BUF_S.BUF.FCPX</v>
      </c>
      <c r="B647" s="11">
        <v>101</v>
      </c>
      <c r="C647" s="11" t="s">
        <v>0</v>
      </c>
      <c r="D647" s="20" t="s">
        <v>2752</v>
      </c>
      <c r="BK647" s="4"/>
      <c r="BL647" s="4"/>
      <c r="BM647" s="4"/>
      <c r="BN647" s="4"/>
    </row>
    <row r="648" spans="1:66">
      <c r="A648" s="19" t="str">
        <f t="shared" si="69"/>
        <v>FB_dREG_BUF_S.BUF.FCPX</v>
      </c>
      <c r="B648" s="11">
        <v>7050</v>
      </c>
      <c r="C648" s="11" t="s">
        <v>0</v>
      </c>
      <c r="D648" s="20" t="str">
        <f>"&lt;Addr AnswerSignalType=©0© Protocol=©IEC4Std© Type=©Protocol© ProtocolType=©30© Address=©XXX© ModuleNo=©" &amp; $T$9&amp; "© Role=©Master© Station=©" &amp; $T$11 &amp; "©  /&gt;"</f>
        <v>&lt;Addr AnswerSignalType=©0© Protocol=©IEC4Std© Type=©Protocol© ProtocolType=©30© Address=©XXX© ModuleNo=©1© Role=©Master© Station=©1©  /&gt;</v>
      </c>
      <c r="BK648" s="4"/>
      <c r="BL648" s="4"/>
      <c r="BM648" s="4"/>
      <c r="BN648" s="4"/>
    </row>
    <row r="649" spans="1:66">
      <c r="A649" s="19" t="str">
        <f t="shared" si="69"/>
        <v>FB_dREG_BUF_S.BUF.FCPX</v>
      </c>
      <c r="B649" s="11">
        <v>3</v>
      </c>
      <c r="C649" s="11" t="s">
        <v>1</v>
      </c>
      <c r="D649" s="20">
        <v>192</v>
      </c>
      <c r="BK649" s="4"/>
      <c r="BL649" s="4"/>
      <c r="BM649" s="4"/>
      <c r="BN649" s="4"/>
    </row>
    <row r="650" spans="1:66">
      <c r="A650" s="19" t="str">
        <f t="shared" si="69"/>
        <v>FB_dREG_BUF_S.BUF.FCPX</v>
      </c>
      <c r="B650" s="11">
        <v>2</v>
      </c>
      <c r="C650" s="11" t="s">
        <v>2</v>
      </c>
      <c r="D650" s="20" t="s">
        <v>3</v>
      </c>
      <c r="BK650" s="4"/>
      <c r="BL650" s="4"/>
      <c r="BM650" s="4"/>
      <c r="BN650" s="4"/>
    </row>
    <row r="651" spans="1:66">
      <c r="A651" s="21" t="str">
        <f t="shared" si="69"/>
        <v>FB_dREG_BUF_S.BUF.FCPX</v>
      </c>
      <c r="B651" s="8">
        <v>1</v>
      </c>
      <c r="C651" s="8" t="s">
        <v>1</v>
      </c>
      <c r="D651" s="22">
        <v>11</v>
      </c>
      <c r="BK651" s="4"/>
      <c r="BL651" s="4"/>
      <c r="BM651" s="4"/>
      <c r="BN651" s="4"/>
    </row>
    <row r="652" spans="1:66">
      <c r="A652" s="275" t="str">
        <f>$R$2&amp;".BUF.SEPX"</f>
        <v>FB_dREG_BUF_S.BUF.SEPX</v>
      </c>
      <c r="B652" s="276">
        <v>7050</v>
      </c>
      <c r="C652" s="276" t="s">
        <v>0</v>
      </c>
      <c r="D652" s="277" t="str">
        <f>"&lt;Addr AnswerSignalType=©0© Protocol=©IEC4Std© Type=©Protocol© ProtocolType=©36© Address=©XXX© ModuleNo=©" &amp; $T$9&amp; "© Role=©Master© Station=©" &amp; $T$11 &amp; "©  /&gt;"</f>
        <v>&lt;Addr AnswerSignalType=©0© Protocol=©IEC4Std© Type=©Protocol© ProtocolType=©36© Address=©XXX© ModuleNo=©1© Role=©Master© Station=©1©  /&gt;</v>
      </c>
    </row>
    <row r="653" spans="1:66">
      <c r="A653" s="278" t="str">
        <f t="shared" ref="A653:A656" si="70">$R$2&amp;".BUF.SEPX"</f>
        <v>FB_dREG_BUF_S.BUF.SEPX</v>
      </c>
      <c r="B653" s="279">
        <v>3</v>
      </c>
      <c r="C653" s="279" t="s">
        <v>1</v>
      </c>
      <c r="D653" s="280">
        <v>192</v>
      </c>
    </row>
    <row r="654" spans="1:66">
      <c r="A654" s="278" t="str">
        <f t="shared" si="70"/>
        <v>FB_dREG_BUF_S.BUF.SEPX</v>
      </c>
      <c r="B654" s="279">
        <v>2</v>
      </c>
      <c r="C654" s="279" t="s">
        <v>80</v>
      </c>
      <c r="D654" s="280">
        <v>0</v>
      </c>
    </row>
    <row r="655" spans="1:66">
      <c r="A655" s="278" t="str">
        <f t="shared" si="70"/>
        <v>FB_dREG_BUF_S.BUF.SEPX</v>
      </c>
      <c r="B655" s="279">
        <v>1</v>
      </c>
      <c r="C655" s="279" t="s">
        <v>1</v>
      </c>
      <c r="D655" s="280">
        <v>4</v>
      </c>
    </row>
    <row r="656" spans="1:66">
      <c r="A656" s="281" t="str">
        <f t="shared" si="70"/>
        <v>FB_dREG_BUF_S.BUF.SEPX</v>
      </c>
      <c r="B656" s="282">
        <v>101</v>
      </c>
      <c r="C656" s="282" t="s">
        <v>0</v>
      </c>
      <c r="D656" s="283" t="s">
        <v>220</v>
      </c>
    </row>
    <row r="657" spans="1:4">
      <c r="A657" s="275" t="str">
        <f>$R$2&amp;".BUF.SBPX"</f>
        <v>FB_dREG_BUF_S.BUF.SBPX</v>
      </c>
      <c r="B657" s="276">
        <v>7050</v>
      </c>
      <c r="C657" s="276" t="s">
        <v>0</v>
      </c>
      <c r="D657" s="277" t="str">
        <f>"&lt;Addr AnswerSignalType=©0© Protocol=©IEC4Std© Type=©Protocol© ProtocolType=©36© Address=©XXX© ModuleNo=©" &amp; $T$9&amp; "© Role=©Master© Station=©" &amp; $T$11 &amp; "©  /&gt;"</f>
        <v>&lt;Addr AnswerSignalType=©0© Protocol=©IEC4Std© Type=©Protocol© ProtocolType=©36© Address=©XXX© ModuleNo=©1© Role=©Master© Station=©1©  /&gt;</v>
      </c>
    </row>
    <row r="658" spans="1:4">
      <c r="A658" s="278" t="str">
        <f t="shared" ref="A658:A661" si="71">$R$2&amp;".BUF.SBPX"</f>
        <v>FB_dREG_BUF_S.BUF.SBPX</v>
      </c>
      <c r="B658" s="279">
        <v>3</v>
      </c>
      <c r="C658" s="279" t="s">
        <v>1</v>
      </c>
      <c r="D658" s="280">
        <v>192</v>
      </c>
    </row>
    <row r="659" spans="1:4">
      <c r="A659" s="278" t="str">
        <f t="shared" si="71"/>
        <v>FB_dREG_BUF_S.BUF.SBPX</v>
      </c>
      <c r="B659" s="279">
        <v>2</v>
      </c>
      <c r="C659" s="279" t="s">
        <v>80</v>
      </c>
      <c r="D659" s="280">
        <v>0</v>
      </c>
    </row>
    <row r="660" spans="1:4">
      <c r="A660" s="278" t="str">
        <f t="shared" si="71"/>
        <v>FB_dREG_BUF_S.BUF.SBPX</v>
      </c>
      <c r="B660" s="279">
        <v>1</v>
      </c>
      <c r="C660" s="279" t="s">
        <v>1</v>
      </c>
      <c r="D660" s="280">
        <v>4</v>
      </c>
    </row>
    <row r="661" spans="1:4">
      <c r="A661" s="281" t="str">
        <f t="shared" si="71"/>
        <v>FB_dREG_BUF_S.BUF.SBPX</v>
      </c>
      <c r="B661" s="282">
        <v>101</v>
      </c>
      <c r="C661" s="282" t="s">
        <v>0</v>
      </c>
      <c r="D661" s="283" t="s">
        <v>624</v>
      </c>
    </row>
    <row r="662" spans="1:4">
      <c r="A662" s="275" t="str">
        <f>$R$2&amp;".BUF.XCAP"</f>
        <v>FB_dREG_BUF_S.BUF.XCAP</v>
      </c>
      <c r="B662" s="276">
        <v>7050</v>
      </c>
      <c r="C662" s="276" t="s">
        <v>0</v>
      </c>
      <c r="D662" s="277" t="str">
        <f>"&lt;Addr AnswerSignalType=©0© Protocol=©IEC4Std© Type=©Protocol© ProtocolType=©36© Address=©XXX© ModuleNo=©" &amp; $T$9&amp; "© Role=©Master© Station=©" &amp; $T$11 &amp; "©  /&gt;"</f>
        <v>&lt;Addr AnswerSignalType=©0© Protocol=©IEC4Std© Type=©Protocol© ProtocolType=©36© Address=©XXX© ModuleNo=©1© Role=©Master© Station=©1©  /&gt;</v>
      </c>
    </row>
    <row r="663" spans="1:4">
      <c r="A663" s="278" t="str">
        <f t="shared" ref="A663:A666" si="72">$R$2&amp;".BUF.XCAP"</f>
        <v>FB_dREG_BUF_S.BUF.XCAP</v>
      </c>
      <c r="B663" s="279">
        <v>3</v>
      </c>
      <c r="C663" s="279" t="s">
        <v>1</v>
      </c>
      <c r="D663" s="280">
        <v>192</v>
      </c>
    </row>
    <row r="664" spans="1:4">
      <c r="A664" s="278" t="str">
        <f t="shared" si="72"/>
        <v>FB_dREG_BUF_S.BUF.XCAP</v>
      </c>
      <c r="B664" s="279">
        <v>2</v>
      </c>
      <c r="C664" s="279" t="s">
        <v>80</v>
      </c>
      <c r="D664" s="280">
        <v>0</v>
      </c>
    </row>
    <row r="665" spans="1:4">
      <c r="A665" s="278" t="str">
        <f t="shared" si="72"/>
        <v>FB_dREG_BUF_S.BUF.XCAP</v>
      </c>
      <c r="B665" s="279">
        <v>1</v>
      </c>
      <c r="C665" s="279" t="s">
        <v>1</v>
      </c>
      <c r="D665" s="280">
        <v>4</v>
      </c>
    </row>
    <row r="666" spans="1:4">
      <c r="A666" s="278" t="str">
        <f t="shared" si="72"/>
        <v>FB_dREG_BUF_S.BUF.XCAP</v>
      </c>
      <c r="B666" s="279">
        <v>101</v>
      </c>
      <c r="C666" s="279" t="s">
        <v>0</v>
      </c>
      <c r="D666" s="280" t="s">
        <v>2746</v>
      </c>
    </row>
    <row r="667" spans="1:4">
      <c r="A667" s="275" t="str">
        <f>$R$2&amp;".BUF.XCPP"</f>
        <v>FB_dREG_BUF_S.BUF.XCPP</v>
      </c>
      <c r="B667" s="276">
        <v>7050</v>
      </c>
      <c r="C667" s="276" t="s">
        <v>0</v>
      </c>
      <c r="D667" s="277" t="str">
        <f>"&lt;Addr AnswerSignalType=©0© Protocol=©IEC4Std© Type=©Protocol© ProtocolType=©36© Address=©XXX© ModuleNo=©" &amp; $T$9&amp; "© Role=©Master© Station=©" &amp; $T$11 &amp; "©  /&gt;"</f>
        <v>&lt;Addr AnswerSignalType=©0© Protocol=©IEC4Std© Type=©Protocol© ProtocolType=©36© Address=©XXX© ModuleNo=©1© Role=©Master© Station=©1©  /&gt;</v>
      </c>
    </row>
    <row r="668" spans="1:4">
      <c r="A668" s="278" t="str">
        <f>$R$2&amp;".BUF.XCPP"</f>
        <v>FB_dREG_BUF_S.BUF.XCPP</v>
      </c>
      <c r="B668" s="279">
        <v>3</v>
      </c>
      <c r="C668" s="279" t="s">
        <v>1</v>
      </c>
      <c r="D668" s="280">
        <v>192</v>
      </c>
    </row>
    <row r="669" spans="1:4">
      <c r="A669" s="278" t="str">
        <f>$R$2&amp;".BUF.XCPP"</f>
        <v>FB_dREG_BUF_S.BUF.XCPP</v>
      </c>
      <c r="B669" s="279">
        <v>2</v>
      </c>
      <c r="C669" s="279" t="s">
        <v>80</v>
      </c>
      <c r="D669" s="280">
        <v>0</v>
      </c>
    </row>
    <row r="670" spans="1:4">
      <c r="A670" s="278" t="str">
        <f>$R$2&amp;".BUF.XCPP"</f>
        <v>FB_dREG_BUF_S.BUF.XCPP</v>
      </c>
      <c r="B670" s="279">
        <v>1</v>
      </c>
      <c r="C670" s="279" t="s">
        <v>1</v>
      </c>
      <c r="D670" s="280">
        <v>4</v>
      </c>
    </row>
    <row r="671" spans="1:4">
      <c r="A671" s="281" t="str">
        <f>$R$2&amp;".BUF.XCPP"</f>
        <v>FB_dREG_BUF_S.BUF.XCPP</v>
      </c>
      <c r="B671" s="282">
        <v>101</v>
      </c>
      <c r="C671" s="282" t="s">
        <v>0</v>
      </c>
      <c r="D671" s="283" t="s">
        <v>207</v>
      </c>
    </row>
    <row r="672" spans="1:4">
      <c r="A672" s="275" t="str">
        <f>$R$2&amp;".BUF.XPVX"</f>
        <v>FB_dREG_BUF_S.BUF.XPVX</v>
      </c>
      <c r="B672" s="276">
        <v>7050</v>
      </c>
      <c r="C672" s="276" t="s">
        <v>0</v>
      </c>
      <c r="D672" s="277" t="str">
        <f>"&lt;Addr AnswerSignalType=©0© Protocol=©IEC4Std© Type=©Protocol© ProtocolType=©36© Address=©XXX© ModuleNo=©" &amp; $T$9&amp; "© Role=©Master© Station=©" &amp; $T$11 &amp; "©  /&gt;"</f>
        <v>&lt;Addr AnswerSignalType=©0© Protocol=©IEC4Std© Type=©Protocol© ProtocolType=©36© Address=©XXX© ModuleNo=©1© Role=©Master© Station=©1©  /&gt;</v>
      </c>
    </row>
    <row r="673" spans="1:4">
      <c r="A673" s="278" t="str">
        <f t="shared" ref="A673:A676" si="73">$R$2&amp;".BUF.XPVX"</f>
        <v>FB_dREG_BUF_S.BUF.XPVX</v>
      </c>
      <c r="B673" s="279">
        <v>101</v>
      </c>
      <c r="C673" s="279" t="s">
        <v>0</v>
      </c>
      <c r="D673" s="280" t="s">
        <v>206</v>
      </c>
    </row>
    <row r="674" spans="1:4">
      <c r="A674" s="278" t="str">
        <f t="shared" si="73"/>
        <v>FB_dREG_BUF_S.BUF.XPVX</v>
      </c>
      <c r="B674" s="279">
        <v>3</v>
      </c>
      <c r="C674" s="279" t="s">
        <v>1</v>
      </c>
      <c r="D674" s="280">
        <v>192</v>
      </c>
    </row>
    <row r="675" spans="1:4">
      <c r="A675" s="278" t="str">
        <f t="shared" si="73"/>
        <v>FB_dREG_BUF_S.BUF.XPVX</v>
      </c>
      <c r="B675" s="279">
        <v>2</v>
      </c>
      <c r="C675" s="279" t="s">
        <v>80</v>
      </c>
      <c r="D675" s="280">
        <v>0</v>
      </c>
    </row>
    <row r="676" spans="1:4">
      <c r="A676" s="278" t="str">
        <f t="shared" si="73"/>
        <v>FB_dREG_BUF_S.BUF.XPVX</v>
      </c>
      <c r="B676" s="279">
        <v>1</v>
      </c>
      <c r="C676" s="279" t="s">
        <v>1</v>
      </c>
      <c r="D676" s="280">
        <v>4</v>
      </c>
    </row>
    <row r="677" spans="1:4">
      <c r="A677" s="275" t="str">
        <f>$R$2&amp;".BUF.SSPX"</f>
        <v>FB_dREG_BUF_S.BUF.SSPX</v>
      </c>
      <c r="B677" s="276">
        <v>7050</v>
      </c>
      <c r="C677" s="276" t="s">
        <v>0</v>
      </c>
      <c r="D677" s="277" t="str">
        <f>"&lt;Addr AnswerSignalType=©0© Protocol=©IEC4Std© Type=©Protocol© ProtocolType=©16© Address=©XXX© ModuleNo=©" &amp; $T$9&amp; "© Role=©Master© Station=©" &amp; $T$11 &amp; "©  /&gt;"</f>
        <v>&lt;Addr AnswerSignalType=©0© Protocol=©IEC4Std© Type=©Protocol© ProtocolType=©16© Address=©XXX© ModuleNo=©1© Role=©Master© Station=©1©  /&gt;</v>
      </c>
    </row>
    <row r="678" spans="1:4">
      <c r="A678" s="278" t="str">
        <f>$R$2&amp;".BUF.SSPX"</f>
        <v>FB_dREG_BUF_S.BUF.SSPX</v>
      </c>
      <c r="B678" s="279">
        <v>3</v>
      </c>
      <c r="C678" s="279" t="s">
        <v>1</v>
      </c>
      <c r="D678" s="280">
        <v>192</v>
      </c>
    </row>
    <row r="679" spans="1:4">
      <c r="A679" s="278" t="str">
        <f>$R$2&amp;".BUF.SSPX"</f>
        <v>FB_dREG_BUF_S.BUF.SSPX</v>
      </c>
      <c r="B679" s="279">
        <v>2</v>
      </c>
      <c r="C679" s="279" t="s">
        <v>80</v>
      </c>
      <c r="D679" s="280">
        <v>0</v>
      </c>
    </row>
    <row r="680" spans="1:4">
      <c r="A680" s="278" t="str">
        <f>$R$2&amp;".BUF.SSPX"</f>
        <v>FB_dREG_BUF_S.BUF.SSPX</v>
      </c>
      <c r="B680" s="279">
        <v>1</v>
      </c>
      <c r="C680" s="279" t="s">
        <v>1</v>
      </c>
      <c r="D680" s="280">
        <v>4</v>
      </c>
    </row>
    <row r="681" spans="1:4">
      <c r="A681" s="281" t="str">
        <f>$R$2&amp;".BUF.SSPX"</f>
        <v>FB_dREG_BUF_S.BUF.SSPX</v>
      </c>
      <c r="B681" s="282">
        <v>101</v>
      </c>
      <c r="C681" s="282" t="s">
        <v>0</v>
      </c>
      <c r="D681" s="283" t="s">
        <v>213</v>
      </c>
    </row>
    <row r="682" spans="1:4">
      <c r="A682" s="69" t="str">
        <f t="shared" ref="A682:A690" si="74">$R$2&amp;".BUF.CBXX"</f>
        <v>FB_dREG_BUF_S.BUF.CBXX</v>
      </c>
      <c r="B682" s="70">
        <v>11154</v>
      </c>
      <c r="C682" s="70" t="s">
        <v>4</v>
      </c>
      <c r="D682" s="144">
        <f>$S$6</f>
        <v>24</v>
      </c>
    </row>
    <row r="683" spans="1:4">
      <c r="A683" s="63" t="str">
        <f t="shared" si="74"/>
        <v>FB_dREG_BUF_S.BUF.CBXX</v>
      </c>
      <c r="B683" s="64">
        <v>11150</v>
      </c>
      <c r="C683" s="64" t="s">
        <v>0</v>
      </c>
      <c r="D683" s="65" t="s">
        <v>2754</v>
      </c>
    </row>
    <row r="684" spans="1:4">
      <c r="A684" s="63" t="str">
        <f t="shared" si="74"/>
        <v>FB_dREG_BUF_S.BUF.CBXX</v>
      </c>
      <c r="B684" s="64">
        <v>11152</v>
      </c>
      <c r="C684" s="64" t="s">
        <v>0</v>
      </c>
      <c r="D684" s="99" t="str">
        <f>$R$6</f>
        <v>Предупреждение</v>
      </c>
    </row>
    <row r="685" spans="1:4">
      <c r="A685" s="63" t="str">
        <f t="shared" si="74"/>
        <v>FB_dREG_BUF_S.BUF.CBXX</v>
      </c>
      <c r="B685" s="64">
        <v>11000</v>
      </c>
      <c r="C685" s="64" t="s">
        <v>5</v>
      </c>
      <c r="D685" s="65">
        <v>2147483680</v>
      </c>
    </row>
    <row r="686" spans="1:4">
      <c r="A686" s="19" t="str">
        <f t="shared" si="74"/>
        <v>FB_dREG_BUF_S.BUF.CBXX</v>
      </c>
      <c r="B686" s="11">
        <v>101</v>
      </c>
      <c r="C686" s="11" t="s">
        <v>0</v>
      </c>
      <c r="D686" s="20" t="s">
        <v>2754</v>
      </c>
    </row>
    <row r="687" spans="1:4">
      <c r="A687" s="19" t="str">
        <f t="shared" si="74"/>
        <v>FB_dREG_BUF_S.BUF.CBXX</v>
      </c>
      <c r="B687" s="11">
        <v>7050</v>
      </c>
      <c r="C687" s="11" t="s">
        <v>0</v>
      </c>
      <c r="D687" s="20" t="str">
        <f>"&lt;Addr AnswerSignalType=©0© Protocol=©IEC4Std© Type=©Protocol© ProtocolType=©30© Address=©XXX© ModuleNo=©" &amp; $T$9&amp; "© Role=©Master© Station=©" &amp; $T$11 &amp; "©  /&gt;"</f>
        <v>&lt;Addr AnswerSignalType=©0© Protocol=©IEC4Std© Type=©Protocol© ProtocolType=©30© Address=©XXX© ModuleNo=©1© Role=©Master© Station=©1©  /&gt;</v>
      </c>
    </row>
    <row r="688" spans="1:4">
      <c r="A688" s="19" t="str">
        <f t="shared" si="74"/>
        <v>FB_dREG_BUF_S.BUF.CBXX</v>
      </c>
      <c r="B688" s="11">
        <v>3</v>
      </c>
      <c r="C688" s="11" t="s">
        <v>1</v>
      </c>
      <c r="D688" s="20">
        <v>192</v>
      </c>
    </row>
    <row r="689" spans="1:4">
      <c r="A689" s="19" t="str">
        <f t="shared" si="74"/>
        <v>FB_dREG_BUF_S.BUF.CBXX</v>
      </c>
      <c r="B689" s="11">
        <v>2</v>
      </c>
      <c r="C689" s="11" t="s">
        <v>2</v>
      </c>
      <c r="D689" s="20" t="s">
        <v>3</v>
      </c>
    </row>
    <row r="690" spans="1:4">
      <c r="A690" s="21" t="str">
        <f t="shared" si="74"/>
        <v>FB_dREG_BUF_S.BUF.CBXX</v>
      </c>
      <c r="B690" s="8">
        <v>1</v>
      </c>
      <c r="C690" s="8" t="s">
        <v>1</v>
      </c>
      <c r="D690" s="22">
        <v>11</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Лист19">
    <tabColor rgb="FFFFC000"/>
  </sheetPr>
  <dimension ref="A1:BP37"/>
  <sheetViews>
    <sheetView topLeftCell="A7"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8" s="258" customFormat="1" ht="204.6" thickBot="1">
      <c r="A1" s="257"/>
      <c r="B1" s="257"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259"/>
      <c r="BN1" s="259"/>
      <c r="BO1" s="259"/>
      <c r="BP1" s="259"/>
    </row>
    <row r="2" spans="1:68" ht="15" customHeight="1">
      <c r="A2" s="9"/>
      <c r="B2" s="9"/>
      <c r="C2" s="9"/>
      <c r="D2" s="9"/>
      <c r="E2" s="9"/>
      <c r="F2" s="9"/>
      <c r="P2" s="2" t="s">
        <v>1204</v>
      </c>
      <c r="Q2" s="2" t="s">
        <v>1203</v>
      </c>
      <c r="R2" s="2" t="s">
        <v>1205</v>
      </c>
      <c r="S2" s="3">
        <v>1</v>
      </c>
      <c r="T2" s="3" t="s">
        <v>1698</v>
      </c>
      <c r="U2" s="3"/>
      <c r="V2" s="3" t="s">
        <v>569</v>
      </c>
      <c r="W2" s="12"/>
      <c r="X2" s="12"/>
      <c r="Y2" s="12"/>
      <c r="Z2" s="12"/>
      <c r="AA2" s="12">
        <v>0</v>
      </c>
      <c r="AB2" s="2"/>
      <c r="AC2" s="2"/>
      <c r="AD2" s="2"/>
      <c r="AE2" s="2" t="s">
        <v>1414</v>
      </c>
      <c r="AF2" s="2"/>
      <c r="AG2" s="2"/>
      <c r="AH2" s="2"/>
      <c r="AI2" s="2"/>
      <c r="AJ2" s="2"/>
      <c r="AK2" s="2"/>
      <c r="AL2" s="2"/>
      <c r="AM2" s="2"/>
      <c r="AN2" s="2"/>
      <c r="AO2" s="2"/>
      <c r="AP2" s="2"/>
      <c r="AQ2" s="2"/>
      <c r="AR2" s="2"/>
      <c r="AS2" s="2"/>
      <c r="AT2" s="2"/>
      <c r="AU2" s="2"/>
      <c r="AV2" s="2"/>
      <c r="AW2" s="2"/>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AB3" s="10"/>
      <c r="AC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AB4" s="10"/>
      <c r="AC4" s="10"/>
      <c r="BM4" s="4"/>
      <c r="BN4" s="4"/>
      <c r="BO4" s="4"/>
      <c r="BP4" s="4"/>
    </row>
    <row r="5" spans="1:68"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AB5" s="10"/>
      <c r="AC5" s="10"/>
      <c r="BM5" s="4"/>
      <c r="BN5" s="4"/>
      <c r="BO5" s="4"/>
      <c r="BP5" s="4"/>
    </row>
    <row r="6" spans="1:68"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AB6" s="10"/>
      <c r="AC6" s="10"/>
      <c r="BM6" s="4"/>
      <c r="BN6" s="4"/>
      <c r="BO6" s="4"/>
      <c r="BP6" s="4"/>
    </row>
    <row r="7" spans="1:68"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AB7" s="10"/>
      <c r="AC7" s="10"/>
      <c r="BM7" s="4"/>
      <c r="BN7" s="4"/>
      <c r="BO7" s="4"/>
      <c r="BP7" s="4"/>
    </row>
    <row r="8" spans="1:68" ht="15" customHeight="1">
      <c r="A8" s="9"/>
      <c r="B8" s="9"/>
      <c r="C8" s="9"/>
      <c r="D8" s="9"/>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AB8" s="10"/>
      <c r="AC8" s="10"/>
      <c r="BM8" s="4"/>
      <c r="BN8" s="4"/>
      <c r="BO8" s="4"/>
      <c r="BP8" s="4"/>
    </row>
    <row r="9" spans="1:68" ht="15" customHeight="1">
      <c r="A9" s="9"/>
      <c r="B9" s="9"/>
      <c r="C9" s="9"/>
      <c r="D9" s="9"/>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AB9" s="10"/>
      <c r="AC9" s="10"/>
      <c r="BM9" s="4"/>
      <c r="BN9" s="4"/>
      <c r="BO9" s="4"/>
      <c r="BP9" s="4"/>
    </row>
    <row r="10" spans="1:68" ht="15" customHeight="1">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AB10" s="10"/>
      <c r="AC10" s="10"/>
      <c r="BM10" s="4"/>
      <c r="BN10" s="4"/>
      <c r="BO10" s="4"/>
      <c r="BP10" s="4"/>
    </row>
    <row r="11" spans="1:68" ht="15" customHeight="1">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AB11" s="10"/>
      <c r="AC11" s="10"/>
      <c r="BM11" s="4"/>
      <c r="BN11" s="4"/>
      <c r="BO11" s="4"/>
      <c r="BP11" s="4"/>
    </row>
    <row r="12" spans="1:68"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AB12" s="10"/>
      <c r="AC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AB13" s="10"/>
      <c r="AC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AB14" s="10"/>
      <c r="AC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AB15" s="10"/>
      <c r="AC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AB16" s="10"/>
      <c r="AC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AB17" s="10"/>
      <c r="AC17" s="10"/>
      <c r="BM17" s="4"/>
      <c r="BN17" s="4"/>
      <c r="BO17" s="4"/>
      <c r="BP17" s="4"/>
    </row>
    <row r="18" spans="1:68"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AB18" s="10"/>
      <c r="AC18" s="10"/>
      <c r="BM18" s="4"/>
      <c r="BN18" s="4"/>
      <c r="BO18" s="4"/>
      <c r="BP18" s="4"/>
    </row>
    <row r="19" spans="1:68"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AB19" s="10"/>
      <c r="AC19" s="10"/>
      <c r="BM19" s="4"/>
      <c r="BN19" s="4"/>
      <c r="BO19" s="4"/>
      <c r="BP19" s="4"/>
    </row>
    <row r="20" spans="1:68" ht="15" customHeight="1">
      <c r="A20" s="16" t="str">
        <f>$R$2</f>
        <v>АСПС.FB_MPS_S.MUPS_1</v>
      </c>
      <c r="B20" s="17">
        <v>11001</v>
      </c>
      <c r="C20" s="17" t="s">
        <v>0</v>
      </c>
      <c r="D20" s="18" t="str">
        <f>$Q$2</f>
        <v>МУПС_1</v>
      </c>
      <c r="E20" s="4"/>
      <c r="F20" s="4"/>
      <c r="BM20" s="4"/>
      <c r="BN20" s="4"/>
      <c r="BO20" s="4"/>
      <c r="BP20" s="4"/>
    </row>
    <row r="21" spans="1:68" ht="15" customHeight="1">
      <c r="A21" s="19" t="str">
        <f>$R$2</f>
        <v>АСПС.FB_MPS_S.MUPS_1</v>
      </c>
      <c r="B21" s="11">
        <v>11156</v>
      </c>
      <c r="C21" s="11" t="s">
        <v>0</v>
      </c>
      <c r="D21" s="20" t="str">
        <f>$V$2</f>
        <v>Тестовый экран</v>
      </c>
      <c r="E21" s="4"/>
      <c r="F21" s="4"/>
      <c r="BM21" s="4"/>
      <c r="BN21" s="4"/>
      <c r="BO21" s="4"/>
      <c r="BP21" s="4"/>
    </row>
    <row r="22" spans="1:68" ht="15" customHeight="1">
      <c r="A22" s="19" t="str">
        <f>$R$2</f>
        <v>АСПС.FB_MPS_S.MUPS_1</v>
      </c>
      <c r="B22" s="11">
        <v>1</v>
      </c>
      <c r="C22" s="11" t="s">
        <v>1</v>
      </c>
      <c r="D22" s="20">
        <v>17</v>
      </c>
      <c r="BM22" s="4"/>
      <c r="BN22" s="4"/>
      <c r="BO22" s="4"/>
      <c r="BP22" s="4"/>
    </row>
    <row r="23" spans="1:68" ht="15" customHeight="1">
      <c r="A23" s="16" t="str">
        <f>$R$2</f>
        <v>АСПС.FB_MPS_S.MUPS_1</v>
      </c>
      <c r="B23" s="17">
        <v>100</v>
      </c>
      <c r="C23" s="17" t="s">
        <v>0</v>
      </c>
      <c r="D23" s="18" t="b">
        <f>$T$7</f>
        <v>0</v>
      </c>
      <c r="BF23" s="4"/>
      <c r="BG23" s="4"/>
      <c r="BH23" s="4"/>
      <c r="BI23" s="4"/>
    </row>
    <row r="24" spans="1:68" ht="15" customHeight="1">
      <c r="A24" s="21" t="str">
        <f>$R$2</f>
        <v>АСПС.FB_MPS_S.MUPS_1</v>
      </c>
      <c r="B24" s="8">
        <v>11120</v>
      </c>
      <c r="C24" s="8" t="s">
        <v>0</v>
      </c>
      <c r="D24" s="22">
        <f>$AC$2</f>
        <v>0</v>
      </c>
      <c r="BM24" s="4"/>
      <c r="BN24" s="4"/>
      <c r="BO24" s="4"/>
      <c r="BP24" s="4"/>
    </row>
    <row r="25" spans="1:68">
      <c r="A25" s="16" t="str">
        <f t="shared" ref="A25:A26" si="0">$R$2</f>
        <v>АСПС.FB_MPS_S.MUPS_1</v>
      </c>
      <c r="B25" s="17">
        <v>13</v>
      </c>
      <c r="C25" s="17" t="s">
        <v>2</v>
      </c>
      <c r="D25" s="18" t="s">
        <v>3</v>
      </c>
    </row>
    <row r="26" spans="1:68" ht="15" customHeight="1">
      <c r="A26" s="21" t="str">
        <f t="shared" si="0"/>
        <v>АСПС.FB_MPS_S.MUPS_1</v>
      </c>
      <c r="B26" s="8">
        <v>3000013</v>
      </c>
      <c r="C26" s="8" t="s">
        <v>0</v>
      </c>
      <c r="D26" s="22" t="str">
        <f>$AE$2</f>
        <v>Диагностика.CPU.NOT_LINK.noLink</v>
      </c>
      <c r="BF26" s="4"/>
      <c r="BG26" s="4"/>
      <c r="BH26" s="4"/>
      <c r="BI26" s="4"/>
    </row>
    <row r="27" spans="1:68" ht="15" customHeight="1">
      <c r="A27" s="217" t="str">
        <f>$R$2&amp;".Value"</f>
        <v>АСПС.FB_MPS_S.MUPS_1.Value</v>
      </c>
      <c r="B27" s="218">
        <v>11154</v>
      </c>
      <c r="C27" s="218" t="s">
        <v>4</v>
      </c>
      <c r="D27" s="219">
        <f>$Q$7</f>
        <v>12</v>
      </c>
      <c r="BM27" s="4"/>
      <c r="BN27" s="4"/>
      <c r="BO27" s="4"/>
      <c r="BP27" s="4"/>
    </row>
    <row r="28" spans="1:68" ht="15" customHeight="1">
      <c r="A28" s="211" t="str">
        <f t="shared" ref="A28:A37" si="1">$R$2&amp;".Value"</f>
        <v>АСПС.FB_MPS_S.MUPS_1.Value</v>
      </c>
      <c r="B28" s="212">
        <v>11150</v>
      </c>
      <c r="C28" s="212" t="s">
        <v>0</v>
      </c>
      <c r="D28" s="213" t="s">
        <v>178</v>
      </c>
      <c r="BM28" s="4"/>
      <c r="BN28" s="4"/>
      <c r="BO28" s="4"/>
      <c r="BP28" s="4"/>
    </row>
    <row r="29" spans="1:68" ht="15" customHeight="1">
      <c r="A29" s="211" t="str">
        <f t="shared" si="1"/>
        <v>АСПС.FB_MPS_S.MUPS_1.Value</v>
      </c>
      <c r="B29" s="212">
        <v>11152</v>
      </c>
      <c r="C29" s="212" t="s">
        <v>0</v>
      </c>
      <c r="D29" s="220" t="str">
        <f>$R$7</f>
        <v>Неисправность</v>
      </c>
      <c r="BM29" s="4"/>
      <c r="BN29" s="4"/>
      <c r="BO29" s="4"/>
      <c r="BP29" s="4"/>
    </row>
    <row r="30" spans="1:68" ht="15" customHeight="1">
      <c r="A30" s="211" t="str">
        <f t="shared" si="1"/>
        <v>АСПС.FB_MPS_S.MUPS_1.Value</v>
      </c>
      <c r="B30" s="212">
        <v>11000</v>
      </c>
      <c r="C30" s="212" t="s">
        <v>5</v>
      </c>
      <c r="D30" s="213">
        <v>2147483680</v>
      </c>
      <c r="BM30" s="4"/>
      <c r="BN30" s="4"/>
      <c r="BO30" s="4"/>
      <c r="BP30" s="4"/>
    </row>
    <row r="31" spans="1:68" ht="15" customHeight="1">
      <c r="A31" s="19" t="str">
        <f t="shared" si="1"/>
        <v>АСПС.FB_MPS_S.MUPS_1.Value</v>
      </c>
      <c r="B31" s="11">
        <v>7999</v>
      </c>
      <c r="C31" s="11" t="s">
        <v>0</v>
      </c>
      <c r="D31" s="20" t="str">
        <f>"#"&amp;$S$2&amp;"#"&amp;$T$2&amp;"\"&amp;$P$2&amp;"\DVXX"</f>
        <v>#1#treiOPCDA.CoOPCserv.1\pcmaster\MUPS_1\DVXX</v>
      </c>
      <c r="BM31" s="4"/>
      <c r="BN31" s="4"/>
      <c r="BO31" s="4"/>
      <c r="BP31" s="4"/>
    </row>
    <row r="32" spans="1:68" ht="15" customHeight="1">
      <c r="A32" s="19" t="str">
        <f t="shared" si="1"/>
        <v>АСПС.FB_MPS_S.MUPS_1.Value</v>
      </c>
      <c r="B32" s="11">
        <v>7998</v>
      </c>
      <c r="C32" s="11" t="s">
        <v>6</v>
      </c>
      <c r="D32" s="20">
        <v>1</v>
      </c>
      <c r="BM32" s="4"/>
      <c r="BN32" s="4"/>
      <c r="BO32" s="4"/>
      <c r="BP32" s="4"/>
    </row>
    <row r="33" spans="1:68" ht="15" customHeight="1">
      <c r="A33" s="19" t="str">
        <f t="shared" si="1"/>
        <v>АСПС.FB_MPS_S.MUPS_1.Value</v>
      </c>
      <c r="B33" s="11">
        <v>101</v>
      </c>
      <c r="C33" s="11" t="s">
        <v>0</v>
      </c>
      <c r="D33" s="20" t="s">
        <v>572</v>
      </c>
      <c r="BM33" s="4"/>
      <c r="BN33" s="4"/>
      <c r="BO33" s="4"/>
      <c r="BP33" s="4"/>
    </row>
    <row r="34" spans="1:68" ht="15" customHeight="1">
      <c r="A34" s="19" t="str">
        <f t="shared" si="1"/>
        <v>АСПС.FB_MPS_S.MUPS_1.Value</v>
      </c>
      <c r="B34" s="11">
        <v>3</v>
      </c>
      <c r="C34" s="11" t="s">
        <v>1</v>
      </c>
      <c r="D34" s="20">
        <v>192</v>
      </c>
      <c r="BM34" s="4"/>
      <c r="BN34" s="4"/>
      <c r="BO34" s="4"/>
      <c r="BP34" s="4"/>
    </row>
    <row r="35" spans="1:68" ht="15" customHeight="1">
      <c r="A35" s="19" t="str">
        <f t="shared" si="1"/>
        <v>АСПС.FB_MPS_S.MUPS_1.Value</v>
      </c>
      <c r="B35" s="11">
        <v>2</v>
      </c>
      <c r="C35" s="11" t="s">
        <v>2</v>
      </c>
      <c r="D35" s="20" t="s">
        <v>3</v>
      </c>
      <c r="BM35" s="4"/>
      <c r="BN35" s="4"/>
      <c r="BO35" s="4"/>
      <c r="BP35" s="4"/>
    </row>
    <row r="36" spans="1:68" ht="15" customHeight="1">
      <c r="A36" s="19" t="str">
        <f t="shared" si="1"/>
        <v>АСПС.FB_MPS_S.MUPS_1.Value</v>
      </c>
      <c r="B36" s="11">
        <v>1</v>
      </c>
      <c r="C36" s="11" t="s">
        <v>1</v>
      </c>
      <c r="D36" s="20">
        <v>11</v>
      </c>
      <c r="BM36" s="4"/>
      <c r="BN36" s="4"/>
      <c r="BO36" s="4"/>
      <c r="BP36" s="4"/>
    </row>
    <row r="37" spans="1:68">
      <c r="A37" s="21" t="str">
        <f t="shared" si="1"/>
        <v>АСПС.FB_MPS_S.MUPS_1.Value</v>
      </c>
      <c r="B37" s="27">
        <v>7200</v>
      </c>
      <c r="C37" s="27" t="s">
        <v>2</v>
      </c>
      <c r="D37" s="248" t="str">
        <f>IF($AA$2=1,"True","False")</f>
        <v>False</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Лист56">
    <tabColor rgb="FFFFC000"/>
  </sheetPr>
  <dimension ref="A1:BN163"/>
  <sheetViews>
    <sheetView topLeftCell="A52" zoomScale="80" zoomScaleNormal="80" workbookViewId="0">
      <selection activeCell="P2" sqref="P2:BA2"/>
    </sheetView>
  </sheetViews>
  <sheetFormatPr defaultRowHeight="14.4"/>
  <cols>
    <col min="1" max="1" width="37.109375" customWidth="1"/>
    <col min="2" max="2" width="9.5546875" customWidth="1"/>
    <col min="4" max="4" width="63.88671875" customWidth="1"/>
    <col min="5" max="15" width="9.109375"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7.33203125" customWidth="1"/>
    <col min="56" max="56" width="10.33203125" customWidth="1"/>
    <col min="57" max="57" width="10" customWidth="1"/>
    <col min="59" max="59" width="7.109375" customWidth="1"/>
    <col min="60" max="60" width="10.88671875" customWidth="1"/>
    <col min="62" max="62" width="65.109375" customWidth="1"/>
  </cols>
  <sheetData>
    <row r="1" spans="1:66" s="258" customFormat="1" ht="204.6" thickBot="1">
      <c r="A1" s="257"/>
      <c r="B1" s="257"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K1" s="259"/>
      <c r="BL1" s="259"/>
      <c r="BM1" s="259"/>
      <c r="BN1" s="259"/>
    </row>
    <row r="2" spans="1:66" ht="15" customHeight="1">
      <c r="A2" s="9"/>
      <c r="B2" s="9"/>
      <c r="C2" s="9"/>
      <c r="D2" s="9"/>
      <c r="E2" s="9"/>
      <c r="F2" s="9"/>
      <c r="P2" s="2" t="s">
        <v>422</v>
      </c>
      <c r="Q2" s="2" t="s">
        <v>428</v>
      </c>
      <c r="R2" s="2" t="s">
        <v>790</v>
      </c>
      <c r="S2" s="3">
        <v>2</v>
      </c>
      <c r="T2" s="3" t="s">
        <v>1698</v>
      </c>
      <c r="U2" s="3"/>
      <c r="V2" s="3" t="s">
        <v>569</v>
      </c>
      <c r="W2" s="12"/>
      <c r="X2" s="12"/>
      <c r="Y2" s="12"/>
      <c r="Z2" s="12">
        <v>5</v>
      </c>
      <c r="AA2" s="12" t="s">
        <v>822</v>
      </c>
      <c r="AB2" s="2" t="s">
        <v>426</v>
      </c>
      <c r="AC2" s="2" t="s">
        <v>187</v>
      </c>
      <c r="AD2" s="2"/>
      <c r="AE2" s="2" t="s">
        <v>1414</v>
      </c>
      <c r="AF2" s="2"/>
      <c r="AG2" s="2"/>
      <c r="AH2" s="2"/>
      <c r="AI2" s="2"/>
      <c r="AJ2" s="2"/>
      <c r="AK2" s="2" t="s">
        <v>1298</v>
      </c>
      <c r="AL2" s="2"/>
      <c r="AM2" s="2"/>
      <c r="AN2" s="2"/>
      <c r="AO2" s="2"/>
      <c r="AP2" s="2"/>
      <c r="AQ2" s="2"/>
      <c r="AR2" s="2"/>
      <c r="AS2" s="2"/>
      <c r="AT2" s="2"/>
      <c r="AU2" s="2"/>
      <c r="AV2" s="2"/>
      <c r="AW2" s="2">
        <v>1</v>
      </c>
      <c r="AX2" s="2"/>
      <c r="AY2" s="2"/>
      <c r="AZ2" s="2"/>
      <c r="BA2" s="2"/>
      <c r="BK2" s="4"/>
      <c r="BL2" s="4"/>
      <c r="BM2" s="4"/>
      <c r="BN2" s="4"/>
    </row>
    <row r="3" spans="1:66" ht="15" customHeight="1">
      <c r="A3" s="9"/>
      <c r="B3" s="9"/>
      <c r="C3" s="9"/>
      <c r="D3" s="9"/>
      <c r="E3" s="9"/>
      <c r="F3" s="9"/>
      <c r="P3" s="10"/>
      <c r="Q3" s="10"/>
      <c r="R3" s="10"/>
      <c r="S3" s="10"/>
      <c r="T3" s="10"/>
      <c r="U3" s="10"/>
      <c r="V3" s="10"/>
      <c r="W3" s="10"/>
      <c r="X3" s="10"/>
      <c r="Y3" s="10"/>
      <c r="Z3" s="10"/>
      <c r="AA3" s="10"/>
      <c r="BK3" s="4"/>
      <c r="BL3" s="4"/>
      <c r="BM3" s="4"/>
      <c r="BN3" s="4"/>
    </row>
    <row r="4" spans="1:66"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K4" s="4"/>
      <c r="BL4" s="4"/>
      <c r="BM4" s="4"/>
      <c r="BN4" s="4"/>
    </row>
    <row r="5" spans="1:66"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K5" s="4"/>
      <c r="BL5" s="4"/>
      <c r="BM5" s="4"/>
      <c r="BN5" s="4"/>
    </row>
    <row r="6" spans="1:66"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K6" s="4"/>
      <c r="BL6" s="4"/>
      <c r="BM6" s="4"/>
      <c r="BN6" s="4"/>
    </row>
    <row r="7" spans="1:66"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K7" s="4"/>
      <c r="BL7" s="4"/>
      <c r="BM7" s="4"/>
      <c r="BN7" s="4"/>
    </row>
    <row r="8" spans="1:66" ht="15" customHeight="1">
      <c r="A8" s="9"/>
      <c r="B8" s="9"/>
      <c r="C8" s="9"/>
      <c r="D8" s="9"/>
      <c r="E8" s="9"/>
      <c r="F8" s="9"/>
      <c r="P8" s="6" t="str">
        <f>Настройки!A5</f>
        <v>Телесигнализация</v>
      </c>
      <c r="Q8" s="5">
        <f>Настройки!B5</f>
        <v>18</v>
      </c>
      <c r="R8" s="5" t="str">
        <f>Настройки!C5</f>
        <v>Телесигнализация</v>
      </c>
      <c r="S8" s="10"/>
      <c r="T8" s="14"/>
      <c r="U8" s="10"/>
      <c r="V8" s="10"/>
      <c r="W8" s="10"/>
      <c r="X8" s="10"/>
      <c r="Y8" s="10"/>
      <c r="Z8" s="10"/>
      <c r="AA8" s="10"/>
      <c r="BK8" s="4"/>
      <c r="BL8" s="4"/>
      <c r="BM8" s="4"/>
      <c r="BN8" s="4"/>
    </row>
    <row r="9" spans="1:66" ht="15" customHeight="1">
      <c r="A9" s="9"/>
      <c r="B9" s="9"/>
      <c r="C9" s="9"/>
      <c r="D9" s="9"/>
      <c r="E9" s="9"/>
      <c r="F9" s="9"/>
      <c r="P9" s="6" t="str">
        <f>Настройки!A6</f>
        <v>Недостоверность</v>
      </c>
      <c r="Q9" s="5">
        <f>Настройки!B6</f>
        <v>10</v>
      </c>
      <c r="R9" s="5" t="str">
        <f>Настройки!C6</f>
        <v>Недостоверность</v>
      </c>
      <c r="S9" s="10"/>
      <c r="T9" s="14"/>
      <c r="U9" s="10"/>
      <c r="V9" s="10"/>
      <c r="W9" s="10"/>
      <c r="X9" s="10"/>
      <c r="Y9" s="10"/>
      <c r="Z9" s="10"/>
      <c r="AA9" s="10"/>
      <c r="BK9" s="4"/>
      <c r="BL9" s="4"/>
      <c r="BM9" s="4"/>
      <c r="BN9" s="4"/>
    </row>
    <row r="10" spans="1:66" ht="15" customHeight="1">
      <c r="A10" s="9"/>
      <c r="B10" s="9"/>
      <c r="C10" s="9"/>
      <c r="D10" s="9"/>
      <c r="E10" s="9"/>
      <c r="F10" s="9"/>
      <c r="P10" s="6" t="str">
        <f>Настройки!A7</f>
        <v>Имитация</v>
      </c>
      <c r="Q10" s="5">
        <f>Настройки!B7</f>
        <v>16</v>
      </c>
      <c r="R10" s="5" t="str">
        <f>Настройки!C7</f>
        <v>Имитация</v>
      </c>
      <c r="S10" s="10"/>
      <c r="T10" s="14"/>
      <c r="U10" s="10"/>
      <c r="V10" s="10"/>
      <c r="W10" s="10"/>
      <c r="X10" s="10"/>
      <c r="Y10" s="10"/>
      <c r="Z10" s="10"/>
      <c r="AA10" s="10"/>
      <c r="BK10" s="4"/>
      <c r="BL10" s="4"/>
      <c r="BM10" s="4"/>
      <c r="BN10" s="4"/>
    </row>
    <row r="11" spans="1:66" ht="15" customHeight="1">
      <c r="A11" s="9"/>
      <c r="B11" s="9"/>
      <c r="C11" s="9"/>
      <c r="D11" s="9"/>
      <c r="E11" s="9"/>
      <c r="F11" s="9"/>
      <c r="P11" s="6" t="str">
        <f>Настройки!A8</f>
        <v>Ремонт</v>
      </c>
      <c r="Q11" s="5">
        <f>Настройки!B8</f>
        <v>14</v>
      </c>
      <c r="R11" s="5" t="str">
        <f>Настройки!C8</f>
        <v>Ремонт</v>
      </c>
      <c r="S11" s="10"/>
      <c r="T11" s="14"/>
      <c r="U11" s="10"/>
      <c r="V11" s="10"/>
      <c r="W11" s="10"/>
      <c r="X11" s="10"/>
      <c r="Y11" s="10"/>
      <c r="Z11" s="10"/>
      <c r="AA11" s="10"/>
      <c r="BK11" s="4"/>
      <c r="BL11" s="4"/>
      <c r="BM11" s="4"/>
      <c r="BN11" s="4"/>
    </row>
    <row r="12" spans="1:66"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4"/>
      <c r="U12" s="10"/>
      <c r="V12" s="10"/>
      <c r="W12" s="10"/>
      <c r="X12" s="10"/>
      <c r="Y12" s="10"/>
      <c r="Z12" s="10"/>
      <c r="AA12" s="10"/>
      <c r="BK12" s="4"/>
      <c r="BL12" s="4"/>
      <c r="BM12" s="4"/>
      <c r="BN12" s="4"/>
    </row>
    <row r="13" spans="1:66" ht="15" customHeight="1">
      <c r="A13" s="9"/>
      <c r="B13" s="9"/>
      <c r="C13" s="9"/>
      <c r="D13" s="9"/>
      <c r="E13" s="9"/>
      <c r="F13" s="9"/>
      <c r="P13" s="6" t="str">
        <f>Настройки!A10</f>
        <v>Тревога</v>
      </c>
      <c r="Q13" s="5">
        <f>Настройки!B10</f>
        <v>5</v>
      </c>
      <c r="R13" s="5" t="str">
        <f>Настройки!C10</f>
        <v>Тревога</v>
      </c>
      <c r="S13" s="10"/>
      <c r="T13" s="14"/>
      <c r="U13" s="10"/>
      <c r="V13" s="10"/>
      <c r="W13" s="10"/>
      <c r="X13" s="10"/>
      <c r="Y13" s="10"/>
      <c r="Z13" s="10"/>
      <c r="AA13" s="10"/>
      <c r="BK13" s="4"/>
      <c r="BL13" s="4"/>
      <c r="BM13" s="4"/>
      <c r="BN13" s="4"/>
    </row>
    <row r="14" spans="1:66" ht="15" customHeight="1">
      <c r="A14" s="9"/>
      <c r="B14" s="9"/>
      <c r="C14" s="9"/>
      <c r="D14" s="9"/>
      <c r="E14" s="9"/>
      <c r="F14" s="9"/>
      <c r="P14" s="6" t="str">
        <f>Настройки!A11</f>
        <v>Тушение</v>
      </c>
      <c r="Q14" s="5">
        <f>Настройки!B11</f>
        <v>1</v>
      </c>
      <c r="R14" s="5" t="str">
        <f>Настройки!C11</f>
        <v>Тушение</v>
      </c>
      <c r="S14" s="10"/>
      <c r="T14" s="14"/>
      <c r="U14" s="10"/>
      <c r="V14" s="10"/>
      <c r="W14" s="10"/>
      <c r="X14" s="10"/>
      <c r="Y14" s="10"/>
      <c r="Z14" s="10"/>
      <c r="AA14" s="10"/>
      <c r="BK14" s="4"/>
      <c r="BL14" s="4"/>
      <c r="BM14" s="4"/>
      <c r="BN14" s="4"/>
    </row>
    <row r="15" spans="1:66"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K15" s="4"/>
      <c r="BL15" s="4"/>
      <c r="BM15" s="4"/>
      <c r="BN15" s="4"/>
    </row>
    <row r="16" spans="1:66"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K16" s="4"/>
      <c r="BL16" s="4"/>
      <c r="BM16" s="4"/>
      <c r="BN16" s="4"/>
    </row>
    <row r="17" spans="1:66"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K17" s="4"/>
      <c r="BL17" s="4"/>
      <c r="BM17" s="4"/>
      <c r="BN17" s="4"/>
    </row>
    <row r="18" spans="1:66"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K18" s="4"/>
      <c r="BL18" s="4"/>
      <c r="BM18" s="4"/>
      <c r="BN18" s="4"/>
    </row>
    <row r="19" spans="1:66"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K19" s="4"/>
      <c r="BL19" s="4"/>
      <c r="BM19" s="4"/>
      <c r="BN19" s="4"/>
    </row>
    <row r="20" spans="1:66" ht="15" customHeight="1">
      <c r="A20" s="16" t="str">
        <f t="shared" ref="A20:A29" si="0">$R$2</f>
        <v>АСПС.FB_SHPS_S</v>
      </c>
      <c r="B20" s="17">
        <v>11001</v>
      </c>
      <c r="C20" s="17" t="s">
        <v>0</v>
      </c>
      <c r="D20" s="18" t="str">
        <f>$Q$2&amp;". "</f>
        <v xml:space="preserve">Шлейф пожарной сигнализации. </v>
      </c>
      <c r="F20" s="4"/>
      <c r="BK20" s="4"/>
      <c r="BL20" s="4"/>
      <c r="BM20" s="4"/>
      <c r="BN20" s="4"/>
    </row>
    <row r="21" spans="1:66" ht="15" customHeight="1">
      <c r="A21" s="19" t="str">
        <f t="shared" si="0"/>
        <v>АСПС.FB_SHPS_S</v>
      </c>
      <c r="B21" s="11">
        <v>11156</v>
      </c>
      <c r="C21" s="11" t="s">
        <v>0</v>
      </c>
      <c r="D21" s="20" t="str">
        <f>$V$2</f>
        <v>Тестовый экран</v>
      </c>
      <c r="F21" s="4"/>
      <c r="BK21" s="4"/>
      <c r="BL21" s="4"/>
      <c r="BM21" s="4"/>
      <c r="BN21" s="4"/>
    </row>
    <row r="22" spans="1:66" ht="15" customHeight="1">
      <c r="A22" s="19" t="str">
        <f t="shared" si="0"/>
        <v>АСПС.FB_SHPS_S</v>
      </c>
      <c r="B22" s="11">
        <v>1</v>
      </c>
      <c r="C22" s="11" t="s">
        <v>1</v>
      </c>
      <c r="D22" s="20">
        <v>17</v>
      </c>
      <c r="BK22" s="4"/>
      <c r="BL22" s="4"/>
      <c r="BM22" s="4"/>
      <c r="BN22" s="4"/>
    </row>
    <row r="23" spans="1:66" ht="15" customHeight="1">
      <c r="A23" s="16" t="str">
        <f t="shared" si="0"/>
        <v>АСПС.FB_SHPS_S</v>
      </c>
      <c r="B23" s="17">
        <v>100</v>
      </c>
      <c r="C23" s="17" t="s">
        <v>0</v>
      </c>
      <c r="D23" s="18" t="b">
        <f>$T$7</f>
        <v>0</v>
      </c>
      <c r="BF23" s="4"/>
      <c r="BG23" s="4"/>
      <c r="BH23" s="4"/>
      <c r="BI23" s="4"/>
    </row>
    <row r="24" spans="1:66" ht="15" customHeight="1">
      <c r="A24" s="19" t="str">
        <f t="shared" si="0"/>
        <v>АСПС.FB_SHPS_S</v>
      </c>
      <c r="B24" s="11">
        <v>11120</v>
      </c>
      <c r="C24" s="11" t="s">
        <v>0</v>
      </c>
      <c r="D24" s="20">
        <f>$Z$2</f>
        <v>5</v>
      </c>
      <c r="BK24" s="4"/>
      <c r="BL24" s="4"/>
      <c r="BM24" s="4"/>
      <c r="BN24" s="4"/>
    </row>
    <row r="25" spans="1:66" ht="15" customHeight="1">
      <c r="A25" s="19" t="str">
        <f t="shared" si="0"/>
        <v>АСПС.FB_SHPS_S</v>
      </c>
      <c r="B25" s="11">
        <v>11121</v>
      </c>
      <c r="C25" s="11" t="s">
        <v>0</v>
      </c>
      <c r="D25" s="20" t="str">
        <f>$AK$2</f>
        <v>MOPS3+1</v>
      </c>
      <c r="BK25" s="4"/>
      <c r="BL25" s="4"/>
      <c r="BM25" s="4"/>
      <c r="BN25" s="4"/>
    </row>
    <row r="26" spans="1:66">
      <c r="A26" s="19" t="str">
        <f t="shared" si="0"/>
        <v>АСПС.FB_SHPS_S</v>
      </c>
      <c r="B26" s="11">
        <v>11122</v>
      </c>
      <c r="C26" s="11" t="s">
        <v>0</v>
      </c>
      <c r="D26" s="20" t="str">
        <f>$AC$2</f>
        <v>Красный</v>
      </c>
      <c r="BK26" s="4"/>
      <c r="BL26" s="4"/>
      <c r="BM26" s="4"/>
      <c r="BN26" s="4"/>
    </row>
    <row r="27" spans="1:66">
      <c r="A27" s="21" t="str">
        <f t="shared" si="0"/>
        <v>АСПС.FB_SHPS_S</v>
      </c>
      <c r="B27" s="8">
        <v>11123</v>
      </c>
      <c r="C27" s="8" t="s">
        <v>0</v>
      </c>
      <c r="D27" s="22">
        <f>AY2</f>
        <v>0</v>
      </c>
      <c r="BK27" s="4"/>
      <c r="BL27" s="4"/>
      <c r="BM27" s="4"/>
      <c r="BN27" s="4"/>
    </row>
    <row r="28" spans="1:66" ht="15" customHeight="1">
      <c r="A28" s="19" t="str">
        <f t="shared" si="0"/>
        <v>АСПС.FB_SHPS_S</v>
      </c>
      <c r="B28" s="11">
        <v>13</v>
      </c>
      <c r="C28" s="11" t="s">
        <v>2</v>
      </c>
      <c r="D28" s="20" t="s">
        <v>3</v>
      </c>
      <c r="BK28" s="4"/>
      <c r="BL28" s="4"/>
      <c r="BM28" s="4"/>
      <c r="BN28" s="4"/>
    </row>
    <row r="29" spans="1:66" ht="15" customHeight="1">
      <c r="A29" s="21" t="str">
        <f t="shared" si="0"/>
        <v>АСПС.FB_SHPS_S</v>
      </c>
      <c r="B29" s="8">
        <v>3000013</v>
      </c>
      <c r="C29" s="8" t="s">
        <v>0</v>
      </c>
      <c r="D29" s="22" t="str">
        <f>$AE$2</f>
        <v>Диагностика.CPU.NOT_LINK.noLink</v>
      </c>
      <c r="BK29" s="4"/>
      <c r="BL29" s="4"/>
      <c r="BM29" s="4"/>
      <c r="BN29" s="4"/>
    </row>
    <row r="30" spans="1:66" ht="15" customHeight="1">
      <c r="A30" s="16" t="str">
        <f>$R$2&amp;".XFRX"</f>
        <v>АСПС.FB_SHPS_S.XFRX</v>
      </c>
      <c r="B30" s="17">
        <v>1</v>
      </c>
      <c r="C30" s="17" t="s">
        <v>1</v>
      </c>
      <c r="D30" s="18">
        <v>11</v>
      </c>
      <c r="BK30" s="4"/>
      <c r="BL30" s="4"/>
      <c r="BM30" s="4"/>
      <c r="BN30" s="4"/>
    </row>
    <row r="31" spans="1:66" ht="15" customHeight="1">
      <c r="A31" s="19" t="str">
        <f t="shared" ref="A31:A39" si="1">$R$2&amp;".XFRX"</f>
        <v>АСПС.FB_SHPS_S.XFRX</v>
      </c>
      <c r="B31" s="11">
        <v>2</v>
      </c>
      <c r="C31" s="11" t="s">
        <v>2</v>
      </c>
      <c r="D31" s="20" t="s">
        <v>3</v>
      </c>
      <c r="BK31" s="4"/>
      <c r="BL31" s="4"/>
      <c r="BM31" s="4"/>
      <c r="BN31" s="4"/>
    </row>
    <row r="32" spans="1:66" ht="15" customHeight="1">
      <c r="A32" s="19" t="str">
        <f t="shared" si="1"/>
        <v>АСПС.FB_SHPS_S.XFRX</v>
      </c>
      <c r="B32" s="11">
        <v>3</v>
      </c>
      <c r="C32" s="11" t="s">
        <v>1</v>
      </c>
      <c r="D32" s="20">
        <v>192</v>
      </c>
      <c r="BK32" s="4"/>
      <c r="BL32" s="4"/>
      <c r="BM32" s="4"/>
      <c r="BN32" s="4"/>
    </row>
    <row r="33" spans="1:66" ht="15" customHeight="1">
      <c r="A33" s="19" t="str">
        <f t="shared" si="1"/>
        <v>АСПС.FB_SHPS_S.XFRX</v>
      </c>
      <c r="B33" s="11">
        <v>101</v>
      </c>
      <c r="C33" s="11" t="s">
        <v>0</v>
      </c>
      <c r="D33" s="20" t="s">
        <v>426</v>
      </c>
      <c r="BK33" s="4"/>
      <c r="BL33" s="4"/>
      <c r="BM33" s="4"/>
      <c r="BN33" s="4"/>
    </row>
    <row r="34" spans="1:66" ht="15" customHeight="1">
      <c r="A34" s="19" t="str">
        <f t="shared" si="1"/>
        <v>АСПС.FB_SHPS_S.XFRX</v>
      </c>
      <c r="B34" s="11">
        <v>7998</v>
      </c>
      <c r="C34" s="11" t="s">
        <v>6</v>
      </c>
      <c r="D34" s="20">
        <v>1</v>
      </c>
      <c r="BK34" s="4"/>
      <c r="BL34" s="4"/>
      <c r="BM34" s="4"/>
      <c r="BN34" s="4"/>
    </row>
    <row r="35" spans="1:66" ht="15" customHeight="1">
      <c r="A35" s="19" t="str">
        <f t="shared" si="1"/>
        <v>АСПС.FB_SHPS_S.XFRX</v>
      </c>
      <c r="B35" s="11">
        <v>7999</v>
      </c>
      <c r="C35" s="11" t="s">
        <v>0</v>
      </c>
      <c r="D35" s="20" t="str">
        <f>"#"&amp;$S$2&amp;"#"&amp;$T$2&amp;"\"&amp;$P$2&amp;"\XFRX"</f>
        <v>#2#treiOPCDA.CoOPCserv.1\pcmaster\S_SHPS\XFRX</v>
      </c>
      <c r="BK35" s="4"/>
      <c r="BL35" s="4"/>
      <c r="BM35" s="4"/>
      <c r="BN35" s="4"/>
    </row>
    <row r="36" spans="1:66" ht="15" customHeight="1">
      <c r="A36" s="357" t="str">
        <f t="shared" si="1"/>
        <v>АСПС.FB_SHPS_S.XFRX</v>
      </c>
      <c r="B36" s="358">
        <v>11000</v>
      </c>
      <c r="C36" s="358" t="s">
        <v>5</v>
      </c>
      <c r="D36" s="359">
        <v>2147483680</v>
      </c>
      <c r="BK36" s="4"/>
      <c r="BL36" s="4"/>
      <c r="BM36" s="4"/>
      <c r="BN36" s="4"/>
    </row>
    <row r="37" spans="1:66" ht="15" customHeight="1">
      <c r="A37" s="357" t="str">
        <f t="shared" si="1"/>
        <v>АСПС.FB_SHPS_S.XFRX</v>
      </c>
      <c r="B37" s="358">
        <v>11150</v>
      </c>
      <c r="C37" s="358" t="s">
        <v>0</v>
      </c>
      <c r="D37" s="359" t="str">
        <f>IF($AA$2&lt;&gt;"",$AA$2, "Пожар")</f>
        <v>Сработка</v>
      </c>
      <c r="BK37" s="4"/>
      <c r="BL37" s="4"/>
      <c r="BM37" s="4"/>
      <c r="BN37" s="4"/>
    </row>
    <row r="38" spans="1:66" ht="15" customHeight="1">
      <c r="A38" s="357" t="str">
        <f t="shared" si="1"/>
        <v>АСПС.FB_SHPS_S.XFRX</v>
      </c>
      <c r="B38" s="358">
        <v>11152</v>
      </c>
      <c r="C38" s="358" t="s">
        <v>0</v>
      </c>
      <c r="D38" s="359" t="str">
        <f>IF($AB$2=$P$5,$R$5,IF($AB$2=$P$6,$R$6,IF($AB$2=$P$7,$R$7,IF($AB$2=$P$8,$R$8,IF($AB$2=$P$9,$R$9,IF($AB$2=$P$10,$R$10,IF($AB$2=$P$11,$R$11,IF($AB$2=$P$12,$R$12,IF($AB$2=$P$13,$R$13,IF($AB$2=$P$14,$R$14,IF($AB$2=$P$15,$R$15,IF($AB$2=$P$16,$R$16,IF($AB$2=$P$17,$R$17,IF($AB$2=$P$18,$R$18,IF($AB$2=$P$19,$R$19,"Пожар")))))))))))))))</f>
        <v>Пожар</v>
      </c>
      <c r="BK38" s="4"/>
      <c r="BL38" s="4"/>
      <c r="BM38" s="4"/>
      <c r="BN38" s="4"/>
    </row>
    <row r="39" spans="1:66" ht="15" customHeight="1">
      <c r="A39" s="360" t="str">
        <f t="shared" si="1"/>
        <v>АСПС.FB_SHPS_S.XFRX</v>
      </c>
      <c r="B39" s="361">
        <v>11154</v>
      </c>
      <c r="C39" s="361" t="s">
        <v>4</v>
      </c>
      <c r="D39" s="362">
        <f>IF($AB$2=$P$5,$Q$5,IF($AB$2=$P$6,$Q$6,IF($AB$2=$P$7,$Q$7,IF($AB$2=$P$8,$Q$8,IF($AB$2=$P$9,$Q$9,IF($AB$2=$P$10,$Q$10,IF($AB$2=$P$11,$Q$11,IF($AB$2=$P$12,$Q$12,IF($AB$2=$P$13,$Q$13,IF($AB$2=$P$14,$Q$14,IF($AB$2=$P$15,$Q$15,IF($AB$2=$P$16,$Q$16,IF($AB$2=$P$17,$Q$17,IF($AB$2=$P$18,$Q$18,IF($AB$2=$P$19,$Q$19,2)))))))))))))))</f>
        <v>2</v>
      </c>
      <c r="BK39" s="4"/>
      <c r="BL39" s="4"/>
      <c r="BM39" s="4"/>
      <c r="BN39" s="4"/>
    </row>
    <row r="40" spans="1:66" ht="15" customHeight="1">
      <c r="A40" s="16" t="str">
        <f>$R$2&amp;".XWRX"</f>
        <v>АСПС.FB_SHPS_S.XWRX</v>
      </c>
      <c r="B40" s="17">
        <v>1</v>
      </c>
      <c r="C40" s="17" t="s">
        <v>1</v>
      </c>
      <c r="D40" s="18">
        <v>11</v>
      </c>
      <c r="BK40" s="4"/>
      <c r="BL40" s="4"/>
      <c r="BM40" s="4"/>
      <c r="BN40" s="4"/>
    </row>
    <row r="41" spans="1:66" ht="15" customHeight="1">
      <c r="A41" s="19" t="str">
        <f t="shared" ref="A41:A49" si="2">$R$2&amp;".XWRX"</f>
        <v>АСПС.FB_SHPS_S.XWRX</v>
      </c>
      <c r="B41" s="11">
        <v>2</v>
      </c>
      <c r="C41" s="11" t="s">
        <v>2</v>
      </c>
      <c r="D41" s="20" t="s">
        <v>3</v>
      </c>
      <c r="BK41" s="4"/>
      <c r="BL41" s="4"/>
      <c r="BM41" s="4"/>
      <c r="BN41" s="4"/>
    </row>
    <row r="42" spans="1:66" ht="15" customHeight="1">
      <c r="A42" s="19" t="str">
        <f t="shared" si="2"/>
        <v>АСПС.FB_SHPS_S.XWRX</v>
      </c>
      <c r="B42" s="11">
        <v>3</v>
      </c>
      <c r="C42" s="11" t="s">
        <v>1</v>
      </c>
      <c r="D42" s="20">
        <v>192</v>
      </c>
      <c r="BK42" s="4"/>
      <c r="BL42" s="4"/>
      <c r="BM42" s="4"/>
      <c r="BN42" s="4"/>
    </row>
    <row r="43" spans="1:66" ht="15" customHeight="1">
      <c r="A43" s="19" t="str">
        <f t="shared" si="2"/>
        <v>АСПС.FB_SHPS_S.XWRX</v>
      </c>
      <c r="B43" s="11">
        <v>101</v>
      </c>
      <c r="C43" s="11" t="s">
        <v>0</v>
      </c>
      <c r="D43" s="20" t="s">
        <v>425</v>
      </c>
      <c r="BK43" s="4"/>
      <c r="BL43" s="4"/>
      <c r="BM43" s="4"/>
      <c r="BN43" s="4"/>
    </row>
    <row r="44" spans="1:66" ht="15" customHeight="1">
      <c r="A44" s="19" t="str">
        <f t="shared" si="2"/>
        <v>АСПС.FB_SHPS_S.XWRX</v>
      </c>
      <c r="B44" s="11">
        <v>7998</v>
      </c>
      <c r="C44" s="11" t="s">
        <v>6</v>
      </c>
      <c r="D44" s="20">
        <v>1</v>
      </c>
      <c r="BK44" s="4"/>
      <c r="BL44" s="4"/>
      <c r="BM44" s="4"/>
      <c r="BN44" s="4"/>
    </row>
    <row r="45" spans="1:66" ht="15" customHeight="1">
      <c r="A45" s="19" t="str">
        <f t="shared" si="2"/>
        <v>АСПС.FB_SHPS_S.XWRX</v>
      </c>
      <c r="B45" s="11">
        <v>7999</v>
      </c>
      <c r="C45" s="11" t="s">
        <v>0</v>
      </c>
      <c r="D45" s="20" t="str">
        <f>"#"&amp;$S$2&amp;"#"&amp;$T$2&amp;"\"&amp;$P$2&amp;"\XWRX"</f>
        <v>#2#treiOPCDA.CoOPCserv.1\pcmaster\S_SHPS\XWRX</v>
      </c>
      <c r="BK45" s="4"/>
      <c r="BL45" s="4"/>
      <c r="BM45" s="4"/>
      <c r="BN45" s="4"/>
    </row>
    <row r="46" spans="1:66" ht="15" customHeight="1">
      <c r="A46" s="203" t="str">
        <f t="shared" si="2"/>
        <v>АСПС.FB_SHPS_S.XWRX</v>
      </c>
      <c r="B46" s="204">
        <v>11000</v>
      </c>
      <c r="C46" s="204" t="s">
        <v>5</v>
      </c>
      <c r="D46" s="205">
        <v>2147483680</v>
      </c>
      <c r="BK46" s="4"/>
      <c r="BL46" s="4"/>
      <c r="BM46" s="4"/>
      <c r="BN46" s="4"/>
    </row>
    <row r="47" spans="1:66" ht="15" customHeight="1">
      <c r="A47" s="203" t="str">
        <f t="shared" si="2"/>
        <v>АСПС.FB_SHPS_S.XWRX</v>
      </c>
      <c r="B47" s="204">
        <v>11150</v>
      </c>
      <c r="C47" s="204" t="s">
        <v>0</v>
      </c>
      <c r="D47" s="205" t="s">
        <v>425</v>
      </c>
      <c r="BK47" s="4"/>
      <c r="BL47" s="4"/>
      <c r="BM47" s="4"/>
      <c r="BN47" s="4"/>
    </row>
    <row r="48" spans="1:66" ht="15" customHeight="1">
      <c r="A48" s="203" t="str">
        <f t="shared" si="2"/>
        <v>АСПС.FB_SHPS_S.XWRX</v>
      </c>
      <c r="B48" s="204">
        <v>11152</v>
      </c>
      <c r="C48" s="204" t="s">
        <v>0</v>
      </c>
      <c r="D48" s="205" t="str">
        <f>$R$13</f>
        <v>Тревога</v>
      </c>
      <c r="BK48" s="4"/>
      <c r="BL48" s="4"/>
      <c r="BM48" s="4"/>
      <c r="BN48" s="4"/>
    </row>
    <row r="49" spans="1:66" ht="15" customHeight="1">
      <c r="A49" s="208" t="str">
        <f t="shared" si="2"/>
        <v>АСПС.FB_SHPS_S.XWRX</v>
      </c>
      <c r="B49" s="209">
        <v>11154</v>
      </c>
      <c r="C49" s="209" t="s">
        <v>4</v>
      </c>
      <c r="D49" s="210">
        <f>$Q$13</f>
        <v>5</v>
      </c>
      <c r="BK49" s="4"/>
      <c r="BL49" s="4"/>
      <c r="BM49" s="4"/>
      <c r="BN49" s="4"/>
    </row>
    <row r="50" spans="1:66" ht="15" customHeight="1">
      <c r="A50" s="16" t="str">
        <f>$R$2&amp;".FSCX"</f>
        <v>АСПС.FB_SHPS_S.FSCX</v>
      </c>
      <c r="B50" s="17">
        <v>1</v>
      </c>
      <c r="C50" s="17" t="s">
        <v>1</v>
      </c>
      <c r="D50" s="18">
        <v>11</v>
      </c>
      <c r="BK50" s="4"/>
      <c r="BL50" s="4"/>
      <c r="BM50" s="4"/>
      <c r="BN50" s="4"/>
    </row>
    <row r="51" spans="1:66" ht="15" customHeight="1">
      <c r="A51" s="19" t="str">
        <f t="shared" ref="A51:A59" si="3">$R$2&amp;".FSCX"</f>
        <v>АСПС.FB_SHPS_S.FSCX</v>
      </c>
      <c r="B51" s="11">
        <v>2</v>
      </c>
      <c r="C51" s="11" t="s">
        <v>2</v>
      </c>
      <c r="D51" s="20" t="s">
        <v>3</v>
      </c>
      <c r="BK51" s="4"/>
      <c r="BL51" s="4"/>
      <c r="BM51" s="4"/>
      <c r="BN51" s="4"/>
    </row>
    <row r="52" spans="1:66" ht="15" customHeight="1">
      <c r="A52" s="19" t="str">
        <f t="shared" si="3"/>
        <v>АСПС.FB_SHPS_S.FSCX</v>
      </c>
      <c r="B52" s="11">
        <v>3</v>
      </c>
      <c r="C52" s="11" t="s">
        <v>1</v>
      </c>
      <c r="D52" s="20">
        <v>192</v>
      </c>
      <c r="BK52" s="4"/>
      <c r="BL52" s="4"/>
      <c r="BM52" s="4"/>
      <c r="BN52" s="4"/>
    </row>
    <row r="53" spans="1:66" ht="15" customHeight="1">
      <c r="A53" s="19" t="str">
        <f t="shared" si="3"/>
        <v>АСПС.FB_SHPS_S.FSCX</v>
      </c>
      <c r="B53" s="11">
        <v>101</v>
      </c>
      <c r="C53" s="11" t="s">
        <v>0</v>
      </c>
      <c r="D53" s="20" t="s">
        <v>37</v>
      </c>
      <c r="BK53" s="4"/>
      <c r="BL53" s="4"/>
      <c r="BM53" s="4"/>
      <c r="BN53" s="4"/>
    </row>
    <row r="54" spans="1:66" ht="15" customHeight="1">
      <c r="A54" s="19" t="str">
        <f t="shared" si="3"/>
        <v>АСПС.FB_SHPS_S.FSCX</v>
      </c>
      <c r="B54" s="11">
        <v>7998</v>
      </c>
      <c r="C54" s="11" t="s">
        <v>6</v>
      </c>
      <c r="D54" s="20">
        <v>1</v>
      </c>
      <c r="BK54" s="4"/>
      <c r="BL54" s="4"/>
      <c r="BM54" s="4"/>
      <c r="BN54" s="4"/>
    </row>
    <row r="55" spans="1:66" ht="15" customHeight="1">
      <c r="A55" s="19" t="str">
        <f t="shared" si="3"/>
        <v>АСПС.FB_SHPS_S.FSCX</v>
      </c>
      <c r="B55" s="11">
        <v>7999</v>
      </c>
      <c r="C55" s="11" t="s">
        <v>0</v>
      </c>
      <c r="D55" s="20" t="str">
        <f>"#"&amp;$S$2&amp;"#"&amp;$T$2&amp;"\"&amp;$P$2&amp;"\FSCX"</f>
        <v>#2#treiOPCDA.CoOPCserv.1\pcmaster\S_SHPS\FSCX</v>
      </c>
      <c r="BK55" s="4"/>
      <c r="BL55" s="4"/>
      <c r="BM55" s="4"/>
      <c r="BN55" s="4"/>
    </row>
    <row r="56" spans="1:66" ht="15" customHeight="1">
      <c r="A56" s="211" t="str">
        <f t="shared" si="3"/>
        <v>АСПС.FB_SHPS_S.FSCX</v>
      </c>
      <c r="B56" s="212">
        <v>11000</v>
      </c>
      <c r="C56" s="212" t="s">
        <v>5</v>
      </c>
      <c r="D56" s="213">
        <v>2147483680</v>
      </c>
      <c r="BK56" s="4"/>
      <c r="BL56" s="4"/>
      <c r="BM56" s="4"/>
      <c r="BN56" s="4"/>
    </row>
    <row r="57" spans="1:66" ht="15" customHeight="1">
      <c r="A57" s="211" t="str">
        <f t="shared" si="3"/>
        <v>АСПС.FB_SHPS_S.FSCX</v>
      </c>
      <c r="B57" s="212">
        <v>11150</v>
      </c>
      <c r="C57" s="212" t="s">
        <v>0</v>
      </c>
      <c r="D57" s="213" t="s">
        <v>37</v>
      </c>
      <c r="BK57" s="4"/>
      <c r="BL57" s="4"/>
      <c r="BM57" s="4"/>
      <c r="BN57" s="4"/>
    </row>
    <row r="58" spans="1:66" ht="15" customHeight="1">
      <c r="A58" s="211" t="str">
        <f t="shared" si="3"/>
        <v>АСПС.FB_SHPS_S.FSCX</v>
      </c>
      <c r="B58" s="212">
        <v>11152</v>
      </c>
      <c r="C58" s="212" t="s">
        <v>0</v>
      </c>
      <c r="D58" s="213" t="str">
        <f>$R$7</f>
        <v>Неисправность</v>
      </c>
      <c r="BK58" s="4"/>
      <c r="BL58" s="4"/>
      <c r="BM58" s="4"/>
      <c r="BN58" s="4"/>
    </row>
    <row r="59" spans="1:66" ht="15" customHeight="1">
      <c r="A59" s="214" t="str">
        <f t="shared" si="3"/>
        <v>АСПС.FB_SHPS_S.FSCX</v>
      </c>
      <c r="B59" s="215">
        <v>11154</v>
      </c>
      <c r="C59" s="215" t="s">
        <v>4</v>
      </c>
      <c r="D59" s="216">
        <f>$Q$7</f>
        <v>12</v>
      </c>
      <c r="BK59" s="4"/>
      <c r="BL59" s="4"/>
      <c r="BM59" s="4"/>
      <c r="BN59" s="4"/>
    </row>
    <row r="60" spans="1:66" ht="15" customHeight="1">
      <c r="A60" s="16" t="str">
        <f>$R$2&amp;".FBXX"</f>
        <v>АСПС.FB_SHPS_S.FBXX</v>
      </c>
      <c r="B60" s="17">
        <v>1</v>
      </c>
      <c r="C60" s="17" t="s">
        <v>1</v>
      </c>
      <c r="D60" s="18">
        <v>11</v>
      </c>
      <c r="BK60" s="4"/>
      <c r="BL60" s="4"/>
      <c r="BM60" s="4"/>
      <c r="BN60" s="4"/>
    </row>
    <row r="61" spans="1:66" ht="15" customHeight="1">
      <c r="A61" s="19" t="str">
        <f t="shared" ref="A61:A69" si="4">$R$2&amp;".FBXX"</f>
        <v>АСПС.FB_SHPS_S.FBXX</v>
      </c>
      <c r="B61" s="11">
        <v>2</v>
      </c>
      <c r="C61" s="11" t="s">
        <v>2</v>
      </c>
      <c r="D61" s="20" t="s">
        <v>3</v>
      </c>
      <c r="BK61" s="4"/>
      <c r="BL61" s="4"/>
      <c r="BM61" s="4"/>
      <c r="BN61" s="4"/>
    </row>
    <row r="62" spans="1:66" ht="15" customHeight="1">
      <c r="A62" s="19" t="str">
        <f t="shared" si="4"/>
        <v>АСПС.FB_SHPS_S.FBXX</v>
      </c>
      <c r="B62" s="11">
        <v>3</v>
      </c>
      <c r="C62" s="11" t="s">
        <v>1</v>
      </c>
      <c r="D62" s="20">
        <v>192</v>
      </c>
      <c r="BK62" s="4"/>
      <c r="BL62" s="4"/>
      <c r="BM62" s="4"/>
      <c r="BN62" s="4"/>
    </row>
    <row r="63" spans="1:66" ht="15" customHeight="1">
      <c r="A63" s="19" t="str">
        <f t="shared" si="4"/>
        <v>АСПС.FB_SHPS_S.FBXX</v>
      </c>
      <c r="B63" s="11">
        <v>101</v>
      </c>
      <c r="C63" s="11" t="s">
        <v>0</v>
      </c>
      <c r="D63" s="20" t="s">
        <v>36</v>
      </c>
      <c r="BK63" s="4"/>
      <c r="BL63" s="4"/>
      <c r="BM63" s="4"/>
      <c r="BN63" s="4"/>
    </row>
    <row r="64" spans="1:66" ht="15" customHeight="1">
      <c r="A64" s="19" t="str">
        <f t="shared" si="4"/>
        <v>АСПС.FB_SHPS_S.FBXX</v>
      </c>
      <c r="B64" s="11">
        <v>7998</v>
      </c>
      <c r="C64" s="11" t="s">
        <v>6</v>
      </c>
      <c r="D64" s="20">
        <v>1</v>
      </c>
      <c r="BK64" s="4"/>
      <c r="BL64" s="4"/>
      <c r="BM64" s="4"/>
      <c r="BN64" s="4"/>
    </row>
    <row r="65" spans="1:66" ht="15" customHeight="1">
      <c r="A65" s="19" t="str">
        <f t="shared" si="4"/>
        <v>АСПС.FB_SHPS_S.FBXX</v>
      </c>
      <c r="B65" s="11">
        <v>7999</v>
      </c>
      <c r="C65" s="11" t="s">
        <v>0</v>
      </c>
      <c r="D65" s="20" t="str">
        <f>"#"&amp;$S$2&amp;"#"&amp;$T$2&amp;"\"&amp;$P$2&amp;"\FBXX"</f>
        <v>#2#treiOPCDA.CoOPCserv.1\pcmaster\S_SHPS\FBXX</v>
      </c>
      <c r="BK65" s="4"/>
      <c r="BL65" s="4"/>
      <c r="BM65" s="4"/>
      <c r="BN65" s="4"/>
    </row>
    <row r="66" spans="1:66" ht="15" customHeight="1">
      <c r="A66" s="211" t="str">
        <f t="shared" si="4"/>
        <v>АСПС.FB_SHPS_S.FBXX</v>
      </c>
      <c r="B66" s="212">
        <v>11000</v>
      </c>
      <c r="C66" s="212" t="s">
        <v>5</v>
      </c>
      <c r="D66" s="213">
        <v>2147483680</v>
      </c>
      <c r="BK66" s="4"/>
      <c r="BL66" s="4"/>
      <c r="BM66" s="4"/>
      <c r="BN66" s="4"/>
    </row>
    <row r="67" spans="1:66" ht="15" customHeight="1">
      <c r="A67" s="211" t="str">
        <f t="shared" si="4"/>
        <v>АСПС.FB_SHPS_S.FBXX</v>
      </c>
      <c r="B67" s="212">
        <v>11150</v>
      </c>
      <c r="C67" s="212" t="s">
        <v>0</v>
      </c>
      <c r="D67" s="213" t="s">
        <v>36</v>
      </c>
      <c r="BK67" s="4"/>
      <c r="BL67" s="4"/>
      <c r="BM67" s="4"/>
      <c r="BN67" s="4"/>
    </row>
    <row r="68" spans="1:66" ht="15" customHeight="1">
      <c r="A68" s="211" t="str">
        <f t="shared" si="4"/>
        <v>АСПС.FB_SHPS_S.FBXX</v>
      </c>
      <c r="B68" s="212">
        <v>11152</v>
      </c>
      <c r="C68" s="212" t="s">
        <v>0</v>
      </c>
      <c r="D68" s="213" t="str">
        <f>$R$7</f>
        <v>Неисправность</v>
      </c>
      <c r="BK68" s="4"/>
      <c r="BL68" s="4"/>
      <c r="BM68" s="4"/>
      <c r="BN68" s="4"/>
    </row>
    <row r="69" spans="1:66" ht="15" customHeight="1">
      <c r="A69" s="214" t="str">
        <f t="shared" si="4"/>
        <v>АСПС.FB_SHPS_S.FBXX</v>
      </c>
      <c r="B69" s="215">
        <v>11154</v>
      </c>
      <c r="C69" s="215" t="s">
        <v>4</v>
      </c>
      <c r="D69" s="216">
        <f>$Q$7</f>
        <v>12</v>
      </c>
      <c r="BK69" s="4"/>
      <c r="BL69" s="4"/>
      <c r="BM69" s="4"/>
      <c r="BN69" s="4"/>
    </row>
    <row r="70" spans="1:66" ht="15" customHeight="1">
      <c r="A70" s="217" t="str">
        <f>$R$2&amp;".DVXX"</f>
        <v>АСПС.FB_SHPS_S.DVXX</v>
      </c>
      <c r="B70" s="218">
        <v>11154</v>
      </c>
      <c r="C70" s="218" t="s">
        <v>4</v>
      </c>
      <c r="D70" s="219">
        <f>$Q$7</f>
        <v>12</v>
      </c>
      <c r="BK70" s="4"/>
      <c r="BL70" s="4"/>
      <c r="BM70" s="4"/>
      <c r="BN70" s="4"/>
    </row>
    <row r="71" spans="1:66" ht="15" customHeight="1">
      <c r="A71" s="211" t="str">
        <f t="shared" ref="A71:A79" si="5">$R$2&amp;".DVXX"</f>
        <v>АСПС.FB_SHPS_S.DVXX</v>
      </c>
      <c r="B71" s="212">
        <v>11150</v>
      </c>
      <c r="C71" s="212" t="s">
        <v>0</v>
      </c>
      <c r="D71" s="213" t="s">
        <v>680</v>
      </c>
      <c r="BK71" s="4"/>
      <c r="BL71" s="4"/>
      <c r="BM71" s="4"/>
      <c r="BN71" s="4"/>
    </row>
    <row r="72" spans="1:66" ht="15" customHeight="1">
      <c r="A72" s="211" t="str">
        <f t="shared" si="5"/>
        <v>АСПС.FB_SHPS_S.DVXX</v>
      </c>
      <c r="B72" s="212">
        <v>11152</v>
      </c>
      <c r="C72" s="212" t="s">
        <v>0</v>
      </c>
      <c r="D72" s="220" t="str">
        <f>$R$7</f>
        <v>Неисправность</v>
      </c>
      <c r="BK72" s="4"/>
      <c r="BL72" s="4"/>
      <c r="BM72" s="4"/>
      <c r="BN72" s="4"/>
    </row>
    <row r="73" spans="1:66" ht="15" customHeight="1">
      <c r="A73" s="211" t="str">
        <f t="shared" si="5"/>
        <v>АСПС.FB_SHPS_S.DVXX</v>
      </c>
      <c r="B73" s="212">
        <v>11000</v>
      </c>
      <c r="C73" s="212" t="s">
        <v>5</v>
      </c>
      <c r="D73" s="213">
        <v>2147483680</v>
      </c>
      <c r="BK73" s="4"/>
      <c r="BL73" s="4"/>
      <c r="BM73" s="4"/>
      <c r="BN73" s="4"/>
    </row>
    <row r="74" spans="1:66" ht="15" customHeight="1">
      <c r="A74" s="19" t="str">
        <f t="shared" si="5"/>
        <v>АСПС.FB_SHPS_S.DVXX</v>
      </c>
      <c r="B74" s="11">
        <v>7999</v>
      </c>
      <c r="C74" s="11" t="s">
        <v>0</v>
      </c>
      <c r="D74" s="20" t="str">
        <f>"#"&amp;$S$2&amp;"#"&amp;$T$2&amp;"\"&amp;$P$2&amp;"\DVXX"</f>
        <v>#2#treiOPCDA.CoOPCserv.1\pcmaster\S_SHPS\DVXX</v>
      </c>
      <c r="BK74" s="4"/>
      <c r="BL74" s="4"/>
      <c r="BM74" s="4"/>
      <c r="BN74" s="4"/>
    </row>
    <row r="75" spans="1:66" ht="15" customHeight="1">
      <c r="A75" s="19" t="str">
        <f t="shared" si="5"/>
        <v>АСПС.FB_SHPS_S.DVXX</v>
      </c>
      <c r="B75" s="11">
        <v>7998</v>
      </c>
      <c r="C75" s="11" t="s">
        <v>6</v>
      </c>
      <c r="D75" s="20">
        <v>1</v>
      </c>
      <c r="BK75" s="4"/>
      <c r="BL75" s="4"/>
      <c r="BM75" s="4"/>
      <c r="BN75" s="4"/>
    </row>
    <row r="76" spans="1:66" ht="15" customHeight="1">
      <c r="A76" s="19" t="str">
        <f t="shared" si="5"/>
        <v>АСПС.FB_SHPS_S.DVXX</v>
      </c>
      <c r="B76" s="11">
        <v>101</v>
      </c>
      <c r="C76" s="11" t="s">
        <v>0</v>
      </c>
      <c r="D76" s="20" t="s">
        <v>680</v>
      </c>
      <c r="BK76" s="4"/>
      <c r="BL76" s="4"/>
      <c r="BM76" s="4"/>
      <c r="BN76" s="4"/>
    </row>
    <row r="77" spans="1:66" ht="15" customHeight="1">
      <c r="A77" s="19" t="str">
        <f t="shared" si="5"/>
        <v>АСПС.FB_SHPS_S.DVXX</v>
      </c>
      <c r="B77" s="11">
        <v>3</v>
      </c>
      <c r="C77" s="11" t="s">
        <v>1</v>
      </c>
      <c r="D77" s="20">
        <v>192</v>
      </c>
      <c r="BK77" s="4"/>
      <c r="BL77" s="4"/>
      <c r="BM77" s="4"/>
      <c r="BN77" s="4"/>
    </row>
    <row r="78" spans="1:66" ht="15" customHeight="1">
      <c r="A78" s="19" t="str">
        <f t="shared" si="5"/>
        <v>АСПС.FB_SHPS_S.DVXX</v>
      </c>
      <c r="B78" s="11">
        <v>2</v>
      </c>
      <c r="C78" s="11" t="s">
        <v>2</v>
      </c>
      <c r="D78" s="20" t="s">
        <v>3</v>
      </c>
      <c r="BK78" s="4"/>
      <c r="BL78" s="4"/>
      <c r="BM78" s="4"/>
      <c r="BN78" s="4"/>
    </row>
    <row r="79" spans="1:66" ht="15" customHeight="1">
      <c r="A79" s="21" t="str">
        <f t="shared" si="5"/>
        <v>АСПС.FB_SHPS_S.DVXX</v>
      </c>
      <c r="B79" s="8">
        <v>1</v>
      </c>
      <c r="C79" s="8" t="s">
        <v>1</v>
      </c>
      <c r="D79" s="22">
        <v>11</v>
      </c>
      <c r="BK79" s="4"/>
      <c r="BL79" s="4"/>
      <c r="BM79" s="4"/>
      <c r="BN79" s="4"/>
    </row>
    <row r="80" spans="1:66" ht="15" customHeight="1">
      <c r="A80" s="217" t="str">
        <f>$R$2&amp;".FEXX"</f>
        <v>АСПС.FB_SHPS_S.FEXX</v>
      </c>
      <c r="B80" s="218">
        <v>11154</v>
      </c>
      <c r="C80" s="218" t="s">
        <v>4</v>
      </c>
      <c r="D80" s="219">
        <f>$Q$7</f>
        <v>12</v>
      </c>
      <c r="BK80" s="4"/>
      <c r="BL80" s="4"/>
      <c r="BM80" s="4"/>
      <c r="BN80" s="4"/>
    </row>
    <row r="81" spans="1:66" ht="15" customHeight="1">
      <c r="A81" s="211" t="str">
        <f t="shared" ref="A81:A89" si="6">$R$2&amp;".FEXX"</f>
        <v>АСПС.FB_SHPS_S.FEXX</v>
      </c>
      <c r="B81" s="212">
        <v>11150</v>
      </c>
      <c r="C81" s="212" t="s">
        <v>0</v>
      </c>
      <c r="D81" s="213" t="s">
        <v>711</v>
      </c>
      <c r="BK81" s="4"/>
      <c r="BL81" s="4"/>
      <c r="BM81" s="4"/>
      <c r="BN81" s="4"/>
    </row>
    <row r="82" spans="1:66" ht="15" customHeight="1">
      <c r="A82" s="211" t="str">
        <f t="shared" si="6"/>
        <v>АСПС.FB_SHPS_S.FEXX</v>
      </c>
      <c r="B82" s="212">
        <v>11152</v>
      </c>
      <c r="C82" s="212" t="s">
        <v>0</v>
      </c>
      <c r="D82" s="220" t="str">
        <f>$R$7</f>
        <v>Неисправность</v>
      </c>
      <c r="BK82" s="4"/>
      <c r="BL82" s="4"/>
      <c r="BM82" s="4"/>
      <c r="BN82" s="4"/>
    </row>
    <row r="83" spans="1:66" ht="15" customHeight="1">
      <c r="A83" s="211" t="str">
        <f t="shared" si="6"/>
        <v>АСПС.FB_SHPS_S.FEXX</v>
      </c>
      <c r="B83" s="212">
        <v>11000</v>
      </c>
      <c r="C83" s="212" t="s">
        <v>5</v>
      </c>
      <c r="D83" s="213">
        <v>2147483680</v>
      </c>
      <c r="BK83" s="4"/>
      <c r="BL83" s="4"/>
      <c r="BM83" s="4"/>
      <c r="BN83" s="4"/>
    </row>
    <row r="84" spans="1:66" ht="15" customHeight="1">
      <c r="A84" s="19" t="str">
        <f t="shared" si="6"/>
        <v>АСПС.FB_SHPS_S.FEXX</v>
      </c>
      <c r="B84" s="11">
        <v>7999</v>
      </c>
      <c r="C84" s="11" t="s">
        <v>0</v>
      </c>
      <c r="D84" s="20" t="str">
        <f>"#"&amp;$S$2&amp;"#"&amp;$T$2&amp;"\"&amp;$P$2&amp;"\FEXX"</f>
        <v>#2#treiOPCDA.CoOPCserv.1\pcmaster\S_SHPS\FEXX</v>
      </c>
      <c r="BK84" s="4"/>
      <c r="BL84" s="4"/>
      <c r="BM84" s="4"/>
      <c r="BN84" s="4"/>
    </row>
    <row r="85" spans="1:66" ht="15" customHeight="1">
      <c r="A85" s="19" t="str">
        <f t="shared" si="6"/>
        <v>АСПС.FB_SHPS_S.FEXX</v>
      </c>
      <c r="B85" s="11">
        <v>7998</v>
      </c>
      <c r="C85" s="11" t="s">
        <v>6</v>
      </c>
      <c r="D85" s="20">
        <v>1</v>
      </c>
      <c r="BK85" s="4"/>
      <c r="BL85" s="4"/>
      <c r="BM85" s="4"/>
      <c r="BN85" s="4"/>
    </row>
    <row r="86" spans="1:66" ht="15" customHeight="1">
      <c r="A86" s="19" t="str">
        <f t="shared" si="6"/>
        <v>АСПС.FB_SHPS_S.FEXX</v>
      </c>
      <c r="B86" s="11">
        <v>101</v>
      </c>
      <c r="C86" s="11" t="s">
        <v>0</v>
      </c>
      <c r="D86" s="20" t="s">
        <v>711</v>
      </c>
      <c r="BK86" s="4"/>
      <c r="BL86" s="4"/>
      <c r="BM86" s="4"/>
      <c r="BN86" s="4"/>
    </row>
    <row r="87" spans="1:66" ht="15" customHeight="1">
      <c r="A87" s="19" t="str">
        <f t="shared" si="6"/>
        <v>АСПС.FB_SHPS_S.FEXX</v>
      </c>
      <c r="B87" s="11">
        <v>3</v>
      </c>
      <c r="C87" s="11" t="s">
        <v>1</v>
      </c>
      <c r="D87" s="20">
        <v>192</v>
      </c>
      <c r="BK87" s="4"/>
      <c r="BL87" s="4"/>
      <c r="BM87" s="4"/>
      <c r="BN87" s="4"/>
    </row>
    <row r="88" spans="1:66" ht="15" customHeight="1">
      <c r="A88" s="19" t="str">
        <f t="shared" si="6"/>
        <v>АСПС.FB_SHPS_S.FEXX</v>
      </c>
      <c r="B88" s="11">
        <v>2</v>
      </c>
      <c r="C88" s="11" t="s">
        <v>2</v>
      </c>
      <c r="D88" s="20" t="s">
        <v>3</v>
      </c>
      <c r="BK88" s="4"/>
      <c r="BL88" s="4"/>
      <c r="BM88" s="4"/>
      <c r="BN88" s="4"/>
    </row>
    <row r="89" spans="1:66" ht="15" customHeight="1">
      <c r="A89" s="21" t="str">
        <f t="shared" si="6"/>
        <v>АСПС.FB_SHPS_S.FEXX</v>
      </c>
      <c r="B89" s="8">
        <v>1</v>
      </c>
      <c r="C89" s="8" t="s">
        <v>1</v>
      </c>
      <c r="D89" s="22">
        <v>11</v>
      </c>
      <c r="BK89" s="4"/>
      <c r="BL89" s="4"/>
      <c r="BM89" s="4"/>
      <c r="BN89" s="4"/>
    </row>
    <row r="90" spans="1:66" ht="15" customHeight="1">
      <c r="A90" s="16" t="str">
        <f t="shared" ref="A90:A101" si="7">$R$2&amp;".XRPX"</f>
        <v>АСПС.FB_SHPS_S.XRPX</v>
      </c>
      <c r="B90" s="17">
        <v>1</v>
      </c>
      <c r="C90" s="17" t="s">
        <v>1</v>
      </c>
      <c r="D90" s="18">
        <v>11</v>
      </c>
      <c r="BK90" s="4"/>
      <c r="BL90" s="4"/>
      <c r="BM90" s="4"/>
      <c r="BN90" s="4"/>
    </row>
    <row r="91" spans="1:66" ht="15" customHeight="1">
      <c r="A91" s="19" t="str">
        <f t="shared" si="7"/>
        <v>АСПС.FB_SHPS_S.XRPX</v>
      </c>
      <c r="B91" s="11">
        <v>2</v>
      </c>
      <c r="C91" s="11" t="s">
        <v>2</v>
      </c>
      <c r="D91" s="20" t="s">
        <v>3</v>
      </c>
      <c r="BK91" s="4"/>
      <c r="BL91" s="4"/>
      <c r="BM91" s="4"/>
      <c r="BN91" s="4"/>
    </row>
    <row r="92" spans="1:66" ht="15" customHeight="1">
      <c r="A92" s="19" t="str">
        <f t="shared" si="7"/>
        <v>АСПС.FB_SHPS_S.XRPX</v>
      </c>
      <c r="B92" s="11">
        <v>3</v>
      </c>
      <c r="C92" s="11" t="s">
        <v>1</v>
      </c>
      <c r="D92" s="20">
        <v>192</v>
      </c>
      <c r="BK92" s="4"/>
      <c r="BL92" s="4"/>
      <c r="BM92" s="4"/>
      <c r="BN92" s="4"/>
    </row>
    <row r="93" spans="1:66" ht="15" customHeight="1">
      <c r="A93" s="19" t="str">
        <f t="shared" si="7"/>
        <v>АСПС.FB_SHPS_S.XRPX</v>
      </c>
      <c r="B93" s="11">
        <v>101</v>
      </c>
      <c r="C93" s="11" t="s">
        <v>0</v>
      </c>
      <c r="D93" s="20" t="s">
        <v>137</v>
      </c>
      <c r="BK93" s="4"/>
      <c r="BL93" s="4"/>
      <c r="BM93" s="4"/>
      <c r="BN93" s="4"/>
    </row>
    <row r="94" spans="1:66" ht="15" customHeight="1">
      <c r="A94" s="19" t="str">
        <f t="shared" si="7"/>
        <v>АСПС.FB_SHPS_S.XRPX</v>
      </c>
      <c r="B94" s="11">
        <v>7998</v>
      </c>
      <c r="C94" s="11" t="s">
        <v>6</v>
      </c>
      <c r="D94" s="20">
        <v>1</v>
      </c>
      <c r="BK94" s="4"/>
      <c r="BL94" s="4"/>
      <c r="BM94" s="4"/>
      <c r="BN94" s="4"/>
    </row>
    <row r="95" spans="1:66" ht="15" customHeight="1">
      <c r="A95" s="19" t="str">
        <f t="shared" si="7"/>
        <v>АСПС.FB_SHPS_S.XRPX</v>
      </c>
      <c r="B95" s="11">
        <v>7999</v>
      </c>
      <c r="C95" s="11" t="s">
        <v>0</v>
      </c>
      <c r="D95" s="20" t="str">
        <f>"#"&amp;$S$2&amp;"#"&amp;$T$2&amp;"\"&amp;$P$2&amp;"\XRPX"</f>
        <v>#2#treiOPCDA.CoOPCserv.1\pcmaster\S_SHPS\XRPX</v>
      </c>
      <c r="BK95" s="4"/>
      <c r="BL95" s="4"/>
      <c r="BM95" s="4"/>
      <c r="BN95" s="4"/>
    </row>
    <row r="96" spans="1:66" ht="15" customHeight="1">
      <c r="A96" s="407" t="str">
        <f t="shared" si="7"/>
        <v>АСПС.FB_SHPS_S.XRPX</v>
      </c>
      <c r="B96" s="408">
        <v>11000</v>
      </c>
      <c r="C96" s="408" t="s">
        <v>5</v>
      </c>
      <c r="D96" s="409">
        <v>2147483680</v>
      </c>
      <c r="BK96" s="4"/>
      <c r="BL96" s="4"/>
      <c r="BM96" s="4"/>
      <c r="BN96" s="4"/>
    </row>
    <row r="97" spans="1:66" ht="15" customHeight="1">
      <c r="A97" s="407" t="str">
        <f t="shared" si="7"/>
        <v>АСПС.FB_SHPS_S.XRPX</v>
      </c>
      <c r="B97" s="408">
        <v>11150</v>
      </c>
      <c r="C97" s="408" t="s">
        <v>0</v>
      </c>
      <c r="D97" s="409" t="str">
        <f>IF($Z$2=5,"Ремонт","Отключение")</f>
        <v>Ремонт</v>
      </c>
      <c r="BK97" s="4"/>
      <c r="BL97" s="4"/>
      <c r="BM97" s="4"/>
      <c r="BN97" s="4"/>
    </row>
    <row r="98" spans="1:66" ht="15" customHeight="1">
      <c r="A98" s="407" t="str">
        <f t="shared" si="7"/>
        <v>АСПС.FB_SHPS_S.XRPX</v>
      </c>
      <c r="B98" s="408">
        <v>11152</v>
      </c>
      <c r="C98" s="408" t="s">
        <v>0</v>
      </c>
      <c r="D98" s="409" t="str">
        <f>IF($Z$2=5,$R$11,$R$18)</f>
        <v>Ремонт</v>
      </c>
      <c r="BK98" s="4"/>
      <c r="BL98" s="4"/>
      <c r="BM98" s="4"/>
      <c r="BN98" s="4"/>
    </row>
    <row r="99" spans="1:66" ht="15" customHeight="1">
      <c r="A99" s="407" t="str">
        <f t="shared" si="7"/>
        <v>АСПС.FB_SHPS_S.XRPX</v>
      </c>
      <c r="B99" s="408">
        <v>11154</v>
      </c>
      <c r="C99" s="408" t="s">
        <v>4</v>
      </c>
      <c r="D99" s="409">
        <f>IF($Z$2=5,$Q$11,$Q$18)</f>
        <v>14</v>
      </c>
      <c r="BK99" s="4"/>
      <c r="BL99" s="4"/>
      <c r="BM99" s="4"/>
      <c r="BN99" s="4"/>
    </row>
    <row r="100" spans="1:66" ht="15" customHeight="1">
      <c r="A100" s="29" t="str">
        <f t="shared" si="7"/>
        <v>АСПС.FB_SHPS_S.XRPX</v>
      </c>
      <c r="B100" s="1">
        <v>4000000</v>
      </c>
      <c r="C100" s="1" t="s">
        <v>0</v>
      </c>
      <c r="D100" s="415" t="s">
        <v>2938</v>
      </c>
      <c r="BK100" s="4"/>
      <c r="BL100" s="4"/>
      <c r="BM100" s="4"/>
      <c r="BN100" s="4"/>
    </row>
    <row r="101" spans="1:66" ht="15" customHeight="1">
      <c r="A101" s="26" t="str">
        <f t="shared" si="7"/>
        <v>АСПС.FB_SHPS_S.XRPX</v>
      </c>
      <c r="B101" s="27">
        <v>7000000</v>
      </c>
      <c r="C101" s="27" t="s">
        <v>6</v>
      </c>
      <c r="D101" s="28">
        <v>2</v>
      </c>
      <c r="BK101" s="4"/>
      <c r="BL101" s="4"/>
      <c r="BM101" s="4"/>
      <c r="BN101" s="4"/>
    </row>
    <row r="102" spans="1:66" ht="15" customHeight="1">
      <c r="A102" s="404" t="str">
        <f t="shared" ref="A102:A111" si="8">$R$2&amp;".CIMX"</f>
        <v>АСПС.FB_SHPS_S.CIMX</v>
      </c>
      <c r="B102" s="405">
        <v>11154</v>
      </c>
      <c r="C102" s="405" t="s">
        <v>4</v>
      </c>
      <c r="D102" s="406">
        <f>$Q$10</f>
        <v>16</v>
      </c>
      <c r="BK102" s="4"/>
      <c r="BL102" s="4"/>
      <c r="BM102" s="4"/>
      <c r="BN102" s="4"/>
    </row>
    <row r="103" spans="1:66" ht="15" customHeight="1">
      <c r="A103" s="114" t="str">
        <f t="shared" si="8"/>
        <v>АСПС.FB_SHPS_S.CIMX</v>
      </c>
      <c r="B103" s="115">
        <v>11150</v>
      </c>
      <c r="C103" s="115" t="s">
        <v>0</v>
      </c>
      <c r="D103" s="117" t="s">
        <v>81</v>
      </c>
      <c r="BK103" s="4"/>
      <c r="BL103" s="4"/>
      <c r="BM103" s="4"/>
      <c r="BN103" s="4"/>
    </row>
    <row r="104" spans="1:66" ht="15" customHeight="1">
      <c r="A104" s="114" t="str">
        <f t="shared" si="8"/>
        <v>АСПС.FB_SHPS_S.CIMX</v>
      </c>
      <c r="B104" s="115">
        <v>11152</v>
      </c>
      <c r="C104" s="115" t="s">
        <v>0</v>
      </c>
      <c r="D104" s="118" t="str">
        <f>$R$10</f>
        <v>Имитация</v>
      </c>
      <c r="BK104" s="4"/>
      <c r="BL104" s="4"/>
      <c r="BM104" s="4"/>
      <c r="BN104" s="4"/>
    </row>
    <row r="105" spans="1:66" ht="15" customHeight="1">
      <c r="A105" s="114" t="str">
        <f t="shared" si="8"/>
        <v>АСПС.FB_SHPS_S.CIMX</v>
      </c>
      <c r="B105" s="115">
        <v>11000</v>
      </c>
      <c r="C105" s="115" t="s">
        <v>5</v>
      </c>
      <c r="D105" s="117">
        <v>2147483680</v>
      </c>
      <c r="BK105" s="4"/>
      <c r="BL105" s="4"/>
      <c r="BM105" s="4"/>
      <c r="BN105" s="4"/>
    </row>
    <row r="106" spans="1:66" ht="15" customHeight="1">
      <c r="A106" s="19" t="str">
        <f t="shared" si="8"/>
        <v>АСПС.FB_SHPS_S.CIMX</v>
      </c>
      <c r="B106" s="11">
        <v>7999</v>
      </c>
      <c r="C106" s="11" t="s">
        <v>0</v>
      </c>
      <c r="D106" s="20" t="str">
        <f>"#"&amp;$S$2&amp;"#"&amp;$T$2&amp;"\"&amp;$P$2&amp;"\CIMX"</f>
        <v>#2#treiOPCDA.CoOPCserv.1\pcmaster\S_SHPS\CIMX</v>
      </c>
      <c r="BK106" s="4"/>
      <c r="BL106" s="4"/>
      <c r="BM106" s="4"/>
      <c r="BN106" s="4"/>
    </row>
    <row r="107" spans="1:66" ht="15" customHeight="1">
      <c r="A107" s="19" t="str">
        <f t="shared" si="8"/>
        <v>АСПС.FB_SHPS_S.CIMX</v>
      </c>
      <c r="B107" s="11">
        <v>7998</v>
      </c>
      <c r="C107" s="11" t="s">
        <v>6</v>
      </c>
      <c r="D107" s="20">
        <v>1</v>
      </c>
      <c r="BK107" s="4"/>
      <c r="BL107" s="4"/>
      <c r="BM107" s="4"/>
      <c r="BN107" s="4"/>
    </row>
    <row r="108" spans="1:66" ht="15" customHeight="1">
      <c r="A108" s="19" t="str">
        <f t="shared" si="8"/>
        <v>АСПС.FB_SHPS_S.CIMX</v>
      </c>
      <c r="B108" s="11">
        <v>101</v>
      </c>
      <c r="C108" s="11" t="s">
        <v>0</v>
      </c>
      <c r="D108" s="20" t="s">
        <v>81</v>
      </c>
      <c r="BK108" s="4"/>
      <c r="BL108" s="4"/>
      <c r="BM108" s="4"/>
      <c r="BN108" s="4"/>
    </row>
    <row r="109" spans="1:66" ht="15" customHeight="1">
      <c r="A109" s="19" t="str">
        <f t="shared" si="8"/>
        <v>АСПС.FB_SHPS_S.CIMX</v>
      </c>
      <c r="B109" s="11">
        <v>3</v>
      </c>
      <c r="C109" s="11" t="s">
        <v>1</v>
      </c>
      <c r="D109" s="20">
        <v>192</v>
      </c>
      <c r="BK109" s="4"/>
      <c r="BL109" s="4"/>
      <c r="BM109" s="4"/>
      <c r="BN109" s="4"/>
    </row>
    <row r="110" spans="1:66" ht="15" customHeight="1">
      <c r="A110" s="19" t="str">
        <f t="shared" si="8"/>
        <v>АСПС.FB_SHPS_S.CIMX</v>
      </c>
      <c r="B110" s="11">
        <v>2</v>
      </c>
      <c r="C110" s="11" t="s">
        <v>2</v>
      </c>
      <c r="D110" s="20" t="s">
        <v>3</v>
      </c>
      <c r="BK110" s="4"/>
      <c r="BL110" s="4"/>
      <c r="BM110" s="4"/>
      <c r="BN110" s="4"/>
    </row>
    <row r="111" spans="1:66" ht="15" customHeight="1">
      <c r="A111" s="21" t="str">
        <f t="shared" si="8"/>
        <v>АСПС.FB_SHPS_S.CIMX</v>
      </c>
      <c r="B111" s="8">
        <v>1</v>
      </c>
      <c r="C111" s="8" t="s">
        <v>1</v>
      </c>
      <c r="D111" s="22">
        <v>11</v>
      </c>
      <c r="BK111" s="4"/>
      <c r="BL111" s="4"/>
      <c r="BM111" s="4"/>
      <c r="BN111" s="4"/>
    </row>
    <row r="112" spans="1:66" ht="15" customHeight="1">
      <c r="A112" s="266" t="str">
        <f>$R$2&amp;".Commands.SIMX"</f>
        <v>АСПС.FB_SHPS_S.Commands.SIMX</v>
      </c>
      <c r="B112" s="267">
        <v>101</v>
      </c>
      <c r="C112" s="267" t="s">
        <v>0</v>
      </c>
      <c r="D112" s="268" t="s">
        <v>185</v>
      </c>
      <c r="BK112" s="4"/>
      <c r="BL112" s="4"/>
      <c r="BM112" s="4"/>
      <c r="BN112" s="4"/>
    </row>
    <row r="113" spans="1:66" ht="15" customHeight="1">
      <c r="A113" s="269" t="str">
        <f>$R$2&amp;".Commands.SIMX"</f>
        <v>АСПС.FB_SHPS_S.Commands.SIMX</v>
      </c>
      <c r="B113" s="270">
        <v>7999</v>
      </c>
      <c r="C113" s="270" t="s">
        <v>0</v>
      </c>
      <c r="D113" s="271" t="str">
        <f>"#"&amp;$T$5&amp;"#"&amp;$T$2&amp;"\"&amp;$P$2&amp;"\SIMX"</f>
        <v>#1#treiOPCDA.CoOPCserv.1\pcmaster\S_SHPS\SIMX</v>
      </c>
      <c r="BK113" s="4"/>
      <c r="BL113" s="4"/>
      <c r="BM113" s="4"/>
      <c r="BN113" s="4"/>
    </row>
    <row r="114" spans="1:66" ht="15" customHeight="1">
      <c r="A114" s="269" t="str">
        <f>$R$2&amp;".Commands.SIMX"</f>
        <v>АСПС.FB_SHPS_S.Commands.SIMX</v>
      </c>
      <c r="B114" s="270">
        <v>7998</v>
      </c>
      <c r="C114" s="270" t="s">
        <v>6</v>
      </c>
      <c r="D114" s="271">
        <v>2</v>
      </c>
      <c r="BK114" s="4"/>
      <c r="BL114" s="4"/>
      <c r="BM114" s="4"/>
      <c r="BN114" s="4"/>
    </row>
    <row r="115" spans="1:66" ht="15" customHeight="1">
      <c r="A115" s="272" t="str">
        <f>$R$2&amp;".Commands.SIMX"</f>
        <v>АСПС.FB_SHPS_S.Commands.SIMX</v>
      </c>
      <c r="B115" s="273">
        <v>1</v>
      </c>
      <c r="C115" s="270" t="s">
        <v>1</v>
      </c>
      <c r="D115" s="271">
        <v>3</v>
      </c>
      <c r="BK115" s="4"/>
      <c r="BL115" s="4"/>
      <c r="BM115" s="4"/>
      <c r="BN115" s="4"/>
    </row>
    <row r="116" spans="1:66" ht="15" customHeight="1">
      <c r="A116" s="16" t="str">
        <f>$R$2&amp;".Commands.CRPX"</f>
        <v>АСПС.FB_SHPS_S.Commands.CRPX</v>
      </c>
      <c r="B116" s="17">
        <v>1</v>
      </c>
      <c r="C116" s="17" t="s">
        <v>1</v>
      </c>
      <c r="D116" s="18">
        <v>11</v>
      </c>
      <c r="BK116" s="4"/>
      <c r="BL116" s="4"/>
      <c r="BM116" s="4"/>
      <c r="BN116" s="4"/>
    </row>
    <row r="117" spans="1:66" ht="15" customHeight="1">
      <c r="A117" s="19" t="str">
        <f>$R$2&amp;".Commands.CRPX"</f>
        <v>АСПС.FB_SHPS_S.Commands.CRPX</v>
      </c>
      <c r="B117" s="11">
        <v>101</v>
      </c>
      <c r="C117" s="11" t="s">
        <v>0</v>
      </c>
      <c r="D117" s="20" t="s">
        <v>113</v>
      </c>
      <c r="BK117" s="4"/>
      <c r="BL117" s="4"/>
      <c r="BM117" s="4"/>
      <c r="BN117" s="4"/>
    </row>
    <row r="118" spans="1:66" ht="15" customHeight="1">
      <c r="A118" s="19" t="str">
        <f>$R$2&amp;".Commands.CRPX"</f>
        <v>АСПС.FB_SHPS_S.Commands.CRPX</v>
      </c>
      <c r="B118" s="11">
        <v>7998</v>
      </c>
      <c r="C118" s="11" t="s">
        <v>6</v>
      </c>
      <c r="D118" s="20">
        <v>2</v>
      </c>
      <c r="BK118" s="4"/>
      <c r="BL118" s="4"/>
      <c r="BM118" s="4"/>
      <c r="BN118" s="4"/>
    </row>
    <row r="119" spans="1:66" ht="15" customHeight="1">
      <c r="A119" s="21" t="str">
        <f>$R$2&amp;".Commands.CRPX"</f>
        <v>АСПС.FB_SHPS_S.Commands.CRPX</v>
      </c>
      <c r="B119" s="8">
        <v>7999</v>
      </c>
      <c r="C119" s="8" t="s">
        <v>0</v>
      </c>
      <c r="D119" s="22" t="str">
        <f>"#"&amp;$T$5&amp;"#"&amp;$T$2&amp;"\"&amp;$P$2&amp;"\CRPX"</f>
        <v>#1#treiOPCDA.CoOPCserv.1\pcmaster\S_SHPS\CRPX</v>
      </c>
      <c r="BK119" s="4"/>
      <c r="BL119" s="4"/>
      <c r="BM119" s="4"/>
      <c r="BN119" s="4"/>
    </row>
    <row r="120" spans="1:66" ht="15" customHeight="1">
      <c r="A120" s="16" t="str">
        <f>$R$2&amp;".Commands.CIMX"</f>
        <v>АСПС.FB_SHPS_S.Commands.CIMX</v>
      </c>
      <c r="B120" s="17">
        <v>101</v>
      </c>
      <c r="C120" s="17" t="s">
        <v>0</v>
      </c>
      <c r="D120" s="18" t="s">
        <v>182</v>
      </c>
      <c r="BK120" s="4"/>
      <c r="BL120" s="4"/>
      <c r="BM120" s="4"/>
      <c r="BN120" s="4"/>
    </row>
    <row r="121" spans="1:66" ht="15" customHeight="1">
      <c r="A121" s="19" t="str">
        <f>$R$2&amp;".Commands.CIMX"</f>
        <v>АСПС.FB_SHPS_S.Commands.CIMX</v>
      </c>
      <c r="B121" s="11">
        <v>7999</v>
      </c>
      <c r="C121" s="11" t="s">
        <v>0</v>
      </c>
      <c r="D121" s="20" t="str">
        <f>"#"&amp;$T$5&amp;"#"&amp;$T$2&amp;"\"&amp;$P$2&amp;"\CIMX"</f>
        <v>#1#treiOPCDA.CoOPCserv.1\pcmaster\S_SHPS\CIMX</v>
      </c>
      <c r="BK121" s="4"/>
      <c r="BL121" s="4"/>
      <c r="BM121" s="4"/>
      <c r="BN121" s="4"/>
    </row>
    <row r="122" spans="1:66" ht="15" customHeight="1">
      <c r="A122" s="19" t="str">
        <f>$R$2&amp;".Commands.CIMX"</f>
        <v>АСПС.FB_SHPS_S.Commands.CIMX</v>
      </c>
      <c r="B122" s="11">
        <v>7998</v>
      </c>
      <c r="C122" s="11" t="s">
        <v>6</v>
      </c>
      <c r="D122" s="20">
        <v>2</v>
      </c>
      <c r="BK122" s="4"/>
      <c r="BL122" s="4"/>
      <c r="BM122" s="4"/>
      <c r="BN122" s="4"/>
    </row>
    <row r="123" spans="1:66" ht="15" customHeight="1">
      <c r="A123" s="21" t="str">
        <f>$R$2&amp;".Commands.CIMX"</f>
        <v>АСПС.FB_SHPS_S.Commands.CIMX</v>
      </c>
      <c r="B123" s="8">
        <v>1</v>
      </c>
      <c r="C123" s="8" t="s">
        <v>1</v>
      </c>
      <c r="D123" s="22">
        <v>11</v>
      </c>
      <c r="BK123" s="4"/>
      <c r="BL123" s="4"/>
      <c r="BM123" s="4"/>
      <c r="BN123" s="4"/>
    </row>
    <row r="124" spans="1:66" ht="15" customHeight="1">
      <c r="A124" s="16" t="str">
        <f>$R$2&amp;".Commands.CRST"</f>
        <v>АСПС.FB_SHPS_S.Commands.CRST</v>
      </c>
      <c r="B124" s="17">
        <v>101</v>
      </c>
      <c r="C124" s="17" t="s">
        <v>0</v>
      </c>
      <c r="D124" s="18" t="s">
        <v>455</v>
      </c>
      <c r="BK124" s="4"/>
      <c r="BL124" s="4"/>
      <c r="BM124" s="4"/>
      <c r="BN124" s="4"/>
    </row>
    <row r="125" spans="1:66" ht="15" customHeight="1">
      <c r="A125" s="19" t="str">
        <f>$R$2&amp;".Commands.CRST"</f>
        <v>АСПС.FB_SHPS_S.Commands.CRST</v>
      </c>
      <c r="B125" s="11">
        <v>7999</v>
      </c>
      <c r="C125" s="11" t="s">
        <v>0</v>
      </c>
      <c r="D125" s="20" t="str">
        <f>"#"&amp;$T$5&amp;"#"&amp;$T$2&amp;"\"&amp;$P$2&amp;"\CRST"</f>
        <v>#1#treiOPCDA.CoOPCserv.1\pcmaster\S_SHPS\CRST</v>
      </c>
      <c r="BK125" s="4"/>
      <c r="BL125" s="4"/>
      <c r="BM125" s="4"/>
      <c r="BN125" s="4"/>
    </row>
    <row r="126" spans="1:66" ht="15" customHeight="1">
      <c r="A126" s="19" t="str">
        <f>$R$2&amp;".Commands.CRST"</f>
        <v>АСПС.FB_SHPS_S.Commands.CRST</v>
      </c>
      <c r="B126" s="11">
        <v>7998</v>
      </c>
      <c r="C126" s="11" t="s">
        <v>6</v>
      </c>
      <c r="D126" s="20">
        <v>2</v>
      </c>
      <c r="BK126" s="4"/>
      <c r="BL126" s="4"/>
      <c r="BM126" s="4"/>
      <c r="BN126" s="4"/>
    </row>
    <row r="127" spans="1:66" ht="15" customHeight="1">
      <c r="A127" s="21" t="str">
        <f>$R$2&amp;".Commands.CRST"</f>
        <v>АСПС.FB_SHPS_S.Commands.CRST</v>
      </c>
      <c r="B127" s="8">
        <v>1</v>
      </c>
      <c r="C127" s="8" t="s">
        <v>1</v>
      </c>
      <c r="D127" s="22">
        <v>11</v>
      </c>
      <c r="BK127" s="4"/>
      <c r="BL127" s="4"/>
      <c r="BM127" s="4"/>
      <c r="BN127" s="4"/>
    </row>
    <row r="128" spans="1:66" ht="15" customHeight="1">
      <c r="A128" s="16" t="str">
        <f t="shared" ref="A128:A133" si="9">$R$2&amp;".CRST"</f>
        <v>АСПС.FB_SHPS_S.CRST</v>
      </c>
      <c r="B128" s="17">
        <v>7999</v>
      </c>
      <c r="C128" s="17" t="s">
        <v>0</v>
      </c>
      <c r="D128" s="18" t="str">
        <f>"#"&amp;$S$2&amp;"#"&amp;$T$2&amp;"\"&amp;$P$2&amp;"\CRST"</f>
        <v>#2#treiOPCDA.CoOPCserv.1\pcmaster\S_SHPS\CRST</v>
      </c>
      <c r="BK128" s="4"/>
      <c r="BL128" s="4"/>
      <c r="BM128" s="4"/>
      <c r="BN128" s="4"/>
    </row>
    <row r="129" spans="1:66" ht="15" customHeight="1">
      <c r="A129" s="19" t="str">
        <f t="shared" si="9"/>
        <v>АСПС.FB_SHPS_S.CRST</v>
      </c>
      <c r="B129" s="11">
        <v>7998</v>
      </c>
      <c r="C129" s="11" t="s">
        <v>6</v>
      </c>
      <c r="D129" s="20">
        <v>1</v>
      </c>
      <c r="BK129" s="4"/>
      <c r="BL129" s="4"/>
      <c r="BM129" s="4"/>
      <c r="BN129" s="4"/>
    </row>
    <row r="130" spans="1:66" ht="15" customHeight="1">
      <c r="A130" s="19" t="str">
        <f t="shared" si="9"/>
        <v>АСПС.FB_SHPS_S.CRST</v>
      </c>
      <c r="B130" s="11">
        <v>101</v>
      </c>
      <c r="C130" s="11" t="s">
        <v>0</v>
      </c>
      <c r="D130" s="20" t="s">
        <v>427</v>
      </c>
      <c r="BK130" s="4"/>
      <c r="BL130" s="4"/>
      <c r="BM130" s="4"/>
      <c r="BN130" s="4"/>
    </row>
    <row r="131" spans="1:66" ht="15" customHeight="1">
      <c r="A131" s="19" t="str">
        <f t="shared" si="9"/>
        <v>АСПС.FB_SHPS_S.CRST</v>
      </c>
      <c r="B131" s="11">
        <v>3</v>
      </c>
      <c r="C131" s="11" t="s">
        <v>1</v>
      </c>
      <c r="D131" s="20">
        <v>192</v>
      </c>
      <c r="BK131" s="4"/>
      <c r="BL131" s="4"/>
      <c r="BM131" s="4"/>
      <c r="BN131" s="4"/>
    </row>
    <row r="132" spans="1:66" ht="15" customHeight="1">
      <c r="A132" s="19" t="str">
        <f t="shared" si="9"/>
        <v>АСПС.FB_SHPS_S.CRST</v>
      </c>
      <c r="B132" s="11">
        <v>2</v>
      </c>
      <c r="C132" s="11" t="s">
        <v>2</v>
      </c>
      <c r="D132" s="20" t="s">
        <v>3</v>
      </c>
      <c r="BK132" s="4"/>
      <c r="BL132" s="4"/>
      <c r="BM132" s="4"/>
      <c r="BN132" s="4"/>
    </row>
    <row r="133" spans="1:66" ht="15" customHeight="1">
      <c r="A133" s="21" t="str">
        <f t="shared" si="9"/>
        <v>АСПС.FB_SHPS_S.CRST</v>
      </c>
      <c r="B133" s="8">
        <v>1</v>
      </c>
      <c r="C133" s="8" t="s">
        <v>1</v>
      </c>
      <c r="D133" s="22">
        <v>11</v>
      </c>
      <c r="BK133" s="4"/>
      <c r="BL133" s="4"/>
      <c r="BM133" s="4"/>
      <c r="BN133" s="4"/>
    </row>
    <row r="134" spans="1:66" ht="15" customHeight="1">
      <c r="A134" s="19" t="str">
        <f t="shared" ref="A134:A139" si="10">$R$2&amp;".FXXX"</f>
        <v>АСПС.FB_SHPS_S.FXXX</v>
      </c>
      <c r="B134" s="11">
        <v>7999</v>
      </c>
      <c r="C134" s="11" t="s">
        <v>0</v>
      </c>
      <c r="D134" s="20" t="str">
        <f>"#"&amp;$S$2&amp;"#"&amp;$T$2&amp;"\"&amp;$P$2&amp;"\FXXX"</f>
        <v>#2#treiOPCDA.CoOPCserv.1\pcmaster\S_SHPS\FXXX</v>
      </c>
      <c r="BK134" s="4"/>
      <c r="BL134" s="4"/>
      <c r="BM134" s="4"/>
      <c r="BN134" s="4"/>
    </row>
    <row r="135" spans="1:66" ht="15" customHeight="1">
      <c r="A135" s="19" t="str">
        <f t="shared" si="10"/>
        <v>АСПС.FB_SHPS_S.FXXX</v>
      </c>
      <c r="B135" s="11">
        <v>7998</v>
      </c>
      <c r="C135" s="11" t="s">
        <v>6</v>
      </c>
      <c r="D135" s="20">
        <v>1</v>
      </c>
      <c r="BK135" s="4"/>
      <c r="BL135" s="4"/>
      <c r="BM135" s="4"/>
      <c r="BN135" s="4"/>
    </row>
    <row r="136" spans="1:66" ht="15" customHeight="1">
      <c r="A136" s="19" t="str">
        <f t="shared" si="10"/>
        <v>АСПС.FB_SHPS_S.FXXX</v>
      </c>
      <c r="B136" s="11">
        <v>101</v>
      </c>
      <c r="C136" s="11" t="s">
        <v>0</v>
      </c>
      <c r="D136" s="20" t="s">
        <v>139</v>
      </c>
      <c r="BK136" s="4"/>
      <c r="BL136" s="4"/>
      <c r="BM136" s="4"/>
      <c r="BN136" s="4"/>
    </row>
    <row r="137" spans="1:66" ht="15" customHeight="1">
      <c r="A137" s="19" t="str">
        <f t="shared" si="10"/>
        <v>АСПС.FB_SHPS_S.FXXX</v>
      </c>
      <c r="B137" s="11">
        <v>3</v>
      </c>
      <c r="C137" s="11" t="s">
        <v>1</v>
      </c>
      <c r="D137" s="20">
        <v>192</v>
      </c>
      <c r="BK137" s="4"/>
      <c r="BL137" s="4"/>
      <c r="BM137" s="4"/>
      <c r="BN137" s="4"/>
    </row>
    <row r="138" spans="1:66" ht="15" customHeight="1">
      <c r="A138" s="19" t="str">
        <f t="shared" si="10"/>
        <v>АСПС.FB_SHPS_S.FXXX</v>
      </c>
      <c r="B138" s="11">
        <v>2</v>
      </c>
      <c r="C138" s="11" t="s">
        <v>2</v>
      </c>
      <c r="D138" s="20" t="s">
        <v>3</v>
      </c>
      <c r="BK138" s="4"/>
      <c r="BL138" s="4"/>
      <c r="BM138" s="4"/>
      <c r="BN138" s="4"/>
    </row>
    <row r="139" spans="1:66" ht="15" customHeight="1">
      <c r="A139" s="21" t="str">
        <f t="shared" si="10"/>
        <v>АСПС.FB_SHPS_S.FXXX</v>
      </c>
      <c r="B139" s="8">
        <v>1</v>
      </c>
      <c r="C139" s="8" t="s">
        <v>1</v>
      </c>
      <c r="D139" s="22">
        <v>11</v>
      </c>
      <c r="BK139" s="4"/>
      <c r="BL139" s="4"/>
      <c r="BM139" s="4"/>
      <c r="BN139" s="4"/>
    </row>
    <row r="140" spans="1:66" ht="15" customHeight="1">
      <c r="A140" s="16" t="str">
        <f t="shared" ref="A140:A145" si="11">$R$2&amp;".XNXX"</f>
        <v>АСПС.FB_SHPS_S.XNXX</v>
      </c>
      <c r="B140" s="17">
        <v>1</v>
      </c>
      <c r="C140" s="17" t="s">
        <v>1</v>
      </c>
      <c r="D140" s="18">
        <v>11</v>
      </c>
      <c r="BK140" s="4"/>
      <c r="BL140" s="4"/>
      <c r="BM140" s="4"/>
      <c r="BN140" s="4"/>
    </row>
    <row r="141" spans="1:66" ht="15" customHeight="1">
      <c r="A141" s="19" t="str">
        <f t="shared" si="11"/>
        <v>АСПС.FB_SHPS_S.XNXX</v>
      </c>
      <c r="B141" s="11">
        <v>2</v>
      </c>
      <c r="C141" s="11" t="s">
        <v>2</v>
      </c>
      <c r="D141" s="20" t="s">
        <v>3</v>
      </c>
      <c r="BK141" s="4"/>
      <c r="BL141" s="4"/>
      <c r="BM141" s="4"/>
      <c r="BN141" s="4"/>
    </row>
    <row r="142" spans="1:66" ht="15" customHeight="1">
      <c r="A142" s="19" t="str">
        <f t="shared" si="11"/>
        <v>АСПС.FB_SHPS_S.XNXX</v>
      </c>
      <c r="B142" s="11">
        <v>3</v>
      </c>
      <c r="C142" s="11" t="s">
        <v>1</v>
      </c>
      <c r="D142" s="20">
        <v>192</v>
      </c>
      <c r="BK142" s="4"/>
      <c r="BL142" s="4"/>
      <c r="BM142" s="4"/>
      <c r="BN142" s="4"/>
    </row>
    <row r="143" spans="1:66" ht="15" customHeight="1">
      <c r="A143" s="19" t="str">
        <f t="shared" si="11"/>
        <v>АСПС.FB_SHPS_S.XNXX</v>
      </c>
      <c r="B143" s="11">
        <v>101</v>
      </c>
      <c r="C143" s="11" t="s">
        <v>0</v>
      </c>
      <c r="D143" s="20" t="s">
        <v>424</v>
      </c>
      <c r="BK143" s="4"/>
      <c r="BL143" s="4"/>
      <c r="BM143" s="4"/>
      <c r="BN143" s="4"/>
    </row>
    <row r="144" spans="1:66">
      <c r="A144" s="19" t="str">
        <f t="shared" si="11"/>
        <v>АСПС.FB_SHPS_S.XNXX</v>
      </c>
      <c r="B144" s="11">
        <v>7998</v>
      </c>
      <c r="C144" s="11" t="s">
        <v>6</v>
      </c>
      <c r="D144" s="20">
        <v>1</v>
      </c>
    </row>
    <row r="145" spans="1:4">
      <c r="A145" s="19" t="str">
        <f t="shared" si="11"/>
        <v>АСПС.FB_SHPS_S.XNXX</v>
      </c>
      <c r="B145" s="11">
        <v>7999</v>
      </c>
      <c r="C145" s="11" t="s">
        <v>0</v>
      </c>
      <c r="D145" s="20" t="str">
        <f>"#"&amp;$S$2&amp;"#"&amp;$T$2&amp;"\"&amp;$P$2&amp;"\XNXX"</f>
        <v>#2#treiOPCDA.CoOPCserv.1\pcmaster\S_SHPS\XNXX</v>
      </c>
    </row>
    <row r="146" spans="1:4">
      <c r="A146" s="266" t="str">
        <f t="shared" ref="A146:A151" si="12">$R$2&amp;".SIMX"</f>
        <v>АСПС.FB_SHPS_S.SIMX</v>
      </c>
      <c r="B146" s="267">
        <v>7999</v>
      </c>
      <c r="C146" s="267" t="s">
        <v>0</v>
      </c>
      <c r="D146" s="268" t="str">
        <f>"#"&amp;$S$2&amp;"#"&amp;$T$2&amp;"\"&amp;$P$2&amp;"\SIMX"</f>
        <v>#2#treiOPCDA.CoOPCserv.1\pcmaster\S_SHPS\SIMX</v>
      </c>
    </row>
    <row r="147" spans="1:4">
      <c r="A147" s="269" t="str">
        <f t="shared" si="12"/>
        <v>АСПС.FB_SHPS_S.SIMX</v>
      </c>
      <c r="B147" s="270">
        <v>7998</v>
      </c>
      <c r="C147" s="270" t="s">
        <v>6</v>
      </c>
      <c r="D147" s="271">
        <v>1</v>
      </c>
    </row>
    <row r="148" spans="1:4">
      <c r="A148" s="269" t="str">
        <f t="shared" si="12"/>
        <v>АСПС.FB_SHPS_S.SIMX</v>
      </c>
      <c r="B148" s="270">
        <v>101</v>
      </c>
      <c r="C148" s="270" t="s">
        <v>0</v>
      </c>
      <c r="D148" s="271" t="s">
        <v>29</v>
      </c>
    </row>
    <row r="149" spans="1:4">
      <c r="A149" s="269" t="str">
        <f t="shared" si="12"/>
        <v>АСПС.FB_SHPS_S.SIMX</v>
      </c>
      <c r="B149" s="270">
        <v>3</v>
      </c>
      <c r="C149" s="270" t="s">
        <v>1</v>
      </c>
      <c r="D149" s="271">
        <v>192</v>
      </c>
    </row>
    <row r="150" spans="1:4">
      <c r="A150" s="269" t="str">
        <f t="shared" si="12"/>
        <v>АСПС.FB_SHPS_S.SIMX</v>
      </c>
      <c r="B150" s="270">
        <v>2</v>
      </c>
      <c r="C150" s="270" t="s">
        <v>6</v>
      </c>
      <c r="D150" s="271">
        <v>0</v>
      </c>
    </row>
    <row r="151" spans="1:4">
      <c r="A151" s="272" t="str">
        <f t="shared" si="12"/>
        <v>АСПС.FB_SHPS_S.SIMX</v>
      </c>
      <c r="B151" s="273">
        <v>1</v>
      </c>
      <c r="C151" s="273" t="s">
        <v>1</v>
      </c>
      <c r="D151" s="271">
        <v>3</v>
      </c>
    </row>
    <row r="152" spans="1:4">
      <c r="A152" s="266" t="str">
        <f t="shared" ref="A152:A157" si="13">$R$2&amp;".IVXX"</f>
        <v>АСПС.FB_SHPS_S.IVXX</v>
      </c>
      <c r="B152" s="267">
        <v>3</v>
      </c>
      <c r="C152" s="267" t="s">
        <v>1</v>
      </c>
      <c r="D152" s="268">
        <v>192</v>
      </c>
    </row>
    <row r="153" spans="1:4">
      <c r="A153" s="269" t="str">
        <f t="shared" si="13"/>
        <v>АСПС.FB_SHPS_S.IVXX</v>
      </c>
      <c r="B153" s="270">
        <v>2</v>
      </c>
      <c r="C153" s="270" t="s">
        <v>6</v>
      </c>
      <c r="D153" s="271">
        <v>0</v>
      </c>
    </row>
    <row r="154" spans="1:4">
      <c r="A154" s="269" t="str">
        <f t="shared" si="13"/>
        <v>АСПС.FB_SHPS_S.IVXX</v>
      </c>
      <c r="B154" s="270">
        <v>1</v>
      </c>
      <c r="C154" s="270" t="s">
        <v>1</v>
      </c>
      <c r="D154" s="271">
        <v>3</v>
      </c>
    </row>
    <row r="155" spans="1:4">
      <c r="A155" s="269" t="str">
        <f t="shared" si="13"/>
        <v>АСПС.FB_SHPS_S.IVXX</v>
      </c>
      <c r="B155" s="270">
        <v>101</v>
      </c>
      <c r="C155" s="270" t="s">
        <v>0</v>
      </c>
      <c r="D155" s="271" t="s">
        <v>42</v>
      </c>
    </row>
    <row r="156" spans="1:4">
      <c r="A156" s="269" t="str">
        <f t="shared" si="13"/>
        <v>АСПС.FB_SHPS_S.IVXX</v>
      </c>
      <c r="B156" s="270">
        <v>7998</v>
      </c>
      <c r="C156" s="270" t="s">
        <v>6</v>
      </c>
      <c r="D156" s="271">
        <v>1</v>
      </c>
    </row>
    <row r="157" spans="1:4">
      <c r="A157" s="272" t="str">
        <f t="shared" si="13"/>
        <v>АСПС.FB_SHPS_S.IVXX</v>
      </c>
      <c r="B157" s="273">
        <v>7999</v>
      </c>
      <c r="C157" s="273" t="s">
        <v>0</v>
      </c>
      <c r="D157" s="274" t="str">
        <f>"#"&amp;$S$2&amp;"#"&amp;$T$2&amp;"\"&amp;$P$2&amp;"\IVXX"</f>
        <v>#2#treiOPCDA.CoOPCserv.1\pcmaster\S_SHPS\IVXX</v>
      </c>
    </row>
    <row r="158" spans="1:4">
      <c r="A158" s="266" t="str">
        <f t="shared" ref="A158:A163" si="14">$R$2&amp;".XVLX"</f>
        <v>АСПС.FB_SHPS_S.XVLX</v>
      </c>
      <c r="B158" s="267">
        <v>3</v>
      </c>
      <c r="C158" s="267" t="s">
        <v>1</v>
      </c>
      <c r="D158" s="268">
        <v>192</v>
      </c>
    </row>
    <row r="159" spans="1:4">
      <c r="A159" s="269" t="str">
        <f t="shared" si="14"/>
        <v>АСПС.FB_SHPS_S.XVLX</v>
      </c>
      <c r="B159" s="270">
        <v>2</v>
      </c>
      <c r="C159" s="270" t="s">
        <v>6</v>
      </c>
      <c r="D159" s="271">
        <v>0</v>
      </c>
    </row>
    <row r="160" spans="1:4">
      <c r="A160" s="269" t="str">
        <f t="shared" si="14"/>
        <v>АСПС.FB_SHPS_S.XVLX</v>
      </c>
      <c r="B160" s="270">
        <v>1</v>
      </c>
      <c r="C160" s="270" t="s">
        <v>1</v>
      </c>
      <c r="D160" s="271">
        <v>3</v>
      </c>
    </row>
    <row r="161" spans="1:4">
      <c r="A161" s="269" t="str">
        <f t="shared" si="14"/>
        <v>АСПС.FB_SHPS_S.XVLX</v>
      </c>
      <c r="B161" s="270">
        <v>101</v>
      </c>
      <c r="C161" s="270" t="s">
        <v>0</v>
      </c>
      <c r="D161" s="271" t="s">
        <v>234</v>
      </c>
    </row>
    <row r="162" spans="1:4">
      <c r="A162" s="269" t="str">
        <f t="shared" si="14"/>
        <v>АСПС.FB_SHPS_S.XVLX</v>
      </c>
      <c r="B162" s="270">
        <v>7998</v>
      </c>
      <c r="C162" s="270" t="s">
        <v>6</v>
      </c>
      <c r="D162" s="271">
        <v>1</v>
      </c>
    </row>
    <row r="163" spans="1:4">
      <c r="A163" s="272" t="str">
        <f t="shared" si="14"/>
        <v>АСПС.FB_SHPS_S.XVLX</v>
      </c>
      <c r="B163" s="273">
        <v>7999</v>
      </c>
      <c r="C163" s="273" t="s">
        <v>0</v>
      </c>
      <c r="D163" s="274" t="str">
        <f>"#"&amp;$S$2&amp;"#"&amp;$T$2&amp;"\"&amp;$P$2&amp;"\XVLX"</f>
        <v>#2#treiOPCDA.CoOPCserv.1\pcmaster\S_SHPS\XVLX</v>
      </c>
    </row>
  </sheetData>
  <autoFilter ref="B1:B163" xr:uid="{00000000-0009-0000-0000-00004E000000}"/>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Лист75">
    <tabColor rgb="FFFFC000"/>
  </sheetPr>
  <dimension ref="A1:BN243"/>
  <sheetViews>
    <sheetView topLeftCell="A77" zoomScale="80" zoomScaleNormal="80" workbookViewId="0">
      <selection activeCell="P2" sqref="P2:BA2"/>
    </sheetView>
  </sheetViews>
  <sheetFormatPr defaultRowHeight="14.4"/>
  <cols>
    <col min="1" max="1" width="37.109375" customWidth="1"/>
    <col min="2" max="2" width="9.5546875" customWidth="1"/>
    <col min="4" max="4" width="63.88671875" customWidth="1"/>
    <col min="5" max="15" width="9.109375"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7.33203125" customWidth="1"/>
    <col min="56" max="56" width="10.33203125" customWidth="1"/>
    <col min="57" max="57" width="10" customWidth="1"/>
    <col min="59" max="59" width="7.109375" customWidth="1"/>
    <col min="60" max="60" width="10.88671875" customWidth="1"/>
    <col min="62" max="62" width="65.109375" customWidth="1"/>
  </cols>
  <sheetData>
    <row r="1" spans="1:66" s="258" customFormat="1" ht="204.6" thickBot="1">
      <c r="A1" s="257"/>
      <c r="B1" s="257"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K1" s="259"/>
      <c r="BL1" s="259"/>
      <c r="BM1" s="259"/>
      <c r="BN1" s="259"/>
    </row>
    <row r="2" spans="1:66" ht="15" customHeight="1">
      <c r="A2" s="9"/>
      <c r="B2" s="9"/>
      <c r="C2" s="9"/>
      <c r="D2" s="9"/>
      <c r="E2" s="9"/>
      <c r="F2" s="9"/>
      <c r="P2" s="2" t="s">
        <v>610</v>
      </c>
      <c r="Q2" s="2" t="s">
        <v>428</v>
      </c>
      <c r="R2" s="2" t="s">
        <v>751</v>
      </c>
      <c r="S2" s="3">
        <v>2</v>
      </c>
      <c r="T2" s="3" t="s">
        <v>1698</v>
      </c>
      <c r="U2" s="3"/>
      <c r="V2" s="3" t="s">
        <v>569</v>
      </c>
      <c r="W2" s="12"/>
      <c r="X2" s="12"/>
      <c r="Y2" s="12"/>
      <c r="Z2" s="12"/>
      <c r="AA2" s="12">
        <v>1</v>
      </c>
      <c r="AB2" s="2" t="s">
        <v>426</v>
      </c>
      <c r="AC2" s="2"/>
      <c r="AD2" s="2"/>
      <c r="AE2" s="2" t="s">
        <v>1414</v>
      </c>
      <c r="AF2" s="2"/>
      <c r="AG2" s="2"/>
      <c r="AH2" s="2"/>
      <c r="AI2" s="2"/>
      <c r="AJ2" s="2"/>
      <c r="AK2" s="2" t="s">
        <v>1300</v>
      </c>
      <c r="AL2" s="2"/>
      <c r="AM2" s="2"/>
      <c r="AN2" s="2"/>
      <c r="AO2" s="2"/>
      <c r="AP2" s="2" t="s">
        <v>1228</v>
      </c>
      <c r="AQ2" s="2"/>
      <c r="AR2" s="2"/>
      <c r="AS2" s="2"/>
      <c r="AT2" s="2"/>
      <c r="AU2" s="2"/>
      <c r="AV2" s="2"/>
      <c r="AW2" s="2"/>
      <c r="AX2" s="2"/>
      <c r="AY2" s="2">
        <v>1</v>
      </c>
      <c r="AZ2" s="2"/>
      <c r="BA2" s="2"/>
      <c r="BK2" s="4"/>
      <c r="BL2" s="4"/>
      <c r="BM2" s="4"/>
      <c r="BN2" s="4"/>
    </row>
    <row r="3" spans="1:66" ht="15" customHeight="1">
      <c r="A3" s="9"/>
      <c r="B3" s="9"/>
      <c r="C3" s="9"/>
      <c r="D3" s="9"/>
      <c r="E3" s="9"/>
      <c r="F3" s="9"/>
      <c r="P3" s="10"/>
      <c r="Q3" s="10"/>
      <c r="R3" s="10"/>
      <c r="S3" s="10"/>
      <c r="T3" s="10"/>
      <c r="U3" s="10"/>
      <c r="V3" s="10"/>
      <c r="W3" s="10"/>
      <c r="X3" s="10"/>
      <c r="Y3" s="10"/>
      <c r="Z3" s="10"/>
      <c r="AA3" s="10"/>
      <c r="BK3" s="4"/>
      <c r="BL3" s="4"/>
      <c r="BM3" s="4"/>
      <c r="BN3" s="4"/>
    </row>
    <row r="4" spans="1:66"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K4" s="4"/>
      <c r="BL4" s="4"/>
      <c r="BM4" s="4"/>
      <c r="BN4" s="4"/>
    </row>
    <row r="5" spans="1:66"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K5" s="4"/>
      <c r="BL5" s="4"/>
      <c r="BM5" s="4"/>
      <c r="BN5" s="4"/>
    </row>
    <row r="6" spans="1:66"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K6" s="4"/>
      <c r="BL6" s="4"/>
      <c r="BM6" s="4"/>
      <c r="BN6" s="4"/>
    </row>
    <row r="7" spans="1:66"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K7" s="4"/>
      <c r="BL7" s="4"/>
      <c r="BM7" s="4"/>
      <c r="BN7" s="4"/>
    </row>
    <row r="8" spans="1:66" ht="15" customHeight="1">
      <c r="A8" s="9"/>
      <c r="B8" s="9"/>
      <c r="C8" s="9"/>
      <c r="D8" s="9"/>
      <c r="E8" s="9"/>
      <c r="F8" s="9"/>
      <c r="P8" s="6" t="str">
        <f>Настройки!A5</f>
        <v>Телесигнализация</v>
      </c>
      <c r="Q8" s="5">
        <f>Настройки!B5</f>
        <v>18</v>
      </c>
      <c r="R8" s="5" t="str">
        <f>Настройки!C5</f>
        <v>Телесигнализация</v>
      </c>
      <c r="S8" s="10"/>
      <c r="T8" s="14"/>
      <c r="U8" s="10"/>
      <c r="V8" s="10"/>
      <c r="W8" s="10"/>
      <c r="X8" s="10"/>
      <c r="Y8" s="10"/>
      <c r="Z8" s="10"/>
      <c r="AA8" s="10"/>
      <c r="BK8" s="4"/>
      <c r="BL8" s="4"/>
      <c r="BM8" s="4"/>
      <c r="BN8" s="4"/>
    </row>
    <row r="9" spans="1:66" ht="15" customHeight="1">
      <c r="A9" s="9"/>
      <c r="B9" s="9"/>
      <c r="C9" s="9"/>
      <c r="D9" s="9"/>
      <c r="E9" s="9"/>
      <c r="F9" s="9"/>
      <c r="P9" s="6" t="str">
        <f>Настройки!A6</f>
        <v>Недостоверность</v>
      </c>
      <c r="Q9" s="5">
        <f>Настройки!B6</f>
        <v>10</v>
      </c>
      <c r="R9" s="5" t="str">
        <f>Настройки!C6</f>
        <v>Недостоверность</v>
      </c>
      <c r="S9" s="10"/>
      <c r="T9" s="14"/>
      <c r="U9" s="10"/>
      <c r="V9" s="10"/>
      <c r="W9" s="10"/>
      <c r="X9" s="10"/>
      <c r="Y9" s="10"/>
      <c r="Z9" s="10"/>
      <c r="AA9" s="10"/>
      <c r="BK9" s="4"/>
      <c r="BL9" s="4"/>
      <c r="BM9" s="4"/>
      <c r="BN9" s="4"/>
    </row>
    <row r="10" spans="1:66" ht="15" customHeight="1">
      <c r="A10" s="9"/>
      <c r="B10" s="9"/>
      <c r="C10" s="9"/>
      <c r="D10" s="9"/>
      <c r="E10" s="9"/>
      <c r="F10" s="9"/>
      <c r="P10" s="6" t="str">
        <f>Настройки!A7</f>
        <v>Имитация</v>
      </c>
      <c r="Q10" s="5">
        <f>Настройки!B7</f>
        <v>16</v>
      </c>
      <c r="R10" s="5" t="str">
        <f>Настройки!C7</f>
        <v>Имитация</v>
      </c>
      <c r="S10" s="10"/>
      <c r="T10" s="14"/>
      <c r="U10" s="10"/>
      <c r="V10" s="10"/>
      <c r="W10" s="10"/>
      <c r="X10" s="10"/>
      <c r="Y10" s="10"/>
      <c r="Z10" s="10"/>
      <c r="AA10" s="10"/>
      <c r="BK10" s="4"/>
      <c r="BL10" s="4"/>
      <c r="BM10" s="4"/>
      <c r="BN10" s="4"/>
    </row>
    <row r="11" spans="1:66" ht="15" customHeight="1">
      <c r="A11" s="9"/>
      <c r="B11" s="9"/>
      <c r="C11" s="9"/>
      <c r="D11" s="9"/>
      <c r="E11" s="9"/>
      <c r="F11" s="9"/>
      <c r="P11" s="6" t="str">
        <f>Настройки!A8</f>
        <v>Ремонт</v>
      </c>
      <c r="Q11" s="5">
        <f>Настройки!B8</f>
        <v>14</v>
      </c>
      <c r="R11" s="5" t="str">
        <f>Настройки!C8</f>
        <v>Ремонт</v>
      </c>
      <c r="S11" s="10"/>
      <c r="T11" s="14"/>
      <c r="U11" s="10"/>
      <c r="V11" s="10"/>
      <c r="W11" s="10"/>
      <c r="X11" s="10"/>
      <c r="Y11" s="10"/>
      <c r="Z11" s="10"/>
      <c r="AA11" s="10"/>
      <c r="BK11" s="4"/>
      <c r="BL11" s="4"/>
      <c r="BM11" s="4"/>
      <c r="BN11" s="4"/>
    </row>
    <row r="12" spans="1:66"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4"/>
      <c r="U12" s="10"/>
      <c r="V12" s="10"/>
      <c r="W12" s="10"/>
      <c r="X12" s="10"/>
      <c r="Y12" s="10"/>
      <c r="Z12" s="10"/>
      <c r="AA12" s="10"/>
      <c r="BK12" s="4"/>
      <c r="BL12" s="4"/>
      <c r="BM12" s="4"/>
      <c r="BN12" s="4"/>
    </row>
    <row r="13" spans="1:66" ht="15" customHeight="1">
      <c r="A13" s="9"/>
      <c r="B13" s="9"/>
      <c r="C13" s="9"/>
      <c r="D13" s="9"/>
      <c r="E13" s="9"/>
      <c r="F13" s="9"/>
      <c r="P13" s="6" t="str">
        <f>Настройки!A10</f>
        <v>Тревога</v>
      </c>
      <c r="Q13" s="5">
        <f>Настройки!B10</f>
        <v>5</v>
      </c>
      <c r="R13" s="5" t="str">
        <f>Настройки!C10</f>
        <v>Тревога</v>
      </c>
      <c r="S13" s="10"/>
      <c r="T13" s="14"/>
      <c r="U13" s="10"/>
      <c r="V13" s="10"/>
      <c r="W13" s="10"/>
      <c r="X13" s="10"/>
      <c r="Y13" s="10"/>
      <c r="Z13" s="10"/>
      <c r="AA13" s="10"/>
      <c r="BK13" s="4"/>
      <c r="BL13" s="4"/>
      <c r="BM13" s="4"/>
      <c r="BN13" s="4"/>
    </row>
    <row r="14" spans="1:66" ht="15" customHeight="1">
      <c r="A14" s="9"/>
      <c r="B14" s="9"/>
      <c r="C14" s="9"/>
      <c r="D14" s="9"/>
      <c r="E14" s="9"/>
      <c r="F14" s="9"/>
      <c r="P14" s="6" t="str">
        <f>Настройки!A11</f>
        <v>Тушение</v>
      </c>
      <c r="Q14" s="5">
        <f>Настройки!B11</f>
        <v>1</v>
      </c>
      <c r="R14" s="5" t="str">
        <f>Настройки!C11</f>
        <v>Тушение</v>
      </c>
      <c r="S14" s="10"/>
      <c r="T14" s="14"/>
      <c r="U14" s="10"/>
      <c r="V14" s="10"/>
      <c r="W14" s="10"/>
      <c r="X14" s="10"/>
      <c r="Y14" s="10"/>
      <c r="Z14" s="10"/>
      <c r="AA14" s="10"/>
      <c r="BK14" s="4"/>
      <c r="BL14" s="4"/>
      <c r="BM14" s="4"/>
      <c r="BN14" s="4"/>
    </row>
    <row r="15" spans="1:66"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K15" s="4"/>
      <c r="BL15" s="4"/>
      <c r="BM15" s="4"/>
      <c r="BN15" s="4"/>
    </row>
    <row r="16" spans="1:66"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K16" s="4"/>
      <c r="BL16" s="4"/>
      <c r="BM16" s="4"/>
      <c r="BN16" s="4"/>
    </row>
    <row r="17" spans="1:66"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K17" s="4"/>
      <c r="BL17" s="4"/>
      <c r="BM17" s="4"/>
      <c r="BN17" s="4"/>
    </row>
    <row r="18" spans="1:66"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K18" s="4"/>
      <c r="BL18" s="4"/>
      <c r="BM18" s="4"/>
      <c r="BN18" s="4"/>
    </row>
    <row r="19" spans="1:66"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K19" s="4"/>
      <c r="BL19" s="4"/>
      <c r="BM19" s="4"/>
      <c r="BN19" s="4"/>
    </row>
    <row r="20" spans="1:66" ht="15" customHeight="1">
      <c r="A20" s="16" t="str">
        <f t="shared" ref="A20:A27" si="0">$R$2</f>
        <v>АСПС.FB_BTF_S</v>
      </c>
      <c r="B20" s="17">
        <v>11001</v>
      </c>
      <c r="C20" s="17" t="s">
        <v>0</v>
      </c>
      <c r="D20" s="18" t="str">
        <f>$Q$2&amp;". "</f>
        <v xml:space="preserve">Шлейф пожарной сигнализации. </v>
      </c>
      <c r="F20" s="4"/>
      <c r="BK20" s="4"/>
      <c r="BL20" s="4"/>
      <c r="BM20" s="4"/>
      <c r="BN20" s="4"/>
    </row>
    <row r="21" spans="1:66" ht="15" customHeight="1">
      <c r="A21" s="19" t="str">
        <f t="shared" si="0"/>
        <v>АСПС.FB_BTF_S</v>
      </c>
      <c r="B21" s="11">
        <v>11156</v>
      </c>
      <c r="C21" s="11" t="s">
        <v>0</v>
      </c>
      <c r="D21" s="20" t="str">
        <f>$V$2</f>
        <v>Тестовый экран</v>
      </c>
      <c r="F21" s="4"/>
      <c r="BK21" s="4"/>
      <c r="BL21" s="4"/>
      <c r="BM21" s="4"/>
      <c r="BN21" s="4"/>
    </row>
    <row r="22" spans="1:66" ht="15" customHeight="1">
      <c r="A22" s="19" t="str">
        <f t="shared" si="0"/>
        <v>АСПС.FB_BTF_S</v>
      </c>
      <c r="B22" s="11">
        <v>1</v>
      </c>
      <c r="C22" s="11" t="s">
        <v>1</v>
      </c>
      <c r="D22" s="20">
        <v>17</v>
      </c>
      <c r="BK22" s="4"/>
      <c r="BL22" s="4"/>
      <c r="BM22" s="4"/>
      <c r="BN22" s="4"/>
    </row>
    <row r="23" spans="1:66" ht="15" customHeight="1">
      <c r="A23" s="16" t="str">
        <f t="shared" si="0"/>
        <v>АСПС.FB_BTF_S</v>
      </c>
      <c r="B23" s="17">
        <v>100</v>
      </c>
      <c r="C23" s="17" t="s">
        <v>0</v>
      </c>
      <c r="D23" s="18" t="b">
        <f>$T$7</f>
        <v>0</v>
      </c>
      <c r="BF23" s="4"/>
      <c r="BG23" s="4"/>
      <c r="BH23" s="4"/>
      <c r="BI23" s="4"/>
    </row>
    <row r="24" spans="1:66" ht="15" customHeight="1">
      <c r="A24" s="19" t="str">
        <f t="shared" si="0"/>
        <v>АСПС.FB_BTF_S</v>
      </c>
      <c r="B24" s="11">
        <v>11120</v>
      </c>
      <c r="C24" s="11" t="s">
        <v>0</v>
      </c>
      <c r="D24" s="20">
        <f>$AA$2</f>
        <v>1</v>
      </c>
      <c r="BK24" s="4"/>
      <c r="BL24" s="4"/>
      <c r="BM24" s="4"/>
      <c r="BN24" s="4"/>
    </row>
    <row r="25" spans="1:66" ht="15" customHeight="1">
      <c r="A25" s="21" t="str">
        <f t="shared" si="0"/>
        <v>АСПС.FB_BTF_S</v>
      </c>
      <c r="B25" s="8">
        <v>11121</v>
      </c>
      <c r="C25" s="8" t="s">
        <v>0</v>
      </c>
      <c r="D25" s="22" t="str">
        <f>$AK$2</f>
        <v>MOPS2+1</v>
      </c>
      <c r="BK25" s="4"/>
      <c r="BL25" s="4"/>
      <c r="BM25" s="4"/>
      <c r="BN25" s="4"/>
    </row>
    <row r="26" spans="1:66" ht="15" customHeight="1">
      <c r="A26" s="16" t="str">
        <f t="shared" si="0"/>
        <v>АСПС.FB_BTF_S</v>
      </c>
      <c r="B26" s="17">
        <v>13</v>
      </c>
      <c r="C26" s="17" t="s">
        <v>2</v>
      </c>
      <c r="D26" s="18" t="s">
        <v>3</v>
      </c>
      <c r="BK26" s="4"/>
      <c r="BL26" s="4"/>
      <c r="BM26" s="4"/>
      <c r="BN26" s="4"/>
    </row>
    <row r="27" spans="1:66" ht="15" customHeight="1">
      <c r="A27" s="21" t="str">
        <f t="shared" si="0"/>
        <v>АСПС.FB_BTF_S</v>
      </c>
      <c r="B27" s="8">
        <v>3000013</v>
      </c>
      <c r="C27" s="8" t="s">
        <v>0</v>
      </c>
      <c r="D27" s="22" t="str">
        <f>$AE$2</f>
        <v>Диагностика.CPU.NOT_LINK.noLink</v>
      </c>
      <c r="BK27" s="4"/>
      <c r="BL27" s="4"/>
      <c r="BM27" s="4"/>
      <c r="BN27" s="4"/>
    </row>
    <row r="28" spans="1:66" ht="15" customHeight="1">
      <c r="A28" s="16" t="str">
        <f>$R$2&amp;".XFRX"</f>
        <v>АСПС.FB_BTF_S.XFRX</v>
      </c>
      <c r="B28" s="17">
        <v>1</v>
      </c>
      <c r="C28" s="17" t="s">
        <v>1</v>
      </c>
      <c r="D28" s="18">
        <v>11</v>
      </c>
      <c r="BK28" s="4"/>
      <c r="BL28" s="4"/>
      <c r="BM28" s="4"/>
      <c r="BN28" s="4"/>
    </row>
    <row r="29" spans="1:66" ht="15" customHeight="1">
      <c r="A29" s="19" t="str">
        <f t="shared" ref="A29:A37" si="1">$R$2&amp;".XFRX"</f>
        <v>АСПС.FB_BTF_S.XFRX</v>
      </c>
      <c r="B29" s="11">
        <v>2</v>
      </c>
      <c r="C29" s="11" t="s">
        <v>2</v>
      </c>
      <c r="D29" s="20" t="s">
        <v>3</v>
      </c>
      <c r="BK29" s="4"/>
      <c r="BL29" s="4"/>
      <c r="BM29" s="4"/>
      <c r="BN29" s="4"/>
    </row>
    <row r="30" spans="1:66" ht="15" customHeight="1">
      <c r="A30" s="19" t="str">
        <f t="shared" si="1"/>
        <v>АСПС.FB_BTF_S.XFRX</v>
      </c>
      <c r="B30" s="11">
        <v>3</v>
      </c>
      <c r="C30" s="11" t="s">
        <v>1</v>
      </c>
      <c r="D30" s="20">
        <v>192</v>
      </c>
      <c r="BK30" s="4"/>
      <c r="BL30" s="4"/>
      <c r="BM30" s="4"/>
      <c r="BN30" s="4"/>
    </row>
    <row r="31" spans="1:66" ht="15" customHeight="1">
      <c r="A31" s="19" t="str">
        <f t="shared" si="1"/>
        <v>АСПС.FB_BTF_S.XFRX</v>
      </c>
      <c r="B31" s="11">
        <v>101</v>
      </c>
      <c r="C31" s="11" t="s">
        <v>0</v>
      </c>
      <c r="D31" s="20" t="s">
        <v>426</v>
      </c>
      <c r="BK31" s="4"/>
      <c r="BL31" s="4"/>
      <c r="BM31" s="4"/>
      <c r="BN31" s="4"/>
    </row>
    <row r="32" spans="1:66" ht="15" customHeight="1">
      <c r="A32" s="19" t="str">
        <f t="shared" si="1"/>
        <v>АСПС.FB_BTF_S.XFRX</v>
      </c>
      <c r="B32" s="11">
        <v>7998</v>
      </c>
      <c r="C32" s="11" t="s">
        <v>6</v>
      </c>
      <c r="D32" s="20">
        <v>1</v>
      </c>
      <c r="BK32" s="4"/>
      <c r="BL32" s="4"/>
      <c r="BM32" s="4"/>
      <c r="BN32" s="4"/>
    </row>
    <row r="33" spans="1:66" ht="15" customHeight="1">
      <c r="A33" s="19" t="str">
        <f t="shared" si="1"/>
        <v>АСПС.FB_BTF_S.XFRX</v>
      </c>
      <c r="B33" s="11">
        <v>7999</v>
      </c>
      <c r="C33" s="11" t="s">
        <v>0</v>
      </c>
      <c r="D33" s="20" t="str">
        <f>"#"&amp;$S$2&amp;"#"&amp;$T$2&amp;"\"&amp;$P$2&amp;"\XFRX"</f>
        <v>#2#treiOPCDA.CoOPCserv.1\pcmaster\FB_BTF_S\XFRX</v>
      </c>
      <c r="BK33" s="4"/>
      <c r="BL33" s="4"/>
      <c r="BM33" s="4"/>
      <c r="BN33" s="4"/>
    </row>
    <row r="34" spans="1:66" ht="15" customHeight="1">
      <c r="A34" s="119" t="str">
        <f t="shared" si="1"/>
        <v>АСПС.FB_BTF_S.XFRX</v>
      </c>
      <c r="B34" s="121">
        <v>11000</v>
      </c>
      <c r="C34" s="121" t="s">
        <v>5</v>
      </c>
      <c r="D34" s="122">
        <v>2147483680</v>
      </c>
      <c r="BK34" s="4"/>
      <c r="BL34" s="4"/>
      <c r="BM34" s="4"/>
      <c r="BN34" s="4"/>
    </row>
    <row r="35" spans="1:66" ht="15" customHeight="1">
      <c r="A35" s="119" t="str">
        <f t="shared" si="1"/>
        <v>АСПС.FB_BTF_S.XFRX</v>
      </c>
      <c r="B35" s="121">
        <v>11150</v>
      </c>
      <c r="C35" s="121" t="s">
        <v>0</v>
      </c>
      <c r="D35" s="122" t="str">
        <f>IF($AY$2=2,"Пожар", "Сработка")</f>
        <v>Сработка</v>
      </c>
      <c r="BK35" s="4"/>
      <c r="BL35" s="4"/>
      <c r="BM35" s="4"/>
      <c r="BN35" s="4"/>
    </row>
    <row r="36" spans="1:66" ht="15" customHeight="1">
      <c r="A36" s="119" t="str">
        <f t="shared" si="1"/>
        <v>АСПС.FB_BTF_S.XFRX</v>
      </c>
      <c r="B36" s="121">
        <v>11152</v>
      </c>
      <c r="C36" s="121" t="s">
        <v>0</v>
      </c>
      <c r="D36" s="122" t="str">
        <f>IF($AB$2=$P$5,$R$5,IF($AB$2=$P$6,$R$6,IF($AB$2=$P$7,$R$7,IF($AB$2=$P$8,$R$8,IF($AB$2=$P$9,$R$9,IF($AB$2=$P$10,$R$10,IF($AB$2=$P$11,$R$11,IF($AB$2=$P$12,$R$12,IF($AB$2=$P$13,$R$13,IF($AB$2=$P$14,$R$14,IF($AB$2=$P$15,$R$15,IF($AB$2=$P$16,$R$16,IF($AB$2=$P$17,$R$17,IF($AB$2=$P$18,$R$18,IF($AB$2=$P$19,$R$19,0)))))))))))))))</f>
        <v>Пожар</v>
      </c>
      <c r="BK36" s="4"/>
      <c r="BL36" s="4"/>
      <c r="BM36" s="4"/>
      <c r="BN36" s="4"/>
    </row>
    <row r="37" spans="1:66" ht="15" customHeight="1">
      <c r="A37" s="173" t="str">
        <f t="shared" si="1"/>
        <v>АСПС.FB_BTF_S.XFRX</v>
      </c>
      <c r="B37" s="174">
        <v>11154</v>
      </c>
      <c r="C37" s="174" t="s">
        <v>4</v>
      </c>
      <c r="D37" s="175">
        <f>IF($AB$2=$P$5,$Q$5,IF($AB$2=$P$6,$Q$6,IF($AB$2=$P$7,$Q$7,IF($AB$2=$P$8,$Q$8,IF($AB$2=$P$9,$Q$9,IF($AB$2=$P$10,$Q$10,IF($AB$2=$P$11,$Q$11,IF($AB$2=$P$12,$Q$12,IF($AB$2=$P$13,$Q$13,IF($AB$2=$P$14,$Q$14,IF($AB$2=$P$15,$Q$15,IF($AB$2=$P$16,$Q$16,IF($AB$2=$P$17,$Q$17,IF($AB$2=$P$18,$Q$18,IF($AB$2=$P$19,$Q$19,0)))))))))))))))</f>
        <v>2</v>
      </c>
      <c r="BK37" s="4"/>
      <c r="BL37" s="4"/>
      <c r="BM37" s="4"/>
      <c r="BN37" s="4"/>
    </row>
    <row r="38" spans="1:66" ht="15" customHeight="1">
      <c r="A38" s="16" t="str">
        <f>$R$2&amp;".XWRX"</f>
        <v>АСПС.FB_BTF_S.XWRX</v>
      </c>
      <c r="B38" s="17">
        <v>1</v>
      </c>
      <c r="C38" s="17" t="s">
        <v>1</v>
      </c>
      <c r="D38" s="18">
        <v>11</v>
      </c>
      <c r="BK38" s="4"/>
      <c r="BL38" s="4"/>
      <c r="BM38" s="4"/>
      <c r="BN38" s="4"/>
    </row>
    <row r="39" spans="1:66" ht="15" customHeight="1">
      <c r="A39" s="19" t="str">
        <f t="shared" ref="A39:A47" si="2">$R$2&amp;".XWRX"</f>
        <v>АСПС.FB_BTF_S.XWRX</v>
      </c>
      <c r="B39" s="11">
        <v>2</v>
      </c>
      <c r="C39" s="11" t="s">
        <v>2</v>
      </c>
      <c r="D39" s="20" t="s">
        <v>3</v>
      </c>
      <c r="BK39" s="4"/>
      <c r="BL39" s="4"/>
      <c r="BM39" s="4"/>
      <c r="BN39" s="4"/>
    </row>
    <row r="40" spans="1:66" ht="15" customHeight="1">
      <c r="A40" s="19" t="str">
        <f t="shared" si="2"/>
        <v>АСПС.FB_BTF_S.XWRX</v>
      </c>
      <c r="B40" s="11">
        <v>3</v>
      </c>
      <c r="C40" s="11" t="s">
        <v>1</v>
      </c>
      <c r="D40" s="20">
        <v>192</v>
      </c>
      <c r="BK40" s="4"/>
      <c r="BL40" s="4"/>
      <c r="BM40" s="4"/>
      <c r="BN40" s="4"/>
    </row>
    <row r="41" spans="1:66" ht="15" customHeight="1">
      <c r="A41" s="19" t="str">
        <f t="shared" si="2"/>
        <v>АСПС.FB_BTF_S.XWRX</v>
      </c>
      <c r="B41" s="11">
        <v>101</v>
      </c>
      <c r="C41" s="11" t="s">
        <v>0</v>
      </c>
      <c r="D41" s="20" t="s">
        <v>425</v>
      </c>
      <c r="BK41" s="4"/>
      <c r="BL41" s="4"/>
      <c r="BM41" s="4"/>
      <c r="BN41" s="4"/>
    </row>
    <row r="42" spans="1:66" ht="15" customHeight="1">
      <c r="A42" s="19" t="str">
        <f t="shared" si="2"/>
        <v>АСПС.FB_BTF_S.XWRX</v>
      </c>
      <c r="B42" s="11">
        <v>7998</v>
      </c>
      <c r="C42" s="11" t="s">
        <v>6</v>
      </c>
      <c r="D42" s="20">
        <v>1</v>
      </c>
      <c r="BK42" s="4"/>
      <c r="BL42" s="4"/>
      <c r="BM42" s="4"/>
      <c r="BN42" s="4"/>
    </row>
    <row r="43" spans="1:66" ht="15" customHeight="1">
      <c r="A43" s="19" t="str">
        <f t="shared" si="2"/>
        <v>АСПС.FB_BTF_S.XWRX</v>
      </c>
      <c r="B43" s="11">
        <v>7999</v>
      </c>
      <c r="C43" s="11" t="s">
        <v>0</v>
      </c>
      <c r="D43" s="20" t="str">
        <f>"#"&amp;$S$2&amp;"#"&amp;$T$2&amp;"\"&amp;$P$2&amp;"\XWRX"</f>
        <v>#2#treiOPCDA.CoOPCserv.1\pcmaster\FB_BTF_S\XWRX</v>
      </c>
      <c r="BK43" s="4"/>
      <c r="BL43" s="4"/>
      <c r="BM43" s="4"/>
      <c r="BN43" s="4"/>
    </row>
    <row r="44" spans="1:66" ht="15" customHeight="1">
      <c r="A44" s="203" t="str">
        <f t="shared" si="2"/>
        <v>АСПС.FB_BTF_S.XWRX</v>
      </c>
      <c r="B44" s="204">
        <v>11000</v>
      </c>
      <c r="C44" s="204" t="s">
        <v>5</v>
      </c>
      <c r="D44" s="205">
        <v>2147483680</v>
      </c>
      <c r="BK44" s="4"/>
      <c r="BL44" s="4"/>
      <c r="BM44" s="4"/>
      <c r="BN44" s="4"/>
    </row>
    <row r="45" spans="1:66" ht="15" customHeight="1">
      <c r="A45" s="203" t="str">
        <f t="shared" si="2"/>
        <v>АСПС.FB_BTF_S.XWRX</v>
      </c>
      <c r="B45" s="204">
        <v>11150</v>
      </c>
      <c r="C45" s="204" t="s">
        <v>0</v>
      </c>
      <c r="D45" s="205" t="s">
        <v>425</v>
      </c>
      <c r="BK45" s="4"/>
      <c r="BL45" s="4"/>
      <c r="BM45" s="4"/>
      <c r="BN45" s="4"/>
    </row>
    <row r="46" spans="1:66" ht="15" customHeight="1">
      <c r="A46" s="203" t="str">
        <f t="shared" si="2"/>
        <v>АСПС.FB_BTF_S.XWRX</v>
      </c>
      <c r="B46" s="204">
        <v>11152</v>
      </c>
      <c r="C46" s="204" t="s">
        <v>0</v>
      </c>
      <c r="D46" s="205" t="str">
        <f>$R$13</f>
        <v>Тревога</v>
      </c>
      <c r="BK46" s="4"/>
      <c r="BL46" s="4"/>
      <c r="BM46" s="4"/>
      <c r="BN46" s="4"/>
    </row>
    <row r="47" spans="1:66" ht="15" customHeight="1">
      <c r="A47" s="208" t="str">
        <f t="shared" si="2"/>
        <v>АСПС.FB_BTF_S.XWRX</v>
      </c>
      <c r="B47" s="209">
        <v>11154</v>
      </c>
      <c r="C47" s="209" t="s">
        <v>4</v>
      </c>
      <c r="D47" s="210">
        <f>$Q$13</f>
        <v>5</v>
      </c>
      <c r="BK47" s="4"/>
      <c r="BL47" s="4"/>
      <c r="BM47" s="4"/>
      <c r="BN47" s="4"/>
    </row>
    <row r="48" spans="1:66" ht="15" customHeight="1">
      <c r="A48" s="16" t="str">
        <f>$R$2&amp;".FSCX"</f>
        <v>АСПС.FB_BTF_S.FSCX</v>
      </c>
      <c r="B48" s="17">
        <v>1</v>
      </c>
      <c r="C48" s="17" t="s">
        <v>1</v>
      </c>
      <c r="D48" s="18">
        <v>11</v>
      </c>
      <c r="BK48" s="4"/>
      <c r="BL48" s="4"/>
      <c r="BM48" s="4"/>
      <c r="BN48" s="4"/>
    </row>
    <row r="49" spans="1:66" ht="15" customHeight="1">
      <c r="A49" s="19" t="str">
        <f t="shared" ref="A49:A57" si="3">$R$2&amp;".FSCX"</f>
        <v>АСПС.FB_BTF_S.FSCX</v>
      </c>
      <c r="B49" s="11">
        <v>2</v>
      </c>
      <c r="C49" s="11" t="s">
        <v>2</v>
      </c>
      <c r="D49" s="20" t="s">
        <v>3</v>
      </c>
      <c r="BK49" s="4"/>
      <c r="BL49" s="4"/>
      <c r="BM49" s="4"/>
      <c r="BN49" s="4"/>
    </row>
    <row r="50" spans="1:66" ht="15" customHeight="1">
      <c r="A50" s="19" t="str">
        <f t="shared" si="3"/>
        <v>АСПС.FB_BTF_S.FSCX</v>
      </c>
      <c r="B50" s="11">
        <v>3</v>
      </c>
      <c r="C50" s="11" t="s">
        <v>1</v>
      </c>
      <c r="D50" s="20">
        <v>192</v>
      </c>
      <c r="BK50" s="4"/>
      <c r="BL50" s="4"/>
      <c r="BM50" s="4"/>
      <c r="BN50" s="4"/>
    </row>
    <row r="51" spans="1:66" ht="15" customHeight="1">
      <c r="A51" s="19" t="str">
        <f t="shared" si="3"/>
        <v>АСПС.FB_BTF_S.FSCX</v>
      </c>
      <c r="B51" s="11">
        <v>101</v>
      </c>
      <c r="C51" s="11" t="s">
        <v>0</v>
      </c>
      <c r="D51" s="20" t="s">
        <v>37</v>
      </c>
      <c r="BK51" s="4"/>
      <c r="BL51" s="4"/>
      <c r="BM51" s="4"/>
      <c r="BN51" s="4"/>
    </row>
    <row r="52" spans="1:66" ht="15" customHeight="1">
      <c r="A52" s="19" t="str">
        <f t="shared" si="3"/>
        <v>АСПС.FB_BTF_S.FSCX</v>
      </c>
      <c r="B52" s="11">
        <v>7998</v>
      </c>
      <c r="C52" s="11" t="s">
        <v>6</v>
      </c>
      <c r="D52" s="20">
        <v>1</v>
      </c>
      <c r="BK52" s="4"/>
      <c r="BL52" s="4"/>
      <c r="BM52" s="4"/>
      <c r="BN52" s="4"/>
    </row>
    <row r="53" spans="1:66" ht="15" customHeight="1">
      <c r="A53" s="19" t="str">
        <f t="shared" si="3"/>
        <v>АСПС.FB_BTF_S.FSCX</v>
      </c>
      <c r="B53" s="11">
        <v>7999</v>
      </c>
      <c r="C53" s="11" t="s">
        <v>0</v>
      </c>
      <c r="D53" s="20" t="str">
        <f>"#"&amp;$S$2&amp;"#"&amp;$T$2&amp;"\"&amp;$P$2&amp;"\FSCX"</f>
        <v>#2#treiOPCDA.CoOPCserv.1\pcmaster\FB_BTF_S\FSCX</v>
      </c>
      <c r="BK53" s="4"/>
      <c r="BL53" s="4"/>
      <c r="BM53" s="4"/>
      <c r="BN53" s="4"/>
    </row>
    <row r="54" spans="1:66" ht="15" customHeight="1">
      <c r="A54" s="211" t="str">
        <f t="shared" si="3"/>
        <v>АСПС.FB_BTF_S.FSCX</v>
      </c>
      <c r="B54" s="212">
        <v>11000</v>
      </c>
      <c r="C54" s="212" t="s">
        <v>5</v>
      </c>
      <c r="D54" s="213">
        <v>2147483680</v>
      </c>
      <c r="BK54" s="4"/>
      <c r="BL54" s="4"/>
      <c r="BM54" s="4"/>
      <c r="BN54" s="4"/>
    </row>
    <row r="55" spans="1:66" ht="15" customHeight="1">
      <c r="A55" s="211" t="str">
        <f t="shared" si="3"/>
        <v>АСПС.FB_BTF_S.FSCX</v>
      </c>
      <c r="B55" s="212">
        <v>11150</v>
      </c>
      <c r="C55" s="212" t="s">
        <v>0</v>
      </c>
      <c r="D55" s="213" t="s">
        <v>37</v>
      </c>
      <c r="BK55" s="4"/>
      <c r="BL55" s="4"/>
      <c r="BM55" s="4"/>
      <c r="BN55" s="4"/>
    </row>
    <row r="56" spans="1:66" ht="15" customHeight="1">
      <c r="A56" s="211" t="str">
        <f t="shared" si="3"/>
        <v>АСПС.FB_BTF_S.FSCX</v>
      </c>
      <c r="B56" s="212">
        <v>11152</v>
      </c>
      <c r="C56" s="212" t="s">
        <v>0</v>
      </c>
      <c r="D56" s="213" t="str">
        <f>$R$7</f>
        <v>Неисправность</v>
      </c>
      <c r="BK56" s="4"/>
      <c r="BL56" s="4"/>
      <c r="BM56" s="4"/>
      <c r="BN56" s="4"/>
    </row>
    <row r="57" spans="1:66" ht="15" customHeight="1">
      <c r="A57" s="214" t="str">
        <f t="shared" si="3"/>
        <v>АСПС.FB_BTF_S.FSCX</v>
      </c>
      <c r="B57" s="215">
        <v>11154</v>
      </c>
      <c r="C57" s="215" t="s">
        <v>4</v>
      </c>
      <c r="D57" s="216">
        <f>$Q$7</f>
        <v>12</v>
      </c>
      <c r="BK57" s="4"/>
      <c r="BL57" s="4"/>
      <c r="BM57" s="4"/>
      <c r="BN57" s="4"/>
    </row>
    <row r="58" spans="1:66" ht="15" customHeight="1">
      <c r="A58" s="16" t="str">
        <f>$R$2&amp;".FBXX"</f>
        <v>АСПС.FB_BTF_S.FBXX</v>
      </c>
      <c r="B58" s="17">
        <v>1</v>
      </c>
      <c r="C58" s="17" t="s">
        <v>1</v>
      </c>
      <c r="D58" s="18">
        <v>11</v>
      </c>
      <c r="BK58" s="4"/>
      <c r="BL58" s="4"/>
      <c r="BM58" s="4"/>
      <c r="BN58" s="4"/>
    </row>
    <row r="59" spans="1:66" ht="15" customHeight="1">
      <c r="A59" s="19" t="str">
        <f t="shared" ref="A59:A67" si="4">$R$2&amp;".FBXX"</f>
        <v>АСПС.FB_BTF_S.FBXX</v>
      </c>
      <c r="B59" s="11">
        <v>2</v>
      </c>
      <c r="C59" s="11" t="s">
        <v>2</v>
      </c>
      <c r="D59" s="20" t="s">
        <v>3</v>
      </c>
      <c r="BK59" s="4"/>
      <c r="BL59" s="4"/>
      <c r="BM59" s="4"/>
      <c r="BN59" s="4"/>
    </row>
    <row r="60" spans="1:66" ht="15" customHeight="1">
      <c r="A60" s="19" t="str">
        <f t="shared" si="4"/>
        <v>АСПС.FB_BTF_S.FBXX</v>
      </c>
      <c r="B60" s="11">
        <v>3</v>
      </c>
      <c r="C60" s="11" t="s">
        <v>1</v>
      </c>
      <c r="D60" s="20">
        <v>192</v>
      </c>
      <c r="BK60" s="4"/>
      <c r="BL60" s="4"/>
      <c r="BM60" s="4"/>
      <c r="BN60" s="4"/>
    </row>
    <row r="61" spans="1:66" ht="15" customHeight="1">
      <c r="A61" s="19" t="str">
        <f t="shared" si="4"/>
        <v>АСПС.FB_BTF_S.FBXX</v>
      </c>
      <c r="B61" s="11">
        <v>101</v>
      </c>
      <c r="C61" s="11" t="s">
        <v>0</v>
      </c>
      <c r="D61" s="20" t="s">
        <v>36</v>
      </c>
      <c r="BK61" s="4"/>
      <c r="BL61" s="4"/>
      <c r="BM61" s="4"/>
      <c r="BN61" s="4"/>
    </row>
    <row r="62" spans="1:66" ht="15" customHeight="1">
      <c r="A62" s="19" t="str">
        <f t="shared" si="4"/>
        <v>АСПС.FB_BTF_S.FBXX</v>
      </c>
      <c r="B62" s="11">
        <v>7998</v>
      </c>
      <c r="C62" s="11" t="s">
        <v>6</v>
      </c>
      <c r="D62" s="20">
        <v>1</v>
      </c>
      <c r="BK62" s="4"/>
      <c r="BL62" s="4"/>
      <c r="BM62" s="4"/>
      <c r="BN62" s="4"/>
    </row>
    <row r="63" spans="1:66" ht="15" customHeight="1">
      <c r="A63" s="19" t="str">
        <f t="shared" si="4"/>
        <v>АСПС.FB_BTF_S.FBXX</v>
      </c>
      <c r="B63" s="11">
        <v>7999</v>
      </c>
      <c r="C63" s="11" t="s">
        <v>0</v>
      </c>
      <c r="D63" s="20" t="str">
        <f>"#"&amp;$S$2&amp;"#"&amp;$T$2&amp;"\"&amp;$P$2&amp;"\FBXX"</f>
        <v>#2#treiOPCDA.CoOPCserv.1\pcmaster\FB_BTF_S\FBXX</v>
      </c>
      <c r="BK63" s="4"/>
      <c r="BL63" s="4"/>
      <c r="BM63" s="4"/>
      <c r="BN63" s="4"/>
    </row>
    <row r="64" spans="1:66" ht="15" customHeight="1">
      <c r="A64" s="211" t="str">
        <f t="shared" si="4"/>
        <v>АСПС.FB_BTF_S.FBXX</v>
      </c>
      <c r="B64" s="212">
        <v>11000</v>
      </c>
      <c r="C64" s="212" t="s">
        <v>5</v>
      </c>
      <c r="D64" s="213">
        <v>2147483680</v>
      </c>
      <c r="BK64" s="4"/>
      <c r="BL64" s="4"/>
      <c r="BM64" s="4"/>
      <c r="BN64" s="4"/>
    </row>
    <row r="65" spans="1:66" ht="15" customHeight="1">
      <c r="A65" s="211" t="str">
        <f t="shared" si="4"/>
        <v>АСПС.FB_BTF_S.FBXX</v>
      </c>
      <c r="B65" s="212">
        <v>11150</v>
      </c>
      <c r="C65" s="212" t="s">
        <v>0</v>
      </c>
      <c r="D65" s="213" t="s">
        <v>36</v>
      </c>
      <c r="BK65" s="4"/>
      <c r="BL65" s="4"/>
      <c r="BM65" s="4"/>
      <c r="BN65" s="4"/>
    </row>
    <row r="66" spans="1:66" ht="15" customHeight="1">
      <c r="A66" s="211" t="str">
        <f t="shared" si="4"/>
        <v>АСПС.FB_BTF_S.FBXX</v>
      </c>
      <c r="B66" s="212">
        <v>11152</v>
      </c>
      <c r="C66" s="212" t="s">
        <v>0</v>
      </c>
      <c r="D66" s="213" t="str">
        <f>$R$7</f>
        <v>Неисправность</v>
      </c>
      <c r="BK66" s="4"/>
      <c r="BL66" s="4"/>
      <c r="BM66" s="4"/>
      <c r="BN66" s="4"/>
    </row>
    <row r="67" spans="1:66" ht="15" customHeight="1">
      <c r="A67" s="214" t="str">
        <f t="shared" si="4"/>
        <v>АСПС.FB_BTF_S.FBXX</v>
      </c>
      <c r="B67" s="215">
        <v>11154</v>
      </c>
      <c r="C67" s="215" t="s">
        <v>4</v>
      </c>
      <c r="D67" s="216">
        <f>$Q$7</f>
        <v>12</v>
      </c>
      <c r="BK67" s="4"/>
      <c r="BL67" s="4"/>
      <c r="BM67" s="4"/>
      <c r="BN67" s="4"/>
    </row>
    <row r="68" spans="1:66" ht="15" customHeight="1">
      <c r="A68" s="16" t="str">
        <f>$R$2&amp;".FCOX"</f>
        <v>АСПС.FB_BTF_S.FCOX</v>
      </c>
      <c r="B68" s="17">
        <v>1</v>
      </c>
      <c r="C68" s="17" t="s">
        <v>1</v>
      </c>
      <c r="D68" s="18">
        <v>11</v>
      </c>
      <c r="BK68" s="4"/>
      <c r="BL68" s="4"/>
      <c r="BM68" s="4"/>
      <c r="BN68" s="4"/>
    </row>
    <row r="69" spans="1:66" ht="15" customHeight="1">
      <c r="A69" s="19" t="str">
        <f t="shared" ref="A69:A77" si="5">$R$2&amp;".FCOX"</f>
        <v>АСПС.FB_BTF_S.FCOX</v>
      </c>
      <c r="B69" s="11">
        <v>2</v>
      </c>
      <c r="C69" s="11" t="s">
        <v>2</v>
      </c>
      <c r="D69" s="20" t="s">
        <v>3</v>
      </c>
      <c r="BK69" s="4"/>
      <c r="BL69" s="4"/>
      <c r="BM69" s="4"/>
      <c r="BN69" s="4"/>
    </row>
    <row r="70" spans="1:66" ht="15" customHeight="1">
      <c r="A70" s="19" t="str">
        <f t="shared" si="5"/>
        <v>АСПС.FB_BTF_S.FCOX</v>
      </c>
      <c r="B70" s="11">
        <v>3</v>
      </c>
      <c r="C70" s="11" t="s">
        <v>1</v>
      </c>
      <c r="D70" s="20">
        <v>192</v>
      </c>
      <c r="BK70" s="4"/>
      <c r="BL70" s="4"/>
      <c r="BM70" s="4"/>
      <c r="BN70" s="4"/>
    </row>
    <row r="71" spans="1:66" ht="15" customHeight="1">
      <c r="A71" s="19" t="str">
        <f t="shared" si="5"/>
        <v>АСПС.FB_BTF_S.FCOX</v>
      </c>
      <c r="B71" s="11">
        <v>101</v>
      </c>
      <c r="C71" s="11" t="s">
        <v>0</v>
      </c>
      <c r="D71" s="20" t="s">
        <v>456</v>
      </c>
      <c r="BK71" s="4"/>
      <c r="BL71" s="4"/>
      <c r="BM71" s="4"/>
      <c r="BN71" s="4"/>
    </row>
    <row r="72" spans="1:66" ht="15" customHeight="1">
      <c r="A72" s="19" t="str">
        <f t="shared" si="5"/>
        <v>АСПС.FB_BTF_S.FCOX</v>
      </c>
      <c r="B72" s="11">
        <v>7998</v>
      </c>
      <c r="C72" s="11" t="s">
        <v>6</v>
      </c>
      <c r="D72" s="20">
        <v>1</v>
      </c>
      <c r="BK72" s="4"/>
      <c r="BL72" s="4"/>
      <c r="BM72" s="4"/>
      <c r="BN72" s="4"/>
    </row>
    <row r="73" spans="1:66" ht="15" customHeight="1">
      <c r="A73" s="19" t="str">
        <f t="shared" si="5"/>
        <v>АСПС.FB_BTF_S.FCOX</v>
      </c>
      <c r="B73" s="11">
        <v>7999</v>
      </c>
      <c r="C73" s="11" t="s">
        <v>0</v>
      </c>
      <c r="D73" s="20" t="str">
        <f>"#"&amp;$S$2&amp;"#"&amp;$T$2&amp;"\"&amp;$P$2&amp;"\FCOX"</f>
        <v>#2#treiOPCDA.CoOPCserv.1\pcmaster\FB_BTF_S\FCOX</v>
      </c>
      <c r="BK73" s="4"/>
      <c r="BL73" s="4"/>
      <c r="BM73" s="4"/>
      <c r="BN73" s="4"/>
    </row>
    <row r="74" spans="1:66" ht="15" customHeight="1">
      <c r="A74" s="211" t="str">
        <f t="shared" si="5"/>
        <v>АСПС.FB_BTF_S.FCOX</v>
      </c>
      <c r="B74" s="212">
        <v>11000</v>
      </c>
      <c r="C74" s="212" t="s">
        <v>5</v>
      </c>
      <c r="D74" s="213">
        <v>2147483680</v>
      </c>
      <c r="BK74" s="4"/>
      <c r="BL74" s="4"/>
      <c r="BM74" s="4"/>
      <c r="BN74" s="4"/>
    </row>
    <row r="75" spans="1:66" ht="15" customHeight="1">
      <c r="A75" s="211" t="str">
        <f t="shared" si="5"/>
        <v>АСПС.FB_BTF_S.FCOX</v>
      </c>
      <c r="B75" s="212">
        <v>11150</v>
      </c>
      <c r="C75" s="212" t="s">
        <v>0</v>
      </c>
      <c r="D75" s="213" t="s">
        <v>456</v>
      </c>
      <c r="BK75" s="4"/>
      <c r="BL75" s="4"/>
      <c r="BM75" s="4"/>
      <c r="BN75" s="4"/>
    </row>
    <row r="76" spans="1:66" ht="15" customHeight="1">
      <c r="A76" s="211" t="str">
        <f t="shared" si="5"/>
        <v>АСПС.FB_BTF_S.FCOX</v>
      </c>
      <c r="B76" s="212">
        <v>11152</v>
      </c>
      <c r="C76" s="212" t="s">
        <v>0</v>
      </c>
      <c r="D76" s="213" t="str">
        <f>$R$7</f>
        <v>Неисправность</v>
      </c>
      <c r="BK76" s="4"/>
      <c r="BL76" s="4"/>
      <c r="BM76" s="4"/>
      <c r="BN76" s="4"/>
    </row>
    <row r="77" spans="1:66" ht="15" customHeight="1">
      <c r="A77" s="214" t="str">
        <f t="shared" si="5"/>
        <v>АСПС.FB_BTF_S.FCOX</v>
      </c>
      <c r="B77" s="215">
        <v>11154</v>
      </c>
      <c r="C77" s="215" t="s">
        <v>4</v>
      </c>
      <c r="D77" s="216">
        <f>$Q$7</f>
        <v>12</v>
      </c>
      <c r="BK77" s="4"/>
      <c r="BL77" s="4"/>
      <c r="BM77" s="4"/>
      <c r="BN77" s="4"/>
    </row>
    <row r="78" spans="1:66" ht="15" customHeight="1">
      <c r="A78" s="16" t="str">
        <f>$R$2&amp;".FFBX"</f>
        <v>АСПС.FB_BTF_S.FFBX</v>
      </c>
      <c r="B78" s="17">
        <v>1</v>
      </c>
      <c r="C78" s="17" t="s">
        <v>1</v>
      </c>
      <c r="D78" s="18">
        <v>11</v>
      </c>
      <c r="BK78" s="4"/>
      <c r="BL78" s="4"/>
      <c r="BM78" s="4"/>
      <c r="BN78" s="4"/>
    </row>
    <row r="79" spans="1:66" ht="15" customHeight="1">
      <c r="A79" s="19" t="str">
        <f t="shared" ref="A79:A87" si="6">$R$2&amp;".FFBX"</f>
        <v>АСПС.FB_BTF_S.FFBX</v>
      </c>
      <c r="B79" s="11">
        <v>2</v>
      </c>
      <c r="C79" s="11" t="s">
        <v>2</v>
      </c>
      <c r="D79" s="20" t="s">
        <v>3</v>
      </c>
      <c r="BK79" s="4"/>
      <c r="BL79" s="4"/>
      <c r="BM79" s="4"/>
      <c r="BN79" s="4"/>
    </row>
    <row r="80" spans="1:66" ht="15" customHeight="1">
      <c r="A80" s="19" t="str">
        <f t="shared" si="6"/>
        <v>АСПС.FB_BTF_S.FFBX</v>
      </c>
      <c r="B80" s="11">
        <v>3</v>
      </c>
      <c r="C80" s="11" t="s">
        <v>1</v>
      </c>
      <c r="D80" s="20">
        <v>192</v>
      </c>
      <c r="BK80" s="4"/>
      <c r="BL80" s="4"/>
      <c r="BM80" s="4"/>
      <c r="BN80" s="4"/>
    </row>
    <row r="81" spans="1:66" ht="15" customHeight="1">
      <c r="A81" s="19" t="str">
        <f t="shared" si="6"/>
        <v>АСПС.FB_BTF_S.FFBX</v>
      </c>
      <c r="B81" s="11">
        <v>101</v>
      </c>
      <c r="C81" s="11" t="s">
        <v>0</v>
      </c>
      <c r="D81" s="20" t="s">
        <v>564</v>
      </c>
      <c r="BK81" s="4"/>
      <c r="BL81" s="4"/>
      <c r="BM81" s="4"/>
      <c r="BN81" s="4"/>
    </row>
    <row r="82" spans="1:66" ht="15" customHeight="1">
      <c r="A82" s="19" t="str">
        <f t="shared" si="6"/>
        <v>АСПС.FB_BTF_S.FFBX</v>
      </c>
      <c r="B82" s="11">
        <v>7998</v>
      </c>
      <c r="C82" s="11" t="s">
        <v>6</v>
      </c>
      <c r="D82" s="20">
        <v>1</v>
      </c>
      <c r="BK82" s="4"/>
      <c r="BL82" s="4"/>
      <c r="BM82" s="4"/>
      <c r="BN82" s="4"/>
    </row>
    <row r="83" spans="1:66" ht="15" customHeight="1">
      <c r="A83" s="19" t="str">
        <f t="shared" si="6"/>
        <v>АСПС.FB_BTF_S.FFBX</v>
      </c>
      <c r="B83" s="11">
        <v>7999</v>
      </c>
      <c r="C83" s="11" t="s">
        <v>0</v>
      </c>
      <c r="D83" s="20" t="str">
        <f>"#"&amp;$S$2&amp;"#"&amp;$T$2&amp;"\"&amp;$P$2&amp;"\FFBX"</f>
        <v>#2#treiOPCDA.CoOPCserv.1\pcmaster\FB_BTF_S\FFBX</v>
      </c>
      <c r="BK83" s="4"/>
      <c r="BL83" s="4"/>
      <c r="BM83" s="4"/>
      <c r="BN83" s="4"/>
    </row>
    <row r="84" spans="1:66" ht="15" customHeight="1">
      <c r="A84" s="211" t="str">
        <f t="shared" si="6"/>
        <v>АСПС.FB_BTF_S.FFBX</v>
      </c>
      <c r="B84" s="212">
        <v>11000</v>
      </c>
      <c r="C84" s="212" t="s">
        <v>5</v>
      </c>
      <c r="D84" s="213">
        <v>2147483680</v>
      </c>
      <c r="BK84" s="4"/>
      <c r="BL84" s="4"/>
      <c r="BM84" s="4"/>
      <c r="BN84" s="4"/>
    </row>
    <row r="85" spans="1:66" ht="15" customHeight="1">
      <c r="A85" s="211" t="str">
        <f t="shared" si="6"/>
        <v>АСПС.FB_BTF_S.FFBX</v>
      </c>
      <c r="B85" s="212">
        <v>11150</v>
      </c>
      <c r="C85" s="212" t="s">
        <v>0</v>
      </c>
      <c r="D85" s="213" t="s">
        <v>564</v>
      </c>
      <c r="BK85" s="4"/>
      <c r="BL85" s="4"/>
      <c r="BM85" s="4"/>
      <c r="BN85" s="4"/>
    </row>
    <row r="86" spans="1:66" ht="15" customHeight="1">
      <c r="A86" s="211" t="str">
        <f t="shared" si="6"/>
        <v>АСПС.FB_BTF_S.FFBX</v>
      </c>
      <c r="B86" s="212">
        <v>11152</v>
      </c>
      <c r="C86" s="212" t="s">
        <v>0</v>
      </c>
      <c r="D86" s="213" t="str">
        <f>$R$7</f>
        <v>Неисправность</v>
      </c>
      <c r="BK86" s="4"/>
      <c r="BL86" s="4"/>
      <c r="BM86" s="4"/>
      <c r="BN86" s="4"/>
    </row>
    <row r="87" spans="1:66" ht="15" customHeight="1">
      <c r="A87" s="214" t="str">
        <f t="shared" si="6"/>
        <v>АСПС.FB_BTF_S.FFBX</v>
      </c>
      <c r="B87" s="215">
        <v>11154</v>
      </c>
      <c r="C87" s="215" t="s">
        <v>4</v>
      </c>
      <c r="D87" s="216">
        <f>$Q$7</f>
        <v>12</v>
      </c>
      <c r="BK87" s="4"/>
      <c r="BL87" s="4"/>
      <c r="BM87" s="4"/>
      <c r="BN87" s="4"/>
    </row>
    <row r="88" spans="1:66" ht="15" customHeight="1">
      <c r="A88" s="16" t="str">
        <f t="shared" ref="A88:A97" si="7">$R$2&amp;".FFSC"</f>
        <v>АСПС.FB_BTF_S.FFSC</v>
      </c>
      <c r="B88" s="17">
        <v>1</v>
      </c>
      <c r="C88" s="17" t="s">
        <v>1</v>
      </c>
      <c r="D88" s="18">
        <v>11</v>
      </c>
      <c r="BK88" s="4"/>
      <c r="BL88" s="4"/>
      <c r="BM88" s="4"/>
      <c r="BN88" s="4"/>
    </row>
    <row r="89" spans="1:66" ht="15" customHeight="1">
      <c r="A89" s="19" t="str">
        <f t="shared" si="7"/>
        <v>АСПС.FB_BTF_S.FFSC</v>
      </c>
      <c r="B89" s="11">
        <v>2</v>
      </c>
      <c r="C89" s="11" t="s">
        <v>2</v>
      </c>
      <c r="D89" s="20" t="s">
        <v>3</v>
      </c>
      <c r="BK89" s="4"/>
      <c r="BL89" s="4"/>
      <c r="BM89" s="4"/>
      <c r="BN89" s="4"/>
    </row>
    <row r="90" spans="1:66" ht="15" customHeight="1">
      <c r="A90" s="19" t="str">
        <f t="shared" si="7"/>
        <v>АСПС.FB_BTF_S.FFSC</v>
      </c>
      <c r="B90" s="11">
        <v>3</v>
      </c>
      <c r="C90" s="11" t="s">
        <v>1</v>
      </c>
      <c r="D90" s="20">
        <v>192</v>
      </c>
      <c r="BK90" s="4"/>
      <c r="BL90" s="4"/>
      <c r="BM90" s="4"/>
      <c r="BN90" s="4"/>
    </row>
    <row r="91" spans="1:66" ht="15" customHeight="1">
      <c r="A91" s="19" t="str">
        <f t="shared" si="7"/>
        <v>АСПС.FB_BTF_S.FFSC</v>
      </c>
      <c r="B91" s="11">
        <v>101</v>
      </c>
      <c r="C91" s="11" t="s">
        <v>0</v>
      </c>
      <c r="D91" s="20" t="s">
        <v>565</v>
      </c>
      <c r="BK91" s="4"/>
      <c r="BL91" s="4"/>
      <c r="BM91" s="4"/>
      <c r="BN91" s="4"/>
    </row>
    <row r="92" spans="1:66" ht="15" customHeight="1">
      <c r="A92" s="19" t="str">
        <f t="shared" si="7"/>
        <v>АСПС.FB_BTF_S.FFSC</v>
      </c>
      <c r="B92" s="11">
        <v>7998</v>
      </c>
      <c r="C92" s="11" t="s">
        <v>6</v>
      </c>
      <c r="D92" s="20">
        <v>1</v>
      </c>
      <c r="BK92" s="4"/>
      <c r="BL92" s="4"/>
      <c r="BM92" s="4"/>
      <c r="BN92" s="4"/>
    </row>
    <row r="93" spans="1:66" ht="15" customHeight="1">
      <c r="A93" s="19" t="str">
        <f t="shared" si="7"/>
        <v>АСПС.FB_BTF_S.FFSC</v>
      </c>
      <c r="B93" s="11">
        <v>7999</v>
      </c>
      <c r="C93" s="11" t="s">
        <v>0</v>
      </c>
      <c r="D93" s="20" t="str">
        <f>"#"&amp;$S$2&amp;"#"&amp;$T$2&amp;"\"&amp;$P$2&amp;"\FFSC"</f>
        <v>#2#treiOPCDA.CoOPCserv.1\pcmaster\FB_BTF_S\FFSC</v>
      </c>
      <c r="BK93" s="4"/>
      <c r="BL93" s="4"/>
      <c r="BM93" s="4"/>
      <c r="BN93" s="4"/>
    </row>
    <row r="94" spans="1:66" ht="15" customHeight="1">
      <c r="A94" s="211" t="str">
        <f t="shared" si="7"/>
        <v>АСПС.FB_BTF_S.FFSC</v>
      </c>
      <c r="B94" s="212">
        <v>11000</v>
      </c>
      <c r="C94" s="212" t="s">
        <v>5</v>
      </c>
      <c r="D94" s="213">
        <v>2147483680</v>
      </c>
      <c r="BK94" s="4"/>
      <c r="BL94" s="4"/>
      <c r="BM94" s="4"/>
      <c r="BN94" s="4"/>
    </row>
    <row r="95" spans="1:66" ht="15" customHeight="1">
      <c r="A95" s="211" t="str">
        <f t="shared" si="7"/>
        <v>АСПС.FB_BTF_S.FFSC</v>
      </c>
      <c r="B95" s="212">
        <v>11150</v>
      </c>
      <c r="C95" s="212" t="s">
        <v>0</v>
      </c>
      <c r="D95" s="213" t="s">
        <v>565</v>
      </c>
      <c r="BK95" s="4"/>
      <c r="BL95" s="4"/>
      <c r="BM95" s="4"/>
      <c r="BN95" s="4"/>
    </row>
    <row r="96" spans="1:66" ht="15" customHeight="1">
      <c r="A96" s="211" t="str">
        <f t="shared" si="7"/>
        <v>АСПС.FB_BTF_S.FFSC</v>
      </c>
      <c r="B96" s="212">
        <v>11152</v>
      </c>
      <c r="C96" s="212" t="s">
        <v>0</v>
      </c>
      <c r="D96" s="213" t="str">
        <f>$R$7</f>
        <v>Неисправность</v>
      </c>
      <c r="BK96" s="4"/>
      <c r="BL96" s="4"/>
      <c r="BM96" s="4"/>
      <c r="BN96" s="4"/>
    </row>
    <row r="97" spans="1:66" ht="15" customHeight="1">
      <c r="A97" s="214" t="str">
        <f t="shared" si="7"/>
        <v>АСПС.FB_BTF_S.FFSC</v>
      </c>
      <c r="B97" s="215">
        <v>11154</v>
      </c>
      <c r="C97" s="215" t="s">
        <v>4</v>
      </c>
      <c r="D97" s="216">
        <f>$Q$7</f>
        <v>12</v>
      </c>
      <c r="BK97" s="4"/>
      <c r="BL97" s="4"/>
      <c r="BM97" s="4"/>
      <c r="BN97" s="4"/>
    </row>
    <row r="98" spans="1:66" ht="15" customHeight="1">
      <c r="A98" s="217" t="str">
        <f>$R$2&amp;".DVXX"</f>
        <v>АСПС.FB_BTF_S.DVXX</v>
      </c>
      <c r="B98" s="218">
        <v>11154</v>
      </c>
      <c r="C98" s="218" t="s">
        <v>4</v>
      </c>
      <c r="D98" s="219">
        <f>$Q$7</f>
        <v>12</v>
      </c>
      <c r="BK98" s="4"/>
      <c r="BL98" s="4"/>
      <c r="BM98" s="4"/>
      <c r="BN98" s="4"/>
    </row>
    <row r="99" spans="1:66" ht="15" customHeight="1">
      <c r="A99" s="211" t="str">
        <f t="shared" ref="A99:A107" si="8">$R$2&amp;".DVXX"</f>
        <v>АСПС.FB_BTF_S.DVXX</v>
      </c>
      <c r="B99" s="212">
        <v>11150</v>
      </c>
      <c r="C99" s="212" t="s">
        <v>0</v>
      </c>
      <c r="D99" s="213" t="s">
        <v>680</v>
      </c>
      <c r="BK99" s="4"/>
      <c r="BL99" s="4"/>
      <c r="BM99" s="4"/>
      <c r="BN99" s="4"/>
    </row>
    <row r="100" spans="1:66" ht="15" customHeight="1">
      <c r="A100" s="211" t="str">
        <f t="shared" si="8"/>
        <v>АСПС.FB_BTF_S.DVXX</v>
      </c>
      <c r="B100" s="212">
        <v>11152</v>
      </c>
      <c r="C100" s="212" t="s">
        <v>0</v>
      </c>
      <c r="D100" s="220" t="str">
        <f>$R$7</f>
        <v>Неисправность</v>
      </c>
      <c r="BK100" s="4"/>
      <c r="BL100" s="4"/>
      <c r="BM100" s="4"/>
      <c r="BN100" s="4"/>
    </row>
    <row r="101" spans="1:66" ht="15" customHeight="1">
      <c r="A101" s="211" t="str">
        <f t="shared" si="8"/>
        <v>АСПС.FB_BTF_S.DVXX</v>
      </c>
      <c r="B101" s="212">
        <v>11000</v>
      </c>
      <c r="C101" s="212" t="s">
        <v>5</v>
      </c>
      <c r="D101" s="213">
        <v>2147483680</v>
      </c>
      <c r="BK101" s="4"/>
      <c r="BL101" s="4"/>
      <c r="BM101" s="4"/>
      <c r="BN101" s="4"/>
    </row>
    <row r="102" spans="1:66" ht="15" customHeight="1">
      <c r="A102" s="19" t="str">
        <f t="shared" si="8"/>
        <v>АСПС.FB_BTF_S.DVXX</v>
      </c>
      <c r="B102" s="11">
        <v>7999</v>
      </c>
      <c r="C102" s="11" t="s">
        <v>0</v>
      </c>
      <c r="D102" s="20" t="str">
        <f>"#"&amp;$S$2&amp;"#"&amp;$T$2&amp;"\"&amp;$P$2&amp;"\DVXX"</f>
        <v>#2#treiOPCDA.CoOPCserv.1\pcmaster\FB_BTF_S\DVXX</v>
      </c>
      <c r="BK102" s="4"/>
      <c r="BL102" s="4"/>
      <c r="BM102" s="4"/>
      <c r="BN102" s="4"/>
    </row>
    <row r="103" spans="1:66" ht="15" customHeight="1">
      <c r="A103" s="19" t="str">
        <f t="shared" si="8"/>
        <v>АСПС.FB_BTF_S.DVXX</v>
      </c>
      <c r="B103" s="11">
        <v>7998</v>
      </c>
      <c r="C103" s="11" t="s">
        <v>6</v>
      </c>
      <c r="D103" s="20">
        <v>1</v>
      </c>
      <c r="BK103" s="4"/>
      <c r="BL103" s="4"/>
      <c r="BM103" s="4"/>
      <c r="BN103" s="4"/>
    </row>
    <row r="104" spans="1:66" ht="15" customHeight="1">
      <c r="A104" s="19" t="str">
        <f t="shared" si="8"/>
        <v>АСПС.FB_BTF_S.DVXX</v>
      </c>
      <c r="B104" s="11">
        <v>101</v>
      </c>
      <c r="C104" s="11" t="s">
        <v>0</v>
      </c>
      <c r="D104" s="20" t="s">
        <v>680</v>
      </c>
      <c r="BK104" s="4"/>
      <c r="BL104" s="4"/>
      <c r="BM104" s="4"/>
      <c r="BN104" s="4"/>
    </row>
    <row r="105" spans="1:66" ht="15" customHeight="1">
      <c r="A105" s="19" t="str">
        <f t="shared" si="8"/>
        <v>АСПС.FB_BTF_S.DVXX</v>
      </c>
      <c r="B105" s="11">
        <v>3</v>
      </c>
      <c r="C105" s="11" t="s">
        <v>1</v>
      </c>
      <c r="D105" s="20">
        <v>192</v>
      </c>
      <c r="BK105" s="4"/>
      <c r="BL105" s="4"/>
      <c r="BM105" s="4"/>
      <c r="BN105" s="4"/>
    </row>
    <row r="106" spans="1:66" ht="15" customHeight="1">
      <c r="A106" s="19" t="str">
        <f t="shared" si="8"/>
        <v>АСПС.FB_BTF_S.DVXX</v>
      </c>
      <c r="B106" s="11">
        <v>2</v>
      </c>
      <c r="C106" s="11" t="s">
        <v>2</v>
      </c>
      <c r="D106" s="20" t="s">
        <v>3</v>
      </c>
      <c r="BK106" s="4"/>
      <c r="BL106" s="4"/>
      <c r="BM106" s="4"/>
      <c r="BN106" s="4"/>
    </row>
    <row r="107" spans="1:66" ht="15" customHeight="1">
      <c r="A107" s="21" t="str">
        <f t="shared" si="8"/>
        <v>АСПС.FB_BTF_S.DVXX</v>
      </c>
      <c r="B107" s="8">
        <v>1</v>
      </c>
      <c r="C107" s="8" t="s">
        <v>1</v>
      </c>
      <c r="D107" s="22">
        <v>11</v>
      </c>
      <c r="BK107" s="4"/>
      <c r="BL107" s="4"/>
      <c r="BM107" s="4"/>
      <c r="BN107" s="4"/>
    </row>
    <row r="108" spans="1:66" ht="15" customHeight="1">
      <c r="A108" s="217" t="str">
        <f>$R$2&amp;".DFEX"</f>
        <v>АСПС.FB_BTF_S.DFEX</v>
      </c>
      <c r="B108" s="218">
        <v>11154</v>
      </c>
      <c r="C108" s="218" t="s">
        <v>4</v>
      </c>
      <c r="D108" s="219">
        <f>$Q$7</f>
        <v>12</v>
      </c>
      <c r="BK108" s="4"/>
      <c r="BL108" s="4"/>
      <c r="BM108" s="4"/>
      <c r="BN108" s="4"/>
    </row>
    <row r="109" spans="1:66" ht="15" customHeight="1">
      <c r="A109" s="211" t="str">
        <f t="shared" ref="A109:A117" si="9">$R$2&amp;".DFEX"</f>
        <v>АСПС.FB_BTF_S.DFEX</v>
      </c>
      <c r="B109" s="212">
        <v>11150</v>
      </c>
      <c r="C109" s="212" t="s">
        <v>0</v>
      </c>
      <c r="D109" s="213" t="s">
        <v>681</v>
      </c>
      <c r="BK109" s="4"/>
      <c r="BL109" s="4"/>
      <c r="BM109" s="4"/>
      <c r="BN109" s="4"/>
    </row>
    <row r="110" spans="1:66" ht="15" customHeight="1">
      <c r="A110" s="211" t="str">
        <f t="shared" si="9"/>
        <v>АСПС.FB_BTF_S.DFEX</v>
      </c>
      <c r="B110" s="212">
        <v>11152</v>
      </c>
      <c r="C110" s="212" t="s">
        <v>0</v>
      </c>
      <c r="D110" s="220" t="str">
        <f>$R$7</f>
        <v>Неисправность</v>
      </c>
      <c r="BK110" s="4"/>
      <c r="BL110" s="4"/>
      <c r="BM110" s="4"/>
      <c r="BN110" s="4"/>
    </row>
    <row r="111" spans="1:66" ht="15" customHeight="1">
      <c r="A111" s="211" t="str">
        <f t="shared" si="9"/>
        <v>АСПС.FB_BTF_S.DFEX</v>
      </c>
      <c r="B111" s="212">
        <v>11000</v>
      </c>
      <c r="C111" s="212" t="s">
        <v>5</v>
      </c>
      <c r="D111" s="213">
        <v>2147483680</v>
      </c>
      <c r="BK111" s="4"/>
      <c r="BL111" s="4"/>
      <c r="BM111" s="4"/>
      <c r="BN111" s="4"/>
    </row>
    <row r="112" spans="1:66" ht="15" customHeight="1">
      <c r="A112" s="19" t="str">
        <f t="shared" si="9"/>
        <v>АСПС.FB_BTF_S.DFEX</v>
      </c>
      <c r="B112" s="11">
        <v>7999</v>
      </c>
      <c r="C112" s="11" t="s">
        <v>0</v>
      </c>
      <c r="D112" s="20" t="str">
        <f>"#"&amp;$S$2&amp;"#"&amp;$T$2&amp;"\"&amp;$P$2&amp;"\DFEX"</f>
        <v>#2#treiOPCDA.CoOPCserv.1\pcmaster\FB_BTF_S\DFEX</v>
      </c>
      <c r="BK112" s="4"/>
      <c r="BL112" s="4"/>
      <c r="BM112" s="4"/>
      <c r="BN112" s="4"/>
    </row>
    <row r="113" spans="1:66" ht="15" customHeight="1">
      <c r="A113" s="19" t="str">
        <f t="shared" si="9"/>
        <v>АСПС.FB_BTF_S.DFEX</v>
      </c>
      <c r="B113" s="11">
        <v>7998</v>
      </c>
      <c r="C113" s="11" t="s">
        <v>6</v>
      </c>
      <c r="D113" s="20">
        <v>1</v>
      </c>
      <c r="BK113" s="4"/>
      <c r="BL113" s="4"/>
      <c r="BM113" s="4"/>
      <c r="BN113" s="4"/>
    </row>
    <row r="114" spans="1:66" ht="15" customHeight="1">
      <c r="A114" s="19" t="str">
        <f t="shared" si="9"/>
        <v>АСПС.FB_BTF_S.DFEX</v>
      </c>
      <c r="B114" s="11">
        <v>101</v>
      </c>
      <c r="C114" s="11" t="s">
        <v>0</v>
      </c>
      <c r="D114" s="20" t="s">
        <v>681</v>
      </c>
      <c r="BK114" s="4"/>
      <c r="BL114" s="4"/>
      <c r="BM114" s="4"/>
      <c r="BN114" s="4"/>
    </row>
    <row r="115" spans="1:66" ht="15" customHeight="1">
      <c r="A115" s="19" t="str">
        <f t="shared" si="9"/>
        <v>АСПС.FB_BTF_S.DFEX</v>
      </c>
      <c r="B115" s="11">
        <v>3</v>
      </c>
      <c r="C115" s="11" t="s">
        <v>1</v>
      </c>
      <c r="D115" s="20">
        <v>192</v>
      </c>
      <c r="BK115" s="4"/>
      <c r="BL115" s="4"/>
      <c r="BM115" s="4"/>
      <c r="BN115" s="4"/>
    </row>
    <row r="116" spans="1:66" ht="15" customHeight="1">
      <c r="A116" s="19" t="str">
        <f t="shared" si="9"/>
        <v>АСПС.FB_BTF_S.DFEX</v>
      </c>
      <c r="B116" s="11">
        <v>2</v>
      </c>
      <c r="C116" s="11" t="s">
        <v>2</v>
      </c>
      <c r="D116" s="20" t="s">
        <v>3</v>
      </c>
      <c r="BK116" s="4"/>
      <c r="BL116" s="4"/>
      <c r="BM116" s="4"/>
      <c r="BN116" s="4"/>
    </row>
    <row r="117" spans="1:66" ht="15" customHeight="1">
      <c r="A117" s="21" t="str">
        <f t="shared" si="9"/>
        <v>АСПС.FB_BTF_S.DFEX</v>
      </c>
      <c r="B117" s="8">
        <v>1</v>
      </c>
      <c r="C117" s="8" t="s">
        <v>1</v>
      </c>
      <c r="D117" s="22">
        <v>11</v>
      </c>
      <c r="BK117" s="4"/>
      <c r="BL117" s="4"/>
      <c r="BM117" s="4"/>
      <c r="BN117" s="4"/>
    </row>
    <row r="118" spans="1:66" ht="15" customHeight="1">
      <c r="A118" s="217" t="str">
        <f>$R$2&amp;".FEXX"</f>
        <v>АСПС.FB_BTF_S.FEXX</v>
      </c>
      <c r="B118" s="218">
        <v>11154</v>
      </c>
      <c r="C118" s="218" t="s">
        <v>4</v>
      </c>
      <c r="D118" s="219">
        <f>$Q$7</f>
        <v>12</v>
      </c>
      <c r="BK118" s="4"/>
      <c r="BL118" s="4"/>
      <c r="BM118" s="4"/>
      <c r="BN118" s="4"/>
    </row>
    <row r="119" spans="1:66" ht="15" customHeight="1">
      <c r="A119" s="211" t="str">
        <f t="shared" ref="A119:A127" si="10">$R$2&amp;".FEXX"</f>
        <v>АСПС.FB_BTF_S.FEXX</v>
      </c>
      <c r="B119" s="212">
        <v>11150</v>
      </c>
      <c r="C119" s="212" t="s">
        <v>0</v>
      </c>
      <c r="D119" s="213" t="s">
        <v>711</v>
      </c>
      <c r="BK119" s="4"/>
      <c r="BL119" s="4"/>
      <c r="BM119" s="4"/>
      <c r="BN119" s="4"/>
    </row>
    <row r="120" spans="1:66">
      <c r="A120" s="211" t="str">
        <f t="shared" si="10"/>
        <v>АСПС.FB_BTF_S.FEXX</v>
      </c>
      <c r="B120" s="212">
        <v>11152</v>
      </c>
      <c r="C120" s="212" t="s">
        <v>0</v>
      </c>
      <c r="D120" s="220" t="str">
        <f>$R$7</f>
        <v>Неисправность</v>
      </c>
    </row>
    <row r="121" spans="1:66">
      <c r="A121" s="211" t="str">
        <f t="shared" si="10"/>
        <v>АСПС.FB_BTF_S.FEXX</v>
      </c>
      <c r="B121" s="212">
        <v>11000</v>
      </c>
      <c r="C121" s="212" t="s">
        <v>5</v>
      </c>
      <c r="D121" s="213">
        <v>2147483680</v>
      </c>
    </row>
    <row r="122" spans="1:66">
      <c r="A122" s="19" t="str">
        <f t="shared" si="10"/>
        <v>АСПС.FB_BTF_S.FEXX</v>
      </c>
      <c r="B122" s="11">
        <v>7999</v>
      </c>
      <c r="C122" s="11" t="s">
        <v>0</v>
      </c>
      <c r="D122" s="20" t="str">
        <f>"#"&amp;$S$2&amp;"#"&amp;$T$2&amp;"\"&amp;$P$2&amp;"\FEXX"</f>
        <v>#2#treiOPCDA.CoOPCserv.1\pcmaster\FB_BTF_S\FEXX</v>
      </c>
    </row>
    <row r="123" spans="1:66">
      <c r="A123" s="19" t="str">
        <f t="shared" si="10"/>
        <v>АСПС.FB_BTF_S.FEXX</v>
      </c>
      <c r="B123" s="11">
        <v>7998</v>
      </c>
      <c r="C123" s="11" t="s">
        <v>6</v>
      </c>
      <c r="D123" s="20">
        <v>1</v>
      </c>
    </row>
    <row r="124" spans="1:66">
      <c r="A124" s="19" t="str">
        <f t="shared" si="10"/>
        <v>АСПС.FB_BTF_S.FEXX</v>
      </c>
      <c r="B124" s="11">
        <v>101</v>
      </c>
      <c r="C124" s="11" t="s">
        <v>0</v>
      </c>
      <c r="D124" s="20" t="s">
        <v>711</v>
      </c>
    </row>
    <row r="125" spans="1:66">
      <c r="A125" s="19" t="str">
        <f t="shared" si="10"/>
        <v>АСПС.FB_BTF_S.FEXX</v>
      </c>
      <c r="B125" s="11">
        <v>3</v>
      </c>
      <c r="C125" s="11" t="s">
        <v>1</v>
      </c>
      <c r="D125" s="20">
        <v>192</v>
      </c>
    </row>
    <row r="126" spans="1:66">
      <c r="A126" s="19" t="str">
        <f t="shared" si="10"/>
        <v>АСПС.FB_BTF_S.FEXX</v>
      </c>
      <c r="B126" s="11">
        <v>2</v>
      </c>
      <c r="C126" s="11" t="s">
        <v>2</v>
      </c>
      <c r="D126" s="20" t="s">
        <v>3</v>
      </c>
    </row>
    <row r="127" spans="1:66">
      <c r="A127" s="19" t="str">
        <f t="shared" si="10"/>
        <v>АСПС.FB_BTF_S.FEXX</v>
      </c>
      <c r="B127" s="11">
        <v>1</v>
      </c>
      <c r="C127" s="11" t="s">
        <v>1</v>
      </c>
      <c r="D127" s="20">
        <v>11</v>
      </c>
    </row>
    <row r="128" spans="1:66">
      <c r="A128" s="16" t="str">
        <f t="shared" ref="A128:A139" si="11">$R$2&amp;".XRPX"</f>
        <v>АСПС.FB_BTF_S.XRPX</v>
      </c>
      <c r="B128" s="17">
        <v>1</v>
      </c>
      <c r="C128" s="17" t="s">
        <v>1</v>
      </c>
      <c r="D128" s="18">
        <v>11</v>
      </c>
    </row>
    <row r="129" spans="1:4">
      <c r="A129" s="19" t="str">
        <f t="shared" si="11"/>
        <v>АСПС.FB_BTF_S.XRPX</v>
      </c>
      <c r="B129" s="11">
        <v>2</v>
      </c>
      <c r="C129" s="11" t="s">
        <v>2</v>
      </c>
      <c r="D129" s="20" t="s">
        <v>3</v>
      </c>
    </row>
    <row r="130" spans="1:4">
      <c r="A130" s="19" t="str">
        <f t="shared" si="11"/>
        <v>АСПС.FB_BTF_S.XRPX</v>
      </c>
      <c r="B130" s="11">
        <v>3</v>
      </c>
      <c r="C130" s="11" t="s">
        <v>1</v>
      </c>
      <c r="D130" s="20">
        <v>192</v>
      </c>
    </row>
    <row r="131" spans="1:4">
      <c r="A131" s="19" t="str">
        <f t="shared" si="11"/>
        <v>АСПС.FB_BTF_S.XRPX</v>
      </c>
      <c r="B131" s="11">
        <v>101</v>
      </c>
      <c r="C131" s="11" t="s">
        <v>0</v>
      </c>
      <c r="D131" s="20" t="s">
        <v>137</v>
      </c>
    </row>
    <row r="132" spans="1:4">
      <c r="A132" s="19" t="str">
        <f t="shared" si="11"/>
        <v>АСПС.FB_BTF_S.XRPX</v>
      </c>
      <c r="B132" s="11">
        <v>7998</v>
      </c>
      <c r="C132" s="11" t="s">
        <v>6</v>
      </c>
      <c r="D132" s="20">
        <v>1</v>
      </c>
    </row>
    <row r="133" spans="1:4">
      <c r="A133" s="19" t="str">
        <f t="shared" si="11"/>
        <v>АСПС.FB_BTF_S.XRPX</v>
      </c>
      <c r="B133" s="11">
        <v>7999</v>
      </c>
      <c r="C133" s="11" t="s">
        <v>0</v>
      </c>
      <c r="D133" s="20" t="str">
        <f>"#"&amp;$S$2&amp;"#"&amp;$T$2&amp;"\"&amp;$P$2&amp;"\XRPX"</f>
        <v>#2#treiOPCDA.CoOPCserv.1\pcmaster\FB_BTF_S\XRPX</v>
      </c>
    </row>
    <row r="134" spans="1:4">
      <c r="A134" s="339" t="str">
        <f t="shared" si="11"/>
        <v>АСПС.FB_BTF_S.XRPX</v>
      </c>
      <c r="B134" s="340">
        <v>11000</v>
      </c>
      <c r="C134" s="340" t="s">
        <v>5</v>
      </c>
      <c r="D134" s="341">
        <v>2147483680</v>
      </c>
    </row>
    <row r="135" spans="1:4">
      <c r="A135" s="339" t="str">
        <f t="shared" si="11"/>
        <v>АСПС.FB_BTF_S.XRPX</v>
      </c>
      <c r="B135" s="340">
        <v>11150</v>
      </c>
      <c r="C135" s="340" t="s">
        <v>0</v>
      </c>
      <c r="D135" s="341" t="s">
        <v>336</v>
      </c>
    </row>
    <row r="136" spans="1:4">
      <c r="A136" s="339" t="str">
        <f t="shared" si="11"/>
        <v>АСПС.FB_BTF_S.XRPX</v>
      </c>
      <c r="B136" s="340">
        <v>11152</v>
      </c>
      <c r="C136" s="340" t="s">
        <v>0</v>
      </c>
      <c r="D136" s="341" t="str">
        <f>$R$18</f>
        <v>Отключение</v>
      </c>
    </row>
    <row r="137" spans="1:4">
      <c r="A137" s="339" t="str">
        <f t="shared" si="11"/>
        <v>АСПС.FB_BTF_S.XRPX</v>
      </c>
      <c r="B137" s="340">
        <v>11154</v>
      </c>
      <c r="C137" s="340" t="s">
        <v>4</v>
      </c>
      <c r="D137" s="341">
        <f>$Q$18</f>
        <v>13</v>
      </c>
    </row>
    <row r="138" spans="1:4" ht="16.5" customHeight="1">
      <c r="A138" s="29" t="str">
        <f t="shared" si="11"/>
        <v>АСПС.FB_BTF_S.XRPX</v>
      </c>
      <c r="B138" s="1">
        <v>4000000</v>
      </c>
      <c r="C138" s="1" t="s">
        <v>0</v>
      </c>
      <c r="D138" s="415" t="s">
        <v>2936</v>
      </c>
    </row>
    <row r="139" spans="1:4">
      <c r="A139" s="26" t="str">
        <f t="shared" si="11"/>
        <v>АСПС.FB_BTF_S.XRPX</v>
      </c>
      <c r="B139" s="27">
        <v>7000000</v>
      </c>
      <c r="C139" s="27" t="s">
        <v>6</v>
      </c>
      <c r="D139" s="28">
        <v>2</v>
      </c>
    </row>
    <row r="140" spans="1:4">
      <c r="A140" s="19" t="str">
        <f>$R$2&amp;".XTPX"</f>
        <v>АСПС.FB_BTF_S.XTPX</v>
      </c>
      <c r="B140" s="11">
        <v>1</v>
      </c>
      <c r="C140" s="11" t="s">
        <v>1</v>
      </c>
      <c r="D140" s="20">
        <v>11</v>
      </c>
    </row>
    <row r="141" spans="1:4">
      <c r="A141" s="19" t="str">
        <f t="shared" ref="A141:A149" si="12">$R$2&amp;".XTPX"</f>
        <v>АСПС.FB_BTF_S.XTPX</v>
      </c>
      <c r="B141" s="11">
        <v>2</v>
      </c>
      <c r="C141" s="11" t="s">
        <v>2</v>
      </c>
      <c r="D141" s="20" t="s">
        <v>3</v>
      </c>
    </row>
    <row r="142" spans="1:4">
      <c r="A142" s="19" t="str">
        <f t="shared" si="12"/>
        <v>АСПС.FB_BTF_S.XTPX</v>
      </c>
      <c r="B142" s="11">
        <v>3</v>
      </c>
      <c r="C142" s="11" t="s">
        <v>1</v>
      </c>
      <c r="D142" s="20">
        <v>192</v>
      </c>
    </row>
    <row r="143" spans="1:4">
      <c r="A143" s="19" t="str">
        <f t="shared" si="12"/>
        <v>АСПС.FB_BTF_S.XTPX</v>
      </c>
      <c r="B143" s="11">
        <v>101</v>
      </c>
      <c r="C143" s="11" t="s">
        <v>0</v>
      </c>
      <c r="D143" s="20" t="s">
        <v>567</v>
      </c>
    </row>
    <row r="144" spans="1:4">
      <c r="A144" s="19" t="str">
        <f t="shared" si="12"/>
        <v>АСПС.FB_BTF_S.XTPX</v>
      </c>
      <c r="B144" s="11">
        <v>7998</v>
      </c>
      <c r="C144" s="11" t="s">
        <v>6</v>
      </c>
      <c r="D144" s="20">
        <v>1</v>
      </c>
    </row>
    <row r="145" spans="1:4">
      <c r="A145" s="19" t="str">
        <f t="shared" si="12"/>
        <v>АСПС.FB_BTF_S.XTPX</v>
      </c>
      <c r="B145" s="11">
        <v>7999</v>
      </c>
      <c r="C145" s="11" t="s">
        <v>0</v>
      </c>
      <c r="D145" s="20" t="str">
        <f>"#"&amp;$S$2&amp;"#"&amp;$T$2&amp;"\"&amp;$P$2&amp;"\XTPX"</f>
        <v>#2#treiOPCDA.CoOPCserv.1\pcmaster\FB_BTF_S\XTPX</v>
      </c>
    </row>
    <row r="146" spans="1:4">
      <c r="A146" s="100" t="str">
        <f t="shared" si="12"/>
        <v>АСПС.FB_BTF_S.XTPX</v>
      </c>
      <c r="B146" s="101">
        <v>11000</v>
      </c>
      <c r="C146" s="101" t="s">
        <v>5</v>
      </c>
      <c r="D146" s="103">
        <v>2147483680</v>
      </c>
    </row>
    <row r="147" spans="1:4">
      <c r="A147" s="100" t="str">
        <f t="shared" si="12"/>
        <v>АСПС.FB_BTF_S.XTPX</v>
      </c>
      <c r="B147" s="101">
        <v>11150</v>
      </c>
      <c r="C147" s="101" t="s">
        <v>0</v>
      </c>
      <c r="D147" s="103" t="s">
        <v>567</v>
      </c>
    </row>
    <row r="148" spans="1:4">
      <c r="A148" s="100" t="str">
        <f t="shared" si="12"/>
        <v>АСПС.FB_BTF_S.XTPX</v>
      </c>
      <c r="B148" s="101">
        <v>11152</v>
      </c>
      <c r="C148" s="101" t="s">
        <v>0</v>
      </c>
      <c r="D148" s="103" t="str">
        <f>$R$8</f>
        <v>Телесигнализация</v>
      </c>
    </row>
    <row r="149" spans="1:4">
      <c r="A149" s="170" t="str">
        <f t="shared" si="12"/>
        <v>АСПС.FB_BTF_S.XTPX</v>
      </c>
      <c r="B149" s="171">
        <v>11154</v>
      </c>
      <c r="C149" s="171" t="s">
        <v>4</v>
      </c>
      <c r="D149" s="172">
        <f>$Q$8</f>
        <v>18</v>
      </c>
    </row>
    <row r="150" spans="1:4">
      <c r="A150" s="16" t="str">
        <f>$R$2&amp;".XTFX"</f>
        <v>АСПС.FB_BTF_S.XTFX</v>
      </c>
      <c r="B150" s="17">
        <v>1</v>
      </c>
      <c r="C150" s="17" t="s">
        <v>1</v>
      </c>
      <c r="D150" s="18">
        <v>11</v>
      </c>
    </row>
    <row r="151" spans="1:4">
      <c r="A151" s="19" t="str">
        <f t="shared" ref="A151:A159" si="13">$R$2&amp;".XTFX"</f>
        <v>АСПС.FB_BTF_S.XTFX</v>
      </c>
      <c r="B151" s="11">
        <v>2</v>
      </c>
      <c r="C151" s="11" t="s">
        <v>2</v>
      </c>
      <c r="D151" s="20" t="s">
        <v>3</v>
      </c>
    </row>
    <row r="152" spans="1:4">
      <c r="A152" s="19" t="str">
        <f t="shared" si="13"/>
        <v>АСПС.FB_BTF_S.XTFX</v>
      </c>
      <c r="B152" s="11">
        <v>3</v>
      </c>
      <c r="C152" s="11" t="s">
        <v>1</v>
      </c>
      <c r="D152" s="20">
        <v>192</v>
      </c>
    </row>
    <row r="153" spans="1:4">
      <c r="A153" s="19" t="str">
        <f t="shared" si="13"/>
        <v>АСПС.FB_BTF_S.XTFX</v>
      </c>
      <c r="B153" s="11">
        <v>101</v>
      </c>
      <c r="C153" s="11" t="s">
        <v>0</v>
      </c>
      <c r="D153" s="20" t="s">
        <v>566</v>
      </c>
    </row>
    <row r="154" spans="1:4">
      <c r="A154" s="19" t="str">
        <f t="shared" si="13"/>
        <v>АСПС.FB_BTF_S.XTFX</v>
      </c>
      <c r="B154" s="11">
        <v>7998</v>
      </c>
      <c r="C154" s="11" t="s">
        <v>6</v>
      </c>
      <c r="D154" s="20">
        <v>1</v>
      </c>
    </row>
    <row r="155" spans="1:4">
      <c r="A155" s="19" t="str">
        <f t="shared" si="13"/>
        <v>АСПС.FB_BTF_S.XTFX</v>
      </c>
      <c r="B155" s="11">
        <v>7999</v>
      </c>
      <c r="C155" s="11" t="s">
        <v>0</v>
      </c>
      <c r="D155" s="20" t="str">
        <f>"#"&amp;$S$2&amp;"#"&amp;$T$2&amp;"\"&amp;$P$2&amp;"\XTFX"</f>
        <v>#2#treiOPCDA.CoOPCserv.1\pcmaster\FB_BTF_S\XTFX</v>
      </c>
    </row>
    <row r="156" spans="1:4">
      <c r="A156" s="100" t="str">
        <f t="shared" si="13"/>
        <v>АСПС.FB_BTF_S.XTFX</v>
      </c>
      <c r="B156" s="101">
        <v>11000</v>
      </c>
      <c r="C156" s="101" t="s">
        <v>5</v>
      </c>
      <c r="D156" s="103">
        <v>2147483680</v>
      </c>
    </row>
    <row r="157" spans="1:4">
      <c r="A157" s="100" t="str">
        <f t="shared" si="13"/>
        <v>АСПС.FB_BTF_S.XTFX</v>
      </c>
      <c r="B157" s="101">
        <v>11150</v>
      </c>
      <c r="C157" s="101" t="s">
        <v>0</v>
      </c>
      <c r="D157" s="103" t="s">
        <v>567</v>
      </c>
    </row>
    <row r="158" spans="1:4">
      <c r="A158" s="100" t="str">
        <f t="shared" si="13"/>
        <v>АСПС.FB_BTF_S.XTFX</v>
      </c>
      <c r="B158" s="101">
        <v>11152</v>
      </c>
      <c r="C158" s="101" t="s">
        <v>0</v>
      </c>
      <c r="D158" s="103" t="str">
        <f>$R$8</f>
        <v>Телесигнализация</v>
      </c>
    </row>
    <row r="159" spans="1:4">
      <c r="A159" s="170" t="str">
        <f t="shared" si="13"/>
        <v>АСПС.FB_BTF_S.XTFX</v>
      </c>
      <c r="B159" s="171">
        <v>11154</v>
      </c>
      <c r="C159" s="171" t="s">
        <v>4</v>
      </c>
      <c r="D159" s="172">
        <f>$Q$8</f>
        <v>18</v>
      </c>
    </row>
    <row r="160" spans="1:4">
      <c r="A160" s="114" t="str">
        <f t="shared" ref="A160:A169" si="14">$R$2&amp;".CIMX"</f>
        <v>АСПС.FB_BTF_S.CIMX</v>
      </c>
      <c r="B160" s="115">
        <v>11154</v>
      </c>
      <c r="C160" s="115" t="s">
        <v>4</v>
      </c>
      <c r="D160" s="116">
        <f>$Q$10</f>
        <v>16</v>
      </c>
    </row>
    <row r="161" spans="1:4">
      <c r="A161" s="114" t="str">
        <f t="shared" si="14"/>
        <v>АСПС.FB_BTF_S.CIMX</v>
      </c>
      <c r="B161" s="115">
        <v>11150</v>
      </c>
      <c r="C161" s="115" t="s">
        <v>0</v>
      </c>
      <c r="D161" s="117" t="s">
        <v>81</v>
      </c>
    </row>
    <row r="162" spans="1:4">
      <c r="A162" s="114" t="str">
        <f t="shared" si="14"/>
        <v>АСПС.FB_BTF_S.CIMX</v>
      </c>
      <c r="B162" s="115">
        <v>11152</v>
      </c>
      <c r="C162" s="115" t="s">
        <v>0</v>
      </c>
      <c r="D162" s="118" t="str">
        <f>$R$10</f>
        <v>Имитация</v>
      </c>
    </row>
    <row r="163" spans="1:4">
      <c r="A163" s="114" t="str">
        <f t="shared" si="14"/>
        <v>АСПС.FB_BTF_S.CIMX</v>
      </c>
      <c r="B163" s="115">
        <v>11000</v>
      </c>
      <c r="C163" s="115" t="s">
        <v>5</v>
      </c>
      <c r="D163" s="117">
        <v>2147483680</v>
      </c>
    </row>
    <row r="164" spans="1:4">
      <c r="A164" s="19" t="str">
        <f t="shared" si="14"/>
        <v>АСПС.FB_BTF_S.CIMX</v>
      </c>
      <c r="B164" s="11">
        <v>7999</v>
      </c>
      <c r="C164" s="11" t="s">
        <v>0</v>
      </c>
      <c r="D164" s="20" t="str">
        <f>"#"&amp;$S$2&amp;"#"&amp;$T$2&amp;"\"&amp;$P$2&amp;"\CIMX"</f>
        <v>#2#treiOPCDA.CoOPCserv.1\pcmaster\FB_BTF_S\CIMX</v>
      </c>
    </row>
    <row r="165" spans="1:4">
      <c r="A165" s="19" t="str">
        <f t="shared" si="14"/>
        <v>АСПС.FB_BTF_S.CIMX</v>
      </c>
      <c r="B165" s="11">
        <v>7998</v>
      </c>
      <c r="C165" s="11" t="s">
        <v>6</v>
      </c>
      <c r="D165" s="20">
        <v>1</v>
      </c>
    </row>
    <row r="166" spans="1:4">
      <c r="A166" s="19" t="str">
        <f t="shared" si="14"/>
        <v>АСПС.FB_BTF_S.CIMX</v>
      </c>
      <c r="B166" s="11">
        <v>101</v>
      </c>
      <c r="C166" s="11" t="s">
        <v>0</v>
      </c>
      <c r="D166" s="20" t="s">
        <v>81</v>
      </c>
    </row>
    <row r="167" spans="1:4">
      <c r="A167" s="19" t="str">
        <f t="shared" si="14"/>
        <v>АСПС.FB_BTF_S.CIMX</v>
      </c>
      <c r="B167" s="11">
        <v>3</v>
      </c>
      <c r="C167" s="11" t="s">
        <v>1</v>
      </c>
      <c r="D167" s="20">
        <v>192</v>
      </c>
    </row>
    <row r="168" spans="1:4">
      <c r="A168" s="19" t="str">
        <f t="shared" si="14"/>
        <v>АСПС.FB_BTF_S.CIMX</v>
      </c>
      <c r="B168" s="11">
        <v>2</v>
      </c>
      <c r="C168" s="11" t="s">
        <v>2</v>
      </c>
      <c r="D168" s="20" t="s">
        <v>3</v>
      </c>
    </row>
    <row r="169" spans="1:4">
      <c r="A169" s="21" t="str">
        <f t="shared" si="14"/>
        <v>АСПС.FB_BTF_S.CIMX</v>
      </c>
      <c r="B169" s="8">
        <v>1</v>
      </c>
      <c r="C169" s="8" t="s">
        <v>1</v>
      </c>
      <c r="D169" s="22">
        <v>11</v>
      </c>
    </row>
    <row r="170" spans="1:4">
      <c r="A170" s="266" t="str">
        <f>$R$2&amp;".Commands.SIMX"</f>
        <v>АСПС.FB_BTF_S.Commands.SIMX</v>
      </c>
      <c r="B170" s="267">
        <v>101</v>
      </c>
      <c r="C170" s="267" t="s">
        <v>0</v>
      </c>
      <c r="D170" s="268" t="s">
        <v>185</v>
      </c>
    </row>
    <row r="171" spans="1:4">
      <c r="A171" s="269" t="str">
        <f>$R$2&amp;".Commands.SIMX"</f>
        <v>АСПС.FB_BTF_S.Commands.SIMX</v>
      </c>
      <c r="B171" s="270">
        <v>7999</v>
      </c>
      <c r="C171" s="270" t="s">
        <v>0</v>
      </c>
      <c r="D171" s="271" t="str">
        <f>"#"&amp;$T$5&amp;"#"&amp;$T$2&amp;"\"&amp;$P$2&amp;"\SIMX"</f>
        <v>#1#treiOPCDA.CoOPCserv.1\pcmaster\FB_BTF_S\SIMX</v>
      </c>
    </row>
    <row r="172" spans="1:4">
      <c r="A172" s="269" t="str">
        <f>$R$2&amp;".Commands.SIMX"</f>
        <v>АСПС.FB_BTF_S.Commands.SIMX</v>
      </c>
      <c r="B172" s="270">
        <v>7998</v>
      </c>
      <c r="C172" s="270" t="s">
        <v>6</v>
      </c>
      <c r="D172" s="271">
        <v>2</v>
      </c>
    </row>
    <row r="173" spans="1:4">
      <c r="A173" s="272" t="str">
        <f>$R$2&amp;".Commands.SIMX"</f>
        <v>АСПС.FB_BTF_S.Commands.SIMX</v>
      </c>
      <c r="B173" s="273">
        <v>1</v>
      </c>
      <c r="C173" s="270" t="s">
        <v>1</v>
      </c>
      <c r="D173" s="271">
        <v>3</v>
      </c>
    </row>
    <row r="174" spans="1:4">
      <c r="A174" s="16" t="str">
        <f>$R$2&amp;".Commands.CRPX"</f>
        <v>АСПС.FB_BTF_S.Commands.CRPX</v>
      </c>
      <c r="B174" s="17">
        <v>1</v>
      </c>
      <c r="C174" s="17" t="s">
        <v>1</v>
      </c>
      <c r="D174" s="18">
        <v>11</v>
      </c>
    </row>
    <row r="175" spans="1:4">
      <c r="A175" s="19" t="str">
        <f>$R$2&amp;".Commands.CRPX"</f>
        <v>АСПС.FB_BTF_S.Commands.CRPX</v>
      </c>
      <c r="B175" s="11">
        <v>101</v>
      </c>
      <c r="C175" s="11" t="s">
        <v>0</v>
      </c>
      <c r="D175" s="20" t="s">
        <v>113</v>
      </c>
    </row>
    <row r="176" spans="1:4">
      <c r="A176" s="19" t="str">
        <f>$R$2&amp;".Commands.CRPX"</f>
        <v>АСПС.FB_BTF_S.Commands.CRPX</v>
      </c>
      <c r="B176" s="11">
        <v>7998</v>
      </c>
      <c r="C176" s="11" t="s">
        <v>6</v>
      </c>
      <c r="D176" s="20">
        <v>2</v>
      </c>
    </row>
    <row r="177" spans="1:4">
      <c r="A177" s="21" t="str">
        <f>$R$2&amp;".Commands.CRPX"</f>
        <v>АСПС.FB_BTF_S.Commands.CRPX</v>
      </c>
      <c r="B177" s="8">
        <v>7999</v>
      </c>
      <c r="C177" s="8" t="s">
        <v>0</v>
      </c>
      <c r="D177" s="22" t="str">
        <f>"#"&amp;$T$5&amp;"#"&amp;$T$2&amp;"\"&amp;$P$2&amp;"\CRPX"</f>
        <v>#1#treiOPCDA.CoOPCserv.1\pcmaster\FB_BTF_S\CRPX</v>
      </c>
    </row>
    <row r="178" spans="1:4">
      <c r="A178" s="16" t="str">
        <f>$R$2&amp;".Commands.CIMX"</f>
        <v>АСПС.FB_BTF_S.Commands.CIMX</v>
      </c>
      <c r="B178" s="17">
        <v>101</v>
      </c>
      <c r="C178" s="17" t="s">
        <v>0</v>
      </c>
      <c r="D178" s="18" t="s">
        <v>182</v>
      </c>
    </row>
    <row r="179" spans="1:4">
      <c r="A179" s="19" t="str">
        <f>$R$2&amp;".Commands.CIMX"</f>
        <v>АСПС.FB_BTF_S.Commands.CIMX</v>
      </c>
      <c r="B179" s="11">
        <v>7999</v>
      </c>
      <c r="C179" s="11" t="s">
        <v>0</v>
      </c>
      <c r="D179" s="20" t="str">
        <f>"#"&amp;$T$5&amp;"#"&amp;$T$2&amp;"\"&amp;$P$2&amp;"\CIMX"</f>
        <v>#1#treiOPCDA.CoOPCserv.1\pcmaster\FB_BTF_S\CIMX</v>
      </c>
    </row>
    <row r="180" spans="1:4">
      <c r="A180" s="19" t="str">
        <f>$R$2&amp;".Commands.CIMX"</f>
        <v>АСПС.FB_BTF_S.Commands.CIMX</v>
      </c>
      <c r="B180" s="11">
        <v>7998</v>
      </c>
      <c r="C180" s="11" t="s">
        <v>6</v>
      </c>
      <c r="D180" s="20">
        <v>2</v>
      </c>
    </row>
    <row r="181" spans="1:4">
      <c r="A181" s="21" t="str">
        <f>$R$2&amp;".Commands.CIMX"</f>
        <v>АСПС.FB_BTF_S.Commands.CIMX</v>
      </c>
      <c r="B181" s="8">
        <v>1</v>
      </c>
      <c r="C181" s="8" t="s">
        <v>1</v>
      </c>
      <c r="D181" s="22">
        <v>11</v>
      </c>
    </row>
    <row r="182" spans="1:4">
      <c r="A182" s="16" t="str">
        <f>$R$2&amp;".Commands.CRST"</f>
        <v>АСПС.FB_BTF_S.Commands.CRST</v>
      </c>
      <c r="B182" s="17">
        <v>101</v>
      </c>
      <c r="C182" s="17" t="s">
        <v>0</v>
      </c>
      <c r="D182" s="18" t="s">
        <v>455</v>
      </c>
    </row>
    <row r="183" spans="1:4">
      <c r="A183" s="19" t="str">
        <f>$R$2&amp;".Commands.CRST"</f>
        <v>АСПС.FB_BTF_S.Commands.CRST</v>
      </c>
      <c r="B183" s="11">
        <v>7999</v>
      </c>
      <c r="C183" s="11" t="s">
        <v>0</v>
      </c>
      <c r="D183" s="20" t="str">
        <f>"#"&amp;$T$5&amp;"#"&amp;$T$2&amp;"\"&amp;$P$2&amp;"\CRST"</f>
        <v>#1#treiOPCDA.CoOPCserv.1\pcmaster\FB_BTF_S\CRST</v>
      </c>
    </row>
    <row r="184" spans="1:4">
      <c r="A184" s="19" t="str">
        <f>$R$2&amp;".Commands.CRST"</f>
        <v>АСПС.FB_BTF_S.Commands.CRST</v>
      </c>
      <c r="B184" s="11">
        <v>7998</v>
      </c>
      <c r="C184" s="11" t="s">
        <v>6</v>
      </c>
      <c r="D184" s="20">
        <v>2</v>
      </c>
    </row>
    <row r="185" spans="1:4">
      <c r="A185" s="21" t="str">
        <f>$R$2&amp;".Commands.CRST"</f>
        <v>АСПС.FB_BTF_S.Commands.CRST</v>
      </c>
      <c r="B185" s="8">
        <v>1</v>
      </c>
      <c r="C185" s="8" t="s">
        <v>1</v>
      </c>
      <c r="D185" s="22">
        <v>11</v>
      </c>
    </row>
    <row r="186" spans="1:4">
      <c r="A186" s="16" t="str">
        <f>$R$2&amp;".Commands.CTST"</f>
        <v>АСПС.FB_BTF_S.Commands.CTST</v>
      </c>
      <c r="B186" s="17">
        <v>101</v>
      </c>
      <c r="C186" s="17" t="s">
        <v>0</v>
      </c>
      <c r="D186" s="18" t="s">
        <v>568</v>
      </c>
    </row>
    <row r="187" spans="1:4">
      <c r="A187" s="19" t="str">
        <f>$R$2&amp;".Commands.CTST"</f>
        <v>АСПС.FB_BTF_S.Commands.CTST</v>
      </c>
      <c r="B187" s="11">
        <v>7999</v>
      </c>
      <c r="C187" s="11" t="s">
        <v>0</v>
      </c>
      <c r="D187" s="20" t="str">
        <f>"#"&amp;$T$5&amp;"#"&amp;$T$2&amp;"\"&amp;$P$2&amp;"\CTST"</f>
        <v>#1#treiOPCDA.CoOPCserv.1\pcmaster\FB_BTF_S\CTST</v>
      </c>
    </row>
    <row r="188" spans="1:4">
      <c r="A188" s="19" t="str">
        <f>$R$2&amp;".Commands.CTST"</f>
        <v>АСПС.FB_BTF_S.Commands.CTST</v>
      </c>
      <c r="B188" s="11">
        <v>7998</v>
      </c>
      <c r="C188" s="11" t="s">
        <v>6</v>
      </c>
      <c r="D188" s="20">
        <v>2</v>
      </c>
    </row>
    <row r="189" spans="1:4">
      <c r="A189" s="21" t="str">
        <f>$R$2&amp;".Commands.CTST"</f>
        <v>АСПС.FB_BTF_S.Commands.CTST</v>
      </c>
      <c r="B189" s="8">
        <v>1</v>
      </c>
      <c r="C189" s="8" t="s">
        <v>1</v>
      </c>
      <c r="D189" s="22">
        <v>11</v>
      </c>
    </row>
    <row r="190" spans="1:4">
      <c r="A190" s="19" t="str">
        <f t="shared" ref="A190:A195" si="15">$R$2&amp;".FXXX"</f>
        <v>АСПС.FB_BTF_S.FXXX</v>
      </c>
      <c r="B190" s="17">
        <v>1</v>
      </c>
      <c r="C190" s="17" t="s">
        <v>1</v>
      </c>
      <c r="D190" s="18">
        <v>11</v>
      </c>
    </row>
    <row r="191" spans="1:4">
      <c r="A191" s="19" t="str">
        <f t="shared" si="15"/>
        <v>АСПС.FB_BTF_S.FXXX</v>
      </c>
      <c r="B191" s="11">
        <v>2</v>
      </c>
      <c r="C191" s="11" t="s">
        <v>2</v>
      </c>
      <c r="D191" s="20" t="s">
        <v>3</v>
      </c>
    </row>
    <row r="192" spans="1:4">
      <c r="A192" s="19" t="str">
        <f t="shared" si="15"/>
        <v>АСПС.FB_BTF_S.FXXX</v>
      </c>
      <c r="B192" s="11">
        <v>3</v>
      </c>
      <c r="C192" s="11" t="s">
        <v>1</v>
      </c>
      <c r="D192" s="20">
        <v>192</v>
      </c>
    </row>
    <row r="193" spans="1:4">
      <c r="A193" s="19" t="str">
        <f t="shared" si="15"/>
        <v>АСПС.FB_BTF_S.FXXX</v>
      </c>
      <c r="B193" s="11">
        <v>101</v>
      </c>
      <c r="C193" s="11" t="s">
        <v>0</v>
      </c>
      <c r="D193" s="20" t="s">
        <v>139</v>
      </c>
    </row>
    <row r="194" spans="1:4">
      <c r="A194" s="19" t="str">
        <f t="shared" si="15"/>
        <v>АСПС.FB_BTF_S.FXXX</v>
      </c>
      <c r="B194" s="11">
        <v>7998</v>
      </c>
      <c r="C194" s="11" t="s">
        <v>6</v>
      </c>
      <c r="D194" s="20">
        <v>1</v>
      </c>
    </row>
    <row r="195" spans="1:4">
      <c r="A195" s="19" t="str">
        <f t="shared" si="15"/>
        <v>АСПС.FB_BTF_S.FXXX</v>
      </c>
      <c r="B195" s="11">
        <v>7999</v>
      </c>
      <c r="C195" s="11" t="s">
        <v>0</v>
      </c>
      <c r="D195" s="20" t="str">
        <f>"#"&amp;$S$2&amp;"#"&amp;$T$2&amp;"\"&amp;$P$2&amp;"\FXXX"</f>
        <v>#2#treiOPCDA.CoOPCserv.1\pcmaster\FB_BTF_S\FXXX</v>
      </c>
    </row>
    <row r="196" spans="1:4">
      <c r="A196" s="16" t="str">
        <f t="shared" ref="A196:A201" si="16">$R$2&amp;".XNXX"</f>
        <v>АСПС.FB_BTF_S.XNXX</v>
      </c>
      <c r="B196" s="17">
        <v>1</v>
      </c>
      <c r="C196" s="17" t="s">
        <v>1</v>
      </c>
      <c r="D196" s="18">
        <v>11</v>
      </c>
    </row>
    <row r="197" spans="1:4">
      <c r="A197" s="19" t="str">
        <f t="shared" si="16"/>
        <v>АСПС.FB_BTF_S.XNXX</v>
      </c>
      <c r="B197" s="11">
        <v>2</v>
      </c>
      <c r="C197" s="11" t="s">
        <v>2</v>
      </c>
      <c r="D197" s="20" t="s">
        <v>3</v>
      </c>
    </row>
    <row r="198" spans="1:4">
      <c r="A198" s="19" t="str">
        <f t="shared" si="16"/>
        <v>АСПС.FB_BTF_S.XNXX</v>
      </c>
      <c r="B198" s="11">
        <v>3</v>
      </c>
      <c r="C198" s="11" t="s">
        <v>1</v>
      </c>
      <c r="D198" s="20">
        <v>192</v>
      </c>
    </row>
    <row r="199" spans="1:4">
      <c r="A199" s="19" t="str">
        <f t="shared" si="16"/>
        <v>АСПС.FB_BTF_S.XNXX</v>
      </c>
      <c r="B199" s="11">
        <v>101</v>
      </c>
      <c r="C199" s="11" t="s">
        <v>0</v>
      </c>
      <c r="D199" s="20" t="s">
        <v>424</v>
      </c>
    </row>
    <row r="200" spans="1:4">
      <c r="A200" s="19" t="str">
        <f t="shared" si="16"/>
        <v>АСПС.FB_BTF_S.XNXX</v>
      </c>
      <c r="B200" s="11">
        <v>7998</v>
      </c>
      <c r="C200" s="11" t="s">
        <v>6</v>
      </c>
      <c r="D200" s="20">
        <v>1</v>
      </c>
    </row>
    <row r="201" spans="1:4">
      <c r="A201" s="19" t="str">
        <f t="shared" si="16"/>
        <v>АСПС.FB_BTF_S.XNXX</v>
      </c>
      <c r="B201" s="11">
        <v>7999</v>
      </c>
      <c r="C201" s="11" t="s">
        <v>0</v>
      </c>
      <c r="D201" s="20" t="str">
        <f>"#"&amp;$S$2&amp;"#"&amp;$T$2&amp;"\"&amp;$P$2&amp;"\XNXX"</f>
        <v>#2#treiOPCDA.CoOPCserv.1\pcmaster\FB_BTF_S\XNXX</v>
      </c>
    </row>
    <row r="202" spans="1:4">
      <c r="A202" s="16" t="str">
        <f t="shared" ref="A202:A207" si="17">$R$2&amp;".CRST"</f>
        <v>АСПС.FB_BTF_S.CRST</v>
      </c>
      <c r="B202" s="17">
        <v>7999</v>
      </c>
      <c r="C202" s="17" t="s">
        <v>0</v>
      </c>
      <c r="D202" s="18" t="str">
        <f>"#"&amp;$S$2&amp;"#"&amp;$T$2&amp;"\"&amp;$P$2&amp;"\CRST"</f>
        <v>#2#treiOPCDA.CoOPCserv.1\pcmaster\FB_BTF_S\CRST</v>
      </c>
    </row>
    <row r="203" spans="1:4">
      <c r="A203" s="19" t="str">
        <f t="shared" si="17"/>
        <v>АСПС.FB_BTF_S.CRST</v>
      </c>
      <c r="B203" s="11">
        <v>7998</v>
      </c>
      <c r="C203" s="11" t="s">
        <v>6</v>
      </c>
      <c r="D203" s="20">
        <v>1</v>
      </c>
    </row>
    <row r="204" spans="1:4">
      <c r="A204" s="19" t="str">
        <f t="shared" si="17"/>
        <v>АСПС.FB_BTF_S.CRST</v>
      </c>
      <c r="B204" s="11">
        <v>101</v>
      </c>
      <c r="C204" s="11" t="s">
        <v>0</v>
      </c>
      <c r="D204" s="20" t="s">
        <v>427</v>
      </c>
    </row>
    <row r="205" spans="1:4">
      <c r="A205" s="19" t="str">
        <f t="shared" si="17"/>
        <v>АСПС.FB_BTF_S.CRST</v>
      </c>
      <c r="B205" s="11">
        <v>3</v>
      </c>
      <c r="C205" s="11" t="s">
        <v>1</v>
      </c>
      <c r="D205" s="20">
        <v>192</v>
      </c>
    </row>
    <row r="206" spans="1:4">
      <c r="A206" s="19" t="str">
        <f t="shared" si="17"/>
        <v>АСПС.FB_BTF_S.CRST</v>
      </c>
      <c r="B206" s="11">
        <v>2</v>
      </c>
      <c r="C206" s="11" t="s">
        <v>2</v>
      </c>
      <c r="D206" s="20" t="s">
        <v>3</v>
      </c>
    </row>
    <row r="207" spans="1:4">
      <c r="A207" s="21" t="str">
        <f t="shared" si="17"/>
        <v>АСПС.FB_BTF_S.CRST</v>
      </c>
      <c r="B207" s="8">
        <v>1</v>
      </c>
      <c r="C207" s="8" t="s">
        <v>1</v>
      </c>
      <c r="D207" s="22">
        <v>11</v>
      </c>
    </row>
    <row r="208" spans="1:4">
      <c r="A208" s="16" t="str">
        <f t="shared" ref="A208:A213" si="18">$R$2&amp;".CTST"</f>
        <v>АСПС.FB_BTF_S.CTST</v>
      </c>
      <c r="B208" s="17">
        <v>7999</v>
      </c>
      <c r="C208" s="17" t="s">
        <v>0</v>
      </c>
      <c r="D208" s="18" t="str">
        <f>"#"&amp;$S$2&amp;"#"&amp;$T$2&amp;"\"&amp;$P$2&amp;"\CTST"</f>
        <v>#2#treiOPCDA.CoOPCserv.1\pcmaster\FB_BTF_S\CTST</v>
      </c>
    </row>
    <row r="209" spans="1:4">
      <c r="A209" s="19" t="str">
        <f t="shared" si="18"/>
        <v>АСПС.FB_BTF_S.CTST</v>
      </c>
      <c r="B209" s="11">
        <v>7998</v>
      </c>
      <c r="C209" s="11" t="s">
        <v>6</v>
      </c>
      <c r="D209" s="20">
        <v>1</v>
      </c>
    </row>
    <row r="210" spans="1:4">
      <c r="A210" s="19" t="str">
        <f t="shared" si="18"/>
        <v>АСПС.FB_BTF_S.CTST</v>
      </c>
      <c r="B210" s="11">
        <v>101</v>
      </c>
      <c r="C210" s="11" t="s">
        <v>0</v>
      </c>
      <c r="D210" s="20" t="s">
        <v>568</v>
      </c>
    </row>
    <row r="211" spans="1:4">
      <c r="A211" s="19" t="str">
        <f t="shared" si="18"/>
        <v>АСПС.FB_BTF_S.CTST</v>
      </c>
      <c r="B211" s="11">
        <v>3</v>
      </c>
      <c r="C211" s="11" t="s">
        <v>1</v>
      </c>
      <c r="D211" s="20">
        <v>192</v>
      </c>
    </row>
    <row r="212" spans="1:4">
      <c r="A212" s="19" t="str">
        <f t="shared" si="18"/>
        <v>АСПС.FB_BTF_S.CTST</v>
      </c>
      <c r="B212" s="11">
        <v>2</v>
      </c>
      <c r="C212" s="11" t="s">
        <v>2</v>
      </c>
      <c r="D212" s="20" t="s">
        <v>3</v>
      </c>
    </row>
    <row r="213" spans="1:4">
      <c r="A213" s="21" t="str">
        <f t="shared" si="18"/>
        <v>АСПС.FB_BTF_S.CTST</v>
      </c>
      <c r="B213" s="8">
        <v>1</v>
      </c>
      <c r="C213" s="8" t="s">
        <v>1</v>
      </c>
      <c r="D213" s="22">
        <v>11</v>
      </c>
    </row>
    <row r="214" spans="1:4">
      <c r="A214" s="16" t="str">
        <f t="shared" ref="A214:A219" si="19">$R$2&amp;".IFEX"</f>
        <v>АСПС.FB_BTF_S.IFEX</v>
      </c>
      <c r="B214" s="17">
        <v>7999</v>
      </c>
      <c r="C214" s="17" t="s">
        <v>0</v>
      </c>
      <c r="D214" s="18" t="str">
        <f>"#"&amp;$S$2&amp;"#"&amp;$T$2&amp;"\"&amp;$P$2&amp;"\IFEX"</f>
        <v>#2#treiOPCDA.CoOPCserv.1\pcmaster\FB_BTF_S\IFEX</v>
      </c>
    </row>
    <row r="215" spans="1:4">
      <c r="A215" s="19" t="str">
        <f t="shared" si="19"/>
        <v>АСПС.FB_BTF_S.IFEX</v>
      </c>
      <c r="B215" s="11">
        <v>7998</v>
      </c>
      <c r="C215" s="11" t="s">
        <v>6</v>
      </c>
      <c r="D215" s="20">
        <v>1</v>
      </c>
    </row>
    <row r="216" spans="1:4">
      <c r="A216" s="19" t="str">
        <f t="shared" si="19"/>
        <v>АСПС.FB_BTF_S.IFEX</v>
      </c>
      <c r="B216" s="11">
        <v>101</v>
      </c>
      <c r="C216" s="11" t="s">
        <v>0</v>
      </c>
      <c r="D216" s="20" t="s">
        <v>176</v>
      </c>
    </row>
    <row r="217" spans="1:4">
      <c r="A217" s="19" t="str">
        <f t="shared" si="19"/>
        <v>АСПС.FB_BTF_S.IFEX</v>
      </c>
      <c r="B217" s="11">
        <v>3</v>
      </c>
      <c r="C217" s="11" t="s">
        <v>1</v>
      </c>
      <c r="D217" s="20">
        <v>192</v>
      </c>
    </row>
    <row r="218" spans="1:4">
      <c r="A218" s="19" t="str">
        <f t="shared" si="19"/>
        <v>АСПС.FB_BTF_S.IFEX</v>
      </c>
      <c r="B218" s="11">
        <v>2</v>
      </c>
      <c r="C218" s="11" t="s">
        <v>2</v>
      </c>
      <c r="D218" s="20" t="s">
        <v>3</v>
      </c>
    </row>
    <row r="219" spans="1:4">
      <c r="A219" s="21" t="str">
        <f t="shared" si="19"/>
        <v>АСПС.FB_BTF_S.IFEX</v>
      </c>
      <c r="B219" s="8">
        <v>1</v>
      </c>
      <c r="C219" s="8" t="s">
        <v>1</v>
      </c>
      <c r="D219" s="22">
        <v>11</v>
      </c>
    </row>
    <row r="220" spans="1:4">
      <c r="A220" s="275" t="str">
        <f t="shared" ref="A220:A225" si="20">$R$2&amp;".IVXX"</f>
        <v>АСПС.FB_BTF_S.IVXX</v>
      </c>
      <c r="B220" s="276">
        <v>3</v>
      </c>
      <c r="C220" s="276" t="s">
        <v>1</v>
      </c>
      <c r="D220" s="277">
        <v>192</v>
      </c>
    </row>
    <row r="221" spans="1:4">
      <c r="A221" s="278" t="str">
        <f t="shared" si="20"/>
        <v>АСПС.FB_BTF_S.IVXX</v>
      </c>
      <c r="B221" s="279">
        <v>2</v>
      </c>
      <c r="C221" s="279" t="s">
        <v>80</v>
      </c>
      <c r="D221" s="280">
        <v>0</v>
      </c>
    </row>
    <row r="222" spans="1:4">
      <c r="A222" s="278" t="str">
        <f t="shared" si="20"/>
        <v>АСПС.FB_BTF_S.IVXX</v>
      </c>
      <c r="B222" s="279">
        <v>1</v>
      </c>
      <c r="C222" s="279" t="s">
        <v>1</v>
      </c>
      <c r="D222" s="280">
        <v>4</v>
      </c>
    </row>
    <row r="223" spans="1:4">
      <c r="A223" s="278" t="str">
        <f t="shared" si="20"/>
        <v>АСПС.FB_BTF_S.IVXX</v>
      </c>
      <c r="B223" s="279">
        <v>101</v>
      </c>
      <c r="C223" s="279" t="s">
        <v>0</v>
      </c>
      <c r="D223" s="280" t="s">
        <v>42</v>
      </c>
    </row>
    <row r="224" spans="1:4">
      <c r="A224" s="278" t="str">
        <f t="shared" si="20"/>
        <v>АСПС.FB_BTF_S.IVXX</v>
      </c>
      <c r="B224" s="279">
        <v>7998</v>
      </c>
      <c r="C224" s="279" t="s">
        <v>6</v>
      </c>
      <c r="D224" s="280">
        <v>1</v>
      </c>
    </row>
    <row r="225" spans="1:5">
      <c r="A225" s="281" t="str">
        <f t="shared" si="20"/>
        <v>АСПС.FB_BTF_S.IVXX</v>
      </c>
      <c r="B225" s="282">
        <v>7999</v>
      </c>
      <c r="C225" s="282" t="s">
        <v>0</v>
      </c>
      <c r="D225" s="283" t="str">
        <f>"#"&amp;$S$2&amp;"#"&amp;$T$2&amp;"\"&amp;$P$2&amp;"\IVXX"</f>
        <v>#2#treiOPCDA.CoOPCserv.1\pcmaster\FB_BTF_S\IVXX</v>
      </c>
    </row>
    <row r="226" spans="1:5">
      <c r="A226" s="266" t="str">
        <f t="shared" ref="A226:A231" si="21">$R$2&amp;".SIMX"</f>
        <v>АСПС.FB_BTF_S.SIMX</v>
      </c>
      <c r="B226" s="267">
        <v>7999</v>
      </c>
      <c r="C226" s="267" t="s">
        <v>0</v>
      </c>
      <c r="D226" s="268" t="str">
        <f>"#"&amp;$S$2&amp;"#"&amp;$T$2&amp;"\"&amp;$P$2&amp;"\SIMX"</f>
        <v>#2#treiOPCDA.CoOPCserv.1\pcmaster\FB_BTF_S\SIMX</v>
      </c>
      <c r="E226" s="784" t="s">
        <v>618</v>
      </c>
    </row>
    <row r="227" spans="1:5">
      <c r="A227" s="269" t="str">
        <f t="shared" si="21"/>
        <v>АСПС.FB_BTF_S.SIMX</v>
      </c>
      <c r="B227" s="270">
        <v>7998</v>
      </c>
      <c r="C227" s="270" t="s">
        <v>6</v>
      </c>
      <c r="D227" s="271">
        <v>1</v>
      </c>
      <c r="E227" s="784"/>
    </row>
    <row r="228" spans="1:5">
      <c r="A228" s="269" t="str">
        <f t="shared" si="21"/>
        <v>АСПС.FB_BTF_S.SIMX</v>
      </c>
      <c r="B228" s="270">
        <v>101</v>
      </c>
      <c r="C228" s="270" t="s">
        <v>0</v>
      </c>
      <c r="D228" s="271" t="s">
        <v>29</v>
      </c>
      <c r="E228" s="784"/>
    </row>
    <row r="229" spans="1:5">
      <c r="A229" s="269" t="str">
        <f t="shared" si="21"/>
        <v>АСПС.FB_BTF_S.SIMX</v>
      </c>
      <c r="B229" s="270">
        <v>3</v>
      </c>
      <c r="C229" s="270" t="s">
        <v>1</v>
      </c>
      <c r="D229" s="271">
        <v>192</v>
      </c>
      <c r="E229" s="784"/>
    </row>
    <row r="230" spans="1:5">
      <c r="A230" s="269" t="str">
        <f t="shared" si="21"/>
        <v>АСПС.FB_BTF_S.SIMX</v>
      </c>
      <c r="B230" s="270">
        <v>2</v>
      </c>
      <c r="C230" s="270" t="s">
        <v>6</v>
      </c>
      <c r="D230" s="271">
        <v>0</v>
      </c>
      <c r="E230" s="784"/>
    </row>
    <row r="231" spans="1:5">
      <c r="A231" s="272" t="str">
        <f t="shared" si="21"/>
        <v>АСПС.FB_BTF_S.SIMX</v>
      </c>
      <c r="B231" s="273">
        <v>1</v>
      </c>
      <c r="C231" s="273" t="s">
        <v>1</v>
      </c>
      <c r="D231" s="271">
        <v>3</v>
      </c>
      <c r="E231" s="784"/>
    </row>
    <row r="232" spans="1:5">
      <c r="A232" s="266" t="str">
        <f t="shared" ref="A232:A237" si="22">$R$2&amp;".XVLX"</f>
        <v>АСПС.FB_BTF_S.XVLX</v>
      </c>
      <c r="B232" s="267">
        <v>3</v>
      </c>
      <c r="C232" s="267" t="s">
        <v>1</v>
      </c>
      <c r="D232" s="268">
        <v>192</v>
      </c>
    </row>
    <row r="233" spans="1:5">
      <c r="A233" s="269" t="str">
        <f t="shared" si="22"/>
        <v>АСПС.FB_BTF_S.XVLX</v>
      </c>
      <c r="B233" s="270">
        <v>2</v>
      </c>
      <c r="C233" s="270" t="s">
        <v>6</v>
      </c>
      <c r="D233" s="271">
        <v>0</v>
      </c>
    </row>
    <row r="234" spans="1:5">
      <c r="A234" s="269" t="str">
        <f t="shared" si="22"/>
        <v>АСПС.FB_BTF_S.XVLX</v>
      </c>
      <c r="B234" s="270">
        <v>1</v>
      </c>
      <c r="C234" s="270" t="s">
        <v>1</v>
      </c>
      <c r="D234" s="271">
        <v>3</v>
      </c>
    </row>
    <row r="235" spans="1:5">
      <c r="A235" s="269" t="str">
        <f t="shared" si="22"/>
        <v>АСПС.FB_BTF_S.XVLX</v>
      </c>
      <c r="B235" s="270">
        <v>101</v>
      </c>
      <c r="C235" s="270" t="s">
        <v>0</v>
      </c>
      <c r="D235" s="271" t="s">
        <v>234</v>
      </c>
    </row>
    <row r="236" spans="1:5">
      <c r="A236" s="269" t="str">
        <f t="shared" si="22"/>
        <v>АСПС.FB_BTF_S.XVLX</v>
      </c>
      <c r="B236" s="270">
        <v>7998</v>
      </c>
      <c r="C236" s="270" t="s">
        <v>6</v>
      </c>
      <c r="D236" s="271">
        <v>1</v>
      </c>
    </row>
    <row r="237" spans="1:5">
      <c r="A237" s="272" t="str">
        <f t="shared" si="22"/>
        <v>АСПС.FB_BTF_S.XVLX</v>
      </c>
      <c r="B237" s="273">
        <v>7999</v>
      </c>
      <c r="C237" s="273" t="s">
        <v>0</v>
      </c>
      <c r="D237" s="274" t="str">
        <f>"#"&amp;$S$2&amp;"#"&amp;$T$2&amp;"\"&amp;$P$2&amp;"\XVLX"</f>
        <v>#2#treiOPCDA.CoOPCserv.1\pcmaster\FB_BTF_S\XVLX</v>
      </c>
    </row>
    <row r="238" spans="1:5">
      <c r="A238" s="266" t="str">
        <f t="shared" ref="A238:A243" si="23">$R$2&amp;".STYP"</f>
        <v>АСПС.FB_BTF_S.STYP</v>
      </c>
      <c r="B238" s="267">
        <v>7999</v>
      </c>
      <c r="C238" s="267" t="s">
        <v>0</v>
      </c>
      <c r="D238" s="268" t="str">
        <f>"#"&amp;$S$2&amp;"#"&amp;$T$2&amp;"\"&amp;$P$2&amp;"\STYP"</f>
        <v>#2#treiOPCDA.CoOPCserv.1\pcmaster\FB_BTF_S\STYP</v>
      </c>
    </row>
    <row r="239" spans="1:5">
      <c r="A239" s="269" t="str">
        <f t="shared" si="23"/>
        <v>АСПС.FB_BTF_S.STYP</v>
      </c>
      <c r="B239" s="270">
        <v>7998</v>
      </c>
      <c r="C239" s="270" t="s">
        <v>6</v>
      </c>
      <c r="D239" s="271">
        <v>1</v>
      </c>
    </row>
    <row r="240" spans="1:5">
      <c r="A240" s="269" t="str">
        <f t="shared" si="23"/>
        <v>АСПС.FB_BTF_S.STYP</v>
      </c>
      <c r="B240" s="270">
        <v>101</v>
      </c>
      <c r="C240" s="270" t="s">
        <v>0</v>
      </c>
      <c r="D240" s="271" t="s">
        <v>619</v>
      </c>
    </row>
    <row r="241" spans="1:4">
      <c r="A241" s="269" t="str">
        <f t="shared" si="23"/>
        <v>АСПС.FB_BTF_S.STYP</v>
      </c>
      <c r="B241" s="270">
        <v>3</v>
      </c>
      <c r="C241" s="270" t="s">
        <v>1</v>
      </c>
      <c r="D241" s="271">
        <v>192</v>
      </c>
    </row>
    <row r="242" spans="1:4">
      <c r="A242" s="269" t="str">
        <f t="shared" si="23"/>
        <v>АСПС.FB_BTF_S.STYP</v>
      </c>
      <c r="B242" s="270">
        <v>2</v>
      </c>
      <c r="C242" s="270" t="s">
        <v>6</v>
      </c>
      <c r="D242" s="271">
        <v>0</v>
      </c>
    </row>
    <row r="243" spans="1:4">
      <c r="A243" s="272" t="str">
        <f t="shared" si="23"/>
        <v>АСПС.FB_BTF_S.STYP</v>
      </c>
      <c r="B243" s="273">
        <v>1</v>
      </c>
      <c r="C243" s="273" t="s">
        <v>1</v>
      </c>
      <c r="D243" s="274">
        <v>3</v>
      </c>
    </row>
  </sheetData>
  <autoFilter ref="B1:B243" xr:uid="{00000000-0009-0000-0000-00004F000000}"/>
  <mergeCells count="1">
    <mergeCell ref="E226:E231"/>
  </mergeCell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Лист57">
    <tabColor rgb="FFFFC000"/>
  </sheetPr>
  <dimension ref="A1:BN129"/>
  <sheetViews>
    <sheetView topLeftCell="A28" zoomScale="70" zoomScaleNormal="70" workbookViewId="0">
      <selection activeCell="P2" sqref="P2:BA2"/>
    </sheetView>
  </sheetViews>
  <sheetFormatPr defaultRowHeight="14.4"/>
  <cols>
    <col min="1" max="1" width="37.109375" customWidth="1"/>
    <col min="2" max="2" width="9.5546875" customWidth="1"/>
    <col min="4" max="4" width="63.88671875" customWidth="1"/>
    <col min="5" max="15" width="9.109375"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7.33203125" customWidth="1"/>
    <col min="56" max="56" width="10.33203125" customWidth="1"/>
    <col min="57" max="57" width="10" customWidth="1"/>
    <col min="59" max="59" width="7.109375" customWidth="1"/>
    <col min="60" max="60" width="10.88671875" customWidth="1"/>
    <col min="62" max="62" width="65.109375" customWidth="1"/>
  </cols>
  <sheetData>
    <row r="1" spans="1:66" s="258" customFormat="1" ht="204.6" thickBot="1">
      <c r="A1" s="257"/>
      <c r="B1" s="257"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K1" s="259"/>
      <c r="BL1" s="259"/>
      <c r="BM1" s="259"/>
      <c r="BN1" s="259"/>
    </row>
    <row r="2" spans="1:66">
      <c r="A2" s="9"/>
      <c r="B2" s="9"/>
      <c r="C2" s="9"/>
      <c r="D2" s="9"/>
      <c r="E2" s="9"/>
      <c r="F2" s="9"/>
      <c r="P2" s="2" t="s">
        <v>423</v>
      </c>
      <c r="Q2" s="2" t="s">
        <v>431</v>
      </c>
      <c r="R2" s="2" t="s">
        <v>791</v>
      </c>
      <c r="S2" s="3">
        <v>2</v>
      </c>
      <c r="T2" s="3" t="s">
        <v>1698</v>
      </c>
      <c r="U2" s="3"/>
      <c r="V2" s="3" t="s">
        <v>569</v>
      </c>
      <c r="W2" s="12"/>
      <c r="X2" s="12"/>
      <c r="Y2" s="12"/>
      <c r="Z2" s="12" t="s">
        <v>707</v>
      </c>
      <c r="AA2" s="12"/>
      <c r="AB2" s="2"/>
      <c r="AC2" s="2" t="s">
        <v>187</v>
      </c>
      <c r="AD2" s="2"/>
      <c r="AE2" s="2" t="s">
        <v>1414</v>
      </c>
      <c r="AF2" s="2"/>
      <c r="AG2" s="2"/>
      <c r="AH2" s="2"/>
      <c r="AI2" s="2"/>
      <c r="AJ2" s="2"/>
      <c r="AK2" s="2" t="s">
        <v>1299</v>
      </c>
      <c r="AL2" s="2"/>
      <c r="AM2" s="2"/>
      <c r="AN2" s="2"/>
      <c r="AO2" s="2"/>
      <c r="AP2" s="2"/>
      <c r="AQ2" s="2"/>
      <c r="AR2" s="2"/>
      <c r="AS2" s="2"/>
      <c r="AT2" s="2"/>
      <c r="AU2" s="2"/>
      <c r="AV2" s="2"/>
      <c r="AW2" s="2"/>
      <c r="AX2" s="2"/>
      <c r="AY2" s="2">
        <v>1</v>
      </c>
      <c r="AZ2" s="2"/>
      <c r="BA2" s="2"/>
      <c r="BK2" s="4"/>
      <c r="BL2" s="4"/>
      <c r="BM2" s="4"/>
      <c r="BN2" s="4"/>
    </row>
    <row r="3" spans="1:66">
      <c r="A3" s="9"/>
      <c r="B3" s="9"/>
      <c r="C3" s="9"/>
      <c r="D3" s="9"/>
      <c r="E3" s="9"/>
      <c r="F3" s="9"/>
      <c r="P3" s="10"/>
      <c r="Q3" s="10"/>
      <c r="R3" s="10"/>
      <c r="S3" s="10"/>
      <c r="T3" s="10"/>
      <c r="U3" s="10"/>
      <c r="V3" s="10"/>
      <c r="W3" s="10"/>
      <c r="X3" s="10"/>
      <c r="Y3" s="10"/>
      <c r="Z3" s="10"/>
      <c r="AA3" s="10"/>
      <c r="BK3" s="4"/>
      <c r="BL3" s="4"/>
      <c r="BM3" s="4"/>
      <c r="BN3" s="4"/>
    </row>
    <row r="4" spans="1:66">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K4" s="4"/>
      <c r="BL4" s="4"/>
      <c r="BM4" s="4"/>
      <c r="BN4" s="4"/>
    </row>
    <row r="5" spans="1:66">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K5" s="4"/>
      <c r="BL5" s="4"/>
      <c r="BM5" s="4"/>
      <c r="BN5" s="4"/>
    </row>
    <row r="6" spans="1:66">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K6" s="4"/>
      <c r="BL6" s="4"/>
      <c r="BM6" s="4"/>
      <c r="BN6" s="4"/>
    </row>
    <row r="7" spans="1:66">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K7" s="4"/>
      <c r="BL7" s="4"/>
      <c r="BM7" s="4"/>
      <c r="BN7" s="4"/>
    </row>
    <row r="8" spans="1:66">
      <c r="A8" s="9"/>
      <c r="B8" s="9"/>
      <c r="C8" s="9"/>
      <c r="D8" s="9"/>
      <c r="E8" s="9"/>
      <c r="F8" s="9"/>
      <c r="P8" s="6" t="str">
        <f>Настройки!A5</f>
        <v>Телесигнализация</v>
      </c>
      <c r="Q8" s="5">
        <f>Настройки!B5</f>
        <v>18</v>
      </c>
      <c r="R8" s="5" t="str">
        <f>Настройки!C5</f>
        <v>Телесигнализация</v>
      </c>
      <c r="S8" s="10"/>
      <c r="T8" s="14"/>
      <c r="U8" s="10"/>
      <c r="V8" s="10"/>
      <c r="W8" s="10"/>
      <c r="X8" s="10"/>
      <c r="Y8" s="10"/>
      <c r="Z8" s="10"/>
      <c r="AA8" s="10"/>
      <c r="BK8" s="4"/>
      <c r="BL8" s="4"/>
      <c r="BM8" s="4"/>
      <c r="BN8" s="4"/>
    </row>
    <row r="9" spans="1:66">
      <c r="A9" s="9"/>
      <c r="B9" s="9"/>
      <c r="C9" s="9"/>
      <c r="D9" s="9"/>
      <c r="E9" s="9"/>
      <c r="F9" s="9"/>
      <c r="P9" s="6" t="str">
        <f>Настройки!A6</f>
        <v>Недостоверность</v>
      </c>
      <c r="Q9" s="5">
        <f>Настройки!B6</f>
        <v>10</v>
      </c>
      <c r="R9" s="5" t="str">
        <f>Настройки!C6</f>
        <v>Недостоверность</v>
      </c>
      <c r="S9" s="10"/>
      <c r="T9" s="14"/>
      <c r="U9" s="10"/>
      <c r="V9" s="10"/>
      <c r="W9" s="10"/>
      <c r="X9" s="10"/>
      <c r="Y9" s="10"/>
      <c r="Z9" s="10"/>
      <c r="AA9" s="10"/>
      <c r="BK9" s="4"/>
      <c r="BL9" s="4"/>
      <c r="BM9" s="4"/>
      <c r="BN9" s="4"/>
    </row>
    <row r="10" spans="1:66">
      <c r="A10" s="9"/>
      <c r="B10" s="9"/>
      <c r="C10" s="9"/>
      <c r="D10" s="9"/>
      <c r="E10" s="9"/>
      <c r="F10" s="9"/>
      <c r="P10" s="6" t="str">
        <f>Настройки!A7</f>
        <v>Имитация</v>
      </c>
      <c r="Q10" s="5">
        <f>Настройки!B7</f>
        <v>16</v>
      </c>
      <c r="R10" s="5" t="str">
        <f>Настройки!C7</f>
        <v>Имитация</v>
      </c>
      <c r="S10" s="10"/>
      <c r="T10" s="14"/>
      <c r="U10" s="10"/>
      <c r="V10" s="10"/>
      <c r="W10" s="10"/>
      <c r="X10" s="10"/>
      <c r="Y10" s="10"/>
      <c r="Z10" s="10"/>
      <c r="AA10" s="10"/>
      <c r="BK10" s="4"/>
      <c r="BL10" s="4"/>
      <c r="BM10" s="4"/>
      <c r="BN10" s="4"/>
    </row>
    <row r="11" spans="1:66">
      <c r="A11" s="9"/>
      <c r="B11" s="9"/>
      <c r="C11" s="9"/>
      <c r="D11" s="9"/>
      <c r="E11" s="9"/>
      <c r="F11" s="9"/>
      <c r="P11" s="6" t="str">
        <f>Настройки!A8</f>
        <v>Ремонт</v>
      </c>
      <c r="Q11" s="5">
        <f>Настройки!B8</f>
        <v>14</v>
      </c>
      <c r="R11" s="5" t="str">
        <f>Настройки!C8</f>
        <v>Ремонт</v>
      </c>
      <c r="S11" s="10"/>
      <c r="T11" s="14"/>
      <c r="U11" s="10"/>
      <c r="V11" s="10"/>
      <c r="W11" s="10"/>
      <c r="X11" s="10"/>
      <c r="Y11" s="10"/>
      <c r="Z11" s="10"/>
      <c r="AA11" s="10"/>
      <c r="BK11" s="4"/>
      <c r="BL11" s="4"/>
      <c r="BM11" s="4"/>
      <c r="BN11" s="4"/>
    </row>
    <row r="12" spans="1:66">
      <c r="A12" s="9"/>
      <c r="B12" s="9"/>
      <c r="C12" s="9"/>
      <c r="D12" s="9"/>
      <c r="E12" s="9"/>
      <c r="F12" s="9"/>
      <c r="P12" s="6" t="str">
        <f>Настройки!A9</f>
        <v>Команда оператора</v>
      </c>
      <c r="Q12" s="5">
        <f>Настройки!B9</f>
        <v>20</v>
      </c>
      <c r="R12" s="5" t="str">
        <f>Настройки!C9</f>
        <v>Команда оператора</v>
      </c>
      <c r="S12" s="10"/>
      <c r="T12" s="14"/>
      <c r="U12" s="10"/>
      <c r="V12" s="10"/>
      <c r="W12" s="10"/>
      <c r="X12" s="10"/>
      <c r="Y12" s="10"/>
      <c r="Z12" s="10"/>
      <c r="AA12" s="10"/>
      <c r="BK12" s="4"/>
      <c r="BL12" s="4"/>
      <c r="BM12" s="4"/>
      <c r="BN12" s="4"/>
    </row>
    <row r="13" spans="1:66">
      <c r="A13" s="9"/>
      <c r="B13" s="9"/>
      <c r="C13" s="9"/>
      <c r="D13" s="9"/>
      <c r="E13" s="9"/>
      <c r="F13" s="9"/>
      <c r="P13" s="6" t="str">
        <f>Настройки!A10</f>
        <v>Тревога</v>
      </c>
      <c r="Q13" s="5">
        <f>Настройки!B10</f>
        <v>5</v>
      </c>
      <c r="R13" s="5" t="str">
        <f>Настройки!C10</f>
        <v>Тревога</v>
      </c>
      <c r="S13" s="10"/>
      <c r="T13" s="14"/>
      <c r="U13" s="10"/>
      <c r="V13" s="10"/>
      <c r="W13" s="10"/>
      <c r="X13" s="10"/>
      <c r="Y13" s="10"/>
      <c r="Z13" s="10"/>
      <c r="AA13" s="10"/>
      <c r="BK13" s="4"/>
      <c r="BL13" s="4"/>
      <c r="BM13" s="4"/>
      <c r="BN13" s="4"/>
    </row>
    <row r="14" spans="1:66">
      <c r="A14" s="9"/>
      <c r="B14" s="9"/>
      <c r="C14" s="9"/>
      <c r="D14" s="9"/>
      <c r="E14" s="9"/>
      <c r="F14" s="9"/>
      <c r="P14" s="6" t="str">
        <f>Настройки!A11</f>
        <v>Тушение</v>
      </c>
      <c r="Q14" s="5">
        <f>Настройки!B11</f>
        <v>1</v>
      </c>
      <c r="R14" s="5" t="str">
        <f>Настройки!C11</f>
        <v>Тушение</v>
      </c>
      <c r="S14" s="10"/>
      <c r="T14" s="14"/>
      <c r="U14" s="10"/>
      <c r="V14" s="10"/>
      <c r="W14" s="10"/>
      <c r="X14" s="10"/>
      <c r="Y14" s="10"/>
      <c r="Z14" s="10"/>
      <c r="AA14" s="10"/>
      <c r="BK14" s="4"/>
      <c r="BL14" s="4"/>
      <c r="BM14" s="4"/>
      <c r="BN14" s="4"/>
    </row>
    <row r="15" spans="1:66">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K15" s="4"/>
      <c r="BL15" s="4"/>
      <c r="BM15" s="4"/>
      <c r="BN15" s="4"/>
    </row>
    <row r="16" spans="1:66">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K16" s="4"/>
      <c r="BL16" s="4"/>
      <c r="BM16" s="4"/>
      <c r="BN16" s="4"/>
    </row>
    <row r="17" spans="1:66">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K17" s="4"/>
      <c r="BL17" s="4"/>
      <c r="BM17" s="4"/>
      <c r="BN17" s="4"/>
    </row>
    <row r="18" spans="1:66">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K18" s="4"/>
      <c r="BL18" s="4"/>
      <c r="BM18" s="4"/>
      <c r="BN18" s="4"/>
    </row>
    <row r="19" spans="1:66">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K19" s="4"/>
      <c r="BL19" s="4"/>
      <c r="BM19" s="4"/>
      <c r="BN19" s="4"/>
    </row>
    <row r="20" spans="1:66">
      <c r="A20" s="16" t="str">
        <f t="shared" ref="A20:A29" si="0">$R$2</f>
        <v>АСПС.FB_SHOP_S</v>
      </c>
      <c r="B20" s="17">
        <v>11001</v>
      </c>
      <c r="C20" s="17" t="s">
        <v>0</v>
      </c>
      <c r="D20" s="18" t="str">
        <f>$Q$2&amp;". "</f>
        <v xml:space="preserve">Шлейф оповещения о пожаре. </v>
      </c>
      <c r="F20" s="4"/>
      <c r="BK20" s="4"/>
      <c r="BL20" s="4"/>
      <c r="BM20" s="4"/>
      <c r="BN20" s="4"/>
    </row>
    <row r="21" spans="1:66">
      <c r="A21" s="19" t="str">
        <f t="shared" si="0"/>
        <v>АСПС.FB_SHOP_S</v>
      </c>
      <c r="B21" s="11">
        <v>11156</v>
      </c>
      <c r="C21" s="11" t="s">
        <v>0</v>
      </c>
      <c r="D21" s="20" t="str">
        <f>$V$2</f>
        <v>Тестовый экран</v>
      </c>
      <c r="F21" s="4"/>
      <c r="BK21" s="4"/>
      <c r="BL21" s="4"/>
      <c r="BM21" s="4"/>
      <c r="BN21" s="4"/>
    </row>
    <row r="22" spans="1:66">
      <c r="A22" s="19" t="str">
        <f t="shared" si="0"/>
        <v>АСПС.FB_SHOP_S</v>
      </c>
      <c r="B22" s="11">
        <v>1</v>
      </c>
      <c r="C22" s="11" t="s">
        <v>1</v>
      </c>
      <c r="D22" s="20">
        <v>17</v>
      </c>
      <c r="BK22" s="4"/>
      <c r="BL22" s="4"/>
      <c r="BM22" s="4"/>
      <c r="BN22" s="4"/>
    </row>
    <row r="23" spans="1:66" ht="15" customHeight="1">
      <c r="A23" s="16" t="str">
        <f t="shared" si="0"/>
        <v>АСПС.FB_SHOP_S</v>
      </c>
      <c r="B23" s="17">
        <v>100</v>
      </c>
      <c r="C23" s="17" t="s">
        <v>0</v>
      </c>
      <c r="D23" s="18" t="b">
        <f>$T$7</f>
        <v>0</v>
      </c>
      <c r="BF23" s="4"/>
      <c r="BG23" s="4"/>
      <c r="BH23" s="4"/>
      <c r="BI23" s="4"/>
    </row>
    <row r="24" spans="1:66">
      <c r="A24" s="19" t="str">
        <f t="shared" si="0"/>
        <v>АСПС.FB_SHOP_S</v>
      </c>
      <c r="B24" s="11">
        <v>11120</v>
      </c>
      <c r="C24" s="11" t="s">
        <v>0</v>
      </c>
      <c r="D24" s="20" t="str">
        <f>$Z$2</f>
        <v>Свет</v>
      </c>
      <c r="BK24" s="4"/>
      <c r="BL24" s="4"/>
      <c r="BM24" s="4"/>
      <c r="BN24" s="4"/>
    </row>
    <row r="25" spans="1:66">
      <c r="A25" s="19" t="str">
        <f t="shared" si="0"/>
        <v>АСПС.FB_SHOP_S</v>
      </c>
      <c r="B25" s="11">
        <v>11121</v>
      </c>
      <c r="C25" s="11" t="s">
        <v>0</v>
      </c>
      <c r="D25" s="20" t="str">
        <f>$AK$2</f>
        <v>MUPS1+1</v>
      </c>
      <c r="BK25" s="4"/>
      <c r="BL25" s="4"/>
      <c r="BM25" s="4"/>
      <c r="BN25" s="4"/>
    </row>
    <row r="26" spans="1:66">
      <c r="A26" s="19" t="str">
        <f t="shared" si="0"/>
        <v>АСПС.FB_SHOP_S</v>
      </c>
      <c r="B26" s="11">
        <v>11122</v>
      </c>
      <c r="C26" s="11" t="s">
        <v>0</v>
      </c>
      <c r="D26" s="20" t="str">
        <f>$AC$2</f>
        <v>Красный</v>
      </c>
      <c r="BK26" s="4"/>
      <c r="BL26" s="4"/>
      <c r="BM26" s="4"/>
      <c r="BN26" s="4"/>
    </row>
    <row r="27" spans="1:66">
      <c r="A27" s="21" t="str">
        <f t="shared" si="0"/>
        <v>АСПС.FB_SHOP_S</v>
      </c>
      <c r="B27" s="8">
        <v>11123</v>
      </c>
      <c r="C27" s="8" t="s">
        <v>0</v>
      </c>
      <c r="D27" s="22" t="str">
        <f>$Z$2</f>
        <v>Свет</v>
      </c>
      <c r="BK27" s="4"/>
      <c r="BL27" s="4"/>
      <c r="BM27" s="4"/>
      <c r="BN27" s="4"/>
    </row>
    <row r="28" spans="1:66">
      <c r="A28" s="16" t="str">
        <f t="shared" si="0"/>
        <v>АСПС.FB_SHOP_S</v>
      </c>
      <c r="B28" s="17">
        <v>13</v>
      </c>
      <c r="C28" s="17" t="s">
        <v>2</v>
      </c>
      <c r="D28" s="18" t="s">
        <v>3</v>
      </c>
      <c r="BK28" s="4"/>
      <c r="BL28" s="4"/>
      <c r="BM28" s="4"/>
      <c r="BN28" s="4"/>
    </row>
    <row r="29" spans="1:66">
      <c r="A29" s="21" t="str">
        <f t="shared" si="0"/>
        <v>АСПС.FB_SHOP_S</v>
      </c>
      <c r="B29" s="8">
        <v>3000013</v>
      </c>
      <c r="C29" s="8" t="s">
        <v>0</v>
      </c>
      <c r="D29" s="22" t="str">
        <f>$AE$2</f>
        <v>Диагностика.CPU.NOT_LINK.noLink</v>
      </c>
      <c r="BK29" s="4"/>
      <c r="BL29" s="4"/>
      <c r="BM29" s="4"/>
      <c r="BN29" s="4"/>
    </row>
    <row r="30" spans="1:66">
      <c r="A30" s="217" t="str">
        <f>$R$2&amp;".FBXX"</f>
        <v>АСПС.FB_SHOP_S.FBXX</v>
      </c>
      <c r="B30" s="218">
        <v>11154</v>
      </c>
      <c r="C30" s="218" t="s">
        <v>4</v>
      </c>
      <c r="D30" s="219">
        <f>$Q$7</f>
        <v>12</v>
      </c>
      <c r="BK30" s="4"/>
      <c r="BL30" s="4"/>
      <c r="BM30" s="4"/>
      <c r="BN30" s="4"/>
    </row>
    <row r="31" spans="1:66">
      <c r="A31" s="211" t="str">
        <f t="shared" ref="A31:A39" si="1">$R$2&amp;".FBXX"</f>
        <v>АСПС.FB_SHOP_S.FBXX</v>
      </c>
      <c r="B31" s="212">
        <v>11150</v>
      </c>
      <c r="C31" s="212" t="s">
        <v>0</v>
      </c>
      <c r="D31" s="213" t="s">
        <v>36</v>
      </c>
      <c r="BK31" s="4"/>
      <c r="BL31" s="4"/>
      <c r="BM31" s="4"/>
      <c r="BN31" s="4"/>
    </row>
    <row r="32" spans="1:66">
      <c r="A32" s="211" t="str">
        <f t="shared" si="1"/>
        <v>АСПС.FB_SHOP_S.FBXX</v>
      </c>
      <c r="B32" s="212">
        <v>11152</v>
      </c>
      <c r="C32" s="212" t="s">
        <v>0</v>
      </c>
      <c r="D32" s="220" t="str">
        <f>$R$7</f>
        <v>Неисправность</v>
      </c>
      <c r="BK32" s="4"/>
      <c r="BL32" s="4"/>
      <c r="BM32" s="4"/>
      <c r="BN32" s="4"/>
    </row>
    <row r="33" spans="1:66">
      <c r="A33" s="211" t="str">
        <f t="shared" si="1"/>
        <v>АСПС.FB_SHOP_S.FBXX</v>
      </c>
      <c r="B33" s="212">
        <v>11000</v>
      </c>
      <c r="C33" s="212" t="s">
        <v>5</v>
      </c>
      <c r="D33" s="213">
        <v>2147483680</v>
      </c>
      <c r="BK33" s="4"/>
      <c r="BL33" s="4"/>
      <c r="BM33" s="4"/>
      <c r="BN33" s="4"/>
    </row>
    <row r="34" spans="1:66">
      <c r="A34" s="19" t="str">
        <f t="shared" si="1"/>
        <v>АСПС.FB_SHOP_S.FBXX</v>
      </c>
      <c r="B34" s="11">
        <v>7999</v>
      </c>
      <c r="C34" s="11" t="s">
        <v>0</v>
      </c>
      <c r="D34" s="20" t="str">
        <f>"#"&amp;$S$2&amp;"#"&amp;$T$2&amp;"\"&amp;$P$2&amp;"\FBXX"</f>
        <v>#2#treiOPCDA.CoOPCserv.1\pcmaster\S_SHOP\FBXX</v>
      </c>
      <c r="BK34" s="4"/>
      <c r="BL34" s="4"/>
      <c r="BM34" s="4"/>
      <c r="BN34" s="4"/>
    </row>
    <row r="35" spans="1:66">
      <c r="A35" s="19" t="str">
        <f t="shared" si="1"/>
        <v>АСПС.FB_SHOP_S.FBXX</v>
      </c>
      <c r="B35" s="11">
        <v>7998</v>
      </c>
      <c r="C35" s="11" t="s">
        <v>6</v>
      </c>
      <c r="D35" s="20">
        <v>1</v>
      </c>
      <c r="BK35" s="4"/>
      <c r="BL35" s="4"/>
      <c r="BM35" s="4"/>
      <c r="BN35" s="4"/>
    </row>
    <row r="36" spans="1:66">
      <c r="A36" s="19" t="str">
        <f t="shared" si="1"/>
        <v>АСПС.FB_SHOP_S.FBXX</v>
      </c>
      <c r="B36" s="11">
        <v>101</v>
      </c>
      <c r="C36" s="11" t="s">
        <v>0</v>
      </c>
      <c r="D36" s="20" t="s">
        <v>36</v>
      </c>
      <c r="BK36" s="4"/>
      <c r="BL36" s="4"/>
      <c r="BM36" s="4"/>
      <c r="BN36" s="4"/>
    </row>
    <row r="37" spans="1:66">
      <c r="A37" s="19" t="str">
        <f t="shared" si="1"/>
        <v>АСПС.FB_SHOP_S.FBXX</v>
      </c>
      <c r="B37" s="11">
        <v>3</v>
      </c>
      <c r="C37" s="11" t="s">
        <v>1</v>
      </c>
      <c r="D37" s="20">
        <v>192</v>
      </c>
      <c r="BK37" s="4"/>
      <c r="BL37" s="4"/>
      <c r="BM37" s="4"/>
      <c r="BN37" s="4"/>
    </row>
    <row r="38" spans="1:66">
      <c r="A38" s="19" t="str">
        <f t="shared" si="1"/>
        <v>АСПС.FB_SHOP_S.FBXX</v>
      </c>
      <c r="B38" s="11">
        <v>2</v>
      </c>
      <c r="C38" s="11" t="s">
        <v>2</v>
      </c>
      <c r="D38" s="20" t="s">
        <v>3</v>
      </c>
      <c r="BK38" s="4"/>
      <c r="BL38" s="4"/>
      <c r="BM38" s="4"/>
      <c r="BN38" s="4"/>
    </row>
    <row r="39" spans="1:66">
      <c r="A39" s="21" t="str">
        <f t="shared" si="1"/>
        <v>АСПС.FB_SHOP_S.FBXX</v>
      </c>
      <c r="B39" s="8">
        <v>1</v>
      </c>
      <c r="C39" s="8" t="s">
        <v>1</v>
      </c>
      <c r="D39" s="22">
        <v>11</v>
      </c>
      <c r="BK39" s="4"/>
      <c r="BL39" s="4"/>
      <c r="BM39" s="4"/>
      <c r="BN39" s="4"/>
    </row>
    <row r="40" spans="1:66">
      <c r="A40" s="217" t="str">
        <f>$R$2&amp;".FSCX"</f>
        <v>АСПС.FB_SHOP_S.FSCX</v>
      </c>
      <c r="B40" s="218">
        <v>11154</v>
      </c>
      <c r="C40" s="218" t="s">
        <v>4</v>
      </c>
      <c r="D40" s="219">
        <f>$Q$7</f>
        <v>12</v>
      </c>
      <c r="BK40" s="4"/>
      <c r="BL40" s="4"/>
      <c r="BM40" s="4"/>
      <c r="BN40" s="4"/>
    </row>
    <row r="41" spans="1:66">
      <c r="A41" s="211" t="str">
        <f t="shared" ref="A41:A49" si="2">$R$2&amp;".FSCX"</f>
        <v>АСПС.FB_SHOP_S.FSCX</v>
      </c>
      <c r="B41" s="212">
        <v>11150</v>
      </c>
      <c r="C41" s="212" t="s">
        <v>0</v>
      </c>
      <c r="D41" s="213" t="s">
        <v>37</v>
      </c>
      <c r="BK41" s="4"/>
      <c r="BL41" s="4"/>
      <c r="BM41" s="4"/>
      <c r="BN41" s="4"/>
    </row>
    <row r="42" spans="1:66">
      <c r="A42" s="211" t="str">
        <f t="shared" si="2"/>
        <v>АСПС.FB_SHOP_S.FSCX</v>
      </c>
      <c r="B42" s="212">
        <v>11152</v>
      </c>
      <c r="C42" s="212" t="s">
        <v>0</v>
      </c>
      <c r="D42" s="220" t="str">
        <f>$R$7</f>
        <v>Неисправность</v>
      </c>
      <c r="BK42" s="4"/>
      <c r="BL42" s="4"/>
      <c r="BM42" s="4"/>
      <c r="BN42" s="4"/>
    </row>
    <row r="43" spans="1:66">
      <c r="A43" s="211" t="str">
        <f t="shared" si="2"/>
        <v>АСПС.FB_SHOP_S.FSCX</v>
      </c>
      <c r="B43" s="212">
        <v>11000</v>
      </c>
      <c r="C43" s="212" t="s">
        <v>5</v>
      </c>
      <c r="D43" s="213">
        <v>2147483680</v>
      </c>
      <c r="BK43" s="4"/>
      <c r="BL43" s="4"/>
      <c r="BM43" s="4"/>
      <c r="BN43" s="4"/>
    </row>
    <row r="44" spans="1:66">
      <c r="A44" s="19" t="str">
        <f t="shared" si="2"/>
        <v>АСПС.FB_SHOP_S.FSCX</v>
      </c>
      <c r="B44" s="11">
        <v>7999</v>
      </c>
      <c r="C44" s="11" t="s">
        <v>0</v>
      </c>
      <c r="D44" s="20" t="str">
        <f>"#"&amp;$S$2&amp;"#"&amp;$T$2&amp;"\"&amp;$P$2&amp;"\FSCX"</f>
        <v>#2#treiOPCDA.CoOPCserv.1\pcmaster\S_SHOP\FSCX</v>
      </c>
      <c r="BK44" s="4"/>
      <c r="BL44" s="4"/>
      <c r="BM44" s="4"/>
      <c r="BN44" s="4"/>
    </row>
    <row r="45" spans="1:66">
      <c r="A45" s="19" t="str">
        <f t="shared" si="2"/>
        <v>АСПС.FB_SHOP_S.FSCX</v>
      </c>
      <c r="B45" s="11">
        <v>7998</v>
      </c>
      <c r="C45" s="11" t="s">
        <v>6</v>
      </c>
      <c r="D45" s="20">
        <v>1</v>
      </c>
      <c r="BK45" s="4"/>
      <c r="BL45" s="4"/>
      <c r="BM45" s="4"/>
      <c r="BN45" s="4"/>
    </row>
    <row r="46" spans="1:66">
      <c r="A46" s="19" t="str">
        <f t="shared" si="2"/>
        <v>АСПС.FB_SHOP_S.FSCX</v>
      </c>
      <c r="B46" s="11">
        <v>101</v>
      </c>
      <c r="C46" s="11" t="s">
        <v>0</v>
      </c>
      <c r="D46" s="20" t="s">
        <v>37</v>
      </c>
      <c r="BK46" s="4"/>
      <c r="BL46" s="4"/>
      <c r="BM46" s="4"/>
      <c r="BN46" s="4"/>
    </row>
    <row r="47" spans="1:66">
      <c r="A47" s="19" t="str">
        <f t="shared" si="2"/>
        <v>АСПС.FB_SHOP_S.FSCX</v>
      </c>
      <c r="B47" s="11">
        <v>3</v>
      </c>
      <c r="C47" s="11" t="s">
        <v>1</v>
      </c>
      <c r="D47" s="20">
        <v>192</v>
      </c>
      <c r="BK47" s="4"/>
      <c r="BL47" s="4"/>
      <c r="BM47" s="4"/>
      <c r="BN47" s="4"/>
    </row>
    <row r="48" spans="1:66">
      <c r="A48" s="19" t="str">
        <f t="shared" si="2"/>
        <v>АСПС.FB_SHOP_S.FSCX</v>
      </c>
      <c r="B48" s="11">
        <v>2</v>
      </c>
      <c r="C48" s="11" t="s">
        <v>2</v>
      </c>
      <c r="D48" s="20" t="s">
        <v>3</v>
      </c>
      <c r="BK48" s="4"/>
      <c r="BL48" s="4"/>
      <c r="BM48" s="4"/>
      <c r="BN48" s="4"/>
    </row>
    <row r="49" spans="1:66">
      <c r="A49" s="21" t="str">
        <f t="shared" si="2"/>
        <v>АСПС.FB_SHOP_S.FSCX</v>
      </c>
      <c r="B49" s="8">
        <v>1</v>
      </c>
      <c r="C49" s="8" t="s">
        <v>1</v>
      </c>
      <c r="D49" s="22">
        <v>11</v>
      </c>
      <c r="BK49" s="4"/>
      <c r="BL49" s="4"/>
      <c r="BM49" s="4"/>
      <c r="BN49" s="4"/>
    </row>
    <row r="50" spans="1:66">
      <c r="A50" s="217" t="str">
        <f>$R$2&amp;".DVXX"</f>
        <v>АСПС.FB_SHOP_S.DVXX</v>
      </c>
      <c r="B50" s="218">
        <v>11154</v>
      </c>
      <c r="C50" s="218" t="s">
        <v>4</v>
      </c>
      <c r="D50" s="219">
        <f>$Q$7</f>
        <v>12</v>
      </c>
      <c r="BK50" s="4"/>
      <c r="BL50" s="4"/>
      <c r="BM50" s="4"/>
      <c r="BN50" s="4"/>
    </row>
    <row r="51" spans="1:66">
      <c r="A51" s="211" t="str">
        <f t="shared" ref="A51:A59" si="3">$R$2&amp;".DVXX"</f>
        <v>АСПС.FB_SHOP_S.DVXX</v>
      </c>
      <c r="B51" s="212">
        <v>11150</v>
      </c>
      <c r="C51" s="212" t="s">
        <v>0</v>
      </c>
      <c r="D51" s="213" t="s">
        <v>680</v>
      </c>
      <c r="BK51" s="4"/>
      <c r="BL51" s="4"/>
      <c r="BM51" s="4"/>
      <c r="BN51" s="4"/>
    </row>
    <row r="52" spans="1:66">
      <c r="A52" s="211" t="str">
        <f t="shared" si="3"/>
        <v>АСПС.FB_SHOP_S.DVXX</v>
      </c>
      <c r="B52" s="212">
        <v>11152</v>
      </c>
      <c r="C52" s="212" t="s">
        <v>0</v>
      </c>
      <c r="D52" s="220" t="str">
        <f>$R$7</f>
        <v>Неисправность</v>
      </c>
      <c r="BK52" s="4"/>
      <c r="BL52" s="4"/>
      <c r="BM52" s="4"/>
      <c r="BN52" s="4"/>
    </row>
    <row r="53" spans="1:66">
      <c r="A53" s="211" t="str">
        <f t="shared" si="3"/>
        <v>АСПС.FB_SHOP_S.DVXX</v>
      </c>
      <c r="B53" s="212">
        <v>11000</v>
      </c>
      <c r="C53" s="212" t="s">
        <v>5</v>
      </c>
      <c r="D53" s="213">
        <v>2147483680</v>
      </c>
      <c r="BK53" s="4"/>
      <c r="BL53" s="4"/>
      <c r="BM53" s="4"/>
      <c r="BN53" s="4"/>
    </row>
    <row r="54" spans="1:66">
      <c r="A54" s="19" t="str">
        <f t="shared" si="3"/>
        <v>АСПС.FB_SHOP_S.DVXX</v>
      </c>
      <c r="B54" s="11">
        <v>7999</v>
      </c>
      <c r="C54" s="11" t="s">
        <v>0</v>
      </c>
      <c r="D54" s="20" t="str">
        <f>"#"&amp;$S$2&amp;"#"&amp;$T$2&amp;"\"&amp;$P$2&amp;"\DVXX"</f>
        <v>#2#treiOPCDA.CoOPCserv.1\pcmaster\S_SHOP\DVXX</v>
      </c>
      <c r="BK54" s="4"/>
      <c r="BL54" s="4"/>
      <c r="BM54" s="4"/>
      <c r="BN54" s="4"/>
    </row>
    <row r="55" spans="1:66">
      <c r="A55" s="19" t="str">
        <f t="shared" si="3"/>
        <v>АСПС.FB_SHOP_S.DVXX</v>
      </c>
      <c r="B55" s="11">
        <v>7998</v>
      </c>
      <c r="C55" s="11" t="s">
        <v>6</v>
      </c>
      <c r="D55" s="20">
        <v>1</v>
      </c>
      <c r="BK55" s="4"/>
      <c r="BL55" s="4"/>
      <c r="BM55" s="4"/>
      <c r="BN55" s="4"/>
    </row>
    <row r="56" spans="1:66">
      <c r="A56" s="19" t="str">
        <f t="shared" si="3"/>
        <v>АСПС.FB_SHOP_S.DVXX</v>
      </c>
      <c r="B56" s="11">
        <v>101</v>
      </c>
      <c r="C56" s="11" t="s">
        <v>0</v>
      </c>
      <c r="D56" s="20" t="s">
        <v>680</v>
      </c>
      <c r="BK56" s="4"/>
      <c r="BL56" s="4"/>
      <c r="BM56" s="4"/>
      <c r="BN56" s="4"/>
    </row>
    <row r="57" spans="1:66">
      <c r="A57" s="19" t="str">
        <f t="shared" si="3"/>
        <v>АСПС.FB_SHOP_S.DVXX</v>
      </c>
      <c r="B57" s="11">
        <v>3</v>
      </c>
      <c r="C57" s="11" t="s">
        <v>1</v>
      </c>
      <c r="D57" s="20">
        <v>192</v>
      </c>
      <c r="BK57" s="4"/>
      <c r="BL57" s="4"/>
      <c r="BM57" s="4"/>
      <c r="BN57" s="4"/>
    </row>
    <row r="58" spans="1:66">
      <c r="A58" s="19" t="str">
        <f t="shared" si="3"/>
        <v>АСПС.FB_SHOP_S.DVXX</v>
      </c>
      <c r="B58" s="11">
        <v>2</v>
      </c>
      <c r="C58" s="11" t="s">
        <v>2</v>
      </c>
      <c r="D58" s="20" t="s">
        <v>3</v>
      </c>
      <c r="BK58" s="4"/>
      <c r="BL58" s="4"/>
      <c r="BM58" s="4"/>
      <c r="BN58" s="4"/>
    </row>
    <row r="59" spans="1:66">
      <c r="A59" s="19" t="str">
        <f t="shared" si="3"/>
        <v>АСПС.FB_SHOP_S.DVXX</v>
      </c>
      <c r="B59" s="11">
        <v>1</v>
      </c>
      <c r="C59" s="11" t="s">
        <v>1</v>
      </c>
      <c r="D59" s="20">
        <v>11</v>
      </c>
      <c r="BK59" s="4"/>
      <c r="BL59" s="4"/>
      <c r="BM59" s="4"/>
      <c r="BN59" s="4"/>
    </row>
    <row r="60" spans="1:66">
      <c r="A60" s="16" t="str">
        <f t="shared" ref="A60:A71" si="4">$R$2&amp;".XRPX"</f>
        <v>АСПС.FB_SHOP_S.XRPX</v>
      </c>
      <c r="B60" s="17">
        <v>1</v>
      </c>
      <c r="C60" s="17" t="s">
        <v>1</v>
      </c>
      <c r="D60" s="18">
        <v>11</v>
      </c>
      <c r="BK60" s="4"/>
      <c r="BL60" s="4"/>
      <c r="BM60" s="4"/>
      <c r="BN60" s="4"/>
    </row>
    <row r="61" spans="1:66">
      <c r="A61" s="19" t="str">
        <f t="shared" si="4"/>
        <v>АСПС.FB_SHOP_S.XRPX</v>
      </c>
      <c r="B61" s="11">
        <v>2</v>
      </c>
      <c r="C61" s="11" t="s">
        <v>2</v>
      </c>
      <c r="D61" s="20" t="s">
        <v>3</v>
      </c>
      <c r="BK61" s="4"/>
      <c r="BL61" s="4"/>
      <c r="BM61" s="4"/>
      <c r="BN61" s="4"/>
    </row>
    <row r="62" spans="1:66">
      <c r="A62" s="19" t="str">
        <f t="shared" si="4"/>
        <v>АСПС.FB_SHOP_S.XRPX</v>
      </c>
      <c r="B62" s="11">
        <v>3</v>
      </c>
      <c r="C62" s="11" t="s">
        <v>1</v>
      </c>
      <c r="D62" s="20">
        <v>192</v>
      </c>
      <c r="BK62" s="4"/>
      <c r="BL62" s="4"/>
      <c r="BM62" s="4"/>
      <c r="BN62" s="4"/>
    </row>
    <row r="63" spans="1:66">
      <c r="A63" s="19" t="str">
        <f t="shared" si="4"/>
        <v>АСПС.FB_SHOP_S.XRPX</v>
      </c>
      <c r="B63" s="11">
        <v>101</v>
      </c>
      <c r="C63" s="11" t="s">
        <v>0</v>
      </c>
      <c r="D63" s="20" t="s">
        <v>137</v>
      </c>
      <c r="BK63" s="4"/>
      <c r="BL63" s="4"/>
      <c r="BM63" s="4"/>
      <c r="BN63" s="4"/>
    </row>
    <row r="64" spans="1:66">
      <c r="A64" s="19" t="str">
        <f t="shared" si="4"/>
        <v>АСПС.FB_SHOP_S.XRPX</v>
      </c>
      <c r="B64" s="11">
        <v>7998</v>
      </c>
      <c r="C64" s="11" t="s">
        <v>6</v>
      </c>
      <c r="D64" s="20">
        <v>1</v>
      </c>
      <c r="BK64" s="4"/>
      <c r="BL64" s="4"/>
      <c r="BM64" s="4"/>
      <c r="BN64" s="4"/>
    </row>
    <row r="65" spans="1:66">
      <c r="A65" s="19" t="str">
        <f t="shared" si="4"/>
        <v>АСПС.FB_SHOP_S.XRPX</v>
      </c>
      <c r="B65" s="11">
        <v>7999</v>
      </c>
      <c r="C65" s="11" t="s">
        <v>0</v>
      </c>
      <c r="D65" s="20" t="str">
        <f>"#"&amp;$S$2&amp;"#"&amp;$T$2&amp;"\"&amp;$P$2&amp;"\XRPX"</f>
        <v>#2#treiOPCDA.CoOPCserv.1\pcmaster\S_SHOP\XRPX</v>
      </c>
      <c r="BK65" s="4"/>
      <c r="BL65" s="4"/>
      <c r="BM65" s="4"/>
      <c r="BN65" s="4"/>
    </row>
    <row r="66" spans="1:66">
      <c r="A66" s="126" t="str">
        <f t="shared" si="4"/>
        <v>АСПС.FB_SHOP_S.XRPX</v>
      </c>
      <c r="B66" s="127">
        <v>11000</v>
      </c>
      <c r="C66" s="127" t="s">
        <v>5</v>
      </c>
      <c r="D66" s="128">
        <v>2147483680</v>
      </c>
      <c r="BK66" s="4"/>
      <c r="BL66" s="4"/>
      <c r="BM66" s="4"/>
      <c r="BN66" s="4"/>
    </row>
    <row r="67" spans="1:66">
      <c r="A67" s="126" t="str">
        <f t="shared" si="4"/>
        <v>АСПС.FB_SHOP_S.XRPX</v>
      </c>
      <c r="B67" s="127">
        <v>11150</v>
      </c>
      <c r="C67" s="127" t="s">
        <v>0</v>
      </c>
      <c r="D67" s="128" t="s">
        <v>89</v>
      </c>
      <c r="BK67" s="4"/>
      <c r="BL67" s="4"/>
      <c r="BM67" s="4"/>
      <c r="BN67" s="4"/>
    </row>
    <row r="68" spans="1:66">
      <c r="A68" s="126" t="str">
        <f t="shared" si="4"/>
        <v>АСПС.FB_SHOP_S.XRPX</v>
      </c>
      <c r="B68" s="127">
        <v>11152</v>
      </c>
      <c r="C68" s="127" t="s">
        <v>0</v>
      </c>
      <c r="D68" s="128" t="str">
        <f>$R$11</f>
        <v>Ремонт</v>
      </c>
      <c r="BK68" s="4"/>
      <c r="BL68" s="4"/>
      <c r="BM68" s="4"/>
      <c r="BN68" s="4"/>
    </row>
    <row r="69" spans="1:66">
      <c r="A69" s="126" t="str">
        <f t="shared" si="4"/>
        <v>АСПС.FB_SHOP_S.XRPX</v>
      </c>
      <c r="B69" s="127">
        <v>11154</v>
      </c>
      <c r="C69" s="127" t="s">
        <v>4</v>
      </c>
      <c r="D69" s="128">
        <f>$Q$11</f>
        <v>14</v>
      </c>
      <c r="BK69" s="4"/>
      <c r="BL69" s="4"/>
      <c r="BM69" s="4"/>
      <c r="BN69" s="4"/>
    </row>
    <row r="70" spans="1:66" ht="15" customHeight="1">
      <c r="A70" s="29" t="str">
        <f t="shared" si="4"/>
        <v>АСПС.FB_SHOP_S.XRPX</v>
      </c>
      <c r="B70" s="1">
        <v>4000000</v>
      </c>
      <c r="C70" s="1" t="s">
        <v>0</v>
      </c>
      <c r="D70" s="415" t="s">
        <v>2939</v>
      </c>
      <c r="BK70" s="4"/>
      <c r="BL70" s="4"/>
      <c r="BM70" s="4"/>
      <c r="BN70" s="4"/>
    </row>
    <row r="71" spans="1:66">
      <c r="A71" s="26" t="str">
        <f t="shared" si="4"/>
        <v>АСПС.FB_SHOP_S.XRPX</v>
      </c>
      <c r="B71" s="27">
        <v>7000000</v>
      </c>
      <c r="C71" s="27" t="s">
        <v>6</v>
      </c>
      <c r="D71" s="28">
        <v>2</v>
      </c>
      <c r="BK71" s="4"/>
      <c r="BL71" s="4"/>
      <c r="BM71" s="4"/>
      <c r="BN71" s="4"/>
    </row>
    <row r="72" spans="1:66">
      <c r="A72" s="19" t="str">
        <f>$R$2&amp;".XONX"</f>
        <v>АСПС.FB_SHOP_S.XONX</v>
      </c>
      <c r="B72" s="11">
        <v>1</v>
      </c>
      <c r="C72" s="11" t="s">
        <v>1</v>
      </c>
      <c r="D72" s="20">
        <v>11</v>
      </c>
      <c r="BK72" s="4"/>
      <c r="BL72" s="4"/>
      <c r="BM72" s="4"/>
      <c r="BN72" s="4"/>
    </row>
    <row r="73" spans="1:66">
      <c r="A73" s="19" t="str">
        <f t="shared" ref="A73:A81" si="5">$R$2&amp;".XONX"</f>
        <v>АСПС.FB_SHOP_S.XONX</v>
      </c>
      <c r="B73" s="11">
        <v>2</v>
      </c>
      <c r="C73" s="11" t="s">
        <v>2</v>
      </c>
      <c r="D73" s="20" t="s">
        <v>3</v>
      </c>
      <c r="BK73" s="4"/>
      <c r="BL73" s="4"/>
      <c r="BM73" s="4"/>
      <c r="BN73" s="4"/>
    </row>
    <row r="74" spans="1:66">
      <c r="A74" s="19" t="str">
        <f t="shared" si="5"/>
        <v>АСПС.FB_SHOP_S.XONX</v>
      </c>
      <c r="B74" s="11">
        <v>3</v>
      </c>
      <c r="C74" s="11" t="s">
        <v>1</v>
      </c>
      <c r="D74" s="20">
        <v>192</v>
      </c>
      <c r="BK74" s="4"/>
      <c r="BL74" s="4"/>
      <c r="BM74" s="4"/>
      <c r="BN74" s="4"/>
    </row>
    <row r="75" spans="1:66">
      <c r="A75" s="19" t="str">
        <f t="shared" si="5"/>
        <v>АСПС.FB_SHOP_S.XONX</v>
      </c>
      <c r="B75" s="11">
        <v>101</v>
      </c>
      <c r="C75" s="11" t="s">
        <v>0</v>
      </c>
      <c r="D75" s="20" t="s">
        <v>430</v>
      </c>
      <c r="BK75" s="4"/>
      <c r="BL75" s="4"/>
      <c r="BM75" s="4"/>
      <c r="BN75" s="4"/>
    </row>
    <row r="76" spans="1:66">
      <c r="A76" s="19" t="str">
        <f t="shared" si="5"/>
        <v>АСПС.FB_SHOP_S.XONX</v>
      </c>
      <c r="B76" s="11">
        <v>7998</v>
      </c>
      <c r="C76" s="11" t="s">
        <v>6</v>
      </c>
      <c r="D76" s="20">
        <v>1</v>
      </c>
      <c r="BK76" s="4"/>
      <c r="BL76" s="4"/>
      <c r="BM76" s="4"/>
      <c r="BN76" s="4"/>
    </row>
    <row r="77" spans="1:66">
      <c r="A77" s="19" t="str">
        <f t="shared" si="5"/>
        <v>АСПС.FB_SHOP_S.XONX</v>
      </c>
      <c r="B77" s="11">
        <v>7999</v>
      </c>
      <c r="C77" s="11" t="s">
        <v>0</v>
      </c>
      <c r="D77" s="20" t="str">
        <f>"#"&amp;$S$2&amp;"#"&amp;$T$2&amp;"\"&amp;$P$2&amp;"\XONX"</f>
        <v>#2#treiOPCDA.CoOPCserv.1\pcmaster\S_SHOP\XONX</v>
      </c>
      <c r="BK77" s="4"/>
      <c r="BL77" s="4"/>
      <c r="BM77" s="4"/>
      <c r="BN77" s="4"/>
    </row>
    <row r="78" spans="1:66">
      <c r="A78" s="100" t="str">
        <f t="shared" si="5"/>
        <v>АСПС.FB_SHOP_S.XONX</v>
      </c>
      <c r="B78" s="101">
        <v>11000</v>
      </c>
      <c r="C78" s="101" t="s">
        <v>5</v>
      </c>
      <c r="D78" s="103">
        <v>2147483680</v>
      </c>
      <c r="BK78" s="4"/>
      <c r="BL78" s="4"/>
      <c r="BM78" s="4"/>
      <c r="BN78" s="4"/>
    </row>
    <row r="79" spans="1:66">
      <c r="A79" s="100" t="str">
        <f t="shared" si="5"/>
        <v>АСПС.FB_SHOP_S.XONX</v>
      </c>
      <c r="B79" s="101">
        <v>11150</v>
      </c>
      <c r="C79" s="101" t="s">
        <v>0</v>
      </c>
      <c r="D79" s="103" t="s">
        <v>337</v>
      </c>
      <c r="BK79" s="4"/>
      <c r="BL79" s="4"/>
      <c r="BM79" s="4"/>
      <c r="BN79" s="4"/>
    </row>
    <row r="80" spans="1:66">
      <c r="A80" s="100" t="str">
        <f t="shared" si="5"/>
        <v>АСПС.FB_SHOP_S.XONX</v>
      </c>
      <c r="B80" s="101">
        <v>11152</v>
      </c>
      <c r="C80" s="101" t="s">
        <v>0</v>
      </c>
      <c r="D80" s="103" t="str">
        <f>$R$8</f>
        <v>Телесигнализация</v>
      </c>
      <c r="BK80" s="4"/>
      <c r="BL80" s="4"/>
      <c r="BM80" s="4"/>
      <c r="BN80" s="4"/>
    </row>
    <row r="81" spans="1:66">
      <c r="A81" s="170" t="str">
        <f t="shared" si="5"/>
        <v>АСПС.FB_SHOP_S.XONX</v>
      </c>
      <c r="B81" s="171">
        <v>11154</v>
      </c>
      <c r="C81" s="171" t="s">
        <v>4</v>
      </c>
      <c r="D81" s="172">
        <f>$Q$8</f>
        <v>18</v>
      </c>
      <c r="BK81" s="4"/>
      <c r="BL81" s="4"/>
      <c r="BM81" s="4"/>
      <c r="BN81" s="4"/>
    </row>
    <row r="82" spans="1:66">
      <c r="A82" s="342" t="str">
        <f>$R$2&amp;".CAON"</f>
        <v>АСПС.FB_SHOP_S.CAON</v>
      </c>
      <c r="B82" s="343">
        <v>11154</v>
      </c>
      <c r="C82" s="343" t="s">
        <v>4</v>
      </c>
      <c r="D82" s="344">
        <f>$Q$19</f>
        <v>22</v>
      </c>
      <c r="BK82" s="4"/>
      <c r="BL82" s="4"/>
      <c r="BM82" s="4"/>
      <c r="BN82" s="4"/>
    </row>
    <row r="83" spans="1:66">
      <c r="A83" s="345" t="str">
        <f t="shared" ref="A83:A91" si="6">$R$2&amp;".CAON"</f>
        <v>АСПС.FB_SHOP_S.CAON</v>
      </c>
      <c r="B83" s="346">
        <v>11150</v>
      </c>
      <c r="C83" s="346" t="s">
        <v>0</v>
      </c>
      <c r="D83" s="347" t="s">
        <v>683</v>
      </c>
      <c r="BK83" s="4"/>
      <c r="BL83" s="4"/>
      <c r="BM83" s="4"/>
      <c r="BN83" s="4"/>
    </row>
    <row r="84" spans="1:66">
      <c r="A84" s="345" t="str">
        <f t="shared" si="6"/>
        <v>АСПС.FB_SHOP_S.CAON</v>
      </c>
      <c r="B84" s="346">
        <v>11152</v>
      </c>
      <c r="C84" s="346" t="s">
        <v>0</v>
      </c>
      <c r="D84" s="348" t="str">
        <f>$R$19</f>
        <v>Информация</v>
      </c>
      <c r="BK84" s="4"/>
      <c r="BL84" s="4"/>
      <c r="BM84" s="4"/>
      <c r="BN84" s="4"/>
    </row>
    <row r="85" spans="1:66">
      <c r="A85" s="345" t="str">
        <f t="shared" si="6"/>
        <v>АСПС.FB_SHOP_S.CAON</v>
      </c>
      <c r="B85" s="346">
        <v>11000</v>
      </c>
      <c r="C85" s="346" t="s">
        <v>5</v>
      </c>
      <c r="D85" s="347">
        <v>2147483680</v>
      </c>
      <c r="BK85" s="4"/>
      <c r="BL85" s="4"/>
      <c r="BM85" s="4"/>
      <c r="BN85" s="4"/>
    </row>
    <row r="86" spans="1:66">
      <c r="A86" s="19" t="str">
        <f t="shared" si="6"/>
        <v>АСПС.FB_SHOP_S.CAON</v>
      </c>
      <c r="B86" s="11">
        <v>7999</v>
      </c>
      <c r="C86" s="11" t="s">
        <v>0</v>
      </c>
      <c r="D86" s="20" t="str">
        <f>"#"&amp;$S$2&amp;"#"&amp;$T$2&amp;"\"&amp;$P$2&amp;"\CAON"</f>
        <v>#2#treiOPCDA.CoOPCserv.1\pcmaster\S_SHOP\CAON</v>
      </c>
      <c r="BK86" s="4"/>
      <c r="BL86" s="4"/>
      <c r="BM86" s="4"/>
      <c r="BN86" s="4"/>
    </row>
    <row r="87" spans="1:66">
      <c r="A87" s="19" t="str">
        <f t="shared" si="6"/>
        <v>АСПС.FB_SHOP_S.CAON</v>
      </c>
      <c r="B87" s="11">
        <v>7998</v>
      </c>
      <c r="C87" s="11" t="s">
        <v>6</v>
      </c>
      <c r="D87" s="20">
        <v>1</v>
      </c>
      <c r="BK87" s="4"/>
      <c r="BL87" s="4"/>
      <c r="BM87" s="4"/>
      <c r="BN87" s="4"/>
    </row>
    <row r="88" spans="1:66">
      <c r="A88" s="19" t="str">
        <f t="shared" si="6"/>
        <v>АСПС.FB_SHOP_S.CAON</v>
      </c>
      <c r="B88" s="11">
        <v>101</v>
      </c>
      <c r="C88" s="11" t="s">
        <v>0</v>
      </c>
      <c r="D88" s="20" t="s">
        <v>683</v>
      </c>
      <c r="BK88" s="4"/>
      <c r="BL88" s="4"/>
      <c r="BM88" s="4"/>
      <c r="BN88" s="4"/>
    </row>
    <row r="89" spans="1:66">
      <c r="A89" s="19" t="str">
        <f t="shared" si="6"/>
        <v>АСПС.FB_SHOP_S.CAON</v>
      </c>
      <c r="B89" s="11">
        <v>3</v>
      </c>
      <c r="C89" s="11" t="s">
        <v>1</v>
      </c>
      <c r="D89" s="20">
        <v>192</v>
      </c>
      <c r="BK89" s="4"/>
      <c r="BL89" s="4"/>
      <c r="BM89" s="4"/>
      <c r="BN89" s="4"/>
    </row>
    <row r="90" spans="1:66">
      <c r="A90" s="19" t="str">
        <f t="shared" si="6"/>
        <v>АСПС.FB_SHOP_S.CAON</v>
      </c>
      <c r="B90" s="11">
        <v>2</v>
      </c>
      <c r="C90" s="11" t="s">
        <v>2</v>
      </c>
      <c r="D90" s="20" t="s">
        <v>3</v>
      </c>
      <c r="BK90" s="4"/>
      <c r="BL90" s="4"/>
      <c r="BM90" s="4"/>
      <c r="BN90" s="4"/>
    </row>
    <row r="91" spans="1:66">
      <c r="A91" s="21" t="str">
        <f t="shared" si="6"/>
        <v>АСПС.FB_SHOP_S.CAON</v>
      </c>
      <c r="B91" s="8">
        <v>1</v>
      </c>
      <c r="C91" s="8" t="s">
        <v>1</v>
      </c>
      <c r="D91" s="22">
        <v>11</v>
      </c>
      <c r="BK91" s="4"/>
      <c r="BL91" s="4"/>
      <c r="BM91" s="4"/>
      <c r="BN91" s="4"/>
    </row>
    <row r="92" spans="1:66">
      <c r="A92" s="16" t="str">
        <f>$R$2&amp;".Commands.COON"</f>
        <v>АСПС.FB_SHOP_S.Commands.COON</v>
      </c>
      <c r="B92" s="17">
        <v>1</v>
      </c>
      <c r="C92" s="17" t="s">
        <v>1</v>
      </c>
      <c r="D92" s="18">
        <v>11</v>
      </c>
      <c r="BK92" s="4"/>
      <c r="BL92" s="4"/>
      <c r="BM92" s="4"/>
      <c r="BN92" s="4"/>
    </row>
    <row r="93" spans="1:66">
      <c r="A93" s="19" t="str">
        <f>$R$2&amp;".Commands.COON"</f>
        <v>АСПС.FB_SHOP_S.Commands.COON</v>
      </c>
      <c r="B93" s="11">
        <v>101</v>
      </c>
      <c r="C93" s="11" t="s">
        <v>0</v>
      </c>
      <c r="D93" s="20" t="s">
        <v>437</v>
      </c>
      <c r="BK93" s="4"/>
      <c r="BL93" s="4"/>
      <c r="BM93" s="4"/>
      <c r="BN93" s="4"/>
    </row>
    <row r="94" spans="1:66">
      <c r="A94" s="19" t="str">
        <f>$R$2&amp;".Commands.COON"</f>
        <v>АСПС.FB_SHOP_S.Commands.COON</v>
      </c>
      <c r="B94" s="11">
        <v>7998</v>
      </c>
      <c r="C94" s="11" t="s">
        <v>6</v>
      </c>
      <c r="D94" s="20">
        <v>2</v>
      </c>
      <c r="BK94" s="4"/>
      <c r="BL94" s="4"/>
      <c r="BM94" s="4"/>
      <c r="BN94" s="4"/>
    </row>
    <row r="95" spans="1:66">
      <c r="A95" s="21" t="str">
        <f>$R$2&amp;".Commands.COON"</f>
        <v>АСПС.FB_SHOP_S.Commands.COON</v>
      </c>
      <c r="B95" s="8">
        <v>7999</v>
      </c>
      <c r="C95" s="8" t="s">
        <v>0</v>
      </c>
      <c r="D95" s="22" t="str">
        <f>"#"&amp;$T$5&amp;"#"&amp;$T$2&amp;"\"&amp;$P$2&amp;"\COON"</f>
        <v>#1#treiOPCDA.CoOPCserv.1\pcmaster\S_SHOP\COON</v>
      </c>
      <c r="BK95" s="4"/>
      <c r="BL95" s="4"/>
      <c r="BM95" s="4"/>
      <c r="BN95" s="4"/>
    </row>
    <row r="96" spans="1:66">
      <c r="A96" s="16" t="str">
        <f>$R$2&amp;".Commands.CRPX"</f>
        <v>АСПС.FB_SHOP_S.Commands.CRPX</v>
      </c>
      <c r="B96" s="17">
        <v>1</v>
      </c>
      <c r="C96" s="17" t="s">
        <v>1</v>
      </c>
      <c r="D96" s="18">
        <v>11</v>
      </c>
      <c r="BK96" s="4"/>
      <c r="BL96" s="4"/>
      <c r="BM96" s="4"/>
      <c r="BN96" s="4"/>
    </row>
    <row r="97" spans="1:66">
      <c r="A97" s="19" t="str">
        <f>$R$2&amp;".Commands.CRPX"</f>
        <v>АСПС.FB_SHOP_S.Commands.CRPX</v>
      </c>
      <c r="B97" s="11">
        <v>101</v>
      </c>
      <c r="C97" s="11" t="s">
        <v>0</v>
      </c>
      <c r="D97" s="20" t="s">
        <v>113</v>
      </c>
      <c r="BK97" s="4"/>
      <c r="BL97" s="4"/>
      <c r="BM97" s="4"/>
      <c r="BN97" s="4"/>
    </row>
    <row r="98" spans="1:66">
      <c r="A98" s="19" t="str">
        <f>$R$2&amp;".Commands.CRPX"</f>
        <v>АСПС.FB_SHOP_S.Commands.CRPX</v>
      </c>
      <c r="B98" s="11">
        <v>7998</v>
      </c>
      <c r="C98" s="11" t="s">
        <v>6</v>
      </c>
      <c r="D98" s="20">
        <v>2</v>
      </c>
      <c r="BK98" s="4"/>
      <c r="BL98" s="4"/>
      <c r="BM98" s="4"/>
      <c r="BN98" s="4"/>
    </row>
    <row r="99" spans="1:66">
      <c r="A99" s="21" t="str">
        <f>$R$2&amp;".Commands.CRPX"</f>
        <v>АСПС.FB_SHOP_S.Commands.CRPX</v>
      </c>
      <c r="B99" s="8">
        <v>7999</v>
      </c>
      <c r="C99" s="8" t="s">
        <v>0</v>
      </c>
      <c r="D99" s="22" t="str">
        <f>"#"&amp;$T$5&amp;"#"&amp;$T$2&amp;"\"&amp;$P$2&amp;"\CRPX"</f>
        <v>#1#treiOPCDA.CoOPCserv.1\pcmaster\S_SHOP\CRPX</v>
      </c>
      <c r="BK99" s="4"/>
      <c r="BL99" s="4"/>
      <c r="BM99" s="4"/>
      <c r="BN99" s="4"/>
    </row>
    <row r="100" spans="1:66">
      <c r="A100" s="16" t="str">
        <f t="shared" ref="A100:A105" si="7">$R$2&amp;".XNXX"</f>
        <v>АСПС.FB_SHOP_S.XNXX</v>
      </c>
      <c r="B100" s="17">
        <v>1</v>
      </c>
      <c r="C100" s="17" t="s">
        <v>1</v>
      </c>
      <c r="D100" s="18">
        <v>11</v>
      </c>
    </row>
    <row r="101" spans="1:66">
      <c r="A101" s="19" t="str">
        <f t="shared" si="7"/>
        <v>АСПС.FB_SHOP_S.XNXX</v>
      </c>
      <c r="B101" s="11">
        <v>2</v>
      </c>
      <c r="C101" s="11" t="s">
        <v>2</v>
      </c>
      <c r="D101" s="20" t="s">
        <v>3</v>
      </c>
    </row>
    <row r="102" spans="1:66">
      <c r="A102" s="19" t="str">
        <f t="shared" si="7"/>
        <v>АСПС.FB_SHOP_S.XNXX</v>
      </c>
      <c r="B102" s="11">
        <v>3</v>
      </c>
      <c r="C102" s="11" t="s">
        <v>1</v>
      </c>
      <c r="D102" s="20">
        <v>192</v>
      </c>
    </row>
    <row r="103" spans="1:66">
      <c r="A103" s="19" t="str">
        <f t="shared" si="7"/>
        <v>АСПС.FB_SHOP_S.XNXX</v>
      </c>
      <c r="B103" s="11">
        <v>101</v>
      </c>
      <c r="C103" s="11" t="s">
        <v>0</v>
      </c>
      <c r="D103" s="20" t="s">
        <v>429</v>
      </c>
    </row>
    <row r="104" spans="1:66">
      <c r="A104" s="19" t="str">
        <f t="shared" si="7"/>
        <v>АСПС.FB_SHOP_S.XNXX</v>
      </c>
      <c r="B104" s="11">
        <v>7998</v>
      </c>
      <c r="C104" s="11" t="s">
        <v>6</v>
      </c>
      <c r="D104" s="20">
        <v>1</v>
      </c>
    </row>
    <row r="105" spans="1:66">
      <c r="A105" s="21" t="str">
        <f t="shared" si="7"/>
        <v>АСПС.FB_SHOP_S.XNXX</v>
      </c>
      <c r="B105" s="8">
        <v>7999</v>
      </c>
      <c r="C105" s="8" t="s">
        <v>0</v>
      </c>
      <c r="D105" s="22" t="str">
        <f>"#"&amp;$S$2&amp;"#"&amp;$T$2&amp;"\"&amp;$P$2&amp;"\XNXX"</f>
        <v>#2#treiOPCDA.CoOPCserv.1\pcmaster\S_SHOP\XNXX</v>
      </c>
    </row>
    <row r="106" spans="1:66">
      <c r="A106" s="19" t="str">
        <f t="shared" ref="A106:A111" si="8">$R$2&amp;".FXXX"</f>
        <v>АСПС.FB_SHOP_S.FXXX</v>
      </c>
      <c r="B106" s="11">
        <v>7999</v>
      </c>
      <c r="C106" s="11" t="s">
        <v>0</v>
      </c>
      <c r="D106" s="20" t="str">
        <f>"#"&amp;$S$2&amp;"#"&amp;$T$2&amp;"\"&amp;$P$2&amp;"\FXXX"</f>
        <v>#2#treiOPCDA.CoOPCserv.1\pcmaster\S_SHOP\FXXX</v>
      </c>
    </row>
    <row r="107" spans="1:66">
      <c r="A107" s="19" t="str">
        <f t="shared" si="8"/>
        <v>АСПС.FB_SHOP_S.FXXX</v>
      </c>
      <c r="B107" s="11">
        <v>7998</v>
      </c>
      <c r="C107" s="11" t="s">
        <v>6</v>
      </c>
      <c r="D107" s="20">
        <v>1</v>
      </c>
    </row>
    <row r="108" spans="1:66">
      <c r="A108" s="19" t="str">
        <f t="shared" si="8"/>
        <v>АСПС.FB_SHOP_S.FXXX</v>
      </c>
      <c r="B108" s="11">
        <v>101</v>
      </c>
      <c r="C108" s="11" t="s">
        <v>0</v>
      </c>
      <c r="D108" s="20" t="s">
        <v>139</v>
      </c>
    </row>
    <row r="109" spans="1:66">
      <c r="A109" s="19" t="str">
        <f t="shared" si="8"/>
        <v>АСПС.FB_SHOP_S.FXXX</v>
      </c>
      <c r="B109" s="11">
        <v>3</v>
      </c>
      <c r="C109" s="11" t="s">
        <v>1</v>
      </c>
      <c r="D109" s="20">
        <v>192</v>
      </c>
    </row>
    <row r="110" spans="1:66">
      <c r="A110" s="19" t="str">
        <f t="shared" si="8"/>
        <v>АСПС.FB_SHOP_S.FXXX</v>
      </c>
      <c r="B110" s="11">
        <v>2</v>
      </c>
      <c r="C110" s="11" t="s">
        <v>2</v>
      </c>
      <c r="D110" s="20" t="s">
        <v>3</v>
      </c>
    </row>
    <row r="111" spans="1:66">
      <c r="A111" s="21" t="str">
        <f t="shared" si="8"/>
        <v>АСПС.FB_SHOP_S.FXXX</v>
      </c>
      <c r="B111" s="8">
        <v>1</v>
      </c>
      <c r="C111" s="8" t="s">
        <v>1</v>
      </c>
      <c r="D111" s="22">
        <v>11</v>
      </c>
    </row>
    <row r="112" spans="1:66">
      <c r="A112" s="266" t="str">
        <f t="shared" ref="A112:A117" si="9">$R$2&amp;".IVXX"</f>
        <v>АСПС.FB_SHOP_S.IVXX</v>
      </c>
      <c r="B112" s="267">
        <v>3</v>
      </c>
      <c r="C112" s="267" t="s">
        <v>1</v>
      </c>
      <c r="D112" s="268">
        <v>192</v>
      </c>
    </row>
    <row r="113" spans="1:4">
      <c r="A113" s="269" t="str">
        <f t="shared" si="9"/>
        <v>АСПС.FB_SHOP_S.IVXX</v>
      </c>
      <c r="B113" s="270">
        <v>2</v>
      </c>
      <c r="C113" s="270" t="s">
        <v>6</v>
      </c>
      <c r="D113" s="271">
        <v>0</v>
      </c>
    </row>
    <row r="114" spans="1:4">
      <c r="A114" s="269" t="str">
        <f t="shared" si="9"/>
        <v>АСПС.FB_SHOP_S.IVXX</v>
      </c>
      <c r="B114" s="270">
        <v>1</v>
      </c>
      <c r="C114" s="270" t="s">
        <v>1</v>
      </c>
      <c r="D114" s="271">
        <v>3</v>
      </c>
    </row>
    <row r="115" spans="1:4">
      <c r="A115" s="269" t="str">
        <f t="shared" si="9"/>
        <v>АСПС.FB_SHOP_S.IVXX</v>
      </c>
      <c r="B115" s="270">
        <v>101</v>
      </c>
      <c r="C115" s="270" t="s">
        <v>0</v>
      </c>
      <c r="D115" s="271" t="s">
        <v>42</v>
      </c>
    </row>
    <row r="116" spans="1:4">
      <c r="A116" s="269" t="str">
        <f t="shared" si="9"/>
        <v>АСПС.FB_SHOP_S.IVXX</v>
      </c>
      <c r="B116" s="270">
        <v>7998</v>
      </c>
      <c r="C116" s="270" t="s">
        <v>6</v>
      </c>
      <c r="D116" s="271">
        <v>1</v>
      </c>
    </row>
    <row r="117" spans="1:4">
      <c r="A117" s="272" t="str">
        <f t="shared" si="9"/>
        <v>АСПС.FB_SHOP_S.IVXX</v>
      </c>
      <c r="B117" s="273">
        <v>7999</v>
      </c>
      <c r="C117" s="273" t="s">
        <v>0</v>
      </c>
      <c r="D117" s="274" t="str">
        <f>"#"&amp;$S$2&amp;"#"&amp;$T$2&amp;"\"&amp;$P$2&amp;"\IVXX"</f>
        <v>#2#treiOPCDA.CoOPCserv.1\pcmaster\S_SHOP\IVXX</v>
      </c>
    </row>
    <row r="118" spans="1:4">
      <c r="A118" s="266" t="str">
        <f t="shared" ref="A118:A123" si="10">$R$2&amp;".XVLX"</f>
        <v>АСПС.FB_SHOP_S.XVLX</v>
      </c>
      <c r="B118" s="267">
        <v>3</v>
      </c>
      <c r="C118" s="267" t="s">
        <v>1</v>
      </c>
      <c r="D118" s="268">
        <v>192</v>
      </c>
    </row>
    <row r="119" spans="1:4">
      <c r="A119" s="269" t="str">
        <f t="shared" si="10"/>
        <v>АСПС.FB_SHOP_S.XVLX</v>
      </c>
      <c r="B119" s="270">
        <v>2</v>
      </c>
      <c r="C119" s="270" t="s">
        <v>6</v>
      </c>
      <c r="D119" s="271">
        <v>0</v>
      </c>
    </row>
    <row r="120" spans="1:4">
      <c r="A120" s="269" t="str">
        <f t="shared" si="10"/>
        <v>АСПС.FB_SHOP_S.XVLX</v>
      </c>
      <c r="B120" s="270">
        <v>1</v>
      </c>
      <c r="C120" s="270" t="s">
        <v>1</v>
      </c>
      <c r="D120" s="271">
        <v>3</v>
      </c>
    </row>
    <row r="121" spans="1:4">
      <c r="A121" s="269" t="str">
        <f t="shared" si="10"/>
        <v>АСПС.FB_SHOP_S.XVLX</v>
      </c>
      <c r="B121" s="270">
        <v>101</v>
      </c>
      <c r="C121" s="270" t="s">
        <v>0</v>
      </c>
      <c r="D121" s="271" t="s">
        <v>234</v>
      </c>
    </row>
    <row r="122" spans="1:4">
      <c r="A122" s="269" t="str">
        <f t="shared" si="10"/>
        <v>АСПС.FB_SHOP_S.XVLX</v>
      </c>
      <c r="B122" s="270">
        <v>7998</v>
      </c>
      <c r="C122" s="270" t="s">
        <v>6</v>
      </c>
      <c r="D122" s="271">
        <v>1</v>
      </c>
    </row>
    <row r="123" spans="1:4">
      <c r="A123" s="272" t="str">
        <f t="shared" si="10"/>
        <v>АСПС.FB_SHOP_S.XVLX</v>
      </c>
      <c r="B123" s="273">
        <v>7999</v>
      </c>
      <c r="C123" s="273" t="s">
        <v>0</v>
      </c>
      <c r="D123" s="274" t="str">
        <f>"#"&amp;$S$2&amp;"#"&amp;$T$2&amp;"\"&amp;$P$2&amp;"\XVLX"</f>
        <v>#2#treiOPCDA.CoOPCserv.1\pcmaster\S_SHOP\XVLX</v>
      </c>
    </row>
    <row r="124" spans="1:4">
      <c r="A124" s="266" t="str">
        <f t="shared" ref="A124:A129" si="11">$R$2&amp;".OXON"</f>
        <v>АСПС.FB_SHOP_S.OXON</v>
      </c>
      <c r="B124" s="267">
        <v>3</v>
      </c>
      <c r="C124" s="267" t="s">
        <v>1</v>
      </c>
      <c r="D124" s="268">
        <v>192</v>
      </c>
    </row>
    <row r="125" spans="1:4">
      <c r="A125" s="269" t="str">
        <f t="shared" si="11"/>
        <v>АСПС.FB_SHOP_S.OXON</v>
      </c>
      <c r="B125" s="270">
        <v>2</v>
      </c>
      <c r="C125" s="270" t="s">
        <v>6</v>
      </c>
      <c r="D125" s="271">
        <v>0</v>
      </c>
    </row>
    <row r="126" spans="1:4">
      <c r="A126" s="269" t="str">
        <f t="shared" si="11"/>
        <v>АСПС.FB_SHOP_S.OXON</v>
      </c>
      <c r="B126" s="270">
        <v>1</v>
      </c>
      <c r="C126" s="270" t="s">
        <v>1</v>
      </c>
      <c r="D126" s="271">
        <v>3</v>
      </c>
    </row>
    <row r="127" spans="1:4">
      <c r="A127" s="269" t="str">
        <f t="shared" si="11"/>
        <v>АСПС.FB_SHOP_S.OXON</v>
      </c>
      <c r="B127" s="270">
        <v>101</v>
      </c>
      <c r="C127" s="270" t="s">
        <v>0</v>
      </c>
      <c r="D127" s="271" t="s">
        <v>191</v>
      </c>
    </row>
    <row r="128" spans="1:4">
      <c r="A128" s="269" t="str">
        <f t="shared" si="11"/>
        <v>АСПС.FB_SHOP_S.OXON</v>
      </c>
      <c r="B128" s="270">
        <v>7998</v>
      </c>
      <c r="C128" s="270" t="s">
        <v>6</v>
      </c>
      <c r="D128" s="271">
        <v>1</v>
      </c>
    </row>
    <row r="129" spans="1:4">
      <c r="A129" s="272" t="str">
        <f t="shared" si="11"/>
        <v>АСПС.FB_SHOP_S.OXON</v>
      </c>
      <c r="B129" s="273">
        <v>7999</v>
      </c>
      <c r="C129" s="273" t="s">
        <v>0</v>
      </c>
      <c r="D129" s="274" t="str">
        <f>"#"&amp;$S$2&amp;"#"&amp;$T$2&amp;"\"&amp;$P$2&amp;"\OXON"</f>
        <v>#2#treiOPCDA.CoOPCserv.1\pcmaster\S_SHOP\OXON</v>
      </c>
    </row>
  </sheetData>
  <autoFilter ref="B1:B129" xr:uid="{00000000-0009-0000-0000-000050000000}"/>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Лист59">
    <tabColor rgb="FFFFC000"/>
  </sheetPr>
  <dimension ref="A1:BI376"/>
  <sheetViews>
    <sheetView topLeftCell="A91" zoomScale="70" zoomScaleNormal="70" workbookViewId="0">
      <selection activeCell="D2" sqref="D2:D4"/>
    </sheetView>
  </sheetViews>
  <sheetFormatPr defaultRowHeight="14.4"/>
  <cols>
    <col min="1" max="1" width="37.109375" customWidth="1"/>
    <col min="2" max="2" width="9.5546875" customWidth="1"/>
    <col min="4" max="4" width="63.88671875" style="56"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7.109375" customWidth="1"/>
    <col min="55" max="55" width="10.88671875" customWidth="1"/>
    <col min="57" max="57" width="65.109375" customWidth="1"/>
  </cols>
  <sheetData>
    <row r="1" spans="1:61" s="258" customFormat="1" ht="204.6" thickBot="1">
      <c r="A1" s="257"/>
      <c r="B1" s="260" t="s">
        <v>84</v>
      </c>
      <c r="C1" s="257"/>
      <c r="D1" s="311"/>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F1" s="259"/>
      <c r="BG1" s="259"/>
      <c r="BH1" s="259"/>
      <c r="BI1" s="259"/>
    </row>
    <row r="2" spans="1:61" ht="15" customHeight="1">
      <c r="A2" s="9"/>
      <c r="B2" s="9"/>
      <c r="C2" s="9"/>
      <c r="D2" s="312"/>
      <c r="E2" s="9"/>
      <c r="F2" s="9"/>
      <c r="P2" s="2" t="s">
        <v>445</v>
      </c>
      <c r="Q2" s="2" t="s">
        <v>776</v>
      </c>
      <c r="R2" s="2" t="s">
        <v>789</v>
      </c>
      <c r="S2" s="3">
        <v>1</v>
      </c>
      <c r="T2" s="3" t="s">
        <v>1698</v>
      </c>
      <c r="U2" s="3"/>
      <c r="V2" s="3" t="s">
        <v>569</v>
      </c>
      <c r="W2" s="12" t="s">
        <v>447</v>
      </c>
      <c r="X2" s="12" t="s">
        <v>446</v>
      </c>
      <c r="Y2" s="12"/>
      <c r="Z2" s="12" t="s">
        <v>590</v>
      </c>
      <c r="AA2" s="12" t="s">
        <v>293</v>
      </c>
      <c r="AB2" s="2"/>
      <c r="AC2" s="2"/>
      <c r="AD2" s="2"/>
      <c r="AE2" s="2" t="s">
        <v>1414</v>
      </c>
      <c r="AF2" s="2"/>
      <c r="AG2" s="2"/>
      <c r="AH2" s="2"/>
      <c r="AI2" s="2"/>
      <c r="AJ2" s="2"/>
      <c r="AK2" s="2" t="s">
        <v>1335</v>
      </c>
      <c r="AL2" s="2" t="s">
        <v>1336</v>
      </c>
      <c r="AM2" s="2" t="s">
        <v>1337</v>
      </c>
      <c r="AN2" s="2"/>
      <c r="AO2" s="2"/>
      <c r="AP2" s="2" t="s">
        <v>1338</v>
      </c>
      <c r="AQ2" s="2"/>
      <c r="AR2" s="2"/>
      <c r="AS2" s="2"/>
      <c r="AT2" s="2"/>
      <c r="AU2" s="2"/>
      <c r="AV2" s="2"/>
      <c r="AW2" s="2">
        <v>0</v>
      </c>
      <c r="AX2" s="2"/>
      <c r="AY2" s="2">
        <v>5</v>
      </c>
      <c r="AZ2" s="2">
        <v>20</v>
      </c>
      <c r="BA2" s="2"/>
      <c r="BF2" s="4"/>
      <c r="BG2" s="4"/>
      <c r="BH2" s="4"/>
      <c r="BI2" s="4"/>
    </row>
    <row r="3" spans="1:61" ht="15" customHeight="1">
      <c r="A3" s="9"/>
      <c r="B3" s="9"/>
      <c r="C3" s="9"/>
      <c r="D3" s="312"/>
      <c r="E3" s="9"/>
      <c r="F3" s="9"/>
      <c r="P3" s="10"/>
      <c r="Q3" s="10"/>
      <c r="R3" s="10"/>
      <c r="S3" s="10"/>
      <c r="T3" s="10"/>
      <c r="U3" s="10"/>
      <c r="V3" s="10"/>
      <c r="W3" s="10"/>
      <c r="X3" s="10"/>
      <c r="Y3" s="10"/>
      <c r="Z3" s="10"/>
      <c r="AA3" s="10"/>
      <c r="BF3" s="4"/>
      <c r="BG3" s="4"/>
      <c r="BH3" s="4"/>
      <c r="BI3" s="4"/>
    </row>
    <row r="4" spans="1:61" ht="15" customHeight="1">
      <c r="A4" s="9"/>
      <c r="B4" s="9"/>
      <c r="C4" s="9"/>
      <c r="D4" s="312"/>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F4" s="4"/>
      <c r="BG4" s="4"/>
      <c r="BH4" s="4"/>
      <c r="BI4" s="4"/>
    </row>
    <row r="5" spans="1:61" ht="15" customHeight="1">
      <c r="A5" s="9"/>
      <c r="B5" s="9"/>
      <c r="C5" s="9"/>
      <c r="D5" s="312"/>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F5" s="4"/>
      <c r="BG5" s="4"/>
      <c r="BH5" s="4"/>
      <c r="BI5" s="4"/>
    </row>
    <row r="6" spans="1:61" ht="15" customHeight="1">
      <c r="A6" s="9"/>
      <c r="B6" s="9"/>
      <c r="C6" s="9"/>
      <c r="D6" s="312"/>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F6" s="4"/>
      <c r="BG6" s="4"/>
      <c r="BH6" s="4"/>
      <c r="BI6" s="4"/>
    </row>
    <row r="7" spans="1:61" ht="15" customHeight="1">
      <c r="A7" s="9"/>
      <c r="B7" s="9"/>
      <c r="C7" s="9"/>
      <c r="D7" s="312"/>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F7" s="4"/>
      <c r="BG7" s="4"/>
      <c r="BH7" s="4"/>
      <c r="BI7" s="4"/>
    </row>
    <row r="8" spans="1:61" ht="15" customHeight="1">
      <c r="A8" s="9"/>
      <c r="B8" s="9"/>
      <c r="C8" s="9"/>
      <c r="D8" s="312"/>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BF8" s="4"/>
      <c r="BG8" s="4"/>
      <c r="BH8" s="4"/>
      <c r="BI8" s="4"/>
    </row>
    <row r="9" spans="1:61" ht="15" customHeight="1">
      <c r="A9" s="9"/>
      <c r="B9" s="9"/>
      <c r="C9" s="9"/>
      <c r="D9" s="312"/>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BF9" s="4"/>
      <c r="BG9" s="4"/>
      <c r="BH9" s="4"/>
      <c r="BI9" s="4"/>
    </row>
    <row r="10" spans="1:61" ht="15" customHeight="1">
      <c r="A10" s="9"/>
      <c r="B10" s="9"/>
      <c r="C10" s="9"/>
      <c r="D10" s="312"/>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BF10" s="4"/>
      <c r="BG10" s="4"/>
      <c r="BH10" s="4"/>
      <c r="BI10" s="4"/>
    </row>
    <row r="11" spans="1:61" ht="15" customHeight="1">
      <c r="A11" s="9"/>
      <c r="B11" s="9"/>
      <c r="C11" s="9"/>
      <c r="D11" s="312"/>
      <c r="E11" s="9"/>
      <c r="F11" s="9"/>
      <c r="P11" s="6" t="str">
        <f>Настройки!A8</f>
        <v>Ремонт</v>
      </c>
      <c r="Q11" s="5">
        <f>Настройки!B8</f>
        <v>14</v>
      </c>
      <c r="R11" s="5" t="str">
        <f>Настройки!C8</f>
        <v>Ремонт</v>
      </c>
      <c r="S11" s="10"/>
      <c r="T11" s="10"/>
      <c r="U11" s="10"/>
      <c r="V11" s="10"/>
      <c r="W11" s="10"/>
      <c r="X11" s="10"/>
      <c r="Y11" s="10"/>
      <c r="Z11" s="10"/>
      <c r="AA11" s="10"/>
      <c r="BF11" s="4"/>
      <c r="BG11" s="4"/>
      <c r="BH11" s="4"/>
      <c r="BI11" s="4"/>
    </row>
    <row r="12" spans="1:61" ht="15" customHeight="1">
      <c r="A12" s="9"/>
      <c r="B12" s="9"/>
      <c r="C12" s="9"/>
      <c r="D12" s="312"/>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BF12" s="4"/>
      <c r="BG12" s="4"/>
      <c r="BH12" s="4"/>
      <c r="BI12" s="4"/>
    </row>
    <row r="13" spans="1:61" ht="15" customHeight="1">
      <c r="A13" s="9"/>
      <c r="B13" s="9"/>
      <c r="C13" s="9"/>
      <c r="D13" s="312"/>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F13" s="4"/>
      <c r="BG13" s="4"/>
      <c r="BH13" s="4"/>
      <c r="BI13" s="4"/>
    </row>
    <row r="14" spans="1:61" ht="15" customHeight="1">
      <c r="A14" s="9"/>
      <c r="B14" s="9"/>
      <c r="C14" s="9"/>
      <c r="D14" s="312"/>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F14" s="4"/>
      <c r="BG14" s="4"/>
      <c r="BH14" s="4"/>
      <c r="BI14" s="4"/>
    </row>
    <row r="15" spans="1:61" ht="15" customHeight="1">
      <c r="A15" s="9"/>
      <c r="B15" s="9"/>
      <c r="C15" s="9"/>
      <c r="D15" s="312"/>
      <c r="E15" s="9"/>
      <c r="F15" s="9"/>
      <c r="P15" s="6" t="str">
        <f>Настройки!A12</f>
        <v>Пожар</v>
      </c>
      <c r="Q15" s="5">
        <f>Настройки!B12</f>
        <v>2</v>
      </c>
      <c r="R15" s="5" t="str">
        <f>Настройки!C12</f>
        <v>Пожар</v>
      </c>
      <c r="S15" s="10"/>
      <c r="T15" s="10"/>
      <c r="U15" s="10"/>
      <c r="V15" s="10"/>
      <c r="W15" s="10"/>
      <c r="X15" s="10"/>
      <c r="Y15" s="10"/>
      <c r="Z15" s="10"/>
      <c r="AA15" s="10"/>
      <c r="BF15" s="4"/>
      <c r="BG15" s="4"/>
      <c r="BH15" s="4"/>
      <c r="BI15" s="4"/>
    </row>
    <row r="16" spans="1:61" ht="15" customHeight="1">
      <c r="A16" s="9"/>
      <c r="B16" s="9"/>
      <c r="C16" s="9"/>
      <c r="D16" s="312"/>
      <c r="E16" s="9"/>
      <c r="F16" s="9"/>
      <c r="P16" s="6" t="str">
        <f>Настройки!A13</f>
        <v>Порог 2</v>
      </c>
      <c r="Q16" s="5">
        <f>Настройки!B13</f>
        <v>3</v>
      </c>
      <c r="R16" s="5" t="str">
        <f>Настройки!C13</f>
        <v>Порог 2</v>
      </c>
      <c r="S16" s="10"/>
      <c r="T16" s="10"/>
      <c r="U16" s="10"/>
      <c r="V16" s="10"/>
      <c r="W16" s="10"/>
      <c r="X16" s="10"/>
      <c r="Y16" s="10"/>
      <c r="Z16" s="10"/>
      <c r="AA16" s="10"/>
      <c r="BF16" s="4"/>
      <c r="BG16" s="4"/>
      <c r="BH16" s="4"/>
      <c r="BI16" s="4"/>
    </row>
    <row r="17" spans="1:61" ht="15" customHeight="1">
      <c r="A17" s="9"/>
      <c r="B17" s="9"/>
      <c r="C17" s="9"/>
      <c r="D17" s="312"/>
      <c r="E17" s="9"/>
      <c r="F17" s="9"/>
      <c r="P17" s="6" t="str">
        <f>Настройки!A14</f>
        <v>Порог 1</v>
      </c>
      <c r="Q17" s="5">
        <f>Настройки!B14</f>
        <v>6</v>
      </c>
      <c r="R17" s="5" t="str">
        <f>Настройки!C14</f>
        <v>Порог 1</v>
      </c>
      <c r="S17" s="10"/>
      <c r="T17" s="10"/>
      <c r="U17" s="10"/>
      <c r="V17" s="10"/>
      <c r="W17" s="10"/>
      <c r="X17" s="10"/>
      <c r="Y17" s="10"/>
      <c r="Z17" s="10"/>
      <c r="AA17" s="10"/>
      <c r="BF17" s="4"/>
      <c r="BG17" s="4"/>
      <c r="BH17" s="4"/>
      <c r="BI17" s="4"/>
    </row>
    <row r="18" spans="1:61" ht="15" customHeight="1">
      <c r="A18" s="9"/>
      <c r="B18" s="9"/>
      <c r="C18" s="9"/>
      <c r="D18" s="312"/>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F18" s="4"/>
      <c r="BG18" s="4"/>
      <c r="BH18" s="4"/>
      <c r="BI18" s="4"/>
    </row>
    <row r="19" spans="1:61" ht="15" customHeight="1">
      <c r="A19" s="9"/>
      <c r="B19" s="9"/>
      <c r="C19" s="9"/>
      <c r="D19" s="312"/>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F19" s="4"/>
      <c r="BG19" s="4"/>
      <c r="BH19" s="4"/>
      <c r="BI19" s="4"/>
    </row>
    <row r="20" spans="1:61" ht="15" customHeight="1">
      <c r="A20" s="16" t="str">
        <f t="shared" ref="A20:A34" si="0">$R$2</f>
        <v>АСПС.FB_QSA_S</v>
      </c>
      <c r="B20" s="17">
        <v>11001</v>
      </c>
      <c r="C20" s="17" t="s">
        <v>0</v>
      </c>
      <c r="D20" s="313" t="str">
        <f>$Q$2&amp;". "</f>
        <v xml:space="preserve">Загазованность. </v>
      </c>
      <c r="E20" s="4"/>
      <c r="F20" s="4"/>
      <c r="BF20" s="4"/>
      <c r="BG20" s="4"/>
      <c r="BH20" s="4"/>
      <c r="BI20" s="4"/>
    </row>
    <row r="21" spans="1:61" ht="15" customHeight="1">
      <c r="A21" s="19" t="str">
        <f t="shared" si="0"/>
        <v>АСПС.FB_QSA_S</v>
      </c>
      <c r="B21" s="11">
        <v>11156</v>
      </c>
      <c r="C21" s="11" t="s">
        <v>0</v>
      </c>
      <c r="D21" s="314" t="str">
        <f>$V$2</f>
        <v>Тестовый экран</v>
      </c>
      <c r="E21" s="4"/>
      <c r="F21" s="4"/>
      <c r="BF21" s="4"/>
      <c r="BG21" s="4"/>
      <c r="BH21" s="4"/>
      <c r="BI21" s="4"/>
    </row>
    <row r="22" spans="1:61" ht="15" customHeight="1">
      <c r="A22" s="19" t="str">
        <f t="shared" si="0"/>
        <v>АСПС.FB_QSA_S</v>
      </c>
      <c r="B22" s="11">
        <v>1</v>
      </c>
      <c r="C22" s="11" t="s">
        <v>1</v>
      </c>
      <c r="D22" s="314">
        <v>17</v>
      </c>
      <c r="BF22" s="4"/>
      <c r="BG22" s="4"/>
      <c r="BH22" s="4"/>
      <c r="BI22" s="4"/>
    </row>
    <row r="23" spans="1:61" ht="15" customHeight="1">
      <c r="A23" s="16" t="str">
        <f t="shared" si="0"/>
        <v>АСПС.FB_QSA_S</v>
      </c>
      <c r="B23" s="17">
        <v>100</v>
      </c>
      <c r="C23" s="17" t="s">
        <v>0</v>
      </c>
      <c r="D23" s="18" t="b">
        <f>$T$7</f>
        <v>0</v>
      </c>
      <c r="BF23" s="4"/>
      <c r="BG23" s="4"/>
      <c r="BH23" s="4"/>
      <c r="BI23" s="4"/>
    </row>
    <row r="24" spans="1:61" ht="15" customHeight="1">
      <c r="A24" s="19" t="str">
        <f t="shared" si="0"/>
        <v>АСПС.FB_QSA_S</v>
      </c>
      <c r="B24" s="11">
        <v>11120</v>
      </c>
      <c r="C24" s="11" t="s">
        <v>0</v>
      </c>
      <c r="D24" s="314" t="str">
        <f>$X$2</f>
        <v>%</v>
      </c>
      <c r="BF24" s="4"/>
      <c r="BG24" s="4"/>
      <c r="BH24" s="4"/>
      <c r="BI24" s="4"/>
    </row>
    <row r="25" spans="1:61" ht="15" customHeight="1">
      <c r="A25" s="19" t="str">
        <f t="shared" si="0"/>
        <v>АСПС.FB_QSA_S</v>
      </c>
      <c r="B25" s="11">
        <v>11121</v>
      </c>
      <c r="C25" s="11" t="s">
        <v>0</v>
      </c>
      <c r="D25" s="314" t="str">
        <f>$W$2</f>
        <v>Q</v>
      </c>
      <c r="BF25" s="4"/>
      <c r="BG25" s="4"/>
      <c r="BH25" s="4"/>
      <c r="BI25" s="4"/>
    </row>
    <row r="26" spans="1:61" ht="15" customHeight="1">
      <c r="A26" s="19" t="str">
        <f t="shared" si="0"/>
        <v>АСПС.FB_QSA_S</v>
      </c>
      <c r="B26" s="11">
        <v>11122</v>
      </c>
      <c r="C26" s="11" t="s">
        <v>0</v>
      </c>
      <c r="D26" s="314" t="str">
        <f>$AA$2</f>
        <v>-</v>
      </c>
      <c r="BF26" s="4"/>
      <c r="BG26" s="4"/>
      <c r="BH26" s="4"/>
      <c r="BI26" s="4"/>
    </row>
    <row r="27" spans="1:61" ht="15" customHeight="1">
      <c r="A27" s="19" t="str">
        <f t="shared" si="0"/>
        <v>АСПС.FB_QSA_S</v>
      </c>
      <c r="B27" s="11">
        <v>11123</v>
      </c>
      <c r="C27" s="11" t="s">
        <v>0</v>
      </c>
      <c r="D27" s="314" t="str">
        <f>$Z$2</f>
        <v>Метан</v>
      </c>
      <c r="BF27" s="4"/>
      <c r="BG27" s="4"/>
      <c r="BH27" s="4"/>
      <c r="BI27" s="4"/>
    </row>
    <row r="28" spans="1:61" ht="15" customHeight="1">
      <c r="A28" s="19" t="str">
        <f t="shared" si="0"/>
        <v>АСПС.FB_QSA_S</v>
      </c>
      <c r="B28" s="11">
        <v>11124</v>
      </c>
      <c r="C28" s="11" t="s">
        <v>0</v>
      </c>
      <c r="D28" s="314" t="str">
        <f>$AK$2</f>
        <v>3+6</v>
      </c>
      <c r="BF28" s="4"/>
      <c r="BG28" s="4"/>
      <c r="BH28" s="4"/>
      <c r="BI28" s="4"/>
    </row>
    <row r="29" spans="1:61" ht="15" customHeight="1">
      <c r="A29" s="19" t="str">
        <f t="shared" si="0"/>
        <v>АСПС.FB_QSA_S</v>
      </c>
      <c r="B29" s="11">
        <v>11125</v>
      </c>
      <c r="C29" s="11" t="s">
        <v>0</v>
      </c>
      <c r="D29" s="314" t="str">
        <f>$AL$2</f>
        <v>10+7</v>
      </c>
      <c r="BF29" s="4"/>
      <c r="BG29" s="4"/>
      <c r="BH29" s="4"/>
      <c r="BI29" s="4"/>
    </row>
    <row r="30" spans="1:61" ht="15" customHeight="1">
      <c r="A30" s="19" t="str">
        <f t="shared" si="0"/>
        <v>АСПС.FB_QSA_S</v>
      </c>
      <c r="B30" s="11">
        <v>11126</v>
      </c>
      <c r="C30" s="11" t="s">
        <v>0</v>
      </c>
      <c r="D30" s="314" t="str">
        <f>$AM$2</f>
        <v>10+8</v>
      </c>
      <c r="BF30" s="4"/>
      <c r="BG30" s="4"/>
      <c r="BH30" s="4"/>
      <c r="BI30" s="4"/>
    </row>
    <row r="31" spans="1:61" ht="15" customHeight="1">
      <c r="A31" s="19" t="str">
        <f t="shared" si="0"/>
        <v>АСПС.FB_QSA_S</v>
      </c>
      <c r="B31" s="11">
        <v>11127</v>
      </c>
      <c r="C31" s="11" t="s">
        <v>0</v>
      </c>
      <c r="D31" s="314" t="str">
        <f>$AP$2</f>
        <v>10+9</v>
      </c>
      <c r="BF31" s="4"/>
      <c r="BG31" s="4"/>
      <c r="BH31" s="4"/>
      <c r="BI31" s="4"/>
    </row>
    <row r="32" spans="1:61" ht="15" customHeight="1">
      <c r="A32" s="21" t="str">
        <f t="shared" si="0"/>
        <v>АСПС.FB_QSA_S</v>
      </c>
      <c r="B32" s="8">
        <v>11128</v>
      </c>
      <c r="C32" s="8" t="s">
        <v>0</v>
      </c>
      <c r="D32" s="22" t="str">
        <f>IF($AW$2=0,"мА",IF($AW$2=1,"мВ",$X$2))</f>
        <v>мА</v>
      </c>
      <c r="BF32" s="4"/>
      <c r="BG32" s="4"/>
      <c r="BH32" s="4"/>
      <c r="BI32" s="4"/>
    </row>
    <row r="33" spans="1:61" ht="15" customHeight="1">
      <c r="A33" s="19" t="str">
        <f t="shared" si="0"/>
        <v>АСПС.FB_QSA_S</v>
      </c>
      <c r="B33" s="11">
        <v>13</v>
      </c>
      <c r="C33" s="11" t="s">
        <v>2</v>
      </c>
      <c r="D33" s="20" t="s">
        <v>3</v>
      </c>
      <c r="BF33" s="4"/>
      <c r="BG33" s="4"/>
      <c r="BH33" s="4"/>
      <c r="BI33" s="4"/>
    </row>
    <row r="34" spans="1:61" ht="15" customHeight="1">
      <c r="A34" s="21" t="str">
        <f t="shared" si="0"/>
        <v>АСПС.FB_QSA_S</v>
      </c>
      <c r="B34" s="8">
        <v>3000013</v>
      </c>
      <c r="C34" s="8" t="s">
        <v>0</v>
      </c>
      <c r="D34" s="22" t="str">
        <f>$AE$2</f>
        <v>Диагностика.CPU.NOT_LINK.noLink</v>
      </c>
      <c r="BF34" s="4"/>
      <c r="BG34" s="4"/>
      <c r="BH34" s="4"/>
      <c r="BI34" s="4"/>
    </row>
    <row r="35" spans="1:61">
      <c r="A35" s="352" t="str">
        <f>$R$2&amp;".XT2X"</f>
        <v>АСПС.FB_QSA_S.XT2X</v>
      </c>
      <c r="B35" s="353">
        <v>11154</v>
      </c>
      <c r="C35" s="353" t="s">
        <v>4</v>
      </c>
      <c r="D35" s="354">
        <f>$Q$16</f>
        <v>3</v>
      </c>
    </row>
    <row r="36" spans="1:61">
      <c r="A36" s="352" t="str">
        <f t="shared" ref="A36:A44" si="1">$R$2&amp;".XT2X"</f>
        <v>АСПС.FB_QSA_S.XT2X</v>
      </c>
      <c r="B36" s="353">
        <v>11152</v>
      </c>
      <c r="C36" s="353" t="s">
        <v>0</v>
      </c>
      <c r="D36" s="355" t="str">
        <f>$R$16</f>
        <v>Порог 2</v>
      </c>
    </row>
    <row r="37" spans="1:61">
      <c r="A37" s="352" t="str">
        <f t="shared" si="1"/>
        <v>АСПС.FB_QSA_S.XT2X</v>
      </c>
      <c r="B37" s="353">
        <v>11150</v>
      </c>
      <c r="C37" s="353" t="s">
        <v>0</v>
      </c>
      <c r="D37" s="355" t="s">
        <v>440</v>
      </c>
    </row>
    <row r="38" spans="1:61">
      <c r="A38" s="352" t="str">
        <f t="shared" si="1"/>
        <v>АСПС.FB_QSA_S.XT2X</v>
      </c>
      <c r="B38" s="353">
        <v>11000</v>
      </c>
      <c r="C38" s="353" t="s">
        <v>5</v>
      </c>
      <c r="D38" s="355">
        <v>2147483680</v>
      </c>
    </row>
    <row r="39" spans="1:61">
      <c r="A39" s="19" t="str">
        <f t="shared" si="1"/>
        <v>АСПС.FB_QSA_S.XT2X</v>
      </c>
      <c r="B39" s="11">
        <v>7999</v>
      </c>
      <c r="C39" s="11" t="s">
        <v>0</v>
      </c>
      <c r="D39" s="314" t="str">
        <f>"#"&amp;$S$2&amp;"#"&amp;$T$2&amp;"\"&amp;$P$2&amp;"\XT2X"</f>
        <v>#1#treiOPCDA.CoOPCserv.1\pcmaster\Zagaz_v_KTP\XT2X</v>
      </c>
    </row>
    <row r="40" spans="1:61">
      <c r="A40" s="19" t="str">
        <f t="shared" si="1"/>
        <v>АСПС.FB_QSA_S.XT2X</v>
      </c>
      <c r="B40" s="11">
        <v>7998</v>
      </c>
      <c r="C40" s="11" t="s">
        <v>6</v>
      </c>
      <c r="D40" s="314">
        <v>1</v>
      </c>
    </row>
    <row r="41" spans="1:61">
      <c r="A41" s="19" t="str">
        <f t="shared" si="1"/>
        <v>АСПС.FB_QSA_S.XT2X</v>
      </c>
      <c r="B41" s="11">
        <v>101</v>
      </c>
      <c r="C41" s="11" t="s">
        <v>0</v>
      </c>
      <c r="D41" s="314" t="s">
        <v>440</v>
      </c>
    </row>
    <row r="42" spans="1:61">
      <c r="A42" s="19" t="str">
        <f t="shared" si="1"/>
        <v>АСПС.FB_QSA_S.XT2X</v>
      </c>
      <c r="B42" s="11">
        <v>3</v>
      </c>
      <c r="C42" s="11" t="s">
        <v>1</v>
      </c>
      <c r="D42" s="314">
        <v>192</v>
      </c>
    </row>
    <row r="43" spans="1:61">
      <c r="A43" s="19" t="str">
        <f t="shared" si="1"/>
        <v>АСПС.FB_QSA_S.XT2X</v>
      </c>
      <c r="B43" s="11">
        <v>2</v>
      </c>
      <c r="C43" s="11" t="s">
        <v>2</v>
      </c>
      <c r="D43" s="314" t="s">
        <v>3</v>
      </c>
    </row>
    <row r="44" spans="1:61">
      <c r="A44" s="21" t="str">
        <f t="shared" si="1"/>
        <v>АСПС.FB_QSA_S.XT2X</v>
      </c>
      <c r="B44" s="8">
        <v>1</v>
      </c>
      <c r="C44" s="8" t="s">
        <v>1</v>
      </c>
      <c r="D44" s="315">
        <v>11</v>
      </c>
    </row>
    <row r="45" spans="1:61">
      <c r="A45" s="211" t="str">
        <f t="shared" ref="A45:A54" si="2">$R$2&amp;".FBXX"</f>
        <v>АСПС.FB_QSA_S.FBXX</v>
      </c>
      <c r="B45" s="212">
        <v>11154</v>
      </c>
      <c r="C45" s="212" t="s">
        <v>4</v>
      </c>
      <c r="D45" s="316">
        <f>$Q$7</f>
        <v>12</v>
      </c>
    </row>
    <row r="46" spans="1:61">
      <c r="A46" s="211" t="str">
        <f t="shared" si="2"/>
        <v>АСПС.FB_QSA_S.FBXX</v>
      </c>
      <c r="B46" s="212">
        <v>11152</v>
      </c>
      <c r="C46" s="212" t="s">
        <v>0</v>
      </c>
      <c r="D46" s="220" t="str">
        <f>$R$7</f>
        <v>Неисправность</v>
      </c>
    </row>
    <row r="47" spans="1:61">
      <c r="A47" s="211" t="str">
        <f t="shared" si="2"/>
        <v>АСПС.FB_QSA_S.FBXX</v>
      </c>
      <c r="B47" s="212">
        <v>11150</v>
      </c>
      <c r="C47" s="212" t="s">
        <v>0</v>
      </c>
      <c r="D47" s="220" t="s">
        <v>36</v>
      </c>
    </row>
    <row r="48" spans="1:61">
      <c r="A48" s="211" t="str">
        <f t="shared" si="2"/>
        <v>АСПС.FB_QSA_S.FBXX</v>
      </c>
      <c r="B48" s="212">
        <v>11000</v>
      </c>
      <c r="C48" s="212" t="s">
        <v>5</v>
      </c>
      <c r="D48" s="220">
        <v>2147483680</v>
      </c>
    </row>
    <row r="49" spans="1:22">
      <c r="A49" s="19" t="str">
        <f t="shared" si="2"/>
        <v>АСПС.FB_QSA_S.FBXX</v>
      </c>
      <c r="B49" s="11">
        <v>7999</v>
      </c>
      <c r="C49" s="11" t="s">
        <v>0</v>
      </c>
      <c r="D49" s="314" t="str">
        <f>"#"&amp;$S$2&amp;"#"&amp;$T$2&amp;"\"&amp;$P$2&amp;"\FBXX"</f>
        <v>#1#treiOPCDA.CoOPCserv.1\pcmaster\Zagaz_v_KTP\FBXX</v>
      </c>
    </row>
    <row r="50" spans="1:22">
      <c r="A50" s="19" t="str">
        <f t="shared" si="2"/>
        <v>АСПС.FB_QSA_S.FBXX</v>
      </c>
      <c r="B50" s="11">
        <v>7998</v>
      </c>
      <c r="C50" s="11" t="s">
        <v>6</v>
      </c>
      <c r="D50" s="314">
        <v>1</v>
      </c>
    </row>
    <row r="51" spans="1:22">
      <c r="A51" s="19" t="str">
        <f t="shared" si="2"/>
        <v>АСПС.FB_QSA_S.FBXX</v>
      </c>
      <c r="B51" s="11">
        <v>101</v>
      </c>
      <c r="C51" s="11" t="s">
        <v>0</v>
      </c>
      <c r="D51" s="314" t="s">
        <v>36</v>
      </c>
    </row>
    <row r="52" spans="1:22" s="4" customFormat="1">
      <c r="A52" s="19" t="str">
        <f t="shared" si="2"/>
        <v>АСПС.FB_QSA_S.FBXX</v>
      </c>
      <c r="B52" s="11">
        <v>3</v>
      </c>
      <c r="C52" s="11" t="s">
        <v>1</v>
      </c>
      <c r="D52" s="314">
        <v>192</v>
      </c>
    </row>
    <row r="53" spans="1:22">
      <c r="A53" s="19" t="str">
        <f t="shared" si="2"/>
        <v>АСПС.FB_QSA_S.FBXX</v>
      </c>
      <c r="B53" s="11">
        <v>2</v>
      </c>
      <c r="C53" s="11" t="s">
        <v>2</v>
      </c>
      <c r="D53" s="314" t="s">
        <v>3</v>
      </c>
    </row>
    <row r="54" spans="1:22">
      <c r="A54" s="21" t="str">
        <f t="shared" si="2"/>
        <v>АСПС.FB_QSA_S.FBXX</v>
      </c>
      <c r="B54" s="8">
        <v>1</v>
      </c>
      <c r="C54" s="8" t="s">
        <v>1</v>
      </c>
      <c r="D54" s="315">
        <v>11</v>
      </c>
      <c r="Q54" s="4"/>
      <c r="R54" s="4"/>
      <c r="S54" s="4"/>
      <c r="T54" s="4"/>
      <c r="U54" s="4"/>
      <c r="V54" s="4"/>
    </row>
    <row r="55" spans="1:22">
      <c r="A55" s="211" t="str">
        <f t="shared" ref="A55:A64" si="3">$R$2&amp;".FSCX"</f>
        <v>АСПС.FB_QSA_S.FSCX</v>
      </c>
      <c r="B55" s="212">
        <v>11154</v>
      </c>
      <c r="C55" s="212" t="s">
        <v>4</v>
      </c>
      <c r="D55" s="316">
        <f>$Q$7</f>
        <v>12</v>
      </c>
      <c r="Q55" s="4"/>
      <c r="R55" s="4"/>
      <c r="S55" s="4"/>
      <c r="T55" s="4"/>
      <c r="U55" s="4"/>
      <c r="V55" s="4"/>
    </row>
    <row r="56" spans="1:22">
      <c r="A56" s="211" t="str">
        <f t="shared" si="3"/>
        <v>АСПС.FB_QSA_S.FSCX</v>
      </c>
      <c r="B56" s="212">
        <v>11152</v>
      </c>
      <c r="C56" s="212" t="s">
        <v>0</v>
      </c>
      <c r="D56" s="220" t="str">
        <f>$R$7</f>
        <v>Неисправность</v>
      </c>
      <c r="Q56" s="4"/>
      <c r="R56" s="4"/>
      <c r="S56" s="4"/>
      <c r="T56" s="4"/>
      <c r="U56" s="4"/>
      <c r="V56" s="4"/>
    </row>
    <row r="57" spans="1:22">
      <c r="A57" s="211" t="str">
        <f t="shared" si="3"/>
        <v>АСПС.FB_QSA_S.FSCX</v>
      </c>
      <c r="B57" s="212">
        <v>11150</v>
      </c>
      <c r="C57" s="212" t="s">
        <v>0</v>
      </c>
      <c r="D57" s="220" t="s">
        <v>37</v>
      </c>
      <c r="Q57" s="4"/>
      <c r="R57" s="4"/>
      <c r="S57" s="4"/>
      <c r="T57" s="4"/>
      <c r="U57" s="4"/>
      <c r="V57" s="4"/>
    </row>
    <row r="58" spans="1:22" s="4" customFormat="1">
      <c r="A58" s="211" t="str">
        <f t="shared" si="3"/>
        <v>АСПС.FB_QSA_S.FSCX</v>
      </c>
      <c r="B58" s="212">
        <v>11000</v>
      </c>
      <c r="C58" s="212" t="s">
        <v>5</v>
      </c>
      <c r="D58" s="220">
        <v>2147483680</v>
      </c>
    </row>
    <row r="59" spans="1:22">
      <c r="A59" s="19" t="str">
        <f t="shared" si="3"/>
        <v>АСПС.FB_QSA_S.FSCX</v>
      </c>
      <c r="B59" s="11">
        <v>7999</v>
      </c>
      <c r="C59" s="11" t="s">
        <v>0</v>
      </c>
      <c r="D59" s="314" t="str">
        <f>"#"&amp;$S$2&amp;"#"&amp;$T$2&amp;"\"&amp;$P$2&amp;"\FSCX"</f>
        <v>#1#treiOPCDA.CoOPCserv.1\pcmaster\Zagaz_v_KTP\FSCX</v>
      </c>
      <c r="Q59" s="4"/>
      <c r="R59" s="4"/>
      <c r="S59" s="4"/>
      <c r="T59" s="4"/>
      <c r="U59" s="4"/>
      <c r="V59" s="4"/>
    </row>
    <row r="60" spans="1:22">
      <c r="A60" s="19" t="str">
        <f t="shared" si="3"/>
        <v>АСПС.FB_QSA_S.FSCX</v>
      </c>
      <c r="B60" s="11">
        <v>7998</v>
      </c>
      <c r="C60" s="11" t="s">
        <v>6</v>
      </c>
      <c r="D60" s="314">
        <v>1</v>
      </c>
    </row>
    <row r="61" spans="1:22">
      <c r="A61" s="19" t="str">
        <f t="shared" si="3"/>
        <v>АСПС.FB_QSA_S.FSCX</v>
      </c>
      <c r="B61" s="11">
        <v>101</v>
      </c>
      <c r="C61" s="11" t="s">
        <v>0</v>
      </c>
      <c r="D61" s="314" t="s">
        <v>37</v>
      </c>
    </row>
    <row r="62" spans="1:22">
      <c r="A62" s="19" t="str">
        <f t="shared" si="3"/>
        <v>АСПС.FB_QSA_S.FSCX</v>
      </c>
      <c r="B62" s="11">
        <v>3</v>
      </c>
      <c r="C62" s="11" t="s">
        <v>1</v>
      </c>
      <c r="D62" s="314">
        <v>192</v>
      </c>
    </row>
    <row r="63" spans="1:22">
      <c r="A63" s="19" t="str">
        <f t="shared" si="3"/>
        <v>АСПС.FB_QSA_S.FSCX</v>
      </c>
      <c r="B63" s="11">
        <v>2</v>
      </c>
      <c r="C63" s="11" t="s">
        <v>2</v>
      </c>
      <c r="D63" s="314" t="s">
        <v>3</v>
      </c>
    </row>
    <row r="64" spans="1:22" s="4" customFormat="1">
      <c r="A64" s="21" t="str">
        <f t="shared" si="3"/>
        <v>АСПС.FB_QSA_S.FSCX</v>
      </c>
      <c r="B64" s="8">
        <v>1</v>
      </c>
      <c r="C64" s="8" t="s">
        <v>1</v>
      </c>
      <c r="D64" s="315">
        <v>11</v>
      </c>
    </row>
    <row r="65" spans="1:4">
      <c r="A65" s="211" t="str">
        <f t="shared" ref="A65:A74" si="4">$R$2&amp;".FHSX"</f>
        <v>АСПС.FB_QSA_S.FHSX</v>
      </c>
      <c r="B65" s="212">
        <v>11154</v>
      </c>
      <c r="C65" s="212" t="s">
        <v>4</v>
      </c>
      <c r="D65" s="316">
        <f>$Q$7</f>
        <v>12</v>
      </c>
    </row>
    <row r="66" spans="1:4">
      <c r="A66" s="211" t="str">
        <f t="shared" si="4"/>
        <v>АСПС.FB_QSA_S.FHSX</v>
      </c>
      <c r="B66" s="212">
        <v>11152</v>
      </c>
      <c r="C66" s="212" t="s">
        <v>0</v>
      </c>
      <c r="D66" s="220" t="str">
        <f>$R$7</f>
        <v>Неисправность</v>
      </c>
    </row>
    <row r="67" spans="1:4">
      <c r="A67" s="211" t="str">
        <f t="shared" si="4"/>
        <v>АСПС.FB_QSA_S.FHSX</v>
      </c>
      <c r="B67" s="212">
        <v>11150</v>
      </c>
      <c r="C67" s="212" t="s">
        <v>0</v>
      </c>
      <c r="D67" s="220" t="s">
        <v>38</v>
      </c>
    </row>
    <row r="68" spans="1:4">
      <c r="A68" s="211" t="str">
        <f t="shared" si="4"/>
        <v>АСПС.FB_QSA_S.FHSX</v>
      </c>
      <c r="B68" s="212">
        <v>11000</v>
      </c>
      <c r="C68" s="212" t="s">
        <v>5</v>
      </c>
      <c r="D68" s="220">
        <v>2147483680</v>
      </c>
    </row>
    <row r="69" spans="1:4">
      <c r="A69" s="19" t="str">
        <f t="shared" si="4"/>
        <v>АСПС.FB_QSA_S.FHSX</v>
      </c>
      <c r="B69" s="11">
        <v>7999</v>
      </c>
      <c r="C69" s="11" t="s">
        <v>0</v>
      </c>
      <c r="D69" s="314" t="str">
        <f>"#"&amp;$S$2&amp;"#"&amp;$T$2&amp;"\"&amp;$P$2&amp;"\FHSX"</f>
        <v>#1#treiOPCDA.CoOPCserv.1\pcmaster\Zagaz_v_KTP\FHSX</v>
      </c>
    </row>
    <row r="70" spans="1:4" s="4" customFormat="1">
      <c r="A70" s="19" t="str">
        <f t="shared" si="4"/>
        <v>АСПС.FB_QSA_S.FHSX</v>
      </c>
      <c r="B70" s="11">
        <v>7998</v>
      </c>
      <c r="C70" s="11" t="s">
        <v>6</v>
      </c>
      <c r="D70" s="314">
        <v>1</v>
      </c>
    </row>
    <row r="71" spans="1:4">
      <c r="A71" s="19" t="str">
        <f t="shared" si="4"/>
        <v>АСПС.FB_QSA_S.FHSX</v>
      </c>
      <c r="B71" s="11">
        <v>101</v>
      </c>
      <c r="C71" s="11" t="s">
        <v>0</v>
      </c>
      <c r="D71" s="314" t="s">
        <v>38</v>
      </c>
    </row>
    <row r="72" spans="1:4">
      <c r="A72" s="19" t="str">
        <f t="shared" si="4"/>
        <v>АСПС.FB_QSA_S.FHSX</v>
      </c>
      <c r="B72" s="11">
        <v>3</v>
      </c>
      <c r="C72" s="11" t="s">
        <v>1</v>
      </c>
      <c r="D72" s="314">
        <v>192</v>
      </c>
    </row>
    <row r="73" spans="1:4">
      <c r="A73" s="19" t="str">
        <f t="shared" si="4"/>
        <v>АСПС.FB_QSA_S.FHSX</v>
      </c>
      <c r="B73" s="11">
        <v>2</v>
      </c>
      <c r="C73" s="11" t="s">
        <v>2</v>
      </c>
      <c r="D73" s="314" t="s">
        <v>3</v>
      </c>
    </row>
    <row r="74" spans="1:4">
      <c r="A74" s="21" t="str">
        <f t="shared" si="4"/>
        <v>АСПС.FB_QSA_S.FHSX</v>
      </c>
      <c r="B74" s="8">
        <v>1</v>
      </c>
      <c r="C74" s="8" t="s">
        <v>1</v>
      </c>
      <c r="D74" s="315">
        <v>11</v>
      </c>
    </row>
    <row r="75" spans="1:4">
      <c r="A75" s="211" t="str">
        <f t="shared" ref="A75:A84" si="5">$R$2&amp;".FLSX"</f>
        <v>АСПС.FB_QSA_S.FLSX</v>
      </c>
      <c r="B75" s="212">
        <v>11154</v>
      </c>
      <c r="C75" s="212" t="s">
        <v>4</v>
      </c>
      <c r="D75" s="316">
        <f>$Q$7</f>
        <v>12</v>
      </c>
    </row>
    <row r="76" spans="1:4" s="4" customFormat="1">
      <c r="A76" s="211" t="str">
        <f t="shared" si="5"/>
        <v>АСПС.FB_QSA_S.FLSX</v>
      </c>
      <c r="B76" s="212">
        <v>11152</v>
      </c>
      <c r="C76" s="212" t="s">
        <v>0</v>
      </c>
      <c r="D76" s="220" t="str">
        <f>$R$7</f>
        <v>Неисправность</v>
      </c>
    </row>
    <row r="77" spans="1:4">
      <c r="A77" s="211" t="str">
        <f t="shared" si="5"/>
        <v>АСПС.FB_QSA_S.FLSX</v>
      </c>
      <c r="B77" s="212">
        <v>11150</v>
      </c>
      <c r="C77" s="212" t="s">
        <v>0</v>
      </c>
      <c r="D77" s="220" t="s">
        <v>39</v>
      </c>
    </row>
    <row r="78" spans="1:4">
      <c r="A78" s="211" t="str">
        <f t="shared" si="5"/>
        <v>АСПС.FB_QSA_S.FLSX</v>
      </c>
      <c r="B78" s="212">
        <v>11000</v>
      </c>
      <c r="C78" s="212" t="s">
        <v>5</v>
      </c>
      <c r="D78" s="220">
        <v>2147483680</v>
      </c>
    </row>
    <row r="79" spans="1:4">
      <c r="A79" s="19" t="str">
        <f t="shared" si="5"/>
        <v>АСПС.FB_QSA_S.FLSX</v>
      </c>
      <c r="B79" s="11">
        <v>7999</v>
      </c>
      <c r="C79" s="11" t="s">
        <v>0</v>
      </c>
      <c r="D79" s="314" t="str">
        <f>"#"&amp;$S$2&amp;"#"&amp;$T$2&amp;"\"&amp;$P$2&amp;"\FLSX"</f>
        <v>#1#treiOPCDA.CoOPCserv.1\pcmaster\Zagaz_v_KTP\FLSX</v>
      </c>
    </row>
    <row r="80" spans="1:4">
      <c r="A80" s="19" t="str">
        <f t="shared" si="5"/>
        <v>АСПС.FB_QSA_S.FLSX</v>
      </c>
      <c r="B80" s="11">
        <v>7998</v>
      </c>
      <c r="C80" s="11" t="s">
        <v>6</v>
      </c>
      <c r="D80" s="314">
        <v>1</v>
      </c>
    </row>
    <row r="81" spans="1:4">
      <c r="A81" s="19" t="str">
        <f t="shared" si="5"/>
        <v>АСПС.FB_QSA_S.FLSX</v>
      </c>
      <c r="B81" s="11">
        <v>101</v>
      </c>
      <c r="C81" s="11" t="s">
        <v>0</v>
      </c>
      <c r="D81" s="314" t="s">
        <v>39</v>
      </c>
    </row>
    <row r="82" spans="1:4" s="4" customFormat="1">
      <c r="A82" s="19" t="str">
        <f t="shared" si="5"/>
        <v>АСПС.FB_QSA_S.FLSX</v>
      </c>
      <c r="B82" s="11">
        <v>3</v>
      </c>
      <c r="C82" s="11" t="s">
        <v>1</v>
      </c>
      <c r="D82" s="314">
        <v>192</v>
      </c>
    </row>
    <row r="83" spans="1:4">
      <c r="A83" s="19" t="str">
        <f t="shared" si="5"/>
        <v>АСПС.FB_QSA_S.FLSX</v>
      </c>
      <c r="B83" s="11">
        <v>2</v>
      </c>
      <c r="C83" s="11" t="s">
        <v>2</v>
      </c>
      <c r="D83" s="314" t="s">
        <v>3</v>
      </c>
    </row>
    <row r="84" spans="1:4">
      <c r="A84" s="21" t="str">
        <f t="shared" si="5"/>
        <v>АСПС.FB_QSA_S.FLSX</v>
      </c>
      <c r="B84" s="8">
        <v>1</v>
      </c>
      <c r="C84" s="8" t="s">
        <v>1</v>
      </c>
      <c r="D84" s="315">
        <v>11</v>
      </c>
    </row>
    <row r="85" spans="1:4">
      <c r="A85" s="211" t="str">
        <f t="shared" ref="A85:A94" si="6">$R$2&amp;".FSLX"</f>
        <v>АСПС.FB_QSA_S.FSLX</v>
      </c>
      <c r="B85" s="212">
        <v>11154</v>
      </c>
      <c r="C85" s="212" t="s">
        <v>4</v>
      </c>
      <c r="D85" s="316">
        <f>$Q$7</f>
        <v>12</v>
      </c>
    </row>
    <row r="86" spans="1:4">
      <c r="A86" s="211" t="str">
        <f t="shared" si="6"/>
        <v>АСПС.FB_QSA_S.FSLX</v>
      </c>
      <c r="B86" s="212">
        <v>11152</v>
      </c>
      <c r="C86" s="212" t="s">
        <v>0</v>
      </c>
      <c r="D86" s="220" t="str">
        <f>$R$7</f>
        <v>Неисправность</v>
      </c>
    </row>
    <row r="87" spans="1:4">
      <c r="A87" s="211" t="str">
        <f t="shared" si="6"/>
        <v>АСПС.FB_QSA_S.FSLX</v>
      </c>
      <c r="B87" s="212">
        <v>11150</v>
      </c>
      <c r="C87" s="212" t="s">
        <v>0</v>
      </c>
      <c r="D87" s="220" t="s">
        <v>40</v>
      </c>
    </row>
    <row r="88" spans="1:4" s="4" customFormat="1">
      <c r="A88" s="211" t="str">
        <f t="shared" si="6"/>
        <v>АСПС.FB_QSA_S.FSLX</v>
      </c>
      <c r="B88" s="212">
        <v>11000</v>
      </c>
      <c r="C88" s="212" t="s">
        <v>5</v>
      </c>
      <c r="D88" s="220">
        <v>2147483680</v>
      </c>
    </row>
    <row r="89" spans="1:4">
      <c r="A89" s="19" t="str">
        <f t="shared" si="6"/>
        <v>АСПС.FB_QSA_S.FSLX</v>
      </c>
      <c r="B89" s="11">
        <v>7999</v>
      </c>
      <c r="C89" s="11" t="s">
        <v>0</v>
      </c>
      <c r="D89" s="314" t="str">
        <f>"#"&amp;$S$2&amp;"#"&amp;$T$2&amp;"\"&amp;$P$2&amp;"\FSLX"</f>
        <v>#1#treiOPCDA.CoOPCserv.1\pcmaster\Zagaz_v_KTP\FSLX</v>
      </c>
    </row>
    <row r="90" spans="1:4">
      <c r="A90" s="19" t="str">
        <f t="shared" si="6"/>
        <v>АСПС.FB_QSA_S.FSLX</v>
      </c>
      <c r="B90" s="11">
        <v>7998</v>
      </c>
      <c r="C90" s="11" t="s">
        <v>6</v>
      </c>
      <c r="D90" s="314">
        <v>1</v>
      </c>
    </row>
    <row r="91" spans="1:4">
      <c r="A91" s="19" t="str">
        <f t="shared" si="6"/>
        <v>АСПС.FB_QSA_S.FSLX</v>
      </c>
      <c r="B91" s="11">
        <v>101</v>
      </c>
      <c r="C91" s="11" t="s">
        <v>0</v>
      </c>
      <c r="D91" s="314" t="s">
        <v>40</v>
      </c>
    </row>
    <row r="92" spans="1:4">
      <c r="A92" s="19" t="str">
        <f t="shared" si="6"/>
        <v>АСПС.FB_QSA_S.FSLX</v>
      </c>
      <c r="B92" s="11">
        <v>3</v>
      </c>
      <c r="C92" s="11" t="s">
        <v>1</v>
      </c>
      <c r="D92" s="314">
        <v>192</v>
      </c>
    </row>
    <row r="93" spans="1:4">
      <c r="A93" s="19" t="str">
        <f t="shared" si="6"/>
        <v>АСПС.FB_QSA_S.FSLX</v>
      </c>
      <c r="B93" s="11">
        <v>2</v>
      </c>
      <c r="C93" s="11" t="s">
        <v>2</v>
      </c>
      <c r="D93" s="314" t="s">
        <v>3</v>
      </c>
    </row>
    <row r="94" spans="1:4" s="4" customFormat="1">
      <c r="A94" s="21" t="str">
        <f t="shared" si="6"/>
        <v>АСПС.FB_QSA_S.FSLX</v>
      </c>
      <c r="B94" s="8">
        <v>1</v>
      </c>
      <c r="C94" s="8" t="s">
        <v>1</v>
      </c>
      <c r="D94" s="315">
        <v>11</v>
      </c>
    </row>
    <row r="95" spans="1:4">
      <c r="A95" s="211" t="str">
        <f>$R$2&amp;".FEXX"</f>
        <v>АСПС.FB_QSA_S.FEXX</v>
      </c>
      <c r="B95" s="212">
        <v>11154</v>
      </c>
      <c r="C95" s="212" t="s">
        <v>4</v>
      </c>
      <c r="D95" s="316">
        <f>$Q$7</f>
        <v>12</v>
      </c>
    </row>
    <row r="96" spans="1:4">
      <c r="A96" s="211" t="str">
        <f t="shared" ref="A96:A104" si="7">$R$2&amp;".FEXX"</f>
        <v>АСПС.FB_QSA_S.FEXX</v>
      </c>
      <c r="B96" s="212">
        <v>11152</v>
      </c>
      <c r="C96" s="212" t="s">
        <v>0</v>
      </c>
      <c r="D96" s="220" t="str">
        <f>$R$7</f>
        <v>Неисправность</v>
      </c>
    </row>
    <row r="97" spans="1:4">
      <c r="A97" s="211" t="str">
        <f t="shared" si="7"/>
        <v>АСПС.FB_QSA_S.FEXX</v>
      </c>
      <c r="B97" s="212">
        <v>11150</v>
      </c>
      <c r="C97" s="212" t="s">
        <v>0</v>
      </c>
      <c r="D97" s="220" t="s">
        <v>711</v>
      </c>
    </row>
    <row r="98" spans="1:4">
      <c r="A98" s="211" t="str">
        <f t="shared" si="7"/>
        <v>АСПС.FB_QSA_S.FEXX</v>
      </c>
      <c r="B98" s="212">
        <v>11000</v>
      </c>
      <c r="C98" s="212" t="s">
        <v>5</v>
      </c>
      <c r="D98" s="220">
        <v>2147483680</v>
      </c>
    </row>
    <row r="99" spans="1:4">
      <c r="A99" s="19" t="str">
        <f t="shared" si="7"/>
        <v>АСПС.FB_QSA_S.FEXX</v>
      </c>
      <c r="B99" s="11">
        <v>7999</v>
      </c>
      <c r="C99" s="11" t="s">
        <v>0</v>
      </c>
      <c r="D99" s="314" t="str">
        <f>"#"&amp;$S$2&amp;"#"&amp;$T$2&amp;"\"&amp;$P$2&amp;"\FEXX"</f>
        <v>#1#treiOPCDA.CoOPCserv.1\pcmaster\Zagaz_v_KTP\FEXX</v>
      </c>
    </row>
    <row r="100" spans="1:4" s="4" customFormat="1">
      <c r="A100" s="19" t="str">
        <f t="shared" si="7"/>
        <v>АСПС.FB_QSA_S.FEXX</v>
      </c>
      <c r="B100" s="11">
        <v>7998</v>
      </c>
      <c r="C100" s="11" t="s">
        <v>6</v>
      </c>
      <c r="D100" s="314">
        <v>1</v>
      </c>
    </row>
    <row r="101" spans="1:4">
      <c r="A101" s="19" t="str">
        <f t="shared" si="7"/>
        <v>АСПС.FB_QSA_S.FEXX</v>
      </c>
      <c r="B101" s="11">
        <v>101</v>
      </c>
      <c r="C101" s="11" t="s">
        <v>0</v>
      </c>
      <c r="D101" s="314" t="s">
        <v>711</v>
      </c>
    </row>
    <row r="102" spans="1:4">
      <c r="A102" s="19" t="str">
        <f t="shared" si="7"/>
        <v>АСПС.FB_QSA_S.FEXX</v>
      </c>
      <c r="B102" s="11">
        <v>3</v>
      </c>
      <c r="C102" s="11" t="s">
        <v>1</v>
      </c>
      <c r="D102" s="314">
        <v>192</v>
      </c>
    </row>
    <row r="103" spans="1:4">
      <c r="A103" s="19" t="str">
        <f t="shared" si="7"/>
        <v>АСПС.FB_QSA_S.FEXX</v>
      </c>
      <c r="B103" s="11">
        <v>2</v>
      </c>
      <c r="C103" s="11" t="s">
        <v>2</v>
      </c>
      <c r="D103" s="314" t="s">
        <v>3</v>
      </c>
    </row>
    <row r="104" spans="1:4">
      <c r="A104" s="21" t="str">
        <f t="shared" si="7"/>
        <v>АСПС.FB_QSA_S.FEXX</v>
      </c>
      <c r="B104" s="8">
        <v>1</v>
      </c>
      <c r="C104" s="8" t="s">
        <v>1</v>
      </c>
      <c r="D104" s="315">
        <v>11</v>
      </c>
    </row>
    <row r="105" spans="1:4">
      <c r="A105" s="278" t="str">
        <f>$R$2&amp;".XT1X"</f>
        <v>АСПС.FB_QSA_S.XT1X</v>
      </c>
      <c r="B105" s="279">
        <v>11154</v>
      </c>
      <c r="C105" s="279" t="s">
        <v>4</v>
      </c>
      <c r="D105" s="356">
        <f>$Q$17</f>
        <v>6</v>
      </c>
    </row>
    <row r="106" spans="1:4" s="4" customFormat="1">
      <c r="A106" s="278" t="str">
        <f t="shared" ref="A106:A114" si="8">$R$2&amp;".XT1X"</f>
        <v>АСПС.FB_QSA_S.XT1X</v>
      </c>
      <c r="B106" s="279">
        <v>11152</v>
      </c>
      <c r="C106" s="279" t="s">
        <v>0</v>
      </c>
      <c r="D106" s="322" t="str">
        <f>$R$17</f>
        <v>Порог 1</v>
      </c>
    </row>
    <row r="107" spans="1:4">
      <c r="A107" s="278" t="str">
        <f t="shared" si="8"/>
        <v>АСПС.FB_QSA_S.XT1X</v>
      </c>
      <c r="B107" s="279">
        <v>11150</v>
      </c>
      <c r="C107" s="279" t="s">
        <v>0</v>
      </c>
      <c r="D107" s="322" t="s">
        <v>439</v>
      </c>
    </row>
    <row r="108" spans="1:4">
      <c r="A108" s="278" t="str">
        <f t="shared" si="8"/>
        <v>АСПС.FB_QSA_S.XT1X</v>
      </c>
      <c r="B108" s="279">
        <v>11000</v>
      </c>
      <c r="C108" s="279" t="s">
        <v>5</v>
      </c>
      <c r="D108" s="322">
        <v>2147483680</v>
      </c>
    </row>
    <row r="109" spans="1:4">
      <c r="A109" s="19" t="str">
        <f t="shared" si="8"/>
        <v>АСПС.FB_QSA_S.XT1X</v>
      </c>
      <c r="B109" s="11">
        <v>7999</v>
      </c>
      <c r="C109" s="11" t="s">
        <v>0</v>
      </c>
      <c r="D109" s="314" t="str">
        <f>"#"&amp;$S$2&amp;"#"&amp;$T$2&amp;"\"&amp;$P$2&amp;"\XT1X"</f>
        <v>#1#treiOPCDA.CoOPCserv.1\pcmaster\Zagaz_v_KTP\XT1X</v>
      </c>
    </row>
    <row r="110" spans="1:4">
      <c r="A110" s="19" t="str">
        <f t="shared" si="8"/>
        <v>АСПС.FB_QSA_S.XT1X</v>
      </c>
      <c r="B110" s="11">
        <v>7998</v>
      </c>
      <c r="C110" s="11" t="s">
        <v>6</v>
      </c>
      <c r="D110" s="314">
        <v>1</v>
      </c>
    </row>
    <row r="111" spans="1:4">
      <c r="A111" s="19" t="str">
        <f t="shared" si="8"/>
        <v>АСПС.FB_QSA_S.XT1X</v>
      </c>
      <c r="B111" s="11">
        <v>101</v>
      </c>
      <c r="C111" s="11" t="s">
        <v>0</v>
      </c>
      <c r="D111" s="314" t="s">
        <v>439</v>
      </c>
    </row>
    <row r="112" spans="1:4" s="4" customFormat="1">
      <c r="A112" s="19" t="str">
        <f t="shared" si="8"/>
        <v>АСПС.FB_QSA_S.XT1X</v>
      </c>
      <c r="B112" s="11">
        <v>3</v>
      </c>
      <c r="C112" s="11" t="s">
        <v>1</v>
      </c>
      <c r="D112" s="314">
        <v>192</v>
      </c>
    </row>
    <row r="113" spans="1:4">
      <c r="A113" s="19" t="str">
        <f t="shared" si="8"/>
        <v>АСПС.FB_QSA_S.XT1X</v>
      </c>
      <c r="B113" s="11">
        <v>2</v>
      </c>
      <c r="C113" s="11" t="s">
        <v>2</v>
      </c>
      <c r="D113" s="314" t="s">
        <v>3</v>
      </c>
    </row>
    <row r="114" spans="1:4">
      <c r="A114" s="21" t="str">
        <f t="shared" si="8"/>
        <v>АСПС.FB_QSA_S.XT1X</v>
      </c>
      <c r="B114" s="8">
        <v>1</v>
      </c>
      <c r="C114" s="8" t="s">
        <v>1</v>
      </c>
      <c r="D114" s="315">
        <v>11</v>
      </c>
    </row>
    <row r="115" spans="1:4">
      <c r="A115" s="63" t="str">
        <f t="shared" ref="A115:A124" si="9">$R$2&amp;".XDAX"</f>
        <v>АСПС.FB_QSA_S.XDAX</v>
      </c>
      <c r="B115" s="64">
        <v>11152</v>
      </c>
      <c r="C115" s="64" t="s">
        <v>0</v>
      </c>
      <c r="D115" s="99" t="str">
        <f>$R$6</f>
        <v>Предупреждение</v>
      </c>
    </row>
    <row r="116" spans="1:4">
      <c r="A116" s="63" t="str">
        <f t="shared" si="9"/>
        <v>АСПС.FB_QSA_S.XDAX</v>
      </c>
      <c r="B116" s="64">
        <v>11154</v>
      </c>
      <c r="C116" s="64" t="s">
        <v>4</v>
      </c>
      <c r="D116" s="317">
        <f>$Q$6</f>
        <v>8</v>
      </c>
    </row>
    <row r="117" spans="1:4">
      <c r="A117" s="63" t="str">
        <f t="shared" si="9"/>
        <v>АСПС.FB_QSA_S.XDAX</v>
      </c>
      <c r="B117" s="64">
        <v>11150</v>
      </c>
      <c r="C117" s="64" t="s">
        <v>0</v>
      </c>
      <c r="D117" s="99" t="s">
        <v>11</v>
      </c>
    </row>
    <row r="118" spans="1:4" s="4" customFormat="1">
      <c r="A118" s="63" t="str">
        <f t="shared" si="9"/>
        <v>АСПС.FB_QSA_S.XDAX</v>
      </c>
      <c r="B118" s="64">
        <v>11000</v>
      </c>
      <c r="C118" s="64" t="s">
        <v>5</v>
      </c>
      <c r="D118" s="99">
        <v>2147483680</v>
      </c>
    </row>
    <row r="119" spans="1:4">
      <c r="A119" s="19" t="str">
        <f t="shared" si="9"/>
        <v>АСПС.FB_QSA_S.XDAX</v>
      </c>
      <c r="B119" s="11">
        <v>7999</v>
      </c>
      <c r="C119" s="11" t="s">
        <v>0</v>
      </c>
      <c r="D119" s="314" t="str">
        <f>"#"&amp;$S$2&amp;"#"&amp;$T$2&amp;"\"&amp;$P$2&amp;"\XDAX"</f>
        <v>#1#treiOPCDA.CoOPCserv.1\pcmaster\Zagaz_v_KTP\XDAX</v>
      </c>
    </row>
    <row r="120" spans="1:4">
      <c r="A120" s="19" t="str">
        <f t="shared" si="9"/>
        <v>АСПС.FB_QSA_S.XDAX</v>
      </c>
      <c r="B120" s="11">
        <v>7998</v>
      </c>
      <c r="C120" s="11" t="s">
        <v>6</v>
      </c>
      <c r="D120" s="314">
        <v>1</v>
      </c>
    </row>
    <row r="121" spans="1:4">
      <c r="A121" s="19" t="str">
        <f t="shared" si="9"/>
        <v>АСПС.FB_QSA_S.XDAX</v>
      </c>
      <c r="B121" s="11">
        <v>101</v>
      </c>
      <c r="C121" s="11" t="s">
        <v>0</v>
      </c>
      <c r="D121" s="314" t="s">
        <v>11</v>
      </c>
    </row>
    <row r="122" spans="1:4">
      <c r="A122" s="19" t="str">
        <f t="shared" si="9"/>
        <v>АСПС.FB_QSA_S.XDAX</v>
      </c>
      <c r="B122" s="11">
        <v>3</v>
      </c>
      <c r="C122" s="11" t="s">
        <v>1</v>
      </c>
      <c r="D122" s="314">
        <v>192</v>
      </c>
    </row>
    <row r="123" spans="1:4">
      <c r="A123" s="19" t="str">
        <f t="shared" si="9"/>
        <v>АСПС.FB_QSA_S.XDAX</v>
      </c>
      <c r="B123" s="11">
        <v>2</v>
      </c>
      <c r="C123" s="11" t="s">
        <v>2</v>
      </c>
      <c r="D123" s="314" t="s">
        <v>3</v>
      </c>
    </row>
    <row r="124" spans="1:4">
      <c r="A124" s="21" t="str">
        <f t="shared" si="9"/>
        <v>АСПС.FB_QSA_S.XDAX</v>
      </c>
      <c r="B124" s="8">
        <v>1</v>
      </c>
      <c r="C124" s="8" t="s">
        <v>1</v>
      </c>
      <c r="D124" s="315">
        <v>11</v>
      </c>
    </row>
    <row r="125" spans="1:4">
      <c r="A125" s="110" t="str">
        <f t="shared" ref="A125:A134" si="10">$R$2&amp;".DVXX"</f>
        <v>АСПС.FB_QSA_S.DVXX</v>
      </c>
      <c r="B125" s="123">
        <v>11154</v>
      </c>
      <c r="C125" s="123" t="s">
        <v>4</v>
      </c>
      <c r="D125" s="318">
        <f>$Q$9</f>
        <v>10</v>
      </c>
    </row>
    <row r="126" spans="1:4">
      <c r="A126" s="110" t="str">
        <f t="shared" si="10"/>
        <v>АСПС.FB_QSA_S.DVXX</v>
      </c>
      <c r="B126" s="111">
        <v>11152</v>
      </c>
      <c r="C126" s="111" t="s">
        <v>0</v>
      </c>
      <c r="D126" s="113" t="str">
        <f>$R$9</f>
        <v>Недостоверность</v>
      </c>
    </row>
    <row r="127" spans="1:4">
      <c r="A127" s="110" t="str">
        <f t="shared" si="10"/>
        <v>АСПС.FB_QSA_S.DVXX</v>
      </c>
      <c r="B127" s="111">
        <v>11150</v>
      </c>
      <c r="C127" s="111" t="s">
        <v>0</v>
      </c>
      <c r="D127" s="113" t="s">
        <v>83</v>
      </c>
    </row>
    <row r="128" spans="1:4">
      <c r="A128" s="110" t="str">
        <f t="shared" si="10"/>
        <v>АСПС.FB_QSA_S.DVXX</v>
      </c>
      <c r="B128" s="111">
        <v>11000</v>
      </c>
      <c r="C128" s="111" t="s">
        <v>5</v>
      </c>
      <c r="D128" s="113">
        <v>2147483680</v>
      </c>
    </row>
    <row r="129" spans="1:4">
      <c r="A129" s="19" t="str">
        <f t="shared" si="10"/>
        <v>АСПС.FB_QSA_S.DVXX</v>
      </c>
      <c r="B129" s="11">
        <v>7999</v>
      </c>
      <c r="C129" s="11" t="s">
        <v>0</v>
      </c>
      <c r="D129" s="314" t="str">
        <f>"#"&amp;$S$2&amp;"#"&amp;$T$2&amp;"\"&amp;$P$2&amp;"\DVXX"</f>
        <v>#1#treiOPCDA.CoOPCserv.1\pcmaster\Zagaz_v_KTP\DVXX</v>
      </c>
    </row>
    <row r="130" spans="1:4">
      <c r="A130" s="19" t="str">
        <f t="shared" si="10"/>
        <v>АСПС.FB_QSA_S.DVXX</v>
      </c>
      <c r="B130" s="11">
        <v>7998</v>
      </c>
      <c r="C130" s="11" t="s">
        <v>6</v>
      </c>
      <c r="D130" s="314">
        <v>1</v>
      </c>
    </row>
    <row r="131" spans="1:4">
      <c r="A131" s="19" t="str">
        <f t="shared" si="10"/>
        <v>АСПС.FB_QSA_S.DVXX</v>
      </c>
      <c r="B131" s="11">
        <v>101</v>
      </c>
      <c r="C131" s="11" t="s">
        <v>0</v>
      </c>
      <c r="D131" s="314" t="s">
        <v>83</v>
      </c>
    </row>
    <row r="132" spans="1:4">
      <c r="A132" s="19" t="str">
        <f t="shared" si="10"/>
        <v>АСПС.FB_QSA_S.DVXX</v>
      </c>
      <c r="B132" s="11">
        <v>3</v>
      </c>
      <c r="C132" s="11" t="s">
        <v>1</v>
      </c>
      <c r="D132" s="314">
        <v>192</v>
      </c>
    </row>
    <row r="133" spans="1:4">
      <c r="A133" s="19" t="str">
        <f t="shared" si="10"/>
        <v>АСПС.FB_QSA_S.DVXX</v>
      </c>
      <c r="B133" s="11">
        <v>2</v>
      </c>
      <c r="C133" s="11" t="s">
        <v>2</v>
      </c>
      <c r="D133" s="314" t="s">
        <v>3</v>
      </c>
    </row>
    <row r="134" spans="1:4">
      <c r="A134" s="21" t="str">
        <f t="shared" si="10"/>
        <v>АСПС.FB_QSA_S.DVXX</v>
      </c>
      <c r="B134" s="8">
        <v>1</v>
      </c>
      <c r="C134" s="8" t="s">
        <v>1</v>
      </c>
      <c r="D134" s="315">
        <v>11</v>
      </c>
    </row>
    <row r="135" spans="1:4">
      <c r="A135" s="110" t="str">
        <f>$R$2&amp;".DFEX"</f>
        <v>АСПС.FB_QSA_S.DFEX</v>
      </c>
      <c r="B135" s="123">
        <v>11154</v>
      </c>
      <c r="C135" s="123" t="s">
        <v>4</v>
      </c>
      <c r="D135" s="318">
        <f>$Q$9</f>
        <v>10</v>
      </c>
    </row>
    <row r="136" spans="1:4">
      <c r="A136" s="110" t="str">
        <f t="shared" ref="A136:A144" si="11">$R$2&amp;".DFEX"</f>
        <v>АСПС.FB_QSA_S.DFEX</v>
      </c>
      <c r="B136" s="111">
        <v>11152</v>
      </c>
      <c r="C136" s="111" t="s">
        <v>0</v>
      </c>
      <c r="D136" s="113" t="str">
        <f>$R$9</f>
        <v>Недостоверность</v>
      </c>
    </row>
    <row r="137" spans="1:4">
      <c r="A137" s="110" t="str">
        <f t="shared" si="11"/>
        <v>АСПС.FB_QSA_S.DFEX</v>
      </c>
      <c r="B137" s="111">
        <v>11150</v>
      </c>
      <c r="C137" s="111" t="s">
        <v>0</v>
      </c>
      <c r="D137" s="113" t="s">
        <v>458</v>
      </c>
    </row>
    <row r="138" spans="1:4">
      <c r="A138" s="110" t="str">
        <f t="shared" si="11"/>
        <v>АСПС.FB_QSA_S.DFEX</v>
      </c>
      <c r="B138" s="111">
        <v>11000</v>
      </c>
      <c r="C138" s="111" t="s">
        <v>5</v>
      </c>
      <c r="D138" s="113">
        <v>2147483680</v>
      </c>
    </row>
    <row r="139" spans="1:4">
      <c r="A139" s="19" t="str">
        <f t="shared" si="11"/>
        <v>АСПС.FB_QSA_S.DFEX</v>
      </c>
      <c r="B139" s="11">
        <v>7999</v>
      </c>
      <c r="C139" s="11" t="s">
        <v>0</v>
      </c>
      <c r="D139" s="314" t="str">
        <f>"#"&amp;$S$2&amp;"#"&amp;$T$2&amp;"\"&amp;$P$2&amp;"\DFEX"</f>
        <v>#1#treiOPCDA.CoOPCserv.1\pcmaster\Zagaz_v_KTP\DFEX</v>
      </c>
    </row>
    <row r="140" spans="1:4">
      <c r="A140" s="19" t="str">
        <f t="shared" si="11"/>
        <v>АСПС.FB_QSA_S.DFEX</v>
      </c>
      <c r="B140" s="11">
        <v>7998</v>
      </c>
      <c r="C140" s="11" t="s">
        <v>6</v>
      </c>
      <c r="D140" s="314">
        <v>1</v>
      </c>
    </row>
    <row r="141" spans="1:4">
      <c r="A141" s="19" t="str">
        <f t="shared" si="11"/>
        <v>АСПС.FB_QSA_S.DFEX</v>
      </c>
      <c r="B141" s="11">
        <v>101</v>
      </c>
      <c r="C141" s="11" t="s">
        <v>0</v>
      </c>
      <c r="D141" s="314" t="s">
        <v>458</v>
      </c>
    </row>
    <row r="142" spans="1:4">
      <c r="A142" s="19" t="str">
        <f t="shared" si="11"/>
        <v>АСПС.FB_QSA_S.DFEX</v>
      </c>
      <c r="B142" s="11">
        <v>3</v>
      </c>
      <c r="C142" s="11" t="s">
        <v>1</v>
      </c>
      <c r="D142" s="314">
        <v>192</v>
      </c>
    </row>
    <row r="143" spans="1:4">
      <c r="A143" s="19" t="str">
        <f t="shared" si="11"/>
        <v>АСПС.FB_QSA_S.DFEX</v>
      </c>
      <c r="B143" s="11">
        <v>2</v>
      </c>
      <c r="C143" s="11" t="s">
        <v>2</v>
      </c>
      <c r="D143" s="314" t="s">
        <v>3</v>
      </c>
    </row>
    <row r="144" spans="1:4">
      <c r="A144" s="21" t="str">
        <f t="shared" si="11"/>
        <v>АСПС.FB_QSA_S.DFEX</v>
      </c>
      <c r="B144" s="8">
        <v>1</v>
      </c>
      <c r="C144" s="8" t="s">
        <v>1</v>
      </c>
      <c r="D144" s="315">
        <v>11</v>
      </c>
    </row>
    <row r="145" spans="1:4">
      <c r="A145" s="110" t="str">
        <f>$R$2&amp;".DT1X"</f>
        <v>АСПС.FB_QSA_S.DT1X</v>
      </c>
      <c r="B145" s="123">
        <v>11154</v>
      </c>
      <c r="C145" s="123" t="s">
        <v>4</v>
      </c>
      <c r="D145" s="318">
        <f>$Q$9</f>
        <v>10</v>
      </c>
    </row>
    <row r="146" spans="1:4">
      <c r="A146" s="110" t="str">
        <f t="shared" ref="A146:A154" si="12">$R$2&amp;".DT1X"</f>
        <v>АСПС.FB_QSA_S.DT1X</v>
      </c>
      <c r="B146" s="111">
        <v>11152</v>
      </c>
      <c r="C146" s="111" t="s">
        <v>0</v>
      </c>
      <c r="D146" s="113" t="str">
        <f>$R$9</f>
        <v>Недостоверность</v>
      </c>
    </row>
    <row r="147" spans="1:4">
      <c r="A147" s="110" t="str">
        <f t="shared" si="12"/>
        <v>АСПС.FB_QSA_S.DT1X</v>
      </c>
      <c r="B147" s="111">
        <v>11150</v>
      </c>
      <c r="C147" s="111" t="s">
        <v>0</v>
      </c>
      <c r="D147" s="113" t="s">
        <v>457</v>
      </c>
    </row>
    <row r="148" spans="1:4">
      <c r="A148" s="110" t="str">
        <f t="shared" si="12"/>
        <v>АСПС.FB_QSA_S.DT1X</v>
      </c>
      <c r="B148" s="111">
        <v>11000</v>
      </c>
      <c r="C148" s="111" t="s">
        <v>5</v>
      </c>
      <c r="D148" s="113">
        <v>2147483680</v>
      </c>
    </row>
    <row r="149" spans="1:4">
      <c r="A149" s="19" t="str">
        <f t="shared" si="12"/>
        <v>АСПС.FB_QSA_S.DT1X</v>
      </c>
      <c r="B149" s="11">
        <v>7999</v>
      </c>
      <c r="C149" s="11" t="s">
        <v>0</v>
      </c>
      <c r="D149" s="314" t="str">
        <f>"#"&amp;$S$2&amp;"#"&amp;$T$2&amp;"\"&amp;$P$2&amp;"\DT1X"</f>
        <v>#1#treiOPCDA.CoOPCserv.1\pcmaster\Zagaz_v_KTP\DT1X</v>
      </c>
    </row>
    <row r="150" spans="1:4">
      <c r="A150" s="19" t="str">
        <f t="shared" si="12"/>
        <v>АСПС.FB_QSA_S.DT1X</v>
      </c>
      <c r="B150" s="11">
        <v>7998</v>
      </c>
      <c r="C150" s="11" t="s">
        <v>6</v>
      </c>
      <c r="D150" s="314">
        <v>1</v>
      </c>
    </row>
    <row r="151" spans="1:4">
      <c r="A151" s="19" t="str">
        <f t="shared" si="12"/>
        <v>АСПС.FB_QSA_S.DT1X</v>
      </c>
      <c r="B151" s="11">
        <v>101</v>
      </c>
      <c r="C151" s="11" t="s">
        <v>0</v>
      </c>
      <c r="D151" s="314" t="s">
        <v>457</v>
      </c>
    </row>
    <row r="152" spans="1:4">
      <c r="A152" s="19" t="str">
        <f t="shared" si="12"/>
        <v>АСПС.FB_QSA_S.DT1X</v>
      </c>
      <c r="B152" s="11">
        <v>3</v>
      </c>
      <c r="C152" s="11" t="s">
        <v>1</v>
      </c>
      <c r="D152" s="314">
        <v>192</v>
      </c>
    </row>
    <row r="153" spans="1:4">
      <c r="A153" s="19" t="str">
        <f t="shared" si="12"/>
        <v>АСПС.FB_QSA_S.DT1X</v>
      </c>
      <c r="B153" s="11">
        <v>2</v>
      </c>
      <c r="C153" s="11" t="s">
        <v>2</v>
      </c>
      <c r="D153" s="314" t="s">
        <v>3</v>
      </c>
    </row>
    <row r="154" spans="1:4">
      <c r="A154" s="21" t="str">
        <f t="shared" si="12"/>
        <v>АСПС.FB_QSA_S.DT1X</v>
      </c>
      <c r="B154" s="8">
        <v>1</v>
      </c>
      <c r="C154" s="8" t="s">
        <v>1</v>
      </c>
      <c r="D154" s="315">
        <v>11</v>
      </c>
    </row>
    <row r="155" spans="1:4">
      <c r="A155" s="110" t="str">
        <f>$R$2&amp;".DT2X"</f>
        <v>АСПС.FB_QSA_S.DT2X</v>
      </c>
      <c r="B155" s="123">
        <v>11154</v>
      </c>
      <c r="C155" s="123" t="s">
        <v>4</v>
      </c>
      <c r="D155" s="318">
        <f>$Q$9</f>
        <v>10</v>
      </c>
    </row>
    <row r="156" spans="1:4">
      <c r="A156" s="110" t="str">
        <f t="shared" ref="A156:A164" si="13">$R$2&amp;".DT2X"</f>
        <v>АСПС.FB_QSA_S.DT2X</v>
      </c>
      <c r="B156" s="111">
        <v>11152</v>
      </c>
      <c r="C156" s="111" t="s">
        <v>0</v>
      </c>
      <c r="D156" s="113" t="str">
        <f>$R$9</f>
        <v>Недостоверность</v>
      </c>
    </row>
    <row r="157" spans="1:4">
      <c r="A157" s="110" t="str">
        <f t="shared" si="13"/>
        <v>АСПС.FB_QSA_S.DT2X</v>
      </c>
      <c r="B157" s="111">
        <v>11150</v>
      </c>
      <c r="C157" s="111" t="s">
        <v>0</v>
      </c>
      <c r="D157" s="113" t="s">
        <v>459</v>
      </c>
    </row>
    <row r="158" spans="1:4">
      <c r="A158" s="110" t="str">
        <f t="shared" si="13"/>
        <v>АСПС.FB_QSA_S.DT2X</v>
      </c>
      <c r="B158" s="111">
        <v>11000</v>
      </c>
      <c r="C158" s="111" t="s">
        <v>5</v>
      </c>
      <c r="D158" s="113">
        <v>2147483680</v>
      </c>
    </row>
    <row r="159" spans="1:4">
      <c r="A159" s="19" t="str">
        <f t="shared" si="13"/>
        <v>АСПС.FB_QSA_S.DT2X</v>
      </c>
      <c r="B159" s="11">
        <v>7999</v>
      </c>
      <c r="C159" s="11" t="s">
        <v>0</v>
      </c>
      <c r="D159" s="314" t="str">
        <f>"#"&amp;$S$2&amp;"#"&amp;$T$2&amp;"\"&amp;$P$2&amp;"\DT2X"</f>
        <v>#1#treiOPCDA.CoOPCserv.1\pcmaster\Zagaz_v_KTP\DT2X</v>
      </c>
    </row>
    <row r="160" spans="1:4">
      <c r="A160" s="19" t="str">
        <f t="shared" si="13"/>
        <v>АСПС.FB_QSA_S.DT2X</v>
      </c>
      <c r="B160" s="11">
        <v>7998</v>
      </c>
      <c r="C160" s="11" t="s">
        <v>6</v>
      </c>
      <c r="D160" s="314">
        <v>1</v>
      </c>
    </row>
    <row r="161" spans="1:4">
      <c r="A161" s="19" t="str">
        <f t="shared" si="13"/>
        <v>АСПС.FB_QSA_S.DT2X</v>
      </c>
      <c r="B161" s="11">
        <v>101</v>
      </c>
      <c r="C161" s="11" t="s">
        <v>0</v>
      </c>
      <c r="D161" s="314" t="s">
        <v>459</v>
      </c>
    </row>
    <row r="162" spans="1:4">
      <c r="A162" s="19" t="str">
        <f t="shared" si="13"/>
        <v>АСПС.FB_QSA_S.DT2X</v>
      </c>
      <c r="B162" s="11">
        <v>3</v>
      </c>
      <c r="C162" s="11" t="s">
        <v>1</v>
      </c>
      <c r="D162" s="314">
        <v>192</v>
      </c>
    </row>
    <row r="163" spans="1:4">
      <c r="A163" s="19" t="str">
        <f t="shared" si="13"/>
        <v>АСПС.FB_QSA_S.DT2X</v>
      </c>
      <c r="B163" s="11">
        <v>2</v>
      </c>
      <c r="C163" s="11" t="s">
        <v>2</v>
      </c>
      <c r="D163" s="314" t="s">
        <v>3</v>
      </c>
    </row>
    <row r="164" spans="1:4">
      <c r="A164" s="21" t="str">
        <f t="shared" si="13"/>
        <v>АСПС.FB_QSA_S.DT2X</v>
      </c>
      <c r="B164" s="8">
        <v>1</v>
      </c>
      <c r="C164" s="8" t="s">
        <v>1</v>
      </c>
      <c r="D164" s="315">
        <v>11</v>
      </c>
    </row>
    <row r="165" spans="1:4">
      <c r="A165" s="114" t="str">
        <f t="shared" ref="A165:A174" si="14">$R$2&amp;".CIMX"</f>
        <v>АСПС.FB_QSA_S.CIMX</v>
      </c>
      <c r="B165" s="115">
        <v>11154</v>
      </c>
      <c r="C165" s="115" t="s">
        <v>4</v>
      </c>
      <c r="D165" s="319">
        <f>$Q$10</f>
        <v>16</v>
      </c>
    </row>
    <row r="166" spans="1:4">
      <c r="A166" s="114" t="str">
        <f t="shared" si="14"/>
        <v>АСПС.FB_QSA_S.CIMX</v>
      </c>
      <c r="B166" s="115">
        <v>11150</v>
      </c>
      <c r="C166" s="115" t="s">
        <v>0</v>
      </c>
      <c r="D166" s="118" t="s">
        <v>81</v>
      </c>
    </row>
    <row r="167" spans="1:4">
      <c r="A167" s="114" t="str">
        <f t="shared" si="14"/>
        <v>АСПС.FB_QSA_S.CIMX</v>
      </c>
      <c r="B167" s="115">
        <v>11152</v>
      </c>
      <c r="C167" s="115" t="s">
        <v>0</v>
      </c>
      <c r="D167" s="118" t="str">
        <f>$R$10</f>
        <v>Имитация</v>
      </c>
    </row>
    <row r="168" spans="1:4">
      <c r="A168" s="114" t="str">
        <f t="shared" si="14"/>
        <v>АСПС.FB_QSA_S.CIMX</v>
      </c>
      <c r="B168" s="115">
        <v>11000</v>
      </c>
      <c r="C168" s="115" t="s">
        <v>5</v>
      </c>
      <c r="D168" s="118">
        <v>2147483680</v>
      </c>
    </row>
    <row r="169" spans="1:4">
      <c r="A169" s="19" t="str">
        <f t="shared" si="14"/>
        <v>АСПС.FB_QSA_S.CIMX</v>
      </c>
      <c r="B169" s="11">
        <v>7999</v>
      </c>
      <c r="C169" s="11" t="s">
        <v>0</v>
      </c>
      <c r="D169" s="314" t="str">
        <f>"#"&amp;$S$2&amp;"#"&amp;$T$2&amp;"\"&amp;$P$2&amp;"\CIMX"</f>
        <v>#1#treiOPCDA.CoOPCserv.1\pcmaster\Zagaz_v_KTP\CIMX</v>
      </c>
    </row>
    <row r="170" spans="1:4">
      <c r="A170" s="19" t="str">
        <f t="shared" si="14"/>
        <v>АСПС.FB_QSA_S.CIMX</v>
      </c>
      <c r="B170" s="11">
        <v>7998</v>
      </c>
      <c r="C170" s="11" t="s">
        <v>6</v>
      </c>
      <c r="D170" s="314">
        <v>1</v>
      </c>
    </row>
    <row r="171" spans="1:4">
      <c r="A171" s="19" t="str">
        <f t="shared" si="14"/>
        <v>АСПС.FB_QSA_S.CIMX</v>
      </c>
      <c r="B171" s="11">
        <v>101</v>
      </c>
      <c r="C171" s="11" t="s">
        <v>0</v>
      </c>
      <c r="D171" s="314" t="s">
        <v>81</v>
      </c>
    </row>
    <row r="172" spans="1:4">
      <c r="A172" s="19" t="str">
        <f t="shared" si="14"/>
        <v>АСПС.FB_QSA_S.CIMX</v>
      </c>
      <c r="B172" s="11">
        <v>3</v>
      </c>
      <c r="C172" s="11" t="s">
        <v>1</v>
      </c>
      <c r="D172" s="314">
        <v>192</v>
      </c>
    </row>
    <row r="173" spans="1:4">
      <c r="A173" s="19" t="str">
        <f t="shared" si="14"/>
        <v>АСПС.FB_QSA_S.CIMX</v>
      </c>
      <c r="B173" s="11">
        <v>2</v>
      </c>
      <c r="C173" s="11" t="s">
        <v>2</v>
      </c>
      <c r="D173" s="314" t="s">
        <v>3</v>
      </c>
    </row>
    <row r="174" spans="1:4">
      <c r="A174" s="19" t="str">
        <f t="shared" si="14"/>
        <v>АСПС.FB_QSA_S.CIMX</v>
      </c>
      <c r="B174" s="11">
        <v>1</v>
      </c>
      <c r="C174" s="11" t="s">
        <v>1</v>
      </c>
      <c r="D174" s="314">
        <v>11</v>
      </c>
    </row>
    <row r="175" spans="1:4">
      <c r="A175" s="137" t="str">
        <f t="shared" ref="A175:A186" si="15">$R$2&amp;".XRPX"</f>
        <v>АСПС.FB_QSA_S.XRPX</v>
      </c>
      <c r="B175" s="138">
        <v>11154</v>
      </c>
      <c r="C175" s="138" t="s">
        <v>4</v>
      </c>
      <c r="D175" s="320">
        <f>$Q$11</f>
        <v>14</v>
      </c>
    </row>
    <row r="176" spans="1:4">
      <c r="A176" s="140" t="str">
        <f t="shared" si="15"/>
        <v>АСПС.FB_QSA_S.XRPX</v>
      </c>
      <c r="B176" s="141">
        <v>11150</v>
      </c>
      <c r="C176" s="141" t="s">
        <v>0</v>
      </c>
      <c r="D176" s="143" t="s">
        <v>89</v>
      </c>
    </row>
    <row r="177" spans="1:4">
      <c r="A177" s="140" t="str">
        <f t="shared" si="15"/>
        <v>АСПС.FB_QSA_S.XRPX</v>
      </c>
      <c r="B177" s="141">
        <v>11152</v>
      </c>
      <c r="C177" s="141" t="s">
        <v>0</v>
      </c>
      <c r="D177" s="143" t="str">
        <f>$R$11</f>
        <v>Ремонт</v>
      </c>
    </row>
    <row r="178" spans="1:4">
      <c r="A178" s="140" t="str">
        <f t="shared" si="15"/>
        <v>АСПС.FB_QSA_S.XRPX</v>
      </c>
      <c r="B178" s="141">
        <v>11000</v>
      </c>
      <c r="C178" s="141" t="s">
        <v>5</v>
      </c>
      <c r="D178" s="143">
        <v>2147483680</v>
      </c>
    </row>
    <row r="179" spans="1:4">
      <c r="A179" s="19" t="str">
        <f t="shared" si="15"/>
        <v>АСПС.FB_QSA_S.XRPX</v>
      </c>
      <c r="B179" s="11">
        <v>7999</v>
      </c>
      <c r="C179" s="11" t="s">
        <v>0</v>
      </c>
      <c r="D179" s="314" t="str">
        <f>"#"&amp;$S$2&amp;"#"&amp;$T$2&amp;"\"&amp;$P$2&amp;"\XRPX"</f>
        <v>#1#treiOPCDA.CoOPCserv.1\pcmaster\Zagaz_v_KTP\XRPX</v>
      </c>
    </row>
    <row r="180" spans="1:4">
      <c r="A180" s="19" t="str">
        <f t="shared" si="15"/>
        <v>АСПС.FB_QSA_S.XRPX</v>
      </c>
      <c r="B180" s="11">
        <v>7998</v>
      </c>
      <c r="C180" s="11" t="s">
        <v>6</v>
      </c>
      <c r="D180" s="314">
        <v>1</v>
      </c>
    </row>
    <row r="181" spans="1:4">
      <c r="A181" s="19" t="str">
        <f t="shared" si="15"/>
        <v>АСПС.FB_QSA_S.XRPX</v>
      </c>
      <c r="B181" s="11">
        <v>101</v>
      </c>
      <c r="C181" s="11" t="s">
        <v>0</v>
      </c>
      <c r="D181" s="314" t="s">
        <v>89</v>
      </c>
    </row>
    <row r="182" spans="1:4">
      <c r="A182" s="19" t="str">
        <f t="shared" si="15"/>
        <v>АСПС.FB_QSA_S.XRPX</v>
      </c>
      <c r="B182" s="11">
        <v>3</v>
      </c>
      <c r="C182" s="11" t="s">
        <v>1</v>
      </c>
      <c r="D182" s="314">
        <v>192</v>
      </c>
    </row>
    <row r="183" spans="1:4">
      <c r="A183" s="19" t="str">
        <f t="shared" si="15"/>
        <v>АСПС.FB_QSA_S.XRPX</v>
      </c>
      <c r="B183" s="11">
        <v>2</v>
      </c>
      <c r="C183" s="11" t="s">
        <v>2</v>
      </c>
      <c r="D183" s="314" t="s">
        <v>3</v>
      </c>
    </row>
    <row r="184" spans="1:4">
      <c r="A184" s="19" t="str">
        <f t="shared" si="15"/>
        <v>АСПС.FB_QSA_S.XRPX</v>
      </c>
      <c r="B184" s="11">
        <v>1</v>
      </c>
      <c r="C184" s="11" t="s">
        <v>1</v>
      </c>
      <c r="D184" s="314">
        <v>11</v>
      </c>
    </row>
    <row r="185" spans="1:4" ht="15" customHeight="1">
      <c r="A185" s="29" t="str">
        <f t="shared" si="15"/>
        <v>АСПС.FB_QSA_S.XRPX</v>
      </c>
      <c r="B185" s="1">
        <v>4000000</v>
      </c>
      <c r="C185" s="1" t="s">
        <v>0</v>
      </c>
      <c r="D185" s="415" t="s">
        <v>1493</v>
      </c>
    </row>
    <row r="186" spans="1:4">
      <c r="A186" s="26" t="str">
        <f t="shared" si="15"/>
        <v>АСПС.FB_QSA_S.XRPX</v>
      </c>
      <c r="B186" s="27">
        <v>7000000</v>
      </c>
      <c r="C186" s="27" t="s">
        <v>6</v>
      </c>
      <c r="D186" s="28">
        <v>2</v>
      </c>
    </row>
    <row r="187" spans="1:4">
      <c r="A187" s="278" t="str">
        <f>$R$2&amp;".Commands.SHVX"</f>
        <v>АСПС.FB_QSA_S.Commands.SHVX</v>
      </c>
      <c r="B187" s="279">
        <v>101</v>
      </c>
      <c r="C187" s="279" t="s">
        <v>0</v>
      </c>
      <c r="D187" s="322" t="s">
        <v>44</v>
      </c>
    </row>
    <row r="188" spans="1:4">
      <c r="A188" s="278" t="str">
        <f>$R$2&amp;".Commands.SHVX"</f>
        <v>АСПС.FB_QSA_S.Commands.SHVX</v>
      </c>
      <c r="B188" s="279">
        <v>7999</v>
      </c>
      <c r="C188" s="279" t="s">
        <v>0</v>
      </c>
      <c r="D188" s="322" t="str">
        <f>"#"&amp;$T$5&amp;"#"&amp;$T$2&amp;"\"&amp;$P$2&amp;"\SHVX"</f>
        <v>#1#treiOPCDA.CoOPCserv.1\pcmaster\Zagaz_v_KTP\SHVX</v>
      </c>
    </row>
    <row r="189" spans="1:4">
      <c r="A189" s="278" t="str">
        <f>$R$2&amp;".Commands.SHVX"</f>
        <v>АСПС.FB_QSA_S.Commands.SHVX</v>
      </c>
      <c r="B189" s="279">
        <v>7998</v>
      </c>
      <c r="C189" s="279" t="s">
        <v>6</v>
      </c>
      <c r="D189" s="322">
        <v>2</v>
      </c>
    </row>
    <row r="190" spans="1:4">
      <c r="A190" s="281" t="str">
        <f>$R$2&amp;".Commands.SHVX"</f>
        <v>АСПС.FB_QSA_S.Commands.SHVX</v>
      </c>
      <c r="B190" s="282">
        <v>1</v>
      </c>
      <c r="C190" s="282" t="s">
        <v>1</v>
      </c>
      <c r="D190" s="323">
        <v>4</v>
      </c>
    </row>
    <row r="191" spans="1:4">
      <c r="A191" s="275" t="str">
        <f>$R$2&amp;".Commands.SLVX"</f>
        <v>АСПС.FB_QSA_S.Commands.SLVX</v>
      </c>
      <c r="B191" s="276">
        <v>101</v>
      </c>
      <c r="C191" s="276" t="s">
        <v>0</v>
      </c>
      <c r="D191" s="321" t="s">
        <v>45</v>
      </c>
    </row>
    <row r="192" spans="1:4">
      <c r="A192" s="278" t="str">
        <f>$R$2&amp;".Commands.SLVX"</f>
        <v>АСПС.FB_QSA_S.Commands.SLVX</v>
      </c>
      <c r="B192" s="279">
        <v>7999</v>
      </c>
      <c r="C192" s="279" t="s">
        <v>0</v>
      </c>
      <c r="D192" s="322" t="str">
        <f>"#"&amp;$T$5&amp;"#"&amp;$T$2&amp;"\"&amp;$P$2&amp;"\SLVX"</f>
        <v>#1#treiOPCDA.CoOPCserv.1\pcmaster\Zagaz_v_KTP\SLVX</v>
      </c>
    </row>
    <row r="193" spans="1:20">
      <c r="A193" s="278" t="str">
        <f>$R$2&amp;".Commands.SLVX"</f>
        <v>АСПС.FB_QSA_S.Commands.SLVX</v>
      </c>
      <c r="B193" s="279">
        <v>7998</v>
      </c>
      <c r="C193" s="279" t="s">
        <v>6</v>
      </c>
      <c r="D193" s="322">
        <v>2</v>
      </c>
    </row>
    <row r="194" spans="1:20">
      <c r="A194" s="281" t="str">
        <f>$R$2&amp;".Commands.SLVX"</f>
        <v>АСПС.FB_QSA_S.Commands.SLVX</v>
      </c>
      <c r="B194" s="282">
        <v>1</v>
      </c>
      <c r="C194" s="282" t="s">
        <v>1</v>
      </c>
      <c r="D194" s="323">
        <v>4</v>
      </c>
    </row>
    <row r="195" spans="1:20">
      <c r="A195" s="275" t="str">
        <f>$R$2&amp;".Commands.SDBX"</f>
        <v>АСПС.FB_QSA_S.Commands.SDBX</v>
      </c>
      <c r="B195" s="276">
        <v>101</v>
      </c>
      <c r="C195" s="276" t="s">
        <v>0</v>
      </c>
      <c r="D195" s="321" t="s">
        <v>23</v>
      </c>
    </row>
    <row r="196" spans="1:20">
      <c r="A196" s="278" t="str">
        <f>$R$2&amp;".Commands.SDBX"</f>
        <v>АСПС.FB_QSA_S.Commands.SDBX</v>
      </c>
      <c r="B196" s="279">
        <v>7999</v>
      </c>
      <c r="C196" s="279" t="s">
        <v>0</v>
      </c>
      <c r="D196" s="322" t="str">
        <f>"#"&amp;$T$5&amp;"#"&amp;$T$2&amp;"\"&amp;$P$2&amp;"\SDBX"</f>
        <v>#1#treiOPCDA.CoOPCserv.1\pcmaster\Zagaz_v_KTP\SDBX</v>
      </c>
    </row>
    <row r="197" spans="1:20">
      <c r="A197" s="278" t="str">
        <f>$R$2&amp;".Commands.SDBX"</f>
        <v>АСПС.FB_QSA_S.Commands.SDBX</v>
      </c>
      <c r="B197" s="279">
        <v>7998</v>
      </c>
      <c r="C197" s="279" t="s">
        <v>6</v>
      </c>
      <c r="D197" s="322">
        <v>2</v>
      </c>
    </row>
    <row r="198" spans="1:20">
      <c r="A198" s="281" t="str">
        <f>$R$2&amp;".Commands.SDBX"</f>
        <v>АСПС.FB_QSA_S.Commands.SDBX</v>
      </c>
      <c r="B198" s="282">
        <v>1</v>
      </c>
      <c r="C198" s="282" t="s">
        <v>1</v>
      </c>
      <c r="D198" s="323">
        <v>4</v>
      </c>
    </row>
    <row r="199" spans="1:20">
      <c r="A199" s="275" t="str">
        <f>$R$2&amp;".Commands.SDLX"</f>
        <v>АСПС.FB_QSA_S.Commands.SDLX</v>
      </c>
      <c r="B199" s="276">
        <v>101</v>
      </c>
      <c r="C199" s="276" t="s">
        <v>0</v>
      </c>
      <c r="D199" s="321" t="s">
        <v>24</v>
      </c>
    </row>
    <row r="200" spans="1:20">
      <c r="A200" s="278" t="str">
        <f>$R$2&amp;".Commands.SDLX"</f>
        <v>АСПС.FB_QSA_S.Commands.SDLX</v>
      </c>
      <c r="B200" s="279">
        <v>7999</v>
      </c>
      <c r="C200" s="279" t="s">
        <v>0</v>
      </c>
      <c r="D200" s="322" t="str">
        <f>"#"&amp;$T$5&amp;"#"&amp;$T$2&amp;"\"&amp;$P$2&amp;"\SDLX"</f>
        <v>#1#treiOPCDA.CoOPCserv.1\pcmaster\Zagaz_v_KTP\SDLX</v>
      </c>
    </row>
    <row r="201" spans="1:20">
      <c r="A201" s="278" t="str">
        <f>$R$2&amp;".Commands.SDLX"</f>
        <v>АСПС.FB_QSA_S.Commands.SDLX</v>
      </c>
      <c r="B201" s="279">
        <v>7998</v>
      </c>
      <c r="C201" s="279" t="s">
        <v>6</v>
      </c>
      <c r="D201" s="322">
        <v>2</v>
      </c>
    </row>
    <row r="202" spans="1:20">
      <c r="A202" s="281" t="str">
        <f>$R$2&amp;".Commands.SDLX"</f>
        <v>АСПС.FB_QSA_S.Commands.SDLX</v>
      </c>
      <c r="B202" s="282">
        <v>1</v>
      </c>
      <c r="C202" s="282" t="s">
        <v>1</v>
      </c>
      <c r="D202" s="323">
        <v>4</v>
      </c>
    </row>
    <row r="203" spans="1:20">
      <c r="A203" s="275" t="str">
        <f>$R$2&amp;".Commands.SHSX"</f>
        <v>АСПС.FB_QSA_S.Commands.SHSX</v>
      </c>
      <c r="B203" s="276">
        <v>101</v>
      </c>
      <c r="C203" s="276" t="s">
        <v>0</v>
      </c>
      <c r="D203" s="321" t="s">
        <v>27</v>
      </c>
    </row>
    <row r="204" spans="1:20">
      <c r="A204" s="278" t="str">
        <f>$R$2&amp;".Commands.SHSX"</f>
        <v>АСПС.FB_QSA_S.Commands.SHSX</v>
      </c>
      <c r="B204" s="279">
        <v>7999</v>
      </c>
      <c r="C204" s="279" t="s">
        <v>0</v>
      </c>
      <c r="D204" s="322" t="str">
        <f>"#"&amp;$T$5&amp;"#"&amp;$T$2&amp;"\"&amp;$P$2&amp;"\SHSX"</f>
        <v>#1#treiOPCDA.CoOPCserv.1\pcmaster\Zagaz_v_KTP\SHSX</v>
      </c>
    </row>
    <row r="205" spans="1:20">
      <c r="A205" s="278" t="str">
        <f>$R$2&amp;".Commands.SHSX"</f>
        <v>АСПС.FB_QSA_S.Commands.SHSX</v>
      </c>
      <c r="B205" s="279">
        <v>7998</v>
      </c>
      <c r="C205" s="279" t="s">
        <v>6</v>
      </c>
      <c r="D205" s="322">
        <v>2</v>
      </c>
      <c r="Q205" s="4"/>
      <c r="R205" s="4"/>
      <c r="S205" s="4"/>
      <c r="T205" s="4"/>
    </row>
    <row r="206" spans="1:20">
      <c r="A206" s="281" t="str">
        <f>$R$2&amp;".Commands.SHSX"</f>
        <v>АСПС.FB_QSA_S.Commands.SHSX</v>
      </c>
      <c r="B206" s="282">
        <v>1</v>
      </c>
      <c r="C206" s="282" t="s">
        <v>1</v>
      </c>
      <c r="D206" s="323">
        <v>4</v>
      </c>
      <c r="Q206" s="4"/>
      <c r="R206" s="4"/>
      <c r="S206" s="4"/>
      <c r="T206" s="4"/>
    </row>
    <row r="207" spans="1:20">
      <c r="A207" s="275" t="str">
        <f>$R$2&amp;".Commands.SIMX"</f>
        <v>АСПС.FB_QSA_S.Commands.SIMX</v>
      </c>
      <c r="B207" s="276">
        <v>101</v>
      </c>
      <c r="C207" s="276" t="s">
        <v>0</v>
      </c>
      <c r="D207" s="321" t="s">
        <v>29</v>
      </c>
      <c r="Q207" s="4"/>
      <c r="R207" s="4"/>
      <c r="S207" s="4"/>
      <c r="T207" s="4"/>
    </row>
    <row r="208" spans="1:20">
      <c r="A208" s="278" t="str">
        <f>$R$2&amp;".Commands.SIMX"</f>
        <v>АСПС.FB_QSA_S.Commands.SIMX</v>
      </c>
      <c r="B208" s="279">
        <v>7999</v>
      </c>
      <c r="C208" s="279" t="s">
        <v>0</v>
      </c>
      <c r="D208" s="322" t="str">
        <f>"#"&amp;$T$5&amp;"#"&amp;$T$2&amp;"\"&amp;$P$2&amp;"\SIMX"</f>
        <v>#1#treiOPCDA.CoOPCserv.1\pcmaster\Zagaz_v_KTP\SIMX</v>
      </c>
      <c r="Q208" s="4"/>
      <c r="R208" s="4"/>
      <c r="S208" s="4"/>
      <c r="T208" s="4"/>
    </row>
    <row r="209" spans="1:20">
      <c r="A209" s="278" t="str">
        <f>$R$2&amp;".Commands.SIMX"</f>
        <v>АСПС.FB_QSA_S.Commands.SIMX</v>
      </c>
      <c r="B209" s="279">
        <v>7998</v>
      </c>
      <c r="C209" s="279" t="s">
        <v>6</v>
      </c>
      <c r="D209" s="322">
        <v>2</v>
      </c>
      <c r="Q209" s="4"/>
      <c r="R209" s="4"/>
      <c r="S209" s="4"/>
      <c r="T209" s="4"/>
    </row>
    <row r="210" spans="1:20">
      <c r="A210" s="281" t="str">
        <f>$R$2&amp;".Commands.SIMX"</f>
        <v>АСПС.FB_QSA_S.Commands.SIMX</v>
      </c>
      <c r="B210" s="282">
        <v>1</v>
      </c>
      <c r="C210" s="282" t="s">
        <v>1</v>
      </c>
      <c r="D210" s="323">
        <v>4</v>
      </c>
    </row>
    <row r="211" spans="1:20">
      <c r="A211" s="275" t="str">
        <f>$R$2&amp;".Commands.SLSX"</f>
        <v>АСПС.FB_QSA_S.Commands.SLSX</v>
      </c>
      <c r="B211" s="276">
        <v>101</v>
      </c>
      <c r="C211" s="276" t="s">
        <v>0</v>
      </c>
      <c r="D211" s="321" t="s">
        <v>31</v>
      </c>
    </row>
    <row r="212" spans="1:20">
      <c r="A212" s="278" t="str">
        <f>$R$2&amp;".Commands.SLSX"</f>
        <v>АСПС.FB_QSA_S.Commands.SLSX</v>
      </c>
      <c r="B212" s="279">
        <v>7999</v>
      </c>
      <c r="C212" s="279" t="s">
        <v>0</v>
      </c>
      <c r="D212" s="322" t="str">
        <f>"#"&amp;$T$5&amp;"#"&amp;$T$2&amp;"\"&amp;$P$2&amp;"\SLSX"</f>
        <v>#1#treiOPCDA.CoOPCserv.1\pcmaster\Zagaz_v_KTP\SLSX</v>
      </c>
    </row>
    <row r="213" spans="1:20">
      <c r="A213" s="278" t="str">
        <f>$R$2&amp;".Commands.SLSX"</f>
        <v>АСПС.FB_QSA_S.Commands.SLSX</v>
      </c>
      <c r="B213" s="279">
        <v>7998</v>
      </c>
      <c r="C213" s="279" t="s">
        <v>6</v>
      </c>
      <c r="D213" s="322">
        <v>2</v>
      </c>
    </row>
    <row r="214" spans="1:20">
      <c r="A214" s="281" t="str">
        <f>$R$2&amp;".Commands.SLSX"</f>
        <v>АСПС.FB_QSA_S.Commands.SLSX</v>
      </c>
      <c r="B214" s="282">
        <v>1</v>
      </c>
      <c r="C214" s="282" t="s">
        <v>1</v>
      </c>
      <c r="D214" s="323">
        <v>4</v>
      </c>
    </row>
    <row r="215" spans="1:20">
      <c r="A215" s="275" t="str">
        <f>$R$2&amp;".Commands.SSLX"</f>
        <v>АСПС.FB_QSA_S.Commands.SSLX</v>
      </c>
      <c r="B215" s="276">
        <v>101</v>
      </c>
      <c r="C215" s="276" t="s">
        <v>0</v>
      </c>
      <c r="D215" s="321" t="s">
        <v>33</v>
      </c>
    </row>
    <row r="216" spans="1:20">
      <c r="A216" s="278" t="str">
        <f>$R$2&amp;".Commands.SSLX"</f>
        <v>АСПС.FB_QSA_S.Commands.SSLX</v>
      </c>
      <c r="B216" s="279">
        <v>7999</v>
      </c>
      <c r="C216" s="279" t="s">
        <v>0</v>
      </c>
      <c r="D216" s="322" t="str">
        <f>"#"&amp;$T$5&amp;"#"&amp;$T$2&amp;"\"&amp;$P$2&amp;"\SSLX"</f>
        <v>#1#treiOPCDA.CoOPCserv.1\pcmaster\Zagaz_v_KTP\SSLX</v>
      </c>
    </row>
    <row r="217" spans="1:20">
      <c r="A217" s="278" t="str">
        <f>$R$2&amp;".Commands.SSLX"</f>
        <v>АСПС.FB_QSA_S.Commands.SSLX</v>
      </c>
      <c r="B217" s="279">
        <v>7998</v>
      </c>
      <c r="C217" s="279" t="s">
        <v>6</v>
      </c>
      <c r="D217" s="322">
        <v>2</v>
      </c>
    </row>
    <row r="218" spans="1:20">
      <c r="A218" s="281" t="str">
        <f>$R$2&amp;".Commands.SSLX"</f>
        <v>АСПС.FB_QSA_S.Commands.SSLX</v>
      </c>
      <c r="B218" s="282">
        <v>1</v>
      </c>
      <c r="C218" s="282" t="s">
        <v>1</v>
      </c>
      <c r="D218" s="323">
        <v>4</v>
      </c>
    </row>
    <row r="219" spans="1:20">
      <c r="A219" s="266" t="str">
        <f>$R$2&amp;".Commands.SFTX"</f>
        <v>АСПС.FB_QSA_S.Commands.SFTX</v>
      </c>
      <c r="B219" s="267">
        <v>101</v>
      </c>
      <c r="C219" s="267" t="s">
        <v>0</v>
      </c>
      <c r="D219" s="324" t="s">
        <v>25</v>
      </c>
    </row>
    <row r="220" spans="1:20">
      <c r="A220" s="269" t="str">
        <f>$R$2&amp;".Commands.SFTX"</f>
        <v>АСПС.FB_QSA_S.Commands.SFTX</v>
      </c>
      <c r="B220" s="270">
        <v>7999</v>
      </c>
      <c r="C220" s="270" t="s">
        <v>0</v>
      </c>
      <c r="D220" s="325" t="str">
        <f>"#"&amp;$T$5&amp;"#"&amp;$T$2&amp;"\"&amp;$P$2&amp;"\SFTX"</f>
        <v>#1#treiOPCDA.CoOPCserv.1\pcmaster\Zagaz_v_KTP\SFTX</v>
      </c>
    </row>
    <row r="221" spans="1:20">
      <c r="A221" s="269" t="str">
        <f>$R$2&amp;".Commands.SFTX"</f>
        <v>АСПС.FB_QSA_S.Commands.SFTX</v>
      </c>
      <c r="B221" s="270">
        <v>7998</v>
      </c>
      <c r="C221" s="270" t="s">
        <v>6</v>
      </c>
      <c r="D221" s="325">
        <v>2</v>
      </c>
    </row>
    <row r="222" spans="1:20">
      <c r="A222" s="272" t="str">
        <f>$R$2&amp;".Commands.SFTX"</f>
        <v>АСПС.FB_QSA_S.Commands.SFTX</v>
      </c>
      <c r="B222" s="273">
        <v>1</v>
      </c>
      <c r="C222" s="273" t="s">
        <v>1</v>
      </c>
      <c r="D222" s="326">
        <v>3</v>
      </c>
    </row>
    <row r="223" spans="1:20">
      <c r="A223" s="266" t="str">
        <f>$R$2&amp;".Commands.STSX"</f>
        <v>АСПС.FB_QSA_S.Commands.STSX</v>
      </c>
      <c r="B223" s="267">
        <v>101</v>
      </c>
      <c r="C223" s="267" t="s">
        <v>0</v>
      </c>
      <c r="D223" s="324" t="s">
        <v>34</v>
      </c>
    </row>
    <row r="224" spans="1:20">
      <c r="A224" s="269" t="str">
        <f>$R$2&amp;".Commands.STSX"</f>
        <v>АСПС.FB_QSA_S.Commands.STSX</v>
      </c>
      <c r="B224" s="270">
        <v>7999</v>
      </c>
      <c r="C224" s="270" t="s">
        <v>0</v>
      </c>
      <c r="D224" s="325" t="str">
        <f>"#"&amp;$T$5&amp;"#"&amp;$T$2&amp;"\"&amp;$P$2&amp;"\STSX"</f>
        <v>#1#treiOPCDA.CoOPCserv.1\pcmaster\Zagaz_v_KTP\STSX</v>
      </c>
    </row>
    <row r="225" spans="1:4">
      <c r="A225" s="269" t="str">
        <f>$R$2&amp;".Commands.STSX"</f>
        <v>АСПС.FB_QSA_S.Commands.STSX</v>
      </c>
      <c r="B225" s="270">
        <v>7998</v>
      </c>
      <c r="C225" s="270" t="s">
        <v>6</v>
      </c>
      <c r="D225" s="325">
        <v>2</v>
      </c>
    </row>
    <row r="226" spans="1:4">
      <c r="A226" s="272" t="str">
        <f>$R$2&amp;".Commands.STSX"</f>
        <v>АСПС.FB_QSA_S.Commands.STSX</v>
      </c>
      <c r="B226" s="273">
        <v>1</v>
      </c>
      <c r="C226" s="273" t="s">
        <v>1</v>
      </c>
      <c r="D226" s="326">
        <v>3</v>
      </c>
    </row>
    <row r="227" spans="1:4">
      <c r="A227" s="16" t="str">
        <f>$R$2&amp;".Commands.CDAX"</f>
        <v>АСПС.FB_QSA_S.Commands.CDAX</v>
      </c>
      <c r="B227" s="17">
        <v>101</v>
      </c>
      <c r="C227" s="17" t="s">
        <v>0</v>
      </c>
      <c r="D227" s="313" t="s">
        <v>16</v>
      </c>
    </row>
    <row r="228" spans="1:4">
      <c r="A228" s="19" t="str">
        <f>$R$2&amp;".Commands.CDAX"</f>
        <v>АСПС.FB_QSA_S.Commands.CDAX</v>
      </c>
      <c r="B228" s="11">
        <v>7999</v>
      </c>
      <c r="C228" s="11" t="s">
        <v>0</v>
      </c>
      <c r="D228" s="314" t="str">
        <f>"#"&amp;$T$5&amp;"#"&amp;$T$2&amp;"\"&amp;$P$2&amp;"\CDAX"</f>
        <v>#1#treiOPCDA.CoOPCserv.1\pcmaster\Zagaz_v_KTP\CDAX</v>
      </c>
    </row>
    <row r="229" spans="1:4">
      <c r="A229" s="19" t="str">
        <f>$R$2&amp;".Commands.CDAX"</f>
        <v>АСПС.FB_QSA_S.Commands.CDAX</v>
      </c>
      <c r="B229" s="11">
        <v>7998</v>
      </c>
      <c r="C229" s="11" t="s">
        <v>6</v>
      </c>
      <c r="D229" s="314">
        <v>2</v>
      </c>
    </row>
    <row r="230" spans="1:4">
      <c r="A230" s="21" t="str">
        <f>$R$2&amp;".Commands.CDAX"</f>
        <v>АСПС.FB_QSA_S.Commands.CDAX</v>
      </c>
      <c r="B230" s="8">
        <v>1</v>
      </c>
      <c r="C230" s="8" t="s">
        <v>1</v>
      </c>
      <c r="D230" s="315">
        <v>11</v>
      </c>
    </row>
    <row r="231" spans="1:4">
      <c r="A231" s="16" t="str">
        <f>$R$2&amp;".Commands.CIMX"</f>
        <v>АСПС.FB_QSA_S.Commands.CIMX</v>
      </c>
      <c r="B231" s="17">
        <v>101</v>
      </c>
      <c r="C231" s="17" t="s">
        <v>0</v>
      </c>
      <c r="D231" s="313" t="s">
        <v>19</v>
      </c>
    </row>
    <row r="232" spans="1:4">
      <c r="A232" s="19" t="str">
        <f>$R$2&amp;".Commands.CIMX"</f>
        <v>АСПС.FB_QSA_S.Commands.CIMX</v>
      </c>
      <c r="B232" s="11">
        <v>7999</v>
      </c>
      <c r="C232" s="11" t="s">
        <v>0</v>
      </c>
      <c r="D232" s="314" t="str">
        <f>"#"&amp;$T$5&amp;"#"&amp;$T$2&amp;"\"&amp;$P$2&amp;"\CIMX"</f>
        <v>#1#treiOPCDA.CoOPCserv.1\pcmaster\Zagaz_v_KTP\CIMX</v>
      </c>
    </row>
    <row r="233" spans="1:4">
      <c r="A233" s="19" t="str">
        <f>$R$2&amp;".Commands.CIMX"</f>
        <v>АСПС.FB_QSA_S.Commands.CIMX</v>
      </c>
      <c r="B233" s="11">
        <v>7998</v>
      </c>
      <c r="C233" s="11" t="s">
        <v>6</v>
      </c>
      <c r="D233" s="314">
        <v>2</v>
      </c>
    </row>
    <row r="234" spans="1:4">
      <c r="A234" s="21" t="str">
        <f>$R$2&amp;".Commands.CIMX"</f>
        <v>АСПС.FB_QSA_S.Commands.CIMX</v>
      </c>
      <c r="B234" s="8">
        <v>1</v>
      </c>
      <c r="C234" s="8" t="s">
        <v>1</v>
      </c>
      <c r="D234" s="315">
        <v>11</v>
      </c>
    </row>
    <row r="235" spans="1:4">
      <c r="A235" s="16" t="str">
        <f>$R$2&amp;".Commands.CRPX"</f>
        <v>АСПС.FB_QSA_S.Commands.CRPX</v>
      </c>
      <c r="B235" s="17">
        <v>101</v>
      </c>
      <c r="C235" s="17" t="s">
        <v>0</v>
      </c>
      <c r="D235" s="313" t="s">
        <v>90</v>
      </c>
    </row>
    <row r="236" spans="1:4">
      <c r="A236" s="19" t="str">
        <f>$R$2&amp;".Commands.CRPX"</f>
        <v>АСПС.FB_QSA_S.Commands.CRPX</v>
      </c>
      <c r="B236" s="11">
        <v>7999</v>
      </c>
      <c r="C236" s="11" t="s">
        <v>0</v>
      </c>
      <c r="D236" s="314" t="str">
        <f>"#"&amp;$T$5&amp;"#"&amp;$T$2&amp;"\"&amp;$P$2&amp;"\CRPX"</f>
        <v>#1#treiOPCDA.CoOPCserv.1\pcmaster\Zagaz_v_KTP\CRPX</v>
      </c>
    </row>
    <row r="237" spans="1:4">
      <c r="A237" s="19" t="str">
        <f>$R$2&amp;".Commands.CRPX"</f>
        <v>АСПС.FB_QSA_S.Commands.CRPX</v>
      </c>
      <c r="B237" s="11">
        <v>7998</v>
      </c>
      <c r="C237" s="11" t="s">
        <v>6</v>
      </c>
      <c r="D237" s="314">
        <v>2</v>
      </c>
    </row>
    <row r="238" spans="1:4">
      <c r="A238" s="21" t="str">
        <f>$R$2&amp;".Commands.CRPX"</f>
        <v>АСПС.FB_QSA_S.Commands.CRPX</v>
      </c>
      <c r="B238" s="8">
        <v>1</v>
      </c>
      <c r="C238" s="8" t="s">
        <v>1</v>
      </c>
      <c r="D238" s="315">
        <v>11</v>
      </c>
    </row>
    <row r="239" spans="1:4">
      <c r="A239" s="16" t="str">
        <f>$R$2&amp;".Commands.CRST"</f>
        <v>АСПС.FB_QSA_S.Commands.CRST</v>
      </c>
      <c r="B239" s="17">
        <v>101</v>
      </c>
      <c r="C239" s="17" t="s">
        <v>0</v>
      </c>
      <c r="D239" s="313" t="s">
        <v>114</v>
      </c>
    </row>
    <row r="240" spans="1:4">
      <c r="A240" s="19" t="str">
        <f>$R$2&amp;".Commands.CRST"</f>
        <v>АСПС.FB_QSA_S.Commands.CRST</v>
      </c>
      <c r="B240" s="11">
        <v>7999</v>
      </c>
      <c r="C240" s="11" t="s">
        <v>0</v>
      </c>
      <c r="D240" s="314" t="str">
        <f>"#"&amp;$T$5&amp;"#"&amp;$T$2&amp;"\"&amp;$P$2&amp;"\CRST"</f>
        <v>#1#treiOPCDA.CoOPCserv.1\pcmaster\Zagaz_v_KTP\CRST</v>
      </c>
    </row>
    <row r="241" spans="1:4">
      <c r="A241" s="19" t="str">
        <f>$R$2&amp;".Commands.CRST"</f>
        <v>АСПС.FB_QSA_S.Commands.CRST</v>
      </c>
      <c r="B241" s="11">
        <v>7998</v>
      </c>
      <c r="C241" s="11" t="s">
        <v>6</v>
      </c>
      <c r="D241" s="314">
        <v>2</v>
      </c>
    </row>
    <row r="242" spans="1:4">
      <c r="A242" s="21" t="str">
        <f>$R$2&amp;".Commands.CRST"</f>
        <v>АСПС.FB_QSA_S.Commands.CRST</v>
      </c>
      <c r="B242" s="8">
        <v>1</v>
      </c>
      <c r="C242" s="8" t="s">
        <v>1</v>
      </c>
      <c r="D242" s="315">
        <v>11</v>
      </c>
    </row>
    <row r="243" spans="1:4">
      <c r="A243" s="19" t="str">
        <f t="shared" ref="A243:A248" si="16">$R$2&amp;".IFEX"</f>
        <v>АСПС.FB_QSA_S.IFEX</v>
      </c>
      <c r="B243" s="11">
        <v>7999</v>
      </c>
      <c r="C243" s="11" t="s">
        <v>0</v>
      </c>
      <c r="D243" s="314" t="str">
        <f>"#"&amp;$S$2&amp;"#"&amp;$T$2&amp;"\"&amp;$P$2&amp;"\IFEX"</f>
        <v>#1#treiOPCDA.CoOPCserv.1\pcmaster\Zagaz_v_KTP\IFEX</v>
      </c>
    </row>
    <row r="244" spans="1:4">
      <c r="A244" s="19" t="str">
        <f t="shared" si="16"/>
        <v>АСПС.FB_QSA_S.IFEX</v>
      </c>
      <c r="B244" s="11">
        <v>7998</v>
      </c>
      <c r="C244" s="11" t="s">
        <v>6</v>
      </c>
      <c r="D244" s="314">
        <v>1</v>
      </c>
    </row>
    <row r="245" spans="1:4">
      <c r="A245" s="19" t="str">
        <f t="shared" si="16"/>
        <v>АСПС.FB_QSA_S.IFEX</v>
      </c>
      <c r="B245" s="11">
        <v>101</v>
      </c>
      <c r="C245" s="11" t="s">
        <v>0</v>
      </c>
      <c r="D245" s="314" t="s">
        <v>176</v>
      </c>
    </row>
    <row r="246" spans="1:4">
      <c r="A246" s="19" t="str">
        <f t="shared" si="16"/>
        <v>АСПС.FB_QSA_S.IFEX</v>
      </c>
      <c r="B246" s="11">
        <v>3</v>
      </c>
      <c r="C246" s="11" t="s">
        <v>1</v>
      </c>
      <c r="D246" s="314">
        <v>192</v>
      </c>
    </row>
    <row r="247" spans="1:4">
      <c r="A247" s="19" t="str">
        <f t="shared" si="16"/>
        <v>АСПС.FB_QSA_S.IFEX</v>
      </c>
      <c r="B247" s="11">
        <v>2</v>
      </c>
      <c r="C247" s="11" t="s">
        <v>2</v>
      </c>
      <c r="D247" s="314" t="s">
        <v>3</v>
      </c>
    </row>
    <row r="248" spans="1:4">
      <c r="A248" s="21" t="str">
        <f t="shared" si="16"/>
        <v>АСПС.FB_QSA_S.IFEX</v>
      </c>
      <c r="B248" s="8">
        <v>1</v>
      </c>
      <c r="C248" s="8" t="s">
        <v>1</v>
      </c>
      <c r="D248" s="315">
        <v>11</v>
      </c>
    </row>
    <row r="249" spans="1:4">
      <c r="A249" s="19" t="str">
        <f t="shared" ref="A249:A254" si="17">$R$2&amp;".IT1X"</f>
        <v>АСПС.FB_QSA_S.IT1X</v>
      </c>
      <c r="B249" s="11">
        <v>7999</v>
      </c>
      <c r="C249" s="11" t="s">
        <v>0</v>
      </c>
      <c r="D249" s="314" t="str">
        <f>"#"&amp;$S$2&amp;"#"&amp;$T$2&amp;"\"&amp;$P$2&amp;"\IT1X"</f>
        <v>#1#treiOPCDA.CoOPCserv.1\pcmaster\Zagaz_v_KTP\IT1X</v>
      </c>
    </row>
    <row r="250" spans="1:4">
      <c r="A250" s="19" t="str">
        <f t="shared" si="17"/>
        <v>АСПС.FB_QSA_S.IT1X</v>
      </c>
      <c r="B250" s="11">
        <v>7998</v>
      </c>
      <c r="C250" s="11" t="s">
        <v>6</v>
      </c>
      <c r="D250" s="314">
        <v>1</v>
      </c>
    </row>
    <row r="251" spans="1:4">
      <c r="A251" s="19" t="str">
        <f t="shared" si="17"/>
        <v>АСПС.FB_QSA_S.IT1X</v>
      </c>
      <c r="B251" s="11">
        <v>101</v>
      </c>
      <c r="C251" s="11" t="s">
        <v>0</v>
      </c>
      <c r="D251" s="314" t="s">
        <v>521</v>
      </c>
    </row>
    <row r="252" spans="1:4">
      <c r="A252" s="19" t="str">
        <f t="shared" si="17"/>
        <v>АСПС.FB_QSA_S.IT1X</v>
      </c>
      <c r="B252" s="11">
        <v>3</v>
      </c>
      <c r="C252" s="11" t="s">
        <v>1</v>
      </c>
      <c r="D252" s="314">
        <v>192</v>
      </c>
    </row>
    <row r="253" spans="1:4">
      <c r="A253" s="19" t="str">
        <f t="shared" si="17"/>
        <v>АСПС.FB_QSA_S.IT1X</v>
      </c>
      <c r="B253" s="11">
        <v>2</v>
      </c>
      <c r="C253" s="11" t="s">
        <v>2</v>
      </c>
      <c r="D253" s="314" t="s">
        <v>3</v>
      </c>
    </row>
    <row r="254" spans="1:4">
      <c r="A254" s="21" t="str">
        <f t="shared" si="17"/>
        <v>АСПС.FB_QSA_S.IT1X</v>
      </c>
      <c r="B254" s="8">
        <v>1</v>
      </c>
      <c r="C254" s="8" t="s">
        <v>1</v>
      </c>
      <c r="D254" s="315">
        <v>11</v>
      </c>
    </row>
    <row r="255" spans="1:4">
      <c r="A255" s="19" t="str">
        <f t="shared" ref="A255:A260" si="18">$R$2&amp;".IT2X"</f>
        <v>АСПС.FB_QSA_S.IT2X</v>
      </c>
      <c r="B255" s="11">
        <v>7999</v>
      </c>
      <c r="C255" s="11" t="s">
        <v>0</v>
      </c>
      <c r="D255" s="314" t="str">
        <f>"#"&amp;$S$2&amp;"#"&amp;$T$2&amp;"\"&amp;$P$2&amp;"\IT2X"</f>
        <v>#1#treiOPCDA.CoOPCserv.1\pcmaster\Zagaz_v_KTP\IT2X</v>
      </c>
    </row>
    <row r="256" spans="1:4">
      <c r="A256" s="19" t="str">
        <f t="shared" si="18"/>
        <v>АСПС.FB_QSA_S.IT2X</v>
      </c>
      <c r="B256" s="11">
        <v>7998</v>
      </c>
      <c r="C256" s="11" t="s">
        <v>6</v>
      </c>
      <c r="D256" s="314">
        <v>1</v>
      </c>
    </row>
    <row r="257" spans="1:4">
      <c r="A257" s="19" t="str">
        <f t="shared" si="18"/>
        <v>АСПС.FB_QSA_S.IT2X</v>
      </c>
      <c r="B257" s="11">
        <v>101</v>
      </c>
      <c r="C257" s="11" t="s">
        <v>0</v>
      </c>
      <c r="D257" s="314" t="s">
        <v>522</v>
      </c>
    </row>
    <row r="258" spans="1:4">
      <c r="A258" s="19" t="str">
        <f t="shared" si="18"/>
        <v>АСПС.FB_QSA_S.IT2X</v>
      </c>
      <c r="B258" s="11">
        <v>3</v>
      </c>
      <c r="C258" s="11" t="s">
        <v>1</v>
      </c>
      <c r="D258" s="314">
        <v>192</v>
      </c>
    </row>
    <row r="259" spans="1:4">
      <c r="A259" s="19" t="str">
        <f t="shared" si="18"/>
        <v>АСПС.FB_QSA_S.IT2X</v>
      </c>
      <c r="B259" s="11">
        <v>2</v>
      </c>
      <c r="C259" s="11" t="s">
        <v>2</v>
      </c>
      <c r="D259" s="314" t="s">
        <v>3</v>
      </c>
    </row>
    <row r="260" spans="1:4">
      <c r="A260" s="21" t="str">
        <f t="shared" si="18"/>
        <v>АСПС.FB_QSA_S.IT2X</v>
      </c>
      <c r="B260" s="8">
        <v>1</v>
      </c>
      <c r="C260" s="8" t="s">
        <v>1</v>
      </c>
      <c r="D260" s="315">
        <v>11</v>
      </c>
    </row>
    <row r="261" spans="1:4">
      <c r="A261" s="19" t="str">
        <f t="shared" ref="A261:A266" si="19">$R$2&amp;".XNXX"</f>
        <v>АСПС.FB_QSA_S.XNXX</v>
      </c>
      <c r="B261" s="11">
        <v>7999</v>
      </c>
      <c r="C261" s="11" t="s">
        <v>0</v>
      </c>
      <c r="D261" s="314" t="str">
        <f>"#"&amp;$S$2&amp;"#"&amp;$T$2&amp;"\"&amp;$P$2&amp;"\XNXX"</f>
        <v>#1#treiOPCDA.CoOPCserv.1\pcmaster\Zagaz_v_KTP\XNXX</v>
      </c>
    </row>
    <row r="262" spans="1:4">
      <c r="A262" s="19" t="str">
        <f t="shared" si="19"/>
        <v>АСПС.FB_QSA_S.XNXX</v>
      </c>
      <c r="B262" s="11">
        <v>7998</v>
      </c>
      <c r="C262" s="11" t="s">
        <v>6</v>
      </c>
      <c r="D262" s="314">
        <v>1</v>
      </c>
    </row>
    <row r="263" spans="1:4">
      <c r="A263" s="19" t="str">
        <f t="shared" si="19"/>
        <v>АСПС.FB_QSA_S.XNXX</v>
      </c>
      <c r="B263" s="11">
        <v>101</v>
      </c>
      <c r="C263" s="11" t="s">
        <v>0</v>
      </c>
      <c r="D263" s="314" t="s">
        <v>438</v>
      </c>
    </row>
    <row r="264" spans="1:4">
      <c r="A264" s="19" t="str">
        <f t="shared" si="19"/>
        <v>АСПС.FB_QSA_S.XNXX</v>
      </c>
      <c r="B264" s="11">
        <v>3</v>
      </c>
      <c r="C264" s="11" t="s">
        <v>1</v>
      </c>
      <c r="D264" s="314">
        <v>192</v>
      </c>
    </row>
    <row r="265" spans="1:4">
      <c r="A265" s="19" t="str">
        <f t="shared" si="19"/>
        <v>АСПС.FB_QSA_S.XNXX</v>
      </c>
      <c r="B265" s="11">
        <v>2</v>
      </c>
      <c r="C265" s="11" t="s">
        <v>2</v>
      </c>
      <c r="D265" s="314" t="s">
        <v>3</v>
      </c>
    </row>
    <row r="266" spans="1:4">
      <c r="A266" s="21" t="str">
        <f t="shared" si="19"/>
        <v>АСПС.FB_QSA_S.XNXX</v>
      </c>
      <c r="B266" s="8">
        <v>1</v>
      </c>
      <c r="C266" s="8" t="s">
        <v>1</v>
      </c>
      <c r="D266" s="315">
        <v>11</v>
      </c>
    </row>
    <row r="267" spans="1:4">
      <c r="A267" s="19" t="str">
        <f t="shared" ref="A267:A274" si="20">$R$2&amp;".FXXX"</f>
        <v>АСПС.FB_QSA_S.FXXX</v>
      </c>
      <c r="B267" s="11">
        <v>7999</v>
      </c>
      <c r="C267" s="11" t="s">
        <v>0</v>
      </c>
      <c r="D267" s="314" t="str">
        <f>"#"&amp;$S$2&amp;"#"&amp;$T$2&amp;"\"&amp;$P$2&amp;"\FXXX"</f>
        <v>#1#treiOPCDA.CoOPCserv.1\pcmaster\Zagaz_v_KTP\FXXX</v>
      </c>
    </row>
    <row r="268" spans="1:4">
      <c r="A268" s="19" t="str">
        <f t="shared" si="20"/>
        <v>АСПС.FB_QSA_S.FXXX</v>
      </c>
      <c r="B268" s="11">
        <v>7998</v>
      </c>
      <c r="C268" s="11" t="s">
        <v>6</v>
      </c>
      <c r="D268" s="314">
        <v>1</v>
      </c>
    </row>
    <row r="269" spans="1:4">
      <c r="A269" s="19" t="str">
        <f t="shared" si="20"/>
        <v>АСПС.FB_QSA_S.FXXX</v>
      </c>
      <c r="B269" s="11">
        <v>101</v>
      </c>
      <c r="C269" s="11" t="s">
        <v>0</v>
      </c>
      <c r="D269" s="314" t="s">
        <v>434</v>
      </c>
    </row>
    <row r="270" spans="1:4">
      <c r="A270" s="19" t="str">
        <f t="shared" si="20"/>
        <v>АСПС.FB_QSA_S.FXXX</v>
      </c>
      <c r="B270" s="11">
        <v>3</v>
      </c>
      <c r="C270" s="11" t="s">
        <v>1</v>
      </c>
      <c r="D270" s="314">
        <v>192</v>
      </c>
    </row>
    <row r="271" spans="1:4">
      <c r="A271" s="19" t="str">
        <f t="shared" si="20"/>
        <v>АСПС.FB_QSA_S.FXXX</v>
      </c>
      <c r="B271" s="11">
        <v>2</v>
      </c>
      <c r="C271" s="11" t="s">
        <v>2</v>
      </c>
      <c r="D271" s="314" t="s">
        <v>3</v>
      </c>
    </row>
    <row r="272" spans="1:4">
      <c r="A272" s="19" t="str">
        <f t="shared" si="20"/>
        <v>АСПС.FB_QSA_S.FXXX</v>
      </c>
      <c r="B272" s="11">
        <v>1</v>
      </c>
      <c r="C272" s="11" t="s">
        <v>1</v>
      </c>
      <c r="D272" s="314">
        <v>11</v>
      </c>
    </row>
    <row r="273" spans="1:4">
      <c r="A273" s="19" t="str">
        <f t="shared" si="20"/>
        <v>АСПС.FB_QSA_S.FXXX</v>
      </c>
      <c r="B273" s="11">
        <v>7000000</v>
      </c>
      <c r="C273" s="11" t="s">
        <v>6</v>
      </c>
      <c r="D273" s="314">
        <v>3</v>
      </c>
    </row>
    <row r="274" spans="1:4">
      <c r="A274" s="21" t="str">
        <f t="shared" si="20"/>
        <v>АСПС.FB_QSA_S.FXXX</v>
      </c>
      <c r="B274" s="8">
        <v>4000000</v>
      </c>
      <c r="C274" s="8" t="s">
        <v>0</v>
      </c>
      <c r="D274" s="315" t="s">
        <v>91</v>
      </c>
    </row>
    <row r="275" spans="1:4">
      <c r="A275" s="275" t="str">
        <f t="shared" ref="A275:A280" si="21">$R$2&amp;".IVXX"</f>
        <v>АСПС.FB_QSA_S.IVXX</v>
      </c>
      <c r="B275" s="276">
        <v>7999</v>
      </c>
      <c r="C275" s="276" t="s">
        <v>0</v>
      </c>
      <c r="D275" s="321" t="str">
        <f>"#"&amp;$S$2&amp;"#"&amp;$T$2&amp;"\"&amp;$P$2&amp;"\IVXX"</f>
        <v>#1#treiOPCDA.CoOPCserv.1\pcmaster\Zagaz_v_KTP\IVXX</v>
      </c>
    </row>
    <row r="276" spans="1:4">
      <c r="A276" s="278" t="str">
        <f t="shared" si="21"/>
        <v>АСПС.FB_QSA_S.IVXX</v>
      </c>
      <c r="B276" s="279">
        <v>7998</v>
      </c>
      <c r="C276" s="279" t="s">
        <v>6</v>
      </c>
      <c r="D276" s="322">
        <v>1</v>
      </c>
    </row>
    <row r="277" spans="1:4">
      <c r="A277" s="278" t="str">
        <f t="shared" si="21"/>
        <v>АСПС.FB_QSA_S.IVXX</v>
      </c>
      <c r="B277" s="279">
        <v>101</v>
      </c>
      <c r="C277" s="279" t="s">
        <v>0</v>
      </c>
      <c r="D277" s="322" t="s">
        <v>42</v>
      </c>
    </row>
    <row r="278" spans="1:4">
      <c r="A278" s="278" t="str">
        <f t="shared" si="21"/>
        <v>АСПС.FB_QSA_S.IVXX</v>
      </c>
      <c r="B278" s="279">
        <v>3</v>
      </c>
      <c r="C278" s="279" t="s">
        <v>1</v>
      </c>
      <c r="D278" s="322">
        <v>192</v>
      </c>
    </row>
    <row r="279" spans="1:4">
      <c r="A279" s="278" t="str">
        <f t="shared" si="21"/>
        <v>АСПС.FB_QSA_S.IVXX</v>
      </c>
      <c r="B279" s="279">
        <v>2</v>
      </c>
      <c r="C279" s="279" t="s">
        <v>80</v>
      </c>
      <c r="D279" s="322">
        <v>0</v>
      </c>
    </row>
    <row r="280" spans="1:4">
      <c r="A280" s="281" t="str">
        <f t="shared" si="21"/>
        <v>АСПС.FB_QSA_S.IVXX</v>
      </c>
      <c r="B280" s="282">
        <v>1</v>
      </c>
      <c r="C280" s="282" t="s">
        <v>1</v>
      </c>
      <c r="D280" s="323">
        <v>4</v>
      </c>
    </row>
    <row r="281" spans="1:4">
      <c r="A281" s="278" t="str">
        <f t="shared" ref="A281:A286" si="22">$R$2&amp;".SDBX"</f>
        <v>АСПС.FB_QSA_S.SDBX</v>
      </c>
      <c r="B281" s="279">
        <v>7999</v>
      </c>
      <c r="C281" s="279" t="s">
        <v>0</v>
      </c>
      <c r="D281" s="322" t="str">
        <f>"#"&amp;$S$2&amp;"#"&amp;$T$2&amp;"\"&amp;$P$2&amp;"\SDBX"</f>
        <v>#1#treiOPCDA.CoOPCserv.1\pcmaster\Zagaz_v_KTP\SDBX</v>
      </c>
    </row>
    <row r="282" spans="1:4">
      <c r="A282" s="278" t="str">
        <f t="shared" si="22"/>
        <v>АСПС.FB_QSA_S.SDBX</v>
      </c>
      <c r="B282" s="279">
        <v>7998</v>
      </c>
      <c r="C282" s="279" t="s">
        <v>6</v>
      </c>
      <c r="D282" s="322">
        <v>1</v>
      </c>
    </row>
    <row r="283" spans="1:4">
      <c r="A283" s="278" t="str">
        <f t="shared" si="22"/>
        <v>АСПС.FB_QSA_S.SDBX</v>
      </c>
      <c r="B283" s="279">
        <v>101</v>
      </c>
      <c r="C283" s="279" t="s">
        <v>0</v>
      </c>
      <c r="D283" s="322" t="s">
        <v>23</v>
      </c>
    </row>
    <row r="284" spans="1:4">
      <c r="A284" s="278" t="str">
        <f t="shared" si="22"/>
        <v>АСПС.FB_QSA_S.SDBX</v>
      </c>
      <c r="B284" s="279">
        <v>3</v>
      </c>
      <c r="C284" s="279" t="s">
        <v>1</v>
      </c>
      <c r="D284" s="322">
        <v>192</v>
      </c>
    </row>
    <row r="285" spans="1:4">
      <c r="A285" s="278" t="str">
        <f t="shared" si="22"/>
        <v>АСПС.FB_QSA_S.SDBX</v>
      </c>
      <c r="B285" s="279">
        <v>2</v>
      </c>
      <c r="C285" s="279" t="s">
        <v>80</v>
      </c>
      <c r="D285" s="322">
        <v>0</v>
      </c>
    </row>
    <row r="286" spans="1:4">
      <c r="A286" s="281" t="str">
        <f t="shared" si="22"/>
        <v>АСПС.FB_QSA_S.SDBX</v>
      </c>
      <c r="B286" s="282">
        <v>1</v>
      </c>
      <c r="C286" s="282" t="s">
        <v>1</v>
      </c>
      <c r="D286" s="323">
        <v>4</v>
      </c>
    </row>
    <row r="287" spans="1:4">
      <c r="A287" s="275" t="str">
        <f t="shared" ref="A287:A292" si="23">$R$2&amp;".SDLX"</f>
        <v>АСПС.FB_QSA_S.SDLX</v>
      </c>
      <c r="B287" s="276">
        <v>7999</v>
      </c>
      <c r="C287" s="276" t="s">
        <v>0</v>
      </c>
      <c r="D287" s="321" t="str">
        <f>"#"&amp;$S$2&amp;"#"&amp;$T$2&amp;"\"&amp;$P$2&amp;"\SDLX"</f>
        <v>#1#treiOPCDA.CoOPCserv.1\pcmaster\Zagaz_v_KTP\SDLX</v>
      </c>
    </row>
    <row r="288" spans="1:4">
      <c r="A288" s="278" t="str">
        <f t="shared" si="23"/>
        <v>АСПС.FB_QSA_S.SDLX</v>
      </c>
      <c r="B288" s="279">
        <v>7998</v>
      </c>
      <c r="C288" s="279" t="s">
        <v>6</v>
      </c>
      <c r="D288" s="322">
        <v>1</v>
      </c>
    </row>
    <row r="289" spans="1:20">
      <c r="A289" s="278" t="str">
        <f t="shared" si="23"/>
        <v>АСПС.FB_QSA_S.SDLX</v>
      </c>
      <c r="B289" s="279">
        <v>101</v>
      </c>
      <c r="C289" s="279" t="s">
        <v>0</v>
      </c>
      <c r="D289" s="322" t="s">
        <v>24</v>
      </c>
    </row>
    <row r="290" spans="1:20">
      <c r="A290" s="278" t="str">
        <f t="shared" si="23"/>
        <v>АСПС.FB_QSA_S.SDLX</v>
      </c>
      <c r="B290" s="279">
        <v>3</v>
      </c>
      <c r="C290" s="279" t="s">
        <v>1</v>
      </c>
      <c r="D290" s="322">
        <v>192</v>
      </c>
    </row>
    <row r="291" spans="1:20">
      <c r="A291" s="278" t="str">
        <f t="shared" si="23"/>
        <v>АСПС.FB_QSA_S.SDLX</v>
      </c>
      <c r="B291" s="279">
        <v>2</v>
      </c>
      <c r="C291" s="279" t="s">
        <v>80</v>
      </c>
      <c r="D291" s="322">
        <v>0</v>
      </c>
    </row>
    <row r="292" spans="1:20">
      <c r="A292" s="281" t="str">
        <f t="shared" si="23"/>
        <v>АСПС.FB_QSA_S.SDLX</v>
      </c>
      <c r="B292" s="282">
        <v>1</v>
      </c>
      <c r="C292" s="282" t="s">
        <v>1</v>
      </c>
      <c r="D292" s="323">
        <v>4</v>
      </c>
    </row>
    <row r="293" spans="1:20">
      <c r="A293" s="275" t="str">
        <f t="shared" ref="A293:A298" si="24">$R$2&amp;".SHSX"</f>
        <v>АСПС.FB_QSA_S.SHSX</v>
      </c>
      <c r="B293" s="276">
        <v>7999</v>
      </c>
      <c r="C293" s="276" t="s">
        <v>0</v>
      </c>
      <c r="D293" s="321" t="str">
        <f>"#"&amp;$S$2&amp;"#"&amp;$T$2&amp;"\"&amp;$P$2&amp;"\SHSX"</f>
        <v>#1#treiOPCDA.CoOPCserv.1\pcmaster\Zagaz_v_KTP\SHSX</v>
      </c>
    </row>
    <row r="294" spans="1:20">
      <c r="A294" s="278" t="str">
        <f t="shared" si="24"/>
        <v>АСПС.FB_QSA_S.SHSX</v>
      </c>
      <c r="B294" s="279">
        <v>7998</v>
      </c>
      <c r="C294" s="279" t="s">
        <v>6</v>
      </c>
      <c r="D294" s="322">
        <v>1</v>
      </c>
      <c r="Q294" s="4"/>
      <c r="R294" s="4"/>
      <c r="S294" s="4"/>
      <c r="T294" s="4"/>
    </row>
    <row r="295" spans="1:20">
      <c r="A295" s="278" t="str">
        <f t="shared" si="24"/>
        <v>АСПС.FB_QSA_S.SHSX</v>
      </c>
      <c r="B295" s="279">
        <v>101</v>
      </c>
      <c r="C295" s="279" t="s">
        <v>0</v>
      </c>
      <c r="D295" s="322" t="s">
        <v>27</v>
      </c>
    </row>
    <row r="296" spans="1:20">
      <c r="A296" s="278" t="str">
        <f t="shared" si="24"/>
        <v>АСПС.FB_QSA_S.SHSX</v>
      </c>
      <c r="B296" s="279">
        <v>3</v>
      </c>
      <c r="C296" s="279" t="s">
        <v>1</v>
      </c>
      <c r="D296" s="322">
        <v>192</v>
      </c>
      <c r="E296" s="4"/>
      <c r="F296" s="4"/>
      <c r="G296" s="4"/>
      <c r="H296" s="4"/>
      <c r="I296" s="4"/>
      <c r="J296" s="4"/>
      <c r="K296" s="4"/>
      <c r="L296" s="4"/>
      <c r="M296" s="4"/>
      <c r="N296" s="4"/>
      <c r="O296" s="4"/>
      <c r="P296" s="4"/>
    </row>
    <row r="297" spans="1:20">
      <c r="A297" s="278" t="str">
        <f t="shared" si="24"/>
        <v>АСПС.FB_QSA_S.SHSX</v>
      </c>
      <c r="B297" s="279">
        <v>2</v>
      </c>
      <c r="C297" s="279" t="s">
        <v>80</v>
      </c>
      <c r="D297" s="322">
        <v>0</v>
      </c>
      <c r="E297" s="4"/>
      <c r="F297" s="4"/>
      <c r="G297" s="4"/>
      <c r="H297" s="4"/>
      <c r="I297" s="4"/>
      <c r="J297" s="4"/>
      <c r="K297" s="4"/>
      <c r="L297" s="4"/>
      <c r="M297" s="4"/>
      <c r="N297" s="4"/>
      <c r="O297" s="4"/>
      <c r="P297" s="4"/>
    </row>
    <row r="298" spans="1:20">
      <c r="A298" s="281" t="str">
        <f t="shared" si="24"/>
        <v>АСПС.FB_QSA_S.SHSX</v>
      </c>
      <c r="B298" s="282">
        <v>1</v>
      </c>
      <c r="C298" s="282" t="s">
        <v>1</v>
      </c>
      <c r="D298" s="323">
        <v>4</v>
      </c>
      <c r="E298" s="4"/>
      <c r="F298" s="4"/>
      <c r="G298" s="4"/>
      <c r="H298" s="4"/>
      <c r="I298" s="4"/>
      <c r="J298" s="4"/>
      <c r="K298" s="4"/>
      <c r="L298" s="4"/>
      <c r="M298" s="4"/>
      <c r="N298" s="4"/>
      <c r="O298" s="4"/>
      <c r="P298" s="4"/>
    </row>
    <row r="299" spans="1:20">
      <c r="A299" s="275" t="str">
        <f t="shared" ref="A299:A304" si="25">$R$2&amp;".SHVX"</f>
        <v>АСПС.FB_QSA_S.SHVX</v>
      </c>
      <c r="B299" s="276">
        <v>7999</v>
      </c>
      <c r="C299" s="276" t="s">
        <v>0</v>
      </c>
      <c r="D299" s="321" t="str">
        <f>"#"&amp;$S$2&amp;"#"&amp;$T$2&amp;"\"&amp;$P$2&amp;"\SHVX"</f>
        <v>#1#treiOPCDA.CoOPCserv.1\pcmaster\Zagaz_v_KTP\SHVX</v>
      </c>
      <c r="E299" s="4"/>
      <c r="F299" s="4"/>
      <c r="G299" s="4"/>
      <c r="H299" s="4"/>
      <c r="I299" s="4"/>
      <c r="J299" s="4"/>
      <c r="K299" s="4"/>
      <c r="L299" s="4"/>
      <c r="M299" s="4"/>
      <c r="N299" s="4"/>
      <c r="O299" s="4"/>
      <c r="P299" s="4"/>
    </row>
    <row r="300" spans="1:20">
      <c r="A300" s="278" t="str">
        <f t="shared" si="25"/>
        <v>АСПС.FB_QSA_S.SHVX</v>
      </c>
      <c r="B300" s="279">
        <v>7998</v>
      </c>
      <c r="C300" s="279" t="s">
        <v>6</v>
      </c>
      <c r="D300" s="322">
        <v>1</v>
      </c>
      <c r="E300" s="4"/>
      <c r="F300" s="4"/>
      <c r="G300" s="4"/>
      <c r="H300" s="4"/>
      <c r="I300" s="4"/>
      <c r="J300" s="4"/>
      <c r="K300" s="4"/>
      <c r="L300" s="4"/>
      <c r="M300" s="4"/>
      <c r="N300" s="4"/>
      <c r="O300" s="4"/>
      <c r="P300" s="4"/>
    </row>
    <row r="301" spans="1:20">
      <c r="A301" s="278" t="str">
        <f t="shared" si="25"/>
        <v>АСПС.FB_QSA_S.SHVX</v>
      </c>
      <c r="B301" s="279">
        <v>101</v>
      </c>
      <c r="C301" s="279" t="s">
        <v>0</v>
      </c>
      <c r="D301" s="322" t="s">
        <v>44</v>
      </c>
      <c r="E301" s="4"/>
      <c r="F301" s="4"/>
      <c r="G301" s="4"/>
      <c r="H301" s="4"/>
      <c r="I301" s="4"/>
      <c r="J301" s="4"/>
      <c r="K301" s="4"/>
      <c r="L301" s="4"/>
      <c r="M301" s="4"/>
      <c r="N301" s="4"/>
      <c r="O301" s="4"/>
      <c r="P301" s="4"/>
    </row>
    <row r="302" spans="1:20">
      <c r="A302" s="278" t="str">
        <f t="shared" si="25"/>
        <v>АСПС.FB_QSA_S.SHVX</v>
      </c>
      <c r="B302" s="279">
        <v>3</v>
      </c>
      <c r="C302" s="279" t="s">
        <v>1</v>
      </c>
      <c r="D302" s="322">
        <v>192</v>
      </c>
      <c r="E302" s="4"/>
      <c r="F302" s="4"/>
      <c r="G302" s="4"/>
      <c r="H302" s="4"/>
      <c r="I302" s="4"/>
      <c r="J302" s="4"/>
      <c r="K302" s="4"/>
      <c r="L302" s="4"/>
      <c r="M302" s="4"/>
      <c r="N302" s="4"/>
      <c r="O302" s="4"/>
      <c r="P302" s="4"/>
    </row>
    <row r="303" spans="1:20">
      <c r="A303" s="278" t="str">
        <f t="shared" si="25"/>
        <v>АСПС.FB_QSA_S.SHVX</v>
      </c>
      <c r="B303" s="279">
        <v>2</v>
      </c>
      <c r="C303" s="279" t="s">
        <v>80</v>
      </c>
      <c r="D303" s="322">
        <v>0</v>
      </c>
      <c r="E303" s="4"/>
      <c r="F303" s="4"/>
      <c r="G303" s="4"/>
      <c r="H303" s="4"/>
      <c r="I303" s="4"/>
      <c r="J303" s="4"/>
      <c r="K303" s="4"/>
      <c r="L303" s="4"/>
      <c r="M303" s="4"/>
      <c r="N303" s="4"/>
      <c r="O303" s="4"/>
      <c r="P303" s="4"/>
    </row>
    <row r="304" spans="1:20">
      <c r="A304" s="281" t="str">
        <f t="shared" si="25"/>
        <v>АСПС.FB_QSA_S.SHVX</v>
      </c>
      <c r="B304" s="282">
        <v>1</v>
      </c>
      <c r="C304" s="282" t="s">
        <v>1</v>
      </c>
      <c r="D304" s="323">
        <v>4</v>
      </c>
      <c r="E304" s="4"/>
      <c r="F304" s="4"/>
      <c r="G304" s="4"/>
      <c r="H304" s="4"/>
      <c r="I304" s="4"/>
      <c r="J304" s="4"/>
      <c r="K304" s="4"/>
      <c r="L304" s="4"/>
      <c r="M304" s="4"/>
      <c r="N304" s="4"/>
      <c r="O304" s="4"/>
      <c r="P304" s="4"/>
    </row>
    <row r="305" spans="1:16">
      <c r="A305" s="275" t="str">
        <f t="shared" ref="A305:A310" si="26">$R$2&amp;".SIMX"</f>
        <v>АСПС.FB_QSA_S.SIMX</v>
      </c>
      <c r="B305" s="276">
        <v>7999</v>
      </c>
      <c r="C305" s="276" t="s">
        <v>0</v>
      </c>
      <c r="D305" s="321" t="str">
        <f>"#"&amp;$S$2&amp;"#"&amp;$T$2&amp;"\"&amp;$P$2&amp;"\SIMX"</f>
        <v>#1#treiOPCDA.CoOPCserv.1\pcmaster\Zagaz_v_KTP\SIMX</v>
      </c>
      <c r="E305" s="4"/>
      <c r="F305" s="4"/>
      <c r="G305" s="4"/>
      <c r="H305" s="4"/>
      <c r="I305" s="4"/>
      <c r="J305" s="4"/>
      <c r="K305" s="4"/>
      <c r="L305" s="4"/>
      <c r="M305" s="4"/>
      <c r="N305" s="4"/>
      <c r="O305" s="4"/>
      <c r="P305" s="4"/>
    </row>
    <row r="306" spans="1:16">
      <c r="A306" s="278" t="str">
        <f t="shared" si="26"/>
        <v>АСПС.FB_QSA_S.SIMX</v>
      </c>
      <c r="B306" s="279">
        <v>7998</v>
      </c>
      <c r="C306" s="279" t="s">
        <v>6</v>
      </c>
      <c r="D306" s="322">
        <v>1</v>
      </c>
    </row>
    <row r="307" spans="1:16">
      <c r="A307" s="278" t="str">
        <f t="shared" si="26"/>
        <v>АСПС.FB_QSA_S.SIMX</v>
      </c>
      <c r="B307" s="279">
        <v>101</v>
      </c>
      <c r="C307" s="279" t="s">
        <v>0</v>
      </c>
      <c r="D307" s="322" t="s">
        <v>29</v>
      </c>
    </row>
    <row r="308" spans="1:16">
      <c r="A308" s="278" t="str">
        <f t="shared" si="26"/>
        <v>АСПС.FB_QSA_S.SIMX</v>
      </c>
      <c r="B308" s="279">
        <v>3</v>
      </c>
      <c r="C308" s="279" t="s">
        <v>1</v>
      </c>
      <c r="D308" s="322">
        <v>192</v>
      </c>
    </row>
    <row r="309" spans="1:16">
      <c r="A309" s="278" t="str">
        <f t="shared" si="26"/>
        <v>АСПС.FB_QSA_S.SIMX</v>
      </c>
      <c r="B309" s="279">
        <v>2</v>
      </c>
      <c r="C309" s="279" t="s">
        <v>80</v>
      </c>
      <c r="D309" s="322">
        <v>0</v>
      </c>
    </row>
    <row r="310" spans="1:16">
      <c r="A310" s="281" t="str">
        <f t="shared" si="26"/>
        <v>АСПС.FB_QSA_S.SIMX</v>
      </c>
      <c r="B310" s="282">
        <v>1</v>
      </c>
      <c r="C310" s="282" t="s">
        <v>1</v>
      </c>
      <c r="D310" s="323">
        <v>4</v>
      </c>
    </row>
    <row r="311" spans="1:16">
      <c r="A311" s="275" t="str">
        <f t="shared" ref="A311:A316" si="27">$R$2&amp;".ST1X"</f>
        <v>АСПС.FB_QSA_S.ST1X</v>
      </c>
      <c r="B311" s="276">
        <v>7999</v>
      </c>
      <c r="C311" s="276" t="s">
        <v>0</v>
      </c>
      <c r="D311" s="321" t="str">
        <f>"#"&amp;$S$2&amp;"#"&amp;$T$2&amp;"\"&amp;$P$2&amp;"\ST1X"</f>
        <v>#1#treiOPCDA.CoOPCserv.1\pcmaster\Zagaz_v_KTP\ST1X</v>
      </c>
    </row>
    <row r="312" spans="1:16">
      <c r="A312" s="278" t="str">
        <f t="shared" si="27"/>
        <v>АСПС.FB_QSA_S.ST1X</v>
      </c>
      <c r="B312" s="279">
        <v>7998</v>
      </c>
      <c r="C312" s="279" t="s">
        <v>6</v>
      </c>
      <c r="D312" s="322">
        <v>1</v>
      </c>
    </row>
    <row r="313" spans="1:16">
      <c r="A313" s="278" t="str">
        <f t="shared" si="27"/>
        <v>АСПС.FB_QSA_S.ST1X</v>
      </c>
      <c r="B313" s="279">
        <v>101</v>
      </c>
      <c r="C313" s="279" t="s">
        <v>0</v>
      </c>
      <c r="D313" s="322" t="s">
        <v>441</v>
      </c>
    </row>
    <row r="314" spans="1:16">
      <c r="A314" s="278" t="str">
        <f t="shared" si="27"/>
        <v>АСПС.FB_QSA_S.ST1X</v>
      </c>
      <c r="B314" s="279">
        <v>3</v>
      </c>
      <c r="C314" s="279" t="s">
        <v>1</v>
      </c>
      <c r="D314" s="322">
        <v>192</v>
      </c>
    </row>
    <row r="315" spans="1:16">
      <c r="A315" s="278" t="str">
        <f t="shared" si="27"/>
        <v>АСПС.FB_QSA_S.ST1X</v>
      </c>
      <c r="B315" s="279">
        <v>2</v>
      </c>
      <c r="C315" s="279" t="s">
        <v>80</v>
      </c>
      <c r="D315" s="322">
        <v>0</v>
      </c>
    </row>
    <row r="316" spans="1:16">
      <c r="A316" s="281" t="str">
        <f t="shared" si="27"/>
        <v>АСПС.FB_QSA_S.ST1X</v>
      </c>
      <c r="B316" s="282">
        <v>1</v>
      </c>
      <c r="C316" s="282" t="s">
        <v>1</v>
      </c>
      <c r="D316" s="323">
        <v>4</v>
      </c>
    </row>
    <row r="317" spans="1:16">
      <c r="A317" s="275" t="str">
        <f t="shared" ref="A317:A322" si="28">$R$2&amp;".ST2X"</f>
        <v>АСПС.FB_QSA_S.ST2X</v>
      </c>
      <c r="B317" s="276">
        <v>7999</v>
      </c>
      <c r="C317" s="276" t="s">
        <v>0</v>
      </c>
      <c r="D317" s="321" t="str">
        <f>"#"&amp;$S$2&amp;"#"&amp;$T$2&amp;"\"&amp;$P$2&amp;"\ST2X"</f>
        <v>#1#treiOPCDA.CoOPCserv.1\pcmaster\Zagaz_v_KTP\ST2X</v>
      </c>
    </row>
    <row r="318" spans="1:16">
      <c r="A318" s="278" t="str">
        <f t="shared" si="28"/>
        <v>АСПС.FB_QSA_S.ST2X</v>
      </c>
      <c r="B318" s="279">
        <v>7998</v>
      </c>
      <c r="C318" s="279" t="s">
        <v>6</v>
      </c>
      <c r="D318" s="322">
        <v>1</v>
      </c>
    </row>
    <row r="319" spans="1:16">
      <c r="A319" s="278" t="str">
        <f t="shared" si="28"/>
        <v>АСПС.FB_QSA_S.ST2X</v>
      </c>
      <c r="B319" s="279">
        <v>101</v>
      </c>
      <c r="C319" s="279" t="s">
        <v>0</v>
      </c>
      <c r="D319" s="322" t="s">
        <v>442</v>
      </c>
    </row>
    <row r="320" spans="1:16">
      <c r="A320" s="278" t="str">
        <f t="shared" si="28"/>
        <v>АСПС.FB_QSA_S.ST2X</v>
      </c>
      <c r="B320" s="279">
        <v>3</v>
      </c>
      <c r="C320" s="279" t="s">
        <v>1</v>
      </c>
      <c r="D320" s="322">
        <v>192</v>
      </c>
    </row>
    <row r="321" spans="1:4">
      <c r="A321" s="278" t="str">
        <f t="shared" si="28"/>
        <v>АСПС.FB_QSA_S.ST2X</v>
      </c>
      <c r="B321" s="279">
        <v>2</v>
      </c>
      <c r="C321" s="279" t="s">
        <v>80</v>
      </c>
      <c r="D321" s="322">
        <v>0</v>
      </c>
    </row>
    <row r="322" spans="1:4">
      <c r="A322" s="281" t="str">
        <f t="shared" si="28"/>
        <v>АСПС.FB_QSA_S.ST2X</v>
      </c>
      <c r="B322" s="282">
        <v>1</v>
      </c>
      <c r="C322" s="282" t="s">
        <v>1</v>
      </c>
      <c r="D322" s="323">
        <v>4</v>
      </c>
    </row>
    <row r="323" spans="1:4">
      <c r="A323" s="275" t="str">
        <f t="shared" ref="A323:A328" si="29">$R$2&amp;".SLSX"</f>
        <v>АСПС.FB_QSA_S.SLSX</v>
      </c>
      <c r="B323" s="276">
        <v>7999</v>
      </c>
      <c r="C323" s="276" t="s">
        <v>0</v>
      </c>
      <c r="D323" s="321" t="str">
        <f>"#"&amp;$S$2&amp;"#"&amp;$T$2&amp;"\"&amp;$P$2&amp;"\SLSX"</f>
        <v>#1#treiOPCDA.CoOPCserv.1\pcmaster\Zagaz_v_KTP\SLSX</v>
      </c>
    </row>
    <row r="324" spans="1:4">
      <c r="A324" s="278" t="str">
        <f t="shared" si="29"/>
        <v>АСПС.FB_QSA_S.SLSX</v>
      </c>
      <c r="B324" s="279">
        <v>7998</v>
      </c>
      <c r="C324" s="279" t="s">
        <v>6</v>
      </c>
      <c r="D324" s="322">
        <v>1</v>
      </c>
    </row>
    <row r="325" spans="1:4">
      <c r="A325" s="278" t="str">
        <f t="shared" si="29"/>
        <v>АСПС.FB_QSA_S.SLSX</v>
      </c>
      <c r="B325" s="279">
        <v>101</v>
      </c>
      <c r="C325" s="279" t="s">
        <v>0</v>
      </c>
      <c r="D325" s="322" t="s">
        <v>31</v>
      </c>
    </row>
    <row r="326" spans="1:4">
      <c r="A326" s="278" t="str">
        <f t="shared" si="29"/>
        <v>АСПС.FB_QSA_S.SLSX</v>
      </c>
      <c r="B326" s="279">
        <v>3</v>
      </c>
      <c r="C326" s="279" t="s">
        <v>1</v>
      </c>
      <c r="D326" s="322">
        <v>192</v>
      </c>
    </row>
    <row r="327" spans="1:4">
      <c r="A327" s="278" t="str">
        <f t="shared" si="29"/>
        <v>АСПС.FB_QSA_S.SLSX</v>
      </c>
      <c r="B327" s="279">
        <v>2</v>
      </c>
      <c r="C327" s="279" t="s">
        <v>80</v>
      </c>
      <c r="D327" s="322">
        <v>0</v>
      </c>
    </row>
    <row r="328" spans="1:4">
      <c r="A328" s="281" t="str">
        <f t="shared" si="29"/>
        <v>АСПС.FB_QSA_S.SLSX</v>
      </c>
      <c r="B328" s="282">
        <v>1</v>
      </c>
      <c r="C328" s="282" t="s">
        <v>1</v>
      </c>
      <c r="D328" s="323">
        <v>4</v>
      </c>
    </row>
    <row r="329" spans="1:4">
      <c r="A329" s="275" t="str">
        <f t="shared" ref="A329:A334" si="30">$R$2&amp;".SLVX"</f>
        <v>АСПС.FB_QSA_S.SLVX</v>
      </c>
      <c r="B329" s="276">
        <v>7999</v>
      </c>
      <c r="C329" s="276" t="s">
        <v>0</v>
      </c>
      <c r="D329" s="321" t="str">
        <f>"#"&amp;$S$2&amp;"#"&amp;$T$2&amp;"\"&amp;$P$2&amp;"\SLVX"</f>
        <v>#1#treiOPCDA.CoOPCserv.1\pcmaster\Zagaz_v_KTP\SLVX</v>
      </c>
    </row>
    <row r="330" spans="1:4">
      <c r="A330" s="278" t="str">
        <f t="shared" si="30"/>
        <v>АСПС.FB_QSA_S.SLVX</v>
      </c>
      <c r="B330" s="279">
        <v>7998</v>
      </c>
      <c r="C330" s="279" t="s">
        <v>6</v>
      </c>
      <c r="D330" s="322">
        <v>1</v>
      </c>
    </row>
    <row r="331" spans="1:4">
      <c r="A331" s="278" t="str">
        <f t="shared" si="30"/>
        <v>АСПС.FB_QSA_S.SLVX</v>
      </c>
      <c r="B331" s="279">
        <v>101</v>
      </c>
      <c r="C331" s="279" t="s">
        <v>0</v>
      </c>
      <c r="D331" s="322" t="s">
        <v>45</v>
      </c>
    </row>
    <row r="332" spans="1:4">
      <c r="A332" s="278" t="str">
        <f t="shared" si="30"/>
        <v>АСПС.FB_QSA_S.SLVX</v>
      </c>
      <c r="B332" s="279">
        <v>3</v>
      </c>
      <c r="C332" s="279" t="s">
        <v>1</v>
      </c>
      <c r="D332" s="322">
        <v>192</v>
      </c>
    </row>
    <row r="333" spans="1:4">
      <c r="A333" s="278" t="str">
        <f t="shared" si="30"/>
        <v>АСПС.FB_QSA_S.SLVX</v>
      </c>
      <c r="B333" s="279">
        <v>2</v>
      </c>
      <c r="C333" s="279" t="s">
        <v>80</v>
      </c>
      <c r="D333" s="322">
        <v>0</v>
      </c>
    </row>
    <row r="334" spans="1:4">
      <c r="A334" s="281" t="str">
        <f t="shared" si="30"/>
        <v>АСПС.FB_QSA_S.SLVX</v>
      </c>
      <c r="B334" s="282">
        <v>1</v>
      </c>
      <c r="C334" s="282" t="s">
        <v>1</v>
      </c>
      <c r="D334" s="323">
        <v>4</v>
      </c>
    </row>
    <row r="335" spans="1:4">
      <c r="A335" s="275" t="str">
        <f t="shared" ref="A335:A340" si="31">$R$2&amp;".SSLX"</f>
        <v>АСПС.FB_QSA_S.SSLX</v>
      </c>
      <c r="B335" s="276">
        <v>7999</v>
      </c>
      <c r="C335" s="276" t="s">
        <v>0</v>
      </c>
      <c r="D335" s="321" t="str">
        <f>"#"&amp;$S$2&amp;"#"&amp;$T$2&amp;"\"&amp;$P$2&amp;"\SSLX"</f>
        <v>#1#treiOPCDA.CoOPCserv.1\pcmaster\Zagaz_v_KTP\SSLX</v>
      </c>
    </row>
    <row r="336" spans="1:4">
      <c r="A336" s="278" t="str">
        <f t="shared" si="31"/>
        <v>АСПС.FB_QSA_S.SSLX</v>
      </c>
      <c r="B336" s="279">
        <v>7998</v>
      </c>
      <c r="C336" s="279" t="s">
        <v>6</v>
      </c>
      <c r="D336" s="322">
        <v>1</v>
      </c>
    </row>
    <row r="337" spans="1:4">
      <c r="A337" s="278" t="str">
        <f t="shared" si="31"/>
        <v>АСПС.FB_QSA_S.SSLX</v>
      </c>
      <c r="B337" s="279">
        <v>101</v>
      </c>
      <c r="C337" s="279" t="s">
        <v>0</v>
      </c>
      <c r="D337" s="322" t="s">
        <v>33</v>
      </c>
    </row>
    <row r="338" spans="1:4">
      <c r="A338" s="278" t="str">
        <f t="shared" si="31"/>
        <v>АСПС.FB_QSA_S.SSLX</v>
      </c>
      <c r="B338" s="279">
        <v>3</v>
      </c>
      <c r="C338" s="279" t="s">
        <v>1</v>
      </c>
      <c r="D338" s="322">
        <v>192</v>
      </c>
    </row>
    <row r="339" spans="1:4">
      <c r="A339" s="278" t="str">
        <f t="shared" si="31"/>
        <v>АСПС.FB_QSA_S.SSLX</v>
      </c>
      <c r="B339" s="279">
        <v>2</v>
      </c>
      <c r="C339" s="279" t="s">
        <v>80</v>
      </c>
      <c r="D339" s="322">
        <v>0</v>
      </c>
    </row>
    <row r="340" spans="1:4">
      <c r="A340" s="278" t="str">
        <f t="shared" si="31"/>
        <v>АСПС.FB_QSA_S.SSLX</v>
      </c>
      <c r="B340" s="279">
        <v>1</v>
      </c>
      <c r="C340" s="279" t="s">
        <v>1</v>
      </c>
      <c r="D340" s="322">
        <v>4</v>
      </c>
    </row>
    <row r="341" spans="1:4">
      <c r="A341" s="275" t="str">
        <f t="shared" ref="A341:A352" si="32">$R$2&amp;".XVLX"</f>
        <v>АСПС.FB_QSA_S.XVLX</v>
      </c>
      <c r="B341" s="276">
        <v>7999</v>
      </c>
      <c r="C341" s="276" t="s">
        <v>0</v>
      </c>
      <c r="D341" s="321" t="str">
        <f>"#"&amp;$S$2&amp;"#"&amp;$T$2&amp;"\"&amp;$P$2&amp;"\XVLX"</f>
        <v>#1#treiOPCDA.CoOPCserv.1\pcmaster\Zagaz_v_KTP\XVLX</v>
      </c>
    </row>
    <row r="342" spans="1:4">
      <c r="A342" s="278" t="str">
        <f t="shared" si="32"/>
        <v>АСПС.FB_QSA_S.XVLX</v>
      </c>
      <c r="B342" s="279">
        <v>7998</v>
      </c>
      <c r="C342" s="279" t="s">
        <v>6</v>
      </c>
      <c r="D342" s="322">
        <v>1</v>
      </c>
    </row>
    <row r="343" spans="1:4">
      <c r="A343" s="278" t="str">
        <f t="shared" si="32"/>
        <v>АСПС.FB_QSA_S.XVLX</v>
      </c>
      <c r="B343" s="279">
        <v>101</v>
      </c>
      <c r="C343" s="279" t="s">
        <v>0</v>
      </c>
      <c r="D343" s="322" t="str">
        <f>$Q$2&amp;", "&amp;$X$2</f>
        <v>Загазованность, %</v>
      </c>
    </row>
    <row r="344" spans="1:4">
      <c r="A344" s="278" t="str">
        <f t="shared" si="32"/>
        <v>АСПС.FB_QSA_S.XVLX</v>
      </c>
      <c r="B344" s="279">
        <v>3</v>
      </c>
      <c r="C344" s="279" t="s">
        <v>1</v>
      </c>
      <c r="D344" s="322">
        <v>192</v>
      </c>
    </row>
    <row r="345" spans="1:4">
      <c r="A345" s="278" t="str">
        <f t="shared" si="32"/>
        <v>АСПС.FB_QSA_S.XVLX</v>
      </c>
      <c r="B345" s="279">
        <v>2</v>
      </c>
      <c r="C345" s="279" t="s">
        <v>80</v>
      </c>
      <c r="D345" s="322">
        <v>0</v>
      </c>
    </row>
    <row r="346" spans="1:4">
      <c r="A346" s="278" t="str">
        <f t="shared" si="32"/>
        <v>АСПС.FB_QSA_S.XVLX</v>
      </c>
      <c r="B346" s="279">
        <v>1</v>
      </c>
      <c r="C346" s="279" t="s">
        <v>1</v>
      </c>
      <c r="D346" s="322">
        <v>4</v>
      </c>
    </row>
    <row r="347" spans="1:4">
      <c r="A347" s="278" t="str">
        <f t="shared" si="32"/>
        <v>АСПС.FB_QSA_S.XVLX</v>
      </c>
      <c r="B347" s="279">
        <v>3011102</v>
      </c>
      <c r="C347" s="279" t="s">
        <v>0</v>
      </c>
      <c r="D347" s="322" t="s">
        <v>443</v>
      </c>
    </row>
    <row r="348" spans="1:4">
      <c r="A348" s="278" t="str">
        <f t="shared" si="32"/>
        <v>АСПС.FB_QSA_S.XVLX</v>
      </c>
      <c r="B348" s="279">
        <v>3011103</v>
      </c>
      <c r="C348" s="279" t="s">
        <v>0</v>
      </c>
      <c r="D348" s="322" t="s">
        <v>444</v>
      </c>
    </row>
    <row r="349" spans="1:4">
      <c r="A349" s="278" t="str">
        <f t="shared" si="32"/>
        <v>АСПС.FB_QSA_S.XVLX</v>
      </c>
      <c r="B349" s="279">
        <v>11102</v>
      </c>
      <c r="C349" s="279" t="s">
        <v>278</v>
      </c>
      <c r="D349" s="327" t="s">
        <v>321</v>
      </c>
    </row>
    <row r="350" spans="1:4">
      <c r="A350" s="278" t="str">
        <f t="shared" si="32"/>
        <v>АСПС.FB_QSA_S.XVLX</v>
      </c>
      <c r="B350" s="279">
        <v>11103</v>
      </c>
      <c r="C350" s="279" t="s">
        <v>278</v>
      </c>
      <c r="D350" s="327" t="s">
        <v>322</v>
      </c>
    </row>
    <row r="351" spans="1:4">
      <c r="A351" s="286" t="str">
        <f t="shared" si="32"/>
        <v>АСПС.FB_QSA_S.XVLX</v>
      </c>
      <c r="B351" s="279">
        <v>3000203</v>
      </c>
      <c r="C351" s="279" t="s">
        <v>0</v>
      </c>
      <c r="D351" s="322" t="s">
        <v>323</v>
      </c>
    </row>
    <row r="352" spans="1:4">
      <c r="A352" s="286" t="str">
        <f t="shared" si="32"/>
        <v>АСПС.FB_QSA_S.XVLX</v>
      </c>
      <c r="B352" s="279">
        <v>203</v>
      </c>
      <c r="C352" s="279" t="s">
        <v>2</v>
      </c>
      <c r="D352" s="322" t="s">
        <v>175</v>
      </c>
    </row>
    <row r="353" spans="1:4" ht="15" customHeight="1">
      <c r="A353" s="278" t="str">
        <f t="shared" ref="A353:A356" si="33">$R$2&amp;".XVLX"</f>
        <v>АСПС.FB_QSA_S.XVLX</v>
      </c>
      <c r="B353" s="279">
        <v>3000011</v>
      </c>
      <c r="C353" s="279" t="s">
        <v>0</v>
      </c>
      <c r="D353" s="280" t="s">
        <v>1470</v>
      </c>
    </row>
    <row r="354" spans="1:4" ht="15" customHeight="1">
      <c r="A354" s="278" t="str">
        <f t="shared" si="33"/>
        <v>АСПС.FB_QSA_S.XVLX</v>
      </c>
      <c r="B354" s="279">
        <v>3000010</v>
      </c>
      <c r="C354" s="279" t="s">
        <v>0</v>
      </c>
      <c r="D354" s="280" t="s">
        <v>1469</v>
      </c>
    </row>
    <row r="355" spans="1:4" ht="15" customHeight="1">
      <c r="A355" s="278" t="str">
        <f t="shared" si="33"/>
        <v>АСПС.FB_QSA_S.XVLX</v>
      </c>
      <c r="B355" s="279">
        <v>10</v>
      </c>
      <c r="C355" s="279" t="s">
        <v>80</v>
      </c>
      <c r="D355" s="285">
        <v>1</v>
      </c>
    </row>
    <row r="356" spans="1:4" ht="15" customHeight="1">
      <c r="A356" s="281" t="str">
        <f t="shared" si="33"/>
        <v>АСПС.FB_QSA_S.XVLX</v>
      </c>
      <c r="B356" s="282">
        <v>11</v>
      </c>
      <c r="C356" s="282" t="s">
        <v>80</v>
      </c>
      <c r="D356" s="306">
        <v>2</v>
      </c>
    </row>
    <row r="357" spans="1:4">
      <c r="A357" s="269" t="str">
        <f t="shared" ref="A357:A362" si="34">$R$2&amp;".SFTX"</f>
        <v>АСПС.FB_QSA_S.SFTX</v>
      </c>
      <c r="B357" s="270">
        <v>7999</v>
      </c>
      <c r="C357" s="270" t="s">
        <v>0</v>
      </c>
      <c r="D357" s="325" t="str">
        <f>"#"&amp;$S$2&amp;"#"&amp;$T$2&amp;"\"&amp;$P$2&amp;"\SFTX"</f>
        <v>#1#treiOPCDA.CoOPCserv.1\pcmaster\Zagaz_v_KTP\SFTX</v>
      </c>
    </row>
    <row r="358" spans="1:4">
      <c r="A358" s="269" t="str">
        <f t="shared" si="34"/>
        <v>АСПС.FB_QSA_S.SFTX</v>
      </c>
      <c r="B358" s="270">
        <v>7998</v>
      </c>
      <c r="C358" s="270" t="s">
        <v>6</v>
      </c>
      <c r="D358" s="325">
        <v>1</v>
      </c>
    </row>
    <row r="359" spans="1:4">
      <c r="A359" s="269" t="str">
        <f t="shared" si="34"/>
        <v>АСПС.FB_QSA_S.SFTX</v>
      </c>
      <c r="B359" s="270">
        <v>101</v>
      </c>
      <c r="C359" s="270" t="s">
        <v>0</v>
      </c>
      <c r="D359" s="325" t="s">
        <v>25</v>
      </c>
    </row>
    <row r="360" spans="1:4">
      <c r="A360" s="269" t="str">
        <f t="shared" si="34"/>
        <v>АСПС.FB_QSA_S.SFTX</v>
      </c>
      <c r="B360" s="270">
        <v>3</v>
      </c>
      <c r="C360" s="270" t="s">
        <v>1</v>
      </c>
      <c r="D360" s="325">
        <v>192</v>
      </c>
    </row>
    <row r="361" spans="1:4">
      <c r="A361" s="269" t="str">
        <f t="shared" si="34"/>
        <v>АСПС.FB_QSA_S.SFTX</v>
      </c>
      <c r="B361" s="270">
        <v>2</v>
      </c>
      <c r="C361" s="270" t="s">
        <v>6</v>
      </c>
      <c r="D361" s="325">
        <v>0</v>
      </c>
    </row>
    <row r="362" spans="1:4">
      <c r="A362" s="272" t="str">
        <f t="shared" si="34"/>
        <v>АСПС.FB_QSA_S.SFTX</v>
      </c>
      <c r="B362" s="273">
        <v>1</v>
      </c>
      <c r="C362" s="273" t="s">
        <v>1</v>
      </c>
      <c r="D362" s="326">
        <v>3</v>
      </c>
    </row>
    <row r="363" spans="1:4">
      <c r="A363" s="269" t="str">
        <f t="shared" ref="A363:A368" si="35">$R$2&amp;".STSX"</f>
        <v>АСПС.FB_QSA_S.STSX</v>
      </c>
      <c r="B363" s="270">
        <v>7999</v>
      </c>
      <c r="C363" s="270" t="s">
        <v>0</v>
      </c>
      <c r="D363" s="325" t="str">
        <f>"#"&amp;$S$2&amp;"#"&amp;$T$2&amp;"\"&amp;$P$2&amp;"\STSX"</f>
        <v>#1#treiOPCDA.CoOPCserv.1\pcmaster\Zagaz_v_KTP\STSX</v>
      </c>
    </row>
    <row r="364" spans="1:4">
      <c r="A364" s="269" t="str">
        <f t="shared" si="35"/>
        <v>АСПС.FB_QSA_S.STSX</v>
      </c>
      <c r="B364" s="270">
        <v>7998</v>
      </c>
      <c r="C364" s="270" t="s">
        <v>6</v>
      </c>
      <c r="D364" s="325">
        <v>1</v>
      </c>
    </row>
    <row r="365" spans="1:4">
      <c r="A365" s="269" t="str">
        <f t="shared" si="35"/>
        <v>АСПС.FB_QSA_S.STSX</v>
      </c>
      <c r="B365" s="270">
        <v>101</v>
      </c>
      <c r="C365" s="270" t="s">
        <v>0</v>
      </c>
      <c r="D365" s="325" t="s">
        <v>34</v>
      </c>
    </row>
    <row r="366" spans="1:4">
      <c r="A366" s="269" t="str">
        <f t="shared" si="35"/>
        <v>АСПС.FB_QSA_S.STSX</v>
      </c>
      <c r="B366" s="270">
        <v>3</v>
      </c>
      <c r="C366" s="270" t="s">
        <v>1</v>
      </c>
      <c r="D366" s="325">
        <v>192</v>
      </c>
    </row>
    <row r="367" spans="1:4">
      <c r="A367" s="269" t="str">
        <f t="shared" si="35"/>
        <v>АСПС.FB_QSA_S.STSX</v>
      </c>
      <c r="B367" s="270">
        <v>2</v>
      </c>
      <c r="C367" s="270" t="s">
        <v>6</v>
      </c>
      <c r="D367" s="325">
        <v>0</v>
      </c>
    </row>
    <row r="368" spans="1:4">
      <c r="A368" s="272" t="str">
        <f t="shared" si="35"/>
        <v>АСПС.FB_QSA_S.STSX</v>
      </c>
      <c r="B368" s="273">
        <v>1</v>
      </c>
      <c r="C368" s="273" t="s">
        <v>1</v>
      </c>
      <c r="D368" s="326">
        <v>3</v>
      </c>
    </row>
    <row r="369" spans="1:4">
      <c r="A369" s="62"/>
      <c r="B369" s="11"/>
      <c r="C369" s="11"/>
      <c r="D369" s="81"/>
    </row>
    <row r="370" spans="1:4">
      <c r="A370" s="62"/>
      <c r="B370" s="11"/>
      <c r="C370" s="11"/>
      <c r="D370" s="81"/>
    </row>
    <row r="371" spans="1:4">
      <c r="A371" s="62"/>
      <c r="B371" s="11"/>
      <c r="C371" s="11"/>
      <c r="D371" s="81"/>
    </row>
    <row r="372" spans="1:4">
      <c r="A372" s="62"/>
      <c r="B372" s="11"/>
      <c r="C372" s="11"/>
      <c r="D372" s="81"/>
    </row>
    <row r="373" spans="1:4">
      <c r="A373" s="62"/>
      <c r="B373" s="11"/>
      <c r="C373" s="11"/>
      <c r="D373" s="81"/>
    </row>
    <row r="374" spans="1:4">
      <c r="A374" s="59"/>
      <c r="B374" s="4"/>
      <c r="C374" s="4"/>
      <c r="D374" s="328"/>
    </row>
    <row r="375" spans="1:4">
      <c r="A375" s="59"/>
      <c r="B375" s="4"/>
      <c r="C375" s="4"/>
      <c r="D375" s="328"/>
    </row>
    <row r="376" spans="1:4">
      <c r="A376" s="59"/>
      <c r="B376" s="4"/>
      <c r="C376" s="4"/>
      <c r="D376" s="328"/>
    </row>
  </sheetData>
  <autoFilter ref="B1:B376" xr:uid="{00000000-0009-0000-0000-000051000000}"/>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Лист76">
    <tabColor rgb="FFFFC000"/>
  </sheetPr>
  <dimension ref="A1:BR442"/>
  <sheetViews>
    <sheetView topLeftCell="A383" zoomScale="70" zoomScaleNormal="70" workbookViewId="0">
      <selection activeCell="P2" sqref="P2:BA2"/>
    </sheetView>
  </sheetViews>
  <sheetFormatPr defaultRowHeight="14.4"/>
  <cols>
    <col min="1" max="1" width="37.109375" customWidth="1"/>
    <col min="2" max="2" width="9.5546875" customWidth="1"/>
    <col min="4" max="4" width="63.88671875" customWidth="1"/>
    <col min="5" max="15" width="9.109375"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7.33203125" customWidth="1"/>
    <col min="56" max="56" width="10.33203125" customWidth="1"/>
    <col min="57" max="57" width="10" customWidth="1"/>
    <col min="59" max="59" width="7.109375" customWidth="1"/>
    <col min="60" max="60" width="10.88671875" customWidth="1"/>
    <col min="62" max="62" width="65.109375" customWidth="1"/>
  </cols>
  <sheetData>
    <row r="1" spans="1:66" s="258" customFormat="1" ht="204.6" thickBot="1">
      <c r="A1" s="257"/>
      <c r="B1" s="257"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K1" s="259"/>
      <c r="BL1" s="259"/>
      <c r="BM1" s="259"/>
      <c r="BN1" s="259"/>
    </row>
    <row r="2" spans="1:66">
      <c r="A2" s="9"/>
      <c r="B2" s="9"/>
      <c r="C2" s="9"/>
      <c r="D2" s="9"/>
      <c r="E2" s="9"/>
      <c r="F2" s="9"/>
      <c r="P2" s="2" t="s">
        <v>611</v>
      </c>
      <c r="Q2" s="2" t="s">
        <v>498</v>
      </c>
      <c r="R2" s="2" t="s">
        <v>752</v>
      </c>
      <c r="S2" s="3">
        <v>2</v>
      </c>
      <c r="T2" s="3" t="s">
        <v>1698</v>
      </c>
      <c r="U2" s="3"/>
      <c r="V2" s="3" t="s">
        <v>569</v>
      </c>
      <c r="W2" s="12"/>
      <c r="X2" s="12"/>
      <c r="Y2" s="12"/>
      <c r="Z2" s="12"/>
      <c r="AA2" s="12"/>
      <c r="AB2" s="2"/>
      <c r="AC2" s="2"/>
      <c r="AD2" s="2"/>
      <c r="AE2" s="2" t="s">
        <v>1414</v>
      </c>
      <c r="AF2" s="2"/>
      <c r="AG2" s="2"/>
      <c r="AH2" s="2"/>
      <c r="AI2" s="2"/>
      <c r="AJ2" s="2"/>
      <c r="AK2" s="2"/>
      <c r="AL2" s="2"/>
      <c r="AM2" s="2"/>
      <c r="AN2" s="2"/>
      <c r="AO2" s="2"/>
      <c r="AP2" s="2"/>
      <c r="AQ2" s="2"/>
      <c r="AR2" s="2"/>
      <c r="AS2" s="2"/>
      <c r="AT2" s="2"/>
      <c r="AU2" s="2"/>
      <c r="AV2" s="2"/>
      <c r="AW2" s="2"/>
      <c r="AX2" s="2"/>
      <c r="AY2" s="2"/>
      <c r="AZ2" s="2"/>
      <c r="BA2" s="2"/>
      <c r="BK2" s="4"/>
      <c r="BL2" s="4"/>
      <c r="BM2" s="4"/>
      <c r="BN2" s="4"/>
    </row>
    <row r="3" spans="1:66">
      <c r="A3" s="9"/>
      <c r="B3" s="9"/>
      <c r="C3" s="9"/>
      <c r="D3" s="9"/>
      <c r="E3" s="9"/>
      <c r="F3" s="9"/>
      <c r="P3" s="10"/>
      <c r="Q3" s="10"/>
      <c r="R3" s="10"/>
      <c r="S3" s="10"/>
      <c r="T3" s="10"/>
      <c r="U3" s="10"/>
      <c r="V3" s="10"/>
      <c r="W3" s="10"/>
      <c r="X3" s="10"/>
      <c r="Y3" s="10"/>
      <c r="Z3" s="10"/>
      <c r="AA3" s="10"/>
      <c r="BK3" s="4"/>
      <c r="BL3" s="4"/>
      <c r="BM3" s="4"/>
      <c r="BN3" s="4"/>
    </row>
    <row r="4" spans="1:66">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K4" s="4"/>
      <c r="BL4" s="4"/>
      <c r="BM4" s="4"/>
      <c r="BN4" s="4"/>
    </row>
    <row r="5" spans="1:66">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K5" s="4"/>
      <c r="BL5" s="4"/>
      <c r="BM5" s="4"/>
      <c r="BN5" s="4"/>
    </row>
    <row r="6" spans="1:66">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K6" s="4"/>
      <c r="BL6" s="4"/>
      <c r="BM6" s="4"/>
      <c r="BN6" s="4"/>
    </row>
    <row r="7" spans="1:66">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K7" s="4"/>
      <c r="BL7" s="4"/>
      <c r="BM7" s="4"/>
      <c r="BN7" s="4"/>
    </row>
    <row r="8" spans="1:66">
      <c r="A8" s="9"/>
      <c r="B8" s="9"/>
      <c r="C8" s="9"/>
      <c r="D8" s="9"/>
      <c r="E8" s="9"/>
      <c r="F8" s="9"/>
      <c r="P8" s="6" t="str">
        <f>Настройки!A5</f>
        <v>Телесигнализация</v>
      </c>
      <c r="Q8" s="5">
        <f>Настройки!B5</f>
        <v>18</v>
      </c>
      <c r="R8" s="5" t="str">
        <f>Настройки!C5</f>
        <v>Телесигнализация</v>
      </c>
      <c r="S8" s="10"/>
      <c r="T8" s="14"/>
      <c r="U8" s="10"/>
      <c r="V8" s="10"/>
      <c r="W8" s="10"/>
      <c r="X8" s="10"/>
      <c r="Y8" s="10"/>
      <c r="Z8" s="10"/>
      <c r="AA8" s="10"/>
      <c r="BK8" s="4"/>
      <c r="BL8" s="4"/>
      <c r="BM8" s="4"/>
      <c r="BN8" s="4"/>
    </row>
    <row r="9" spans="1:66">
      <c r="A9" s="9"/>
      <c r="B9" s="9"/>
      <c r="C9" s="9"/>
      <c r="D9" s="9"/>
      <c r="E9" s="9"/>
      <c r="F9" s="9"/>
      <c r="P9" s="6" t="str">
        <f>Настройки!A6</f>
        <v>Недостоверность</v>
      </c>
      <c r="Q9" s="5">
        <f>Настройки!B6</f>
        <v>10</v>
      </c>
      <c r="R9" s="5" t="str">
        <f>Настройки!C6</f>
        <v>Недостоверность</v>
      </c>
      <c r="S9" s="10"/>
      <c r="T9" s="14"/>
      <c r="U9" s="10"/>
      <c r="V9" s="10"/>
      <c r="W9" s="10"/>
      <c r="X9" s="10"/>
      <c r="Y9" s="10"/>
      <c r="Z9" s="10"/>
      <c r="AA9" s="10"/>
      <c r="BK9" s="4"/>
      <c r="BL9" s="4"/>
      <c r="BM9" s="4"/>
      <c r="BN9" s="4"/>
    </row>
    <row r="10" spans="1:66">
      <c r="A10" s="9"/>
      <c r="B10" s="9"/>
      <c r="C10" s="9"/>
      <c r="D10" s="9"/>
      <c r="E10" s="9"/>
      <c r="F10" s="9"/>
      <c r="P10" s="6" t="str">
        <f>Настройки!A7</f>
        <v>Имитация</v>
      </c>
      <c r="Q10" s="5">
        <f>Настройки!B7</f>
        <v>16</v>
      </c>
      <c r="R10" s="5" t="str">
        <f>Настройки!C7</f>
        <v>Имитация</v>
      </c>
      <c r="S10" s="10"/>
      <c r="T10" s="14"/>
      <c r="U10" s="10"/>
      <c r="V10" s="10"/>
      <c r="W10" s="10"/>
      <c r="X10" s="10"/>
      <c r="Y10" s="10"/>
      <c r="Z10" s="10"/>
      <c r="AA10" s="10"/>
      <c r="BK10" s="4"/>
      <c r="BL10" s="4"/>
      <c r="BM10" s="4"/>
      <c r="BN10" s="4"/>
    </row>
    <row r="11" spans="1:66">
      <c r="A11" s="9"/>
      <c r="B11" s="9"/>
      <c r="C11" s="9"/>
      <c r="D11" s="9"/>
      <c r="E11" s="9"/>
      <c r="F11" s="9"/>
      <c r="P11" s="6" t="str">
        <f>Настройки!A8</f>
        <v>Ремонт</v>
      </c>
      <c r="Q11" s="5">
        <f>Настройки!B8</f>
        <v>14</v>
      </c>
      <c r="R11" s="5" t="str">
        <f>Настройки!C8</f>
        <v>Ремонт</v>
      </c>
      <c r="S11" s="10"/>
      <c r="T11" s="14"/>
      <c r="U11" s="10"/>
      <c r="V11" s="10"/>
      <c r="W11" s="10"/>
      <c r="X11" s="10"/>
      <c r="Y11" s="10"/>
      <c r="Z11" s="10"/>
      <c r="AA11" s="10"/>
      <c r="BK11" s="4"/>
      <c r="BL11" s="4"/>
      <c r="BM11" s="4"/>
      <c r="BN11" s="4"/>
    </row>
    <row r="12" spans="1:66">
      <c r="A12" s="9"/>
      <c r="B12" s="9"/>
      <c r="C12" s="9"/>
      <c r="D12" s="9"/>
      <c r="E12" s="9"/>
      <c r="F12" s="9"/>
      <c r="P12" s="6" t="str">
        <f>Настройки!A9</f>
        <v>Команда оператора</v>
      </c>
      <c r="Q12" s="5">
        <f>Настройки!B9</f>
        <v>20</v>
      </c>
      <c r="R12" s="5" t="str">
        <f>Настройки!C9</f>
        <v>Команда оператора</v>
      </c>
      <c r="S12" s="10"/>
      <c r="T12" s="14"/>
      <c r="U12" s="10"/>
      <c r="V12" s="10"/>
      <c r="W12" s="10"/>
      <c r="X12" s="10"/>
      <c r="Y12" s="10"/>
      <c r="Z12" s="10"/>
      <c r="AA12" s="10"/>
      <c r="BK12" s="4"/>
      <c r="BL12" s="4"/>
      <c r="BM12" s="4"/>
      <c r="BN12" s="4"/>
    </row>
    <row r="13" spans="1:66">
      <c r="A13" s="9"/>
      <c r="B13" s="9"/>
      <c r="C13" s="9"/>
      <c r="D13" s="9"/>
      <c r="E13" s="9"/>
      <c r="F13" s="9"/>
      <c r="P13" s="6" t="str">
        <f>Настройки!A10</f>
        <v>Тревога</v>
      </c>
      <c r="Q13" s="5">
        <f>Настройки!B10</f>
        <v>5</v>
      </c>
      <c r="R13" s="5" t="str">
        <f>Настройки!C10</f>
        <v>Тревога</v>
      </c>
      <c r="S13" s="10"/>
      <c r="T13" s="14"/>
      <c r="U13" s="10"/>
      <c r="V13" s="10"/>
      <c r="W13" s="10"/>
      <c r="X13" s="10"/>
      <c r="Y13" s="10"/>
      <c r="Z13" s="10"/>
      <c r="AA13" s="10"/>
      <c r="BK13" s="4"/>
      <c r="BL13" s="4"/>
      <c r="BM13" s="4"/>
      <c r="BN13" s="4"/>
    </row>
    <row r="14" spans="1:66">
      <c r="A14" s="9"/>
      <c r="B14" s="9"/>
      <c r="C14" s="9"/>
      <c r="D14" s="9"/>
      <c r="E14" s="9"/>
      <c r="F14" s="9"/>
      <c r="P14" s="6" t="str">
        <f>Настройки!A11</f>
        <v>Тушение</v>
      </c>
      <c r="Q14" s="5">
        <f>Настройки!B11</f>
        <v>1</v>
      </c>
      <c r="R14" s="5" t="str">
        <f>Настройки!C11</f>
        <v>Тушение</v>
      </c>
      <c r="S14" s="10"/>
      <c r="T14" s="14"/>
      <c r="U14" s="10"/>
      <c r="V14" s="10"/>
      <c r="W14" s="10"/>
      <c r="X14" s="10"/>
      <c r="Y14" s="10"/>
      <c r="Z14" s="10"/>
      <c r="AA14" s="10"/>
      <c r="BK14" s="4"/>
      <c r="BL14" s="4"/>
      <c r="BM14" s="4"/>
      <c r="BN14" s="4"/>
    </row>
    <row r="15" spans="1:66">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K15" s="4"/>
      <c r="BL15" s="4"/>
      <c r="BM15" s="4"/>
      <c r="BN15" s="4"/>
    </row>
    <row r="16" spans="1:66">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K16" s="4"/>
      <c r="BL16" s="4"/>
      <c r="BM16" s="4"/>
      <c r="BN16" s="4"/>
    </row>
    <row r="17" spans="1:70">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K17" s="4"/>
      <c r="BL17" s="4"/>
      <c r="BM17" s="4"/>
      <c r="BN17" s="4"/>
    </row>
    <row r="18" spans="1:70">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K18" s="4"/>
      <c r="BL18" s="4"/>
      <c r="BM18" s="4"/>
      <c r="BN18" s="4"/>
    </row>
    <row r="19" spans="1:70">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K19" s="4"/>
      <c r="BL19" s="4"/>
      <c r="BM19" s="4"/>
      <c r="BN19" s="4"/>
    </row>
    <row r="20" spans="1:70">
      <c r="A20" s="16" t="str">
        <f>$R$2</f>
        <v>АСПС.FB_UPP_S</v>
      </c>
      <c r="B20" s="17">
        <v>11001</v>
      </c>
      <c r="C20" s="17" t="s">
        <v>0</v>
      </c>
      <c r="D20" s="18" t="str">
        <f>$Q$2&amp;". "</f>
        <v xml:space="preserve">Тушение пенное. </v>
      </c>
      <c r="F20" s="4"/>
      <c r="BK20" s="4"/>
      <c r="BL20" s="4"/>
      <c r="BM20" s="4"/>
      <c r="BN20" s="4"/>
    </row>
    <row r="21" spans="1:70">
      <c r="A21" s="19" t="str">
        <f>$R$2</f>
        <v>АСПС.FB_UPP_S</v>
      </c>
      <c r="B21" s="11">
        <v>11156</v>
      </c>
      <c r="C21" s="11" t="s">
        <v>0</v>
      </c>
      <c r="D21" s="20" t="str">
        <f>$V$2</f>
        <v>Тестовый экран</v>
      </c>
      <c r="F21" s="4"/>
      <c r="BK21" s="4"/>
      <c r="BL21" s="4"/>
      <c r="BM21" s="4"/>
      <c r="BN21" s="4"/>
    </row>
    <row r="22" spans="1:70">
      <c r="A22" s="19" t="str">
        <f>$R$2</f>
        <v>АСПС.FB_UPP_S</v>
      </c>
      <c r="B22" s="11">
        <v>1</v>
      </c>
      <c r="C22" s="11" t="s">
        <v>1</v>
      </c>
      <c r="D22" s="20">
        <v>17</v>
      </c>
      <c r="BK22" s="4"/>
      <c r="BL22" s="4"/>
      <c r="BM22" s="4"/>
      <c r="BN22" s="4"/>
    </row>
    <row r="23" spans="1:70" ht="15" customHeight="1">
      <c r="A23" s="16" t="str">
        <f>$R$2</f>
        <v>АСПС.FB_UPP_S</v>
      </c>
      <c r="B23" s="17">
        <v>100</v>
      </c>
      <c r="C23" s="17" t="s">
        <v>0</v>
      </c>
      <c r="D23" s="18" t="b">
        <f>$T$7</f>
        <v>0</v>
      </c>
      <c r="BF23" s="4"/>
      <c r="BG23" s="4"/>
      <c r="BH23" s="4"/>
      <c r="BI23" s="4"/>
    </row>
    <row r="24" spans="1:70">
      <c r="A24" s="21" t="str">
        <f>$R$2</f>
        <v>АСПС.FB_UPP_S</v>
      </c>
      <c r="B24" s="8">
        <v>11120</v>
      </c>
      <c r="C24" s="8" t="s">
        <v>0</v>
      </c>
      <c r="D24" s="22">
        <f>$AK$2</f>
        <v>0</v>
      </c>
      <c r="BK24" s="4"/>
      <c r="BL24" s="4"/>
      <c r="BM24" s="4"/>
      <c r="BN24" s="4"/>
    </row>
    <row r="25" spans="1:70">
      <c r="A25" s="16" t="str">
        <f t="shared" ref="A25:A26" si="0">$R$2</f>
        <v>АСПС.FB_UPP_S</v>
      </c>
      <c r="B25" s="17">
        <v>13</v>
      </c>
      <c r="C25" s="17" t="s">
        <v>2</v>
      </c>
      <c r="D25" s="18" t="s">
        <v>3</v>
      </c>
      <c r="BK25" s="4"/>
      <c r="BL25" s="4"/>
      <c r="BM25" s="4"/>
      <c r="BN25" s="4"/>
    </row>
    <row r="26" spans="1:70">
      <c r="A26" s="21" t="str">
        <f t="shared" si="0"/>
        <v>АСПС.FB_UPP_S</v>
      </c>
      <c r="B26" s="8">
        <v>3000013</v>
      </c>
      <c r="C26" s="8" t="s">
        <v>0</v>
      </c>
      <c r="D26" s="22" t="str">
        <f>$AE$2</f>
        <v>Диагностика.CPU.NOT_LINK.noLink</v>
      </c>
      <c r="BK26" s="4"/>
      <c r="BL26" s="4"/>
      <c r="BM26" s="4"/>
      <c r="BN26" s="4"/>
    </row>
    <row r="27" spans="1:70">
      <c r="A27" s="162" t="str">
        <f>$R$2&amp;".CAON"</f>
        <v>АСПС.FB_UPP_S.CAON</v>
      </c>
      <c r="B27" s="120">
        <v>11154</v>
      </c>
      <c r="C27" s="120" t="s">
        <v>4</v>
      </c>
      <c r="D27" s="351">
        <f>$Q$15</f>
        <v>2</v>
      </c>
      <c r="E27" s="163" t="str">
        <f>$R$2&amp;".DBTX"</f>
        <v>АСПС.FB_UPP_S.DBTX</v>
      </c>
      <c r="F27" s="123">
        <v>11154</v>
      </c>
      <c r="G27" s="123" t="s">
        <v>4</v>
      </c>
      <c r="H27" s="124">
        <f>$Q$9</f>
        <v>10</v>
      </c>
      <c r="BO27" s="4"/>
      <c r="BP27" s="4"/>
      <c r="BQ27" s="4"/>
      <c r="BR27" s="4"/>
    </row>
    <row r="28" spans="1:70">
      <c r="A28" s="119" t="str">
        <f t="shared" ref="A28:A36" si="1">$R$2&amp;".CAON"</f>
        <v>АСПС.FB_UPP_S.CAON</v>
      </c>
      <c r="B28" s="121">
        <v>11150</v>
      </c>
      <c r="C28" s="121" t="s">
        <v>0</v>
      </c>
      <c r="D28" s="122" t="s">
        <v>496</v>
      </c>
      <c r="E28" s="110" t="str">
        <f t="shared" ref="E28:E36" si="2">$R$2&amp;".DBTX"</f>
        <v>АСПС.FB_UPP_S.DBTX</v>
      </c>
      <c r="F28" s="111">
        <v>11150</v>
      </c>
      <c r="G28" s="111" t="s">
        <v>0</v>
      </c>
      <c r="H28" s="112" t="s">
        <v>436</v>
      </c>
      <c r="BO28" s="4"/>
      <c r="BP28" s="4"/>
      <c r="BQ28" s="4"/>
      <c r="BR28" s="4"/>
    </row>
    <row r="29" spans="1:70">
      <c r="A29" s="119" t="str">
        <f t="shared" si="1"/>
        <v>АСПС.FB_UPP_S.CAON</v>
      </c>
      <c r="B29" s="121">
        <v>11152</v>
      </c>
      <c r="C29" s="121" t="s">
        <v>0</v>
      </c>
      <c r="D29" s="350" t="str">
        <f>$R$15</f>
        <v>Пожар</v>
      </c>
      <c r="E29" s="110" t="str">
        <f t="shared" si="2"/>
        <v>АСПС.FB_UPP_S.DBTX</v>
      </c>
      <c r="F29" s="111">
        <v>11152</v>
      </c>
      <c r="G29" s="111" t="s">
        <v>0</v>
      </c>
      <c r="H29" s="113" t="str">
        <f>$R$9</f>
        <v>Недостоверность</v>
      </c>
      <c r="BO29" s="4"/>
      <c r="BP29" s="4"/>
      <c r="BQ29" s="4"/>
      <c r="BR29" s="4"/>
    </row>
    <row r="30" spans="1:70">
      <c r="A30" s="119" t="str">
        <f t="shared" si="1"/>
        <v>АСПС.FB_UPP_S.CAON</v>
      </c>
      <c r="B30" s="121">
        <v>11000</v>
      </c>
      <c r="C30" s="121" t="s">
        <v>5</v>
      </c>
      <c r="D30" s="122">
        <v>2147483680</v>
      </c>
      <c r="E30" s="110" t="str">
        <f t="shared" si="2"/>
        <v>АСПС.FB_UPP_S.DBTX</v>
      </c>
      <c r="F30" s="111">
        <v>11000</v>
      </c>
      <c r="G30" s="111" t="s">
        <v>5</v>
      </c>
      <c r="H30" s="112">
        <v>2147483680</v>
      </c>
      <c r="BO30" s="4"/>
      <c r="BP30" s="4"/>
      <c r="BQ30" s="4"/>
      <c r="BR30" s="4"/>
    </row>
    <row r="31" spans="1:70">
      <c r="A31" s="19" t="str">
        <f t="shared" si="1"/>
        <v>АСПС.FB_UPP_S.CAON</v>
      </c>
      <c r="B31" s="11">
        <v>7999</v>
      </c>
      <c r="C31" s="11" t="s">
        <v>0</v>
      </c>
      <c r="D31" s="20" t="str">
        <f>"#"&amp;$S$2&amp;"#"&amp;$T$2&amp;"\"&amp;$P$2&amp;"\CAON"</f>
        <v>#2#treiOPCDA.CoOPCserv.1\pcmaster\FB_UPP_S\CAON</v>
      </c>
      <c r="E31" s="19" t="str">
        <f t="shared" si="2"/>
        <v>АСПС.FB_UPP_S.DBTX</v>
      </c>
      <c r="F31" s="11">
        <v>7999</v>
      </c>
      <c r="G31" s="11" t="s">
        <v>0</v>
      </c>
      <c r="H31" s="20" t="str">
        <f>"#"&amp;$S$2&amp;"#"&amp;$T$2&amp;"\"&amp;$P$2&amp;"\DBTX"</f>
        <v>#2#treiOPCDA.CoOPCserv.1\pcmaster\FB_UPP_S\DBTX</v>
      </c>
      <c r="Q31" s="11"/>
      <c r="R31" s="11"/>
      <c r="S31" s="11"/>
      <c r="T31" s="11"/>
      <c r="U31" s="11"/>
      <c r="BO31" s="4"/>
      <c r="BP31" s="4"/>
      <c r="BQ31" s="4"/>
      <c r="BR31" s="4"/>
    </row>
    <row r="32" spans="1:70">
      <c r="A32" s="19" t="str">
        <f t="shared" si="1"/>
        <v>АСПС.FB_UPP_S.CAON</v>
      </c>
      <c r="B32" s="11">
        <v>7998</v>
      </c>
      <c r="C32" s="11" t="s">
        <v>6</v>
      </c>
      <c r="D32" s="20">
        <v>1</v>
      </c>
      <c r="E32" s="19" t="str">
        <f t="shared" si="2"/>
        <v>АСПС.FB_UPP_S.DBTX</v>
      </c>
      <c r="F32" s="11">
        <v>7998</v>
      </c>
      <c r="G32" s="11" t="s">
        <v>6</v>
      </c>
      <c r="H32" s="20">
        <v>1</v>
      </c>
      <c r="Q32" s="11"/>
      <c r="R32" s="11"/>
      <c r="S32" s="11"/>
      <c r="T32" s="11"/>
      <c r="U32" s="11"/>
      <c r="BO32" s="4"/>
      <c r="BP32" s="4"/>
      <c r="BQ32" s="4"/>
      <c r="BR32" s="4"/>
    </row>
    <row r="33" spans="1:70">
      <c r="A33" s="19" t="str">
        <f t="shared" si="1"/>
        <v>АСПС.FB_UPP_S.CAON</v>
      </c>
      <c r="B33" s="11">
        <v>101</v>
      </c>
      <c r="C33" s="11" t="s">
        <v>0</v>
      </c>
      <c r="D33" s="20" t="s">
        <v>496</v>
      </c>
      <c r="E33" s="19" t="str">
        <f t="shared" si="2"/>
        <v>АСПС.FB_UPP_S.DBTX</v>
      </c>
      <c r="F33" s="11">
        <v>101</v>
      </c>
      <c r="G33" s="11" t="s">
        <v>0</v>
      </c>
      <c r="H33" s="20" t="s">
        <v>436</v>
      </c>
      <c r="Q33" s="11"/>
      <c r="R33" s="11"/>
      <c r="S33" s="11"/>
      <c r="T33" s="11"/>
      <c r="U33" s="11"/>
      <c r="BO33" s="4"/>
      <c r="BP33" s="4"/>
      <c r="BQ33" s="4"/>
      <c r="BR33" s="4"/>
    </row>
    <row r="34" spans="1:70">
      <c r="A34" s="19" t="str">
        <f t="shared" si="1"/>
        <v>АСПС.FB_UPP_S.CAON</v>
      </c>
      <c r="B34" s="11">
        <v>3</v>
      </c>
      <c r="C34" s="11" t="s">
        <v>1</v>
      </c>
      <c r="D34" s="20">
        <v>192</v>
      </c>
      <c r="E34" s="19" t="str">
        <f t="shared" si="2"/>
        <v>АСПС.FB_UPP_S.DBTX</v>
      </c>
      <c r="F34" s="11">
        <v>3</v>
      </c>
      <c r="G34" s="11" t="s">
        <v>1</v>
      </c>
      <c r="H34" s="20">
        <v>192</v>
      </c>
      <c r="Q34" s="11"/>
      <c r="R34" s="11"/>
      <c r="S34" s="11"/>
      <c r="T34" s="11"/>
      <c r="U34" s="11"/>
      <c r="BO34" s="4"/>
      <c r="BP34" s="4"/>
      <c r="BQ34" s="4"/>
      <c r="BR34" s="4"/>
    </row>
    <row r="35" spans="1:70">
      <c r="A35" s="19" t="str">
        <f t="shared" si="1"/>
        <v>АСПС.FB_UPP_S.CAON</v>
      </c>
      <c r="B35" s="11">
        <v>2</v>
      </c>
      <c r="C35" s="11" t="s">
        <v>2</v>
      </c>
      <c r="D35" s="20" t="s">
        <v>3</v>
      </c>
      <c r="E35" s="19" t="str">
        <f t="shared" si="2"/>
        <v>АСПС.FB_UPP_S.DBTX</v>
      </c>
      <c r="F35" s="11">
        <v>2</v>
      </c>
      <c r="G35" s="11" t="s">
        <v>2</v>
      </c>
      <c r="H35" s="20" t="s">
        <v>3</v>
      </c>
      <c r="Q35" s="11"/>
      <c r="R35" s="11"/>
      <c r="S35" s="11"/>
      <c r="T35" s="11"/>
      <c r="U35" s="11"/>
      <c r="BO35" s="4"/>
      <c r="BP35" s="4"/>
      <c r="BQ35" s="4"/>
      <c r="BR35" s="4"/>
    </row>
    <row r="36" spans="1:70">
      <c r="A36" s="21" t="str">
        <f t="shared" si="1"/>
        <v>АСПС.FB_UPP_S.CAON</v>
      </c>
      <c r="B36" s="8">
        <v>1</v>
      </c>
      <c r="C36" s="8" t="s">
        <v>1</v>
      </c>
      <c r="D36" s="22">
        <v>11</v>
      </c>
      <c r="E36" s="21" t="str">
        <f t="shared" si="2"/>
        <v>АСПС.FB_UPP_S.DBTX</v>
      </c>
      <c r="F36" s="8">
        <v>1</v>
      </c>
      <c r="G36" s="8" t="s">
        <v>1</v>
      </c>
      <c r="H36" s="22">
        <v>11</v>
      </c>
      <c r="Q36" s="11"/>
      <c r="R36" s="11"/>
      <c r="S36" s="11"/>
      <c r="T36" s="11"/>
      <c r="U36" s="11"/>
      <c r="BO36" s="4"/>
      <c r="BP36" s="4"/>
      <c r="BQ36" s="4"/>
      <c r="BR36" s="4"/>
    </row>
    <row r="37" spans="1:70">
      <c r="A37" s="119" t="str">
        <f t="shared" ref="A37:A46" si="3">$R$2&amp;".FFON"</f>
        <v>АСПС.FB_UPP_S.FFON</v>
      </c>
      <c r="B37" s="121">
        <v>11154</v>
      </c>
      <c r="C37" s="121" t="s">
        <v>4</v>
      </c>
      <c r="D37" s="349">
        <f>$Q$15</f>
        <v>2</v>
      </c>
      <c r="Q37" s="11"/>
      <c r="R37" s="11"/>
      <c r="S37" s="11"/>
      <c r="T37" s="83"/>
      <c r="U37" s="11"/>
      <c r="BK37" s="4"/>
      <c r="BL37" s="4"/>
      <c r="BM37" s="4"/>
      <c r="BN37" s="4"/>
    </row>
    <row r="38" spans="1:70">
      <c r="A38" s="119" t="str">
        <f t="shared" si="3"/>
        <v>АСПС.FB_UPP_S.FFON</v>
      </c>
      <c r="B38" s="121">
        <v>11152</v>
      </c>
      <c r="C38" s="121" t="s">
        <v>0</v>
      </c>
      <c r="D38" s="350" t="str">
        <f>$R$15</f>
        <v>Пожар</v>
      </c>
      <c r="Q38" s="11"/>
      <c r="R38" s="11"/>
      <c r="S38" s="11"/>
      <c r="T38" s="11"/>
      <c r="U38" s="11"/>
      <c r="BK38" s="4"/>
      <c r="BL38" s="4"/>
      <c r="BM38" s="4"/>
      <c r="BN38" s="4"/>
    </row>
    <row r="39" spans="1:70">
      <c r="A39" s="119" t="str">
        <f t="shared" si="3"/>
        <v>АСПС.FB_UPP_S.FFON</v>
      </c>
      <c r="B39" s="121">
        <v>11150</v>
      </c>
      <c r="C39" s="121" t="s">
        <v>0</v>
      </c>
      <c r="D39" s="122" t="s">
        <v>463</v>
      </c>
      <c r="Q39" s="11"/>
      <c r="R39" s="11"/>
      <c r="S39" s="11"/>
      <c r="T39" s="81"/>
      <c r="U39" s="11"/>
      <c r="BK39" s="4"/>
      <c r="BL39" s="4"/>
      <c r="BM39" s="4"/>
      <c r="BN39" s="4"/>
    </row>
    <row r="40" spans="1:70">
      <c r="A40" s="119" t="str">
        <f t="shared" si="3"/>
        <v>АСПС.FB_UPP_S.FFON</v>
      </c>
      <c r="B40" s="121">
        <v>11000</v>
      </c>
      <c r="C40" s="121" t="s">
        <v>5</v>
      </c>
      <c r="D40" s="122">
        <v>2147483680</v>
      </c>
      <c r="Q40" s="11"/>
      <c r="R40" s="11"/>
      <c r="S40" s="11"/>
      <c r="T40" s="83"/>
      <c r="U40" s="11"/>
      <c r="BK40" s="4"/>
      <c r="BL40" s="4"/>
      <c r="BM40" s="4"/>
      <c r="BN40" s="4"/>
    </row>
    <row r="41" spans="1:70">
      <c r="A41" s="19" t="str">
        <f t="shared" si="3"/>
        <v>АСПС.FB_UPP_S.FFON</v>
      </c>
      <c r="B41" s="11">
        <v>7999</v>
      </c>
      <c r="C41" s="11" t="s">
        <v>0</v>
      </c>
      <c r="D41" s="20" t="str">
        <f>"#"&amp;$S$2&amp;"#"&amp;$T$2&amp;"\"&amp;$P$2&amp;"\FFON"</f>
        <v>#2#treiOPCDA.CoOPCserv.1\pcmaster\FB_UPP_S\FFON</v>
      </c>
      <c r="Q41" s="11"/>
      <c r="R41" s="11"/>
      <c r="S41" s="11"/>
      <c r="T41" s="11"/>
      <c r="U41" s="11"/>
      <c r="BK41" s="4"/>
      <c r="BL41" s="4"/>
      <c r="BM41" s="4"/>
      <c r="BN41" s="4"/>
    </row>
    <row r="42" spans="1:70">
      <c r="A42" s="19" t="str">
        <f t="shared" si="3"/>
        <v>АСПС.FB_UPP_S.FFON</v>
      </c>
      <c r="B42" s="11">
        <v>7998</v>
      </c>
      <c r="C42" s="11" t="s">
        <v>6</v>
      </c>
      <c r="D42" s="20">
        <v>1</v>
      </c>
      <c r="Q42" s="11"/>
      <c r="R42" s="11"/>
      <c r="S42" s="11"/>
      <c r="T42" s="81"/>
      <c r="U42" s="11"/>
      <c r="BK42" s="4"/>
      <c r="BL42" s="4"/>
      <c r="BM42" s="4"/>
      <c r="BN42" s="4"/>
    </row>
    <row r="43" spans="1:70">
      <c r="A43" s="19" t="str">
        <f t="shared" si="3"/>
        <v>АСПС.FB_UPP_S.FFON</v>
      </c>
      <c r="B43" s="11">
        <v>101</v>
      </c>
      <c r="C43" s="11" t="s">
        <v>0</v>
      </c>
      <c r="D43" s="20" t="s">
        <v>463</v>
      </c>
      <c r="Q43" s="11"/>
      <c r="R43" s="11"/>
      <c r="S43" s="11"/>
      <c r="T43" s="11"/>
      <c r="U43" s="11"/>
      <c r="BK43" s="4"/>
      <c r="BL43" s="4"/>
      <c r="BM43" s="4"/>
      <c r="BN43" s="4"/>
    </row>
    <row r="44" spans="1:70">
      <c r="A44" s="19" t="str">
        <f t="shared" si="3"/>
        <v>АСПС.FB_UPP_S.FFON</v>
      </c>
      <c r="B44" s="11">
        <v>3</v>
      </c>
      <c r="C44" s="11" t="s">
        <v>1</v>
      </c>
      <c r="D44" s="20">
        <v>192</v>
      </c>
      <c r="Q44" s="11"/>
      <c r="R44" s="11"/>
      <c r="S44" s="11"/>
      <c r="T44" s="11"/>
      <c r="U44" s="11"/>
      <c r="BK44" s="4"/>
      <c r="BL44" s="4"/>
      <c r="BM44" s="4"/>
      <c r="BN44" s="4"/>
    </row>
    <row r="45" spans="1:70">
      <c r="A45" s="19" t="str">
        <f t="shared" si="3"/>
        <v>АСПС.FB_UPP_S.FFON</v>
      </c>
      <c r="B45" s="11">
        <v>2</v>
      </c>
      <c r="C45" s="11" t="s">
        <v>2</v>
      </c>
      <c r="D45" s="20" t="s">
        <v>3</v>
      </c>
      <c r="Q45" s="11"/>
      <c r="R45" s="11"/>
      <c r="S45" s="11"/>
      <c r="T45" s="11"/>
      <c r="U45" s="11"/>
      <c r="BK45" s="4"/>
      <c r="BL45" s="4"/>
      <c r="BM45" s="4"/>
      <c r="BN45" s="4"/>
    </row>
    <row r="46" spans="1:70">
      <c r="A46" s="21" t="str">
        <f t="shared" si="3"/>
        <v>АСПС.FB_UPP_S.FFON</v>
      </c>
      <c r="B46" s="8">
        <v>1</v>
      </c>
      <c r="C46" s="8" t="s">
        <v>1</v>
      </c>
      <c r="D46" s="22">
        <v>11</v>
      </c>
      <c r="Q46" s="11"/>
      <c r="R46" s="11"/>
      <c r="S46" s="11"/>
      <c r="T46" s="11"/>
      <c r="U46" s="11"/>
      <c r="BK46" s="4"/>
      <c r="BL46" s="4"/>
      <c r="BM46" s="4"/>
      <c r="BN46" s="4"/>
    </row>
    <row r="47" spans="1:70">
      <c r="A47" s="119" t="str">
        <f>$R$2&amp;".XFRX"</f>
        <v>АСПС.FB_UPP_S.XFRX</v>
      </c>
      <c r="B47" s="121">
        <v>11154</v>
      </c>
      <c r="C47" s="121" t="s">
        <v>4</v>
      </c>
      <c r="D47" s="349">
        <f>$Q$15</f>
        <v>2</v>
      </c>
      <c r="Q47" s="11"/>
      <c r="R47" s="11"/>
      <c r="S47" s="11"/>
      <c r="T47" s="11"/>
      <c r="U47" s="11"/>
      <c r="BK47" s="4"/>
      <c r="BL47" s="4"/>
      <c r="BM47" s="4"/>
      <c r="BN47" s="4"/>
    </row>
    <row r="48" spans="1:70">
      <c r="A48" s="119" t="str">
        <f t="shared" ref="A48:A56" si="4">$R$2&amp;".XFRX"</f>
        <v>АСПС.FB_UPP_S.XFRX</v>
      </c>
      <c r="B48" s="121">
        <v>11152</v>
      </c>
      <c r="C48" s="121" t="s">
        <v>0</v>
      </c>
      <c r="D48" s="350" t="str">
        <f>$R$15</f>
        <v>Пожар</v>
      </c>
      <c r="Q48" s="11"/>
      <c r="R48" s="11"/>
      <c r="S48" s="11"/>
      <c r="T48" s="11"/>
      <c r="U48" s="11"/>
      <c r="BK48" s="4"/>
      <c r="BL48" s="4"/>
      <c r="BM48" s="4"/>
      <c r="BN48" s="4"/>
    </row>
    <row r="49" spans="1:66">
      <c r="A49" s="119" t="str">
        <f t="shared" si="4"/>
        <v>АСПС.FB_UPP_S.XFRX</v>
      </c>
      <c r="B49" s="121">
        <v>11150</v>
      </c>
      <c r="C49" s="121" t="s">
        <v>0</v>
      </c>
      <c r="D49" s="122" t="s">
        <v>710</v>
      </c>
      <c r="Q49" s="11"/>
      <c r="R49" s="11"/>
      <c r="S49" s="11"/>
      <c r="T49" s="11"/>
      <c r="U49" s="11"/>
      <c r="BK49" s="4"/>
      <c r="BL49" s="4"/>
      <c r="BM49" s="4"/>
      <c r="BN49" s="4"/>
    </row>
    <row r="50" spans="1:66">
      <c r="A50" s="119" t="str">
        <f t="shared" si="4"/>
        <v>АСПС.FB_UPP_S.XFRX</v>
      </c>
      <c r="B50" s="121">
        <v>11000</v>
      </c>
      <c r="C50" s="121" t="s">
        <v>5</v>
      </c>
      <c r="D50" s="122">
        <v>2147483680</v>
      </c>
      <c r="Q50" s="11"/>
      <c r="R50" s="11"/>
      <c r="S50" s="11"/>
      <c r="T50" s="11"/>
      <c r="U50" s="11"/>
      <c r="BK50" s="4"/>
      <c r="BL50" s="4"/>
      <c r="BM50" s="4"/>
      <c r="BN50" s="4"/>
    </row>
    <row r="51" spans="1:66">
      <c r="A51" s="19" t="str">
        <f t="shared" si="4"/>
        <v>АСПС.FB_UPP_S.XFRX</v>
      </c>
      <c r="B51" s="11">
        <v>7999</v>
      </c>
      <c r="C51" s="11" t="s">
        <v>0</v>
      </c>
      <c r="D51" s="20" t="str">
        <f>"#"&amp;$S$2&amp;"#"&amp;$T$2&amp;"\"&amp;$P$2&amp;"\XFRX"</f>
        <v>#2#treiOPCDA.CoOPCserv.1\pcmaster\FB_UPP_S\XFRX</v>
      </c>
      <c r="Q51" s="11"/>
      <c r="R51" s="11"/>
      <c r="S51" s="11"/>
      <c r="T51" s="11"/>
      <c r="U51" s="11"/>
      <c r="BK51" s="4"/>
      <c r="BL51" s="4"/>
      <c r="BM51" s="4"/>
      <c r="BN51" s="4"/>
    </row>
    <row r="52" spans="1:66">
      <c r="A52" s="19" t="str">
        <f t="shared" si="4"/>
        <v>АСПС.FB_UPP_S.XFRX</v>
      </c>
      <c r="B52" s="11">
        <v>7998</v>
      </c>
      <c r="C52" s="11" t="s">
        <v>6</v>
      </c>
      <c r="D52" s="20">
        <v>1</v>
      </c>
      <c r="Q52" s="11"/>
      <c r="R52" s="11"/>
      <c r="S52" s="11"/>
      <c r="T52" s="11"/>
      <c r="U52" s="11"/>
      <c r="BK52" s="4"/>
      <c r="BL52" s="4"/>
      <c r="BM52" s="4"/>
      <c r="BN52" s="4"/>
    </row>
    <row r="53" spans="1:66">
      <c r="A53" s="19" t="str">
        <f t="shared" si="4"/>
        <v>АСПС.FB_UPP_S.XFRX</v>
      </c>
      <c r="B53" s="11">
        <v>101</v>
      </c>
      <c r="C53" s="11" t="s">
        <v>0</v>
      </c>
      <c r="D53" s="20" t="s">
        <v>710</v>
      </c>
      <c r="Q53" s="11"/>
      <c r="R53" s="11"/>
      <c r="S53" s="11"/>
      <c r="T53" s="11"/>
      <c r="U53" s="11"/>
      <c r="BK53" s="4"/>
      <c r="BL53" s="4"/>
      <c r="BM53" s="4"/>
      <c r="BN53" s="4"/>
    </row>
    <row r="54" spans="1:66">
      <c r="A54" s="19" t="str">
        <f t="shared" si="4"/>
        <v>АСПС.FB_UPP_S.XFRX</v>
      </c>
      <c r="B54" s="11">
        <v>3</v>
      </c>
      <c r="C54" s="11" t="s">
        <v>1</v>
      </c>
      <c r="D54" s="20">
        <v>192</v>
      </c>
      <c r="Q54" s="11"/>
      <c r="R54" s="11"/>
      <c r="S54" s="11"/>
      <c r="T54" s="11"/>
      <c r="U54" s="11"/>
      <c r="BK54" s="4"/>
      <c r="BL54" s="4"/>
      <c r="BM54" s="4"/>
      <c r="BN54" s="4"/>
    </row>
    <row r="55" spans="1:66">
      <c r="A55" s="19" t="str">
        <f t="shared" si="4"/>
        <v>АСПС.FB_UPP_S.XFRX</v>
      </c>
      <c r="B55" s="11">
        <v>2</v>
      </c>
      <c r="C55" s="11" t="s">
        <v>2</v>
      </c>
      <c r="D55" s="20" t="s">
        <v>3</v>
      </c>
      <c r="Q55" s="11"/>
      <c r="R55" s="11"/>
      <c r="S55" s="11"/>
      <c r="T55" s="11"/>
      <c r="U55" s="11"/>
      <c r="BK55" s="4"/>
      <c r="BL55" s="4"/>
      <c r="BM55" s="4"/>
      <c r="BN55" s="4"/>
    </row>
    <row r="56" spans="1:66">
      <c r="A56" s="21" t="str">
        <f t="shared" si="4"/>
        <v>АСПС.FB_UPP_S.XFRX</v>
      </c>
      <c r="B56" s="8">
        <v>1</v>
      </c>
      <c r="C56" s="8" t="s">
        <v>1</v>
      </c>
      <c r="D56" s="22">
        <v>11</v>
      </c>
      <c r="Q56" s="11"/>
      <c r="R56" s="11"/>
      <c r="S56" s="11"/>
      <c r="T56" s="11"/>
      <c r="U56" s="11"/>
      <c r="BK56" s="4"/>
      <c r="BL56" s="4"/>
      <c r="BM56" s="4"/>
      <c r="BN56" s="4"/>
    </row>
    <row r="57" spans="1:66">
      <c r="A57" s="162" t="str">
        <f>$R$2&amp;".CRON"</f>
        <v>АСПС.FB_UPP_S.CRON</v>
      </c>
      <c r="B57" s="120">
        <v>11154</v>
      </c>
      <c r="C57" s="120" t="s">
        <v>4</v>
      </c>
      <c r="D57" s="351">
        <f>$Q$15</f>
        <v>2</v>
      </c>
      <c r="BK57" s="4"/>
      <c r="BL57" s="4"/>
      <c r="BM57" s="4"/>
      <c r="BN57" s="4"/>
    </row>
    <row r="58" spans="1:66">
      <c r="A58" s="119" t="str">
        <f t="shared" ref="A58:A66" si="5">$R$2&amp;".CRON"</f>
        <v>АСПС.FB_UPP_S.CRON</v>
      </c>
      <c r="B58" s="121">
        <v>11150</v>
      </c>
      <c r="C58" s="121" t="s">
        <v>0</v>
      </c>
      <c r="D58" s="122" t="s">
        <v>494</v>
      </c>
      <c r="BK58" s="4"/>
      <c r="BL58" s="4"/>
      <c r="BM58" s="4"/>
      <c r="BN58" s="4"/>
    </row>
    <row r="59" spans="1:66">
      <c r="A59" s="119" t="str">
        <f t="shared" si="5"/>
        <v>АСПС.FB_UPP_S.CRON</v>
      </c>
      <c r="B59" s="121">
        <v>11152</v>
      </c>
      <c r="C59" s="121" t="s">
        <v>0</v>
      </c>
      <c r="D59" s="350" t="str">
        <f>$R$15</f>
        <v>Пожар</v>
      </c>
      <c r="BK59" s="4"/>
      <c r="BL59" s="4"/>
      <c r="BM59" s="4"/>
      <c r="BN59" s="4"/>
    </row>
    <row r="60" spans="1:66">
      <c r="A60" s="119" t="str">
        <f t="shared" si="5"/>
        <v>АСПС.FB_UPP_S.CRON</v>
      </c>
      <c r="B60" s="121">
        <v>11000</v>
      </c>
      <c r="C60" s="121" t="s">
        <v>5</v>
      </c>
      <c r="D60" s="122">
        <v>2147483680</v>
      </c>
      <c r="BK60" s="4"/>
      <c r="BL60" s="4"/>
      <c r="BM60" s="4"/>
      <c r="BN60" s="4"/>
    </row>
    <row r="61" spans="1:66">
      <c r="A61" s="19" t="str">
        <f t="shared" si="5"/>
        <v>АСПС.FB_UPP_S.CRON</v>
      </c>
      <c r="B61" s="11">
        <v>7999</v>
      </c>
      <c r="C61" s="11" t="s">
        <v>0</v>
      </c>
      <c r="D61" s="20" t="str">
        <f>"#"&amp;$S$2&amp;"#"&amp;$T$2&amp;"\"&amp;$P$2&amp;"\CRON"</f>
        <v>#2#treiOPCDA.CoOPCserv.1\pcmaster\FB_UPP_S\CRON</v>
      </c>
      <c r="BK61" s="4"/>
      <c r="BL61" s="4"/>
      <c r="BM61" s="4"/>
      <c r="BN61" s="4"/>
    </row>
    <row r="62" spans="1:66">
      <c r="A62" s="19" t="str">
        <f t="shared" si="5"/>
        <v>АСПС.FB_UPP_S.CRON</v>
      </c>
      <c r="B62" s="11">
        <v>7998</v>
      </c>
      <c r="C62" s="11" t="s">
        <v>6</v>
      </c>
      <c r="D62" s="20">
        <v>1</v>
      </c>
      <c r="BK62" s="4"/>
      <c r="BL62" s="4"/>
      <c r="BM62" s="4"/>
      <c r="BN62" s="4"/>
    </row>
    <row r="63" spans="1:66">
      <c r="A63" s="19" t="str">
        <f t="shared" si="5"/>
        <v>АСПС.FB_UPP_S.CRON</v>
      </c>
      <c r="B63" s="11">
        <v>101</v>
      </c>
      <c r="C63" s="11" t="s">
        <v>0</v>
      </c>
      <c r="D63" s="20" t="s">
        <v>494</v>
      </c>
      <c r="BK63" s="4"/>
      <c r="BL63" s="4"/>
      <c r="BM63" s="4"/>
      <c r="BN63" s="4"/>
    </row>
    <row r="64" spans="1:66">
      <c r="A64" s="19" t="str">
        <f t="shared" si="5"/>
        <v>АСПС.FB_UPP_S.CRON</v>
      </c>
      <c r="B64" s="11">
        <v>3</v>
      </c>
      <c r="C64" s="11" t="s">
        <v>1</v>
      </c>
      <c r="D64" s="20">
        <v>192</v>
      </c>
      <c r="BK64" s="4"/>
      <c r="BL64" s="4"/>
      <c r="BM64" s="4"/>
      <c r="BN64" s="4"/>
    </row>
    <row r="65" spans="1:66">
      <c r="A65" s="19" t="str">
        <f t="shared" si="5"/>
        <v>АСПС.FB_UPP_S.CRON</v>
      </c>
      <c r="B65" s="11">
        <v>2</v>
      </c>
      <c r="C65" s="11" t="s">
        <v>2</v>
      </c>
      <c r="D65" s="20" t="s">
        <v>3</v>
      </c>
      <c r="BK65" s="4"/>
      <c r="BL65" s="4"/>
      <c r="BM65" s="4"/>
      <c r="BN65" s="4"/>
    </row>
    <row r="66" spans="1:66">
      <c r="A66" s="21" t="str">
        <f t="shared" si="5"/>
        <v>АСПС.FB_UPP_S.CRON</v>
      </c>
      <c r="B66" s="8">
        <v>1</v>
      </c>
      <c r="C66" s="8" t="s">
        <v>1</v>
      </c>
      <c r="D66" s="22">
        <v>11</v>
      </c>
      <c r="BK66" s="4"/>
      <c r="BL66" s="4"/>
      <c r="BM66" s="4"/>
      <c r="BN66" s="4"/>
    </row>
    <row r="67" spans="1:66">
      <c r="A67" s="162" t="str">
        <f>$R$2&amp;".CPON"</f>
        <v>АСПС.FB_UPP_S.CPON</v>
      </c>
      <c r="B67" s="120">
        <v>11154</v>
      </c>
      <c r="C67" s="120" t="s">
        <v>4</v>
      </c>
      <c r="D67" s="351">
        <f>$Q$15</f>
        <v>2</v>
      </c>
      <c r="BK67" s="4"/>
      <c r="BL67" s="4"/>
      <c r="BM67" s="4"/>
      <c r="BN67" s="4"/>
    </row>
    <row r="68" spans="1:66">
      <c r="A68" s="119" t="str">
        <f>$R$2&amp;".CPON"</f>
        <v>АСПС.FB_UPP_S.CPON</v>
      </c>
      <c r="B68" s="121">
        <v>11150</v>
      </c>
      <c r="C68" s="121" t="s">
        <v>0</v>
      </c>
      <c r="D68" s="122" t="s">
        <v>471</v>
      </c>
      <c r="BK68" s="4"/>
      <c r="BL68" s="4"/>
      <c r="BM68" s="4"/>
      <c r="BN68" s="4"/>
    </row>
    <row r="69" spans="1:66">
      <c r="A69" s="119" t="str">
        <f>$R$2&amp;".CPON"</f>
        <v>АСПС.FB_UPP_S.CPON</v>
      </c>
      <c r="B69" s="121">
        <v>11152</v>
      </c>
      <c r="C69" s="121" t="s">
        <v>0</v>
      </c>
      <c r="D69" s="350" t="str">
        <f>$R$15</f>
        <v>Пожар</v>
      </c>
      <c r="BK69" s="4"/>
      <c r="BL69" s="4"/>
      <c r="BM69" s="4"/>
      <c r="BN69" s="4"/>
    </row>
    <row r="70" spans="1:66">
      <c r="A70" s="119" t="str">
        <f>$R$2&amp;".CPON"</f>
        <v>АСПС.FB_UPP_S.CPON</v>
      </c>
      <c r="B70" s="121">
        <v>11000</v>
      </c>
      <c r="C70" s="121" t="s">
        <v>5</v>
      </c>
      <c r="D70" s="122">
        <v>2147483680</v>
      </c>
      <c r="BK70" s="4"/>
      <c r="BL70" s="4"/>
      <c r="BM70" s="4"/>
      <c r="BN70" s="4"/>
    </row>
    <row r="71" spans="1:66">
      <c r="A71" s="19" t="str">
        <f t="shared" ref="A71:A76" si="6">$R$2&amp;".CPON"</f>
        <v>АСПС.FB_UPP_S.CPON</v>
      </c>
      <c r="B71" s="11">
        <v>7999</v>
      </c>
      <c r="C71" s="11" t="s">
        <v>0</v>
      </c>
      <c r="D71" s="20" t="str">
        <f>"#"&amp;$S$2&amp;"#"&amp;$T$2&amp;"\"&amp;$P$2&amp;"\CPON"</f>
        <v>#2#treiOPCDA.CoOPCserv.1\pcmaster\FB_UPP_S\CPON</v>
      </c>
      <c r="BK71" s="4"/>
      <c r="BL71" s="4"/>
      <c r="BM71" s="4"/>
      <c r="BN71" s="4"/>
    </row>
    <row r="72" spans="1:66">
      <c r="A72" s="19" t="str">
        <f t="shared" si="6"/>
        <v>АСПС.FB_UPP_S.CPON</v>
      </c>
      <c r="B72" s="11">
        <v>7998</v>
      </c>
      <c r="C72" s="11" t="s">
        <v>6</v>
      </c>
      <c r="D72" s="20">
        <v>1</v>
      </c>
      <c r="BK72" s="4"/>
      <c r="BL72" s="4"/>
      <c r="BM72" s="4"/>
      <c r="BN72" s="4"/>
    </row>
    <row r="73" spans="1:66">
      <c r="A73" s="19" t="str">
        <f t="shared" si="6"/>
        <v>АСПС.FB_UPP_S.CPON</v>
      </c>
      <c r="B73" s="11">
        <v>101</v>
      </c>
      <c r="C73" s="11" t="s">
        <v>0</v>
      </c>
      <c r="D73" s="20" t="s">
        <v>471</v>
      </c>
      <c r="BK73" s="4"/>
      <c r="BL73" s="4"/>
      <c r="BM73" s="4"/>
      <c r="BN73" s="4"/>
    </row>
    <row r="74" spans="1:66">
      <c r="A74" s="19" t="str">
        <f t="shared" si="6"/>
        <v>АСПС.FB_UPP_S.CPON</v>
      </c>
      <c r="B74" s="11">
        <v>3</v>
      </c>
      <c r="C74" s="11" t="s">
        <v>1</v>
      </c>
      <c r="D74" s="20">
        <v>192</v>
      </c>
      <c r="BK74" s="4"/>
      <c r="BL74" s="4"/>
      <c r="BM74" s="4"/>
      <c r="BN74" s="4"/>
    </row>
    <row r="75" spans="1:66">
      <c r="A75" s="19" t="str">
        <f t="shared" si="6"/>
        <v>АСПС.FB_UPP_S.CPON</v>
      </c>
      <c r="B75" s="11">
        <v>2</v>
      </c>
      <c r="C75" s="11" t="s">
        <v>2</v>
      </c>
      <c r="D75" s="20" t="s">
        <v>3</v>
      </c>
      <c r="BK75" s="4"/>
      <c r="BL75" s="4"/>
      <c r="BM75" s="4"/>
      <c r="BN75" s="4"/>
    </row>
    <row r="76" spans="1:66">
      <c r="A76" s="21" t="str">
        <f t="shared" si="6"/>
        <v>АСПС.FB_UPP_S.CPON</v>
      </c>
      <c r="B76" s="8">
        <v>1</v>
      </c>
      <c r="C76" s="8" t="s">
        <v>1</v>
      </c>
      <c r="D76" s="22">
        <v>11</v>
      </c>
      <c r="BK76" s="4"/>
      <c r="BL76" s="4"/>
      <c r="BM76" s="4"/>
      <c r="BN76" s="4"/>
    </row>
    <row r="77" spans="1:66">
      <c r="A77" s="162" t="str">
        <f>$R$2&amp;".CSON"</f>
        <v>АСПС.FB_UPP_S.CSON</v>
      </c>
      <c r="B77" s="120">
        <v>11154</v>
      </c>
      <c r="C77" s="120" t="s">
        <v>4</v>
      </c>
      <c r="D77" s="351">
        <f>$Q$15</f>
        <v>2</v>
      </c>
    </row>
    <row r="78" spans="1:66">
      <c r="A78" s="119" t="str">
        <f>$R$2&amp;".CSON"</f>
        <v>АСПС.FB_UPP_S.CSON</v>
      </c>
      <c r="B78" s="121">
        <v>11150</v>
      </c>
      <c r="C78" s="121" t="s">
        <v>0</v>
      </c>
      <c r="D78" s="122" t="s">
        <v>469</v>
      </c>
    </row>
    <row r="79" spans="1:66">
      <c r="A79" s="119" t="str">
        <f>$R$2&amp;".CSON"</f>
        <v>АСПС.FB_UPP_S.CSON</v>
      </c>
      <c r="B79" s="121">
        <v>11152</v>
      </c>
      <c r="C79" s="121" t="s">
        <v>0</v>
      </c>
      <c r="D79" s="350" t="str">
        <f>$R$15</f>
        <v>Пожар</v>
      </c>
    </row>
    <row r="80" spans="1:66">
      <c r="A80" s="119" t="str">
        <f>$R$2&amp;".CSON"</f>
        <v>АСПС.FB_UPP_S.CSON</v>
      </c>
      <c r="B80" s="121">
        <v>11000</v>
      </c>
      <c r="C80" s="121" t="s">
        <v>5</v>
      </c>
      <c r="D80" s="122">
        <v>2147483680</v>
      </c>
    </row>
    <row r="81" spans="1:4">
      <c r="A81" s="19" t="str">
        <f t="shared" ref="A81:A86" si="7">$R$2&amp;".CSON"</f>
        <v>АСПС.FB_UPP_S.CSON</v>
      </c>
      <c r="B81" s="11">
        <v>7999</v>
      </c>
      <c r="C81" s="11" t="s">
        <v>0</v>
      </c>
      <c r="D81" s="20" t="str">
        <f>"#"&amp;$S$2&amp;"#"&amp;$T$2&amp;"\"&amp;$P$2&amp;"\CSON"</f>
        <v>#2#treiOPCDA.CoOPCserv.1\pcmaster\FB_UPP_S\CSON</v>
      </c>
    </row>
    <row r="82" spans="1:4">
      <c r="A82" s="19" t="str">
        <f t="shared" si="7"/>
        <v>АСПС.FB_UPP_S.CSON</v>
      </c>
      <c r="B82" s="11">
        <v>7998</v>
      </c>
      <c r="C82" s="11" t="s">
        <v>6</v>
      </c>
      <c r="D82" s="20">
        <v>1</v>
      </c>
    </row>
    <row r="83" spans="1:4">
      <c r="A83" s="19" t="str">
        <f t="shared" si="7"/>
        <v>АСПС.FB_UPP_S.CSON</v>
      </c>
      <c r="B83" s="11">
        <v>101</v>
      </c>
      <c r="C83" s="11" t="s">
        <v>0</v>
      </c>
      <c r="D83" s="20" t="s">
        <v>469</v>
      </c>
    </row>
    <row r="84" spans="1:4">
      <c r="A84" s="19" t="str">
        <f t="shared" si="7"/>
        <v>АСПС.FB_UPP_S.CSON</v>
      </c>
      <c r="B84" s="11">
        <v>3</v>
      </c>
      <c r="C84" s="11" t="s">
        <v>1</v>
      </c>
      <c r="D84" s="20">
        <v>192</v>
      </c>
    </row>
    <row r="85" spans="1:4">
      <c r="A85" s="19" t="str">
        <f t="shared" si="7"/>
        <v>АСПС.FB_UPP_S.CSON</v>
      </c>
      <c r="B85" s="11">
        <v>2</v>
      </c>
      <c r="C85" s="11" t="s">
        <v>2</v>
      </c>
      <c r="D85" s="20" t="s">
        <v>3</v>
      </c>
    </row>
    <row r="86" spans="1:4">
      <c r="A86" s="21" t="str">
        <f t="shared" si="7"/>
        <v>АСПС.FB_UPP_S.CSON</v>
      </c>
      <c r="B86" s="8">
        <v>1</v>
      </c>
      <c r="C86" s="8" t="s">
        <v>1</v>
      </c>
      <c r="D86" s="22">
        <v>11</v>
      </c>
    </row>
    <row r="87" spans="1:4">
      <c r="A87" s="69" t="str">
        <f>$R$2&amp;".XCPX"</f>
        <v>АСПС.FB_UPP_S.XCPX</v>
      </c>
      <c r="B87" s="70">
        <v>11154</v>
      </c>
      <c r="C87" s="70" t="s">
        <v>4</v>
      </c>
      <c r="D87" s="144">
        <f>$Q$6</f>
        <v>8</v>
      </c>
    </row>
    <row r="88" spans="1:4">
      <c r="A88" s="63" t="str">
        <f t="shared" ref="A88:A96" si="8">$R$2&amp;".XCPX"</f>
        <v>АСПС.FB_UPP_S.XCPX</v>
      </c>
      <c r="B88" s="64">
        <v>11150</v>
      </c>
      <c r="C88" s="64" t="s">
        <v>0</v>
      </c>
      <c r="D88" s="65" t="s">
        <v>545</v>
      </c>
    </row>
    <row r="89" spans="1:4">
      <c r="A89" s="63" t="str">
        <f t="shared" si="8"/>
        <v>АСПС.FB_UPP_S.XCPX</v>
      </c>
      <c r="B89" s="64">
        <v>11152</v>
      </c>
      <c r="C89" s="64" t="s">
        <v>0</v>
      </c>
      <c r="D89" s="99" t="str">
        <f>$R$6</f>
        <v>Предупреждение</v>
      </c>
    </row>
    <row r="90" spans="1:4">
      <c r="A90" s="63" t="str">
        <f t="shared" si="8"/>
        <v>АСПС.FB_UPP_S.XCPX</v>
      </c>
      <c r="B90" s="64">
        <v>11000</v>
      </c>
      <c r="C90" s="64" t="s">
        <v>5</v>
      </c>
      <c r="D90" s="65">
        <v>2147483680</v>
      </c>
    </row>
    <row r="91" spans="1:4">
      <c r="A91" s="19" t="str">
        <f t="shared" si="8"/>
        <v>АСПС.FB_UPP_S.XCPX</v>
      </c>
      <c r="B91" s="11">
        <v>7999</v>
      </c>
      <c r="C91" s="11" t="s">
        <v>0</v>
      </c>
      <c r="D91" s="20" t="str">
        <f>"#"&amp;$S$2&amp;"#"&amp;$T$2&amp;"\"&amp;$P$2&amp;"\XCPX"</f>
        <v>#2#treiOPCDA.CoOPCserv.1\pcmaster\FB_UPP_S\XCPX</v>
      </c>
    </row>
    <row r="92" spans="1:4">
      <c r="A92" s="19" t="str">
        <f t="shared" si="8"/>
        <v>АСПС.FB_UPP_S.XCPX</v>
      </c>
      <c r="B92" s="11">
        <v>7998</v>
      </c>
      <c r="C92" s="11" t="s">
        <v>6</v>
      </c>
      <c r="D92" s="20">
        <v>1</v>
      </c>
    </row>
    <row r="93" spans="1:4">
      <c r="A93" s="19" t="str">
        <f t="shared" si="8"/>
        <v>АСПС.FB_UPP_S.XCPX</v>
      </c>
      <c r="B93" s="11">
        <v>101</v>
      </c>
      <c r="C93" s="11" t="s">
        <v>0</v>
      </c>
      <c r="D93" s="20" t="s">
        <v>545</v>
      </c>
    </row>
    <row r="94" spans="1:4">
      <c r="A94" s="19" t="str">
        <f t="shared" si="8"/>
        <v>АСПС.FB_UPP_S.XCPX</v>
      </c>
      <c r="B94" s="11">
        <v>3</v>
      </c>
      <c r="C94" s="11" t="s">
        <v>1</v>
      </c>
      <c r="D94" s="20">
        <v>192</v>
      </c>
    </row>
    <row r="95" spans="1:4">
      <c r="A95" s="19" t="str">
        <f t="shared" si="8"/>
        <v>АСПС.FB_UPP_S.XCPX</v>
      </c>
      <c r="B95" s="11">
        <v>2</v>
      </c>
      <c r="C95" s="11" t="s">
        <v>2</v>
      </c>
      <c r="D95" s="20" t="s">
        <v>3</v>
      </c>
    </row>
    <row r="96" spans="1:4">
      <c r="A96" s="21" t="str">
        <f t="shared" si="8"/>
        <v>АСПС.FB_UPP_S.XCPX</v>
      </c>
      <c r="B96" s="8">
        <v>1</v>
      </c>
      <c r="C96" s="8" t="s">
        <v>1</v>
      </c>
      <c r="D96" s="22">
        <v>11</v>
      </c>
    </row>
    <row r="97" spans="1:4">
      <c r="A97" s="69" t="str">
        <f>$R$2&amp;".XFSX"</f>
        <v>АСПС.FB_UPP_S.XFSX</v>
      </c>
      <c r="B97" s="70">
        <v>11154</v>
      </c>
      <c r="C97" s="70" t="s">
        <v>4</v>
      </c>
      <c r="D97" s="144">
        <f>$Q$6</f>
        <v>8</v>
      </c>
    </row>
    <row r="98" spans="1:4">
      <c r="A98" s="63" t="str">
        <f t="shared" ref="A98:A106" si="9">$R$2&amp;".XFSX"</f>
        <v>АСПС.FB_UPP_S.XFSX</v>
      </c>
      <c r="B98" s="64">
        <v>11150</v>
      </c>
      <c r="C98" s="64" t="s">
        <v>0</v>
      </c>
      <c r="D98" s="65" t="s">
        <v>547</v>
      </c>
    </row>
    <row r="99" spans="1:4">
      <c r="A99" s="63" t="str">
        <f t="shared" si="9"/>
        <v>АСПС.FB_UPP_S.XFSX</v>
      </c>
      <c r="B99" s="64">
        <v>11152</v>
      </c>
      <c r="C99" s="64" t="s">
        <v>0</v>
      </c>
      <c r="D99" s="99" t="str">
        <f>$R$6</f>
        <v>Предупреждение</v>
      </c>
    </row>
    <row r="100" spans="1:4">
      <c r="A100" s="63" t="str">
        <f t="shared" si="9"/>
        <v>АСПС.FB_UPP_S.XFSX</v>
      </c>
      <c r="B100" s="64">
        <v>11000</v>
      </c>
      <c r="C100" s="64" t="s">
        <v>5</v>
      </c>
      <c r="D100" s="65">
        <v>2147483680</v>
      </c>
    </row>
    <row r="101" spans="1:4">
      <c r="A101" s="19" t="str">
        <f t="shared" si="9"/>
        <v>АСПС.FB_UPP_S.XFSX</v>
      </c>
      <c r="B101" s="11">
        <v>7999</v>
      </c>
      <c r="C101" s="11" t="s">
        <v>0</v>
      </c>
      <c r="D101" s="20" t="str">
        <f>"#"&amp;$S$2&amp;"#"&amp;$T$2&amp;"\"&amp;$P$2&amp;"\XFSX"</f>
        <v>#2#treiOPCDA.CoOPCserv.1\pcmaster\FB_UPP_S\XFSX</v>
      </c>
    </row>
    <row r="102" spans="1:4">
      <c r="A102" s="19" t="str">
        <f t="shared" si="9"/>
        <v>АСПС.FB_UPP_S.XFSX</v>
      </c>
      <c r="B102" s="11">
        <v>7998</v>
      </c>
      <c r="C102" s="11" t="s">
        <v>6</v>
      </c>
      <c r="D102" s="20">
        <v>1</v>
      </c>
    </row>
    <row r="103" spans="1:4">
      <c r="A103" s="19" t="str">
        <f t="shared" si="9"/>
        <v>АСПС.FB_UPP_S.XFSX</v>
      </c>
      <c r="B103" s="11">
        <v>101</v>
      </c>
      <c r="C103" s="11" t="s">
        <v>0</v>
      </c>
      <c r="D103" s="20" t="s">
        <v>546</v>
      </c>
    </row>
    <row r="104" spans="1:4">
      <c r="A104" s="19" t="str">
        <f t="shared" si="9"/>
        <v>АСПС.FB_UPP_S.XFSX</v>
      </c>
      <c r="B104" s="11">
        <v>3</v>
      </c>
      <c r="C104" s="11" t="s">
        <v>1</v>
      </c>
      <c r="D104" s="20">
        <v>192</v>
      </c>
    </row>
    <row r="105" spans="1:4">
      <c r="A105" s="19" t="str">
        <f t="shared" si="9"/>
        <v>АСПС.FB_UPP_S.XFSX</v>
      </c>
      <c r="B105" s="11">
        <v>2</v>
      </c>
      <c r="C105" s="11" t="s">
        <v>2</v>
      </c>
      <c r="D105" s="20" t="s">
        <v>3</v>
      </c>
    </row>
    <row r="106" spans="1:4">
      <c r="A106" s="21" t="str">
        <f t="shared" si="9"/>
        <v>АСПС.FB_UPP_S.XFSX</v>
      </c>
      <c r="B106" s="8">
        <v>1</v>
      </c>
      <c r="C106" s="8" t="s">
        <v>1</v>
      </c>
      <c r="D106" s="22">
        <v>11</v>
      </c>
    </row>
    <row r="107" spans="1:4">
      <c r="A107" s="69" t="str">
        <f>$R$2&amp;".BFON"</f>
        <v>АСПС.FB_UPP_S.BFON</v>
      </c>
      <c r="B107" s="70">
        <v>11154</v>
      </c>
      <c r="C107" s="70" t="s">
        <v>4</v>
      </c>
      <c r="D107" s="144">
        <f>$Q$6</f>
        <v>8</v>
      </c>
    </row>
    <row r="108" spans="1:4">
      <c r="A108" s="63" t="str">
        <f t="shared" ref="A108:A116" si="10">$R$2&amp;".BFON"</f>
        <v>АСПС.FB_UPP_S.BFON</v>
      </c>
      <c r="B108" s="64">
        <v>11150</v>
      </c>
      <c r="C108" s="64" t="s">
        <v>0</v>
      </c>
      <c r="D108" s="65" t="s">
        <v>581</v>
      </c>
    </row>
    <row r="109" spans="1:4">
      <c r="A109" s="63" t="str">
        <f t="shared" si="10"/>
        <v>АСПС.FB_UPP_S.BFON</v>
      </c>
      <c r="B109" s="64">
        <v>11152</v>
      </c>
      <c r="C109" s="64" t="s">
        <v>0</v>
      </c>
      <c r="D109" s="99" t="str">
        <f>$R$6</f>
        <v>Предупреждение</v>
      </c>
    </row>
    <row r="110" spans="1:4">
      <c r="A110" s="63" t="str">
        <f t="shared" si="10"/>
        <v>АСПС.FB_UPP_S.BFON</v>
      </c>
      <c r="B110" s="64">
        <v>11000</v>
      </c>
      <c r="C110" s="64" t="s">
        <v>5</v>
      </c>
      <c r="D110" s="65">
        <v>2147483680</v>
      </c>
    </row>
    <row r="111" spans="1:4">
      <c r="A111" s="19" t="str">
        <f t="shared" si="10"/>
        <v>АСПС.FB_UPP_S.BFON</v>
      </c>
      <c r="B111" s="11">
        <v>7999</v>
      </c>
      <c r="C111" s="11" t="s">
        <v>0</v>
      </c>
      <c r="D111" s="20" t="str">
        <f>"#"&amp;$S$2&amp;"#"&amp;$T$2&amp;"\"&amp;$P$2&amp;"\BFON"</f>
        <v>#2#treiOPCDA.CoOPCserv.1\pcmaster\FB_UPP_S\BFON</v>
      </c>
    </row>
    <row r="112" spans="1:4">
      <c r="A112" s="19" t="str">
        <f t="shared" si="10"/>
        <v>АСПС.FB_UPP_S.BFON</v>
      </c>
      <c r="B112" s="11">
        <v>7998</v>
      </c>
      <c r="C112" s="11" t="s">
        <v>6</v>
      </c>
      <c r="D112" s="20">
        <v>1</v>
      </c>
    </row>
    <row r="113" spans="1:4">
      <c r="A113" s="19" t="str">
        <f t="shared" si="10"/>
        <v>АСПС.FB_UPP_S.BFON</v>
      </c>
      <c r="B113" s="11">
        <v>101</v>
      </c>
      <c r="C113" s="11" t="s">
        <v>0</v>
      </c>
      <c r="D113" s="20" t="s">
        <v>581</v>
      </c>
    </row>
    <row r="114" spans="1:4">
      <c r="A114" s="19" t="str">
        <f t="shared" si="10"/>
        <v>АСПС.FB_UPP_S.BFON</v>
      </c>
      <c r="B114" s="11">
        <v>3</v>
      </c>
      <c r="C114" s="11" t="s">
        <v>1</v>
      </c>
      <c r="D114" s="20">
        <v>192</v>
      </c>
    </row>
    <row r="115" spans="1:4">
      <c r="A115" s="19" t="str">
        <f t="shared" si="10"/>
        <v>АСПС.FB_UPP_S.BFON</v>
      </c>
      <c r="B115" s="11">
        <v>2</v>
      </c>
      <c r="C115" s="11" t="s">
        <v>2</v>
      </c>
      <c r="D115" s="20" t="s">
        <v>3</v>
      </c>
    </row>
    <row r="116" spans="1:4">
      <c r="A116" s="21" t="str">
        <f t="shared" si="10"/>
        <v>АСПС.FB_UPP_S.BFON</v>
      </c>
      <c r="B116" s="8">
        <v>1</v>
      </c>
      <c r="C116" s="8" t="s">
        <v>1</v>
      </c>
      <c r="D116" s="22">
        <v>11</v>
      </c>
    </row>
    <row r="117" spans="1:4">
      <c r="A117" s="69" t="str">
        <f>$R$2&amp;".XBON"</f>
        <v>АСПС.FB_UPP_S.XBON</v>
      </c>
      <c r="B117" s="70">
        <v>11154</v>
      </c>
      <c r="C117" s="70" t="s">
        <v>4</v>
      </c>
      <c r="D117" s="144">
        <f>$Q$6</f>
        <v>8</v>
      </c>
    </row>
    <row r="118" spans="1:4">
      <c r="A118" s="63" t="str">
        <f t="shared" ref="A118:A126" si="11">$R$2&amp;".XBON"</f>
        <v>АСПС.FB_UPP_S.XBON</v>
      </c>
      <c r="B118" s="64">
        <v>11150</v>
      </c>
      <c r="C118" s="64" t="s">
        <v>0</v>
      </c>
      <c r="D118" s="65" t="s">
        <v>523</v>
      </c>
    </row>
    <row r="119" spans="1:4">
      <c r="A119" s="63" t="str">
        <f t="shared" si="11"/>
        <v>АСПС.FB_UPP_S.XBON</v>
      </c>
      <c r="B119" s="64">
        <v>11152</v>
      </c>
      <c r="C119" s="64" t="s">
        <v>0</v>
      </c>
      <c r="D119" s="99" t="str">
        <f>$R$6</f>
        <v>Предупреждение</v>
      </c>
    </row>
    <row r="120" spans="1:4">
      <c r="A120" s="63" t="str">
        <f t="shared" si="11"/>
        <v>АСПС.FB_UPP_S.XBON</v>
      </c>
      <c r="B120" s="64">
        <v>11000</v>
      </c>
      <c r="C120" s="64" t="s">
        <v>5</v>
      </c>
      <c r="D120" s="65">
        <v>2147483680</v>
      </c>
    </row>
    <row r="121" spans="1:4">
      <c r="A121" s="19" t="str">
        <f t="shared" si="11"/>
        <v>АСПС.FB_UPP_S.XBON</v>
      </c>
      <c r="B121" s="11">
        <v>7999</v>
      </c>
      <c r="C121" s="11" t="s">
        <v>0</v>
      </c>
      <c r="D121" s="20" t="str">
        <f>"#"&amp;$S$2&amp;"#"&amp;$T$2&amp;"\"&amp;$P$2&amp;"\XBON"</f>
        <v>#2#treiOPCDA.CoOPCserv.1\pcmaster\FB_UPP_S\XBON</v>
      </c>
    </row>
    <row r="122" spans="1:4">
      <c r="A122" s="19" t="str">
        <f t="shared" si="11"/>
        <v>АСПС.FB_UPP_S.XBON</v>
      </c>
      <c r="B122" s="11">
        <v>7998</v>
      </c>
      <c r="C122" s="11" t="s">
        <v>6</v>
      </c>
      <c r="D122" s="20">
        <v>1</v>
      </c>
    </row>
    <row r="123" spans="1:4">
      <c r="A123" s="19" t="str">
        <f t="shared" si="11"/>
        <v>АСПС.FB_UPP_S.XBON</v>
      </c>
      <c r="B123" s="11">
        <v>101</v>
      </c>
      <c r="C123" s="11" t="s">
        <v>0</v>
      </c>
      <c r="D123" s="20" t="s">
        <v>523</v>
      </c>
    </row>
    <row r="124" spans="1:4">
      <c r="A124" s="19" t="str">
        <f t="shared" si="11"/>
        <v>АСПС.FB_UPP_S.XBON</v>
      </c>
      <c r="B124" s="11">
        <v>3</v>
      </c>
      <c r="C124" s="11" t="s">
        <v>1</v>
      </c>
      <c r="D124" s="20">
        <v>192</v>
      </c>
    </row>
    <row r="125" spans="1:4">
      <c r="A125" s="19" t="str">
        <f t="shared" si="11"/>
        <v>АСПС.FB_UPP_S.XBON</v>
      </c>
      <c r="B125" s="11">
        <v>2</v>
      </c>
      <c r="C125" s="11" t="s">
        <v>2</v>
      </c>
      <c r="D125" s="20" t="s">
        <v>3</v>
      </c>
    </row>
    <row r="126" spans="1:4">
      <c r="A126" s="21" t="str">
        <f t="shared" si="11"/>
        <v>АСПС.FB_UPP_S.XBON</v>
      </c>
      <c r="B126" s="8">
        <v>1</v>
      </c>
      <c r="C126" s="8" t="s">
        <v>1</v>
      </c>
      <c r="D126" s="22">
        <v>11</v>
      </c>
    </row>
    <row r="127" spans="1:4">
      <c r="A127" s="211" t="str">
        <f t="shared" ref="A127:A136" si="12">$R$2&amp;".XNW1"</f>
        <v>АСПС.FB_UPP_S.XNW1</v>
      </c>
      <c r="B127" s="212">
        <v>11154</v>
      </c>
      <c r="C127" s="212" t="s">
        <v>4</v>
      </c>
      <c r="D127" s="221">
        <f>$Q$7</f>
        <v>12</v>
      </c>
    </row>
    <row r="128" spans="1:4">
      <c r="A128" s="211" t="str">
        <f t="shared" si="12"/>
        <v>АСПС.FB_UPP_S.XNW1</v>
      </c>
      <c r="B128" s="212">
        <v>11152</v>
      </c>
      <c r="C128" s="212" t="s">
        <v>0</v>
      </c>
      <c r="D128" s="220" t="str">
        <f>$R$7</f>
        <v>Неисправность</v>
      </c>
    </row>
    <row r="129" spans="1:4">
      <c r="A129" s="211" t="str">
        <f t="shared" si="12"/>
        <v>АСПС.FB_UPP_S.XNW1</v>
      </c>
      <c r="B129" s="212">
        <v>11150</v>
      </c>
      <c r="C129" s="212" t="s">
        <v>0</v>
      </c>
      <c r="D129" s="213" t="s">
        <v>549</v>
      </c>
    </row>
    <row r="130" spans="1:4">
      <c r="A130" s="211" t="str">
        <f t="shared" si="12"/>
        <v>АСПС.FB_UPP_S.XNW1</v>
      </c>
      <c r="B130" s="212">
        <v>11000</v>
      </c>
      <c r="C130" s="212" t="s">
        <v>5</v>
      </c>
      <c r="D130" s="213">
        <v>2147483680</v>
      </c>
    </row>
    <row r="131" spans="1:4">
      <c r="A131" s="19" t="str">
        <f t="shared" si="12"/>
        <v>АСПС.FB_UPP_S.XNW1</v>
      </c>
      <c r="B131" s="11">
        <v>7999</v>
      </c>
      <c r="C131" s="11" t="s">
        <v>0</v>
      </c>
      <c r="D131" s="20" t="str">
        <f>"#"&amp;$S$2&amp;"#"&amp;$T$2&amp;"\"&amp;$P$2&amp;"\XNW1"</f>
        <v>#2#treiOPCDA.CoOPCserv.1\pcmaster\FB_UPP_S\XNW1</v>
      </c>
    </row>
    <row r="132" spans="1:4">
      <c r="A132" s="19" t="str">
        <f t="shared" si="12"/>
        <v>АСПС.FB_UPP_S.XNW1</v>
      </c>
      <c r="B132" s="11">
        <v>7998</v>
      </c>
      <c r="C132" s="11" t="s">
        <v>6</v>
      </c>
      <c r="D132" s="20">
        <v>1</v>
      </c>
    </row>
    <row r="133" spans="1:4">
      <c r="A133" s="19" t="str">
        <f t="shared" si="12"/>
        <v>АСПС.FB_UPP_S.XNW1</v>
      </c>
      <c r="B133" s="11">
        <v>101</v>
      </c>
      <c r="C133" s="11" t="s">
        <v>0</v>
      </c>
      <c r="D133" s="20" t="s">
        <v>549</v>
      </c>
    </row>
    <row r="134" spans="1:4">
      <c r="A134" s="19" t="str">
        <f t="shared" si="12"/>
        <v>АСПС.FB_UPP_S.XNW1</v>
      </c>
      <c r="B134" s="11">
        <v>3</v>
      </c>
      <c r="C134" s="11" t="s">
        <v>1</v>
      </c>
      <c r="D134" s="20">
        <v>192</v>
      </c>
    </row>
    <row r="135" spans="1:4">
      <c r="A135" s="19" t="str">
        <f t="shared" si="12"/>
        <v>АСПС.FB_UPP_S.XNW1</v>
      </c>
      <c r="B135" s="11">
        <v>2</v>
      </c>
      <c r="C135" s="11" t="s">
        <v>2</v>
      </c>
      <c r="D135" s="20" t="s">
        <v>3</v>
      </c>
    </row>
    <row r="136" spans="1:4">
      <c r="A136" s="21" t="str">
        <f t="shared" si="12"/>
        <v>АСПС.FB_UPP_S.XNW1</v>
      </c>
      <c r="B136" s="8">
        <v>1</v>
      </c>
      <c r="C136" s="8" t="s">
        <v>1</v>
      </c>
      <c r="D136" s="22">
        <v>11</v>
      </c>
    </row>
    <row r="137" spans="1:4">
      <c r="A137" s="19" t="str">
        <f t="shared" ref="A137:A146" si="13">$R$2&amp;".FXXX"</f>
        <v>АСПС.FB_UPP_S.FXXX</v>
      </c>
      <c r="B137" s="17">
        <v>1</v>
      </c>
      <c r="C137" s="17" t="s">
        <v>1</v>
      </c>
      <c r="D137" s="18">
        <v>11</v>
      </c>
    </row>
    <row r="138" spans="1:4">
      <c r="A138" s="19" t="str">
        <f t="shared" si="13"/>
        <v>АСПС.FB_UPP_S.FXXX</v>
      </c>
      <c r="B138" s="11">
        <v>2</v>
      </c>
      <c r="C138" s="11" t="s">
        <v>2</v>
      </c>
      <c r="D138" s="20" t="s">
        <v>3</v>
      </c>
    </row>
    <row r="139" spans="1:4">
      <c r="A139" s="19" t="str">
        <f>$R$2&amp;".FXXX"</f>
        <v>АСПС.FB_UPP_S.FXXX</v>
      </c>
      <c r="B139" s="11">
        <v>3</v>
      </c>
      <c r="C139" s="11" t="s">
        <v>1</v>
      </c>
      <c r="D139" s="20">
        <v>192</v>
      </c>
    </row>
    <row r="140" spans="1:4">
      <c r="A140" s="19" t="str">
        <f t="shared" si="13"/>
        <v>АСПС.FB_UPP_S.FXXX</v>
      </c>
      <c r="B140" s="11">
        <v>101</v>
      </c>
      <c r="C140" s="11" t="s">
        <v>0</v>
      </c>
      <c r="D140" s="20" t="s">
        <v>110</v>
      </c>
    </row>
    <row r="141" spans="1:4">
      <c r="A141" s="19" t="str">
        <f t="shared" si="13"/>
        <v>АСПС.FB_UPP_S.FXXX</v>
      </c>
      <c r="B141" s="11">
        <v>7998</v>
      </c>
      <c r="C141" s="11" t="s">
        <v>6</v>
      </c>
      <c r="D141" s="20">
        <v>1</v>
      </c>
    </row>
    <row r="142" spans="1:4">
      <c r="A142" s="19" t="str">
        <f t="shared" si="13"/>
        <v>АСПС.FB_UPP_S.FXXX</v>
      </c>
      <c r="B142" s="11">
        <v>7999</v>
      </c>
      <c r="C142" s="11" t="s">
        <v>0</v>
      </c>
      <c r="D142" s="20" t="str">
        <f>"#"&amp;$S$2&amp;"#"&amp;$T$2&amp;"\"&amp;$P$2&amp;"\FXXX"</f>
        <v>#2#treiOPCDA.CoOPCserv.1\pcmaster\FB_UPP_S\FXXX</v>
      </c>
    </row>
    <row r="143" spans="1:4">
      <c r="A143" s="211" t="str">
        <f t="shared" si="13"/>
        <v>АСПС.FB_UPP_S.FXXX</v>
      </c>
      <c r="B143" s="212">
        <v>11000</v>
      </c>
      <c r="C143" s="212" t="s">
        <v>5</v>
      </c>
      <c r="D143" s="213">
        <v>2147483680</v>
      </c>
    </row>
    <row r="144" spans="1:4">
      <c r="A144" s="211" t="str">
        <f t="shared" si="13"/>
        <v>АСПС.FB_UPP_S.FXXX</v>
      </c>
      <c r="B144" s="212">
        <v>11150</v>
      </c>
      <c r="C144" s="212" t="s">
        <v>0</v>
      </c>
      <c r="D144" s="213" t="s">
        <v>110</v>
      </c>
    </row>
    <row r="145" spans="1:4">
      <c r="A145" s="211" t="str">
        <f t="shared" si="13"/>
        <v>АСПС.FB_UPP_S.FXXX</v>
      </c>
      <c r="B145" s="212">
        <v>11152</v>
      </c>
      <c r="C145" s="212" t="s">
        <v>0</v>
      </c>
      <c r="D145" s="213" t="str">
        <f>$R$7</f>
        <v>Неисправность</v>
      </c>
    </row>
    <row r="146" spans="1:4">
      <c r="A146" s="211" t="str">
        <f t="shared" si="13"/>
        <v>АСПС.FB_UPP_S.FXXX</v>
      </c>
      <c r="B146" s="215">
        <v>11154</v>
      </c>
      <c r="C146" s="215" t="s">
        <v>4</v>
      </c>
      <c r="D146" s="216">
        <f>$Q$7</f>
        <v>12</v>
      </c>
    </row>
    <row r="147" spans="1:4">
      <c r="A147" s="159" t="str">
        <f>$R$2&amp;".XAON"</f>
        <v>АСПС.FB_UPP_S.XAON</v>
      </c>
      <c r="B147" s="160">
        <v>11154</v>
      </c>
      <c r="C147" s="160" t="s">
        <v>4</v>
      </c>
      <c r="D147" s="161">
        <f>$Q$8</f>
        <v>18</v>
      </c>
    </row>
    <row r="148" spans="1:4">
      <c r="A148" s="100" t="str">
        <f t="shared" ref="A148:A159" si="14">$R$2&amp;".XAON"</f>
        <v>АСПС.FB_UPP_S.XAON</v>
      </c>
      <c r="B148" s="101">
        <v>11150</v>
      </c>
      <c r="C148" s="101" t="s">
        <v>0</v>
      </c>
      <c r="D148" s="103" t="s">
        <v>460</v>
      </c>
    </row>
    <row r="149" spans="1:4">
      <c r="A149" s="100" t="str">
        <f t="shared" si="14"/>
        <v>АСПС.FB_UPP_S.XAON</v>
      </c>
      <c r="B149" s="101">
        <v>11152</v>
      </c>
      <c r="C149" s="101" t="s">
        <v>0</v>
      </c>
      <c r="D149" s="104" t="str">
        <f>$R$8</f>
        <v>Телесигнализация</v>
      </c>
    </row>
    <row r="150" spans="1:4">
      <c r="A150" s="63" t="str">
        <f t="shared" si="14"/>
        <v>АСПС.FB_UPP_S.XAON</v>
      </c>
      <c r="B150" s="64">
        <v>11155</v>
      </c>
      <c r="C150" s="64" t="s">
        <v>4</v>
      </c>
      <c r="D150" s="98">
        <f>$Q$6</f>
        <v>8</v>
      </c>
    </row>
    <row r="151" spans="1:4">
      <c r="A151" s="63" t="str">
        <f t="shared" si="14"/>
        <v>АСПС.FB_UPP_S.XAON</v>
      </c>
      <c r="B151" s="64">
        <v>11151</v>
      </c>
      <c r="C151" s="64" t="s">
        <v>0</v>
      </c>
      <c r="D151" s="65" t="s">
        <v>462</v>
      </c>
    </row>
    <row r="152" spans="1:4">
      <c r="A152" s="63" t="str">
        <f t="shared" si="14"/>
        <v>АСПС.FB_UPP_S.XAON</v>
      </c>
      <c r="B152" s="64">
        <v>11153</v>
      </c>
      <c r="C152" s="64" t="s">
        <v>0</v>
      </c>
      <c r="D152" s="99" t="str">
        <f>$R$6</f>
        <v>Предупреждение</v>
      </c>
    </row>
    <row r="153" spans="1:4">
      <c r="A153" s="19" t="str">
        <f t="shared" si="14"/>
        <v>АСПС.FB_UPP_S.XAON</v>
      </c>
      <c r="B153" s="11">
        <v>11000</v>
      </c>
      <c r="C153" s="11" t="s">
        <v>5</v>
      </c>
      <c r="D153" s="20">
        <v>2147483744</v>
      </c>
    </row>
    <row r="154" spans="1:4">
      <c r="A154" s="19" t="str">
        <f t="shared" si="14"/>
        <v>АСПС.FB_UPP_S.XAON</v>
      </c>
      <c r="B154" s="11">
        <v>7999</v>
      </c>
      <c r="C154" s="11" t="s">
        <v>0</v>
      </c>
      <c r="D154" s="20" t="str">
        <f>"#"&amp;$S$2&amp;"#"&amp;$T$2&amp;"\"&amp;$P$2&amp;"\XAON"</f>
        <v>#2#treiOPCDA.CoOPCserv.1\pcmaster\FB_UPP_S\XAON</v>
      </c>
    </row>
    <row r="155" spans="1:4">
      <c r="A155" s="19" t="str">
        <f t="shared" si="14"/>
        <v>АСПС.FB_UPP_S.XAON</v>
      </c>
      <c r="B155" s="11">
        <v>7998</v>
      </c>
      <c r="C155" s="11" t="s">
        <v>6</v>
      </c>
      <c r="D155" s="20">
        <v>1</v>
      </c>
    </row>
    <row r="156" spans="1:4">
      <c r="A156" s="19" t="str">
        <f t="shared" si="14"/>
        <v>АСПС.FB_UPP_S.XAON</v>
      </c>
      <c r="B156" s="11">
        <v>101</v>
      </c>
      <c r="C156" s="11" t="s">
        <v>0</v>
      </c>
      <c r="D156" s="20" t="s">
        <v>461</v>
      </c>
    </row>
    <row r="157" spans="1:4">
      <c r="A157" s="19" t="str">
        <f t="shared" si="14"/>
        <v>АСПС.FB_UPP_S.XAON</v>
      </c>
      <c r="B157" s="11">
        <v>3</v>
      </c>
      <c r="C157" s="11" t="s">
        <v>1</v>
      </c>
      <c r="D157" s="20">
        <v>192</v>
      </c>
    </row>
    <row r="158" spans="1:4">
      <c r="A158" s="19" t="str">
        <f t="shared" si="14"/>
        <v>АСПС.FB_UPP_S.XAON</v>
      </c>
      <c r="B158" s="11">
        <v>2</v>
      </c>
      <c r="C158" s="11" t="s">
        <v>2</v>
      </c>
      <c r="D158" s="20" t="s">
        <v>3</v>
      </c>
    </row>
    <row r="159" spans="1:4">
      <c r="A159" s="21" t="str">
        <f t="shared" si="14"/>
        <v>АСПС.FB_UPP_S.XAON</v>
      </c>
      <c r="B159" s="8">
        <v>1</v>
      </c>
      <c r="C159" s="8" t="s">
        <v>1</v>
      </c>
      <c r="D159" s="22">
        <v>11</v>
      </c>
    </row>
    <row r="160" spans="1:4">
      <c r="A160" s="222" t="str">
        <f>$R$2&amp;".OF1N"</f>
        <v>АСПС.FB_UPP_S.OF1N</v>
      </c>
      <c r="B160" s="223">
        <v>11154</v>
      </c>
      <c r="C160" s="223" t="s">
        <v>4</v>
      </c>
      <c r="D160" s="224">
        <f>$Q$14</f>
        <v>1</v>
      </c>
    </row>
    <row r="161" spans="1:4">
      <c r="A161" s="225" t="str">
        <f t="shared" ref="A161:A169" si="15">$R$2&amp;".OF1N"</f>
        <v>АСПС.FB_UPP_S.OF1N</v>
      </c>
      <c r="B161" s="226">
        <v>11150</v>
      </c>
      <c r="C161" s="226" t="s">
        <v>0</v>
      </c>
      <c r="D161" s="227" t="s">
        <v>587</v>
      </c>
    </row>
    <row r="162" spans="1:4">
      <c r="A162" s="225" t="str">
        <f t="shared" si="15"/>
        <v>АСПС.FB_UPP_S.OF1N</v>
      </c>
      <c r="B162" s="226">
        <v>11152</v>
      </c>
      <c r="C162" s="226" t="s">
        <v>0</v>
      </c>
      <c r="D162" s="228" t="str">
        <f>$R$14</f>
        <v>Тушение</v>
      </c>
    </row>
    <row r="163" spans="1:4">
      <c r="A163" s="225" t="str">
        <f t="shared" si="15"/>
        <v>АСПС.FB_UPP_S.OF1N</v>
      </c>
      <c r="B163" s="226">
        <v>11000</v>
      </c>
      <c r="C163" s="226" t="s">
        <v>5</v>
      </c>
      <c r="D163" s="227">
        <v>2147483680</v>
      </c>
    </row>
    <row r="164" spans="1:4">
      <c r="A164" s="19" t="str">
        <f t="shared" si="15"/>
        <v>АСПС.FB_UPP_S.OF1N</v>
      </c>
      <c r="B164" s="11">
        <v>7999</v>
      </c>
      <c r="C164" s="11" t="s">
        <v>0</v>
      </c>
      <c r="D164" s="20" t="str">
        <f>"#"&amp;$S$2&amp;"#"&amp;$T$2&amp;"\"&amp;$P$2&amp;"\OF1N"</f>
        <v>#2#treiOPCDA.CoOPCserv.1\pcmaster\FB_UPP_S\OF1N</v>
      </c>
    </row>
    <row r="165" spans="1:4">
      <c r="A165" s="19" t="str">
        <f t="shared" si="15"/>
        <v>АСПС.FB_UPP_S.OF1N</v>
      </c>
      <c r="B165" s="11">
        <v>7998</v>
      </c>
      <c r="C165" s="11" t="s">
        <v>6</v>
      </c>
      <c r="D165" s="20">
        <v>1</v>
      </c>
    </row>
    <row r="166" spans="1:4">
      <c r="A166" s="19" t="str">
        <f t="shared" si="15"/>
        <v>АСПС.FB_UPP_S.OF1N</v>
      </c>
      <c r="B166" s="11">
        <v>101</v>
      </c>
      <c r="C166" s="11" t="s">
        <v>0</v>
      </c>
      <c r="D166" s="20" t="s">
        <v>586</v>
      </c>
    </row>
    <row r="167" spans="1:4">
      <c r="A167" s="19" t="str">
        <f t="shared" si="15"/>
        <v>АСПС.FB_UPP_S.OF1N</v>
      </c>
      <c r="B167" s="11">
        <v>3</v>
      </c>
      <c r="C167" s="11" t="s">
        <v>1</v>
      </c>
      <c r="D167" s="20">
        <v>192</v>
      </c>
    </row>
    <row r="168" spans="1:4">
      <c r="A168" s="19" t="str">
        <f t="shared" si="15"/>
        <v>АСПС.FB_UPP_S.OF1N</v>
      </c>
      <c r="B168" s="11">
        <v>2</v>
      </c>
      <c r="C168" s="11" t="s">
        <v>2</v>
      </c>
      <c r="D168" s="20" t="s">
        <v>3</v>
      </c>
    </row>
    <row r="169" spans="1:4">
      <c r="A169" s="21" t="str">
        <f t="shared" si="15"/>
        <v>АСПС.FB_UPP_S.OF1N</v>
      </c>
      <c r="B169" s="8">
        <v>1</v>
      </c>
      <c r="C169" s="8" t="s">
        <v>1</v>
      </c>
      <c r="D169" s="22">
        <v>11</v>
      </c>
    </row>
    <row r="170" spans="1:4">
      <c r="A170" s="222" t="str">
        <f t="shared" ref="A170:A179" si="16">$R$2&amp;".XW1X"</f>
        <v>АСПС.FB_UPP_S.XW1X</v>
      </c>
      <c r="B170" s="223">
        <v>11154</v>
      </c>
      <c r="C170" s="223" t="s">
        <v>4</v>
      </c>
      <c r="D170" s="224">
        <f>$Q$14</f>
        <v>1</v>
      </c>
    </row>
    <row r="171" spans="1:4">
      <c r="A171" s="225" t="str">
        <f t="shared" si="16"/>
        <v>АСПС.FB_UPP_S.XW1X</v>
      </c>
      <c r="B171" s="226">
        <v>11150</v>
      </c>
      <c r="C171" s="226" t="s">
        <v>0</v>
      </c>
      <c r="D171" s="227" t="s">
        <v>519</v>
      </c>
    </row>
    <row r="172" spans="1:4">
      <c r="A172" s="225" t="str">
        <f t="shared" si="16"/>
        <v>АСПС.FB_UPP_S.XW1X</v>
      </c>
      <c r="B172" s="226">
        <v>11152</v>
      </c>
      <c r="C172" s="226" t="s">
        <v>0</v>
      </c>
      <c r="D172" s="228" t="str">
        <f>$R$14</f>
        <v>Тушение</v>
      </c>
    </row>
    <row r="173" spans="1:4">
      <c r="A173" s="225" t="str">
        <f t="shared" si="16"/>
        <v>АСПС.FB_UPP_S.XW1X</v>
      </c>
      <c r="B173" s="226">
        <v>11000</v>
      </c>
      <c r="C173" s="226" t="s">
        <v>5</v>
      </c>
      <c r="D173" s="227">
        <v>2147483680</v>
      </c>
    </row>
    <row r="174" spans="1:4">
      <c r="A174" s="19" t="str">
        <f t="shared" si="16"/>
        <v>АСПС.FB_UPP_S.XW1X</v>
      </c>
      <c r="B174" s="11">
        <v>7999</v>
      </c>
      <c r="C174" s="11" t="s">
        <v>0</v>
      </c>
      <c r="D174" s="20" t="str">
        <f>"#"&amp;$S$2&amp;"#"&amp;$T$2&amp;"\"&amp;$P$2&amp;"\XW1X"</f>
        <v>#2#treiOPCDA.CoOPCserv.1\pcmaster\FB_UPP_S\XW1X</v>
      </c>
    </row>
    <row r="175" spans="1:4">
      <c r="A175" s="19" t="str">
        <f t="shared" si="16"/>
        <v>АСПС.FB_UPP_S.XW1X</v>
      </c>
      <c r="B175" s="11">
        <v>7998</v>
      </c>
      <c r="C175" s="11" t="s">
        <v>6</v>
      </c>
      <c r="D175" s="20">
        <v>1</v>
      </c>
    </row>
    <row r="176" spans="1:4">
      <c r="A176" s="19" t="str">
        <f t="shared" si="16"/>
        <v>АСПС.FB_UPP_S.XW1X</v>
      </c>
      <c r="B176" s="11">
        <v>101</v>
      </c>
      <c r="C176" s="11" t="s">
        <v>0</v>
      </c>
      <c r="D176" s="20" t="str">
        <f>IF($Z$2=1,"АУПТ сработала 1 очередь","АУПТ сработала")</f>
        <v>АУПТ сработала</v>
      </c>
    </row>
    <row r="177" spans="1:4">
      <c r="A177" s="19" t="str">
        <f t="shared" si="16"/>
        <v>АСПС.FB_UPP_S.XW1X</v>
      </c>
      <c r="B177" s="11">
        <v>3</v>
      </c>
      <c r="C177" s="11" t="s">
        <v>1</v>
      </c>
      <c r="D177" s="20">
        <v>192</v>
      </c>
    </row>
    <row r="178" spans="1:4">
      <c r="A178" s="19" t="str">
        <f t="shared" si="16"/>
        <v>АСПС.FB_UPP_S.XW1X</v>
      </c>
      <c r="B178" s="11">
        <v>2</v>
      </c>
      <c r="C178" s="11" t="s">
        <v>2</v>
      </c>
      <c r="D178" s="20" t="s">
        <v>3</v>
      </c>
    </row>
    <row r="179" spans="1:4">
      <c r="A179" s="21" t="str">
        <f t="shared" si="16"/>
        <v>АСПС.FB_UPP_S.XW1X</v>
      </c>
      <c r="B179" s="8">
        <v>1</v>
      </c>
      <c r="C179" s="8" t="s">
        <v>1</v>
      </c>
      <c r="D179" s="22">
        <v>11</v>
      </c>
    </row>
    <row r="180" spans="1:4">
      <c r="A180" s="222" t="str">
        <f>$R$2&amp;".XEFN"</f>
        <v>АСПС.FB_UPP_S.XEFN</v>
      </c>
      <c r="B180" s="223">
        <v>11154</v>
      </c>
      <c r="C180" s="223" t="s">
        <v>4</v>
      </c>
      <c r="D180" s="224">
        <f>$Q$14</f>
        <v>1</v>
      </c>
    </row>
    <row r="181" spans="1:4">
      <c r="A181" s="225" t="str">
        <f t="shared" ref="A181:A189" si="17">$R$2&amp;".XEFN"</f>
        <v>АСПС.FB_UPP_S.XEFN</v>
      </c>
      <c r="B181" s="226">
        <v>11150</v>
      </c>
      <c r="C181" s="226" t="s">
        <v>0</v>
      </c>
      <c r="D181" s="227" t="s">
        <v>548</v>
      </c>
    </row>
    <row r="182" spans="1:4">
      <c r="A182" s="225" t="str">
        <f t="shared" si="17"/>
        <v>АСПС.FB_UPP_S.XEFN</v>
      </c>
      <c r="B182" s="226">
        <v>11152</v>
      </c>
      <c r="C182" s="226" t="s">
        <v>0</v>
      </c>
      <c r="D182" s="228" t="str">
        <f>$R$14</f>
        <v>Тушение</v>
      </c>
    </row>
    <row r="183" spans="1:4">
      <c r="A183" s="225" t="str">
        <f t="shared" si="17"/>
        <v>АСПС.FB_UPP_S.XEFN</v>
      </c>
      <c r="B183" s="226">
        <v>11000</v>
      </c>
      <c r="C183" s="226" t="s">
        <v>5</v>
      </c>
      <c r="D183" s="227">
        <v>2147483680</v>
      </c>
    </row>
    <row r="184" spans="1:4">
      <c r="A184" s="19" t="str">
        <f t="shared" si="17"/>
        <v>АСПС.FB_UPP_S.XEFN</v>
      </c>
      <c r="B184" s="11">
        <v>7999</v>
      </c>
      <c r="C184" s="11" t="s">
        <v>0</v>
      </c>
      <c r="D184" s="20" t="str">
        <f>"#"&amp;$S$2&amp;"#"&amp;$T$2&amp;"\"&amp;$P$2&amp;"\XEFN"</f>
        <v>#2#treiOPCDA.CoOPCserv.1\pcmaster\FB_UPP_S\XEFN</v>
      </c>
    </row>
    <row r="185" spans="1:4">
      <c r="A185" s="19" t="str">
        <f t="shared" si="17"/>
        <v>АСПС.FB_UPP_S.XEFN</v>
      </c>
      <c r="B185" s="11">
        <v>7998</v>
      </c>
      <c r="C185" s="11" t="s">
        <v>6</v>
      </c>
      <c r="D185" s="20">
        <v>1</v>
      </c>
    </row>
    <row r="186" spans="1:4">
      <c r="A186" s="19" t="str">
        <f t="shared" si="17"/>
        <v>АСПС.FB_UPP_S.XEFN</v>
      </c>
      <c r="B186" s="11">
        <v>101</v>
      </c>
      <c r="C186" s="11" t="s">
        <v>0</v>
      </c>
      <c r="D186" s="20" t="s">
        <v>548</v>
      </c>
    </row>
    <row r="187" spans="1:4">
      <c r="A187" s="19" t="str">
        <f t="shared" si="17"/>
        <v>АСПС.FB_UPP_S.XEFN</v>
      </c>
      <c r="B187" s="11">
        <v>3</v>
      </c>
      <c r="C187" s="11" t="s">
        <v>1</v>
      </c>
      <c r="D187" s="20">
        <v>192</v>
      </c>
    </row>
    <row r="188" spans="1:4">
      <c r="A188" s="19" t="str">
        <f t="shared" si="17"/>
        <v>АСПС.FB_UPP_S.XEFN</v>
      </c>
      <c r="B188" s="11">
        <v>2</v>
      </c>
      <c r="C188" s="11" t="s">
        <v>2</v>
      </c>
      <c r="D188" s="20" t="s">
        <v>3</v>
      </c>
    </row>
    <row r="189" spans="1:4">
      <c r="A189" s="21" t="str">
        <f t="shared" si="17"/>
        <v>АСПС.FB_UPP_S.XEFN</v>
      </c>
      <c r="B189" s="8">
        <v>1</v>
      </c>
      <c r="C189" s="8" t="s">
        <v>1</v>
      </c>
      <c r="D189" s="22">
        <v>11</v>
      </c>
    </row>
    <row r="190" spans="1:4">
      <c r="A190" s="222" t="str">
        <f>$R$2&amp;".XFDN"</f>
        <v>АСПС.FB_UPP_S.XFDN</v>
      </c>
      <c r="B190" s="223">
        <v>11154</v>
      </c>
      <c r="C190" s="223" t="s">
        <v>4</v>
      </c>
      <c r="D190" s="224">
        <f>$Q$14</f>
        <v>1</v>
      </c>
    </row>
    <row r="191" spans="1:4">
      <c r="A191" s="225" t="str">
        <f t="shared" ref="A191:A199" si="18">$R$2&amp;".XFDN"</f>
        <v>АСПС.FB_UPP_S.XFDN</v>
      </c>
      <c r="B191" s="226">
        <v>11150</v>
      </c>
      <c r="C191" s="226" t="s">
        <v>0</v>
      </c>
      <c r="D191" s="227" t="s">
        <v>464</v>
      </c>
    </row>
    <row r="192" spans="1:4">
      <c r="A192" s="225" t="str">
        <f t="shared" si="18"/>
        <v>АСПС.FB_UPP_S.XFDN</v>
      </c>
      <c r="B192" s="226">
        <v>11152</v>
      </c>
      <c r="C192" s="226" t="s">
        <v>0</v>
      </c>
      <c r="D192" s="228" t="str">
        <f>$R$14</f>
        <v>Тушение</v>
      </c>
    </row>
    <row r="193" spans="1:4">
      <c r="A193" s="225" t="str">
        <f t="shared" si="18"/>
        <v>АСПС.FB_UPP_S.XFDN</v>
      </c>
      <c r="B193" s="226">
        <v>11000</v>
      </c>
      <c r="C193" s="226" t="s">
        <v>5</v>
      </c>
      <c r="D193" s="227">
        <v>2147483680</v>
      </c>
    </row>
    <row r="194" spans="1:4">
      <c r="A194" s="19" t="str">
        <f t="shared" si="18"/>
        <v>АСПС.FB_UPP_S.XFDN</v>
      </c>
      <c r="B194" s="11">
        <v>7999</v>
      </c>
      <c r="C194" s="11" t="s">
        <v>0</v>
      </c>
      <c r="D194" s="20" t="str">
        <f>"#"&amp;$S$2&amp;"#"&amp;$T$2&amp;"\"&amp;$P$2&amp;"\XFDN"</f>
        <v>#2#treiOPCDA.CoOPCserv.1\pcmaster\FB_UPP_S\XFDN</v>
      </c>
    </row>
    <row r="195" spans="1:4">
      <c r="A195" s="19" t="str">
        <f t="shared" si="18"/>
        <v>АСПС.FB_UPP_S.XFDN</v>
      </c>
      <c r="B195" s="11">
        <v>7998</v>
      </c>
      <c r="C195" s="11" t="s">
        <v>6</v>
      </c>
      <c r="D195" s="20">
        <v>1</v>
      </c>
    </row>
    <row r="196" spans="1:4">
      <c r="A196" s="19" t="str">
        <f t="shared" si="18"/>
        <v>АСПС.FB_UPP_S.XFDN</v>
      </c>
      <c r="B196" s="11">
        <v>101</v>
      </c>
      <c r="C196" s="11" t="s">
        <v>0</v>
      </c>
      <c r="D196" s="20" t="s">
        <v>464</v>
      </c>
    </row>
    <row r="197" spans="1:4">
      <c r="A197" s="19" t="str">
        <f t="shared" si="18"/>
        <v>АСПС.FB_UPP_S.XFDN</v>
      </c>
      <c r="B197" s="11">
        <v>3</v>
      </c>
      <c r="C197" s="11" t="s">
        <v>1</v>
      </c>
      <c r="D197" s="20">
        <v>192</v>
      </c>
    </row>
    <row r="198" spans="1:4">
      <c r="A198" s="19" t="str">
        <f t="shared" si="18"/>
        <v>АСПС.FB_UPP_S.XFDN</v>
      </c>
      <c r="B198" s="11">
        <v>2</v>
      </c>
      <c r="C198" s="11" t="s">
        <v>2</v>
      </c>
      <c r="D198" s="20" t="s">
        <v>3</v>
      </c>
    </row>
    <row r="199" spans="1:4">
      <c r="A199" s="21" t="str">
        <f t="shared" si="18"/>
        <v>АСПС.FB_UPP_S.XFDN</v>
      </c>
      <c r="B199" s="8">
        <v>1</v>
      </c>
      <c r="C199" s="8" t="s">
        <v>1</v>
      </c>
      <c r="D199" s="22">
        <v>11</v>
      </c>
    </row>
    <row r="200" spans="1:4">
      <c r="A200" s="342" t="str">
        <f>$R$2&amp;".CSAN"</f>
        <v>АСПС.FB_UPP_S.CSAN</v>
      </c>
      <c r="B200" s="343">
        <v>11154</v>
      </c>
      <c r="C200" s="343" t="s">
        <v>4</v>
      </c>
      <c r="D200" s="344">
        <f>$Q$19</f>
        <v>22</v>
      </c>
    </row>
    <row r="201" spans="1:4">
      <c r="A201" s="345" t="str">
        <f>$R$2&amp;".CSAN"</f>
        <v>АСПС.FB_UPP_S.CSAN</v>
      </c>
      <c r="B201" s="346">
        <v>11150</v>
      </c>
      <c r="C201" s="346" t="s">
        <v>0</v>
      </c>
      <c r="D201" s="347" t="s">
        <v>465</v>
      </c>
    </row>
    <row r="202" spans="1:4">
      <c r="A202" s="345" t="str">
        <f>$R$2&amp;".CSAN"</f>
        <v>АСПС.FB_UPP_S.CSAN</v>
      </c>
      <c r="B202" s="346">
        <v>11152</v>
      </c>
      <c r="C202" s="346" t="s">
        <v>0</v>
      </c>
      <c r="D202" s="348" t="str">
        <f>$R$19</f>
        <v>Информация</v>
      </c>
    </row>
    <row r="203" spans="1:4">
      <c r="A203" s="345" t="str">
        <f>$R$2&amp;".CSAN"</f>
        <v>АСПС.FB_UPP_S.CSAN</v>
      </c>
      <c r="B203" s="346">
        <v>11000</v>
      </c>
      <c r="C203" s="346" t="s">
        <v>5</v>
      </c>
      <c r="D203" s="347">
        <v>2147483680</v>
      </c>
    </row>
    <row r="204" spans="1:4">
      <c r="A204" s="19" t="str">
        <f t="shared" ref="A204:A209" si="19">$R$2&amp;".CSAN"</f>
        <v>АСПС.FB_UPP_S.CSAN</v>
      </c>
      <c r="B204" s="11">
        <v>7999</v>
      </c>
      <c r="C204" s="11" t="s">
        <v>0</v>
      </c>
      <c r="D204" s="20" t="str">
        <f>"#"&amp;$S$2&amp;"#"&amp;$T$2&amp;"\"&amp;$P$2&amp;"\CSAN"</f>
        <v>#2#treiOPCDA.CoOPCserv.1\pcmaster\FB_UPP_S\CSAN</v>
      </c>
    </row>
    <row r="205" spans="1:4">
      <c r="A205" s="19" t="str">
        <f t="shared" si="19"/>
        <v>АСПС.FB_UPP_S.CSAN</v>
      </c>
      <c r="B205" s="11">
        <v>7998</v>
      </c>
      <c r="C205" s="11" t="s">
        <v>6</v>
      </c>
      <c r="D205" s="20">
        <v>1</v>
      </c>
    </row>
    <row r="206" spans="1:4">
      <c r="A206" s="19" t="str">
        <f t="shared" si="19"/>
        <v>АСПС.FB_UPP_S.CSAN</v>
      </c>
      <c r="B206" s="11">
        <v>101</v>
      </c>
      <c r="C206" s="11" t="s">
        <v>0</v>
      </c>
      <c r="D206" s="20" t="s">
        <v>465</v>
      </c>
    </row>
    <row r="207" spans="1:4">
      <c r="A207" s="19" t="str">
        <f t="shared" si="19"/>
        <v>АСПС.FB_UPP_S.CSAN</v>
      </c>
      <c r="B207" s="11">
        <v>3</v>
      </c>
      <c r="C207" s="11" t="s">
        <v>1</v>
      </c>
      <c r="D207" s="20">
        <v>192</v>
      </c>
    </row>
    <row r="208" spans="1:4">
      <c r="A208" s="19" t="str">
        <f t="shared" si="19"/>
        <v>АСПС.FB_UPP_S.CSAN</v>
      </c>
      <c r="B208" s="11">
        <v>2</v>
      </c>
      <c r="C208" s="11" t="s">
        <v>2</v>
      </c>
      <c r="D208" s="20" t="s">
        <v>3</v>
      </c>
    </row>
    <row r="209" spans="1:4">
      <c r="A209" s="21" t="str">
        <f t="shared" si="19"/>
        <v>АСПС.FB_UPP_S.CSAN</v>
      </c>
      <c r="B209" s="8">
        <v>1</v>
      </c>
      <c r="C209" s="8" t="s">
        <v>1</v>
      </c>
      <c r="D209" s="22">
        <v>11</v>
      </c>
    </row>
    <row r="210" spans="1:4">
      <c r="A210" s="342" t="str">
        <f>$R$2&amp;".CSAF"</f>
        <v>АСПС.FB_UPP_S.CSAF</v>
      </c>
      <c r="B210" s="343">
        <v>11154</v>
      </c>
      <c r="C210" s="343" t="s">
        <v>4</v>
      </c>
      <c r="D210" s="344">
        <f>$Q$19</f>
        <v>22</v>
      </c>
    </row>
    <row r="211" spans="1:4">
      <c r="A211" s="345" t="str">
        <f>$R$2&amp;".CSAF"</f>
        <v>АСПС.FB_UPP_S.CSAF</v>
      </c>
      <c r="B211" s="346">
        <v>11150</v>
      </c>
      <c r="C211" s="346" t="s">
        <v>0</v>
      </c>
      <c r="D211" s="347" t="s">
        <v>466</v>
      </c>
    </row>
    <row r="212" spans="1:4">
      <c r="A212" s="345" t="str">
        <f>$R$2&amp;".CSAF"</f>
        <v>АСПС.FB_UPP_S.CSAF</v>
      </c>
      <c r="B212" s="346">
        <v>11152</v>
      </c>
      <c r="C212" s="346" t="s">
        <v>0</v>
      </c>
      <c r="D212" s="348" t="str">
        <f>$R$19</f>
        <v>Информация</v>
      </c>
    </row>
    <row r="213" spans="1:4">
      <c r="A213" s="345" t="str">
        <f>$R$2&amp;".CSAF"</f>
        <v>АСПС.FB_UPP_S.CSAF</v>
      </c>
      <c r="B213" s="346">
        <v>11000</v>
      </c>
      <c r="C213" s="346" t="s">
        <v>5</v>
      </c>
      <c r="D213" s="347">
        <v>2147483680</v>
      </c>
    </row>
    <row r="214" spans="1:4">
      <c r="A214" s="19" t="str">
        <f t="shared" ref="A214:A219" si="20">$R$2&amp;".CSAF"</f>
        <v>АСПС.FB_UPP_S.CSAF</v>
      </c>
      <c r="B214" s="11">
        <v>7999</v>
      </c>
      <c r="C214" s="11" t="s">
        <v>0</v>
      </c>
      <c r="D214" s="20" t="str">
        <f>"#"&amp;$S$2&amp;"#"&amp;$T$2&amp;"\"&amp;$P$2&amp;"\CSAF"</f>
        <v>#2#treiOPCDA.CoOPCserv.1\pcmaster\FB_UPP_S\CSAF</v>
      </c>
    </row>
    <row r="215" spans="1:4">
      <c r="A215" s="19" t="str">
        <f t="shared" si="20"/>
        <v>АСПС.FB_UPP_S.CSAF</v>
      </c>
      <c r="B215" s="11">
        <v>7998</v>
      </c>
      <c r="C215" s="11" t="s">
        <v>6</v>
      </c>
      <c r="D215" s="20">
        <v>1</v>
      </c>
    </row>
    <row r="216" spans="1:4">
      <c r="A216" s="19" t="str">
        <f t="shared" si="20"/>
        <v>АСПС.FB_UPP_S.CSAF</v>
      </c>
      <c r="B216" s="11">
        <v>101</v>
      </c>
      <c r="C216" s="11" t="s">
        <v>0</v>
      </c>
      <c r="D216" s="20" t="s">
        <v>466</v>
      </c>
    </row>
    <row r="217" spans="1:4">
      <c r="A217" s="19" t="str">
        <f t="shared" si="20"/>
        <v>АСПС.FB_UPP_S.CSAF</v>
      </c>
      <c r="B217" s="11">
        <v>3</v>
      </c>
      <c r="C217" s="11" t="s">
        <v>1</v>
      </c>
      <c r="D217" s="20">
        <v>192</v>
      </c>
    </row>
    <row r="218" spans="1:4">
      <c r="A218" s="19" t="str">
        <f t="shared" si="20"/>
        <v>АСПС.FB_UPP_S.CSAF</v>
      </c>
      <c r="B218" s="11">
        <v>2</v>
      </c>
      <c r="C218" s="11" t="s">
        <v>2</v>
      </c>
      <c r="D218" s="20" t="s">
        <v>3</v>
      </c>
    </row>
    <row r="219" spans="1:4">
      <c r="A219" s="21" t="str">
        <f t="shared" si="20"/>
        <v>АСПС.FB_UPP_S.CSAF</v>
      </c>
      <c r="B219" s="8">
        <v>1</v>
      </c>
      <c r="C219" s="8" t="s">
        <v>1</v>
      </c>
      <c r="D219" s="22">
        <v>11</v>
      </c>
    </row>
    <row r="220" spans="1:4">
      <c r="A220" s="342" t="str">
        <f>$R$2&amp;".CPAN"</f>
        <v>АСПС.FB_UPP_S.CPAN</v>
      </c>
      <c r="B220" s="343">
        <v>11154</v>
      </c>
      <c r="C220" s="343" t="s">
        <v>4</v>
      </c>
      <c r="D220" s="344">
        <f>$Q$19</f>
        <v>22</v>
      </c>
    </row>
    <row r="221" spans="1:4">
      <c r="A221" s="345" t="str">
        <f>$R$2&amp;".CPAN"</f>
        <v>АСПС.FB_UPP_S.CPAN</v>
      </c>
      <c r="B221" s="346">
        <v>11150</v>
      </c>
      <c r="C221" s="346" t="s">
        <v>0</v>
      </c>
      <c r="D221" s="347" t="s">
        <v>467</v>
      </c>
    </row>
    <row r="222" spans="1:4">
      <c r="A222" s="345" t="str">
        <f>$R$2&amp;".CPAN"</f>
        <v>АСПС.FB_UPP_S.CPAN</v>
      </c>
      <c r="B222" s="346">
        <v>11152</v>
      </c>
      <c r="C222" s="346" t="s">
        <v>0</v>
      </c>
      <c r="D222" s="348" t="str">
        <f>$R$19</f>
        <v>Информация</v>
      </c>
    </row>
    <row r="223" spans="1:4">
      <c r="A223" s="345" t="str">
        <f>$R$2&amp;".CPAN"</f>
        <v>АСПС.FB_UPP_S.CPAN</v>
      </c>
      <c r="B223" s="346">
        <v>11000</v>
      </c>
      <c r="C223" s="346" t="s">
        <v>5</v>
      </c>
      <c r="D223" s="347">
        <v>2147483680</v>
      </c>
    </row>
    <row r="224" spans="1:4">
      <c r="A224" s="19" t="str">
        <f t="shared" ref="A224:A229" si="21">$R$2&amp;".CPAN"</f>
        <v>АСПС.FB_UPP_S.CPAN</v>
      </c>
      <c r="B224" s="11">
        <v>7999</v>
      </c>
      <c r="C224" s="11" t="s">
        <v>0</v>
      </c>
      <c r="D224" s="20" t="str">
        <f>"#"&amp;$S$2&amp;"#"&amp;$T$2&amp;"\"&amp;$P$2&amp;"\CPAN"</f>
        <v>#2#treiOPCDA.CoOPCserv.1\pcmaster\FB_UPP_S\CPAN</v>
      </c>
    </row>
    <row r="225" spans="1:4">
      <c r="A225" s="19" t="str">
        <f t="shared" si="21"/>
        <v>АСПС.FB_UPP_S.CPAN</v>
      </c>
      <c r="B225" s="11">
        <v>7998</v>
      </c>
      <c r="C225" s="11" t="s">
        <v>6</v>
      </c>
      <c r="D225" s="20">
        <v>1</v>
      </c>
    </row>
    <row r="226" spans="1:4">
      <c r="A226" s="19" t="str">
        <f t="shared" si="21"/>
        <v>АСПС.FB_UPP_S.CPAN</v>
      </c>
      <c r="B226" s="11">
        <v>101</v>
      </c>
      <c r="C226" s="11" t="s">
        <v>0</v>
      </c>
      <c r="D226" s="20" t="s">
        <v>467</v>
      </c>
    </row>
    <row r="227" spans="1:4">
      <c r="A227" s="19" t="str">
        <f t="shared" si="21"/>
        <v>АСПС.FB_UPP_S.CPAN</v>
      </c>
      <c r="B227" s="11">
        <v>3</v>
      </c>
      <c r="C227" s="11" t="s">
        <v>1</v>
      </c>
      <c r="D227" s="20">
        <v>192</v>
      </c>
    </row>
    <row r="228" spans="1:4">
      <c r="A228" s="19" t="str">
        <f t="shared" si="21"/>
        <v>АСПС.FB_UPP_S.CPAN</v>
      </c>
      <c r="B228" s="11">
        <v>2</v>
      </c>
      <c r="C228" s="11" t="s">
        <v>2</v>
      </c>
      <c r="D228" s="20" t="s">
        <v>3</v>
      </c>
    </row>
    <row r="229" spans="1:4">
      <c r="A229" s="21" t="str">
        <f t="shared" si="21"/>
        <v>АСПС.FB_UPP_S.CPAN</v>
      </c>
      <c r="B229" s="8">
        <v>1</v>
      </c>
      <c r="C229" s="8" t="s">
        <v>1</v>
      </c>
      <c r="D229" s="22">
        <v>11</v>
      </c>
    </row>
    <row r="230" spans="1:4">
      <c r="A230" s="342" t="str">
        <f>$R$2&amp;".CPAF"</f>
        <v>АСПС.FB_UPP_S.CPAF</v>
      </c>
      <c r="B230" s="343">
        <v>11154</v>
      </c>
      <c r="C230" s="343" t="s">
        <v>4</v>
      </c>
      <c r="D230" s="344">
        <f>$Q$19</f>
        <v>22</v>
      </c>
    </row>
    <row r="231" spans="1:4">
      <c r="A231" s="345" t="str">
        <f>$R$2&amp;".CPAF"</f>
        <v>АСПС.FB_UPP_S.CPAF</v>
      </c>
      <c r="B231" s="346">
        <v>11150</v>
      </c>
      <c r="C231" s="346" t="s">
        <v>0</v>
      </c>
      <c r="D231" s="347" t="s">
        <v>468</v>
      </c>
    </row>
    <row r="232" spans="1:4">
      <c r="A232" s="345" t="str">
        <f>$R$2&amp;".CPAF"</f>
        <v>АСПС.FB_UPP_S.CPAF</v>
      </c>
      <c r="B232" s="346">
        <v>11152</v>
      </c>
      <c r="C232" s="346" t="s">
        <v>0</v>
      </c>
      <c r="D232" s="348" t="str">
        <f>$R$19</f>
        <v>Информация</v>
      </c>
    </row>
    <row r="233" spans="1:4">
      <c r="A233" s="345" t="str">
        <f>$R$2&amp;".CPAF"</f>
        <v>АСПС.FB_UPP_S.CPAF</v>
      </c>
      <c r="B233" s="346">
        <v>11000</v>
      </c>
      <c r="C233" s="346" t="s">
        <v>5</v>
      </c>
      <c r="D233" s="347">
        <v>2147483680</v>
      </c>
    </row>
    <row r="234" spans="1:4">
      <c r="A234" s="19" t="str">
        <f t="shared" ref="A234:A239" si="22">$R$2&amp;".CPAF"</f>
        <v>АСПС.FB_UPP_S.CPAF</v>
      </c>
      <c r="B234" s="11">
        <v>7999</v>
      </c>
      <c r="C234" s="11" t="s">
        <v>0</v>
      </c>
      <c r="D234" s="20" t="str">
        <f>"#"&amp;$S$2&amp;"#"&amp;$T$2&amp;"\"&amp;$P$2&amp;"\CPAF"</f>
        <v>#2#treiOPCDA.CoOPCserv.1\pcmaster\FB_UPP_S\CPAF</v>
      </c>
    </row>
    <row r="235" spans="1:4">
      <c r="A235" s="19" t="str">
        <f t="shared" si="22"/>
        <v>АСПС.FB_UPP_S.CPAF</v>
      </c>
      <c r="B235" s="11">
        <v>7998</v>
      </c>
      <c r="C235" s="11" t="s">
        <v>6</v>
      </c>
      <c r="D235" s="20">
        <v>1</v>
      </c>
    </row>
    <row r="236" spans="1:4">
      <c r="A236" s="19" t="str">
        <f t="shared" si="22"/>
        <v>АСПС.FB_UPP_S.CPAF</v>
      </c>
      <c r="B236" s="11">
        <v>101</v>
      </c>
      <c r="C236" s="11" t="s">
        <v>0</v>
      </c>
      <c r="D236" s="20" t="s">
        <v>468</v>
      </c>
    </row>
    <row r="237" spans="1:4">
      <c r="A237" s="19" t="str">
        <f t="shared" si="22"/>
        <v>АСПС.FB_UPP_S.CPAF</v>
      </c>
      <c r="B237" s="11">
        <v>3</v>
      </c>
      <c r="C237" s="11" t="s">
        <v>1</v>
      </c>
      <c r="D237" s="20">
        <v>192</v>
      </c>
    </row>
    <row r="238" spans="1:4">
      <c r="A238" s="19" t="str">
        <f t="shared" si="22"/>
        <v>АСПС.FB_UPP_S.CPAF</v>
      </c>
      <c r="B238" s="11">
        <v>2</v>
      </c>
      <c r="C238" s="11" t="s">
        <v>2</v>
      </c>
      <c r="D238" s="20" t="s">
        <v>3</v>
      </c>
    </row>
    <row r="239" spans="1:4">
      <c r="A239" s="21" t="str">
        <f t="shared" si="22"/>
        <v>АСПС.FB_UPP_S.CPAF</v>
      </c>
      <c r="B239" s="8">
        <v>1</v>
      </c>
      <c r="C239" s="8" t="s">
        <v>1</v>
      </c>
      <c r="D239" s="22">
        <v>11</v>
      </c>
    </row>
    <row r="240" spans="1:4">
      <c r="A240" s="342" t="str">
        <f>$R$2&amp;".CSOF"</f>
        <v>АСПС.FB_UPP_S.CSOF</v>
      </c>
      <c r="B240" s="343">
        <v>11154</v>
      </c>
      <c r="C240" s="343" t="s">
        <v>4</v>
      </c>
      <c r="D240" s="344">
        <f>$Q$19</f>
        <v>22</v>
      </c>
    </row>
    <row r="241" spans="1:4">
      <c r="A241" s="345" t="str">
        <f>$R$2&amp;".CSOF"</f>
        <v>АСПС.FB_UPP_S.CSOF</v>
      </c>
      <c r="B241" s="346">
        <v>11150</v>
      </c>
      <c r="C241" s="346" t="s">
        <v>0</v>
      </c>
      <c r="D241" s="347" t="s">
        <v>470</v>
      </c>
    </row>
    <row r="242" spans="1:4">
      <c r="A242" s="345" t="str">
        <f>$R$2&amp;".CSOF"</f>
        <v>АСПС.FB_UPP_S.CSOF</v>
      </c>
      <c r="B242" s="346">
        <v>11152</v>
      </c>
      <c r="C242" s="346" t="s">
        <v>0</v>
      </c>
      <c r="D242" s="348" t="str">
        <f>$R$19</f>
        <v>Информация</v>
      </c>
    </row>
    <row r="243" spans="1:4">
      <c r="A243" s="345" t="str">
        <f>$R$2&amp;".CSOF"</f>
        <v>АСПС.FB_UPP_S.CSOF</v>
      </c>
      <c r="B243" s="346">
        <v>11000</v>
      </c>
      <c r="C243" s="346" t="s">
        <v>5</v>
      </c>
      <c r="D243" s="347">
        <v>2147483680</v>
      </c>
    </row>
    <row r="244" spans="1:4">
      <c r="A244" s="19" t="str">
        <f t="shared" ref="A244:A249" si="23">$R$2&amp;".CSOF"</f>
        <v>АСПС.FB_UPP_S.CSOF</v>
      </c>
      <c r="B244" s="11">
        <v>7999</v>
      </c>
      <c r="C244" s="11" t="s">
        <v>0</v>
      </c>
      <c r="D244" s="20" t="str">
        <f>"#"&amp;$S$2&amp;"#"&amp;$T$2&amp;"\"&amp;$P$2&amp;"\CSOF"</f>
        <v>#2#treiOPCDA.CoOPCserv.1\pcmaster\FB_UPP_S\CSOF</v>
      </c>
    </row>
    <row r="245" spans="1:4">
      <c r="A245" s="19" t="str">
        <f t="shared" si="23"/>
        <v>АСПС.FB_UPP_S.CSOF</v>
      </c>
      <c r="B245" s="11">
        <v>7998</v>
      </c>
      <c r="C245" s="11" t="s">
        <v>6</v>
      </c>
      <c r="D245" s="20">
        <v>1</v>
      </c>
    </row>
    <row r="246" spans="1:4">
      <c r="A246" s="19" t="str">
        <f t="shared" si="23"/>
        <v>АСПС.FB_UPP_S.CSOF</v>
      </c>
      <c r="B246" s="11">
        <v>101</v>
      </c>
      <c r="C246" s="11" t="s">
        <v>0</v>
      </c>
      <c r="D246" s="20" t="s">
        <v>470</v>
      </c>
    </row>
    <row r="247" spans="1:4">
      <c r="A247" s="19" t="str">
        <f t="shared" si="23"/>
        <v>АСПС.FB_UPP_S.CSOF</v>
      </c>
      <c r="B247" s="11">
        <v>3</v>
      </c>
      <c r="C247" s="11" t="s">
        <v>1</v>
      </c>
      <c r="D247" s="20">
        <v>192</v>
      </c>
    </row>
    <row r="248" spans="1:4">
      <c r="A248" s="19" t="str">
        <f t="shared" si="23"/>
        <v>АСПС.FB_UPP_S.CSOF</v>
      </c>
      <c r="B248" s="11">
        <v>2</v>
      </c>
      <c r="C248" s="11" t="s">
        <v>2</v>
      </c>
      <c r="D248" s="20" t="s">
        <v>3</v>
      </c>
    </row>
    <row r="249" spans="1:4">
      <c r="A249" s="21" t="str">
        <f t="shared" si="23"/>
        <v>АСПС.FB_UPP_S.CSOF</v>
      </c>
      <c r="B249" s="8">
        <v>1</v>
      </c>
      <c r="C249" s="8" t="s">
        <v>1</v>
      </c>
      <c r="D249" s="22">
        <v>11</v>
      </c>
    </row>
    <row r="250" spans="1:4">
      <c r="A250" s="342" t="str">
        <f>$R$2&amp;".CPOF"</f>
        <v>АСПС.FB_UPP_S.CPOF</v>
      </c>
      <c r="B250" s="343">
        <v>11154</v>
      </c>
      <c r="C250" s="343" t="s">
        <v>4</v>
      </c>
      <c r="D250" s="344">
        <f>$Q$19</f>
        <v>22</v>
      </c>
    </row>
    <row r="251" spans="1:4">
      <c r="A251" s="345" t="str">
        <f>$R$2&amp;".CPOF"</f>
        <v>АСПС.FB_UPP_S.CPOF</v>
      </c>
      <c r="B251" s="346">
        <v>11150</v>
      </c>
      <c r="C251" s="346" t="s">
        <v>0</v>
      </c>
      <c r="D251" s="347" t="s">
        <v>472</v>
      </c>
    </row>
    <row r="252" spans="1:4">
      <c r="A252" s="345" t="str">
        <f>$R$2&amp;".CPOF"</f>
        <v>АСПС.FB_UPP_S.CPOF</v>
      </c>
      <c r="B252" s="346">
        <v>11152</v>
      </c>
      <c r="C252" s="346" t="s">
        <v>0</v>
      </c>
      <c r="D252" s="348" t="str">
        <f>$R$19</f>
        <v>Информация</v>
      </c>
    </row>
    <row r="253" spans="1:4">
      <c r="A253" s="345" t="str">
        <f>$R$2&amp;".CPOF"</f>
        <v>АСПС.FB_UPP_S.CPOF</v>
      </c>
      <c r="B253" s="346">
        <v>11000</v>
      </c>
      <c r="C253" s="346" t="s">
        <v>5</v>
      </c>
      <c r="D253" s="347">
        <v>2147483680</v>
      </c>
    </row>
    <row r="254" spans="1:4">
      <c r="A254" s="19" t="str">
        <f t="shared" ref="A254:A259" si="24">$R$2&amp;".CPOF"</f>
        <v>АСПС.FB_UPP_S.CPOF</v>
      </c>
      <c r="B254" s="11">
        <v>7999</v>
      </c>
      <c r="C254" s="11" t="s">
        <v>0</v>
      </c>
      <c r="D254" s="20" t="str">
        <f>"#"&amp;$S$2&amp;"#"&amp;$T$2&amp;"\"&amp;$P$2&amp;"\CPOF"</f>
        <v>#2#treiOPCDA.CoOPCserv.1\pcmaster\FB_UPP_S\CPOF</v>
      </c>
    </row>
    <row r="255" spans="1:4">
      <c r="A255" s="19" t="str">
        <f t="shared" si="24"/>
        <v>АСПС.FB_UPP_S.CPOF</v>
      </c>
      <c r="B255" s="11">
        <v>7998</v>
      </c>
      <c r="C255" s="11" t="s">
        <v>6</v>
      </c>
      <c r="D255" s="20">
        <v>1</v>
      </c>
    </row>
    <row r="256" spans="1:4">
      <c r="A256" s="19" t="str">
        <f t="shared" si="24"/>
        <v>АСПС.FB_UPP_S.CPOF</v>
      </c>
      <c r="B256" s="11">
        <v>101</v>
      </c>
      <c r="C256" s="11" t="s">
        <v>0</v>
      </c>
      <c r="D256" s="20" t="s">
        <v>472</v>
      </c>
    </row>
    <row r="257" spans="1:4">
      <c r="A257" s="19" t="str">
        <f t="shared" si="24"/>
        <v>АСПС.FB_UPP_S.CPOF</v>
      </c>
      <c r="B257" s="11">
        <v>3</v>
      </c>
      <c r="C257" s="11" t="s">
        <v>1</v>
      </c>
      <c r="D257" s="20">
        <v>192</v>
      </c>
    </row>
    <row r="258" spans="1:4">
      <c r="A258" s="19" t="str">
        <f t="shared" si="24"/>
        <v>АСПС.FB_UPP_S.CPOF</v>
      </c>
      <c r="B258" s="11">
        <v>2</v>
      </c>
      <c r="C258" s="11" t="s">
        <v>2</v>
      </c>
      <c r="D258" s="20" t="s">
        <v>3</v>
      </c>
    </row>
    <row r="259" spans="1:4">
      <c r="A259" s="21" t="str">
        <f t="shared" si="24"/>
        <v>АСПС.FB_UPP_S.CPOF</v>
      </c>
      <c r="B259" s="8">
        <v>1</v>
      </c>
      <c r="C259" s="8" t="s">
        <v>1</v>
      </c>
      <c r="D259" s="22">
        <v>11</v>
      </c>
    </row>
    <row r="260" spans="1:4">
      <c r="A260" s="342" t="str">
        <f>$R$2&amp;".CROF"</f>
        <v>АСПС.FB_UPP_S.CROF</v>
      </c>
      <c r="B260" s="343">
        <v>11154</v>
      </c>
      <c r="C260" s="343" t="s">
        <v>4</v>
      </c>
      <c r="D260" s="344">
        <f>$Q$19</f>
        <v>22</v>
      </c>
    </row>
    <row r="261" spans="1:4">
      <c r="A261" s="345" t="str">
        <f t="shared" ref="A261:A269" si="25">$R$2&amp;".CROF"</f>
        <v>АСПС.FB_UPP_S.CROF</v>
      </c>
      <c r="B261" s="346">
        <v>11150</v>
      </c>
      <c r="C261" s="346" t="s">
        <v>0</v>
      </c>
      <c r="D261" s="347" t="s">
        <v>495</v>
      </c>
    </row>
    <row r="262" spans="1:4">
      <c r="A262" s="345" t="str">
        <f t="shared" si="25"/>
        <v>АСПС.FB_UPP_S.CROF</v>
      </c>
      <c r="B262" s="346">
        <v>11152</v>
      </c>
      <c r="C262" s="346" t="s">
        <v>0</v>
      </c>
      <c r="D262" s="348" t="str">
        <f>$R$19</f>
        <v>Информация</v>
      </c>
    </row>
    <row r="263" spans="1:4">
      <c r="A263" s="345" t="str">
        <f t="shared" si="25"/>
        <v>АСПС.FB_UPP_S.CROF</v>
      </c>
      <c r="B263" s="346">
        <v>11000</v>
      </c>
      <c r="C263" s="346" t="s">
        <v>5</v>
      </c>
      <c r="D263" s="347">
        <v>2147483680</v>
      </c>
    </row>
    <row r="264" spans="1:4">
      <c r="A264" s="19" t="str">
        <f t="shared" si="25"/>
        <v>АСПС.FB_UPP_S.CROF</v>
      </c>
      <c r="B264" s="11">
        <v>7999</v>
      </c>
      <c r="C264" s="11" t="s">
        <v>0</v>
      </c>
      <c r="D264" s="20" t="str">
        <f>"#"&amp;$S$2&amp;"#"&amp;$T$2&amp;"\"&amp;$P$2&amp;"\CROF"</f>
        <v>#2#treiOPCDA.CoOPCserv.1\pcmaster\FB_UPP_S\CROF</v>
      </c>
    </row>
    <row r="265" spans="1:4">
      <c r="A265" s="19" t="str">
        <f t="shared" si="25"/>
        <v>АСПС.FB_UPP_S.CROF</v>
      </c>
      <c r="B265" s="11">
        <v>7998</v>
      </c>
      <c r="C265" s="11" t="s">
        <v>6</v>
      </c>
      <c r="D265" s="20">
        <v>1</v>
      </c>
    </row>
    <row r="266" spans="1:4">
      <c r="A266" s="19" t="str">
        <f t="shared" si="25"/>
        <v>АСПС.FB_UPP_S.CROF</v>
      </c>
      <c r="B266" s="11">
        <v>101</v>
      </c>
      <c r="C266" s="11" t="s">
        <v>0</v>
      </c>
      <c r="D266" s="20" t="s">
        <v>495</v>
      </c>
    </row>
    <row r="267" spans="1:4">
      <c r="A267" s="19" t="str">
        <f t="shared" si="25"/>
        <v>АСПС.FB_UPP_S.CROF</v>
      </c>
      <c r="B267" s="11">
        <v>3</v>
      </c>
      <c r="C267" s="11" t="s">
        <v>1</v>
      </c>
      <c r="D267" s="20">
        <v>192</v>
      </c>
    </row>
    <row r="268" spans="1:4">
      <c r="A268" s="19" t="str">
        <f t="shared" si="25"/>
        <v>АСПС.FB_UPP_S.CROF</v>
      </c>
      <c r="B268" s="11">
        <v>2</v>
      </c>
      <c r="C268" s="11" t="s">
        <v>2</v>
      </c>
      <c r="D268" s="20" t="s">
        <v>3</v>
      </c>
    </row>
    <row r="269" spans="1:4">
      <c r="A269" s="21" t="str">
        <f t="shared" si="25"/>
        <v>АСПС.FB_UPP_S.CROF</v>
      </c>
      <c r="B269" s="8">
        <v>1</v>
      </c>
      <c r="C269" s="8" t="s">
        <v>1</v>
      </c>
      <c r="D269" s="22">
        <v>11</v>
      </c>
    </row>
    <row r="270" spans="1:4">
      <c r="A270" s="342" t="str">
        <f>$R$2&amp;".CSCP"</f>
        <v>АСПС.FB_UPP_S.CSCP</v>
      </c>
      <c r="B270" s="343">
        <v>11154</v>
      </c>
      <c r="C270" s="343" t="s">
        <v>4</v>
      </c>
      <c r="D270" s="344">
        <f>$Q$19</f>
        <v>22</v>
      </c>
    </row>
    <row r="271" spans="1:4">
      <c r="A271" s="345" t="str">
        <f>$R$2&amp;".CSCP"</f>
        <v>АСПС.FB_UPP_S.CSCP</v>
      </c>
      <c r="B271" s="346">
        <v>11150</v>
      </c>
      <c r="C271" s="346" t="s">
        <v>0</v>
      </c>
      <c r="D271" s="347" t="s">
        <v>554</v>
      </c>
    </row>
    <row r="272" spans="1:4">
      <c r="A272" s="345" t="str">
        <f>$R$2&amp;".CSCP"</f>
        <v>АСПС.FB_UPP_S.CSCP</v>
      </c>
      <c r="B272" s="346">
        <v>11152</v>
      </c>
      <c r="C272" s="346" t="s">
        <v>0</v>
      </c>
      <c r="D272" s="348" t="str">
        <f>$R$19</f>
        <v>Информация</v>
      </c>
    </row>
    <row r="273" spans="1:4">
      <c r="A273" s="345" t="str">
        <f>$R$2&amp;".CSCP"</f>
        <v>АСПС.FB_UPP_S.CSCP</v>
      </c>
      <c r="B273" s="346">
        <v>11000</v>
      </c>
      <c r="C273" s="346" t="s">
        <v>5</v>
      </c>
      <c r="D273" s="347">
        <v>2147483680</v>
      </c>
    </row>
    <row r="274" spans="1:4">
      <c r="A274" s="19" t="str">
        <f t="shared" ref="A274:A279" si="26">$R$2&amp;".CSCP"</f>
        <v>АСПС.FB_UPP_S.CSCP</v>
      </c>
      <c r="B274" s="11">
        <v>7999</v>
      </c>
      <c r="C274" s="11" t="s">
        <v>0</v>
      </c>
      <c r="D274" s="20" t="str">
        <f>"#"&amp;$S$2&amp;"#"&amp;$T$2&amp;"\"&amp;$P$2&amp;"\CSCP"</f>
        <v>#2#treiOPCDA.CoOPCserv.1\pcmaster\FB_UPP_S\CSCP</v>
      </c>
    </row>
    <row r="275" spans="1:4">
      <c r="A275" s="19" t="str">
        <f t="shared" si="26"/>
        <v>АСПС.FB_UPP_S.CSCP</v>
      </c>
      <c r="B275" s="11">
        <v>7998</v>
      </c>
      <c r="C275" s="11" t="s">
        <v>6</v>
      </c>
      <c r="D275" s="20">
        <v>1</v>
      </c>
    </row>
    <row r="276" spans="1:4">
      <c r="A276" s="19" t="str">
        <f t="shared" si="26"/>
        <v>АСПС.FB_UPP_S.CSCP</v>
      </c>
      <c r="B276" s="11">
        <v>101</v>
      </c>
      <c r="C276" s="11" t="s">
        <v>0</v>
      </c>
      <c r="D276" s="20" t="s">
        <v>554</v>
      </c>
    </row>
    <row r="277" spans="1:4">
      <c r="A277" s="19" t="str">
        <f t="shared" si="26"/>
        <v>АСПС.FB_UPP_S.CSCP</v>
      </c>
      <c r="B277" s="11">
        <v>3</v>
      </c>
      <c r="C277" s="11" t="s">
        <v>1</v>
      </c>
      <c r="D277" s="20">
        <v>192</v>
      </c>
    </row>
    <row r="278" spans="1:4">
      <c r="A278" s="19" t="str">
        <f t="shared" si="26"/>
        <v>АСПС.FB_UPP_S.CSCP</v>
      </c>
      <c r="B278" s="11">
        <v>2</v>
      </c>
      <c r="C278" s="11" t="s">
        <v>2</v>
      </c>
      <c r="D278" s="20" t="s">
        <v>3</v>
      </c>
    </row>
    <row r="279" spans="1:4">
      <c r="A279" s="21" t="str">
        <f t="shared" si="26"/>
        <v>АСПС.FB_UPP_S.CSCP</v>
      </c>
      <c r="B279" s="8">
        <v>1</v>
      </c>
      <c r="C279" s="8" t="s">
        <v>1</v>
      </c>
      <c r="D279" s="22">
        <v>11</v>
      </c>
    </row>
    <row r="280" spans="1:4">
      <c r="A280" s="342" t="str">
        <f>$R$2&amp;".CSCR"</f>
        <v>АСПС.FB_UPP_S.CSCR</v>
      </c>
      <c r="B280" s="343">
        <v>11154</v>
      </c>
      <c r="C280" s="343" t="s">
        <v>4</v>
      </c>
      <c r="D280" s="344">
        <f>$Q$19</f>
        <v>22</v>
      </c>
    </row>
    <row r="281" spans="1:4">
      <c r="A281" s="345" t="str">
        <f>$R$2&amp;".CSCR"</f>
        <v>АСПС.FB_UPP_S.CSCR</v>
      </c>
      <c r="B281" s="346">
        <v>11150</v>
      </c>
      <c r="C281" s="346" t="s">
        <v>0</v>
      </c>
      <c r="D281" s="347" t="s">
        <v>555</v>
      </c>
    </row>
    <row r="282" spans="1:4">
      <c r="A282" s="345" t="str">
        <f>$R$2&amp;".CSCR"</f>
        <v>АСПС.FB_UPP_S.CSCR</v>
      </c>
      <c r="B282" s="346">
        <v>11152</v>
      </c>
      <c r="C282" s="346" t="s">
        <v>0</v>
      </c>
      <c r="D282" s="348" t="str">
        <f>$R$19</f>
        <v>Информация</v>
      </c>
    </row>
    <row r="283" spans="1:4">
      <c r="A283" s="345" t="str">
        <f>$R$2&amp;".CSCR"</f>
        <v>АСПС.FB_UPP_S.CSCR</v>
      </c>
      <c r="B283" s="346">
        <v>11000</v>
      </c>
      <c r="C283" s="346" t="s">
        <v>5</v>
      </c>
      <c r="D283" s="347">
        <v>2147483680</v>
      </c>
    </row>
    <row r="284" spans="1:4">
      <c r="A284" s="19" t="str">
        <f t="shared" ref="A284:A289" si="27">$R$2&amp;".CSCR"</f>
        <v>АСПС.FB_UPP_S.CSCR</v>
      </c>
      <c r="B284" s="11">
        <v>7999</v>
      </c>
      <c r="C284" s="11" t="s">
        <v>0</v>
      </c>
      <c r="D284" s="20" t="str">
        <f>"#"&amp;$S$2&amp;"#"&amp;$T$2&amp;"\"&amp;$P$2&amp;"\CSCR"</f>
        <v>#2#treiOPCDA.CoOPCserv.1\pcmaster\FB_UPP_S\CSCR</v>
      </c>
    </row>
    <row r="285" spans="1:4">
      <c r="A285" s="19" t="str">
        <f t="shared" si="27"/>
        <v>АСПС.FB_UPP_S.CSCR</v>
      </c>
      <c r="B285" s="11">
        <v>7998</v>
      </c>
      <c r="C285" s="11" t="s">
        <v>6</v>
      </c>
      <c r="D285" s="20">
        <v>1</v>
      </c>
    </row>
    <row r="286" spans="1:4">
      <c r="A286" s="19" t="str">
        <f t="shared" si="27"/>
        <v>АСПС.FB_UPP_S.CSCR</v>
      </c>
      <c r="B286" s="11">
        <v>101</v>
      </c>
      <c r="C286" s="11" t="s">
        <v>0</v>
      </c>
      <c r="D286" s="20" t="s">
        <v>555</v>
      </c>
    </row>
    <row r="287" spans="1:4">
      <c r="A287" s="19" t="str">
        <f t="shared" si="27"/>
        <v>АСПС.FB_UPP_S.CSCR</v>
      </c>
      <c r="B287" s="11">
        <v>3</v>
      </c>
      <c r="C287" s="11" t="s">
        <v>1</v>
      </c>
      <c r="D287" s="20">
        <v>192</v>
      </c>
    </row>
    <row r="288" spans="1:4">
      <c r="A288" s="19" t="str">
        <f t="shared" si="27"/>
        <v>АСПС.FB_UPP_S.CSCR</v>
      </c>
      <c r="B288" s="11">
        <v>2</v>
      </c>
      <c r="C288" s="11" t="s">
        <v>2</v>
      </c>
      <c r="D288" s="20" t="s">
        <v>3</v>
      </c>
    </row>
    <row r="289" spans="1:4">
      <c r="A289" s="21" t="str">
        <f t="shared" si="27"/>
        <v>АСПС.FB_UPP_S.CSCR</v>
      </c>
      <c r="B289" s="8">
        <v>1</v>
      </c>
      <c r="C289" s="8" t="s">
        <v>1</v>
      </c>
      <c r="D289" s="22">
        <v>11</v>
      </c>
    </row>
    <row r="290" spans="1:4">
      <c r="A290" s="342" t="str">
        <f>$R$2&amp;".CPCP"</f>
        <v>АСПС.FB_UPP_S.CPCP</v>
      </c>
      <c r="B290" s="343">
        <v>11154</v>
      </c>
      <c r="C290" s="343" t="s">
        <v>4</v>
      </c>
      <c r="D290" s="344">
        <f>$Q$19</f>
        <v>22</v>
      </c>
    </row>
    <row r="291" spans="1:4">
      <c r="A291" s="345" t="str">
        <f>$R$2&amp;".CPCP"</f>
        <v>АСПС.FB_UPP_S.CPCP</v>
      </c>
      <c r="B291" s="346">
        <v>11150</v>
      </c>
      <c r="C291" s="346" t="s">
        <v>0</v>
      </c>
      <c r="D291" s="347" t="s">
        <v>556</v>
      </c>
    </row>
    <row r="292" spans="1:4">
      <c r="A292" s="345" t="str">
        <f>$R$2&amp;".CPCP"</f>
        <v>АСПС.FB_UPP_S.CPCP</v>
      </c>
      <c r="B292" s="346">
        <v>11152</v>
      </c>
      <c r="C292" s="346" t="s">
        <v>0</v>
      </c>
      <c r="D292" s="348" t="str">
        <f>$R$19</f>
        <v>Информация</v>
      </c>
    </row>
    <row r="293" spans="1:4">
      <c r="A293" s="345" t="str">
        <f>$R$2&amp;".CPCP"</f>
        <v>АСПС.FB_UPP_S.CPCP</v>
      </c>
      <c r="B293" s="346">
        <v>11000</v>
      </c>
      <c r="C293" s="346" t="s">
        <v>5</v>
      </c>
      <c r="D293" s="347">
        <v>2147483680</v>
      </c>
    </row>
    <row r="294" spans="1:4">
      <c r="A294" s="19" t="str">
        <f t="shared" ref="A294:A299" si="28">$R$2&amp;".CPCP"</f>
        <v>АСПС.FB_UPP_S.CPCP</v>
      </c>
      <c r="B294" s="11">
        <v>7999</v>
      </c>
      <c r="C294" s="11" t="s">
        <v>0</v>
      </c>
      <c r="D294" s="20" t="str">
        <f>"#"&amp;$S$2&amp;"#"&amp;$T$2&amp;"\"&amp;$P$2&amp;"\CPCP"</f>
        <v>#2#treiOPCDA.CoOPCserv.1\pcmaster\FB_UPP_S\CPCP</v>
      </c>
    </row>
    <row r="295" spans="1:4">
      <c r="A295" s="19" t="str">
        <f t="shared" si="28"/>
        <v>АСПС.FB_UPP_S.CPCP</v>
      </c>
      <c r="B295" s="11">
        <v>7998</v>
      </c>
      <c r="C295" s="11" t="s">
        <v>6</v>
      </c>
      <c r="D295" s="20">
        <v>1</v>
      </c>
    </row>
    <row r="296" spans="1:4">
      <c r="A296" s="19" t="str">
        <f t="shared" si="28"/>
        <v>АСПС.FB_UPP_S.CPCP</v>
      </c>
      <c r="B296" s="11">
        <v>101</v>
      </c>
      <c r="C296" s="11" t="s">
        <v>0</v>
      </c>
      <c r="D296" s="20" t="s">
        <v>556</v>
      </c>
    </row>
    <row r="297" spans="1:4">
      <c r="A297" s="19" t="str">
        <f t="shared" si="28"/>
        <v>АСПС.FB_UPP_S.CPCP</v>
      </c>
      <c r="B297" s="11">
        <v>3</v>
      </c>
      <c r="C297" s="11" t="s">
        <v>1</v>
      </c>
      <c r="D297" s="20">
        <v>192</v>
      </c>
    </row>
    <row r="298" spans="1:4">
      <c r="A298" s="19" t="str">
        <f t="shared" si="28"/>
        <v>АСПС.FB_UPP_S.CPCP</v>
      </c>
      <c r="B298" s="11">
        <v>2</v>
      </c>
      <c r="C298" s="11" t="s">
        <v>2</v>
      </c>
      <c r="D298" s="20" t="s">
        <v>3</v>
      </c>
    </row>
    <row r="299" spans="1:4">
      <c r="A299" s="21" t="str">
        <f t="shared" si="28"/>
        <v>АСПС.FB_UPP_S.CPCP</v>
      </c>
      <c r="B299" s="8">
        <v>1</v>
      </c>
      <c r="C299" s="8" t="s">
        <v>1</v>
      </c>
      <c r="D299" s="22">
        <v>11</v>
      </c>
    </row>
    <row r="300" spans="1:4">
      <c r="A300" s="342" t="str">
        <f>$R$2&amp;".CPCR"</f>
        <v>АСПС.FB_UPP_S.CPCR</v>
      </c>
      <c r="B300" s="343">
        <v>11154</v>
      </c>
      <c r="C300" s="343" t="s">
        <v>4</v>
      </c>
      <c r="D300" s="344">
        <f>$Q$19</f>
        <v>22</v>
      </c>
    </row>
    <row r="301" spans="1:4">
      <c r="A301" s="345" t="str">
        <f>$R$2&amp;".CPCR"</f>
        <v>АСПС.FB_UPP_S.CPCR</v>
      </c>
      <c r="B301" s="346">
        <v>11150</v>
      </c>
      <c r="C301" s="346" t="s">
        <v>0</v>
      </c>
      <c r="D301" s="347" t="s">
        <v>557</v>
      </c>
    </row>
    <row r="302" spans="1:4">
      <c r="A302" s="345" t="str">
        <f>$R$2&amp;".CPCR"</f>
        <v>АСПС.FB_UPP_S.CPCR</v>
      </c>
      <c r="B302" s="346">
        <v>11152</v>
      </c>
      <c r="C302" s="346" t="s">
        <v>0</v>
      </c>
      <c r="D302" s="348" t="str">
        <f>$R$19</f>
        <v>Информация</v>
      </c>
    </row>
    <row r="303" spans="1:4">
      <c r="A303" s="345" t="str">
        <f>$R$2&amp;".CPCR"</f>
        <v>АСПС.FB_UPP_S.CPCR</v>
      </c>
      <c r="B303" s="346">
        <v>11000</v>
      </c>
      <c r="C303" s="346" t="s">
        <v>5</v>
      </c>
      <c r="D303" s="347">
        <v>2147483680</v>
      </c>
    </row>
    <row r="304" spans="1:4">
      <c r="A304" s="19" t="str">
        <f t="shared" ref="A304:A309" si="29">$R$2&amp;".CPCR"</f>
        <v>АСПС.FB_UPP_S.CPCR</v>
      </c>
      <c r="B304" s="11">
        <v>7999</v>
      </c>
      <c r="C304" s="11" t="s">
        <v>0</v>
      </c>
      <c r="D304" s="20" t="str">
        <f>"#"&amp;$S$2&amp;"#"&amp;$T$2&amp;"\"&amp;$P$2&amp;"\CPCR"</f>
        <v>#2#treiOPCDA.CoOPCserv.1\pcmaster\FB_UPP_S\CPCR</v>
      </c>
    </row>
    <row r="305" spans="1:4">
      <c r="A305" s="19" t="str">
        <f t="shared" si="29"/>
        <v>АСПС.FB_UPP_S.CPCR</v>
      </c>
      <c r="B305" s="11">
        <v>7998</v>
      </c>
      <c r="C305" s="11" t="s">
        <v>6</v>
      </c>
      <c r="D305" s="20">
        <v>1</v>
      </c>
    </row>
    <row r="306" spans="1:4">
      <c r="A306" s="19" t="str">
        <f t="shared" si="29"/>
        <v>АСПС.FB_UPP_S.CPCR</v>
      </c>
      <c r="B306" s="11">
        <v>101</v>
      </c>
      <c r="C306" s="11" t="s">
        <v>0</v>
      </c>
      <c r="D306" s="20" t="s">
        <v>557</v>
      </c>
    </row>
    <row r="307" spans="1:4">
      <c r="A307" s="19" t="str">
        <f t="shared" si="29"/>
        <v>АСПС.FB_UPP_S.CPCR</v>
      </c>
      <c r="B307" s="11">
        <v>3</v>
      </c>
      <c r="C307" s="11" t="s">
        <v>1</v>
      </c>
      <c r="D307" s="20">
        <v>192</v>
      </c>
    </row>
    <row r="308" spans="1:4">
      <c r="A308" s="19" t="str">
        <f t="shared" si="29"/>
        <v>АСПС.FB_UPP_S.CPCR</v>
      </c>
      <c r="B308" s="11">
        <v>2</v>
      </c>
      <c r="C308" s="11" t="s">
        <v>2</v>
      </c>
      <c r="D308" s="20" t="s">
        <v>3</v>
      </c>
    </row>
    <row r="309" spans="1:4">
      <c r="A309" s="21" t="str">
        <f t="shared" si="29"/>
        <v>АСПС.FB_UPP_S.CPCR</v>
      </c>
      <c r="B309" s="8">
        <v>1</v>
      </c>
      <c r="C309" s="8" t="s">
        <v>1</v>
      </c>
      <c r="D309" s="22">
        <v>11</v>
      </c>
    </row>
    <row r="310" spans="1:4">
      <c r="A310" s="342" t="str">
        <f>$R$2&amp;".CAOF"</f>
        <v>АСПС.FB_UPP_S.CAOF</v>
      </c>
      <c r="B310" s="343">
        <v>11154</v>
      </c>
      <c r="C310" s="343" t="s">
        <v>4</v>
      </c>
      <c r="D310" s="344">
        <f>$Q$19</f>
        <v>22</v>
      </c>
    </row>
    <row r="311" spans="1:4">
      <c r="A311" s="345" t="str">
        <f t="shared" ref="A311:A319" si="30">$R$2&amp;".CAOF"</f>
        <v>АСПС.FB_UPP_S.CAOF</v>
      </c>
      <c r="B311" s="346">
        <v>11150</v>
      </c>
      <c r="C311" s="346" t="s">
        <v>0</v>
      </c>
      <c r="D311" s="347" t="s">
        <v>497</v>
      </c>
    </row>
    <row r="312" spans="1:4">
      <c r="A312" s="345" t="str">
        <f t="shared" si="30"/>
        <v>АСПС.FB_UPP_S.CAOF</v>
      </c>
      <c r="B312" s="346">
        <v>11152</v>
      </c>
      <c r="C312" s="346" t="s">
        <v>0</v>
      </c>
      <c r="D312" s="348" t="str">
        <f>$R$19</f>
        <v>Информация</v>
      </c>
    </row>
    <row r="313" spans="1:4">
      <c r="A313" s="345" t="str">
        <f t="shared" si="30"/>
        <v>АСПС.FB_UPP_S.CAOF</v>
      </c>
      <c r="B313" s="346">
        <v>11000</v>
      </c>
      <c r="C313" s="346" t="s">
        <v>5</v>
      </c>
      <c r="D313" s="347">
        <v>2147483680</v>
      </c>
    </row>
    <row r="314" spans="1:4">
      <c r="A314" s="19" t="str">
        <f t="shared" si="30"/>
        <v>АСПС.FB_UPP_S.CAOF</v>
      </c>
      <c r="B314" s="11">
        <v>7999</v>
      </c>
      <c r="C314" s="11" t="s">
        <v>0</v>
      </c>
      <c r="D314" s="20" t="str">
        <f>"#"&amp;$S$2&amp;"#"&amp;$T$2&amp;"\"&amp;$P$2&amp;"\CAOF"</f>
        <v>#2#treiOPCDA.CoOPCserv.1\pcmaster\FB_UPP_S\CAOF</v>
      </c>
    </row>
    <row r="315" spans="1:4">
      <c r="A315" s="19" t="str">
        <f t="shared" si="30"/>
        <v>АСПС.FB_UPP_S.CAOF</v>
      </c>
      <c r="B315" s="11">
        <v>7998</v>
      </c>
      <c r="C315" s="11" t="s">
        <v>6</v>
      </c>
      <c r="D315" s="20">
        <v>1</v>
      </c>
    </row>
    <row r="316" spans="1:4">
      <c r="A316" s="19" t="str">
        <f t="shared" si="30"/>
        <v>АСПС.FB_UPP_S.CAOF</v>
      </c>
      <c r="B316" s="11">
        <v>101</v>
      </c>
      <c r="C316" s="11" t="s">
        <v>0</v>
      </c>
      <c r="D316" s="20" t="s">
        <v>497</v>
      </c>
    </row>
    <row r="317" spans="1:4">
      <c r="A317" s="19" t="str">
        <f t="shared" si="30"/>
        <v>АСПС.FB_UPP_S.CAOF</v>
      </c>
      <c r="B317" s="11">
        <v>3</v>
      </c>
      <c r="C317" s="11" t="s">
        <v>1</v>
      </c>
      <c r="D317" s="20">
        <v>192</v>
      </c>
    </row>
    <row r="318" spans="1:4">
      <c r="A318" s="19" t="str">
        <f t="shared" si="30"/>
        <v>АСПС.FB_UPP_S.CAOF</v>
      </c>
      <c r="B318" s="11">
        <v>2</v>
      </c>
      <c r="C318" s="11" t="s">
        <v>2</v>
      </c>
      <c r="D318" s="20" t="s">
        <v>3</v>
      </c>
    </row>
    <row r="319" spans="1:4">
      <c r="A319" s="19" t="str">
        <f t="shared" si="30"/>
        <v>АСПС.FB_UPP_S.CAOF</v>
      </c>
      <c r="B319" s="11">
        <v>1</v>
      </c>
      <c r="C319" s="11" t="s">
        <v>1</v>
      </c>
      <c r="D319" s="20">
        <v>11</v>
      </c>
    </row>
    <row r="320" spans="1:4">
      <c r="A320" s="162" t="str">
        <f t="shared" ref="A320:A328" si="31">$R$2&amp;".Commands.COON"</f>
        <v>АСПС.FB_UPP_S.Commands.COON</v>
      </c>
      <c r="B320" s="120">
        <v>11154</v>
      </c>
      <c r="C320" s="120" t="s">
        <v>4</v>
      </c>
      <c r="D320" s="351">
        <f>$Q$15</f>
        <v>2</v>
      </c>
    </row>
    <row r="321" spans="1:4">
      <c r="A321" s="119" t="str">
        <f t="shared" si="31"/>
        <v>АСПС.FB_UPP_S.Commands.COON</v>
      </c>
      <c r="B321" s="121">
        <v>11150</v>
      </c>
      <c r="C321" s="121" t="s">
        <v>0</v>
      </c>
      <c r="D321" s="122" t="s">
        <v>476</v>
      </c>
    </row>
    <row r="322" spans="1:4">
      <c r="A322" s="119" t="str">
        <f t="shared" si="31"/>
        <v>АСПС.FB_UPP_S.Commands.COON</v>
      </c>
      <c r="B322" s="121">
        <v>11152</v>
      </c>
      <c r="C322" s="121" t="s">
        <v>0</v>
      </c>
      <c r="D322" s="350" t="str">
        <f>$R$15</f>
        <v>Пожар</v>
      </c>
    </row>
    <row r="323" spans="1:4">
      <c r="A323" s="119" t="str">
        <f t="shared" si="31"/>
        <v>АСПС.FB_UPP_S.Commands.COON</v>
      </c>
      <c r="B323" s="121">
        <v>11000</v>
      </c>
      <c r="C323" s="121" t="s">
        <v>5</v>
      </c>
      <c r="D323" s="122">
        <v>2147483680</v>
      </c>
    </row>
    <row r="324" spans="1:4">
      <c r="A324" s="19" t="str">
        <f t="shared" si="31"/>
        <v>АСПС.FB_UPP_S.Commands.COON</v>
      </c>
      <c r="B324" s="11">
        <v>1</v>
      </c>
      <c r="C324" s="11" t="s">
        <v>1</v>
      </c>
      <c r="D324" s="20">
        <v>11</v>
      </c>
    </row>
    <row r="325" spans="1:4">
      <c r="A325" s="19" t="str">
        <f t="shared" si="31"/>
        <v>АСПС.FB_UPP_S.Commands.COON</v>
      </c>
      <c r="B325" s="11">
        <v>101</v>
      </c>
      <c r="C325" s="11" t="s">
        <v>0</v>
      </c>
      <c r="D325" s="20" t="s">
        <v>476</v>
      </c>
    </row>
    <row r="326" spans="1:4">
      <c r="A326" s="19" t="str">
        <f t="shared" si="31"/>
        <v>АСПС.FB_UPP_S.Commands.COON</v>
      </c>
      <c r="B326" s="11">
        <v>7998</v>
      </c>
      <c r="C326" s="11" t="s">
        <v>6</v>
      </c>
      <c r="D326" s="20">
        <v>2</v>
      </c>
    </row>
    <row r="327" spans="1:4">
      <c r="A327" s="19" t="str">
        <f t="shared" si="31"/>
        <v>АСПС.FB_UPP_S.Commands.COON</v>
      </c>
      <c r="B327" s="11">
        <v>7999</v>
      </c>
      <c r="C327" s="11" t="s">
        <v>0</v>
      </c>
      <c r="D327" s="20" t="str">
        <f>"#"&amp;$T$5&amp;"#"&amp;$T$2&amp;"\"&amp;$P$2&amp;"\COON"</f>
        <v>#1#treiOPCDA.CoOPCserv.1\pcmaster\FB_UPP_S\COON</v>
      </c>
    </row>
    <row r="328" spans="1:4">
      <c r="A328" s="21" t="str">
        <f t="shared" si="31"/>
        <v>АСПС.FB_UPP_S.Commands.COON</v>
      </c>
      <c r="B328" s="8">
        <v>4000000</v>
      </c>
      <c r="C328" s="8" t="s">
        <v>0</v>
      </c>
      <c r="D328" s="22" t="s">
        <v>818</v>
      </c>
    </row>
    <row r="329" spans="1:4">
      <c r="A329" s="19" t="str">
        <f>$R$2&amp;".Commands.COCP"</f>
        <v>АСПС.FB_UPP_S.Commands.COCP</v>
      </c>
      <c r="B329" s="11">
        <v>1</v>
      </c>
      <c r="C329" s="11" t="s">
        <v>1</v>
      </c>
      <c r="D329" s="20">
        <v>11</v>
      </c>
    </row>
    <row r="330" spans="1:4">
      <c r="A330" s="19" t="str">
        <f>$R$2&amp;".Commands.COCP"</f>
        <v>АСПС.FB_UPP_S.Commands.COCP</v>
      </c>
      <c r="B330" s="11">
        <v>101</v>
      </c>
      <c r="C330" s="11" t="s">
        <v>0</v>
      </c>
      <c r="D330" s="20" t="s">
        <v>550</v>
      </c>
    </row>
    <row r="331" spans="1:4">
      <c r="A331" s="19" t="str">
        <f>$R$2&amp;".Commands.COCP"</f>
        <v>АСПС.FB_UPP_S.Commands.COCP</v>
      </c>
      <c r="B331" s="11">
        <v>7998</v>
      </c>
      <c r="C331" s="11" t="s">
        <v>6</v>
      </c>
      <c r="D331" s="20">
        <v>2</v>
      </c>
    </row>
    <row r="332" spans="1:4">
      <c r="A332" s="21" t="str">
        <f>$R$2&amp;".Commands.COCP"</f>
        <v>АСПС.FB_UPP_S.Commands.COCP</v>
      </c>
      <c r="B332" s="8">
        <v>7999</v>
      </c>
      <c r="C332" s="8" t="s">
        <v>0</v>
      </c>
      <c r="D332" s="22" t="str">
        <f>"#"&amp;$T$5&amp;"#"&amp;$T$2&amp;"\"&amp;$P$2&amp;"\COCP"</f>
        <v>#1#treiOPCDA.CoOPCserv.1\pcmaster\FB_UPP_S\COCP</v>
      </c>
    </row>
    <row r="333" spans="1:4">
      <c r="A333" s="16" t="str">
        <f>$R$2&amp;".Commands.COCR"</f>
        <v>АСПС.FB_UPP_S.Commands.COCR</v>
      </c>
      <c r="B333" s="17">
        <v>1</v>
      </c>
      <c r="C333" s="17" t="s">
        <v>1</v>
      </c>
      <c r="D333" s="18">
        <v>11</v>
      </c>
    </row>
    <row r="334" spans="1:4">
      <c r="A334" s="19" t="str">
        <f>$R$2&amp;".Commands.COCR"</f>
        <v>АСПС.FB_UPP_S.Commands.COCR</v>
      </c>
      <c r="B334" s="11">
        <v>101</v>
      </c>
      <c r="C334" s="11" t="s">
        <v>0</v>
      </c>
      <c r="D334" s="20" t="s">
        <v>551</v>
      </c>
    </row>
    <row r="335" spans="1:4">
      <c r="A335" s="19" t="str">
        <f>$R$2&amp;".Commands.COCR"</f>
        <v>АСПС.FB_UPP_S.Commands.COCR</v>
      </c>
      <c r="B335" s="11">
        <v>7998</v>
      </c>
      <c r="C335" s="11" t="s">
        <v>6</v>
      </c>
      <c r="D335" s="20">
        <v>2</v>
      </c>
    </row>
    <row r="336" spans="1:4">
      <c r="A336" s="21" t="str">
        <f>$R$2&amp;".Commands.COCR"</f>
        <v>АСПС.FB_UPP_S.Commands.COCR</v>
      </c>
      <c r="B336" s="8">
        <v>7999</v>
      </c>
      <c r="C336" s="8" t="s">
        <v>0</v>
      </c>
      <c r="D336" s="22" t="str">
        <f>"#"&amp;$T$5&amp;"#"&amp;$T$2&amp;"\"&amp;$P$2&amp;"\COCR"</f>
        <v>#1#treiOPCDA.CoOPCserv.1\pcmaster\FB_UPP_S\COCR</v>
      </c>
    </row>
    <row r="337" spans="1:4">
      <c r="A337" s="16" t="str">
        <f>$R$2&amp;".Commands.COTI"</f>
        <v>АСПС.FB_UPP_S.Commands.COTI</v>
      </c>
      <c r="B337" s="17">
        <v>1</v>
      </c>
      <c r="C337" s="17" t="s">
        <v>1</v>
      </c>
      <c r="D337" s="18">
        <v>11</v>
      </c>
    </row>
    <row r="338" spans="1:4">
      <c r="A338" s="19" t="str">
        <f>$R$2&amp;".Commands.COTI"</f>
        <v>АСПС.FB_UPP_S.Commands.COTI</v>
      </c>
      <c r="B338" s="11">
        <v>101</v>
      </c>
      <c r="C338" s="11" t="s">
        <v>0</v>
      </c>
      <c r="D338" s="20" t="s">
        <v>552</v>
      </c>
    </row>
    <row r="339" spans="1:4">
      <c r="A339" s="19" t="str">
        <f>$R$2&amp;".Commands.COTI"</f>
        <v>АСПС.FB_UPP_S.Commands.COTI</v>
      </c>
      <c r="B339" s="11">
        <v>7998</v>
      </c>
      <c r="C339" s="11" t="s">
        <v>6</v>
      </c>
      <c r="D339" s="20">
        <v>2</v>
      </c>
    </row>
    <row r="340" spans="1:4">
      <c r="A340" s="21" t="str">
        <f>$R$2&amp;".Commands.COTI"</f>
        <v>АСПС.FB_UPP_S.Commands.COTI</v>
      </c>
      <c r="B340" s="8">
        <v>7999</v>
      </c>
      <c r="C340" s="8" t="s">
        <v>0</v>
      </c>
      <c r="D340" s="22" t="str">
        <f>"#"&amp;$T$5&amp;"#"&amp;$T$2&amp;"\"&amp;$P$2&amp;"\COTI"</f>
        <v>#1#treiOPCDA.CoOPCserv.1\pcmaster\FB_UPP_S\COTI</v>
      </c>
    </row>
    <row r="341" spans="1:4">
      <c r="A341" s="16" t="str">
        <f>$R$2&amp;".Commands.COTD"</f>
        <v>АСПС.FB_UPP_S.Commands.COTD</v>
      </c>
      <c r="B341" s="17">
        <v>1</v>
      </c>
      <c r="C341" s="17" t="s">
        <v>1</v>
      </c>
      <c r="D341" s="18">
        <v>11</v>
      </c>
    </row>
    <row r="342" spans="1:4">
      <c r="A342" s="19" t="str">
        <f>$R$2&amp;".Commands.COTD"</f>
        <v>АСПС.FB_UPP_S.Commands.COTD</v>
      </c>
      <c r="B342" s="11">
        <v>101</v>
      </c>
      <c r="C342" s="11" t="s">
        <v>0</v>
      </c>
      <c r="D342" s="20" t="s">
        <v>553</v>
      </c>
    </row>
    <row r="343" spans="1:4">
      <c r="A343" s="19" t="str">
        <f>$R$2&amp;".Commands.COTD"</f>
        <v>АСПС.FB_UPP_S.Commands.COTD</v>
      </c>
      <c r="B343" s="11">
        <v>7998</v>
      </c>
      <c r="C343" s="11" t="s">
        <v>6</v>
      </c>
      <c r="D343" s="20">
        <v>2</v>
      </c>
    </row>
    <row r="344" spans="1:4">
      <c r="A344" s="21" t="str">
        <f>$R$2&amp;".Commands.COTD"</f>
        <v>АСПС.FB_UPP_S.Commands.COTD</v>
      </c>
      <c r="B344" s="8">
        <v>7999</v>
      </c>
      <c r="C344" s="8" t="s">
        <v>0</v>
      </c>
      <c r="D344" s="22" t="str">
        <f>"#"&amp;$T$5&amp;"#"&amp;$T$2&amp;"\"&amp;$P$2&amp;"\COTD"</f>
        <v>#1#treiOPCDA.CoOPCserv.1\pcmaster\FB_UPP_S\COTD</v>
      </c>
    </row>
    <row r="345" spans="1:4">
      <c r="A345" s="16" t="str">
        <f>$R$2&amp;".Commands.COAN"</f>
        <v>АСПС.FB_UPP_S.Commands.COAN</v>
      </c>
      <c r="B345" s="17">
        <v>1</v>
      </c>
      <c r="C345" s="17" t="s">
        <v>1</v>
      </c>
      <c r="D345" s="18">
        <v>11</v>
      </c>
    </row>
    <row r="346" spans="1:4">
      <c r="A346" s="19" t="str">
        <f>$R$2&amp;".Commands.COAN"</f>
        <v>АСПС.FB_UPP_S.Commands.COAN</v>
      </c>
      <c r="B346" s="11">
        <v>101</v>
      </c>
      <c r="C346" s="11" t="s">
        <v>0</v>
      </c>
      <c r="D346" s="20" t="s">
        <v>474</v>
      </c>
    </row>
    <row r="347" spans="1:4">
      <c r="A347" s="19" t="str">
        <f>$R$2&amp;".Commands.COAN"</f>
        <v>АСПС.FB_UPP_S.Commands.COAN</v>
      </c>
      <c r="B347" s="11">
        <v>7998</v>
      </c>
      <c r="C347" s="11" t="s">
        <v>6</v>
      </c>
      <c r="D347" s="20">
        <v>2</v>
      </c>
    </row>
    <row r="348" spans="1:4">
      <c r="A348" s="21" t="str">
        <f>$R$2&amp;".Commands.COAN"</f>
        <v>АСПС.FB_UPP_S.Commands.COAN</v>
      </c>
      <c r="B348" s="8">
        <v>7999</v>
      </c>
      <c r="C348" s="8" t="s">
        <v>0</v>
      </c>
      <c r="D348" s="22" t="str">
        <f>"#"&amp;$T$5&amp;"#"&amp;$T$2&amp;"\"&amp;$P$2&amp;"\COAN"</f>
        <v>#1#treiOPCDA.CoOPCserv.1\pcmaster\FB_UPP_S\COAN</v>
      </c>
    </row>
    <row r="349" spans="1:4">
      <c r="A349" s="16" t="str">
        <f>$R$2&amp;".Commands.COAF"</f>
        <v>АСПС.FB_UPP_S.Commands.COAF</v>
      </c>
      <c r="B349" s="17">
        <v>1</v>
      </c>
      <c r="C349" s="17" t="s">
        <v>1</v>
      </c>
      <c r="D349" s="18">
        <v>11</v>
      </c>
    </row>
    <row r="350" spans="1:4">
      <c r="A350" s="19" t="str">
        <f>$R$2&amp;".Commands.COAF"</f>
        <v>АСПС.FB_UPP_S.Commands.COAF</v>
      </c>
      <c r="B350" s="11">
        <v>101</v>
      </c>
      <c r="C350" s="11" t="s">
        <v>0</v>
      </c>
      <c r="D350" s="20" t="s">
        <v>475</v>
      </c>
    </row>
    <row r="351" spans="1:4">
      <c r="A351" s="19" t="str">
        <f>$R$2&amp;".Commands.COAF"</f>
        <v>АСПС.FB_UPP_S.Commands.COAF</v>
      </c>
      <c r="B351" s="11">
        <v>7998</v>
      </c>
      <c r="C351" s="11" t="s">
        <v>6</v>
      </c>
      <c r="D351" s="20">
        <v>2</v>
      </c>
    </row>
    <row r="352" spans="1:4">
      <c r="A352" s="19" t="str">
        <f>$R$2&amp;".Commands.COAF"</f>
        <v>АСПС.FB_UPP_S.Commands.COAF</v>
      </c>
      <c r="B352" s="11">
        <v>7999</v>
      </c>
      <c r="C352" s="11" t="s">
        <v>0</v>
      </c>
      <c r="D352" s="20" t="str">
        <f>"#"&amp;$T$5&amp;"#"&amp;$T$2&amp;"\"&amp;$P$2&amp;"\COAF"</f>
        <v>#1#treiOPCDA.CoOPCserv.1\pcmaster\FB_UPP_S\COAF</v>
      </c>
    </row>
    <row r="353" spans="1:4">
      <c r="A353" s="19" t="str">
        <f>$R$2&amp;".Commands.COOF"</f>
        <v>АСПС.FB_UPP_S.Commands.COOF</v>
      </c>
      <c r="B353" s="11">
        <v>1</v>
      </c>
      <c r="C353" s="11" t="s">
        <v>1</v>
      </c>
      <c r="D353" s="20">
        <v>11</v>
      </c>
    </row>
    <row r="354" spans="1:4">
      <c r="A354" s="19" t="str">
        <f>$R$2&amp;".Commands.COOF"</f>
        <v>АСПС.FB_UPP_S.Commands.COOF</v>
      </c>
      <c r="B354" s="11">
        <v>101</v>
      </c>
      <c r="C354" s="11" t="s">
        <v>0</v>
      </c>
      <c r="D354" s="20" t="s">
        <v>477</v>
      </c>
    </row>
    <row r="355" spans="1:4">
      <c r="A355" s="19" t="str">
        <f>$R$2&amp;".Commands.COOF"</f>
        <v>АСПС.FB_UPP_S.Commands.COOF</v>
      </c>
      <c r="B355" s="11">
        <v>7998</v>
      </c>
      <c r="C355" s="11" t="s">
        <v>6</v>
      </c>
      <c r="D355" s="20">
        <v>2</v>
      </c>
    </row>
    <row r="356" spans="1:4">
      <c r="A356" s="21" t="str">
        <f>$R$2&amp;".Commands.COOF"</f>
        <v>АСПС.FB_UPP_S.Commands.COOF</v>
      </c>
      <c r="B356" s="8">
        <v>7999</v>
      </c>
      <c r="C356" s="8" t="s">
        <v>0</v>
      </c>
      <c r="D356" s="22" t="str">
        <f>"#"&amp;$T$5&amp;"#"&amp;$T$2&amp;"\"&amp;$P$2&amp;"\COOF"</f>
        <v>#1#treiOPCDA.CoOPCserv.1\pcmaster\FB_UPP_S\COOF</v>
      </c>
    </row>
    <row r="357" spans="1:4">
      <c r="A357" s="16" t="str">
        <f>$R$2&amp;".Commands.COBN"</f>
        <v>АСПС.FB_UPP_S.Commands.COBN</v>
      </c>
      <c r="B357" s="17">
        <v>1</v>
      </c>
      <c r="C357" s="17" t="s">
        <v>1</v>
      </c>
      <c r="D357" s="18">
        <v>11</v>
      </c>
    </row>
    <row r="358" spans="1:4">
      <c r="A358" s="19" t="str">
        <f>$R$2&amp;".Commands.COBN"</f>
        <v>АСПС.FB_UPP_S.Commands.COBN</v>
      </c>
      <c r="B358" s="11">
        <v>101</v>
      </c>
      <c r="C358" s="11" t="s">
        <v>0</v>
      </c>
      <c r="D358" s="20" t="s">
        <v>583</v>
      </c>
    </row>
    <row r="359" spans="1:4">
      <c r="A359" s="19" t="str">
        <f>$R$2&amp;".Commands.COBN"</f>
        <v>АСПС.FB_UPP_S.Commands.COBN</v>
      </c>
      <c r="B359" s="11">
        <v>7998</v>
      </c>
      <c r="C359" s="11" t="s">
        <v>6</v>
      </c>
      <c r="D359" s="20">
        <v>2</v>
      </c>
    </row>
    <row r="360" spans="1:4">
      <c r="A360" s="21" t="str">
        <f>$R$2&amp;".Commands.COBN"</f>
        <v>АСПС.FB_UPP_S.Commands.COBN</v>
      </c>
      <c r="B360" s="8">
        <v>7999</v>
      </c>
      <c r="C360" s="8" t="s">
        <v>0</v>
      </c>
      <c r="D360" s="22" t="str">
        <f>"#"&amp;$T$5&amp;"#"&amp;$T$2&amp;"\"&amp;$P$2&amp;"\COAF"</f>
        <v>#1#treiOPCDA.CoOPCserv.1\pcmaster\FB_UPP_S\COAF</v>
      </c>
    </row>
    <row r="361" spans="1:4">
      <c r="A361" s="16" t="str">
        <f>$R$2&amp;".Commands.COBF"</f>
        <v>АСПС.FB_UPP_S.Commands.COBF</v>
      </c>
      <c r="B361" s="17">
        <v>1</v>
      </c>
      <c r="C361" s="17" t="s">
        <v>1</v>
      </c>
      <c r="D361" s="18">
        <v>11</v>
      </c>
    </row>
    <row r="362" spans="1:4">
      <c r="A362" s="19" t="str">
        <f>$R$2&amp;".Commands.COBF"</f>
        <v>АСПС.FB_UPP_S.Commands.COBF</v>
      </c>
      <c r="B362" s="11">
        <v>101</v>
      </c>
      <c r="C362" s="11" t="s">
        <v>0</v>
      </c>
      <c r="D362" s="20" t="s">
        <v>584</v>
      </c>
    </row>
    <row r="363" spans="1:4">
      <c r="A363" s="19" t="str">
        <f>$R$2&amp;".Commands.COBF"</f>
        <v>АСПС.FB_UPP_S.Commands.COBF</v>
      </c>
      <c r="B363" s="11">
        <v>7998</v>
      </c>
      <c r="C363" s="11" t="s">
        <v>6</v>
      </c>
      <c r="D363" s="20">
        <v>2</v>
      </c>
    </row>
    <row r="364" spans="1:4">
      <c r="A364" s="21" t="str">
        <f>$R$2&amp;".Commands.COBF"</f>
        <v>АСПС.FB_UPP_S.Commands.COBF</v>
      </c>
      <c r="B364" s="8">
        <v>7999</v>
      </c>
      <c r="C364" s="8" t="s">
        <v>0</v>
      </c>
      <c r="D364" s="22" t="str">
        <f>"#"&amp;$T$5&amp;"#"&amp;$T$2&amp;"\"&amp;$P$2&amp;"\COAN"</f>
        <v>#1#treiOPCDA.CoOPCserv.1\pcmaster\FB_UPP_S\COAN</v>
      </c>
    </row>
    <row r="365" spans="1:4">
      <c r="A365" s="19" t="str">
        <f t="shared" ref="A365:A370" si="32">$R$2&amp;".COCP"</f>
        <v>АСПС.FB_UPP_S.COCP</v>
      </c>
      <c r="B365" s="11">
        <v>7999</v>
      </c>
      <c r="C365" s="11" t="s">
        <v>0</v>
      </c>
      <c r="D365" s="20" t="str">
        <f>"#"&amp;$S$2&amp;"#"&amp;$T$2&amp;"\"&amp;$P$2&amp;"\COCP"</f>
        <v>#2#treiOPCDA.CoOPCserv.1\pcmaster\FB_UPP_S\COCP</v>
      </c>
    </row>
    <row r="366" spans="1:4">
      <c r="A366" s="19" t="str">
        <f t="shared" si="32"/>
        <v>АСПС.FB_UPP_S.COCP</v>
      </c>
      <c r="B366" s="11">
        <v>7998</v>
      </c>
      <c r="C366" s="11" t="s">
        <v>6</v>
      </c>
      <c r="D366" s="20">
        <v>1</v>
      </c>
    </row>
    <row r="367" spans="1:4">
      <c r="A367" s="19" t="str">
        <f t="shared" si="32"/>
        <v>АСПС.FB_UPP_S.COCP</v>
      </c>
      <c r="B367" s="11">
        <v>101</v>
      </c>
      <c r="C367" s="11" t="s">
        <v>0</v>
      </c>
      <c r="D367" s="20" t="s">
        <v>550</v>
      </c>
    </row>
    <row r="368" spans="1:4">
      <c r="A368" s="19" t="str">
        <f t="shared" si="32"/>
        <v>АСПС.FB_UPP_S.COCP</v>
      </c>
      <c r="B368" s="11">
        <v>3</v>
      </c>
      <c r="C368" s="11" t="s">
        <v>1</v>
      </c>
      <c r="D368" s="20">
        <v>192</v>
      </c>
    </row>
    <row r="369" spans="1:4">
      <c r="A369" s="19" t="str">
        <f t="shared" si="32"/>
        <v>АСПС.FB_UPP_S.COCP</v>
      </c>
      <c r="B369" s="11">
        <v>2</v>
      </c>
      <c r="C369" s="11" t="s">
        <v>2</v>
      </c>
      <c r="D369" s="20" t="s">
        <v>3</v>
      </c>
    </row>
    <row r="370" spans="1:4">
      <c r="A370" s="21" t="str">
        <f t="shared" si="32"/>
        <v>АСПС.FB_UPP_S.COCP</v>
      </c>
      <c r="B370" s="8">
        <v>1</v>
      </c>
      <c r="C370" s="8" t="s">
        <v>1</v>
      </c>
      <c r="D370" s="22">
        <v>11</v>
      </c>
    </row>
    <row r="371" spans="1:4">
      <c r="A371" s="19" t="str">
        <f t="shared" ref="A371:A376" si="33">$R$2&amp;".COCR"</f>
        <v>АСПС.FB_UPP_S.COCR</v>
      </c>
      <c r="B371" s="11">
        <v>7999</v>
      </c>
      <c r="C371" s="11" t="s">
        <v>0</v>
      </c>
      <c r="D371" s="20" t="str">
        <f>"#"&amp;$S$2&amp;"#"&amp;$T$2&amp;"\"&amp;$P$2&amp;"\COCR"</f>
        <v>#2#treiOPCDA.CoOPCserv.1\pcmaster\FB_UPP_S\COCR</v>
      </c>
    </row>
    <row r="372" spans="1:4">
      <c r="A372" s="19" t="str">
        <f t="shared" si="33"/>
        <v>АСПС.FB_UPP_S.COCR</v>
      </c>
      <c r="B372" s="11">
        <v>7998</v>
      </c>
      <c r="C372" s="11" t="s">
        <v>6</v>
      </c>
      <c r="D372" s="20">
        <v>1</v>
      </c>
    </row>
    <row r="373" spans="1:4">
      <c r="A373" s="19" t="str">
        <f t="shared" si="33"/>
        <v>АСПС.FB_UPP_S.COCR</v>
      </c>
      <c r="B373" s="11">
        <v>101</v>
      </c>
      <c r="C373" s="11" t="s">
        <v>0</v>
      </c>
      <c r="D373" s="20" t="s">
        <v>551</v>
      </c>
    </row>
    <row r="374" spans="1:4">
      <c r="A374" s="19" t="str">
        <f t="shared" si="33"/>
        <v>АСПС.FB_UPP_S.COCR</v>
      </c>
      <c r="B374" s="11">
        <v>3</v>
      </c>
      <c r="C374" s="11" t="s">
        <v>1</v>
      </c>
      <c r="D374" s="20">
        <v>192</v>
      </c>
    </row>
    <row r="375" spans="1:4">
      <c r="A375" s="19" t="str">
        <f t="shared" si="33"/>
        <v>АСПС.FB_UPP_S.COCR</v>
      </c>
      <c r="B375" s="11">
        <v>2</v>
      </c>
      <c r="C375" s="11" t="s">
        <v>2</v>
      </c>
      <c r="D375" s="20" t="s">
        <v>3</v>
      </c>
    </row>
    <row r="376" spans="1:4">
      <c r="A376" s="21" t="str">
        <f t="shared" si="33"/>
        <v>АСПС.FB_UPP_S.COCR</v>
      </c>
      <c r="B376" s="8">
        <v>1</v>
      </c>
      <c r="C376" s="8" t="s">
        <v>1</v>
      </c>
      <c r="D376" s="22">
        <v>11</v>
      </c>
    </row>
    <row r="377" spans="1:4">
      <c r="A377" s="19" t="str">
        <f t="shared" ref="A377:A382" si="34">$R$2&amp;".COBN"</f>
        <v>АСПС.FB_UPP_S.COBN</v>
      </c>
      <c r="B377" s="11">
        <v>7999</v>
      </c>
      <c r="C377" s="11" t="s">
        <v>0</v>
      </c>
      <c r="D377" s="20" t="str">
        <f>"#"&amp;$S$2&amp;"#"&amp;$T$2&amp;"\"&amp;$P$2&amp;"\COAF"</f>
        <v>#2#treiOPCDA.CoOPCserv.1\pcmaster\FB_UPP_S\COAF</v>
      </c>
    </row>
    <row r="378" spans="1:4">
      <c r="A378" s="19" t="str">
        <f t="shared" si="34"/>
        <v>АСПС.FB_UPP_S.COBN</v>
      </c>
      <c r="B378" s="11">
        <v>7998</v>
      </c>
      <c r="C378" s="11" t="s">
        <v>6</v>
      </c>
      <c r="D378" s="20">
        <v>1</v>
      </c>
    </row>
    <row r="379" spans="1:4">
      <c r="A379" s="19" t="str">
        <f t="shared" si="34"/>
        <v>АСПС.FB_UPP_S.COBN</v>
      </c>
      <c r="B379" s="11">
        <v>101</v>
      </c>
      <c r="C379" s="11" t="s">
        <v>0</v>
      </c>
      <c r="D379" s="20" t="s">
        <v>583</v>
      </c>
    </row>
    <row r="380" spans="1:4">
      <c r="A380" s="19" t="str">
        <f t="shared" si="34"/>
        <v>АСПС.FB_UPP_S.COBN</v>
      </c>
      <c r="B380" s="11">
        <v>3</v>
      </c>
      <c r="C380" s="11" t="s">
        <v>1</v>
      </c>
      <c r="D380" s="20">
        <v>192</v>
      </c>
    </row>
    <row r="381" spans="1:4">
      <c r="A381" s="19" t="str">
        <f t="shared" si="34"/>
        <v>АСПС.FB_UPP_S.COBN</v>
      </c>
      <c r="B381" s="11">
        <v>2</v>
      </c>
      <c r="C381" s="11" t="s">
        <v>2</v>
      </c>
      <c r="D381" s="20" t="s">
        <v>3</v>
      </c>
    </row>
    <row r="382" spans="1:4">
      <c r="A382" s="21" t="str">
        <f t="shared" si="34"/>
        <v>АСПС.FB_UPP_S.COBN</v>
      </c>
      <c r="B382" s="8">
        <v>1</v>
      </c>
      <c r="C382" s="8" t="s">
        <v>1</v>
      </c>
      <c r="D382" s="22">
        <v>11</v>
      </c>
    </row>
    <row r="383" spans="1:4">
      <c r="A383" s="19" t="str">
        <f t="shared" ref="A383:A388" si="35">$R$2&amp;".COBF"</f>
        <v>АСПС.FB_UPP_S.COBF</v>
      </c>
      <c r="B383" s="11">
        <v>7999</v>
      </c>
      <c r="C383" s="11" t="s">
        <v>0</v>
      </c>
      <c r="D383" s="20" t="str">
        <f>"#"&amp;$S$2&amp;"#"&amp;$T$2&amp;"\"&amp;$P$2&amp;"\COAN"</f>
        <v>#2#treiOPCDA.CoOPCserv.1\pcmaster\FB_UPP_S\COAN</v>
      </c>
    </row>
    <row r="384" spans="1:4">
      <c r="A384" s="19" t="str">
        <f t="shared" si="35"/>
        <v>АСПС.FB_UPP_S.COBF</v>
      </c>
      <c r="B384" s="11">
        <v>7998</v>
      </c>
      <c r="C384" s="11" t="s">
        <v>6</v>
      </c>
      <c r="D384" s="20">
        <v>1</v>
      </c>
    </row>
    <row r="385" spans="1:4">
      <c r="A385" s="19" t="str">
        <f t="shared" si="35"/>
        <v>АСПС.FB_UPP_S.COBF</v>
      </c>
      <c r="B385" s="11">
        <v>101</v>
      </c>
      <c r="C385" s="11" t="s">
        <v>0</v>
      </c>
      <c r="D385" s="20" t="s">
        <v>584</v>
      </c>
    </row>
    <row r="386" spans="1:4">
      <c r="A386" s="19" t="str">
        <f t="shared" si="35"/>
        <v>АСПС.FB_UPP_S.COBF</v>
      </c>
      <c r="B386" s="11">
        <v>3</v>
      </c>
      <c r="C386" s="11" t="s">
        <v>1</v>
      </c>
      <c r="D386" s="20">
        <v>192</v>
      </c>
    </row>
    <row r="387" spans="1:4">
      <c r="A387" s="19" t="str">
        <f t="shared" si="35"/>
        <v>АСПС.FB_UPP_S.COBF</v>
      </c>
      <c r="B387" s="11">
        <v>2</v>
      </c>
      <c r="C387" s="11" t="s">
        <v>2</v>
      </c>
      <c r="D387" s="20" t="s">
        <v>3</v>
      </c>
    </row>
    <row r="388" spans="1:4">
      <c r="A388" s="21" t="str">
        <f t="shared" si="35"/>
        <v>АСПС.FB_UPP_S.COBF</v>
      </c>
      <c r="B388" s="8">
        <v>1</v>
      </c>
      <c r="C388" s="8" t="s">
        <v>1</v>
      </c>
      <c r="D388" s="22">
        <v>11</v>
      </c>
    </row>
    <row r="389" spans="1:4">
      <c r="A389" s="19" t="str">
        <f t="shared" ref="A389:A394" si="36">$R$2&amp;".COTI"</f>
        <v>АСПС.FB_UPP_S.COTI</v>
      </c>
      <c r="B389" s="11">
        <v>7999</v>
      </c>
      <c r="C389" s="11" t="s">
        <v>0</v>
      </c>
      <c r="D389" s="20" t="str">
        <f>"#"&amp;$S$2&amp;"#"&amp;$T$2&amp;"\"&amp;$P$2&amp;"\COTI"</f>
        <v>#2#treiOPCDA.CoOPCserv.1\pcmaster\FB_UPP_S\COTI</v>
      </c>
    </row>
    <row r="390" spans="1:4">
      <c r="A390" s="19" t="str">
        <f t="shared" si="36"/>
        <v>АСПС.FB_UPP_S.COTI</v>
      </c>
      <c r="B390" s="11">
        <v>7998</v>
      </c>
      <c r="C390" s="11" t="s">
        <v>6</v>
      </c>
      <c r="D390" s="20">
        <v>1</v>
      </c>
    </row>
    <row r="391" spans="1:4">
      <c r="A391" s="19" t="str">
        <f t="shared" si="36"/>
        <v>АСПС.FB_UPP_S.COTI</v>
      </c>
      <c r="B391" s="11">
        <v>101</v>
      </c>
      <c r="C391" s="11" t="s">
        <v>0</v>
      </c>
      <c r="D391" s="20" t="s">
        <v>552</v>
      </c>
    </row>
    <row r="392" spans="1:4">
      <c r="A392" s="19" t="str">
        <f t="shared" si="36"/>
        <v>АСПС.FB_UPP_S.COTI</v>
      </c>
      <c r="B392" s="11">
        <v>3</v>
      </c>
      <c r="C392" s="11" t="s">
        <v>1</v>
      </c>
      <c r="D392" s="20">
        <v>192</v>
      </c>
    </row>
    <row r="393" spans="1:4">
      <c r="A393" s="19" t="str">
        <f t="shared" si="36"/>
        <v>АСПС.FB_UPP_S.COTI</v>
      </c>
      <c r="B393" s="11">
        <v>2</v>
      </c>
      <c r="C393" s="11" t="s">
        <v>2</v>
      </c>
      <c r="D393" s="20" t="s">
        <v>3</v>
      </c>
    </row>
    <row r="394" spans="1:4">
      <c r="A394" s="21" t="str">
        <f t="shared" si="36"/>
        <v>АСПС.FB_UPP_S.COTI</v>
      </c>
      <c r="B394" s="8">
        <v>1</v>
      </c>
      <c r="C394" s="8" t="s">
        <v>1</v>
      </c>
      <c r="D394" s="22">
        <v>11</v>
      </c>
    </row>
    <row r="395" spans="1:4">
      <c r="A395" s="19" t="str">
        <f t="shared" ref="A395:A400" si="37">$R$2&amp;".COTD"</f>
        <v>АСПС.FB_UPP_S.COTD</v>
      </c>
      <c r="B395" s="11">
        <v>7999</v>
      </c>
      <c r="C395" s="11" t="s">
        <v>0</v>
      </c>
      <c r="D395" s="20" t="str">
        <f>"#"&amp;$S$2&amp;"#"&amp;$T$2&amp;"\"&amp;$P$2&amp;"\COTD"</f>
        <v>#2#treiOPCDA.CoOPCserv.1\pcmaster\FB_UPP_S\COTD</v>
      </c>
    </row>
    <row r="396" spans="1:4">
      <c r="A396" s="19" t="str">
        <f t="shared" si="37"/>
        <v>АСПС.FB_UPP_S.COTD</v>
      </c>
      <c r="B396" s="11">
        <v>7998</v>
      </c>
      <c r="C396" s="11" t="s">
        <v>6</v>
      </c>
      <c r="D396" s="20">
        <v>1</v>
      </c>
    </row>
    <row r="397" spans="1:4">
      <c r="A397" s="19" t="str">
        <f t="shared" si="37"/>
        <v>АСПС.FB_UPP_S.COTD</v>
      </c>
      <c r="B397" s="11">
        <v>101</v>
      </c>
      <c r="C397" s="11" t="s">
        <v>0</v>
      </c>
      <c r="D397" s="20" t="s">
        <v>553</v>
      </c>
    </row>
    <row r="398" spans="1:4">
      <c r="A398" s="19" t="str">
        <f t="shared" si="37"/>
        <v>АСПС.FB_UPP_S.COTD</v>
      </c>
      <c r="B398" s="11">
        <v>3</v>
      </c>
      <c r="C398" s="11" t="s">
        <v>1</v>
      </c>
      <c r="D398" s="20">
        <v>192</v>
      </c>
    </row>
    <row r="399" spans="1:4">
      <c r="A399" s="19" t="str">
        <f t="shared" si="37"/>
        <v>АСПС.FB_UPP_S.COTD</v>
      </c>
      <c r="B399" s="11">
        <v>2</v>
      </c>
      <c r="C399" s="11" t="s">
        <v>2</v>
      </c>
      <c r="D399" s="20" t="s">
        <v>3</v>
      </c>
    </row>
    <row r="400" spans="1:4">
      <c r="A400" s="21" t="str">
        <f t="shared" si="37"/>
        <v>АСПС.FB_UPP_S.COTD</v>
      </c>
      <c r="B400" s="8">
        <v>1</v>
      </c>
      <c r="C400" s="8" t="s">
        <v>1</v>
      </c>
      <c r="D400" s="22">
        <v>11</v>
      </c>
    </row>
    <row r="401" spans="1:4">
      <c r="A401" s="19" t="str">
        <f t="shared" ref="A401:A406" si="38">$R$2&amp;".CSTI"</f>
        <v>АСПС.FB_UPP_S.CSTI</v>
      </c>
      <c r="B401" s="11">
        <v>7999</v>
      </c>
      <c r="C401" s="11" t="s">
        <v>0</v>
      </c>
      <c r="D401" s="20" t="str">
        <f>"#"&amp;$S$2&amp;"#"&amp;$T$2&amp;"\"&amp;$P$2&amp;"\CSTI"</f>
        <v>#2#treiOPCDA.CoOPCserv.1\pcmaster\FB_UPP_S\CSTI</v>
      </c>
    </row>
    <row r="402" spans="1:4">
      <c r="A402" s="19" t="str">
        <f t="shared" si="38"/>
        <v>АСПС.FB_UPP_S.CSTI</v>
      </c>
      <c r="B402" s="11">
        <v>7998</v>
      </c>
      <c r="C402" s="11" t="s">
        <v>6</v>
      </c>
      <c r="D402" s="20">
        <v>1</v>
      </c>
    </row>
    <row r="403" spans="1:4">
      <c r="A403" s="19" t="str">
        <f t="shared" si="38"/>
        <v>АСПС.FB_UPP_S.CSTI</v>
      </c>
      <c r="B403" s="11">
        <v>101</v>
      </c>
      <c r="C403" s="11" t="s">
        <v>0</v>
      </c>
      <c r="D403" s="20" t="s">
        <v>558</v>
      </c>
    </row>
    <row r="404" spans="1:4">
      <c r="A404" s="19" t="str">
        <f t="shared" si="38"/>
        <v>АСПС.FB_UPP_S.CSTI</v>
      </c>
      <c r="B404" s="11">
        <v>3</v>
      </c>
      <c r="C404" s="11" t="s">
        <v>1</v>
      </c>
      <c r="D404" s="20">
        <v>192</v>
      </c>
    </row>
    <row r="405" spans="1:4">
      <c r="A405" s="19" t="str">
        <f t="shared" si="38"/>
        <v>АСПС.FB_UPP_S.CSTI</v>
      </c>
      <c r="B405" s="11">
        <v>2</v>
      </c>
      <c r="C405" s="11" t="s">
        <v>2</v>
      </c>
      <c r="D405" s="20" t="s">
        <v>3</v>
      </c>
    </row>
    <row r="406" spans="1:4">
      <c r="A406" s="21" t="str">
        <f t="shared" si="38"/>
        <v>АСПС.FB_UPP_S.CSTI</v>
      </c>
      <c r="B406" s="8">
        <v>1</v>
      </c>
      <c r="C406" s="8" t="s">
        <v>1</v>
      </c>
      <c r="D406" s="22">
        <v>11</v>
      </c>
    </row>
    <row r="407" spans="1:4">
      <c r="A407" s="19" t="str">
        <f t="shared" ref="A407:A412" si="39">$R$2&amp;".CSTD"</f>
        <v>АСПС.FB_UPP_S.CSTD</v>
      </c>
      <c r="B407" s="11">
        <v>7999</v>
      </c>
      <c r="C407" s="11" t="s">
        <v>0</v>
      </c>
      <c r="D407" s="20" t="str">
        <f>"#"&amp;$S$2&amp;"#"&amp;$T$2&amp;"\"&amp;$P$2&amp;"\CSTD"</f>
        <v>#2#treiOPCDA.CoOPCserv.1\pcmaster\FB_UPP_S\CSTD</v>
      </c>
    </row>
    <row r="408" spans="1:4">
      <c r="A408" s="19" t="str">
        <f t="shared" si="39"/>
        <v>АСПС.FB_UPP_S.CSTD</v>
      </c>
      <c r="B408" s="11">
        <v>7998</v>
      </c>
      <c r="C408" s="11" t="s">
        <v>6</v>
      </c>
      <c r="D408" s="20">
        <v>1</v>
      </c>
    </row>
    <row r="409" spans="1:4">
      <c r="A409" s="19" t="str">
        <f t="shared" si="39"/>
        <v>АСПС.FB_UPP_S.CSTD</v>
      </c>
      <c r="B409" s="11">
        <v>101</v>
      </c>
      <c r="C409" s="11" t="s">
        <v>0</v>
      </c>
      <c r="D409" s="20" t="s">
        <v>559</v>
      </c>
    </row>
    <row r="410" spans="1:4">
      <c r="A410" s="19" t="str">
        <f t="shared" si="39"/>
        <v>АСПС.FB_UPP_S.CSTD</v>
      </c>
      <c r="B410" s="11">
        <v>3</v>
      </c>
      <c r="C410" s="11" t="s">
        <v>1</v>
      </c>
      <c r="D410" s="20">
        <v>192</v>
      </c>
    </row>
    <row r="411" spans="1:4">
      <c r="A411" s="19" t="str">
        <f t="shared" si="39"/>
        <v>АСПС.FB_UPP_S.CSTD</v>
      </c>
      <c r="B411" s="11">
        <v>2</v>
      </c>
      <c r="C411" s="11" t="s">
        <v>2</v>
      </c>
      <c r="D411" s="20" t="s">
        <v>3</v>
      </c>
    </row>
    <row r="412" spans="1:4">
      <c r="A412" s="21" t="str">
        <f t="shared" si="39"/>
        <v>АСПС.FB_UPP_S.CSTD</v>
      </c>
      <c r="B412" s="8">
        <v>1</v>
      </c>
      <c r="C412" s="8" t="s">
        <v>1</v>
      </c>
      <c r="D412" s="22">
        <v>11</v>
      </c>
    </row>
    <row r="413" spans="1:4">
      <c r="A413" s="19" t="str">
        <f t="shared" ref="A413:A418" si="40">$R$2&amp;".CPTI"</f>
        <v>АСПС.FB_UPP_S.CPTI</v>
      </c>
      <c r="B413" s="11">
        <v>7999</v>
      </c>
      <c r="C413" s="11" t="s">
        <v>0</v>
      </c>
      <c r="D413" s="20" t="str">
        <f>"#"&amp;$S$2&amp;"#"&amp;$T$2&amp;"\"&amp;$P$2&amp;"\CPTI"</f>
        <v>#2#treiOPCDA.CoOPCserv.1\pcmaster\FB_UPP_S\CPTI</v>
      </c>
    </row>
    <row r="414" spans="1:4">
      <c r="A414" s="19" t="str">
        <f t="shared" si="40"/>
        <v>АСПС.FB_UPP_S.CPTI</v>
      </c>
      <c r="B414" s="11">
        <v>7998</v>
      </c>
      <c r="C414" s="11" t="s">
        <v>6</v>
      </c>
      <c r="D414" s="20">
        <v>1</v>
      </c>
    </row>
    <row r="415" spans="1:4">
      <c r="A415" s="19" t="str">
        <f t="shared" si="40"/>
        <v>АСПС.FB_UPP_S.CPTI</v>
      </c>
      <c r="B415" s="11">
        <v>101</v>
      </c>
      <c r="C415" s="11" t="s">
        <v>0</v>
      </c>
      <c r="D415" s="20" t="s">
        <v>560</v>
      </c>
    </row>
    <row r="416" spans="1:4">
      <c r="A416" s="19" t="str">
        <f t="shared" si="40"/>
        <v>АСПС.FB_UPP_S.CPTI</v>
      </c>
      <c r="B416" s="11">
        <v>3</v>
      </c>
      <c r="C416" s="11" t="s">
        <v>1</v>
      </c>
      <c r="D416" s="20">
        <v>192</v>
      </c>
    </row>
    <row r="417" spans="1:4">
      <c r="A417" s="19" t="str">
        <f t="shared" si="40"/>
        <v>АСПС.FB_UPP_S.CPTI</v>
      </c>
      <c r="B417" s="11">
        <v>2</v>
      </c>
      <c r="C417" s="11" t="s">
        <v>2</v>
      </c>
      <c r="D417" s="20" t="s">
        <v>3</v>
      </c>
    </row>
    <row r="418" spans="1:4">
      <c r="A418" s="21" t="str">
        <f t="shared" si="40"/>
        <v>АСПС.FB_UPP_S.CPTI</v>
      </c>
      <c r="B418" s="8">
        <v>1</v>
      </c>
      <c r="C418" s="8" t="s">
        <v>1</v>
      </c>
      <c r="D418" s="22">
        <v>11</v>
      </c>
    </row>
    <row r="419" spans="1:4">
      <c r="A419" s="19" t="str">
        <f t="shared" ref="A419:A424" si="41">$R$2&amp;".CPTD"</f>
        <v>АСПС.FB_UPP_S.CPTD</v>
      </c>
      <c r="B419" s="11">
        <v>7999</v>
      </c>
      <c r="C419" s="11" t="s">
        <v>0</v>
      </c>
      <c r="D419" s="20" t="str">
        <f>"#"&amp;$S$2&amp;"#"&amp;$T$2&amp;"\"&amp;$P$2&amp;"\CPTD"</f>
        <v>#2#treiOPCDA.CoOPCserv.1\pcmaster\FB_UPP_S\CPTD</v>
      </c>
    </row>
    <row r="420" spans="1:4">
      <c r="A420" s="19" t="str">
        <f t="shared" si="41"/>
        <v>АСПС.FB_UPP_S.CPTD</v>
      </c>
      <c r="B420" s="11">
        <v>7998</v>
      </c>
      <c r="C420" s="11" t="s">
        <v>6</v>
      </c>
      <c r="D420" s="20">
        <v>1</v>
      </c>
    </row>
    <row r="421" spans="1:4">
      <c r="A421" s="19" t="str">
        <f t="shared" si="41"/>
        <v>АСПС.FB_UPP_S.CPTD</v>
      </c>
      <c r="B421" s="11">
        <v>101</v>
      </c>
      <c r="C421" s="11" t="s">
        <v>0</v>
      </c>
      <c r="D421" s="20" t="s">
        <v>561</v>
      </c>
    </row>
    <row r="422" spans="1:4">
      <c r="A422" s="19" t="str">
        <f t="shared" si="41"/>
        <v>АСПС.FB_UPP_S.CPTD</v>
      </c>
      <c r="B422" s="11">
        <v>3</v>
      </c>
      <c r="C422" s="11" t="s">
        <v>1</v>
      </c>
      <c r="D422" s="20">
        <v>192</v>
      </c>
    </row>
    <row r="423" spans="1:4">
      <c r="A423" s="19" t="str">
        <f t="shared" si="41"/>
        <v>АСПС.FB_UPP_S.CPTD</v>
      </c>
      <c r="B423" s="11">
        <v>2</v>
      </c>
      <c r="C423" s="11" t="s">
        <v>2</v>
      </c>
      <c r="D423" s="20" t="s">
        <v>3</v>
      </c>
    </row>
    <row r="424" spans="1:4">
      <c r="A424" s="21" t="str">
        <f t="shared" si="41"/>
        <v>АСПС.FB_UPP_S.CPTD</v>
      </c>
      <c r="B424" s="8">
        <v>1</v>
      </c>
      <c r="C424" s="8" t="s">
        <v>1</v>
      </c>
      <c r="D424" s="22">
        <v>11</v>
      </c>
    </row>
    <row r="425" spans="1:4">
      <c r="A425" s="19" t="str">
        <f>$R$2&amp;".XNXX"</f>
        <v>АСПС.FB_UPP_S.XNXX</v>
      </c>
      <c r="B425" s="11">
        <v>7999</v>
      </c>
      <c r="C425" s="11" t="s">
        <v>0</v>
      </c>
      <c r="D425" s="20" t="str">
        <f>"#"&amp;$S$2&amp;"#"&amp;$T$2&amp;"\"&amp;$P$2&amp;"\XNXX"</f>
        <v>#2#treiOPCDA.CoOPCserv.1\pcmaster\FB_UPP_S\XNXX</v>
      </c>
    </row>
    <row r="426" spans="1:4">
      <c r="A426" s="19" t="str">
        <f t="shared" ref="A426:A430" si="42">$R$2&amp;".XNXX"</f>
        <v>АСПС.FB_UPP_S.XNXX</v>
      </c>
      <c r="B426" s="11">
        <v>7998</v>
      </c>
      <c r="C426" s="11" t="s">
        <v>6</v>
      </c>
      <c r="D426" s="20">
        <v>1</v>
      </c>
    </row>
    <row r="427" spans="1:4">
      <c r="A427" s="19" t="str">
        <f t="shared" si="42"/>
        <v>АСПС.FB_UPP_S.XNXX</v>
      </c>
      <c r="B427" s="11">
        <v>101</v>
      </c>
      <c r="C427" s="11" t="s">
        <v>0</v>
      </c>
      <c r="D427" s="20" t="s">
        <v>2942</v>
      </c>
    </row>
    <row r="428" spans="1:4">
      <c r="A428" s="19" t="str">
        <f t="shared" si="42"/>
        <v>АСПС.FB_UPP_S.XNXX</v>
      </c>
      <c r="B428" s="11">
        <v>3</v>
      </c>
      <c r="C428" s="11" t="s">
        <v>1</v>
      </c>
      <c r="D428" s="20">
        <v>192</v>
      </c>
    </row>
    <row r="429" spans="1:4">
      <c r="A429" s="19" t="str">
        <f t="shared" si="42"/>
        <v>АСПС.FB_UPP_S.XNXX</v>
      </c>
      <c r="B429" s="11">
        <v>2</v>
      </c>
      <c r="C429" s="11" t="s">
        <v>2</v>
      </c>
      <c r="D429" s="20" t="s">
        <v>3</v>
      </c>
    </row>
    <row r="430" spans="1:4">
      <c r="A430" s="21" t="str">
        <f t="shared" si="42"/>
        <v>АСПС.FB_UPP_S.XNXX</v>
      </c>
      <c r="B430" s="8">
        <v>1</v>
      </c>
      <c r="C430" s="8" t="s">
        <v>1</v>
      </c>
      <c r="D430" s="22">
        <v>11</v>
      </c>
    </row>
    <row r="431" spans="1:4">
      <c r="A431" s="266" t="str">
        <f t="shared" ref="A431:A436" si="43">$R$2&amp;".XFT1"</f>
        <v>АСПС.FB_UPP_S.XFT1</v>
      </c>
      <c r="B431" s="267">
        <v>7999</v>
      </c>
      <c r="C431" s="267" t="s">
        <v>0</v>
      </c>
      <c r="D431" s="268" t="str">
        <f>"#"&amp;$S$2&amp;"#"&amp;$T$2&amp;"\"&amp;$P$2&amp;"\XFT1"</f>
        <v>#2#treiOPCDA.CoOPCserv.1\pcmaster\FB_UPP_S\XFT1</v>
      </c>
    </row>
    <row r="432" spans="1:4">
      <c r="A432" s="269" t="str">
        <f t="shared" si="43"/>
        <v>АСПС.FB_UPP_S.XFT1</v>
      </c>
      <c r="B432" s="270">
        <v>7998</v>
      </c>
      <c r="C432" s="270" t="s">
        <v>6</v>
      </c>
      <c r="D432" s="271">
        <v>1</v>
      </c>
    </row>
    <row r="433" spans="1:4">
      <c r="A433" s="269" t="str">
        <f t="shared" si="43"/>
        <v>АСПС.FB_UPP_S.XFT1</v>
      </c>
      <c r="B433" s="270">
        <v>101</v>
      </c>
      <c r="C433" s="270" t="s">
        <v>0</v>
      </c>
      <c r="D433" s="271" t="s">
        <v>589</v>
      </c>
    </row>
    <row r="434" spans="1:4">
      <c r="A434" s="269" t="str">
        <f t="shared" si="43"/>
        <v>АСПС.FB_UPP_S.XFT1</v>
      </c>
      <c r="B434" s="270">
        <v>3</v>
      </c>
      <c r="C434" s="270" t="s">
        <v>1</v>
      </c>
      <c r="D434" s="271">
        <v>192</v>
      </c>
    </row>
    <row r="435" spans="1:4">
      <c r="A435" s="269" t="str">
        <f t="shared" si="43"/>
        <v>АСПС.FB_UPP_S.XFT1</v>
      </c>
      <c r="B435" s="270">
        <v>2</v>
      </c>
      <c r="C435" s="270" t="s">
        <v>6</v>
      </c>
      <c r="D435" s="271">
        <v>0</v>
      </c>
    </row>
    <row r="436" spans="1:4">
      <c r="A436" s="272" t="str">
        <f t="shared" si="43"/>
        <v>АСПС.FB_UPP_S.XFT1</v>
      </c>
      <c r="B436" s="273">
        <v>1</v>
      </c>
      <c r="C436" s="273" t="s">
        <v>1</v>
      </c>
      <c r="D436" s="274">
        <v>3</v>
      </c>
    </row>
    <row r="437" spans="1:4">
      <c r="A437" s="266" t="str">
        <f t="shared" ref="A437:A442" si="44">$R$2&amp;".XFTD"</f>
        <v>АСПС.FB_UPP_S.XFTD</v>
      </c>
      <c r="B437" s="267">
        <v>7999</v>
      </c>
      <c r="C437" s="267" t="s">
        <v>0</v>
      </c>
      <c r="D437" s="268" t="str">
        <f>"#"&amp;$S$2&amp;"#"&amp;$T$2&amp;"\"&amp;$P$2&amp;"\XFTD"</f>
        <v>#2#treiOPCDA.CoOPCserv.1\pcmaster\FB_UPP_S\XFTD</v>
      </c>
    </row>
    <row r="438" spans="1:4">
      <c r="A438" s="269" t="str">
        <f t="shared" si="44"/>
        <v>АСПС.FB_UPP_S.XFTD</v>
      </c>
      <c r="B438" s="270">
        <v>7998</v>
      </c>
      <c r="C438" s="270" t="s">
        <v>6</v>
      </c>
      <c r="D438" s="271">
        <v>1</v>
      </c>
    </row>
    <row r="439" spans="1:4">
      <c r="A439" s="269" t="str">
        <f t="shared" si="44"/>
        <v>АСПС.FB_UPP_S.XFTD</v>
      </c>
      <c r="B439" s="270">
        <v>101</v>
      </c>
      <c r="C439" s="270" t="s">
        <v>0</v>
      </c>
      <c r="D439" s="271" t="s">
        <v>473</v>
      </c>
    </row>
    <row r="440" spans="1:4">
      <c r="A440" s="269" t="str">
        <f t="shared" si="44"/>
        <v>АСПС.FB_UPP_S.XFTD</v>
      </c>
      <c r="B440" s="270">
        <v>3</v>
      </c>
      <c r="C440" s="270" t="s">
        <v>1</v>
      </c>
      <c r="D440" s="271">
        <v>192</v>
      </c>
    </row>
    <row r="441" spans="1:4">
      <c r="A441" s="269" t="str">
        <f t="shared" si="44"/>
        <v>АСПС.FB_UPP_S.XFTD</v>
      </c>
      <c r="B441" s="270">
        <v>2</v>
      </c>
      <c r="C441" s="270" t="s">
        <v>6</v>
      </c>
      <c r="D441" s="271">
        <v>0</v>
      </c>
    </row>
    <row r="442" spans="1:4">
      <c r="A442" s="272" t="str">
        <f t="shared" si="44"/>
        <v>АСПС.FB_UPP_S.XFTD</v>
      </c>
      <c r="B442" s="273">
        <v>1</v>
      </c>
      <c r="C442" s="273" t="s">
        <v>1</v>
      </c>
      <c r="D442" s="274">
        <v>3</v>
      </c>
    </row>
  </sheetData>
  <autoFilter ref="B1:B442" xr:uid="{00000000-0009-0000-0000-000052000000}"/>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Лист77">
    <tabColor rgb="FFFFC000"/>
  </sheetPr>
  <dimension ref="A1:BR459"/>
  <sheetViews>
    <sheetView topLeftCell="A400" zoomScale="60" zoomScaleNormal="60" workbookViewId="0">
      <selection activeCell="P2" sqref="P2:BA2"/>
    </sheetView>
  </sheetViews>
  <sheetFormatPr defaultRowHeight="14.4"/>
  <cols>
    <col min="1" max="1" width="37.109375" customWidth="1"/>
    <col min="2" max="2" width="9.5546875" customWidth="1"/>
    <col min="4" max="4" width="63.88671875" customWidth="1"/>
    <col min="5" max="15" width="9.109375"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7.33203125" customWidth="1"/>
    <col min="56" max="56" width="10.33203125" customWidth="1"/>
    <col min="57" max="57" width="10" customWidth="1"/>
    <col min="59" max="59" width="7.109375" customWidth="1"/>
    <col min="60" max="60" width="10.88671875" customWidth="1"/>
    <col min="62" max="62" width="65.109375" customWidth="1"/>
  </cols>
  <sheetData>
    <row r="1" spans="1:66" s="258" customFormat="1" ht="204.6" thickBot="1">
      <c r="A1" s="257"/>
      <c r="B1" s="257"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K1" s="259"/>
      <c r="BL1" s="259"/>
      <c r="BM1" s="259"/>
      <c r="BN1" s="259"/>
    </row>
    <row r="2" spans="1:66">
      <c r="A2" s="9"/>
      <c r="B2" s="9"/>
      <c r="C2" s="9"/>
      <c r="D2" s="9"/>
      <c r="E2" s="9"/>
      <c r="F2" s="9"/>
      <c r="P2" s="2" t="s">
        <v>620</v>
      </c>
      <c r="Q2" s="2" t="s">
        <v>499</v>
      </c>
      <c r="R2" s="2" t="s">
        <v>753</v>
      </c>
      <c r="S2" s="3">
        <v>2</v>
      </c>
      <c r="T2" s="3" t="s">
        <v>1698</v>
      </c>
      <c r="U2" s="3"/>
      <c r="V2" s="3" t="s">
        <v>569</v>
      </c>
      <c r="W2" s="12"/>
      <c r="X2" s="12"/>
      <c r="Y2" s="12"/>
      <c r="Z2" s="12">
        <v>1</v>
      </c>
      <c r="AA2" s="12"/>
      <c r="AB2" s="2"/>
      <c r="AC2" s="2"/>
      <c r="AD2" s="2"/>
      <c r="AE2" s="2" t="s">
        <v>1414</v>
      </c>
      <c r="AF2" s="2"/>
      <c r="AG2" s="2"/>
      <c r="AH2" s="2"/>
      <c r="AI2" s="2"/>
      <c r="AJ2" s="2"/>
      <c r="AK2" s="2"/>
      <c r="AL2" s="2"/>
      <c r="AM2" s="2"/>
      <c r="AN2" s="2"/>
      <c r="AO2" s="2"/>
      <c r="AP2" s="2"/>
      <c r="AQ2" s="2"/>
      <c r="AR2" s="2"/>
      <c r="AS2" s="2"/>
      <c r="AT2" s="2"/>
      <c r="AU2" s="2"/>
      <c r="AV2" s="2"/>
      <c r="AW2" s="2"/>
      <c r="AX2" s="2"/>
      <c r="AY2" s="2"/>
      <c r="AZ2" s="2"/>
      <c r="BA2" s="2"/>
      <c r="BK2" s="4"/>
      <c r="BL2" s="4"/>
      <c r="BM2" s="4"/>
      <c r="BN2" s="4"/>
    </row>
    <row r="3" spans="1:66">
      <c r="A3" s="9"/>
      <c r="B3" s="9"/>
      <c r="C3" s="9"/>
      <c r="D3" s="9"/>
      <c r="E3" s="9"/>
      <c r="F3" s="9"/>
      <c r="P3" s="10"/>
      <c r="Q3" s="10"/>
      <c r="R3" s="10"/>
      <c r="S3" s="10"/>
      <c r="T3" s="10"/>
      <c r="U3" s="10"/>
      <c r="V3" s="10"/>
      <c r="W3" s="10"/>
      <c r="X3" s="10"/>
      <c r="Y3" s="10"/>
      <c r="Z3" s="10"/>
      <c r="AA3" s="10"/>
      <c r="BK3" s="4"/>
      <c r="BL3" s="4"/>
      <c r="BM3" s="4"/>
      <c r="BN3" s="4"/>
    </row>
    <row r="4" spans="1:66">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K4" s="4"/>
      <c r="BL4" s="4"/>
      <c r="BM4" s="4"/>
      <c r="BN4" s="4"/>
    </row>
    <row r="5" spans="1:66">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K5" s="4"/>
      <c r="BL5" s="4"/>
      <c r="BM5" s="4"/>
      <c r="BN5" s="4"/>
    </row>
    <row r="6" spans="1:66">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K6" s="4"/>
      <c r="BL6" s="4"/>
      <c r="BM6" s="4"/>
      <c r="BN6" s="4"/>
    </row>
    <row r="7" spans="1:66">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K7" s="4"/>
      <c r="BL7" s="4"/>
      <c r="BM7" s="4"/>
      <c r="BN7" s="4"/>
    </row>
    <row r="8" spans="1:66">
      <c r="A8" s="9"/>
      <c r="B8" s="9"/>
      <c r="C8" s="9"/>
      <c r="D8" s="9"/>
      <c r="E8" s="9"/>
      <c r="F8" s="9"/>
      <c r="P8" s="6" t="str">
        <f>Настройки!A5</f>
        <v>Телесигнализация</v>
      </c>
      <c r="Q8" s="5">
        <f>Настройки!B5</f>
        <v>18</v>
      </c>
      <c r="R8" s="5" t="str">
        <f>Настройки!C5</f>
        <v>Телесигнализация</v>
      </c>
      <c r="S8" s="10"/>
      <c r="T8" s="14"/>
      <c r="U8" s="10"/>
      <c r="V8" s="10"/>
      <c r="W8" s="10"/>
      <c r="X8" s="10"/>
      <c r="Y8" s="10"/>
      <c r="Z8" s="10"/>
      <c r="AA8" s="10"/>
      <c r="BK8" s="4"/>
      <c r="BL8" s="4"/>
      <c r="BM8" s="4"/>
      <c r="BN8" s="4"/>
    </row>
    <row r="9" spans="1:66">
      <c r="A9" s="9"/>
      <c r="B9" s="9"/>
      <c r="C9" s="9"/>
      <c r="D9" s="9"/>
      <c r="E9" s="9"/>
      <c r="F9" s="9"/>
      <c r="P9" s="6" t="str">
        <f>Настройки!A6</f>
        <v>Недостоверность</v>
      </c>
      <c r="Q9" s="5">
        <f>Настройки!B6</f>
        <v>10</v>
      </c>
      <c r="R9" s="5" t="str">
        <f>Настройки!C6</f>
        <v>Недостоверность</v>
      </c>
      <c r="S9" s="10"/>
      <c r="T9" s="14"/>
      <c r="U9" s="10"/>
      <c r="V9" s="10"/>
      <c r="W9" s="10"/>
      <c r="X9" s="10"/>
      <c r="Y9" s="10"/>
      <c r="Z9" s="10"/>
      <c r="AA9" s="10"/>
      <c r="BK9" s="4"/>
      <c r="BL9" s="4"/>
      <c r="BM9" s="4"/>
      <c r="BN9" s="4"/>
    </row>
    <row r="10" spans="1:66">
      <c r="A10" s="9"/>
      <c r="B10" s="9"/>
      <c r="C10" s="9"/>
      <c r="D10" s="9"/>
      <c r="E10" s="9"/>
      <c r="F10" s="9"/>
      <c r="P10" s="6" t="str">
        <f>Настройки!A7</f>
        <v>Имитация</v>
      </c>
      <c r="Q10" s="5">
        <f>Настройки!B7</f>
        <v>16</v>
      </c>
      <c r="R10" s="5" t="str">
        <f>Настройки!C7</f>
        <v>Имитация</v>
      </c>
      <c r="S10" s="10"/>
      <c r="T10" s="14"/>
      <c r="U10" s="10"/>
      <c r="V10" s="10"/>
      <c r="W10" s="10"/>
      <c r="X10" s="10"/>
      <c r="Y10" s="10"/>
      <c r="Z10" s="10"/>
      <c r="AA10" s="10"/>
      <c r="BK10" s="4"/>
      <c r="BL10" s="4"/>
      <c r="BM10" s="4"/>
      <c r="BN10" s="4"/>
    </row>
    <row r="11" spans="1:66">
      <c r="A11" s="9"/>
      <c r="B11" s="9"/>
      <c r="C11" s="9"/>
      <c r="D11" s="9"/>
      <c r="E11" s="9"/>
      <c r="F11" s="9"/>
      <c r="P11" s="6" t="str">
        <f>Настройки!A8</f>
        <v>Ремонт</v>
      </c>
      <c r="Q11" s="5">
        <f>Настройки!B8</f>
        <v>14</v>
      </c>
      <c r="R11" s="5" t="str">
        <f>Настройки!C8</f>
        <v>Ремонт</v>
      </c>
      <c r="S11" s="10"/>
      <c r="T11" s="14"/>
      <c r="U11" s="10"/>
      <c r="V11" s="10"/>
      <c r="W11" s="10"/>
      <c r="X11" s="10"/>
      <c r="Y11" s="10"/>
      <c r="Z11" s="10"/>
      <c r="AA11" s="10"/>
      <c r="BK11" s="4"/>
      <c r="BL11" s="4"/>
      <c r="BM11" s="4"/>
      <c r="BN11" s="4"/>
    </row>
    <row r="12" spans="1:66">
      <c r="A12" s="9"/>
      <c r="B12" s="9"/>
      <c r="C12" s="9"/>
      <c r="D12" s="9"/>
      <c r="E12" s="9"/>
      <c r="F12" s="9"/>
      <c r="P12" s="6" t="str">
        <f>Настройки!A9</f>
        <v>Команда оператора</v>
      </c>
      <c r="Q12" s="5">
        <f>Настройки!B9</f>
        <v>20</v>
      </c>
      <c r="R12" s="5" t="str">
        <f>Настройки!C9</f>
        <v>Команда оператора</v>
      </c>
      <c r="S12" s="10"/>
      <c r="T12" s="14"/>
      <c r="U12" s="10"/>
      <c r="V12" s="10"/>
      <c r="W12" s="10"/>
      <c r="X12" s="10"/>
      <c r="Y12" s="10"/>
      <c r="Z12" s="10"/>
      <c r="AA12" s="10"/>
      <c r="BK12" s="4"/>
      <c r="BL12" s="4"/>
      <c r="BM12" s="4"/>
      <c r="BN12" s="4"/>
    </row>
    <row r="13" spans="1:66">
      <c r="A13" s="9"/>
      <c r="B13" s="9"/>
      <c r="C13" s="9"/>
      <c r="D13" s="9"/>
      <c r="E13" s="9"/>
      <c r="F13" s="9"/>
      <c r="P13" s="6" t="str">
        <f>Настройки!A10</f>
        <v>Тревога</v>
      </c>
      <c r="Q13" s="5">
        <f>Настройки!B10</f>
        <v>5</v>
      </c>
      <c r="R13" s="5" t="str">
        <f>Настройки!C10</f>
        <v>Тревога</v>
      </c>
      <c r="S13" s="10"/>
      <c r="T13" s="14"/>
      <c r="U13" s="10"/>
      <c r="V13" s="10"/>
      <c r="W13" s="10"/>
      <c r="X13" s="10"/>
      <c r="Y13" s="10"/>
      <c r="Z13" s="10"/>
      <c r="AA13" s="10"/>
      <c r="BK13" s="4"/>
      <c r="BL13" s="4"/>
      <c r="BM13" s="4"/>
      <c r="BN13" s="4"/>
    </row>
    <row r="14" spans="1:66">
      <c r="A14" s="9"/>
      <c r="B14" s="9"/>
      <c r="C14" s="9"/>
      <c r="D14" s="9"/>
      <c r="E14" s="9"/>
      <c r="F14" s="9"/>
      <c r="P14" s="6" t="str">
        <f>Настройки!A11</f>
        <v>Тушение</v>
      </c>
      <c r="Q14" s="5">
        <f>Настройки!B11</f>
        <v>1</v>
      </c>
      <c r="R14" s="5" t="str">
        <f>Настройки!C11</f>
        <v>Тушение</v>
      </c>
      <c r="S14" s="10"/>
      <c r="T14" s="14"/>
      <c r="U14" s="10"/>
      <c r="V14" s="10"/>
      <c r="W14" s="10"/>
      <c r="X14" s="10"/>
      <c r="Y14" s="10"/>
      <c r="Z14" s="10"/>
      <c r="AA14" s="10"/>
      <c r="BK14" s="4"/>
      <c r="BL14" s="4"/>
      <c r="BM14" s="4"/>
      <c r="BN14" s="4"/>
    </row>
    <row r="15" spans="1:66">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K15" s="4"/>
      <c r="BL15" s="4"/>
      <c r="BM15" s="4"/>
      <c r="BN15" s="4"/>
    </row>
    <row r="16" spans="1:66">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K16" s="4"/>
      <c r="BL16" s="4"/>
      <c r="BM16" s="4"/>
      <c r="BN16" s="4"/>
    </row>
    <row r="17" spans="1:70">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K17" s="4"/>
      <c r="BL17" s="4"/>
      <c r="BM17" s="4"/>
      <c r="BN17" s="4"/>
    </row>
    <row r="18" spans="1:70">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K18" s="4"/>
      <c r="BL18" s="4"/>
      <c r="BM18" s="4"/>
      <c r="BN18" s="4"/>
    </row>
    <row r="19" spans="1:70">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K19" s="4"/>
      <c r="BL19" s="4"/>
      <c r="BM19" s="4"/>
      <c r="BN19" s="4"/>
    </row>
    <row r="20" spans="1:70">
      <c r="A20" s="16" t="str">
        <f t="shared" ref="A20:A27" si="0">$R$2</f>
        <v>АСПС.FB_UPG_S5</v>
      </c>
      <c r="B20" s="17">
        <v>11001</v>
      </c>
      <c r="C20" s="17" t="s">
        <v>0</v>
      </c>
      <c r="D20" s="18" t="str">
        <f>$Q$2&amp;". "</f>
        <v xml:space="preserve">Тушение газовое. </v>
      </c>
      <c r="F20" s="4"/>
      <c r="BK20" s="4"/>
      <c r="BL20" s="4"/>
      <c r="BM20" s="4"/>
      <c r="BN20" s="4"/>
    </row>
    <row r="21" spans="1:70">
      <c r="A21" s="19" t="str">
        <f t="shared" si="0"/>
        <v>АСПС.FB_UPG_S5</v>
      </c>
      <c r="B21" s="11">
        <v>11156</v>
      </c>
      <c r="C21" s="11" t="s">
        <v>0</v>
      </c>
      <c r="D21" s="20" t="str">
        <f>$V$2</f>
        <v>Тестовый экран</v>
      </c>
      <c r="F21" s="4"/>
      <c r="BK21" s="4"/>
      <c r="BL21" s="4"/>
      <c r="BM21" s="4"/>
      <c r="BN21" s="4"/>
    </row>
    <row r="22" spans="1:70">
      <c r="A22" s="19" t="str">
        <f t="shared" si="0"/>
        <v>АСПС.FB_UPG_S5</v>
      </c>
      <c r="B22" s="11">
        <v>1</v>
      </c>
      <c r="C22" s="11" t="s">
        <v>1</v>
      </c>
      <c r="D22" s="20">
        <v>17</v>
      </c>
      <c r="BK22" s="4"/>
      <c r="BL22" s="4"/>
      <c r="BM22" s="4"/>
      <c r="BN22" s="4"/>
    </row>
    <row r="23" spans="1:70" ht="15" customHeight="1">
      <c r="A23" s="16" t="str">
        <f t="shared" si="0"/>
        <v>АСПС.FB_UPG_S5</v>
      </c>
      <c r="B23" s="17">
        <v>100</v>
      </c>
      <c r="C23" s="17" t="s">
        <v>0</v>
      </c>
      <c r="D23" s="18" t="b">
        <f>$T$7</f>
        <v>0</v>
      </c>
      <c r="BF23" s="4"/>
      <c r="BG23" s="4"/>
      <c r="BH23" s="4"/>
      <c r="BI23" s="4"/>
    </row>
    <row r="24" spans="1:70">
      <c r="A24" s="19" t="str">
        <f t="shared" si="0"/>
        <v>АСПС.FB_UPG_S5</v>
      </c>
      <c r="B24" s="11">
        <v>11120</v>
      </c>
      <c r="C24" s="11" t="s">
        <v>0</v>
      </c>
      <c r="D24" s="20">
        <f>$AK$2</f>
        <v>0</v>
      </c>
      <c r="BK24" s="4"/>
      <c r="BL24" s="4"/>
      <c r="BM24" s="4"/>
      <c r="BN24" s="4"/>
    </row>
    <row r="25" spans="1:70">
      <c r="A25" s="21" t="str">
        <f t="shared" si="0"/>
        <v>АСПС.FB_UPG_S5</v>
      </c>
      <c r="B25" s="8">
        <v>11122</v>
      </c>
      <c r="C25" s="8" t="s">
        <v>0</v>
      </c>
      <c r="D25" s="22">
        <f>$Z$2</f>
        <v>1</v>
      </c>
      <c r="BK25" s="4"/>
      <c r="BL25" s="4"/>
      <c r="BM25" s="4"/>
      <c r="BN25" s="4"/>
    </row>
    <row r="26" spans="1:70">
      <c r="A26" s="16" t="str">
        <f t="shared" si="0"/>
        <v>АСПС.FB_UPG_S5</v>
      </c>
      <c r="B26" s="17">
        <v>13</v>
      </c>
      <c r="C26" s="17" t="s">
        <v>2</v>
      </c>
      <c r="D26" s="18" t="s">
        <v>3</v>
      </c>
      <c r="BK26" s="4"/>
      <c r="BL26" s="4"/>
      <c r="BM26" s="4"/>
      <c r="BN26" s="4"/>
    </row>
    <row r="27" spans="1:70">
      <c r="A27" s="21" t="str">
        <f t="shared" si="0"/>
        <v>АСПС.FB_UPG_S5</v>
      </c>
      <c r="B27" s="8">
        <v>3000013</v>
      </c>
      <c r="C27" s="8" t="s">
        <v>0</v>
      </c>
      <c r="D27" s="22" t="str">
        <f>$AE$2</f>
        <v>Диагностика.CPU.NOT_LINK.noLink</v>
      </c>
      <c r="BK27" s="4"/>
      <c r="BL27" s="4"/>
      <c r="BM27" s="4"/>
      <c r="BN27" s="4"/>
    </row>
    <row r="28" spans="1:70">
      <c r="A28" s="162" t="str">
        <f>$R$2&amp;".CAON"</f>
        <v>АСПС.FB_UPG_S5.CAON</v>
      </c>
      <c r="B28" s="120">
        <v>11154</v>
      </c>
      <c r="C28" s="120" t="s">
        <v>4</v>
      </c>
      <c r="D28" s="351">
        <f>$Q$15</f>
        <v>2</v>
      </c>
      <c r="E28" s="110" t="str">
        <f t="shared" ref="E28:E34" si="1">$R$2&amp;".DBTX"</f>
        <v>АСПС.FB_UPG_S5.DBTX</v>
      </c>
      <c r="F28" s="111">
        <v>11000</v>
      </c>
      <c r="G28" s="111" t="s">
        <v>5</v>
      </c>
      <c r="H28" s="112">
        <v>2147483680</v>
      </c>
      <c r="BO28" s="4"/>
      <c r="BP28" s="4"/>
      <c r="BQ28" s="4"/>
      <c r="BR28" s="4"/>
    </row>
    <row r="29" spans="1:70">
      <c r="A29" s="119" t="str">
        <f t="shared" ref="A29:A37" si="2">$R$2&amp;".CAON"</f>
        <v>АСПС.FB_UPG_S5.CAON</v>
      </c>
      <c r="B29" s="121">
        <v>11150</v>
      </c>
      <c r="C29" s="121" t="s">
        <v>0</v>
      </c>
      <c r="D29" s="122" t="s">
        <v>496</v>
      </c>
      <c r="E29" s="19" t="str">
        <f t="shared" si="1"/>
        <v>АСПС.FB_UPG_S5.DBTX</v>
      </c>
      <c r="F29" s="11">
        <v>7999</v>
      </c>
      <c r="G29" s="11" t="s">
        <v>0</v>
      </c>
      <c r="H29" s="20" t="str">
        <f>"#"&amp;$S$2&amp;"#"&amp;$T$2&amp;"\"&amp;$P$2&amp;"\DBTX"</f>
        <v>#2#treiOPCDA.CoOPCserv.1\pcmaster\FB_UPG_S5\DBTX</v>
      </c>
      <c r="Q29" s="11"/>
      <c r="R29" s="11"/>
      <c r="S29" s="11"/>
      <c r="T29" s="11"/>
      <c r="U29" s="11"/>
      <c r="BO29" s="4"/>
      <c r="BP29" s="4"/>
      <c r="BQ29" s="4"/>
      <c r="BR29" s="4"/>
    </row>
    <row r="30" spans="1:70">
      <c r="A30" s="119" t="str">
        <f t="shared" si="2"/>
        <v>АСПС.FB_UPG_S5.CAON</v>
      </c>
      <c r="B30" s="121">
        <v>11152</v>
      </c>
      <c r="C30" s="121" t="s">
        <v>0</v>
      </c>
      <c r="D30" s="350" t="str">
        <f>$R$15</f>
        <v>Пожар</v>
      </c>
      <c r="E30" s="19" t="str">
        <f t="shared" si="1"/>
        <v>АСПС.FB_UPG_S5.DBTX</v>
      </c>
      <c r="F30" s="11">
        <v>7998</v>
      </c>
      <c r="G30" s="11" t="s">
        <v>6</v>
      </c>
      <c r="H30" s="20">
        <v>1</v>
      </c>
      <c r="Q30" s="11"/>
      <c r="R30" s="11"/>
      <c r="S30" s="11"/>
      <c r="T30" s="11"/>
      <c r="U30" s="11"/>
      <c r="BO30" s="4"/>
      <c r="BP30" s="4"/>
      <c r="BQ30" s="4"/>
      <c r="BR30" s="4"/>
    </row>
    <row r="31" spans="1:70">
      <c r="A31" s="119" t="str">
        <f t="shared" si="2"/>
        <v>АСПС.FB_UPG_S5.CAON</v>
      </c>
      <c r="B31" s="121">
        <v>11000</v>
      </c>
      <c r="C31" s="121" t="s">
        <v>5</v>
      </c>
      <c r="D31" s="122">
        <v>2147483680</v>
      </c>
      <c r="E31" s="19" t="str">
        <f t="shared" si="1"/>
        <v>АСПС.FB_UPG_S5.DBTX</v>
      </c>
      <c r="F31" s="11">
        <v>101</v>
      </c>
      <c r="G31" s="11" t="s">
        <v>0</v>
      </c>
      <c r="H31" s="20" t="s">
        <v>436</v>
      </c>
      <c r="Q31" s="11"/>
      <c r="R31" s="11"/>
      <c r="S31" s="11"/>
      <c r="T31" s="11"/>
      <c r="U31" s="11"/>
      <c r="BO31" s="4"/>
      <c r="BP31" s="4"/>
      <c r="BQ31" s="4"/>
      <c r="BR31" s="4"/>
    </row>
    <row r="32" spans="1:70">
      <c r="A32" s="19" t="str">
        <f t="shared" si="2"/>
        <v>АСПС.FB_UPG_S5.CAON</v>
      </c>
      <c r="B32" s="11">
        <v>7999</v>
      </c>
      <c r="C32" s="11" t="s">
        <v>0</v>
      </c>
      <c r="D32" s="20" t="str">
        <f>"#"&amp;$S$2&amp;"#"&amp;$T$2&amp;"\"&amp;$P$2&amp;"\CAON"</f>
        <v>#2#treiOPCDA.CoOPCserv.1\pcmaster\FB_UPG_S5\CAON</v>
      </c>
      <c r="E32" s="19" t="str">
        <f t="shared" si="1"/>
        <v>АСПС.FB_UPG_S5.DBTX</v>
      </c>
      <c r="F32" s="11">
        <v>3</v>
      </c>
      <c r="G32" s="11" t="s">
        <v>1</v>
      </c>
      <c r="H32" s="20">
        <v>192</v>
      </c>
      <c r="Q32" s="11"/>
      <c r="R32" s="11"/>
      <c r="S32" s="11"/>
      <c r="T32" s="11"/>
      <c r="U32" s="11"/>
      <c r="BO32" s="4"/>
      <c r="BP32" s="4"/>
      <c r="BQ32" s="4"/>
      <c r="BR32" s="4"/>
    </row>
    <row r="33" spans="1:70">
      <c r="A33" s="19" t="str">
        <f t="shared" si="2"/>
        <v>АСПС.FB_UPG_S5.CAON</v>
      </c>
      <c r="B33" s="11">
        <v>7998</v>
      </c>
      <c r="C33" s="11" t="s">
        <v>6</v>
      </c>
      <c r="D33" s="20">
        <v>1</v>
      </c>
      <c r="E33" s="19" t="str">
        <f t="shared" si="1"/>
        <v>АСПС.FB_UPG_S5.DBTX</v>
      </c>
      <c r="F33" s="11">
        <v>2</v>
      </c>
      <c r="G33" s="11" t="s">
        <v>2</v>
      </c>
      <c r="H33" s="20" t="s">
        <v>3</v>
      </c>
      <c r="Q33" s="11"/>
      <c r="R33" s="11"/>
      <c r="S33" s="11"/>
      <c r="T33" s="11"/>
      <c r="U33" s="11"/>
      <c r="BO33" s="4"/>
      <c r="BP33" s="4"/>
      <c r="BQ33" s="4"/>
      <c r="BR33" s="4"/>
    </row>
    <row r="34" spans="1:70">
      <c r="A34" s="19" t="str">
        <f t="shared" si="2"/>
        <v>АСПС.FB_UPG_S5.CAON</v>
      </c>
      <c r="B34" s="11">
        <v>101</v>
      </c>
      <c r="C34" s="11" t="s">
        <v>0</v>
      </c>
      <c r="D34" s="20" t="s">
        <v>496</v>
      </c>
      <c r="E34" s="21" t="str">
        <f t="shared" si="1"/>
        <v>АСПС.FB_UPG_S5.DBTX</v>
      </c>
      <c r="F34" s="8">
        <v>1</v>
      </c>
      <c r="G34" s="8" t="s">
        <v>1</v>
      </c>
      <c r="H34" s="22">
        <v>11</v>
      </c>
      <c r="Q34" s="11"/>
      <c r="R34" s="11"/>
      <c r="S34" s="11"/>
      <c r="T34" s="11"/>
      <c r="U34" s="11"/>
      <c r="BO34" s="4"/>
      <c r="BP34" s="4"/>
      <c r="BQ34" s="4"/>
      <c r="BR34" s="4"/>
    </row>
    <row r="35" spans="1:70">
      <c r="A35" s="19" t="str">
        <f t="shared" si="2"/>
        <v>АСПС.FB_UPG_S5.CAON</v>
      </c>
      <c r="B35" s="11">
        <v>3</v>
      </c>
      <c r="C35" s="11" t="s">
        <v>1</v>
      </c>
      <c r="D35" s="20">
        <v>192</v>
      </c>
      <c r="Q35" s="11"/>
      <c r="R35" s="11"/>
      <c r="S35" s="11"/>
      <c r="T35" s="83"/>
      <c r="U35" s="11"/>
      <c r="BK35" s="4"/>
      <c r="BL35" s="4"/>
      <c r="BM35" s="4"/>
      <c r="BN35" s="4"/>
    </row>
    <row r="36" spans="1:70">
      <c r="A36" s="19" t="str">
        <f t="shared" si="2"/>
        <v>АСПС.FB_UPG_S5.CAON</v>
      </c>
      <c r="B36" s="11">
        <v>2</v>
      </c>
      <c r="C36" s="11" t="s">
        <v>2</v>
      </c>
      <c r="D36" s="20" t="s">
        <v>3</v>
      </c>
      <c r="Q36" s="11"/>
      <c r="R36" s="11"/>
      <c r="S36" s="11"/>
      <c r="T36" s="11"/>
      <c r="U36" s="11"/>
      <c r="BK36" s="4"/>
      <c r="BL36" s="4"/>
      <c r="BM36" s="4"/>
      <c r="BN36" s="4"/>
    </row>
    <row r="37" spans="1:70">
      <c r="A37" s="21" t="str">
        <f t="shared" si="2"/>
        <v>АСПС.FB_UPG_S5.CAON</v>
      </c>
      <c r="B37" s="8">
        <v>1</v>
      </c>
      <c r="C37" s="8" t="s">
        <v>1</v>
      </c>
      <c r="D37" s="22">
        <v>11</v>
      </c>
      <c r="Q37" s="11"/>
      <c r="R37" s="11"/>
      <c r="S37" s="11"/>
      <c r="T37" s="81"/>
      <c r="U37" s="11"/>
      <c r="BK37" s="4"/>
      <c r="BL37" s="4"/>
      <c r="BM37" s="4"/>
      <c r="BN37" s="4"/>
    </row>
    <row r="38" spans="1:70">
      <c r="A38" s="119" t="str">
        <f t="shared" ref="A38:A47" si="3">$R$2&amp;".FFON"</f>
        <v>АСПС.FB_UPG_S5.FFON</v>
      </c>
      <c r="B38" s="121">
        <v>11154</v>
      </c>
      <c r="C38" s="121" t="s">
        <v>4</v>
      </c>
      <c r="D38" s="349">
        <f>$Q$15</f>
        <v>2</v>
      </c>
      <c r="Q38" s="11"/>
      <c r="R38" s="11"/>
      <c r="S38" s="11"/>
      <c r="T38" s="83"/>
      <c r="U38" s="11"/>
      <c r="BK38" s="4"/>
      <c r="BL38" s="4"/>
      <c r="BM38" s="4"/>
      <c r="BN38" s="4"/>
    </row>
    <row r="39" spans="1:70">
      <c r="A39" s="119" t="str">
        <f t="shared" si="3"/>
        <v>АСПС.FB_UPG_S5.FFON</v>
      </c>
      <c r="B39" s="121">
        <v>11152</v>
      </c>
      <c r="C39" s="121" t="s">
        <v>0</v>
      </c>
      <c r="D39" s="350" t="str">
        <f>$R$15</f>
        <v>Пожар</v>
      </c>
      <c r="Q39" s="11"/>
      <c r="R39" s="11"/>
      <c r="S39" s="11"/>
      <c r="T39" s="11"/>
      <c r="U39" s="11"/>
      <c r="BK39" s="4"/>
      <c r="BL39" s="4"/>
      <c r="BM39" s="4"/>
      <c r="BN39" s="4"/>
    </row>
    <row r="40" spans="1:70">
      <c r="A40" s="119" t="str">
        <f t="shared" si="3"/>
        <v>АСПС.FB_UPG_S5.FFON</v>
      </c>
      <c r="B40" s="121">
        <v>11150</v>
      </c>
      <c r="C40" s="121" t="s">
        <v>0</v>
      </c>
      <c r="D40" s="122" t="s">
        <v>463</v>
      </c>
      <c r="Q40" s="11"/>
      <c r="R40" s="11"/>
      <c r="S40" s="11"/>
      <c r="T40" s="81"/>
      <c r="U40" s="11"/>
      <c r="BK40" s="4"/>
      <c r="BL40" s="4"/>
      <c r="BM40" s="4"/>
      <c r="BN40" s="4"/>
    </row>
    <row r="41" spans="1:70">
      <c r="A41" s="119" t="str">
        <f t="shared" si="3"/>
        <v>АСПС.FB_UPG_S5.FFON</v>
      </c>
      <c r="B41" s="121">
        <v>11000</v>
      </c>
      <c r="C41" s="121" t="s">
        <v>5</v>
      </c>
      <c r="D41" s="122">
        <v>2147483680</v>
      </c>
      <c r="Q41" s="11"/>
      <c r="R41" s="11"/>
      <c r="S41" s="11"/>
      <c r="T41" s="11"/>
      <c r="U41" s="11"/>
      <c r="BK41" s="4"/>
      <c r="BL41" s="4"/>
      <c r="BM41" s="4"/>
      <c r="BN41" s="4"/>
    </row>
    <row r="42" spans="1:70">
      <c r="A42" s="19" t="str">
        <f t="shared" si="3"/>
        <v>АСПС.FB_UPG_S5.FFON</v>
      </c>
      <c r="B42" s="11">
        <v>7999</v>
      </c>
      <c r="C42" s="11" t="s">
        <v>0</v>
      </c>
      <c r="D42" s="20" t="str">
        <f>"#"&amp;$S$2&amp;"#"&amp;$T$2&amp;"\"&amp;$P$2&amp;"\FFON"</f>
        <v>#2#treiOPCDA.CoOPCserv.1\pcmaster\FB_UPG_S5\FFON</v>
      </c>
      <c r="Q42" s="11"/>
      <c r="R42" s="11"/>
      <c r="S42" s="11"/>
      <c r="T42" s="11"/>
      <c r="U42" s="11"/>
      <c r="BK42" s="4"/>
      <c r="BL42" s="4"/>
      <c r="BM42" s="4"/>
      <c r="BN42" s="4"/>
    </row>
    <row r="43" spans="1:70">
      <c r="A43" s="19" t="str">
        <f t="shared" si="3"/>
        <v>АСПС.FB_UPG_S5.FFON</v>
      </c>
      <c r="B43" s="11">
        <v>7998</v>
      </c>
      <c r="C43" s="11" t="s">
        <v>6</v>
      </c>
      <c r="D43" s="20">
        <v>1</v>
      </c>
      <c r="Q43" s="11"/>
      <c r="R43" s="11"/>
      <c r="S43" s="11"/>
      <c r="T43" s="11"/>
      <c r="U43" s="11"/>
      <c r="BK43" s="4"/>
      <c r="BL43" s="4"/>
      <c r="BM43" s="4"/>
      <c r="BN43" s="4"/>
    </row>
    <row r="44" spans="1:70">
      <c r="A44" s="19" t="str">
        <f t="shared" si="3"/>
        <v>АСПС.FB_UPG_S5.FFON</v>
      </c>
      <c r="B44" s="11">
        <v>101</v>
      </c>
      <c r="C44" s="11" t="s">
        <v>0</v>
      </c>
      <c r="D44" s="20" t="s">
        <v>463</v>
      </c>
      <c r="Q44" s="11"/>
      <c r="R44" s="11"/>
      <c r="S44" s="11"/>
      <c r="T44" s="11"/>
      <c r="U44" s="11"/>
      <c r="BK44" s="4"/>
      <c r="BL44" s="4"/>
      <c r="BM44" s="4"/>
      <c r="BN44" s="4"/>
    </row>
    <row r="45" spans="1:70">
      <c r="A45" s="19" t="str">
        <f t="shared" si="3"/>
        <v>АСПС.FB_UPG_S5.FFON</v>
      </c>
      <c r="B45" s="11">
        <v>3</v>
      </c>
      <c r="C45" s="11" t="s">
        <v>1</v>
      </c>
      <c r="D45" s="20">
        <v>192</v>
      </c>
      <c r="Q45" s="11"/>
      <c r="R45" s="11"/>
      <c r="S45" s="11"/>
      <c r="T45" s="11"/>
      <c r="U45" s="11"/>
      <c r="BK45" s="4"/>
      <c r="BL45" s="4"/>
      <c r="BM45" s="4"/>
      <c r="BN45" s="4"/>
    </row>
    <row r="46" spans="1:70">
      <c r="A46" s="19" t="str">
        <f t="shared" si="3"/>
        <v>АСПС.FB_UPG_S5.FFON</v>
      </c>
      <c r="B46" s="11">
        <v>2</v>
      </c>
      <c r="C46" s="11" t="s">
        <v>2</v>
      </c>
      <c r="D46" s="20" t="s">
        <v>3</v>
      </c>
      <c r="Q46" s="11"/>
      <c r="R46" s="11"/>
      <c r="S46" s="11"/>
      <c r="T46" s="11"/>
      <c r="U46" s="11"/>
      <c r="BK46" s="4"/>
      <c r="BL46" s="4"/>
      <c r="BM46" s="4"/>
      <c r="BN46" s="4"/>
    </row>
    <row r="47" spans="1:70">
      <c r="A47" s="21" t="str">
        <f t="shared" si="3"/>
        <v>АСПС.FB_UPG_S5.FFON</v>
      </c>
      <c r="B47" s="8">
        <v>1</v>
      </c>
      <c r="C47" s="8" t="s">
        <v>1</v>
      </c>
      <c r="D47" s="22">
        <v>11</v>
      </c>
      <c r="Q47" s="11"/>
      <c r="R47" s="11"/>
      <c r="S47" s="11"/>
      <c r="T47" s="11"/>
      <c r="U47" s="11"/>
      <c r="BK47" s="4"/>
      <c r="BL47" s="4"/>
      <c r="BM47" s="4"/>
      <c r="BN47" s="4"/>
    </row>
    <row r="48" spans="1:70">
      <c r="A48" s="162" t="str">
        <f t="shared" ref="A48:A57" si="4">$R$2&amp;".CSON"</f>
        <v>АСПС.FB_UPG_S5.CSON</v>
      </c>
      <c r="B48" s="120">
        <v>11154</v>
      </c>
      <c r="C48" s="120" t="s">
        <v>4</v>
      </c>
      <c r="D48" s="351">
        <f>$Q$15</f>
        <v>2</v>
      </c>
      <c r="Q48" s="11"/>
      <c r="R48" s="11"/>
      <c r="S48" s="11"/>
      <c r="T48" s="11"/>
      <c r="U48" s="11"/>
      <c r="BK48" s="4"/>
      <c r="BL48" s="4"/>
      <c r="BM48" s="4"/>
      <c r="BN48" s="4"/>
    </row>
    <row r="49" spans="1:66">
      <c r="A49" s="119" t="str">
        <f t="shared" si="4"/>
        <v>АСПС.FB_UPG_S5.CSON</v>
      </c>
      <c r="B49" s="121">
        <v>11150</v>
      </c>
      <c r="C49" s="121" t="s">
        <v>0</v>
      </c>
      <c r="D49" s="122" t="s">
        <v>469</v>
      </c>
      <c r="Q49" s="11"/>
      <c r="R49" s="11"/>
      <c r="S49" s="11"/>
      <c r="T49" s="11"/>
      <c r="U49" s="11"/>
      <c r="BK49" s="4"/>
      <c r="BL49" s="4"/>
      <c r="BM49" s="4"/>
      <c r="BN49" s="4"/>
    </row>
    <row r="50" spans="1:66">
      <c r="A50" s="119" t="str">
        <f t="shared" si="4"/>
        <v>АСПС.FB_UPG_S5.CSON</v>
      </c>
      <c r="B50" s="121">
        <v>11152</v>
      </c>
      <c r="C50" s="121" t="s">
        <v>0</v>
      </c>
      <c r="D50" s="350" t="str">
        <f>$R$15</f>
        <v>Пожар</v>
      </c>
      <c r="Q50" s="11"/>
      <c r="R50" s="11"/>
      <c r="S50" s="11"/>
      <c r="T50" s="11"/>
      <c r="U50" s="11"/>
      <c r="BK50" s="4"/>
      <c r="BL50" s="4"/>
      <c r="BM50" s="4"/>
      <c r="BN50" s="4"/>
    </row>
    <row r="51" spans="1:66">
      <c r="A51" s="119" t="str">
        <f t="shared" si="4"/>
        <v>АСПС.FB_UPG_S5.CSON</v>
      </c>
      <c r="B51" s="121">
        <v>11000</v>
      </c>
      <c r="C51" s="121" t="s">
        <v>5</v>
      </c>
      <c r="D51" s="122">
        <v>2147483680</v>
      </c>
      <c r="Q51" s="11"/>
      <c r="R51" s="11"/>
      <c r="S51" s="11"/>
      <c r="T51" s="11"/>
      <c r="U51" s="11"/>
      <c r="BK51" s="4"/>
      <c r="BL51" s="4"/>
      <c r="BM51" s="4"/>
      <c r="BN51" s="4"/>
    </row>
    <row r="52" spans="1:66">
      <c r="A52" s="19" t="str">
        <f t="shared" si="4"/>
        <v>АСПС.FB_UPG_S5.CSON</v>
      </c>
      <c r="B52" s="11">
        <v>7999</v>
      </c>
      <c r="C52" s="11" t="s">
        <v>0</v>
      </c>
      <c r="D52" s="20" t="str">
        <f>"#"&amp;$S$2&amp;"#"&amp;$T$2&amp;"\"&amp;$P$2&amp;"\CSON"</f>
        <v>#2#treiOPCDA.CoOPCserv.1\pcmaster\FB_UPG_S5\CSON</v>
      </c>
      <c r="Q52" s="11"/>
      <c r="R52" s="11"/>
      <c r="S52" s="11"/>
      <c r="T52" s="11"/>
      <c r="U52" s="11"/>
      <c r="BK52" s="4"/>
      <c r="BL52" s="4"/>
      <c r="BM52" s="4"/>
      <c r="BN52" s="4"/>
    </row>
    <row r="53" spans="1:66">
      <c r="A53" s="19" t="str">
        <f t="shared" si="4"/>
        <v>АСПС.FB_UPG_S5.CSON</v>
      </c>
      <c r="B53" s="11">
        <v>7998</v>
      </c>
      <c r="C53" s="11" t="s">
        <v>6</v>
      </c>
      <c r="D53" s="20">
        <v>1</v>
      </c>
      <c r="Q53" s="11"/>
      <c r="R53" s="11"/>
      <c r="S53" s="11"/>
      <c r="T53" s="11"/>
      <c r="U53" s="11"/>
      <c r="BK53" s="4"/>
      <c r="BL53" s="4"/>
      <c r="BM53" s="4"/>
      <c r="BN53" s="4"/>
    </row>
    <row r="54" spans="1:66">
      <c r="A54" s="19" t="str">
        <f t="shared" si="4"/>
        <v>АСПС.FB_UPG_S5.CSON</v>
      </c>
      <c r="B54" s="11">
        <v>101</v>
      </c>
      <c r="C54" s="11" t="s">
        <v>0</v>
      </c>
      <c r="D54" s="20" t="s">
        <v>469</v>
      </c>
      <c r="Q54" s="11"/>
      <c r="R54" s="11"/>
      <c r="S54" s="11"/>
      <c r="T54" s="11"/>
      <c r="U54" s="11"/>
      <c r="BK54" s="4"/>
      <c r="BL54" s="4"/>
      <c r="BM54" s="4"/>
      <c r="BN54" s="4"/>
    </row>
    <row r="55" spans="1:66">
      <c r="A55" s="19" t="str">
        <f t="shared" si="4"/>
        <v>АСПС.FB_UPG_S5.CSON</v>
      </c>
      <c r="B55" s="11">
        <v>3</v>
      </c>
      <c r="C55" s="11" t="s">
        <v>1</v>
      </c>
      <c r="D55" s="20">
        <v>192</v>
      </c>
      <c r="Q55" s="11"/>
      <c r="R55" s="11"/>
      <c r="S55" s="11"/>
      <c r="T55" s="11"/>
      <c r="U55" s="11"/>
      <c r="BK55" s="4"/>
      <c r="BL55" s="4"/>
      <c r="BM55" s="4"/>
      <c r="BN55" s="4"/>
    </row>
    <row r="56" spans="1:66">
      <c r="A56" s="19" t="str">
        <f t="shared" si="4"/>
        <v>АСПС.FB_UPG_S5.CSON</v>
      </c>
      <c r="B56" s="11">
        <v>2</v>
      </c>
      <c r="C56" s="11" t="s">
        <v>2</v>
      </c>
      <c r="D56" s="20" t="s">
        <v>3</v>
      </c>
      <c r="BK56" s="4"/>
      <c r="BL56" s="4"/>
      <c r="BM56" s="4"/>
      <c r="BN56" s="4"/>
    </row>
    <row r="57" spans="1:66">
      <c r="A57" s="21" t="str">
        <f t="shared" si="4"/>
        <v>АСПС.FB_UPG_S5.CSON</v>
      </c>
      <c r="B57" s="8">
        <v>1</v>
      </c>
      <c r="C57" s="8" t="s">
        <v>1</v>
      </c>
      <c r="D57" s="22">
        <v>11</v>
      </c>
      <c r="BK57" s="4"/>
      <c r="BL57" s="4"/>
      <c r="BM57" s="4"/>
      <c r="BN57" s="4"/>
    </row>
    <row r="58" spans="1:66">
      <c r="A58" s="162" t="str">
        <f t="shared" ref="A58:A67" si="5">$R$2&amp;".CPON"</f>
        <v>АСПС.FB_UPG_S5.CPON</v>
      </c>
      <c r="B58" s="120">
        <v>11154</v>
      </c>
      <c r="C58" s="120" t="s">
        <v>4</v>
      </c>
      <c r="D58" s="351">
        <f>$Q$15</f>
        <v>2</v>
      </c>
      <c r="BK58" s="4"/>
      <c r="BL58" s="4"/>
      <c r="BM58" s="4"/>
      <c r="BN58" s="4"/>
    </row>
    <row r="59" spans="1:66">
      <c r="A59" s="119" t="str">
        <f t="shared" si="5"/>
        <v>АСПС.FB_UPG_S5.CPON</v>
      </c>
      <c r="B59" s="121">
        <v>11150</v>
      </c>
      <c r="C59" s="121" t="s">
        <v>0</v>
      </c>
      <c r="D59" s="122" t="s">
        <v>471</v>
      </c>
      <c r="BK59" s="4"/>
      <c r="BL59" s="4"/>
      <c r="BM59" s="4"/>
      <c r="BN59" s="4"/>
    </row>
    <row r="60" spans="1:66">
      <c r="A60" s="119" t="str">
        <f t="shared" si="5"/>
        <v>АСПС.FB_UPG_S5.CPON</v>
      </c>
      <c r="B60" s="121">
        <v>11152</v>
      </c>
      <c r="C60" s="121" t="s">
        <v>0</v>
      </c>
      <c r="D60" s="350" t="str">
        <f>$R$15</f>
        <v>Пожар</v>
      </c>
      <c r="BK60" s="4"/>
      <c r="BL60" s="4"/>
      <c r="BM60" s="4"/>
      <c r="BN60" s="4"/>
    </row>
    <row r="61" spans="1:66">
      <c r="A61" s="119" t="str">
        <f t="shared" si="5"/>
        <v>АСПС.FB_UPG_S5.CPON</v>
      </c>
      <c r="B61" s="121">
        <v>11000</v>
      </c>
      <c r="C61" s="121" t="s">
        <v>5</v>
      </c>
      <c r="D61" s="122">
        <v>2147483680</v>
      </c>
      <c r="BK61" s="4"/>
      <c r="BL61" s="4"/>
      <c r="BM61" s="4"/>
      <c r="BN61" s="4"/>
    </row>
    <row r="62" spans="1:66">
      <c r="A62" s="19" t="str">
        <f t="shared" si="5"/>
        <v>АСПС.FB_UPG_S5.CPON</v>
      </c>
      <c r="B62" s="11">
        <v>7999</v>
      </c>
      <c r="C62" s="11" t="s">
        <v>0</v>
      </c>
      <c r="D62" s="20" t="str">
        <f>"#"&amp;$S$2&amp;"#"&amp;$T$2&amp;"\"&amp;$P$2&amp;"\CPON"</f>
        <v>#2#treiOPCDA.CoOPCserv.1\pcmaster\FB_UPG_S5\CPON</v>
      </c>
      <c r="BK62" s="4"/>
      <c r="BL62" s="4"/>
      <c r="BM62" s="4"/>
      <c r="BN62" s="4"/>
    </row>
    <row r="63" spans="1:66">
      <c r="A63" s="19" t="str">
        <f t="shared" si="5"/>
        <v>АСПС.FB_UPG_S5.CPON</v>
      </c>
      <c r="B63" s="11">
        <v>7998</v>
      </c>
      <c r="C63" s="11" t="s">
        <v>6</v>
      </c>
      <c r="D63" s="20">
        <v>1</v>
      </c>
      <c r="BK63" s="4"/>
      <c r="BL63" s="4"/>
      <c r="BM63" s="4"/>
      <c r="BN63" s="4"/>
    </row>
    <row r="64" spans="1:66">
      <c r="A64" s="19" t="str">
        <f t="shared" si="5"/>
        <v>АСПС.FB_UPG_S5.CPON</v>
      </c>
      <c r="B64" s="11">
        <v>101</v>
      </c>
      <c r="C64" s="11" t="s">
        <v>0</v>
      </c>
      <c r="D64" s="20" t="s">
        <v>471</v>
      </c>
      <c r="BK64" s="4"/>
      <c r="BL64" s="4"/>
      <c r="BM64" s="4"/>
      <c r="BN64" s="4"/>
    </row>
    <row r="65" spans="1:66">
      <c r="A65" s="19" t="str">
        <f t="shared" si="5"/>
        <v>АСПС.FB_UPG_S5.CPON</v>
      </c>
      <c r="B65" s="11">
        <v>3</v>
      </c>
      <c r="C65" s="11" t="s">
        <v>1</v>
      </c>
      <c r="D65" s="20">
        <v>192</v>
      </c>
      <c r="BK65" s="4"/>
      <c r="BL65" s="4"/>
      <c r="BM65" s="4"/>
      <c r="BN65" s="4"/>
    </row>
    <row r="66" spans="1:66">
      <c r="A66" s="19" t="str">
        <f t="shared" si="5"/>
        <v>АСПС.FB_UPG_S5.CPON</v>
      </c>
      <c r="B66" s="11">
        <v>2</v>
      </c>
      <c r="C66" s="11" t="s">
        <v>2</v>
      </c>
      <c r="D66" s="20" t="s">
        <v>3</v>
      </c>
      <c r="BK66" s="4"/>
      <c r="BL66" s="4"/>
      <c r="BM66" s="4"/>
      <c r="BN66" s="4"/>
    </row>
    <row r="67" spans="1:66">
      <c r="A67" s="21" t="str">
        <f t="shared" si="5"/>
        <v>АСПС.FB_UPG_S5.CPON</v>
      </c>
      <c r="B67" s="8">
        <v>1</v>
      </c>
      <c r="C67" s="8" t="s">
        <v>1</v>
      </c>
      <c r="D67" s="22">
        <v>11</v>
      </c>
      <c r="BK67" s="4"/>
      <c r="BL67" s="4"/>
      <c r="BM67" s="4"/>
      <c r="BN67" s="4"/>
    </row>
    <row r="68" spans="1:66">
      <c r="A68" s="119" t="str">
        <f>$R$2&amp;".XFRX"</f>
        <v>АСПС.FB_UPG_S5.XFRX</v>
      </c>
      <c r="B68" s="121">
        <v>11154</v>
      </c>
      <c r="C68" s="121" t="s">
        <v>4</v>
      </c>
      <c r="D68" s="349">
        <f>$Q$15</f>
        <v>2</v>
      </c>
      <c r="BK68" s="4"/>
      <c r="BL68" s="4"/>
      <c r="BM68" s="4"/>
      <c r="BN68" s="4"/>
    </row>
    <row r="69" spans="1:66">
      <c r="A69" s="119" t="str">
        <f t="shared" ref="A69:A77" si="6">$R$2&amp;".XFRX"</f>
        <v>АСПС.FB_UPG_S5.XFRX</v>
      </c>
      <c r="B69" s="121">
        <v>11152</v>
      </c>
      <c r="C69" s="121" t="s">
        <v>0</v>
      </c>
      <c r="D69" s="350" t="str">
        <f>$R$15</f>
        <v>Пожар</v>
      </c>
      <c r="BK69" s="4"/>
      <c r="BL69" s="4"/>
      <c r="BM69" s="4"/>
      <c r="BN69" s="4"/>
    </row>
    <row r="70" spans="1:66">
      <c r="A70" s="119" t="str">
        <f t="shared" si="6"/>
        <v>АСПС.FB_UPG_S5.XFRX</v>
      </c>
      <c r="B70" s="121">
        <v>11150</v>
      </c>
      <c r="C70" s="121" t="s">
        <v>0</v>
      </c>
      <c r="D70" s="122" t="s">
        <v>710</v>
      </c>
      <c r="BK70" s="4"/>
      <c r="BL70" s="4"/>
      <c r="BM70" s="4"/>
      <c r="BN70" s="4"/>
    </row>
    <row r="71" spans="1:66">
      <c r="A71" s="119" t="str">
        <f t="shared" si="6"/>
        <v>АСПС.FB_UPG_S5.XFRX</v>
      </c>
      <c r="B71" s="121">
        <v>11000</v>
      </c>
      <c r="C71" s="121" t="s">
        <v>5</v>
      </c>
      <c r="D71" s="122">
        <v>2147483680</v>
      </c>
      <c r="BK71" s="4"/>
      <c r="BL71" s="4"/>
      <c r="BM71" s="4"/>
      <c r="BN71" s="4"/>
    </row>
    <row r="72" spans="1:66">
      <c r="A72" s="19" t="str">
        <f t="shared" si="6"/>
        <v>АСПС.FB_UPG_S5.XFRX</v>
      </c>
      <c r="B72" s="11">
        <v>7999</v>
      </c>
      <c r="C72" s="11" t="s">
        <v>0</v>
      </c>
      <c r="D72" s="20" t="str">
        <f>"#"&amp;$S$2&amp;"#"&amp;$T$2&amp;"\"&amp;$P$2&amp;"\XFRX"</f>
        <v>#2#treiOPCDA.CoOPCserv.1\pcmaster\FB_UPG_S5\XFRX</v>
      </c>
      <c r="BK72" s="4"/>
      <c r="BL72" s="4"/>
      <c r="BM72" s="4"/>
      <c r="BN72" s="4"/>
    </row>
    <row r="73" spans="1:66">
      <c r="A73" s="19" t="str">
        <f t="shared" si="6"/>
        <v>АСПС.FB_UPG_S5.XFRX</v>
      </c>
      <c r="B73" s="11">
        <v>7998</v>
      </c>
      <c r="C73" s="11" t="s">
        <v>6</v>
      </c>
      <c r="D73" s="20">
        <v>1</v>
      </c>
      <c r="BK73" s="4"/>
      <c r="BL73" s="4"/>
      <c r="BM73" s="4"/>
      <c r="BN73" s="4"/>
    </row>
    <row r="74" spans="1:66">
      <c r="A74" s="19" t="str">
        <f t="shared" si="6"/>
        <v>АСПС.FB_UPG_S5.XFRX</v>
      </c>
      <c r="B74" s="11">
        <v>101</v>
      </c>
      <c r="C74" s="11" t="s">
        <v>0</v>
      </c>
      <c r="D74" s="20" t="s">
        <v>710</v>
      </c>
      <c r="BK74" s="4"/>
      <c r="BL74" s="4"/>
      <c r="BM74" s="4"/>
      <c r="BN74" s="4"/>
    </row>
    <row r="75" spans="1:66">
      <c r="A75" s="19" t="str">
        <f t="shared" si="6"/>
        <v>АСПС.FB_UPG_S5.XFRX</v>
      </c>
      <c r="B75" s="11">
        <v>3</v>
      </c>
      <c r="C75" s="11" t="s">
        <v>1</v>
      </c>
      <c r="D75" s="20">
        <v>192</v>
      </c>
      <c r="BK75" s="4"/>
      <c r="BL75" s="4"/>
      <c r="BM75" s="4"/>
      <c r="BN75" s="4"/>
    </row>
    <row r="76" spans="1:66">
      <c r="A76" s="19" t="str">
        <f t="shared" si="6"/>
        <v>АСПС.FB_UPG_S5.XFRX</v>
      </c>
      <c r="B76" s="11">
        <v>2</v>
      </c>
      <c r="C76" s="11" t="s">
        <v>2</v>
      </c>
      <c r="D76" s="20" t="s">
        <v>3</v>
      </c>
      <c r="BK76" s="4"/>
      <c r="BL76" s="4"/>
      <c r="BM76" s="4"/>
      <c r="BN76" s="4"/>
    </row>
    <row r="77" spans="1:66">
      <c r="A77" s="21" t="str">
        <f t="shared" si="6"/>
        <v>АСПС.FB_UPG_S5.XFRX</v>
      </c>
      <c r="B77" s="8">
        <v>1</v>
      </c>
      <c r="C77" s="8" t="s">
        <v>1</v>
      </c>
      <c r="D77" s="22">
        <v>11</v>
      </c>
      <c r="BK77" s="4"/>
      <c r="BL77" s="4"/>
      <c r="BM77" s="4"/>
      <c r="BN77" s="4"/>
    </row>
    <row r="78" spans="1:66">
      <c r="A78" s="162" t="str">
        <f>$R$2&amp;".CRON"</f>
        <v>АСПС.FB_UPG_S5.CRON</v>
      </c>
      <c r="B78" s="120">
        <v>11154</v>
      </c>
      <c r="C78" s="120" t="s">
        <v>4</v>
      </c>
      <c r="D78" s="351">
        <f>$Q$15</f>
        <v>2</v>
      </c>
      <c r="BK78" s="4"/>
      <c r="BL78" s="4"/>
      <c r="BM78" s="4"/>
      <c r="BN78" s="4"/>
    </row>
    <row r="79" spans="1:66">
      <c r="A79" s="119" t="str">
        <f t="shared" ref="A79:A87" si="7">$R$2&amp;".CRON"</f>
        <v>АСПС.FB_UPG_S5.CRON</v>
      </c>
      <c r="B79" s="121">
        <v>11150</v>
      </c>
      <c r="C79" s="121" t="s">
        <v>0</v>
      </c>
      <c r="D79" s="122" t="s">
        <v>494</v>
      </c>
      <c r="BK79" s="4"/>
      <c r="BL79" s="4"/>
      <c r="BM79" s="4"/>
      <c r="BN79" s="4"/>
    </row>
    <row r="80" spans="1:66">
      <c r="A80" s="119" t="str">
        <f t="shared" si="7"/>
        <v>АСПС.FB_UPG_S5.CRON</v>
      </c>
      <c r="B80" s="121">
        <v>11152</v>
      </c>
      <c r="C80" s="121" t="s">
        <v>0</v>
      </c>
      <c r="D80" s="350" t="str">
        <f>$R$15</f>
        <v>Пожар</v>
      </c>
      <c r="BK80" s="4"/>
      <c r="BL80" s="4"/>
      <c r="BM80" s="4"/>
      <c r="BN80" s="4"/>
    </row>
    <row r="81" spans="1:66">
      <c r="A81" s="119" t="str">
        <f t="shared" si="7"/>
        <v>АСПС.FB_UPG_S5.CRON</v>
      </c>
      <c r="B81" s="121">
        <v>11000</v>
      </c>
      <c r="C81" s="121" t="s">
        <v>5</v>
      </c>
      <c r="D81" s="122">
        <v>2147483680</v>
      </c>
      <c r="BK81" s="4"/>
      <c r="BL81" s="4"/>
      <c r="BM81" s="4"/>
      <c r="BN81" s="4"/>
    </row>
    <row r="82" spans="1:66">
      <c r="A82" s="19" t="str">
        <f t="shared" si="7"/>
        <v>АСПС.FB_UPG_S5.CRON</v>
      </c>
      <c r="B82" s="11">
        <v>7999</v>
      </c>
      <c r="C82" s="11" t="s">
        <v>0</v>
      </c>
      <c r="D82" s="20" t="str">
        <f>"#"&amp;$S$2&amp;"#"&amp;$T$2&amp;"\"&amp;$P$2&amp;"\CRON"</f>
        <v>#2#treiOPCDA.CoOPCserv.1\pcmaster\FB_UPG_S5\CRON</v>
      </c>
      <c r="BK82" s="4"/>
      <c r="BL82" s="4"/>
      <c r="BM82" s="4"/>
      <c r="BN82" s="4"/>
    </row>
    <row r="83" spans="1:66">
      <c r="A83" s="19" t="str">
        <f t="shared" si="7"/>
        <v>АСПС.FB_UPG_S5.CRON</v>
      </c>
      <c r="B83" s="11">
        <v>7998</v>
      </c>
      <c r="C83" s="11" t="s">
        <v>6</v>
      </c>
      <c r="D83" s="20">
        <v>1</v>
      </c>
      <c r="BK83" s="4"/>
      <c r="BL83" s="4"/>
      <c r="BM83" s="4"/>
      <c r="BN83" s="4"/>
    </row>
    <row r="84" spans="1:66">
      <c r="A84" s="19" t="str">
        <f t="shared" si="7"/>
        <v>АСПС.FB_UPG_S5.CRON</v>
      </c>
      <c r="B84" s="11">
        <v>101</v>
      </c>
      <c r="C84" s="11" t="s">
        <v>0</v>
      </c>
      <c r="D84" s="20" t="s">
        <v>494</v>
      </c>
      <c r="BK84" s="4"/>
      <c r="BL84" s="4"/>
      <c r="BM84" s="4"/>
      <c r="BN84" s="4"/>
    </row>
    <row r="85" spans="1:66">
      <c r="A85" s="19" t="str">
        <f t="shared" si="7"/>
        <v>АСПС.FB_UPG_S5.CRON</v>
      </c>
      <c r="B85" s="11">
        <v>3</v>
      </c>
      <c r="C85" s="11" t="s">
        <v>1</v>
      </c>
      <c r="D85" s="20">
        <v>192</v>
      </c>
      <c r="BK85" s="4"/>
      <c r="BL85" s="4"/>
      <c r="BM85" s="4"/>
      <c r="BN85" s="4"/>
    </row>
    <row r="86" spans="1:66">
      <c r="A86" s="19" t="str">
        <f t="shared" si="7"/>
        <v>АСПС.FB_UPG_S5.CRON</v>
      </c>
      <c r="B86" s="11">
        <v>2</v>
      </c>
      <c r="C86" s="11" t="s">
        <v>2</v>
      </c>
      <c r="D86" s="20" t="s">
        <v>3</v>
      </c>
      <c r="BK86" s="4"/>
      <c r="BL86" s="4"/>
      <c r="BM86" s="4"/>
      <c r="BN86" s="4"/>
    </row>
    <row r="87" spans="1:66">
      <c r="A87" s="21" t="str">
        <f t="shared" si="7"/>
        <v>АСПС.FB_UPG_S5.CRON</v>
      </c>
      <c r="B87" s="8">
        <v>1</v>
      </c>
      <c r="C87" s="8" t="s">
        <v>1</v>
      </c>
      <c r="D87" s="22">
        <v>11</v>
      </c>
      <c r="BK87" s="4"/>
      <c r="BL87" s="4"/>
      <c r="BM87" s="4"/>
      <c r="BN87" s="4"/>
    </row>
    <row r="88" spans="1:66">
      <c r="A88" s="69" t="str">
        <f>$R$2&amp;".XCPX"</f>
        <v>АСПС.FB_UPG_S5.XCPX</v>
      </c>
      <c r="B88" s="70">
        <v>11154</v>
      </c>
      <c r="C88" s="70" t="s">
        <v>4</v>
      </c>
      <c r="D88" s="144">
        <f>$Q$6</f>
        <v>8</v>
      </c>
    </row>
    <row r="89" spans="1:66">
      <c r="A89" s="63" t="str">
        <f t="shared" ref="A89:A97" si="8">$R$2&amp;".XCPX"</f>
        <v>АСПС.FB_UPG_S5.XCPX</v>
      </c>
      <c r="B89" s="64">
        <v>11150</v>
      </c>
      <c r="C89" s="64" t="s">
        <v>0</v>
      </c>
      <c r="D89" s="65" t="s">
        <v>545</v>
      </c>
    </row>
    <row r="90" spans="1:66">
      <c r="A90" s="63" t="str">
        <f t="shared" si="8"/>
        <v>АСПС.FB_UPG_S5.XCPX</v>
      </c>
      <c r="B90" s="64">
        <v>11152</v>
      </c>
      <c r="C90" s="64" t="s">
        <v>0</v>
      </c>
      <c r="D90" s="99" t="str">
        <f>$R$6</f>
        <v>Предупреждение</v>
      </c>
    </row>
    <row r="91" spans="1:66">
      <c r="A91" s="63" t="str">
        <f t="shared" si="8"/>
        <v>АСПС.FB_UPG_S5.XCPX</v>
      </c>
      <c r="B91" s="64">
        <v>11000</v>
      </c>
      <c r="C91" s="64" t="s">
        <v>5</v>
      </c>
      <c r="D91" s="65">
        <v>2147483680</v>
      </c>
    </row>
    <row r="92" spans="1:66">
      <c r="A92" s="19" t="str">
        <f t="shared" si="8"/>
        <v>АСПС.FB_UPG_S5.XCPX</v>
      </c>
      <c r="B92" s="11">
        <v>7999</v>
      </c>
      <c r="C92" s="11" t="s">
        <v>0</v>
      </c>
      <c r="D92" s="20" t="str">
        <f>"#"&amp;$S$2&amp;"#"&amp;$T$2&amp;"\"&amp;$P$2&amp;"\XCPX"</f>
        <v>#2#treiOPCDA.CoOPCserv.1\pcmaster\FB_UPG_S5\XCPX</v>
      </c>
    </row>
    <row r="93" spans="1:66">
      <c r="A93" s="19" t="str">
        <f t="shared" si="8"/>
        <v>АСПС.FB_UPG_S5.XCPX</v>
      </c>
      <c r="B93" s="11">
        <v>7998</v>
      </c>
      <c r="C93" s="11" t="s">
        <v>6</v>
      </c>
      <c r="D93" s="20">
        <v>1</v>
      </c>
    </row>
    <row r="94" spans="1:66">
      <c r="A94" s="19" t="str">
        <f t="shared" si="8"/>
        <v>АСПС.FB_UPG_S5.XCPX</v>
      </c>
      <c r="B94" s="11">
        <v>101</v>
      </c>
      <c r="C94" s="11" t="s">
        <v>0</v>
      </c>
      <c r="D94" s="20" t="s">
        <v>545</v>
      </c>
    </row>
    <row r="95" spans="1:66">
      <c r="A95" s="19" t="str">
        <f t="shared" si="8"/>
        <v>АСПС.FB_UPG_S5.XCPX</v>
      </c>
      <c r="B95" s="11">
        <v>3</v>
      </c>
      <c r="C95" s="11" t="s">
        <v>1</v>
      </c>
      <c r="D95" s="20">
        <v>192</v>
      </c>
    </row>
    <row r="96" spans="1:66">
      <c r="A96" s="19" t="str">
        <f t="shared" si="8"/>
        <v>АСПС.FB_UPG_S5.XCPX</v>
      </c>
      <c r="B96" s="11">
        <v>2</v>
      </c>
      <c r="C96" s="11" t="s">
        <v>2</v>
      </c>
      <c r="D96" s="20" t="s">
        <v>3</v>
      </c>
    </row>
    <row r="97" spans="1:4">
      <c r="A97" s="21" t="str">
        <f t="shared" si="8"/>
        <v>АСПС.FB_UPG_S5.XCPX</v>
      </c>
      <c r="B97" s="8">
        <v>1</v>
      </c>
      <c r="C97" s="8" t="s">
        <v>1</v>
      </c>
      <c r="D97" s="22">
        <v>11</v>
      </c>
    </row>
    <row r="98" spans="1:4">
      <c r="A98" s="69" t="str">
        <f>$R$2&amp;".XFSX"</f>
        <v>АСПС.FB_UPG_S5.XFSX</v>
      </c>
      <c r="B98" s="70">
        <v>11154</v>
      </c>
      <c r="C98" s="70" t="s">
        <v>4</v>
      </c>
      <c r="D98" s="144">
        <f>$Q$6</f>
        <v>8</v>
      </c>
    </row>
    <row r="99" spans="1:4">
      <c r="A99" s="63" t="str">
        <f t="shared" ref="A99:A107" si="9">$R$2&amp;".XFSX"</f>
        <v>АСПС.FB_UPG_S5.XFSX</v>
      </c>
      <c r="B99" s="64">
        <v>11150</v>
      </c>
      <c r="C99" s="64" t="s">
        <v>0</v>
      </c>
      <c r="D99" s="65" t="s">
        <v>547</v>
      </c>
    </row>
    <row r="100" spans="1:4">
      <c r="A100" s="63" t="str">
        <f t="shared" si="9"/>
        <v>АСПС.FB_UPG_S5.XFSX</v>
      </c>
      <c r="B100" s="64">
        <v>11152</v>
      </c>
      <c r="C100" s="64" t="s">
        <v>0</v>
      </c>
      <c r="D100" s="99" t="str">
        <f>$R$6</f>
        <v>Предупреждение</v>
      </c>
    </row>
    <row r="101" spans="1:4">
      <c r="A101" s="63" t="str">
        <f t="shared" si="9"/>
        <v>АСПС.FB_UPG_S5.XFSX</v>
      </c>
      <c r="B101" s="64">
        <v>11000</v>
      </c>
      <c r="C101" s="64" t="s">
        <v>5</v>
      </c>
      <c r="D101" s="65">
        <v>2147483680</v>
      </c>
    </row>
    <row r="102" spans="1:4">
      <c r="A102" s="19" t="str">
        <f t="shared" si="9"/>
        <v>АСПС.FB_UPG_S5.XFSX</v>
      </c>
      <c r="B102" s="11">
        <v>7999</v>
      </c>
      <c r="C102" s="11" t="s">
        <v>0</v>
      </c>
      <c r="D102" s="20" t="str">
        <f>"#"&amp;$S$2&amp;"#"&amp;$T$2&amp;"\"&amp;$P$2&amp;"\XFSX"</f>
        <v>#2#treiOPCDA.CoOPCserv.1\pcmaster\FB_UPG_S5\XFSX</v>
      </c>
    </row>
    <row r="103" spans="1:4">
      <c r="A103" s="19" t="str">
        <f t="shared" si="9"/>
        <v>АСПС.FB_UPG_S5.XFSX</v>
      </c>
      <c r="B103" s="11">
        <v>7998</v>
      </c>
      <c r="C103" s="11" t="s">
        <v>6</v>
      </c>
      <c r="D103" s="20">
        <v>1</v>
      </c>
    </row>
    <row r="104" spans="1:4">
      <c r="A104" s="19" t="str">
        <f t="shared" si="9"/>
        <v>АСПС.FB_UPG_S5.XFSX</v>
      </c>
      <c r="B104" s="11">
        <v>101</v>
      </c>
      <c r="C104" s="11" t="s">
        <v>0</v>
      </c>
      <c r="D104" s="20" t="s">
        <v>546</v>
      </c>
    </row>
    <row r="105" spans="1:4">
      <c r="A105" s="19" t="str">
        <f t="shared" si="9"/>
        <v>АСПС.FB_UPG_S5.XFSX</v>
      </c>
      <c r="B105" s="11">
        <v>3</v>
      </c>
      <c r="C105" s="11" t="s">
        <v>1</v>
      </c>
      <c r="D105" s="20">
        <v>192</v>
      </c>
    </row>
    <row r="106" spans="1:4">
      <c r="A106" s="19" t="str">
        <f t="shared" si="9"/>
        <v>АСПС.FB_UPG_S5.XFSX</v>
      </c>
      <c r="B106" s="11">
        <v>2</v>
      </c>
      <c r="C106" s="11" t="s">
        <v>2</v>
      </c>
      <c r="D106" s="20" t="s">
        <v>3</v>
      </c>
    </row>
    <row r="107" spans="1:4">
      <c r="A107" s="21" t="str">
        <f t="shared" si="9"/>
        <v>АСПС.FB_UPG_S5.XFSX</v>
      </c>
      <c r="B107" s="8">
        <v>1</v>
      </c>
      <c r="C107" s="8" t="s">
        <v>1</v>
      </c>
      <c r="D107" s="22">
        <v>11</v>
      </c>
    </row>
    <row r="108" spans="1:4">
      <c r="A108" s="69" t="str">
        <f>$R$2&amp;".BFON"</f>
        <v>АСПС.FB_UPG_S5.BFON</v>
      </c>
      <c r="B108" s="70">
        <v>11154</v>
      </c>
      <c r="C108" s="70" t="s">
        <v>4</v>
      </c>
      <c r="D108" s="144">
        <f>$Q$6</f>
        <v>8</v>
      </c>
    </row>
    <row r="109" spans="1:4">
      <c r="A109" s="63" t="str">
        <f t="shared" ref="A109:A117" si="10">$R$2&amp;".BFON"</f>
        <v>АСПС.FB_UPG_S5.BFON</v>
      </c>
      <c r="B109" s="64">
        <v>11150</v>
      </c>
      <c r="C109" s="64" t="s">
        <v>0</v>
      </c>
      <c r="D109" s="65" t="s">
        <v>581</v>
      </c>
    </row>
    <row r="110" spans="1:4">
      <c r="A110" s="63" t="str">
        <f t="shared" si="10"/>
        <v>АСПС.FB_UPG_S5.BFON</v>
      </c>
      <c r="B110" s="64">
        <v>11152</v>
      </c>
      <c r="C110" s="64" t="s">
        <v>0</v>
      </c>
      <c r="D110" s="99" t="str">
        <f>$R$6</f>
        <v>Предупреждение</v>
      </c>
    </row>
    <row r="111" spans="1:4">
      <c r="A111" s="63" t="str">
        <f t="shared" si="10"/>
        <v>АСПС.FB_UPG_S5.BFON</v>
      </c>
      <c r="B111" s="64">
        <v>11000</v>
      </c>
      <c r="C111" s="64" t="s">
        <v>5</v>
      </c>
      <c r="D111" s="65">
        <v>2147483680</v>
      </c>
    </row>
    <row r="112" spans="1:4">
      <c r="A112" s="19" t="str">
        <f t="shared" si="10"/>
        <v>АСПС.FB_UPG_S5.BFON</v>
      </c>
      <c r="B112" s="11">
        <v>7999</v>
      </c>
      <c r="C112" s="11" t="s">
        <v>0</v>
      </c>
      <c r="D112" s="20" t="str">
        <f>"#"&amp;$S$2&amp;"#"&amp;$T$2&amp;"\"&amp;$P$2&amp;"\BFON"</f>
        <v>#2#treiOPCDA.CoOPCserv.1\pcmaster\FB_UPG_S5\BFON</v>
      </c>
    </row>
    <row r="113" spans="1:4">
      <c r="A113" s="19" t="str">
        <f t="shared" si="10"/>
        <v>АСПС.FB_UPG_S5.BFON</v>
      </c>
      <c r="B113" s="11">
        <v>7998</v>
      </c>
      <c r="C113" s="11" t="s">
        <v>6</v>
      </c>
      <c r="D113" s="20">
        <v>1</v>
      </c>
    </row>
    <row r="114" spans="1:4">
      <c r="A114" s="19" t="str">
        <f t="shared" si="10"/>
        <v>АСПС.FB_UPG_S5.BFON</v>
      </c>
      <c r="B114" s="11">
        <v>101</v>
      </c>
      <c r="C114" s="11" t="s">
        <v>0</v>
      </c>
      <c r="D114" s="20" t="s">
        <v>581</v>
      </c>
    </row>
    <row r="115" spans="1:4">
      <c r="A115" s="19" t="str">
        <f t="shared" si="10"/>
        <v>АСПС.FB_UPG_S5.BFON</v>
      </c>
      <c r="B115" s="11">
        <v>3</v>
      </c>
      <c r="C115" s="11" t="s">
        <v>1</v>
      </c>
      <c r="D115" s="20">
        <v>192</v>
      </c>
    </row>
    <row r="116" spans="1:4">
      <c r="A116" s="19" t="str">
        <f t="shared" si="10"/>
        <v>АСПС.FB_UPG_S5.BFON</v>
      </c>
      <c r="B116" s="11">
        <v>2</v>
      </c>
      <c r="C116" s="11" t="s">
        <v>2</v>
      </c>
      <c r="D116" s="20" t="s">
        <v>3</v>
      </c>
    </row>
    <row r="117" spans="1:4">
      <c r="A117" s="21" t="str">
        <f t="shared" si="10"/>
        <v>АСПС.FB_UPG_S5.BFON</v>
      </c>
      <c r="B117" s="8">
        <v>1</v>
      </c>
      <c r="C117" s="8" t="s">
        <v>1</v>
      </c>
      <c r="D117" s="22">
        <v>11</v>
      </c>
    </row>
    <row r="118" spans="1:4">
      <c r="A118" s="69" t="str">
        <f>$R$2&amp;".XBON"</f>
        <v>АСПС.FB_UPG_S5.XBON</v>
      </c>
      <c r="B118" s="70">
        <v>11154</v>
      </c>
      <c r="C118" s="70" t="s">
        <v>4</v>
      </c>
      <c r="D118" s="144">
        <f>$Q$6</f>
        <v>8</v>
      </c>
    </row>
    <row r="119" spans="1:4">
      <c r="A119" s="63" t="str">
        <f t="shared" ref="A119:A127" si="11">$R$2&amp;".XBON"</f>
        <v>АСПС.FB_UPG_S5.XBON</v>
      </c>
      <c r="B119" s="64">
        <v>11150</v>
      </c>
      <c r="C119" s="64" t="s">
        <v>0</v>
      </c>
      <c r="D119" s="65" t="s">
        <v>523</v>
      </c>
    </row>
    <row r="120" spans="1:4">
      <c r="A120" s="63" t="str">
        <f t="shared" si="11"/>
        <v>АСПС.FB_UPG_S5.XBON</v>
      </c>
      <c r="B120" s="64">
        <v>11152</v>
      </c>
      <c r="C120" s="64" t="s">
        <v>0</v>
      </c>
      <c r="D120" s="99" t="str">
        <f>$R$6</f>
        <v>Предупреждение</v>
      </c>
    </row>
    <row r="121" spans="1:4">
      <c r="A121" s="63" t="str">
        <f t="shared" si="11"/>
        <v>АСПС.FB_UPG_S5.XBON</v>
      </c>
      <c r="B121" s="64">
        <v>11000</v>
      </c>
      <c r="C121" s="64" t="s">
        <v>5</v>
      </c>
      <c r="D121" s="65">
        <v>2147483680</v>
      </c>
    </row>
    <row r="122" spans="1:4">
      <c r="A122" s="19" t="str">
        <f t="shared" si="11"/>
        <v>АСПС.FB_UPG_S5.XBON</v>
      </c>
      <c r="B122" s="11">
        <v>7999</v>
      </c>
      <c r="C122" s="11" t="s">
        <v>0</v>
      </c>
      <c r="D122" s="20" t="str">
        <f>"#"&amp;$S$2&amp;"#"&amp;$T$2&amp;"\"&amp;$P$2&amp;"\XBON"</f>
        <v>#2#treiOPCDA.CoOPCserv.1\pcmaster\FB_UPG_S5\XBON</v>
      </c>
    </row>
    <row r="123" spans="1:4">
      <c r="A123" s="19" t="str">
        <f t="shared" si="11"/>
        <v>АСПС.FB_UPG_S5.XBON</v>
      </c>
      <c r="B123" s="11">
        <v>7998</v>
      </c>
      <c r="C123" s="11" t="s">
        <v>6</v>
      </c>
      <c r="D123" s="20">
        <v>1</v>
      </c>
    </row>
    <row r="124" spans="1:4">
      <c r="A124" s="19" t="str">
        <f t="shared" si="11"/>
        <v>АСПС.FB_UPG_S5.XBON</v>
      </c>
      <c r="B124" s="11">
        <v>101</v>
      </c>
      <c r="C124" s="11" t="s">
        <v>0</v>
      </c>
      <c r="D124" s="20" t="s">
        <v>523</v>
      </c>
    </row>
    <row r="125" spans="1:4">
      <c r="A125" s="19" t="str">
        <f t="shared" si="11"/>
        <v>АСПС.FB_UPG_S5.XBON</v>
      </c>
      <c r="B125" s="11">
        <v>3</v>
      </c>
      <c r="C125" s="11" t="s">
        <v>1</v>
      </c>
      <c r="D125" s="20">
        <v>192</v>
      </c>
    </row>
    <row r="126" spans="1:4">
      <c r="A126" s="19" t="str">
        <f t="shared" si="11"/>
        <v>АСПС.FB_UPG_S5.XBON</v>
      </c>
      <c r="B126" s="11">
        <v>2</v>
      </c>
      <c r="C126" s="11" t="s">
        <v>2</v>
      </c>
      <c r="D126" s="20" t="s">
        <v>3</v>
      </c>
    </row>
    <row r="127" spans="1:4">
      <c r="A127" s="21" t="str">
        <f t="shared" si="11"/>
        <v>АСПС.FB_UPG_S5.XBON</v>
      </c>
      <c r="B127" s="8">
        <v>1</v>
      </c>
      <c r="C127" s="8" t="s">
        <v>1</v>
      </c>
      <c r="D127" s="22">
        <v>11</v>
      </c>
    </row>
    <row r="128" spans="1:4">
      <c r="A128" s="211" t="str">
        <f t="shared" ref="A128:A137" si="12">$R$2&amp;".XNW1"</f>
        <v>АСПС.FB_UPG_S5.XNW1</v>
      </c>
      <c r="B128" s="212">
        <v>11154</v>
      </c>
      <c r="C128" s="212" t="s">
        <v>4</v>
      </c>
      <c r="D128" s="221">
        <f>$Q$7</f>
        <v>12</v>
      </c>
    </row>
    <row r="129" spans="1:4">
      <c r="A129" s="211" t="str">
        <f t="shared" si="12"/>
        <v>АСПС.FB_UPG_S5.XNW1</v>
      </c>
      <c r="B129" s="212">
        <v>11152</v>
      </c>
      <c r="C129" s="212" t="s">
        <v>0</v>
      </c>
      <c r="D129" s="220" t="str">
        <f>$R$7</f>
        <v>Неисправность</v>
      </c>
    </row>
    <row r="130" spans="1:4">
      <c r="A130" s="211" t="str">
        <f t="shared" si="12"/>
        <v>АСПС.FB_UPG_S5.XNW1</v>
      </c>
      <c r="B130" s="212">
        <v>11150</v>
      </c>
      <c r="C130" s="212" t="s">
        <v>0</v>
      </c>
      <c r="D130" s="213" t="str">
        <f>IF($Z$2=1,"АУПТ не сработала 1 очередь","АУПТ не сработала")</f>
        <v>АУПТ не сработала 1 очередь</v>
      </c>
    </row>
    <row r="131" spans="1:4">
      <c r="A131" s="211" t="str">
        <f t="shared" si="12"/>
        <v>АСПС.FB_UPG_S5.XNW1</v>
      </c>
      <c r="B131" s="212">
        <v>11000</v>
      </c>
      <c r="C131" s="212" t="s">
        <v>5</v>
      </c>
      <c r="D131" s="213">
        <v>2147483680</v>
      </c>
    </row>
    <row r="132" spans="1:4">
      <c r="A132" s="19" t="str">
        <f t="shared" si="12"/>
        <v>АСПС.FB_UPG_S5.XNW1</v>
      </c>
      <c r="B132" s="11">
        <v>7999</v>
      </c>
      <c r="C132" s="11" t="s">
        <v>0</v>
      </c>
      <c r="D132" s="20" t="str">
        <f>"#"&amp;$S$2&amp;"#"&amp;$T$2&amp;"\"&amp;$P$2&amp;"\XNW1"</f>
        <v>#2#treiOPCDA.CoOPCserv.1\pcmaster\FB_UPG_S5\XNW1</v>
      </c>
    </row>
    <row r="133" spans="1:4">
      <c r="A133" s="19" t="str">
        <f t="shared" si="12"/>
        <v>АСПС.FB_UPG_S5.XNW1</v>
      </c>
      <c r="B133" s="11">
        <v>7998</v>
      </c>
      <c r="C133" s="11" t="s">
        <v>6</v>
      </c>
      <c r="D133" s="20">
        <v>1</v>
      </c>
    </row>
    <row r="134" spans="1:4">
      <c r="A134" s="19" t="str">
        <f t="shared" si="12"/>
        <v>АСПС.FB_UPG_S5.XNW1</v>
      </c>
      <c r="B134" s="11">
        <v>101</v>
      </c>
      <c r="C134" s="11" t="s">
        <v>0</v>
      </c>
      <c r="D134" s="20" t="str">
        <f>IF($Z$2=1,"АУПТ не сработала 1 очередь","АУПТ не сработала")</f>
        <v>АУПТ не сработала 1 очередь</v>
      </c>
    </row>
    <row r="135" spans="1:4">
      <c r="A135" s="19" t="str">
        <f t="shared" si="12"/>
        <v>АСПС.FB_UPG_S5.XNW1</v>
      </c>
      <c r="B135" s="11">
        <v>3</v>
      </c>
      <c r="C135" s="11" t="s">
        <v>1</v>
      </c>
      <c r="D135" s="20">
        <v>192</v>
      </c>
    </row>
    <row r="136" spans="1:4">
      <c r="A136" s="19" t="str">
        <f t="shared" si="12"/>
        <v>АСПС.FB_UPG_S5.XNW1</v>
      </c>
      <c r="B136" s="11">
        <v>2</v>
      </c>
      <c r="C136" s="11" t="s">
        <v>2</v>
      </c>
      <c r="D136" s="20" t="s">
        <v>3</v>
      </c>
    </row>
    <row r="137" spans="1:4">
      <c r="A137" s="21" t="str">
        <f t="shared" si="12"/>
        <v>АСПС.FB_UPG_S5.XNW1</v>
      </c>
      <c r="B137" s="8">
        <v>1</v>
      </c>
      <c r="C137" s="8" t="s">
        <v>1</v>
      </c>
      <c r="D137" s="22">
        <v>11</v>
      </c>
    </row>
    <row r="138" spans="1:4">
      <c r="A138" s="211" t="str">
        <f t="shared" ref="A138:A147" si="13">$R$2&amp;".FDON"</f>
        <v>АСПС.FB_UPG_S5.FDON</v>
      </c>
      <c r="B138" s="212">
        <v>11154</v>
      </c>
      <c r="C138" s="212" t="s">
        <v>4</v>
      </c>
      <c r="D138" s="221">
        <f>$Q$7</f>
        <v>12</v>
      </c>
    </row>
    <row r="139" spans="1:4">
      <c r="A139" s="211" t="str">
        <f t="shared" si="13"/>
        <v>АСПС.FB_UPG_S5.FDON</v>
      </c>
      <c r="B139" s="212">
        <v>11152</v>
      </c>
      <c r="C139" s="212" t="s">
        <v>0</v>
      </c>
      <c r="D139" s="220" t="str">
        <f>$R$7</f>
        <v>Неисправность</v>
      </c>
    </row>
    <row r="140" spans="1:4">
      <c r="A140" s="211" t="str">
        <f t="shared" si="13"/>
        <v>АСПС.FB_UPG_S5.FDON</v>
      </c>
      <c r="B140" s="212">
        <v>11150</v>
      </c>
      <c r="C140" s="212" t="s">
        <v>0</v>
      </c>
      <c r="D140" s="213" t="s">
        <v>684</v>
      </c>
    </row>
    <row r="141" spans="1:4">
      <c r="A141" s="211" t="str">
        <f t="shared" si="13"/>
        <v>АСПС.FB_UPG_S5.FDON</v>
      </c>
      <c r="B141" s="212">
        <v>11000</v>
      </c>
      <c r="C141" s="212" t="s">
        <v>5</v>
      </c>
      <c r="D141" s="213">
        <v>2147483680</v>
      </c>
    </row>
    <row r="142" spans="1:4">
      <c r="A142" s="19" t="str">
        <f t="shared" si="13"/>
        <v>АСПС.FB_UPG_S5.FDON</v>
      </c>
      <c r="B142" s="11">
        <v>7999</v>
      </c>
      <c r="C142" s="11" t="s">
        <v>0</v>
      </c>
      <c r="D142" s="20" t="str">
        <f>"#"&amp;$S$2&amp;"#"&amp;$T$2&amp;"\"&amp;$P$2&amp;"\FDON"</f>
        <v>#2#treiOPCDA.CoOPCserv.1\pcmaster\FB_UPG_S5\FDON</v>
      </c>
    </row>
    <row r="143" spans="1:4">
      <c r="A143" s="19" t="str">
        <f t="shared" si="13"/>
        <v>АСПС.FB_UPG_S5.FDON</v>
      </c>
      <c r="B143" s="11">
        <v>7998</v>
      </c>
      <c r="C143" s="11" t="s">
        <v>6</v>
      </c>
      <c r="D143" s="20">
        <v>1</v>
      </c>
    </row>
    <row r="144" spans="1:4">
      <c r="A144" s="19" t="str">
        <f t="shared" si="13"/>
        <v>АСПС.FB_UPG_S5.FDON</v>
      </c>
      <c r="B144" s="11">
        <v>101</v>
      </c>
      <c r="C144" s="11" t="s">
        <v>0</v>
      </c>
      <c r="D144" s="20" t="s">
        <v>684</v>
      </c>
    </row>
    <row r="145" spans="1:4">
      <c r="A145" s="19" t="str">
        <f t="shared" si="13"/>
        <v>АСПС.FB_UPG_S5.FDON</v>
      </c>
      <c r="B145" s="11">
        <v>3</v>
      </c>
      <c r="C145" s="11" t="s">
        <v>1</v>
      </c>
      <c r="D145" s="20">
        <v>192</v>
      </c>
    </row>
    <row r="146" spans="1:4">
      <c r="A146" s="19" t="str">
        <f t="shared" si="13"/>
        <v>АСПС.FB_UPG_S5.FDON</v>
      </c>
      <c r="B146" s="11">
        <v>2</v>
      </c>
      <c r="C146" s="11" t="s">
        <v>2</v>
      </c>
      <c r="D146" s="20" t="s">
        <v>3</v>
      </c>
    </row>
    <row r="147" spans="1:4">
      <c r="A147" s="21" t="str">
        <f t="shared" si="13"/>
        <v>АСПС.FB_UPG_S5.FDON</v>
      </c>
      <c r="B147" s="8">
        <v>1</v>
      </c>
      <c r="C147" s="8" t="s">
        <v>1</v>
      </c>
      <c r="D147" s="22">
        <v>11</v>
      </c>
    </row>
    <row r="148" spans="1:4">
      <c r="A148" s="19" t="str">
        <f t="shared" ref="A148:A157" si="14">$R$2&amp;".FXXX"</f>
        <v>АСПС.FB_UPG_S5.FXXX</v>
      </c>
      <c r="B148" s="17">
        <v>1</v>
      </c>
      <c r="C148" s="17" t="s">
        <v>1</v>
      </c>
      <c r="D148" s="18">
        <v>11</v>
      </c>
    </row>
    <row r="149" spans="1:4">
      <c r="A149" s="19" t="str">
        <f t="shared" si="14"/>
        <v>АСПС.FB_UPG_S5.FXXX</v>
      </c>
      <c r="B149" s="11">
        <v>2</v>
      </c>
      <c r="C149" s="11" t="s">
        <v>2</v>
      </c>
      <c r="D149" s="20" t="s">
        <v>3</v>
      </c>
    </row>
    <row r="150" spans="1:4">
      <c r="A150" s="19" t="str">
        <f t="shared" si="14"/>
        <v>АСПС.FB_UPG_S5.FXXX</v>
      </c>
      <c r="B150" s="11">
        <v>3</v>
      </c>
      <c r="C150" s="11" t="s">
        <v>1</v>
      </c>
      <c r="D150" s="20">
        <v>192</v>
      </c>
    </row>
    <row r="151" spans="1:4">
      <c r="A151" s="19" t="str">
        <f t="shared" si="14"/>
        <v>АСПС.FB_UPG_S5.FXXX</v>
      </c>
      <c r="B151" s="11">
        <v>101</v>
      </c>
      <c r="C151" s="11" t="s">
        <v>0</v>
      </c>
      <c r="D151" s="20" t="s">
        <v>110</v>
      </c>
    </row>
    <row r="152" spans="1:4">
      <c r="A152" s="19" t="str">
        <f t="shared" si="14"/>
        <v>АСПС.FB_UPG_S5.FXXX</v>
      </c>
      <c r="B152" s="11">
        <v>7998</v>
      </c>
      <c r="C152" s="11" t="s">
        <v>6</v>
      </c>
      <c r="D152" s="20">
        <v>1</v>
      </c>
    </row>
    <row r="153" spans="1:4">
      <c r="A153" s="19" t="str">
        <f t="shared" si="14"/>
        <v>АСПС.FB_UPG_S5.FXXX</v>
      </c>
      <c r="B153" s="11">
        <v>7999</v>
      </c>
      <c r="C153" s="11" t="s">
        <v>0</v>
      </c>
      <c r="D153" s="20" t="str">
        <f>"#"&amp;$S$2&amp;"#"&amp;$T$2&amp;"\"&amp;$P$2&amp;"\FXXX"</f>
        <v>#2#treiOPCDA.CoOPCserv.1\pcmaster\FB_UPG_S5\FXXX</v>
      </c>
    </row>
    <row r="154" spans="1:4">
      <c r="A154" s="211" t="str">
        <f t="shared" si="14"/>
        <v>АСПС.FB_UPG_S5.FXXX</v>
      </c>
      <c r="B154" s="212">
        <v>11000</v>
      </c>
      <c r="C154" s="212" t="s">
        <v>5</v>
      </c>
      <c r="D154" s="213">
        <v>2147483680</v>
      </c>
    </row>
    <row r="155" spans="1:4">
      <c r="A155" s="211" t="str">
        <f t="shared" si="14"/>
        <v>АСПС.FB_UPG_S5.FXXX</v>
      </c>
      <c r="B155" s="212">
        <v>11150</v>
      </c>
      <c r="C155" s="212" t="s">
        <v>0</v>
      </c>
      <c r="D155" s="213" t="s">
        <v>110</v>
      </c>
    </row>
    <row r="156" spans="1:4">
      <c r="A156" s="211" t="str">
        <f t="shared" si="14"/>
        <v>АСПС.FB_UPG_S5.FXXX</v>
      </c>
      <c r="B156" s="212">
        <v>11152</v>
      </c>
      <c r="C156" s="212" t="s">
        <v>0</v>
      </c>
      <c r="D156" s="213" t="str">
        <f>$R$7</f>
        <v>Неисправность</v>
      </c>
    </row>
    <row r="157" spans="1:4">
      <c r="A157" s="211" t="str">
        <f t="shared" si="14"/>
        <v>АСПС.FB_UPG_S5.FXXX</v>
      </c>
      <c r="B157" s="215">
        <v>11154</v>
      </c>
      <c r="C157" s="215" t="s">
        <v>4</v>
      </c>
      <c r="D157" s="216">
        <f>$Q$7</f>
        <v>12</v>
      </c>
    </row>
    <row r="158" spans="1:4">
      <c r="A158" s="159" t="str">
        <f t="shared" ref="A158:A170" si="15">$R$2&amp;".XAON"</f>
        <v>АСПС.FB_UPG_S5.XAON</v>
      </c>
      <c r="B158" s="160">
        <v>11154</v>
      </c>
      <c r="C158" s="160" t="s">
        <v>4</v>
      </c>
      <c r="D158" s="161">
        <f>$Q$8</f>
        <v>18</v>
      </c>
    </row>
    <row r="159" spans="1:4">
      <c r="A159" s="100" t="str">
        <f t="shared" si="15"/>
        <v>АСПС.FB_UPG_S5.XAON</v>
      </c>
      <c r="B159" s="101">
        <v>11150</v>
      </c>
      <c r="C159" s="101" t="s">
        <v>0</v>
      </c>
      <c r="D159" s="103" t="s">
        <v>460</v>
      </c>
    </row>
    <row r="160" spans="1:4">
      <c r="A160" s="100" t="str">
        <f t="shared" si="15"/>
        <v>АСПС.FB_UPG_S5.XAON</v>
      </c>
      <c r="B160" s="101">
        <v>11152</v>
      </c>
      <c r="C160" s="101" t="s">
        <v>0</v>
      </c>
      <c r="D160" s="104" t="str">
        <f>$R$8</f>
        <v>Телесигнализация</v>
      </c>
    </row>
    <row r="161" spans="1:4">
      <c r="A161" s="63" t="str">
        <f t="shared" si="15"/>
        <v>АСПС.FB_UPG_S5.XAON</v>
      </c>
      <c r="B161" s="64">
        <v>11155</v>
      </c>
      <c r="C161" s="64" t="s">
        <v>4</v>
      </c>
      <c r="D161" s="98">
        <f>$Q$6</f>
        <v>8</v>
      </c>
    </row>
    <row r="162" spans="1:4">
      <c r="A162" s="63" t="str">
        <f t="shared" si="15"/>
        <v>АСПС.FB_UPG_S5.XAON</v>
      </c>
      <c r="B162" s="64">
        <v>11151</v>
      </c>
      <c r="C162" s="64" t="s">
        <v>0</v>
      </c>
      <c r="D162" s="65" t="s">
        <v>462</v>
      </c>
    </row>
    <row r="163" spans="1:4">
      <c r="A163" s="63" t="str">
        <f t="shared" si="15"/>
        <v>АСПС.FB_UPG_S5.XAON</v>
      </c>
      <c r="B163" s="64">
        <v>11153</v>
      </c>
      <c r="C163" s="64" t="s">
        <v>0</v>
      </c>
      <c r="D163" s="99" t="str">
        <f>$R$6</f>
        <v>Предупреждение</v>
      </c>
    </row>
    <row r="164" spans="1:4">
      <c r="A164" s="19" t="str">
        <f t="shared" si="15"/>
        <v>АСПС.FB_UPG_S5.XAON</v>
      </c>
      <c r="B164" s="11">
        <v>11000</v>
      </c>
      <c r="C164" s="11" t="s">
        <v>5</v>
      </c>
      <c r="D164" s="20">
        <v>2147483744</v>
      </c>
    </row>
    <row r="165" spans="1:4">
      <c r="A165" s="19" t="str">
        <f t="shared" si="15"/>
        <v>АСПС.FB_UPG_S5.XAON</v>
      </c>
      <c r="B165" s="11">
        <v>7999</v>
      </c>
      <c r="C165" s="11" t="s">
        <v>0</v>
      </c>
      <c r="D165" s="20" t="str">
        <f>"#"&amp;$S$2&amp;"#"&amp;$T$2&amp;"\"&amp;$P$2&amp;"\XAON"</f>
        <v>#2#treiOPCDA.CoOPCserv.1\pcmaster\FB_UPG_S5\XAON</v>
      </c>
    </row>
    <row r="166" spans="1:4">
      <c r="A166" s="19" t="str">
        <f t="shared" si="15"/>
        <v>АСПС.FB_UPG_S5.XAON</v>
      </c>
      <c r="B166" s="11">
        <v>7998</v>
      </c>
      <c r="C166" s="11" t="s">
        <v>6</v>
      </c>
      <c r="D166" s="20">
        <v>1</v>
      </c>
    </row>
    <row r="167" spans="1:4">
      <c r="A167" s="19" t="str">
        <f t="shared" si="15"/>
        <v>АСПС.FB_UPG_S5.XAON</v>
      </c>
      <c r="B167" s="11">
        <v>101</v>
      </c>
      <c r="C167" s="11" t="s">
        <v>0</v>
      </c>
      <c r="D167" s="20" t="s">
        <v>461</v>
      </c>
    </row>
    <row r="168" spans="1:4">
      <c r="A168" s="19" t="str">
        <f t="shared" si="15"/>
        <v>АСПС.FB_UPG_S5.XAON</v>
      </c>
      <c r="B168" s="11">
        <v>3</v>
      </c>
      <c r="C168" s="11" t="s">
        <v>1</v>
      </c>
      <c r="D168" s="20">
        <v>192</v>
      </c>
    </row>
    <row r="169" spans="1:4">
      <c r="A169" s="19" t="str">
        <f t="shared" si="15"/>
        <v>АСПС.FB_UPG_S5.XAON</v>
      </c>
      <c r="B169" s="11">
        <v>2</v>
      </c>
      <c r="C169" s="11" t="s">
        <v>2</v>
      </c>
      <c r="D169" s="20" t="s">
        <v>3</v>
      </c>
    </row>
    <row r="170" spans="1:4">
      <c r="A170" s="21" t="str">
        <f t="shared" si="15"/>
        <v>АСПС.FB_UPG_S5.XAON</v>
      </c>
      <c r="B170" s="8">
        <v>1</v>
      </c>
      <c r="C170" s="8" t="s">
        <v>1</v>
      </c>
      <c r="D170" s="22">
        <v>11</v>
      </c>
    </row>
    <row r="171" spans="1:4">
      <c r="A171" s="222" t="str">
        <f>$R$2&amp;".OF1N"</f>
        <v>АСПС.FB_UPG_S5.OF1N</v>
      </c>
      <c r="B171" s="223">
        <v>11154</v>
      </c>
      <c r="C171" s="223" t="s">
        <v>4</v>
      </c>
      <c r="D171" s="224">
        <f>$Q$14</f>
        <v>1</v>
      </c>
    </row>
    <row r="172" spans="1:4">
      <c r="A172" s="225" t="str">
        <f t="shared" ref="A172:A180" si="16">$R$2&amp;".OF1N"</f>
        <v>АСПС.FB_UPG_S5.OF1N</v>
      </c>
      <c r="B172" s="226">
        <v>11150</v>
      </c>
      <c r="C172" s="226" t="s">
        <v>0</v>
      </c>
      <c r="D172" s="227" t="str">
        <f>IF($Z$2=1,"Идёт тушение 1 очередь","Идёт тушение")</f>
        <v>Идёт тушение 1 очередь</v>
      </c>
    </row>
    <row r="173" spans="1:4">
      <c r="A173" s="225" t="str">
        <f t="shared" si="16"/>
        <v>АСПС.FB_UPG_S5.OF1N</v>
      </c>
      <c r="B173" s="226">
        <v>11152</v>
      </c>
      <c r="C173" s="226" t="s">
        <v>0</v>
      </c>
      <c r="D173" s="228" t="str">
        <f>$R$14</f>
        <v>Тушение</v>
      </c>
    </row>
    <row r="174" spans="1:4">
      <c r="A174" s="225" t="str">
        <f t="shared" si="16"/>
        <v>АСПС.FB_UPG_S5.OF1N</v>
      </c>
      <c r="B174" s="226">
        <v>11000</v>
      </c>
      <c r="C174" s="226" t="s">
        <v>5</v>
      </c>
      <c r="D174" s="227">
        <v>2147483680</v>
      </c>
    </row>
    <row r="175" spans="1:4">
      <c r="A175" s="19" t="str">
        <f t="shared" si="16"/>
        <v>АСПС.FB_UPG_S5.OF1N</v>
      </c>
      <c r="B175" s="11">
        <v>7999</v>
      </c>
      <c r="C175" s="11" t="s">
        <v>0</v>
      </c>
      <c r="D175" s="20" t="str">
        <f>"#"&amp;$S$2&amp;"#"&amp;$T$2&amp;"\"&amp;$P$2&amp;"\OF1N"</f>
        <v>#2#treiOPCDA.CoOPCserv.1\pcmaster\FB_UPG_S5\OF1N</v>
      </c>
    </row>
    <row r="176" spans="1:4">
      <c r="A176" s="19" t="str">
        <f t="shared" si="16"/>
        <v>АСПС.FB_UPG_S5.OF1N</v>
      </c>
      <c r="B176" s="11">
        <v>7998</v>
      </c>
      <c r="C176" s="11" t="s">
        <v>6</v>
      </c>
      <c r="D176" s="20">
        <v>1</v>
      </c>
    </row>
    <row r="177" spans="1:4">
      <c r="A177" s="19" t="str">
        <f t="shared" si="16"/>
        <v>АСПС.FB_UPG_S5.OF1N</v>
      </c>
      <c r="B177" s="11">
        <v>101</v>
      </c>
      <c r="C177" s="11" t="s">
        <v>0</v>
      </c>
      <c r="D177" s="20" t="str">
        <f>IF($Z$2=1,"Идёт тушение 1 очередь","Идёт тушение")</f>
        <v>Идёт тушение 1 очередь</v>
      </c>
    </row>
    <row r="178" spans="1:4">
      <c r="A178" s="19" t="str">
        <f t="shared" si="16"/>
        <v>АСПС.FB_UPG_S5.OF1N</v>
      </c>
      <c r="B178" s="11">
        <v>3</v>
      </c>
      <c r="C178" s="11" t="s">
        <v>1</v>
      </c>
      <c r="D178" s="20">
        <v>192</v>
      </c>
    </row>
    <row r="179" spans="1:4">
      <c r="A179" s="19" t="str">
        <f t="shared" si="16"/>
        <v>АСПС.FB_UPG_S5.OF1N</v>
      </c>
      <c r="B179" s="11">
        <v>2</v>
      </c>
      <c r="C179" s="11" t="s">
        <v>2</v>
      </c>
      <c r="D179" s="20" t="s">
        <v>3</v>
      </c>
    </row>
    <row r="180" spans="1:4">
      <c r="A180" s="21" t="str">
        <f t="shared" si="16"/>
        <v>АСПС.FB_UPG_S5.OF1N</v>
      </c>
      <c r="B180" s="8">
        <v>1</v>
      </c>
      <c r="C180" s="8" t="s">
        <v>1</v>
      </c>
      <c r="D180" s="22">
        <v>11</v>
      </c>
    </row>
    <row r="181" spans="1:4">
      <c r="A181" s="222" t="str">
        <f t="shared" ref="A181:A190" si="17">$R$2&amp;".XW1X"</f>
        <v>АСПС.FB_UPG_S5.XW1X</v>
      </c>
      <c r="B181" s="223">
        <v>11154</v>
      </c>
      <c r="C181" s="223" t="s">
        <v>4</v>
      </c>
      <c r="D181" s="224">
        <f>$Q$14</f>
        <v>1</v>
      </c>
    </row>
    <row r="182" spans="1:4">
      <c r="A182" s="225" t="str">
        <f t="shared" si="17"/>
        <v>АСПС.FB_UPG_S5.XW1X</v>
      </c>
      <c r="B182" s="226">
        <v>11150</v>
      </c>
      <c r="C182" s="226" t="s">
        <v>0</v>
      </c>
      <c r="D182" s="227" t="str">
        <f>IF($Z$2=1,"АУПТ сработала 1 очередь","АУПТ сработала")</f>
        <v>АУПТ сработала 1 очередь</v>
      </c>
    </row>
    <row r="183" spans="1:4">
      <c r="A183" s="225" t="str">
        <f t="shared" si="17"/>
        <v>АСПС.FB_UPG_S5.XW1X</v>
      </c>
      <c r="B183" s="226">
        <v>11152</v>
      </c>
      <c r="C183" s="226" t="s">
        <v>0</v>
      </c>
      <c r="D183" s="228" t="str">
        <f>$R$14</f>
        <v>Тушение</v>
      </c>
    </row>
    <row r="184" spans="1:4">
      <c r="A184" s="225" t="str">
        <f t="shared" si="17"/>
        <v>АСПС.FB_UPG_S5.XW1X</v>
      </c>
      <c r="B184" s="226">
        <v>11000</v>
      </c>
      <c r="C184" s="226" t="s">
        <v>5</v>
      </c>
      <c r="D184" s="227">
        <v>2147483680</v>
      </c>
    </row>
    <row r="185" spans="1:4">
      <c r="A185" s="19" t="str">
        <f t="shared" si="17"/>
        <v>АСПС.FB_UPG_S5.XW1X</v>
      </c>
      <c r="B185" s="11">
        <v>7999</v>
      </c>
      <c r="C185" s="11" t="s">
        <v>0</v>
      </c>
      <c r="D185" s="20" t="str">
        <f>"#"&amp;$S$2&amp;"#"&amp;$T$2&amp;"\"&amp;$P$2&amp;"\XW1X"</f>
        <v>#2#treiOPCDA.CoOPCserv.1\pcmaster\FB_UPG_S5\XW1X</v>
      </c>
    </row>
    <row r="186" spans="1:4">
      <c r="A186" s="19" t="str">
        <f t="shared" si="17"/>
        <v>АСПС.FB_UPG_S5.XW1X</v>
      </c>
      <c r="B186" s="11">
        <v>7998</v>
      </c>
      <c r="C186" s="11" t="s">
        <v>6</v>
      </c>
      <c r="D186" s="20">
        <v>1</v>
      </c>
    </row>
    <row r="187" spans="1:4">
      <c r="A187" s="19" t="str">
        <f t="shared" si="17"/>
        <v>АСПС.FB_UPG_S5.XW1X</v>
      </c>
      <c r="B187" s="11">
        <v>101</v>
      </c>
      <c r="C187" s="11" t="s">
        <v>0</v>
      </c>
      <c r="D187" s="20" t="str">
        <f>IF($Z$2=1,"АУПТ сработала 1 очередь","АУПТ сработала")</f>
        <v>АУПТ сработала 1 очередь</v>
      </c>
    </row>
    <row r="188" spans="1:4">
      <c r="A188" s="19" t="str">
        <f t="shared" si="17"/>
        <v>АСПС.FB_UPG_S5.XW1X</v>
      </c>
      <c r="B188" s="11">
        <v>3</v>
      </c>
      <c r="C188" s="11" t="s">
        <v>1</v>
      </c>
      <c r="D188" s="20">
        <v>192</v>
      </c>
    </row>
    <row r="189" spans="1:4">
      <c r="A189" s="19" t="str">
        <f t="shared" si="17"/>
        <v>АСПС.FB_UPG_S5.XW1X</v>
      </c>
      <c r="B189" s="11">
        <v>2</v>
      </c>
      <c r="C189" s="11" t="s">
        <v>2</v>
      </c>
      <c r="D189" s="20" t="s">
        <v>3</v>
      </c>
    </row>
    <row r="190" spans="1:4">
      <c r="A190" s="21" t="str">
        <f t="shared" si="17"/>
        <v>АСПС.FB_UPG_S5.XW1X</v>
      </c>
      <c r="B190" s="8">
        <v>1</v>
      </c>
      <c r="C190" s="8" t="s">
        <v>1</v>
      </c>
      <c r="D190" s="22">
        <v>11</v>
      </c>
    </row>
    <row r="191" spans="1:4">
      <c r="A191" s="222" t="str">
        <f>$R$2&amp;".XEFN"</f>
        <v>АСПС.FB_UPG_S5.XEFN</v>
      </c>
      <c r="B191" s="223">
        <v>11154</v>
      </c>
      <c r="C191" s="223" t="s">
        <v>4</v>
      </c>
      <c r="D191" s="224">
        <f>$Q$14</f>
        <v>1</v>
      </c>
    </row>
    <row r="192" spans="1:4">
      <c r="A192" s="225" t="str">
        <f t="shared" ref="A192:A200" si="18">$R$2&amp;".XEFN"</f>
        <v>АСПС.FB_UPG_S5.XEFN</v>
      </c>
      <c r="B192" s="226">
        <v>11150</v>
      </c>
      <c r="C192" s="226" t="s">
        <v>0</v>
      </c>
      <c r="D192" s="227" t="s">
        <v>548</v>
      </c>
    </row>
    <row r="193" spans="1:4">
      <c r="A193" s="225" t="str">
        <f t="shared" si="18"/>
        <v>АСПС.FB_UPG_S5.XEFN</v>
      </c>
      <c r="B193" s="226">
        <v>11152</v>
      </c>
      <c r="C193" s="226" t="s">
        <v>0</v>
      </c>
      <c r="D193" s="228" t="str">
        <f>$R$14</f>
        <v>Тушение</v>
      </c>
    </row>
    <row r="194" spans="1:4">
      <c r="A194" s="225" t="str">
        <f t="shared" si="18"/>
        <v>АСПС.FB_UPG_S5.XEFN</v>
      </c>
      <c r="B194" s="226">
        <v>11000</v>
      </c>
      <c r="C194" s="226" t="s">
        <v>5</v>
      </c>
      <c r="D194" s="227">
        <v>2147483680</v>
      </c>
    </row>
    <row r="195" spans="1:4">
      <c r="A195" s="19" t="str">
        <f t="shared" si="18"/>
        <v>АСПС.FB_UPG_S5.XEFN</v>
      </c>
      <c r="B195" s="11">
        <v>7999</v>
      </c>
      <c r="C195" s="11" t="s">
        <v>0</v>
      </c>
      <c r="D195" s="20" t="str">
        <f>"#"&amp;$S$2&amp;"#"&amp;$T$2&amp;"\"&amp;$P$2&amp;"\XEFN"</f>
        <v>#2#treiOPCDA.CoOPCserv.1\pcmaster\FB_UPG_S5\XEFN</v>
      </c>
    </row>
    <row r="196" spans="1:4">
      <c r="A196" s="19" t="str">
        <f t="shared" si="18"/>
        <v>АСПС.FB_UPG_S5.XEFN</v>
      </c>
      <c r="B196" s="11">
        <v>7998</v>
      </c>
      <c r="C196" s="11" t="s">
        <v>6</v>
      </c>
      <c r="D196" s="20">
        <v>1</v>
      </c>
    </row>
    <row r="197" spans="1:4">
      <c r="A197" s="19" t="str">
        <f t="shared" si="18"/>
        <v>АСПС.FB_UPG_S5.XEFN</v>
      </c>
      <c r="B197" s="11">
        <v>101</v>
      </c>
      <c r="C197" s="11" t="s">
        <v>0</v>
      </c>
      <c r="D197" s="20" t="s">
        <v>548</v>
      </c>
    </row>
    <row r="198" spans="1:4">
      <c r="A198" s="19" t="str">
        <f t="shared" si="18"/>
        <v>АСПС.FB_UPG_S5.XEFN</v>
      </c>
      <c r="B198" s="11">
        <v>3</v>
      </c>
      <c r="C198" s="11" t="s">
        <v>1</v>
      </c>
      <c r="D198" s="20">
        <v>192</v>
      </c>
    </row>
    <row r="199" spans="1:4">
      <c r="A199" s="19" t="str">
        <f t="shared" si="18"/>
        <v>АСПС.FB_UPG_S5.XEFN</v>
      </c>
      <c r="B199" s="11">
        <v>2</v>
      </c>
      <c r="C199" s="11" t="s">
        <v>2</v>
      </c>
      <c r="D199" s="20" t="s">
        <v>3</v>
      </c>
    </row>
    <row r="200" spans="1:4">
      <c r="A200" s="21" t="str">
        <f t="shared" si="18"/>
        <v>АСПС.FB_UPG_S5.XEFN</v>
      </c>
      <c r="B200" s="8">
        <v>1</v>
      </c>
      <c r="C200" s="8" t="s">
        <v>1</v>
      </c>
      <c r="D200" s="22">
        <v>11</v>
      </c>
    </row>
    <row r="201" spans="1:4">
      <c r="A201" s="222" t="str">
        <f>$R$2&amp;".XFDN"</f>
        <v>АСПС.FB_UPG_S5.XFDN</v>
      </c>
      <c r="B201" s="223">
        <v>11154</v>
      </c>
      <c r="C201" s="223" t="s">
        <v>4</v>
      </c>
      <c r="D201" s="224">
        <f>$Q$14</f>
        <v>1</v>
      </c>
    </row>
    <row r="202" spans="1:4">
      <c r="A202" s="225" t="str">
        <f t="shared" ref="A202:A210" si="19">$R$2&amp;".XFDN"</f>
        <v>АСПС.FB_UPG_S5.XFDN</v>
      </c>
      <c r="B202" s="226">
        <v>11150</v>
      </c>
      <c r="C202" s="226" t="s">
        <v>0</v>
      </c>
      <c r="D202" s="227" t="s">
        <v>464</v>
      </c>
    </row>
    <row r="203" spans="1:4">
      <c r="A203" s="225" t="str">
        <f t="shared" si="19"/>
        <v>АСПС.FB_UPG_S5.XFDN</v>
      </c>
      <c r="B203" s="226">
        <v>11152</v>
      </c>
      <c r="C203" s="226" t="s">
        <v>0</v>
      </c>
      <c r="D203" s="228" t="str">
        <f>$R$14</f>
        <v>Тушение</v>
      </c>
    </row>
    <row r="204" spans="1:4">
      <c r="A204" s="225" t="str">
        <f t="shared" si="19"/>
        <v>АСПС.FB_UPG_S5.XFDN</v>
      </c>
      <c r="B204" s="226">
        <v>11000</v>
      </c>
      <c r="C204" s="226" t="s">
        <v>5</v>
      </c>
      <c r="D204" s="227">
        <v>2147483680</v>
      </c>
    </row>
    <row r="205" spans="1:4">
      <c r="A205" s="19" t="str">
        <f t="shared" si="19"/>
        <v>АСПС.FB_UPG_S5.XFDN</v>
      </c>
      <c r="B205" s="11">
        <v>7999</v>
      </c>
      <c r="C205" s="11" t="s">
        <v>0</v>
      </c>
      <c r="D205" s="20" t="str">
        <f>"#"&amp;$S$2&amp;"#"&amp;$T$2&amp;"\"&amp;$P$2&amp;"\XFDN"</f>
        <v>#2#treiOPCDA.CoOPCserv.1\pcmaster\FB_UPG_S5\XFDN</v>
      </c>
    </row>
    <row r="206" spans="1:4">
      <c r="A206" s="19" t="str">
        <f t="shared" si="19"/>
        <v>АСПС.FB_UPG_S5.XFDN</v>
      </c>
      <c r="B206" s="11">
        <v>7998</v>
      </c>
      <c r="C206" s="11" t="s">
        <v>6</v>
      </c>
      <c r="D206" s="20">
        <v>1</v>
      </c>
    </row>
    <row r="207" spans="1:4">
      <c r="A207" s="19" t="str">
        <f t="shared" si="19"/>
        <v>АСПС.FB_UPG_S5.XFDN</v>
      </c>
      <c r="B207" s="11">
        <v>101</v>
      </c>
      <c r="C207" s="11" t="s">
        <v>0</v>
      </c>
      <c r="D207" s="20" t="s">
        <v>464</v>
      </c>
    </row>
    <row r="208" spans="1:4">
      <c r="A208" s="19" t="str">
        <f t="shared" si="19"/>
        <v>АСПС.FB_UPG_S5.XFDN</v>
      </c>
      <c r="B208" s="11">
        <v>3</v>
      </c>
      <c r="C208" s="11" t="s">
        <v>1</v>
      </c>
      <c r="D208" s="20">
        <v>192</v>
      </c>
    </row>
    <row r="209" spans="1:4">
      <c r="A209" s="19" t="str">
        <f t="shared" si="19"/>
        <v>АСПС.FB_UPG_S5.XFDN</v>
      </c>
      <c r="B209" s="11">
        <v>2</v>
      </c>
      <c r="C209" s="11" t="s">
        <v>2</v>
      </c>
      <c r="D209" s="20" t="s">
        <v>3</v>
      </c>
    </row>
    <row r="210" spans="1:4">
      <c r="A210" s="21" t="str">
        <f t="shared" si="19"/>
        <v>АСПС.FB_UPG_S5.XFDN</v>
      </c>
      <c r="B210" s="8">
        <v>1</v>
      </c>
      <c r="C210" s="8" t="s">
        <v>1</v>
      </c>
      <c r="D210" s="22">
        <v>11</v>
      </c>
    </row>
    <row r="211" spans="1:4">
      <c r="A211" s="342" t="str">
        <f>$R$2&amp;".CAOF"</f>
        <v>АСПС.FB_UPG_S5.CAOF</v>
      </c>
      <c r="B211" s="343">
        <v>11154</v>
      </c>
      <c r="C211" s="343" t="s">
        <v>4</v>
      </c>
      <c r="D211" s="344">
        <f>$Q$19</f>
        <v>22</v>
      </c>
    </row>
    <row r="212" spans="1:4">
      <c r="A212" s="345" t="str">
        <f t="shared" ref="A212:A220" si="20">$R$2&amp;".CAOF"</f>
        <v>АСПС.FB_UPG_S5.CAOF</v>
      </c>
      <c r="B212" s="346">
        <v>11150</v>
      </c>
      <c r="C212" s="346" t="s">
        <v>0</v>
      </c>
      <c r="D212" s="347" t="s">
        <v>497</v>
      </c>
    </row>
    <row r="213" spans="1:4">
      <c r="A213" s="345" t="str">
        <f t="shared" si="20"/>
        <v>АСПС.FB_UPG_S5.CAOF</v>
      </c>
      <c r="B213" s="346">
        <v>11152</v>
      </c>
      <c r="C213" s="346" t="s">
        <v>0</v>
      </c>
      <c r="D213" s="348" t="str">
        <f>$R$19</f>
        <v>Информация</v>
      </c>
    </row>
    <row r="214" spans="1:4">
      <c r="A214" s="345" t="str">
        <f t="shared" si="20"/>
        <v>АСПС.FB_UPG_S5.CAOF</v>
      </c>
      <c r="B214" s="346">
        <v>11000</v>
      </c>
      <c r="C214" s="346" t="s">
        <v>5</v>
      </c>
      <c r="D214" s="347">
        <v>2147483680</v>
      </c>
    </row>
    <row r="215" spans="1:4">
      <c r="A215" s="19" t="str">
        <f t="shared" si="20"/>
        <v>АСПС.FB_UPG_S5.CAOF</v>
      </c>
      <c r="B215" s="11">
        <v>7999</v>
      </c>
      <c r="C215" s="11" t="s">
        <v>0</v>
      </c>
      <c r="D215" s="20" t="str">
        <f>"#"&amp;$S$2&amp;"#"&amp;$T$2&amp;"\"&amp;$P$2&amp;"\CAOF"</f>
        <v>#2#treiOPCDA.CoOPCserv.1\pcmaster\FB_UPG_S5\CAOF</v>
      </c>
    </row>
    <row r="216" spans="1:4">
      <c r="A216" s="19" t="str">
        <f t="shared" si="20"/>
        <v>АСПС.FB_UPG_S5.CAOF</v>
      </c>
      <c r="B216" s="11">
        <v>7998</v>
      </c>
      <c r="C216" s="11" t="s">
        <v>6</v>
      </c>
      <c r="D216" s="20">
        <v>1</v>
      </c>
    </row>
    <row r="217" spans="1:4">
      <c r="A217" s="19" t="str">
        <f t="shared" si="20"/>
        <v>АСПС.FB_UPG_S5.CAOF</v>
      </c>
      <c r="B217" s="11">
        <v>101</v>
      </c>
      <c r="C217" s="11" t="s">
        <v>0</v>
      </c>
      <c r="D217" s="20" t="s">
        <v>497</v>
      </c>
    </row>
    <row r="218" spans="1:4">
      <c r="A218" s="19" t="str">
        <f t="shared" si="20"/>
        <v>АСПС.FB_UPG_S5.CAOF</v>
      </c>
      <c r="B218" s="11">
        <v>3</v>
      </c>
      <c r="C218" s="11" t="s">
        <v>1</v>
      </c>
      <c r="D218" s="20">
        <v>192</v>
      </c>
    </row>
    <row r="219" spans="1:4">
      <c r="A219" s="19" t="str">
        <f t="shared" si="20"/>
        <v>АСПС.FB_UPG_S5.CAOF</v>
      </c>
      <c r="B219" s="11">
        <v>2</v>
      </c>
      <c r="C219" s="11" t="s">
        <v>2</v>
      </c>
      <c r="D219" s="20" t="s">
        <v>3</v>
      </c>
    </row>
    <row r="220" spans="1:4">
      <c r="A220" s="21" t="str">
        <f t="shared" si="20"/>
        <v>АСПС.FB_UPG_S5.CAOF</v>
      </c>
      <c r="B220" s="8">
        <v>1</v>
      </c>
      <c r="C220" s="8" t="s">
        <v>1</v>
      </c>
      <c r="D220" s="22">
        <v>11</v>
      </c>
    </row>
    <row r="221" spans="1:4">
      <c r="A221" s="342" t="str">
        <f t="shared" ref="A221:A230" si="21">$R$2&amp;".CSCP"</f>
        <v>АСПС.FB_UPG_S5.CSCP</v>
      </c>
      <c r="B221" s="343">
        <v>11154</v>
      </c>
      <c r="C221" s="343" t="s">
        <v>4</v>
      </c>
      <c r="D221" s="344">
        <f>$Q$19</f>
        <v>22</v>
      </c>
    </row>
    <row r="222" spans="1:4">
      <c r="A222" s="345" t="str">
        <f t="shared" si="21"/>
        <v>АСПС.FB_UPG_S5.CSCP</v>
      </c>
      <c r="B222" s="346">
        <v>11150</v>
      </c>
      <c r="C222" s="346" t="s">
        <v>0</v>
      </c>
      <c r="D222" s="347" t="s">
        <v>554</v>
      </c>
    </row>
    <row r="223" spans="1:4">
      <c r="A223" s="345" t="str">
        <f t="shared" si="21"/>
        <v>АСПС.FB_UPG_S5.CSCP</v>
      </c>
      <c r="B223" s="346">
        <v>11152</v>
      </c>
      <c r="C223" s="346" t="s">
        <v>0</v>
      </c>
      <c r="D223" s="348" t="str">
        <f>$R$19</f>
        <v>Информация</v>
      </c>
    </row>
    <row r="224" spans="1:4">
      <c r="A224" s="345" t="str">
        <f t="shared" si="21"/>
        <v>АСПС.FB_UPG_S5.CSCP</v>
      </c>
      <c r="B224" s="346">
        <v>11000</v>
      </c>
      <c r="C224" s="346" t="s">
        <v>5</v>
      </c>
      <c r="D224" s="347">
        <v>2147483680</v>
      </c>
    </row>
    <row r="225" spans="1:4">
      <c r="A225" s="19" t="str">
        <f t="shared" si="21"/>
        <v>АСПС.FB_UPG_S5.CSCP</v>
      </c>
      <c r="B225" s="11">
        <v>7999</v>
      </c>
      <c r="C225" s="11" t="s">
        <v>0</v>
      </c>
      <c r="D225" s="20" t="str">
        <f>"#"&amp;$S$2&amp;"#"&amp;$T$2&amp;"\"&amp;$P$2&amp;"\CSCP"</f>
        <v>#2#treiOPCDA.CoOPCserv.1\pcmaster\FB_UPG_S5\CSCP</v>
      </c>
    </row>
    <row r="226" spans="1:4">
      <c r="A226" s="19" t="str">
        <f t="shared" si="21"/>
        <v>АСПС.FB_UPG_S5.CSCP</v>
      </c>
      <c r="B226" s="11">
        <v>7998</v>
      </c>
      <c r="C226" s="11" t="s">
        <v>6</v>
      </c>
      <c r="D226" s="20">
        <v>1</v>
      </c>
    </row>
    <row r="227" spans="1:4">
      <c r="A227" s="19" t="str">
        <f t="shared" si="21"/>
        <v>АСПС.FB_UPG_S5.CSCP</v>
      </c>
      <c r="B227" s="11">
        <v>101</v>
      </c>
      <c r="C227" s="11" t="s">
        <v>0</v>
      </c>
      <c r="D227" s="20" t="s">
        <v>554</v>
      </c>
    </row>
    <row r="228" spans="1:4">
      <c r="A228" s="19" t="str">
        <f t="shared" si="21"/>
        <v>АСПС.FB_UPG_S5.CSCP</v>
      </c>
      <c r="B228" s="11">
        <v>3</v>
      </c>
      <c r="C228" s="11" t="s">
        <v>1</v>
      </c>
      <c r="D228" s="20">
        <v>192</v>
      </c>
    </row>
    <row r="229" spans="1:4">
      <c r="A229" s="19" t="str">
        <f t="shared" si="21"/>
        <v>АСПС.FB_UPG_S5.CSCP</v>
      </c>
      <c r="B229" s="11">
        <v>2</v>
      </c>
      <c r="C229" s="11" t="s">
        <v>2</v>
      </c>
      <c r="D229" s="20" t="s">
        <v>3</v>
      </c>
    </row>
    <row r="230" spans="1:4">
      <c r="A230" s="21" t="str">
        <f t="shared" si="21"/>
        <v>АСПС.FB_UPG_S5.CSCP</v>
      </c>
      <c r="B230" s="8">
        <v>1</v>
      </c>
      <c r="C230" s="8" t="s">
        <v>1</v>
      </c>
      <c r="D230" s="22">
        <v>11</v>
      </c>
    </row>
    <row r="231" spans="1:4">
      <c r="A231" s="342" t="str">
        <f t="shared" ref="A231:A240" si="22">$R$2&amp;".CSCR"</f>
        <v>АСПС.FB_UPG_S5.CSCR</v>
      </c>
      <c r="B231" s="343">
        <v>11154</v>
      </c>
      <c r="C231" s="343" t="s">
        <v>4</v>
      </c>
      <c r="D231" s="344">
        <f>$Q$19</f>
        <v>22</v>
      </c>
    </row>
    <row r="232" spans="1:4">
      <c r="A232" s="345" t="str">
        <f t="shared" si="22"/>
        <v>АСПС.FB_UPG_S5.CSCR</v>
      </c>
      <c r="B232" s="346">
        <v>11150</v>
      </c>
      <c r="C232" s="346" t="s">
        <v>0</v>
      </c>
      <c r="D232" s="347" t="s">
        <v>555</v>
      </c>
    </row>
    <row r="233" spans="1:4">
      <c r="A233" s="345" t="str">
        <f t="shared" si="22"/>
        <v>АСПС.FB_UPG_S5.CSCR</v>
      </c>
      <c r="B233" s="346">
        <v>11152</v>
      </c>
      <c r="C233" s="346" t="s">
        <v>0</v>
      </c>
      <c r="D233" s="348" t="str">
        <f>$R$19</f>
        <v>Информация</v>
      </c>
    </row>
    <row r="234" spans="1:4">
      <c r="A234" s="345" t="str">
        <f t="shared" si="22"/>
        <v>АСПС.FB_UPG_S5.CSCR</v>
      </c>
      <c r="B234" s="346">
        <v>11000</v>
      </c>
      <c r="C234" s="346" t="s">
        <v>5</v>
      </c>
      <c r="D234" s="347">
        <v>2147483680</v>
      </c>
    </row>
    <row r="235" spans="1:4">
      <c r="A235" s="19" t="str">
        <f t="shared" si="22"/>
        <v>АСПС.FB_UPG_S5.CSCR</v>
      </c>
      <c r="B235" s="11">
        <v>7999</v>
      </c>
      <c r="C235" s="11" t="s">
        <v>0</v>
      </c>
      <c r="D235" s="20" t="str">
        <f>"#"&amp;$S$2&amp;"#"&amp;$T$2&amp;"\"&amp;$P$2&amp;"\CSCR"</f>
        <v>#2#treiOPCDA.CoOPCserv.1\pcmaster\FB_UPG_S5\CSCR</v>
      </c>
    </row>
    <row r="236" spans="1:4">
      <c r="A236" s="19" t="str">
        <f t="shared" si="22"/>
        <v>АСПС.FB_UPG_S5.CSCR</v>
      </c>
      <c r="B236" s="11">
        <v>7998</v>
      </c>
      <c r="C236" s="11" t="s">
        <v>6</v>
      </c>
      <c r="D236" s="20">
        <v>1</v>
      </c>
    </row>
    <row r="237" spans="1:4">
      <c r="A237" s="19" t="str">
        <f t="shared" si="22"/>
        <v>АСПС.FB_UPG_S5.CSCR</v>
      </c>
      <c r="B237" s="11">
        <v>101</v>
      </c>
      <c r="C237" s="11" t="s">
        <v>0</v>
      </c>
      <c r="D237" s="20" t="s">
        <v>555</v>
      </c>
    </row>
    <row r="238" spans="1:4">
      <c r="A238" s="19" t="str">
        <f t="shared" si="22"/>
        <v>АСПС.FB_UPG_S5.CSCR</v>
      </c>
      <c r="B238" s="11">
        <v>3</v>
      </c>
      <c r="C238" s="11" t="s">
        <v>1</v>
      </c>
      <c r="D238" s="20">
        <v>192</v>
      </c>
    </row>
    <row r="239" spans="1:4">
      <c r="A239" s="19" t="str">
        <f t="shared" si="22"/>
        <v>АСПС.FB_UPG_S5.CSCR</v>
      </c>
      <c r="B239" s="11">
        <v>2</v>
      </c>
      <c r="C239" s="11" t="s">
        <v>2</v>
      </c>
      <c r="D239" s="20" t="s">
        <v>3</v>
      </c>
    </row>
    <row r="240" spans="1:4">
      <c r="A240" s="21" t="str">
        <f t="shared" si="22"/>
        <v>АСПС.FB_UPG_S5.CSCR</v>
      </c>
      <c r="B240" s="8">
        <v>1</v>
      </c>
      <c r="C240" s="8" t="s">
        <v>1</v>
      </c>
      <c r="D240" s="22">
        <v>11</v>
      </c>
    </row>
    <row r="241" spans="1:4">
      <c r="A241" s="342" t="str">
        <f t="shared" ref="A241:A250" si="23">$R$2&amp;".CPCP"</f>
        <v>АСПС.FB_UPG_S5.CPCP</v>
      </c>
      <c r="B241" s="343">
        <v>11154</v>
      </c>
      <c r="C241" s="343" t="s">
        <v>4</v>
      </c>
      <c r="D241" s="344">
        <f>$Q$19</f>
        <v>22</v>
      </c>
    </row>
    <row r="242" spans="1:4">
      <c r="A242" s="345" t="str">
        <f t="shared" si="23"/>
        <v>АСПС.FB_UPG_S5.CPCP</v>
      </c>
      <c r="B242" s="346">
        <v>11150</v>
      </c>
      <c r="C242" s="346" t="s">
        <v>0</v>
      </c>
      <c r="D242" s="347" t="s">
        <v>556</v>
      </c>
    </row>
    <row r="243" spans="1:4">
      <c r="A243" s="345" t="str">
        <f t="shared" si="23"/>
        <v>АСПС.FB_UPG_S5.CPCP</v>
      </c>
      <c r="B243" s="346">
        <v>11152</v>
      </c>
      <c r="C243" s="346" t="s">
        <v>0</v>
      </c>
      <c r="D243" s="348" t="str">
        <f>$R$19</f>
        <v>Информация</v>
      </c>
    </row>
    <row r="244" spans="1:4">
      <c r="A244" s="345" t="str">
        <f t="shared" si="23"/>
        <v>АСПС.FB_UPG_S5.CPCP</v>
      </c>
      <c r="B244" s="346">
        <v>11000</v>
      </c>
      <c r="C244" s="346" t="s">
        <v>5</v>
      </c>
      <c r="D244" s="347">
        <v>2147483680</v>
      </c>
    </row>
    <row r="245" spans="1:4">
      <c r="A245" s="19" t="str">
        <f t="shared" si="23"/>
        <v>АСПС.FB_UPG_S5.CPCP</v>
      </c>
      <c r="B245" s="11">
        <v>7999</v>
      </c>
      <c r="C245" s="11" t="s">
        <v>0</v>
      </c>
      <c r="D245" s="20" t="str">
        <f>"#"&amp;$S$2&amp;"#"&amp;$T$2&amp;"\"&amp;$P$2&amp;"\CPCP"</f>
        <v>#2#treiOPCDA.CoOPCserv.1\pcmaster\FB_UPG_S5\CPCP</v>
      </c>
    </row>
    <row r="246" spans="1:4">
      <c r="A246" s="19" t="str">
        <f t="shared" si="23"/>
        <v>АСПС.FB_UPG_S5.CPCP</v>
      </c>
      <c r="B246" s="11">
        <v>7998</v>
      </c>
      <c r="C246" s="11" t="s">
        <v>6</v>
      </c>
      <c r="D246" s="20">
        <v>1</v>
      </c>
    </row>
    <row r="247" spans="1:4">
      <c r="A247" s="19" t="str">
        <f t="shared" si="23"/>
        <v>АСПС.FB_UPG_S5.CPCP</v>
      </c>
      <c r="B247" s="11">
        <v>101</v>
      </c>
      <c r="C247" s="11" t="s">
        <v>0</v>
      </c>
      <c r="D247" s="20" t="s">
        <v>556</v>
      </c>
    </row>
    <row r="248" spans="1:4">
      <c r="A248" s="19" t="str">
        <f t="shared" si="23"/>
        <v>АСПС.FB_UPG_S5.CPCP</v>
      </c>
      <c r="B248" s="11">
        <v>3</v>
      </c>
      <c r="C248" s="11" t="s">
        <v>1</v>
      </c>
      <c r="D248" s="20">
        <v>192</v>
      </c>
    </row>
    <row r="249" spans="1:4">
      <c r="A249" s="19" t="str">
        <f t="shared" si="23"/>
        <v>АСПС.FB_UPG_S5.CPCP</v>
      </c>
      <c r="B249" s="11">
        <v>2</v>
      </c>
      <c r="C249" s="11" t="s">
        <v>2</v>
      </c>
      <c r="D249" s="20" t="s">
        <v>3</v>
      </c>
    </row>
    <row r="250" spans="1:4">
      <c r="A250" s="21" t="str">
        <f t="shared" si="23"/>
        <v>АСПС.FB_UPG_S5.CPCP</v>
      </c>
      <c r="B250" s="8">
        <v>1</v>
      </c>
      <c r="C250" s="8" t="s">
        <v>1</v>
      </c>
      <c r="D250" s="22">
        <v>11</v>
      </c>
    </row>
    <row r="251" spans="1:4">
      <c r="A251" s="342" t="str">
        <f t="shared" ref="A251:A260" si="24">$R$2&amp;".CPCR"</f>
        <v>АСПС.FB_UPG_S5.CPCR</v>
      </c>
      <c r="B251" s="343">
        <v>11154</v>
      </c>
      <c r="C251" s="343" t="s">
        <v>4</v>
      </c>
      <c r="D251" s="344">
        <f>$Q$19</f>
        <v>22</v>
      </c>
    </row>
    <row r="252" spans="1:4">
      <c r="A252" s="345" t="str">
        <f t="shared" si="24"/>
        <v>АСПС.FB_UPG_S5.CPCR</v>
      </c>
      <c r="B252" s="346">
        <v>11150</v>
      </c>
      <c r="C252" s="346" t="s">
        <v>0</v>
      </c>
      <c r="D252" s="347" t="s">
        <v>557</v>
      </c>
    </row>
    <row r="253" spans="1:4">
      <c r="A253" s="345" t="str">
        <f t="shared" si="24"/>
        <v>АСПС.FB_UPG_S5.CPCR</v>
      </c>
      <c r="B253" s="346">
        <v>11152</v>
      </c>
      <c r="C253" s="346" t="s">
        <v>0</v>
      </c>
      <c r="D253" s="348" t="str">
        <f>$R$19</f>
        <v>Информация</v>
      </c>
    </row>
    <row r="254" spans="1:4">
      <c r="A254" s="345" t="str">
        <f t="shared" si="24"/>
        <v>АСПС.FB_UPG_S5.CPCR</v>
      </c>
      <c r="B254" s="346">
        <v>11000</v>
      </c>
      <c r="C254" s="346" t="s">
        <v>5</v>
      </c>
      <c r="D254" s="347">
        <v>2147483680</v>
      </c>
    </row>
    <row r="255" spans="1:4">
      <c r="A255" s="19" t="str">
        <f t="shared" si="24"/>
        <v>АСПС.FB_UPG_S5.CPCR</v>
      </c>
      <c r="B255" s="11">
        <v>7999</v>
      </c>
      <c r="C255" s="11" t="s">
        <v>0</v>
      </c>
      <c r="D255" s="20" t="str">
        <f>"#"&amp;$S$2&amp;"#"&amp;$T$2&amp;"\"&amp;$P$2&amp;"\CPCR"</f>
        <v>#2#treiOPCDA.CoOPCserv.1\pcmaster\FB_UPG_S5\CPCR</v>
      </c>
    </row>
    <row r="256" spans="1:4">
      <c r="A256" s="19" t="str">
        <f t="shared" si="24"/>
        <v>АСПС.FB_UPG_S5.CPCR</v>
      </c>
      <c r="B256" s="11">
        <v>7998</v>
      </c>
      <c r="C256" s="11" t="s">
        <v>6</v>
      </c>
      <c r="D256" s="20">
        <v>1</v>
      </c>
    </row>
    <row r="257" spans="1:4">
      <c r="A257" s="19" t="str">
        <f t="shared" si="24"/>
        <v>АСПС.FB_UPG_S5.CPCR</v>
      </c>
      <c r="B257" s="11">
        <v>101</v>
      </c>
      <c r="C257" s="11" t="s">
        <v>0</v>
      </c>
      <c r="D257" s="20" t="s">
        <v>557</v>
      </c>
    </row>
    <row r="258" spans="1:4">
      <c r="A258" s="19" t="str">
        <f t="shared" si="24"/>
        <v>АСПС.FB_UPG_S5.CPCR</v>
      </c>
      <c r="B258" s="11">
        <v>3</v>
      </c>
      <c r="C258" s="11" t="s">
        <v>1</v>
      </c>
      <c r="D258" s="20">
        <v>192</v>
      </c>
    </row>
    <row r="259" spans="1:4">
      <c r="A259" s="19" t="str">
        <f t="shared" si="24"/>
        <v>АСПС.FB_UPG_S5.CPCR</v>
      </c>
      <c r="B259" s="11">
        <v>2</v>
      </c>
      <c r="C259" s="11" t="s">
        <v>2</v>
      </c>
      <c r="D259" s="20" t="s">
        <v>3</v>
      </c>
    </row>
    <row r="260" spans="1:4">
      <c r="A260" s="21" t="str">
        <f t="shared" si="24"/>
        <v>АСПС.FB_UPG_S5.CPCR</v>
      </c>
      <c r="B260" s="8">
        <v>1</v>
      </c>
      <c r="C260" s="8" t="s">
        <v>1</v>
      </c>
      <c r="D260" s="22">
        <v>11</v>
      </c>
    </row>
    <row r="261" spans="1:4">
      <c r="A261" s="342" t="str">
        <f t="shared" ref="A261:A270" si="25">$R$2&amp;".CSAN"</f>
        <v>АСПС.FB_UPG_S5.CSAN</v>
      </c>
      <c r="B261" s="343">
        <v>11154</v>
      </c>
      <c r="C261" s="343" t="s">
        <v>4</v>
      </c>
      <c r="D261" s="344">
        <f>$Q$19</f>
        <v>22</v>
      </c>
    </row>
    <row r="262" spans="1:4">
      <c r="A262" s="345" t="str">
        <f t="shared" si="25"/>
        <v>АСПС.FB_UPG_S5.CSAN</v>
      </c>
      <c r="B262" s="346">
        <v>11150</v>
      </c>
      <c r="C262" s="346" t="s">
        <v>0</v>
      </c>
      <c r="D262" s="347" t="s">
        <v>465</v>
      </c>
    </row>
    <row r="263" spans="1:4">
      <c r="A263" s="345" t="str">
        <f t="shared" si="25"/>
        <v>АСПС.FB_UPG_S5.CSAN</v>
      </c>
      <c r="B263" s="346">
        <v>11152</v>
      </c>
      <c r="C263" s="346" t="s">
        <v>0</v>
      </c>
      <c r="D263" s="348" t="str">
        <f>$R$19</f>
        <v>Информация</v>
      </c>
    </row>
    <row r="264" spans="1:4">
      <c r="A264" s="345" t="str">
        <f t="shared" si="25"/>
        <v>АСПС.FB_UPG_S5.CSAN</v>
      </c>
      <c r="B264" s="346">
        <v>11000</v>
      </c>
      <c r="C264" s="346" t="s">
        <v>5</v>
      </c>
      <c r="D264" s="347">
        <v>2147483680</v>
      </c>
    </row>
    <row r="265" spans="1:4">
      <c r="A265" s="19" t="str">
        <f t="shared" si="25"/>
        <v>АСПС.FB_UPG_S5.CSAN</v>
      </c>
      <c r="B265" s="11">
        <v>7999</v>
      </c>
      <c r="C265" s="11" t="s">
        <v>0</v>
      </c>
      <c r="D265" s="20" t="str">
        <f>"#"&amp;$S$2&amp;"#"&amp;$T$2&amp;"\"&amp;$P$2&amp;"\CSAN"</f>
        <v>#2#treiOPCDA.CoOPCserv.1\pcmaster\FB_UPG_S5\CSAN</v>
      </c>
    </row>
    <row r="266" spans="1:4">
      <c r="A266" s="19" t="str">
        <f t="shared" si="25"/>
        <v>АСПС.FB_UPG_S5.CSAN</v>
      </c>
      <c r="B266" s="11">
        <v>7998</v>
      </c>
      <c r="C266" s="11" t="s">
        <v>6</v>
      </c>
      <c r="D266" s="20">
        <v>1</v>
      </c>
    </row>
    <row r="267" spans="1:4">
      <c r="A267" s="19" t="str">
        <f t="shared" si="25"/>
        <v>АСПС.FB_UPG_S5.CSAN</v>
      </c>
      <c r="B267" s="11">
        <v>101</v>
      </c>
      <c r="C267" s="11" t="s">
        <v>0</v>
      </c>
      <c r="D267" s="20" t="s">
        <v>465</v>
      </c>
    </row>
    <row r="268" spans="1:4">
      <c r="A268" s="19" t="str">
        <f t="shared" si="25"/>
        <v>АСПС.FB_UPG_S5.CSAN</v>
      </c>
      <c r="B268" s="11">
        <v>3</v>
      </c>
      <c r="C268" s="11" t="s">
        <v>1</v>
      </c>
      <c r="D268" s="20">
        <v>192</v>
      </c>
    </row>
    <row r="269" spans="1:4">
      <c r="A269" s="19" t="str">
        <f t="shared" si="25"/>
        <v>АСПС.FB_UPG_S5.CSAN</v>
      </c>
      <c r="B269" s="11">
        <v>2</v>
      </c>
      <c r="C269" s="11" t="s">
        <v>2</v>
      </c>
      <c r="D269" s="20" t="s">
        <v>3</v>
      </c>
    </row>
    <row r="270" spans="1:4">
      <c r="A270" s="21" t="str">
        <f t="shared" si="25"/>
        <v>АСПС.FB_UPG_S5.CSAN</v>
      </c>
      <c r="B270" s="8">
        <v>1</v>
      </c>
      <c r="C270" s="8" t="s">
        <v>1</v>
      </c>
      <c r="D270" s="22">
        <v>11</v>
      </c>
    </row>
    <row r="271" spans="1:4">
      <c r="A271" s="342" t="str">
        <f t="shared" ref="A271:A280" si="26">$R$2&amp;".CSAF"</f>
        <v>АСПС.FB_UPG_S5.CSAF</v>
      </c>
      <c r="B271" s="343">
        <v>11154</v>
      </c>
      <c r="C271" s="343" t="s">
        <v>4</v>
      </c>
      <c r="D271" s="344">
        <f>$Q$19</f>
        <v>22</v>
      </c>
    </row>
    <row r="272" spans="1:4">
      <c r="A272" s="345" t="str">
        <f t="shared" si="26"/>
        <v>АСПС.FB_UPG_S5.CSAF</v>
      </c>
      <c r="B272" s="346">
        <v>11150</v>
      </c>
      <c r="C272" s="346" t="s">
        <v>0</v>
      </c>
      <c r="D272" s="347" t="s">
        <v>466</v>
      </c>
    </row>
    <row r="273" spans="1:4">
      <c r="A273" s="345" t="str">
        <f t="shared" si="26"/>
        <v>АСПС.FB_UPG_S5.CSAF</v>
      </c>
      <c r="B273" s="346">
        <v>11152</v>
      </c>
      <c r="C273" s="346" t="s">
        <v>0</v>
      </c>
      <c r="D273" s="348" t="str">
        <f>$R$19</f>
        <v>Информация</v>
      </c>
    </row>
    <row r="274" spans="1:4">
      <c r="A274" s="345" t="str">
        <f t="shared" si="26"/>
        <v>АСПС.FB_UPG_S5.CSAF</v>
      </c>
      <c r="B274" s="346">
        <v>11000</v>
      </c>
      <c r="C274" s="346" t="s">
        <v>5</v>
      </c>
      <c r="D274" s="347">
        <v>2147483680</v>
      </c>
    </row>
    <row r="275" spans="1:4">
      <c r="A275" s="19" t="str">
        <f t="shared" si="26"/>
        <v>АСПС.FB_UPG_S5.CSAF</v>
      </c>
      <c r="B275" s="11">
        <v>7999</v>
      </c>
      <c r="C275" s="11" t="s">
        <v>0</v>
      </c>
      <c r="D275" s="20" t="str">
        <f>"#"&amp;$S$2&amp;"#"&amp;$T$2&amp;"\"&amp;$P$2&amp;"\CSAF"</f>
        <v>#2#treiOPCDA.CoOPCserv.1\pcmaster\FB_UPG_S5\CSAF</v>
      </c>
    </row>
    <row r="276" spans="1:4">
      <c r="A276" s="19" t="str">
        <f t="shared" si="26"/>
        <v>АСПС.FB_UPG_S5.CSAF</v>
      </c>
      <c r="B276" s="11">
        <v>7998</v>
      </c>
      <c r="C276" s="11" t="s">
        <v>6</v>
      </c>
      <c r="D276" s="20">
        <v>1</v>
      </c>
    </row>
    <row r="277" spans="1:4">
      <c r="A277" s="19" t="str">
        <f t="shared" si="26"/>
        <v>АСПС.FB_UPG_S5.CSAF</v>
      </c>
      <c r="B277" s="11">
        <v>101</v>
      </c>
      <c r="C277" s="11" t="s">
        <v>0</v>
      </c>
      <c r="D277" s="20" t="s">
        <v>466</v>
      </c>
    </row>
    <row r="278" spans="1:4">
      <c r="A278" s="19" t="str">
        <f t="shared" si="26"/>
        <v>АСПС.FB_UPG_S5.CSAF</v>
      </c>
      <c r="B278" s="11">
        <v>3</v>
      </c>
      <c r="C278" s="11" t="s">
        <v>1</v>
      </c>
      <c r="D278" s="20">
        <v>192</v>
      </c>
    </row>
    <row r="279" spans="1:4">
      <c r="A279" s="19" t="str">
        <f t="shared" si="26"/>
        <v>АСПС.FB_UPG_S5.CSAF</v>
      </c>
      <c r="B279" s="11">
        <v>2</v>
      </c>
      <c r="C279" s="11" t="s">
        <v>2</v>
      </c>
      <c r="D279" s="20" t="s">
        <v>3</v>
      </c>
    </row>
    <row r="280" spans="1:4">
      <c r="A280" s="21" t="str">
        <f t="shared" si="26"/>
        <v>АСПС.FB_UPG_S5.CSAF</v>
      </c>
      <c r="B280" s="8">
        <v>1</v>
      </c>
      <c r="C280" s="8" t="s">
        <v>1</v>
      </c>
      <c r="D280" s="22">
        <v>11</v>
      </c>
    </row>
    <row r="281" spans="1:4">
      <c r="A281" s="342" t="str">
        <f t="shared" ref="A281:A290" si="27">$R$2&amp;".CPAN"</f>
        <v>АСПС.FB_UPG_S5.CPAN</v>
      </c>
      <c r="B281" s="343">
        <v>11154</v>
      </c>
      <c r="C281" s="343" t="s">
        <v>4</v>
      </c>
      <c r="D281" s="344">
        <f>$Q$19</f>
        <v>22</v>
      </c>
    </row>
    <row r="282" spans="1:4">
      <c r="A282" s="345" t="str">
        <f t="shared" si="27"/>
        <v>АСПС.FB_UPG_S5.CPAN</v>
      </c>
      <c r="B282" s="346">
        <v>11150</v>
      </c>
      <c r="C282" s="346" t="s">
        <v>0</v>
      </c>
      <c r="D282" s="347" t="s">
        <v>467</v>
      </c>
    </row>
    <row r="283" spans="1:4">
      <c r="A283" s="345" t="str">
        <f t="shared" si="27"/>
        <v>АСПС.FB_UPG_S5.CPAN</v>
      </c>
      <c r="B283" s="346">
        <v>11152</v>
      </c>
      <c r="C283" s="346" t="s">
        <v>0</v>
      </c>
      <c r="D283" s="348" t="str">
        <f>$R$19</f>
        <v>Информация</v>
      </c>
    </row>
    <row r="284" spans="1:4">
      <c r="A284" s="345" t="str">
        <f t="shared" si="27"/>
        <v>АСПС.FB_UPG_S5.CPAN</v>
      </c>
      <c r="B284" s="346">
        <v>11000</v>
      </c>
      <c r="C284" s="346" t="s">
        <v>5</v>
      </c>
      <c r="D284" s="347">
        <v>2147483680</v>
      </c>
    </row>
    <row r="285" spans="1:4">
      <c r="A285" s="19" t="str">
        <f t="shared" si="27"/>
        <v>АСПС.FB_UPG_S5.CPAN</v>
      </c>
      <c r="B285" s="11">
        <v>7999</v>
      </c>
      <c r="C285" s="11" t="s">
        <v>0</v>
      </c>
      <c r="D285" s="20" t="str">
        <f>"#"&amp;$S$2&amp;"#"&amp;$T$2&amp;"\"&amp;$P$2&amp;"\CPAN"</f>
        <v>#2#treiOPCDA.CoOPCserv.1\pcmaster\FB_UPG_S5\CPAN</v>
      </c>
    </row>
    <row r="286" spans="1:4">
      <c r="A286" s="19" t="str">
        <f t="shared" si="27"/>
        <v>АСПС.FB_UPG_S5.CPAN</v>
      </c>
      <c r="B286" s="11">
        <v>7998</v>
      </c>
      <c r="C286" s="11" t="s">
        <v>6</v>
      </c>
      <c r="D286" s="20">
        <v>1</v>
      </c>
    </row>
    <row r="287" spans="1:4">
      <c r="A287" s="19" t="str">
        <f t="shared" si="27"/>
        <v>АСПС.FB_UPG_S5.CPAN</v>
      </c>
      <c r="B287" s="11">
        <v>101</v>
      </c>
      <c r="C287" s="11" t="s">
        <v>0</v>
      </c>
      <c r="D287" s="20" t="s">
        <v>467</v>
      </c>
    </row>
    <row r="288" spans="1:4">
      <c r="A288" s="19" t="str">
        <f t="shared" si="27"/>
        <v>АСПС.FB_UPG_S5.CPAN</v>
      </c>
      <c r="B288" s="11">
        <v>3</v>
      </c>
      <c r="C288" s="11" t="s">
        <v>1</v>
      </c>
      <c r="D288" s="20">
        <v>192</v>
      </c>
    </row>
    <row r="289" spans="1:4">
      <c r="A289" s="19" t="str">
        <f t="shared" si="27"/>
        <v>АСПС.FB_UPG_S5.CPAN</v>
      </c>
      <c r="B289" s="11">
        <v>2</v>
      </c>
      <c r="C289" s="11" t="s">
        <v>2</v>
      </c>
      <c r="D289" s="20" t="s">
        <v>3</v>
      </c>
    </row>
    <row r="290" spans="1:4">
      <c r="A290" s="21" t="str">
        <f t="shared" si="27"/>
        <v>АСПС.FB_UPG_S5.CPAN</v>
      </c>
      <c r="B290" s="8">
        <v>1</v>
      </c>
      <c r="C290" s="8" t="s">
        <v>1</v>
      </c>
      <c r="D290" s="22">
        <v>11</v>
      </c>
    </row>
    <row r="291" spans="1:4">
      <c r="A291" s="342" t="str">
        <f t="shared" ref="A291:A300" si="28">$R$2&amp;".CPAF"</f>
        <v>АСПС.FB_UPG_S5.CPAF</v>
      </c>
      <c r="B291" s="343">
        <v>11154</v>
      </c>
      <c r="C291" s="343" t="s">
        <v>4</v>
      </c>
      <c r="D291" s="344">
        <f>$Q$19</f>
        <v>22</v>
      </c>
    </row>
    <row r="292" spans="1:4">
      <c r="A292" s="345" t="str">
        <f t="shared" si="28"/>
        <v>АСПС.FB_UPG_S5.CPAF</v>
      </c>
      <c r="B292" s="346">
        <v>11150</v>
      </c>
      <c r="C292" s="346" t="s">
        <v>0</v>
      </c>
      <c r="D292" s="347" t="s">
        <v>468</v>
      </c>
    </row>
    <row r="293" spans="1:4">
      <c r="A293" s="345" t="str">
        <f t="shared" si="28"/>
        <v>АСПС.FB_UPG_S5.CPAF</v>
      </c>
      <c r="B293" s="346">
        <v>11152</v>
      </c>
      <c r="C293" s="346" t="s">
        <v>0</v>
      </c>
      <c r="D293" s="348" t="str">
        <f>$R$19</f>
        <v>Информация</v>
      </c>
    </row>
    <row r="294" spans="1:4">
      <c r="A294" s="345" t="str">
        <f t="shared" si="28"/>
        <v>АСПС.FB_UPG_S5.CPAF</v>
      </c>
      <c r="B294" s="346">
        <v>11000</v>
      </c>
      <c r="C294" s="346" t="s">
        <v>5</v>
      </c>
      <c r="D294" s="347">
        <v>2147483680</v>
      </c>
    </row>
    <row r="295" spans="1:4">
      <c r="A295" s="19" t="str">
        <f t="shared" si="28"/>
        <v>АСПС.FB_UPG_S5.CPAF</v>
      </c>
      <c r="B295" s="11">
        <v>7999</v>
      </c>
      <c r="C295" s="11" t="s">
        <v>0</v>
      </c>
      <c r="D295" s="20" t="str">
        <f>"#"&amp;$S$2&amp;"#"&amp;$T$2&amp;"\"&amp;$P$2&amp;"\CPAF"</f>
        <v>#2#treiOPCDA.CoOPCserv.1\pcmaster\FB_UPG_S5\CPAF</v>
      </c>
    </row>
    <row r="296" spans="1:4">
      <c r="A296" s="19" t="str">
        <f t="shared" si="28"/>
        <v>АСПС.FB_UPG_S5.CPAF</v>
      </c>
      <c r="B296" s="11">
        <v>7998</v>
      </c>
      <c r="C296" s="11" t="s">
        <v>6</v>
      </c>
      <c r="D296" s="20">
        <v>1</v>
      </c>
    </row>
    <row r="297" spans="1:4">
      <c r="A297" s="19" t="str">
        <f t="shared" si="28"/>
        <v>АСПС.FB_UPG_S5.CPAF</v>
      </c>
      <c r="B297" s="11">
        <v>101</v>
      </c>
      <c r="C297" s="11" t="s">
        <v>0</v>
      </c>
      <c r="D297" s="20" t="s">
        <v>468</v>
      </c>
    </row>
    <row r="298" spans="1:4">
      <c r="A298" s="19" t="str">
        <f t="shared" si="28"/>
        <v>АСПС.FB_UPG_S5.CPAF</v>
      </c>
      <c r="B298" s="11">
        <v>3</v>
      </c>
      <c r="C298" s="11" t="s">
        <v>1</v>
      </c>
      <c r="D298" s="20">
        <v>192</v>
      </c>
    </row>
    <row r="299" spans="1:4">
      <c r="A299" s="19" t="str">
        <f t="shared" si="28"/>
        <v>АСПС.FB_UPG_S5.CPAF</v>
      </c>
      <c r="B299" s="11">
        <v>2</v>
      </c>
      <c r="C299" s="11" t="s">
        <v>2</v>
      </c>
      <c r="D299" s="20" t="s">
        <v>3</v>
      </c>
    </row>
    <row r="300" spans="1:4">
      <c r="A300" s="21" t="str">
        <f t="shared" si="28"/>
        <v>АСПС.FB_UPG_S5.CPAF</v>
      </c>
      <c r="B300" s="8">
        <v>1</v>
      </c>
      <c r="C300" s="8" t="s">
        <v>1</v>
      </c>
      <c r="D300" s="22">
        <v>11</v>
      </c>
    </row>
    <row r="301" spans="1:4">
      <c r="A301" s="342" t="str">
        <f t="shared" ref="A301:A310" si="29">$R$2&amp;".CSOF"</f>
        <v>АСПС.FB_UPG_S5.CSOF</v>
      </c>
      <c r="B301" s="343">
        <v>11154</v>
      </c>
      <c r="C301" s="343" t="s">
        <v>4</v>
      </c>
      <c r="D301" s="344">
        <f>$Q$19</f>
        <v>22</v>
      </c>
    </row>
    <row r="302" spans="1:4">
      <c r="A302" s="345" t="str">
        <f t="shared" si="29"/>
        <v>АСПС.FB_UPG_S5.CSOF</v>
      </c>
      <c r="B302" s="346">
        <v>11150</v>
      </c>
      <c r="C302" s="346" t="s">
        <v>0</v>
      </c>
      <c r="D302" s="347" t="s">
        <v>470</v>
      </c>
    </row>
    <row r="303" spans="1:4">
      <c r="A303" s="345" t="str">
        <f t="shared" si="29"/>
        <v>АСПС.FB_UPG_S5.CSOF</v>
      </c>
      <c r="B303" s="346">
        <v>11152</v>
      </c>
      <c r="C303" s="346" t="s">
        <v>0</v>
      </c>
      <c r="D303" s="348" t="str">
        <f>$R$19</f>
        <v>Информация</v>
      </c>
    </row>
    <row r="304" spans="1:4">
      <c r="A304" s="345" t="str">
        <f t="shared" si="29"/>
        <v>АСПС.FB_UPG_S5.CSOF</v>
      </c>
      <c r="B304" s="346">
        <v>11000</v>
      </c>
      <c r="C304" s="346" t="s">
        <v>5</v>
      </c>
      <c r="D304" s="347">
        <v>2147483680</v>
      </c>
    </row>
    <row r="305" spans="1:4">
      <c r="A305" s="19" t="str">
        <f t="shared" si="29"/>
        <v>АСПС.FB_UPG_S5.CSOF</v>
      </c>
      <c r="B305" s="11">
        <v>7999</v>
      </c>
      <c r="C305" s="11" t="s">
        <v>0</v>
      </c>
      <c r="D305" s="20" t="str">
        <f>"#"&amp;$S$2&amp;"#"&amp;$T$2&amp;"\"&amp;$P$2&amp;"\CSOF"</f>
        <v>#2#treiOPCDA.CoOPCserv.1\pcmaster\FB_UPG_S5\CSOF</v>
      </c>
    </row>
    <row r="306" spans="1:4">
      <c r="A306" s="19" t="str">
        <f t="shared" si="29"/>
        <v>АСПС.FB_UPG_S5.CSOF</v>
      </c>
      <c r="B306" s="11">
        <v>7998</v>
      </c>
      <c r="C306" s="11" t="s">
        <v>6</v>
      </c>
      <c r="D306" s="20">
        <v>1</v>
      </c>
    </row>
    <row r="307" spans="1:4">
      <c r="A307" s="19" t="str">
        <f t="shared" si="29"/>
        <v>АСПС.FB_UPG_S5.CSOF</v>
      </c>
      <c r="B307" s="11">
        <v>101</v>
      </c>
      <c r="C307" s="11" t="s">
        <v>0</v>
      </c>
      <c r="D307" s="20" t="s">
        <v>470</v>
      </c>
    </row>
    <row r="308" spans="1:4">
      <c r="A308" s="19" t="str">
        <f t="shared" si="29"/>
        <v>АСПС.FB_UPG_S5.CSOF</v>
      </c>
      <c r="B308" s="11">
        <v>3</v>
      </c>
      <c r="C308" s="11" t="s">
        <v>1</v>
      </c>
      <c r="D308" s="20">
        <v>192</v>
      </c>
    </row>
    <row r="309" spans="1:4">
      <c r="A309" s="19" t="str">
        <f t="shared" si="29"/>
        <v>АСПС.FB_UPG_S5.CSOF</v>
      </c>
      <c r="B309" s="11">
        <v>2</v>
      </c>
      <c r="C309" s="11" t="s">
        <v>2</v>
      </c>
      <c r="D309" s="20" t="s">
        <v>3</v>
      </c>
    </row>
    <row r="310" spans="1:4">
      <c r="A310" s="21" t="str">
        <f t="shared" si="29"/>
        <v>АСПС.FB_UPG_S5.CSOF</v>
      </c>
      <c r="B310" s="8">
        <v>1</v>
      </c>
      <c r="C310" s="8" t="s">
        <v>1</v>
      </c>
      <c r="D310" s="22">
        <v>11</v>
      </c>
    </row>
    <row r="311" spans="1:4">
      <c r="A311" s="342" t="str">
        <f t="shared" ref="A311:A320" si="30">$R$2&amp;".CPOF"</f>
        <v>АСПС.FB_UPG_S5.CPOF</v>
      </c>
      <c r="B311" s="343">
        <v>11154</v>
      </c>
      <c r="C311" s="343" t="s">
        <v>4</v>
      </c>
      <c r="D311" s="344">
        <f>$Q$19</f>
        <v>22</v>
      </c>
    </row>
    <row r="312" spans="1:4">
      <c r="A312" s="345" t="str">
        <f t="shared" si="30"/>
        <v>АСПС.FB_UPG_S5.CPOF</v>
      </c>
      <c r="B312" s="346">
        <v>11150</v>
      </c>
      <c r="C312" s="346" t="s">
        <v>0</v>
      </c>
      <c r="D312" s="347" t="s">
        <v>472</v>
      </c>
    </row>
    <row r="313" spans="1:4">
      <c r="A313" s="345" t="str">
        <f t="shared" si="30"/>
        <v>АСПС.FB_UPG_S5.CPOF</v>
      </c>
      <c r="B313" s="346">
        <v>11152</v>
      </c>
      <c r="C313" s="346" t="s">
        <v>0</v>
      </c>
      <c r="D313" s="348" t="str">
        <f>$R$19</f>
        <v>Информация</v>
      </c>
    </row>
    <row r="314" spans="1:4">
      <c r="A314" s="345" t="str">
        <f t="shared" si="30"/>
        <v>АСПС.FB_UPG_S5.CPOF</v>
      </c>
      <c r="B314" s="346">
        <v>11000</v>
      </c>
      <c r="C314" s="346" t="s">
        <v>5</v>
      </c>
      <c r="D314" s="347">
        <v>2147483680</v>
      </c>
    </row>
    <row r="315" spans="1:4">
      <c r="A315" s="19" t="str">
        <f t="shared" si="30"/>
        <v>АСПС.FB_UPG_S5.CPOF</v>
      </c>
      <c r="B315" s="11">
        <v>7999</v>
      </c>
      <c r="C315" s="11" t="s">
        <v>0</v>
      </c>
      <c r="D315" s="20" t="str">
        <f>"#"&amp;$S$2&amp;"#"&amp;$T$2&amp;"\"&amp;$P$2&amp;"\CPOF"</f>
        <v>#2#treiOPCDA.CoOPCserv.1\pcmaster\FB_UPG_S5\CPOF</v>
      </c>
    </row>
    <row r="316" spans="1:4">
      <c r="A316" s="19" t="str">
        <f t="shared" si="30"/>
        <v>АСПС.FB_UPG_S5.CPOF</v>
      </c>
      <c r="B316" s="11">
        <v>7998</v>
      </c>
      <c r="C316" s="11" t="s">
        <v>6</v>
      </c>
      <c r="D316" s="20">
        <v>1</v>
      </c>
    </row>
    <row r="317" spans="1:4">
      <c r="A317" s="19" t="str">
        <f t="shared" si="30"/>
        <v>АСПС.FB_UPG_S5.CPOF</v>
      </c>
      <c r="B317" s="11">
        <v>101</v>
      </c>
      <c r="C317" s="11" t="s">
        <v>0</v>
      </c>
      <c r="D317" s="20" t="s">
        <v>472</v>
      </c>
    </row>
    <row r="318" spans="1:4">
      <c r="A318" s="19" t="str">
        <f t="shared" si="30"/>
        <v>АСПС.FB_UPG_S5.CPOF</v>
      </c>
      <c r="B318" s="11">
        <v>3</v>
      </c>
      <c r="C318" s="11" t="s">
        <v>1</v>
      </c>
      <c r="D318" s="20">
        <v>192</v>
      </c>
    </row>
    <row r="319" spans="1:4">
      <c r="A319" s="19" t="str">
        <f t="shared" si="30"/>
        <v>АСПС.FB_UPG_S5.CPOF</v>
      </c>
      <c r="B319" s="11">
        <v>2</v>
      </c>
      <c r="C319" s="11" t="s">
        <v>2</v>
      </c>
      <c r="D319" s="20" t="s">
        <v>3</v>
      </c>
    </row>
    <row r="320" spans="1:4">
      <c r="A320" s="21" t="str">
        <f t="shared" si="30"/>
        <v>АСПС.FB_UPG_S5.CPOF</v>
      </c>
      <c r="B320" s="8">
        <v>1</v>
      </c>
      <c r="C320" s="8" t="s">
        <v>1</v>
      </c>
      <c r="D320" s="22">
        <v>11</v>
      </c>
    </row>
    <row r="321" spans="1:4">
      <c r="A321" s="342" t="str">
        <f>$R$2&amp;".CROF"</f>
        <v>АСПС.FB_UPG_S5.CROF</v>
      </c>
      <c r="B321" s="343">
        <v>11154</v>
      </c>
      <c r="C321" s="343" t="s">
        <v>4</v>
      </c>
      <c r="D321" s="344">
        <f>$Q$19</f>
        <v>22</v>
      </c>
    </row>
    <row r="322" spans="1:4">
      <c r="A322" s="345" t="str">
        <f t="shared" ref="A322:A330" si="31">$R$2&amp;".CROF"</f>
        <v>АСПС.FB_UPG_S5.CROF</v>
      </c>
      <c r="B322" s="346">
        <v>11150</v>
      </c>
      <c r="C322" s="346" t="s">
        <v>0</v>
      </c>
      <c r="D322" s="347" t="s">
        <v>495</v>
      </c>
    </row>
    <row r="323" spans="1:4">
      <c r="A323" s="345" t="str">
        <f t="shared" si="31"/>
        <v>АСПС.FB_UPG_S5.CROF</v>
      </c>
      <c r="B323" s="346">
        <v>11152</v>
      </c>
      <c r="C323" s="346" t="s">
        <v>0</v>
      </c>
      <c r="D323" s="348" t="str">
        <f>$R$19</f>
        <v>Информация</v>
      </c>
    </row>
    <row r="324" spans="1:4">
      <c r="A324" s="345" t="str">
        <f t="shared" si="31"/>
        <v>АСПС.FB_UPG_S5.CROF</v>
      </c>
      <c r="B324" s="346">
        <v>11000</v>
      </c>
      <c r="C324" s="346" t="s">
        <v>5</v>
      </c>
      <c r="D324" s="347">
        <v>2147483680</v>
      </c>
    </row>
    <row r="325" spans="1:4">
      <c r="A325" s="19" t="str">
        <f t="shared" si="31"/>
        <v>АСПС.FB_UPG_S5.CROF</v>
      </c>
      <c r="B325" s="11">
        <v>7999</v>
      </c>
      <c r="C325" s="11" t="s">
        <v>0</v>
      </c>
      <c r="D325" s="20" t="str">
        <f>"#"&amp;$S$2&amp;"#"&amp;$T$2&amp;"\"&amp;$P$2&amp;"\CROF"</f>
        <v>#2#treiOPCDA.CoOPCserv.1\pcmaster\FB_UPG_S5\CROF</v>
      </c>
    </row>
    <row r="326" spans="1:4">
      <c r="A326" s="19" t="str">
        <f t="shared" si="31"/>
        <v>АСПС.FB_UPG_S5.CROF</v>
      </c>
      <c r="B326" s="11">
        <v>7998</v>
      </c>
      <c r="C326" s="11" t="s">
        <v>6</v>
      </c>
      <c r="D326" s="20">
        <v>1</v>
      </c>
    </row>
    <row r="327" spans="1:4">
      <c r="A327" s="19" t="str">
        <f t="shared" si="31"/>
        <v>АСПС.FB_UPG_S5.CROF</v>
      </c>
      <c r="B327" s="11">
        <v>101</v>
      </c>
      <c r="C327" s="11" t="s">
        <v>0</v>
      </c>
      <c r="D327" s="20" t="s">
        <v>495</v>
      </c>
    </row>
    <row r="328" spans="1:4">
      <c r="A328" s="19" t="str">
        <f t="shared" si="31"/>
        <v>АСПС.FB_UPG_S5.CROF</v>
      </c>
      <c r="B328" s="11">
        <v>3</v>
      </c>
      <c r="C328" s="11" t="s">
        <v>1</v>
      </c>
      <c r="D328" s="20">
        <v>192</v>
      </c>
    </row>
    <row r="329" spans="1:4">
      <c r="A329" s="19" t="str">
        <f t="shared" si="31"/>
        <v>АСПС.FB_UPG_S5.CROF</v>
      </c>
      <c r="B329" s="11">
        <v>2</v>
      </c>
      <c r="C329" s="11" t="s">
        <v>2</v>
      </c>
      <c r="D329" s="20" t="s">
        <v>3</v>
      </c>
    </row>
    <row r="330" spans="1:4">
      <c r="A330" s="21" t="str">
        <f t="shared" si="31"/>
        <v>АСПС.FB_UPG_S5.CROF</v>
      </c>
      <c r="B330" s="8">
        <v>1</v>
      </c>
      <c r="C330" s="8" t="s">
        <v>1</v>
      </c>
      <c r="D330" s="22">
        <v>11</v>
      </c>
    </row>
    <row r="331" spans="1:4">
      <c r="A331" s="162" t="str">
        <f t="shared" ref="A331:A339" si="32">$R$2&amp;".Commands.COON"</f>
        <v>АСПС.FB_UPG_S5.Commands.COON</v>
      </c>
      <c r="B331" s="120">
        <v>11154</v>
      </c>
      <c r="C331" s="120" t="s">
        <v>4</v>
      </c>
      <c r="D331" s="351">
        <f>$Q$15</f>
        <v>2</v>
      </c>
    </row>
    <row r="332" spans="1:4">
      <c r="A332" s="119" t="str">
        <f t="shared" si="32"/>
        <v>АСПС.FB_UPG_S5.Commands.COON</v>
      </c>
      <c r="B332" s="121">
        <v>11150</v>
      </c>
      <c r="C332" s="121" t="s">
        <v>0</v>
      </c>
      <c r="D332" s="122" t="s">
        <v>476</v>
      </c>
    </row>
    <row r="333" spans="1:4">
      <c r="A333" s="119" t="str">
        <f t="shared" si="32"/>
        <v>АСПС.FB_UPG_S5.Commands.COON</v>
      </c>
      <c r="B333" s="121">
        <v>11152</v>
      </c>
      <c r="C333" s="121" t="s">
        <v>0</v>
      </c>
      <c r="D333" s="350" t="str">
        <f>$R$15</f>
        <v>Пожар</v>
      </c>
    </row>
    <row r="334" spans="1:4">
      <c r="A334" s="119" t="str">
        <f t="shared" si="32"/>
        <v>АСПС.FB_UPG_S5.Commands.COON</v>
      </c>
      <c r="B334" s="121">
        <v>11000</v>
      </c>
      <c r="C334" s="121" t="s">
        <v>5</v>
      </c>
      <c r="D334" s="122">
        <v>2147483680</v>
      </c>
    </row>
    <row r="335" spans="1:4">
      <c r="A335" s="19" t="str">
        <f t="shared" si="32"/>
        <v>АСПС.FB_UPG_S5.Commands.COON</v>
      </c>
      <c r="B335" s="11">
        <v>1</v>
      </c>
      <c r="C335" s="11" t="s">
        <v>1</v>
      </c>
      <c r="D335" s="20">
        <v>11</v>
      </c>
    </row>
    <row r="336" spans="1:4">
      <c r="A336" s="19" t="str">
        <f t="shared" si="32"/>
        <v>АСПС.FB_UPG_S5.Commands.COON</v>
      </c>
      <c r="B336" s="11">
        <v>101</v>
      </c>
      <c r="C336" s="11" t="s">
        <v>0</v>
      </c>
      <c r="D336" s="20" t="s">
        <v>476</v>
      </c>
    </row>
    <row r="337" spans="1:4">
      <c r="A337" s="19" t="str">
        <f t="shared" si="32"/>
        <v>АСПС.FB_UPG_S5.Commands.COON</v>
      </c>
      <c r="B337" s="11">
        <v>7998</v>
      </c>
      <c r="C337" s="11" t="s">
        <v>6</v>
      </c>
      <c r="D337" s="20">
        <v>2</v>
      </c>
    </row>
    <row r="338" spans="1:4">
      <c r="A338" s="19" t="str">
        <f t="shared" si="32"/>
        <v>АСПС.FB_UPG_S5.Commands.COON</v>
      </c>
      <c r="B338" s="11">
        <v>7999</v>
      </c>
      <c r="C338" s="11" t="s">
        <v>0</v>
      </c>
      <c r="D338" s="20" t="str">
        <f>"#"&amp;$T$5&amp;"#"&amp;$T$2&amp;"\"&amp;$P$2&amp;"\COON"</f>
        <v>#1#treiOPCDA.CoOPCserv.1\pcmaster\FB_UPG_S5\COON</v>
      </c>
    </row>
    <row r="339" spans="1:4">
      <c r="A339" s="21" t="str">
        <f t="shared" si="32"/>
        <v>АСПС.FB_UPG_S5.Commands.COON</v>
      </c>
      <c r="B339" s="8">
        <v>4000000</v>
      </c>
      <c r="C339" s="8" t="s">
        <v>0</v>
      </c>
      <c r="D339" s="22" t="s">
        <v>818</v>
      </c>
    </row>
    <row r="340" spans="1:4">
      <c r="A340" s="16" t="str">
        <f>$R$2&amp;".Commands.COCP"</f>
        <v>АСПС.FB_UPG_S5.Commands.COCP</v>
      </c>
      <c r="B340" s="17">
        <v>1</v>
      </c>
      <c r="C340" s="17" t="s">
        <v>1</v>
      </c>
      <c r="D340" s="18">
        <v>11</v>
      </c>
    </row>
    <row r="341" spans="1:4">
      <c r="A341" s="19" t="str">
        <f>$R$2&amp;".Commands.COCP"</f>
        <v>АСПС.FB_UPG_S5.Commands.COCP</v>
      </c>
      <c r="B341" s="11">
        <v>101</v>
      </c>
      <c r="C341" s="11" t="s">
        <v>0</v>
      </c>
      <c r="D341" s="20" t="s">
        <v>550</v>
      </c>
    </row>
    <row r="342" spans="1:4">
      <c r="A342" s="19" t="str">
        <f>$R$2&amp;".Commands.COCP"</f>
        <v>АСПС.FB_UPG_S5.Commands.COCP</v>
      </c>
      <c r="B342" s="11">
        <v>7998</v>
      </c>
      <c r="C342" s="11" t="s">
        <v>6</v>
      </c>
      <c r="D342" s="20">
        <v>2</v>
      </c>
    </row>
    <row r="343" spans="1:4">
      <c r="A343" s="21" t="str">
        <f>$R$2&amp;".Commands.COCP"</f>
        <v>АСПС.FB_UPG_S5.Commands.COCP</v>
      </c>
      <c r="B343" s="8">
        <v>7999</v>
      </c>
      <c r="C343" s="8" t="s">
        <v>0</v>
      </c>
      <c r="D343" s="22" t="str">
        <f>"#"&amp;$T$5&amp;"#"&amp;$T$2&amp;"\"&amp;$P$2&amp;"\COCP"</f>
        <v>#1#treiOPCDA.CoOPCserv.1\pcmaster\FB_UPG_S5\COCP</v>
      </c>
    </row>
    <row r="344" spans="1:4">
      <c r="A344" s="16" t="str">
        <f>$R$2&amp;".Commands.COCR"</f>
        <v>АСПС.FB_UPG_S5.Commands.COCR</v>
      </c>
      <c r="B344" s="17">
        <v>1</v>
      </c>
      <c r="C344" s="17" t="s">
        <v>1</v>
      </c>
      <c r="D344" s="18">
        <v>11</v>
      </c>
    </row>
    <row r="345" spans="1:4">
      <c r="A345" s="19" t="str">
        <f>$R$2&amp;".Commands.COCR"</f>
        <v>АСПС.FB_UPG_S5.Commands.COCR</v>
      </c>
      <c r="B345" s="11">
        <v>101</v>
      </c>
      <c r="C345" s="11" t="s">
        <v>0</v>
      </c>
      <c r="D345" s="20" t="s">
        <v>551</v>
      </c>
    </row>
    <row r="346" spans="1:4">
      <c r="A346" s="19" t="str">
        <f>$R$2&amp;".Commands.COCR"</f>
        <v>АСПС.FB_UPG_S5.Commands.COCR</v>
      </c>
      <c r="B346" s="11">
        <v>7998</v>
      </c>
      <c r="C346" s="11" t="s">
        <v>6</v>
      </c>
      <c r="D346" s="20">
        <v>2</v>
      </c>
    </row>
    <row r="347" spans="1:4">
      <c r="A347" s="21" t="str">
        <f>$R$2&amp;".Commands.COCR"</f>
        <v>АСПС.FB_UPG_S5.Commands.COCR</v>
      </c>
      <c r="B347" s="8">
        <v>7999</v>
      </c>
      <c r="C347" s="8" t="s">
        <v>0</v>
      </c>
      <c r="D347" s="22" t="str">
        <f>"#"&amp;$T$5&amp;"#"&amp;$T$2&amp;"\"&amp;$P$2&amp;"\COCR"</f>
        <v>#1#treiOPCDA.CoOPCserv.1\pcmaster\FB_UPG_S5\COCR</v>
      </c>
    </row>
    <row r="348" spans="1:4">
      <c r="A348" s="16" t="str">
        <f>$R$2&amp;".Commands.COTI"</f>
        <v>АСПС.FB_UPG_S5.Commands.COTI</v>
      </c>
      <c r="B348" s="17">
        <v>1</v>
      </c>
      <c r="C348" s="17" t="s">
        <v>1</v>
      </c>
      <c r="D348" s="18">
        <v>11</v>
      </c>
    </row>
    <row r="349" spans="1:4">
      <c r="A349" s="19" t="str">
        <f>$R$2&amp;".Commands.COTI"</f>
        <v>АСПС.FB_UPG_S5.Commands.COTI</v>
      </c>
      <c r="B349" s="11">
        <v>101</v>
      </c>
      <c r="C349" s="11" t="s">
        <v>0</v>
      </c>
      <c r="D349" s="20" t="s">
        <v>552</v>
      </c>
    </row>
    <row r="350" spans="1:4">
      <c r="A350" s="19" t="str">
        <f>$R$2&amp;".Commands.COTI"</f>
        <v>АСПС.FB_UPG_S5.Commands.COTI</v>
      </c>
      <c r="B350" s="11">
        <v>7998</v>
      </c>
      <c r="C350" s="11" t="s">
        <v>6</v>
      </c>
      <c r="D350" s="20">
        <v>2</v>
      </c>
    </row>
    <row r="351" spans="1:4">
      <c r="A351" s="21" t="str">
        <f>$R$2&amp;".Commands.COTI"</f>
        <v>АСПС.FB_UPG_S5.Commands.COTI</v>
      </c>
      <c r="B351" s="8">
        <v>7999</v>
      </c>
      <c r="C351" s="8" t="s">
        <v>0</v>
      </c>
      <c r="D351" s="22" t="str">
        <f>"#"&amp;$T$5&amp;"#"&amp;$T$2&amp;"\"&amp;$P$2&amp;"\COTI"</f>
        <v>#1#treiOPCDA.CoOPCserv.1\pcmaster\FB_UPG_S5\COTI</v>
      </c>
    </row>
    <row r="352" spans="1:4">
      <c r="A352" s="16" t="str">
        <f>$R$2&amp;".Commands.COTD"</f>
        <v>АСПС.FB_UPG_S5.Commands.COTD</v>
      </c>
      <c r="B352" s="17">
        <v>1</v>
      </c>
      <c r="C352" s="17" t="s">
        <v>1</v>
      </c>
      <c r="D352" s="18">
        <v>11</v>
      </c>
    </row>
    <row r="353" spans="1:4">
      <c r="A353" s="19" t="str">
        <f>$R$2&amp;".Commands.COTD"</f>
        <v>АСПС.FB_UPG_S5.Commands.COTD</v>
      </c>
      <c r="B353" s="11">
        <v>101</v>
      </c>
      <c r="C353" s="11" t="s">
        <v>0</v>
      </c>
      <c r="D353" s="20" t="s">
        <v>553</v>
      </c>
    </row>
    <row r="354" spans="1:4">
      <c r="A354" s="19" t="str">
        <f>$R$2&amp;".Commands.COTD"</f>
        <v>АСПС.FB_UPG_S5.Commands.COTD</v>
      </c>
      <c r="B354" s="11">
        <v>7998</v>
      </c>
      <c r="C354" s="11" t="s">
        <v>6</v>
      </c>
      <c r="D354" s="20">
        <v>2</v>
      </c>
    </row>
    <row r="355" spans="1:4">
      <c r="A355" s="21" t="str">
        <f>$R$2&amp;".Commands.COTD"</f>
        <v>АСПС.FB_UPG_S5.Commands.COTD</v>
      </c>
      <c r="B355" s="8">
        <v>7999</v>
      </c>
      <c r="C355" s="8" t="s">
        <v>0</v>
      </c>
      <c r="D355" s="22" t="str">
        <f>"#"&amp;$T$5&amp;"#"&amp;$T$2&amp;"\"&amp;$P$2&amp;"\COTD"</f>
        <v>#1#treiOPCDA.CoOPCserv.1\pcmaster\FB_UPG_S5\COTD</v>
      </c>
    </row>
    <row r="356" spans="1:4">
      <c r="A356" s="16" t="str">
        <f>$R$2&amp;".Commands.COAN"</f>
        <v>АСПС.FB_UPG_S5.Commands.COAN</v>
      </c>
      <c r="B356" s="17">
        <v>1</v>
      </c>
      <c r="C356" s="17" t="s">
        <v>1</v>
      </c>
      <c r="D356" s="18">
        <v>11</v>
      </c>
    </row>
    <row r="357" spans="1:4">
      <c r="A357" s="19" t="str">
        <f>$R$2&amp;".Commands.COAN"</f>
        <v>АСПС.FB_UPG_S5.Commands.COAN</v>
      </c>
      <c r="B357" s="11">
        <v>101</v>
      </c>
      <c r="C357" s="11" t="s">
        <v>0</v>
      </c>
      <c r="D357" s="20" t="s">
        <v>474</v>
      </c>
    </row>
    <row r="358" spans="1:4">
      <c r="A358" s="19" t="str">
        <f>$R$2&amp;".Commands.COAN"</f>
        <v>АСПС.FB_UPG_S5.Commands.COAN</v>
      </c>
      <c r="B358" s="11">
        <v>7998</v>
      </c>
      <c r="C358" s="11" t="s">
        <v>6</v>
      </c>
      <c r="D358" s="20">
        <v>2</v>
      </c>
    </row>
    <row r="359" spans="1:4">
      <c r="A359" s="21" t="str">
        <f>$R$2&amp;".Commands.COAN"</f>
        <v>АСПС.FB_UPG_S5.Commands.COAN</v>
      </c>
      <c r="B359" s="8">
        <v>7999</v>
      </c>
      <c r="C359" s="8" t="s">
        <v>0</v>
      </c>
      <c r="D359" s="22" t="str">
        <f>"#"&amp;$T$5&amp;"#"&amp;$T$2&amp;"\"&amp;$P$2&amp;"\COAN"</f>
        <v>#1#treiOPCDA.CoOPCserv.1\pcmaster\FB_UPG_S5\COAN</v>
      </c>
    </row>
    <row r="360" spans="1:4">
      <c r="A360" s="16" t="str">
        <f>$R$2&amp;".Commands.COAF"</f>
        <v>АСПС.FB_UPG_S5.Commands.COAF</v>
      </c>
      <c r="B360" s="17">
        <v>1</v>
      </c>
      <c r="C360" s="17" t="s">
        <v>1</v>
      </c>
      <c r="D360" s="18">
        <v>11</v>
      </c>
    </row>
    <row r="361" spans="1:4">
      <c r="A361" s="19" t="str">
        <f>$R$2&amp;".Commands.COAF"</f>
        <v>АСПС.FB_UPG_S5.Commands.COAF</v>
      </c>
      <c r="B361" s="11">
        <v>101</v>
      </c>
      <c r="C361" s="11" t="s">
        <v>0</v>
      </c>
      <c r="D361" s="20" t="s">
        <v>475</v>
      </c>
    </row>
    <row r="362" spans="1:4">
      <c r="A362" s="19" t="str">
        <f>$R$2&amp;".Commands.COAF"</f>
        <v>АСПС.FB_UPG_S5.Commands.COAF</v>
      </c>
      <c r="B362" s="11">
        <v>7998</v>
      </c>
      <c r="C362" s="11" t="s">
        <v>6</v>
      </c>
      <c r="D362" s="20">
        <v>2</v>
      </c>
    </row>
    <row r="363" spans="1:4">
      <c r="A363" s="21" t="str">
        <f>$R$2&amp;".Commands.COAF"</f>
        <v>АСПС.FB_UPG_S5.Commands.COAF</v>
      </c>
      <c r="B363" s="8">
        <v>7999</v>
      </c>
      <c r="C363" s="8" t="s">
        <v>0</v>
      </c>
      <c r="D363" s="22" t="str">
        <f>"#"&amp;$T$5&amp;"#"&amp;$T$2&amp;"\"&amp;$P$2&amp;"\COAF"</f>
        <v>#1#treiOPCDA.CoOPCserv.1\pcmaster\FB_UPG_S5\COAF</v>
      </c>
    </row>
    <row r="364" spans="1:4">
      <c r="A364" s="16" t="str">
        <f>$R$2&amp;".Commands.COOF"</f>
        <v>АСПС.FB_UPG_S5.Commands.COOF</v>
      </c>
      <c r="B364" s="17">
        <v>1</v>
      </c>
      <c r="C364" s="17" t="s">
        <v>1</v>
      </c>
      <c r="D364" s="18">
        <v>11</v>
      </c>
    </row>
    <row r="365" spans="1:4">
      <c r="A365" s="19" t="str">
        <f>$R$2&amp;".Commands.COOF"</f>
        <v>АСПС.FB_UPG_S5.Commands.COOF</v>
      </c>
      <c r="B365" s="11">
        <v>101</v>
      </c>
      <c r="C365" s="11" t="s">
        <v>0</v>
      </c>
      <c r="D365" s="20" t="s">
        <v>477</v>
      </c>
    </row>
    <row r="366" spans="1:4">
      <c r="A366" s="19" t="str">
        <f>$R$2&amp;".Commands.COOF"</f>
        <v>АСПС.FB_UPG_S5.Commands.COOF</v>
      </c>
      <c r="B366" s="11">
        <v>7998</v>
      </c>
      <c r="C366" s="11" t="s">
        <v>6</v>
      </c>
      <c r="D366" s="20">
        <v>2</v>
      </c>
    </row>
    <row r="367" spans="1:4">
      <c r="A367" s="21" t="str">
        <f>$R$2&amp;".Commands.COOF"</f>
        <v>АСПС.FB_UPG_S5.Commands.COOF</v>
      </c>
      <c r="B367" s="8">
        <v>7999</v>
      </c>
      <c r="C367" s="8" t="s">
        <v>0</v>
      </c>
      <c r="D367" s="22" t="str">
        <f>"#"&amp;$T$5&amp;"#"&amp;$T$2&amp;"\"&amp;$P$2&amp;"\COOF"</f>
        <v>#1#treiOPCDA.CoOPCserv.1\pcmaster\FB_UPG_S5\COOF</v>
      </c>
    </row>
    <row r="368" spans="1:4">
      <c r="A368" s="16" t="str">
        <f>$R$2&amp;".Commands.COBN"</f>
        <v>АСПС.FB_UPG_S5.Commands.COBN</v>
      </c>
      <c r="B368" s="17">
        <v>1</v>
      </c>
      <c r="C368" s="17" t="s">
        <v>1</v>
      </c>
      <c r="D368" s="18">
        <v>11</v>
      </c>
    </row>
    <row r="369" spans="1:4">
      <c r="A369" s="19" t="str">
        <f>$R$2&amp;".Commands.COBN"</f>
        <v>АСПС.FB_UPG_S5.Commands.COBN</v>
      </c>
      <c r="B369" s="11">
        <v>101</v>
      </c>
      <c r="C369" s="11" t="s">
        <v>0</v>
      </c>
      <c r="D369" s="20" t="s">
        <v>583</v>
      </c>
    </row>
    <row r="370" spans="1:4">
      <c r="A370" s="19" t="str">
        <f>$R$2&amp;".Commands.COBN"</f>
        <v>АСПС.FB_UPG_S5.Commands.COBN</v>
      </c>
      <c r="B370" s="11">
        <v>7998</v>
      </c>
      <c r="C370" s="11" t="s">
        <v>6</v>
      </c>
      <c r="D370" s="20">
        <v>2</v>
      </c>
    </row>
    <row r="371" spans="1:4">
      <c r="A371" s="21" t="str">
        <f>$R$2&amp;".Commands.COBN"</f>
        <v>АСПС.FB_UPG_S5.Commands.COBN</v>
      </c>
      <c r="B371" s="8">
        <v>7999</v>
      </c>
      <c r="C371" s="8" t="s">
        <v>0</v>
      </c>
      <c r="D371" s="22" t="str">
        <f>"#"&amp;$T$5&amp;"#"&amp;$T$2&amp;"\"&amp;$P$2&amp;"\COAF"</f>
        <v>#1#treiOPCDA.CoOPCserv.1\pcmaster\FB_UPG_S5\COAF</v>
      </c>
    </row>
    <row r="372" spans="1:4">
      <c r="A372" s="16" t="str">
        <f>$R$2&amp;".Commands.COBF"</f>
        <v>АСПС.FB_UPG_S5.Commands.COBF</v>
      </c>
      <c r="B372" s="17">
        <v>1</v>
      </c>
      <c r="C372" s="17" t="s">
        <v>1</v>
      </c>
      <c r="D372" s="18">
        <v>11</v>
      </c>
    </row>
    <row r="373" spans="1:4">
      <c r="A373" s="19" t="str">
        <f>$R$2&amp;".Commands.COBF"</f>
        <v>АСПС.FB_UPG_S5.Commands.COBF</v>
      </c>
      <c r="B373" s="11">
        <v>101</v>
      </c>
      <c r="C373" s="11" t="s">
        <v>0</v>
      </c>
      <c r="D373" s="20" t="s">
        <v>584</v>
      </c>
    </row>
    <row r="374" spans="1:4">
      <c r="A374" s="19" t="str">
        <f>$R$2&amp;".Commands.COBF"</f>
        <v>АСПС.FB_UPG_S5.Commands.COBF</v>
      </c>
      <c r="B374" s="11">
        <v>7998</v>
      </c>
      <c r="C374" s="11" t="s">
        <v>6</v>
      </c>
      <c r="D374" s="20">
        <v>2</v>
      </c>
    </row>
    <row r="375" spans="1:4">
      <c r="A375" s="21" t="str">
        <f>$R$2&amp;".Commands.COBF"</f>
        <v>АСПС.FB_UPG_S5.Commands.COBF</v>
      </c>
      <c r="B375" s="8">
        <v>7999</v>
      </c>
      <c r="C375" s="8" t="s">
        <v>0</v>
      </c>
      <c r="D375" s="22" t="str">
        <f>"#"&amp;$T$5&amp;"#"&amp;$T$2&amp;"\"&amp;$P$2&amp;"\COAN"</f>
        <v>#1#treiOPCDA.CoOPCserv.1\pcmaster\FB_UPG_S5\COAN</v>
      </c>
    </row>
    <row r="376" spans="1:4">
      <c r="A376" s="19" t="str">
        <f t="shared" ref="A376:A381" si="33">$R$2&amp;".XDOF"</f>
        <v>АСПС.FB_UPG_S5.XDOF</v>
      </c>
      <c r="B376" s="11">
        <v>7999</v>
      </c>
      <c r="C376" s="11" t="s">
        <v>0</v>
      </c>
      <c r="D376" s="20" t="str">
        <f>"#"&amp;$S$2&amp;"#"&amp;$T$2&amp;"\"&amp;$P$2&amp;"\XDOF"</f>
        <v>#2#treiOPCDA.CoOPCserv.1\pcmaster\FB_UPG_S5\XDOF</v>
      </c>
    </row>
    <row r="377" spans="1:4">
      <c r="A377" s="19" t="str">
        <f t="shared" si="33"/>
        <v>АСПС.FB_UPG_S5.XDOF</v>
      </c>
      <c r="B377" s="11">
        <v>7998</v>
      </c>
      <c r="C377" s="11" t="s">
        <v>6</v>
      </c>
      <c r="D377" s="20">
        <v>1</v>
      </c>
    </row>
    <row r="378" spans="1:4">
      <c r="A378" s="19" t="str">
        <f t="shared" si="33"/>
        <v>АСПС.FB_UPG_S5.XDOF</v>
      </c>
      <c r="B378" s="11">
        <v>101</v>
      </c>
      <c r="C378" s="11" t="s">
        <v>0</v>
      </c>
      <c r="D378" s="20" t="s">
        <v>493</v>
      </c>
    </row>
    <row r="379" spans="1:4">
      <c r="A379" s="19" t="str">
        <f t="shared" si="33"/>
        <v>АСПС.FB_UPG_S5.XDOF</v>
      </c>
      <c r="B379" s="11">
        <v>3</v>
      </c>
      <c r="C379" s="11" t="s">
        <v>1</v>
      </c>
      <c r="D379" s="20">
        <v>192</v>
      </c>
    </row>
    <row r="380" spans="1:4">
      <c r="A380" s="19" t="str">
        <f t="shared" si="33"/>
        <v>АСПС.FB_UPG_S5.XDOF</v>
      </c>
      <c r="B380" s="11">
        <v>2</v>
      </c>
      <c r="C380" s="11" t="s">
        <v>2</v>
      </c>
      <c r="D380" s="20" t="s">
        <v>3</v>
      </c>
    </row>
    <row r="381" spans="1:4">
      <c r="A381" s="21" t="str">
        <f t="shared" si="33"/>
        <v>АСПС.FB_UPG_S5.XDOF</v>
      </c>
      <c r="B381" s="8">
        <v>1</v>
      </c>
      <c r="C381" s="8" t="s">
        <v>1</v>
      </c>
      <c r="D381" s="22">
        <v>11</v>
      </c>
    </row>
    <row r="382" spans="1:4">
      <c r="A382" s="19" t="str">
        <f t="shared" ref="A382:A387" si="34">$R$2&amp;".COCP"</f>
        <v>АСПС.FB_UPG_S5.COCP</v>
      </c>
      <c r="B382" s="11">
        <v>7999</v>
      </c>
      <c r="C382" s="11" t="s">
        <v>0</v>
      </c>
      <c r="D382" s="20" t="str">
        <f>"#"&amp;$S$2&amp;"#"&amp;$T$2&amp;"\"&amp;$P$2&amp;"\COCP"</f>
        <v>#2#treiOPCDA.CoOPCserv.1\pcmaster\FB_UPG_S5\COCP</v>
      </c>
    </row>
    <row r="383" spans="1:4">
      <c r="A383" s="19" t="str">
        <f t="shared" si="34"/>
        <v>АСПС.FB_UPG_S5.COCP</v>
      </c>
      <c r="B383" s="11">
        <v>7998</v>
      </c>
      <c r="C383" s="11" t="s">
        <v>6</v>
      </c>
      <c r="D383" s="20">
        <v>1</v>
      </c>
    </row>
    <row r="384" spans="1:4">
      <c r="A384" s="19" t="str">
        <f t="shared" si="34"/>
        <v>АСПС.FB_UPG_S5.COCP</v>
      </c>
      <c r="B384" s="11">
        <v>101</v>
      </c>
      <c r="C384" s="11" t="s">
        <v>0</v>
      </c>
      <c r="D384" s="20" t="s">
        <v>550</v>
      </c>
    </row>
    <row r="385" spans="1:4">
      <c r="A385" s="19" t="str">
        <f t="shared" si="34"/>
        <v>АСПС.FB_UPG_S5.COCP</v>
      </c>
      <c r="B385" s="11">
        <v>3</v>
      </c>
      <c r="C385" s="11" t="s">
        <v>1</v>
      </c>
      <c r="D385" s="20">
        <v>192</v>
      </c>
    </row>
    <row r="386" spans="1:4">
      <c r="A386" s="19" t="str">
        <f t="shared" si="34"/>
        <v>АСПС.FB_UPG_S5.COCP</v>
      </c>
      <c r="B386" s="11">
        <v>2</v>
      </c>
      <c r="C386" s="11" t="s">
        <v>2</v>
      </c>
      <c r="D386" s="20" t="s">
        <v>3</v>
      </c>
    </row>
    <row r="387" spans="1:4">
      <c r="A387" s="21" t="str">
        <f t="shared" si="34"/>
        <v>АСПС.FB_UPG_S5.COCP</v>
      </c>
      <c r="B387" s="8">
        <v>1</v>
      </c>
      <c r="C387" s="8" t="s">
        <v>1</v>
      </c>
      <c r="D387" s="22">
        <v>11</v>
      </c>
    </row>
    <row r="388" spans="1:4">
      <c r="A388" s="19" t="str">
        <f t="shared" ref="A388:A393" si="35">$R$2&amp;".COCR"</f>
        <v>АСПС.FB_UPG_S5.COCR</v>
      </c>
      <c r="B388" s="11">
        <v>7999</v>
      </c>
      <c r="C388" s="11" t="s">
        <v>0</v>
      </c>
      <c r="D388" s="20" t="str">
        <f>"#"&amp;$S$2&amp;"#"&amp;$T$2&amp;"\"&amp;$P$2&amp;"\COCR"</f>
        <v>#2#treiOPCDA.CoOPCserv.1\pcmaster\FB_UPG_S5\COCR</v>
      </c>
    </row>
    <row r="389" spans="1:4">
      <c r="A389" s="19" t="str">
        <f t="shared" si="35"/>
        <v>АСПС.FB_UPG_S5.COCR</v>
      </c>
      <c r="B389" s="11">
        <v>7998</v>
      </c>
      <c r="C389" s="11" t="s">
        <v>6</v>
      </c>
      <c r="D389" s="20">
        <v>1</v>
      </c>
    </row>
    <row r="390" spans="1:4">
      <c r="A390" s="19" t="str">
        <f t="shared" si="35"/>
        <v>АСПС.FB_UPG_S5.COCR</v>
      </c>
      <c r="B390" s="11">
        <v>101</v>
      </c>
      <c r="C390" s="11" t="s">
        <v>0</v>
      </c>
      <c r="D390" s="20" t="s">
        <v>551</v>
      </c>
    </row>
    <row r="391" spans="1:4">
      <c r="A391" s="19" t="str">
        <f t="shared" si="35"/>
        <v>АСПС.FB_UPG_S5.COCR</v>
      </c>
      <c r="B391" s="11">
        <v>3</v>
      </c>
      <c r="C391" s="11" t="s">
        <v>1</v>
      </c>
      <c r="D391" s="20">
        <v>192</v>
      </c>
    </row>
    <row r="392" spans="1:4">
      <c r="A392" s="19" t="str">
        <f t="shared" si="35"/>
        <v>АСПС.FB_UPG_S5.COCR</v>
      </c>
      <c r="B392" s="11">
        <v>2</v>
      </c>
      <c r="C392" s="11" t="s">
        <v>2</v>
      </c>
      <c r="D392" s="20" t="s">
        <v>3</v>
      </c>
    </row>
    <row r="393" spans="1:4">
      <c r="A393" s="21" t="str">
        <f t="shared" si="35"/>
        <v>АСПС.FB_UPG_S5.COCR</v>
      </c>
      <c r="B393" s="8">
        <v>1</v>
      </c>
      <c r="C393" s="8" t="s">
        <v>1</v>
      </c>
      <c r="D393" s="22">
        <v>11</v>
      </c>
    </row>
    <row r="394" spans="1:4">
      <c r="A394" s="19" t="str">
        <f t="shared" ref="A394:A399" si="36">$R$2&amp;".COTI"</f>
        <v>АСПС.FB_UPG_S5.COTI</v>
      </c>
      <c r="B394" s="11">
        <v>7999</v>
      </c>
      <c r="C394" s="11" t="s">
        <v>0</v>
      </c>
      <c r="D394" s="20" t="str">
        <f>"#"&amp;$S$2&amp;"#"&amp;$T$2&amp;"\"&amp;$P$2&amp;"\COTI"</f>
        <v>#2#treiOPCDA.CoOPCserv.1\pcmaster\FB_UPG_S5\COTI</v>
      </c>
    </row>
    <row r="395" spans="1:4">
      <c r="A395" s="19" t="str">
        <f t="shared" si="36"/>
        <v>АСПС.FB_UPG_S5.COTI</v>
      </c>
      <c r="B395" s="11">
        <v>7998</v>
      </c>
      <c r="C395" s="11" t="s">
        <v>6</v>
      </c>
      <c r="D395" s="20">
        <v>1</v>
      </c>
    </row>
    <row r="396" spans="1:4">
      <c r="A396" s="19" t="str">
        <f t="shared" si="36"/>
        <v>АСПС.FB_UPG_S5.COTI</v>
      </c>
      <c r="B396" s="11">
        <v>101</v>
      </c>
      <c r="C396" s="11" t="s">
        <v>0</v>
      </c>
      <c r="D396" s="20" t="s">
        <v>552</v>
      </c>
    </row>
    <row r="397" spans="1:4">
      <c r="A397" s="19" t="str">
        <f t="shared" si="36"/>
        <v>АСПС.FB_UPG_S5.COTI</v>
      </c>
      <c r="B397" s="11">
        <v>3</v>
      </c>
      <c r="C397" s="11" t="s">
        <v>1</v>
      </c>
      <c r="D397" s="20">
        <v>192</v>
      </c>
    </row>
    <row r="398" spans="1:4">
      <c r="A398" s="19" t="str">
        <f t="shared" si="36"/>
        <v>АСПС.FB_UPG_S5.COTI</v>
      </c>
      <c r="B398" s="11">
        <v>2</v>
      </c>
      <c r="C398" s="11" t="s">
        <v>2</v>
      </c>
      <c r="D398" s="20" t="s">
        <v>3</v>
      </c>
    </row>
    <row r="399" spans="1:4">
      <c r="A399" s="21" t="str">
        <f t="shared" si="36"/>
        <v>АСПС.FB_UPG_S5.COTI</v>
      </c>
      <c r="B399" s="8">
        <v>1</v>
      </c>
      <c r="C399" s="8" t="s">
        <v>1</v>
      </c>
      <c r="D399" s="22">
        <v>11</v>
      </c>
    </row>
    <row r="400" spans="1:4">
      <c r="A400" s="19" t="str">
        <f t="shared" ref="A400:A405" si="37">$R$2&amp;".COTD"</f>
        <v>АСПС.FB_UPG_S5.COTD</v>
      </c>
      <c r="B400" s="11">
        <v>7999</v>
      </c>
      <c r="C400" s="11" t="s">
        <v>0</v>
      </c>
      <c r="D400" s="20" t="str">
        <f>"#"&amp;$S$2&amp;"#"&amp;$T$2&amp;"\"&amp;$P$2&amp;"\COTD"</f>
        <v>#2#treiOPCDA.CoOPCserv.1\pcmaster\FB_UPG_S5\COTD</v>
      </c>
    </row>
    <row r="401" spans="1:4">
      <c r="A401" s="19" t="str">
        <f t="shared" si="37"/>
        <v>АСПС.FB_UPG_S5.COTD</v>
      </c>
      <c r="B401" s="11">
        <v>7998</v>
      </c>
      <c r="C401" s="11" t="s">
        <v>6</v>
      </c>
      <c r="D401" s="20">
        <v>1</v>
      </c>
    </row>
    <row r="402" spans="1:4">
      <c r="A402" s="19" t="str">
        <f t="shared" si="37"/>
        <v>АСПС.FB_UPG_S5.COTD</v>
      </c>
      <c r="B402" s="11">
        <v>101</v>
      </c>
      <c r="C402" s="11" t="s">
        <v>0</v>
      </c>
      <c r="D402" s="20" t="s">
        <v>553</v>
      </c>
    </row>
    <row r="403" spans="1:4">
      <c r="A403" s="19" t="str">
        <f t="shared" si="37"/>
        <v>АСПС.FB_UPG_S5.COTD</v>
      </c>
      <c r="B403" s="11">
        <v>3</v>
      </c>
      <c r="C403" s="11" t="s">
        <v>1</v>
      </c>
      <c r="D403" s="20">
        <v>192</v>
      </c>
    </row>
    <row r="404" spans="1:4">
      <c r="A404" s="19" t="str">
        <f t="shared" si="37"/>
        <v>АСПС.FB_UPG_S5.COTD</v>
      </c>
      <c r="B404" s="11">
        <v>2</v>
      </c>
      <c r="C404" s="11" t="s">
        <v>2</v>
      </c>
      <c r="D404" s="20" t="s">
        <v>3</v>
      </c>
    </row>
    <row r="405" spans="1:4">
      <c r="A405" s="21" t="str">
        <f t="shared" si="37"/>
        <v>АСПС.FB_UPG_S5.COTD</v>
      </c>
      <c r="B405" s="8">
        <v>1</v>
      </c>
      <c r="C405" s="8" t="s">
        <v>1</v>
      </c>
      <c r="D405" s="22">
        <v>11</v>
      </c>
    </row>
    <row r="406" spans="1:4">
      <c r="A406" s="19" t="str">
        <f t="shared" ref="A406:A411" si="38">$R$2&amp;".CSTI"</f>
        <v>АСПС.FB_UPG_S5.CSTI</v>
      </c>
      <c r="B406" s="11">
        <v>7999</v>
      </c>
      <c r="C406" s="11" t="s">
        <v>0</v>
      </c>
      <c r="D406" s="20" t="str">
        <f>"#"&amp;$S$2&amp;"#"&amp;$T$2&amp;"\"&amp;$P$2&amp;"\CSTI"</f>
        <v>#2#treiOPCDA.CoOPCserv.1\pcmaster\FB_UPG_S5\CSTI</v>
      </c>
    </row>
    <row r="407" spans="1:4">
      <c r="A407" s="19" t="str">
        <f t="shared" si="38"/>
        <v>АСПС.FB_UPG_S5.CSTI</v>
      </c>
      <c r="B407" s="11">
        <v>7998</v>
      </c>
      <c r="C407" s="11" t="s">
        <v>6</v>
      </c>
      <c r="D407" s="20">
        <v>1</v>
      </c>
    </row>
    <row r="408" spans="1:4">
      <c r="A408" s="19" t="str">
        <f t="shared" si="38"/>
        <v>АСПС.FB_UPG_S5.CSTI</v>
      </c>
      <c r="B408" s="11">
        <v>101</v>
      </c>
      <c r="C408" s="11" t="s">
        <v>0</v>
      </c>
      <c r="D408" s="20" t="s">
        <v>558</v>
      </c>
    </row>
    <row r="409" spans="1:4">
      <c r="A409" s="19" t="str">
        <f t="shared" si="38"/>
        <v>АСПС.FB_UPG_S5.CSTI</v>
      </c>
      <c r="B409" s="11">
        <v>3</v>
      </c>
      <c r="C409" s="11" t="s">
        <v>1</v>
      </c>
      <c r="D409" s="20">
        <v>192</v>
      </c>
    </row>
    <row r="410" spans="1:4">
      <c r="A410" s="19" t="str">
        <f t="shared" si="38"/>
        <v>АСПС.FB_UPG_S5.CSTI</v>
      </c>
      <c r="B410" s="11">
        <v>2</v>
      </c>
      <c r="C410" s="11" t="s">
        <v>2</v>
      </c>
      <c r="D410" s="20" t="s">
        <v>3</v>
      </c>
    </row>
    <row r="411" spans="1:4">
      <c r="A411" s="21" t="str">
        <f t="shared" si="38"/>
        <v>АСПС.FB_UPG_S5.CSTI</v>
      </c>
      <c r="B411" s="8">
        <v>1</v>
      </c>
      <c r="C411" s="8" t="s">
        <v>1</v>
      </c>
      <c r="D411" s="22">
        <v>11</v>
      </c>
    </row>
    <row r="412" spans="1:4">
      <c r="A412" s="19" t="str">
        <f t="shared" ref="A412:A417" si="39">$R$2&amp;".CSTD"</f>
        <v>АСПС.FB_UPG_S5.CSTD</v>
      </c>
      <c r="B412" s="11">
        <v>7999</v>
      </c>
      <c r="C412" s="11" t="s">
        <v>0</v>
      </c>
      <c r="D412" s="20" t="str">
        <f>"#"&amp;$S$2&amp;"#"&amp;$T$2&amp;"\"&amp;$P$2&amp;"\CSTD"</f>
        <v>#2#treiOPCDA.CoOPCserv.1\pcmaster\FB_UPG_S5\CSTD</v>
      </c>
    </row>
    <row r="413" spans="1:4">
      <c r="A413" s="19" t="str">
        <f t="shared" si="39"/>
        <v>АСПС.FB_UPG_S5.CSTD</v>
      </c>
      <c r="B413" s="11">
        <v>7998</v>
      </c>
      <c r="C413" s="11" t="s">
        <v>6</v>
      </c>
      <c r="D413" s="20">
        <v>1</v>
      </c>
    </row>
    <row r="414" spans="1:4">
      <c r="A414" s="19" t="str">
        <f t="shared" si="39"/>
        <v>АСПС.FB_UPG_S5.CSTD</v>
      </c>
      <c r="B414" s="11">
        <v>101</v>
      </c>
      <c r="C414" s="11" t="s">
        <v>0</v>
      </c>
      <c r="D414" s="20" t="s">
        <v>559</v>
      </c>
    </row>
    <row r="415" spans="1:4">
      <c r="A415" s="19" t="str">
        <f t="shared" si="39"/>
        <v>АСПС.FB_UPG_S5.CSTD</v>
      </c>
      <c r="B415" s="11">
        <v>3</v>
      </c>
      <c r="C415" s="11" t="s">
        <v>1</v>
      </c>
      <c r="D415" s="20">
        <v>192</v>
      </c>
    </row>
    <row r="416" spans="1:4">
      <c r="A416" s="19" t="str">
        <f t="shared" si="39"/>
        <v>АСПС.FB_UPG_S5.CSTD</v>
      </c>
      <c r="B416" s="11">
        <v>2</v>
      </c>
      <c r="C416" s="11" t="s">
        <v>2</v>
      </c>
      <c r="D416" s="20" t="s">
        <v>3</v>
      </c>
    </row>
    <row r="417" spans="1:4">
      <c r="A417" s="21" t="str">
        <f t="shared" si="39"/>
        <v>АСПС.FB_UPG_S5.CSTD</v>
      </c>
      <c r="B417" s="8">
        <v>1</v>
      </c>
      <c r="C417" s="8" t="s">
        <v>1</v>
      </c>
      <c r="D417" s="22">
        <v>11</v>
      </c>
    </row>
    <row r="418" spans="1:4">
      <c r="A418" s="19" t="str">
        <f t="shared" ref="A418:A423" si="40">$R$2&amp;".CPTI"</f>
        <v>АСПС.FB_UPG_S5.CPTI</v>
      </c>
      <c r="B418" s="11">
        <v>7999</v>
      </c>
      <c r="C418" s="11" t="s">
        <v>0</v>
      </c>
      <c r="D418" s="20" t="str">
        <f>"#"&amp;$S$2&amp;"#"&amp;$T$2&amp;"\"&amp;$P$2&amp;"\CPTI"</f>
        <v>#2#treiOPCDA.CoOPCserv.1\pcmaster\FB_UPG_S5\CPTI</v>
      </c>
    </row>
    <row r="419" spans="1:4">
      <c r="A419" s="19" t="str">
        <f t="shared" si="40"/>
        <v>АСПС.FB_UPG_S5.CPTI</v>
      </c>
      <c r="B419" s="11">
        <v>7998</v>
      </c>
      <c r="C419" s="11" t="s">
        <v>6</v>
      </c>
      <c r="D419" s="20">
        <v>1</v>
      </c>
    </row>
    <row r="420" spans="1:4">
      <c r="A420" s="19" t="str">
        <f t="shared" si="40"/>
        <v>АСПС.FB_UPG_S5.CPTI</v>
      </c>
      <c r="B420" s="11">
        <v>101</v>
      </c>
      <c r="C420" s="11" t="s">
        <v>0</v>
      </c>
      <c r="D420" s="20" t="s">
        <v>560</v>
      </c>
    </row>
    <row r="421" spans="1:4">
      <c r="A421" s="19" t="str">
        <f t="shared" si="40"/>
        <v>АСПС.FB_UPG_S5.CPTI</v>
      </c>
      <c r="B421" s="11">
        <v>3</v>
      </c>
      <c r="C421" s="11" t="s">
        <v>1</v>
      </c>
      <c r="D421" s="20">
        <v>192</v>
      </c>
    </row>
    <row r="422" spans="1:4">
      <c r="A422" s="19" t="str">
        <f t="shared" si="40"/>
        <v>АСПС.FB_UPG_S5.CPTI</v>
      </c>
      <c r="B422" s="11">
        <v>2</v>
      </c>
      <c r="C422" s="11" t="s">
        <v>2</v>
      </c>
      <c r="D422" s="20" t="s">
        <v>3</v>
      </c>
    </row>
    <row r="423" spans="1:4">
      <c r="A423" s="21" t="str">
        <f t="shared" si="40"/>
        <v>АСПС.FB_UPG_S5.CPTI</v>
      </c>
      <c r="B423" s="8">
        <v>1</v>
      </c>
      <c r="C423" s="8" t="s">
        <v>1</v>
      </c>
      <c r="D423" s="22">
        <v>11</v>
      </c>
    </row>
    <row r="424" spans="1:4">
      <c r="A424" s="19" t="str">
        <f t="shared" ref="A424:A429" si="41">$R$2&amp;".CPTD"</f>
        <v>АСПС.FB_UPG_S5.CPTD</v>
      </c>
      <c r="B424" s="11">
        <v>7999</v>
      </c>
      <c r="C424" s="11" t="s">
        <v>0</v>
      </c>
      <c r="D424" s="20" t="str">
        <f>"#"&amp;$S$2&amp;"#"&amp;$T$2&amp;"\"&amp;$P$2&amp;"\CPTD"</f>
        <v>#2#treiOPCDA.CoOPCserv.1\pcmaster\FB_UPG_S5\CPTD</v>
      </c>
    </row>
    <row r="425" spans="1:4">
      <c r="A425" s="19" t="str">
        <f t="shared" si="41"/>
        <v>АСПС.FB_UPG_S5.CPTD</v>
      </c>
      <c r="B425" s="11">
        <v>7998</v>
      </c>
      <c r="C425" s="11" t="s">
        <v>6</v>
      </c>
      <c r="D425" s="20">
        <v>1</v>
      </c>
    </row>
    <row r="426" spans="1:4">
      <c r="A426" s="19" t="str">
        <f t="shared" si="41"/>
        <v>АСПС.FB_UPG_S5.CPTD</v>
      </c>
      <c r="B426" s="11">
        <v>101</v>
      </c>
      <c r="C426" s="11" t="s">
        <v>0</v>
      </c>
      <c r="D426" s="20" t="s">
        <v>561</v>
      </c>
    </row>
    <row r="427" spans="1:4">
      <c r="A427" s="19" t="str">
        <f t="shared" si="41"/>
        <v>АСПС.FB_UPG_S5.CPTD</v>
      </c>
      <c r="B427" s="11">
        <v>3</v>
      </c>
      <c r="C427" s="11" t="s">
        <v>1</v>
      </c>
      <c r="D427" s="20">
        <v>192</v>
      </c>
    </row>
    <row r="428" spans="1:4">
      <c r="A428" s="19" t="str">
        <f t="shared" si="41"/>
        <v>АСПС.FB_UPG_S5.CPTD</v>
      </c>
      <c r="B428" s="11">
        <v>2</v>
      </c>
      <c r="C428" s="11" t="s">
        <v>2</v>
      </c>
      <c r="D428" s="20" t="s">
        <v>3</v>
      </c>
    </row>
    <row r="429" spans="1:4">
      <c r="A429" s="21" t="str">
        <f t="shared" si="41"/>
        <v>АСПС.FB_UPG_S5.CPTD</v>
      </c>
      <c r="B429" s="8">
        <v>1</v>
      </c>
      <c r="C429" s="8" t="s">
        <v>1</v>
      </c>
      <c r="D429" s="22">
        <v>11</v>
      </c>
    </row>
    <row r="430" spans="1:4">
      <c r="A430" s="19" t="str">
        <f t="shared" ref="A430:A435" si="42">$R$2&amp;".COBN"</f>
        <v>АСПС.FB_UPG_S5.COBN</v>
      </c>
      <c r="B430" s="11">
        <v>7999</v>
      </c>
      <c r="C430" s="11" t="s">
        <v>0</v>
      </c>
      <c r="D430" s="20" t="str">
        <f>"#"&amp;$S$2&amp;"#"&amp;$T$2&amp;"\"&amp;$P$2&amp;"\COAF"</f>
        <v>#2#treiOPCDA.CoOPCserv.1\pcmaster\FB_UPG_S5\COAF</v>
      </c>
    </row>
    <row r="431" spans="1:4">
      <c r="A431" s="19" t="str">
        <f t="shared" si="42"/>
        <v>АСПС.FB_UPG_S5.COBN</v>
      </c>
      <c r="B431" s="11">
        <v>7998</v>
      </c>
      <c r="C431" s="11" t="s">
        <v>6</v>
      </c>
      <c r="D431" s="20">
        <v>1</v>
      </c>
    </row>
    <row r="432" spans="1:4">
      <c r="A432" s="19" t="str">
        <f t="shared" si="42"/>
        <v>АСПС.FB_UPG_S5.COBN</v>
      </c>
      <c r="B432" s="11">
        <v>101</v>
      </c>
      <c r="C432" s="11" t="s">
        <v>0</v>
      </c>
      <c r="D432" s="20" t="s">
        <v>583</v>
      </c>
    </row>
    <row r="433" spans="1:4">
      <c r="A433" s="19" t="str">
        <f t="shared" si="42"/>
        <v>АСПС.FB_UPG_S5.COBN</v>
      </c>
      <c r="B433" s="11">
        <v>3</v>
      </c>
      <c r="C433" s="11" t="s">
        <v>1</v>
      </c>
      <c r="D433" s="20">
        <v>192</v>
      </c>
    </row>
    <row r="434" spans="1:4">
      <c r="A434" s="19" t="str">
        <f t="shared" si="42"/>
        <v>АСПС.FB_UPG_S5.COBN</v>
      </c>
      <c r="B434" s="11">
        <v>2</v>
      </c>
      <c r="C434" s="11" t="s">
        <v>2</v>
      </c>
      <c r="D434" s="20" t="s">
        <v>3</v>
      </c>
    </row>
    <row r="435" spans="1:4">
      <c r="A435" s="21" t="str">
        <f t="shared" si="42"/>
        <v>АСПС.FB_UPG_S5.COBN</v>
      </c>
      <c r="B435" s="8">
        <v>1</v>
      </c>
      <c r="C435" s="8" t="s">
        <v>1</v>
      </c>
      <c r="D435" s="22">
        <v>11</v>
      </c>
    </row>
    <row r="436" spans="1:4">
      <c r="A436" s="19" t="str">
        <f t="shared" ref="A436:A441" si="43">$R$2&amp;".COBF"</f>
        <v>АСПС.FB_UPG_S5.COBF</v>
      </c>
      <c r="B436" s="11">
        <v>7999</v>
      </c>
      <c r="C436" s="11" t="s">
        <v>0</v>
      </c>
      <c r="D436" s="20" t="str">
        <f>"#"&amp;$S$2&amp;"#"&amp;$T$2&amp;"\"&amp;$P$2&amp;"\COAN"</f>
        <v>#2#treiOPCDA.CoOPCserv.1\pcmaster\FB_UPG_S5\COAN</v>
      </c>
    </row>
    <row r="437" spans="1:4">
      <c r="A437" s="19" t="str">
        <f t="shared" si="43"/>
        <v>АСПС.FB_UPG_S5.COBF</v>
      </c>
      <c r="B437" s="11">
        <v>7998</v>
      </c>
      <c r="C437" s="11" t="s">
        <v>6</v>
      </c>
      <c r="D437" s="20">
        <v>1</v>
      </c>
    </row>
    <row r="438" spans="1:4">
      <c r="A438" s="19" t="str">
        <f t="shared" si="43"/>
        <v>АСПС.FB_UPG_S5.COBF</v>
      </c>
      <c r="B438" s="11">
        <v>101</v>
      </c>
      <c r="C438" s="11" t="s">
        <v>0</v>
      </c>
      <c r="D438" s="20" t="s">
        <v>584</v>
      </c>
    </row>
    <row r="439" spans="1:4">
      <c r="A439" s="19" t="str">
        <f t="shared" si="43"/>
        <v>АСПС.FB_UPG_S5.COBF</v>
      </c>
      <c r="B439" s="11">
        <v>3</v>
      </c>
      <c r="C439" s="11" t="s">
        <v>1</v>
      </c>
      <c r="D439" s="20">
        <v>192</v>
      </c>
    </row>
    <row r="440" spans="1:4">
      <c r="A440" s="19" t="str">
        <f t="shared" si="43"/>
        <v>АСПС.FB_UPG_S5.COBF</v>
      </c>
      <c r="B440" s="11">
        <v>2</v>
      </c>
      <c r="C440" s="11" t="s">
        <v>2</v>
      </c>
      <c r="D440" s="20" t="s">
        <v>3</v>
      </c>
    </row>
    <row r="441" spans="1:4">
      <c r="A441" s="21" t="str">
        <f t="shared" si="43"/>
        <v>АСПС.FB_UPG_S5.COBF</v>
      </c>
      <c r="B441" s="8">
        <v>1</v>
      </c>
      <c r="C441" s="8" t="s">
        <v>1</v>
      </c>
      <c r="D441" s="22">
        <v>11</v>
      </c>
    </row>
    <row r="442" spans="1:4">
      <c r="A442" s="19" t="str">
        <f>$R$2&amp;".XNXX"</f>
        <v>АСПС.FB_UPG_S5.XNXX</v>
      </c>
      <c r="B442" s="11">
        <v>7999</v>
      </c>
      <c r="C442" s="11" t="s">
        <v>0</v>
      </c>
      <c r="D442" s="20" t="str">
        <f>"#"&amp;$S$2&amp;"#"&amp;$T$2&amp;"\"&amp;$P$2&amp;"\XNXX"</f>
        <v>#2#treiOPCDA.CoOPCserv.1\pcmaster\FB_UPG_S5\XNXX</v>
      </c>
    </row>
    <row r="443" spans="1:4">
      <c r="A443" s="19" t="str">
        <f t="shared" ref="A443:A447" si="44">$R$2&amp;".XNXX"</f>
        <v>АСПС.FB_UPG_S5.XNXX</v>
      </c>
      <c r="B443" s="11">
        <v>7998</v>
      </c>
      <c r="C443" s="11" t="s">
        <v>6</v>
      </c>
      <c r="D443" s="20">
        <v>1</v>
      </c>
    </row>
    <row r="444" spans="1:4">
      <c r="A444" s="19" t="str">
        <f t="shared" si="44"/>
        <v>АСПС.FB_UPG_S5.XNXX</v>
      </c>
      <c r="B444" s="11">
        <v>101</v>
      </c>
      <c r="C444" s="11" t="s">
        <v>0</v>
      </c>
      <c r="D444" s="20" t="s">
        <v>2942</v>
      </c>
    </row>
    <row r="445" spans="1:4">
      <c r="A445" s="19" t="str">
        <f t="shared" si="44"/>
        <v>АСПС.FB_UPG_S5.XNXX</v>
      </c>
      <c r="B445" s="11">
        <v>3</v>
      </c>
      <c r="C445" s="11" t="s">
        <v>1</v>
      </c>
      <c r="D445" s="20">
        <v>192</v>
      </c>
    </row>
    <row r="446" spans="1:4">
      <c r="A446" s="19" t="str">
        <f t="shared" si="44"/>
        <v>АСПС.FB_UPG_S5.XNXX</v>
      </c>
      <c r="B446" s="11">
        <v>2</v>
      </c>
      <c r="C446" s="11" t="s">
        <v>2</v>
      </c>
      <c r="D446" s="20" t="s">
        <v>3</v>
      </c>
    </row>
    <row r="447" spans="1:4">
      <c r="A447" s="21" t="str">
        <f t="shared" si="44"/>
        <v>АСПС.FB_UPG_S5.XNXX</v>
      </c>
      <c r="B447" s="8">
        <v>1</v>
      </c>
      <c r="C447" s="8" t="s">
        <v>1</v>
      </c>
      <c r="D447" s="22">
        <v>11</v>
      </c>
    </row>
    <row r="448" spans="1:4">
      <c r="A448" s="266" t="str">
        <f t="shared" ref="A448:A453" si="45">$R$2&amp;".XFT1"</f>
        <v>АСПС.FB_UPG_S5.XFT1</v>
      </c>
      <c r="B448" s="267">
        <v>7999</v>
      </c>
      <c r="C448" s="267" t="s">
        <v>0</v>
      </c>
      <c r="D448" s="268" t="str">
        <f>"#"&amp;$S$2&amp;"#"&amp;$T$2&amp;"\"&amp;$P$2&amp;"\XFT1"</f>
        <v>#2#treiOPCDA.CoOPCserv.1\pcmaster\FB_UPG_S5\XFT1</v>
      </c>
    </row>
    <row r="449" spans="1:4">
      <c r="A449" s="269" t="str">
        <f t="shared" si="45"/>
        <v>АСПС.FB_UPG_S5.XFT1</v>
      </c>
      <c r="B449" s="270">
        <v>7998</v>
      </c>
      <c r="C449" s="270" t="s">
        <v>6</v>
      </c>
      <c r="D449" s="271">
        <v>1</v>
      </c>
    </row>
    <row r="450" spans="1:4">
      <c r="A450" s="269" t="str">
        <f t="shared" si="45"/>
        <v>АСПС.FB_UPG_S5.XFT1</v>
      </c>
      <c r="B450" s="270">
        <v>101</v>
      </c>
      <c r="C450" s="270" t="s">
        <v>0</v>
      </c>
      <c r="D450" s="271" t="s">
        <v>588</v>
      </c>
    </row>
    <row r="451" spans="1:4">
      <c r="A451" s="269" t="str">
        <f t="shared" si="45"/>
        <v>АСПС.FB_UPG_S5.XFT1</v>
      </c>
      <c r="B451" s="270">
        <v>3</v>
      </c>
      <c r="C451" s="270" t="s">
        <v>1</v>
      </c>
      <c r="D451" s="271">
        <v>192</v>
      </c>
    </row>
    <row r="452" spans="1:4">
      <c r="A452" s="269" t="str">
        <f t="shared" si="45"/>
        <v>АСПС.FB_UPG_S5.XFT1</v>
      </c>
      <c r="B452" s="270">
        <v>2</v>
      </c>
      <c r="C452" s="270" t="s">
        <v>6</v>
      </c>
      <c r="D452" s="271">
        <v>0</v>
      </c>
    </row>
    <row r="453" spans="1:4">
      <c r="A453" s="272" t="str">
        <f t="shared" si="45"/>
        <v>АСПС.FB_UPG_S5.XFT1</v>
      </c>
      <c r="B453" s="273">
        <v>1</v>
      </c>
      <c r="C453" s="273" t="s">
        <v>1</v>
      </c>
      <c r="D453" s="274">
        <v>3</v>
      </c>
    </row>
    <row r="454" spans="1:4">
      <c r="A454" s="266" t="str">
        <f t="shared" ref="A454:A459" si="46">$R$2&amp;".XFTD"</f>
        <v>АСПС.FB_UPG_S5.XFTD</v>
      </c>
      <c r="B454" s="267">
        <v>7999</v>
      </c>
      <c r="C454" s="267" t="s">
        <v>0</v>
      </c>
      <c r="D454" s="268" t="str">
        <f>"#"&amp;$S$2&amp;"#"&amp;$T$2&amp;"\"&amp;$P$2&amp;"\XFTD"</f>
        <v>#2#treiOPCDA.CoOPCserv.1\pcmaster\FB_UPG_S5\XFTD</v>
      </c>
    </row>
    <row r="455" spans="1:4">
      <c r="A455" s="269" t="str">
        <f t="shared" si="46"/>
        <v>АСПС.FB_UPG_S5.XFTD</v>
      </c>
      <c r="B455" s="270">
        <v>7998</v>
      </c>
      <c r="C455" s="270" t="s">
        <v>6</v>
      </c>
      <c r="D455" s="271">
        <v>1</v>
      </c>
    </row>
    <row r="456" spans="1:4">
      <c r="A456" s="269" t="str">
        <f t="shared" si="46"/>
        <v>АСПС.FB_UPG_S5.XFTD</v>
      </c>
      <c r="B456" s="270">
        <v>101</v>
      </c>
      <c r="C456" s="270" t="s">
        <v>0</v>
      </c>
      <c r="D456" s="271" t="s">
        <v>473</v>
      </c>
    </row>
    <row r="457" spans="1:4">
      <c r="A457" s="269" t="str">
        <f t="shared" si="46"/>
        <v>АСПС.FB_UPG_S5.XFTD</v>
      </c>
      <c r="B457" s="270">
        <v>3</v>
      </c>
      <c r="C457" s="270" t="s">
        <v>1</v>
      </c>
      <c r="D457" s="271">
        <v>192</v>
      </c>
    </row>
    <row r="458" spans="1:4">
      <c r="A458" s="269" t="str">
        <f t="shared" si="46"/>
        <v>АСПС.FB_UPG_S5.XFTD</v>
      </c>
      <c r="B458" s="270">
        <v>2</v>
      </c>
      <c r="C458" s="270" t="s">
        <v>6</v>
      </c>
      <c r="D458" s="271">
        <v>0</v>
      </c>
    </row>
    <row r="459" spans="1:4">
      <c r="A459" s="272" t="str">
        <f t="shared" si="46"/>
        <v>АСПС.FB_UPG_S5.XFTD</v>
      </c>
      <c r="B459" s="273">
        <v>1</v>
      </c>
      <c r="C459" s="273" t="s">
        <v>1</v>
      </c>
      <c r="D459" s="274">
        <v>3</v>
      </c>
    </row>
  </sheetData>
  <autoFilter ref="B1:B459" xr:uid="{00000000-0009-0000-0000-000053000000}"/>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Лист78">
    <tabColor rgb="FFFFC000"/>
  </sheetPr>
  <dimension ref="A1:BR114"/>
  <sheetViews>
    <sheetView topLeftCell="A31" zoomScale="60" zoomScaleNormal="60" workbookViewId="0">
      <selection activeCell="D2" sqref="D2:D4"/>
    </sheetView>
  </sheetViews>
  <sheetFormatPr defaultRowHeight="14.4"/>
  <cols>
    <col min="1" max="1" width="37.109375" customWidth="1"/>
    <col min="2" max="2" width="9.5546875" customWidth="1"/>
    <col min="4" max="4" width="63.88671875" customWidth="1"/>
    <col min="5" max="15" width="9.109375"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7.33203125" customWidth="1"/>
    <col min="56" max="56" width="10.33203125" customWidth="1"/>
    <col min="57" max="57" width="10" customWidth="1"/>
    <col min="59" max="59" width="7.109375" customWidth="1"/>
    <col min="60" max="60" width="10.88671875" customWidth="1"/>
    <col min="62" max="62" width="65.109375" customWidth="1"/>
  </cols>
  <sheetData>
    <row r="1" spans="1:66" s="258" customFormat="1" ht="204.6" thickBot="1">
      <c r="A1" s="257"/>
      <c r="B1" s="257"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K1" s="259"/>
      <c r="BL1" s="259"/>
      <c r="BM1" s="259"/>
      <c r="BN1" s="259"/>
    </row>
    <row r="2" spans="1:66">
      <c r="A2" s="9"/>
      <c r="B2" s="9"/>
      <c r="C2" s="9"/>
      <c r="D2" s="9"/>
      <c r="E2" s="9"/>
      <c r="F2" s="9"/>
      <c r="P2" s="2" t="s">
        <v>613</v>
      </c>
      <c r="Q2" s="2" t="s">
        <v>489</v>
      </c>
      <c r="R2" s="2" t="s">
        <v>754</v>
      </c>
      <c r="S2" s="3">
        <v>1</v>
      </c>
      <c r="T2" s="3" t="s">
        <v>1698</v>
      </c>
      <c r="U2" s="3"/>
      <c r="V2" s="3" t="s">
        <v>569</v>
      </c>
      <c r="W2" s="12"/>
      <c r="X2" s="12"/>
      <c r="Y2" s="12"/>
      <c r="Z2" s="12"/>
      <c r="AA2" s="12"/>
      <c r="AB2" s="2"/>
      <c r="AC2" s="2"/>
      <c r="AD2" s="2"/>
      <c r="AE2" s="2" t="s">
        <v>1414</v>
      </c>
      <c r="AF2" s="2"/>
      <c r="AG2" s="2"/>
      <c r="AH2" s="2"/>
      <c r="AI2" s="2"/>
      <c r="AJ2" s="2"/>
      <c r="AK2" s="2" t="s">
        <v>1301</v>
      </c>
      <c r="AL2" s="2"/>
      <c r="AM2" s="2"/>
      <c r="AN2" s="2"/>
      <c r="AO2" s="2"/>
      <c r="AP2" s="2"/>
      <c r="AQ2" s="2"/>
      <c r="AR2" s="2"/>
      <c r="AS2" s="2"/>
      <c r="AT2" s="2"/>
      <c r="AU2" s="2"/>
      <c r="AV2" s="2"/>
      <c r="AW2" s="2"/>
      <c r="AX2" s="2"/>
      <c r="AY2" s="2"/>
      <c r="AZ2" s="2"/>
      <c r="BA2" s="2"/>
      <c r="BK2" s="4"/>
      <c r="BL2" s="4"/>
      <c r="BM2" s="4"/>
      <c r="BN2" s="4"/>
    </row>
    <row r="3" spans="1:66">
      <c r="A3" s="9"/>
      <c r="B3" s="9"/>
      <c r="C3" s="9"/>
      <c r="D3" s="9"/>
      <c r="E3" s="9"/>
      <c r="F3" s="9"/>
      <c r="P3" s="10"/>
      <c r="Q3" s="10"/>
      <c r="R3" s="10"/>
      <c r="S3" s="10"/>
      <c r="T3" s="10"/>
      <c r="U3" s="10"/>
      <c r="V3" s="10"/>
      <c r="W3" s="10"/>
      <c r="X3" s="10"/>
      <c r="Y3" s="10"/>
      <c r="Z3" s="10"/>
      <c r="AA3" s="10"/>
      <c r="BK3" s="4"/>
      <c r="BL3" s="4"/>
      <c r="BM3" s="4"/>
      <c r="BN3" s="4"/>
    </row>
    <row r="4" spans="1:66">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K4" s="4"/>
      <c r="BL4" s="4"/>
      <c r="BM4" s="4"/>
      <c r="BN4" s="4"/>
    </row>
    <row r="5" spans="1:66">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K5" s="4"/>
      <c r="BL5" s="4"/>
      <c r="BM5" s="4"/>
      <c r="BN5" s="4"/>
    </row>
    <row r="6" spans="1:66">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K6" s="4"/>
      <c r="BL6" s="4"/>
      <c r="BM6" s="4"/>
      <c r="BN6" s="4"/>
    </row>
    <row r="7" spans="1:66">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K7" s="4"/>
      <c r="BL7" s="4"/>
      <c r="BM7" s="4"/>
      <c r="BN7" s="4"/>
    </row>
    <row r="8" spans="1:66">
      <c r="A8" s="9"/>
      <c r="B8" s="9"/>
      <c r="C8" s="9"/>
      <c r="D8" s="9"/>
      <c r="E8" s="9"/>
      <c r="F8" s="9"/>
      <c r="P8" s="6" t="str">
        <f>Настройки!A5</f>
        <v>Телесигнализация</v>
      </c>
      <c r="Q8" s="5">
        <f>Настройки!B5</f>
        <v>18</v>
      </c>
      <c r="R8" s="5" t="str">
        <f>Настройки!C5</f>
        <v>Телесигнализация</v>
      </c>
      <c r="S8" s="10"/>
      <c r="T8" s="14"/>
      <c r="U8" s="10"/>
      <c r="V8" s="10"/>
      <c r="W8" s="10"/>
      <c r="X8" s="10"/>
      <c r="Y8" s="10"/>
      <c r="Z8" s="10"/>
      <c r="AA8" s="10"/>
      <c r="BK8" s="4"/>
      <c r="BL8" s="4"/>
      <c r="BM8" s="4"/>
      <c r="BN8" s="4"/>
    </row>
    <row r="9" spans="1:66">
      <c r="A9" s="9"/>
      <c r="B9" s="9"/>
      <c r="C9" s="9"/>
      <c r="D9" s="9"/>
      <c r="E9" s="9"/>
      <c r="F9" s="9"/>
      <c r="P9" s="6" t="str">
        <f>Настройки!A6</f>
        <v>Недостоверность</v>
      </c>
      <c r="Q9" s="5">
        <f>Настройки!B6</f>
        <v>10</v>
      </c>
      <c r="R9" s="5" t="str">
        <f>Настройки!C6</f>
        <v>Недостоверность</v>
      </c>
      <c r="S9" s="10"/>
      <c r="T9" s="14"/>
      <c r="U9" s="10"/>
      <c r="V9" s="10"/>
      <c r="W9" s="10"/>
      <c r="X9" s="10"/>
      <c r="Y9" s="10"/>
      <c r="Z9" s="10"/>
      <c r="AA9" s="10"/>
      <c r="BK9" s="4"/>
      <c r="BL9" s="4"/>
      <c r="BM9" s="4"/>
      <c r="BN9" s="4"/>
    </row>
    <row r="10" spans="1:66">
      <c r="A10" s="9"/>
      <c r="B10" s="9"/>
      <c r="C10" s="9"/>
      <c r="D10" s="9"/>
      <c r="E10" s="9"/>
      <c r="F10" s="9"/>
      <c r="P10" s="6" t="str">
        <f>Настройки!A7</f>
        <v>Имитация</v>
      </c>
      <c r="Q10" s="5">
        <f>Настройки!B7</f>
        <v>16</v>
      </c>
      <c r="R10" s="5" t="str">
        <f>Настройки!C7</f>
        <v>Имитация</v>
      </c>
      <c r="S10" s="10"/>
      <c r="T10" s="14"/>
      <c r="U10" s="10"/>
      <c r="V10" s="10"/>
      <c r="W10" s="10"/>
      <c r="X10" s="10"/>
      <c r="Y10" s="10"/>
      <c r="Z10" s="10"/>
      <c r="AA10" s="10"/>
      <c r="BK10" s="4"/>
      <c r="BL10" s="4"/>
      <c r="BM10" s="4"/>
      <c r="BN10" s="4"/>
    </row>
    <row r="11" spans="1:66">
      <c r="A11" s="9"/>
      <c r="B11" s="9"/>
      <c r="C11" s="9"/>
      <c r="D11" s="9"/>
      <c r="E11" s="9"/>
      <c r="F11" s="9"/>
      <c r="P11" s="6" t="str">
        <f>Настройки!A8</f>
        <v>Ремонт</v>
      </c>
      <c r="Q11" s="5">
        <f>Настройки!B8</f>
        <v>14</v>
      </c>
      <c r="R11" s="5" t="str">
        <f>Настройки!C8</f>
        <v>Ремонт</v>
      </c>
      <c r="S11" s="10"/>
      <c r="T11" s="14"/>
      <c r="U11" s="10"/>
      <c r="V11" s="10"/>
      <c r="W11" s="10"/>
      <c r="X11" s="10"/>
      <c r="Y11" s="10"/>
      <c r="Z11" s="10"/>
      <c r="AA11" s="10"/>
      <c r="BK11" s="4"/>
      <c r="BL11" s="4"/>
      <c r="BM11" s="4"/>
      <c r="BN11" s="4"/>
    </row>
    <row r="12" spans="1:66">
      <c r="A12" s="9"/>
      <c r="B12" s="9"/>
      <c r="C12" s="9"/>
      <c r="D12" s="9"/>
      <c r="E12" s="9"/>
      <c r="F12" s="9"/>
      <c r="P12" s="6" t="str">
        <f>Настройки!A9</f>
        <v>Команда оператора</v>
      </c>
      <c r="Q12" s="5">
        <f>Настройки!B9</f>
        <v>20</v>
      </c>
      <c r="R12" s="5" t="str">
        <f>Настройки!C9</f>
        <v>Команда оператора</v>
      </c>
      <c r="S12" s="10"/>
      <c r="T12" s="14"/>
      <c r="U12" s="10"/>
      <c r="V12" s="10"/>
      <c r="W12" s="10"/>
      <c r="X12" s="10"/>
      <c r="Y12" s="10"/>
      <c r="Z12" s="10"/>
      <c r="AA12" s="10"/>
      <c r="BK12" s="4"/>
      <c r="BL12" s="4"/>
      <c r="BM12" s="4"/>
      <c r="BN12" s="4"/>
    </row>
    <row r="13" spans="1:66">
      <c r="A13" s="9"/>
      <c r="B13" s="9"/>
      <c r="C13" s="9"/>
      <c r="D13" s="9"/>
      <c r="E13" s="9"/>
      <c r="F13" s="9"/>
      <c r="P13" s="6" t="str">
        <f>Настройки!A10</f>
        <v>Тревога</v>
      </c>
      <c r="Q13" s="5">
        <f>Настройки!B10</f>
        <v>5</v>
      </c>
      <c r="R13" s="5" t="str">
        <f>Настройки!C10</f>
        <v>Тревога</v>
      </c>
      <c r="S13" s="10"/>
      <c r="T13" s="14"/>
      <c r="U13" s="10"/>
      <c r="V13" s="10"/>
      <c r="W13" s="10"/>
      <c r="X13" s="10"/>
      <c r="Y13" s="10"/>
      <c r="Z13" s="10"/>
      <c r="AA13" s="10"/>
      <c r="BK13" s="4"/>
      <c r="BL13" s="4"/>
      <c r="BM13" s="4"/>
      <c r="BN13" s="4"/>
    </row>
    <row r="14" spans="1:66">
      <c r="A14" s="9"/>
      <c r="B14" s="9"/>
      <c r="C14" s="9"/>
      <c r="D14" s="9"/>
      <c r="E14" s="9"/>
      <c r="F14" s="9"/>
      <c r="P14" s="6" t="str">
        <f>Настройки!A11</f>
        <v>Тушение</v>
      </c>
      <c r="Q14" s="5">
        <f>Настройки!B11</f>
        <v>1</v>
      </c>
      <c r="R14" s="5" t="str">
        <f>Настройки!C11</f>
        <v>Тушение</v>
      </c>
      <c r="S14" s="10"/>
      <c r="T14" s="14"/>
      <c r="U14" s="10"/>
      <c r="V14" s="10"/>
      <c r="W14" s="10"/>
      <c r="X14" s="10"/>
      <c r="Y14" s="10"/>
      <c r="Z14" s="10"/>
      <c r="AA14" s="10"/>
      <c r="BK14" s="4"/>
      <c r="BL14" s="4"/>
      <c r="BM14" s="4"/>
      <c r="BN14" s="4"/>
    </row>
    <row r="15" spans="1:66">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K15" s="4"/>
      <c r="BL15" s="4"/>
      <c r="BM15" s="4"/>
      <c r="BN15" s="4"/>
    </row>
    <row r="16" spans="1:66">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K16" s="4"/>
      <c r="BL16" s="4"/>
      <c r="BM16" s="4"/>
      <c r="BN16" s="4"/>
    </row>
    <row r="17" spans="1:70">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K17" s="4"/>
      <c r="BL17" s="4"/>
      <c r="BM17" s="4"/>
      <c r="BN17" s="4"/>
    </row>
    <row r="18" spans="1:70">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K18" s="4"/>
      <c r="BL18" s="4"/>
      <c r="BM18" s="4"/>
      <c r="BN18" s="4"/>
    </row>
    <row r="19" spans="1:70">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K19" s="4"/>
      <c r="BL19" s="4"/>
      <c r="BM19" s="4"/>
      <c r="BN19" s="4"/>
    </row>
    <row r="20" spans="1:70">
      <c r="A20" s="16" t="str">
        <f>$R$2</f>
        <v>АСПС.FB_KL_UPT_S</v>
      </c>
      <c r="B20" s="17">
        <v>11001</v>
      </c>
      <c r="C20" s="17" t="s">
        <v>0</v>
      </c>
      <c r="D20" s="18" t="str">
        <f>$Q$2&amp;". "</f>
        <v xml:space="preserve">Клапаны однокомандные с КЦ (клапан соленоид). </v>
      </c>
      <c r="F20" s="4"/>
      <c r="BK20" s="4"/>
      <c r="BL20" s="4"/>
      <c r="BM20" s="4"/>
      <c r="BN20" s="4"/>
    </row>
    <row r="21" spans="1:70">
      <c r="A21" s="19" t="str">
        <f>$R$2</f>
        <v>АСПС.FB_KL_UPT_S</v>
      </c>
      <c r="B21" s="11">
        <v>11156</v>
      </c>
      <c r="C21" s="11" t="s">
        <v>0</v>
      </c>
      <c r="D21" s="20" t="str">
        <f>$V$2</f>
        <v>Тестовый экран</v>
      </c>
      <c r="F21" s="4"/>
      <c r="BK21" s="4"/>
      <c r="BL21" s="4"/>
      <c r="BM21" s="4"/>
      <c r="BN21" s="4"/>
    </row>
    <row r="22" spans="1:70">
      <c r="A22" s="19" t="str">
        <f>$R$2</f>
        <v>АСПС.FB_KL_UPT_S</v>
      </c>
      <c r="B22" s="11">
        <v>1</v>
      </c>
      <c r="C22" s="11" t="s">
        <v>1</v>
      </c>
      <c r="D22" s="20">
        <v>17</v>
      </c>
      <c r="BK22" s="4"/>
      <c r="BL22" s="4"/>
      <c r="BM22" s="4"/>
      <c r="BN22" s="4"/>
    </row>
    <row r="23" spans="1:70" ht="15" customHeight="1">
      <c r="A23" s="16" t="str">
        <f>$R$2</f>
        <v>АСПС.FB_KL_UPT_S</v>
      </c>
      <c r="B23" s="17">
        <v>100</v>
      </c>
      <c r="C23" s="17" t="s">
        <v>0</v>
      </c>
      <c r="D23" s="18" t="b">
        <f>$T$7</f>
        <v>0</v>
      </c>
      <c r="BF23" s="4"/>
      <c r="BG23" s="4"/>
      <c r="BH23" s="4"/>
      <c r="BI23" s="4"/>
    </row>
    <row r="24" spans="1:70">
      <c r="A24" s="21" t="str">
        <f>$R$2</f>
        <v>АСПС.FB_KL_UPT_S</v>
      </c>
      <c r="B24" s="8">
        <v>11121</v>
      </c>
      <c r="C24" s="8" t="s">
        <v>0</v>
      </c>
      <c r="D24" s="22">
        <f>$AQ$2</f>
        <v>0</v>
      </c>
      <c r="BK24" s="4"/>
      <c r="BL24" s="4"/>
      <c r="BM24" s="4"/>
      <c r="BN24" s="4"/>
    </row>
    <row r="25" spans="1:70">
      <c r="A25" s="16" t="str">
        <f t="shared" ref="A25:A26" si="0">$R$2</f>
        <v>АСПС.FB_KL_UPT_S</v>
      </c>
      <c r="B25" s="17">
        <v>13</v>
      </c>
      <c r="C25" s="17" t="s">
        <v>2</v>
      </c>
      <c r="D25" s="18" t="s">
        <v>3</v>
      </c>
      <c r="BK25" s="4"/>
      <c r="BL25" s="4"/>
      <c r="BM25" s="4"/>
      <c r="BN25" s="4"/>
    </row>
    <row r="26" spans="1:70">
      <c r="A26" s="21" t="str">
        <f t="shared" si="0"/>
        <v>АСПС.FB_KL_UPT_S</v>
      </c>
      <c r="B26" s="8">
        <v>3000013</v>
      </c>
      <c r="C26" s="8" t="s">
        <v>0</v>
      </c>
      <c r="D26" s="22" t="str">
        <f>$AE$2</f>
        <v>Диагностика.CPU.NOT_LINK.noLink</v>
      </c>
      <c r="BK26" s="4"/>
      <c r="BL26" s="4"/>
      <c r="BM26" s="4"/>
      <c r="BN26" s="4"/>
    </row>
    <row r="27" spans="1:70">
      <c r="A27" s="211" t="str">
        <f>$R$2&amp;".FCON"</f>
        <v>АСПС.FB_KL_UPT_S.FCON</v>
      </c>
      <c r="B27" s="212">
        <v>11154</v>
      </c>
      <c r="C27" s="212" t="s">
        <v>4</v>
      </c>
      <c r="D27" s="221">
        <f>$Q$7</f>
        <v>12</v>
      </c>
      <c r="E27" s="163" t="str">
        <f>$R$2&amp;".DBTX"</f>
        <v>АСПС.FB_KL_UPT_S.DBTX</v>
      </c>
      <c r="F27" s="123">
        <v>11154</v>
      </c>
      <c r="G27" s="123" t="s">
        <v>4</v>
      </c>
      <c r="H27" s="124">
        <f>$Q$9</f>
        <v>10</v>
      </c>
      <c r="BO27" s="4"/>
      <c r="BP27" s="4"/>
      <c r="BQ27" s="4"/>
      <c r="BR27" s="4"/>
    </row>
    <row r="28" spans="1:70">
      <c r="A28" s="211" t="str">
        <f t="shared" ref="A28:A36" si="1">$R$2&amp;".FCON"</f>
        <v>АСПС.FB_KL_UPT_S.FCON</v>
      </c>
      <c r="B28" s="212">
        <v>11152</v>
      </c>
      <c r="C28" s="212" t="s">
        <v>0</v>
      </c>
      <c r="D28" s="220" t="str">
        <f>$R$7</f>
        <v>Неисправность</v>
      </c>
      <c r="E28" s="110" t="str">
        <f t="shared" ref="E28:E36" si="2">$R$2&amp;".DBTX"</f>
        <v>АСПС.FB_KL_UPT_S.DBTX</v>
      </c>
      <c r="F28" s="111">
        <v>11150</v>
      </c>
      <c r="G28" s="111" t="s">
        <v>0</v>
      </c>
      <c r="H28" s="112" t="s">
        <v>436</v>
      </c>
      <c r="BO28" s="4"/>
      <c r="BP28" s="4"/>
      <c r="BQ28" s="4"/>
      <c r="BR28" s="4"/>
    </row>
    <row r="29" spans="1:70">
      <c r="A29" s="211" t="str">
        <f t="shared" si="1"/>
        <v>АСПС.FB_KL_UPT_S.FCON</v>
      </c>
      <c r="B29" s="212">
        <v>11150</v>
      </c>
      <c r="C29" s="212" t="s">
        <v>0</v>
      </c>
      <c r="D29" s="213" t="s">
        <v>478</v>
      </c>
      <c r="E29" s="110" t="str">
        <f t="shared" si="2"/>
        <v>АСПС.FB_KL_UPT_S.DBTX</v>
      </c>
      <c r="F29" s="111">
        <v>11152</v>
      </c>
      <c r="G29" s="111" t="s">
        <v>0</v>
      </c>
      <c r="H29" s="113" t="str">
        <f>$R$9</f>
        <v>Недостоверность</v>
      </c>
      <c r="BO29" s="4"/>
      <c r="BP29" s="4"/>
      <c r="BQ29" s="4"/>
      <c r="BR29" s="4"/>
    </row>
    <row r="30" spans="1:70">
      <c r="A30" s="211" t="str">
        <f t="shared" si="1"/>
        <v>АСПС.FB_KL_UPT_S.FCON</v>
      </c>
      <c r="B30" s="212">
        <v>11000</v>
      </c>
      <c r="C30" s="212" t="s">
        <v>5</v>
      </c>
      <c r="D30" s="213">
        <v>2147483680</v>
      </c>
      <c r="E30" s="110" t="str">
        <f t="shared" si="2"/>
        <v>АСПС.FB_KL_UPT_S.DBTX</v>
      </c>
      <c r="F30" s="111">
        <v>11000</v>
      </c>
      <c r="G30" s="111" t="s">
        <v>5</v>
      </c>
      <c r="H30" s="112">
        <v>2147483680</v>
      </c>
      <c r="BO30" s="4"/>
      <c r="BP30" s="4"/>
      <c r="BQ30" s="4"/>
      <c r="BR30" s="4"/>
    </row>
    <row r="31" spans="1:70">
      <c r="A31" s="19" t="str">
        <f t="shared" si="1"/>
        <v>АСПС.FB_KL_UPT_S.FCON</v>
      </c>
      <c r="B31" s="11">
        <v>7999</v>
      </c>
      <c r="C31" s="11" t="s">
        <v>0</v>
      </c>
      <c r="D31" s="20" t="str">
        <f>"#"&amp;$S$2&amp;"#"&amp;$T$2&amp;"\"&amp;$P$2&amp;"\FCON"</f>
        <v>#1#treiOPCDA.CoOPCserv.1\pcmaster\FB_KL_UPT_S\FCON</v>
      </c>
      <c r="E31" s="19" t="str">
        <f t="shared" si="2"/>
        <v>АСПС.FB_KL_UPT_S.DBTX</v>
      </c>
      <c r="F31" s="11">
        <v>7999</v>
      </c>
      <c r="G31" s="11" t="s">
        <v>0</v>
      </c>
      <c r="H31" s="20" t="str">
        <f>"#"&amp;$S$2&amp;"#"&amp;$T$2&amp;"\"&amp;$P$2&amp;"\DBTX"</f>
        <v>#1#treiOPCDA.CoOPCserv.1\pcmaster\FB_KL_UPT_S\DBTX</v>
      </c>
      <c r="BO31" s="4"/>
      <c r="BP31" s="4"/>
      <c r="BQ31" s="4"/>
      <c r="BR31" s="4"/>
    </row>
    <row r="32" spans="1:70">
      <c r="A32" s="19" t="str">
        <f t="shared" si="1"/>
        <v>АСПС.FB_KL_UPT_S.FCON</v>
      </c>
      <c r="B32" s="11">
        <v>7998</v>
      </c>
      <c r="C32" s="11" t="s">
        <v>6</v>
      </c>
      <c r="D32" s="20">
        <v>1</v>
      </c>
      <c r="E32" s="19" t="str">
        <f t="shared" si="2"/>
        <v>АСПС.FB_KL_UPT_S.DBTX</v>
      </c>
      <c r="F32" s="11">
        <v>7998</v>
      </c>
      <c r="G32" s="11" t="s">
        <v>6</v>
      </c>
      <c r="H32" s="20">
        <v>1</v>
      </c>
      <c r="BO32" s="4"/>
      <c r="BP32" s="4"/>
      <c r="BQ32" s="4"/>
      <c r="BR32" s="4"/>
    </row>
    <row r="33" spans="1:70">
      <c r="A33" s="19" t="str">
        <f t="shared" si="1"/>
        <v>АСПС.FB_KL_UPT_S.FCON</v>
      </c>
      <c r="B33" s="11">
        <v>101</v>
      </c>
      <c r="C33" s="11" t="s">
        <v>0</v>
      </c>
      <c r="D33" s="20" t="s">
        <v>478</v>
      </c>
      <c r="E33" s="19" t="str">
        <f t="shared" si="2"/>
        <v>АСПС.FB_KL_UPT_S.DBTX</v>
      </c>
      <c r="F33" s="11">
        <v>101</v>
      </c>
      <c r="G33" s="11" t="s">
        <v>0</v>
      </c>
      <c r="H33" s="20" t="s">
        <v>436</v>
      </c>
      <c r="BO33" s="4"/>
      <c r="BP33" s="4"/>
      <c r="BQ33" s="4"/>
      <c r="BR33" s="4"/>
    </row>
    <row r="34" spans="1:70">
      <c r="A34" s="19" t="str">
        <f t="shared" si="1"/>
        <v>АСПС.FB_KL_UPT_S.FCON</v>
      </c>
      <c r="B34" s="11">
        <v>3</v>
      </c>
      <c r="C34" s="11" t="s">
        <v>1</v>
      </c>
      <c r="D34" s="20">
        <v>192</v>
      </c>
      <c r="E34" s="19" t="str">
        <f t="shared" si="2"/>
        <v>АСПС.FB_KL_UPT_S.DBTX</v>
      </c>
      <c r="F34" s="11">
        <v>3</v>
      </c>
      <c r="G34" s="11" t="s">
        <v>1</v>
      </c>
      <c r="H34" s="20">
        <v>192</v>
      </c>
      <c r="BO34" s="4"/>
      <c r="BP34" s="4"/>
      <c r="BQ34" s="4"/>
      <c r="BR34" s="4"/>
    </row>
    <row r="35" spans="1:70">
      <c r="A35" s="19" t="str">
        <f t="shared" si="1"/>
        <v>АСПС.FB_KL_UPT_S.FCON</v>
      </c>
      <c r="B35" s="11">
        <v>2</v>
      </c>
      <c r="C35" s="11" t="s">
        <v>2</v>
      </c>
      <c r="D35" s="20" t="s">
        <v>3</v>
      </c>
      <c r="E35" s="19" t="str">
        <f t="shared" si="2"/>
        <v>АСПС.FB_KL_UPT_S.DBTX</v>
      </c>
      <c r="F35" s="11">
        <v>2</v>
      </c>
      <c r="G35" s="11" t="s">
        <v>2</v>
      </c>
      <c r="H35" s="20" t="s">
        <v>3</v>
      </c>
      <c r="BO35" s="4"/>
      <c r="BP35" s="4"/>
      <c r="BQ35" s="4"/>
      <c r="BR35" s="4"/>
    </row>
    <row r="36" spans="1:70">
      <c r="A36" s="21" t="str">
        <f t="shared" si="1"/>
        <v>АСПС.FB_KL_UPT_S.FCON</v>
      </c>
      <c r="B36" s="8">
        <v>1</v>
      </c>
      <c r="C36" s="8" t="s">
        <v>1</v>
      </c>
      <c r="D36" s="22">
        <v>11</v>
      </c>
      <c r="E36" s="21" t="str">
        <f t="shared" si="2"/>
        <v>АСПС.FB_KL_UPT_S.DBTX</v>
      </c>
      <c r="F36" s="8">
        <v>1</v>
      </c>
      <c r="G36" s="8" t="s">
        <v>1</v>
      </c>
      <c r="H36" s="22">
        <v>11</v>
      </c>
      <c r="BO36" s="4"/>
      <c r="BP36" s="4"/>
      <c r="BQ36" s="4"/>
      <c r="BR36" s="4"/>
    </row>
    <row r="37" spans="1:70">
      <c r="A37" s="211" t="str">
        <f>$R$2&amp;".FBON"</f>
        <v>АСПС.FB_KL_UPT_S.FBON</v>
      </c>
      <c r="B37" s="212">
        <v>11154</v>
      </c>
      <c r="C37" s="212" t="s">
        <v>4</v>
      </c>
      <c r="D37" s="221">
        <f>$Q$7</f>
        <v>12</v>
      </c>
      <c r="BK37" s="4"/>
      <c r="BL37" s="4"/>
      <c r="BM37" s="4"/>
      <c r="BN37" s="4"/>
    </row>
    <row r="38" spans="1:70">
      <c r="A38" s="211" t="str">
        <f t="shared" ref="A38:A46" si="3">$R$2&amp;".FBON"</f>
        <v>АСПС.FB_KL_UPT_S.FBON</v>
      </c>
      <c r="B38" s="212">
        <v>11152</v>
      </c>
      <c r="C38" s="212" t="s">
        <v>0</v>
      </c>
      <c r="D38" s="220" t="str">
        <f>$R$7</f>
        <v>Неисправность</v>
      </c>
      <c r="BK38" s="4"/>
      <c r="BL38" s="4"/>
      <c r="BM38" s="4"/>
      <c r="BN38" s="4"/>
    </row>
    <row r="39" spans="1:70">
      <c r="A39" s="211" t="str">
        <f t="shared" si="3"/>
        <v>АСПС.FB_KL_UPT_S.FBON</v>
      </c>
      <c r="B39" s="212">
        <v>11150</v>
      </c>
      <c r="C39" s="212" t="s">
        <v>0</v>
      </c>
      <c r="D39" s="213" t="s">
        <v>479</v>
      </c>
      <c r="BK39" s="4"/>
      <c r="BL39" s="4"/>
      <c r="BM39" s="4"/>
      <c r="BN39" s="4"/>
    </row>
    <row r="40" spans="1:70">
      <c r="A40" s="211" t="str">
        <f t="shared" si="3"/>
        <v>АСПС.FB_KL_UPT_S.FBON</v>
      </c>
      <c r="B40" s="212">
        <v>11000</v>
      </c>
      <c r="C40" s="212" t="s">
        <v>5</v>
      </c>
      <c r="D40" s="213">
        <v>2147483680</v>
      </c>
      <c r="BK40" s="4"/>
      <c r="BL40" s="4"/>
      <c r="BM40" s="4"/>
      <c r="BN40" s="4"/>
    </row>
    <row r="41" spans="1:70">
      <c r="A41" s="19" t="str">
        <f t="shared" si="3"/>
        <v>АСПС.FB_KL_UPT_S.FBON</v>
      </c>
      <c r="B41" s="11">
        <v>7999</v>
      </c>
      <c r="C41" s="11" t="s">
        <v>0</v>
      </c>
      <c r="D41" s="20" t="str">
        <f>"#"&amp;$S$2&amp;"#"&amp;$T$2&amp;"\"&amp;$P$2&amp;"\FBON"</f>
        <v>#1#treiOPCDA.CoOPCserv.1\pcmaster\FB_KL_UPT_S\FBON</v>
      </c>
      <c r="BK41" s="4"/>
      <c r="BL41" s="4"/>
      <c r="BM41" s="4"/>
      <c r="BN41" s="4"/>
    </row>
    <row r="42" spans="1:70">
      <c r="A42" s="19" t="str">
        <f t="shared" si="3"/>
        <v>АСПС.FB_KL_UPT_S.FBON</v>
      </c>
      <c r="B42" s="11">
        <v>7998</v>
      </c>
      <c r="C42" s="11" t="s">
        <v>6</v>
      </c>
      <c r="D42" s="20">
        <v>1</v>
      </c>
      <c r="BK42" s="4"/>
      <c r="BL42" s="4"/>
      <c r="BM42" s="4"/>
      <c r="BN42" s="4"/>
    </row>
    <row r="43" spans="1:70">
      <c r="A43" s="19" t="str">
        <f t="shared" si="3"/>
        <v>АСПС.FB_KL_UPT_S.FBON</v>
      </c>
      <c r="B43" s="11">
        <v>101</v>
      </c>
      <c r="C43" s="11" t="s">
        <v>0</v>
      </c>
      <c r="D43" s="20" t="s">
        <v>479</v>
      </c>
      <c r="BK43" s="4"/>
      <c r="BL43" s="4"/>
      <c r="BM43" s="4"/>
      <c r="BN43" s="4"/>
    </row>
    <row r="44" spans="1:70">
      <c r="A44" s="19" t="str">
        <f t="shared" si="3"/>
        <v>АСПС.FB_KL_UPT_S.FBON</v>
      </c>
      <c r="B44" s="11">
        <v>3</v>
      </c>
      <c r="C44" s="11" t="s">
        <v>1</v>
      </c>
      <c r="D44" s="20">
        <v>192</v>
      </c>
      <c r="BK44" s="4"/>
      <c r="BL44" s="4"/>
      <c r="BM44" s="4"/>
      <c r="BN44" s="4"/>
    </row>
    <row r="45" spans="1:70">
      <c r="A45" s="19" t="str">
        <f t="shared" si="3"/>
        <v>АСПС.FB_KL_UPT_S.FBON</v>
      </c>
      <c r="B45" s="11">
        <v>2</v>
      </c>
      <c r="C45" s="11" t="s">
        <v>2</v>
      </c>
      <c r="D45" s="20" t="s">
        <v>3</v>
      </c>
      <c r="BK45" s="4"/>
      <c r="BL45" s="4"/>
      <c r="BM45" s="4"/>
      <c r="BN45" s="4"/>
    </row>
    <row r="46" spans="1:70">
      <c r="A46" s="21" t="str">
        <f t="shared" si="3"/>
        <v>АСПС.FB_KL_UPT_S.FBON</v>
      </c>
      <c r="B46" s="8">
        <v>1</v>
      </c>
      <c r="C46" s="8" t="s">
        <v>1</v>
      </c>
      <c r="D46" s="22">
        <v>11</v>
      </c>
      <c r="BK46" s="4"/>
      <c r="BL46" s="4"/>
      <c r="BM46" s="4"/>
      <c r="BN46" s="4"/>
    </row>
    <row r="47" spans="1:70">
      <c r="A47" s="211" t="str">
        <f t="shared" ref="A47:A56" si="4">$R$2&amp;".DSON"</f>
        <v>АСПС.FB_KL_UPT_S.DSON</v>
      </c>
      <c r="B47" s="212">
        <v>11154</v>
      </c>
      <c r="C47" s="212" t="s">
        <v>4</v>
      </c>
      <c r="D47" s="221">
        <f>$Q$7</f>
        <v>12</v>
      </c>
      <c r="BK47" s="4"/>
      <c r="BL47" s="4"/>
      <c r="BM47" s="4"/>
      <c r="BN47" s="4"/>
    </row>
    <row r="48" spans="1:70">
      <c r="A48" s="211" t="str">
        <f t="shared" si="4"/>
        <v>АСПС.FB_KL_UPT_S.DSON</v>
      </c>
      <c r="B48" s="212">
        <v>11152</v>
      </c>
      <c r="C48" s="212" t="s">
        <v>0</v>
      </c>
      <c r="D48" s="220" t="str">
        <f>$R$7</f>
        <v>Неисправность</v>
      </c>
      <c r="BK48" s="4"/>
      <c r="BL48" s="4"/>
      <c r="BM48" s="4"/>
      <c r="BN48" s="4"/>
    </row>
    <row r="49" spans="1:66">
      <c r="A49" s="211" t="str">
        <f t="shared" si="4"/>
        <v>АСПС.FB_KL_UPT_S.DSON</v>
      </c>
      <c r="B49" s="212">
        <v>11150</v>
      </c>
      <c r="C49" s="212" t="s">
        <v>0</v>
      </c>
      <c r="D49" s="213" t="s">
        <v>680</v>
      </c>
      <c r="BK49" s="4"/>
      <c r="BL49" s="4"/>
      <c r="BM49" s="4"/>
      <c r="BN49" s="4"/>
    </row>
    <row r="50" spans="1:66">
      <c r="A50" s="211" t="str">
        <f t="shared" si="4"/>
        <v>АСПС.FB_KL_UPT_S.DSON</v>
      </c>
      <c r="B50" s="212">
        <v>11000</v>
      </c>
      <c r="C50" s="212" t="s">
        <v>5</v>
      </c>
      <c r="D50" s="213">
        <v>2147483680</v>
      </c>
      <c r="BK50" s="4"/>
      <c r="BL50" s="4"/>
      <c r="BM50" s="4"/>
      <c r="BN50" s="4"/>
    </row>
    <row r="51" spans="1:66">
      <c r="A51" s="19" t="str">
        <f t="shared" si="4"/>
        <v>АСПС.FB_KL_UPT_S.DSON</v>
      </c>
      <c r="B51" s="11">
        <v>7999</v>
      </c>
      <c r="C51" s="11" t="s">
        <v>0</v>
      </c>
      <c r="D51" s="20" t="str">
        <f>"#"&amp;$S$2&amp;"#"&amp;$T$2&amp;"\"&amp;$P$2&amp;"\DSON"</f>
        <v>#1#treiOPCDA.CoOPCserv.1\pcmaster\FB_KL_UPT_S\DSON</v>
      </c>
      <c r="BK51" s="4"/>
      <c r="BL51" s="4"/>
      <c r="BM51" s="4"/>
      <c r="BN51" s="4"/>
    </row>
    <row r="52" spans="1:66">
      <c r="A52" s="19" t="str">
        <f t="shared" si="4"/>
        <v>АСПС.FB_KL_UPT_S.DSON</v>
      </c>
      <c r="B52" s="11">
        <v>7998</v>
      </c>
      <c r="C52" s="11" t="s">
        <v>6</v>
      </c>
      <c r="D52" s="20">
        <v>1</v>
      </c>
      <c r="BK52" s="4"/>
      <c r="BL52" s="4"/>
      <c r="BM52" s="4"/>
      <c r="BN52" s="4"/>
    </row>
    <row r="53" spans="1:66">
      <c r="A53" s="19" t="str">
        <f t="shared" si="4"/>
        <v>АСПС.FB_KL_UPT_S.DSON</v>
      </c>
      <c r="B53" s="11">
        <v>101</v>
      </c>
      <c r="C53" s="11" t="s">
        <v>0</v>
      </c>
      <c r="D53" s="20" t="s">
        <v>680</v>
      </c>
      <c r="BK53" s="4"/>
      <c r="BL53" s="4"/>
      <c r="BM53" s="4"/>
      <c r="BN53" s="4"/>
    </row>
    <row r="54" spans="1:66">
      <c r="A54" s="19" t="str">
        <f t="shared" si="4"/>
        <v>АСПС.FB_KL_UPT_S.DSON</v>
      </c>
      <c r="B54" s="11">
        <v>3</v>
      </c>
      <c r="C54" s="11" t="s">
        <v>1</v>
      </c>
      <c r="D54" s="20">
        <v>192</v>
      </c>
      <c r="BK54" s="4"/>
      <c r="BL54" s="4"/>
      <c r="BM54" s="4"/>
      <c r="BN54" s="4"/>
    </row>
    <row r="55" spans="1:66">
      <c r="A55" s="19" t="str">
        <f t="shared" si="4"/>
        <v>АСПС.FB_KL_UPT_S.DSON</v>
      </c>
      <c r="B55" s="11">
        <v>2</v>
      </c>
      <c r="C55" s="11" t="s">
        <v>2</v>
      </c>
      <c r="D55" s="20" t="s">
        <v>3</v>
      </c>
      <c r="BK55" s="4"/>
      <c r="BL55" s="4"/>
      <c r="BM55" s="4"/>
      <c r="BN55" s="4"/>
    </row>
    <row r="56" spans="1:66">
      <c r="A56" s="19" t="str">
        <f t="shared" si="4"/>
        <v>АСПС.FB_KL_UPT_S.DSON</v>
      </c>
      <c r="B56" s="11">
        <v>1</v>
      </c>
      <c r="C56" s="11" t="s">
        <v>1</v>
      </c>
      <c r="D56" s="20">
        <v>11</v>
      </c>
      <c r="BK56" s="4"/>
      <c r="BL56" s="4"/>
      <c r="BM56" s="4"/>
      <c r="BN56" s="4"/>
    </row>
    <row r="57" spans="1:66">
      <c r="A57" s="16" t="str">
        <f t="shared" ref="A57:A68" si="5">$R$2&amp;".XRPX"</f>
        <v>АСПС.FB_KL_UPT_S.XRPX</v>
      </c>
      <c r="B57" s="17">
        <v>1</v>
      </c>
      <c r="C57" s="17" t="s">
        <v>1</v>
      </c>
      <c r="D57" s="18">
        <v>11</v>
      </c>
      <c r="BK57" s="4"/>
      <c r="BL57" s="4"/>
      <c r="BM57" s="4"/>
      <c r="BN57" s="4"/>
    </row>
    <row r="58" spans="1:66">
      <c r="A58" s="19" t="str">
        <f t="shared" si="5"/>
        <v>АСПС.FB_KL_UPT_S.XRPX</v>
      </c>
      <c r="B58" s="11">
        <v>2</v>
      </c>
      <c r="C58" s="11" t="s">
        <v>2</v>
      </c>
      <c r="D58" s="20" t="s">
        <v>3</v>
      </c>
      <c r="BK58" s="4"/>
      <c r="BL58" s="4"/>
      <c r="BM58" s="4"/>
      <c r="BN58" s="4"/>
    </row>
    <row r="59" spans="1:66">
      <c r="A59" s="19" t="str">
        <f t="shared" si="5"/>
        <v>АСПС.FB_KL_UPT_S.XRPX</v>
      </c>
      <c r="B59" s="11">
        <v>3</v>
      </c>
      <c r="C59" s="11" t="s">
        <v>1</v>
      </c>
      <c r="D59" s="20">
        <v>192</v>
      </c>
      <c r="BK59" s="4"/>
      <c r="BL59" s="4"/>
      <c r="BM59" s="4"/>
      <c r="BN59" s="4"/>
    </row>
    <row r="60" spans="1:66">
      <c r="A60" s="19" t="str">
        <f t="shared" si="5"/>
        <v>АСПС.FB_KL_UPT_S.XRPX</v>
      </c>
      <c r="B60" s="11">
        <v>101</v>
      </c>
      <c r="C60" s="11" t="s">
        <v>0</v>
      </c>
      <c r="D60" s="20" t="s">
        <v>137</v>
      </c>
      <c r="BK60" s="4"/>
      <c r="BL60" s="4"/>
      <c r="BM60" s="4"/>
      <c r="BN60" s="4"/>
    </row>
    <row r="61" spans="1:66">
      <c r="A61" s="19" t="str">
        <f t="shared" si="5"/>
        <v>АСПС.FB_KL_UPT_S.XRPX</v>
      </c>
      <c r="B61" s="11">
        <v>7998</v>
      </c>
      <c r="C61" s="11" t="s">
        <v>6</v>
      </c>
      <c r="D61" s="20">
        <v>1</v>
      </c>
      <c r="BK61" s="4"/>
      <c r="BL61" s="4"/>
      <c r="BM61" s="4"/>
      <c r="BN61" s="4"/>
    </row>
    <row r="62" spans="1:66">
      <c r="A62" s="19" t="str">
        <f t="shared" si="5"/>
        <v>АСПС.FB_KL_UPT_S.XRPX</v>
      </c>
      <c r="B62" s="11">
        <v>7999</v>
      </c>
      <c r="C62" s="11" t="s">
        <v>0</v>
      </c>
      <c r="D62" s="20" t="str">
        <f>"#"&amp;$S$2&amp;"#"&amp;$T$2&amp;"\"&amp;$P$2&amp;"\XRPX"</f>
        <v>#1#treiOPCDA.CoOPCserv.1\pcmaster\FB_KL_UPT_S\XRPX</v>
      </c>
      <c r="BK62" s="4"/>
      <c r="BL62" s="4"/>
      <c r="BM62" s="4"/>
      <c r="BN62" s="4"/>
    </row>
    <row r="63" spans="1:66">
      <c r="A63" s="140" t="str">
        <f t="shared" si="5"/>
        <v>АСПС.FB_KL_UPT_S.XRPX</v>
      </c>
      <c r="B63" s="141">
        <v>11000</v>
      </c>
      <c r="C63" s="141" t="s">
        <v>5</v>
      </c>
      <c r="D63" s="142">
        <v>2147483680</v>
      </c>
      <c r="BK63" s="4"/>
      <c r="BL63" s="4"/>
      <c r="BM63" s="4"/>
      <c r="BN63" s="4"/>
    </row>
    <row r="64" spans="1:66">
      <c r="A64" s="140" t="str">
        <f t="shared" si="5"/>
        <v>АСПС.FB_KL_UPT_S.XRPX</v>
      </c>
      <c r="B64" s="141">
        <v>11150</v>
      </c>
      <c r="C64" s="141" t="s">
        <v>0</v>
      </c>
      <c r="D64" s="142" t="s">
        <v>89</v>
      </c>
      <c r="BK64" s="4"/>
      <c r="BL64" s="4"/>
      <c r="BM64" s="4"/>
      <c r="BN64" s="4"/>
    </row>
    <row r="65" spans="1:66">
      <c r="A65" s="140" t="str">
        <f t="shared" si="5"/>
        <v>АСПС.FB_KL_UPT_S.XRPX</v>
      </c>
      <c r="B65" s="141">
        <v>11152</v>
      </c>
      <c r="C65" s="141" t="s">
        <v>0</v>
      </c>
      <c r="D65" s="142" t="str">
        <f>$R$11</f>
        <v>Ремонт</v>
      </c>
      <c r="BK65" s="4"/>
      <c r="BL65" s="4"/>
      <c r="BM65" s="4"/>
      <c r="BN65" s="4"/>
    </row>
    <row r="66" spans="1:66">
      <c r="A66" s="140" t="str">
        <f t="shared" si="5"/>
        <v>АСПС.FB_KL_UPT_S.XRPX</v>
      </c>
      <c r="B66" s="141">
        <v>11154</v>
      </c>
      <c r="C66" s="141" t="s">
        <v>4</v>
      </c>
      <c r="D66" s="142">
        <f>$Q$11</f>
        <v>14</v>
      </c>
      <c r="BK66" s="4"/>
      <c r="BL66" s="4"/>
      <c r="BM66" s="4"/>
      <c r="BN66" s="4"/>
    </row>
    <row r="67" spans="1:66" ht="16.5" customHeight="1">
      <c r="A67" s="29" t="str">
        <f t="shared" si="5"/>
        <v>АСПС.FB_KL_UPT_S.XRPX</v>
      </c>
      <c r="B67" s="1">
        <v>4000000</v>
      </c>
      <c r="C67" s="1" t="s">
        <v>0</v>
      </c>
      <c r="D67" s="415" t="s">
        <v>1494</v>
      </c>
      <c r="BK67" s="4"/>
      <c r="BL67" s="4"/>
      <c r="BM67" s="4"/>
      <c r="BN67" s="4"/>
    </row>
    <row r="68" spans="1:66">
      <c r="A68" s="26" t="str">
        <f t="shared" si="5"/>
        <v>АСПС.FB_KL_UPT_S.XRPX</v>
      </c>
      <c r="B68" s="27">
        <v>7000000</v>
      </c>
      <c r="C68" s="27" t="s">
        <v>6</v>
      </c>
      <c r="D68" s="28">
        <v>2</v>
      </c>
      <c r="BK68" s="4"/>
      <c r="BL68" s="4"/>
      <c r="BM68" s="4"/>
      <c r="BN68" s="4"/>
    </row>
    <row r="69" spans="1:66">
      <c r="A69" s="100" t="str">
        <f>$R$2&amp;".XONX"</f>
        <v>АСПС.FB_KL_UPT_S.XONX</v>
      </c>
      <c r="B69" s="101">
        <v>11154</v>
      </c>
      <c r="C69" s="101" t="s">
        <v>4</v>
      </c>
      <c r="D69" s="102">
        <f>$Q$8</f>
        <v>18</v>
      </c>
      <c r="BK69" s="4"/>
      <c r="BL69" s="4"/>
      <c r="BM69" s="4"/>
      <c r="BN69" s="4"/>
    </row>
    <row r="70" spans="1:66">
      <c r="A70" s="100" t="str">
        <f t="shared" ref="A70:A78" si="6">$R$2&amp;".XONX"</f>
        <v>АСПС.FB_KL_UPT_S.XONX</v>
      </c>
      <c r="B70" s="101">
        <v>11150</v>
      </c>
      <c r="C70" s="101" t="s">
        <v>0</v>
      </c>
      <c r="D70" s="103" t="s">
        <v>685</v>
      </c>
      <c r="BK70" s="4"/>
      <c r="BL70" s="4"/>
      <c r="BM70" s="4"/>
      <c r="BN70" s="4"/>
    </row>
    <row r="71" spans="1:66">
      <c r="A71" s="100" t="str">
        <f t="shared" si="6"/>
        <v>АСПС.FB_KL_UPT_S.XONX</v>
      </c>
      <c r="B71" s="101">
        <v>11152</v>
      </c>
      <c r="C71" s="101" t="s">
        <v>0</v>
      </c>
      <c r="D71" s="104" t="str">
        <f>$R$8</f>
        <v>Телесигнализация</v>
      </c>
      <c r="BK71" s="4"/>
      <c r="BL71" s="4"/>
      <c r="BM71" s="4"/>
      <c r="BN71" s="4"/>
    </row>
    <row r="72" spans="1:66">
      <c r="A72" s="100" t="str">
        <f t="shared" si="6"/>
        <v>АСПС.FB_KL_UPT_S.XONX</v>
      </c>
      <c r="B72" s="101">
        <v>11000</v>
      </c>
      <c r="C72" s="101" t="s">
        <v>5</v>
      </c>
      <c r="D72" s="103">
        <v>2147483680</v>
      </c>
      <c r="BK72" s="4"/>
      <c r="BL72" s="4"/>
      <c r="BM72" s="4"/>
      <c r="BN72" s="4"/>
    </row>
    <row r="73" spans="1:66">
      <c r="A73" s="19" t="str">
        <f t="shared" si="6"/>
        <v>АСПС.FB_KL_UPT_S.XONX</v>
      </c>
      <c r="B73" s="11">
        <v>7999</v>
      </c>
      <c r="C73" s="11" t="s">
        <v>0</v>
      </c>
      <c r="D73" s="20" t="str">
        <f>"#"&amp;$S$2&amp;"#"&amp;$T$2&amp;"\"&amp;$P$2&amp;"\XONX"</f>
        <v>#1#treiOPCDA.CoOPCserv.1\pcmaster\FB_KL_UPT_S\XONX</v>
      </c>
      <c r="BK73" s="4"/>
      <c r="BL73" s="4"/>
      <c r="BM73" s="4"/>
      <c r="BN73" s="4"/>
    </row>
    <row r="74" spans="1:66">
      <c r="A74" s="19" t="str">
        <f t="shared" si="6"/>
        <v>АСПС.FB_KL_UPT_S.XONX</v>
      </c>
      <c r="B74" s="11">
        <v>7998</v>
      </c>
      <c r="C74" s="11" t="s">
        <v>6</v>
      </c>
      <c r="D74" s="20">
        <v>1</v>
      </c>
      <c r="BK74" s="4"/>
      <c r="BL74" s="4"/>
      <c r="BM74" s="4"/>
      <c r="BN74" s="4"/>
    </row>
    <row r="75" spans="1:66">
      <c r="A75" s="19" t="str">
        <f t="shared" si="6"/>
        <v>АСПС.FB_KL_UPT_S.XONX</v>
      </c>
      <c r="B75" s="11">
        <v>101</v>
      </c>
      <c r="C75" s="11" t="s">
        <v>0</v>
      </c>
      <c r="D75" s="20" t="s">
        <v>685</v>
      </c>
      <c r="BK75" s="4"/>
      <c r="BL75" s="4"/>
      <c r="BM75" s="4"/>
      <c r="BN75" s="4"/>
    </row>
    <row r="76" spans="1:66">
      <c r="A76" s="19" t="str">
        <f t="shared" si="6"/>
        <v>АСПС.FB_KL_UPT_S.XONX</v>
      </c>
      <c r="B76" s="11">
        <v>3</v>
      </c>
      <c r="C76" s="11" t="s">
        <v>1</v>
      </c>
      <c r="D76" s="20">
        <v>192</v>
      </c>
      <c r="BK76" s="4"/>
      <c r="BL76" s="4"/>
      <c r="BM76" s="4"/>
      <c r="BN76" s="4"/>
    </row>
    <row r="77" spans="1:66">
      <c r="A77" s="19" t="str">
        <f t="shared" si="6"/>
        <v>АСПС.FB_KL_UPT_S.XONX</v>
      </c>
      <c r="B77" s="11">
        <v>2</v>
      </c>
      <c r="C77" s="11" t="s">
        <v>2</v>
      </c>
      <c r="D77" s="20" t="s">
        <v>3</v>
      </c>
    </row>
    <row r="78" spans="1:66">
      <c r="A78" s="21" t="str">
        <f t="shared" si="6"/>
        <v>АСПС.FB_KL_UPT_S.XONX</v>
      </c>
      <c r="B78" s="8">
        <v>1</v>
      </c>
      <c r="C78" s="8" t="s">
        <v>1</v>
      </c>
      <c r="D78" s="22">
        <v>11</v>
      </c>
    </row>
    <row r="79" spans="1:66">
      <c r="A79" s="342" t="str">
        <f t="shared" ref="A79:A88" si="7">$R$2&amp;".CAON"</f>
        <v>АСПС.FB_KL_UPT_S.CAON</v>
      </c>
      <c r="B79" s="343">
        <v>11154</v>
      </c>
      <c r="C79" s="343" t="s">
        <v>4</v>
      </c>
      <c r="D79" s="344">
        <f>$Q$19</f>
        <v>22</v>
      </c>
    </row>
    <row r="80" spans="1:66">
      <c r="A80" s="345" t="str">
        <f t="shared" si="7"/>
        <v>АСПС.FB_KL_UPT_S.CAON</v>
      </c>
      <c r="B80" s="346">
        <v>11150</v>
      </c>
      <c r="C80" s="346" t="s">
        <v>0</v>
      </c>
      <c r="D80" s="347" t="s">
        <v>686</v>
      </c>
    </row>
    <row r="81" spans="1:4">
      <c r="A81" s="345" t="str">
        <f t="shared" si="7"/>
        <v>АСПС.FB_KL_UPT_S.CAON</v>
      </c>
      <c r="B81" s="346">
        <v>11152</v>
      </c>
      <c r="C81" s="346" t="s">
        <v>0</v>
      </c>
      <c r="D81" s="348" t="str">
        <f>$R$19</f>
        <v>Информация</v>
      </c>
    </row>
    <row r="82" spans="1:4">
      <c r="A82" s="345" t="str">
        <f t="shared" si="7"/>
        <v>АСПС.FB_KL_UPT_S.CAON</v>
      </c>
      <c r="B82" s="346">
        <v>11000</v>
      </c>
      <c r="C82" s="346" t="s">
        <v>5</v>
      </c>
      <c r="D82" s="347">
        <v>2147483680</v>
      </c>
    </row>
    <row r="83" spans="1:4">
      <c r="A83" s="19" t="str">
        <f t="shared" si="7"/>
        <v>АСПС.FB_KL_UPT_S.CAON</v>
      </c>
      <c r="B83" s="11">
        <v>7999</v>
      </c>
      <c r="C83" s="11" t="s">
        <v>0</v>
      </c>
      <c r="D83" s="20" t="str">
        <f>"#"&amp;$S$2&amp;"#"&amp;$T$2&amp;"\"&amp;$P$2&amp;"\CAON"</f>
        <v>#1#treiOPCDA.CoOPCserv.1\pcmaster\FB_KL_UPT_S\CAON</v>
      </c>
    </row>
    <row r="84" spans="1:4">
      <c r="A84" s="19" t="str">
        <f t="shared" si="7"/>
        <v>АСПС.FB_KL_UPT_S.CAON</v>
      </c>
      <c r="B84" s="11">
        <v>7998</v>
      </c>
      <c r="C84" s="11" t="s">
        <v>6</v>
      </c>
      <c r="D84" s="20">
        <v>1</v>
      </c>
    </row>
    <row r="85" spans="1:4">
      <c r="A85" s="19" t="str">
        <f t="shared" si="7"/>
        <v>АСПС.FB_KL_UPT_S.CAON</v>
      </c>
      <c r="B85" s="11">
        <v>101</v>
      </c>
      <c r="C85" s="11" t="s">
        <v>0</v>
      </c>
      <c r="D85" s="20" t="s">
        <v>686</v>
      </c>
    </row>
    <row r="86" spans="1:4">
      <c r="A86" s="19" t="str">
        <f t="shared" si="7"/>
        <v>АСПС.FB_KL_UPT_S.CAON</v>
      </c>
      <c r="B86" s="11">
        <v>3</v>
      </c>
      <c r="C86" s="11" t="s">
        <v>1</v>
      </c>
      <c r="D86" s="20">
        <v>192</v>
      </c>
    </row>
    <row r="87" spans="1:4">
      <c r="A87" s="19" t="str">
        <f t="shared" si="7"/>
        <v>АСПС.FB_KL_UPT_S.CAON</v>
      </c>
      <c r="B87" s="11">
        <v>2</v>
      </c>
      <c r="C87" s="11" t="s">
        <v>2</v>
      </c>
      <c r="D87" s="20" t="s">
        <v>3</v>
      </c>
    </row>
    <row r="88" spans="1:4">
      <c r="A88" s="21" t="str">
        <f t="shared" si="7"/>
        <v>АСПС.FB_KL_UPT_S.CAON</v>
      </c>
      <c r="B88" s="8">
        <v>1</v>
      </c>
      <c r="C88" s="8" t="s">
        <v>1</v>
      </c>
      <c r="D88" s="22">
        <v>11</v>
      </c>
    </row>
    <row r="89" spans="1:4">
      <c r="A89" s="16" t="str">
        <f>$R$2&amp;".Commands.CRPX"</f>
        <v>АСПС.FB_KL_UPT_S.Commands.CRPX</v>
      </c>
      <c r="B89" s="17">
        <v>1</v>
      </c>
      <c r="C89" s="17" t="s">
        <v>1</v>
      </c>
      <c r="D89" s="18">
        <v>11</v>
      </c>
    </row>
    <row r="90" spans="1:4">
      <c r="A90" s="19" t="str">
        <f>$R$2&amp;".Commands.CRPX"</f>
        <v>АСПС.FB_KL_UPT_S.Commands.CRPX</v>
      </c>
      <c r="B90" s="11">
        <v>101</v>
      </c>
      <c r="C90" s="11" t="s">
        <v>0</v>
      </c>
      <c r="D90" s="20" t="s">
        <v>113</v>
      </c>
    </row>
    <row r="91" spans="1:4">
      <c r="A91" s="19" t="str">
        <f>$R$2&amp;".Commands.CRPX"</f>
        <v>АСПС.FB_KL_UPT_S.Commands.CRPX</v>
      </c>
      <c r="B91" s="11">
        <v>7998</v>
      </c>
      <c r="C91" s="11" t="s">
        <v>6</v>
      </c>
      <c r="D91" s="20">
        <v>2</v>
      </c>
    </row>
    <row r="92" spans="1:4">
      <c r="A92" s="21" t="str">
        <f>$R$2&amp;".Commands.CRPX"</f>
        <v>АСПС.FB_KL_UPT_S.Commands.CRPX</v>
      </c>
      <c r="B92" s="8">
        <v>7999</v>
      </c>
      <c r="C92" s="8" t="s">
        <v>0</v>
      </c>
      <c r="D92" s="22" t="str">
        <f>"#"&amp;$T$5&amp;"#"&amp;$T$2&amp;"\"&amp;$P$2&amp;"\CRPX"</f>
        <v>#1#treiOPCDA.CoOPCserv.1\pcmaster\FB_KL_UPT_S\CRPX</v>
      </c>
    </row>
    <row r="93" spans="1:4">
      <c r="A93" s="16" t="str">
        <f>$R$2&amp;".Commands.COON"</f>
        <v>АСПС.FB_KL_UPT_S.Commands.COON</v>
      </c>
      <c r="B93" s="17">
        <v>1</v>
      </c>
      <c r="C93" s="17" t="s">
        <v>1</v>
      </c>
      <c r="D93" s="18">
        <v>11</v>
      </c>
    </row>
    <row r="94" spans="1:4">
      <c r="A94" s="19" t="str">
        <f>$R$2&amp;".Commands.COON"</f>
        <v>АСПС.FB_KL_UPT_S.Commands.COON</v>
      </c>
      <c r="B94" s="11">
        <v>101</v>
      </c>
      <c r="C94" s="11" t="s">
        <v>0</v>
      </c>
      <c r="D94" s="20" t="s">
        <v>437</v>
      </c>
    </row>
    <row r="95" spans="1:4">
      <c r="A95" s="19" t="str">
        <f>$R$2&amp;".Commands.COON"</f>
        <v>АСПС.FB_KL_UPT_S.Commands.COON</v>
      </c>
      <c r="B95" s="11">
        <v>7998</v>
      </c>
      <c r="C95" s="11" t="s">
        <v>6</v>
      </c>
      <c r="D95" s="20">
        <v>2</v>
      </c>
    </row>
    <row r="96" spans="1:4">
      <c r="A96" s="21" t="str">
        <f>$R$2&amp;".Commands.COON"</f>
        <v>АСПС.FB_KL_UPT_S.Commands.COON</v>
      </c>
      <c r="B96" s="8">
        <v>7999</v>
      </c>
      <c r="C96" s="8" t="s">
        <v>0</v>
      </c>
      <c r="D96" s="22" t="str">
        <f>"#"&amp;$T$5&amp;"#"&amp;$T$2&amp;"\"&amp;$P$2&amp;"\COON"</f>
        <v>#1#treiOPCDA.CoOPCserv.1\pcmaster\FB_KL_UPT_S\COON</v>
      </c>
    </row>
    <row r="97" spans="1:4">
      <c r="A97" s="19" t="str">
        <f t="shared" ref="A97:A102" si="8">$R$2&amp;".XNON"</f>
        <v>АСПС.FB_KL_UPT_S.XNON</v>
      </c>
      <c r="B97" s="11">
        <v>7999</v>
      </c>
      <c r="C97" s="11" t="s">
        <v>0</v>
      </c>
      <c r="D97" s="20" t="str">
        <f>"#"&amp;$S$2&amp;"#"&amp;$T$2&amp;"\"&amp;$P$2&amp;"\XNON"</f>
        <v>#1#treiOPCDA.CoOPCserv.1\pcmaster\FB_KL_UPT_S\XNON</v>
      </c>
    </row>
    <row r="98" spans="1:4">
      <c r="A98" s="19" t="str">
        <f t="shared" si="8"/>
        <v>АСПС.FB_KL_UPT_S.XNON</v>
      </c>
      <c r="B98" s="11">
        <v>7998</v>
      </c>
      <c r="C98" s="11" t="s">
        <v>6</v>
      </c>
      <c r="D98" s="20">
        <v>1</v>
      </c>
    </row>
    <row r="99" spans="1:4">
      <c r="A99" s="19" t="str">
        <f t="shared" si="8"/>
        <v>АСПС.FB_KL_UPT_S.XNON</v>
      </c>
      <c r="B99" s="11">
        <v>101</v>
      </c>
      <c r="C99" s="11" t="s">
        <v>0</v>
      </c>
      <c r="D99" s="20" t="s">
        <v>816</v>
      </c>
    </row>
    <row r="100" spans="1:4">
      <c r="A100" s="19" t="str">
        <f t="shared" si="8"/>
        <v>АСПС.FB_KL_UPT_S.XNON</v>
      </c>
      <c r="B100" s="11">
        <v>3</v>
      </c>
      <c r="C100" s="11" t="s">
        <v>1</v>
      </c>
      <c r="D100" s="20">
        <v>192</v>
      </c>
    </row>
    <row r="101" spans="1:4">
      <c r="A101" s="19" t="str">
        <f t="shared" si="8"/>
        <v>АСПС.FB_KL_UPT_S.XNON</v>
      </c>
      <c r="B101" s="11">
        <v>2</v>
      </c>
      <c r="C101" s="11" t="s">
        <v>2</v>
      </c>
      <c r="D101" s="20" t="s">
        <v>3</v>
      </c>
    </row>
    <row r="102" spans="1:4">
      <c r="A102" s="21" t="str">
        <f t="shared" si="8"/>
        <v>АСПС.FB_KL_UPT_S.XNON</v>
      </c>
      <c r="B102" s="8">
        <v>1</v>
      </c>
      <c r="C102" s="8" t="s">
        <v>1</v>
      </c>
      <c r="D102" s="22">
        <v>11</v>
      </c>
    </row>
    <row r="103" spans="1:4">
      <c r="A103" s="19" t="str">
        <f t="shared" ref="A103:A108" si="9">$R$2&amp;".FXXX"</f>
        <v>АСПС.FB_KL_UPT_S.FXXX</v>
      </c>
      <c r="B103" s="11">
        <v>7999</v>
      </c>
      <c r="C103" s="11" t="s">
        <v>0</v>
      </c>
      <c r="D103" s="20" t="str">
        <f>"#"&amp;$S$2&amp;"#"&amp;$T$2&amp;"\"&amp;$P$2&amp;"\FXXX"</f>
        <v>#1#treiOPCDA.CoOPCserv.1\pcmaster\FB_KL_UPT_S\FXXX</v>
      </c>
    </row>
    <row r="104" spans="1:4">
      <c r="A104" s="19" t="str">
        <f t="shared" si="9"/>
        <v>АСПС.FB_KL_UPT_S.FXXX</v>
      </c>
      <c r="B104" s="11">
        <v>7998</v>
      </c>
      <c r="C104" s="11" t="s">
        <v>6</v>
      </c>
      <c r="D104" s="20">
        <v>1</v>
      </c>
    </row>
    <row r="105" spans="1:4">
      <c r="A105" s="19" t="str">
        <f t="shared" si="9"/>
        <v>АСПС.FB_KL_UPT_S.FXXX</v>
      </c>
      <c r="B105" s="11">
        <v>101</v>
      </c>
      <c r="C105" s="11" t="s">
        <v>0</v>
      </c>
      <c r="D105" s="20" t="s">
        <v>110</v>
      </c>
    </row>
    <row r="106" spans="1:4">
      <c r="A106" s="19" t="str">
        <f t="shared" si="9"/>
        <v>АСПС.FB_KL_UPT_S.FXXX</v>
      </c>
      <c r="B106" s="11">
        <v>3</v>
      </c>
      <c r="C106" s="11" t="s">
        <v>1</v>
      </c>
      <c r="D106" s="20">
        <v>192</v>
      </c>
    </row>
    <row r="107" spans="1:4">
      <c r="A107" s="19" t="str">
        <f t="shared" si="9"/>
        <v>АСПС.FB_KL_UPT_S.FXXX</v>
      </c>
      <c r="B107" s="11">
        <v>2</v>
      </c>
      <c r="C107" s="11" t="s">
        <v>2</v>
      </c>
      <c r="D107" s="20" t="s">
        <v>3</v>
      </c>
    </row>
    <row r="108" spans="1:4">
      <c r="A108" s="21" t="str">
        <f t="shared" si="9"/>
        <v>АСПС.FB_KL_UPT_S.FXXX</v>
      </c>
      <c r="B108" s="8">
        <v>1</v>
      </c>
      <c r="C108" s="8" t="s">
        <v>1</v>
      </c>
      <c r="D108" s="22">
        <v>11</v>
      </c>
    </row>
    <row r="109" spans="1:4">
      <c r="A109" s="266" t="str">
        <f t="shared" ref="A109:A114" si="10">$R$2&amp;".OXON"</f>
        <v>АСПС.FB_KL_UPT_S.OXON</v>
      </c>
      <c r="B109" s="267">
        <v>3</v>
      </c>
      <c r="C109" s="267" t="s">
        <v>1</v>
      </c>
      <c r="D109" s="268">
        <v>192</v>
      </c>
    </row>
    <row r="110" spans="1:4">
      <c r="A110" s="269" t="str">
        <f t="shared" si="10"/>
        <v>АСПС.FB_KL_UPT_S.OXON</v>
      </c>
      <c r="B110" s="270">
        <v>2</v>
      </c>
      <c r="C110" s="270" t="s">
        <v>6</v>
      </c>
      <c r="D110" s="271">
        <v>0</v>
      </c>
    </row>
    <row r="111" spans="1:4">
      <c r="A111" s="269" t="str">
        <f t="shared" si="10"/>
        <v>АСПС.FB_KL_UPT_S.OXON</v>
      </c>
      <c r="B111" s="270">
        <v>1</v>
      </c>
      <c r="C111" s="270" t="s">
        <v>1</v>
      </c>
      <c r="D111" s="271">
        <v>3</v>
      </c>
    </row>
    <row r="112" spans="1:4">
      <c r="A112" s="269" t="str">
        <f t="shared" si="10"/>
        <v>АСПС.FB_KL_UPT_S.OXON</v>
      </c>
      <c r="B112" s="270">
        <v>101</v>
      </c>
      <c r="C112" s="270" t="s">
        <v>0</v>
      </c>
      <c r="D112" s="271" t="s">
        <v>191</v>
      </c>
    </row>
    <row r="113" spans="1:4">
      <c r="A113" s="269" t="str">
        <f t="shared" si="10"/>
        <v>АСПС.FB_KL_UPT_S.OXON</v>
      </c>
      <c r="B113" s="270">
        <v>7998</v>
      </c>
      <c r="C113" s="270" t="s">
        <v>6</v>
      </c>
      <c r="D113" s="271">
        <v>1</v>
      </c>
    </row>
    <row r="114" spans="1:4">
      <c r="A114" s="272" t="str">
        <f t="shared" si="10"/>
        <v>АСПС.FB_KL_UPT_S.OXON</v>
      </c>
      <c r="B114" s="273">
        <v>7999</v>
      </c>
      <c r="C114" s="273" t="s">
        <v>0</v>
      </c>
      <c r="D114" s="274" t="str">
        <f>"#"&amp;$S$2&amp;"#"&amp;$T$2&amp;"\"&amp;$P$2&amp;"\OXON"</f>
        <v>#1#treiOPCDA.CoOPCserv.1\pcmaster\FB_KL_UPT_S\OXON</v>
      </c>
    </row>
  </sheetData>
  <autoFilter ref="B1:B114" xr:uid="{00000000-0009-0000-0000-000054000000}"/>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Лист79">
    <tabColor rgb="FFFFC000"/>
  </sheetPr>
  <dimension ref="A1:BR336"/>
  <sheetViews>
    <sheetView topLeftCell="A31" zoomScale="60" zoomScaleNormal="60" workbookViewId="0">
      <selection activeCell="D2" sqref="D2:D4"/>
    </sheetView>
  </sheetViews>
  <sheetFormatPr defaultRowHeight="14.4"/>
  <cols>
    <col min="1" max="1" width="37.109375" customWidth="1"/>
    <col min="2" max="2" width="9.5546875" customWidth="1"/>
    <col min="4" max="4" width="63.88671875" customWidth="1"/>
    <col min="5" max="15" width="9.109375"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7.33203125" customWidth="1"/>
    <col min="56" max="56" width="10.33203125" customWidth="1"/>
    <col min="57" max="57" width="10" customWidth="1"/>
    <col min="59" max="59" width="7.109375" customWidth="1"/>
    <col min="60" max="60" width="10.88671875" customWidth="1"/>
    <col min="62" max="62" width="65.109375" customWidth="1"/>
  </cols>
  <sheetData>
    <row r="1" spans="1:66" ht="204.6" thickBot="1">
      <c r="A1" s="9"/>
      <c r="B1" s="9" t="s">
        <v>84</v>
      </c>
      <c r="C1" s="9"/>
      <c r="D1" s="9"/>
      <c r="E1" s="9"/>
      <c r="F1" s="9"/>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K1" s="4"/>
      <c r="BL1" s="4"/>
      <c r="BM1" s="4"/>
      <c r="BN1" s="4"/>
    </row>
    <row r="2" spans="1:66">
      <c r="A2" s="9"/>
      <c r="B2" s="9"/>
      <c r="C2" s="9"/>
      <c r="D2" s="9"/>
      <c r="E2" s="9"/>
      <c r="F2" s="9"/>
      <c r="P2" s="2" t="s">
        <v>614</v>
      </c>
      <c r="Q2" s="2" t="s">
        <v>488</v>
      </c>
      <c r="R2" s="2" t="s">
        <v>755</v>
      </c>
      <c r="S2" s="3">
        <v>1</v>
      </c>
      <c r="T2" s="3" t="s">
        <v>1698</v>
      </c>
      <c r="U2" s="3"/>
      <c r="V2" s="3" t="s">
        <v>569</v>
      </c>
      <c r="W2" s="12"/>
      <c r="X2" s="12"/>
      <c r="Y2" s="12"/>
      <c r="Z2" s="12"/>
      <c r="AA2" s="12"/>
      <c r="AB2" s="2"/>
      <c r="AC2" s="2"/>
      <c r="AD2" s="2"/>
      <c r="AE2" s="2" t="s">
        <v>1414</v>
      </c>
      <c r="AF2" s="2"/>
      <c r="AG2" s="2"/>
      <c r="AH2" s="2"/>
      <c r="AI2" s="2"/>
      <c r="AJ2" s="2"/>
      <c r="AK2" s="2"/>
      <c r="AL2" s="2" t="s">
        <v>1302</v>
      </c>
      <c r="AM2" s="2" t="s">
        <v>1303</v>
      </c>
      <c r="AN2" s="2"/>
      <c r="AO2" s="2"/>
      <c r="AP2" s="2" t="s">
        <v>1304</v>
      </c>
      <c r="AQ2" s="2" t="s">
        <v>1305</v>
      </c>
      <c r="AR2" s="2" t="s">
        <v>1306</v>
      </c>
      <c r="AS2" s="2"/>
      <c r="AT2" s="2"/>
      <c r="AU2" s="2"/>
      <c r="AV2" s="2"/>
      <c r="AW2" s="2"/>
      <c r="AX2" s="2"/>
      <c r="AY2" s="2">
        <v>0</v>
      </c>
      <c r="AZ2" s="2">
        <v>3</v>
      </c>
      <c r="BA2" s="2"/>
      <c r="BK2" s="4"/>
      <c r="BL2" s="4"/>
      <c r="BM2" s="4"/>
      <c r="BN2" s="4"/>
    </row>
    <row r="3" spans="1:66">
      <c r="A3" s="9"/>
      <c r="B3" s="9"/>
      <c r="C3" s="9"/>
      <c r="D3" s="9"/>
      <c r="E3" s="9"/>
      <c r="F3" s="9"/>
      <c r="P3" s="10"/>
      <c r="Q3" s="10"/>
      <c r="R3" s="10"/>
      <c r="S3" s="10"/>
      <c r="T3" s="10"/>
      <c r="U3" s="10"/>
      <c r="V3" s="10"/>
      <c r="W3" s="10"/>
      <c r="X3" s="10"/>
      <c r="Y3" s="10"/>
      <c r="Z3" s="10"/>
      <c r="AA3" s="10"/>
      <c r="BK3" s="4"/>
      <c r="BL3" s="4"/>
      <c r="BM3" s="4"/>
      <c r="BN3" s="4"/>
    </row>
    <row r="4" spans="1:66">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K4" s="4"/>
      <c r="BL4" s="4"/>
      <c r="BM4" s="4"/>
      <c r="BN4" s="4"/>
    </row>
    <row r="5" spans="1:66">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K5" s="4"/>
      <c r="BL5" s="4"/>
      <c r="BM5" s="4"/>
      <c r="BN5" s="4"/>
    </row>
    <row r="6" spans="1:66">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K6" s="4"/>
      <c r="BL6" s="4"/>
      <c r="BM6" s="4"/>
      <c r="BN6" s="4"/>
    </row>
    <row r="7" spans="1:66">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K7" s="4"/>
      <c r="BL7" s="4"/>
      <c r="BM7" s="4"/>
      <c r="BN7" s="4"/>
    </row>
    <row r="8" spans="1:66">
      <c r="A8" s="9"/>
      <c r="B8" s="9"/>
      <c r="C8" s="9"/>
      <c r="D8" s="9"/>
      <c r="E8" s="9"/>
      <c r="F8" s="9"/>
      <c r="P8" s="6" t="str">
        <f>Настройки!A5</f>
        <v>Телесигнализация</v>
      </c>
      <c r="Q8" s="5">
        <f>Настройки!B5</f>
        <v>18</v>
      </c>
      <c r="R8" s="5" t="str">
        <f>Настройки!C5</f>
        <v>Телесигнализация</v>
      </c>
      <c r="S8" s="10"/>
      <c r="T8" s="14"/>
      <c r="U8" s="10"/>
      <c r="V8" s="10"/>
      <c r="W8" s="10"/>
      <c r="X8" s="10"/>
      <c r="Y8" s="10"/>
      <c r="Z8" s="10"/>
      <c r="AA8" s="10"/>
      <c r="BK8" s="4"/>
      <c r="BL8" s="4"/>
      <c r="BM8" s="4"/>
      <c r="BN8" s="4"/>
    </row>
    <row r="9" spans="1:66">
      <c r="A9" s="9"/>
      <c r="B9" s="9"/>
      <c r="C9" s="9"/>
      <c r="D9" s="9"/>
      <c r="E9" s="9"/>
      <c r="F9" s="9"/>
      <c r="P9" s="6" t="str">
        <f>Настройки!A6</f>
        <v>Недостоверность</v>
      </c>
      <c r="Q9" s="5">
        <f>Настройки!B6</f>
        <v>10</v>
      </c>
      <c r="R9" s="5" t="str">
        <f>Настройки!C6</f>
        <v>Недостоверность</v>
      </c>
      <c r="S9" s="10"/>
      <c r="T9" s="14"/>
      <c r="U9" s="10"/>
      <c r="V9" s="10"/>
      <c r="W9" s="10"/>
      <c r="X9" s="10"/>
      <c r="Y9" s="10"/>
      <c r="Z9" s="10"/>
      <c r="AA9" s="10"/>
      <c r="BK9" s="4"/>
      <c r="BL9" s="4"/>
      <c r="BM9" s="4"/>
      <c r="BN9" s="4"/>
    </row>
    <row r="10" spans="1:66">
      <c r="A10" s="9"/>
      <c r="B10" s="9"/>
      <c r="C10" s="9"/>
      <c r="D10" s="9"/>
      <c r="E10" s="9"/>
      <c r="F10" s="9"/>
      <c r="P10" s="6" t="str">
        <f>Настройки!A7</f>
        <v>Имитация</v>
      </c>
      <c r="Q10" s="5">
        <f>Настройки!B7</f>
        <v>16</v>
      </c>
      <c r="R10" s="5" t="str">
        <f>Настройки!C7</f>
        <v>Имитация</v>
      </c>
      <c r="S10" s="10"/>
      <c r="T10" s="14"/>
      <c r="U10" s="10"/>
      <c r="V10" s="10"/>
      <c r="W10" s="10"/>
      <c r="X10" s="10"/>
      <c r="Y10" s="10"/>
      <c r="Z10" s="10"/>
      <c r="AA10" s="10"/>
      <c r="BK10" s="4"/>
      <c r="BL10" s="4"/>
      <c r="BM10" s="4"/>
      <c r="BN10" s="4"/>
    </row>
    <row r="11" spans="1:66">
      <c r="A11" s="9"/>
      <c r="B11" s="9"/>
      <c r="C11" s="9"/>
      <c r="D11" s="9"/>
      <c r="E11" s="9"/>
      <c r="F11" s="9"/>
      <c r="P11" s="6" t="str">
        <f>Настройки!A8</f>
        <v>Ремонт</v>
      </c>
      <c r="Q11" s="5">
        <f>Настройки!B8</f>
        <v>14</v>
      </c>
      <c r="R11" s="5" t="str">
        <f>Настройки!C8</f>
        <v>Ремонт</v>
      </c>
      <c r="S11" s="10"/>
      <c r="T11" s="14"/>
      <c r="U11" s="10"/>
      <c r="V11" s="10"/>
      <c r="W11" s="10"/>
      <c r="X11" s="10"/>
      <c r="Y11" s="10"/>
      <c r="Z11" s="10"/>
      <c r="AA11" s="10"/>
      <c r="BK11" s="4"/>
      <c r="BL11" s="4"/>
      <c r="BM11" s="4"/>
      <c r="BN11" s="4"/>
    </row>
    <row r="12" spans="1:66">
      <c r="A12" s="9"/>
      <c r="B12" s="9"/>
      <c r="C12" s="9"/>
      <c r="D12" s="9"/>
      <c r="E12" s="9"/>
      <c r="F12" s="9"/>
      <c r="P12" s="6" t="str">
        <f>Настройки!A9</f>
        <v>Команда оператора</v>
      </c>
      <c r="Q12" s="5">
        <f>Настройки!B9</f>
        <v>20</v>
      </c>
      <c r="R12" s="5" t="str">
        <f>Настройки!C9</f>
        <v>Команда оператора</v>
      </c>
      <c r="S12" s="10"/>
      <c r="T12" s="14"/>
      <c r="U12" s="10"/>
      <c r="V12" s="10"/>
      <c r="W12" s="10"/>
      <c r="X12" s="10"/>
      <c r="Y12" s="10"/>
      <c r="Z12" s="10"/>
      <c r="AA12" s="10"/>
      <c r="BK12" s="4"/>
      <c r="BL12" s="4"/>
      <c r="BM12" s="4"/>
      <c r="BN12" s="4"/>
    </row>
    <row r="13" spans="1:66">
      <c r="A13" s="9"/>
      <c r="B13" s="9"/>
      <c r="C13" s="9"/>
      <c r="D13" s="9"/>
      <c r="E13" s="9"/>
      <c r="F13" s="9"/>
      <c r="P13" s="6" t="str">
        <f>Настройки!A10</f>
        <v>Тревога</v>
      </c>
      <c r="Q13" s="5">
        <f>Настройки!B10</f>
        <v>5</v>
      </c>
      <c r="R13" s="5" t="str">
        <f>Настройки!C10</f>
        <v>Тревога</v>
      </c>
      <c r="S13" s="10"/>
      <c r="T13" s="14"/>
      <c r="U13" s="10"/>
      <c r="V13" s="10"/>
      <c r="W13" s="10"/>
      <c r="X13" s="10"/>
      <c r="Y13" s="10"/>
      <c r="Z13" s="10"/>
      <c r="AA13" s="10"/>
      <c r="BK13" s="4"/>
      <c r="BL13" s="4"/>
      <c r="BM13" s="4"/>
      <c r="BN13" s="4"/>
    </row>
    <row r="14" spans="1:66">
      <c r="A14" s="9"/>
      <c r="B14" s="9"/>
      <c r="C14" s="9"/>
      <c r="D14" s="9"/>
      <c r="E14" s="9"/>
      <c r="F14" s="9"/>
      <c r="P14" s="6" t="str">
        <f>Настройки!A11</f>
        <v>Тушение</v>
      </c>
      <c r="Q14" s="5">
        <f>Настройки!B11</f>
        <v>1</v>
      </c>
      <c r="R14" s="5" t="str">
        <f>Настройки!C11</f>
        <v>Тушение</v>
      </c>
      <c r="S14" s="10"/>
      <c r="T14" s="14"/>
      <c r="U14" s="10"/>
      <c r="V14" s="10"/>
      <c r="W14" s="10"/>
      <c r="X14" s="10"/>
      <c r="Y14" s="10"/>
      <c r="Z14" s="10"/>
      <c r="AA14" s="10"/>
      <c r="BK14" s="4"/>
      <c r="BL14" s="4"/>
      <c r="BM14" s="4"/>
      <c r="BN14" s="4"/>
    </row>
    <row r="15" spans="1:66">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K15" s="4"/>
      <c r="BL15" s="4"/>
      <c r="BM15" s="4"/>
      <c r="BN15" s="4"/>
    </row>
    <row r="16" spans="1:66">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K16" s="4"/>
      <c r="BL16" s="4"/>
      <c r="BM16" s="4"/>
      <c r="BN16" s="4"/>
    </row>
    <row r="17" spans="1:70">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K17" s="4"/>
      <c r="BL17" s="4"/>
      <c r="BM17" s="4"/>
      <c r="BN17" s="4"/>
    </row>
    <row r="18" spans="1:70">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K18" s="4"/>
      <c r="BL18" s="4"/>
      <c r="BM18" s="4"/>
      <c r="BN18" s="4"/>
    </row>
    <row r="19" spans="1:70">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K19" s="4"/>
      <c r="BL19" s="4"/>
      <c r="BM19" s="4"/>
      <c r="BN19" s="4"/>
    </row>
    <row r="20" spans="1:70">
      <c r="A20" s="16" t="str">
        <f t="shared" ref="A20:A30" si="0">$R$2</f>
        <v>АСПС.FB_OZK_KD_S</v>
      </c>
      <c r="B20" s="17">
        <v>11001</v>
      </c>
      <c r="C20" s="17" t="s">
        <v>0</v>
      </c>
      <c r="D20" s="18" t="str">
        <f>$Q$2&amp;". "</f>
        <v xml:space="preserve">Огнезадерживающий клапан, клапан дымоудаления. </v>
      </c>
      <c r="F20" s="4"/>
      <c r="BK20" s="4"/>
      <c r="BL20" s="4"/>
      <c r="BM20" s="4"/>
      <c r="BN20" s="4"/>
    </row>
    <row r="21" spans="1:70">
      <c r="A21" s="19" t="str">
        <f t="shared" si="0"/>
        <v>АСПС.FB_OZK_KD_S</v>
      </c>
      <c r="B21" s="11">
        <v>11156</v>
      </c>
      <c r="C21" s="11" t="s">
        <v>0</v>
      </c>
      <c r="D21" s="20" t="str">
        <f>$V$2</f>
        <v>Тестовый экран</v>
      </c>
      <c r="F21" s="4"/>
      <c r="BK21" s="4"/>
      <c r="BL21" s="4"/>
      <c r="BM21" s="4"/>
      <c r="BN21" s="4"/>
    </row>
    <row r="22" spans="1:70">
      <c r="A22" s="19" t="str">
        <f t="shared" si="0"/>
        <v>АСПС.FB_OZK_KD_S</v>
      </c>
      <c r="B22" s="11">
        <v>1</v>
      </c>
      <c r="C22" s="11" t="s">
        <v>1</v>
      </c>
      <c r="D22" s="20">
        <v>17</v>
      </c>
      <c r="BK22" s="4"/>
      <c r="BL22" s="4"/>
      <c r="BM22" s="4"/>
      <c r="BN22" s="4"/>
    </row>
    <row r="23" spans="1:70" ht="15" customHeight="1">
      <c r="A23" s="16" t="str">
        <f t="shared" si="0"/>
        <v>АСПС.FB_OZK_KD_S</v>
      </c>
      <c r="B23" s="17">
        <v>100</v>
      </c>
      <c r="C23" s="17" t="s">
        <v>0</v>
      </c>
      <c r="D23" s="18" t="b">
        <f>$T$7</f>
        <v>0</v>
      </c>
      <c r="BF23" s="4"/>
      <c r="BG23" s="4"/>
      <c r="BH23" s="4"/>
      <c r="BI23" s="4"/>
    </row>
    <row r="24" spans="1:70">
      <c r="A24" s="19" t="str">
        <f t="shared" si="0"/>
        <v>АСПС.FB_OZK_KD_S</v>
      </c>
      <c r="B24" s="11">
        <v>11120</v>
      </c>
      <c r="C24" s="11" t="s">
        <v>0</v>
      </c>
      <c r="D24" s="20" t="str">
        <f>$AL$2</f>
        <v>MUPS3+1</v>
      </c>
      <c r="BK24" s="4"/>
      <c r="BL24" s="4"/>
      <c r="BM24" s="4"/>
      <c r="BN24" s="4"/>
    </row>
    <row r="25" spans="1:70">
      <c r="A25" s="19" t="str">
        <f t="shared" si="0"/>
        <v>АСПС.FB_OZK_KD_S</v>
      </c>
      <c r="B25" s="11">
        <v>11121</v>
      </c>
      <c r="C25" s="11" t="s">
        <v>0</v>
      </c>
      <c r="D25" s="20" t="str">
        <f>$AM$2</f>
        <v>MUPS3+2</v>
      </c>
      <c r="BK25" s="4"/>
      <c r="BL25" s="4"/>
      <c r="BM25" s="4"/>
      <c r="BN25" s="4"/>
    </row>
    <row r="26" spans="1:70">
      <c r="A26" s="19" t="str">
        <f t="shared" si="0"/>
        <v>АСПС.FB_OZK_KD_S</v>
      </c>
      <c r="B26" s="11">
        <v>11122</v>
      </c>
      <c r="C26" s="11" t="s">
        <v>0</v>
      </c>
      <c r="D26" s="20" t="str">
        <f>$AP$2</f>
        <v>7+12</v>
      </c>
      <c r="BK26" s="4"/>
      <c r="BL26" s="4"/>
      <c r="BM26" s="4"/>
      <c r="BN26" s="4"/>
    </row>
    <row r="27" spans="1:70">
      <c r="A27" s="19" t="str">
        <f t="shared" si="0"/>
        <v>АСПС.FB_OZK_KD_S</v>
      </c>
      <c r="B27" s="11">
        <v>11123</v>
      </c>
      <c r="C27" s="11" t="s">
        <v>0</v>
      </c>
      <c r="D27" s="20" t="str">
        <f>$AQ$2</f>
        <v>MOPS3+4</v>
      </c>
      <c r="BK27" s="4"/>
      <c r="BL27" s="4"/>
      <c r="BM27" s="4"/>
      <c r="BN27" s="4"/>
    </row>
    <row r="28" spans="1:70">
      <c r="A28" s="21" t="str">
        <f t="shared" si="0"/>
        <v>АСПС.FB_OZK_KD_S</v>
      </c>
      <c r="B28" s="8">
        <v>11124</v>
      </c>
      <c r="C28" s="8" t="s">
        <v>0</v>
      </c>
      <c r="D28" s="22" t="str">
        <f>$AR$2</f>
        <v>MOPS3+5</v>
      </c>
      <c r="BK28" s="4"/>
      <c r="BL28" s="4"/>
      <c r="BM28" s="4"/>
      <c r="BN28" s="4"/>
    </row>
    <row r="29" spans="1:70">
      <c r="A29" s="16" t="str">
        <f t="shared" si="0"/>
        <v>АСПС.FB_OZK_KD_S</v>
      </c>
      <c r="B29" s="17">
        <v>13</v>
      </c>
      <c r="C29" s="17" t="s">
        <v>2</v>
      </c>
      <c r="D29" s="18" t="s">
        <v>3</v>
      </c>
      <c r="BK29" s="4"/>
      <c r="BL29" s="4"/>
      <c r="BM29" s="4"/>
      <c r="BN29" s="4"/>
    </row>
    <row r="30" spans="1:70">
      <c r="A30" s="21" t="str">
        <f t="shared" si="0"/>
        <v>АСПС.FB_OZK_KD_S</v>
      </c>
      <c r="B30" s="8">
        <v>3000013</v>
      </c>
      <c r="C30" s="8" t="s">
        <v>0</v>
      </c>
      <c r="D30" s="22" t="str">
        <f>$AE$2</f>
        <v>Диагностика.CPU.NOT_LINK.noLink</v>
      </c>
      <c r="BK30" s="4"/>
      <c r="BL30" s="4"/>
      <c r="BM30" s="4"/>
      <c r="BN30" s="4"/>
    </row>
    <row r="31" spans="1:70">
      <c r="A31" s="211" t="str">
        <f t="shared" ref="A31:A40" si="1">$R$2&amp;".DONX"</f>
        <v>АСПС.FB_OZK_KD_S.DONX</v>
      </c>
      <c r="B31" s="212">
        <v>11154</v>
      </c>
      <c r="C31" s="212" t="s">
        <v>4</v>
      </c>
      <c r="D31" s="221">
        <f>$Q$7</f>
        <v>12</v>
      </c>
      <c r="E31" s="163" t="str">
        <f t="shared" ref="E31:E40" si="2">$R$2&amp;".DBTX"</f>
        <v>АСПС.FB_OZK_KD_S.DBTX</v>
      </c>
      <c r="F31" s="123">
        <v>11154</v>
      </c>
      <c r="G31" s="123" t="s">
        <v>4</v>
      </c>
      <c r="H31" s="124">
        <f>$Q$9</f>
        <v>10</v>
      </c>
      <c r="BO31" s="4"/>
      <c r="BP31" s="4"/>
      <c r="BQ31" s="4"/>
      <c r="BR31" s="4"/>
    </row>
    <row r="32" spans="1:70">
      <c r="A32" s="211" t="str">
        <f t="shared" si="1"/>
        <v>АСПС.FB_OZK_KD_S.DONX</v>
      </c>
      <c r="B32" s="212">
        <v>11152</v>
      </c>
      <c r="C32" s="212" t="s">
        <v>0</v>
      </c>
      <c r="D32" s="220" t="str">
        <f>$R$7</f>
        <v>Неисправность</v>
      </c>
      <c r="E32" s="110" t="str">
        <f t="shared" si="2"/>
        <v>АСПС.FB_OZK_KD_S.DBTX</v>
      </c>
      <c r="F32" s="111">
        <v>11150</v>
      </c>
      <c r="G32" s="111" t="s">
        <v>0</v>
      </c>
      <c r="H32" s="112" t="s">
        <v>436</v>
      </c>
      <c r="BO32" s="4"/>
      <c r="BP32" s="4"/>
      <c r="BQ32" s="4"/>
      <c r="BR32" s="4"/>
    </row>
    <row r="33" spans="1:70">
      <c r="A33" s="211" t="str">
        <f t="shared" si="1"/>
        <v>АСПС.FB_OZK_KD_S.DONX</v>
      </c>
      <c r="B33" s="212">
        <v>11150</v>
      </c>
      <c r="C33" s="212" t="s">
        <v>0</v>
      </c>
      <c r="D33" s="213" t="s">
        <v>687</v>
      </c>
      <c r="E33" s="110" t="str">
        <f t="shared" si="2"/>
        <v>АСПС.FB_OZK_KD_S.DBTX</v>
      </c>
      <c r="F33" s="111">
        <v>11152</v>
      </c>
      <c r="G33" s="111" t="s">
        <v>0</v>
      </c>
      <c r="H33" s="113" t="str">
        <f>$R$9</f>
        <v>Недостоверность</v>
      </c>
      <c r="BO33" s="4"/>
      <c r="BP33" s="4"/>
      <c r="BQ33" s="4"/>
      <c r="BR33" s="4"/>
    </row>
    <row r="34" spans="1:70">
      <c r="A34" s="211" t="str">
        <f t="shared" si="1"/>
        <v>АСПС.FB_OZK_KD_S.DONX</v>
      </c>
      <c r="B34" s="212">
        <v>11000</v>
      </c>
      <c r="C34" s="212" t="s">
        <v>5</v>
      </c>
      <c r="D34" s="213">
        <v>2147483680</v>
      </c>
      <c r="E34" s="110" t="str">
        <f t="shared" si="2"/>
        <v>АСПС.FB_OZK_KD_S.DBTX</v>
      </c>
      <c r="F34" s="111">
        <v>11000</v>
      </c>
      <c r="G34" s="111" t="s">
        <v>5</v>
      </c>
      <c r="H34" s="112">
        <v>2147483680</v>
      </c>
      <c r="BO34" s="4"/>
      <c r="BP34" s="4"/>
      <c r="BQ34" s="4"/>
      <c r="BR34" s="4"/>
    </row>
    <row r="35" spans="1:70">
      <c r="A35" s="19" t="str">
        <f t="shared" si="1"/>
        <v>АСПС.FB_OZK_KD_S.DONX</v>
      </c>
      <c r="B35" s="11">
        <v>7999</v>
      </c>
      <c r="C35" s="11" t="s">
        <v>0</v>
      </c>
      <c r="D35" s="20" t="str">
        <f>"#"&amp;$S$2&amp;"#"&amp;$T$2&amp;"\"&amp;$P$2&amp;"\DONX"</f>
        <v>#1#treiOPCDA.CoOPCserv.1\pcmaster\FB_OZK_KD_S\DONX</v>
      </c>
      <c r="E35" s="19" t="str">
        <f t="shared" si="2"/>
        <v>АСПС.FB_OZK_KD_S.DBTX</v>
      </c>
      <c r="F35" s="11">
        <v>7999</v>
      </c>
      <c r="G35" s="11" t="s">
        <v>0</v>
      </c>
      <c r="H35" s="20" t="str">
        <f>"#"&amp;$S$2&amp;"#"&amp;$T$2&amp;"\"&amp;$P$2&amp;"\DBTX"</f>
        <v>#1#treiOPCDA.CoOPCserv.1\pcmaster\FB_OZK_KD_S\DBTX</v>
      </c>
      <c r="Q35" s="11"/>
      <c r="R35" s="11"/>
      <c r="S35" s="11"/>
      <c r="T35" s="11"/>
      <c r="U35" s="11"/>
      <c r="BO35" s="4"/>
      <c r="BP35" s="4"/>
      <c r="BQ35" s="4"/>
      <c r="BR35" s="4"/>
    </row>
    <row r="36" spans="1:70">
      <c r="A36" s="19" t="str">
        <f t="shared" si="1"/>
        <v>АСПС.FB_OZK_KD_S.DONX</v>
      </c>
      <c r="B36" s="11">
        <v>7998</v>
      </c>
      <c r="C36" s="11" t="s">
        <v>6</v>
      </c>
      <c r="D36" s="20">
        <v>1</v>
      </c>
      <c r="E36" s="19" t="str">
        <f t="shared" si="2"/>
        <v>АСПС.FB_OZK_KD_S.DBTX</v>
      </c>
      <c r="F36" s="11">
        <v>7998</v>
      </c>
      <c r="G36" s="11" t="s">
        <v>6</v>
      </c>
      <c r="H36" s="20">
        <v>1</v>
      </c>
      <c r="Q36" s="11"/>
      <c r="R36" s="11"/>
      <c r="S36" s="11"/>
      <c r="T36" s="11"/>
      <c r="U36" s="11"/>
      <c r="BO36" s="4"/>
      <c r="BP36" s="4"/>
      <c r="BQ36" s="4"/>
      <c r="BR36" s="4"/>
    </row>
    <row r="37" spans="1:70">
      <c r="A37" s="19" t="str">
        <f t="shared" si="1"/>
        <v>АСПС.FB_OZK_KD_S.DONX</v>
      </c>
      <c r="B37" s="11">
        <v>101</v>
      </c>
      <c r="C37" s="11" t="s">
        <v>0</v>
      </c>
      <c r="D37" s="20" t="s">
        <v>687</v>
      </c>
      <c r="E37" s="19" t="str">
        <f t="shared" si="2"/>
        <v>АСПС.FB_OZK_KD_S.DBTX</v>
      </c>
      <c r="F37" s="11">
        <v>101</v>
      </c>
      <c r="G37" s="11" t="s">
        <v>0</v>
      </c>
      <c r="H37" s="20" t="s">
        <v>436</v>
      </c>
      <c r="Q37" s="11"/>
      <c r="R37" s="11"/>
      <c r="S37" s="11"/>
      <c r="T37" s="11"/>
      <c r="U37" s="11"/>
      <c r="BO37" s="4"/>
      <c r="BP37" s="4"/>
      <c r="BQ37" s="4"/>
      <c r="BR37" s="4"/>
    </row>
    <row r="38" spans="1:70">
      <c r="A38" s="19" t="str">
        <f t="shared" si="1"/>
        <v>АСПС.FB_OZK_KD_S.DONX</v>
      </c>
      <c r="B38" s="11">
        <v>3</v>
      </c>
      <c r="C38" s="11" t="s">
        <v>1</v>
      </c>
      <c r="D38" s="20">
        <v>192</v>
      </c>
      <c r="E38" s="19" t="str">
        <f t="shared" si="2"/>
        <v>АСПС.FB_OZK_KD_S.DBTX</v>
      </c>
      <c r="F38" s="11">
        <v>3</v>
      </c>
      <c r="G38" s="11" t="s">
        <v>1</v>
      </c>
      <c r="H38" s="20">
        <v>192</v>
      </c>
      <c r="Q38" s="11"/>
      <c r="R38" s="11"/>
      <c r="S38" s="11"/>
      <c r="T38" s="11"/>
      <c r="U38" s="11"/>
      <c r="BO38" s="4"/>
      <c r="BP38" s="4"/>
      <c r="BQ38" s="4"/>
      <c r="BR38" s="4"/>
    </row>
    <row r="39" spans="1:70">
      <c r="A39" s="19" t="str">
        <f t="shared" si="1"/>
        <v>АСПС.FB_OZK_KD_S.DONX</v>
      </c>
      <c r="B39" s="11">
        <v>2</v>
      </c>
      <c r="C39" s="11" t="s">
        <v>2</v>
      </c>
      <c r="D39" s="20" t="s">
        <v>3</v>
      </c>
      <c r="E39" s="19" t="str">
        <f t="shared" si="2"/>
        <v>АСПС.FB_OZK_KD_S.DBTX</v>
      </c>
      <c r="F39" s="11">
        <v>2</v>
      </c>
      <c r="G39" s="11" t="s">
        <v>2</v>
      </c>
      <c r="H39" s="20" t="s">
        <v>3</v>
      </c>
      <c r="Q39" s="11"/>
      <c r="R39" s="11"/>
      <c r="S39" s="11"/>
      <c r="T39" s="11"/>
      <c r="U39" s="11"/>
      <c r="BO39" s="4"/>
      <c r="BP39" s="4"/>
      <c r="BQ39" s="4"/>
      <c r="BR39" s="4"/>
    </row>
    <row r="40" spans="1:70">
      <c r="A40" s="21" t="str">
        <f t="shared" si="1"/>
        <v>АСПС.FB_OZK_KD_S.DONX</v>
      </c>
      <c r="B40" s="8">
        <v>1</v>
      </c>
      <c r="C40" s="8" t="s">
        <v>1</v>
      </c>
      <c r="D40" s="22">
        <v>11</v>
      </c>
      <c r="E40" s="21" t="str">
        <f t="shared" si="2"/>
        <v>АСПС.FB_OZK_KD_S.DBTX</v>
      </c>
      <c r="F40" s="8">
        <v>1</v>
      </c>
      <c r="G40" s="8" t="s">
        <v>1</v>
      </c>
      <c r="H40" s="22">
        <v>11</v>
      </c>
      <c r="Q40" s="11"/>
      <c r="R40" s="11"/>
      <c r="S40" s="11"/>
      <c r="T40" s="11"/>
      <c r="U40" s="11"/>
      <c r="BO40" s="4"/>
      <c r="BP40" s="4"/>
      <c r="BQ40" s="4"/>
      <c r="BR40" s="4"/>
    </row>
    <row r="41" spans="1:70">
      <c r="A41" s="211" t="str">
        <f t="shared" ref="A41:A50" si="3">$R$2&amp;".DOFX"</f>
        <v>АСПС.FB_OZK_KD_S.DOFX</v>
      </c>
      <c r="B41" s="212">
        <v>11154</v>
      </c>
      <c r="C41" s="212" t="s">
        <v>4</v>
      </c>
      <c r="D41" s="221">
        <f>$Q$7</f>
        <v>12</v>
      </c>
      <c r="Q41" s="11"/>
      <c r="R41" s="11"/>
      <c r="S41" s="11"/>
      <c r="T41" s="83"/>
      <c r="U41" s="11"/>
      <c r="BK41" s="4"/>
      <c r="BL41" s="4"/>
      <c r="BM41" s="4"/>
      <c r="BN41" s="4"/>
    </row>
    <row r="42" spans="1:70">
      <c r="A42" s="211" t="str">
        <f t="shared" si="3"/>
        <v>АСПС.FB_OZK_KD_S.DOFX</v>
      </c>
      <c r="B42" s="212">
        <v>11152</v>
      </c>
      <c r="C42" s="212" t="s">
        <v>0</v>
      </c>
      <c r="D42" s="220" t="str">
        <f>$R$7</f>
        <v>Неисправность</v>
      </c>
      <c r="Q42" s="11"/>
      <c r="R42" s="11"/>
      <c r="S42" s="11"/>
      <c r="T42" s="11"/>
      <c r="U42" s="11"/>
      <c r="BK42" s="4"/>
      <c r="BL42" s="4"/>
      <c r="BM42" s="4"/>
      <c r="BN42" s="4"/>
    </row>
    <row r="43" spans="1:70">
      <c r="A43" s="211" t="str">
        <f t="shared" si="3"/>
        <v>АСПС.FB_OZK_KD_S.DOFX</v>
      </c>
      <c r="B43" s="212">
        <v>11150</v>
      </c>
      <c r="C43" s="212" t="s">
        <v>0</v>
      </c>
      <c r="D43" s="213" t="s">
        <v>688</v>
      </c>
      <c r="Q43" s="11"/>
      <c r="R43" s="11"/>
      <c r="S43" s="11"/>
      <c r="T43" s="81"/>
      <c r="U43" s="11"/>
      <c r="BK43" s="4"/>
      <c r="BL43" s="4"/>
      <c r="BM43" s="4"/>
      <c r="BN43" s="4"/>
    </row>
    <row r="44" spans="1:70">
      <c r="A44" s="211" t="str">
        <f t="shared" si="3"/>
        <v>АСПС.FB_OZK_KD_S.DOFX</v>
      </c>
      <c r="B44" s="212">
        <v>11000</v>
      </c>
      <c r="C44" s="212" t="s">
        <v>5</v>
      </c>
      <c r="D44" s="213">
        <v>2147483680</v>
      </c>
      <c r="Q44" s="11"/>
      <c r="R44" s="11"/>
      <c r="S44" s="11"/>
      <c r="T44" s="83"/>
      <c r="U44" s="11"/>
      <c r="BK44" s="4"/>
      <c r="BL44" s="4"/>
      <c r="BM44" s="4"/>
      <c r="BN44" s="4"/>
    </row>
    <row r="45" spans="1:70">
      <c r="A45" s="19" t="str">
        <f t="shared" si="3"/>
        <v>АСПС.FB_OZK_KD_S.DOFX</v>
      </c>
      <c r="B45" s="11">
        <v>7999</v>
      </c>
      <c r="C45" s="11" t="s">
        <v>0</v>
      </c>
      <c r="D45" s="20" t="str">
        <f>"#"&amp;$S$2&amp;"#"&amp;$T$2&amp;"\"&amp;$P$2&amp;"\DOFX"</f>
        <v>#1#treiOPCDA.CoOPCserv.1\pcmaster\FB_OZK_KD_S\DOFX</v>
      </c>
      <c r="Q45" s="11"/>
      <c r="R45" s="11"/>
      <c r="S45" s="11"/>
      <c r="T45" s="11"/>
      <c r="U45" s="11"/>
      <c r="BK45" s="4"/>
      <c r="BL45" s="4"/>
      <c r="BM45" s="4"/>
      <c r="BN45" s="4"/>
    </row>
    <row r="46" spans="1:70">
      <c r="A46" s="19" t="str">
        <f t="shared" si="3"/>
        <v>АСПС.FB_OZK_KD_S.DOFX</v>
      </c>
      <c r="B46" s="11">
        <v>7998</v>
      </c>
      <c r="C46" s="11" t="s">
        <v>6</v>
      </c>
      <c r="D46" s="20">
        <v>1</v>
      </c>
      <c r="Q46" s="11"/>
      <c r="R46" s="11"/>
      <c r="S46" s="11"/>
      <c r="T46" s="81"/>
      <c r="U46" s="11"/>
      <c r="BK46" s="4"/>
      <c r="BL46" s="4"/>
      <c r="BM46" s="4"/>
      <c r="BN46" s="4"/>
    </row>
    <row r="47" spans="1:70">
      <c r="A47" s="19" t="str">
        <f t="shared" si="3"/>
        <v>АСПС.FB_OZK_KD_S.DOFX</v>
      </c>
      <c r="B47" s="11">
        <v>101</v>
      </c>
      <c r="C47" s="11" t="s">
        <v>0</v>
      </c>
      <c r="D47" s="20" t="s">
        <v>688</v>
      </c>
      <c r="Q47" s="11"/>
      <c r="R47" s="11"/>
      <c r="S47" s="11"/>
      <c r="T47" s="11"/>
      <c r="U47" s="11"/>
      <c r="BK47" s="4"/>
      <c r="BL47" s="4"/>
      <c r="BM47" s="4"/>
      <c r="BN47" s="4"/>
    </row>
    <row r="48" spans="1:70">
      <c r="A48" s="19" t="str">
        <f t="shared" si="3"/>
        <v>АСПС.FB_OZK_KD_S.DOFX</v>
      </c>
      <c r="B48" s="11">
        <v>3</v>
      </c>
      <c r="C48" s="11" t="s">
        <v>1</v>
      </c>
      <c r="D48" s="20">
        <v>192</v>
      </c>
      <c r="Q48" s="11"/>
      <c r="R48" s="11"/>
      <c r="S48" s="11"/>
      <c r="T48" s="11"/>
      <c r="U48" s="11"/>
      <c r="BK48" s="4"/>
      <c r="BL48" s="4"/>
      <c r="BM48" s="4"/>
      <c r="BN48" s="4"/>
    </row>
    <row r="49" spans="1:66">
      <c r="A49" s="19" t="str">
        <f t="shared" si="3"/>
        <v>АСПС.FB_OZK_KD_S.DOFX</v>
      </c>
      <c r="B49" s="11">
        <v>2</v>
      </c>
      <c r="C49" s="11" t="s">
        <v>2</v>
      </c>
      <c r="D49" s="20" t="s">
        <v>3</v>
      </c>
      <c r="Q49" s="11"/>
      <c r="R49" s="11"/>
      <c r="S49" s="11"/>
      <c r="T49" s="11"/>
      <c r="U49" s="11"/>
      <c r="BK49" s="4"/>
      <c r="BL49" s="4"/>
      <c r="BM49" s="4"/>
      <c r="BN49" s="4"/>
    </row>
    <row r="50" spans="1:66">
      <c r="A50" s="21" t="str">
        <f t="shared" si="3"/>
        <v>АСПС.FB_OZK_KD_S.DOFX</v>
      </c>
      <c r="B50" s="8">
        <v>1</v>
      </c>
      <c r="C50" s="8" t="s">
        <v>1</v>
      </c>
      <c r="D50" s="22">
        <v>11</v>
      </c>
      <c r="Q50" s="11"/>
      <c r="R50" s="11"/>
      <c r="S50" s="11"/>
      <c r="T50" s="11"/>
      <c r="U50" s="11"/>
      <c r="BK50" s="4"/>
      <c r="BL50" s="4"/>
      <c r="BM50" s="4"/>
      <c r="BN50" s="4"/>
    </row>
    <row r="51" spans="1:66">
      <c r="A51" s="211" t="str">
        <f t="shared" ref="A51:A60" si="4">$R$2&amp;".DFXX"</f>
        <v>АСПС.FB_OZK_KD_S.DFXX</v>
      </c>
      <c r="B51" s="212">
        <v>11154</v>
      </c>
      <c r="C51" s="212" t="s">
        <v>4</v>
      </c>
      <c r="D51" s="221">
        <f>$Q$7</f>
        <v>12</v>
      </c>
      <c r="Q51" s="11"/>
      <c r="R51" s="11"/>
      <c r="S51" s="11"/>
      <c r="T51" s="11"/>
      <c r="U51" s="11"/>
      <c r="BK51" s="4"/>
      <c r="BL51" s="4"/>
      <c r="BM51" s="4"/>
      <c r="BN51" s="4"/>
    </row>
    <row r="52" spans="1:66">
      <c r="A52" s="211" t="str">
        <f t="shared" si="4"/>
        <v>АСПС.FB_OZK_KD_S.DFXX</v>
      </c>
      <c r="B52" s="212">
        <v>11152</v>
      </c>
      <c r="C52" s="212" t="s">
        <v>0</v>
      </c>
      <c r="D52" s="220" t="str">
        <f>$R$7</f>
        <v>Неисправность</v>
      </c>
      <c r="Q52" s="11"/>
      <c r="R52" s="11"/>
      <c r="S52" s="11"/>
      <c r="T52" s="11"/>
      <c r="U52" s="11"/>
      <c r="BK52" s="4"/>
      <c r="BL52" s="4"/>
      <c r="BM52" s="4"/>
      <c r="BN52" s="4"/>
    </row>
    <row r="53" spans="1:66">
      <c r="A53" s="211" t="str">
        <f t="shared" si="4"/>
        <v>АСПС.FB_OZK_KD_S.DFXX</v>
      </c>
      <c r="B53" s="212">
        <v>11150</v>
      </c>
      <c r="C53" s="212" t="s">
        <v>0</v>
      </c>
      <c r="D53" s="213" t="s">
        <v>681</v>
      </c>
      <c r="Q53" s="11"/>
      <c r="R53" s="11"/>
      <c r="S53" s="11"/>
      <c r="T53" s="11"/>
      <c r="U53" s="11"/>
      <c r="BK53" s="4"/>
      <c r="BL53" s="4"/>
      <c r="BM53" s="4"/>
      <c r="BN53" s="4"/>
    </row>
    <row r="54" spans="1:66">
      <c r="A54" s="211" t="str">
        <f t="shared" si="4"/>
        <v>АСПС.FB_OZK_KD_S.DFXX</v>
      </c>
      <c r="B54" s="212">
        <v>11000</v>
      </c>
      <c r="C54" s="212" t="s">
        <v>5</v>
      </c>
      <c r="D54" s="213">
        <v>2147483680</v>
      </c>
      <c r="Q54" s="11"/>
      <c r="R54" s="11"/>
      <c r="S54" s="11"/>
      <c r="T54" s="11"/>
      <c r="U54" s="11"/>
      <c r="BK54" s="4"/>
      <c r="BL54" s="4"/>
      <c r="BM54" s="4"/>
      <c r="BN54" s="4"/>
    </row>
    <row r="55" spans="1:66">
      <c r="A55" s="19" t="str">
        <f t="shared" si="4"/>
        <v>АСПС.FB_OZK_KD_S.DFXX</v>
      </c>
      <c r="B55" s="11">
        <v>7999</v>
      </c>
      <c r="C55" s="11" t="s">
        <v>0</v>
      </c>
      <c r="D55" s="20" t="str">
        <f>"#"&amp;$S$2&amp;"#"&amp;$T$2&amp;"\"&amp;$P$2&amp;"\DFXX"</f>
        <v>#1#treiOPCDA.CoOPCserv.1\pcmaster\FB_OZK_KD_S\DFXX</v>
      </c>
      <c r="Q55" s="11"/>
      <c r="R55" s="11"/>
      <c r="S55" s="11"/>
      <c r="T55" s="11"/>
      <c r="U55" s="11"/>
      <c r="BK55" s="4"/>
      <c r="BL55" s="4"/>
      <c r="BM55" s="4"/>
      <c r="BN55" s="4"/>
    </row>
    <row r="56" spans="1:66">
      <c r="A56" s="19" t="str">
        <f t="shared" si="4"/>
        <v>АСПС.FB_OZK_KD_S.DFXX</v>
      </c>
      <c r="B56" s="11">
        <v>7998</v>
      </c>
      <c r="C56" s="11" t="s">
        <v>6</v>
      </c>
      <c r="D56" s="20">
        <v>1</v>
      </c>
      <c r="Q56" s="11"/>
      <c r="R56" s="11"/>
      <c r="S56" s="11"/>
      <c r="T56" s="11"/>
      <c r="U56" s="11"/>
      <c r="BK56" s="4"/>
      <c r="BL56" s="4"/>
      <c r="BM56" s="4"/>
      <c r="BN56" s="4"/>
    </row>
    <row r="57" spans="1:66">
      <c r="A57" s="19" t="str">
        <f t="shared" si="4"/>
        <v>АСПС.FB_OZK_KD_S.DFXX</v>
      </c>
      <c r="B57" s="11">
        <v>101</v>
      </c>
      <c r="C57" s="11" t="s">
        <v>0</v>
      </c>
      <c r="D57" s="20" t="s">
        <v>681</v>
      </c>
      <c r="Q57" s="11"/>
      <c r="R57" s="11"/>
      <c r="S57" s="11"/>
      <c r="T57" s="11"/>
      <c r="U57" s="11"/>
      <c r="BK57" s="4"/>
      <c r="BL57" s="4"/>
      <c r="BM57" s="4"/>
      <c r="BN57" s="4"/>
    </row>
    <row r="58" spans="1:66">
      <c r="A58" s="19" t="str">
        <f t="shared" si="4"/>
        <v>АСПС.FB_OZK_KD_S.DFXX</v>
      </c>
      <c r="B58" s="11">
        <v>3</v>
      </c>
      <c r="C58" s="11" t="s">
        <v>1</v>
      </c>
      <c r="D58" s="20">
        <v>192</v>
      </c>
      <c r="Q58" s="11"/>
      <c r="R58" s="11"/>
      <c r="S58" s="11"/>
      <c r="T58" s="11"/>
      <c r="U58" s="11"/>
      <c r="BK58" s="4"/>
      <c r="BL58" s="4"/>
      <c r="BM58" s="4"/>
      <c r="BN58" s="4"/>
    </row>
    <row r="59" spans="1:66">
      <c r="A59" s="19" t="str">
        <f t="shared" si="4"/>
        <v>АСПС.FB_OZK_KD_S.DFXX</v>
      </c>
      <c r="B59" s="11">
        <v>2</v>
      </c>
      <c r="C59" s="11" t="s">
        <v>2</v>
      </c>
      <c r="D59" s="20" t="s">
        <v>3</v>
      </c>
      <c r="Q59" s="11"/>
      <c r="R59" s="11"/>
      <c r="S59" s="11"/>
      <c r="T59" s="11"/>
      <c r="U59" s="11"/>
      <c r="BK59" s="4"/>
      <c r="BL59" s="4"/>
      <c r="BM59" s="4"/>
      <c r="BN59" s="4"/>
    </row>
    <row r="60" spans="1:66">
      <c r="A60" s="21" t="str">
        <f t="shared" si="4"/>
        <v>АСПС.FB_OZK_KD_S.DFXX</v>
      </c>
      <c r="B60" s="8">
        <v>1</v>
      </c>
      <c r="C60" s="8" t="s">
        <v>1</v>
      </c>
      <c r="D60" s="22">
        <v>11</v>
      </c>
      <c r="Q60" s="11"/>
      <c r="R60" s="11"/>
      <c r="S60" s="11"/>
      <c r="T60" s="11"/>
      <c r="U60" s="11"/>
      <c r="BK60" s="4"/>
      <c r="BL60" s="4"/>
      <c r="BM60" s="4"/>
      <c r="BN60" s="4"/>
    </row>
    <row r="61" spans="1:66">
      <c r="A61" s="211" t="str">
        <f t="shared" ref="A61:A70" si="5">$R$2&amp;".DOON"</f>
        <v>АСПС.FB_OZK_KD_S.DOON</v>
      </c>
      <c r="B61" s="212">
        <v>11154</v>
      </c>
      <c r="C61" s="212" t="s">
        <v>4</v>
      </c>
      <c r="D61" s="221">
        <f>$Q$7</f>
        <v>12</v>
      </c>
      <c r="Q61" s="11"/>
      <c r="R61" s="11"/>
      <c r="S61" s="11"/>
      <c r="T61" s="11"/>
      <c r="U61" s="11"/>
      <c r="BK61" s="4"/>
      <c r="BL61" s="4"/>
      <c r="BM61" s="4"/>
      <c r="BN61" s="4"/>
    </row>
    <row r="62" spans="1:66">
      <c r="A62" s="211" t="str">
        <f t="shared" si="5"/>
        <v>АСПС.FB_OZK_KD_S.DOON</v>
      </c>
      <c r="B62" s="212">
        <v>11152</v>
      </c>
      <c r="C62" s="212" t="s">
        <v>0</v>
      </c>
      <c r="D62" s="220" t="str">
        <f>$R$7</f>
        <v>Неисправность</v>
      </c>
      <c r="BK62" s="4"/>
      <c r="BL62" s="4"/>
      <c r="BM62" s="4"/>
      <c r="BN62" s="4"/>
    </row>
    <row r="63" spans="1:66">
      <c r="A63" s="211" t="str">
        <f t="shared" si="5"/>
        <v>АСПС.FB_OZK_KD_S.DOON</v>
      </c>
      <c r="B63" s="212">
        <v>11150</v>
      </c>
      <c r="C63" s="212" t="s">
        <v>0</v>
      </c>
      <c r="D63" s="213" t="s">
        <v>689</v>
      </c>
      <c r="BK63" s="4"/>
      <c r="BL63" s="4"/>
      <c r="BM63" s="4"/>
      <c r="BN63" s="4"/>
    </row>
    <row r="64" spans="1:66">
      <c r="A64" s="211" t="str">
        <f t="shared" si="5"/>
        <v>АСПС.FB_OZK_KD_S.DOON</v>
      </c>
      <c r="B64" s="212">
        <v>11000</v>
      </c>
      <c r="C64" s="212" t="s">
        <v>5</v>
      </c>
      <c r="D64" s="213">
        <v>2147483680</v>
      </c>
      <c r="BK64" s="4"/>
      <c r="BL64" s="4"/>
      <c r="BM64" s="4"/>
      <c r="BN64" s="4"/>
    </row>
    <row r="65" spans="1:66">
      <c r="A65" s="19" t="str">
        <f t="shared" si="5"/>
        <v>АСПС.FB_OZK_KD_S.DOON</v>
      </c>
      <c r="B65" s="11">
        <v>7999</v>
      </c>
      <c r="C65" s="11" t="s">
        <v>0</v>
      </c>
      <c r="D65" s="20" t="str">
        <f>"#"&amp;$S$2&amp;"#"&amp;$T$2&amp;"\"&amp;$P$2&amp;"\DOON"</f>
        <v>#1#treiOPCDA.CoOPCserv.1\pcmaster\FB_OZK_KD_S\DOON</v>
      </c>
      <c r="BK65" s="4"/>
      <c r="BL65" s="4"/>
      <c r="BM65" s="4"/>
      <c r="BN65" s="4"/>
    </row>
    <row r="66" spans="1:66">
      <c r="A66" s="19" t="str">
        <f t="shared" si="5"/>
        <v>АСПС.FB_OZK_KD_S.DOON</v>
      </c>
      <c r="B66" s="11">
        <v>7998</v>
      </c>
      <c r="C66" s="11" t="s">
        <v>6</v>
      </c>
      <c r="D66" s="20">
        <v>1</v>
      </c>
      <c r="BK66" s="4"/>
      <c r="BL66" s="4"/>
      <c r="BM66" s="4"/>
      <c r="BN66" s="4"/>
    </row>
    <row r="67" spans="1:66">
      <c r="A67" s="19" t="str">
        <f t="shared" si="5"/>
        <v>АСПС.FB_OZK_KD_S.DOON</v>
      </c>
      <c r="B67" s="11">
        <v>101</v>
      </c>
      <c r="C67" s="11" t="s">
        <v>0</v>
      </c>
      <c r="D67" s="20" t="s">
        <v>689</v>
      </c>
      <c r="BK67" s="4"/>
      <c r="BL67" s="4"/>
      <c r="BM67" s="4"/>
      <c r="BN67" s="4"/>
    </row>
    <row r="68" spans="1:66">
      <c r="A68" s="19" t="str">
        <f t="shared" si="5"/>
        <v>АСПС.FB_OZK_KD_S.DOON</v>
      </c>
      <c r="B68" s="11">
        <v>3</v>
      </c>
      <c r="C68" s="11" t="s">
        <v>1</v>
      </c>
      <c r="D68" s="20">
        <v>192</v>
      </c>
      <c r="BK68" s="4"/>
      <c r="BL68" s="4"/>
      <c r="BM68" s="4"/>
      <c r="BN68" s="4"/>
    </row>
    <row r="69" spans="1:66">
      <c r="A69" s="19" t="str">
        <f t="shared" si="5"/>
        <v>АСПС.FB_OZK_KD_S.DOON</v>
      </c>
      <c r="B69" s="11">
        <v>2</v>
      </c>
      <c r="C69" s="11" t="s">
        <v>2</v>
      </c>
      <c r="D69" s="20" t="s">
        <v>3</v>
      </c>
      <c r="BK69" s="4"/>
      <c r="BL69" s="4"/>
      <c r="BM69" s="4"/>
      <c r="BN69" s="4"/>
    </row>
    <row r="70" spans="1:66">
      <c r="A70" s="21" t="str">
        <f t="shared" si="5"/>
        <v>АСПС.FB_OZK_KD_S.DOON</v>
      </c>
      <c r="B70" s="8">
        <v>1</v>
      </c>
      <c r="C70" s="8" t="s">
        <v>1</v>
      </c>
      <c r="D70" s="22">
        <v>11</v>
      </c>
      <c r="BK70" s="4"/>
      <c r="BL70" s="4"/>
      <c r="BM70" s="4"/>
      <c r="BN70" s="4"/>
    </row>
    <row r="71" spans="1:66">
      <c r="A71" s="211" t="str">
        <f t="shared" ref="A71:A80" si="6">$R$2&amp;".DOOF"</f>
        <v>АСПС.FB_OZK_KD_S.DOOF</v>
      </c>
      <c r="B71" s="212">
        <v>11154</v>
      </c>
      <c r="C71" s="212" t="s">
        <v>4</v>
      </c>
      <c r="D71" s="221">
        <f>$Q$7</f>
        <v>12</v>
      </c>
      <c r="BK71" s="4"/>
      <c r="BL71" s="4"/>
      <c r="BM71" s="4"/>
      <c r="BN71" s="4"/>
    </row>
    <row r="72" spans="1:66">
      <c r="A72" s="211" t="str">
        <f t="shared" si="6"/>
        <v>АСПС.FB_OZK_KD_S.DOOF</v>
      </c>
      <c r="B72" s="212">
        <v>11152</v>
      </c>
      <c r="C72" s="212" t="s">
        <v>0</v>
      </c>
      <c r="D72" s="220" t="str">
        <f>$R$7</f>
        <v>Неисправность</v>
      </c>
      <c r="BK72" s="4"/>
      <c r="BL72" s="4"/>
      <c r="BM72" s="4"/>
      <c r="BN72" s="4"/>
    </row>
    <row r="73" spans="1:66">
      <c r="A73" s="211" t="str">
        <f t="shared" si="6"/>
        <v>АСПС.FB_OZK_KD_S.DOOF</v>
      </c>
      <c r="B73" s="212">
        <v>11150</v>
      </c>
      <c r="C73" s="212" t="s">
        <v>0</v>
      </c>
      <c r="D73" s="213" t="s">
        <v>690</v>
      </c>
      <c r="BK73" s="4"/>
      <c r="BL73" s="4"/>
      <c r="BM73" s="4"/>
      <c r="BN73" s="4"/>
    </row>
    <row r="74" spans="1:66">
      <c r="A74" s="211" t="str">
        <f t="shared" si="6"/>
        <v>АСПС.FB_OZK_KD_S.DOOF</v>
      </c>
      <c r="B74" s="212">
        <v>11000</v>
      </c>
      <c r="C74" s="212" t="s">
        <v>5</v>
      </c>
      <c r="D74" s="213">
        <v>2147483680</v>
      </c>
      <c r="BK74" s="4"/>
      <c r="BL74" s="4"/>
      <c r="BM74" s="4"/>
      <c r="BN74" s="4"/>
    </row>
    <row r="75" spans="1:66">
      <c r="A75" s="19" t="str">
        <f t="shared" si="6"/>
        <v>АСПС.FB_OZK_KD_S.DOOF</v>
      </c>
      <c r="B75" s="11">
        <v>7999</v>
      </c>
      <c r="C75" s="11" t="s">
        <v>0</v>
      </c>
      <c r="D75" s="20" t="str">
        <f>"#"&amp;$S$2&amp;"#"&amp;$T$2&amp;"\"&amp;$P$2&amp;"\DOOF"</f>
        <v>#1#treiOPCDA.CoOPCserv.1\pcmaster\FB_OZK_KD_S\DOOF</v>
      </c>
      <c r="BK75" s="4"/>
      <c r="BL75" s="4"/>
      <c r="BM75" s="4"/>
      <c r="BN75" s="4"/>
    </row>
    <row r="76" spans="1:66">
      <c r="A76" s="19" t="str">
        <f t="shared" si="6"/>
        <v>АСПС.FB_OZK_KD_S.DOOF</v>
      </c>
      <c r="B76" s="11">
        <v>7998</v>
      </c>
      <c r="C76" s="11" t="s">
        <v>6</v>
      </c>
      <c r="D76" s="20">
        <v>1</v>
      </c>
      <c r="BK76" s="4"/>
      <c r="BL76" s="4"/>
      <c r="BM76" s="4"/>
      <c r="BN76" s="4"/>
    </row>
    <row r="77" spans="1:66">
      <c r="A77" s="19" t="str">
        <f t="shared" si="6"/>
        <v>АСПС.FB_OZK_KD_S.DOOF</v>
      </c>
      <c r="B77" s="11">
        <v>101</v>
      </c>
      <c r="C77" s="11" t="s">
        <v>0</v>
      </c>
      <c r="D77" s="20" t="s">
        <v>690</v>
      </c>
      <c r="BK77" s="4"/>
      <c r="BL77" s="4"/>
      <c r="BM77" s="4"/>
      <c r="BN77" s="4"/>
    </row>
    <row r="78" spans="1:66">
      <c r="A78" s="19" t="str">
        <f t="shared" si="6"/>
        <v>АСПС.FB_OZK_KD_S.DOOF</v>
      </c>
      <c r="B78" s="11">
        <v>3</v>
      </c>
      <c r="C78" s="11" t="s">
        <v>1</v>
      </c>
      <c r="D78" s="20">
        <v>192</v>
      </c>
      <c r="BK78" s="4"/>
      <c r="BL78" s="4"/>
      <c r="BM78" s="4"/>
      <c r="BN78" s="4"/>
    </row>
    <row r="79" spans="1:66">
      <c r="A79" s="19" t="str">
        <f t="shared" si="6"/>
        <v>АСПС.FB_OZK_KD_S.DOOF</v>
      </c>
      <c r="B79" s="11">
        <v>2</v>
      </c>
      <c r="C79" s="11" t="s">
        <v>2</v>
      </c>
      <c r="D79" s="20" t="s">
        <v>3</v>
      </c>
      <c r="BK79" s="4"/>
      <c r="BL79" s="4"/>
      <c r="BM79" s="4"/>
      <c r="BN79" s="4"/>
    </row>
    <row r="80" spans="1:66">
      <c r="A80" s="21" t="str">
        <f t="shared" si="6"/>
        <v>АСПС.FB_OZK_KD_S.DOOF</v>
      </c>
      <c r="B80" s="8">
        <v>1</v>
      </c>
      <c r="C80" s="8" t="s">
        <v>1</v>
      </c>
      <c r="D80" s="22">
        <v>11</v>
      </c>
      <c r="BK80" s="4"/>
      <c r="BL80" s="4"/>
      <c r="BM80" s="4"/>
      <c r="BN80" s="4"/>
    </row>
    <row r="81" spans="1:66">
      <c r="A81" s="69" t="str">
        <f t="shared" ref="A81:A90" si="7">$R$2&amp;".FONX"</f>
        <v>АСПС.FB_OZK_KD_S.FONX</v>
      </c>
      <c r="B81" s="70">
        <v>11154</v>
      </c>
      <c r="C81" s="70" t="s">
        <v>4</v>
      </c>
      <c r="D81" s="144">
        <f>$Q$6</f>
        <v>8</v>
      </c>
      <c r="BK81" s="4"/>
      <c r="BL81" s="4"/>
      <c r="BM81" s="4"/>
      <c r="BN81" s="4"/>
    </row>
    <row r="82" spans="1:66">
      <c r="A82" s="63" t="str">
        <f t="shared" si="7"/>
        <v>АСПС.FB_OZK_KD_S.FONX</v>
      </c>
      <c r="B82" s="64">
        <v>11150</v>
      </c>
      <c r="C82" s="64" t="s">
        <v>0</v>
      </c>
      <c r="D82" s="65" t="s">
        <v>413</v>
      </c>
      <c r="BK82" s="4"/>
      <c r="BL82" s="4"/>
      <c r="BM82" s="4"/>
      <c r="BN82" s="4"/>
    </row>
    <row r="83" spans="1:66">
      <c r="A83" s="63" t="str">
        <f t="shared" si="7"/>
        <v>АСПС.FB_OZK_KD_S.FONX</v>
      </c>
      <c r="B83" s="64">
        <v>11152</v>
      </c>
      <c r="C83" s="64" t="s">
        <v>0</v>
      </c>
      <c r="D83" s="99" t="str">
        <f>$R$6</f>
        <v>Предупреждение</v>
      </c>
      <c r="BK83" s="4"/>
      <c r="BL83" s="4"/>
      <c r="BM83" s="4"/>
      <c r="BN83" s="4"/>
    </row>
    <row r="84" spans="1:66">
      <c r="A84" s="63" t="str">
        <f t="shared" si="7"/>
        <v>АСПС.FB_OZK_KD_S.FONX</v>
      </c>
      <c r="B84" s="64">
        <v>11000</v>
      </c>
      <c r="C84" s="64" t="s">
        <v>5</v>
      </c>
      <c r="D84" s="65">
        <v>2147483680</v>
      </c>
      <c r="BK84" s="4"/>
      <c r="BL84" s="4"/>
      <c r="BM84" s="4"/>
      <c r="BN84" s="4"/>
    </row>
    <row r="85" spans="1:66">
      <c r="A85" s="19" t="str">
        <f t="shared" si="7"/>
        <v>АСПС.FB_OZK_KD_S.FONX</v>
      </c>
      <c r="B85" s="11">
        <v>7999</v>
      </c>
      <c r="C85" s="11" t="s">
        <v>0</v>
      </c>
      <c r="D85" s="20" t="str">
        <f>"#"&amp;$S$2&amp;"#"&amp;$T$2&amp;"\"&amp;$P$2&amp;"\FONX"</f>
        <v>#1#treiOPCDA.CoOPCserv.1\pcmaster\FB_OZK_KD_S\FONX</v>
      </c>
      <c r="BK85" s="4"/>
      <c r="BL85" s="4"/>
      <c r="BM85" s="4"/>
      <c r="BN85" s="4"/>
    </row>
    <row r="86" spans="1:66">
      <c r="A86" s="19" t="str">
        <f t="shared" si="7"/>
        <v>АСПС.FB_OZK_KD_S.FONX</v>
      </c>
      <c r="B86" s="11">
        <v>7998</v>
      </c>
      <c r="C86" s="11" t="s">
        <v>6</v>
      </c>
      <c r="D86" s="20">
        <v>1</v>
      </c>
      <c r="BK86" s="4"/>
      <c r="BL86" s="4"/>
      <c r="BM86" s="4"/>
      <c r="BN86" s="4"/>
    </row>
    <row r="87" spans="1:66">
      <c r="A87" s="19" t="str">
        <f t="shared" si="7"/>
        <v>АСПС.FB_OZK_KD_S.FONX</v>
      </c>
      <c r="B87" s="11">
        <v>101</v>
      </c>
      <c r="C87" s="11" t="s">
        <v>0</v>
      </c>
      <c r="D87" s="20" t="s">
        <v>413</v>
      </c>
      <c r="BK87" s="4"/>
      <c r="BL87" s="4"/>
      <c r="BM87" s="4"/>
      <c r="BN87" s="4"/>
    </row>
    <row r="88" spans="1:66">
      <c r="A88" s="19" t="str">
        <f t="shared" si="7"/>
        <v>АСПС.FB_OZK_KD_S.FONX</v>
      </c>
      <c r="B88" s="11">
        <v>3</v>
      </c>
      <c r="C88" s="11" t="s">
        <v>1</v>
      </c>
      <c r="D88" s="20">
        <v>192</v>
      </c>
      <c r="BK88" s="4"/>
      <c r="BL88" s="4"/>
      <c r="BM88" s="4"/>
      <c r="BN88" s="4"/>
    </row>
    <row r="89" spans="1:66">
      <c r="A89" s="19" t="str">
        <f t="shared" si="7"/>
        <v>АСПС.FB_OZK_KD_S.FONX</v>
      </c>
      <c r="B89" s="11">
        <v>2</v>
      </c>
      <c r="C89" s="11" t="s">
        <v>2</v>
      </c>
      <c r="D89" s="20" t="s">
        <v>3</v>
      </c>
      <c r="BK89" s="4"/>
      <c r="BL89" s="4"/>
      <c r="BM89" s="4"/>
      <c r="BN89" s="4"/>
    </row>
    <row r="90" spans="1:66">
      <c r="A90" s="21" t="str">
        <f t="shared" si="7"/>
        <v>АСПС.FB_OZK_KD_S.FONX</v>
      </c>
      <c r="B90" s="8">
        <v>1</v>
      </c>
      <c r="C90" s="8" t="s">
        <v>1</v>
      </c>
      <c r="D90" s="22">
        <v>11</v>
      </c>
      <c r="BK90" s="4"/>
      <c r="BL90" s="4"/>
      <c r="BM90" s="4"/>
      <c r="BN90" s="4"/>
    </row>
    <row r="91" spans="1:66">
      <c r="A91" s="69" t="str">
        <f t="shared" ref="A91:A100" si="8">$R$2&amp;".FOFX"</f>
        <v>АСПС.FB_OZK_KD_S.FOFX</v>
      </c>
      <c r="B91" s="70">
        <v>11154</v>
      </c>
      <c r="C91" s="70" t="s">
        <v>4</v>
      </c>
      <c r="D91" s="144">
        <f>$Q$6</f>
        <v>8</v>
      </c>
      <c r="BK91" s="4"/>
      <c r="BL91" s="4"/>
      <c r="BM91" s="4"/>
      <c r="BN91" s="4"/>
    </row>
    <row r="92" spans="1:66">
      <c r="A92" s="63" t="str">
        <f t="shared" si="8"/>
        <v>АСПС.FB_OZK_KD_S.FOFX</v>
      </c>
      <c r="B92" s="64">
        <v>11150</v>
      </c>
      <c r="C92" s="64" t="s">
        <v>0</v>
      </c>
      <c r="D92" s="65" t="s">
        <v>418</v>
      </c>
      <c r="BK92" s="4"/>
      <c r="BL92" s="4"/>
      <c r="BM92" s="4"/>
      <c r="BN92" s="4"/>
    </row>
    <row r="93" spans="1:66">
      <c r="A93" s="63" t="str">
        <f t="shared" si="8"/>
        <v>АСПС.FB_OZK_KD_S.FOFX</v>
      </c>
      <c r="B93" s="64">
        <v>11152</v>
      </c>
      <c r="C93" s="64" t="s">
        <v>0</v>
      </c>
      <c r="D93" s="99" t="str">
        <f>$R$6</f>
        <v>Предупреждение</v>
      </c>
      <c r="BK93" s="4"/>
      <c r="BL93" s="4"/>
      <c r="BM93" s="4"/>
      <c r="BN93" s="4"/>
    </row>
    <row r="94" spans="1:66">
      <c r="A94" s="63" t="str">
        <f t="shared" si="8"/>
        <v>АСПС.FB_OZK_KD_S.FOFX</v>
      </c>
      <c r="B94" s="64">
        <v>11000</v>
      </c>
      <c r="C94" s="64" t="s">
        <v>5</v>
      </c>
      <c r="D94" s="65">
        <v>2147483680</v>
      </c>
      <c r="BK94" s="4"/>
      <c r="BL94" s="4"/>
      <c r="BM94" s="4"/>
      <c r="BN94" s="4"/>
    </row>
    <row r="95" spans="1:66">
      <c r="A95" s="19" t="str">
        <f t="shared" si="8"/>
        <v>АСПС.FB_OZK_KD_S.FOFX</v>
      </c>
      <c r="B95" s="11">
        <v>7999</v>
      </c>
      <c r="C95" s="11" t="s">
        <v>0</v>
      </c>
      <c r="D95" s="20" t="str">
        <f>"#"&amp;$S$2&amp;"#"&amp;$T$2&amp;"\"&amp;$P$2&amp;"\FOFX"</f>
        <v>#1#treiOPCDA.CoOPCserv.1\pcmaster\FB_OZK_KD_S\FOFX</v>
      </c>
      <c r="BK95" s="4"/>
      <c r="BL95" s="4"/>
      <c r="BM95" s="4"/>
      <c r="BN95" s="4"/>
    </row>
    <row r="96" spans="1:66">
      <c r="A96" s="19" t="str">
        <f t="shared" si="8"/>
        <v>АСПС.FB_OZK_KD_S.FOFX</v>
      </c>
      <c r="B96" s="11">
        <v>7998</v>
      </c>
      <c r="C96" s="11" t="s">
        <v>6</v>
      </c>
      <c r="D96" s="20">
        <v>1</v>
      </c>
      <c r="BK96" s="4"/>
      <c r="BL96" s="4"/>
      <c r="BM96" s="4"/>
      <c r="BN96" s="4"/>
    </row>
    <row r="97" spans="1:66">
      <c r="A97" s="19" t="str">
        <f t="shared" si="8"/>
        <v>АСПС.FB_OZK_KD_S.FOFX</v>
      </c>
      <c r="B97" s="11">
        <v>101</v>
      </c>
      <c r="C97" s="11" t="s">
        <v>0</v>
      </c>
      <c r="D97" s="20" t="s">
        <v>418</v>
      </c>
      <c r="BK97" s="4"/>
      <c r="BL97" s="4"/>
      <c r="BM97" s="4"/>
      <c r="BN97" s="4"/>
    </row>
    <row r="98" spans="1:66">
      <c r="A98" s="19" t="str">
        <f t="shared" si="8"/>
        <v>АСПС.FB_OZK_KD_S.FOFX</v>
      </c>
      <c r="B98" s="11">
        <v>3</v>
      </c>
      <c r="C98" s="11" t="s">
        <v>1</v>
      </c>
      <c r="D98" s="20">
        <v>192</v>
      </c>
      <c r="BK98" s="4"/>
      <c r="BL98" s="4"/>
      <c r="BM98" s="4"/>
      <c r="BN98" s="4"/>
    </row>
    <row r="99" spans="1:66">
      <c r="A99" s="19" t="str">
        <f t="shared" si="8"/>
        <v>АСПС.FB_OZK_KD_S.FOFX</v>
      </c>
      <c r="B99" s="11">
        <v>2</v>
      </c>
      <c r="C99" s="11" t="s">
        <v>2</v>
      </c>
      <c r="D99" s="20" t="s">
        <v>3</v>
      </c>
      <c r="BK99" s="4"/>
      <c r="BL99" s="4"/>
      <c r="BM99" s="4"/>
      <c r="BN99" s="4"/>
    </row>
    <row r="100" spans="1:66">
      <c r="A100" s="21" t="str">
        <f t="shared" si="8"/>
        <v>АСПС.FB_OZK_KD_S.FOFX</v>
      </c>
      <c r="B100" s="8">
        <v>1</v>
      </c>
      <c r="C100" s="8" t="s">
        <v>1</v>
      </c>
      <c r="D100" s="22">
        <v>11</v>
      </c>
      <c r="BK100" s="4"/>
      <c r="BL100" s="4"/>
      <c r="BM100" s="4"/>
      <c r="BN100" s="4"/>
    </row>
    <row r="101" spans="1:66">
      <c r="A101" s="69" t="str">
        <f t="shared" ref="A101:A110" si="9">$R$2&amp;".FFON"</f>
        <v>АСПС.FB_OZK_KD_S.FFON</v>
      </c>
      <c r="B101" s="70">
        <v>11154</v>
      </c>
      <c r="C101" s="70" t="s">
        <v>4</v>
      </c>
      <c r="D101" s="144">
        <f>$Q$6</f>
        <v>8</v>
      </c>
      <c r="BK101" s="4"/>
      <c r="BL101" s="4"/>
      <c r="BM101" s="4"/>
      <c r="BN101" s="4"/>
    </row>
    <row r="102" spans="1:66">
      <c r="A102" s="63" t="str">
        <f t="shared" si="9"/>
        <v>АСПС.FB_OZK_KD_S.FFON</v>
      </c>
      <c r="B102" s="64">
        <v>11150</v>
      </c>
      <c r="C102" s="64" t="s">
        <v>0</v>
      </c>
      <c r="D102" s="65" t="s">
        <v>414</v>
      </c>
      <c r="BK102" s="4"/>
      <c r="BL102" s="4"/>
      <c r="BM102" s="4"/>
      <c r="BN102" s="4"/>
    </row>
    <row r="103" spans="1:66">
      <c r="A103" s="63" t="str">
        <f t="shared" si="9"/>
        <v>АСПС.FB_OZK_KD_S.FFON</v>
      </c>
      <c r="B103" s="64">
        <v>11152</v>
      </c>
      <c r="C103" s="64" t="s">
        <v>0</v>
      </c>
      <c r="D103" s="99" t="str">
        <f>$R$6</f>
        <v>Предупреждение</v>
      </c>
      <c r="BK103" s="4"/>
      <c r="BL103" s="4"/>
      <c r="BM103" s="4"/>
      <c r="BN103" s="4"/>
    </row>
    <row r="104" spans="1:66">
      <c r="A104" s="63" t="str">
        <f t="shared" si="9"/>
        <v>АСПС.FB_OZK_KD_S.FFON</v>
      </c>
      <c r="B104" s="64">
        <v>11000</v>
      </c>
      <c r="C104" s="64" t="s">
        <v>5</v>
      </c>
      <c r="D104" s="65">
        <v>2147483680</v>
      </c>
      <c r="BK104" s="4"/>
      <c r="BL104" s="4"/>
      <c r="BM104" s="4"/>
      <c r="BN104" s="4"/>
    </row>
    <row r="105" spans="1:66">
      <c r="A105" s="19" t="str">
        <f t="shared" si="9"/>
        <v>АСПС.FB_OZK_KD_S.FFON</v>
      </c>
      <c r="B105" s="11">
        <v>7999</v>
      </c>
      <c r="C105" s="11" t="s">
        <v>0</v>
      </c>
      <c r="D105" s="20" t="str">
        <f>"#"&amp;$S$2&amp;"#"&amp;$T$2&amp;"\"&amp;$P$2&amp;"\FFON"</f>
        <v>#1#treiOPCDA.CoOPCserv.1\pcmaster\FB_OZK_KD_S\FFON</v>
      </c>
      <c r="BK105" s="4"/>
      <c r="BL105" s="4"/>
      <c r="BM105" s="4"/>
      <c r="BN105" s="4"/>
    </row>
    <row r="106" spans="1:66">
      <c r="A106" s="19" t="str">
        <f t="shared" si="9"/>
        <v>АСПС.FB_OZK_KD_S.FFON</v>
      </c>
      <c r="B106" s="11">
        <v>7998</v>
      </c>
      <c r="C106" s="11" t="s">
        <v>6</v>
      </c>
      <c r="D106" s="20">
        <v>1</v>
      </c>
      <c r="BK106" s="4"/>
      <c r="BL106" s="4"/>
      <c r="BM106" s="4"/>
      <c r="BN106" s="4"/>
    </row>
    <row r="107" spans="1:66">
      <c r="A107" s="19" t="str">
        <f t="shared" si="9"/>
        <v>АСПС.FB_OZK_KD_S.FFON</v>
      </c>
      <c r="B107" s="11">
        <v>101</v>
      </c>
      <c r="C107" s="11" t="s">
        <v>0</v>
      </c>
      <c r="D107" s="20" t="s">
        <v>414</v>
      </c>
      <c r="BK107" s="4"/>
      <c r="BL107" s="4"/>
      <c r="BM107" s="4"/>
      <c r="BN107" s="4"/>
    </row>
    <row r="108" spans="1:66">
      <c r="A108" s="19" t="str">
        <f t="shared" si="9"/>
        <v>АСПС.FB_OZK_KD_S.FFON</v>
      </c>
      <c r="B108" s="11">
        <v>3</v>
      </c>
      <c r="C108" s="11" t="s">
        <v>1</v>
      </c>
      <c r="D108" s="20">
        <v>192</v>
      </c>
      <c r="BK108" s="4"/>
      <c r="BL108" s="4"/>
      <c r="BM108" s="4"/>
      <c r="BN108" s="4"/>
    </row>
    <row r="109" spans="1:66">
      <c r="A109" s="19" t="str">
        <f t="shared" si="9"/>
        <v>АСПС.FB_OZK_KD_S.FFON</v>
      </c>
      <c r="B109" s="11">
        <v>2</v>
      </c>
      <c r="C109" s="11" t="s">
        <v>2</v>
      </c>
      <c r="D109" s="20" t="s">
        <v>3</v>
      </c>
      <c r="BK109" s="4"/>
      <c r="BL109" s="4"/>
      <c r="BM109" s="4"/>
      <c r="BN109" s="4"/>
    </row>
    <row r="110" spans="1:66">
      <c r="A110" s="21" t="str">
        <f t="shared" si="9"/>
        <v>АСПС.FB_OZK_KD_S.FFON</v>
      </c>
      <c r="B110" s="8">
        <v>1</v>
      </c>
      <c r="C110" s="8" t="s">
        <v>1</v>
      </c>
      <c r="D110" s="22">
        <v>11</v>
      </c>
      <c r="BK110" s="4"/>
      <c r="BL110" s="4"/>
      <c r="BM110" s="4"/>
      <c r="BN110" s="4"/>
    </row>
    <row r="111" spans="1:66">
      <c r="A111" s="69" t="str">
        <f t="shared" ref="A111:A120" si="10">$R$2&amp;".FFOF"</f>
        <v>АСПС.FB_OZK_KD_S.FFOF</v>
      </c>
      <c r="B111" s="70">
        <v>11154</v>
      </c>
      <c r="C111" s="70" t="s">
        <v>4</v>
      </c>
      <c r="D111" s="144">
        <f>$Q$6</f>
        <v>8</v>
      </c>
      <c r="BK111" s="4"/>
      <c r="BL111" s="4"/>
      <c r="BM111" s="4"/>
      <c r="BN111" s="4"/>
    </row>
    <row r="112" spans="1:66">
      <c r="A112" s="63" t="str">
        <f t="shared" si="10"/>
        <v>АСПС.FB_OZK_KD_S.FFOF</v>
      </c>
      <c r="B112" s="64">
        <v>11150</v>
      </c>
      <c r="C112" s="64" t="s">
        <v>0</v>
      </c>
      <c r="D112" s="65" t="s">
        <v>415</v>
      </c>
      <c r="BK112" s="4"/>
      <c r="BL112" s="4"/>
      <c r="BM112" s="4"/>
      <c r="BN112" s="4"/>
    </row>
    <row r="113" spans="1:66">
      <c r="A113" s="63" t="str">
        <f t="shared" si="10"/>
        <v>АСПС.FB_OZK_KD_S.FFOF</v>
      </c>
      <c r="B113" s="64">
        <v>11152</v>
      </c>
      <c r="C113" s="64" t="s">
        <v>0</v>
      </c>
      <c r="D113" s="99" t="str">
        <f>$R$6</f>
        <v>Предупреждение</v>
      </c>
      <c r="BK113" s="4"/>
      <c r="BL113" s="4"/>
      <c r="BM113" s="4"/>
      <c r="BN113" s="4"/>
    </row>
    <row r="114" spans="1:66">
      <c r="A114" s="63" t="str">
        <f t="shared" si="10"/>
        <v>АСПС.FB_OZK_KD_S.FFOF</v>
      </c>
      <c r="B114" s="64">
        <v>11000</v>
      </c>
      <c r="C114" s="64" t="s">
        <v>5</v>
      </c>
      <c r="D114" s="65">
        <v>2147483680</v>
      </c>
      <c r="BK114" s="4"/>
      <c r="BL114" s="4"/>
      <c r="BM114" s="4"/>
      <c r="BN114" s="4"/>
    </row>
    <row r="115" spans="1:66">
      <c r="A115" s="19" t="str">
        <f t="shared" si="10"/>
        <v>АСПС.FB_OZK_KD_S.FFOF</v>
      </c>
      <c r="B115" s="11">
        <v>7999</v>
      </c>
      <c r="C115" s="11" t="s">
        <v>0</v>
      </c>
      <c r="D115" s="20" t="str">
        <f>"#"&amp;$S$2&amp;"#"&amp;$T$2&amp;"\"&amp;$P$2&amp;"\FFOF"</f>
        <v>#1#treiOPCDA.CoOPCserv.1\pcmaster\FB_OZK_KD_S\FFOF</v>
      </c>
      <c r="BK115" s="4"/>
      <c r="BL115" s="4"/>
      <c r="BM115" s="4"/>
      <c r="BN115" s="4"/>
    </row>
    <row r="116" spans="1:66">
      <c r="A116" s="19" t="str">
        <f t="shared" si="10"/>
        <v>АСПС.FB_OZK_KD_S.FFOF</v>
      </c>
      <c r="B116" s="11">
        <v>7998</v>
      </c>
      <c r="C116" s="11" t="s">
        <v>6</v>
      </c>
      <c r="D116" s="20">
        <v>1</v>
      </c>
      <c r="BK116" s="4"/>
      <c r="BL116" s="4"/>
      <c r="BM116" s="4"/>
      <c r="BN116" s="4"/>
    </row>
    <row r="117" spans="1:66">
      <c r="A117" s="19" t="str">
        <f t="shared" si="10"/>
        <v>АСПС.FB_OZK_KD_S.FFOF</v>
      </c>
      <c r="B117" s="11">
        <v>101</v>
      </c>
      <c r="C117" s="11" t="s">
        <v>0</v>
      </c>
      <c r="D117" s="20" t="s">
        <v>415</v>
      </c>
      <c r="BK117" s="4"/>
      <c r="BL117" s="4"/>
      <c r="BM117" s="4"/>
      <c r="BN117" s="4"/>
    </row>
    <row r="118" spans="1:66">
      <c r="A118" s="19" t="str">
        <f t="shared" si="10"/>
        <v>АСПС.FB_OZK_KD_S.FFOF</v>
      </c>
      <c r="B118" s="11">
        <v>3</v>
      </c>
      <c r="C118" s="11" t="s">
        <v>1</v>
      </c>
      <c r="D118" s="20">
        <v>192</v>
      </c>
      <c r="BK118" s="4"/>
      <c r="BL118" s="4"/>
      <c r="BM118" s="4"/>
      <c r="BN118" s="4"/>
    </row>
    <row r="119" spans="1:66">
      <c r="A119" s="19" t="str">
        <f t="shared" si="10"/>
        <v>АСПС.FB_OZK_KD_S.FFOF</v>
      </c>
      <c r="B119" s="11">
        <v>2</v>
      </c>
      <c r="C119" s="11" t="s">
        <v>2</v>
      </c>
      <c r="D119" s="20" t="s">
        <v>3</v>
      </c>
      <c r="BK119" s="4"/>
      <c r="BL119" s="4"/>
      <c r="BM119" s="4"/>
      <c r="BN119" s="4"/>
    </row>
    <row r="120" spans="1:66">
      <c r="A120" s="21" t="str">
        <f t="shared" si="10"/>
        <v>АСПС.FB_OZK_KD_S.FFOF</v>
      </c>
      <c r="B120" s="8">
        <v>1</v>
      </c>
      <c r="C120" s="8" t="s">
        <v>1</v>
      </c>
      <c r="D120" s="22">
        <v>11</v>
      </c>
      <c r="BK120" s="4"/>
      <c r="BL120" s="4"/>
      <c r="BM120" s="4"/>
      <c r="BN120" s="4"/>
    </row>
    <row r="121" spans="1:66">
      <c r="A121" s="69" t="str">
        <f t="shared" ref="A121:A130" si="11">$R$2&amp;".FUSX"</f>
        <v>АСПС.FB_OZK_KD_S.FUSX</v>
      </c>
      <c r="B121" s="70">
        <v>11154</v>
      </c>
      <c r="C121" s="70" t="s">
        <v>4</v>
      </c>
      <c r="D121" s="144">
        <f>$Q$6</f>
        <v>8</v>
      </c>
    </row>
    <row r="122" spans="1:66">
      <c r="A122" s="63" t="str">
        <f t="shared" si="11"/>
        <v>АСПС.FB_OZK_KD_S.FUSX</v>
      </c>
      <c r="B122" s="64">
        <v>11150</v>
      </c>
      <c r="C122" s="64" t="s">
        <v>0</v>
      </c>
      <c r="D122" s="65" t="s">
        <v>154</v>
      </c>
    </row>
    <row r="123" spans="1:66">
      <c r="A123" s="63" t="str">
        <f t="shared" si="11"/>
        <v>АСПС.FB_OZK_KD_S.FUSX</v>
      </c>
      <c r="B123" s="64">
        <v>11152</v>
      </c>
      <c r="C123" s="64" t="s">
        <v>0</v>
      </c>
      <c r="D123" s="99" t="str">
        <f>$R$6</f>
        <v>Предупреждение</v>
      </c>
    </row>
    <row r="124" spans="1:66">
      <c r="A124" s="63" t="str">
        <f t="shared" si="11"/>
        <v>АСПС.FB_OZK_KD_S.FUSX</v>
      </c>
      <c r="B124" s="64">
        <v>11000</v>
      </c>
      <c r="C124" s="64" t="s">
        <v>5</v>
      </c>
      <c r="D124" s="65">
        <v>2147483680</v>
      </c>
    </row>
    <row r="125" spans="1:66">
      <c r="A125" s="19" t="str">
        <f t="shared" si="11"/>
        <v>АСПС.FB_OZK_KD_S.FUSX</v>
      </c>
      <c r="B125" s="11">
        <v>7999</v>
      </c>
      <c r="C125" s="11" t="s">
        <v>0</v>
      </c>
      <c r="D125" s="20" t="str">
        <f>"#"&amp;$S$2&amp;"#"&amp;$T$2&amp;"\"&amp;$P$2&amp;"\FUSX"</f>
        <v>#1#treiOPCDA.CoOPCserv.1\pcmaster\FB_OZK_KD_S\FUSX</v>
      </c>
    </row>
    <row r="126" spans="1:66">
      <c r="A126" s="19" t="str">
        <f t="shared" si="11"/>
        <v>АСПС.FB_OZK_KD_S.FUSX</v>
      </c>
      <c r="B126" s="11">
        <v>7998</v>
      </c>
      <c r="C126" s="11" t="s">
        <v>6</v>
      </c>
      <c r="D126" s="20">
        <v>1</v>
      </c>
    </row>
    <row r="127" spans="1:66">
      <c r="A127" s="19" t="str">
        <f t="shared" si="11"/>
        <v>АСПС.FB_OZK_KD_S.FUSX</v>
      </c>
      <c r="B127" s="11">
        <v>101</v>
      </c>
      <c r="C127" s="11" t="s">
        <v>0</v>
      </c>
      <c r="D127" s="20" t="s">
        <v>154</v>
      </c>
    </row>
    <row r="128" spans="1:66">
      <c r="A128" s="19" t="str">
        <f t="shared" si="11"/>
        <v>АСПС.FB_OZK_KD_S.FUSX</v>
      </c>
      <c r="B128" s="11">
        <v>3</v>
      </c>
      <c r="C128" s="11" t="s">
        <v>1</v>
      </c>
      <c r="D128" s="20">
        <v>192</v>
      </c>
    </row>
    <row r="129" spans="1:4">
      <c r="A129" s="19" t="str">
        <f t="shared" si="11"/>
        <v>АСПС.FB_OZK_KD_S.FUSX</v>
      </c>
      <c r="B129" s="11">
        <v>2</v>
      </c>
      <c r="C129" s="11" t="s">
        <v>2</v>
      </c>
      <c r="D129" s="20" t="s">
        <v>3</v>
      </c>
    </row>
    <row r="130" spans="1:4">
      <c r="A130" s="21" t="str">
        <f t="shared" si="11"/>
        <v>АСПС.FB_OZK_KD_S.FUSX</v>
      </c>
      <c r="B130" s="8">
        <v>1</v>
      </c>
      <c r="C130" s="8" t="s">
        <v>1</v>
      </c>
      <c r="D130" s="22">
        <v>11</v>
      </c>
    </row>
    <row r="131" spans="1:4">
      <c r="A131" s="69" t="str">
        <f t="shared" ref="A131:A140" si="12">$R$2&amp;".FRQX"</f>
        <v>АСПС.FB_OZK_KD_S.FRQX</v>
      </c>
      <c r="B131" s="70">
        <v>11154</v>
      </c>
      <c r="C131" s="70" t="s">
        <v>4</v>
      </c>
      <c r="D131" s="144">
        <f>$Q$6</f>
        <v>8</v>
      </c>
    </row>
    <row r="132" spans="1:4">
      <c r="A132" s="63" t="str">
        <f t="shared" si="12"/>
        <v>АСПС.FB_OZK_KD_S.FRQX</v>
      </c>
      <c r="B132" s="64">
        <v>11150</v>
      </c>
      <c r="C132" s="64" t="s">
        <v>0</v>
      </c>
      <c r="D132" s="65" t="s">
        <v>157</v>
      </c>
    </row>
    <row r="133" spans="1:4">
      <c r="A133" s="63" t="str">
        <f t="shared" si="12"/>
        <v>АСПС.FB_OZK_KD_S.FRQX</v>
      </c>
      <c r="B133" s="64">
        <v>11152</v>
      </c>
      <c r="C133" s="64" t="s">
        <v>0</v>
      </c>
      <c r="D133" s="99" t="str">
        <f>$R$6</f>
        <v>Предупреждение</v>
      </c>
    </row>
    <row r="134" spans="1:4">
      <c r="A134" s="63" t="str">
        <f t="shared" si="12"/>
        <v>АСПС.FB_OZK_KD_S.FRQX</v>
      </c>
      <c r="B134" s="64">
        <v>11000</v>
      </c>
      <c r="C134" s="64" t="s">
        <v>5</v>
      </c>
      <c r="D134" s="65">
        <v>2147483680</v>
      </c>
    </row>
    <row r="135" spans="1:4">
      <c r="A135" s="19" t="str">
        <f t="shared" si="12"/>
        <v>АСПС.FB_OZK_KD_S.FRQX</v>
      </c>
      <c r="B135" s="11">
        <v>7999</v>
      </c>
      <c r="C135" s="11" t="s">
        <v>0</v>
      </c>
      <c r="D135" s="20" t="str">
        <f>"#"&amp;$S$2&amp;"#"&amp;$T$2&amp;"\"&amp;$P$2&amp;"\FRQX"</f>
        <v>#1#treiOPCDA.CoOPCserv.1\pcmaster\FB_OZK_KD_S\FRQX</v>
      </c>
    </row>
    <row r="136" spans="1:4">
      <c r="A136" s="19" t="str">
        <f t="shared" si="12"/>
        <v>АСПС.FB_OZK_KD_S.FRQX</v>
      </c>
      <c r="B136" s="11">
        <v>7998</v>
      </c>
      <c r="C136" s="11" t="s">
        <v>6</v>
      </c>
      <c r="D136" s="20">
        <v>1</v>
      </c>
    </row>
    <row r="137" spans="1:4">
      <c r="A137" s="19" t="str">
        <f t="shared" si="12"/>
        <v>АСПС.FB_OZK_KD_S.FRQX</v>
      </c>
      <c r="B137" s="11">
        <v>101</v>
      </c>
      <c r="C137" s="11" t="s">
        <v>0</v>
      </c>
      <c r="D137" s="20" t="s">
        <v>157</v>
      </c>
    </row>
    <row r="138" spans="1:4">
      <c r="A138" s="19" t="str">
        <f t="shared" si="12"/>
        <v>АСПС.FB_OZK_KD_S.FRQX</v>
      </c>
      <c r="B138" s="11">
        <v>3</v>
      </c>
      <c r="C138" s="11" t="s">
        <v>1</v>
      </c>
      <c r="D138" s="20">
        <v>192</v>
      </c>
    </row>
    <row r="139" spans="1:4">
      <c r="A139" s="19" t="str">
        <f t="shared" si="12"/>
        <v>АСПС.FB_OZK_KD_S.FRQX</v>
      </c>
      <c r="B139" s="11">
        <v>2</v>
      </c>
      <c r="C139" s="11" t="s">
        <v>2</v>
      </c>
      <c r="D139" s="20" t="s">
        <v>3</v>
      </c>
    </row>
    <row r="140" spans="1:4">
      <c r="A140" s="21" t="str">
        <f t="shared" si="12"/>
        <v>АСПС.FB_OZK_KD_S.FRQX</v>
      </c>
      <c r="B140" s="8">
        <v>1</v>
      </c>
      <c r="C140" s="8" t="s">
        <v>1</v>
      </c>
      <c r="D140" s="22">
        <v>11</v>
      </c>
    </row>
    <row r="141" spans="1:4">
      <c r="A141" s="69" t="str">
        <f t="shared" ref="A141:A150" si="13">$R$2&amp;".FDSX"</f>
        <v>АСПС.FB_OZK_KD_S.FDSX</v>
      </c>
      <c r="B141" s="70">
        <v>11154</v>
      </c>
      <c r="C141" s="70" t="s">
        <v>4</v>
      </c>
      <c r="D141" s="144">
        <f>$Q$6</f>
        <v>8</v>
      </c>
    </row>
    <row r="142" spans="1:4">
      <c r="A142" s="63" t="str">
        <f t="shared" si="13"/>
        <v>АСПС.FB_OZK_KD_S.FDSX</v>
      </c>
      <c r="B142" s="64">
        <v>11150</v>
      </c>
      <c r="C142" s="64" t="s">
        <v>0</v>
      </c>
      <c r="D142" s="65" t="s">
        <v>161</v>
      </c>
    </row>
    <row r="143" spans="1:4">
      <c r="A143" s="63" t="str">
        <f t="shared" si="13"/>
        <v>АСПС.FB_OZK_KD_S.FDSX</v>
      </c>
      <c r="B143" s="64">
        <v>11152</v>
      </c>
      <c r="C143" s="64" t="s">
        <v>0</v>
      </c>
      <c r="D143" s="99" t="str">
        <f>$R$6</f>
        <v>Предупреждение</v>
      </c>
    </row>
    <row r="144" spans="1:4">
      <c r="A144" s="63" t="str">
        <f t="shared" si="13"/>
        <v>АСПС.FB_OZK_KD_S.FDSX</v>
      </c>
      <c r="B144" s="64">
        <v>11000</v>
      </c>
      <c r="C144" s="64" t="s">
        <v>5</v>
      </c>
      <c r="D144" s="65">
        <v>2147483680</v>
      </c>
    </row>
    <row r="145" spans="1:4">
      <c r="A145" s="19" t="str">
        <f t="shared" si="13"/>
        <v>АСПС.FB_OZK_KD_S.FDSX</v>
      </c>
      <c r="B145" s="11">
        <v>7999</v>
      </c>
      <c r="C145" s="11" t="s">
        <v>0</v>
      </c>
      <c r="D145" s="20" t="str">
        <f>"#"&amp;$S$2&amp;"#"&amp;$T$2&amp;"\"&amp;$P$2&amp;"\FDSX"</f>
        <v>#1#treiOPCDA.CoOPCserv.1\pcmaster\FB_OZK_KD_S\FDSX</v>
      </c>
    </row>
    <row r="146" spans="1:4">
      <c r="A146" s="19" t="str">
        <f t="shared" si="13"/>
        <v>АСПС.FB_OZK_KD_S.FDSX</v>
      </c>
      <c r="B146" s="11">
        <v>7998</v>
      </c>
      <c r="C146" s="11" t="s">
        <v>6</v>
      </c>
      <c r="D146" s="20">
        <v>1</v>
      </c>
    </row>
    <row r="147" spans="1:4">
      <c r="A147" s="19" t="str">
        <f t="shared" si="13"/>
        <v>АСПС.FB_OZK_KD_S.FDSX</v>
      </c>
      <c r="B147" s="11">
        <v>101</v>
      </c>
      <c r="C147" s="11" t="s">
        <v>0</v>
      </c>
      <c r="D147" s="20" t="s">
        <v>161</v>
      </c>
    </row>
    <row r="148" spans="1:4">
      <c r="A148" s="19" t="str">
        <f t="shared" si="13"/>
        <v>АСПС.FB_OZK_KD_S.FDSX</v>
      </c>
      <c r="B148" s="11">
        <v>3</v>
      </c>
      <c r="C148" s="11" t="s">
        <v>1</v>
      </c>
      <c r="D148" s="20">
        <v>192</v>
      </c>
    </row>
    <row r="149" spans="1:4">
      <c r="A149" s="19" t="str">
        <f t="shared" si="13"/>
        <v>АСПС.FB_OZK_KD_S.FDSX</v>
      </c>
      <c r="B149" s="11">
        <v>2</v>
      </c>
      <c r="C149" s="11" t="s">
        <v>2</v>
      </c>
      <c r="D149" s="20" t="s">
        <v>3</v>
      </c>
    </row>
    <row r="150" spans="1:4">
      <c r="A150" s="21" t="str">
        <f t="shared" si="13"/>
        <v>АСПС.FB_OZK_KD_S.FDSX</v>
      </c>
      <c r="B150" s="8">
        <v>1</v>
      </c>
      <c r="C150" s="8" t="s">
        <v>1</v>
      </c>
      <c r="D150" s="22">
        <v>11</v>
      </c>
    </row>
    <row r="151" spans="1:4">
      <c r="A151" s="69" t="str">
        <f t="shared" ref="A151:A160" si="14">$R$2&amp;".FCOM"</f>
        <v>АСПС.FB_OZK_KD_S.FCOM</v>
      </c>
      <c r="B151" s="70">
        <v>11154</v>
      </c>
      <c r="C151" s="70" t="s">
        <v>4</v>
      </c>
      <c r="D151" s="144">
        <f>$Q$6</f>
        <v>8</v>
      </c>
    </row>
    <row r="152" spans="1:4">
      <c r="A152" s="63" t="str">
        <f t="shared" si="14"/>
        <v>АСПС.FB_OZK_KD_S.FCOM</v>
      </c>
      <c r="B152" s="64">
        <v>11150</v>
      </c>
      <c r="C152" s="64" t="s">
        <v>0</v>
      </c>
      <c r="D152" s="65" t="s">
        <v>149</v>
      </c>
    </row>
    <row r="153" spans="1:4">
      <c r="A153" s="63" t="str">
        <f t="shared" si="14"/>
        <v>АСПС.FB_OZK_KD_S.FCOM</v>
      </c>
      <c r="B153" s="64">
        <v>11152</v>
      </c>
      <c r="C153" s="64" t="s">
        <v>0</v>
      </c>
      <c r="D153" s="99" t="str">
        <f>$R$6</f>
        <v>Предупреждение</v>
      </c>
    </row>
    <row r="154" spans="1:4">
      <c r="A154" s="63" t="str">
        <f t="shared" si="14"/>
        <v>АСПС.FB_OZK_KD_S.FCOM</v>
      </c>
      <c r="B154" s="64">
        <v>11000</v>
      </c>
      <c r="C154" s="64" t="s">
        <v>5</v>
      </c>
      <c r="D154" s="65">
        <v>2147483680</v>
      </c>
    </row>
    <row r="155" spans="1:4">
      <c r="A155" s="19" t="str">
        <f t="shared" si="14"/>
        <v>АСПС.FB_OZK_KD_S.FCOM</v>
      </c>
      <c r="B155" s="11">
        <v>7999</v>
      </c>
      <c r="C155" s="11" t="s">
        <v>0</v>
      </c>
      <c r="D155" s="20" t="str">
        <f>"#"&amp;$S$2&amp;"#"&amp;$T$2&amp;"\"&amp;$P$2&amp;"\FCOM"</f>
        <v>#1#treiOPCDA.CoOPCserv.1\pcmaster\FB_OZK_KD_S\FCOM</v>
      </c>
    </row>
    <row r="156" spans="1:4">
      <c r="A156" s="19" t="str">
        <f t="shared" si="14"/>
        <v>АСПС.FB_OZK_KD_S.FCOM</v>
      </c>
      <c r="B156" s="11">
        <v>7998</v>
      </c>
      <c r="C156" s="11" t="s">
        <v>6</v>
      </c>
      <c r="D156" s="20">
        <v>1</v>
      </c>
    </row>
    <row r="157" spans="1:4">
      <c r="A157" s="19" t="str">
        <f t="shared" si="14"/>
        <v>АСПС.FB_OZK_KD_S.FCOM</v>
      </c>
      <c r="B157" s="11">
        <v>101</v>
      </c>
      <c r="C157" s="11" t="s">
        <v>0</v>
      </c>
      <c r="D157" s="20" t="s">
        <v>149</v>
      </c>
    </row>
    <row r="158" spans="1:4">
      <c r="A158" s="19" t="str">
        <f t="shared" si="14"/>
        <v>АСПС.FB_OZK_KD_S.FCOM</v>
      </c>
      <c r="B158" s="11">
        <v>3</v>
      </c>
      <c r="C158" s="11" t="s">
        <v>1</v>
      </c>
      <c r="D158" s="20">
        <v>192</v>
      </c>
    </row>
    <row r="159" spans="1:4">
      <c r="A159" s="19" t="str">
        <f t="shared" si="14"/>
        <v>АСПС.FB_OZK_KD_S.FCOM</v>
      </c>
      <c r="B159" s="11">
        <v>2</v>
      </c>
      <c r="C159" s="11" t="s">
        <v>2</v>
      </c>
      <c r="D159" s="20" t="s">
        <v>3</v>
      </c>
    </row>
    <row r="160" spans="1:4">
      <c r="A160" s="19" t="str">
        <f t="shared" si="14"/>
        <v>АСПС.FB_OZK_KD_S.FCOM</v>
      </c>
      <c r="B160" s="11">
        <v>1</v>
      </c>
      <c r="C160" s="11" t="s">
        <v>1</v>
      </c>
      <c r="D160" s="20">
        <v>11</v>
      </c>
    </row>
    <row r="161" spans="1:4">
      <c r="A161" s="137" t="str">
        <f t="shared" ref="A161:A172" si="15">$R$2&amp;".XRPX"</f>
        <v>АСПС.FB_OZK_KD_S.XRPX</v>
      </c>
      <c r="B161" s="138">
        <v>11154</v>
      </c>
      <c r="C161" s="138" t="s">
        <v>4</v>
      </c>
      <c r="D161" s="139">
        <f>$Q$11</f>
        <v>14</v>
      </c>
    </row>
    <row r="162" spans="1:4">
      <c r="A162" s="140" t="str">
        <f t="shared" si="15"/>
        <v>АСПС.FB_OZK_KD_S.XRPX</v>
      </c>
      <c r="B162" s="141">
        <v>11150</v>
      </c>
      <c r="C162" s="141" t="s">
        <v>0</v>
      </c>
      <c r="D162" s="142" t="s">
        <v>89</v>
      </c>
    </row>
    <row r="163" spans="1:4">
      <c r="A163" s="140" t="str">
        <f t="shared" si="15"/>
        <v>АСПС.FB_OZK_KD_S.XRPX</v>
      </c>
      <c r="B163" s="141">
        <v>11152</v>
      </c>
      <c r="C163" s="141" t="s">
        <v>0</v>
      </c>
      <c r="D163" s="143" t="str">
        <f>$R$11</f>
        <v>Ремонт</v>
      </c>
    </row>
    <row r="164" spans="1:4">
      <c r="A164" s="140" t="str">
        <f t="shared" si="15"/>
        <v>АСПС.FB_OZK_KD_S.XRPX</v>
      </c>
      <c r="B164" s="141">
        <v>11000</v>
      </c>
      <c r="C164" s="141" t="s">
        <v>5</v>
      </c>
      <c r="D164" s="142">
        <v>2147483680</v>
      </c>
    </row>
    <row r="165" spans="1:4">
      <c r="A165" s="19" t="str">
        <f t="shared" si="15"/>
        <v>АСПС.FB_OZK_KD_S.XRPX</v>
      </c>
      <c r="B165" s="11">
        <v>7999</v>
      </c>
      <c r="C165" s="11" t="s">
        <v>0</v>
      </c>
      <c r="D165" s="20" t="str">
        <f>"#"&amp;$S$2&amp;"#"&amp;$T$2&amp;"\"&amp;$P$2&amp;"\XRPX"</f>
        <v>#1#treiOPCDA.CoOPCserv.1\pcmaster\FB_OZK_KD_S\XRPX</v>
      </c>
    </row>
    <row r="166" spans="1:4">
      <c r="A166" s="19" t="str">
        <f t="shared" si="15"/>
        <v>АСПС.FB_OZK_KD_S.XRPX</v>
      </c>
      <c r="B166" s="11">
        <v>7998</v>
      </c>
      <c r="C166" s="11" t="s">
        <v>6</v>
      </c>
      <c r="D166" s="20">
        <v>1</v>
      </c>
    </row>
    <row r="167" spans="1:4">
      <c r="A167" s="19" t="str">
        <f t="shared" si="15"/>
        <v>АСПС.FB_OZK_KD_S.XRPX</v>
      </c>
      <c r="B167" s="11">
        <v>101</v>
      </c>
      <c r="C167" s="11" t="s">
        <v>0</v>
      </c>
      <c r="D167" s="20" t="s">
        <v>89</v>
      </c>
    </row>
    <row r="168" spans="1:4">
      <c r="A168" s="19" t="str">
        <f t="shared" si="15"/>
        <v>АСПС.FB_OZK_KD_S.XRPX</v>
      </c>
      <c r="B168" s="11">
        <v>3</v>
      </c>
      <c r="C168" s="11" t="s">
        <v>1</v>
      </c>
      <c r="D168" s="20">
        <v>192</v>
      </c>
    </row>
    <row r="169" spans="1:4">
      <c r="A169" s="19" t="str">
        <f t="shared" si="15"/>
        <v>АСПС.FB_OZK_KD_S.XRPX</v>
      </c>
      <c r="B169" s="11">
        <v>2</v>
      </c>
      <c r="C169" s="11" t="s">
        <v>2</v>
      </c>
      <c r="D169" s="20" t="s">
        <v>3</v>
      </c>
    </row>
    <row r="170" spans="1:4">
      <c r="A170" s="19" t="str">
        <f t="shared" si="15"/>
        <v>АСПС.FB_OZK_KD_S.XRPX</v>
      </c>
      <c r="B170" s="11">
        <v>1</v>
      </c>
      <c r="C170" s="11" t="s">
        <v>1</v>
      </c>
      <c r="D170" s="20">
        <v>11</v>
      </c>
    </row>
    <row r="171" spans="1:4" ht="15" customHeight="1">
      <c r="A171" s="29" t="str">
        <f t="shared" si="15"/>
        <v>АСПС.FB_OZK_KD_S.XRPX</v>
      </c>
      <c r="B171" s="1">
        <v>4000000</v>
      </c>
      <c r="C171" s="1" t="s">
        <v>0</v>
      </c>
      <c r="D171" s="415" t="s">
        <v>1495</v>
      </c>
    </row>
    <row r="172" spans="1:4">
      <c r="A172" s="26" t="str">
        <f t="shared" si="15"/>
        <v>АСПС.FB_OZK_KD_S.XRPX</v>
      </c>
      <c r="B172" s="27">
        <v>7000000</v>
      </c>
      <c r="C172" s="27" t="s">
        <v>6</v>
      </c>
      <c r="D172" s="28">
        <v>2</v>
      </c>
    </row>
    <row r="173" spans="1:4">
      <c r="A173" s="19" t="str">
        <f t="shared" ref="A173:A182" si="16">$R$2&amp;".XONX"</f>
        <v>АСПС.FB_OZK_KD_S.XONX</v>
      </c>
      <c r="B173" s="11">
        <v>1</v>
      </c>
      <c r="C173" s="11" t="s">
        <v>1</v>
      </c>
      <c r="D173" s="20">
        <v>11</v>
      </c>
    </row>
    <row r="174" spans="1:4">
      <c r="A174" s="19" t="str">
        <f t="shared" si="16"/>
        <v>АСПС.FB_OZK_KD_S.XONX</v>
      </c>
      <c r="B174" s="11">
        <v>2</v>
      </c>
      <c r="C174" s="11" t="s">
        <v>2</v>
      </c>
      <c r="D174" s="20" t="s">
        <v>3</v>
      </c>
    </row>
    <row r="175" spans="1:4">
      <c r="A175" s="19" t="str">
        <f t="shared" si="16"/>
        <v>АСПС.FB_OZK_KD_S.XONX</v>
      </c>
      <c r="B175" s="11">
        <v>3</v>
      </c>
      <c r="C175" s="11" t="s">
        <v>1</v>
      </c>
      <c r="D175" s="20">
        <v>192</v>
      </c>
    </row>
    <row r="176" spans="1:4">
      <c r="A176" s="19" t="str">
        <f t="shared" si="16"/>
        <v>АСПС.FB_OZK_KD_S.XONX</v>
      </c>
      <c r="B176" s="11">
        <v>101</v>
      </c>
      <c r="C176" s="11" t="s">
        <v>0</v>
      </c>
      <c r="D176" s="20" t="s">
        <v>412</v>
      </c>
    </row>
    <row r="177" spans="1:4">
      <c r="A177" s="19" t="str">
        <f t="shared" si="16"/>
        <v>АСПС.FB_OZK_KD_S.XONX</v>
      </c>
      <c r="B177" s="11">
        <v>7998</v>
      </c>
      <c r="C177" s="11" t="s">
        <v>6</v>
      </c>
      <c r="D177" s="20">
        <v>1</v>
      </c>
    </row>
    <row r="178" spans="1:4">
      <c r="A178" s="19" t="str">
        <f t="shared" si="16"/>
        <v>АСПС.FB_OZK_KD_S.XONX</v>
      </c>
      <c r="B178" s="11">
        <v>7999</v>
      </c>
      <c r="C178" s="11" t="s">
        <v>0</v>
      </c>
      <c r="D178" s="20" t="str">
        <f>"#"&amp;$S$2&amp;"#"&amp;$T$2&amp;"\"&amp;$P$2&amp;"\XONX"</f>
        <v>#1#treiOPCDA.CoOPCserv.1\pcmaster\FB_OZK_KD_S\XONX</v>
      </c>
    </row>
    <row r="179" spans="1:4">
      <c r="A179" s="100" t="str">
        <f t="shared" si="16"/>
        <v>АСПС.FB_OZK_KD_S.XONX</v>
      </c>
      <c r="B179" s="101">
        <v>11000</v>
      </c>
      <c r="C179" s="101" t="s">
        <v>5</v>
      </c>
      <c r="D179" s="103">
        <v>2147483680</v>
      </c>
    </row>
    <row r="180" spans="1:4">
      <c r="A180" s="100" t="str">
        <f t="shared" si="16"/>
        <v>АСПС.FB_OZK_KD_S.XONX</v>
      </c>
      <c r="B180" s="101">
        <v>11150</v>
      </c>
      <c r="C180" s="101" t="s">
        <v>0</v>
      </c>
      <c r="D180" s="103" t="s">
        <v>412</v>
      </c>
    </row>
    <row r="181" spans="1:4">
      <c r="A181" s="100" t="str">
        <f t="shared" si="16"/>
        <v>АСПС.FB_OZK_KD_S.XONX</v>
      </c>
      <c r="B181" s="101">
        <v>11152</v>
      </c>
      <c r="C181" s="101" t="s">
        <v>0</v>
      </c>
      <c r="D181" s="103" t="str">
        <f>$R$8</f>
        <v>Телесигнализация</v>
      </c>
    </row>
    <row r="182" spans="1:4">
      <c r="A182" s="170" t="str">
        <f t="shared" si="16"/>
        <v>АСПС.FB_OZK_KD_S.XONX</v>
      </c>
      <c r="B182" s="171">
        <v>11154</v>
      </c>
      <c r="C182" s="171" t="s">
        <v>4</v>
      </c>
      <c r="D182" s="172">
        <f>$Q$8</f>
        <v>18</v>
      </c>
    </row>
    <row r="183" spans="1:4">
      <c r="A183" s="16" t="str">
        <f t="shared" ref="A183:A192" si="17">$R$2&amp;".XOFX"</f>
        <v>АСПС.FB_OZK_KD_S.XOFX</v>
      </c>
      <c r="B183" s="17">
        <v>1</v>
      </c>
      <c r="C183" s="17" t="s">
        <v>1</v>
      </c>
      <c r="D183" s="18">
        <v>11</v>
      </c>
    </row>
    <row r="184" spans="1:4">
      <c r="A184" s="19" t="str">
        <f t="shared" si="17"/>
        <v>АСПС.FB_OZK_KD_S.XOFX</v>
      </c>
      <c r="B184" s="11">
        <v>2</v>
      </c>
      <c r="C184" s="11" t="s">
        <v>2</v>
      </c>
      <c r="D184" s="20" t="s">
        <v>3</v>
      </c>
    </row>
    <row r="185" spans="1:4">
      <c r="A185" s="19" t="str">
        <f t="shared" si="17"/>
        <v>АСПС.FB_OZK_KD_S.XOFX</v>
      </c>
      <c r="B185" s="11">
        <v>3</v>
      </c>
      <c r="C185" s="11" t="s">
        <v>1</v>
      </c>
      <c r="D185" s="20">
        <v>192</v>
      </c>
    </row>
    <row r="186" spans="1:4">
      <c r="A186" s="19" t="str">
        <f t="shared" si="17"/>
        <v>АСПС.FB_OZK_KD_S.XOFX</v>
      </c>
      <c r="B186" s="11">
        <v>101</v>
      </c>
      <c r="C186" s="11" t="s">
        <v>0</v>
      </c>
      <c r="D186" s="20" t="s">
        <v>419</v>
      </c>
    </row>
    <row r="187" spans="1:4">
      <c r="A187" s="19" t="str">
        <f t="shared" si="17"/>
        <v>АСПС.FB_OZK_KD_S.XOFX</v>
      </c>
      <c r="B187" s="11">
        <v>7998</v>
      </c>
      <c r="C187" s="11" t="s">
        <v>6</v>
      </c>
      <c r="D187" s="20">
        <v>1</v>
      </c>
    </row>
    <row r="188" spans="1:4">
      <c r="A188" s="19" t="str">
        <f t="shared" si="17"/>
        <v>АСПС.FB_OZK_KD_S.XOFX</v>
      </c>
      <c r="B188" s="11">
        <v>7999</v>
      </c>
      <c r="C188" s="11" t="s">
        <v>0</v>
      </c>
      <c r="D188" s="20" t="str">
        <f>"#"&amp;$S$2&amp;"#"&amp;$T$2&amp;"\"&amp;$P$2&amp;"\XOFX"</f>
        <v>#1#treiOPCDA.CoOPCserv.1\pcmaster\FB_OZK_KD_S\XOFX</v>
      </c>
    </row>
    <row r="189" spans="1:4">
      <c r="A189" s="100" t="str">
        <f t="shared" si="17"/>
        <v>АСПС.FB_OZK_KD_S.XOFX</v>
      </c>
      <c r="B189" s="101">
        <v>11000</v>
      </c>
      <c r="C189" s="101" t="s">
        <v>5</v>
      </c>
      <c r="D189" s="103">
        <v>2147483680</v>
      </c>
    </row>
    <row r="190" spans="1:4">
      <c r="A190" s="100" t="str">
        <f t="shared" si="17"/>
        <v>АСПС.FB_OZK_KD_S.XOFX</v>
      </c>
      <c r="B190" s="101">
        <v>11150</v>
      </c>
      <c r="C190" s="101" t="s">
        <v>0</v>
      </c>
      <c r="D190" s="103" t="s">
        <v>419</v>
      </c>
    </row>
    <row r="191" spans="1:4">
      <c r="A191" s="100" t="str">
        <f t="shared" si="17"/>
        <v>АСПС.FB_OZK_KD_S.XOFX</v>
      </c>
      <c r="B191" s="101">
        <v>11152</v>
      </c>
      <c r="C191" s="101" t="s">
        <v>0</v>
      </c>
      <c r="D191" s="103" t="str">
        <f>$R$8</f>
        <v>Телесигнализация</v>
      </c>
    </row>
    <row r="192" spans="1:4">
      <c r="A192" s="170" t="str">
        <f t="shared" si="17"/>
        <v>АСПС.FB_OZK_KD_S.XOFX</v>
      </c>
      <c r="B192" s="171">
        <v>11154</v>
      </c>
      <c r="C192" s="171" t="s">
        <v>4</v>
      </c>
      <c r="D192" s="172">
        <f>$Q$8</f>
        <v>18</v>
      </c>
    </row>
    <row r="193" spans="1:4">
      <c r="A193" s="342" t="str">
        <f t="shared" ref="A193:A202" si="18">$R$2&amp;".CEON"</f>
        <v>АСПС.FB_OZK_KD_S.CEON</v>
      </c>
      <c r="B193" s="343">
        <v>11154</v>
      </c>
      <c r="C193" s="343" t="s">
        <v>4</v>
      </c>
      <c r="D193" s="344">
        <f>$Q$19</f>
        <v>22</v>
      </c>
    </row>
    <row r="194" spans="1:4">
      <c r="A194" s="345" t="str">
        <f t="shared" si="18"/>
        <v>АСПС.FB_OZK_KD_S.CEON</v>
      </c>
      <c r="B194" s="346">
        <v>11150</v>
      </c>
      <c r="C194" s="346" t="s">
        <v>0</v>
      </c>
      <c r="D194" s="347" t="s">
        <v>691</v>
      </c>
    </row>
    <row r="195" spans="1:4">
      <c r="A195" s="345" t="str">
        <f t="shared" si="18"/>
        <v>АСПС.FB_OZK_KD_S.CEON</v>
      </c>
      <c r="B195" s="346">
        <v>11152</v>
      </c>
      <c r="C195" s="346" t="s">
        <v>0</v>
      </c>
      <c r="D195" s="348" t="str">
        <f>$R$19</f>
        <v>Информация</v>
      </c>
    </row>
    <row r="196" spans="1:4">
      <c r="A196" s="345" t="str">
        <f t="shared" si="18"/>
        <v>АСПС.FB_OZK_KD_S.CEON</v>
      </c>
      <c r="B196" s="346">
        <v>11000</v>
      </c>
      <c r="C196" s="346" t="s">
        <v>5</v>
      </c>
      <c r="D196" s="347">
        <v>2147483680</v>
      </c>
    </row>
    <row r="197" spans="1:4">
      <c r="A197" s="19" t="str">
        <f t="shared" si="18"/>
        <v>АСПС.FB_OZK_KD_S.CEON</v>
      </c>
      <c r="B197" s="11">
        <v>7999</v>
      </c>
      <c r="C197" s="11" t="s">
        <v>0</v>
      </c>
      <c r="D197" s="20" t="str">
        <f>"#"&amp;$S$2&amp;"#"&amp;$T$2&amp;"\"&amp;$P$2&amp;"\CEON"</f>
        <v>#1#treiOPCDA.CoOPCserv.1\pcmaster\FB_OZK_KD_S\CEON</v>
      </c>
    </row>
    <row r="198" spans="1:4">
      <c r="A198" s="19" t="str">
        <f t="shared" si="18"/>
        <v>АСПС.FB_OZK_KD_S.CEON</v>
      </c>
      <c r="B198" s="11">
        <v>7998</v>
      </c>
      <c r="C198" s="11" t="s">
        <v>6</v>
      </c>
      <c r="D198" s="20">
        <v>1</v>
      </c>
    </row>
    <row r="199" spans="1:4">
      <c r="A199" s="19" t="str">
        <f t="shared" si="18"/>
        <v>АСПС.FB_OZK_KD_S.CEON</v>
      </c>
      <c r="B199" s="11">
        <v>101</v>
      </c>
      <c r="C199" s="11" t="s">
        <v>0</v>
      </c>
      <c r="D199" s="20" t="s">
        <v>691</v>
      </c>
    </row>
    <row r="200" spans="1:4">
      <c r="A200" s="19" t="str">
        <f t="shared" si="18"/>
        <v>АСПС.FB_OZK_KD_S.CEON</v>
      </c>
      <c r="B200" s="11">
        <v>3</v>
      </c>
      <c r="C200" s="11" t="s">
        <v>1</v>
      </c>
      <c r="D200" s="20">
        <v>192</v>
      </c>
    </row>
    <row r="201" spans="1:4">
      <c r="A201" s="19" t="str">
        <f t="shared" si="18"/>
        <v>АСПС.FB_OZK_KD_S.CEON</v>
      </c>
      <c r="B201" s="11">
        <v>2</v>
      </c>
      <c r="C201" s="11" t="s">
        <v>2</v>
      </c>
      <c r="D201" s="20" t="s">
        <v>3</v>
      </c>
    </row>
    <row r="202" spans="1:4">
      <c r="A202" s="21" t="str">
        <f t="shared" si="18"/>
        <v>АСПС.FB_OZK_KD_S.CEON</v>
      </c>
      <c r="B202" s="8">
        <v>1</v>
      </c>
      <c r="C202" s="8" t="s">
        <v>1</v>
      </c>
      <c r="D202" s="22">
        <v>11</v>
      </c>
    </row>
    <row r="203" spans="1:4">
      <c r="A203" s="342" t="str">
        <f t="shared" ref="A203:A212" si="19">$R$2&amp;".CEOF"</f>
        <v>АСПС.FB_OZK_KD_S.CEOF</v>
      </c>
      <c r="B203" s="343">
        <v>11154</v>
      </c>
      <c r="C203" s="343" t="s">
        <v>4</v>
      </c>
      <c r="D203" s="344">
        <f>$Q$19</f>
        <v>22</v>
      </c>
    </row>
    <row r="204" spans="1:4">
      <c r="A204" s="345" t="str">
        <f t="shared" si="19"/>
        <v>АСПС.FB_OZK_KD_S.CEOF</v>
      </c>
      <c r="B204" s="346">
        <v>11150</v>
      </c>
      <c r="C204" s="346" t="s">
        <v>0</v>
      </c>
      <c r="D204" s="347" t="s">
        <v>692</v>
      </c>
    </row>
    <row r="205" spans="1:4">
      <c r="A205" s="345" t="str">
        <f t="shared" si="19"/>
        <v>АСПС.FB_OZK_KD_S.CEOF</v>
      </c>
      <c r="B205" s="346">
        <v>11152</v>
      </c>
      <c r="C205" s="346" t="s">
        <v>0</v>
      </c>
      <c r="D205" s="348" t="str">
        <f>$R$19</f>
        <v>Информация</v>
      </c>
    </row>
    <row r="206" spans="1:4">
      <c r="A206" s="345" t="str">
        <f t="shared" si="19"/>
        <v>АСПС.FB_OZK_KD_S.CEOF</v>
      </c>
      <c r="B206" s="346">
        <v>11000</v>
      </c>
      <c r="C206" s="346" t="s">
        <v>5</v>
      </c>
      <c r="D206" s="347">
        <v>2147483680</v>
      </c>
    </row>
    <row r="207" spans="1:4">
      <c r="A207" s="19" t="str">
        <f t="shared" si="19"/>
        <v>АСПС.FB_OZK_KD_S.CEOF</v>
      </c>
      <c r="B207" s="11">
        <v>7999</v>
      </c>
      <c r="C207" s="11" t="s">
        <v>0</v>
      </c>
      <c r="D207" s="20" t="str">
        <f>"#"&amp;$S$2&amp;"#"&amp;$T$2&amp;"\"&amp;$P$2&amp;"\CEOF"</f>
        <v>#1#treiOPCDA.CoOPCserv.1\pcmaster\FB_OZK_KD_S\CEOF</v>
      </c>
    </row>
    <row r="208" spans="1:4">
      <c r="A208" s="19" t="str">
        <f t="shared" si="19"/>
        <v>АСПС.FB_OZK_KD_S.CEOF</v>
      </c>
      <c r="B208" s="11">
        <v>7998</v>
      </c>
      <c r="C208" s="11" t="s">
        <v>6</v>
      </c>
      <c r="D208" s="20">
        <v>1</v>
      </c>
    </row>
    <row r="209" spans="1:4">
      <c r="A209" s="19" t="str">
        <f t="shared" si="19"/>
        <v>АСПС.FB_OZK_KD_S.CEOF</v>
      </c>
      <c r="B209" s="11">
        <v>101</v>
      </c>
      <c r="C209" s="11" t="s">
        <v>0</v>
      </c>
      <c r="D209" s="20" t="s">
        <v>692</v>
      </c>
    </row>
    <row r="210" spans="1:4">
      <c r="A210" s="19" t="str">
        <f t="shared" si="19"/>
        <v>АСПС.FB_OZK_KD_S.CEOF</v>
      </c>
      <c r="B210" s="11">
        <v>3</v>
      </c>
      <c r="C210" s="11" t="s">
        <v>1</v>
      </c>
      <c r="D210" s="20">
        <v>192</v>
      </c>
    </row>
    <row r="211" spans="1:4">
      <c r="A211" s="19" t="str">
        <f t="shared" si="19"/>
        <v>АСПС.FB_OZK_KD_S.CEOF</v>
      </c>
      <c r="B211" s="11">
        <v>2</v>
      </c>
      <c r="C211" s="11" t="s">
        <v>2</v>
      </c>
      <c r="D211" s="20" t="s">
        <v>3</v>
      </c>
    </row>
    <row r="212" spans="1:4">
      <c r="A212" s="21" t="str">
        <f t="shared" si="19"/>
        <v>АСПС.FB_OZK_KD_S.CEOF</v>
      </c>
      <c r="B212" s="8">
        <v>1</v>
      </c>
      <c r="C212" s="8" t="s">
        <v>1</v>
      </c>
      <c r="D212" s="22">
        <v>11</v>
      </c>
    </row>
    <row r="213" spans="1:4">
      <c r="A213" s="266" t="str">
        <f>$R$2&amp;".Commands.STSX"</f>
        <v>АСПС.FB_OZK_KD_S.Commands.STSX</v>
      </c>
      <c r="B213" s="267">
        <v>101</v>
      </c>
      <c r="C213" s="267" t="s">
        <v>0</v>
      </c>
      <c r="D213" s="268" t="s">
        <v>128</v>
      </c>
    </row>
    <row r="214" spans="1:4">
      <c r="A214" s="269" t="str">
        <f>$R$2&amp;".Commands.STSX"</f>
        <v>АСПС.FB_OZK_KD_S.Commands.STSX</v>
      </c>
      <c r="B214" s="270">
        <v>7999</v>
      </c>
      <c r="C214" s="270" t="s">
        <v>0</v>
      </c>
      <c r="D214" s="271" t="str">
        <f>"#"&amp;$T$5&amp;"#"&amp;$T$2&amp;"\"&amp;$P$2&amp;"\STSX"</f>
        <v>#1#treiOPCDA.CoOPCserv.1\pcmaster\FB_OZK_KD_S\STSX</v>
      </c>
    </row>
    <row r="215" spans="1:4">
      <c r="A215" s="269" t="str">
        <f>$R$2&amp;".Commands.STSX"</f>
        <v>АСПС.FB_OZK_KD_S.Commands.STSX</v>
      </c>
      <c r="B215" s="270">
        <v>7998</v>
      </c>
      <c r="C215" s="270" t="s">
        <v>6</v>
      </c>
      <c r="D215" s="271">
        <v>2</v>
      </c>
    </row>
    <row r="216" spans="1:4">
      <c r="A216" s="272" t="str">
        <f>$R$2&amp;".Commands.STSX"</f>
        <v>АСПС.FB_OZK_KD_S.Commands.STSX</v>
      </c>
      <c r="B216" s="273">
        <v>1</v>
      </c>
      <c r="C216" s="273" t="s">
        <v>1</v>
      </c>
      <c r="D216" s="274">
        <v>3</v>
      </c>
    </row>
    <row r="217" spans="1:4">
      <c r="A217" s="266" t="str">
        <f>$R$2&amp;".Commands.SRQX"</f>
        <v>АСПС.FB_OZK_KD_S.Commands.SRQX</v>
      </c>
      <c r="B217" s="267">
        <v>101</v>
      </c>
      <c r="C217" s="267" t="s">
        <v>0</v>
      </c>
      <c r="D217" s="268" t="s">
        <v>125</v>
      </c>
    </row>
    <row r="218" spans="1:4">
      <c r="A218" s="269" t="str">
        <f>$R$2&amp;".Commands.SRQX"</f>
        <v>АСПС.FB_OZK_KD_S.Commands.SRQX</v>
      </c>
      <c r="B218" s="270">
        <v>7999</v>
      </c>
      <c r="C218" s="270" t="s">
        <v>0</v>
      </c>
      <c r="D218" s="271" t="str">
        <f>"#"&amp;$T$5&amp;"#"&amp;$T$2&amp;"\"&amp;$P$2&amp;"\SRQX"</f>
        <v>#1#treiOPCDA.CoOPCserv.1\pcmaster\FB_OZK_KD_S\SRQX</v>
      </c>
    </row>
    <row r="219" spans="1:4">
      <c r="A219" s="269" t="str">
        <f>$R$2&amp;".Commands.SRQX"</f>
        <v>АСПС.FB_OZK_KD_S.Commands.SRQX</v>
      </c>
      <c r="B219" s="270">
        <v>7998</v>
      </c>
      <c r="C219" s="270" t="s">
        <v>6</v>
      </c>
      <c r="D219" s="271">
        <v>2</v>
      </c>
    </row>
    <row r="220" spans="1:4">
      <c r="A220" s="272" t="str">
        <f>$R$2&amp;".Commands.SRQX"</f>
        <v>АСПС.FB_OZK_KD_S.Commands.SRQX</v>
      </c>
      <c r="B220" s="273">
        <v>1</v>
      </c>
      <c r="C220" s="273" t="s">
        <v>1</v>
      </c>
      <c r="D220" s="274">
        <v>3</v>
      </c>
    </row>
    <row r="221" spans="1:4">
      <c r="A221" s="16" t="str">
        <f>$R$2&amp;".Commands.CRPX"</f>
        <v>АСПС.FB_OZK_KD_S.Commands.CRPX</v>
      </c>
      <c r="B221" s="17">
        <v>101</v>
      </c>
      <c r="C221" s="17" t="s">
        <v>0</v>
      </c>
      <c r="D221" s="18" t="s">
        <v>90</v>
      </c>
    </row>
    <row r="222" spans="1:4">
      <c r="A222" s="19" t="str">
        <f>$R$2&amp;".Commands.CRPX"</f>
        <v>АСПС.FB_OZK_KD_S.Commands.CRPX</v>
      </c>
      <c r="B222" s="11">
        <v>7999</v>
      </c>
      <c r="C222" s="11" t="s">
        <v>0</v>
      </c>
      <c r="D222" s="20" t="str">
        <f>"#"&amp;$T$5&amp;"#"&amp;$T$2&amp;"\"&amp;$P$2&amp;"\CRPX"</f>
        <v>#1#treiOPCDA.CoOPCserv.1\pcmaster\FB_OZK_KD_S\CRPX</v>
      </c>
    </row>
    <row r="223" spans="1:4">
      <c r="A223" s="19" t="str">
        <f>$R$2&amp;".Commands.CRPX"</f>
        <v>АСПС.FB_OZK_KD_S.Commands.CRPX</v>
      </c>
      <c r="B223" s="11">
        <v>7998</v>
      </c>
      <c r="C223" s="11" t="s">
        <v>6</v>
      </c>
      <c r="D223" s="20">
        <v>2</v>
      </c>
    </row>
    <row r="224" spans="1:4">
      <c r="A224" s="21" t="str">
        <f>$R$2&amp;".Commands.CRPX"</f>
        <v>АСПС.FB_OZK_KD_S.Commands.CRPX</v>
      </c>
      <c r="B224" s="8">
        <v>1</v>
      </c>
      <c r="C224" s="8" t="s">
        <v>1</v>
      </c>
      <c r="D224" s="22">
        <v>11</v>
      </c>
    </row>
    <row r="225" spans="1:4">
      <c r="A225" s="16" t="str">
        <f>$R$2&amp;".Commands.CRST"</f>
        <v>АСПС.FB_OZK_KD_S.Commands.CRST</v>
      </c>
      <c r="B225" s="17">
        <v>1</v>
      </c>
      <c r="C225" s="17" t="s">
        <v>1</v>
      </c>
      <c r="D225" s="18">
        <v>11</v>
      </c>
    </row>
    <row r="226" spans="1:4">
      <c r="A226" s="19" t="str">
        <f>$R$2&amp;".Commands.CRST"</f>
        <v>АСПС.FB_OZK_KD_S.Commands.CRST</v>
      </c>
      <c r="B226" s="11">
        <v>101</v>
      </c>
      <c r="C226" s="11" t="s">
        <v>0</v>
      </c>
      <c r="D226" s="20" t="s">
        <v>475</v>
      </c>
    </row>
    <row r="227" spans="1:4">
      <c r="A227" s="19" t="str">
        <f>$R$2&amp;".Commands.CRST"</f>
        <v>АСПС.FB_OZK_KD_S.Commands.CRST</v>
      </c>
      <c r="B227" s="11">
        <v>7998</v>
      </c>
      <c r="C227" s="11" t="s">
        <v>6</v>
      </c>
      <c r="D227" s="20">
        <v>2</v>
      </c>
    </row>
    <row r="228" spans="1:4">
      <c r="A228" s="21" t="str">
        <f>$R$2&amp;".Commands.CRST"</f>
        <v>АСПС.FB_OZK_KD_S.Commands.CRST</v>
      </c>
      <c r="B228" s="8">
        <v>7999</v>
      </c>
      <c r="C228" s="8" t="s">
        <v>0</v>
      </c>
      <c r="D228" s="22" t="str">
        <f>"#"&amp;$T$5&amp;"#"&amp;$T$2&amp;"\"&amp;$P$2&amp;"\CRST"</f>
        <v>#1#treiOPCDA.CoOPCserv.1\pcmaster\FB_OZK_KD_S\CRST</v>
      </c>
    </row>
    <row r="229" spans="1:4">
      <c r="A229" s="16" t="str">
        <f>$R$2&amp;".Commands.CRRX"</f>
        <v>АСПС.FB_OZK_KD_S.Commands.CRRX</v>
      </c>
      <c r="B229" s="17">
        <v>1</v>
      </c>
      <c r="C229" s="17" t="s">
        <v>1</v>
      </c>
      <c r="D229" s="18">
        <v>11</v>
      </c>
    </row>
    <row r="230" spans="1:4">
      <c r="A230" s="19" t="str">
        <f>$R$2&amp;".Commands.CRRX"</f>
        <v>АСПС.FB_OZK_KD_S.Commands.CRRX</v>
      </c>
      <c r="B230" s="11">
        <v>101</v>
      </c>
      <c r="C230" s="11" t="s">
        <v>0</v>
      </c>
      <c r="D230" s="20" t="s">
        <v>116</v>
      </c>
    </row>
    <row r="231" spans="1:4">
      <c r="A231" s="19" t="str">
        <f>$R$2&amp;".Commands.CRRX"</f>
        <v>АСПС.FB_OZK_KD_S.Commands.CRRX</v>
      </c>
      <c r="B231" s="11">
        <v>7998</v>
      </c>
      <c r="C231" s="11" t="s">
        <v>6</v>
      </c>
      <c r="D231" s="20">
        <v>2</v>
      </c>
    </row>
    <row r="232" spans="1:4">
      <c r="A232" s="21" t="str">
        <f>$R$2&amp;".Commands.CRRX"</f>
        <v>АСПС.FB_OZK_KD_S.Commands.CRRX</v>
      </c>
      <c r="B232" s="8">
        <v>7999</v>
      </c>
      <c r="C232" s="8" t="s">
        <v>0</v>
      </c>
      <c r="D232" s="22" t="str">
        <f>"#"&amp;$T$5&amp;"#"&amp;$T$2&amp;"\"&amp;$P$2&amp;"\CRRX"</f>
        <v>#1#treiOPCDA.CoOPCserv.1\pcmaster\FB_OZK_KD_S\CRRX</v>
      </c>
    </row>
    <row r="233" spans="1:4">
      <c r="A233" s="16" t="str">
        <f>$R$2&amp;".Commands.COON"</f>
        <v>АСПС.FB_OZK_KD_S.Commands.COON</v>
      </c>
      <c r="B233" s="17">
        <v>1</v>
      </c>
      <c r="C233" s="17" t="s">
        <v>1</v>
      </c>
      <c r="D233" s="18">
        <v>11</v>
      </c>
    </row>
    <row r="234" spans="1:4">
      <c r="A234" s="19" t="str">
        <f>$R$2&amp;".Commands.COON"</f>
        <v>АСПС.FB_OZK_KD_S.Commands.COON</v>
      </c>
      <c r="B234" s="11">
        <v>101</v>
      </c>
      <c r="C234" s="11" t="s">
        <v>0</v>
      </c>
      <c r="D234" s="20" t="s">
        <v>486</v>
      </c>
    </row>
    <row r="235" spans="1:4">
      <c r="A235" s="19" t="str">
        <f>$R$2&amp;".Commands.COON"</f>
        <v>АСПС.FB_OZK_KD_S.Commands.COON</v>
      </c>
      <c r="B235" s="11">
        <v>7998</v>
      </c>
      <c r="C235" s="11" t="s">
        <v>6</v>
      </c>
      <c r="D235" s="20">
        <v>2</v>
      </c>
    </row>
    <row r="236" spans="1:4">
      <c r="A236" s="21" t="str">
        <f>$R$2&amp;".Commands.COON"</f>
        <v>АСПС.FB_OZK_KD_S.Commands.COON</v>
      </c>
      <c r="B236" s="8">
        <v>7999</v>
      </c>
      <c r="C236" s="8" t="s">
        <v>0</v>
      </c>
      <c r="D236" s="22" t="str">
        <f>"#"&amp;$T$5&amp;"#"&amp;$T$2&amp;"\"&amp;$P$2&amp;"\COON"</f>
        <v>#1#treiOPCDA.CoOPCserv.1\pcmaster\FB_OZK_KD_S\COON</v>
      </c>
    </row>
    <row r="237" spans="1:4">
      <c r="A237" s="16" t="str">
        <f>$R$2&amp;".Commands.COOF"</f>
        <v>АСПС.FB_OZK_KD_S.Commands.COOF</v>
      </c>
      <c r="B237" s="17">
        <v>1</v>
      </c>
      <c r="C237" s="17" t="s">
        <v>1</v>
      </c>
      <c r="D237" s="18">
        <v>11</v>
      </c>
    </row>
    <row r="238" spans="1:4">
      <c r="A238" s="19" t="str">
        <f>$R$2&amp;".Commands.COOF"</f>
        <v>АСПС.FB_OZK_KD_S.Commands.COOF</v>
      </c>
      <c r="B238" s="11">
        <v>101</v>
      </c>
      <c r="C238" s="11" t="s">
        <v>0</v>
      </c>
      <c r="D238" s="20" t="s">
        <v>487</v>
      </c>
    </row>
    <row r="239" spans="1:4">
      <c r="A239" s="19" t="str">
        <f>$R$2&amp;".Commands.COOF"</f>
        <v>АСПС.FB_OZK_KD_S.Commands.COOF</v>
      </c>
      <c r="B239" s="11">
        <v>7998</v>
      </c>
      <c r="C239" s="11" t="s">
        <v>6</v>
      </c>
      <c r="D239" s="20">
        <v>2</v>
      </c>
    </row>
    <row r="240" spans="1:4">
      <c r="A240" s="21" t="str">
        <f>$R$2&amp;".Commands.COOF"</f>
        <v>АСПС.FB_OZK_KD_S.Commands.COOF</v>
      </c>
      <c r="B240" s="8">
        <v>7999</v>
      </c>
      <c r="C240" s="8" t="s">
        <v>0</v>
      </c>
      <c r="D240" s="22" t="str">
        <f>"#"&amp;$T$5&amp;"#"&amp;$T$2&amp;"\"&amp;$P$2&amp;"\COOF"</f>
        <v>#1#treiOPCDA.CoOPCserv.1\pcmaster\FB_OZK_KD_S\COOF</v>
      </c>
    </row>
    <row r="241" spans="1:4">
      <c r="A241" s="16" t="str">
        <f t="shared" ref="A241:A246" si="20">$R$2&amp;".XONP"</f>
        <v>АСПС.FB_OZK_KD_S.XONP</v>
      </c>
      <c r="B241" s="17">
        <v>1</v>
      </c>
      <c r="C241" s="17" t="s">
        <v>1</v>
      </c>
      <c r="D241" s="18">
        <v>11</v>
      </c>
    </row>
    <row r="242" spans="1:4">
      <c r="A242" s="19" t="str">
        <f t="shared" si="20"/>
        <v>АСПС.FB_OZK_KD_S.XONP</v>
      </c>
      <c r="B242" s="11">
        <v>2</v>
      </c>
      <c r="C242" s="11" t="s">
        <v>2</v>
      </c>
      <c r="D242" s="20" t="s">
        <v>3</v>
      </c>
    </row>
    <row r="243" spans="1:4">
      <c r="A243" s="19" t="str">
        <f t="shared" si="20"/>
        <v>АСПС.FB_OZK_KD_S.XONP</v>
      </c>
      <c r="B243" s="11">
        <v>3</v>
      </c>
      <c r="C243" s="11" t="s">
        <v>1</v>
      </c>
      <c r="D243" s="20">
        <v>192</v>
      </c>
    </row>
    <row r="244" spans="1:4">
      <c r="A244" s="19" t="str">
        <f t="shared" si="20"/>
        <v>АСПС.FB_OZK_KD_S.XONP</v>
      </c>
      <c r="B244" s="11">
        <v>101</v>
      </c>
      <c r="C244" s="11" t="s">
        <v>0</v>
      </c>
      <c r="D244" s="20" t="s">
        <v>480</v>
      </c>
    </row>
    <row r="245" spans="1:4">
      <c r="A245" s="19" t="str">
        <f t="shared" si="20"/>
        <v>АСПС.FB_OZK_KD_S.XONP</v>
      </c>
      <c r="B245" s="11">
        <v>7998</v>
      </c>
      <c r="C245" s="11" t="s">
        <v>6</v>
      </c>
      <c r="D245" s="20">
        <v>1</v>
      </c>
    </row>
    <row r="246" spans="1:4">
      <c r="A246" s="19" t="str">
        <f t="shared" si="20"/>
        <v>АСПС.FB_OZK_KD_S.XONP</v>
      </c>
      <c r="B246" s="11">
        <v>7999</v>
      </c>
      <c r="C246" s="11" t="s">
        <v>0</v>
      </c>
      <c r="D246" s="20" t="str">
        <f>"#"&amp;$S$2&amp;"#"&amp;$T$2&amp;"\"&amp;$P$2&amp;"\XONP"</f>
        <v>#1#treiOPCDA.CoOPCserv.1\pcmaster\FB_OZK_KD_S\XONP</v>
      </c>
    </row>
    <row r="247" spans="1:4">
      <c r="A247" s="16" t="str">
        <f t="shared" ref="A247:A252" si="21">$R$2&amp;".XOFP"</f>
        <v>АСПС.FB_OZK_KD_S.XOFP</v>
      </c>
      <c r="B247" s="17">
        <v>1</v>
      </c>
      <c r="C247" s="17" t="s">
        <v>1</v>
      </c>
      <c r="D247" s="18">
        <v>11</v>
      </c>
    </row>
    <row r="248" spans="1:4">
      <c r="A248" s="19" t="str">
        <f t="shared" si="21"/>
        <v>АСПС.FB_OZK_KD_S.XOFP</v>
      </c>
      <c r="B248" s="11">
        <v>2</v>
      </c>
      <c r="C248" s="11" t="s">
        <v>2</v>
      </c>
      <c r="D248" s="20" t="s">
        <v>3</v>
      </c>
    </row>
    <row r="249" spans="1:4">
      <c r="A249" s="19" t="str">
        <f t="shared" si="21"/>
        <v>АСПС.FB_OZK_KD_S.XOFP</v>
      </c>
      <c r="B249" s="11">
        <v>3</v>
      </c>
      <c r="C249" s="11" t="s">
        <v>1</v>
      </c>
      <c r="D249" s="20">
        <v>192</v>
      </c>
    </row>
    <row r="250" spans="1:4">
      <c r="A250" s="19" t="str">
        <f t="shared" si="21"/>
        <v>АСПС.FB_OZK_KD_S.XOFP</v>
      </c>
      <c r="B250" s="11">
        <v>101</v>
      </c>
      <c r="C250" s="11" t="s">
        <v>0</v>
      </c>
      <c r="D250" s="20" t="s">
        <v>481</v>
      </c>
    </row>
    <row r="251" spans="1:4">
      <c r="A251" s="19" t="str">
        <f t="shared" si="21"/>
        <v>АСПС.FB_OZK_KD_S.XOFP</v>
      </c>
      <c r="B251" s="11">
        <v>7998</v>
      </c>
      <c r="C251" s="11" t="s">
        <v>6</v>
      </c>
      <c r="D251" s="20">
        <v>1</v>
      </c>
    </row>
    <row r="252" spans="1:4">
      <c r="A252" s="19" t="str">
        <f t="shared" si="21"/>
        <v>АСПС.FB_OZK_KD_S.XOFP</v>
      </c>
      <c r="B252" s="11">
        <v>7999</v>
      </c>
      <c r="C252" s="11" t="s">
        <v>0</v>
      </c>
      <c r="D252" s="20" t="str">
        <f>"#"&amp;$S$2&amp;"#"&amp;$T$2&amp;"\"&amp;$P$2&amp;"\XOFP"</f>
        <v>#1#treiOPCDA.CoOPCserv.1\pcmaster\FB_OZK_KD_S\XOFP</v>
      </c>
    </row>
    <row r="253" spans="1:4">
      <c r="A253" s="19" t="str">
        <f t="shared" ref="A253:A258" si="22">$R$2&amp;".IONX"</f>
        <v>АСПС.FB_OZK_KD_S.IONX</v>
      </c>
      <c r="B253" s="11">
        <v>7999</v>
      </c>
      <c r="C253" s="11" t="s">
        <v>0</v>
      </c>
      <c r="D253" s="20" t="str">
        <f>"#"&amp;$S$2&amp;"#"&amp;$T$2&amp;"\"&amp;$P$2&amp;"\IONX"</f>
        <v>#1#treiOPCDA.CoOPCserv.1\pcmaster\FB_OZK_KD_S\IONX</v>
      </c>
    </row>
    <row r="254" spans="1:4">
      <c r="A254" s="19" t="str">
        <f t="shared" si="22"/>
        <v>АСПС.FB_OZK_KD_S.IONX</v>
      </c>
      <c r="B254" s="11">
        <v>7998</v>
      </c>
      <c r="C254" s="11" t="s">
        <v>6</v>
      </c>
      <c r="D254" s="20">
        <v>1</v>
      </c>
    </row>
    <row r="255" spans="1:4">
      <c r="A255" s="19" t="str">
        <f t="shared" si="22"/>
        <v>АСПС.FB_OZK_KD_S.IONX</v>
      </c>
      <c r="B255" s="11">
        <v>101</v>
      </c>
      <c r="C255" s="11" t="s">
        <v>0</v>
      </c>
      <c r="D255" s="20" t="s">
        <v>570</v>
      </c>
    </row>
    <row r="256" spans="1:4">
      <c r="A256" s="19" t="str">
        <f t="shared" si="22"/>
        <v>АСПС.FB_OZK_KD_S.IONX</v>
      </c>
      <c r="B256" s="11">
        <v>3</v>
      </c>
      <c r="C256" s="11" t="s">
        <v>1</v>
      </c>
      <c r="D256" s="20">
        <v>192</v>
      </c>
    </row>
    <row r="257" spans="1:4">
      <c r="A257" s="19" t="str">
        <f t="shared" si="22"/>
        <v>АСПС.FB_OZK_KD_S.IONX</v>
      </c>
      <c r="B257" s="11">
        <v>2</v>
      </c>
      <c r="C257" s="11" t="s">
        <v>2</v>
      </c>
      <c r="D257" s="20" t="s">
        <v>3</v>
      </c>
    </row>
    <row r="258" spans="1:4">
      <c r="A258" s="21" t="str">
        <f t="shared" si="22"/>
        <v>АСПС.FB_OZK_KD_S.IONX</v>
      </c>
      <c r="B258" s="8">
        <v>1</v>
      </c>
      <c r="C258" s="8" t="s">
        <v>1</v>
      </c>
      <c r="D258" s="22">
        <v>11</v>
      </c>
    </row>
    <row r="259" spans="1:4">
      <c r="A259" s="19" t="str">
        <f t="shared" ref="A259:A264" si="23">$R$2&amp;".IOFX"</f>
        <v>АСПС.FB_OZK_KD_S.IOFX</v>
      </c>
      <c r="B259" s="11">
        <v>7999</v>
      </c>
      <c r="C259" s="11" t="s">
        <v>0</v>
      </c>
      <c r="D259" s="20" t="str">
        <f>"#"&amp;$S$2&amp;"#"&amp;$T$2&amp;"\"&amp;$P$2&amp;"\IOFX"</f>
        <v>#1#treiOPCDA.CoOPCserv.1\pcmaster\FB_OZK_KD_S\IOFX</v>
      </c>
    </row>
    <row r="260" spans="1:4">
      <c r="A260" s="19" t="str">
        <f t="shared" si="23"/>
        <v>АСПС.FB_OZK_KD_S.IOFX</v>
      </c>
      <c r="B260" s="11">
        <v>7998</v>
      </c>
      <c r="C260" s="11" t="s">
        <v>6</v>
      </c>
      <c r="D260" s="20">
        <v>1</v>
      </c>
    </row>
    <row r="261" spans="1:4">
      <c r="A261" s="19" t="str">
        <f t="shared" si="23"/>
        <v>АСПС.FB_OZK_KD_S.IOFX</v>
      </c>
      <c r="B261" s="11">
        <v>101</v>
      </c>
      <c r="C261" s="11" t="s">
        <v>0</v>
      </c>
      <c r="D261" s="20" t="s">
        <v>571</v>
      </c>
    </row>
    <row r="262" spans="1:4">
      <c r="A262" s="19" t="str">
        <f t="shared" si="23"/>
        <v>АСПС.FB_OZK_KD_S.IOFX</v>
      </c>
      <c r="B262" s="11">
        <v>3</v>
      </c>
      <c r="C262" s="11" t="s">
        <v>1</v>
      </c>
      <c r="D262" s="20">
        <v>192</v>
      </c>
    </row>
    <row r="263" spans="1:4">
      <c r="A263" s="19" t="str">
        <f t="shared" si="23"/>
        <v>АСПС.FB_OZK_KD_S.IOFX</v>
      </c>
      <c r="B263" s="11">
        <v>2</v>
      </c>
      <c r="C263" s="11" t="s">
        <v>2</v>
      </c>
      <c r="D263" s="20" t="s">
        <v>3</v>
      </c>
    </row>
    <row r="264" spans="1:4">
      <c r="A264" s="21" t="str">
        <f t="shared" si="23"/>
        <v>АСПС.FB_OZK_KD_S.IOFX</v>
      </c>
      <c r="B264" s="8">
        <v>1</v>
      </c>
      <c r="C264" s="8" t="s">
        <v>1</v>
      </c>
      <c r="D264" s="22">
        <v>11</v>
      </c>
    </row>
    <row r="265" spans="1:4">
      <c r="A265" s="19" t="str">
        <f t="shared" ref="A265:A270" si="24">$R$2&amp;".IFXX"</f>
        <v>АСПС.FB_OZK_KD_S.IFXX</v>
      </c>
      <c r="B265" s="11">
        <v>7999</v>
      </c>
      <c r="C265" s="11" t="s">
        <v>0</v>
      </c>
      <c r="D265" s="20" t="str">
        <f>"#"&amp;$S$2&amp;"#"&amp;$T$2&amp;"\"&amp;$P$2&amp;"\IFXX"</f>
        <v>#1#treiOPCDA.CoOPCserv.1\pcmaster\FB_OZK_KD_S\IFXX</v>
      </c>
    </row>
    <row r="266" spans="1:4">
      <c r="A266" s="19" t="str">
        <f t="shared" si="24"/>
        <v>АСПС.FB_OZK_KD_S.IFXX</v>
      </c>
      <c r="B266" s="11">
        <v>7998</v>
      </c>
      <c r="C266" s="11" t="s">
        <v>6</v>
      </c>
      <c r="D266" s="20">
        <v>1</v>
      </c>
    </row>
    <row r="267" spans="1:4">
      <c r="A267" s="19" t="str">
        <f t="shared" si="24"/>
        <v>АСПС.FB_OZK_KD_S.IFXX</v>
      </c>
      <c r="B267" s="11">
        <v>101</v>
      </c>
      <c r="C267" s="11" t="s">
        <v>0</v>
      </c>
      <c r="D267" s="20" t="s">
        <v>176</v>
      </c>
    </row>
    <row r="268" spans="1:4">
      <c r="A268" s="19" t="str">
        <f t="shared" si="24"/>
        <v>АСПС.FB_OZK_KD_S.IFXX</v>
      </c>
      <c r="B268" s="11">
        <v>3</v>
      </c>
      <c r="C268" s="11" t="s">
        <v>1</v>
      </c>
      <c r="D268" s="20">
        <v>192</v>
      </c>
    </row>
    <row r="269" spans="1:4">
      <c r="A269" s="19" t="str">
        <f t="shared" si="24"/>
        <v>АСПС.FB_OZK_KD_S.IFXX</v>
      </c>
      <c r="B269" s="11">
        <v>2</v>
      </c>
      <c r="C269" s="11" t="s">
        <v>2</v>
      </c>
      <c r="D269" s="20" t="s">
        <v>3</v>
      </c>
    </row>
    <row r="270" spans="1:4">
      <c r="A270" s="21" t="str">
        <f t="shared" si="24"/>
        <v>АСПС.FB_OZK_KD_S.IFXX</v>
      </c>
      <c r="B270" s="8">
        <v>1</v>
      </c>
      <c r="C270" s="8" t="s">
        <v>1</v>
      </c>
      <c r="D270" s="22">
        <v>11</v>
      </c>
    </row>
    <row r="271" spans="1:4">
      <c r="A271" s="19" t="str">
        <f t="shared" ref="A271:A276" si="25">$R$2&amp;".OXON"</f>
        <v>АСПС.FB_OZK_KD_S.OXON</v>
      </c>
      <c r="B271" s="11">
        <v>7999</v>
      </c>
      <c r="C271" s="11" t="s">
        <v>0</v>
      </c>
      <c r="D271" s="20" t="str">
        <f>"#"&amp;$S$2&amp;"#"&amp;$T$2&amp;"\"&amp;$P$2&amp;"\OXON"</f>
        <v>#1#treiOPCDA.CoOPCserv.1\pcmaster\FB_OZK_KD_S\OXON</v>
      </c>
    </row>
    <row r="272" spans="1:4">
      <c r="A272" s="19" t="str">
        <f t="shared" si="25"/>
        <v>АСПС.FB_OZK_KD_S.OXON</v>
      </c>
      <c r="B272" s="11">
        <v>7998</v>
      </c>
      <c r="C272" s="11" t="s">
        <v>6</v>
      </c>
      <c r="D272" s="20">
        <v>1</v>
      </c>
    </row>
    <row r="273" spans="1:4">
      <c r="A273" s="19" t="str">
        <f t="shared" si="25"/>
        <v>АСПС.FB_OZK_KD_S.OXON</v>
      </c>
      <c r="B273" s="11">
        <v>101</v>
      </c>
      <c r="C273" s="11" t="s">
        <v>0</v>
      </c>
      <c r="D273" s="20" t="s">
        <v>416</v>
      </c>
    </row>
    <row r="274" spans="1:4">
      <c r="A274" s="19" t="str">
        <f t="shared" si="25"/>
        <v>АСПС.FB_OZK_KD_S.OXON</v>
      </c>
      <c r="B274" s="11">
        <v>3</v>
      </c>
      <c r="C274" s="11" t="s">
        <v>1</v>
      </c>
      <c r="D274" s="20">
        <v>192</v>
      </c>
    </row>
    <row r="275" spans="1:4">
      <c r="A275" s="19" t="str">
        <f t="shared" si="25"/>
        <v>АСПС.FB_OZK_KD_S.OXON</v>
      </c>
      <c r="B275" s="11">
        <v>2</v>
      </c>
      <c r="C275" s="11" t="s">
        <v>2</v>
      </c>
      <c r="D275" s="20" t="s">
        <v>3</v>
      </c>
    </row>
    <row r="276" spans="1:4">
      <c r="A276" s="21" t="str">
        <f t="shared" si="25"/>
        <v>АСПС.FB_OZK_KD_S.OXON</v>
      </c>
      <c r="B276" s="8">
        <v>1</v>
      </c>
      <c r="C276" s="8" t="s">
        <v>1</v>
      </c>
      <c r="D276" s="22">
        <v>11</v>
      </c>
    </row>
    <row r="277" spans="1:4">
      <c r="A277" s="19" t="str">
        <f t="shared" ref="A277:A282" si="26">$R$2&amp;".FXXX"</f>
        <v>АСПС.FB_OZK_KD_S.FXXX</v>
      </c>
      <c r="B277" s="11">
        <v>7999</v>
      </c>
      <c r="C277" s="11" t="s">
        <v>0</v>
      </c>
      <c r="D277" s="20" t="str">
        <f>"#"&amp;$S$2&amp;"#"&amp;$T$2&amp;"\"&amp;$P$2&amp;"\FXXX"</f>
        <v>#1#treiOPCDA.CoOPCserv.1\pcmaster\FB_OZK_KD_S\FXXX</v>
      </c>
    </row>
    <row r="278" spans="1:4">
      <c r="A278" s="19" t="str">
        <f t="shared" si="26"/>
        <v>АСПС.FB_OZK_KD_S.FXXX</v>
      </c>
      <c r="B278" s="11">
        <v>7998</v>
      </c>
      <c r="C278" s="11" t="s">
        <v>6</v>
      </c>
      <c r="D278" s="20">
        <v>1</v>
      </c>
    </row>
    <row r="279" spans="1:4">
      <c r="A279" s="19" t="str">
        <f t="shared" si="26"/>
        <v>АСПС.FB_OZK_KD_S.FXXX</v>
      </c>
      <c r="B279" s="11">
        <v>101</v>
      </c>
      <c r="C279" s="11" t="s">
        <v>0</v>
      </c>
      <c r="D279" s="20" t="s">
        <v>139</v>
      </c>
    </row>
    <row r="280" spans="1:4">
      <c r="A280" s="19" t="str">
        <f t="shared" si="26"/>
        <v>АСПС.FB_OZK_KD_S.FXXX</v>
      </c>
      <c r="B280" s="11">
        <v>3</v>
      </c>
      <c r="C280" s="11" t="s">
        <v>1</v>
      </c>
      <c r="D280" s="20">
        <v>192</v>
      </c>
    </row>
    <row r="281" spans="1:4">
      <c r="A281" s="19" t="str">
        <f t="shared" si="26"/>
        <v>АСПС.FB_OZK_KD_S.FXXX</v>
      </c>
      <c r="B281" s="11">
        <v>2</v>
      </c>
      <c r="C281" s="11" t="s">
        <v>2</v>
      </c>
      <c r="D281" s="20" t="s">
        <v>3</v>
      </c>
    </row>
    <row r="282" spans="1:4">
      <c r="A282" s="21" t="str">
        <f t="shared" si="26"/>
        <v>АСПС.FB_OZK_KD_S.FXXX</v>
      </c>
      <c r="B282" s="8">
        <v>1</v>
      </c>
      <c r="C282" s="8" t="s">
        <v>1</v>
      </c>
      <c r="D282" s="22">
        <v>11</v>
      </c>
    </row>
    <row r="283" spans="1:4">
      <c r="A283" s="19" t="str">
        <f t="shared" ref="A283:A288" si="27">$R$2&amp;".OXOF"</f>
        <v>АСПС.FB_OZK_KD_S.OXOF</v>
      </c>
      <c r="B283" s="11">
        <v>7999</v>
      </c>
      <c r="C283" s="11" t="s">
        <v>0</v>
      </c>
      <c r="D283" s="20" t="str">
        <f>"#"&amp;$S$2&amp;"#"&amp;$T$2&amp;"\"&amp;$P$2&amp;"\OXOF"</f>
        <v>#1#treiOPCDA.CoOPCserv.1\pcmaster\FB_OZK_KD_S\OXOF</v>
      </c>
    </row>
    <row r="284" spans="1:4">
      <c r="A284" s="19" t="str">
        <f t="shared" si="27"/>
        <v>АСПС.FB_OZK_KD_S.OXOF</v>
      </c>
      <c r="B284" s="11">
        <v>7998</v>
      </c>
      <c r="C284" s="11" t="s">
        <v>6</v>
      </c>
      <c r="D284" s="20">
        <v>1</v>
      </c>
    </row>
    <row r="285" spans="1:4">
      <c r="A285" s="19" t="str">
        <f t="shared" si="27"/>
        <v>АСПС.FB_OZK_KD_S.OXOF</v>
      </c>
      <c r="B285" s="11">
        <v>101</v>
      </c>
      <c r="C285" s="11" t="s">
        <v>0</v>
      </c>
      <c r="D285" s="20" t="s">
        <v>417</v>
      </c>
    </row>
    <row r="286" spans="1:4">
      <c r="A286" s="19" t="str">
        <f t="shared" si="27"/>
        <v>АСПС.FB_OZK_KD_S.OXOF</v>
      </c>
      <c r="B286" s="11">
        <v>3</v>
      </c>
      <c r="C286" s="11" t="s">
        <v>1</v>
      </c>
      <c r="D286" s="20">
        <v>192</v>
      </c>
    </row>
    <row r="287" spans="1:4">
      <c r="A287" s="19" t="str">
        <f t="shared" si="27"/>
        <v>АСПС.FB_OZK_KD_S.OXOF</v>
      </c>
      <c r="B287" s="11">
        <v>2</v>
      </c>
      <c r="C287" s="11" t="s">
        <v>2</v>
      </c>
      <c r="D287" s="20" t="s">
        <v>3</v>
      </c>
    </row>
    <row r="288" spans="1:4">
      <c r="A288" s="21" t="str">
        <f t="shared" si="27"/>
        <v>АСПС.FB_OZK_KD_S.OXOF</v>
      </c>
      <c r="B288" s="8">
        <v>1</v>
      </c>
      <c r="C288" s="8" t="s">
        <v>1</v>
      </c>
      <c r="D288" s="22">
        <v>11</v>
      </c>
    </row>
    <row r="289" spans="1:4">
      <c r="A289" s="19" t="str">
        <f t="shared" ref="A289:A294" si="28">$R$2&amp;".CAON"</f>
        <v>АСПС.FB_OZK_KD_S.CAON</v>
      </c>
      <c r="B289" s="11">
        <v>7999</v>
      </c>
      <c r="C289" s="11" t="s">
        <v>0</v>
      </c>
      <c r="D289" s="20" t="str">
        <f>"#"&amp;$S$2&amp;"#"&amp;$T$2&amp;"\"&amp;$P$2&amp;"\CAON"</f>
        <v>#1#treiOPCDA.CoOPCserv.1\pcmaster\FB_OZK_KD_S\CAON</v>
      </c>
    </row>
    <row r="290" spans="1:4">
      <c r="A290" s="19" t="str">
        <f t="shared" si="28"/>
        <v>АСПС.FB_OZK_KD_S.CAON</v>
      </c>
      <c r="B290" s="11">
        <v>7998</v>
      </c>
      <c r="C290" s="11" t="s">
        <v>6</v>
      </c>
      <c r="D290" s="20">
        <v>1</v>
      </c>
    </row>
    <row r="291" spans="1:4">
      <c r="A291" s="19" t="str">
        <f t="shared" si="28"/>
        <v>АСПС.FB_OZK_KD_S.CAON</v>
      </c>
      <c r="B291" s="11">
        <v>101</v>
      </c>
      <c r="C291" s="11" t="s">
        <v>0</v>
      </c>
      <c r="D291" s="20" t="s">
        <v>482</v>
      </c>
    </row>
    <row r="292" spans="1:4">
      <c r="A292" s="19" t="str">
        <f t="shared" si="28"/>
        <v>АСПС.FB_OZK_KD_S.CAON</v>
      </c>
      <c r="B292" s="11">
        <v>3</v>
      </c>
      <c r="C292" s="11" t="s">
        <v>1</v>
      </c>
      <c r="D292" s="20">
        <v>192</v>
      </c>
    </row>
    <row r="293" spans="1:4">
      <c r="A293" s="19" t="str">
        <f t="shared" si="28"/>
        <v>АСПС.FB_OZK_KD_S.CAON</v>
      </c>
      <c r="B293" s="11">
        <v>2</v>
      </c>
      <c r="C293" s="11" t="s">
        <v>2</v>
      </c>
      <c r="D293" s="20" t="s">
        <v>3</v>
      </c>
    </row>
    <row r="294" spans="1:4">
      <c r="A294" s="21" t="str">
        <f t="shared" si="28"/>
        <v>АСПС.FB_OZK_KD_S.CAON</v>
      </c>
      <c r="B294" s="8">
        <v>1</v>
      </c>
      <c r="C294" s="8" t="s">
        <v>1</v>
      </c>
      <c r="D294" s="22">
        <v>11</v>
      </c>
    </row>
    <row r="295" spans="1:4">
      <c r="A295" s="19" t="str">
        <f t="shared" ref="A295:A300" si="29">$R$2&amp;".CAOF"</f>
        <v>АСПС.FB_OZK_KD_S.CAOF</v>
      </c>
      <c r="B295" s="11">
        <v>7999</v>
      </c>
      <c r="C295" s="11" t="s">
        <v>0</v>
      </c>
      <c r="D295" s="20" t="str">
        <f>"#"&amp;$S$2&amp;"#"&amp;$T$2&amp;"\"&amp;$P$2&amp;"\CAOF"</f>
        <v>#1#treiOPCDA.CoOPCserv.1\pcmaster\FB_OZK_KD_S\CAOF</v>
      </c>
    </row>
    <row r="296" spans="1:4">
      <c r="A296" s="19" t="str">
        <f t="shared" si="29"/>
        <v>АСПС.FB_OZK_KD_S.CAOF</v>
      </c>
      <c r="B296" s="11">
        <v>7998</v>
      </c>
      <c r="C296" s="11" t="s">
        <v>6</v>
      </c>
      <c r="D296" s="20">
        <v>1</v>
      </c>
    </row>
    <row r="297" spans="1:4">
      <c r="A297" s="19" t="str">
        <f t="shared" si="29"/>
        <v>АСПС.FB_OZK_KD_S.CAOF</v>
      </c>
      <c r="B297" s="11">
        <v>101</v>
      </c>
      <c r="C297" s="11" t="s">
        <v>0</v>
      </c>
      <c r="D297" s="20" t="s">
        <v>483</v>
      </c>
    </row>
    <row r="298" spans="1:4">
      <c r="A298" s="19" t="str">
        <f t="shared" si="29"/>
        <v>АСПС.FB_OZK_KD_S.CAOF</v>
      </c>
      <c r="B298" s="11">
        <v>3</v>
      </c>
      <c r="C298" s="11" t="s">
        <v>1</v>
      </c>
      <c r="D298" s="20">
        <v>192</v>
      </c>
    </row>
    <row r="299" spans="1:4">
      <c r="A299" s="19" t="str">
        <f t="shared" si="29"/>
        <v>АСПС.FB_OZK_KD_S.CAOF</v>
      </c>
      <c r="B299" s="11">
        <v>2</v>
      </c>
      <c r="C299" s="11" t="s">
        <v>2</v>
      </c>
      <c r="D299" s="20" t="s">
        <v>3</v>
      </c>
    </row>
    <row r="300" spans="1:4">
      <c r="A300" s="21" t="str">
        <f t="shared" si="29"/>
        <v>АСПС.FB_OZK_KD_S.CAOF</v>
      </c>
      <c r="B300" s="8">
        <v>1</v>
      </c>
      <c r="C300" s="8" t="s">
        <v>1</v>
      </c>
      <c r="D300" s="22">
        <v>11</v>
      </c>
    </row>
    <row r="301" spans="1:4">
      <c r="A301" s="19" t="str">
        <f t="shared" ref="A301:A306" si="30">$R$2&amp;".CRON"</f>
        <v>АСПС.FB_OZK_KD_S.CRON</v>
      </c>
      <c r="B301" s="11">
        <v>7999</v>
      </c>
      <c r="C301" s="11" t="s">
        <v>0</v>
      </c>
      <c r="D301" s="20" t="str">
        <f>"#"&amp;$S$2&amp;"#"&amp;$T$2&amp;"\"&amp;$P$2&amp;"\CRON"</f>
        <v>#1#treiOPCDA.CoOPCserv.1\pcmaster\FB_OZK_KD_S\CRON</v>
      </c>
    </row>
    <row r="302" spans="1:4">
      <c r="A302" s="19" t="str">
        <f t="shared" si="30"/>
        <v>АСПС.FB_OZK_KD_S.CRON</v>
      </c>
      <c r="B302" s="11">
        <v>7998</v>
      </c>
      <c r="C302" s="11" t="s">
        <v>6</v>
      </c>
      <c r="D302" s="20">
        <v>1</v>
      </c>
    </row>
    <row r="303" spans="1:4">
      <c r="A303" s="19" t="str">
        <f t="shared" si="30"/>
        <v>АСПС.FB_OZK_KD_S.CRON</v>
      </c>
      <c r="B303" s="11">
        <v>101</v>
      </c>
      <c r="C303" s="11" t="s">
        <v>0</v>
      </c>
      <c r="D303" s="20" t="s">
        <v>485</v>
      </c>
    </row>
    <row r="304" spans="1:4">
      <c r="A304" s="19" t="str">
        <f t="shared" si="30"/>
        <v>АСПС.FB_OZK_KD_S.CRON</v>
      </c>
      <c r="B304" s="11">
        <v>3</v>
      </c>
      <c r="C304" s="11" t="s">
        <v>1</v>
      </c>
      <c r="D304" s="20">
        <v>192</v>
      </c>
    </row>
    <row r="305" spans="1:4">
      <c r="A305" s="19" t="str">
        <f t="shared" si="30"/>
        <v>АСПС.FB_OZK_KD_S.CRON</v>
      </c>
      <c r="B305" s="11">
        <v>2</v>
      </c>
      <c r="C305" s="11" t="s">
        <v>2</v>
      </c>
      <c r="D305" s="20" t="s">
        <v>3</v>
      </c>
    </row>
    <row r="306" spans="1:4">
      <c r="A306" s="21" t="str">
        <f t="shared" si="30"/>
        <v>АСПС.FB_OZK_KD_S.CRON</v>
      </c>
      <c r="B306" s="8">
        <v>1</v>
      </c>
      <c r="C306" s="8" t="s">
        <v>1</v>
      </c>
      <c r="D306" s="22">
        <v>11</v>
      </c>
    </row>
    <row r="307" spans="1:4">
      <c r="A307" s="19" t="str">
        <f t="shared" ref="A307:A312" si="31">$R$2&amp;".CROF"</f>
        <v>АСПС.FB_OZK_KD_S.CROF</v>
      </c>
      <c r="B307" s="11">
        <v>7999</v>
      </c>
      <c r="C307" s="11" t="s">
        <v>0</v>
      </c>
      <c r="D307" s="20" t="str">
        <f>"#"&amp;$S$2&amp;"#"&amp;$T$2&amp;"\"&amp;$P$2&amp;"\CROF"</f>
        <v>#1#treiOPCDA.CoOPCserv.1\pcmaster\FB_OZK_KD_S\CROF</v>
      </c>
    </row>
    <row r="308" spans="1:4">
      <c r="A308" s="19" t="str">
        <f t="shared" si="31"/>
        <v>АСПС.FB_OZK_KD_S.CROF</v>
      </c>
      <c r="B308" s="11">
        <v>7998</v>
      </c>
      <c r="C308" s="11" t="s">
        <v>6</v>
      </c>
      <c r="D308" s="20">
        <v>1</v>
      </c>
    </row>
    <row r="309" spans="1:4">
      <c r="A309" s="19" t="str">
        <f t="shared" si="31"/>
        <v>АСПС.FB_OZK_KD_S.CROF</v>
      </c>
      <c r="B309" s="11">
        <v>101</v>
      </c>
      <c r="C309" s="11" t="s">
        <v>0</v>
      </c>
      <c r="D309" s="20" t="s">
        <v>484</v>
      </c>
    </row>
    <row r="310" spans="1:4">
      <c r="A310" s="19" t="str">
        <f t="shared" si="31"/>
        <v>АСПС.FB_OZK_KD_S.CROF</v>
      </c>
      <c r="B310" s="11">
        <v>3</v>
      </c>
      <c r="C310" s="11" t="s">
        <v>1</v>
      </c>
      <c r="D310" s="20">
        <v>192</v>
      </c>
    </row>
    <row r="311" spans="1:4">
      <c r="A311" s="19" t="str">
        <f t="shared" si="31"/>
        <v>АСПС.FB_OZK_KD_S.CROF</v>
      </c>
      <c r="B311" s="11">
        <v>2</v>
      </c>
      <c r="C311" s="11" t="s">
        <v>2</v>
      </c>
      <c r="D311" s="20" t="s">
        <v>3</v>
      </c>
    </row>
    <row r="312" spans="1:4">
      <c r="A312" s="21" t="str">
        <f t="shared" si="31"/>
        <v>АСПС.FB_OZK_KD_S.CROF</v>
      </c>
      <c r="B312" s="8">
        <v>1</v>
      </c>
      <c r="C312" s="8" t="s">
        <v>1</v>
      </c>
      <c r="D312" s="22">
        <v>11</v>
      </c>
    </row>
    <row r="313" spans="1:4">
      <c r="A313" s="266" t="str">
        <f t="shared" ref="A313:A318" si="32">$R$2&amp;".STSX"</f>
        <v>АСПС.FB_OZK_KD_S.STSX</v>
      </c>
      <c r="B313" s="267">
        <v>7999</v>
      </c>
      <c r="C313" s="267" t="s">
        <v>0</v>
      </c>
      <c r="D313" s="268" t="str">
        <f>"#"&amp;$S$2&amp;"#"&amp;$T$2&amp;"\"&amp;$P$2&amp;"\STSX"</f>
        <v>#1#treiOPCDA.CoOPCserv.1\pcmaster\FB_OZK_KD_S\STSX</v>
      </c>
    </row>
    <row r="314" spans="1:4">
      <c r="A314" s="269" t="str">
        <f t="shared" si="32"/>
        <v>АСПС.FB_OZK_KD_S.STSX</v>
      </c>
      <c r="B314" s="270">
        <v>7998</v>
      </c>
      <c r="C314" s="270" t="s">
        <v>6</v>
      </c>
      <c r="D314" s="271">
        <v>1</v>
      </c>
    </row>
    <row r="315" spans="1:4">
      <c r="A315" s="269" t="str">
        <f t="shared" si="32"/>
        <v>АСПС.FB_OZK_KD_S.STSX</v>
      </c>
      <c r="B315" s="270">
        <v>101</v>
      </c>
      <c r="C315" s="270" t="s">
        <v>0</v>
      </c>
      <c r="D315" s="271" t="s">
        <v>128</v>
      </c>
    </row>
    <row r="316" spans="1:4">
      <c r="A316" s="269" t="str">
        <f t="shared" si="32"/>
        <v>АСПС.FB_OZK_KD_S.STSX</v>
      </c>
      <c r="B316" s="270">
        <v>3</v>
      </c>
      <c r="C316" s="270" t="s">
        <v>1</v>
      </c>
      <c r="D316" s="271">
        <v>192</v>
      </c>
    </row>
    <row r="317" spans="1:4">
      <c r="A317" s="269" t="str">
        <f t="shared" si="32"/>
        <v>АСПС.FB_OZK_KD_S.STSX</v>
      </c>
      <c r="B317" s="270">
        <v>2</v>
      </c>
      <c r="C317" s="270" t="s">
        <v>6</v>
      </c>
      <c r="D317" s="271">
        <v>0</v>
      </c>
    </row>
    <row r="318" spans="1:4">
      <c r="A318" s="272" t="str">
        <f t="shared" si="32"/>
        <v>АСПС.FB_OZK_KD_S.STSX</v>
      </c>
      <c r="B318" s="273">
        <v>1</v>
      </c>
      <c r="C318" s="273" t="s">
        <v>1</v>
      </c>
      <c r="D318" s="274">
        <v>3</v>
      </c>
    </row>
    <row r="319" spans="1:4">
      <c r="A319" s="266" t="str">
        <f t="shared" ref="A319:A324" si="33">$R$2&amp;".SRQX"</f>
        <v>АСПС.FB_OZK_KD_S.SRQX</v>
      </c>
      <c r="B319" s="267">
        <v>7999</v>
      </c>
      <c r="C319" s="267" t="s">
        <v>0</v>
      </c>
      <c r="D319" s="268" t="str">
        <f>"#"&amp;$S$2&amp;"#"&amp;$T$2&amp;"\"&amp;$P$2&amp;"\SRQX"</f>
        <v>#1#treiOPCDA.CoOPCserv.1\pcmaster\FB_OZK_KD_S\SRQX</v>
      </c>
    </row>
    <row r="320" spans="1:4">
      <c r="A320" s="269" t="str">
        <f t="shared" si="33"/>
        <v>АСПС.FB_OZK_KD_S.SRQX</v>
      </c>
      <c r="B320" s="270">
        <v>7998</v>
      </c>
      <c r="C320" s="270" t="s">
        <v>6</v>
      </c>
      <c r="D320" s="271">
        <v>1</v>
      </c>
    </row>
    <row r="321" spans="1:4">
      <c r="A321" s="269" t="str">
        <f t="shared" si="33"/>
        <v>АСПС.FB_OZK_KD_S.SRQX</v>
      </c>
      <c r="B321" s="270">
        <v>101</v>
      </c>
      <c r="C321" s="270" t="s">
        <v>0</v>
      </c>
      <c r="D321" s="271" t="s">
        <v>125</v>
      </c>
    </row>
    <row r="322" spans="1:4">
      <c r="A322" s="269" t="str">
        <f t="shared" si="33"/>
        <v>АСПС.FB_OZK_KD_S.SRQX</v>
      </c>
      <c r="B322" s="270">
        <v>3</v>
      </c>
      <c r="C322" s="270" t="s">
        <v>1</v>
      </c>
      <c r="D322" s="271">
        <v>192</v>
      </c>
    </row>
    <row r="323" spans="1:4">
      <c r="A323" s="269" t="str">
        <f t="shared" si="33"/>
        <v>АСПС.FB_OZK_KD_S.SRQX</v>
      </c>
      <c r="B323" s="270">
        <v>2</v>
      </c>
      <c r="C323" s="270" t="s">
        <v>6</v>
      </c>
      <c r="D323" s="271">
        <v>0</v>
      </c>
    </row>
    <row r="324" spans="1:4">
      <c r="A324" s="272" t="str">
        <f t="shared" si="33"/>
        <v>АСПС.FB_OZK_KD_S.SRQX</v>
      </c>
      <c r="B324" s="273">
        <v>1</v>
      </c>
      <c r="C324" s="273" t="s">
        <v>1</v>
      </c>
      <c r="D324" s="274">
        <v>3</v>
      </c>
    </row>
    <row r="325" spans="1:4">
      <c r="A325" s="266" t="str">
        <f t="shared" ref="A325:A330" si="34">$R$2&amp;".XRON"</f>
        <v>АСПС.FB_OZK_KD_S.XRON</v>
      </c>
      <c r="B325" s="267">
        <v>3</v>
      </c>
      <c r="C325" s="267" t="s">
        <v>1</v>
      </c>
      <c r="D325" s="268">
        <v>192</v>
      </c>
    </row>
    <row r="326" spans="1:4">
      <c r="A326" s="269" t="str">
        <f t="shared" si="34"/>
        <v>АСПС.FB_OZK_KD_S.XRON</v>
      </c>
      <c r="B326" s="270">
        <v>2</v>
      </c>
      <c r="C326" s="270" t="s">
        <v>6</v>
      </c>
      <c r="D326" s="271">
        <v>0</v>
      </c>
    </row>
    <row r="327" spans="1:4">
      <c r="A327" s="269" t="str">
        <f t="shared" si="34"/>
        <v>АСПС.FB_OZK_KD_S.XRON</v>
      </c>
      <c r="B327" s="270">
        <v>1</v>
      </c>
      <c r="C327" s="270" t="s">
        <v>1</v>
      </c>
      <c r="D327" s="271">
        <v>3</v>
      </c>
    </row>
    <row r="328" spans="1:4">
      <c r="A328" s="269" t="str">
        <f t="shared" si="34"/>
        <v>АСПС.FB_OZK_KD_S.XRON</v>
      </c>
      <c r="B328" s="270">
        <v>101</v>
      </c>
      <c r="C328" s="270" t="s">
        <v>0</v>
      </c>
      <c r="D328" s="271" t="str">
        <f>"Счетчик отработки концевика " &amp; $T$5</f>
        <v>Счетчик отработки концевика 1</v>
      </c>
    </row>
    <row r="329" spans="1:4">
      <c r="A329" s="269" t="str">
        <f t="shared" si="34"/>
        <v>АСПС.FB_OZK_KD_S.XRON</v>
      </c>
      <c r="B329" s="270">
        <v>7998</v>
      </c>
      <c r="C329" s="270" t="s">
        <v>6</v>
      </c>
      <c r="D329" s="271">
        <v>1</v>
      </c>
    </row>
    <row r="330" spans="1:4">
      <c r="A330" s="269" t="str">
        <f t="shared" si="34"/>
        <v>АСПС.FB_OZK_KD_S.XRON</v>
      </c>
      <c r="B330" s="270">
        <v>7999</v>
      </c>
      <c r="C330" s="270" t="s">
        <v>0</v>
      </c>
      <c r="D330" s="271" t="str">
        <f>"#"&amp;$S$2&amp;"#"&amp;$T$2&amp;"\"&amp;$P$2&amp;"\XRON"</f>
        <v>#1#treiOPCDA.CoOPCserv.1\pcmaster\FB_OZK_KD_S\XRON</v>
      </c>
    </row>
    <row r="331" spans="1:4">
      <c r="A331" s="266" t="str">
        <f t="shared" ref="A331:A336" si="35">$R$2&amp;".XROF"</f>
        <v>АСПС.FB_OZK_KD_S.XROF</v>
      </c>
      <c r="B331" s="267">
        <v>3</v>
      </c>
      <c r="C331" s="267" t="s">
        <v>1</v>
      </c>
      <c r="D331" s="268">
        <v>192</v>
      </c>
    </row>
    <row r="332" spans="1:4">
      <c r="A332" s="269" t="str">
        <f t="shared" si="35"/>
        <v>АСПС.FB_OZK_KD_S.XROF</v>
      </c>
      <c r="B332" s="270">
        <v>2</v>
      </c>
      <c r="C332" s="270" t="s">
        <v>6</v>
      </c>
      <c r="D332" s="271">
        <v>0</v>
      </c>
    </row>
    <row r="333" spans="1:4">
      <c r="A333" s="269" t="str">
        <f t="shared" si="35"/>
        <v>АСПС.FB_OZK_KD_S.XROF</v>
      </c>
      <c r="B333" s="270">
        <v>1</v>
      </c>
      <c r="C333" s="270" t="s">
        <v>1</v>
      </c>
      <c r="D333" s="271">
        <v>3</v>
      </c>
    </row>
    <row r="334" spans="1:4">
      <c r="A334" s="269" t="str">
        <f t="shared" si="35"/>
        <v>АСПС.FB_OZK_KD_S.XROF</v>
      </c>
      <c r="B334" s="270">
        <v>101</v>
      </c>
      <c r="C334" s="270" t="s">
        <v>0</v>
      </c>
      <c r="D334" s="271" t="str">
        <f>"Счетчик отработки концевика " &amp; $T$6</f>
        <v>Счетчик отработки концевика Отображение Таблицы подлючений в диаг.</v>
      </c>
    </row>
    <row r="335" spans="1:4">
      <c r="A335" s="269" t="str">
        <f t="shared" si="35"/>
        <v>АСПС.FB_OZK_KD_S.XROF</v>
      </c>
      <c r="B335" s="270">
        <v>7998</v>
      </c>
      <c r="C335" s="270" t="s">
        <v>6</v>
      </c>
      <c r="D335" s="271">
        <v>1</v>
      </c>
    </row>
    <row r="336" spans="1:4">
      <c r="A336" s="272" t="str">
        <f t="shared" si="35"/>
        <v>АСПС.FB_OZK_KD_S.XROF</v>
      </c>
      <c r="B336" s="273">
        <v>7999</v>
      </c>
      <c r="C336" s="273" t="s">
        <v>0</v>
      </c>
      <c r="D336" s="274" t="str">
        <f>"#"&amp;$S$2&amp;"#"&amp;$T$2&amp;"\"&amp;$P$2&amp;"\XROF"</f>
        <v>#1#treiOPCDA.CoOPCserv.1\pcmaster\FB_OZK_KD_S\XROF</v>
      </c>
    </row>
  </sheetData>
  <autoFilter ref="B1:B336" xr:uid="{00000000-0009-0000-0000-000055000000}"/>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Лист92">
    <tabColor rgb="FFFFC000"/>
  </sheetPr>
  <dimension ref="A1:BR98"/>
  <sheetViews>
    <sheetView topLeftCell="A43" zoomScale="70" zoomScaleNormal="70" workbookViewId="0">
      <selection activeCell="D2" sqref="D2:D4"/>
    </sheetView>
  </sheetViews>
  <sheetFormatPr defaultRowHeight="14.4"/>
  <cols>
    <col min="1" max="1" width="37.109375" customWidth="1"/>
    <col min="2" max="2" width="9.5546875" customWidth="1"/>
    <col min="4" max="4" width="63.88671875" customWidth="1"/>
    <col min="5" max="15" width="9.109375"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7.33203125" customWidth="1"/>
    <col min="56" max="56" width="10.33203125" customWidth="1"/>
    <col min="57" max="57" width="10" customWidth="1"/>
    <col min="59" max="59" width="7.109375" customWidth="1"/>
    <col min="60" max="60" width="10.88671875" customWidth="1"/>
    <col min="62" max="62" width="65.109375" customWidth="1"/>
  </cols>
  <sheetData>
    <row r="1" spans="1:66" s="258" customFormat="1" ht="204.6" thickBot="1">
      <c r="A1" s="257"/>
      <c r="B1" s="257"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K1" s="259"/>
      <c r="BL1" s="259"/>
      <c r="BM1" s="259"/>
      <c r="BN1" s="259"/>
    </row>
    <row r="2" spans="1:66">
      <c r="A2" s="9"/>
      <c r="B2" s="9"/>
      <c r="C2" s="9"/>
      <c r="D2" s="9"/>
      <c r="E2" s="9"/>
      <c r="F2" s="9"/>
      <c r="P2" s="2" t="s">
        <v>693</v>
      </c>
      <c r="Q2" s="2" t="s">
        <v>696</v>
      </c>
      <c r="R2" s="2" t="s">
        <v>757</v>
      </c>
      <c r="S2" s="3">
        <v>1</v>
      </c>
      <c r="T2" s="3" t="s">
        <v>1698</v>
      </c>
      <c r="U2" s="3"/>
      <c r="V2" s="3" t="s">
        <v>569</v>
      </c>
      <c r="W2" s="12"/>
      <c r="X2" s="12"/>
      <c r="Y2" s="12"/>
      <c r="Z2" s="12"/>
      <c r="AA2" s="12"/>
      <c r="AB2" s="2"/>
      <c r="AC2" s="2"/>
      <c r="AD2" s="2"/>
      <c r="AE2" s="2"/>
      <c r="AF2" s="2"/>
      <c r="AG2" s="2"/>
      <c r="AH2" s="2"/>
      <c r="AI2" s="2"/>
      <c r="AJ2" s="2"/>
      <c r="AK2" s="2"/>
      <c r="AL2" s="2" t="s">
        <v>796</v>
      </c>
      <c r="AM2" s="2"/>
      <c r="AN2" s="2"/>
      <c r="AO2" s="2"/>
      <c r="AP2" s="2"/>
      <c r="AQ2" s="2"/>
      <c r="AR2" s="2"/>
      <c r="AS2" s="2"/>
      <c r="AT2" s="2"/>
      <c r="AU2" s="2"/>
      <c r="AV2" s="2"/>
      <c r="AW2" s="2"/>
      <c r="AX2" s="2"/>
      <c r="AY2" s="2"/>
      <c r="AZ2" s="2"/>
      <c r="BA2" s="2"/>
      <c r="BK2" s="4"/>
      <c r="BL2" s="4"/>
      <c r="BM2" s="4"/>
      <c r="BN2" s="4"/>
    </row>
    <row r="3" spans="1:66">
      <c r="A3" s="9"/>
      <c r="B3" s="9"/>
      <c r="C3" s="9"/>
      <c r="D3" s="9"/>
      <c r="E3" s="9"/>
      <c r="F3" s="9"/>
      <c r="P3" s="10"/>
      <c r="Q3" s="10"/>
      <c r="R3" s="10"/>
      <c r="S3" s="10"/>
      <c r="T3" s="10"/>
      <c r="U3" s="10"/>
      <c r="V3" s="10"/>
      <c r="W3" s="10"/>
      <c r="X3" s="10"/>
      <c r="Y3" s="10"/>
      <c r="Z3" s="10"/>
      <c r="AA3" s="10"/>
      <c r="BK3" s="4"/>
      <c r="BL3" s="4"/>
      <c r="BM3" s="4"/>
      <c r="BN3" s="4"/>
    </row>
    <row r="4" spans="1:66">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K4" s="4"/>
      <c r="BL4" s="4"/>
      <c r="BM4" s="4"/>
      <c r="BN4" s="4"/>
    </row>
    <row r="5" spans="1:66">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K5" s="4"/>
      <c r="BL5" s="4"/>
      <c r="BM5" s="4"/>
      <c r="BN5" s="4"/>
    </row>
    <row r="6" spans="1:66">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K6" s="4"/>
      <c r="BL6" s="4"/>
      <c r="BM6" s="4"/>
      <c r="BN6" s="4"/>
    </row>
    <row r="7" spans="1:66">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K7" s="4"/>
      <c r="BL7" s="4"/>
      <c r="BM7" s="4"/>
      <c r="BN7" s="4"/>
    </row>
    <row r="8" spans="1:66">
      <c r="A8" s="9"/>
      <c r="B8" s="9"/>
      <c r="C8" s="9"/>
      <c r="D8" s="9"/>
      <c r="E8" s="9"/>
      <c r="F8" s="9"/>
      <c r="P8" s="6" t="str">
        <f>Настройки!A5</f>
        <v>Телесигнализация</v>
      </c>
      <c r="Q8" s="5">
        <f>Настройки!B5</f>
        <v>18</v>
      </c>
      <c r="R8" s="5" t="str">
        <f>Настройки!C5</f>
        <v>Телесигнализация</v>
      </c>
      <c r="S8" s="10"/>
      <c r="T8" s="14"/>
      <c r="U8" s="10"/>
      <c r="V8" s="10"/>
      <c r="W8" s="10"/>
      <c r="X8" s="10"/>
      <c r="Y8" s="10"/>
      <c r="Z8" s="10"/>
      <c r="AA8" s="10"/>
      <c r="BK8" s="4"/>
      <c r="BL8" s="4"/>
      <c r="BM8" s="4"/>
      <c r="BN8" s="4"/>
    </row>
    <row r="9" spans="1:66">
      <c r="A9" s="9"/>
      <c r="B9" s="9"/>
      <c r="C9" s="9"/>
      <c r="D9" s="9"/>
      <c r="E9" s="9"/>
      <c r="F9" s="9"/>
      <c r="P9" s="6" t="str">
        <f>Настройки!A6</f>
        <v>Недостоверность</v>
      </c>
      <c r="Q9" s="5">
        <f>Настройки!B6</f>
        <v>10</v>
      </c>
      <c r="R9" s="5" t="str">
        <f>Настройки!C6</f>
        <v>Недостоверность</v>
      </c>
      <c r="S9" s="10"/>
      <c r="T9" s="14"/>
      <c r="U9" s="10"/>
      <c r="V9" s="10"/>
      <c r="W9" s="10"/>
      <c r="X9" s="10"/>
      <c r="Y9" s="10"/>
      <c r="Z9" s="10"/>
      <c r="AA9" s="10"/>
      <c r="BK9" s="4"/>
      <c r="BL9" s="4"/>
      <c r="BM9" s="4"/>
      <c r="BN9" s="4"/>
    </row>
    <row r="10" spans="1:66">
      <c r="A10" s="9"/>
      <c r="B10" s="9"/>
      <c r="C10" s="9"/>
      <c r="D10" s="9"/>
      <c r="E10" s="9"/>
      <c r="F10" s="9"/>
      <c r="P10" s="6" t="str">
        <f>Настройки!A7</f>
        <v>Имитация</v>
      </c>
      <c r="Q10" s="5">
        <f>Настройки!B7</f>
        <v>16</v>
      </c>
      <c r="R10" s="5" t="str">
        <f>Настройки!C7</f>
        <v>Имитация</v>
      </c>
      <c r="S10" s="10"/>
      <c r="T10" s="14"/>
      <c r="U10" s="10"/>
      <c r="V10" s="10"/>
      <c r="W10" s="10"/>
      <c r="X10" s="10"/>
      <c r="Y10" s="10"/>
      <c r="Z10" s="10"/>
      <c r="AA10" s="10"/>
      <c r="BK10" s="4"/>
      <c r="BL10" s="4"/>
      <c r="BM10" s="4"/>
      <c r="BN10" s="4"/>
    </row>
    <row r="11" spans="1:66">
      <c r="A11" s="9"/>
      <c r="B11" s="9"/>
      <c r="C11" s="9"/>
      <c r="D11" s="9"/>
      <c r="E11" s="9"/>
      <c r="F11" s="9"/>
      <c r="P11" s="6" t="str">
        <f>Настройки!A8</f>
        <v>Ремонт</v>
      </c>
      <c r="Q11" s="5">
        <f>Настройки!B8</f>
        <v>14</v>
      </c>
      <c r="R11" s="5" t="str">
        <f>Настройки!C8</f>
        <v>Ремонт</v>
      </c>
      <c r="S11" s="10"/>
      <c r="T11" s="14"/>
      <c r="U11" s="10"/>
      <c r="V11" s="10"/>
      <c r="W11" s="10"/>
      <c r="X11" s="10"/>
      <c r="Y11" s="10"/>
      <c r="Z11" s="10"/>
      <c r="AA11" s="10"/>
      <c r="BK11" s="4"/>
      <c r="BL11" s="4"/>
      <c r="BM11" s="4"/>
      <c r="BN11" s="4"/>
    </row>
    <row r="12" spans="1:66">
      <c r="A12" s="9"/>
      <c r="B12" s="9"/>
      <c r="C12" s="9"/>
      <c r="D12" s="9"/>
      <c r="E12" s="9"/>
      <c r="F12" s="9"/>
      <c r="P12" s="6" t="str">
        <f>Настройки!A9</f>
        <v>Команда оператора</v>
      </c>
      <c r="Q12" s="5">
        <f>Настройки!B9</f>
        <v>20</v>
      </c>
      <c r="R12" s="5" t="str">
        <f>Настройки!C9</f>
        <v>Команда оператора</v>
      </c>
      <c r="S12" s="10"/>
      <c r="T12" s="14"/>
      <c r="U12" s="10"/>
      <c r="V12" s="10"/>
      <c r="W12" s="10"/>
      <c r="X12" s="10"/>
      <c r="Y12" s="10"/>
      <c r="Z12" s="10"/>
      <c r="AA12" s="10"/>
      <c r="BK12" s="4"/>
      <c r="BL12" s="4"/>
      <c r="BM12" s="4"/>
      <c r="BN12" s="4"/>
    </row>
    <row r="13" spans="1:66">
      <c r="A13" s="9"/>
      <c r="B13" s="9"/>
      <c r="C13" s="9"/>
      <c r="D13" s="9"/>
      <c r="E13" s="9"/>
      <c r="F13" s="9"/>
      <c r="P13" s="6" t="str">
        <f>Настройки!A10</f>
        <v>Тревога</v>
      </c>
      <c r="Q13" s="5">
        <f>Настройки!B10</f>
        <v>5</v>
      </c>
      <c r="R13" s="5" t="str">
        <f>Настройки!C10</f>
        <v>Тревога</v>
      </c>
      <c r="S13" s="10"/>
      <c r="T13" s="14"/>
      <c r="U13" s="10"/>
      <c r="V13" s="10"/>
      <c r="W13" s="10"/>
      <c r="X13" s="10"/>
      <c r="Y13" s="10"/>
      <c r="Z13" s="10"/>
      <c r="AA13" s="10"/>
      <c r="BK13" s="4"/>
      <c r="BL13" s="4"/>
      <c r="BM13" s="4"/>
      <c r="BN13" s="4"/>
    </row>
    <row r="14" spans="1:66">
      <c r="A14" s="9"/>
      <c r="B14" s="9"/>
      <c r="C14" s="9"/>
      <c r="D14" s="9"/>
      <c r="E14" s="9"/>
      <c r="F14" s="9"/>
      <c r="P14" s="6" t="str">
        <f>Настройки!A11</f>
        <v>Тушение</v>
      </c>
      <c r="Q14" s="5">
        <f>Настройки!B11</f>
        <v>1</v>
      </c>
      <c r="R14" s="5" t="str">
        <f>Настройки!C11</f>
        <v>Тушение</v>
      </c>
      <c r="S14" s="10"/>
      <c r="T14" s="14"/>
      <c r="U14" s="10"/>
      <c r="V14" s="10"/>
      <c r="W14" s="10"/>
      <c r="X14" s="10"/>
      <c r="Y14" s="10"/>
      <c r="Z14" s="10"/>
      <c r="AA14" s="10"/>
      <c r="BK14" s="4"/>
      <c r="BL14" s="4"/>
      <c r="BM14" s="4"/>
      <c r="BN14" s="4"/>
    </row>
    <row r="15" spans="1:66">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K15" s="4"/>
      <c r="BL15" s="4"/>
      <c r="BM15" s="4"/>
      <c r="BN15" s="4"/>
    </row>
    <row r="16" spans="1:66">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K16" s="4"/>
      <c r="BL16" s="4"/>
      <c r="BM16" s="4"/>
      <c r="BN16" s="4"/>
    </row>
    <row r="17" spans="1:66">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K17" s="4"/>
      <c r="BL17" s="4"/>
      <c r="BM17" s="4"/>
      <c r="BN17" s="4"/>
    </row>
    <row r="18" spans="1:66">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K18" s="4"/>
      <c r="BL18" s="4"/>
      <c r="BM18" s="4"/>
      <c r="BN18" s="4"/>
    </row>
    <row r="19" spans="1:66">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K19" s="4"/>
      <c r="BL19" s="4"/>
      <c r="BM19" s="4"/>
      <c r="BN19" s="4"/>
    </row>
    <row r="20" spans="1:66">
      <c r="A20" s="16" t="str">
        <f t="shared" ref="A20:A25" si="0">$R$2</f>
        <v>АСПС.FB_SH_ALL</v>
      </c>
      <c r="B20" s="17">
        <v>11001</v>
      </c>
      <c r="C20" s="17" t="s">
        <v>0</v>
      </c>
      <c r="D20" s="18" t="str">
        <f>$Q$2&amp;". "</f>
        <v xml:space="preserve">Сбор обобщенных сигналов c датчиков по позиции. </v>
      </c>
      <c r="F20" s="4"/>
      <c r="BK20" s="4"/>
      <c r="BL20" s="4"/>
      <c r="BM20" s="4"/>
      <c r="BN20" s="4"/>
    </row>
    <row r="21" spans="1:66">
      <c r="A21" s="19" t="str">
        <f t="shared" si="0"/>
        <v>АСПС.FB_SH_ALL</v>
      </c>
      <c r="B21" s="11">
        <v>11156</v>
      </c>
      <c r="C21" s="11" t="s">
        <v>0</v>
      </c>
      <c r="D21" s="20" t="str">
        <f>$V$2</f>
        <v>Тестовый экран</v>
      </c>
      <c r="F21" s="4"/>
      <c r="BK21" s="4"/>
      <c r="BL21" s="4"/>
      <c r="BM21" s="4"/>
      <c r="BN21" s="4"/>
    </row>
    <row r="22" spans="1:66">
      <c r="A22" s="19" t="str">
        <f t="shared" si="0"/>
        <v>АСПС.FB_SH_ALL</v>
      </c>
      <c r="B22" s="11">
        <v>1</v>
      </c>
      <c r="C22" s="11" t="s">
        <v>1</v>
      </c>
      <c r="D22" s="20">
        <v>17</v>
      </c>
      <c r="BK22" s="4"/>
      <c r="BL22" s="4"/>
      <c r="BM22" s="4"/>
      <c r="BN22" s="4"/>
    </row>
    <row r="23" spans="1:66" ht="15" customHeight="1">
      <c r="A23" s="16" t="str">
        <f t="shared" si="0"/>
        <v>АСПС.FB_SH_ALL</v>
      </c>
      <c r="B23" s="17">
        <v>100</v>
      </c>
      <c r="C23" s="17" t="s">
        <v>0</v>
      </c>
      <c r="D23" s="18" t="b">
        <f>$T$7</f>
        <v>0</v>
      </c>
      <c r="BF23" s="4"/>
      <c r="BG23" s="4"/>
      <c r="BH23" s="4"/>
      <c r="BI23" s="4"/>
    </row>
    <row r="24" spans="1:66">
      <c r="A24" s="19" t="str">
        <f t="shared" si="0"/>
        <v>АСПС.FB_SH_ALL</v>
      </c>
      <c r="B24" s="11">
        <v>11120</v>
      </c>
      <c r="C24" s="11" t="s">
        <v>0</v>
      </c>
      <c r="D24" s="20">
        <f>$AK$2</f>
        <v>0</v>
      </c>
      <c r="BK24" s="4"/>
      <c r="BL24" s="4"/>
      <c r="BM24" s="4"/>
      <c r="BN24" s="4"/>
    </row>
    <row r="25" spans="1:66">
      <c r="A25" s="19" t="str">
        <f t="shared" si="0"/>
        <v>АСПС.FB_SH_ALL</v>
      </c>
      <c r="B25" s="11">
        <v>11121</v>
      </c>
      <c r="C25" s="11" t="s">
        <v>0</v>
      </c>
      <c r="D25" s="20">
        <f>$AQ$2</f>
        <v>0</v>
      </c>
      <c r="BK25" s="4"/>
      <c r="BL25" s="4"/>
      <c r="BM25" s="4"/>
      <c r="BN25" s="4"/>
    </row>
    <row r="26" spans="1:66">
      <c r="A26" s="16" t="str">
        <f t="shared" ref="A26:A32" si="1">$R$2&amp;".Commands.CORS"</f>
        <v>АСПС.FB_SH_ALL.Commands.CORS</v>
      </c>
      <c r="B26" s="17">
        <v>11001</v>
      </c>
      <c r="C26" s="17" t="s">
        <v>0</v>
      </c>
      <c r="D26" s="18" t="str">
        <f>$Q$2&amp;". "</f>
        <v xml:space="preserve">Сбор обобщенных сигналов c датчиков по позиции. </v>
      </c>
      <c r="F26" s="4"/>
      <c r="BK26" s="4"/>
      <c r="BL26" s="4"/>
      <c r="BM26" s="4"/>
      <c r="BN26" s="4"/>
    </row>
    <row r="27" spans="1:66">
      <c r="A27" s="19" t="str">
        <f t="shared" si="1"/>
        <v>АСПС.FB_SH_ALL.Commands.CORS</v>
      </c>
      <c r="B27" s="11">
        <v>1</v>
      </c>
      <c r="C27" s="11" t="s">
        <v>1</v>
      </c>
      <c r="D27" s="20">
        <v>11</v>
      </c>
    </row>
    <row r="28" spans="1:66">
      <c r="A28" s="19" t="str">
        <f t="shared" si="1"/>
        <v>АСПС.FB_SH_ALL.Commands.CORS</v>
      </c>
      <c r="B28" s="11">
        <v>101</v>
      </c>
      <c r="C28" s="11" t="s">
        <v>0</v>
      </c>
      <c r="D28" s="20" t="s">
        <v>705</v>
      </c>
    </row>
    <row r="29" spans="1:66">
      <c r="A29" s="19" t="str">
        <f t="shared" si="1"/>
        <v>АСПС.FB_SH_ALL.Commands.CORS</v>
      </c>
      <c r="B29" s="11">
        <v>7998</v>
      </c>
      <c r="C29" s="11" t="s">
        <v>6</v>
      </c>
      <c r="D29" s="20">
        <v>2</v>
      </c>
    </row>
    <row r="30" spans="1:66">
      <c r="A30" s="19" t="str">
        <f t="shared" si="1"/>
        <v>АСПС.FB_SH_ALL.Commands.CORS</v>
      </c>
      <c r="B30" s="11">
        <v>7999</v>
      </c>
      <c r="C30" s="11" t="s">
        <v>0</v>
      </c>
      <c r="D30" s="20" t="str">
        <f>"#"&amp;$T$5&amp;"#"&amp;$T$2&amp;"\"&amp;$P$2&amp;"\CORS"</f>
        <v>#1#treiOPCDA.CoOPCserv.1\pcmaster\FB_SH_ALL\CORS</v>
      </c>
    </row>
    <row r="31" spans="1:66">
      <c r="A31" s="19" t="str">
        <f t="shared" si="1"/>
        <v>АСПС.FB_SH_ALL.Commands.CORS</v>
      </c>
      <c r="B31" s="11">
        <v>7000000</v>
      </c>
      <c r="C31" s="11" t="s">
        <v>6</v>
      </c>
      <c r="D31" s="20">
        <v>3</v>
      </c>
    </row>
    <row r="32" spans="1:66">
      <c r="A32" s="21" t="str">
        <f t="shared" si="1"/>
        <v>АСПС.FB_SH_ALL.Commands.CORS</v>
      </c>
      <c r="B32" s="8">
        <v>4000000</v>
      </c>
      <c r="C32" s="8" t="s">
        <v>0</v>
      </c>
      <c r="D32" s="22" t="s">
        <v>817</v>
      </c>
    </row>
    <row r="33" spans="1:70">
      <c r="A33" s="119" t="str">
        <f t="shared" ref="A33:A42" si="2">$R$2&amp;".XFRX"</f>
        <v>АСПС.FB_SH_ALL.XFRX</v>
      </c>
      <c r="B33" s="121">
        <v>11154</v>
      </c>
      <c r="C33" s="121" t="s">
        <v>4</v>
      </c>
      <c r="D33" s="349">
        <f>$Q$15</f>
        <v>2</v>
      </c>
      <c r="E33" s="163" t="str">
        <f t="shared" ref="E33:E42" si="3">$R$2&amp;".DBTX"</f>
        <v>АСПС.FB_SH_ALL.DBTX</v>
      </c>
      <c r="F33" s="123">
        <v>11154</v>
      </c>
      <c r="G33" s="123" t="s">
        <v>4</v>
      </c>
      <c r="H33" s="124">
        <f>$Q$9</f>
        <v>10</v>
      </c>
      <c r="BO33" s="4"/>
      <c r="BP33" s="4"/>
      <c r="BQ33" s="4"/>
      <c r="BR33" s="4"/>
    </row>
    <row r="34" spans="1:70">
      <c r="A34" s="119" t="str">
        <f t="shared" si="2"/>
        <v>АСПС.FB_SH_ALL.XFRX</v>
      </c>
      <c r="B34" s="121">
        <v>11150</v>
      </c>
      <c r="C34" s="121" t="s">
        <v>0</v>
      </c>
      <c r="D34" s="122" t="s">
        <v>426</v>
      </c>
      <c r="E34" s="110" t="str">
        <f t="shared" si="3"/>
        <v>АСПС.FB_SH_ALL.DBTX</v>
      </c>
      <c r="F34" s="111">
        <v>11150</v>
      </c>
      <c r="G34" s="111" t="s">
        <v>0</v>
      </c>
      <c r="H34" s="112" t="s">
        <v>436</v>
      </c>
      <c r="BO34" s="4"/>
      <c r="BP34" s="4"/>
      <c r="BQ34" s="4"/>
      <c r="BR34" s="4"/>
    </row>
    <row r="35" spans="1:70">
      <c r="A35" s="119" t="str">
        <f t="shared" si="2"/>
        <v>АСПС.FB_SH_ALL.XFRX</v>
      </c>
      <c r="B35" s="121">
        <v>11152</v>
      </c>
      <c r="C35" s="121" t="s">
        <v>0</v>
      </c>
      <c r="D35" s="350" t="str">
        <f>$R$15</f>
        <v>Пожар</v>
      </c>
      <c r="E35" s="110" t="str">
        <f t="shared" si="3"/>
        <v>АСПС.FB_SH_ALL.DBTX</v>
      </c>
      <c r="F35" s="111">
        <v>11152</v>
      </c>
      <c r="G35" s="111" t="s">
        <v>0</v>
      </c>
      <c r="H35" s="113" t="str">
        <f>$R$9</f>
        <v>Недостоверность</v>
      </c>
      <c r="BO35" s="4"/>
      <c r="BP35" s="4"/>
      <c r="BQ35" s="4"/>
      <c r="BR35" s="4"/>
    </row>
    <row r="36" spans="1:70">
      <c r="A36" s="119" t="str">
        <f t="shared" si="2"/>
        <v>АСПС.FB_SH_ALL.XFRX</v>
      </c>
      <c r="B36" s="121">
        <v>11000</v>
      </c>
      <c r="C36" s="121" t="s">
        <v>5</v>
      </c>
      <c r="D36" s="122">
        <v>2147483680</v>
      </c>
      <c r="E36" s="110" t="str">
        <f t="shared" si="3"/>
        <v>АСПС.FB_SH_ALL.DBTX</v>
      </c>
      <c r="F36" s="111">
        <v>11000</v>
      </c>
      <c r="G36" s="111" t="s">
        <v>5</v>
      </c>
      <c r="H36" s="112">
        <v>2147483680</v>
      </c>
      <c r="BO36" s="4"/>
      <c r="BP36" s="4"/>
      <c r="BQ36" s="4"/>
      <c r="BR36" s="4"/>
    </row>
    <row r="37" spans="1:70">
      <c r="A37" s="19" t="str">
        <f t="shared" si="2"/>
        <v>АСПС.FB_SH_ALL.XFRX</v>
      </c>
      <c r="B37" s="11">
        <v>1</v>
      </c>
      <c r="C37" s="11" t="s">
        <v>1</v>
      </c>
      <c r="D37" s="20">
        <v>11</v>
      </c>
      <c r="E37" s="19" t="str">
        <f t="shared" si="3"/>
        <v>АСПС.FB_SH_ALL.DBTX</v>
      </c>
      <c r="F37" s="11">
        <v>7999</v>
      </c>
      <c r="G37" s="11" t="s">
        <v>0</v>
      </c>
      <c r="H37" s="20" t="str">
        <f>"#"&amp;$S$2&amp;"#"&amp;$T$2&amp;"\"&amp;$P$2&amp;"\DBTX"</f>
        <v>#1#treiOPCDA.CoOPCserv.1\pcmaster\FB_SH_ALL\DBTX</v>
      </c>
      <c r="BO37" s="4"/>
      <c r="BP37" s="4"/>
      <c r="BQ37" s="4"/>
      <c r="BR37" s="4"/>
    </row>
    <row r="38" spans="1:70">
      <c r="A38" s="19" t="str">
        <f t="shared" si="2"/>
        <v>АСПС.FB_SH_ALL.XFRX</v>
      </c>
      <c r="B38" s="11">
        <v>2</v>
      </c>
      <c r="C38" s="11" t="s">
        <v>2</v>
      </c>
      <c r="D38" s="20" t="s">
        <v>3</v>
      </c>
      <c r="E38" s="19" t="str">
        <f t="shared" si="3"/>
        <v>АСПС.FB_SH_ALL.DBTX</v>
      </c>
      <c r="F38" s="11">
        <v>7998</v>
      </c>
      <c r="G38" s="11" t="s">
        <v>6</v>
      </c>
      <c r="H38" s="20">
        <v>1</v>
      </c>
      <c r="BO38" s="4"/>
      <c r="BP38" s="4"/>
      <c r="BQ38" s="4"/>
      <c r="BR38" s="4"/>
    </row>
    <row r="39" spans="1:70">
      <c r="A39" s="19" t="str">
        <f t="shared" si="2"/>
        <v>АСПС.FB_SH_ALL.XFRX</v>
      </c>
      <c r="B39" s="11">
        <v>3</v>
      </c>
      <c r="C39" s="11" t="s">
        <v>1</v>
      </c>
      <c r="D39" s="20">
        <v>192</v>
      </c>
      <c r="E39" s="19" t="str">
        <f t="shared" si="3"/>
        <v>АСПС.FB_SH_ALL.DBTX</v>
      </c>
      <c r="F39" s="11">
        <v>101</v>
      </c>
      <c r="G39" s="11" t="s">
        <v>0</v>
      </c>
      <c r="H39" s="20" t="s">
        <v>436</v>
      </c>
      <c r="BO39" s="4"/>
      <c r="BP39" s="4"/>
      <c r="BQ39" s="4"/>
      <c r="BR39" s="4"/>
    </row>
    <row r="40" spans="1:70">
      <c r="A40" s="19" t="str">
        <f t="shared" si="2"/>
        <v>АСПС.FB_SH_ALL.XFRX</v>
      </c>
      <c r="B40" s="11">
        <v>101</v>
      </c>
      <c r="C40" s="11" t="s">
        <v>0</v>
      </c>
      <c r="D40" s="20" t="s">
        <v>426</v>
      </c>
      <c r="E40" s="19" t="str">
        <f t="shared" si="3"/>
        <v>АСПС.FB_SH_ALL.DBTX</v>
      </c>
      <c r="F40" s="11">
        <v>3</v>
      </c>
      <c r="G40" s="11" t="s">
        <v>1</v>
      </c>
      <c r="H40" s="20">
        <v>192</v>
      </c>
      <c r="BO40" s="4"/>
      <c r="BP40" s="4"/>
      <c r="BQ40" s="4"/>
      <c r="BR40" s="4"/>
    </row>
    <row r="41" spans="1:70">
      <c r="A41" s="19" t="str">
        <f t="shared" si="2"/>
        <v>АСПС.FB_SH_ALL.XFRX</v>
      </c>
      <c r="B41" s="11">
        <v>7998</v>
      </c>
      <c r="C41" s="11" t="s">
        <v>6</v>
      </c>
      <c r="D41" s="20">
        <v>1</v>
      </c>
      <c r="E41" s="19" t="str">
        <f t="shared" si="3"/>
        <v>АСПС.FB_SH_ALL.DBTX</v>
      </c>
      <c r="F41" s="11">
        <v>2</v>
      </c>
      <c r="G41" s="11" t="s">
        <v>2</v>
      </c>
      <c r="H41" s="20" t="s">
        <v>3</v>
      </c>
      <c r="BO41" s="4"/>
      <c r="BP41" s="4"/>
      <c r="BQ41" s="4"/>
      <c r="BR41" s="4"/>
    </row>
    <row r="42" spans="1:70">
      <c r="A42" s="19" t="str">
        <f t="shared" si="2"/>
        <v>АСПС.FB_SH_ALL.XFRX</v>
      </c>
      <c r="B42" s="11">
        <v>7999</v>
      </c>
      <c r="C42" s="11" t="s">
        <v>0</v>
      </c>
      <c r="D42" s="22" t="str">
        <f>"#"&amp;$S$2&amp;"#"&amp;$T$2&amp;"\"&amp;$P$2&amp;"\XFRX"</f>
        <v>#1#treiOPCDA.CoOPCserv.1\pcmaster\FB_SH_ALL\XFRX</v>
      </c>
      <c r="E42" s="21" t="str">
        <f t="shared" si="3"/>
        <v>АСПС.FB_SH_ALL.DBTX</v>
      </c>
      <c r="F42" s="8">
        <v>1</v>
      </c>
      <c r="G42" s="8" t="s">
        <v>1</v>
      </c>
      <c r="H42" s="22">
        <v>11</v>
      </c>
      <c r="BO42" s="4"/>
      <c r="BP42" s="4"/>
      <c r="BQ42" s="4"/>
      <c r="BR42" s="4"/>
    </row>
    <row r="43" spans="1:70">
      <c r="A43" s="365" t="str">
        <f t="shared" ref="A43:A52" si="4">$R$2&amp;".XWRX"</f>
        <v>АСПС.FB_SH_ALL.XWRX</v>
      </c>
      <c r="B43" s="366">
        <v>11000</v>
      </c>
      <c r="C43" s="366" t="s">
        <v>5</v>
      </c>
      <c r="D43" s="367">
        <v>2147483680</v>
      </c>
      <c r="BK43" s="4"/>
      <c r="BL43" s="4"/>
      <c r="BM43" s="4"/>
      <c r="BN43" s="4"/>
    </row>
    <row r="44" spans="1:70">
      <c r="A44" s="203" t="str">
        <f t="shared" si="4"/>
        <v>АСПС.FB_SH_ALL.XWRX</v>
      </c>
      <c r="B44" s="204">
        <v>11150</v>
      </c>
      <c r="C44" s="204" t="s">
        <v>0</v>
      </c>
      <c r="D44" s="205" t="s">
        <v>425</v>
      </c>
      <c r="BK44" s="4"/>
      <c r="BL44" s="4"/>
      <c r="BM44" s="4"/>
      <c r="BN44" s="4"/>
    </row>
    <row r="45" spans="1:70">
      <c r="A45" s="203" t="str">
        <f t="shared" si="4"/>
        <v>АСПС.FB_SH_ALL.XWRX</v>
      </c>
      <c r="B45" s="204">
        <v>11152</v>
      </c>
      <c r="C45" s="204" t="s">
        <v>0</v>
      </c>
      <c r="D45" s="205" t="str">
        <f>$R$13</f>
        <v>Тревога</v>
      </c>
      <c r="BK45" s="4"/>
      <c r="BL45" s="4"/>
      <c r="BM45" s="4"/>
      <c r="BN45" s="4"/>
    </row>
    <row r="46" spans="1:70">
      <c r="A46" s="203" t="str">
        <f t="shared" si="4"/>
        <v>АСПС.FB_SH_ALL.XWRX</v>
      </c>
      <c r="B46" s="204">
        <v>11154</v>
      </c>
      <c r="C46" s="204" t="s">
        <v>4</v>
      </c>
      <c r="D46" s="205">
        <f>$Q$13</f>
        <v>5</v>
      </c>
      <c r="BK46" s="4"/>
      <c r="BL46" s="4"/>
      <c r="BM46" s="4"/>
      <c r="BN46" s="4"/>
    </row>
    <row r="47" spans="1:70">
      <c r="A47" s="19" t="str">
        <f t="shared" si="4"/>
        <v>АСПС.FB_SH_ALL.XWRX</v>
      </c>
      <c r="B47" s="11">
        <v>1</v>
      </c>
      <c r="C47" s="11" t="s">
        <v>1</v>
      </c>
      <c r="D47" s="20">
        <v>11</v>
      </c>
      <c r="BK47" s="4"/>
      <c r="BL47" s="4"/>
      <c r="BM47" s="4"/>
      <c r="BN47" s="4"/>
    </row>
    <row r="48" spans="1:70">
      <c r="A48" s="19" t="str">
        <f t="shared" si="4"/>
        <v>АСПС.FB_SH_ALL.XWRX</v>
      </c>
      <c r="B48" s="11">
        <v>2</v>
      </c>
      <c r="C48" s="11" t="s">
        <v>2</v>
      </c>
      <c r="D48" s="20" t="s">
        <v>3</v>
      </c>
      <c r="BK48" s="4"/>
      <c r="BL48" s="4"/>
      <c r="BM48" s="4"/>
      <c r="BN48" s="4"/>
    </row>
    <row r="49" spans="1:66">
      <c r="A49" s="19" t="str">
        <f t="shared" si="4"/>
        <v>АСПС.FB_SH_ALL.XWRX</v>
      </c>
      <c r="B49" s="11">
        <v>3</v>
      </c>
      <c r="C49" s="11" t="s">
        <v>1</v>
      </c>
      <c r="D49" s="20">
        <v>192</v>
      </c>
      <c r="BK49" s="4"/>
      <c r="BL49" s="4"/>
      <c r="BM49" s="4"/>
      <c r="BN49" s="4"/>
    </row>
    <row r="50" spans="1:66">
      <c r="A50" s="19" t="str">
        <f t="shared" si="4"/>
        <v>АСПС.FB_SH_ALL.XWRX</v>
      </c>
      <c r="B50" s="11">
        <v>101</v>
      </c>
      <c r="C50" s="11" t="s">
        <v>0</v>
      </c>
      <c r="D50" s="20" t="s">
        <v>425</v>
      </c>
      <c r="BK50" s="4"/>
      <c r="BL50" s="4"/>
      <c r="BM50" s="4"/>
      <c r="BN50" s="4"/>
    </row>
    <row r="51" spans="1:66">
      <c r="A51" s="19" t="str">
        <f t="shared" si="4"/>
        <v>АСПС.FB_SH_ALL.XWRX</v>
      </c>
      <c r="B51" s="11">
        <v>7998</v>
      </c>
      <c r="C51" s="11" t="s">
        <v>6</v>
      </c>
      <c r="D51" s="20">
        <v>1</v>
      </c>
      <c r="BK51" s="4"/>
      <c r="BL51" s="4"/>
      <c r="BM51" s="4"/>
      <c r="BN51" s="4"/>
    </row>
    <row r="52" spans="1:66">
      <c r="A52" s="21" t="str">
        <f t="shared" si="4"/>
        <v>АСПС.FB_SH_ALL.XWRX</v>
      </c>
      <c r="B52" s="8">
        <v>7999</v>
      </c>
      <c r="C52" s="8" t="s">
        <v>0</v>
      </c>
      <c r="D52" s="22" t="str">
        <f>"#"&amp;$S$2&amp;"#"&amp;$T$2&amp;"\"&amp;$P$2&amp;"\XWRX"</f>
        <v>#1#treiOPCDA.CoOPCserv.1\pcmaster\FB_SH_ALL\XWRX</v>
      </c>
      <c r="BK52" s="4"/>
      <c r="BL52" s="4"/>
      <c r="BM52" s="4"/>
      <c r="BN52" s="4"/>
    </row>
    <row r="53" spans="1:66">
      <c r="A53" s="211" t="str">
        <f t="shared" ref="A53:A62" si="5">$R$2&amp;".FXXX"</f>
        <v>АСПС.FB_SH_ALL.FXXX</v>
      </c>
      <c r="B53" s="212">
        <v>11154</v>
      </c>
      <c r="C53" s="212" t="s">
        <v>4</v>
      </c>
      <c r="D53" s="221">
        <f>$Q$7</f>
        <v>12</v>
      </c>
    </row>
    <row r="54" spans="1:66">
      <c r="A54" s="211" t="str">
        <f t="shared" si="5"/>
        <v>АСПС.FB_SH_ALL.FXXX</v>
      </c>
      <c r="B54" s="212">
        <v>11152</v>
      </c>
      <c r="C54" s="212" t="s">
        <v>0</v>
      </c>
      <c r="D54" s="220" t="str">
        <f>$R$7</f>
        <v>Неисправность</v>
      </c>
    </row>
    <row r="55" spans="1:66">
      <c r="A55" s="211" t="str">
        <f t="shared" si="5"/>
        <v>АСПС.FB_SH_ALL.FXXX</v>
      </c>
      <c r="B55" s="212">
        <v>11150</v>
      </c>
      <c r="C55" s="212" t="s">
        <v>0</v>
      </c>
      <c r="D55" s="213" t="s">
        <v>110</v>
      </c>
    </row>
    <row r="56" spans="1:66">
      <c r="A56" s="211" t="str">
        <f t="shared" si="5"/>
        <v>АСПС.FB_SH_ALL.FXXX</v>
      </c>
      <c r="B56" s="212">
        <v>11000</v>
      </c>
      <c r="C56" s="212" t="s">
        <v>5</v>
      </c>
      <c r="D56" s="213">
        <v>2147483680</v>
      </c>
    </row>
    <row r="57" spans="1:66">
      <c r="A57" s="19" t="str">
        <f t="shared" si="5"/>
        <v>АСПС.FB_SH_ALL.FXXX</v>
      </c>
      <c r="B57" s="11">
        <v>7999</v>
      </c>
      <c r="C57" s="11" t="s">
        <v>0</v>
      </c>
      <c r="D57" s="20" t="str">
        <f>"#"&amp;$S$2&amp;"#"&amp;$T$2&amp;"\"&amp;$P$2&amp;"\FXXX"</f>
        <v>#1#treiOPCDA.CoOPCserv.1\pcmaster\FB_SH_ALL\FXXX</v>
      </c>
    </row>
    <row r="58" spans="1:66">
      <c r="A58" s="19" t="str">
        <f t="shared" si="5"/>
        <v>АСПС.FB_SH_ALL.FXXX</v>
      </c>
      <c r="B58" s="11">
        <v>7998</v>
      </c>
      <c r="C58" s="11" t="s">
        <v>6</v>
      </c>
      <c r="D58" s="20">
        <v>1</v>
      </c>
    </row>
    <row r="59" spans="1:66">
      <c r="A59" s="19" t="str">
        <f t="shared" si="5"/>
        <v>АСПС.FB_SH_ALL.FXXX</v>
      </c>
      <c r="B59" s="11">
        <v>101</v>
      </c>
      <c r="C59" s="11" t="s">
        <v>0</v>
      </c>
      <c r="D59" s="20" t="s">
        <v>110</v>
      </c>
    </row>
    <row r="60" spans="1:66">
      <c r="A60" s="19" t="str">
        <f t="shared" si="5"/>
        <v>АСПС.FB_SH_ALL.FXXX</v>
      </c>
      <c r="B60" s="11">
        <v>3</v>
      </c>
      <c r="C60" s="11" t="s">
        <v>1</v>
      </c>
      <c r="D60" s="20">
        <v>192</v>
      </c>
    </row>
    <row r="61" spans="1:66">
      <c r="A61" s="19" t="str">
        <f t="shared" si="5"/>
        <v>АСПС.FB_SH_ALL.FXXX</v>
      </c>
      <c r="B61" s="11">
        <v>2</v>
      </c>
      <c r="C61" s="11" t="s">
        <v>2</v>
      </c>
      <c r="D61" s="20" t="s">
        <v>3</v>
      </c>
    </row>
    <row r="62" spans="1:66">
      <c r="A62" s="19" t="str">
        <f t="shared" si="5"/>
        <v>АСПС.FB_SH_ALL.FXXX</v>
      </c>
      <c r="B62" s="11">
        <v>1</v>
      </c>
      <c r="C62" s="11" t="s">
        <v>1</v>
      </c>
      <c r="D62" s="20">
        <v>11</v>
      </c>
    </row>
    <row r="63" spans="1:66">
      <c r="A63" s="369" t="str">
        <f t="shared" ref="A63:A72" si="6">$R$2&amp;".XRPX"</f>
        <v>АСПС.FB_SH_ALL.XRPX</v>
      </c>
      <c r="B63" s="370">
        <v>11000</v>
      </c>
      <c r="C63" s="370" t="s">
        <v>5</v>
      </c>
      <c r="D63" s="371">
        <v>2147483680</v>
      </c>
    </row>
    <row r="64" spans="1:66">
      <c r="A64" s="339" t="str">
        <f t="shared" si="6"/>
        <v>АСПС.FB_SH_ALL.XRPX</v>
      </c>
      <c r="B64" s="340">
        <v>11150</v>
      </c>
      <c r="C64" s="340" t="s">
        <v>0</v>
      </c>
      <c r="D64" s="341" t="s">
        <v>656</v>
      </c>
    </row>
    <row r="65" spans="1:4">
      <c r="A65" s="339" t="str">
        <f t="shared" si="6"/>
        <v>АСПС.FB_SH_ALL.XRPX</v>
      </c>
      <c r="B65" s="340">
        <v>11152</v>
      </c>
      <c r="C65" s="340" t="s">
        <v>0</v>
      </c>
      <c r="D65" s="341" t="str">
        <f>$R$18</f>
        <v>Отключение</v>
      </c>
    </row>
    <row r="66" spans="1:4">
      <c r="A66" s="339" t="str">
        <f t="shared" si="6"/>
        <v>АСПС.FB_SH_ALL.XRPX</v>
      </c>
      <c r="B66" s="340">
        <v>11154</v>
      </c>
      <c r="C66" s="340" t="s">
        <v>4</v>
      </c>
      <c r="D66" s="341">
        <f>$Q$18</f>
        <v>13</v>
      </c>
    </row>
    <row r="67" spans="1:4">
      <c r="A67" s="19" t="str">
        <f t="shared" si="6"/>
        <v>АСПС.FB_SH_ALL.XRPX</v>
      </c>
      <c r="B67" s="11">
        <v>1</v>
      </c>
      <c r="C67" s="11" t="s">
        <v>1</v>
      </c>
      <c r="D67" s="20">
        <v>11</v>
      </c>
    </row>
    <row r="68" spans="1:4">
      <c r="A68" s="19" t="str">
        <f t="shared" si="6"/>
        <v>АСПС.FB_SH_ALL.XRPX</v>
      </c>
      <c r="B68" s="11">
        <v>2</v>
      </c>
      <c r="C68" s="11" t="s">
        <v>2</v>
      </c>
      <c r="D68" s="20" t="s">
        <v>3</v>
      </c>
    </row>
    <row r="69" spans="1:4">
      <c r="A69" s="19" t="str">
        <f t="shared" si="6"/>
        <v>АСПС.FB_SH_ALL.XRPX</v>
      </c>
      <c r="B69" s="11">
        <v>3</v>
      </c>
      <c r="C69" s="11" t="s">
        <v>1</v>
      </c>
      <c r="D69" s="20">
        <v>192</v>
      </c>
    </row>
    <row r="70" spans="1:4">
      <c r="A70" s="19" t="str">
        <f t="shared" si="6"/>
        <v>АСПС.FB_SH_ALL.XRPX</v>
      </c>
      <c r="B70" s="11">
        <v>101</v>
      </c>
      <c r="C70" s="11" t="s">
        <v>0</v>
      </c>
      <c r="D70" s="20" t="s">
        <v>656</v>
      </c>
    </row>
    <row r="71" spans="1:4">
      <c r="A71" s="19" t="str">
        <f t="shared" si="6"/>
        <v>АСПС.FB_SH_ALL.XRPX</v>
      </c>
      <c r="B71" s="11">
        <v>7998</v>
      </c>
      <c r="C71" s="11" t="s">
        <v>6</v>
      </c>
      <c r="D71" s="20">
        <v>1</v>
      </c>
    </row>
    <row r="72" spans="1:4">
      <c r="A72" s="21" t="str">
        <f t="shared" si="6"/>
        <v>АСПС.FB_SH_ALL.XRPX</v>
      </c>
      <c r="B72" s="8">
        <v>7999</v>
      </c>
      <c r="C72" s="8" t="s">
        <v>0</v>
      </c>
      <c r="D72" s="22" t="str">
        <f>"#"&amp;$S$2&amp;"#"&amp;$T$2&amp;"\"&amp;$P$2&amp;"\XRPX"</f>
        <v>#1#treiOPCDA.CoOPCserv.1\pcmaster\FB_SH_ALL\XRPX</v>
      </c>
    </row>
    <row r="73" spans="1:4">
      <c r="A73" s="345" t="str">
        <f t="shared" ref="A73:A82" si="7">$R$2&amp;".CSRS"</f>
        <v>АСПС.FB_SH_ALL.CSRS</v>
      </c>
      <c r="B73" s="346">
        <v>11154</v>
      </c>
      <c r="C73" s="346" t="s">
        <v>4</v>
      </c>
      <c r="D73" s="368">
        <f>$Q$19</f>
        <v>22</v>
      </c>
    </row>
    <row r="74" spans="1:4">
      <c r="A74" s="345" t="str">
        <f t="shared" si="7"/>
        <v>АСПС.FB_SH_ALL.CSRS</v>
      </c>
      <c r="B74" s="346">
        <v>11150</v>
      </c>
      <c r="C74" s="346" t="s">
        <v>0</v>
      </c>
      <c r="D74" s="347" t="s">
        <v>703</v>
      </c>
    </row>
    <row r="75" spans="1:4">
      <c r="A75" s="345" t="str">
        <f t="shared" si="7"/>
        <v>АСПС.FB_SH_ALL.CSRS</v>
      </c>
      <c r="B75" s="346">
        <v>11152</v>
      </c>
      <c r="C75" s="346" t="s">
        <v>0</v>
      </c>
      <c r="D75" s="348" t="str">
        <f>$R$19</f>
        <v>Информация</v>
      </c>
    </row>
    <row r="76" spans="1:4">
      <c r="A76" s="345" t="str">
        <f t="shared" si="7"/>
        <v>АСПС.FB_SH_ALL.CSRS</v>
      </c>
      <c r="B76" s="346">
        <v>11000</v>
      </c>
      <c r="C76" s="346" t="s">
        <v>5</v>
      </c>
      <c r="D76" s="347">
        <v>2147483680</v>
      </c>
    </row>
    <row r="77" spans="1:4">
      <c r="A77" s="19" t="str">
        <f t="shared" si="7"/>
        <v>АСПС.FB_SH_ALL.CSRS</v>
      </c>
      <c r="B77" s="11">
        <v>7999</v>
      </c>
      <c r="C77" s="11" t="s">
        <v>0</v>
      </c>
      <c r="D77" s="20" t="str">
        <f>"#"&amp;$S$2&amp;"#"&amp;$T$2&amp;"\"&amp;$P$2&amp;"\CSRS"</f>
        <v>#1#treiOPCDA.CoOPCserv.1\pcmaster\FB_SH_ALL\CSRS</v>
      </c>
    </row>
    <row r="78" spans="1:4">
      <c r="A78" s="19" t="str">
        <f t="shared" si="7"/>
        <v>АСПС.FB_SH_ALL.CSRS</v>
      </c>
      <c r="B78" s="11">
        <v>7998</v>
      </c>
      <c r="C78" s="11" t="s">
        <v>6</v>
      </c>
      <c r="D78" s="20">
        <v>1</v>
      </c>
    </row>
    <row r="79" spans="1:4">
      <c r="A79" s="19" t="str">
        <f t="shared" si="7"/>
        <v>АСПС.FB_SH_ALL.CSRS</v>
      </c>
      <c r="B79" s="11">
        <v>101</v>
      </c>
      <c r="C79" s="11" t="s">
        <v>0</v>
      </c>
      <c r="D79" s="20" t="s">
        <v>703</v>
      </c>
    </row>
    <row r="80" spans="1:4">
      <c r="A80" s="19" t="str">
        <f t="shared" si="7"/>
        <v>АСПС.FB_SH_ALL.CSRS</v>
      </c>
      <c r="B80" s="11">
        <v>3</v>
      </c>
      <c r="C80" s="11" t="s">
        <v>1</v>
      </c>
      <c r="D80" s="20">
        <v>192</v>
      </c>
    </row>
    <row r="81" spans="1:4">
      <c r="A81" s="19" t="str">
        <f t="shared" si="7"/>
        <v>АСПС.FB_SH_ALL.CSRS</v>
      </c>
      <c r="B81" s="11">
        <v>2</v>
      </c>
      <c r="C81" s="11" t="s">
        <v>2</v>
      </c>
      <c r="D81" s="20" t="s">
        <v>3</v>
      </c>
    </row>
    <row r="82" spans="1:4">
      <c r="A82" s="21" t="str">
        <f t="shared" si="7"/>
        <v>АСПС.FB_SH_ALL.CSRS</v>
      </c>
      <c r="B82" s="8">
        <v>1</v>
      </c>
      <c r="C82" s="8" t="s">
        <v>1</v>
      </c>
      <c r="D82" s="22">
        <v>11</v>
      </c>
    </row>
    <row r="83" spans="1:4">
      <c r="A83" s="342" t="str">
        <f t="shared" ref="A83:A92" si="8">$R$2&amp;".CPRS"</f>
        <v>АСПС.FB_SH_ALL.CPRS</v>
      </c>
      <c r="B83" s="343">
        <v>11154</v>
      </c>
      <c r="C83" s="343" t="s">
        <v>4</v>
      </c>
      <c r="D83" s="344">
        <f>$Q$19</f>
        <v>22</v>
      </c>
    </row>
    <row r="84" spans="1:4">
      <c r="A84" s="345" t="str">
        <f t="shared" si="8"/>
        <v>АСПС.FB_SH_ALL.CPRS</v>
      </c>
      <c r="B84" s="346">
        <v>11150</v>
      </c>
      <c r="C84" s="346" t="s">
        <v>0</v>
      </c>
      <c r="D84" s="347" t="s">
        <v>704</v>
      </c>
    </row>
    <row r="85" spans="1:4">
      <c r="A85" s="345" t="str">
        <f t="shared" si="8"/>
        <v>АСПС.FB_SH_ALL.CPRS</v>
      </c>
      <c r="B85" s="346">
        <v>11152</v>
      </c>
      <c r="C85" s="346" t="s">
        <v>0</v>
      </c>
      <c r="D85" s="348" t="str">
        <f>$R$19</f>
        <v>Информация</v>
      </c>
    </row>
    <row r="86" spans="1:4">
      <c r="A86" s="345" t="str">
        <f t="shared" si="8"/>
        <v>АСПС.FB_SH_ALL.CPRS</v>
      </c>
      <c r="B86" s="346">
        <v>11000</v>
      </c>
      <c r="C86" s="346" t="s">
        <v>5</v>
      </c>
      <c r="D86" s="347">
        <v>2147483680</v>
      </c>
    </row>
    <row r="87" spans="1:4">
      <c r="A87" s="19" t="str">
        <f t="shared" si="8"/>
        <v>АСПС.FB_SH_ALL.CPRS</v>
      </c>
      <c r="B87" s="11">
        <v>7999</v>
      </c>
      <c r="C87" s="11" t="s">
        <v>0</v>
      </c>
      <c r="D87" s="20" t="str">
        <f>"#"&amp;$S$2&amp;"#"&amp;$T$2&amp;"\"&amp;$P$2&amp;"\CPRS"</f>
        <v>#1#treiOPCDA.CoOPCserv.1\pcmaster\FB_SH_ALL\CPRS</v>
      </c>
    </row>
    <row r="88" spans="1:4">
      <c r="A88" s="19" t="str">
        <f t="shared" si="8"/>
        <v>АСПС.FB_SH_ALL.CPRS</v>
      </c>
      <c r="B88" s="11">
        <v>7998</v>
      </c>
      <c r="C88" s="11" t="s">
        <v>6</v>
      </c>
      <c r="D88" s="20">
        <v>1</v>
      </c>
    </row>
    <row r="89" spans="1:4">
      <c r="A89" s="19" t="str">
        <f t="shared" si="8"/>
        <v>АСПС.FB_SH_ALL.CPRS</v>
      </c>
      <c r="B89" s="11">
        <v>101</v>
      </c>
      <c r="C89" s="11" t="s">
        <v>0</v>
      </c>
      <c r="D89" s="20" t="s">
        <v>704</v>
      </c>
    </row>
    <row r="90" spans="1:4">
      <c r="A90" s="19" t="str">
        <f t="shared" si="8"/>
        <v>АСПС.FB_SH_ALL.CPRS</v>
      </c>
      <c r="B90" s="11">
        <v>3</v>
      </c>
      <c r="C90" s="11" t="s">
        <v>1</v>
      </c>
      <c r="D90" s="20">
        <v>192</v>
      </c>
    </row>
    <row r="91" spans="1:4">
      <c r="A91" s="19" t="str">
        <f t="shared" si="8"/>
        <v>АСПС.FB_SH_ALL.CPRS</v>
      </c>
      <c r="B91" s="11">
        <v>2</v>
      </c>
      <c r="C91" s="11" t="s">
        <v>2</v>
      </c>
      <c r="D91" s="20" t="s">
        <v>3</v>
      </c>
    </row>
    <row r="92" spans="1:4">
      <c r="A92" s="19" t="str">
        <f t="shared" si="8"/>
        <v>АСПС.FB_SH_ALL.CPRS</v>
      </c>
      <c r="B92" s="11">
        <v>1</v>
      </c>
      <c r="C92" s="11" t="s">
        <v>1</v>
      </c>
      <c r="D92" s="20">
        <v>11</v>
      </c>
    </row>
    <row r="93" spans="1:4">
      <c r="A93" s="19" t="str">
        <f t="shared" ref="A93:A98" si="9">$R$2&amp;".XRST"</f>
        <v>АСПС.FB_SH_ALL.XRST</v>
      </c>
      <c r="B93" s="11">
        <v>7999</v>
      </c>
      <c r="C93" s="11" t="s">
        <v>0</v>
      </c>
      <c r="D93" s="20" t="str">
        <f>"#"&amp;$S$2&amp;"#"&amp;$T$2&amp;"\"&amp;$P$2&amp;"\XRST"</f>
        <v>#1#treiOPCDA.CoOPCserv.1\pcmaster\FB_SH_ALL\XRST</v>
      </c>
    </row>
    <row r="94" spans="1:4">
      <c r="A94" s="19" t="str">
        <f t="shared" si="9"/>
        <v>АСПС.FB_SH_ALL.XRST</v>
      </c>
      <c r="B94" s="11">
        <v>7998</v>
      </c>
      <c r="C94" s="11" t="s">
        <v>6</v>
      </c>
      <c r="D94" s="20">
        <v>1</v>
      </c>
    </row>
    <row r="95" spans="1:4">
      <c r="A95" s="19" t="str">
        <f t="shared" si="9"/>
        <v>АСПС.FB_SH_ALL.XRST</v>
      </c>
      <c r="B95" s="11">
        <v>101</v>
      </c>
      <c r="C95" s="11" t="s">
        <v>0</v>
      </c>
      <c r="D95" s="20" t="s">
        <v>699</v>
      </c>
    </row>
    <row r="96" spans="1:4">
      <c r="A96" s="19" t="str">
        <f t="shared" si="9"/>
        <v>АСПС.FB_SH_ALL.XRST</v>
      </c>
      <c r="B96" s="11">
        <v>3</v>
      </c>
      <c r="C96" s="11" t="s">
        <v>1</v>
      </c>
      <c r="D96" s="20">
        <v>192</v>
      </c>
    </row>
    <row r="97" spans="1:4">
      <c r="A97" s="19" t="str">
        <f t="shared" si="9"/>
        <v>АСПС.FB_SH_ALL.XRST</v>
      </c>
      <c r="B97" s="11">
        <v>2</v>
      </c>
      <c r="C97" s="11" t="s">
        <v>2</v>
      </c>
      <c r="D97" s="20" t="s">
        <v>3</v>
      </c>
    </row>
    <row r="98" spans="1:4">
      <c r="A98" s="21" t="str">
        <f t="shared" si="9"/>
        <v>АСПС.FB_SH_ALL.XRST</v>
      </c>
      <c r="B98" s="8">
        <v>1</v>
      </c>
      <c r="C98" s="8" t="s">
        <v>1</v>
      </c>
      <c r="D98" s="22">
        <v>11</v>
      </c>
    </row>
  </sheetData>
  <autoFilter ref="B1:B98" xr:uid="{00000000-0009-0000-0000-000056000000}"/>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Лист93">
    <tabColor rgb="FFFFC000"/>
  </sheetPr>
  <dimension ref="A1:BR72"/>
  <sheetViews>
    <sheetView topLeftCell="A19" zoomScale="70" zoomScaleNormal="70" workbookViewId="0">
      <selection activeCell="D2" sqref="D2:D4"/>
    </sheetView>
  </sheetViews>
  <sheetFormatPr defaultRowHeight="14.4"/>
  <cols>
    <col min="1" max="1" width="37.109375" customWidth="1"/>
    <col min="2" max="2" width="9.5546875" customWidth="1"/>
    <col min="4" max="4" width="63.88671875" customWidth="1"/>
    <col min="5" max="15" width="9.109375"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7.33203125" customWidth="1"/>
    <col min="56" max="56" width="10.33203125" customWidth="1"/>
    <col min="57" max="57" width="10" customWidth="1"/>
    <col min="59" max="59" width="7.109375" customWidth="1"/>
    <col min="60" max="60" width="10.88671875" customWidth="1"/>
    <col min="62" max="62" width="65.109375" customWidth="1"/>
  </cols>
  <sheetData>
    <row r="1" spans="1:66" s="258" customFormat="1" ht="204.6" thickBot="1">
      <c r="A1" s="257"/>
      <c r="B1" s="257"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K1" s="259"/>
      <c r="BL1" s="259"/>
      <c r="BM1" s="259"/>
      <c r="BN1" s="259"/>
    </row>
    <row r="2" spans="1:66">
      <c r="A2" s="9"/>
      <c r="B2" s="9"/>
      <c r="C2" s="9"/>
      <c r="D2" s="9"/>
      <c r="E2" s="9"/>
      <c r="F2" s="9"/>
      <c r="P2" s="2" t="s">
        <v>694</v>
      </c>
      <c r="Q2" s="2" t="s">
        <v>697</v>
      </c>
      <c r="R2" s="2" t="s">
        <v>758</v>
      </c>
      <c r="S2" s="3">
        <v>1</v>
      </c>
      <c r="T2" s="3" t="s">
        <v>1698</v>
      </c>
      <c r="U2" s="3"/>
      <c r="V2" s="3" t="s">
        <v>569</v>
      </c>
      <c r="W2" s="12"/>
      <c r="X2" s="12"/>
      <c r="Y2" s="12"/>
      <c r="Z2" s="12"/>
      <c r="AA2" s="12"/>
      <c r="AB2" s="2"/>
      <c r="AC2" s="2"/>
      <c r="AD2" s="2"/>
      <c r="AE2" s="2"/>
      <c r="AF2" s="2"/>
      <c r="AG2" s="2"/>
      <c r="AH2" s="2"/>
      <c r="AI2" s="2"/>
      <c r="AJ2" s="2"/>
      <c r="AK2" s="2"/>
      <c r="AL2" s="2"/>
      <c r="AM2" s="2"/>
      <c r="AN2" s="2"/>
      <c r="AO2" s="2"/>
      <c r="AP2" s="2"/>
      <c r="AQ2" s="2"/>
      <c r="AR2" s="2"/>
      <c r="AS2" s="2"/>
      <c r="AT2" s="2"/>
      <c r="AU2" s="2"/>
      <c r="AV2" s="2"/>
      <c r="AW2" s="2"/>
      <c r="AX2" s="2"/>
      <c r="AY2" s="2"/>
      <c r="AZ2" s="2"/>
      <c r="BA2" s="2"/>
      <c r="BK2" s="4"/>
      <c r="BL2" s="4"/>
      <c r="BM2" s="4"/>
      <c r="BN2" s="4"/>
    </row>
    <row r="3" spans="1:66">
      <c r="A3" s="9"/>
      <c r="B3" s="9"/>
      <c r="C3" s="9"/>
      <c r="D3" s="9"/>
      <c r="E3" s="9"/>
      <c r="F3" s="9"/>
      <c r="P3" s="10"/>
      <c r="Q3" s="10"/>
      <c r="R3" s="10"/>
      <c r="S3" s="10"/>
      <c r="T3" s="10"/>
      <c r="U3" s="10"/>
      <c r="V3" s="10"/>
      <c r="W3" s="10"/>
      <c r="X3" s="10"/>
      <c r="Y3" s="10"/>
      <c r="Z3" s="10"/>
      <c r="AA3" s="10"/>
      <c r="BK3" s="4"/>
      <c r="BL3" s="4"/>
      <c r="BM3" s="4"/>
      <c r="BN3" s="4"/>
    </row>
    <row r="4" spans="1:66">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K4" s="4"/>
      <c r="BL4" s="4"/>
      <c r="BM4" s="4"/>
      <c r="BN4" s="4"/>
    </row>
    <row r="5" spans="1:66">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K5" s="4"/>
      <c r="BL5" s="4"/>
      <c r="BM5" s="4"/>
      <c r="BN5" s="4"/>
    </row>
    <row r="6" spans="1:66">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K6" s="4"/>
      <c r="BL6" s="4"/>
      <c r="BM6" s="4"/>
      <c r="BN6" s="4"/>
    </row>
    <row r="7" spans="1:66">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K7" s="4"/>
      <c r="BL7" s="4"/>
      <c r="BM7" s="4"/>
      <c r="BN7" s="4"/>
    </row>
    <row r="8" spans="1:66">
      <c r="A8" s="9"/>
      <c r="B8" s="9"/>
      <c r="C8" s="9"/>
      <c r="D8" s="9"/>
      <c r="E8" s="9"/>
      <c r="F8" s="9"/>
      <c r="P8" s="6" t="str">
        <f>Настройки!A5</f>
        <v>Телесигнализация</v>
      </c>
      <c r="Q8" s="5">
        <f>Настройки!B5</f>
        <v>18</v>
      </c>
      <c r="R8" s="5" t="str">
        <f>Настройки!C5</f>
        <v>Телесигнализация</v>
      </c>
      <c r="S8" s="10"/>
      <c r="T8" s="14"/>
      <c r="U8" s="10"/>
      <c r="V8" s="10"/>
      <c r="W8" s="10"/>
      <c r="X8" s="10"/>
      <c r="Y8" s="10"/>
      <c r="Z8" s="10"/>
      <c r="AA8" s="10"/>
      <c r="BK8" s="4"/>
      <c r="BL8" s="4"/>
      <c r="BM8" s="4"/>
      <c r="BN8" s="4"/>
    </row>
    <row r="9" spans="1:66">
      <c r="A9" s="9"/>
      <c r="B9" s="9"/>
      <c r="C9" s="9"/>
      <c r="D9" s="9"/>
      <c r="E9" s="9"/>
      <c r="F9" s="9"/>
      <c r="P9" s="6" t="str">
        <f>Настройки!A6</f>
        <v>Недостоверность</v>
      </c>
      <c r="Q9" s="5">
        <f>Настройки!B6</f>
        <v>10</v>
      </c>
      <c r="R9" s="5" t="str">
        <f>Настройки!C6</f>
        <v>Недостоверность</v>
      </c>
      <c r="S9" s="10"/>
      <c r="T9" s="14"/>
      <c r="U9" s="10"/>
      <c r="V9" s="10"/>
      <c r="W9" s="10"/>
      <c r="X9" s="10"/>
      <c r="Y9" s="10"/>
      <c r="Z9" s="10"/>
      <c r="AA9" s="10"/>
      <c r="BK9" s="4"/>
      <c r="BL9" s="4"/>
      <c r="BM9" s="4"/>
      <c r="BN9" s="4"/>
    </row>
    <row r="10" spans="1:66">
      <c r="A10" s="9"/>
      <c r="B10" s="9"/>
      <c r="C10" s="9"/>
      <c r="D10" s="9"/>
      <c r="E10" s="9"/>
      <c r="F10" s="9"/>
      <c r="P10" s="6" t="str">
        <f>Настройки!A7</f>
        <v>Имитация</v>
      </c>
      <c r="Q10" s="5">
        <f>Настройки!B7</f>
        <v>16</v>
      </c>
      <c r="R10" s="5" t="str">
        <f>Настройки!C7</f>
        <v>Имитация</v>
      </c>
      <c r="S10" s="10"/>
      <c r="T10" s="14"/>
      <c r="U10" s="10"/>
      <c r="V10" s="10"/>
      <c r="W10" s="10"/>
      <c r="X10" s="10"/>
      <c r="Y10" s="10"/>
      <c r="Z10" s="10"/>
      <c r="AA10" s="10"/>
      <c r="BK10" s="4"/>
      <c r="BL10" s="4"/>
      <c r="BM10" s="4"/>
      <c r="BN10" s="4"/>
    </row>
    <row r="11" spans="1:66">
      <c r="A11" s="9"/>
      <c r="B11" s="9"/>
      <c r="C11" s="9"/>
      <c r="D11" s="9"/>
      <c r="E11" s="9"/>
      <c r="F11" s="9"/>
      <c r="P11" s="6" t="str">
        <f>Настройки!A8</f>
        <v>Ремонт</v>
      </c>
      <c r="Q11" s="5">
        <f>Настройки!B8</f>
        <v>14</v>
      </c>
      <c r="R11" s="5" t="str">
        <f>Настройки!C8</f>
        <v>Ремонт</v>
      </c>
      <c r="S11" s="10"/>
      <c r="T11" s="14"/>
      <c r="U11" s="10"/>
      <c r="V11" s="10"/>
      <c r="W11" s="10"/>
      <c r="X11" s="10"/>
      <c r="Y11" s="10"/>
      <c r="Z11" s="10"/>
      <c r="AA11" s="10"/>
      <c r="BK11" s="4"/>
      <c r="BL11" s="4"/>
      <c r="BM11" s="4"/>
      <c r="BN11" s="4"/>
    </row>
    <row r="12" spans="1:66">
      <c r="A12" s="9"/>
      <c r="B12" s="9"/>
      <c r="C12" s="9"/>
      <c r="D12" s="9"/>
      <c r="E12" s="9"/>
      <c r="F12" s="9"/>
      <c r="P12" s="6" t="str">
        <f>Настройки!A9</f>
        <v>Команда оператора</v>
      </c>
      <c r="Q12" s="5">
        <f>Настройки!B9</f>
        <v>20</v>
      </c>
      <c r="R12" s="5" t="str">
        <f>Настройки!C9</f>
        <v>Команда оператора</v>
      </c>
      <c r="S12" s="10"/>
      <c r="T12" s="14"/>
      <c r="U12" s="10"/>
      <c r="V12" s="10"/>
      <c r="W12" s="10"/>
      <c r="X12" s="10"/>
      <c r="Y12" s="10"/>
      <c r="Z12" s="10"/>
      <c r="AA12" s="10"/>
      <c r="BK12" s="4"/>
      <c r="BL12" s="4"/>
      <c r="BM12" s="4"/>
      <c r="BN12" s="4"/>
    </row>
    <row r="13" spans="1:66">
      <c r="A13" s="9"/>
      <c r="B13" s="9"/>
      <c r="C13" s="9"/>
      <c r="D13" s="9"/>
      <c r="E13" s="9"/>
      <c r="F13" s="9"/>
      <c r="P13" s="6" t="str">
        <f>Настройки!A10</f>
        <v>Тревога</v>
      </c>
      <c r="Q13" s="5">
        <f>Настройки!B10</f>
        <v>5</v>
      </c>
      <c r="R13" s="5" t="str">
        <f>Настройки!C10</f>
        <v>Тревога</v>
      </c>
      <c r="S13" s="10"/>
      <c r="T13" s="14"/>
      <c r="U13" s="10"/>
      <c r="V13" s="10"/>
      <c r="W13" s="10"/>
      <c r="X13" s="10"/>
      <c r="Y13" s="10"/>
      <c r="Z13" s="10"/>
      <c r="AA13" s="10"/>
      <c r="BK13" s="4"/>
      <c r="BL13" s="4"/>
      <c r="BM13" s="4"/>
      <c r="BN13" s="4"/>
    </row>
    <row r="14" spans="1:66">
      <c r="A14" s="9"/>
      <c r="B14" s="9"/>
      <c r="C14" s="9"/>
      <c r="D14" s="9"/>
      <c r="E14" s="9"/>
      <c r="F14" s="9"/>
      <c r="P14" s="6" t="str">
        <f>Настройки!A11</f>
        <v>Тушение</v>
      </c>
      <c r="Q14" s="5">
        <f>Настройки!B11</f>
        <v>1</v>
      </c>
      <c r="R14" s="5" t="str">
        <f>Настройки!C11</f>
        <v>Тушение</v>
      </c>
      <c r="S14" s="10"/>
      <c r="T14" s="14"/>
      <c r="U14" s="10"/>
      <c r="V14" s="10"/>
      <c r="W14" s="10"/>
      <c r="X14" s="10"/>
      <c r="Y14" s="10"/>
      <c r="Z14" s="10"/>
      <c r="AA14" s="10"/>
      <c r="BK14" s="4"/>
      <c r="BL14" s="4"/>
      <c r="BM14" s="4"/>
      <c r="BN14" s="4"/>
    </row>
    <row r="15" spans="1:66">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K15" s="4"/>
      <c r="BL15" s="4"/>
      <c r="BM15" s="4"/>
      <c r="BN15" s="4"/>
    </row>
    <row r="16" spans="1:66">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K16" s="4"/>
      <c r="BL16" s="4"/>
      <c r="BM16" s="4"/>
      <c r="BN16" s="4"/>
    </row>
    <row r="17" spans="1:70">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K17" s="4"/>
      <c r="BL17" s="4"/>
      <c r="BM17" s="4"/>
      <c r="BN17" s="4"/>
    </row>
    <row r="18" spans="1:70">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K18" s="4"/>
      <c r="BL18" s="4"/>
      <c r="BM18" s="4"/>
      <c r="BN18" s="4"/>
    </row>
    <row r="19" spans="1:70">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K19" s="4"/>
      <c r="BL19" s="4"/>
      <c r="BM19" s="4"/>
      <c r="BN19" s="4"/>
    </row>
    <row r="20" spans="1:70">
      <c r="A20" s="16" t="str">
        <f t="shared" ref="A20:A25" si="0">$R$2</f>
        <v>АСПС.FB_SHOP_ALL</v>
      </c>
      <c r="B20" s="17">
        <v>11001</v>
      </c>
      <c r="C20" s="17" t="s">
        <v>0</v>
      </c>
      <c r="D20" s="18" t="str">
        <f>$Q$2&amp;". "</f>
        <v xml:space="preserve">Сбор обобщенных сигналов c оповещателей по позиции. </v>
      </c>
      <c r="F20" s="4"/>
      <c r="BK20" s="4"/>
      <c r="BL20" s="4"/>
      <c r="BM20" s="4"/>
      <c r="BN20" s="4"/>
    </row>
    <row r="21" spans="1:70">
      <c r="A21" s="19" t="str">
        <f t="shared" si="0"/>
        <v>АСПС.FB_SHOP_ALL</v>
      </c>
      <c r="B21" s="11">
        <v>11156</v>
      </c>
      <c r="C21" s="11" t="s">
        <v>0</v>
      </c>
      <c r="D21" s="20" t="str">
        <f>$V$2</f>
        <v>Тестовый экран</v>
      </c>
      <c r="F21" s="4"/>
      <c r="BK21" s="4"/>
      <c r="BL21" s="4"/>
      <c r="BM21" s="4"/>
      <c r="BN21" s="4"/>
    </row>
    <row r="22" spans="1:70">
      <c r="A22" s="19" t="str">
        <f t="shared" si="0"/>
        <v>АСПС.FB_SHOP_ALL</v>
      </c>
      <c r="B22" s="11">
        <v>1</v>
      </c>
      <c r="C22" s="11" t="s">
        <v>1</v>
      </c>
      <c r="D22" s="20">
        <v>17</v>
      </c>
      <c r="BK22" s="4"/>
      <c r="BL22" s="4"/>
      <c r="BM22" s="4"/>
      <c r="BN22" s="4"/>
    </row>
    <row r="23" spans="1:70" ht="15" customHeight="1">
      <c r="A23" s="16" t="str">
        <f t="shared" si="0"/>
        <v>АСПС.FB_SHOP_ALL</v>
      </c>
      <c r="B23" s="17">
        <v>100</v>
      </c>
      <c r="C23" s="17" t="s">
        <v>0</v>
      </c>
      <c r="D23" s="18" t="b">
        <f>$T$7</f>
        <v>0</v>
      </c>
      <c r="BF23" s="4"/>
      <c r="BG23" s="4"/>
      <c r="BH23" s="4"/>
      <c r="BI23" s="4"/>
    </row>
    <row r="24" spans="1:70">
      <c r="A24" s="19" t="str">
        <f t="shared" si="0"/>
        <v>АСПС.FB_SHOP_ALL</v>
      </c>
      <c r="B24" s="11">
        <v>11120</v>
      </c>
      <c r="C24" s="11" t="s">
        <v>0</v>
      </c>
      <c r="D24" s="20">
        <f>$AK$2</f>
        <v>0</v>
      </c>
      <c r="BK24" s="4"/>
      <c r="BL24" s="4"/>
      <c r="BM24" s="4"/>
      <c r="BN24" s="4"/>
    </row>
    <row r="25" spans="1:70">
      <c r="A25" s="19" t="str">
        <f t="shared" si="0"/>
        <v>АСПС.FB_SHOP_ALL</v>
      </c>
      <c r="B25" s="11">
        <v>11121</v>
      </c>
      <c r="C25" s="11" t="s">
        <v>0</v>
      </c>
      <c r="D25" s="20">
        <f>$AQ$2</f>
        <v>0</v>
      </c>
      <c r="BK25" s="4"/>
      <c r="BL25" s="4"/>
      <c r="BM25" s="4"/>
      <c r="BN25" s="4"/>
    </row>
    <row r="26" spans="1:70">
      <c r="A26" s="16" t="str">
        <f t="shared" ref="A26:A32" si="1">$R$2&amp;".Commands.COOF"</f>
        <v>АСПС.FB_SHOP_ALL.Commands.COOF</v>
      </c>
      <c r="B26" s="17">
        <v>11001</v>
      </c>
      <c r="C26" s="17" t="s">
        <v>0</v>
      </c>
      <c r="D26" s="18" t="str">
        <f>$Q$2&amp;". "</f>
        <v xml:space="preserve">Сбор обобщенных сигналов c оповещателей по позиции. </v>
      </c>
      <c r="F26" s="4"/>
      <c r="BK26" s="4"/>
      <c r="BL26" s="4"/>
      <c r="BM26" s="4"/>
      <c r="BN26" s="4"/>
    </row>
    <row r="27" spans="1:70">
      <c r="A27" s="19" t="str">
        <f t="shared" si="1"/>
        <v>АСПС.FB_SHOP_ALL.Commands.COOF</v>
      </c>
      <c r="B27" s="11">
        <v>1</v>
      </c>
      <c r="C27" s="11" t="s">
        <v>1</v>
      </c>
      <c r="D27" s="20">
        <v>11</v>
      </c>
      <c r="E27" s="123" t="str">
        <f>$R$2&amp;".DBTX"</f>
        <v>АСПС.FB_SHOP_ALL.DBTX</v>
      </c>
      <c r="F27" s="123">
        <v>11154</v>
      </c>
      <c r="G27" s="123" t="s">
        <v>4</v>
      </c>
      <c r="H27" s="124">
        <f>$Q$9</f>
        <v>10</v>
      </c>
      <c r="BO27" s="4"/>
      <c r="BP27" s="4"/>
      <c r="BQ27" s="4"/>
      <c r="BR27" s="4"/>
    </row>
    <row r="28" spans="1:70">
      <c r="A28" s="19" t="str">
        <f t="shared" si="1"/>
        <v>АСПС.FB_SHOP_ALL.Commands.COOF</v>
      </c>
      <c r="B28" s="11">
        <v>101</v>
      </c>
      <c r="C28" s="11" t="s">
        <v>0</v>
      </c>
      <c r="D28" s="20" t="s">
        <v>712</v>
      </c>
      <c r="E28" s="111" t="str">
        <f t="shared" ref="E28:E36" si="2">$R$2&amp;".DBTX"</f>
        <v>АСПС.FB_SHOP_ALL.DBTX</v>
      </c>
      <c r="F28" s="111">
        <v>11000</v>
      </c>
      <c r="G28" s="111" t="s">
        <v>5</v>
      </c>
      <c r="H28" s="112">
        <v>2147483680</v>
      </c>
      <c r="BO28" s="4"/>
      <c r="BP28" s="4"/>
      <c r="BQ28" s="4"/>
      <c r="BR28" s="4"/>
    </row>
    <row r="29" spans="1:70">
      <c r="A29" s="19" t="str">
        <f t="shared" si="1"/>
        <v>АСПС.FB_SHOP_ALL.Commands.COOF</v>
      </c>
      <c r="B29" s="11">
        <v>7998</v>
      </c>
      <c r="C29" s="11" t="s">
        <v>6</v>
      </c>
      <c r="D29" s="20">
        <v>2</v>
      </c>
      <c r="E29" s="11" t="str">
        <f t="shared" si="2"/>
        <v>АСПС.FB_SHOP_ALL.DBTX</v>
      </c>
      <c r="F29" s="11">
        <v>7999</v>
      </c>
      <c r="G29" s="11" t="s">
        <v>0</v>
      </c>
      <c r="H29" s="20" t="str">
        <f>"#"&amp;$S$2&amp;"#"&amp;$T$2&amp;"\"&amp;$P$2&amp;"\DBTX"</f>
        <v>#1#treiOPCDA.CoOPCserv.1\pcmaster\FB_SHOP_ALL\DBTX</v>
      </c>
      <c r="BO29" s="4"/>
      <c r="BP29" s="4"/>
      <c r="BQ29" s="4"/>
      <c r="BR29" s="4"/>
    </row>
    <row r="30" spans="1:70">
      <c r="A30" s="19" t="str">
        <f t="shared" si="1"/>
        <v>АСПС.FB_SHOP_ALL.Commands.COOF</v>
      </c>
      <c r="B30" s="11">
        <v>7999</v>
      </c>
      <c r="C30" s="11" t="s">
        <v>0</v>
      </c>
      <c r="D30" s="20" t="str">
        <f>"#"&amp;$T$5&amp;"#"&amp;$T$2&amp;"\"&amp;$P$2&amp;"\COOF"</f>
        <v>#1#treiOPCDA.CoOPCserv.1\pcmaster\FB_SHOP_ALL\COOF</v>
      </c>
      <c r="E30" s="11" t="str">
        <f t="shared" si="2"/>
        <v>АСПС.FB_SHOP_ALL.DBTX</v>
      </c>
      <c r="F30" s="11">
        <v>7998</v>
      </c>
      <c r="G30" s="11" t="s">
        <v>6</v>
      </c>
      <c r="H30" s="20">
        <v>1</v>
      </c>
      <c r="BO30" s="4"/>
      <c r="BP30" s="4"/>
      <c r="BQ30" s="4"/>
      <c r="BR30" s="4"/>
    </row>
    <row r="31" spans="1:70">
      <c r="A31" s="19" t="str">
        <f t="shared" si="1"/>
        <v>АСПС.FB_SHOP_ALL.Commands.COOF</v>
      </c>
      <c r="B31" s="11">
        <v>7000000</v>
      </c>
      <c r="C31" s="11" t="s">
        <v>6</v>
      </c>
      <c r="D31" s="20">
        <v>3</v>
      </c>
      <c r="E31" s="11"/>
      <c r="F31" s="11"/>
      <c r="G31" s="11"/>
      <c r="H31" s="20"/>
      <c r="BO31" s="4"/>
      <c r="BP31" s="4"/>
      <c r="BQ31" s="4"/>
      <c r="BR31" s="4"/>
    </row>
    <row r="32" spans="1:70">
      <c r="A32" s="21" t="str">
        <f t="shared" si="1"/>
        <v>АСПС.FB_SHOP_ALL.Commands.COOF</v>
      </c>
      <c r="B32" s="8">
        <v>4000000</v>
      </c>
      <c r="C32" s="8" t="s">
        <v>0</v>
      </c>
      <c r="D32" s="22" t="s">
        <v>713</v>
      </c>
      <c r="E32" s="11"/>
      <c r="F32" s="11"/>
      <c r="G32" s="11"/>
      <c r="H32" s="20"/>
      <c r="BO32" s="4"/>
      <c r="BP32" s="4"/>
      <c r="BQ32" s="4"/>
      <c r="BR32" s="4"/>
    </row>
    <row r="33" spans="1:70">
      <c r="A33" s="211" t="str">
        <f>$R$2&amp;".FXXX"</f>
        <v>АСПС.FB_SHOP_ALL.FXXX</v>
      </c>
      <c r="B33" s="212">
        <v>11154</v>
      </c>
      <c r="C33" s="212" t="s">
        <v>4</v>
      </c>
      <c r="D33" s="221">
        <f>$Q$7</f>
        <v>12</v>
      </c>
      <c r="E33" s="19" t="str">
        <f t="shared" si="2"/>
        <v>АСПС.FB_SHOP_ALL.DBTX</v>
      </c>
      <c r="F33" s="11">
        <v>101</v>
      </c>
      <c r="G33" s="11" t="s">
        <v>0</v>
      </c>
      <c r="H33" s="20" t="s">
        <v>436</v>
      </c>
      <c r="Q33" s="81"/>
      <c r="R33" s="11"/>
      <c r="S33" s="11"/>
      <c r="T33" s="11"/>
      <c r="BO33" s="4"/>
      <c r="BP33" s="4"/>
      <c r="BQ33" s="4"/>
      <c r="BR33" s="4"/>
    </row>
    <row r="34" spans="1:70">
      <c r="A34" s="211" t="str">
        <f t="shared" ref="A34:A42" si="3">$R$2&amp;".FXXX"</f>
        <v>АСПС.FB_SHOP_ALL.FXXX</v>
      </c>
      <c r="B34" s="212">
        <v>11152</v>
      </c>
      <c r="C34" s="212" t="s">
        <v>0</v>
      </c>
      <c r="D34" s="220" t="str">
        <f>$R$7</f>
        <v>Неисправность</v>
      </c>
      <c r="E34" s="19" t="str">
        <f t="shared" si="2"/>
        <v>АСПС.FB_SHOP_ALL.DBTX</v>
      </c>
      <c r="F34" s="11">
        <v>3</v>
      </c>
      <c r="G34" s="11" t="s">
        <v>1</v>
      </c>
      <c r="H34" s="20">
        <v>192</v>
      </c>
      <c r="Q34" s="81"/>
      <c r="R34" s="11"/>
      <c r="S34" s="11"/>
      <c r="T34" s="11"/>
      <c r="BO34" s="4"/>
      <c r="BP34" s="4"/>
      <c r="BQ34" s="4"/>
      <c r="BR34" s="4"/>
    </row>
    <row r="35" spans="1:70">
      <c r="A35" s="211" t="str">
        <f t="shared" si="3"/>
        <v>АСПС.FB_SHOP_ALL.FXXX</v>
      </c>
      <c r="B35" s="212">
        <v>11150</v>
      </c>
      <c r="C35" s="212" t="s">
        <v>0</v>
      </c>
      <c r="D35" s="213" t="s">
        <v>110</v>
      </c>
      <c r="E35" s="19" t="str">
        <f t="shared" si="2"/>
        <v>АСПС.FB_SHOP_ALL.DBTX</v>
      </c>
      <c r="F35" s="11">
        <v>2</v>
      </c>
      <c r="G35" s="11" t="s">
        <v>2</v>
      </c>
      <c r="H35" s="20" t="s">
        <v>3</v>
      </c>
      <c r="Q35" s="81"/>
      <c r="R35" s="11"/>
      <c r="S35" s="11"/>
      <c r="T35" s="11"/>
      <c r="BO35" s="4"/>
      <c r="BP35" s="4"/>
      <c r="BQ35" s="4"/>
      <c r="BR35" s="4"/>
    </row>
    <row r="36" spans="1:70">
      <c r="A36" s="211" t="str">
        <f t="shared" si="3"/>
        <v>АСПС.FB_SHOP_ALL.FXXX</v>
      </c>
      <c r="B36" s="212">
        <v>11000</v>
      </c>
      <c r="C36" s="212" t="s">
        <v>5</v>
      </c>
      <c r="D36" s="213">
        <v>2147483680</v>
      </c>
      <c r="E36" s="21" t="str">
        <f t="shared" si="2"/>
        <v>АСПС.FB_SHOP_ALL.DBTX</v>
      </c>
      <c r="F36" s="8">
        <v>1</v>
      </c>
      <c r="G36" s="8" t="s">
        <v>1</v>
      </c>
      <c r="H36" s="22">
        <v>11</v>
      </c>
      <c r="Q36" s="81"/>
      <c r="R36" s="11"/>
      <c r="S36" s="11"/>
      <c r="T36" s="11"/>
      <c r="BO36" s="4"/>
      <c r="BP36" s="4"/>
      <c r="BQ36" s="4"/>
      <c r="BR36" s="4"/>
    </row>
    <row r="37" spans="1:70">
      <c r="A37" s="19" t="str">
        <f t="shared" si="3"/>
        <v>АСПС.FB_SHOP_ALL.FXXX</v>
      </c>
      <c r="B37" s="11">
        <v>7999</v>
      </c>
      <c r="C37" s="11" t="s">
        <v>0</v>
      </c>
      <c r="D37" s="20" t="str">
        <f>"#"&amp;$S$2&amp;"#"&amp;$T$2&amp;"\"&amp;$P$2&amp;"\FXXX"</f>
        <v>#1#treiOPCDA.CoOPCserv.1\pcmaster\FB_SHOP_ALL\FXXX</v>
      </c>
      <c r="Q37" s="81"/>
      <c r="R37" s="11"/>
      <c r="S37" s="11"/>
      <c r="T37" s="11"/>
      <c r="BK37" s="4"/>
      <c r="BL37" s="4"/>
      <c r="BM37" s="4"/>
      <c r="BN37" s="4"/>
    </row>
    <row r="38" spans="1:70">
      <c r="A38" s="19" t="str">
        <f t="shared" si="3"/>
        <v>АСПС.FB_SHOP_ALL.FXXX</v>
      </c>
      <c r="B38" s="11">
        <v>7998</v>
      </c>
      <c r="C38" s="11" t="s">
        <v>6</v>
      </c>
      <c r="D38" s="20">
        <v>1</v>
      </c>
      <c r="Q38" s="81"/>
      <c r="R38" s="11"/>
      <c r="S38" s="11"/>
      <c r="T38" s="11"/>
      <c r="BK38" s="4"/>
      <c r="BL38" s="4"/>
      <c r="BM38" s="4"/>
      <c r="BN38" s="4"/>
    </row>
    <row r="39" spans="1:70">
      <c r="A39" s="19" t="str">
        <f t="shared" si="3"/>
        <v>АСПС.FB_SHOP_ALL.FXXX</v>
      </c>
      <c r="B39" s="11">
        <v>101</v>
      </c>
      <c r="C39" s="11" t="s">
        <v>0</v>
      </c>
      <c r="D39" s="20" t="s">
        <v>110</v>
      </c>
      <c r="BK39" s="4"/>
      <c r="BL39" s="4"/>
      <c r="BM39" s="4"/>
      <c r="BN39" s="4"/>
    </row>
    <row r="40" spans="1:70">
      <c r="A40" s="19" t="str">
        <f t="shared" si="3"/>
        <v>АСПС.FB_SHOP_ALL.FXXX</v>
      </c>
      <c r="B40" s="11">
        <v>3</v>
      </c>
      <c r="C40" s="11" t="s">
        <v>1</v>
      </c>
      <c r="D40" s="20">
        <v>192</v>
      </c>
      <c r="BK40" s="4"/>
      <c r="BL40" s="4"/>
      <c r="BM40" s="4"/>
      <c r="BN40" s="4"/>
    </row>
    <row r="41" spans="1:70">
      <c r="A41" s="19" t="str">
        <f t="shared" si="3"/>
        <v>АСПС.FB_SHOP_ALL.FXXX</v>
      </c>
      <c r="B41" s="11">
        <v>2</v>
      </c>
      <c r="C41" s="11" t="s">
        <v>2</v>
      </c>
      <c r="D41" s="20" t="s">
        <v>3</v>
      </c>
      <c r="BK41" s="4"/>
      <c r="BL41" s="4"/>
      <c r="BM41" s="4"/>
      <c r="BN41" s="4"/>
    </row>
    <row r="42" spans="1:70">
      <c r="A42" s="19" t="str">
        <f t="shared" si="3"/>
        <v>АСПС.FB_SHOP_ALL.FXXX</v>
      </c>
      <c r="B42" s="11">
        <v>1</v>
      </c>
      <c r="C42" s="11" t="s">
        <v>1</v>
      </c>
      <c r="D42" s="20">
        <v>11</v>
      </c>
      <c r="BK42" s="4"/>
      <c r="BL42" s="4"/>
      <c r="BM42" s="4"/>
      <c r="BN42" s="4"/>
    </row>
    <row r="43" spans="1:70">
      <c r="A43" s="137" t="str">
        <f t="shared" ref="A43:A52" si="4">$R$2&amp;".XRPX"</f>
        <v>АСПС.FB_SHOP_ALL.XRPX</v>
      </c>
      <c r="B43" s="138">
        <v>11000</v>
      </c>
      <c r="C43" s="138" t="s">
        <v>5</v>
      </c>
      <c r="D43" s="202">
        <v>2147483680</v>
      </c>
      <c r="BK43" s="4"/>
      <c r="BL43" s="4"/>
      <c r="BM43" s="4"/>
      <c r="BN43" s="4"/>
    </row>
    <row r="44" spans="1:70">
      <c r="A44" s="140" t="str">
        <f t="shared" si="4"/>
        <v>АСПС.FB_SHOP_ALL.XRPX</v>
      </c>
      <c r="B44" s="141">
        <v>11150</v>
      </c>
      <c r="C44" s="141" t="s">
        <v>0</v>
      </c>
      <c r="D44" s="142" t="s">
        <v>89</v>
      </c>
      <c r="BK44" s="4"/>
      <c r="BL44" s="4"/>
      <c r="BM44" s="4"/>
      <c r="BN44" s="4"/>
    </row>
    <row r="45" spans="1:70">
      <c r="A45" s="140" t="str">
        <f t="shared" si="4"/>
        <v>АСПС.FB_SHOP_ALL.XRPX</v>
      </c>
      <c r="B45" s="141">
        <v>11152</v>
      </c>
      <c r="C45" s="141" t="s">
        <v>0</v>
      </c>
      <c r="D45" s="142" t="str">
        <f>$R$11</f>
        <v>Ремонт</v>
      </c>
      <c r="BK45" s="4"/>
      <c r="BL45" s="4"/>
      <c r="BM45" s="4"/>
      <c r="BN45" s="4"/>
    </row>
    <row r="46" spans="1:70">
      <c r="A46" s="140" t="str">
        <f t="shared" si="4"/>
        <v>АСПС.FB_SHOP_ALL.XRPX</v>
      </c>
      <c r="B46" s="141">
        <v>11154</v>
      </c>
      <c r="C46" s="141" t="s">
        <v>4</v>
      </c>
      <c r="D46" s="142">
        <f>$Q$11</f>
        <v>14</v>
      </c>
      <c r="BK46" s="4"/>
      <c r="BL46" s="4"/>
      <c r="BM46" s="4"/>
      <c r="BN46" s="4"/>
    </row>
    <row r="47" spans="1:70">
      <c r="A47" s="19" t="str">
        <f t="shared" si="4"/>
        <v>АСПС.FB_SHOP_ALL.XRPX</v>
      </c>
      <c r="B47" s="11">
        <v>1</v>
      </c>
      <c r="C47" s="11" t="s">
        <v>1</v>
      </c>
      <c r="D47" s="20">
        <v>11</v>
      </c>
      <c r="BK47" s="4"/>
      <c r="BL47" s="4"/>
      <c r="BM47" s="4"/>
      <c r="BN47" s="4"/>
    </row>
    <row r="48" spans="1:70">
      <c r="A48" s="19" t="str">
        <f t="shared" si="4"/>
        <v>АСПС.FB_SHOP_ALL.XRPX</v>
      </c>
      <c r="B48" s="11">
        <v>2</v>
      </c>
      <c r="C48" s="11" t="s">
        <v>2</v>
      </c>
      <c r="D48" s="20" t="s">
        <v>3</v>
      </c>
      <c r="BK48" s="4"/>
      <c r="BL48" s="4"/>
      <c r="BM48" s="4"/>
      <c r="BN48" s="4"/>
    </row>
    <row r="49" spans="1:66">
      <c r="A49" s="19" t="str">
        <f t="shared" si="4"/>
        <v>АСПС.FB_SHOP_ALL.XRPX</v>
      </c>
      <c r="B49" s="11">
        <v>3</v>
      </c>
      <c r="C49" s="11" t="s">
        <v>1</v>
      </c>
      <c r="D49" s="20">
        <v>192</v>
      </c>
      <c r="BK49" s="4"/>
      <c r="BL49" s="4"/>
      <c r="BM49" s="4"/>
      <c r="BN49" s="4"/>
    </row>
    <row r="50" spans="1:66">
      <c r="A50" s="19" t="str">
        <f t="shared" si="4"/>
        <v>АСПС.FB_SHOP_ALL.XRPX</v>
      </c>
      <c r="B50" s="11">
        <v>101</v>
      </c>
      <c r="C50" s="11" t="s">
        <v>0</v>
      </c>
      <c r="D50" s="20" t="s">
        <v>137</v>
      </c>
      <c r="BK50" s="4"/>
      <c r="BL50" s="4"/>
      <c r="BM50" s="4"/>
      <c r="BN50" s="4"/>
    </row>
    <row r="51" spans="1:66">
      <c r="A51" s="19" t="str">
        <f t="shared" si="4"/>
        <v>АСПС.FB_SHOP_ALL.XRPX</v>
      </c>
      <c r="B51" s="11">
        <v>7998</v>
      </c>
      <c r="C51" s="11" t="s">
        <v>6</v>
      </c>
      <c r="D51" s="20">
        <v>1</v>
      </c>
      <c r="BK51" s="4"/>
      <c r="BL51" s="4"/>
      <c r="BM51" s="4"/>
      <c r="BN51" s="4"/>
    </row>
    <row r="52" spans="1:66">
      <c r="A52" s="19" t="str">
        <f t="shared" si="4"/>
        <v>АСПС.FB_SHOP_ALL.XRPX</v>
      </c>
      <c r="B52" s="11">
        <v>7999</v>
      </c>
      <c r="C52" s="11" t="s">
        <v>0</v>
      </c>
      <c r="D52" s="20" t="str">
        <f>"#"&amp;$S$2&amp;"#"&amp;$T$2&amp;"\"&amp;$P$2&amp;"\XRPX"</f>
        <v>#1#treiOPCDA.CoOPCserv.1\pcmaster\FB_SHOP_ALL\XRPX</v>
      </c>
      <c r="BK52" s="4"/>
      <c r="BL52" s="4"/>
      <c r="BM52" s="4"/>
      <c r="BN52" s="4"/>
    </row>
    <row r="53" spans="1:66">
      <c r="A53" s="100" t="str">
        <f>$R$2&amp;".XONX"</f>
        <v>АСПС.FB_SHOP_ALL.XONX</v>
      </c>
      <c r="B53" s="101">
        <v>11154</v>
      </c>
      <c r="C53" s="101" t="s">
        <v>4</v>
      </c>
      <c r="D53" s="102">
        <f>$Q$8</f>
        <v>18</v>
      </c>
      <c r="BK53" s="4"/>
      <c r="BL53" s="4"/>
      <c r="BM53" s="4"/>
      <c r="BN53" s="4"/>
    </row>
    <row r="54" spans="1:66">
      <c r="A54" s="100" t="str">
        <f t="shared" ref="A54:A62" si="5">$R$2&amp;".XONX"</f>
        <v>АСПС.FB_SHOP_ALL.XONX</v>
      </c>
      <c r="B54" s="101">
        <v>11150</v>
      </c>
      <c r="C54" s="101" t="s">
        <v>0</v>
      </c>
      <c r="D54" s="103" t="s">
        <v>706</v>
      </c>
      <c r="BK54" s="4"/>
      <c r="BL54" s="4"/>
      <c r="BM54" s="4"/>
      <c r="BN54" s="4"/>
    </row>
    <row r="55" spans="1:66">
      <c r="A55" s="100" t="str">
        <f t="shared" si="5"/>
        <v>АСПС.FB_SHOP_ALL.XONX</v>
      </c>
      <c r="B55" s="101">
        <v>11152</v>
      </c>
      <c r="C55" s="101" t="s">
        <v>0</v>
      </c>
      <c r="D55" s="104" t="str">
        <f>$R$8</f>
        <v>Телесигнализация</v>
      </c>
    </row>
    <row r="56" spans="1:66">
      <c r="A56" s="100" t="str">
        <f t="shared" si="5"/>
        <v>АСПС.FB_SHOP_ALL.XONX</v>
      </c>
      <c r="B56" s="101">
        <v>11000</v>
      </c>
      <c r="C56" s="101" t="s">
        <v>5</v>
      </c>
      <c r="D56" s="103">
        <v>2147483680</v>
      </c>
    </row>
    <row r="57" spans="1:66">
      <c r="A57" s="19" t="str">
        <f t="shared" si="5"/>
        <v>АСПС.FB_SHOP_ALL.XONX</v>
      </c>
      <c r="B57" s="11">
        <v>7999</v>
      </c>
      <c r="C57" s="11" t="s">
        <v>0</v>
      </c>
      <c r="D57" s="20" t="str">
        <f>"#"&amp;$S$2&amp;"#"&amp;$T$2&amp;"\"&amp;$P$2&amp;"\XONX"</f>
        <v>#1#treiOPCDA.CoOPCserv.1\pcmaster\FB_SHOP_ALL\XONX</v>
      </c>
    </row>
    <row r="58" spans="1:66">
      <c r="A58" s="19" t="str">
        <f t="shared" si="5"/>
        <v>АСПС.FB_SHOP_ALL.XONX</v>
      </c>
      <c r="B58" s="11">
        <v>7998</v>
      </c>
      <c r="C58" s="11" t="s">
        <v>6</v>
      </c>
      <c r="D58" s="20">
        <v>1</v>
      </c>
    </row>
    <row r="59" spans="1:66">
      <c r="A59" s="19" t="str">
        <f t="shared" si="5"/>
        <v>АСПС.FB_SHOP_ALL.XONX</v>
      </c>
      <c r="B59" s="11">
        <v>101</v>
      </c>
      <c r="C59" s="11" t="s">
        <v>0</v>
      </c>
      <c r="D59" s="20" t="s">
        <v>706</v>
      </c>
    </row>
    <row r="60" spans="1:66">
      <c r="A60" s="19" t="str">
        <f t="shared" si="5"/>
        <v>АСПС.FB_SHOP_ALL.XONX</v>
      </c>
      <c r="B60" s="11">
        <v>3</v>
      </c>
      <c r="C60" s="11" t="s">
        <v>1</v>
      </c>
      <c r="D60" s="20">
        <v>192</v>
      </c>
    </row>
    <row r="61" spans="1:66">
      <c r="A61" s="19" t="str">
        <f t="shared" si="5"/>
        <v>АСПС.FB_SHOP_ALL.XONX</v>
      </c>
      <c r="B61" s="11">
        <v>2</v>
      </c>
      <c r="C61" s="11" t="s">
        <v>2</v>
      </c>
      <c r="D61" s="20" t="s">
        <v>3</v>
      </c>
    </row>
    <row r="62" spans="1:66">
      <c r="A62" s="21" t="str">
        <f t="shared" si="5"/>
        <v>АСПС.FB_SHOP_ALL.XONX</v>
      </c>
      <c r="B62" s="8">
        <v>1</v>
      </c>
      <c r="C62" s="8" t="s">
        <v>1</v>
      </c>
      <c r="D62" s="22">
        <v>11</v>
      </c>
    </row>
    <row r="63" spans="1:66">
      <c r="A63" s="342" t="str">
        <f t="shared" ref="A63:A72" si="6">$R$2&amp;".CAON"</f>
        <v>АСПС.FB_SHOP_ALL.CAON</v>
      </c>
      <c r="B63" s="343">
        <v>11154</v>
      </c>
      <c r="C63" s="343" t="s">
        <v>4</v>
      </c>
      <c r="D63" s="344">
        <f>$Q$19</f>
        <v>22</v>
      </c>
    </row>
    <row r="64" spans="1:66">
      <c r="A64" s="345" t="str">
        <f t="shared" si="6"/>
        <v>АСПС.FB_SHOP_ALL.CAON</v>
      </c>
      <c r="B64" s="346">
        <v>11150</v>
      </c>
      <c r="C64" s="346" t="s">
        <v>0</v>
      </c>
      <c r="D64" s="347" t="s">
        <v>1859</v>
      </c>
    </row>
    <row r="65" spans="1:4">
      <c r="A65" s="345" t="str">
        <f t="shared" si="6"/>
        <v>АСПС.FB_SHOP_ALL.CAON</v>
      </c>
      <c r="B65" s="346">
        <v>11152</v>
      </c>
      <c r="C65" s="346" t="s">
        <v>0</v>
      </c>
      <c r="D65" s="348" t="str">
        <f>$R$19</f>
        <v>Информация</v>
      </c>
    </row>
    <row r="66" spans="1:4">
      <c r="A66" s="345" t="str">
        <f t="shared" si="6"/>
        <v>АСПС.FB_SHOP_ALL.CAON</v>
      </c>
      <c r="B66" s="346">
        <v>11000</v>
      </c>
      <c r="C66" s="346" t="s">
        <v>5</v>
      </c>
      <c r="D66" s="347">
        <v>2147483680</v>
      </c>
    </row>
    <row r="67" spans="1:4">
      <c r="A67" s="19" t="str">
        <f t="shared" si="6"/>
        <v>АСПС.FB_SHOP_ALL.CAON</v>
      </c>
      <c r="B67" s="11">
        <v>7999</v>
      </c>
      <c r="C67" s="11" t="s">
        <v>0</v>
      </c>
      <c r="D67" s="20" t="str">
        <f>"#"&amp;$S$2&amp;"#"&amp;$T$2&amp;"\"&amp;$P$2&amp;"\CAON"</f>
        <v>#1#treiOPCDA.CoOPCserv.1\pcmaster\FB_SHOP_ALL\CAON</v>
      </c>
    </row>
    <row r="68" spans="1:4">
      <c r="A68" s="19" t="str">
        <f t="shared" si="6"/>
        <v>АСПС.FB_SHOP_ALL.CAON</v>
      </c>
      <c r="B68" s="11">
        <v>7998</v>
      </c>
      <c r="C68" s="11" t="s">
        <v>6</v>
      </c>
      <c r="D68" s="20">
        <v>1</v>
      </c>
    </row>
    <row r="69" spans="1:4">
      <c r="A69" s="19" t="str">
        <f t="shared" si="6"/>
        <v>АСПС.FB_SHOP_ALL.CAON</v>
      </c>
      <c r="B69" s="11">
        <v>101</v>
      </c>
      <c r="C69" s="11" t="s">
        <v>0</v>
      </c>
      <c r="D69" s="20" t="s">
        <v>1859</v>
      </c>
    </row>
    <row r="70" spans="1:4">
      <c r="A70" s="19" t="str">
        <f t="shared" si="6"/>
        <v>АСПС.FB_SHOP_ALL.CAON</v>
      </c>
      <c r="B70" s="11">
        <v>3</v>
      </c>
      <c r="C70" s="11" t="s">
        <v>1</v>
      </c>
      <c r="D70" s="20">
        <v>192</v>
      </c>
    </row>
    <row r="71" spans="1:4">
      <c r="A71" s="19" t="str">
        <f t="shared" si="6"/>
        <v>АСПС.FB_SHOP_ALL.CAON</v>
      </c>
      <c r="B71" s="11">
        <v>2</v>
      </c>
      <c r="C71" s="11" t="s">
        <v>2</v>
      </c>
      <c r="D71" s="20" t="s">
        <v>3</v>
      </c>
    </row>
    <row r="72" spans="1:4">
      <c r="A72" s="21" t="str">
        <f t="shared" si="6"/>
        <v>АСПС.FB_SHOP_ALL.CAON</v>
      </c>
      <c r="B72" s="8">
        <v>1</v>
      </c>
      <c r="C72" s="8" t="s">
        <v>1</v>
      </c>
      <c r="D72" s="22">
        <v>11</v>
      </c>
    </row>
  </sheetData>
  <autoFilter ref="B1:B72" xr:uid="{00000000-0009-0000-0000-000057000000}"/>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Лист94">
    <tabColor rgb="FFFFC000"/>
  </sheetPr>
  <dimension ref="A1:BN65"/>
  <sheetViews>
    <sheetView topLeftCell="A16" zoomScale="80" zoomScaleNormal="80" workbookViewId="0">
      <selection activeCell="D2" sqref="D2:D4"/>
    </sheetView>
  </sheetViews>
  <sheetFormatPr defaultRowHeight="14.4"/>
  <cols>
    <col min="1" max="1" width="37.109375" customWidth="1"/>
    <col min="2" max="2" width="9.5546875" customWidth="1"/>
    <col min="4" max="4" width="63.88671875" customWidth="1"/>
    <col min="5" max="15" width="9.109375"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7.33203125" customWidth="1"/>
    <col min="56" max="56" width="10.33203125" customWidth="1"/>
    <col min="57" max="57" width="10" customWidth="1"/>
    <col min="59" max="59" width="7.109375" customWidth="1"/>
    <col min="60" max="60" width="10.88671875" customWidth="1"/>
    <col min="62" max="62" width="65.109375" customWidth="1"/>
  </cols>
  <sheetData>
    <row r="1" spans="1:66" s="258" customFormat="1" ht="204.6" thickBot="1">
      <c r="A1" s="257"/>
      <c r="B1" s="257"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K1" s="259"/>
      <c r="BL1" s="259"/>
      <c r="BM1" s="259"/>
      <c r="BN1" s="259"/>
    </row>
    <row r="2" spans="1:66">
      <c r="A2" s="9"/>
      <c r="B2" s="9"/>
      <c r="C2" s="9"/>
      <c r="D2" s="9"/>
      <c r="E2" s="9"/>
      <c r="F2" s="9"/>
      <c r="P2" s="2" t="s">
        <v>695</v>
      </c>
      <c r="Q2" s="2" t="s">
        <v>698</v>
      </c>
      <c r="R2" s="2" t="s">
        <v>759</v>
      </c>
      <c r="S2" s="3">
        <v>1</v>
      </c>
      <c r="T2" s="3" t="s">
        <v>1698</v>
      </c>
      <c r="U2" s="3"/>
      <c r="V2" s="3" t="s">
        <v>569</v>
      </c>
      <c r="W2" s="12"/>
      <c r="X2" s="12"/>
      <c r="Y2" s="12"/>
      <c r="Z2" s="12"/>
      <c r="AA2" s="12"/>
      <c r="AB2" s="2"/>
      <c r="AC2" s="2"/>
      <c r="AD2" s="2"/>
      <c r="AE2" s="2"/>
      <c r="AF2" s="2"/>
      <c r="AG2" s="2"/>
      <c r="AH2" s="2"/>
      <c r="AI2" s="2"/>
      <c r="AJ2" s="2"/>
      <c r="AK2" s="2"/>
      <c r="AL2" s="2"/>
      <c r="AM2" s="2"/>
      <c r="AN2" s="2"/>
      <c r="AO2" s="2"/>
      <c r="AP2" s="2"/>
      <c r="AQ2" s="2"/>
      <c r="AR2" s="2"/>
      <c r="AS2" s="2"/>
      <c r="AT2" s="2"/>
      <c r="AU2" s="2"/>
      <c r="AV2" s="2"/>
      <c r="AW2" s="2"/>
      <c r="AX2" s="2"/>
      <c r="AY2" s="2"/>
      <c r="AZ2" s="2"/>
      <c r="BA2" s="2"/>
      <c r="BK2" s="4"/>
      <c r="BL2" s="4"/>
      <c r="BM2" s="4"/>
      <c r="BN2" s="4"/>
    </row>
    <row r="3" spans="1:66">
      <c r="A3" s="9"/>
      <c r="B3" s="9"/>
      <c r="C3" s="9"/>
      <c r="D3" s="9"/>
      <c r="E3" s="9"/>
      <c r="F3" s="9"/>
      <c r="P3" s="10"/>
      <c r="Q3" s="10"/>
      <c r="R3" s="10"/>
      <c r="S3" s="10"/>
      <c r="T3" s="10"/>
      <c r="U3" s="10"/>
      <c r="V3" s="10"/>
      <c r="W3" s="10"/>
      <c r="X3" s="10"/>
      <c r="Y3" s="10"/>
      <c r="Z3" s="10"/>
      <c r="AA3" s="10"/>
      <c r="BK3" s="4"/>
      <c r="BL3" s="4"/>
      <c r="BM3" s="4"/>
      <c r="BN3" s="4"/>
    </row>
    <row r="4" spans="1:66">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K4" s="4"/>
      <c r="BL4" s="4"/>
      <c r="BM4" s="4"/>
      <c r="BN4" s="4"/>
    </row>
    <row r="5" spans="1:66">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K5" s="4"/>
      <c r="BL5" s="4"/>
      <c r="BM5" s="4"/>
      <c r="BN5" s="4"/>
    </row>
    <row r="6" spans="1:66">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K6" s="4"/>
      <c r="BL6" s="4"/>
      <c r="BM6" s="4"/>
      <c r="BN6" s="4"/>
    </row>
    <row r="7" spans="1:66">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K7" s="4"/>
      <c r="BL7" s="4"/>
      <c r="BM7" s="4"/>
      <c r="BN7" s="4"/>
    </row>
    <row r="8" spans="1:66">
      <c r="A8" s="9"/>
      <c r="B8" s="9"/>
      <c r="C8" s="9"/>
      <c r="D8" s="9"/>
      <c r="E8" s="9"/>
      <c r="F8" s="9"/>
      <c r="P8" s="6" t="str">
        <f>Настройки!A5</f>
        <v>Телесигнализация</v>
      </c>
      <c r="Q8" s="5">
        <f>Настройки!B5</f>
        <v>18</v>
      </c>
      <c r="R8" s="5" t="str">
        <f>Настройки!C5</f>
        <v>Телесигнализация</v>
      </c>
      <c r="S8" s="10"/>
      <c r="T8" s="14"/>
      <c r="U8" s="10"/>
      <c r="V8" s="10"/>
      <c r="W8" s="10"/>
      <c r="X8" s="10"/>
      <c r="Y8" s="10"/>
      <c r="Z8" s="10"/>
      <c r="AA8" s="10"/>
      <c r="BK8" s="4"/>
      <c r="BL8" s="4"/>
      <c r="BM8" s="4"/>
      <c r="BN8" s="4"/>
    </row>
    <row r="9" spans="1:66">
      <c r="A9" s="9"/>
      <c r="B9" s="9"/>
      <c r="C9" s="9"/>
      <c r="D9" s="9"/>
      <c r="E9" s="9"/>
      <c r="F9" s="9"/>
      <c r="P9" s="6" t="str">
        <f>Настройки!A6</f>
        <v>Недостоверность</v>
      </c>
      <c r="Q9" s="5">
        <f>Настройки!B6</f>
        <v>10</v>
      </c>
      <c r="R9" s="5" t="str">
        <f>Настройки!C6</f>
        <v>Недостоверность</v>
      </c>
      <c r="S9" s="10"/>
      <c r="T9" s="14"/>
      <c r="U9" s="10"/>
      <c r="V9" s="10"/>
      <c r="W9" s="10"/>
      <c r="X9" s="10"/>
      <c r="Y9" s="10"/>
      <c r="Z9" s="10"/>
      <c r="AA9" s="10"/>
      <c r="BK9" s="4"/>
      <c r="BL9" s="4"/>
      <c r="BM9" s="4"/>
      <c r="BN9" s="4"/>
    </row>
    <row r="10" spans="1:66">
      <c r="A10" s="9"/>
      <c r="B10" s="9"/>
      <c r="C10" s="9"/>
      <c r="D10" s="9"/>
      <c r="E10" s="9"/>
      <c r="F10" s="9"/>
      <c r="P10" s="6" t="str">
        <f>Настройки!A7</f>
        <v>Имитация</v>
      </c>
      <c r="Q10" s="5">
        <f>Настройки!B7</f>
        <v>16</v>
      </c>
      <c r="R10" s="5" t="str">
        <f>Настройки!C7</f>
        <v>Имитация</v>
      </c>
      <c r="S10" s="10"/>
      <c r="T10" s="14"/>
      <c r="U10" s="10"/>
      <c r="V10" s="10"/>
      <c r="W10" s="10"/>
      <c r="X10" s="10"/>
      <c r="Y10" s="10"/>
      <c r="Z10" s="10"/>
      <c r="AA10" s="10"/>
      <c r="BK10" s="4"/>
      <c r="BL10" s="4"/>
      <c r="BM10" s="4"/>
      <c r="BN10" s="4"/>
    </row>
    <row r="11" spans="1:66">
      <c r="A11" s="9"/>
      <c r="B11" s="9"/>
      <c r="C11" s="9"/>
      <c r="D11" s="9"/>
      <c r="E11" s="9"/>
      <c r="F11" s="9"/>
      <c r="P11" s="6" t="str">
        <f>Настройки!A8</f>
        <v>Ремонт</v>
      </c>
      <c r="Q11" s="5">
        <f>Настройки!B8</f>
        <v>14</v>
      </c>
      <c r="R11" s="5" t="str">
        <f>Настройки!C8</f>
        <v>Ремонт</v>
      </c>
      <c r="S11" s="10"/>
      <c r="T11" s="14"/>
      <c r="U11" s="10"/>
      <c r="V11" s="10"/>
      <c r="W11" s="10"/>
      <c r="X11" s="10"/>
      <c r="Y11" s="10"/>
      <c r="Z11" s="10"/>
      <c r="AA11" s="10"/>
      <c r="BK11" s="4"/>
      <c r="BL11" s="4"/>
      <c r="BM11" s="4"/>
      <c r="BN11" s="4"/>
    </row>
    <row r="12" spans="1:66">
      <c r="A12" s="9"/>
      <c r="B12" s="9"/>
      <c r="C12" s="9"/>
      <c r="D12" s="9"/>
      <c r="E12" s="9"/>
      <c r="F12" s="9"/>
      <c r="P12" s="6" t="str">
        <f>Настройки!A9</f>
        <v>Команда оператора</v>
      </c>
      <c r="Q12" s="5">
        <f>Настройки!B9</f>
        <v>20</v>
      </c>
      <c r="R12" s="5" t="str">
        <f>Настройки!C9</f>
        <v>Команда оператора</v>
      </c>
      <c r="S12" s="10"/>
      <c r="T12" s="14"/>
      <c r="U12" s="10"/>
      <c r="V12" s="10"/>
      <c r="W12" s="10"/>
      <c r="X12" s="10"/>
      <c r="Y12" s="10"/>
      <c r="Z12" s="10"/>
      <c r="AA12" s="10"/>
      <c r="BK12" s="4"/>
      <c r="BL12" s="4"/>
      <c r="BM12" s="4"/>
      <c r="BN12" s="4"/>
    </row>
    <row r="13" spans="1:66">
      <c r="A13" s="9"/>
      <c r="B13" s="9"/>
      <c r="C13" s="9"/>
      <c r="D13" s="9"/>
      <c r="E13" s="9"/>
      <c r="F13" s="9"/>
      <c r="P13" s="6" t="str">
        <f>Настройки!A10</f>
        <v>Тревога</v>
      </c>
      <c r="Q13" s="5">
        <f>Настройки!B10</f>
        <v>5</v>
      </c>
      <c r="R13" s="5" t="str">
        <f>Настройки!C10</f>
        <v>Тревога</v>
      </c>
      <c r="S13" s="10"/>
      <c r="T13" s="14"/>
      <c r="U13" s="10"/>
      <c r="V13" s="10"/>
      <c r="W13" s="10"/>
      <c r="X13" s="10"/>
      <c r="Y13" s="10"/>
      <c r="Z13" s="10"/>
      <c r="AA13" s="10"/>
      <c r="BK13" s="4"/>
      <c r="BL13" s="4"/>
      <c r="BM13" s="4"/>
      <c r="BN13" s="4"/>
    </row>
    <row r="14" spans="1:66">
      <c r="A14" s="9"/>
      <c r="B14" s="9"/>
      <c r="C14" s="9"/>
      <c r="D14" s="9"/>
      <c r="E14" s="9"/>
      <c r="F14" s="9"/>
      <c r="P14" s="6" t="str">
        <f>Настройки!A11</f>
        <v>Тушение</v>
      </c>
      <c r="Q14" s="5">
        <f>Настройки!B11</f>
        <v>1</v>
      </c>
      <c r="R14" s="5" t="str">
        <f>Настройки!C11</f>
        <v>Тушение</v>
      </c>
      <c r="S14" s="10"/>
      <c r="T14" s="14"/>
      <c r="U14" s="10"/>
      <c r="V14" s="10"/>
      <c r="W14" s="10"/>
      <c r="X14" s="10"/>
      <c r="Y14" s="10"/>
      <c r="Z14" s="10"/>
      <c r="AA14" s="10"/>
      <c r="BK14" s="4"/>
      <c r="BL14" s="4"/>
      <c r="BM14" s="4"/>
      <c r="BN14" s="4"/>
    </row>
    <row r="15" spans="1:66">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K15" s="4"/>
      <c r="BL15" s="4"/>
      <c r="BM15" s="4"/>
      <c r="BN15" s="4"/>
    </row>
    <row r="16" spans="1:66">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K16" s="4"/>
      <c r="BL16" s="4"/>
      <c r="BM16" s="4"/>
      <c r="BN16" s="4"/>
    </row>
    <row r="17" spans="1:66">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K17" s="4"/>
      <c r="BL17" s="4"/>
      <c r="BM17" s="4"/>
      <c r="BN17" s="4"/>
    </row>
    <row r="18" spans="1:66">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K18" s="4"/>
      <c r="BL18" s="4"/>
      <c r="BM18" s="4"/>
      <c r="BN18" s="4"/>
    </row>
    <row r="19" spans="1:66">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K19" s="4"/>
      <c r="BL19" s="4"/>
      <c r="BM19" s="4"/>
      <c r="BN19" s="4"/>
    </row>
    <row r="20" spans="1:66">
      <c r="A20" s="16" t="str">
        <f t="shared" ref="A20:A25" si="0">$R$2</f>
        <v>АСПС.FB_QSA_ALL</v>
      </c>
      <c r="B20" s="17">
        <v>11001</v>
      </c>
      <c r="C20" s="17" t="s">
        <v>0</v>
      </c>
      <c r="D20" s="18" t="str">
        <f>$Q$2&amp;". "</f>
        <v xml:space="preserve">Сбор обобщенных сигналов газоанализаторов по позиции. </v>
      </c>
      <c r="F20" s="4"/>
      <c r="BK20" s="4"/>
      <c r="BL20" s="4"/>
      <c r="BM20" s="4"/>
      <c r="BN20" s="4"/>
    </row>
    <row r="21" spans="1:66">
      <c r="A21" s="19" t="str">
        <f t="shared" si="0"/>
        <v>АСПС.FB_QSA_ALL</v>
      </c>
      <c r="B21" s="11">
        <v>11156</v>
      </c>
      <c r="C21" s="11" t="s">
        <v>0</v>
      </c>
      <c r="D21" s="20" t="str">
        <f>$V$2</f>
        <v>Тестовый экран</v>
      </c>
      <c r="F21" s="4"/>
      <c r="BK21" s="4"/>
      <c r="BL21" s="4"/>
      <c r="BM21" s="4"/>
      <c r="BN21" s="4"/>
    </row>
    <row r="22" spans="1:66">
      <c r="A22" s="19" t="str">
        <f t="shared" si="0"/>
        <v>АСПС.FB_QSA_ALL</v>
      </c>
      <c r="B22" s="11">
        <v>1</v>
      </c>
      <c r="C22" s="11" t="s">
        <v>1</v>
      </c>
      <c r="D22" s="20">
        <v>17</v>
      </c>
      <c r="BK22" s="4"/>
      <c r="BL22" s="4"/>
      <c r="BM22" s="4"/>
      <c r="BN22" s="4"/>
    </row>
    <row r="23" spans="1:66" ht="15" customHeight="1">
      <c r="A23" s="16" t="str">
        <f t="shared" si="0"/>
        <v>АСПС.FB_QSA_ALL</v>
      </c>
      <c r="B23" s="17">
        <v>100</v>
      </c>
      <c r="C23" s="17" t="s">
        <v>0</v>
      </c>
      <c r="D23" s="18" t="b">
        <f>$T$7</f>
        <v>0</v>
      </c>
      <c r="BF23" s="4"/>
      <c r="BG23" s="4"/>
      <c r="BH23" s="4"/>
      <c r="BI23" s="4"/>
    </row>
    <row r="24" spans="1:66">
      <c r="A24" s="19" t="str">
        <f t="shared" si="0"/>
        <v>АСПС.FB_QSA_ALL</v>
      </c>
      <c r="B24" s="11">
        <v>11120</v>
      </c>
      <c r="C24" s="11" t="s">
        <v>0</v>
      </c>
      <c r="D24" s="20">
        <f>$AK$2</f>
        <v>0</v>
      </c>
      <c r="BK24" s="4"/>
      <c r="BL24" s="4"/>
      <c r="BM24" s="4"/>
      <c r="BN24" s="4"/>
    </row>
    <row r="25" spans="1:66">
      <c r="A25" s="21" t="str">
        <f t="shared" si="0"/>
        <v>АСПС.FB_QSA_ALL</v>
      </c>
      <c r="B25" s="8">
        <v>11121</v>
      </c>
      <c r="C25" s="8" t="s">
        <v>0</v>
      </c>
      <c r="D25" s="22">
        <f>$AQ$2</f>
        <v>0</v>
      </c>
      <c r="BK25" s="4"/>
      <c r="BL25" s="4"/>
      <c r="BM25" s="4"/>
      <c r="BN25" s="4"/>
    </row>
    <row r="26" spans="1:66">
      <c r="A26" s="211" t="str">
        <f>$R$2&amp;".FXXX"</f>
        <v>АСПС.FB_QSA_ALL.FXXX</v>
      </c>
      <c r="B26" s="212">
        <v>11154</v>
      </c>
      <c r="C26" s="212" t="s">
        <v>4</v>
      </c>
      <c r="D26" s="221">
        <f>$Q$7</f>
        <v>12</v>
      </c>
    </row>
    <row r="27" spans="1:66">
      <c r="A27" s="211" t="str">
        <f t="shared" ref="A27:A35" si="1">$R$2&amp;".FXXX"</f>
        <v>АСПС.FB_QSA_ALL.FXXX</v>
      </c>
      <c r="B27" s="212">
        <v>11152</v>
      </c>
      <c r="C27" s="212" t="s">
        <v>0</v>
      </c>
      <c r="D27" s="220" t="str">
        <f>$R$7</f>
        <v>Неисправность</v>
      </c>
    </row>
    <row r="28" spans="1:66">
      <c r="A28" s="211" t="str">
        <f t="shared" si="1"/>
        <v>АСПС.FB_QSA_ALL.FXXX</v>
      </c>
      <c r="B28" s="212">
        <v>11150</v>
      </c>
      <c r="C28" s="212" t="s">
        <v>0</v>
      </c>
      <c r="D28" s="213" t="s">
        <v>110</v>
      </c>
    </row>
    <row r="29" spans="1:66">
      <c r="A29" s="211" t="str">
        <f t="shared" si="1"/>
        <v>АСПС.FB_QSA_ALL.FXXX</v>
      </c>
      <c r="B29" s="212">
        <v>11000</v>
      </c>
      <c r="C29" s="212" t="s">
        <v>5</v>
      </c>
      <c r="D29" s="213">
        <v>2147483680</v>
      </c>
    </row>
    <row r="30" spans="1:66">
      <c r="A30" s="19" t="str">
        <f t="shared" si="1"/>
        <v>АСПС.FB_QSA_ALL.FXXX</v>
      </c>
      <c r="B30" s="11">
        <v>7999</v>
      </c>
      <c r="C30" s="11" t="s">
        <v>0</v>
      </c>
      <c r="D30" s="20" t="str">
        <f>"#"&amp;$S$2&amp;"#"&amp;$T$2&amp;"\"&amp;$P$2&amp;"\FXXX"</f>
        <v>#1#treiOPCDA.CoOPCserv.1\pcmaster\FB_QSA_ALL\FXXX</v>
      </c>
    </row>
    <row r="31" spans="1:66">
      <c r="A31" s="19" t="str">
        <f t="shared" si="1"/>
        <v>АСПС.FB_QSA_ALL.FXXX</v>
      </c>
      <c r="B31" s="11">
        <v>7998</v>
      </c>
      <c r="C31" s="11" t="s">
        <v>6</v>
      </c>
      <c r="D31" s="20">
        <v>1</v>
      </c>
    </row>
    <row r="32" spans="1:66">
      <c r="A32" s="19" t="str">
        <f t="shared" si="1"/>
        <v>АСПС.FB_QSA_ALL.FXXX</v>
      </c>
      <c r="B32" s="11">
        <v>101</v>
      </c>
      <c r="C32" s="11" t="s">
        <v>0</v>
      </c>
      <c r="D32" s="20" t="s">
        <v>110</v>
      </c>
    </row>
    <row r="33" spans="1:4">
      <c r="A33" s="19" t="str">
        <f t="shared" si="1"/>
        <v>АСПС.FB_QSA_ALL.FXXX</v>
      </c>
      <c r="B33" s="11">
        <v>3</v>
      </c>
      <c r="C33" s="11" t="s">
        <v>1</v>
      </c>
      <c r="D33" s="20">
        <v>192</v>
      </c>
    </row>
    <row r="34" spans="1:4">
      <c r="A34" s="19" t="str">
        <f t="shared" si="1"/>
        <v>АСПС.FB_QSA_ALL.FXXX</v>
      </c>
      <c r="B34" s="11">
        <v>2</v>
      </c>
      <c r="C34" s="11" t="s">
        <v>2</v>
      </c>
      <c r="D34" s="20" t="s">
        <v>3</v>
      </c>
    </row>
    <row r="35" spans="1:4">
      <c r="A35" s="19" t="str">
        <f t="shared" si="1"/>
        <v>АСПС.FB_QSA_ALL.FXXX</v>
      </c>
      <c r="B35" s="11">
        <v>1</v>
      </c>
      <c r="C35" s="11" t="s">
        <v>1</v>
      </c>
      <c r="D35" s="20">
        <v>11</v>
      </c>
    </row>
    <row r="36" spans="1:4">
      <c r="A36" s="137" t="str">
        <f t="shared" ref="A36:A45" si="2">$R$2&amp;".XRPX"</f>
        <v>АСПС.FB_QSA_ALL.XRPX</v>
      </c>
      <c r="B36" s="138">
        <v>11000</v>
      </c>
      <c r="C36" s="138" t="s">
        <v>5</v>
      </c>
      <c r="D36" s="202">
        <v>2147483680</v>
      </c>
    </row>
    <row r="37" spans="1:4">
      <c r="A37" s="140" t="str">
        <f t="shared" si="2"/>
        <v>АСПС.FB_QSA_ALL.XRPX</v>
      </c>
      <c r="B37" s="141">
        <v>11150</v>
      </c>
      <c r="C37" s="141" t="s">
        <v>0</v>
      </c>
      <c r="D37" s="142" t="s">
        <v>89</v>
      </c>
    </row>
    <row r="38" spans="1:4">
      <c r="A38" s="140" t="str">
        <f t="shared" si="2"/>
        <v>АСПС.FB_QSA_ALL.XRPX</v>
      </c>
      <c r="B38" s="141">
        <v>11152</v>
      </c>
      <c r="C38" s="141" t="s">
        <v>0</v>
      </c>
      <c r="D38" s="142" t="str">
        <f>$R$11</f>
        <v>Ремонт</v>
      </c>
    </row>
    <row r="39" spans="1:4">
      <c r="A39" s="140" t="str">
        <f t="shared" si="2"/>
        <v>АСПС.FB_QSA_ALL.XRPX</v>
      </c>
      <c r="B39" s="141">
        <v>11154</v>
      </c>
      <c r="C39" s="141" t="s">
        <v>4</v>
      </c>
      <c r="D39" s="142">
        <f>$Q$11</f>
        <v>14</v>
      </c>
    </row>
    <row r="40" spans="1:4">
      <c r="A40" s="19" t="str">
        <f t="shared" si="2"/>
        <v>АСПС.FB_QSA_ALL.XRPX</v>
      </c>
      <c r="B40" s="11">
        <v>1</v>
      </c>
      <c r="C40" s="11" t="s">
        <v>1</v>
      </c>
      <c r="D40" s="20">
        <v>11</v>
      </c>
    </row>
    <row r="41" spans="1:4">
      <c r="A41" s="19" t="str">
        <f t="shared" si="2"/>
        <v>АСПС.FB_QSA_ALL.XRPX</v>
      </c>
      <c r="B41" s="11">
        <v>2</v>
      </c>
      <c r="C41" s="11" t="s">
        <v>2</v>
      </c>
      <c r="D41" s="20" t="s">
        <v>3</v>
      </c>
    </row>
    <row r="42" spans="1:4">
      <c r="A42" s="19" t="str">
        <f t="shared" si="2"/>
        <v>АСПС.FB_QSA_ALL.XRPX</v>
      </c>
      <c r="B42" s="11">
        <v>3</v>
      </c>
      <c r="C42" s="11" t="s">
        <v>1</v>
      </c>
      <c r="D42" s="20">
        <v>192</v>
      </c>
    </row>
    <row r="43" spans="1:4">
      <c r="A43" s="19" t="str">
        <f t="shared" si="2"/>
        <v>АСПС.FB_QSA_ALL.XRPX</v>
      </c>
      <c r="B43" s="11">
        <v>101</v>
      </c>
      <c r="C43" s="11" t="s">
        <v>0</v>
      </c>
      <c r="D43" s="20" t="s">
        <v>137</v>
      </c>
    </row>
    <row r="44" spans="1:4">
      <c r="A44" s="19" t="str">
        <f t="shared" si="2"/>
        <v>АСПС.FB_QSA_ALL.XRPX</v>
      </c>
      <c r="B44" s="11">
        <v>7998</v>
      </c>
      <c r="C44" s="11" t="s">
        <v>6</v>
      </c>
      <c r="D44" s="20">
        <v>1</v>
      </c>
    </row>
    <row r="45" spans="1:4">
      <c r="A45" s="19" t="str">
        <f t="shared" si="2"/>
        <v>АСПС.FB_QSA_ALL.XRPX</v>
      </c>
      <c r="B45" s="11">
        <v>7999</v>
      </c>
      <c r="C45" s="11" t="s">
        <v>0</v>
      </c>
      <c r="D45" s="20" t="str">
        <f>"#"&amp;$S$2&amp;"#"&amp;$T$2&amp;"\"&amp;$P$2&amp;"\XRPX"</f>
        <v>#1#treiOPCDA.CoOPCserv.1\pcmaster\FB_QSA_ALL\XRPX</v>
      </c>
    </row>
    <row r="46" spans="1:4">
      <c r="A46" s="275" t="str">
        <f>$R$2&amp;".XT1X"</f>
        <v>АСПС.FB_QSA_ALL.XT1X</v>
      </c>
      <c r="B46" s="276">
        <v>11154</v>
      </c>
      <c r="C46" s="276" t="s">
        <v>4</v>
      </c>
      <c r="D46" s="598">
        <f>$Q$17</f>
        <v>6</v>
      </c>
    </row>
    <row r="47" spans="1:4">
      <c r="A47" s="278" t="str">
        <f t="shared" ref="A47:A55" si="3">$R$2&amp;".XT1X"</f>
        <v>АСПС.FB_QSA_ALL.XT1X</v>
      </c>
      <c r="B47" s="279">
        <v>11152</v>
      </c>
      <c r="C47" s="279" t="s">
        <v>0</v>
      </c>
      <c r="D47" s="322" t="str">
        <f>$R$17</f>
        <v>Порог 1</v>
      </c>
    </row>
    <row r="48" spans="1:4">
      <c r="A48" s="278" t="str">
        <f t="shared" si="3"/>
        <v>АСПС.FB_QSA_ALL.XT1X</v>
      </c>
      <c r="B48" s="279">
        <v>11150</v>
      </c>
      <c r="C48" s="279" t="s">
        <v>0</v>
      </c>
      <c r="D48" s="322" t="s">
        <v>439</v>
      </c>
    </row>
    <row r="49" spans="1:4">
      <c r="A49" s="278" t="str">
        <f t="shared" si="3"/>
        <v>АСПС.FB_QSA_ALL.XT1X</v>
      </c>
      <c r="B49" s="279">
        <v>11000</v>
      </c>
      <c r="C49" s="279" t="s">
        <v>5</v>
      </c>
      <c r="D49" s="322">
        <v>2147483680</v>
      </c>
    </row>
    <row r="50" spans="1:4">
      <c r="A50" s="19" t="str">
        <f t="shared" si="3"/>
        <v>АСПС.FB_QSA_ALL.XT1X</v>
      </c>
      <c r="B50" s="11">
        <v>7999</v>
      </c>
      <c r="C50" s="11" t="s">
        <v>0</v>
      </c>
      <c r="D50" s="314" t="str">
        <f>"#"&amp;$S$2&amp;"#"&amp;$T$2&amp;"\"&amp;$P$2&amp;"\XT1X"</f>
        <v>#1#treiOPCDA.CoOPCserv.1\pcmaster\FB_QSA_ALL\XT1X</v>
      </c>
    </row>
    <row r="51" spans="1:4">
      <c r="A51" s="19" t="str">
        <f t="shared" si="3"/>
        <v>АСПС.FB_QSA_ALL.XT1X</v>
      </c>
      <c r="B51" s="11">
        <v>7998</v>
      </c>
      <c r="C51" s="11" t="s">
        <v>6</v>
      </c>
      <c r="D51" s="314">
        <v>1</v>
      </c>
    </row>
    <row r="52" spans="1:4">
      <c r="A52" s="19" t="str">
        <f t="shared" si="3"/>
        <v>АСПС.FB_QSA_ALL.XT1X</v>
      </c>
      <c r="B52" s="11">
        <v>101</v>
      </c>
      <c r="C52" s="11" t="s">
        <v>0</v>
      </c>
      <c r="D52" s="314" t="s">
        <v>439</v>
      </c>
    </row>
    <row r="53" spans="1:4">
      <c r="A53" s="19" t="str">
        <f t="shared" si="3"/>
        <v>АСПС.FB_QSA_ALL.XT1X</v>
      </c>
      <c r="B53" s="11">
        <v>3</v>
      </c>
      <c r="C53" s="11" t="s">
        <v>1</v>
      </c>
      <c r="D53" s="314">
        <v>192</v>
      </c>
    </row>
    <row r="54" spans="1:4">
      <c r="A54" s="19" t="str">
        <f t="shared" si="3"/>
        <v>АСПС.FB_QSA_ALL.XT1X</v>
      </c>
      <c r="B54" s="11">
        <v>2</v>
      </c>
      <c r="C54" s="11" t="s">
        <v>2</v>
      </c>
      <c r="D54" s="314" t="s">
        <v>3</v>
      </c>
    </row>
    <row r="55" spans="1:4">
      <c r="A55" s="21" t="str">
        <f t="shared" si="3"/>
        <v>АСПС.FB_QSA_ALL.XT1X</v>
      </c>
      <c r="B55" s="8">
        <v>1</v>
      </c>
      <c r="C55" s="8" t="s">
        <v>1</v>
      </c>
      <c r="D55" s="315">
        <v>11</v>
      </c>
    </row>
    <row r="56" spans="1:4">
      <c r="A56" s="352" t="str">
        <f>$R$2&amp;".XT2X"</f>
        <v>АСПС.FB_QSA_ALL.XT2X</v>
      </c>
      <c r="B56" s="353">
        <v>11154</v>
      </c>
      <c r="C56" s="353" t="s">
        <v>4</v>
      </c>
      <c r="D56" s="354">
        <f>$Q$16</f>
        <v>3</v>
      </c>
    </row>
    <row r="57" spans="1:4">
      <c r="A57" s="352" t="str">
        <f t="shared" ref="A57:A65" si="4">$R$2&amp;".XT2X"</f>
        <v>АСПС.FB_QSA_ALL.XT2X</v>
      </c>
      <c r="B57" s="353">
        <v>11152</v>
      </c>
      <c r="C57" s="353" t="s">
        <v>0</v>
      </c>
      <c r="D57" s="355" t="str">
        <f>$R$16</f>
        <v>Порог 2</v>
      </c>
    </row>
    <row r="58" spans="1:4">
      <c r="A58" s="352" t="str">
        <f t="shared" si="4"/>
        <v>АСПС.FB_QSA_ALL.XT2X</v>
      </c>
      <c r="B58" s="353">
        <v>11150</v>
      </c>
      <c r="C58" s="353" t="s">
        <v>0</v>
      </c>
      <c r="D58" s="355" t="s">
        <v>440</v>
      </c>
    </row>
    <row r="59" spans="1:4">
      <c r="A59" s="352" t="str">
        <f t="shared" si="4"/>
        <v>АСПС.FB_QSA_ALL.XT2X</v>
      </c>
      <c r="B59" s="353">
        <v>11000</v>
      </c>
      <c r="C59" s="353" t="s">
        <v>5</v>
      </c>
      <c r="D59" s="355">
        <v>2147483680</v>
      </c>
    </row>
    <row r="60" spans="1:4">
      <c r="A60" s="19" t="str">
        <f t="shared" si="4"/>
        <v>АСПС.FB_QSA_ALL.XT2X</v>
      </c>
      <c r="B60" s="11">
        <v>7999</v>
      </c>
      <c r="C60" s="11" t="s">
        <v>0</v>
      </c>
      <c r="D60" s="314" t="str">
        <f>"#"&amp;$S$2&amp;"#"&amp;$T$2&amp;"\"&amp;$P$2&amp;"\XT2X"</f>
        <v>#1#treiOPCDA.CoOPCserv.1\pcmaster\FB_QSA_ALL\XT2X</v>
      </c>
    </row>
    <row r="61" spans="1:4">
      <c r="A61" s="19" t="str">
        <f t="shared" si="4"/>
        <v>АСПС.FB_QSA_ALL.XT2X</v>
      </c>
      <c r="B61" s="11">
        <v>7998</v>
      </c>
      <c r="C61" s="11" t="s">
        <v>6</v>
      </c>
      <c r="D61" s="314">
        <v>1</v>
      </c>
    </row>
    <row r="62" spans="1:4">
      <c r="A62" s="19" t="str">
        <f t="shared" si="4"/>
        <v>АСПС.FB_QSA_ALL.XT2X</v>
      </c>
      <c r="B62" s="11">
        <v>101</v>
      </c>
      <c r="C62" s="11" t="s">
        <v>0</v>
      </c>
      <c r="D62" s="314" t="s">
        <v>440</v>
      </c>
    </row>
    <row r="63" spans="1:4">
      <c r="A63" s="19" t="str">
        <f t="shared" si="4"/>
        <v>АСПС.FB_QSA_ALL.XT2X</v>
      </c>
      <c r="B63" s="11">
        <v>3</v>
      </c>
      <c r="C63" s="11" t="s">
        <v>1</v>
      </c>
      <c r="D63" s="314">
        <v>192</v>
      </c>
    </row>
    <row r="64" spans="1:4">
      <c r="A64" s="19" t="str">
        <f t="shared" si="4"/>
        <v>АСПС.FB_QSA_ALL.XT2X</v>
      </c>
      <c r="B64" s="11">
        <v>2</v>
      </c>
      <c r="C64" s="11" t="s">
        <v>2</v>
      </c>
      <c r="D64" s="314" t="s">
        <v>3</v>
      </c>
    </row>
    <row r="65" spans="1:4">
      <c r="A65" s="21" t="str">
        <f t="shared" si="4"/>
        <v>АСПС.FB_QSA_ALL.XT2X</v>
      </c>
      <c r="B65" s="8">
        <v>1</v>
      </c>
      <c r="C65" s="8" t="s">
        <v>1</v>
      </c>
      <c r="D65" s="315">
        <v>11</v>
      </c>
    </row>
  </sheetData>
  <autoFilter ref="B1:B65" xr:uid="{00000000-0009-0000-0000-000058000000}"/>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Лист101">
    <tabColor rgb="FFFFC000"/>
  </sheetPr>
  <dimension ref="A1:BP87"/>
  <sheetViews>
    <sheetView topLeftCell="A16" workbookViewId="0">
      <selection activeCell="D2" sqref="D2:D4"/>
    </sheetView>
  </sheetViews>
  <sheetFormatPr defaultRowHeight="14.4"/>
  <cols>
    <col min="1" max="1" width="37.109375" customWidth="1"/>
    <col min="2" max="2" width="9.5546875" customWidth="1"/>
    <col min="4" max="4" width="63.88671875" customWidth="1"/>
    <col min="5" max="15" width="9.109375"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7.33203125" customWidth="1"/>
    <col min="56" max="56" width="10.33203125" customWidth="1"/>
    <col min="57" max="57" width="10" customWidth="1"/>
    <col min="59" max="59" width="7.109375" customWidth="1"/>
    <col min="60" max="60" width="10.88671875" customWidth="1"/>
    <col min="62" max="62" width="65.109375" customWidth="1"/>
  </cols>
  <sheetData>
    <row r="1" spans="1:66" s="258" customFormat="1" ht="204.6" thickBot="1">
      <c r="A1" s="257"/>
      <c r="B1" s="257"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K1" s="259"/>
      <c r="BL1" s="259"/>
      <c r="BM1" s="259"/>
      <c r="BN1" s="259"/>
    </row>
    <row r="2" spans="1:66">
      <c r="A2" s="9"/>
      <c r="B2" s="9"/>
      <c r="C2" s="9"/>
      <c r="D2" s="9"/>
      <c r="E2" s="9"/>
      <c r="F2" s="9"/>
      <c r="P2" s="2" t="s">
        <v>793</v>
      </c>
      <c r="Q2" s="2" t="s">
        <v>1862</v>
      </c>
      <c r="R2" s="2" t="s">
        <v>794</v>
      </c>
      <c r="S2" s="3">
        <v>1</v>
      </c>
      <c r="T2" s="3" t="s">
        <v>1698</v>
      </c>
      <c r="U2" s="3"/>
      <c r="V2" s="3" t="s">
        <v>569</v>
      </c>
      <c r="W2" s="12"/>
      <c r="X2" s="12"/>
      <c r="Y2" s="12"/>
      <c r="Z2" s="12"/>
      <c r="AA2" s="12"/>
      <c r="AB2" s="2" t="s">
        <v>230</v>
      </c>
      <c r="AC2" s="2" t="s">
        <v>226</v>
      </c>
      <c r="AD2" s="2"/>
      <c r="AE2" s="2" t="s">
        <v>1414</v>
      </c>
      <c r="AF2" s="2"/>
      <c r="AG2" s="2"/>
      <c r="AH2" s="2"/>
      <c r="AI2" s="2"/>
      <c r="AJ2" s="2"/>
      <c r="AK2" s="2"/>
      <c r="AL2" s="2"/>
      <c r="AM2" s="2"/>
      <c r="AN2" s="2"/>
      <c r="AO2" s="2"/>
      <c r="AP2" s="2"/>
      <c r="AQ2" s="2" t="s">
        <v>1865</v>
      </c>
      <c r="AR2" s="2"/>
      <c r="AS2" s="2"/>
      <c r="AT2" s="2"/>
      <c r="AU2" s="2"/>
      <c r="AV2" s="2"/>
      <c r="AW2" s="2"/>
      <c r="AX2" s="2"/>
      <c r="AY2" s="2"/>
      <c r="AZ2" s="2"/>
      <c r="BA2" s="2"/>
      <c r="BK2" s="4"/>
      <c r="BL2" s="4"/>
      <c r="BM2" s="4"/>
      <c r="BN2" s="4"/>
    </row>
    <row r="3" spans="1:66">
      <c r="A3" s="9"/>
      <c r="B3" s="9"/>
      <c r="C3" s="9"/>
      <c r="D3" s="9"/>
      <c r="E3" s="9"/>
      <c r="F3" s="9"/>
      <c r="P3" s="10"/>
      <c r="Q3" s="10"/>
      <c r="R3" s="10"/>
      <c r="S3" s="10"/>
      <c r="T3" s="10"/>
      <c r="U3" s="10"/>
      <c r="V3" s="10"/>
      <c r="W3" s="10"/>
      <c r="X3" s="10"/>
      <c r="Y3" s="10"/>
      <c r="Z3" s="10"/>
      <c r="AA3" s="10"/>
      <c r="BK3" s="4"/>
      <c r="BL3" s="4"/>
      <c r="BM3" s="4"/>
      <c r="BN3" s="4"/>
    </row>
    <row r="4" spans="1:66">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K4" s="4"/>
      <c r="BL4" s="4"/>
      <c r="BM4" s="4"/>
      <c r="BN4" s="4"/>
    </row>
    <row r="5" spans="1:66">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K5" s="4"/>
      <c r="BL5" s="4"/>
      <c r="BM5" s="4"/>
      <c r="BN5" s="4"/>
    </row>
    <row r="6" spans="1:66">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K6" s="4"/>
      <c r="BL6" s="4"/>
      <c r="BM6" s="4"/>
      <c r="BN6" s="4"/>
    </row>
    <row r="7" spans="1:66">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K7" s="4"/>
      <c r="BL7" s="4"/>
      <c r="BM7" s="4"/>
      <c r="BN7" s="4"/>
    </row>
    <row r="8" spans="1:66">
      <c r="A8" s="9"/>
      <c r="B8" s="9"/>
      <c r="C8" s="9"/>
      <c r="D8" s="9"/>
      <c r="E8" s="9"/>
      <c r="F8" s="9"/>
      <c r="P8" s="6" t="str">
        <f>Настройки!A5</f>
        <v>Телесигнализация</v>
      </c>
      <c r="Q8" s="5">
        <f>Настройки!B5</f>
        <v>18</v>
      </c>
      <c r="R8" s="5" t="str">
        <f>Настройки!C5</f>
        <v>Телесигнализация</v>
      </c>
      <c r="S8" s="10"/>
      <c r="T8" s="14"/>
      <c r="U8" s="10"/>
      <c r="V8" s="10"/>
      <c r="W8" s="10"/>
      <c r="X8" s="10"/>
      <c r="Y8" s="10"/>
      <c r="Z8" s="10"/>
      <c r="AA8" s="10"/>
      <c r="BK8" s="4"/>
      <c r="BL8" s="4"/>
      <c r="BM8" s="4"/>
      <c r="BN8" s="4"/>
    </row>
    <row r="9" spans="1:66">
      <c r="A9" s="9"/>
      <c r="B9" s="9"/>
      <c r="C9" s="9"/>
      <c r="D9" s="9"/>
      <c r="E9" s="9"/>
      <c r="F9" s="9"/>
      <c r="P9" s="6" t="str">
        <f>Настройки!A6</f>
        <v>Недостоверность</v>
      </c>
      <c r="Q9" s="5">
        <f>Настройки!B6</f>
        <v>10</v>
      </c>
      <c r="R9" s="5" t="str">
        <f>Настройки!C6</f>
        <v>Недостоверность</v>
      </c>
      <c r="S9" s="10"/>
      <c r="T9" s="14"/>
      <c r="U9" s="10"/>
      <c r="V9" s="10"/>
      <c r="W9" s="10"/>
      <c r="X9" s="10"/>
      <c r="Y9" s="10"/>
      <c r="Z9" s="10"/>
      <c r="AA9" s="10"/>
      <c r="BK9" s="4"/>
      <c r="BL9" s="4"/>
      <c r="BM9" s="4"/>
      <c r="BN9" s="4"/>
    </row>
    <row r="10" spans="1:66">
      <c r="A10" s="9"/>
      <c r="B10" s="9"/>
      <c r="C10" s="9"/>
      <c r="D10" s="9"/>
      <c r="E10" s="9"/>
      <c r="F10" s="9"/>
      <c r="P10" s="6" t="str">
        <f>Настройки!A7</f>
        <v>Имитация</v>
      </c>
      <c r="Q10" s="5">
        <f>Настройки!B7</f>
        <v>16</v>
      </c>
      <c r="R10" s="5" t="str">
        <f>Настройки!C7</f>
        <v>Имитация</v>
      </c>
      <c r="S10" s="10"/>
      <c r="T10" s="14"/>
      <c r="U10" s="10"/>
      <c r="V10" s="10"/>
      <c r="W10" s="10"/>
      <c r="X10" s="10"/>
      <c r="Y10" s="10"/>
      <c r="Z10" s="10"/>
      <c r="AA10" s="10"/>
      <c r="BK10" s="4"/>
      <c r="BL10" s="4"/>
      <c r="BM10" s="4"/>
      <c r="BN10" s="4"/>
    </row>
    <row r="11" spans="1:66">
      <c r="A11" s="9"/>
      <c r="B11" s="9"/>
      <c r="C11" s="9"/>
      <c r="D11" s="9"/>
      <c r="E11" s="9"/>
      <c r="F11" s="9"/>
      <c r="P11" s="6" t="str">
        <f>Настройки!A8</f>
        <v>Ремонт</v>
      </c>
      <c r="Q11" s="5">
        <f>Настройки!B8</f>
        <v>14</v>
      </c>
      <c r="R11" s="5" t="str">
        <f>Настройки!C8</f>
        <v>Ремонт</v>
      </c>
      <c r="S11" s="10"/>
      <c r="T11" s="14"/>
      <c r="U11" s="10"/>
      <c r="V11" s="10"/>
      <c r="W11" s="10"/>
      <c r="X11" s="10"/>
      <c r="Y11" s="10"/>
      <c r="Z11" s="10"/>
      <c r="AA11" s="10"/>
      <c r="BK11" s="4"/>
      <c r="BL11" s="4"/>
      <c r="BM11" s="4"/>
      <c r="BN11" s="4"/>
    </row>
    <row r="12" spans="1:66">
      <c r="A12" s="9"/>
      <c r="B12" s="9"/>
      <c r="C12" s="9"/>
      <c r="D12" s="9"/>
      <c r="E12" s="9"/>
      <c r="F12" s="9"/>
      <c r="P12" s="6" t="str">
        <f>Настройки!A9</f>
        <v>Команда оператора</v>
      </c>
      <c r="Q12" s="5">
        <f>Настройки!B9</f>
        <v>20</v>
      </c>
      <c r="R12" s="5" t="str">
        <f>Настройки!C9</f>
        <v>Команда оператора</v>
      </c>
      <c r="S12" s="10"/>
      <c r="T12" s="14"/>
      <c r="U12" s="10"/>
      <c r="V12" s="10"/>
      <c r="W12" s="10"/>
      <c r="X12" s="10"/>
      <c r="Y12" s="10"/>
      <c r="Z12" s="10"/>
      <c r="AA12" s="10"/>
      <c r="BK12" s="4"/>
      <c r="BL12" s="4"/>
      <c r="BM12" s="4"/>
      <c r="BN12" s="4"/>
    </row>
    <row r="13" spans="1:66">
      <c r="A13" s="9"/>
      <c r="B13" s="9"/>
      <c r="C13" s="9"/>
      <c r="D13" s="9"/>
      <c r="E13" s="9"/>
      <c r="F13" s="9"/>
      <c r="P13" s="6" t="str">
        <f>Настройки!A10</f>
        <v>Тревога</v>
      </c>
      <c r="Q13" s="5">
        <f>Настройки!B10</f>
        <v>5</v>
      </c>
      <c r="R13" s="5" t="str">
        <f>Настройки!C10</f>
        <v>Тревога</v>
      </c>
      <c r="S13" s="10"/>
      <c r="T13" s="14"/>
      <c r="U13" s="10"/>
      <c r="V13" s="10"/>
      <c r="W13" s="10"/>
      <c r="X13" s="10"/>
      <c r="Y13" s="10"/>
      <c r="Z13" s="10"/>
      <c r="AA13" s="10"/>
      <c r="BK13" s="4"/>
      <c r="BL13" s="4"/>
      <c r="BM13" s="4"/>
      <c r="BN13" s="4"/>
    </row>
    <row r="14" spans="1:66">
      <c r="A14" s="9"/>
      <c r="B14" s="9"/>
      <c r="C14" s="9"/>
      <c r="D14" s="9"/>
      <c r="E14" s="9"/>
      <c r="F14" s="9"/>
      <c r="P14" s="6" t="str">
        <f>Настройки!A11</f>
        <v>Тушение</v>
      </c>
      <c r="Q14" s="5">
        <f>Настройки!B11</f>
        <v>1</v>
      </c>
      <c r="R14" s="5" t="str">
        <f>Настройки!C11</f>
        <v>Тушение</v>
      </c>
      <c r="S14" s="10"/>
      <c r="T14" s="14"/>
      <c r="U14" s="10"/>
      <c r="V14" s="10"/>
      <c r="W14" s="10"/>
      <c r="X14" s="10"/>
      <c r="Y14" s="10"/>
      <c r="Z14" s="10"/>
      <c r="AA14" s="10"/>
      <c r="BK14" s="4"/>
      <c r="BL14" s="4"/>
      <c r="BM14" s="4"/>
      <c r="BN14" s="4"/>
    </row>
    <row r="15" spans="1:66">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K15" s="4"/>
      <c r="BL15" s="4"/>
      <c r="BM15" s="4"/>
      <c r="BN15" s="4"/>
    </row>
    <row r="16" spans="1:66">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K16" s="4"/>
      <c r="BL16" s="4"/>
      <c r="BM16" s="4"/>
      <c r="BN16" s="4"/>
    </row>
    <row r="17" spans="1:68">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K17" s="4"/>
      <c r="BL17" s="4"/>
      <c r="BM17" s="4"/>
      <c r="BN17" s="4"/>
    </row>
    <row r="18" spans="1:68">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K18" s="4"/>
      <c r="BL18" s="4"/>
      <c r="BM18" s="4"/>
      <c r="BN18" s="4"/>
    </row>
    <row r="19" spans="1:68">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K19" s="4"/>
      <c r="BL19" s="4"/>
      <c r="BM19" s="4"/>
      <c r="BN19" s="4"/>
    </row>
    <row r="20" spans="1:68">
      <c r="A20" s="16" t="str">
        <f t="shared" ref="A20:A27" si="0">$R$2</f>
        <v>АСПС.FB_DO_STB_S</v>
      </c>
      <c r="B20" s="17">
        <v>11001</v>
      </c>
      <c r="C20" s="17" t="s">
        <v>0</v>
      </c>
      <c r="D20" s="18" t="str">
        <f>$Q$2&amp;". "</f>
        <v xml:space="preserve">Блок дискретного выхода включен. </v>
      </c>
      <c r="F20" s="4"/>
      <c r="BK20" s="4"/>
      <c r="BL20" s="4"/>
      <c r="BM20" s="4"/>
      <c r="BN20" s="4"/>
    </row>
    <row r="21" spans="1:68">
      <c r="A21" s="19" t="str">
        <f t="shared" si="0"/>
        <v>АСПС.FB_DO_STB_S</v>
      </c>
      <c r="B21" s="11">
        <v>11156</v>
      </c>
      <c r="C21" s="11" t="s">
        <v>0</v>
      </c>
      <c r="D21" s="20" t="str">
        <f>$V$2</f>
        <v>Тестовый экран</v>
      </c>
      <c r="F21" s="4"/>
      <c r="BK21" s="4"/>
      <c r="BL21" s="4"/>
      <c r="BM21" s="4"/>
      <c r="BN21" s="4"/>
    </row>
    <row r="22" spans="1:68">
      <c r="A22" s="19" t="str">
        <f t="shared" si="0"/>
        <v>АСПС.FB_DO_STB_S</v>
      </c>
      <c r="B22" s="11">
        <v>1</v>
      </c>
      <c r="C22" s="11" t="s">
        <v>1</v>
      </c>
      <c r="D22" s="20">
        <v>17</v>
      </c>
      <c r="BK22" s="4"/>
      <c r="BL22" s="4"/>
      <c r="BM22" s="4"/>
      <c r="BN22" s="4"/>
    </row>
    <row r="23" spans="1:68" ht="15" customHeight="1">
      <c r="A23" s="16" t="str">
        <f t="shared" si="0"/>
        <v>АСПС.FB_DO_STB_S</v>
      </c>
      <c r="B23" s="17">
        <v>100</v>
      </c>
      <c r="C23" s="17" t="s">
        <v>0</v>
      </c>
      <c r="D23" s="18" t="b">
        <f>$T$7</f>
        <v>0</v>
      </c>
      <c r="BF23" s="4"/>
      <c r="BG23" s="4"/>
      <c r="BH23" s="4"/>
      <c r="BI23" s="4"/>
    </row>
    <row r="24" spans="1:68" ht="15" customHeight="1">
      <c r="A24" s="19" t="str">
        <f t="shared" si="0"/>
        <v>АСПС.FB_DO_STB_S</v>
      </c>
      <c r="B24" s="11">
        <v>11120</v>
      </c>
      <c r="C24" s="11" t="s">
        <v>0</v>
      </c>
      <c r="D24" s="20" t="str">
        <f>$AC$2</f>
        <v>Желтый</v>
      </c>
      <c r="BM24" s="4"/>
      <c r="BN24" s="4"/>
      <c r="BO24" s="4"/>
      <c r="BP24" s="4"/>
    </row>
    <row r="25" spans="1:68">
      <c r="A25" s="21" t="str">
        <f t="shared" si="0"/>
        <v>АСПС.FB_DO_STB_S</v>
      </c>
      <c r="B25" s="8">
        <v>11121</v>
      </c>
      <c r="C25" s="8" t="s">
        <v>0</v>
      </c>
      <c r="D25" s="22" t="str">
        <f>$AQ$2</f>
        <v>8+8</v>
      </c>
      <c r="BK25" s="4"/>
      <c r="BL25" s="4"/>
      <c r="BM25" s="4"/>
      <c r="BN25" s="4"/>
    </row>
    <row r="26" spans="1:68">
      <c r="A26" s="16" t="str">
        <f t="shared" si="0"/>
        <v>АСПС.FB_DO_STB_S</v>
      </c>
      <c r="B26" s="17">
        <v>13</v>
      </c>
      <c r="C26" s="17" t="s">
        <v>2</v>
      </c>
      <c r="D26" s="18" t="s">
        <v>3</v>
      </c>
      <c r="BK26" s="4"/>
      <c r="BL26" s="4"/>
      <c r="BM26" s="4"/>
      <c r="BN26" s="4"/>
    </row>
    <row r="27" spans="1:68">
      <c r="A27" s="21" t="str">
        <f t="shared" si="0"/>
        <v>АСПС.FB_DO_STB_S</v>
      </c>
      <c r="B27" s="8">
        <v>3000013</v>
      </c>
      <c r="C27" s="8" t="s">
        <v>0</v>
      </c>
      <c r="D27" s="22" t="str">
        <f>$AE$2</f>
        <v>Диагностика.CPU.NOT_LINK.noLink</v>
      </c>
      <c r="BK27" s="4"/>
      <c r="BL27" s="4"/>
      <c r="BM27" s="4"/>
      <c r="BN27" s="4"/>
    </row>
    <row r="28" spans="1:68">
      <c r="A28" s="211" t="str">
        <f>$R$2&amp;".DVXX"</f>
        <v>АСПС.FB_DO_STB_S.DVXX</v>
      </c>
      <c r="B28" s="212">
        <v>11154</v>
      </c>
      <c r="C28" s="212" t="s">
        <v>4</v>
      </c>
      <c r="D28" s="221">
        <f>$Q$7</f>
        <v>12</v>
      </c>
    </row>
    <row r="29" spans="1:68">
      <c r="A29" s="211" t="str">
        <f t="shared" ref="A29:A37" si="1">$R$2&amp;".DVXX"</f>
        <v>АСПС.FB_DO_STB_S.DVXX</v>
      </c>
      <c r="B29" s="212">
        <v>11152</v>
      </c>
      <c r="C29" s="212" t="s">
        <v>0</v>
      </c>
      <c r="D29" s="220" t="str">
        <f>$R$7</f>
        <v>Неисправность</v>
      </c>
    </row>
    <row r="30" spans="1:68">
      <c r="A30" s="211" t="str">
        <f t="shared" si="1"/>
        <v>АСПС.FB_DO_STB_S.DVXX</v>
      </c>
      <c r="B30" s="212">
        <v>11150</v>
      </c>
      <c r="C30" s="212" t="s">
        <v>0</v>
      </c>
      <c r="D30" s="213" t="s">
        <v>680</v>
      </c>
    </row>
    <row r="31" spans="1:68">
      <c r="A31" s="211" t="str">
        <f t="shared" si="1"/>
        <v>АСПС.FB_DO_STB_S.DVXX</v>
      </c>
      <c r="B31" s="212">
        <v>11000</v>
      </c>
      <c r="C31" s="212" t="s">
        <v>5</v>
      </c>
      <c r="D31" s="213">
        <v>2147483680</v>
      </c>
    </row>
    <row r="32" spans="1:68">
      <c r="A32" s="19" t="str">
        <f t="shared" si="1"/>
        <v>АСПС.FB_DO_STB_S.DVXX</v>
      </c>
      <c r="B32" s="11">
        <v>7999</v>
      </c>
      <c r="C32" s="11" t="s">
        <v>0</v>
      </c>
      <c r="D32" s="20" t="str">
        <f>"#"&amp;$S$2&amp;"#"&amp;$T$2&amp;"\"&amp;$P$2&amp;"\DVXX"</f>
        <v>#1#treiOPCDA.CoOPCserv.1\pcmaster\FB_DO_STB_S\DVXX</v>
      </c>
    </row>
    <row r="33" spans="1:4">
      <c r="A33" s="19" t="str">
        <f t="shared" si="1"/>
        <v>АСПС.FB_DO_STB_S.DVXX</v>
      </c>
      <c r="B33" s="11">
        <v>7998</v>
      </c>
      <c r="C33" s="11" t="s">
        <v>6</v>
      </c>
      <c r="D33" s="20">
        <v>1</v>
      </c>
    </row>
    <row r="34" spans="1:4">
      <c r="A34" s="19" t="str">
        <f t="shared" si="1"/>
        <v>АСПС.FB_DO_STB_S.DVXX</v>
      </c>
      <c r="B34" s="11">
        <v>101</v>
      </c>
      <c r="C34" s="11" t="s">
        <v>0</v>
      </c>
      <c r="D34" s="20" t="s">
        <v>680</v>
      </c>
    </row>
    <row r="35" spans="1:4">
      <c r="A35" s="19" t="str">
        <f t="shared" si="1"/>
        <v>АСПС.FB_DO_STB_S.DVXX</v>
      </c>
      <c r="B35" s="11">
        <v>3</v>
      </c>
      <c r="C35" s="11" t="s">
        <v>1</v>
      </c>
      <c r="D35" s="20">
        <v>192</v>
      </c>
    </row>
    <row r="36" spans="1:4">
      <c r="A36" s="19" t="str">
        <f t="shared" si="1"/>
        <v>АСПС.FB_DO_STB_S.DVXX</v>
      </c>
      <c r="B36" s="11">
        <v>2</v>
      </c>
      <c r="C36" s="11" t="s">
        <v>2</v>
      </c>
      <c r="D36" s="20" t="s">
        <v>3</v>
      </c>
    </row>
    <row r="37" spans="1:4">
      <c r="A37" s="19" t="str">
        <f t="shared" si="1"/>
        <v>АСПС.FB_DO_STB_S.DVXX</v>
      </c>
      <c r="B37" s="11">
        <v>1</v>
      </c>
      <c r="C37" s="11" t="s">
        <v>1</v>
      </c>
      <c r="D37" s="20">
        <v>11</v>
      </c>
    </row>
    <row r="38" spans="1:4">
      <c r="A38" s="217" t="str">
        <f>$R$2&amp;".FBON"</f>
        <v>АСПС.FB_DO_STB_S.FBON</v>
      </c>
      <c r="B38" s="218">
        <v>11154</v>
      </c>
      <c r="C38" s="218" t="s">
        <v>4</v>
      </c>
      <c r="D38" s="219">
        <f>$Q$7</f>
        <v>12</v>
      </c>
    </row>
    <row r="39" spans="1:4">
      <c r="A39" s="211" t="str">
        <f t="shared" ref="A39:A47" si="2">$R$2&amp;".FBON"</f>
        <v>АСПС.FB_DO_STB_S.FBON</v>
      </c>
      <c r="B39" s="212">
        <v>11152</v>
      </c>
      <c r="C39" s="212" t="s">
        <v>0</v>
      </c>
      <c r="D39" s="220" t="str">
        <f>$R$7</f>
        <v>Неисправность</v>
      </c>
    </row>
    <row r="40" spans="1:4">
      <c r="A40" s="211" t="str">
        <f t="shared" si="2"/>
        <v>АСПС.FB_DO_STB_S.FBON</v>
      </c>
      <c r="B40" s="212">
        <v>11150</v>
      </c>
      <c r="C40" s="212" t="s">
        <v>0</v>
      </c>
      <c r="D40" s="213" t="s">
        <v>3081</v>
      </c>
    </row>
    <row r="41" spans="1:4">
      <c r="A41" s="211" t="str">
        <f t="shared" si="2"/>
        <v>АСПС.FB_DO_STB_S.FBON</v>
      </c>
      <c r="B41" s="212">
        <v>11000</v>
      </c>
      <c r="C41" s="212" t="s">
        <v>5</v>
      </c>
      <c r="D41" s="213">
        <v>2147483680</v>
      </c>
    </row>
    <row r="42" spans="1:4">
      <c r="A42" s="19" t="str">
        <f t="shared" si="2"/>
        <v>АСПС.FB_DO_STB_S.FBON</v>
      </c>
      <c r="B42" s="11">
        <v>7999</v>
      </c>
      <c r="C42" s="11" t="s">
        <v>0</v>
      </c>
      <c r="D42" s="20" t="str">
        <f>"#"&amp;$S$2&amp;"#"&amp;$T$2&amp;"\"&amp;$P$2&amp;"\FBON"</f>
        <v>#1#treiOPCDA.CoOPCserv.1\pcmaster\FB_DO_STB_S\FBON</v>
      </c>
    </row>
    <row r="43" spans="1:4">
      <c r="A43" s="19" t="str">
        <f t="shared" si="2"/>
        <v>АСПС.FB_DO_STB_S.FBON</v>
      </c>
      <c r="B43" s="11">
        <v>7998</v>
      </c>
      <c r="C43" s="11" t="s">
        <v>6</v>
      </c>
      <c r="D43" s="20">
        <v>1</v>
      </c>
    </row>
    <row r="44" spans="1:4">
      <c r="A44" s="19" t="str">
        <f t="shared" si="2"/>
        <v>АСПС.FB_DO_STB_S.FBON</v>
      </c>
      <c r="B44" s="11">
        <v>101</v>
      </c>
      <c r="C44" s="11" t="s">
        <v>0</v>
      </c>
      <c r="D44" s="20" t="s">
        <v>3081</v>
      </c>
    </row>
    <row r="45" spans="1:4">
      <c r="A45" s="19" t="str">
        <f t="shared" si="2"/>
        <v>АСПС.FB_DO_STB_S.FBON</v>
      </c>
      <c r="B45" s="11">
        <v>3</v>
      </c>
      <c r="C45" s="11" t="s">
        <v>1</v>
      </c>
      <c r="D45" s="20">
        <v>192</v>
      </c>
    </row>
    <row r="46" spans="1:4">
      <c r="A46" s="19" t="str">
        <f t="shared" si="2"/>
        <v>АСПС.FB_DO_STB_S.FBON</v>
      </c>
      <c r="B46" s="11">
        <v>2</v>
      </c>
      <c r="C46" s="11" t="s">
        <v>2</v>
      </c>
      <c r="D46" s="20" t="s">
        <v>3</v>
      </c>
    </row>
    <row r="47" spans="1:4">
      <c r="A47" s="21" t="str">
        <f t="shared" si="2"/>
        <v>АСПС.FB_DO_STB_S.FBON</v>
      </c>
      <c r="B47" s="8">
        <v>1</v>
      </c>
      <c r="C47" s="8" t="s">
        <v>1</v>
      </c>
      <c r="D47" s="22">
        <v>11</v>
      </c>
    </row>
    <row r="48" spans="1:4">
      <c r="A48" s="241" t="str">
        <f>$R$2&amp;".OXON"</f>
        <v>АСПС.FB_DO_STB_S.OXON</v>
      </c>
      <c r="B48" s="242">
        <v>11000</v>
      </c>
      <c r="C48" s="242" t="s">
        <v>5</v>
      </c>
      <c r="D48" s="654">
        <v>2147483680</v>
      </c>
    </row>
    <row r="49" spans="1:4">
      <c r="A49" s="244" t="str">
        <f t="shared" ref="A49:A57" si="3">$R$2&amp;".OXON"</f>
        <v>АСПС.FB_DO_STB_S.OXON</v>
      </c>
      <c r="B49" s="245">
        <v>11150</v>
      </c>
      <c r="C49" s="245" t="s">
        <v>0</v>
      </c>
      <c r="D49" s="246" t="s">
        <v>383</v>
      </c>
    </row>
    <row r="50" spans="1:4">
      <c r="A50" s="244" t="str">
        <f t="shared" si="3"/>
        <v>АСПС.FB_DO_STB_S.OXON</v>
      </c>
      <c r="B50" s="245">
        <v>11152</v>
      </c>
      <c r="C50" s="245" t="s">
        <v>0</v>
      </c>
      <c r="D50" s="246" t="str">
        <f>IF($AB$2=$P$5,$R$5,IF($AB$2=$P$6,$R$6,IF($AB$2=$P$7,$R$7,IF($AB$2=$P$8,$R$8,IF($AB$2=$P$9,$R$9,IF($AB$2=$P$10,$R$10,IF($AB$2=$P$11,$R$11,IF($AB$2=$P$12,$R$12,IF($AB$2=$P$13,$R$13,IF($AB$2=$P$14,$R$14,IF($AB$2=$P$15,$R$15,IF($AB$2=$P$16,$R$16,IF($AB$2=$P$17,$R$17,IF($AB$2=$P$18,$R$18,IF($AB$2=$P$19,$R$19,$R$8)))))))))))))))</f>
        <v>Предупреждение</v>
      </c>
    </row>
    <row r="51" spans="1:4">
      <c r="A51" s="244" t="str">
        <f t="shared" si="3"/>
        <v>АСПС.FB_DO_STB_S.OXON</v>
      </c>
      <c r="B51" s="245">
        <v>11154</v>
      </c>
      <c r="C51" s="245" t="s">
        <v>4</v>
      </c>
      <c r="D51" s="246">
        <f>IF($AB$2=$P$5,$Q$5,IF($AB$2=$P$6,$Q$6,IF($AB$2=$P$7,$Q$7,IF($AB$2=$P$8,$Q$8,IF($AB$2=$P$9,$Q$9,IF($AB$2=$P$10,$Q$10,IF($AB$2=$P$11,$Q$11,IF($AB$2=$P$12,$Q$12,IF($AB$2=$P$13,$Q$13,IF($AB$2=$P$14,$Q$14,IF($AB$2=$P$15,$Q$15,IF($AB$2=$P$16,$Q$16,IF($AB$2=$P$17,$Q$17,IF($AB$2=$P$18,$Q$18,IF($AB$2=$P$19,$Q$19,$Q$8)))))))))))))))</f>
        <v>8</v>
      </c>
    </row>
    <row r="52" spans="1:4">
      <c r="A52" s="19" t="str">
        <f t="shared" si="3"/>
        <v>АСПС.FB_DO_STB_S.OXON</v>
      </c>
      <c r="B52" s="11">
        <v>7999</v>
      </c>
      <c r="C52" s="11" t="s">
        <v>0</v>
      </c>
      <c r="D52" s="20" t="str">
        <f>"#"&amp;$S$2&amp;"#"&amp;$T$2&amp;"\"&amp;$P$2&amp;"\OXON"</f>
        <v>#1#treiOPCDA.CoOPCserv.1\pcmaster\FB_DO_STB_S\OXON</v>
      </c>
    </row>
    <row r="53" spans="1:4">
      <c r="A53" s="19" t="str">
        <f t="shared" si="3"/>
        <v>АСПС.FB_DO_STB_S.OXON</v>
      </c>
      <c r="B53" s="11">
        <v>7998</v>
      </c>
      <c r="C53" s="11" t="s">
        <v>6</v>
      </c>
      <c r="D53" s="20">
        <v>1</v>
      </c>
    </row>
    <row r="54" spans="1:4">
      <c r="A54" s="19" t="str">
        <f t="shared" si="3"/>
        <v>АСПС.FB_DO_STB_S.OXON</v>
      </c>
      <c r="B54" s="11">
        <v>101</v>
      </c>
      <c r="C54" s="11" t="s">
        <v>0</v>
      </c>
      <c r="D54" s="20" t="s">
        <v>383</v>
      </c>
    </row>
    <row r="55" spans="1:4">
      <c r="A55" s="19" t="str">
        <f t="shared" si="3"/>
        <v>АСПС.FB_DO_STB_S.OXON</v>
      </c>
      <c r="B55" s="11">
        <v>3</v>
      </c>
      <c r="C55" s="11" t="s">
        <v>1</v>
      </c>
      <c r="D55" s="20">
        <v>192</v>
      </c>
    </row>
    <row r="56" spans="1:4">
      <c r="A56" s="19" t="str">
        <f t="shared" si="3"/>
        <v>АСПС.FB_DO_STB_S.OXON</v>
      </c>
      <c r="B56" s="11">
        <v>2</v>
      </c>
      <c r="C56" s="11" t="s">
        <v>2</v>
      </c>
      <c r="D56" s="20" t="s">
        <v>3</v>
      </c>
    </row>
    <row r="57" spans="1:4">
      <c r="A57" s="21" t="str">
        <f t="shared" si="3"/>
        <v>АСПС.FB_DO_STB_S.OXON</v>
      </c>
      <c r="B57" s="8">
        <v>1</v>
      </c>
      <c r="C57" s="8" t="s">
        <v>1</v>
      </c>
      <c r="D57" s="22">
        <v>11</v>
      </c>
    </row>
    <row r="58" spans="1:4">
      <c r="A58" s="159" t="str">
        <f>$R$2&amp;".BVLS"</f>
        <v>АСПС.FB_DO_STB_S.BVLS</v>
      </c>
      <c r="B58" s="160">
        <v>11000</v>
      </c>
      <c r="C58" s="160" t="s">
        <v>5</v>
      </c>
      <c r="D58" s="201">
        <v>2147483680</v>
      </c>
    </row>
    <row r="59" spans="1:4">
      <c r="A59" s="100" t="str">
        <f t="shared" ref="A59:A67" si="4">$R$2&amp;".BVLS"</f>
        <v>АСПС.FB_DO_STB_S.BVLS</v>
      </c>
      <c r="B59" s="101">
        <v>11150</v>
      </c>
      <c r="C59" s="101" t="s">
        <v>0</v>
      </c>
      <c r="D59" s="103" t="s">
        <v>179</v>
      </c>
    </row>
    <row r="60" spans="1:4">
      <c r="A60" s="100" t="str">
        <f t="shared" si="4"/>
        <v>АСПС.FB_DO_STB_S.BVLS</v>
      </c>
      <c r="B60" s="101">
        <v>11152</v>
      </c>
      <c r="C60" s="101" t="s">
        <v>0</v>
      </c>
      <c r="D60" s="103" t="str">
        <f>$R$8</f>
        <v>Телесигнализация</v>
      </c>
    </row>
    <row r="61" spans="1:4">
      <c r="A61" s="100" t="str">
        <f t="shared" si="4"/>
        <v>АСПС.FB_DO_STB_S.BVLS</v>
      </c>
      <c r="B61" s="101">
        <v>11154</v>
      </c>
      <c r="C61" s="101" t="s">
        <v>4</v>
      </c>
      <c r="D61" s="103">
        <f>$Q$8</f>
        <v>18</v>
      </c>
    </row>
    <row r="62" spans="1:4">
      <c r="A62" s="19" t="str">
        <f t="shared" si="4"/>
        <v>АСПС.FB_DO_STB_S.BVLS</v>
      </c>
      <c r="B62" s="11">
        <v>7999</v>
      </c>
      <c r="C62" s="11" t="s">
        <v>0</v>
      </c>
      <c r="D62" s="20" t="str">
        <f>"#"&amp;$S$2&amp;"#"&amp;$T$2&amp;"\"&amp;$P$2&amp;"\BVLS"</f>
        <v>#1#treiOPCDA.CoOPCserv.1\pcmaster\FB_DO_STB_S\BVLS</v>
      </c>
    </row>
    <row r="63" spans="1:4">
      <c r="A63" s="19" t="str">
        <f t="shared" si="4"/>
        <v>АСПС.FB_DO_STB_S.BVLS</v>
      </c>
      <c r="B63" s="11">
        <v>7998</v>
      </c>
      <c r="C63" s="11" t="s">
        <v>6</v>
      </c>
      <c r="D63" s="20">
        <v>1</v>
      </c>
    </row>
    <row r="64" spans="1:4">
      <c r="A64" s="19" t="str">
        <f t="shared" si="4"/>
        <v>АСПС.FB_DO_STB_S.BVLS</v>
      </c>
      <c r="B64" s="11">
        <v>101</v>
      </c>
      <c r="C64" s="11" t="s">
        <v>0</v>
      </c>
      <c r="D64" s="20" t="s">
        <v>179</v>
      </c>
    </row>
    <row r="65" spans="1:4">
      <c r="A65" s="19" t="str">
        <f t="shared" si="4"/>
        <v>АСПС.FB_DO_STB_S.BVLS</v>
      </c>
      <c r="B65" s="11">
        <v>3</v>
      </c>
      <c r="C65" s="11" t="s">
        <v>1</v>
      </c>
      <c r="D65" s="20">
        <v>192</v>
      </c>
    </row>
    <row r="66" spans="1:4">
      <c r="A66" s="19" t="str">
        <f t="shared" si="4"/>
        <v>АСПС.FB_DO_STB_S.BVLS</v>
      </c>
      <c r="B66" s="11">
        <v>2</v>
      </c>
      <c r="C66" s="11" t="s">
        <v>2</v>
      </c>
      <c r="D66" s="20" t="s">
        <v>3</v>
      </c>
    </row>
    <row r="67" spans="1:4">
      <c r="A67" s="19" t="str">
        <f t="shared" si="4"/>
        <v>АСПС.FB_DO_STB_S.BVLS</v>
      </c>
      <c r="B67" s="11">
        <v>1</v>
      </c>
      <c r="C67" s="11" t="s">
        <v>1</v>
      </c>
      <c r="D67" s="20">
        <v>11</v>
      </c>
    </row>
    <row r="68" spans="1:4">
      <c r="A68" s="137" t="str">
        <f t="shared" ref="A68:A79" si="5">$R$2&amp;".XRPX"</f>
        <v>АСПС.FB_DO_STB_S.XRPX</v>
      </c>
      <c r="B68" s="138">
        <v>11000</v>
      </c>
      <c r="C68" s="138" t="s">
        <v>5</v>
      </c>
      <c r="D68" s="202">
        <v>2147483680</v>
      </c>
    </row>
    <row r="69" spans="1:4">
      <c r="A69" s="140" t="str">
        <f t="shared" si="5"/>
        <v>АСПС.FB_DO_STB_S.XRPX</v>
      </c>
      <c r="B69" s="141">
        <v>11150</v>
      </c>
      <c r="C69" s="141" t="s">
        <v>0</v>
      </c>
      <c r="D69" s="142" t="s">
        <v>181</v>
      </c>
    </row>
    <row r="70" spans="1:4">
      <c r="A70" s="140" t="str">
        <f t="shared" si="5"/>
        <v>АСПС.FB_DO_STB_S.XRPX</v>
      </c>
      <c r="B70" s="141">
        <v>11152</v>
      </c>
      <c r="C70" s="141" t="s">
        <v>0</v>
      </c>
      <c r="D70" s="142" t="str">
        <f>$R$11</f>
        <v>Ремонт</v>
      </c>
    </row>
    <row r="71" spans="1:4">
      <c r="A71" s="140" t="str">
        <f t="shared" si="5"/>
        <v>АСПС.FB_DO_STB_S.XRPX</v>
      </c>
      <c r="B71" s="141">
        <v>11154</v>
      </c>
      <c r="C71" s="141" t="s">
        <v>4</v>
      </c>
      <c r="D71" s="142">
        <f>$Q$11</f>
        <v>14</v>
      </c>
    </row>
    <row r="72" spans="1:4">
      <c r="A72" s="19" t="str">
        <f t="shared" si="5"/>
        <v>АСПС.FB_DO_STB_S.XRPX</v>
      </c>
      <c r="B72" s="11">
        <v>1</v>
      </c>
      <c r="C72" s="11" t="s">
        <v>1</v>
      </c>
      <c r="D72" s="20">
        <v>11</v>
      </c>
    </row>
    <row r="73" spans="1:4">
      <c r="A73" s="19" t="str">
        <f t="shared" si="5"/>
        <v>АСПС.FB_DO_STB_S.XRPX</v>
      </c>
      <c r="B73" s="11">
        <v>2</v>
      </c>
      <c r="C73" s="11" t="s">
        <v>2</v>
      </c>
      <c r="D73" s="20" t="s">
        <v>3</v>
      </c>
    </row>
    <row r="74" spans="1:4">
      <c r="A74" s="19" t="str">
        <f t="shared" si="5"/>
        <v>АСПС.FB_DO_STB_S.XRPX</v>
      </c>
      <c r="B74" s="11">
        <v>3</v>
      </c>
      <c r="C74" s="11" t="s">
        <v>1</v>
      </c>
      <c r="D74" s="20">
        <v>192</v>
      </c>
    </row>
    <row r="75" spans="1:4">
      <c r="A75" s="19" t="str">
        <f t="shared" si="5"/>
        <v>АСПС.FB_DO_STB_S.XRPX</v>
      </c>
      <c r="B75" s="11">
        <v>101</v>
      </c>
      <c r="C75" s="11" t="s">
        <v>0</v>
      </c>
      <c r="D75" s="20" t="s">
        <v>181</v>
      </c>
    </row>
    <row r="76" spans="1:4">
      <c r="A76" s="19" t="str">
        <f t="shared" si="5"/>
        <v>АСПС.FB_DO_STB_S.XRPX</v>
      </c>
      <c r="B76" s="11">
        <v>7998</v>
      </c>
      <c r="C76" s="11" t="s">
        <v>6</v>
      </c>
      <c r="D76" s="20">
        <v>1</v>
      </c>
    </row>
    <row r="77" spans="1:4">
      <c r="A77" s="19" t="str">
        <f t="shared" si="5"/>
        <v>АСПС.FB_DO_STB_S.XRPX</v>
      </c>
      <c r="B77" s="11">
        <v>7999</v>
      </c>
      <c r="C77" s="11" t="s">
        <v>0</v>
      </c>
      <c r="D77" s="20" t="str">
        <f>"#"&amp;$S$2&amp;"#"&amp;$T$2&amp;"\"&amp;$P$2&amp;"\XRPX"</f>
        <v>#1#treiOPCDA.CoOPCserv.1\pcmaster\FB_DO_STB_S\XRPX</v>
      </c>
    </row>
    <row r="78" spans="1:4" ht="15" customHeight="1">
      <c r="A78" s="29" t="str">
        <f t="shared" si="5"/>
        <v>АСПС.FB_DO_STB_S.XRPX</v>
      </c>
      <c r="B78" s="1">
        <v>4000000</v>
      </c>
      <c r="C78" s="1" t="s">
        <v>0</v>
      </c>
      <c r="D78" s="415" t="s">
        <v>1496</v>
      </c>
    </row>
    <row r="79" spans="1:4">
      <c r="A79" s="26" t="str">
        <f t="shared" si="5"/>
        <v>АСПС.FB_DO_STB_S.XRPX</v>
      </c>
      <c r="B79" s="27">
        <v>7000000</v>
      </c>
      <c r="C79" s="27" t="s">
        <v>6</v>
      </c>
      <c r="D79" s="28">
        <v>2</v>
      </c>
    </row>
    <row r="80" spans="1:4">
      <c r="A80" s="19" t="str">
        <f>$R$2&amp;".Commands.CRPX"</f>
        <v>АСПС.FB_DO_STB_S.Commands.CRPX</v>
      </c>
      <c r="B80" s="11">
        <v>101</v>
      </c>
      <c r="C80" s="11" t="s">
        <v>0</v>
      </c>
      <c r="D80" s="20" t="s">
        <v>90</v>
      </c>
    </row>
    <row r="81" spans="1:4">
      <c r="A81" s="19" t="str">
        <f>$R$2&amp;".Commands.CRPX"</f>
        <v>АСПС.FB_DO_STB_S.Commands.CRPX</v>
      </c>
      <c r="B81" s="11">
        <v>7999</v>
      </c>
      <c r="C81" s="11" t="s">
        <v>0</v>
      </c>
      <c r="D81" s="20" t="str">
        <f>"#"&amp;$T$5&amp;"#"&amp;$T$2&amp;"\"&amp;$P$2&amp;"\CRPX"</f>
        <v>#1#treiOPCDA.CoOPCserv.1\pcmaster\FB_DO_STB_S\CRPX</v>
      </c>
    </row>
    <row r="82" spans="1:4">
      <c r="A82" s="19" t="str">
        <f>$R$2&amp;".Commands.CRPX"</f>
        <v>АСПС.FB_DO_STB_S.Commands.CRPX</v>
      </c>
      <c r="B82" s="11">
        <v>7998</v>
      </c>
      <c r="C82" s="11" t="s">
        <v>6</v>
      </c>
      <c r="D82" s="20">
        <v>2</v>
      </c>
    </row>
    <row r="83" spans="1:4">
      <c r="A83" s="21" t="str">
        <f>$R$2&amp;".Commands.CRPX"</f>
        <v>АСПС.FB_DO_STB_S.Commands.CRPX</v>
      </c>
      <c r="B83" s="8">
        <v>1</v>
      </c>
      <c r="C83" s="8" t="s">
        <v>1</v>
      </c>
      <c r="D83" s="22">
        <v>11</v>
      </c>
    </row>
    <row r="84" spans="1:4">
      <c r="A84" s="16" t="str">
        <f>$R$2&amp;".Commands.COON"</f>
        <v>АСПС.FB_DO_STB_S.Commands.COON</v>
      </c>
      <c r="B84" s="17">
        <v>101</v>
      </c>
      <c r="C84" s="17" t="s">
        <v>0</v>
      </c>
      <c r="D84" s="18" t="s">
        <v>437</v>
      </c>
    </row>
    <row r="85" spans="1:4">
      <c r="A85" s="19" t="str">
        <f>$R$2&amp;".Commands.COON"</f>
        <v>АСПС.FB_DO_STB_S.Commands.COON</v>
      </c>
      <c r="B85" s="11">
        <v>7999</v>
      </c>
      <c r="C85" s="11" t="s">
        <v>0</v>
      </c>
      <c r="D85" s="20" t="str">
        <f>"#"&amp;$T$5&amp;"#"&amp;$T$2&amp;"\"&amp;$P$2&amp;"\COON"</f>
        <v>#1#treiOPCDA.CoOPCserv.1\pcmaster\FB_DO_STB_S\COON</v>
      </c>
    </row>
    <row r="86" spans="1:4">
      <c r="A86" s="19" t="str">
        <f>$R$2&amp;".Commands.COON"</f>
        <v>АСПС.FB_DO_STB_S.Commands.COON</v>
      </c>
      <c r="B86" s="11">
        <v>7998</v>
      </c>
      <c r="C86" s="11" t="s">
        <v>6</v>
      </c>
      <c r="D86" s="20">
        <v>2</v>
      </c>
    </row>
    <row r="87" spans="1:4">
      <c r="A87" s="21" t="str">
        <f>$R$2&amp;".Commands.COON"</f>
        <v>АСПС.FB_DO_STB_S.Commands.COON</v>
      </c>
      <c r="B87" s="8">
        <v>1</v>
      </c>
      <c r="C87" s="8" t="s">
        <v>1</v>
      </c>
      <c r="D87" s="22">
        <v>11</v>
      </c>
    </row>
  </sheetData>
  <autoFilter ref="B1:B87" xr:uid="{00000000-0009-0000-0000-000059000000}"/>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Лист187">
    <tabColor rgb="FFFFC000"/>
  </sheetPr>
  <dimension ref="A1:BR70"/>
  <sheetViews>
    <sheetView topLeftCell="A34" workbookViewId="0">
      <selection activeCell="D2" sqref="D2:D4"/>
    </sheetView>
  </sheetViews>
  <sheetFormatPr defaultRowHeight="14.4"/>
  <cols>
    <col min="1" max="1" width="37.109375" customWidth="1"/>
    <col min="2" max="2" width="9.5546875" customWidth="1"/>
    <col min="4" max="4" width="63.88671875" customWidth="1"/>
    <col min="5" max="15" width="9.109375"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7.33203125" customWidth="1"/>
    <col min="56" max="56" width="10.33203125" customWidth="1"/>
    <col min="57" max="57" width="10" customWidth="1"/>
    <col min="59" max="59" width="7.109375" customWidth="1"/>
    <col min="60" max="60" width="10.88671875" customWidth="1"/>
    <col min="62" max="62" width="65.109375" customWidth="1"/>
  </cols>
  <sheetData>
    <row r="1" spans="1:66" s="258" customFormat="1" ht="204.6" thickBot="1">
      <c r="A1" s="257"/>
      <c r="B1" s="257" t="s">
        <v>84</v>
      </c>
      <c r="C1" s="257"/>
      <c r="D1" s="257"/>
      <c r="E1" s="257"/>
      <c r="F1" s="257"/>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K1" s="259"/>
      <c r="BL1" s="259"/>
      <c r="BM1" s="259"/>
      <c r="BN1" s="259"/>
    </row>
    <row r="2" spans="1:66">
      <c r="A2" s="9"/>
      <c r="B2" s="9"/>
      <c r="C2" s="9"/>
      <c r="D2" s="9"/>
      <c r="E2" s="9"/>
      <c r="F2" s="9"/>
      <c r="P2" s="2" t="s">
        <v>1867</v>
      </c>
      <c r="Q2" s="2" t="s">
        <v>696</v>
      </c>
      <c r="R2" s="2" t="s">
        <v>1874</v>
      </c>
      <c r="S2" s="3">
        <v>1</v>
      </c>
      <c r="T2" s="3" t="s">
        <v>1698</v>
      </c>
      <c r="U2" s="3"/>
      <c r="V2" s="3" t="s">
        <v>569</v>
      </c>
      <c r="W2" s="12"/>
      <c r="X2" s="12"/>
      <c r="Y2" s="12"/>
      <c r="Z2" s="12"/>
      <c r="AA2" s="12"/>
      <c r="AB2" s="2"/>
      <c r="AC2" s="2"/>
      <c r="AD2" s="2"/>
      <c r="AE2" s="2"/>
      <c r="AF2" s="2"/>
      <c r="AG2" s="2"/>
      <c r="AH2" s="2"/>
      <c r="AI2" s="2"/>
      <c r="AJ2" s="2"/>
      <c r="AK2" s="2"/>
      <c r="AL2" s="2"/>
      <c r="AM2" s="2"/>
      <c r="AN2" s="2"/>
      <c r="AO2" s="2"/>
      <c r="AP2" s="2"/>
      <c r="AQ2" s="2"/>
      <c r="AR2" s="2"/>
      <c r="AS2" s="2"/>
      <c r="AT2" s="2"/>
      <c r="AU2" s="2"/>
      <c r="AV2" s="2"/>
      <c r="AW2" s="2"/>
      <c r="AX2" s="2"/>
      <c r="AY2" s="2"/>
      <c r="AZ2" s="2"/>
      <c r="BA2" s="2"/>
      <c r="BK2" s="4"/>
      <c r="BL2" s="4"/>
      <c r="BM2" s="4"/>
      <c r="BN2" s="4"/>
    </row>
    <row r="3" spans="1:66">
      <c r="A3" s="9"/>
      <c r="B3" s="9"/>
      <c r="C3" s="9"/>
      <c r="D3" s="9"/>
      <c r="E3" s="9"/>
      <c r="F3" s="9"/>
      <c r="P3" s="10"/>
      <c r="Q3" s="10"/>
      <c r="R3" s="10"/>
      <c r="S3" s="10"/>
      <c r="T3" s="10"/>
      <c r="U3" s="10"/>
      <c r="V3" s="10"/>
      <c r="W3" s="10"/>
      <c r="X3" s="10"/>
      <c r="Y3" s="10"/>
      <c r="Z3" s="10"/>
      <c r="AA3" s="10"/>
      <c r="BK3" s="4"/>
      <c r="BL3" s="4"/>
      <c r="BM3" s="4"/>
      <c r="BN3" s="4"/>
    </row>
    <row r="4" spans="1:66">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K4" s="4"/>
      <c r="BL4" s="4"/>
      <c r="BM4" s="4"/>
      <c r="BN4" s="4"/>
    </row>
    <row r="5" spans="1:66">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K5" s="4"/>
      <c r="BL5" s="4"/>
      <c r="BM5" s="4"/>
      <c r="BN5" s="4"/>
    </row>
    <row r="6" spans="1:66">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K6" s="4"/>
      <c r="BL6" s="4"/>
      <c r="BM6" s="4"/>
      <c r="BN6" s="4"/>
    </row>
    <row r="7" spans="1:66">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K7" s="4"/>
      <c r="BL7" s="4"/>
      <c r="BM7" s="4"/>
      <c r="BN7" s="4"/>
    </row>
    <row r="8" spans="1:66">
      <c r="A8" s="9"/>
      <c r="B8" s="9"/>
      <c r="C8" s="9"/>
      <c r="D8" s="9"/>
      <c r="E8" s="9"/>
      <c r="F8" s="9"/>
      <c r="P8" s="6" t="str">
        <f>Настройки!A5</f>
        <v>Телесигнализация</v>
      </c>
      <c r="Q8" s="5">
        <f>Настройки!B5</f>
        <v>18</v>
      </c>
      <c r="R8" s="5" t="str">
        <f>Настройки!C5</f>
        <v>Телесигнализация</v>
      </c>
      <c r="S8" s="10"/>
      <c r="T8" s="14"/>
      <c r="U8" s="10"/>
      <c r="V8" s="10"/>
      <c r="W8" s="10"/>
      <c r="X8" s="10"/>
      <c r="Y8" s="10"/>
      <c r="Z8" s="10"/>
      <c r="AA8" s="10"/>
      <c r="BK8" s="4"/>
      <c r="BL8" s="4"/>
      <c r="BM8" s="4"/>
      <c r="BN8" s="4"/>
    </row>
    <row r="9" spans="1:66">
      <c r="A9" s="9"/>
      <c r="B9" s="9"/>
      <c r="C9" s="9"/>
      <c r="D9" s="9"/>
      <c r="E9" s="9"/>
      <c r="F9" s="9"/>
      <c r="P9" s="6" t="str">
        <f>Настройки!A6</f>
        <v>Недостоверность</v>
      </c>
      <c r="Q9" s="5">
        <f>Настройки!B6</f>
        <v>10</v>
      </c>
      <c r="R9" s="5" t="str">
        <f>Настройки!C6</f>
        <v>Недостоверность</v>
      </c>
      <c r="S9" s="10"/>
      <c r="T9" s="14"/>
      <c r="U9" s="10"/>
      <c r="V9" s="10"/>
      <c r="W9" s="10"/>
      <c r="X9" s="10"/>
      <c r="Y9" s="10"/>
      <c r="Z9" s="10"/>
      <c r="AA9" s="10"/>
      <c r="BK9" s="4"/>
      <c r="BL9" s="4"/>
      <c r="BM9" s="4"/>
      <c r="BN9" s="4"/>
    </row>
    <row r="10" spans="1:66">
      <c r="A10" s="9"/>
      <c r="B10" s="9"/>
      <c r="C10" s="9"/>
      <c r="D10" s="9"/>
      <c r="E10" s="9"/>
      <c r="F10" s="9"/>
      <c r="P10" s="6" t="str">
        <f>Настройки!A7</f>
        <v>Имитация</v>
      </c>
      <c r="Q10" s="5">
        <f>Настройки!B7</f>
        <v>16</v>
      </c>
      <c r="R10" s="5" t="str">
        <f>Настройки!C7</f>
        <v>Имитация</v>
      </c>
      <c r="S10" s="10"/>
      <c r="T10" s="14"/>
      <c r="U10" s="10"/>
      <c r="V10" s="10"/>
      <c r="W10" s="10"/>
      <c r="X10" s="10"/>
      <c r="Y10" s="10"/>
      <c r="Z10" s="10"/>
      <c r="AA10" s="10"/>
      <c r="BK10" s="4"/>
      <c r="BL10" s="4"/>
      <c r="BM10" s="4"/>
      <c r="BN10" s="4"/>
    </row>
    <row r="11" spans="1:66">
      <c r="A11" s="9"/>
      <c r="B11" s="9"/>
      <c r="C11" s="9"/>
      <c r="D11" s="9"/>
      <c r="E11" s="9"/>
      <c r="F11" s="9"/>
      <c r="P11" s="6" t="str">
        <f>Настройки!A8</f>
        <v>Ремонт</v>
      </c>
      <c r="Q11" s="5">
        <f>Настройки!B8</f>
        <v>14</v>
      </c>
      <c r="R11" s="5" t="str">
        <f>Настройки!C8</f>
        <v>Ремонт</v>
      </c>
      <c r="S11" s="10"/>
      <c r="T11" s="14"/>
      <c r="U11" s="10"/>
      <c r="V11" s="10"/>
      <c r="W11" s="10"/>
      <c r="X11" s="10"/>
      <c r="Y11" s="10"/>
      <c r="Z11" s="10"/>
      <c r="AA11" s="10"/>
      <c r="BK11" s="4"/>
      <c r="BL11" s="4"/>
      <c r="BM11" s="4"/>
      <c r="BN11" s="4"/>
    </row>
    <row r="12" spans="1:66">
      <c r="A12" s="9"/>
      <c r="B12" s="9"/>
      <c r="C12" s="9"/>
      <c r="D12" s="9"/>
      <c r="E12" s="9"/>
      <c r="F12" s="9"/>
      <c r="P12" s="6" t="str">
        <f>Настройки!A9</f>
        <v>Команда оператора</v>
      </c>
      <c r="Q12" s="5">
        <f>Настройки!B9</f>
        <v>20</v>
      </c>
      <c r="R12" s="5" t="str">
        <f>Настройки!C9</f>
        <v>Команда оператора</v>
      </c>
      <c r="S12" s="10"/>
      <c r="T12" s="14"/>
      <c r="U12" s="10"/>
      <c r="V12" s="10"/>
      <c r="W12" s="10"/>
      <c r="X12" s="10"/>
      <c r="Y12" s="10"/>
      <c r="Z12" s="10"/>
      <c r="AA12" s="10"/>
      <c r="BK12" s="4"/>
      <c r="BL12" s="4"/>
      <c r="BM12" s="4"/>
      <c r="BN12" s="4"/>
    </row>
    <row r="13" spans="1:66">
      <c r="A13" s="9"/>
      <c r="B13" s="9"/>
      <c r="C13" s="9"/>
      <c r="D13" s="9"/>
      <c r="E13" s="9"/>
      <c r="F13" s="9"/>
      <c r="P13" s="6" t="str">
        <f>Настройки!A10</f>
        <v>Тревога</v>
      </c>
      <c r="Q13" s="5">
        <f>Настройки!B10</f>
        <v>5</v>
      </c>
      <c r="R13" s="5" t="str">
        <f>Настройки!C10</f>
        <v>Тревога</v>
      </c>
      <c r="S13" s="10"/>
      <c r="T13" s="14"/>
      <c r="U13" s="10"/>
      <c r="V13" s="10"/>
      <c r="W13" s="10"/>
      <c r="X13" s="10"/>
      <c r="Y13" s="10"/>
      <c r="Z13" s="10"/>
      <c r="AA13" s="10"/>
      <c r="BK13" s="4"/>
      <c r="BL13" s="4"/>
      <c r="BM13" s="4"/>
      <c r="BN13" s="4"/>
    </row>
    <row r="14" spans="1:66">
      <c r="A14" s="9"/>
      <c r="B14" s="9"/>
      <c r="C14" s="9"/>
      <c r="D14" s="9"/>
      <c r="E14" s="9"/>
      <c r="F14" s="9"/>
      <c r="P14" s="6" t="str">
        <f>Настройки!A11</f>
        <v>Тушение</v>
      </c>
      <c r="Q14" s="5">
        <f>Настройки!B11</f>
        <v>1</v>
      </c>
      <c r="R14" s="5" t="str">
        <f>Настройки!C11</f>
        <v>Тушение</v>
      </c>
      <c r="S14" s="10"/>
      <c r="T14" s="14"/>
      <c r="U14" s="10"/>
      <c r="V14" s="10"/>
      <c r="W14" s="10"/>
      <c r="X14" s="10"/>
      <c r="Y14" s="10"/>
      <c r="Z14" s="10"/>
      <c r="AA14" s="10"/>
      <c r="BK14" s="4"/>
      <c r="BL14" s="4"/>
      <c r="BM14" s="4"/>
      <c r="BN14" s="4"/>
    </row>
    <row r="15" spans="1:66">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K15" s="4"/>
      <c r="BL15" s="4"/>
      <c r="BM15" s="4"/>
      <c r="BN15" s="4"/>
    </row>
    <row r="16" spans="1:66">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K16" s="4"/>
      <c r="BL16" s="4"/>
      <c r="BM16" s="4"/>
      <c r="BN16" s="4"/>
    </row>
    <row r="17" spans="1:70">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K17" s="4"/>
      <c r="BL17" s="4"/>
      <c r="BM17" s="4"/>
      <c r="BN17" s="4"/>
    </row>
    <row r="18" spans="1:70">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K18" s="4"/>
      <c r="BL18" s="4"/>
      <c r="BM18" s="4"/>
      <c r="BN18" s="4"/>
    </row>
    <row r="19" spans="1:70">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K19" s="4"/>
      <c r="BL19" s="4"/>
      <c r="BM19" s="4"/>
      <c r="BN19" s="4"/>
    </row>
    <row r="20" spans="1:70">
      <c r="A20" s="16" t="str">
        <f t="shared" ref="A20:A23" si="0">$R$2</f>
        <v>АСПС.FB_HA_UPI_S</v>
      </c>
      <c r="B20" s="17">
        <v>11001</v>
      </c>
      <c r="C20" s="17" t="s">
        <v>0</v>
      </c>
      <c r="D20" s="18" t="str">
        <f>$Q$2&amp;". "</f>
        <v xml:space="preserve">Сбор обобщенных сигналов c датчиков по позиции. </v>
      </c>
      <c r="F20" s="4"/>
      <c r="BK20" s="4"/>
      <c r="BL20" s="4"/>
      <c r="BM20" s="4"/>
      <c r="BN20" s="4"/>
    </row>
    <row r="21" spans="1:70">
      <c r="A21" s="19" t="str">
        <f t="shared" si="0"/>
        <v>АСПС.FB_HA_UPI_S</v>
      </c>
      <c r="B21" s="11">
        <v>11156</v>
      </c>
      <c r="C21" s="11" t="s">
        <v>0</v>
      </c>
      <c r="D21" s="20" t="str">
        <f>$V$2</f>
        <v>Тестовый экран</v>
      </c>
      <c r="F21" s="4"/>
      <c r="BK21" s="4"/>
      <c r="BL21" s="4"/>
      <c r="BM21" s="4"/>
      <c r="BN21" s="4"/>
    </row>
    <row r="22" spans="1:70">
      <c r="A22" s="19" t="str">
        <f t="shared" si="0"/>
        <v>АСПС.FB_HA_UPI_S</v>
      </c>
      <c r="B22" s="11">
        <v>1</v>
      </c>
      <c r="C22" s="11" t="s">
        <v>1</v>
      </c>
      <c r="D22" s="20">
        <v>17</v>
      </c>
      <c r="BK22" s="4"/>
      <c r="BL22" s="4"/>
      <c r="BM22" s="4"/>
      <c r="BN22" s="4"/>
    </row>
    <row r="23" spans="1:70" ht="15" customHeight="1">
      <c r="A23" s="16" t="str">
        <f t="shared" si="0"/>
        <v>АСПС.FB_HA_UPI_S</v>
      </c>
      <c r="B23" s="17">
        <v>100</v>
      </c>
      <c r="C23" s="17" t="s">
        <v>0</v>
      </c>
      <c r="D23" s="18" t="b">
        <f>$T$7</f>
        <v>0</v>
      </c>
      <c r="BF23" s="4"/>
      <c r="BG23" s="4"/>
      <c r="BH23" s="4"/>
      <c r="BI23" s="4"/>
    </row>
    <row r="24" spans="1:70">
      <c r="A24" s="16" t="str">
        <f t="shared" ref="A24:A30" si="1">$R$2&amp;".Commands.COOF"</f>
        <v>АСПС.FB_HA_UPI_S.Commands.COOF</v>
      </c>
      <c r="B24" s="17">
        <v>11001</v>
      </c>
      <c r="C24" s="17" t="s">
        <v>0</v>
      </c>
      <c r="D24" s="18" t="str">
        <f>$Q$2&amp;". "</f>
        <v xml:space="preserve">Сбор обобщенных сигналов c датчиков по позиции. </v>
      </c>
      <c r="F24" s="4"/>
      <c r="BK24" s="4"/>
      <c r="BL24" s="4"/>
      <c r="BM24" s="4"/>
      <c r="BN24" s="4"/>
    </row>
    <row r="25" spans="1:70">
      <c r="A25" s="19" t="str">
        <f t="shared" si="1"/>
        <v>АСПС.FB_HA_UPI_S.Commands.COOF</v>
      </c>
      <c r="B25" s="11">
        <v>1</v>
      </c>
      <c r="C25" s="11" t="s">
        <v>1</v>
      </c>
      <c r="D25" s="20">
        <v>11</v>
      </c>
      <c r="E25" s="123" t="str">
        <f>$R$2&amp;".DBTX"</f>
        <v>АСПС.FB_HA_UPI_S.DBTX</v>
      </c>
      <c r="F25" s="123">
        <v>11154</v>
      </c>
      <c r="G25" s="123" t="s">
        <v>4</v>
      </c>
      <c r="H25" s="124">
        <f>$Q$9</f>
        <v>10</v>
      </c>
      <c r="BO25" s="4"/>
      <c r="BP25" s="4"/>
      <c r="BQ25" s="4"/>
      <c r="BR25" s="4"/>
    </row>
    <row r="26" spans="1:70">
      <c r="A26" s="19" t="str">
        <f t="shared" si="1"/>
        <v>АСПС.FB_HA_UPI_S.Commands.COOF</v>
      </c>
      <c r="B26" s="11">
        <v>101</v>
      </c>
      <c r="C26" s="11" t="s">
        <v>0</v>
      </c>
      <c r="D26" s="20" t="s">
        <v>712</v>
      </c>
      <c r="E26" s="111" t="str">
        <f t="shared" ref="E26:E28" si="2">$R$2&amp;".DBTX"</f>
        <v>АСПС.FB_HA_UPI_S.DBTX</v>
      </c>
      <c r="F26" s="111">
        <v>11000</v>
      </c>
      <c r="G26" s="111" t="s">
        <v>5</v>
      </c>
      <c r="H26" s="112">
        <v>2147483680</v>
      </c>
      <c r="BO26" s="4"/>
      <c r="BP26" s="4"/>
      <c r="BQ26" s="4"/>
      <c r="BR26" s="4"/>
    </row>
    <row r="27" spans="1:70">
      <c r="A27" s="19" t="str">
        <f t="shared" si="1"/>
        <v>АСПС.FB_HA_UPI_S.Commands.COOF</v>
      </c>
      <c r="B27" s="11">
        <v>7998</v>
      </c>
      <c r="C27" s="11" t="s">
        <v>6</v>
      </c>
      <c r="D27" s="20">
        <v>2</v>
      </c>
      <c r="E27" s="11" t="str">
        <f t="shared" si="2"/>
        <v>АСПС.FB_HA_UPI_S.DBTX</v>
      </c>
      <c r="F27" s="11">
        <v>7999</v>
      </c>
      <c r="G27" s="11" t="s">
        <v>0</v>
      </c>
      <c r="H27" s="20" t="str">
        <f>"#"&amp;$S$2&amp;"#"&amp;$T$2&amp;"\"&amp;$P$2&amp;"\DBTX"</f>
        <v>#1#treiOPCDA.CoOPCserv.1\pcmaster\FB_HA_UPI_S\DBTX</v>
      </c>
      <c r="BO27" s="4"/>
      <c r="BP27" s="4"/>
      <c r="BQ27" s="4"/>
      <c r="BR27" s="4"/>
    </row>
    <row r="28" spans="1:70">
      <c r="A28" s="19" t="str">
        <f t="shared" si="1"/>
        <v>АСПС.FB_HA_UPI_S.Commands.COOF</v>
      </c>
      <c r="B28" s="11">
        <v>7999</v>
      </c>
      <c r="C28" s="11" t="s">
        <v>0</v>
      </c>
      <c r="D28" s="20" t="str">
        <f>"#"&amp;$T$5&amp;"#"&amp;$T$2&amp;"\"&amp;$P$2&amp;"\COOF"</f>
        <v>#1#treiOPCDA.CoOPCserv.1\pcmaster\FB_HA_UPI_S\COOF</v>
      </c>
      <c r="E28" s="11" t="str">
        <f t="shared" si="2"/>
        <v>АСПС.FB_HA_UPI_S.DBTX</v>
      </c>
      <c r="F28" s="11">
        <v>7998</v>
      </c>
      <c r="G28" s="11" t="s">
        <v>6</v>
      </c>
      <c r="H28" s="20">
        <v>1</v>
      </c>
      <c r="BO28" s="4"/>
      <c r="BP28" s="4"/>
      <c r="BQ28" s="4"/>
      <c r="BR28" s="4"/>
    </row>
    <row r="29" spans="1:70">
      <c r="A29" s="19" t="str">
        <f t="shared" si="1"/>
        <v>АСПС.FB_HA_UPI_S.Commands.COOF</v>
      </c>
      <c r="B29" s="11">
        <v>7000000</v>
      </c>
      <c r="C29" s="11" t="s">
        <v>6</v>
      </c>
      <c r="D29" s="20">
        <v>3</v>
      </c>
      <c r="E29" s="11"/>
      <c r="F29" s="11"/>
      <c r="G29" s="11"/>
      <c r="H29" s="20"/>
      <c r="BO29" s="4"/>
      <c r="BP29" s="4"/>
      <c r="BQ29" s="4"/>
      <c r="BR29" s="4"/>
    </row>
    <row r="30" spans="1:70">
      <c r="A30" s="21" t="str">
        <f t="shared" si="1"/>
        <v>АСПС.FB_HA_UPI_S.Commands.COOF</v>
      </c>
      <c r="B30" s="8">
        <v>4000000</v>
      </c>
      <c r="C30" s="8" t="s">
        <v>0</v>
      </c>
      <c r="D30" s="22" t="s">
        <v>713</v>
      </c>
      <c r="E30" s="11"/>
      <c r="F30" s="11"/>
      <c r="G30" s="11"/>
      <c r="H30" s="20"/>
      <c r="BO30" s="4"/>
      <c r="BP30" s="4"/>
      <c r="BQ30" s="4"/>
      <c r="BR30" s="4"/>
    </row>
    <row r="31" spans="1:70">
      <c r="A31" s="16" t="str">
        <f>$R$2&amp;".Commands.COBN"</f>
        <v>АСПС.FB_HA_UPI_S.Commands.COBN</v>
      </c>
      <c r="B31" s="17">
        <v>11001</v>
      </c>
      <c r="C31" s="17" t="s">
        <v>0</v>
      </c>
      <c r="D31" s="18" t="str">
        <f>$Q$2&amp;". "</f>
        <v xml:space="preserve">Сбор обобщенных сигналов c датчиков по позиции. </v>
      </c>
      <c r="F31" s="4"/>
      <c r="BK31" s="4"/>
      <c r="BL31" s="4"/>
      <c r="BM31" s="4"/>
      <c r="BN31" s="4"/>
    </row>
    <row r="32" spans="1:70">
      <c r="A32" s="19" t="str">
        <f t="shared" ref="A32:A37" si="3">$R$2&amp;".Commands.COBN"</f>
        <v>АСПС.FB_HA_UPI_S.Commands.COBN</v>
      </c>
      <c r="B32" s="11">
        <v>1</v>
      </c>
      <c r="C32" s="11" t="s">
        <v>1</v>
      </c>
      <c r="D32" s="20">
        <v>11</v>
      </c>
      <c r="E32" s="123" t="str">
        <f>$R$2&amp;".DBTX"</f>
        <v>АСПС.FB_HA_UPI_S.DBTX</v>
      </c>
      <c r="F32" s="123">
        <v>11154</v>
      </c>
      <c r="G32" s="123" t="s">
        <v>4</v>
      </c>
      <c r="H32" s="124">
        <f>$Q$9</f>
        <v>10</v>
      </c>
      <c r="BO32" s="4"/>
      <c r="BP32" s="4"/>
      <c r="BQ32" s="4"/>
      <c r="BR32" s="4"/>
    </row>
    <row r="33" spans="1:70">
      <c r="A33" s="19" t="str">
        <f t="shared" si="3"/>
        <v>АСПС.FB_HA_UPI_S.Commands.COBN</v>
      </c>
      <c r="B33" s="11">
        <v>101</v>
      </c>
      <c r="C33" s="11" t="s">
        <v>0</v>
      </c>
      <c r="D33" s="20" t="s">
        <v>1869</v>
      </c>
      <c r="E33" s="111" t="str">
        <f t="shared" ref="E33:E35" si="4">$R$2&amp;".DBTX"</f>
        <v>АСПС.FB_HA_UPI_S.DBTX</v>
      </c>
      <c r="F33" s="111">
        <v>11000</v>
      </c>
      <c r="G33" s="111" t="s">
        <v>5</v>
      </c>
      <c r="H33" s="112">
        <v>2147483680</v>
      </c>
      <c r="BO33" s="4"/>
      <c r="BP33" s="4"/>
      <c r="BQ33" s="4"/>
      <c r="BR33" s="4"/>
    </row>
    <row r="34" spans="1:70">
      <c r="A34" s="19" t="str">
        <f t="shared" si="3"/>
        <v>АСПС.FB_HA_UPI_S.Commands.COBN</v>
      </c>
      <c r="B34" s="11">
        <v>7998</v>
      </c>
      <c r="C34" s="11" t="s">
        <v>6</v>
      </c>
      <c r="D34" s="20">
        <v>2</v>
      </c>
      <c r="E34" s="11" t="str">
        <f t="shared" si="4"/>
        <v>АСПС.FB_HA_UPI_S.DBTX</v>
      </c>
      <c r="F34" s="11">
        <v>7999</v>
      </c>
      <c r="G34" s="11" t="s">
        <v>0</v>
      </c>
      <c r="H34" s="20" t="str">
        <f>"#"&amp;$S$2&amp;"#"&amp;$T$2&amp;"\"&amp;$P$2&amp;"\DBTX"</f>
        <v>#1#treiOPCDA.CoOPCserv.1\pcmaster\FB_HA_UPI_S\DBTX</v>
      </c>
      <c r="BO34" s="4"/>
      <c r="BP34" s="4"/>
      <c r="BQ34" s="4"/>
      <c r="BR34" s="4"/>
    </row>
    <row r="35" spans="1:70">
      <c r="A35" s="19" t="str">
        <f t="shared" si="3"/>
        <v>АСПС.FB_HA_UPI_S.Commands.COBN</v>
      </c>
      <c r="B35" s="11">
        <v>7999</v>
      </c>
      <c r="C35" s="11" t="s">
        <v>0</v>
      </c>
      <c r="D35" s="20" t="str">
        <f>"#"&amp;$T$5&amp;"#"&amp;$T$2&amp;"\"&amp;$P$2&amp;"\COBN"</f>
        <v>#1#treiOPCDA.CoOPCserv.1\pcmaster\FB_HA_UPI_S\COBN</v>
      </c>
      <c r="E35" s="11" t="str">
        <f t="shared" si="4"/>
        <v>АСПС.FB_HA_UPI_S.DBTX</v>
      </c>
      <c r="F35" s="11">
        <v>7998</v>
      </c>
      <c r="G35" s="11" t="s">
        <v>6</v>
      </c>
      <c r="H35" s="20">
        <v>1</v>
      </c>
      <c r="BO35" s="4"/>
      <c r="BP35" s="4"/>
      <c r="BQ35" s="4"/>
      <c r="BR35" s="4"/>
    </row>
    <row r="36" spans="1:70">
      <c r="A36" s="19" t="str">
        <f t="shared" si="3"/>
        <v>АСПС.FB_HA_UPI_S.Commands.COBN</v>
      </c>
      <c r="B36" s="11">
        <v>7000000</v>
      </c>
      <c r="C36" s="11" t="s">
        <v>6</v>
      </c>
      <c r="D36" s="20">
        <v>3</v>
      </c>
      <c r="E36" s="11"/>
      <c r="F36" s="11"/>
      <c r="G36" s="11"/>
      <c r="H36" s="20"/>
      <c r="BO36" s="4"/>
      <c r="BP36" s="4"/>
      <c r="BQ36" s="4"/>
      <c r="BR36" s="4"/>
    </row>
    <row r="37" spans="1:70">
      <c r="A37" s="21" t="str">
        <f t="shared" si="3"/>
        <v>АСПС.FB_HA_UPI_S.Commands.COBN</v>
      </c>
      <c r="B37" s="8">
        <v>4000000</v>
      </c>
      <c r="C37" s="8" t="s">
        <v>0</v>
      </c>
      <c r="D37" s="22" t="s">
        <v>1871</v>
      </c>
      <c r="E37" s="11"/>
      <c r="F37" s="11"/>
      <c r="G37" s="11"/>
      <c r="H37" s="20"/>
      <c r="BO37" s="4"/>
      <c r="BP37" s="4"/>
      <c r="BQ37" s="4"/>
      <c r="BR37" s="4"/>
    </row>
    <row r="38" spans="1:70">
      <c r="A38" s="342" t="str">
        <f>$R$2&amp;".XBOX"</f>
        <v>АСПС.FB_HA_UPI_S.XBOX</v>
      </c>
      <c r="B38" s="343">
        <v>11154</v>
      </c>
      <c r="C38" s="343" t="s">
        <v>4</v>
      </c>
      <c r="D38" s="344">
        <f>$Q$19</f>
        <v>22</v>
      </c>
    </row>
    <row r="39" spans="1:70">
      <c r="A39" s="345" t="str">
        <f>$R$2&amp;".XBOX"</f>
        <v>АСПС.FB_HA_UPI_S.XBOX</v>
      </c>
      <c r="B39" s="346">
        <v>11150</v>
      </c>
      <c r="C39" s="346" t="s">
        <v>0</v>
      </c>
      <c r="D39" s="347" t="s">
        <v>1868</v>
      </c>
    </row>
    <row r="40" spans="1:70">
      <c r="A40" s="345" t="str">
        <f t="shared" ref="A40:A47" si="5">$R$2&amp;".XBOX"</f>
        <v>АСПС.FB_HA_UPI_S.XBOX</v>
      </c>
      <c r="B40" s="346">
        <v>11152</v>
      </c>
      <c r="C40" s="346" t="s">
        <v>0</v>
      </c>
      <c r="D40" s="348" t="str">
        <f>$R$19</f>
        <v>Информация</v>
      </c>
    </row>
    <row r="41" spans="1:70">
      <c r="A41" s="345" t="str">
        <f t="shared" si="5"/>
        <v>АСПС.FB_HA_UPI_S.XBOX</v>
      </c>
      <c r="B41" s="346">
        <v>11000</v>
      </c>
      <c r="C41" s="346" t="s">
        <v>5</v>
      </c>
      <c r="D41" s="347">
        <v>2147483680</v>
      </c>
    </row>
    <row r="42" spans="1:70">
      <c r="A42" s="19" t="str">
        <f t="shared" si="5"/>
        <v>АСПС.FB_HA_UPI_S.XBOX</v>
      </c>
      <c r="B42" s="11">
        <v>7999</v>
      </c>
      <c r="C42" s="11" t="s">
        <v>0</v>
      </c>
      <c r="D42" s="20" t="str">
        <f>"#"&amp;$S$2&amp;"#"&amp;$T$2&amp;"\"&amp;$P$2&amp;"\XBOX"</f>
        <v>#1#treiOPCDA.CoOPCserv.1\pcmaster\FB_HA_UPI_S\XBOX</v>
      </c>
    </row>
    <row r="43" spans="1:70">
      <c r="A43" s="19" t="str">
        <f t="shared" si="5"/>
        <v>АСПС.FB_HA_UPI_S.XBOX</v>
      </c>
      <c r="B43" s="11">
        <v>7998</v>
      </c>
      <c r="C43" s="11" t="s">
        <v>6</v>
      </c>
      <c r="D43" s="20">
        <v>1</v>
      </c>
    </row>
    <row r="44" spans="1:70">
      <c r="A44" s="19" t="str">
        <f t="shared" si="5"/>
        <v>АСПС.FB_HA_UPI_S.XBOX</v>
      </c>
      <c r="B44" s="11">
        <v>101</v>
      </c>
      <c r="C44" s="11" t="s">
        <v>0</v>
      </c>
      <c r="D44" s="20" t="s">
        <v>1868</v>
      </c>
    </row>
    <row r="45" spans="1:70">
      <c r="A45" s="19" t="str">
        <f t="shared" si="5"/>
        <v>АСПС.FB_HA_UPI_S.XBOX</v>
      </c>
      <c r="B45" s="11">
        <v>3</v>
      </c>
      <c r="C45" s="11" t="s">
        <v>1</v>
      </c>
      <c r="D45" s="20">
        <v>192</v>
      </c>
    </row>
    <row r="46" spans="1:70">
      <c r="A46" s="19" t="str">
        <f t="shared" si="5"/>
        <v>АСПС.FB_HA_UPI_S.XBOX</v>
      </c>
      <c r="B46" s="11">
        <v>2</v>
      </c>
      <c r="C46" s="11" t="s">
        <v>2</v>
      </c>
      <c r="D46" s="20" t="s">
        <v>3</v>
      </c>
    </row>
    <row r="47" spans="1:70">
      <c r="A47" s="19" t="str">
        <f t="shared" si="5"/>
        <v>АСПС.FB_HA_UPI_S.XBOX</v>
      </c>
      <c r="B47" s="11">
        <v>1</v>
      </c>
      <c r="C47" s="11" t="s">
        <v>1</v>
      </c>
      <c r="D47" s="20">
        <v>11</v>
      </c>
    </row>
    <row r="48" spans="1:70">
      <c r="A48" s="342" t="str">
        <f>$R$2&amp;".XBTX"</f>
        <v>АСПС.FB_HA_UPI_S.XBTX</v>
      </c>
      <c r="B48" s="343">
        <v>11154</v>
      </c>
      <c r="C48" s="343" t="s">
        <v>4</v>
      </c>
      <c r="D48" s="344">
        <f>$Q$19</f>
        <v>22</v>
      </c>
    </row>
    <row r="49" spans="1:4">
      <c r="A49" s="345" t="str">
        <f t="shared" ref="A49:A57" si="6">$R$2&amp;".XBTX"</f>
        <v>АСПС.FB_HA_UPI_S.XBTX</v>
      </c>
      <c r="B49" s="346">
        <v>11150</v>
      </c>
      <c r="C49" s="346" t="s">
        <v>0</v>
      </c>
      <c r="D49" s="347" t="s">
        <v>582</v>
      </c>
    </row>
    <row r="50" spans="1:4">
      <c r="A50" s="345" t="str">
        <f t="shared" si="6"/>
        <v>АСПС.FB_HA_UPI_S.XBTX</v>
      </c>
      <c r="B50" s="346">
        <v>11152</v>
      </c>
      <c r="C50" s="346" t="s">
        <v>0</v>
      </c>
      <c r="D50" s="348" t="str">
        <f>$R$19</f>
        <v>Информация</v>
      </c>
    </row>
    <row r="51" spans="1:4">
      <c r="A51" s="345" t="str">
        <f t="shared" si="6"/>
        <v>АСПС.FB_HA_UPI_S.XBTX</v>
      </c>
      <c r="B51" s="346">
        <v>11000</v>
      </c>
      <c r="C51" s="346" t="s">
        <v>5</v>
      </c>
      <c r="D51" s="347">
        <v>2147483680</v>
      </c>
    </row>
    <row r="52" spans="1:4">
      <c r="A52" s="19" t="str">
        <f t="shared" si="6"/>
        <v>АСПС.FB_HA_UPI_S.XBTX</v>
      </c>
      <c r="B52" s="11">
        <v>7999</v>
      </c>
      <c r="C52" s="11" t="s">
        <v>0</v>
      </c>
      <c r="D52" s="20" t="str">
        <f>"#"&amp;$S$2&amp;"#"&amp;$T$2&amp;"\"&amp;$P$2&amp;"\XBTX"</f>
        <v>#1#treiOPCDA.CoOPCserv.1\pcmaster\FB_HA_UPI_S\XBTX</v>
      </c>
    </row>
    <row r="53" spans="1:4">
      <c r="A53" s="19" t="str">
        <f t="shared" si="6"/>
        <v>АСПС.FB_HA_UPI_S.XBTX</v>
      </c>
      <c r="B53" s="11">
        <v>7998</v>
      </c>
      <c r="C53" s="11" t="s">
        <v>6</v>
      </c>
      <c r="D53" s="20">
        <v>1</v>
      </c>
    </row>
    <row r="54" spans="1:4">
      <c r="A54" s="19" t="str">
        <f t="shared" si="6"/>
        <v>АСПС.FB_HA_UPI_S.XBTX</v>
      </c>
      <c r="B54" s="11">
        <v>101</v>
      </c>
      <c r="C54" s="11" t="s">
        <v>0</v>
      </c>
      <c r="D54" s="20" t="s">
        <v>582</v>
      </c>
    </row>
    <row r="55" spans="1:4">
      <c r="A55" s="19" t="str">
        <f t="shared" si="6"/>
        <v>АСПС.FB_HA_UPI_S.XBTX</v>
      </c>
      <c r="B55" s="11">
        <v>3</v>
      </c>
      <c r="C55" s="11" t="s">
        <v>1</v>
      </c>
      <c r="D55" s="20">
        <v>192</v>
      </c>
    </row>
    <row r="56" spans="1:4">
      <c r="A56" s="19" t="str">
        <f t="shared" si="6"/>
        <v>АСПС.FB_HA_UPI_S.XBTX</v>
      </c>
      <c r="B56" s="11">
        <v>2</v>
      </c>
      <c r="C56" s="11" t="s">
        <v>2</v>
      </c>
      <c r="D56" s="20" t="s">
        <v>3</v>
      </c>
    </row>
    <row r="57" spans="1:4">
      <c r="A57" s="21" t="str">
        <f t="shared" si="6"/>
        <v>АСПС.FB_HA_UPI_S.XBTX</v>
      </c>
      <c r="B57" s="8">
        <v>1</v>
      </c>
      <c r="C57" s="8" t="s">
        <v>1</v>
      </c>
      <c r="D57" s="22">
        <v>11</v>
      </c>
    </row>
    <row r="58" spans="1:4">
      <c r="A58" s="345" t="str">
        <f>$R$2&amp;".XKOX"</f>
        <v>АСПС.FB_HA_UPI_S.XKOX</v>
      </c>
      <c r="B58" s="346">
        <v>11154</v>
      </c>
      <c r="C58" s="346" t="s">
        <v>4</v>
      </c>
      <c r="D58" s="368">
        <f>$Q$19</f>
        <v>22</v>
      </c>
    </row>
    <row r="59" spans="1:4">
      <c r="A59" s="345" t="str">
        <f t="shared" ref="A59:A70" si="7">$R$2&amp;".XKOX"</f>
        <v>АСПС.FB_HA_UPI_S.XKOX</v>
      </c>
      <c r="B59" s="346">
        <v>11150</v>
      </c>
      <c r="C59" s="346" t="s">
        <v>0</v>
      </c>
      <c r="D59" s="347" t="s">
        <v>1872</v>
      </c>
    </row>
    <row r="60" spans="1:4">
      <c r="A60" s="345" t="str">
        <f t="shared" si="7"/>
        <v>АСПС.FB_HA_UPI_S.XKOX</v>
      </c>
      <c r="B60" s="346">
        <v>11152</v>
      </c>
      <c r="C60" s="346" t="s">
        <v>0</v>
      </c>
      <c r="D60" s="348" t="str">
        <f>$R$19</f>
        <v>Информация</v>
      </c>
    </row>
    <row r="61" spans="1:4">
      <c r="A61" s="345" t="str">
        <f t="shared" si="7"/>
        <v>АСПС.FB_HA_UPI_S.XKOX</v>
      </c>
      <c r="B61" s="346">
        <v>11155</v>
      </c>
      <c r="C61" s="346" t="s">
        <v>4</v>
      </c>
      <c r="D61" s="368">
        <f>$Q$19</f>
        <v>22</v>
      </c>
    </row>
    <row r="62" spans="1:4">
      <c r="A62" s="345" t="str">
        <f t="shared" si="7"/>
        <v>АСПС.FB_HA_UPI_S.XKOX</v>
      </c>
      <c r="B62" s="346">
        <v>11151</v>
      </c>
      <c r="C62" s="346" t="s">
        <v>0</v>
      </c>
      <c r="D62" s="347" t="s">
        <v>1873</v>
      </c>
    </row>
    <row r="63" spans="1:4">
      <c r="A63" s="345" t="str">
        <f t="shared" si="7"/>
        <v>АСПС.FB_HA_UPI_S.XKOX</v>
      </c>
      <c r="B63" s="346">
        <v>11153</v>
      </c>
      <c r="C63" s="346" t="s">
        <v>0</v>
      </c>
      <c r="D63" s="348" t="str">
        <f>$R$19</f>
        <v>Информация</v>
      </c>
    </row>
    <row r="64" spans="1:4">
      <c r="A64" s="19" t="str">
        <f t="shared" si="7"/>
        <v>АСПС.FB_HA_UPI_S.XKOX</v>
      </c>
      <c r="B64" s="11">
        <v>11000</v>
      </c>
      <c r="C64" s="11" t="s">
        <v>5</v>
      </c>
      <c r="D64" s="20">
        <v>2147483744</v>
      </c>
    </row>
    <row r="65" spans="1:4">
      <c r="A65" s="19" t="str">
        <f t="shared" si="7"/>
        <v>АСПС.FB_HA_UPI_S.XKOX</v>
      </c>
      <c r="B65" s="11">
        <v>7999</v>
      </c>
      <c r="C65" s="11" t="s">
        <v>0</v>
      </c>
      <c r="D65" s="20" t="str">
        <f>"#"&amp;$S$2&amp;"#"&amp;$T$2&amp;"\"&amp;$P$2&amp;"\XKOX"</f>
        <v>#1#treiOPCDA.CoOPCserv.1\pcmaster\FB_HA_UPI_S\XKOX</v>
      </c>
    </row>
    <row r="66" spans="1:4">
      <c r="A66" s="19" t="str">
        <f t="shared" si="7"/>
        <v>АСПС.FB_HA_UPI_S.XKOX</v>
      </c>
      <c r="B66" s="11">
        <v>7998</v>
      </c>
      <c r="C66" s="11" t="s">
        <v>6</v>
      </c>
      <c r="D66" s="20">
        <v>1</v>
      </c>
    </row>
    <row r="67" spans="1:4">
      <c r="A67" s="19" t="str">
        <f t="shared" si="7"/>
        <v>АСПС.FB_HA_UPI_S.XKOX</v>
      </c>
      <c r="B67" s="11">
        <v>101</v>
      </c>
      <c r="C67" s="11" t="s">
        <v>0</v>
      </c>
      <c r="D67" s="20" t="s">
        <v>1870</v>
      </c>
    </row>
    <row r="68" spans="1:4">
      <c r="A68" s="19" t="str">
        <f t="shared" si="7"/>
        <v>АСПС.FB_HA_UPI_S.XKOX</v>
      </c>
      <c r="B68" s="11">
        <v>3</v>
      </c>
      <c r="C68" s="11" t="s">
        <v>1</v>
      </c>
      <c r="D68" s="20">
        <v>192</v>
      </c>
    </row>
    <row r="69" spans="1:4">
      <c r="A69" s="19" t="str">
        <f t="shared" si="7"/>
        <v>АСПС.FB_HA_UPI_S.XKOX</v>
      </c>
      <c r="B69" s="11">
        <v>2</v>
      </c>
      <c r="C69" s="11" t="s">
        <v>2</v>
      </c>
      <c r="D69" s="20" t="s">
        <v>3</v>
      </c>
    </row>
    <row r="70" spans="1:4">
      <c r="A70" s="21" t="str">
        <f t="shared" si="7"/>
        <v>АСПС.FB_HA_UPI_S.XKOX</v>
      </c>
      <c r="B70" s="8">
        <v>1</v>
      </c>
      <c r="C70" s="8" t="s">
        <v>1</v>
      </c>
      <c r="D70" s="22">
        <v>11</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Лист17">
    <tabColor rgb="FFFFC000"/>
  </sheetPr>
  <dimension ref="A1:BP38"/>
  <sheetViews>
    <sheetView topLeftCell="A7"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8" ht="204.6" thickBot="1">
      <c r="A1" s="9"/>
      <c r="B1" s="9" t="s">
        <v>84</v>
      </c>
      <c r="C1" s="9"/>
      <c r="D1" s="9"/>
      <c r="E1" s="9"/>
      <c r="F1" s="9"/>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4"/>
      <c r="BN1" s="4"/>
      <c r="BO1" s="4"/>
      <c r="BP1" s="4"/>
    </row>
    <row r="2" spans="1:68" ht="15" customHeight="1">
      <c r="A2" s="9"/>
      <c r="B2" s="9"/>
      <c r="C2" s="9"/>
      <c r="D2" s="9"/>
      <c r="E2" s="9"/>
      <c r="F2" s="9"/>
      <c r="P2" s="2" t="s">
        <v>644</v>
      </c>
      <c r="Q2" s="2" t="s">
        <v>778</v>
      </c>
      <c r="R2" s="2" t="s">
        <v>643</v>
      </c>
      <c r="S2" s="3">
        <v>1</v>
      </c>
      <c r="T2" s="3" t="s">
        <v>1698</v>
      </c>
      <c r="U2" s="3"/>
      <c r="V2" s="3" t="s">
        <v>569</v>
      </c>
      <c r="W2" s="12">
        <v>2</v>
      </c>
      <c r="X2" s="12">
        <v>1</v>
      </c>
      <c r="Y2" s="12"/>
      <c r="Z2" s="12"/>
      <c r="AA2" s="12"/>
      <c r="AB2" s="2"/>
      <c r="AC2" s="2"/>
      <c r="AD2" s="2"/>
      <c r="AE2" s="2" t="s">
        <v>1414</v>
      </c>
      <c r="AF2" s="2"/>
      <c r="AG2" s="2"/>
      <c r="AH2" s="2"/>
      <c r="AI2" s="2"/>
      <c r="AJ2" s="2"/>
      <c r="AK2" s="2"/>
      <c r="AL2" s="2"/>
      <c r="AM2" s="2"/>
      <c r="AN2" s="2"/>
      <c r="AO2" s="2"/>
      <c r="AP2" s="2"/>
      <c r="AQ2" s="2"/>
      <c r="AR2" s="2"/>
      <c r="AS2" s="2"/>
      <c r="AT2" s="2"/>
      <c r="AU2" s="2"/>
      <c r="AV2" s="2"/>
      <c r="AW2" s="2"/>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M4" s="4"/>
      <c r="BN4" s="4"/>
      <c r="BO4" s="4"/>
      <c r="BP4" s="4"/>
    </row>
    <row r="5" spans="1:68"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M5" s="4"/>
      <c r="BN5" s="4"/>
      <c r="BO5" s="4"/>
      <c r="BP5" s="4"/>
    </row>
    <row r="6" spans="1:68"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M6" s="4"/>
      <c r="BN6" s="4"/>
      <c r="BO6" s="4"/>
      <c r="BP6" s="4"/>
    </row>
    <row r="7" spans="1:68"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M7" s="4"/>
      <c r="BN7" s="4"/>
      <c r="BO7" s="4"/>
      <c r="BP7" s="4"/>
    </row>
    <row r="8" spans="1:68" ht="15" customHeight="1">
      <c r="A8" s="9"/>
      <c r="B8" s="9"/>
      <c r="C8" s="9"/>
      <c r="D8" s="9"/>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BM8" s="4"/>
      <c r="BN8" s="4"/>
      <c r="BO8" s="4"/>
      <c r="BP8" s="4"/>
    </row>
    <row r="9" spans="1:68" ht="15" customHeight="1">
      <c r="A9" s="9"/>
      <c r="B9" s="9"/>
      <c r="C9" s="9"/>
      <c r="D9" s="9"/>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BM9" s="4"/>
      <c r="BN9" s="4"/>
      <c r="BO9" s="4"/>
      <c r="BP9" s="4"/>
    </row>
    <row r="10" spans="1:68" ht="15" customHeight="1">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BM10" s="4"/>
      <c r="BN10" s="4"/>
      <c r="BO10" s="4"/>
      <c r="BP10" s="4"/>
    </row>
    <row r="11" spans="1:68" ht="15" customHeight="1">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BM11" s="4"/>
      <c r="BN11" s="4"/>
      <c r="BO11" s="4"/>
      <c r="BP11" s="4"/>
    </row>
    <row r="12" spans="1:68"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M17" s="4"/>
      <c r="BN17" s="4"/>
      <c r="BO17" s="4"/>
      <c r="BP17" s="4"/>
    </row>
    <row r="18" spans="1:68"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M18" s="4"/>
      <c r="BN18" s="4"/>
      <c r="BO18" s="4"/>
      <c r="BP18" s="4"/>
    </row>
    <row r="19" spans="1:68"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M19" s="4"/>
      <c r="BN19" s="4"/>
      <c r="BO19" s="4"/>
      <c r="BP19" s="4"/>
    </row>
    <row r="20" spans="1:68" ht="15" customHeight="1">
      <c r="A20" s="16" t="str">
        <f>$R$2</f>
        <v>ENUM</v>
      </c>
      <c r="B20" s="17">
        <v>11001</v>
      </c>
      <c r="C20" s="17" t="s">
        <v>0</v>
      </c>
      <c r="D20" s="18" t="str">
        <f>$Q$2&amp;". "</f>
        <v xml:space="preserve">Перечисление. </v>
      </c>
      <c r="E20" s="4"/>
      <c r="F20" s="4"/>
      <c r="BF20" s="4"/>
      <c r="BG20" s="4"/>
      <c r="BH20" s="4"/>
      <c r="BI20" s="4"/>
    </row>
    <row r="21" spans="1:68" ht="15" customHeight="1">
      <c r="A21" s="19" t="str">
        <f>$R$2</f>
        <v>ENUM</v>
      </c>
      <c r="B21" s="11">
        <v>11156</v>
      </c>
      <c r="C21" s="11" t="s">
        <v>0</v>
      </c>
      <c r="D21" s="20" t="str">
        <f>$V$2</f>
        <v>Тестовый экран</v>
      </c>
      <c r="E21" s="4"/>
      <c r="F21" s="4"/>
      <c r="BF21" s="4"/>
      <c r="BG21" s="4"/>
      <c r="BH21" s="4"/>
      <c r="BI21" s="4"/>
    </row>
    <row r="22" spans="1:68" ht="15" customHeight="1">
      <c r="A22" s="19" t="str">
        <f>$R$2</f>
        <v>ENUM</v>
      </c>
      <c r="B22" s="11">
        <v>1</v>
      </c>
      <c r="C22" s="11" t="s">
        <v>1</v>
      </c>
      <c r="D22" s="20">
        <v>17</v>
      </c>
      <c r="BF22" s="4"/>
      <c r="BG22" s="4"/>
      <c r="BH22" s="4"/>
      <c r="BI22" s="4"/>
    </row>
    <row r="23" spans="1:68">
      <c r="A23" s="16" t="str">
        <f t="shared" ref="A23:A24" si="0">$R$2</f>
        <v>ENUM</v>
      </c>
      <c r="B23" s="17">
        <v>13</v>
      </c>
      <c r="C23" s="17" t="s">
        <v>2</v>
      </c>
      <c r="D23" s="18" t="s">
        <v>3</v>
      </c>
    </row>
    <row r="24" spans="1:68" ht="15" customHeight="1">
      <c r="A24" s="19" t="str">
        <f t="shared" si="0"/>
        <v>ENUM</v>
      </c>
      <c r="B24" s="11">
        <v>3000013</v>
      </c>
      <c r="C24" s="11" t="s">
        <v>0</v>
      </c>
      <c r="D24" s="20" t="str">
        <f>$AE$2</f>
        <v>Диагностика.CPU.NOT_LINK.noLink</v>
      </c>
      <c r="BF24" s="4"/>
      <c r="BG24" s="4"/>
      <c r="BH24" s="4"/>
      <c r="BI24" s="4"/>
    </row>
    <row r="25" spans="1:68" ht="15" customHeight="1">
      <c r="A25" s="23" t="str">
        <f t="shared" ref="A25:A30" si="1">$R$2&amp;".STATUS"</f>
        <v>ENUM.STATUS</v>
      </c>
      <c r="B25" s="24">
        <v>1</v>
      </c>
      <c r="C25" s="24" t="s">
        <v>1</v>
      </c>
      <c r="D25" s="25">
        <v>18</v>
      </c>
      <c r="E25" s="4"/>
      <c r="F25" s="4"/>
      <c r="BM25" s="4"/>
      <c r="BN25" s="4"/>
      <c r="BO25" s="4"/>
      <c r="BP25" s="4"/>
    </row>
    <row r="26" spans="1:68" ht="15" customHeight="1">
      <c r="A26" s="29" t="str">
        <f t="shared" si="1"/>
        <v>ENUM.STATUS</v>
      </c>
      <c r="B26" s="1">
        <v>7998</v>
      </c>
      <c r="C26" s="1" t="s">
        <v>6</v>
      </c>
      <c r="D26" s="30">
        <v>1</v>
      </c>
      <c r="E26" s="4"/>
      <c r="F26" s="4"/>
      <c r="BM26" s="4"/>
      <c r="BN26" s="4"/>
      <c r="BO26" s="4"/>
      <c r="BP26" s="4"/>
    </row>
    <row r="27" spans="1:68" ht="15" customHeight="1">
      <c r="A27" s="29" t="str">
        <f t="shared" si="1"/>
        <v>ENUM.STATUS</v>
      </c>
      <c r="B27" s="1">
        <v>7999</v>
      </c>
      <c r="C27" s="1" t="s">
        <v>0</v>
      </c>
      <c r="D27" s="30" t="str">
        <f>"#"&amp;$S$2&amp;"#"&amp;$T$2&amp;"\"&amp;$P$2</f>
        <v>#1#treiOPCDA.CoOPCserv.1\pcmaster\Electon\S20220\REG57</v>
      </c>
      <c r="BM27" s="4"/>
      <c r="BN27" s="4"/>
      <c r="BO27" s="4"/>
      <c r="BP27" s="4"/>
    </row>
    <row r="28" spans="1:68" ht="15" customHeight="1">
      <c r="A28" s="29" t="str">
        <f t="shared" si="1"/>
        <v>ENUM.STATUS</v>
      </c>
      <c r="B28" s="1">
        <v>2</v>
      </c>
      <c r="C28" s="1" t="s">
        <v>4</v>
      </c>
      <c r="D28" s="30">
        <v>0</v>
      </c>
      <c r="BM28" s="4"/>
      <c r="BN28" s="4"/>
      <c r="BO28" s="4"/>
      <c r="BP28" s="4"/>
    </row>
    <row r="29" spans="1:68" ht="15" customHeight="1">
      <c r="A29" s="29" t="str">
        <f t="shared" si="1"/>
        <v>ENUM.STATUS</v>
      </c>
      <c r="B29" s="1">
        <v>7011</v>
      </c>
      <c r="C29" s="1" t="s">
        <v>2</v>
      </c>
      <c r="D29" s="30" t="s">
        <v>130</v>
      </c>
      <c r="BM29" s="4"/>
      <c r="BN29" s="4"/>
      <c r="BO29" s="4"/>
      <c r="BP29" s="4"/>
    </row>
    <row r="30" spans="1:68" ht="15" customHeight="1">
      <c r="A30" s="26" t="str">
        <f t="shared" si="1"/>
        <v>ENUM.STATUS</v>
      </c>
      <c r="B30" s="27">
        <v>3</v>
      </c>
      <c r="C30" s="27" t="s">
        <v>1</v>
      </c>
      <c r="D30" s="28">
        <v>192</v>
      </c>
      <c r="BM30" s="4"/>
      <c r="BN30" s="4"/>
      <c r="BO30" s="4"/>
      <c r="BP30" s="4"/>
    </row>
    <row r="31" spans="1:68" ht="15" customHeight="1">
      <c r="A31" s="29" t="str">
        <f t="shared" ref="A31:A38" si="2">$R$2&amp;".STATUS_MSG"</f>
        <v>ENUM.STATUS_MSG</v>
      </c>
      <c r="B31" s="1">
        <v>7011</v>
      </c>
      <c r="C31" s="1" t="s">
        <v>2</v>
      </c>
      <c r="D31" s="30" t="s">
        <v>130</v>
      </c>
      <c r="BM31" s="4"/>
      <c r="BN31" s="4"/>
      <c r="BO31" s="4"/>
      <c r="BP31" s="4"/>
    </row>
    <row r="32" spans="1:68" ht="15" customHeight="1">
      <c r="A32" s="29" t="str">
        <f t="shared" si="2"/>
        <v>ENUM.STATUS_MSG</v>
      </c>
      <c r="B32" s="1">
        <v>3</v>
      </c>
      <c r="C32" s="1" t="s">
        <v>1</v>
      </c>
      <c r="D32" s="30">
        <v>192</v>
      </c>
      <c r="BM32" s="4"/>
      <c r="BN32" s="4"/>
      <c r="BO32" s="4"/>
      <c r="BP32" s="4"/>
    </row>
    <row r="33" spans="1:4">
      <c r="A33" s="29" t="str">
        <f t="shared" si="2"/>
        <v>ENUM.STATUS_MSG</v>
      </c>
      <c r="B33" s="1">
        <v>2</v>
      </c>
      <c r="C33" s="1" t="s">
        <v>4</v>
      </c>
      <c r="D33" s="30">
        <v>0</v>
      </c>
    </row>
    <row r="34" spans="1:4">
      <c r="A34" s="29" t="str">
        <f t="shared" si="2"/>
        <v>ENUM.STATUS_MSG</v>
      </c>
      <c r="B34" s="1">
        <v>1</v>
      </c>
      <c r="C34" s="1" t="s">
        <v>1</v>
      </c>
      <c r="D34" s="30">
        <v>18</v>
      </c>
    </row>
    <row r="35" spans="1:4">
      <c r="A35" s="29" t="str">
        <f t="shared" si="2"/>
        <v>ENUM.STATUS_MSG</v>
      </c>
      <c r="B35" s="1">
        <v>11000</v>
      </c>
      <c r="C35" s="1" t="s">
        <v>5</v>
      </c>
      <c r="D35" s="30">
        <v>2147484672</v>
      </c>
    </row>
    <row r="36" spans="1:4">
      <c r="A36" s="29" t="str">
        <f t="shared" si="2"/>
        <v>ENUM.STATUS_MSG</v>
      </c>
      <c r="B36" s="1">
        <v>11180</v>
      </c>
      <c r="C36" s="1" t="s">
        <v>0</v>
      </c>
      <c r="D36" s="30" t="s">
        <v>642</v>
      </c>
    </row>
    <row r="37" spans="1:4">
      <c r="A37" s="29" t="str">
        <f t="shared" si="2"/>
        <v>ENUM.STATUS_MSG</v>
      </c>
      <c r="B37" s="1">
        <v>11181</v>
      </c>
      <c r="C37" s="1" t="s">
        <v>4</v>
      </c>
      <c r="D37" s="30">
        <f>$W$2</f>
        <v>2</v>
      </c>
    </row>
    <row r="38" spans="1:4">
      <c r="A38" s="26" t="str">
        <f t="shared" si="2"/>
        <v>ENUM.STATUS_MSG</v>
      </c>
      <c r="B38" s="27">
        <v>3000000</v>
      </c>
      <c r="C38" s="27" t="s">
        <v>0</v>
      </c>
      <c r="D38" s="28" t="str">
        <f>"#1.STATUS+"&amp;$X$2*256</f>
        <v>#1.STATUS+256</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Лист60">
    <tabColor rgb="FFFFC000"/>
  </sheetPr>
  <dimension ref="A1:BP33"/>
  <sheetViews>
    <sheetView topLeftCell="A13"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8" ht="204.6" thickBot="1">
      <c r="A1" s="9"/>
      <c r="B1" s="9" t="s">
        <v>84</v>
      </c>
      <c r="C1" s="9"/>
      <c r="D1" s="9"/>
      <c r="E1" s="9"/>
      <c r="F1" s="9"/>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4"/>
      <c r="BN1" s="4"/>
      <c r="BO1" s="4"/>
      <c r="BP1" s="4"/>
    </row>
    <row r="2" spans="1:68" ht="15" customHeight="1">
      <c r="A2" s="9"/>
      <c r="B2" s="9"/>
      <c r="C2" s="9"/>
      <c r="D2" s="9"/>
      <c r="E2" s="9"/>
      <c r="F2" s="9"/>
      <c r="P2" s="2"/>
      <c r="Q2" s="2" t="s">
        <v>2859</v>
      </c>
      <c r="R2" s="2" t="s">
        <v>780</v>
      </c>
      <c r="S2" s="3">
        <v>1</v>
      </c>
      <c r="T2" s="3"/>
      <c r="U2" s="3"/>
      <c r="V2" s="3" t="s">
        <v>569</v>
      </c>
      <c r="W2" s="12"/>
      <c r="X2" s="12"/>
      <c r="Y2" s="12"/>
      <c r="Z2" s="12">
        <v>2</v>
      </c>
      <c r="AA2" s="12" t="s">
        <v>450</v>
      </c>
      <c r="AB2" s="2"/>
      <c r="AC2" s="2"/>
      <c r="AD2" s="2"/>
      <c r="AE2" s="2"/>
      <c r="AF2" s="2"/>
      <c r="AG2" s="2"/>
      <c r="AH2" s="2"/>
      <c r="AI2" s="2"/>
      <c r="AJ2" s="2"/>
      <c r="AK2" s="2"/>
      <c r="AL2" s="2"/>
      <c r="AM2" s="2"/>
      <c r="AN2" s="2"/>
      <c r="AO2" s="2"/>
      <c r="AP2" s="2"/>
      <c r="AQ2" s="2"/>
      <c r="AR2" s="2"/>
      <c r="AS2" s="2"/>
      <c r="AT2" s="2"/>
      <c r="AU2" s="2"/>
      <c r="AV2" s="2"/>
      <c r="AW2" s="2"/>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BM4" s="4"/>
      <c r="BN4" s="4"/>
      <c r="BO4" s="4"/>
      <c r="BP4" s="4"/>
    </row>
    <row r="5" spans="1:68"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BM5" s="4"/>
      <c r="BN5" s="4"/>
      <c r="BO5" s="4"/>
      <c r="BP5" s="4"/>
    </row>
    <row r="6" spans="1:68"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BM6" s="4"/>
      <c r="BN6" s="4"/>
      <c r="BO6" s="4"/>
      <c r="BP6" s="4"/>
    </row>
    <row r="7" spans="1:68"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BM7" s="4"/>
      <c r="BN7" s="4"/>
      <c r="BO7" s="4"/>
      <c r="BP7" s="4"/>
    </row>
    <row r="8" spans="1:68" ht="15" customHeight="1">
      <c r="A8" s="9"/>
      <c r="B8" s="9"/>
      <c r="C8" s="9"/>
      <c r="D8" s="9"/>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BM8" s="4"/>
      <c r="BN8" s="4"/>
      <c r="BO8" s="4"/>
      <c r="BP8" s="4"/>
    </row>
    <row r="9" spans="1:68" ht="15" customHeight="1">
      <c r="A9" s="9"/>
      <c r="B9" s="9"/>
      <c r="C9" s="9"/>
      <c r="D9" s="9"/>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BM9" s="4"/>
      <c r="BN9" s="4"/>
      <c r="BO9" s="4"/>
      <c r="BP9" s="4"/>
    </row>
    <row r="10" spans="1:68" ht="15" customHeight="1">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BM10" s="4"/>
      <c r="BN10" s="4"/>
      <c r="BO10" s="4"/>
      <c r="BP10" s="4"/>
    </row>
    <row r="11" spans="1:68" ht="15" customHeight="1">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BM11" s="4"/>
      <c r="BN11" s="4"/>
      <c r="BO11" s="4"/>
      <c r="BP11" s="4"/>
    </row>
    <row r="12" spans="1:68"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M17" s="4"/>
      <c r="BN17" s="4"/>
      <c r="BO17" s="4"/>
      <c r="BP17" s="4"/>
    </row>
    <row r="18" spans="1:68"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M18" s="4"/>
      <c r="BN18" s="4"/>
      <c r="BO18" s="4"/>
      <c r="BP18" s="4"/>
    </row>
    <row r="19" spans="1:68"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M19" s="4"/>
      <c r="BN19" s="4"/>
      <c r="BO19" s="4"/>
      <c r="BP19" s="4"/>
    </row>
    <row r="20" spans="1:68" ht="15" customHeight="1">
      <c r="A20" s="58" t="str">
        <f t="shared" ref="A20:A25" si="0">$R$2&amp;".Ping"</f>
        <v>Диагностика.PING.Ping</v>
      </c>
      <c r="B20" s="17">
        <v>2</v>
      </c>
      <c r="C20" s="17" t="s">
        <v>2</v>
      </c>
      <c r="D20" s="18" t="s">
        <v>266</v>
      </c>
      <c r="BM20" s="4"/>
      <c r="BN20" s="4"/>
      <c r="BO20" s="4"/>
      <c r="BP20" s="4"/>
    </row>
    <row r="21" spans="1:68" ht="15" customHeight="1">
      <c r="A21" s="31" t="str">
        <f t="shared" si="0"/>
        <v>Диагностика.PING.Ping</v>
      </c>
      <c r="B21" s="11">
        <v>1</v>
      </c>
      <c r="C21" s="11" t="s">
        <v>1</v>
      </c>
      <c r="D21" s="20">
        <v>11</v>
      </c>
      <c r="BM21" s="4"/>
      <c r="BN21" s="4"/>
      <c r="BO21" s="4"/>
      <c r="BP21" s="4"/>
    </row>
    <row r="22" spans="1:68" ht="15" customHeight="1">
      <c r="A22" s="31" t="str">
        <f t="shared" si="0"/>
        <v>Диагностика.PING.Ping</v>
      </c>
      <c r="B22" s="11">
        <v>3</v>
      </c>
      <c r="C22" s="11" t="s">
        <v>1</v>
      </c>
      <c r="D22" s="20">
        <v>192</v>
      </c>
      <c r="BM22" s="4"/>
      <c r="BN22" s="4"/>
      <c r="BO22" s="4"/>
      <c r="BP22" s="4"/>
    </row>
    <row r="23" spans="1:68" ht="15" customHeight="1">
      <c r="A23" s="31" t="str">
        <f t="shared" si="0"/>
        <v>Диагностика.PING.Ping</v>
      </c>
      <c r="B23" s="11">
        <v>10016</v>
      </c>
      <c r="C23" s="11" t="s">
        <v>0</v>
      </c>
      <c r="D23" s="20" t="str">
        <f>$S$2&amp;"#"&amp;$AA$2&amp;"#0"</f>
        <v>1#200.1.11.40#0</v>
      </c>
      <c r="BM23" s="4"/>
      <c r="BN23" s="4"/>
      <c r="BO23" s="4"/>
      <c r="BP23" s="4"/>
    </row>
    <row r="24" spans="1:68" ht="15" customHeight="1">
      <c r="A24" s="31" t="str">
        <f t="shared" si="0"/>
        <v>Диагностика.PING.Ping</v>
      </c>
      <c r="B24" s="11">
        <v>7000000</v>
      </c>
      <c r="C24" s="11" t="s">
        <v>6</v>
      </c>
      <c r="D24" s="20">
        <v>3</v>
      </c>
      <c r="BM24" s="4"/>
      <c r="BN24" s="4"/>
      <c r="BO24" s="4"/>
      <c r="BP24" s="4"/>
    </row>
    <row r="25" spans="1:68" ht="15" customHeight="1">
      <c r="A25" s="31" t="str">
        <f t="shared" si="0"/>
        <v>Диагностика.PING.Ping</v>
      </c>
      <c r="B25" s="11">
        <v>4000000</v>
      </c>
      <c r="C25" s="11" t="s">
        <v>0</v>
      </c>
      <c r="D25" s="20" t="str">
        <f>"sleep("&amp;$Z$2&amp;");if (!#0) {sleep("&amp;$Z$2&amp;");if (!#0) {#1.noLink= 1;}else {#1.noLink= 0;}} else {#1.noLink= 0;}"</f>
        <v>sleep(2);if (!#0) {sleep(2);if (!#0) {#1.noLink= 1;}else {#1.noLink= 0;}} else {#1.noLink= 0;}</v>
      </c>
      <c r="BM25" s="4"/>
      <c r="BN25" s="4"/>
      <c r="BO25" s="4"/>
      <c r="BP25" s="4"/>
    </row>
    <row r="26" spans="1:68" ht="15" customHeight="1">
      <c r="A26" s="16" t="str">
        <f>$R$2&amp;".noLink"</f>
        <v>Диагностика.PING.noLink</v>
      </c>
      <c r="B26" s="17">
        <v>11156</v>
      </c>
      <c r="C26" s="17" t="s">
        <v>0</v>
      </c>
      <c r="D26" s="18" t="str">
        <f>$V$2</f>
        <v>Тестовый экран</v>
      </c>
      <c r="E26" s="4"/>
      <c r="F26" s="4"/>
      <c r="BM26" s="4"/>
      <c r="BN26" s="4"/>
      <c r="BO26" s="4"/>
      <c r="BP26" s="4"/>
    </row>
    <row r="27" spans="1:68" ht="15" customHeight="1">
      <c r="A27" s="211" t="str">
        <f>$R$2&amp;".noLink"</f>
        <v>Диагностика.PING.noLink</v>
      </c>
      <c r="B27" s="212">
        <v>11154</v>
      </c>
      <c r="C27" s="212" t="s">
        <v>4</v>
      </c>
      <c r="D27" s="221">
        <f>$Q$7</f>
        <v>12</v>
      </c>
      <c r="BM27" s="4"/>
      <c r="BN27" s="4"/>
      <c r="BO27" s="4"/>
      <c r="BP27" s="4"/>
    </row>
    <row r="28" spans="1:68" ht="15" customHeight="1">
      <c r="A28" s="211" t="str">
        <f t="shared" ref="A28:A33" si="1">$R$2&amp;".noLink"</f>
        <v>Диагностика.PING.noLink</v>
      </c>
      <c r="B28" s="212">
        <v>11152</v>
      </c>
      <c r="C28" s="212" t="s">
        <v>0</v>
      </c>
      <c r="D28" s="213" t="str">
        <f>$R$7</f>
        <v>Неисправность</v>
      </c>
      <c r="BM28" s="4"/>
      <c r="BN28" s="4"/>
      <c r="BO28" s="4"/>
      <c r="BP28" s="4"/>
    </row>
    <row r="29" spans="1:68" ht="15" customHeight="1">
      <c r="A29" s="211" t="str">
        <f t="shared" si="1"/>
        <v>Диагностика.PING.noLink</v>
      </c>
      <c r="B29" s="212">
        <v>11150</v>
      </c>
      <c r="C29" s="212" t="s">
        <v>0</v>
      </c>
      <c r="D29" s="213" t="str">
        <f>$Q$2</f>
        <v>Коммутатор S301. Нет связи с устройством</v>
      </c>
      <c r="BM29" s="4"/>
      <c r="BN29" s="4"/>
      <c r="BO29" s="4"/>
      <c r="BP29" s="4"/>
    </row>
    <row r="30" spans="1:68" ht="15" customHeight="1">
      <c r="A30" s="211" t="str">
        <f t="shared" si="1"/>
        <v>Диагностика.PING.noLink</v>
      </c>
      <c r="B30" s="212">
        <v>11000</v>
      </c>
      <c r="C30" s="212" t="s">
        <v>5</v>
      </c>
      <c r="D30" s="213">
        <v>2147483680</v>
      </c>
      <c r="BM30" s="4"/>
      <c r="BN30" s="4"/>
      <c r="BO30" s="4"/>
      <c r="BP30" s="4"/>
    </row>
    <row r="31" spans="1:68" ht="15" customHeight="1">
      <c r="A31" s="19" t="str">
        <f t="shared" si="1"/>
        <v>Диагностика.PING.noLink</v>
      </c>
      <c r="B31" s="11">
        <v>3</v>
      </c>
      <c r="C31" s="11" t="s">
        <v>1</v>
      </c>
      <c r="D31" s="20">
        <v>192</v>
      </c>
      <c r="BM31" s="4"/>
      <c r="BN31" s="4"/>
      <c r="BO31" s="4"/>
      <c r="BP31" s="4"/>
    </row>
    <row r="32" spans="1:68" ht="15" customHeight="1">
      <c r="A32" s="19" t="str">
        <f t="shared" si="1"/>
        <v>Диагностика.PING.noLink</v>
      </c>
      <c r="B32" s="11">
        <v>2</v>
      </c>
      <c r="C32" s="11" t="s">
        <v>2</v>
      </c>
      <c r="D32" s="20" t="s">
        <v>3</v>
      </c>
      <c r="BM32" s="4"/>
      <c r="BN32" s="4"/>
      <c r="BO32" s="4"/>
      <c r="BP32" s="4"/>
    </row>
    <row r="33" spans="1:68" ht="15" customHeight="1">
      <c r="A33" s="21" t="str">
        <f t="shared" si="1"/>
        <v>Диагностика.PING.noLink</v>
      </c>
      <c r="B33" s="8">
        <v>1</v>
      </c>
      <c r="C33" s="8" t="s">
        <v>1</v>
      </c>
      <c r="D33" s="22">
        <v>11</v>
      </c>
      <c r="BM33" s="4"/>
      <c r="BN33" s="4"/>
      <c r="BO33" s="4"/>
      <c r="BP33" s="4"/>
    </row>
  </sheetData>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codeName="Лист131">
    <tabColor rgb="FFFFC000"/>
  </sheetPr>
  <dimension ref="A1:BP3454"/>
  <sheetViews>
    <sheetView topLeftCell="A960"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35.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9.109375"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8" ht="153.6" thickBot="1">
      <c r="A1" s="9"/>
      <c r="B1" s="42"/>
      <c r="C1" s="9"/>
      <c r="D1" s="9"/>
      <c r="E1" s="9"/>
      <c r="F1" s="9"/>
      <c r="P1" s="251" t="s">
        <v>328</v>
      </c>
      <c r="Q1" s="251" t="s">
        <v>397</v>
      </c>
      <c r="R1" s="252" t="s">
        <v>398</v>
      </c>
      <c r="S1" s="251" t="s">
        <v>1415</v>
      </c>
      <c r="T1" s="253" t="s">
        <v>52</v>
      </c>
      <c r="U1" s="253" t="s">
        <v>53</v>
      </c>
      <c r="V1" s="253" t="s">
        <v>51</v>
      </c>
      <c r="W1" s="254" t="s">
        <v>1416</v>
      </c>
      <c r="X1" s="254" t="s">
        <v>1417</v>
      </c>
      <c r="Y1" s="254" t="s">
        <v>1418</v>
      </c>
      <c r="Z1" s="254" t="s">
        <v>1419</v>
      </c>
      <c r="AA1" s="254" t="s">
        <v>1420</v>
      </c>
      <c r="AB1" s="254" t="s">
        <v>1421</v>
      </c>
      <c r="AC1" s="254" t="s">
        <v>1422</v>
      </c>
      <c r="AD1" s="254" t="s">
        <v>1423</v>
      </c>
      <c r="AE1" s="254" t="s">
        <v>451</v>
      </c>
      <c r="AF1" s="254">
        <v>0</v>
      </c>
      <c r="AG1" s="254">
        <v>0</v>
      </c>
      <c r="AH1" s="254">
        <v>0</v>
      </c>
      <c r="AI1" s="254">
        <v>0</v>
      </c>
      <c r="AJ1" s="254">
        <v>0</v>
      </c>
      <c r="AK1" s="255" t="s">
        <v>1424</v>
      </c>
      <c r="AL1" s="255" t="s">
        <v>1425</v>
      </c>
      <c r="AM1" s="255" t="s">
        <v>1426</v>
      </c>
      <c r="AN1" s="255" t="s">
        <v>1427</v>
      </c>
      <c r="AO1" s="255" t="s">
        <v>1428</v>
      </c>
      <c r="AP1" s="255" t="s">
        <v>1429</v>
      </c>
      <c r="AQ1" s="255" t="s">
        <v>1430</v>
      </c>
      <c r="AR1" s="255" t="s">
        <v>1431</v>
      </c>
      <c r="AS1" s="255" t="s">
        <v>1432</v>
      </c>
      <c r="AT1" s="255" t="s">
        <v>1433</v>
      </c>
      <c r="AU1" s="255" t="s">
        <v>1434</v>
      </c>
      <c r="AV1" s="255" t="s">
        <v>1435</v>
      </c>
      <c r="AW1" s="256" t="s">
        <v>1436</v>
      </c>
      <c r="AX1" s="256" t="s">
        <v>1437</v>
      </c>
      <c r="AY1" s="256" t="s">
        <v>1438</v>
      </c>
      <c r="AZ1" s="256" t="s">
        <v>1439</v>
      </c>
      <c r="BA1" s="256" t="s">
        <v>1440</v>
      </c>
      <c r="BM1" s="4"/>
      <c r="BN1" s="4"/>
      <c r="BO1" s="4"/>
      <c r="BP1" s="4"/>
    </row>
    <row r="2" spans="1:68" ht="15" customHeight="1">
      <c r="A2" s="9"/>
      <c r="B2" s="9"/>
      <c r="C2" s="9"/>
      <c r="D2" s="9"/>
      <c r="E2" s="9"/>
      <c r="F2" s="9"/>
      <c r="P2" s="2" t="s">
        <v>1002</v>
      </c>
      <c r="Q2" s="2" t="s">
        <v>1761</v>
      </c>
      <c r="R2" s="2" t="s">
        <v>1413</v>
      </c>
      <c r="S2" s="3">
        <v>2</v>
      </c>
      <c r="T2" s="3" t="s">
        <v>1698</v>
      </c>
      <c r="U2" s="3"/>
      <c r="V2" s="3" t="s">
        <v>569</v>
      </c>
      <c r="W2" s="12" t="s">
        <v>1460</v>
      </c>
      <c r="X2" s="12"/>
      <c r="Y2" s="12"/>
      <c r="Z2" s="12"/>
      <c r="AA2" s="12"/>
      <c r="AB2" s="2"/>
      <c r="AC2" s="2"/>
      <c r="AD2" s="2"/>
      <c r="AE2" s="2" t="s">
        <v>1414</v>
      </c>
      <c r="AF2" s="2"/>
      <c r="AG2" s="2"/>
      <c r="AH2" s="2"/>
      <c r="AI2" s="2"/>
      <c r="AJ2" s="2"/>
      <c r="AK2" s="2"/>
      <c r="AL2" s="2"/>
      <c r="AM2" s="2"/>
      <c r="AN2" s="2"/>
      <c r="AO2" s="2"/>
      <c r="AP2" s="2"/>
      <c r="AQ2" s="2"/>
      <c r="AR2" s="2"/>
      <c r="AS2" s="2"/>
      <c r="AT2" s="2"/>
      <c r="AU2" s="2"/>
      <c r="AV2" s="2"/>
      <c r="AW2" s="2"/>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AB3" s="10"/>
      <c r="AC3" s="10"/>
      <c r="BM3" s="4"/>
      <c r="BN3" s="4"/>
      <c r="BO3" s="4"/>
      <c r="BP3" s="4"/>
    </row>
    <row r="4" spans="1:68" ht="15" customHeight="1">
      <c r="A4" s="9"/>
      <c r="B4" s="9"/>
      <c r="C4" s="9"/>
      <c r="D4" s="9"/>
      <c r="E4" s="9"/>
      <c r="F4" s="9"/>
      <c r="P4" s="7" t="s">
        <v>56</v>
      </c>
      <c r="Q4" s="7" t="s">
        <v>55</v>
      </c>
      <c r="R4" s="7" t="s">
        <v>54</v>
      </c>
      <c r="S4" s="434" t="str">
        <f>'Конфигурация TREI'!E1</f>
        <v>Путь TREI для сигналов CPU</v>
      </c>
      <c r="T4" s="434" t="str">
        <f>Настройки!M11</f>
        <v>№ Модуля commands</v>
      </c>
      <c r="U4" s="13"/>
      <c r="V4" s="10"/>
      <c r="W4" s="10"/>
      <c r="X4" s="10"/>
      <c r="Y4" s="10"/>
      <c r="Z4" s="10"/>
      <c r="AA4" s="10"/>
      <c r="AB4" s="10"/>
      <c r="AC4" s="10"/>
      <c r="BM4" s="4"/>
      <c r="BN4" s="4"/>
      <c r="BO4" s="4"/>
      <c r="BP4" s="4"/>
    </row>
    <row r="5" spans="1:68" ht="15" customHeight="1">
      <c r="A5" s="9"/>
      <c r="B5" s="9"/>
      <c r="C5" s="9"/>
      <c r="D5" s="9"/>
      <c r="E5" s="9"/>
      <c r="F5" s="9"/>
      <c r="P5" s="6" t="s">
        <v>229</v>
      </c>
      <c r="Q5" s="5">
        <v>4</v>
      </c>
      <c r="R5" s="5" t="s">
        <v>229</v>
      </c>
      <c r="S5" s="12" t="str">
        <f>IF(ISBLANK('Конфигурация TREI'!D2),"",'Конфигурация TREI'!D2)</f>
        <v/>
      </c>
      <c r="T5" s="12">
        <f>Настройки!M12</f>
        <v>1</v>
      </c>
      <c r="U5" s="14"/>
      <c r="V5" s="10"/>
      <c r="W5" s="10"/>
      <c r="X5" s="10"/>
      <c r="Y5" s="10"/>
      <c r="Z5" s="10"/>
      <c r="AA5" s="10"/>
      <c r="AB5" s="10"/>
      <c r="AC5" s="10"/>
      <c r="BM5" s="4"/>
      <c r="BN5" s="4"/>
      <c r="BO5" s="4"/>
      <c r="BP5" s="4"/>
    </row>
    <row r="6" spans="1:68" ht="15" customHeight="1">
      <c r="A6" s="9"/>
      <c r="B6" s="9"/>
      <c r="C6" s="9"/>
      <c r="D6" s="9"/>
      <c r="E6" s="9"/>
      <c r="F6" s="9"/>
      <c r="P6" s="6" t="s">
        <v>230</v>
      </c>
      <c r="Q6" s="5">
        <v>8</v>
      </c>
      <c r="R6" s="5" t="s">
        <v>230</v>
      </c>
      <c r="S6" s="434" t="str">
        <f>Настройки!D3</f>
        <v>Путь TREI для сигналов CPU</v>
      </c>
      <c r="T6" s="10"/>
      <c r="U6" s="10"/>
      <c r="V6" s="10"/>
      <c r="W6" s="10"/>
      <c r="X6" s="10"/>
      <c r="Y6" s="10"/>
      <c r="Z6" s="10"/>
      <c r="AA6" s="10"/>
      <c r="AB6" s="10"/>
      <c r="AC6" s="10"/>
      <c r="BM6" s="4"/>
      <c r="BN6" s="4"/>
      <c r="BO6" s="4"/>
      <c r="BP6" s="4"/>
    </row>
    <row r="7" spans="1:68" ht="15" customHeight="1">
      <c r="A7" s="9"/>
      <c r="B7" s="9"/>
      <c r="C7" s="9"/>
      <c r="D7" s="9"/>
      <c r="E7" s="9"/>
      <c r="F7" s="9"/>
      <c r="P7" s="6" t="s">
        <v>110</v>
      </c>
      <c r="Q7" s="5">
        <v>12</v>
      </c>
      <c r="R7" s="5" t="s">
        <v>110</v>
      </c>
      <c r="S7" s="12" t="str">
        <f>IF(ISBLANK('Конфигурация TREI'!E2),"",'Конфигурация TREI'!E2)</f>
        <v/>
      </c>
      <c r="T7" s="10"/>
      <c r="U7" s="10"/>
      <c r="V7" s="10"/>
      <c r="W7" s="10"/>
      <c r="X7" s="10"/>
      <c r="Y7" s="10"/>
      <c r="Z7" s="10"/>
      <c r="AA7" s="10"/>
      <c r="AB7" s="10"/>
      <c r="AC7" s="10"/>
      <c r="BM7" s="4"/>
      <c r="BN7" s="4"/>
      <c r="BO7" s="4"/>
      <c r="BP7" s="4"/>
    </row>
    <row r="8" spans="1:68" ht="15" customHeight="1">
      <c r="A8" s="9"/>
      <c r="B8" s="9"/>
      <c r="C8" s="9"/>
      <c r="D8" s="9"/>
      <c r="E8" s="9"/>
      <c r="F8" s="9"/>
      <c r="P8" s="6" t="s">
        <v>231</v>
      </c>
      <c r="Q8" s="5">
        <v>18</v>
      </c>
      <c r="R8" s="5" t="s">
        <v>231</v>
      </c>
      <c r="S8" s="10"/>
      <c r="T8" s="10"/>
      <c r="U8" s="10"/>
      <c r="V8" s="10"/>
      <c r="W8" s="10"/>
      <c r="X8" s="10"/>
      <c r="Y8" s="10"/>
      <c r="Z8" s="10"/>
      <c r="AA8" s="10"/>
      <c r="AB8" s="10"/>
      <c r="AC8" s="10"/>
      <c r="BM8" s="4"/>
      <c r="BN8" s="4"/>
      <c r="BO8" s="4"/>
      <c r="BP8" s="4"/>
    </row>
    <row r="9" spans="1:68" ht="15" customHeight="1">
      <c r="A9" s="9"/>
      <c r="B9" s="9"/>
      <c r="C9" s="9"/>
      <c r="D9" s="9"/>
      <c r="E9" s="9"/>
      <c r="F9" s="9"/>
      <c r="P9" s="6" t="s">
        <v>232</v>
      </c>
      <c r="Q9" s="5">
        <v>10</v>
      </c>
      <c r="R9" s="5" t="s">
        <v>232</v>
      </c>
      <c r="S9" s="10"/>
      <c r="T9" s="10"/>
      <c r="U9" s="10"/>
      <c r="V9" s="10"/>
      <c r="W9" s="10"/>
      <c r="X9" s="10"/>
      <c r="Y9" s="10"/>
      <c r="Z9" s="10"/>
      <c r="AA9" s="10"/>
      <c r="AB9" s="10"/>
      <c r="AC9" s="10"/>
      <c r="BM9" s="4"/>
      <c r="BN9" s="4"/>
      <c r="BO9" s="4"/>
      <c r="BP9" s="4"/>
    </row>
    <row r="10" spans="1:68" ht="15" customHeight="1">
      <c r="A10" s="9"/>
      <c r="B10" s="9"/>
      <c r="C10" s="9"/>
      <c r="D10" s="9"/>
      <c r="E10" s="9"/>
      <c r="F10" s="9"/>
      <c r="P10" s="6" t="s">
        <v>81</v>
      </c>
      <c r="Q10" s="5">
        <v>16</v>
      </c>
      <c r="R10" s="5" t="s">
        <v>81</v>
      </c>
      <c r="S10" s="10"/>
      <c r="T10" s="10"/>
      <c r="U10" s="10"/>
      <c r="V10" s="10"/>
      <c r="W10" s="10"/>
      <c r="X10" s="10"/>
      <c r="Y10" s="10"/>
      <c r="Z10" s="10"/>
      <c r="AA10" s="10"/>
      <c r="AB10" s="10"/>
      <c r="AC10" s="10"/>
      <c r="BM10" s="4"/>
      <c r="BN10" s="4"/>
      <c r="BO10" s="4"/>
      <c r="BP10" s="4"/>
    </row>
    <row r="11" spans="1:68" ht="15" customHeight="1">
      <c r="A11" s="9"/>
      <c r="B11" s="9"/>
      <c r="C11" s="9"/>
      <c r="D11" s="9"/>
      <c r="E11" s="9"/>
      <c r="F11" s="9"/>
      <c r="P11" s="6" t="s">
        <v>89</v>
      </c>
      <c r="Q11" s="5">
        <v>14</v>
      </c>
      <c r="R11" s="5" t="s">
        <v>89</v>
      </c>
      <c r="S11" s="10"/>
      <c r="T11" s="10"/>
      <c r="U11" s="10"/>
      <c r="V11" s="10"/>
      <c r="W11" s="10"/>
      <c r="X11" s="10"/>
      <c r="Y11" s="10"/>
      <c r="Z11" s="10"/>
      <c r="AA11" s="10"/>
      <c r="AB11" s="10"/>
      <c r="AC11" s="10"/>
      <c r="BM11" s="4"/>
      <c r="BN11" s="4"/>
      <c r="BO11" s="4"/>
      <c r="BP11" s="4"/>
    </row>
    <row r="12" spans="1:68" ht="15" customHeight="1">
      <c r="A12" s="9"/>
      <c r="B12" s="9"/>
      <c r="C12" s="9"/>
      <c r="D12" s="9"/>
      <c r="E12" s="9"/>
      <c r="F12" s="9"/>
      <c r="P12" s="6" t="s">
        <v>452</v>
      </c>
      <c r="Q12" s="5">
        <v>20</v>
      </c>
      <c r="R12" s="5" t="s">
        <v>452</v>
      </c>
      <c r="S12" s="10"/>
      <c r="T12" s="10"/>
      <c r="U12" s="10"/>
      <c r="V12" s="10"/>
      <c r="W12" s="10"/>
      <c r="X12" s="10"/>
      <c r="Y12" s="10"/>
      <c r="Z12" s="10"/>
      <c r="AA12" s="10"/>
      <c r="AB12" s="10"/>
      <c r="AC12" s="10"/>
      <c r="BM12" s="4"/>
      <c r="BN12" s="4"/>
      <c r="BO12" s="4"/>
      <c r="BP12" s="4"/>
    </row>
    <row r="13" spans="1:68" ht="15" customHeight="1">
      <c r="A13" s="9"/>
      <c r="B13" s="9"/>
      <c r="C13" s="9"/>
      <c r="D13" s="9"/>
      <c r="E13" s="9"/>
      <c r="F13" s="9"/>
      <c r="P13" s="6" t="s">
        <v>453</v>
      </c>
      <c r="Q13" s="5">
        <v>5</v>
      </c>
      <c r="R13" s="5" t="s">
        <v>453</v>
      </c>
      <c r="S13" s="10"/>
      <c r="T13" s="10"/>
      <c r="U13" s="10"/>
      <c r="V13" s="10"/>
      <c r="W13" s="10"/>
      <c r="X13" s="10"/>
      <c r="Y13" s="10"/>
      <c r="Z13" s="10"/>
      <c r="AA13" s="10"/>
      <c r="AB13" s="10"/>
      <c r="AC13" s="10"/>
      <c r="BM13" s="4"/>
      <c r="BN13" s="4"/>
      <c r="BO13" s="4"/>
      <c r="BP13" s="4"/>
    </row>
    <row r="14" spans="1:68" ht="15" customHeight="1">
      <c r="A14" s="9"/>
      <c r="B14" s="9"/>
      <c r="C14" s="9"/>
      <c r="D14" s="9"/>
      <c r="E14" s="9"/>
      <c r="F14" s="9"/>
      <c r="P14" s="6" t="s">
        <v>454</v>
      </c>
      <c r="Q14" s="5">
        <v>1</v>
      </c>
      <c r="R14" s="5" t="s">
        <v>454</v>
      </c>
      <c r="S14" s="10"/>
      <c r="T14" s="10"/>
      <c r="U14" s="10"/>
      <c r="V14" s="10"/>
      <c r="W14" s="10"/>
      <c r="X14" s="10"/>
      <c r="Y14" s="10"/>
      <c r="Z14" s="10"/>
      <c r="AA14" s="10"/>
      <c r="AB14" s="10"/>
      <c r="AC14" s="10"/>
      <c r="BM14" s="4"/>
      <c r="BN14" s="4"/>
      <c r="BO14" s="4"/>
      <c r="BP14" s="4"/>
    </row>
    <row r="15" spans="1:68" ht="15" customHeight="1">
      <c r="A15" s="9"/>
      <c r="B15" s="9"/>
      <c r="C15" s="9"/>
      <c r="D15" s="9"/>
      <c r="E15" s="9"/>
      <c r="F15" s="9"/>
      <c r="P15" s="6" t="s">
        <v>426</v>
      </c>
      <c r="Q15" s="5">
        <v>2</v>
      </c>
      <c r="R15" s="5" t="s">
        <v>426</v>
      </c>
      <c r="S15" s="10"/>
      <c r="T15" s="10"/>
      <c r="U15" s="10"/>
      <c r="V15" s="10"/>
      <c r="W15" s="10"/>
      <c r="X15" s="10"/>
      <c r="Y15" s="10"/>
      <c r="Z15" s="10"/>
      <c r="AA15" s="10"/>
      <c r="AB15" s="10"/>
      <c r="AC15" s="10"/>
      <c r="BM15" s="4"/>
      <c r="BN15" s="4"/>
      <c r="BO15" s="4"/>
      <c r="BP15" s="4"/>
    </row>
    <row r="16" spans="1:68" ht="15" customHeight="1">
      <c r="A16" s="9"/>
      <c r="B16" s="9"/>
      <c r="C16" s="9"/>
      <c r="D16" s="9"/>
      <c r="E16" s="9"/>
      <c r="F16" s="9"/>
      <c r="P16" s="6" t="s">
        <v>654</v>
      </c>
      <c r="Q16" s="5">
        <v>3</v>
      </c>
      <c r="R16" s="5" t="s">
        <v>654</v>
      </c>
      <c r="S16" s="10"/>
      <c r="T16" s="10"/>
      <c r="U16" s="10"/>
      <c r="V16" s="10"/>
      <c r="W16" s="10"/>
      <c r="X16" s="10"/>
      <c r="Y16" s="10"/>
      <c r="Z16" s="10"/>
      <c r="AA16" s="10"/>
      <c r="AB16" s="10"/>
      <c r="AC16" s="10"/>
      <c r="BM16" s="4"/>
      <c r="BN16" s="4"/>
      <c r="BO16" s="4"/>
      <c r="BP16" s="4"/>
    </row>
    <row r="17" spans="1:68" ht="15" customHeight="1">
      <c r="A17" s="9"/>
      <c r="B17" s="9"/>
      <c r="C17" s="9"/>
      <c r="D17" s="9"/>
      <c r="E17" s="9"/>
      <c r="F17" s="9"/>
      <c r="P17" s="6" t="s">
        <v>655</v>
      </c>
      <c r="Q17" s="5">
        <v>6</v>
      </c>
      <c r="R17" s="5" t="s">
        <v>655</v>
      </c>
      <c r="S17" s="10"/>
      <c r="T17" s="10"/>
      <c r="U17" s="10"/>
      <c r="V17" s="10"/>
      <c r="W17" s="10"/>
      <c r="X17" s="10"/>
      <c r="Y17" s="10"/>
      <c r="Z17" s="10"/>
      <c r="AA17" s="10"/>
      <c r="AB17" s="10"/>
      <c r="AC17" s="10"/>
      <c r="BM17" s="4"/>
      <c r="BN17" s="4"/>
      <c r="BO17" s="4"/>
      <c r="BP17" s="4"/>
    </row>
    <row r="18" spans="1:68" ht="15" customHeight="1">
      <c r="A18" s="9"/>
      <c r="B18" s="9"/>
      <c r="C18" s="9"/>
      <c r="D18" s="9"/>
      <c r="E18" s="9"/>
      <c r="F18" s="9"/>
      <c r="P18" s="6" t="s">
        <v>656</v>
      </c>
      <c r="Q18" s="5">
        <v>13</v>
      </c>
      <c r="R18" s="5" t="s">
        <v>656</v>
      </c>
      <c r="S18" s="10"/>
      <c r="T18" s="10"/>
      <c r="U18" s="10"/>
      <c r="V18" s="10"/>
      <c r="W18" s="10"/>
      <c r="X18" s="10"/>
      <c r="Y18" s="10"/>
      <c r="Z18" s="10"/>
      <c r="AA18" s="10"/>
      <c r="AB18" s="10"/>
      <c r="AC18" s="10"/>
      <c r="BM18" s="4"/>
      <c r="BN18" s="4"/>
      <c r="BO18" s="4"/>
      <c r="BP18" s="4"/>
    </row>
    <row r="19" spans="1:68" ht="15" customHeight="1">
      <c r="A19" s="9"/>
      <c r="B19" s="9"/>
      <c r="C19" s="9"/>
      <c r="D19" s="9"/>
      <c r="E19" s="9"/>
      <c r="F19" s="9"/>
      <c r="P19" s="6" t="s">
        <v>682</v>
      </c>
      <c r="Q19" s="5">
        <v>22</v>
      </c>
      <c r="R19" s="5" t="s">
        <v>682</v>
      </c>
      <c r="S19" s="10"/>
      <c r="T19" s="10"/>
      <c r="U19" s="10"/>
      <c r="V19" s="10"/>
      <c r="W19" s="10"/>
      <c r="X19" s="10"/>
      <c r="Y19" s="10"/>
      <c r="Z19" s="10"/>
      <c r="AA19" s="10"/>
      <c r="AB19" s="10"/>
      <c r="AC19" s="10"/>
      <c r="BM19" s="4"/>
      <c r="BN19" s="4"/>
      <c r="BO19" s="4"/>
      <c r="BP19" s="4"/>
    </row>
    <row r="20" spans="1:68" ht="15" customHeight="1">
      <c r="A20" s="16" t="str">
        <f>$R$2&amp;"."&amp;$P$2</f>
        <v>Диагностика.TREI.BR12</v>
      </c>
      <c r="B20" s="17">
        <v>11001</v>
      </c>
      <c r="C20" s="17" t="s">
        <v>0</v>
      </c>
      <c r="D20" s="18" t="str">
        <f>$Q$2&amp;". Диагностика модуля "&amp;$W$2&amp;". "</f>
        <v xml:space="preserve">Контроллер TREI. Диагностика модуля 2BR6. </v>
      </c>
      <c r="BM20" s="4"/>
      <c r="BN20" s="4"/>
      <c r="BO20" s="4"/>
      <c r="BP20" s="4"/>
    </row>
    <row r="21" spans="1:68" ht="15" customHeight="1">
      <c r="A21" s="19" t="str">
        <f>$R$2&amp;"."&amp;$P$2</f>
        <v>Диагностика.TREI.BR12</v>
      </c>
      <c r="B21" s="11">
        <v>11156</v>
      </c>
      <c r="C21" s="11" t="s">
        <v>0</v>
      </c>
      <c r="D21" s="20" t="str">
        <f>$V$2</f>
        <v>Тестовый экран</v>
      </c>
      <c r="BM21" s="4"/>
      <c r="BN21" s="4"/>
      <c r="BO21" s="4"/>
      <c r="BP21" s="4"/>
    </row>
    <row r="22" spans="1:68" ht="15" customHeight="1">
      <c r="A22" s="21" t="str">
        <f>$R$2&amp;"."&amp;$P$2</f>
        <v>Диагностика.TREI.BR12</v>
      </c>
      <c r="B22" s="8">
        <v>1</v>
      </c>
      <c r="C22" s="8" t="s">
        <v>1</v>
      </c>
      <c r="D22" s="22">
        <v>17</v>
      </c>
      <c r="BM22" s="4"/>
      <c r="BN22" s="4"/>
      <c r="BO22" s="4"/>
      <c r="BP22" s="4"/>
    </row>
    <row r="23" spans="1:68">
      <c r="A23" s="16" t="str">
        <f t="shared" ref="A23:A24" si="0">$R$2&amp;"."&amp;$P$2</f>
        <v>Диагностика.TREI.BR12</v>
      </c>
      <c r="B23" s="17">
        <v>13</v>
      </c>
      <c r="C23" s="17" t="s">
        <v>2</v>
      </c>
      <c r="D23" s="18" t="s">
        <v>3</v>
      </c>
    </row>
    <row r="24" spans="1:68" ht="15" customHeight="1">
      <c r="A24" s="19" t="str">
        <f t="shared" si="0"/>
        <v>Диагностика.TREI.BR12</v>
      </c>
      <c r="B24" s="11">
        <v>3000013</v>
      </c>
      <c r="C24" s="11" t="s">
        <v>0</v>
      </c>
      <c r="D24" s="20" t="str">
        <f>IF(OR('Конфигурация TREI'!B2="M915E(рез)",'Конфигурация TREI'!B2="M903E(рез)"),$AE$2&amp;" &amp;&amp; "&amp;'Конфигурация TREI'!F2,$AE$2)</f>
        <v>Диагностика.CPU.NOT_LINK.noLink</v>
      </c>
      <c r="BF24" s="4"/>
      <c r="BG24" s="4"/>
      <c r="BH24" s="4"/>
      <c r="BI24" s="4"/>
    </row>
    <row r="25" spans="1:68">
      <c r="A25" s="217" t="str">
        <f>$R$2&amp;"."&amp;$P$2&amp;".NOT_LINK_BR"</f>
        <v>Диагностика.TREI.BR12.NOT_LINK_BR</v>
      </c>
      <c r="B25" s="218">
        <v>11154</v>
      </c>
      <c r="C25" s="218" t="s">
        <v>4</v>
      </c>
      <c r="D25" s="219">
        <f>$Q$7</f>
        <v>12</v>
      </c>
    </row>
    <row r="26" spans="1:68">
      <c r="A26" s="211" t="str">
        <f t="shared" ref="A26:A34" si="1">$R$2&amp;"."&amp;$P$2&amp;".NOT_LINK_BR"</f>
        <v>Диагностика.TREI.BR12.NOT_LINK_BR</v>
      </c>
      <c r="B26" s="212">
        <v>11150</v>
      </c>
      <c r="C26" s="212" t="s">
        <v>0</v>
      </c>
      <c r="D26" s="213" t="s">
        <v>1398</v>
      </c>
    </row>
    <row r="27" spans="1:68">
      <c r="A27" s="211" t="str">
        <f t="shared" si="1"/>
        <v>Диагностика.TREI.BR12.NOT_LINK_BR</v>
      </c>
      <c r="B27" s="212">
        <v>11152</v>
      </c>
      <c r="C27" s="212" t="s">
        <v>0</v>
      </c>
      <c r="D27" s="220" t="str">
        <f>$R$7</f>
        <v>Неисправность</v>
      </c>
    </row>
    <row r="28" spans="1:68">
      <c r="A28" s="211" t="str">
        <f t="shared" si="1"/>
        <v>Диагностика.TREI.BR12.NOT_LINK_BR</v>
      </c>
      <c r="B28" s="212">
        <v>11000</v>
      </c>
      <c r="C28" s="212" t="s">
        <v>5</v>
      </c>
      <c r="D28" s="213">
        <v>2147483680</v>
      </c>
    </row>
    <row r="29" spans="1:68">
      <c r="A29" s="19" t="str">
        <f t="shared" si="1"/>
        <v>Диагностика.TREI.BR12.NOT_LINK_BR</v>
      </c>
      <c r="B29" s="11">
        <v>7999</v>
      </c>
      <c r="C29" s="11" t="s">
        <v>0</v>
      </c>
      <c r="D29" s="20" t="str">
        <f>"#"&amp;$S$2&amp;"#"&amp;$T$2&amp;IF($S$5="","","\")&amp;$S$5&amp;"\NOT_LINK_"&amp;$P$2</f>
        <v>#2#treiOPCDA.CoOPCserv.1\pcmaster\NOT_LINK_BR12</v>
      </c>
    </row>
    <row r="30" spans="1:68">
      <c r="A30" s="19" t="str">
        <f t="shared" si="1"/>
        <v>Диагностика.TREI.BR12.NOT_LINK_BR</v>
      </c>
      <c r="B30" s="11">
        <v>7998</v>
      </c>
      <c r="C30" s="11" t="s">
        <v>6</v>
      </c>
      <c r="D30" s="20">
        <v>1</v>
      </c>
    </row>
    <row r="31" spans="1:68">
      <c r="A31" s="19" t="str">
        <f t="shared" si="1"/>
        <v>Диагностика.TREI.BR12.NOT_LINK_BR</v>
      </c>
      <c r="B31" s="11">
        <v>101</v>
      </c>
      <c r="C31" s="11" t="s">
        <v>0</v>
      </c>
      <c r="D31" s="20" t="s">
        <v>1398</v>
      </c>
    </row>
    <row r="32" spans="1:68">
      <c r="A32" s="19" t="str">
        <f t="shared" si="1"/>
        <v>Диагностика.TREI.BR12.NOT_LINK_BR</v>
      </c>
      <c r="B32" s="11">
        <v>3</v>
      </c>
      <c r="C32" s="11" t="s">
        <v>1</v>
      </c>
      <c r="D32" s="20">
        <v>192</v>
      </c>
    </row>
    <row r="33" spans="1:68">
      <c r="A33" s="19" t="str">
        <f t="shared" si="1"/>
        <v>Диагностика.TREI.BR12.NOT_LINK_BR</v>
      </c>
      <c r="B33" s="11">
        <v>2</v>
      </c>
      <c r="C33" s="11" t="s">
        <v>2</v>
      </c>
      <c r="D33" s="20" t="s">
        <v>3</v>
      </c>
    </row>
    <row r="34" spans="1:68">
      <c r="A34" s="21" t="str">
        <f t="shared" si="1"/>
        <v>Диагностика.TREI.BR12.NOT_LINK_BR</v>
      </c>
      <c r="B34" s="8">
        <v>1</v>
      </c>
      <c r="C34" s="8" t="s">
        <v>1</v>
      </c>
      <c r="D34" s="22">
        <v>11</v>
      </c>
    </row>
    <row r="35" spans="1:68">
      <c r="A35" s="512" t="s">
        <v>1404</v>
      </c>
      <c r="B35" s="512"/>
      <c r="C35" s="512"/>
      <c r="D35" s="512"/>
    </row>
    <row r="36" spans="1:68" ht="15" customHeight="1">
      <c r="A36" s="16" t="str">
        <f>$R$2&amp;"."&amp;'Конфигурация TREI'!$A$2</f>
        <v>Диагностика.TREI.CPU</v>
      </c>
      <c r="B36" s="17">
        <v>11001</v>
      </c>
      <c r="C36" s="17" t="s">
        <v>0</v>
      </c>
      <c r="D36" s="18" t="str">
        <f>$Q$2&amp;". Диагностика CPU"</f>
        <v>Контроллер TREI. Диагностика CPU</v>
      </c>
      <c r="BM36" s="4"/>
      <c r="BN36" s="4"/>
      <c r="BO36" s="4"/>
      <c r="BP36" s="4"/>
    </row>
    <row r="37" spans="1:68" ht="15" customHeight="1">
      <c r="A37" s="19" t="str">
        <f>$R$2&amp;"."&amp;'Конфигурация TREI'!$A$2</f>
        <v>Диагностика.TREI.CPU</v>
      </c>
      <c r="B37" s="11">
        <v>11156</v>
      </c>
      <c r="C37" s="11" t="s">
        <v>0</v>
      </c>
      <c r="D37" s="20" t="str">
        <f>$V$2</f>
        <v>Тестовый экран</v>
      </c>
      <c r="BM37" s="4"/>
      <c r="BN37" s="4"/>
      <c r="BO37" s="4"/>
      <c r="BP37" s="4"/>
    </row>
    <row r="38" spans="1:68" ht="15" customHeight="1">
      <c r="A38" s="21" t="str">
        <f>$R$2&amp;"."&amp;'Конфигурация TREI'!$A$2</f>
        <v>Диагностика.TREI.CPU</v>
      </c>
      <c r="B38" s="8">
        <v>1</v>
      </c>
      <c r="C38" s="8" t="s">
        <v>1</v>
      </c>
      <c r="D38" s="22">
        <v>17</v>
      </c>
      <c r="BM38" s="4"/>
      <c r="BN38" s="4"/>
      <c r="BO38" s="4"/>
      <c r="BP38" s="4"/>
    </row>
    <row r="39" spans="1:68" ht="15" customHeight="1">
      <c r="A39" s="16" t="str">
        <f>$R$2&amp;"."&amp;'Конфигурация TREI'!$A$2</f>
        <v>Диагностика.TREI.CPU</v>
      </c>
      <c r="B39" s="17">
        <v>13</v>
      </c>
      <c r="C39" s="17" t="s">
        <v>2</v>
      </c>
      <c r="D39" s="18" t="s">
        <v>3</v>
      </c>
      <c r="BM39" s="4"/>
      <c r="BN39" s="4"/>
      <c r="BO39" s="4"/>
      <c r="BP39" s="4"/>
    </row>
    <row r="40" spans="1:68" ht="15" customHeight="1">
      <c r="A40" s="19" t="str">
        <f>$R$2&amp;"."&amp;'Конфигурация TREI'!$A$2</f>
        <v>Диагностика.TREI.CPU</v>
      </c>
      <c r="B40" s="11">
        <v>3000013</v>
      </c>
      <c r="C40" s="11" t="s">
        <v>0</v>
      </c>
      <c r="D40" s="20" t="str">
        <f>$AE$2</f>
        <v>Диагностика.CPU.NOT_LINK.noLink</v>
      </c>
      <c r="BM40" s="4"/>
      <c r="BN40" s="4"/>
      <c r="BO40" s="4"/>
      <c r="BP40" s="4"/>
    </row>
    <row r="41" spans="1:68">
      <c r="A41" s="69" t="str">
        <f>$R$2&amp;"."&amp;'Конфигурация TREI'!$A$2&amp;".DIAG_1"</f>
        <v>Диагностика.TREI.CPU.DIAG_1</v>
      </c>
      <c r="B41" s="70">
        <v>11154</v>
      </c>
      <c r="C41" s="70" t="s">
        <v>4</v>
      </c>
      <c r="D41" s="144">
        <f>$Q$6</f>
        <v>8</v>
      </c>
    </row>
    <row r="42" spans="1:68">
      <c r="A42" s="63" t="str">
        <f>$R$2&amp;"."&amp;'Конфигурация TREI'!$A$2&amp;".DIAG_1"</f>
        <v>Диагностика.TREI.CPU.DIAG_1</v>
      </c>
      <c r="B42" s="64">
        <v>11152</v>
      </c>
      <c r="C42" s="64" t="s">
        <v>0</v>
      </c>
      <c r="D42" s="129" t="str">
        <f>$R$6</f>
        <v>Предупреждение</v>
      </c>
    </row>
    <row r="43" spans="1:68">
      <c r="A43" s="63" t="str">
        <f>$R$2&amp;"."&amp;'Конфигурация TREI'!$A$2&amp;".DIAG_1"</f>
        <v>Диагностика.TREI.CPU.DIAG_1</v>
      </c>
      <c r="B43" s="64">
        <v>11150</v>
      </c>
      <c r="C43" s="64" t="s">
        <v>0</v>
      </c>
      <c r="D43" s="65" t="s">
        <v>797</v>
      </c>
    </row>
    <row r="44" spans="1:68">
      <c r="A44" s="63" t="str">
        <f>$R$2&amp;"."&amp;'Конфигурация TREI'!$A$2&amp;".DIAG_1"</f>
        <v>Диагностика.TREI.CPU.DIAG_1</v>
      </c>
      <c r="B44" s="64">
        <v>11000</v>
      </c>
      <c r="C44" s="64" t="s">
        <v>5</v>
      </c>
      <c r="D44" s="65">
        <v>2147483680</v>
      </c>
    </row>
    <row r="45" spans="1:68">
      <c r="A45" s="19" t="str">
        <f>$R$2&amp;"."&amp;'Конфигурация TREI'!$A$2&amp;".DIAG_1"</f>
        <v>Диагностика.TREI.CPU.DIAG_1</v>
      </c>
      <c r="B45" s="11">
        <v>7999</v>
      </c>
      <c r="C45" s="11" t="s">
        <v>0</v>
      </c>
      <c r="D45" s="20" t="str">
        <f>"#"&amp;$S$2&amp;"#"&amp;$T$2&amp;IF($S$7="","","\")&amp;$S$7&amp;"\"&amp;'Конфигурация TREI'!$A$2&amp;"\DIAG_1"</f>
        <v>#2#treiOPCDA.CoOPCserv.1\pcmaster\CPU\DIAG_1</v>
      </c>
    </row>
    <row r="46" spans="1:68">
      <c r="A46" s="19" t="str">
        <f>$R$2&amp;"."&amp;'Конфигурация TREI'!$A$2&amp;".DIAG_1"</f>
        <v>Диагностика.TREI.CPU.DIAG_1</v>
      </c>
      <c r="B46" s="11">
        <v>7998</v>
      </c>
      <c r="C46" s="11" t="s">
        <v>6</v>
      </c>
      <c r="D46" s="20">
        <v>1</v>
      </c>
    </row>
    <row r="47" spans="1:68">
      <c r="A47" s="19" t="str">
        <f>$R$2&amp;"."&amp;'Конфигурация TREI'!$A$2&amp;".DIAG_1"</f>
        <v>Диагностика.TREI.CPU.DIAG_1</v>
      </c>
      <c r="B47" s="11">
        <v>101</v>
      </c>
      <c r="C47" s="11" t="s">
        <v>0</v>
      </c>
      <c r="D47" s="20" t="s">
        <v>797</v>
      </c>
    </row>
    <row r="48" spans="1:68">
      <c r="A48" s="19" t="str">
        <f>$R$2&amp;"."&amp;'Конфигурация TREI'!$A$2&amp;".DIAG_1"</f>
        <v>Диагностика.TREI.CPU.DIAG_1</v>
      </c>
      <c r="B48" s="11">
        <v>3</v>
      </c>
      <c r="C48" s="11" t="s">
        <v>1</v>
      </c>
      <c r="D48" s="20">
        <v>192</v>
      </c>
    </row>
    <row r="49" spans="1:4">
      <c r="A49" s="19" t="str">
        <f>$R$2&amp;"."&amp;'Конфигурация TREI'!$A$2&amp;".DIAG_1"</f>
        <v>Диагностика.TREI.CPU.DIAG_1</v>
      </c>
      <c r="B49" s="11">
        <v>2</v>
      </c>
      <c r="C49" s="11" t="s">
        <v>2</v>
      </c>
      <c r="D49" s="20" t="s">
        <v>3</v>
      </c>
    </row>
    <row r="50" spans="1:4">
      <c r="A50" s="21" t="str">
        <f>$R$2&amp;"."&amp;'Конфигурация TREI'!$A$2&amp;".DIAG_1"</f>
        <v>Диагностика.TREI.CPU.DIAG_1</v>
      </c>
      <c r="B50" s="8">
        <v>1</v>
      </c>
      <c r="C50" s="8" t="s">
        <v>1</v>
      </c>
      <c r="D50" s="22">
        <v>11</v>
      </c>
    </row>
    <row r="51" spans="1:4">
      <c r="A51" s="69" t="str">
        <f>$R$2&amp;"."&amp;'Конфигурация TREI'!$A$2&amp;".DIAG_2"</f>
        <v>Диагностика.TREI.CPU.DIAG_2</v>
      </c>
      <c r="B51" s="70">
        <v>11154</v>
      </c>
      <c r="C51" s="70" t="s">
        <v>4</v>
      </c>
      <c r="D51" s="144">
        <f>$Q$6</f>
        <v>8</v>
      </c>
    </row>
    <row r="52" spans="1:4">
      <c r="A52" s="63" t="str">
        <f>$R$2&amp;"."&amp;'Конфигурация TREI'!$A$2&amp;".DIAG_2"</f>
        <v>Диагностика.TREI.CPU.DIAG_2</v>
      </c>
      <c r="B52" s="64">
        <v>11152</v>
      </c>
      <c r="C52" s="64" t="s">
        <v>0</v>
      </c>
      <c r="D52" s="129" t="str">
        <f>$R$6</f>
        <v>Предупреждение</v>
      </c>
    </row>
    <row r="53" spans="1:4">
      <c r="A53" s="63" t="str">
        <f>$R$2&amp;"."&amp;'Конфигурация TREI'!$A$2&amp;".DIAG_2"</f>
        <v>Диагностика.TREI.CPU.DIAG_2</v>
      </c>
      <c r="B53" s="64">
        <v>11150</v>
      </c>
      <c r="C53" s="64" t="s">
        <v>0</v>
      </c>
      <c r="D53" s="65" t="s">
        <v>798</v>
      </c>
    </row>
    <row r="54" spans="1:4">
      <c r="A54" s="63" t="str">
        <f>$R$2&amp;"."&amp;'Конфигурация TREI'!$A$2&amp;".DIAG_2"</f>
        <v>Диагностика.TREI.CPU.DIAG_2</v>
      </c>
      <c r="B54" s="64">
        <v>11000</v>
      </c>
      <c r="C54" s="64" t="s">
        <v>5</v>
      </c>
      <c r="D54" s="65">
        <v>2147483680</v>
      </c>
    </row>
    <row r="55" spans="1:4">
      <c r="A55" s="19" t="str">
        <f>$R$2&amp;"."&amp;'Конфигурация TREI'!$A$2&amp;".DIAG_2"</f>
        <v>Диагностика.TREI.CPU.DIAG_2</v>
      </c>
      <c r="B55" s="11">
        <v>7999</v>
      </c>
      <c r="C55" s="11" t="s">
        <v>0</v>
      </c>
      <c r="D55" s="20" t="str">
        <f>"#"&amp;$S$2&amp;"#"&amp;$T$2&amp;IF($S$7="","","\")&amp;$S$7&amp;"\"&amp;'Конфигурация TREI'!$A$2&amp;"\DIAG_2"</f>
        <v>#2#treiOPCDA.CoOPCserv.1\pcmaster\CPU\DIAG_2</v>
      </c>
    </row>
    <row r="56" spans="1:4">
      <c r="A56" s="19" t="str">
        <f>$R$2&amp;"."&amp;'Конфигурация TREI'!$A$2&amp;".DIAG_2"</f>
        <v>Диагностика.TREI.CPU.DIAG_2</v>
      </c>
      <c r="B56" s="11">
        <v>7998</v>
      </c>
      <c r="C56" s="11" t="s">
        <v>6</v>
      </c>
      <c r="D56" s="20">
        <v>1</v>
      </c>
    </row>
    <row r="57" spans="1:4">
      <c r="A57" s="19" t="str">
        <f>$R$2&amp;"."&amp;'Конфигурация TREI'!$A$2&amp;".DIAG_2"</f>
        <v>Диагностика.TREI.CPU.DIAG_2</v>
      </c>
      <c r="B57" s="11">
        <v>101</v>
      </c>
      <c r="C57" s="11" t="s">
        <v>0</v>
      </c>
      <c r="D57" s="20" t="s">
        <v>798</v>
      </c>
    </row>
    <row r="58" spans="1:4">
      <c r="A58" s="19" t="str">
        <f>$R$2&amp;"."&amp;'Конфигурация TREI'!$A$2&amp;".DIAG_2"</f>
        <v>Диагностика.TREI.CPU.DIAG_2</v>
      </c>
      <c r="B58" s="11">
        <v>3</v>
      </c>
      <c r="C58" s="11" t="s">
        <v>1</v>
      </c>
      <c r="D58" s="20">
        <v>192</v>
      </c>
    </row>
    <row r="59" spans="1:4">
      <c r="A59" s="19" t="str">
        <f>$R$2&amp;"."&amp;'Конфигурация TREI'!$A$2&amp;".DIAG_2"</f>
        <v>Диагностика.TREI.CPU.DIAG_2</v>
      </c>
      <c r="B59" s="11">
        <v>2</v>
      </c>
      <c r="C59" s="11" t="s">
        <v>2</v>
      </c>
      <c r="D59" s="20" t="s">
        <v>3</v>
      </c>
    </row>
    <row r="60" spans="1:4">
      <c r="A60" s="21" t="str">
        <f>$R$2&amp;"."&amp;'Конфигурация TREI'!$A$2&amp;".DIAG_2"</f>
        <v>Диагностика.TREI.CPU.DIAG_2</v>
      </c>
      <c r="B60" s="8">
        <v>1</v>
      </c>
      <c r="C60" s="8" t="s">
        <v>1</v>
      </c>
      <c r="D60" s="22">
        <v>11</v>
      </c>
    </row>
    <row r="61" spans="1:4">
      <c r="A61" s="69" t="str">
        <f>$R$2&amp;"."&amp;'Конфигурация TREI'!$A$2&amp;".DIAG_3"</f>
        <v>Диагностика.TREI.CPU.DIAG_3</v>
      </c>
      <c r="B61" s="70">
        <v>11154</v>
      </c>
      <c r="C61" s="70" t="s">
        <v>4</v>
      </c>
      <c r="D61" s="144">
        <f>$Q$6</f>
        <v>8</v>
      </c>
    </row>
    <row r="62" spans="1:4">
      <c r="A62" s="63" t="str">
        <f>$R$2&amp;"."&amp;'Конфигурация TREI'!$A$2&amp;".DIAG_3"</f>
        <v>Диагностика.TREI.CPU.DIAG_3</v>
      </c>
      <c r="B62" s="64">
        <v>11152</v>
      </c>
      <c r="C62" s="64" t="s">
        <v>0</v>
      </c>
      <c r="D62" s="129" t="str">
        <f>$R$6</f>
        <v>Предупреждение</v>
      </c>
    </row>
    <row r="63" spans="1:4">
      <c r="A63" s="63" t="str">
        <f>$R$2&amp;"."&amp;'Конфигурация TREI'!$A$2&amp;".DIAG_3"</f>
        <v>Диагностика.TREI.CPU.DIAG_3</v>
      </c>
      <c r="B63" s="64">
        <v>11150</v>
      </c>
      <c r="C63" s="64" t="s">
        <v>0</v>
      </c>
      <c r="D63" s="65" t="s">
        <v>799</v>
      </c>
    </row>
    <row r="64" spans="1:4">
      <c r="A64" s="63" t="str">
        <f>$R$2&amp;"."&amp;'Конфигурация TREI'!$A$2&amp;".DIAG_3"</f>
        <v>Диагностика.TREI.CPU.DIAG_3</v>
      </c>
      <c r="B64" s="64">
        <v>11000</v>
      </c>
      <c r="C64" s="64" t="s">
        <v>5</v>
      </c>
      <c r="D64" s="65">
        <v>2147483680</v>
      </c>
    </row>
    <row r="65" spans="1:4">
      <c r="A65" s="19" t="str">
        <f>$R$2&amp;"."&amp;'Конфигурация TREI'!$A$2&amp;".DIAG_3"</f>
        <v>Диагностика.TREI.CPU.DIAG_3</v>
      </c>
      <c r="B65" s="11">
        <v>7999</v>
      </c>
      <c r="C65" s="11" t="s">
        <v>0</v>
      </c>
      <c r="D65" s="20" t="str">
        <f>"#"&amp;$S$2&amp;"#"&amp;$T$2&amp;IF($S$7="","","\")&amp;$S$7&amp;"\"&amp;'Конфигурация TREI'!$A$2&amp;"\DIAG_3"</f>
        <v>#2#treiOPCDA.CoOPCserv.1\pcmaster\CPU\DIAG_3</v>
      </c>
    </row>
    <row r="66" spans="1:4">
      <c r="A66" s="19" t="str">
        <f>$R$2&amp;"."&amp;'Конфигурация TREI'!$A$2&amp;".DIAG_3"</f>
        <v>Диагностика.TREI.CPU.DIAG_3</v>
      </c>
      <c r="B66" s="11">
        <v>7998</v>
      </c>
      <c r="C66" s="11" t="s">
        <v>6</v>
      </c>
      <c r="D66" s="20">
        <v>1</v>
      </c>
    </row>
    <row r="67" spans="1:4">
      <c r="A67" s="19" t="str">
        <f>$R$2&amp;"."&amp;'Конфигурация TREI'!$A$2&amp;".DIAG_3"</f>
        <v>Диагностика.TREI.CPU.DIAG_3</v>
      </c>
      <c r="B67" s="11">
        <v>101</v>
      </c>
      <c r="C67" s="11" t="s">
        <v>0</v>
      </c>
      <c r="D67" s="20" t="s">
        <v>799</v>
      </c>
    </row>
    <row r="68" spans="1:4">
      <c r="A68" s="19" t="str">
        <f>$R$2&amp;"."&amp;'Конфигурация TREI'!$A$2&amp;".DIAG_3"</f>
        <v>Диагностика.TREI.CPU.DIAG_3</v>
      </c>
      <c r="B68" s="11">
        <v>3</v>
      </c>
      <c r="C68" s="11" t="s">
        <v>1</v>
      </c>
      <c r="D68" s="20">
        <v>192</v>
      </c>
    </row>
    <row r="69" spans="1:4">
      <c r="A69" s="19" t="str">
        <f>$R$2&amp;"."&amp;'Конфигурация TREI'!$A$2&amp;".DIAG_3"</f>
        <v>Диагностика.TREI.CPU.DIAG_3</v>
      </c>
      <c r="B69" s="11">
        <v>2</v>
      </c>
      <c r="C69" s="11" t="s">
        <v>2</v>
      </c>
      <c r="D69" s="20" t="s">
        <v>3</v>
      </c>
    </row>
    <row r="70" spans="1:4">
      <c r="A70" s="21" t="str">
        <f>$R$2&amp;"."&amp;'Конфигурация TREI'!$A$2&amp;".DIAG_3"</f>
        <v>Диагностика.TREI.CPU.DIAG_3</v>
      </c>
      <c r="B70" s="8">
        <v>1</v>
      </c>
      <c r="C70" s="8" t="s">
        <v>1</v>
      </c>
      <c r="D70" s="22">
        <v>11</v>
      </c>
    </row>
    <row r="71" spans="1:4">
      <c r="A71" s="69" t="str">
        <f>$R$2&amp;"."&amp;'Конфигурация TREI'!$A$2&amp;".DIAG_4"</f>
        <v>Диагностика.TREI.CPU.DIAG_4</v>
      </c>
      <c r="B71" s="70">
        <v>11154</v>
      </c>
      <c r="C71" s="70" t="s">
        <v>4</v>
      </c>
      <c r="D71" s="144">
        <f>$Q$6</f>
        <v>8</v>
      </c>
    </row>
    <row r="72" spans="1:4">
      <c r="A72" s="63" t="str">
        <f>$R$2&amp;"."&amp;'Конфигурация TREI'!$A$2&amp;".DIAG_4"</f>
        <v>Диагностика.TREI.CPU.DIAG_4</v>
      </c>
      <c r="B72" s="64">
        <v>11152</v>
      </c>
      <c r="C72" s="64" t="s">
        <v>0</v>
      </c>
      <c r="D72" s="129" t="str">
        <f>$R$6</f>
        <v>Предупреждение</v>
      </c>
    </row>
    <row r="73" spans="1:4">
      <c r="A73" s="63" t="str">
        <f>$R$2&amp;"."&amp;'Конфигурация TREI'!$A$2&amp;".DIAG_4"</f>
        <v>Диагностика.TREI.CPU.DIAG_4</v>
      </c>
      <c r="B73" s="64">
        <v>11150</v>
      </c>
      <c r="C73" s="64" t="s">
        <v>0</v>
      </c>
      <c r="D73" s="65" t="s">
        <v>1391</v>
      </c>
    </row>
    <row r="74" spans="1:4">
      <c r="A74" s="63" t="str">
        <f>$R$2&amp;"."&amp;'Конфигурация TREI'!$A$2&amp;".DIAG_4"</f>
        <v>Диагностика.TREI.CPU.DIAG_4</v>
      </c>
      <c r="B74" s="64">
        <v>11000</v>
      </c>
      <c r="C74" s="64" t="s">
        <v>5</v>
      </c>
      <c r="D74" s="65">
        <v>2147483680</v>
      </c>
    </row>
    <row r="75" spans="1:4">
      <c r="A75" s="19" t="str">
        <f>$R$2&amp;"."&amp;'Конфигурация TREI'!$A$2&amp;".DIAG_4"</f>
        <v>Диагностика.TREI.CPU.DIAG_4</v>
      </c>
      <c r="B75" s="11">
        <v>7999</v>
      </c>
      <c r="C75" s="11" t="s">
        <v>0</v>
      </c>
      <c r="D75" s="20" t="str">
        <f>"#"&amp;$S$2&amp;"#"&amp;$T$2&amp;IF($S$7="","","\")&amp;$S$7&amp;"\"&amp;'Конфигурация TREI'!$A$2&amp;"\DIAG_4"</f>
        <v>#2#treiOPCDA.CoOPCserv.1\pcmaster\CPU\DIAG_4</v>
      </c>
    </row>
    <row r="76" spans="1:4">
      <c r="A76" s="19" t="str">
        <f>$R$2&amp;"."&amp;'Конфигурация TREI'!$A$2&amp;".DIAG_4"</f>
        <v>Диагностика.TREI.CPU.DIAG_4</v>
      </c>
      <c r="B76" s="11">
        <v>7998</v>
      </c>
      <c r="C76" s="11" t="s">
        <v>6</v>
      </c>
      <c r="D76" s="20">
        <v>1</v>
      </c>
    </row>
    <row r="77" spans="1:4">
      <c r="A77" s="19" t="str">
        <f>$R$2&amp;"."&amp;'Конфигурация TREI'!$A$2&amp;".DIAG_4"</f>
        <v>Диагностика.TREI.CPU.DIAG_4</v>
      </c>
      <c r="B77" s="11">
        <v>101</v>
      </c>
      <c r="C77" s="11" t="s">
        <v>0</v>
      </c>
      <c r="D77" s="20" t="s">
        <v>1391</v>
      </c>
    </row>
    <row r="78" spans="1:4">
      <c r="A78" s="19" t="str">
        <f>$R$2&amp;"."&amp;'Конфигурация TREI'!$A$2&amp;".DIAG_4"</f>
        <v>Диагностика.TREI.CPU.DIAG_4</v>
      </c>
      <c r="B78" s="11">
        <v>3</v>
      </c>
      <c r="C78" s="11" t="s">
        <v>1</v>
      </c>
      <c r="D78" s="20">
        <v>192</v>
      </c>
    </row>
    <row r="79" spans="1:4">
      <c r="A79" s="19" t="str">
        <f>$R$2&amp;"."&amp;'Конфигурация TREI'!$A$2&amp;".DIAG_4"</f>
        <v>Диагностика.TREI.CPU.DIAG_4</v>
      </c>
      <c r="B79" s="11">
        <v>2</v>
      </c>
      <c r="C79" s="11" t="s">
        <v>2</v>
      </c>
      <c r="D79" s="20" t="s">
        <v>3</v>
      </c>
    </row>
    <row r="80" spans="1:4">
      <c r="A80" s="21" t="str">
        <f>$R$2&amp;"."&amp;'Конфигурация TREI'!$A$2&amp;".DIAG_4"</f>
        <v>Диагностика.TREI.CPU.DIAG_4</v>
      </c>
      <c r="B80" s="8">
        <v>1</v>
      </c>
      <c r="C80" s="8" t="s">
        <v>1</v>
      </c>
      <c r="D80" s="22">
        <v>11</v>
      </c>
    </row>
    <row r="81" spans="1:16">
      <c r="A81" s="69" t="str">
        <f>$R$2&amp;"."&amp;'Конфигурация TREI'!$A$2&amp;".DIAG_6"</f>
        <v>Диагностика.TREI.CPU.DIAG_6</v>
      </c>
      <c r="B81" s="70">
        <v>11154</v>
      </c>
      <c r="C81" s="70" t="s">
        <v>4</v>
      </c>
      <c r="D81" s="144">
        <f>$Q$6</f>
        <v>8</v>
      </c>
    </row>
    <row r="82" spans="1:16">
      <c r="A82" s="63" t="str">
        <f>$R$2&amp;"."&amp;'Конфигурация TREI'!$A$2&amp;".DIAG_6"</f>
        <v>Диагностика.TREI.CPU.DIAG_6</v>
      </c>
      <c r="B82" s="64">
        <v>11152</v>
      </c>
      <c r="C82" s="64" t="s">
        <v>0</v>
      </c>
      <c r="D82" s="129" t="str">
        <f>$R$6</f>
        <v>Предупреждение</v>
      </c>
    </row>
    <row r="83" spans="1:16">
      <c r="A83" s="63" t="str">
        <f>$R$2&amp;"."&amp;'Конфигурация TREI'!$A$2&amp;".DIAG_6"</f>
        <v>Диагностика.TREI.CPU.DIAG_6</v>
      </c>
      <c r="B83" s="64">
        <v>11150</v>
      </c>
      <c r="C83" s="64" t="s">
        <v>0</v>
      </c>
      <c r="D83" s="65" t="s">
        <v>800</v>
      </c>
    </row>
    <row r="84" spans="1:16">
      <c r="A84" s="63" t="str">
        <f>$R$2&amp;"."&amp;'Конфигурация TREI'!$A$2&amp;".DIAG_6"</f>
        <v>Диагностика.TREI.CPU.DIAG_6</v>
      </c>
      <c r="B84" s="64">
        <v>11000</v>
      </c>
      <c r="C84" s="64" t="s">
        <v>5</v>
      </c>
      <c r="D84" s="65">
        <v>2147483680</v>
      </c>
    </row>
    <row r="85" spans="1:16">
      <c r="A85" s="19" t="str">
        <f>$R$2&amp;"."&amp;'Конфигурация TREI'!$A$2&amp;".DIAG_6"</f>
        <v>Диагностика.TREI.CPU.DIAG_6</v>
      </c>
      <c r="B85" s="11">
        <v>7999</v>
      </c>
      <c r="C85" s="11" t="s">
        <v>0</v>
      </c>
      <c r="D85" s="20" t="str">
        <f>"#"&amp;$S$2&amp;"#"&amp;$T$2&amp;IF($S$7="","","\")&amp;$S$7&amp;"\"&amp;'Конфигурация TREI'!$A$2&amp;"\DIAG_6"</f>
        <v>#2#treiOPCDA.CoOPCserv.1\pcmaster\CPU\DIAG_6</v>
      </c>
    </row>
    <row r="86" spans="1:16">
      <c r="A86" s="19" t="str">
        <f>$R$2&amp;"."&amp;'Конфигурация TREI'!$A$2&amp;".DIAG_6"</f>
        <v>Диагностика.TREI.CPU.DIAG_6</v>
      </c>
      <c r="B86" s="11">
        <v>7998</v>
      </c>
      <c r="C86" s="11" t="s">
        <v>6</v>
      </c>
      <c r="D86" s="20">
        <v>1</v>
      </c>
    </row>
    <row r="87" spans="1:16">
      <c r="A87" s="19" t="str">
        <f>$R$2&amp;"."&amp;'Конфигурация TREI'!$A$2&amp;".DIAG_6"</f>
        <v>Диагностика.TREI.CPU.DIAG_6</v>
      </c>
      <c r="B87" s="11">
        <v>101</v>
      </c>
      <c r="C87" s="11" t="s">
        <v>0</v>
      </c>
      <c r="D87" s="20" t="s">
        <v>800</v>
      </c>
    </row>
    <row r="88" spans="1:16">
      <c r="A88" s="19" t="str">
        <f>$R$2&amp;"."&amp;'Конфигурация TREI'!$A$2&amp;".DIAG_6"</f>
        <v>Диагностика.TREI.CPU.DIAG_6</v>
      </c>
      <c r="B88" s="11">
        <v>3</v>
      </c>
      <c r="C88" s="11" t="s">
        <v>1</v>
      </c>
      <c r="D88" s="20">
        <v>192</v>
      </c>
    </row>
    <row r="89" spans="1:16">
      <c r="A89" s="19" t="str">
        <f>$R$2&amp;"."&amp;'Конфигурация TREI'!$A$2&amp;".DIAG_6"</f>
        <v>Диагностика.TREI.CPU.DIAG_6</v>
      </c>
      <c r="B89" s="11">
        <v>2</v>
      </c>
      <c r="C89" s="11" t="s">
        <v>2</v>
      </c>
      <c r="D89" s="20" t="s">
        <v>3</v>
      </c>
      <c r="E89" s="1"/>
      <c r="F89" s="1"/>
      <c r="G89" s="1"/>
      <c r="H89" s="1"/>
      <c r="I89" s="1"/>
      <c r="J89" s="1"/>
      <c r="K89" s="1"/>
      <c r="L89" s="1"/>
      <c r="M89" s="1"/>
      <c r="N89" s="1"/>
      <c r="O89" s="1"/>
      <c r="P89" s="1"/>
    </row>
    <row r="90" spans="1:16">
      <c r="A90" s="21" t="str">
        <f>$R$2&amp;"."&amp;'Конфигурация TREI'!$A$2&amp;".DIAG_6"</f>
        <v>Диагностика.TREI.CPU.DIAG_6</v>
      </c>
      <c r="B90" s="8">
        <v>1</v>
      </c>
      <c r="C90" s="8" t="s">
        <v>1</v>
      </c>
      <c r="D90" s="22">
        <v>11</v>
      </c>
      <c r="E90" s="1"/>
      <c r="F90" s="1"/>
      <c r="G90" s="1"/>
      <c r="H90" s="1"/>
      <c r="I90" s="1"/>
      <c r="J90" s="1"/>
      <c r="K90" s="1"/>
      <c r="L90" s="1"/>
      <c r="M90" s="1"/>
      <c r="N90" s="1"/>
      <c r="O90" s="1"/>
      <c r="P90" s="1"/>
    </row>
    <row r="91" spans="1:16">
      <c r="A91" s="69" t="str">
        <f>$R$2&amp;"."&amp;'Конфигурация TREI'!$A$2&amp;".DIAG_7"</f>
        <v>Диагностика.TREI.CPU.DIAG_7</v>
      </c>
      <c r="B91" s="70">
        <v>11154</v>
      </c>
      <c r="C91" s="70" t="s">
        <v>4</v>
      </c>
      <c r="D91" s="144">
        <f>$Q$6</f>
        <v>8</v>
      </c>
      <c r="E91" s="1"/>
      <c r="F91" s="1"/>
      <c r="G91" s="1"/>
      <c r="H91" s="1"/>
      <c r="I91" s="1"/>
      <c r="J91" s="1"/>
      <c r="K91" s="1"/>
      <c r="L91" s="1"/>
      <c r="M91" s="1"/>
      <c r="N91" s="1"/>
      <c r="O91" s="1"/>
      <c r="P91" s="1"/>
    </row>
    <row r="92" spans="1:16">
      <c r="A92" s="63" t="str">
        <f>$R$2&amp;"."&amp;'Конфигурация TREI'!$A$2&amp;".DIAG_7"</f>
        <v>Диагностика.TREI.CPU.DIAG_7</v>
      </c>
      <c r="B92" s="64">
        <v>11152</v>
      </c>
      <c r="C92" s="64" t="s">
        <v>0</v>
      </c>
      <c r="D92" s="129" t="str">
        <f>$R$6</f>
        <v>Предупреждение</v>
      </c>
      <c r="E92" s="1"/>
      <c r="F92" s="1"/>
      <c r="G92" s="1"/>
      <c r="H92" s="1"/>
      <c r="I92" s="1"/>
      <c r="J92" s="1"/>
      <c r="K92" s="1"/>
      <c r="L92" s="1"/>
      <c r="M92" s="1"/>
      <c r="N92" s="1"/>
      <c r="O92" s="1"/>
      <c r="P92" s="1"/>
    </row>
    <row r="93" spans="1:16">
      <c r="A93" s="63" t="str">
        <f>$R$2&amp;"."&amp;'Конфигурация TREI'!$A$2&amp;".DIAG_7"</f>
        <v>Диагностика.TREI.CPU.DIAG_7</v>
      </c>
      <c r="B93" s="64">
        <v>11150</v>
      </c>
      <c r="C93" s="64" t="s">
        <v>0</v>
      </c>
      <c r="D93" s="65" t="s">
        <v>801</v>
      </c>
      <c r="E93" s="1"/>
      <c r="F93" s="1"/>
      <c r="G93" s="1"/>
      <c r="H93" s="1"/>
      <c r="I93" s="1"/>
      <c r="J93" s="1"/>
      <c r="K93" s="1"/>
      <c r="L93" s="1"/>
      <c r="M93" s="1"/>
      <c r="N93" s="1"/>
      <c r="O93" s="1"/>
      <c r="P93" s="1"/>
    </row>
    <row r="94" spans="1:16">
      <c r="A94" s="63" t="str">
        <f>$R$2&amp;"."&amp;'Конфигурация TREI'!$A$2&amp;".DIAG_7"</f>
        <v>Диагностика.TREI.CPU.DIAG_7</v>
      </c>
      <c r="B94" s="64">
        <v>11000</v>
      </c>
      <c r="C94" s="64" t="s">
        <v>5</v>
      </c>
      <c r="D94" s="65">
        <v>2147483680</v>
      </c>
      <c r="E94" s="1"/>
      <c r="F94" s="1"/>
      <c r="G94" s="1"/>
      <c r="H94" s="1"/>
      <c r="I94" s="1"/>
      <c r="J94" s="1"/>
      <c r="K94" s="1"/>
      <c r="L94" s="1"/>
      <c r="M94" s="1"/>
      <c r="N94" s="1"/>
      <c r="O94" s="1"/>
      <c r="P94" s="1"/>
    </row>
    <row r="95" spans="1:16">
      <c r="A95" s="19" t="str">
        <f>$R$2&amp;"."&amp;'Конфигурация TREI'!$A$2&amp;".DIAG_7"</f>
        <v>Диагностика.TREI.CPU.DIAG_7</v>
      </c>
      <c r="B95" s="11">
        <v>7999</v>
      </c>
      <c r="C95" s="11" t="s">
        <v>0</v>
      </c>
      <c r="D95" s="20" t="str">
        <f>"#"&amp;$S$2&amp;"#"&amp;$T$2&amp;IF($S$7="","","\")&amp;$S$7&amp;"\"&amp;'Конфигурация TREI'!$A$2&amp;"\DIAG_7"</f>
        <v>#2#treiOPCDA.CoOPCserv.1\pcmaster\CPU\DIAG_7</v>
      </c>
      <c r="E95" s="1"/>
      <c r="F95" s="1"/>
      <c r="G95" s="1"/>
      <c r="H95" s="1"/>
      <c r="I95" s="1"/>
      <c r="J95" s="1"/>
      <c r="K95" s="1"/>
      <c r="L95" s="1"/>
      <c r="M95" s="1"/>
      <c r="N95" s="1"/>
      <c r="O95" s="1"/>
      <c r="P95" s="1"/>
    </row>
    <row r="96" spans="1:16">
      <c r="A96" s="19" t="str">
        <f>$R$2&amp;"."&amp;'Конфигурация TREI'!$A$2&amp;".DIAG_7"</f>
        <v>Диагностика.TREI.CPU.DIAG_7</v>
      </c>
      <c r="B96" s="11">
        <v>7998</v>
      </c>
      <c r="C96" s="11" t="s">
        <v>6</v>
      </c>
      <c r="D96" s="20">
        <v>1</v>
      </c>
      <c r="E96" s="1"/>
      <c r="F96" s="1"/>
      <c r="G96" s="1"/>
      <c r="H96" s="1"/>
      <c r="I96" s="1"/>
      <c r="J96" s="1"/>
      <c r="K96" s="1"/>
      <c r="L96" s="1"/>
      <c r="M96" s="1"/>
      <c r="N96" s="1"/>
      <c r="O96" s="1"/>
      <c r="P96" s="1"/>
    </row>
    <row r="97" spans="1:16">
      <c r="A97" s="19" t="str">
        <f>$R$2&amp;"."&amp;'Конфигурация TREI'!$A$2&amp;".DIAG_7"</f>
        <v>Диагностика.TREI.CPU.DIAG_7</v>
      </c>
      <c r="B97" s="11">
        <v>101</v>
      </c>
      <c r="C97" s="11" t="s">
        <v>0</v>
      </c>
      <c r="D97" s="20" t="s">
        <v>801</v>
      </c>
      <c r="E97" s="1"/>
      <c r="F97" s="1"/>
      <c r="G97" s="1"/>
      <c r="H97" s="1"/>
      <c r="I97" s="1"/>
      <c r="J97" s="1"/>
      <c r="K97" s="1"/>
      <c r="L97" s="1"/>
      <c r="M97" s="1"/>
      <c r="N97" s="1"/>
      <c r="O97" s="1"/>
      <c r="P97" s="1"/>
    </row>
    <row r="98" spans="1:16">
      <c r="A98" s="19" t="str">
        <f>$R$2&amp;"."&amp;'Конфигурация TREI'!$A$2&amp;".DIAG_7"</f>
        <v>Диагностика.TREI.CPU.DIAG_7</v>
      </c>
      <c r="B98" s="11">
        <v>3</v>
      </c>
      <c r="C98" s="11" t="s">
        <v>1</v>
      </c>
      <c r="D98" s="20">
        <v>192</v>
      </c>
      <c r="E98" s="1"/>
      <c r="F98" s="1"/>
      <c r="G98" s="1"/>
      <c r="H98" s="1"/>
      <c r="I98" s="1"/>
      <c r="J98" s="1"/>
      <c r="K98" s="1"/>
      <c r="L98" s="1"/>
      <c r="M98" s="1"/>
      <c r="N98" s="1"/>
      <c r="O98" s="1"/>
      <c r="P98" s="1"/>
    </row>
    <row r="99" spans="1:16">
      <c r="A99" s="19" t="str">
        <f>$R$2&amp;"."&amp;'Конфигурация TREI'!$A$2&amp;".DIAG_7"</f>
        <v>Диагностика.TREI.CPU.DIAG_7</v>
      </c>
      <c r="B99" s="11">
        <v>2</v>
      </c>
      <c r="C99" s="11" t="s">
        <v>2</v>
      </c>
      <c r="D99" s="20" t="s">
        <v>3</v>
      </c>
    </row>
    <row r="100" spans="1:16">
      <c r="A100" s="21" t="str">
        <f>$R$2&amp;"."&amp;'Конфигурация TREI'!$A$2&amp;".DIAG_7"</f>
        <v>Диагностика.TREI.CPU.DIAG_7</v>
      </c>
      <c r="B100" s="8">
        <v>1</v>
      </c>
      <c r="C100" s="8" t="s">
        <v>1</v>
      </c>
      <c r="D100" s="22">
        <v>11</v>
      </c>
    </row>
    <row r="101" spans="1:16">
      <c r="A101" s="69" t="str">
        <f>$R$2&amp;"."&amp;'Конфигурация TREI'!$A$2&amp;".DIAG_8"</f>
        <v>Диагностика.TREI.CPU.DIAG_8</v>
      </c>
      <c r="B101" s="70">
        <v>11154</v>
      </c>
      <c r="C101" s="70" t="s">
        <v>4</v>
      </c>
      <c r="D101" s="144">
        <f>$Q$6</f>
        <v>8</v>
      </c>
    </row>
    <row r="102" spans="1:16">
      <c r="A102" s="63" t="str">
        <f>$R$2&amp;"."&amp;'Конфигурация TREI'!$A$2&amp;".DIAG_8"</f>
        <v>Диагностика.TREI.CPU.DIAG_8</v>
      </c>
      <c r="B102" s="64">
        <v>11152</v>
      </c>
      <c r="C102" s="64" t="s">
        <v>0</v>
      </c>
      <c r="D102" s="129" t="str">
        <f>$R$6</f>
        <v>Предупреждение</v>
      </c>
    </row>
    <row r="103" spans="1:16">
      <c r="A103" s="63" t="str">
        <f>$R$2&amp;"."&amp;'Конфигурация TREI'!$A$2&amp;".DIAG_8"</f>
        <v>Диагностика.TREI.CPU.DIAG_8</v>
      </c>
      <c r="B103" s="64">
        <v>11150</v>
      </c>
      <c r="C103" s="64" t="s">
        <v>0</v>
      </c>
      <c r="D103" s="65" t="s">
        <v>802</v>
      </c>
    </row>
    <row r="104" spans="1:16">
      <c r="A104" s="63" t="str">
        <f>$R$2&amp;"."&amp;'Конфигурация TREI'!$A$2&amp;".DIAG_8"</f>
        <v>Диагностика.TREI.CPU.DIAG_8</v>
      </c>
      <c r="B104" s="64">
        <v>11000</v>
      </c>
      <c r="C104" s="64" t="s">
        <v>5</v>
      </c>
      <c r="D104" s="65">
        <v>2147483680</v>
      </c>
    </row>
    <row r="105" spans="1:16">
      <c r="A105" s="19" t="str">
        <f>$R$2&amp;"."&amp;'Конфигурация TREI'!$A$2&amp;".DIAG_8"</f>
        <v>Диагностика.TREI.CPU.DIAG_8</v>
      </c>
      <c r="B105" s="11">
        <v>7999</v>
      </c>
      <c r="C105" s="11" t="s">
        <v>0</v>
      </c>
      <c r="D105" s="20" t="str">
        <f>"#"&amp;$S$2&amp;"#"&amp;$T$2&amp;IF($S$7="","","\")&amp;$S$7&amp;"\"&amp;'Конфигурация TREI'!$A$2&amp;"\DIAG_8"</f>
        <v>#2#treiOPCDA.CoOPCserv.1\pcmaster\CPU\DIAG_8</v>
      </c>
    </row>
    <row r="106" spans="1:16">
      <c r="A106" s="19" t="str">
        <f>$R$2&amp;"."&amp;'Конфигурация TREI'!$A$2&amp;".DIAG_8"</f>
        <v>Диагностика.TREI.CPU.DIAG_8</v>
      </c>
      <c r="B106" s="11">
        <v>7998</v>
      </c>
      <c r="C106" s="11" t="s">
        <v>6</v>
      </c>
      <c r="D106" s="20">
        <v>1</v>
      </c>
    </row>
    <row r="107" spans="1:16">
      <c r="A107" s="19" t="str">
        <f>$R$2&amp;"."&amp;'Конфигурация TREI'!$A$2&amp;".DIAG_8"</f>
        <v>Диагностика.TREI.CPU.DIAG_8</v>
      </c>
      <c r="B107" s="11">
        <v>101</v>
      </c>
      <c r="C107" s="11" t="s">
        <v>0</v>
      </c>
      <c r="D107" s="20" t="s">
        <v>802</v>
      </c>
    </row>
    <row r="108" spans="1:16">
      <c r="A108" s="19" t="str">
        <f>$R$2&amp;"."&amp;'Конфигурация TREI'!$A$2&amp;".DIAG_8"</f>
        <v>Диагностика.TREI.CPU.DIAG_8</v>
      </c>
      <c r="B108" s="11">
        <v>3</v>
      </c>
      <c r="C108" s="11" t="s">
        <v>1</v>
      </c>
      <c r="D108" s="20">
        <v>192</v>
      </c>
    </row>
    <row r="109" spans="1:16">
      <c r="A109" s="19" t="str">
        <f>$R$2&amp;"."&amp;'Конфигурация TREI'!$A$2&amp;".DIAG_8"</f>
        <v>Диагностика.TREI.CPU.DIAG_8</v>
      </c>
      <c r="B109" s="11">
        <v>2</v>
      </c>
      <c r="C109" s="11" t="s">
        <v>2</v>
      </c>
      <c r="D109" s="20" t="s">
        <v>3</v>
      </c>
    </row>
    <row r="110" spans="1:16">
      <c r="A110" s="21" t="str">
        <f>$R$2&amp;"."&amp;'Конфигурация TREI'!$A$2&amp;".DIAG_8"</f>
        <v>Диагностика.TREI.CPU.DIAG_8</v>
      </c>
      <c r="B110" s="8">
        <v>1</v>
      </c>
      <c r="C110" s="8" t="s">
        <v>1</v>
      </c>
      <c r="D110" s="22">
        <v>11</v>
      </c>
    </row>
    <row r="111" spans="1:16">
      <c r="A111" s="69" t="str">
        <f>$R$2&amp;"."&amp;'Конфигурация TREI'!$A$2&amp;".DIAG_9"</f>
        <v>Диагностика.TREI.CPU.DIAG_9</v>
      </c>
      <c r="B111" s="70">
        <v>11154</v>
      </c>
      <c r="C111" s="70" t="s">
        <v>4</v>
      </c>
      <c r="D111" s="144">
        <f>$Q$6</f>
        <v>8</v>
      </c>
    </row>
    <row r="112" spans="1:16">
      <c r="A112" s="63" t="str">
        <f>$R$2&amp;"."&amp;'Конфигурация TREI'!$A$2&amp;".DIAG_9"</f>
        <v>Диагностика.TREI.CPU.DIAG_9</v>
      </c>
      <c r="B112" s="64">
        <v>11152</v>
      </c>
      <c r="C112" s="64" t="s">
        <v>0</v>
      </c>
      <c r="D112" s="129" t="str">
        <f>$R$6</f>
        <v>Предупреждение</v>
      </c>
    </row>
    <row r="113" spans="1:4">
      <c r="A113" s="63" t="str">
        <f>$R$2&amp;"."&amp;'Конфигурация TREI'!$A$2&amp;".DIAG_9"</f>
        <v>Диагностика.TREI.CPU.DIAG_9</v>
      </c>
      <c r="B113" s="64">
        <v>11150</v>
      </c>
      <c r="C113" s="64" t="s">
        <v>0</v>
      </c>
      <c r="D113" s="65" t="s">
        <v>803</v>
      </c>
    </row>
    <row r="114" spans="1:4">
      <c r="A114" s="63" t="str">
        <f>$R$2&amp;"."&amp;'Конфигурация TREI'!$A$2&amp;".DIAG_9"</f>
        <v>Диагностика.TREI.CPU.DIAG_9</v>
      </c>
      <c r="B114" s="64">
        <v>11000</v>
      </c>
      <c r="C114" s="64" t="s">
        <v>5</v>
      </c>
      <c r="D114" s="65">
        <v>2147483680</v>
      </c>
    </row>
    <row r="115" spans="1:4">
      <c r="A115" s="19" t="str">
        <f>$R$2&amp;"."&amp;'Конфигурация TREI'!$A$2&amp;".DIAG_9"</f>
        <v>Диагностика.TREI.CPU.DIAG_9</v>
      </c>
      <c r="B115" s="11">
        <v>7999</v>
      </c>
      <c r="C115" s="11" t="s">
        <v>0</v>
      </c>
      <c r="D115" s="20" t="str">
        <f>"#"&amp;$S$2&amp;"#"&amp;$T$2&amp;IF($S$7="","","\")&amp;$S$7&amp;"\"&amp;'Конфигурация TREI'!$A$2&amp;"\DIAG_9"</f>
        <v>#2#treiOPCDA.CoOPCserv.1\pcmaster\CPU\DIAG_9</v>
      </c>
    </row>
    <row r="116" spans="1:4">
      <c r="A116" s="19" t="str">
        <f>$R$2&amp;"."&amp;'Конфигурация TREI'!$A$2&amp;".DIAG_9"</f>
        <v>Диагностика.TREI.CPU.DIAG_9</v>
      </c>
      <c r="B116" s="11">
        <v>7998</v>
      </c>
      <c r="C116" s="11" t="s">
        <v>6</v>
      </c>
      <c r="D116" s="20">
        <v>1</v>
      </c>
    </row>
    <row r="117" spans="1:4">
      <c r="A117" s="19" t="str">
        <f>$R$2&amp;"."&amp;'Конфигурация TREI'!$A$2&amp;".DIAG_9"</f>
        <v>Диагностика.TREI.CPU.DIAG_9</v>
      </c>
      <c r="B117" s="11">
        <v>101</v>
      </c>
      <c r="C117" s="11" t="s">
        <v>0</v>
      </c>
      <c r="D117" s="20" t="s">
        <v>803</v>
      </c>
    </row>
    <row r="118" spans="1:4">
      <c r="A118" s="19" t="str">
        <f>$R$2&amp;"."&amp;'Конфигурация TREI'!$A$2&amp;".DIAG_9"</f>
        <v>Диагностика.TREI.CPU.DIAG_9</v>
      </c>
      <c r="B118" s="11">
        <v>3</v>
      </c>
      <c r="C118" s="11" t="s">
        <v>1</v>
      </c>
      <c r="D118" s="20">
        <v>192</v>
      </c>
    </row>
    <row r="119" spans="1:4">
      <c r="A119" s="19" t="str">
        <f>$R$2&amp;"."&amp;'Конфигурация TREI'!$A$2&amp;".DIAG_9"</f>
        <v>Диагностика.TREI.CPU.DIAG_9</v>
      </c>
      <c r="B119" s="11">
        <v>2</v>
      </c>
      <c r="C119" s="11" t="s">
        <v>2</v>
      </c>
      <c r="D119" s="20" t="s">
        <v>3</v>
      </c>
    </row>
    <row r="120" spans="1:4">
      <c r="A120" s="21" t="str">
        <f>$R$2&amp;"."&amp;'Конфигурация TREI'!$A$2&amp;".DIAG_9"</f>
        <v>Диагностика.TREI.CPU.DIAG_9</v>
      </c>
      <c r="B120" s="8">
        <v>1</v>
      </c>
      <c r="C120" s="8" t="s">
        <v>1</v>
      </c>
      <c r="D120" s="22">
        <v>11</v>
      </c>
    </row>
    <row r="121" spans="1:4">
      <c r="A121" s="69" t="str">
        <f>$R$2&amp;"."&amp;'Конфигурация TREI'!$A$2&amp;".DIAG_10"</f>
        <v>Диагностика.TREI.CPU.DIAG_10</v>
      </c>
      <c r="B121" s="70">
        <v>11154</v>
      </c>
      <c r="C121" s="70" t="s">
        <v>4</v>
      </c>
      <c r="D121" s="144">
        <f>$Q$6</f>
        <v>8</v>
      </c>
    </row>
    <row r="122" spans="1:4">
      <c r="A122" s="63" t="str">
        <f>$R$2&amp;"."&amp;'Конфигурация TREI'!$A$2&amp;".DIAG_10"</f>
        <v>Диагностика.TREI.CPU.DIAG_10</v>
      </c>
      <c r="B122" s="64">
        <v>11152</v>
      </c>
      <c r="C122" s="64" t="s">
        <v>0</v>
      </c>
      <c r="D122" s="129" t="str">
        <f>$R$6</f>
        <v>Предупреждение</v>
      </c>
    </row>
    <row r="123" spans="1:4">
      <c r="A123" s="63" t="str">
        <f>$R$2&amp;"."&amp;'Конфигурация TREI'!$A$2&amp;".DIAG_10"</f>
        <v>Диагностика.TREI.CPU.DIAG_10</v>
      </c>
      <c r="B123" s="64">
        <v>11150</v>
      </c>
      <c r="C123" s="64" t="s">
        <v>0</v>
      </c>
      <c r="D123" s="65" t="s">
        <v>804</v>
      </c>
    </row>
    <row r="124" spans="1:4">
      <c r="A124" s="63" t="str">
        <f>$R$2&amp;"."&amp;'Конфигурация TREI'!$A$2&amp;".DIAG_10"</f>
        <v>Диагностика.TREI.CPU.DIAG_10</v>
      </c>
      <c r="B124" s="64">
        <v>11000</v>
      </c>
      <c r="C124" s="64" t="s">
        <v>5</v>
      </c>
      <c r="D124" s="65">
        <v>2147483680</v>
      </c>
    </row>
    <row r="125" spans="1:4">
      <c r="A125" s="19" t="str">
        <f>$R$2&amp;"."&amp;'Конфигурация TREI'!$A$2&amp;".DIAG_10"</f>
        <v>Диагностика.TREI.CPU.DIAG_10</v>
      </c>
      <c r="B125" s="11">
        <v>7999</v>
      </c>
      <c r="C125" s="11" t="s">
        <v>0</v>
      </c>
      <c r="D125" s="20" t="str">
        <f>"#"&amp;$S$2&amp;"#"&amp;$T$2&amp;IF($S$7="","","\")&amp;$S$7&amp;"\"&amp;'Конфигурация TREI'!$A$2&amp;"\DIAG_10"</f>
        <v>#2#treiOPCDA.CoOPCserv.1\pcmaster\CPU\DIAG_10</v>
      </c>
    </row>
    <row r="126" spans="1:4">
      <c r="A126" s="19" t="str">
        <f>$R$2&amp;"."&amp;'Конфигурация TREI'!$A$2&amp;".DIAG_10"</f>
        <v>Диагностика.TREI.CPU.DIAG_10</v>
      </c>
      <c r="B126" s="11">
        <v>7998</v>
      </c>
      <c r="C126" s="11" t="s">
        <v>6</v>
      </c>
      <c r="D126" s="20">
        <v>1</v>
      </c>
    </row>
    <row r="127" spans="1:4">
      <c r="A127" s="19" t="str">
        <f>$R$2&amp;"."&amp;'Конфигурация TREI'!$A$2&amp;".DIAG_10"</f>
        <v>Диагностика.TREI.CPU.DIAG_10</v>
      </c>
      <c r="B127" s="11">
        <v>101</v>
      </c>
      <c r="C127" s="11" t="s">
        <v>0</v>
      </c>
      <c r="D127" s="20" t="s">
        <v>804</v>
      </c>
    </row>
    <row r="128" spans="1:4">
      <c r="A128" s="19" t="str">
        <f>$R$2&amp;"."&amp;'Конфигурация TREI'!$A$2&amp;".DIAG_10"</f>
        <v>Диагностика.TREI.CPU.DIAG_10</v>
      </c>
      <c r="B128" s="11">
        <v>3</v>
      </c>
      <c r="C128" s="11" t="s">
        <v>1</v>
      </c>
      <c r="D128" s="20">
        <v>192</v>
      </c>
    </row>
    <row r="129" spans="1:4">
      <c r="A129" s="19" t="str">
        <f>$R$2&amp;"."&amp;'Конфигурация TREI'!$A$2&amp;".DIAG_10"</f>
        <v>Диагностика.TREI.CPU.DIAG_10</v>
      </c>
      <c r="B129" s="11">
        <v>2</v>
      </c>
      <c r="C129" s="11" t="s">
        <v>2</v>
      </c>
      <c r="D129" s="20" t="s">
        <v>3</v>
      </c>
    </row>
    <row r="130" spans="1:4">
      <c r="A130" s="21" t="str">
        <f>$R$2&amp;"."&amp;'Конфигурация TREI'!$A$2&amp;".DIAG_10"</f>
        <v>Диагностика.TREI.CPU.DIAG_10</v>
      </c>
      <c r="B130" s="8">
        <v>1</v>
      </c>
      <c r="C130" s="8" t="s">
        <v>1</v>
      </c>
      <c r="D130" s="22">
        <v>11</v>
      </c>
    </row>
    <row r="131" spans="1:4">
      <c r="A131" s="69" t="str">
        <f>$R$2&amp;"."&amp;'Конфигурация TREI'!$A$2&amp;".DIAG_11"</f>
        <v>Диагностика.TREI.CPU.DIAG_11</v>
      </c>
      <c r="B131" s="70">
        <v>11154</v>
      </c>
      <c r="C131" s="70" t="s">
        <v>4</v>
      </c>
      <c r="D131" s="144">
        <f>$Q$6</f>
        <v>8</v>
      </c>
    </row>
    <row r="132" spans="1:4">
      <c r="A132" s="63" t="str">
        <f>$R$2&amp;"."&amp;'Конфигурация TREI'!$A$2&amp;".DIAG_11"</f>
        <v>Диагностика.TREI.CPU.DIAG_11</v>
      </c>
      <c r="B132" s="64">
        <v>11152</v>
      </c>
      <c r="C132" s="64" t="s">
        <v>0</v>
      </c>
      <c r="D132" s="129" t="str">
        <f>$R$6</f>
        <v>Предупреждение</v>
      </c>
    </row>
    <row r="133" spans="1:4">
      <c r="A133" s="63" t="str">
        <f>$R$2&amp;"."&amp;'Конфигурация TREI'!$A$2&amp;".DIAG_11"</f>
        <v>Диагностика.TREI.CPU.DIAG_11</v>
      </c>
      <c r="B133" s="64">
        <v>11150</v>
      </c>
      <c r="C133" s="64" t="s">
        <v>0</v>
      </c>
      <c r="D133" s="65" t="s">
        <v>805</v>
      </c>
    </row>
    <row r="134" spans="1:4">
      <c r="A134" s="63" t="str">
        <f>$R$2&amp;"."&amp;'Конфигурация TREI'!$A$2&amp;".DIAG_11"</f>
        <v>Диагностика.TREI.CPU.DIAG_11</v>
      </c>
      <c r="B134" s="64">
        <v>11000</v>
      </c>
      <c r="C134" s="64" t="s">
        <v>5</v>
      </c>
      <c r="D134" s="65">
        <v>2147483680</v>
      </c>
    </row>
    <row r="135" spans="1:4">
      <c r="A135" s="19" t="str">
        <f>$R$2&amp;"."&amp;'Конфигурация TREI'!$A$2&amp;".DIAG_11"</f>
        <v>Диагностика.TREI.CPU.DIAG_11</v>
      </c>
      <c r="B135" s="11">
        <v>7999</v>
      </c>
      <c r="C135" s="11" t="s">
        <v>0</v>
      </c>
      <c r="D135" s="20" t="str">
        <f>"#"&amp;$S$2&amp;"#"&amp;$T$2&amp;IF($S$7="","","\")&amp;$S$7&amp;"\"&amp;'Конфигурация TREI'!$A$2&amp;"\DIAG_11"</f>
        <v>#2#treiOPCDA.CoOPCserv.1\pcmaster\CPU\DIAG_11</v>
      </c>
    </row>
    <row r="136" spans="1:4">
      <c r="A136" s="19" t="str">
        <f>$R$2&amp;"."&amp;'Конфигурация TREI'!$A$2&amp;".DIAG_11"</f>
        <v>Диагностика.TREI.CPU.DIAG_11</v>
      </c>
      <c r="B136" s="11">
        <v>7998</v>
      </c>
      <c r="C136" s="11" t="s">
        <v>6</v>
      </c>
      <c r="D136" s="20">
        <v>1</v>
      </c>
    </row>
    <row r="137" spans="1:4">
      <c r="A137" s="19" t="str">
        <f>$R$2&amp;"."&amp;'Конфигурация TREI'!$A$2&amp;".DIAG_11"</f>
        <v>Диагностика.TREI.CPU.DIAG_11</v>
      </c>
      <c r="B137" s="11">
        <v>101</v>
      </c>
      <c r="C137" s="11" t="s">
        <v>0</v>
      </c>
      <c r="D137" s="20" t="s">
        <v>805</v>
      </c>
    </row>
    <row r="138" spans="1:4">
      <c r="A138" s="19" t="str">
        <f>$R$2&amp;"."&amp;'Конфигурация TREI'!$A$2&amp;".DIAG_11"</f>
        <v>Диагностика.TREI.CPU.DIAG_11</v>
      </c>
      <c r="B138" s="11">
        <v>3</v>
      </c>
      <c r="C138" s="11" t="s">
        <v>1</v>
      </c>
      <c r="D138" s="20">
        <v>192</v>
      </c>
    </row>
    <row r="139" spans="1:4">
      <c r="A139" s="19" t="str">
        <f>$R$2&amp;"."&amp;'Конфигурация TREI'!$A$2&amp;".DIAG_11"</f>
        <v>Диагностика.TREI.CPU.DIAG_11</v>
      </c>
      <c r="B139" s="11">
        <v>2</v>
      </c>
      <c r="C139" s="11" t="s">
        <v>2</v>
      </c>
      <c r="D139" s="20" t="s">
        <v>3</v>
      </c>
    </row>
    <row r="140" spans="1:4">
      <c r="A140" s="21" t="str">
        <f>$R$2&amp;"."&amp;'Конфигурация TREI'!$A$2&amp;".DIAG_11"</f>
        <v>Диагностика.TREI.CPU.DIAG_11</v>
      </c>
      <c r="B140" s="8">
        <v>1</v>
      </c>
      <c r="C140" s="8" t="s">
        <v>1</v>
      </c>
      <c r="D140" s="22">
        <v>11</v>
      </c>
    </row>
    <row r="141" spans="1:4">
      <c r="A141" s="69" t="str">
        <f>$R$2&amp;"."&amp;'Конфигурация TREI'!$A$2&amp;".DIAG_12"</f>
        <v>Диагностика.TREI.CPU.DIAG_12</v>
      </c>
      <c r="B141" s="70">
        <v>11154</v>
      </c>
      <c r="C141" s="70" t="s">
        <v>4</v>
      </c>
      <c r="D141" s="144">
        <f>$Q$6</f>
        <v>8</v>
      </c>
    </row>
    <row r="142" spans="1:4">
      <c r="A142" s="63" t="str">
        <f>$R$2&amp;"."&amp;'Конфигурация TREI'!$A$2&amp;".DIAG_12"</f>
        <v>Диагностика.TREI.CPU.DIAG_12</v>
      </c>
      <c r="B142" s="64">
        <v>11152</v>
      </c>
      <c r="C142" s="64" t="s">
        <v>0</v>
      </c>
      <c r="D142" s="129" t="str">
        <f>$R$6</f>
        <v>Предупреждение</v>
      </c>
    </row>
    <row r="143" spans="1:4">
      <c r="A143" s="63" t="str">
        <f>$R$2&amp;"."&amp;'Конфигурация TREI'!$A$2&amp;".DIAG_12"</f>
        <v>Диагностика.TREI.CPU.DIAG_12</v>
      </c>
      <c r="B143" s="64">
        <v>11150</v>
      </c>
      <c r="C143" s="64" t="s">
        <v>0</v>
      </c>
      <c r="D143" s="65" t="s">
        <v>806</v>
      </c>
    </row>
    <row r="144" spans="1:4">
      <c r="A144" s="63" t="str">
        <f>$R$2&amp;"."&amp;'Конфигурация TREI'!$A$2&amp;".DIAG_12"</f>
        <v>Диагностика.TREI.CPU.DIAG_12</v>
      </c>
      <c r="B144" s="64">
        <v>11000</v>
      </c>
      <c r="C144" s="64" t="s">
        <v>5</v>
      </c>
      <c r="D144" s="65">
        <v>2147483680</v>
      </c>
    </row>
    <row r="145" spans="1:4">
      <c r="A145" s="19" t="str">
        <f>$R$2&amp;"."&amp;'Конфигурация TREI'!$A$2&amp;".DIAG_12"</f>
        <v>Диагностика.TREI.CPU.DIAG_12</v>
      </c>
      <c r="B145" s="11">
        <v>7999</v>
      </c>
      <c r="C145" s="11" t="s">
        <v>0</v>
      </c>
      <c r="D145" s="20" t="str">
        <f>"#"&amp;$S$2&amp;"#"&amp;$T$2&amp;IF($S$7="","","\")&amp;$S$7&amp;"\"&amp;'Конфигурация TREI'!$A$2&amp;"\DIAG_12"</f>
        <v>#2#treiOPCDA.CoOPCserv.1\pcmaster\CPU\DIAG_12</v>
      </c>
    </row>
    <row r="146" spans="1:4">
      <c r="A146" s="19" t="str">
        <f>$R$2&amp;"."&amp;'Конфигурация TREI'!$A$2&amp;".DIAG_12"</f>
        <v>Диагностика.TREI.CPU.DIAG_12</v>
      </c>
      <c r="B146" s="11">
        <v>7998</v>
      </c>
      <c r="C146" s="11" t="s">
        <v>6</v>
      </c>
      <c r="D146" s="20">
        <v>1</v>
      </c>
    </row>
    <row r="147" spans="1:4">
      <c r="A147" s="19" t="str">
        <f>$R$2&amp;"."&amp;'Конфигурация TREI'!$A$2&amp;".DIAG_12"</f>
        <v>Диагностика.TREI.CPU.DIAG_12</v>
      </c>
      <c r="B147" s="11">
        <v>101</v>
      </c>
      <c r="C147" s="11" t="s">
        <v>0</v>
      </c>
      <c r="D147" s="20" t="s">
        <v>806</v>
      </c>
    </row>
    <row r="148" spans="1:4">
      <c r="A148" s="19" t="str">
        <f>$R$2&amp;"."&amp;'Конфигурация TREI'!$A$2&amp;".DIAG_12"</f>
        <v>Диагностика.TREI.CPU.DIAG_12</v>
      </c>
      <c r="B148" s="11">
        <v>3</v>
      </c>
      <c r="C148" s="11" t="s">
        <v>1</v>
      </c>
      <c r="D148" s="20">
        <v>192</v>
      </c>
    </row>
    <row r="149" spans="1:4">
      <c r="A149" s="19" t="str">
        <f>$R$2&amp;"."&amp;'Конфигурация TREI'!$A$2&amp;".DIAG_12"</f>
        <v>Диагностика.TREI.CPU.DIAG_12</v>
      </c>
      <c r="B149" s="11">
        <v>2</v>
      </c>
      <c r="C149" s="11" t="s">
        <v>2</v>
      </c>
      <c r="D149" s="20" t="s">
        <v>3</v>
      </c>
    </row>
    <row r="150" spans="1:4">
      <c r="A150" s="21" t="str">
        <f>$R$2&amp;"."&amp;'Конфигурация TREI'!$A$2&amp;".DIAG_12"</f>
        <v>Диагностика.TREI.CPU.DIAG_12</v>
      </c>
      <c r="B150" s="8">
        <v>1</v>
      </c>
      <c r="C150" s="8" t="s">
        <v>1</v>
      </c>
      <c r="D150" s="22">
        <v>11</v>
      </c>
    </row>
    <row r="151" spans="1:4">
      <c r="A151" s="69" t="str">
        <f>$R$2&amp;"."&amp;'Конфигурация TREI'!$A$2&amp;".DIAG_13"</f>
        <v>Диагностика.TREI.CPU.DIAG_13</v>
      </c>
      <c r="B151" s="70">
        <v>11154</v>
      </c>
      <c r="C151" s="70" t="s">
        <v>4</v>
      </c>
      <c r="D151" s="144">
        <f>$Q$6</f>
        <v>8</v>
      </c>
    </row>
    <row r="152" spans="1:4">
      <c r="A152" s="63" t="str">
        <f>$R$2&amp;"."&amp;'Конфигурация TREI'!$A$2&amp;".DIAG_13"</f>
        <v>Диагностика.TREI.CPU.DIAG_13</v>
      </c>
      <c r="B152" s="64">
        <v>11152</v>
      </c>
      <c r="C152" s="64" t="s">
        <v>0</v>
      </c>
      <c r="D152" s="129" t="str">
        <f>$R$6</f>
        <v>Предупреждение</v>
      </c>
    </row>
    <row r="153" spans="1:4">
      <c r="A153" s="63" t="str">
        <f>$R$2&amp;"."&amp;'Конфигурация TREI'!$A$2&amp;".DIAG_13"</f>
        <v>Диагностика.TREI.CPU.DIAG_13</v>
      </c>
      <c r="B153" s="64">
        <v>11150</v>
      </c>
      <c r="C153" s="64" t="s">
        <v>0</v>
      </c>
      <c r="D153" s="65" t="s">
        <v>807</v>
      </c>
    </row>
    <row r="154" spans="1:4">
      <c r="A154" s="63" t="str">
        <f>$R$2&amp;"."&amp;'Конфигурация TREI'!$A$2&amp;".DIAG_13"</f>
        <v>Диагностика.TREI.CPU.DIAG_13</v>
      </c>
      <c r="B154" s="64">
        <v>11000</v>
      </c>
      <c r="C154" s="64" t="s">
        <v>5</v>
      </c>
      <c r="D154" s="65">
        <v>2147483680</v>
      </c>
    </row>
    <row r="155" spans="1:4">
      <c r="A155" s="19" t="str">
        <f>$R$2&amp;"."&amp;'Конфигурация TREI'!$A$2&amp;".DIAG_13"</f>
        <v>Диагностика.TREI.CPU.DIAG_13</v>
      </c>
      <c r="B155" s="11">
        <v>7999</v>
      </c>
      <c r="C155" s="11" t="s">
        <v>0</v>
      </c>
      <c r="D155" s="20" t="str">
        <f>"#"&amp;$S$2&amp;"#"&amp;$T$2&amp;IF($S$7="","","\")&amp;$S$7&amp;"\"&amp;'Конфигурация TREI'!$A$2&amp;"\DIAG_13"</f>
        <v>#2#treiOPCDA.CoOPCserv.1\pcmaster\CPU\DIAG_13</v>
      </c>
    </row>
    <row r="156" spans="1:4">
      <c r="A156" s="19" t="str">
        <f>$R$2&amp;"."&amp;'Конфигурация TREI'!$A$2&amp;".DIAG_13"</f>
        <v>Диагностика.TREI.CPU.DIAG_13</v>
      </c>
      <c r="B156" s="11">
        <v>7998</v>
      </c>
      <c r="C156" s="11" t="s">
        <v>6</v>
      </c>
      <c r="D156" s="20">
        <v>1</v>
      </c>
    </row>
    <row r="157" spans="1:4">
      <c r="A157" s="19" t="str">
        <f>$R$2&amp;"."&amp;'Конфигурация TREI'!$A$2&amp;".DIAG_13"</f>
        <v>Диагностика.TREI.CPU.DIAG_13</v>
      </c>
      <c r="B157" s="11">
        <v>101</v>
      </c>
      <c r="C157" s="11" t="s">
        <v>0</v>
      </c>
      <c r="D157" s="20" t="s">
        <v>807</v>
      </c>
    </row>
    <row r="158" spans="1:4">
      <c r="A158" s="19" t="str">
        <f>$R$2&amp;"."&amp;'Конфигурация TREI'!$A$2&amp;".DIAG_13"</f>
        <v>Диагностика.TREI.CPU.DIAG_13</v>
      </c>
      <c r="B158" s="11">
        <v>3</v>
      </c>
      <c r="C158" s="11" t="s">
        <v>1</v>
      </c>
      <c r="D158" s="20">
        <v>192</v>
      </c>
    </row>
    <row r="159" spans="1:4">
      <c r="A159" s="19" t="str">
        <f>$R$2&amp;"."&amp;'Конфигурация TREI'!$A$2&amp;".DIAG_13"</f>
        <v>Диагностика.TREI.CPU.DIAG_13</v>
      </c>
      <c r="B159" s="11">
        <v>2</v>
      </c>
      <c r="C159" s="11" t="s">
        <v>2</v>
      </c>
      <c r="D159" s="20" t="s">
        <v>3</v>
      </c>
    </row>
    <row r="160" spans="1:4">
      <c r="A160" s="21" t="str">
        <f>$R$2&amp;"."&amp;'Конфигурация TREI'!$A$2&amp;".DIAG_13"</f>
        <v>Диагностика.TREI.CPU.DIAG_13</v>
      </c>
      <c r="B160" s="8">
        <v>1</v>
      </c>
      <c r="C160" s="8" t="s">
        <v>1</v>
      </c>
      <c r="D160" s="22">
        <v>11</v>
      </c>
    </row>
    <row r="161" spans="1:4">
      <c r="A161" s="69" t="str">
        <f>$R$2&amp;"."&amp;'Конфигурация TREI'!$A$2&amp;".DIAG_14"</f>
        <v>Диагностика.TREI.CPU.DIAG_14</v>
      </c>
      <c r="B161" s="70">
        <v>11154</v>
      </c>
      <c r="C161" s="70" t="s">
        <v>4</v>
      </c>
      <c r="D161" s="144">
        <f>$Q$6</f>
        <v>8</v>
      </c>
    </row>
    <row r="162" spans="1:4">
      <c r="A162" s="63" t="str">
        <f>$R$2&amp;"."&amp;'Конфигурация TREI'!$A$2&amp;".DIAG_14"</f>
        <v>Диагностика.TREI.CPU.DIAG_14</v>
      </c>
      <c r="B162" s="64">
        <v>11152</v>
      </c>
      <c r="C162" s="64" t="s">
        <v>0</v>
      </c>
      <c r="D162" s="129" t="str">
        <f>$R$6</f>
        <v>Предупреждение</v>
      </c>
    </row>
    <row r="163" spans="1:4">
      <c r="A163" s="63" t="str">
        <f>$R$2&amp;"."&amp;'Конфигурация TREI'!$A$2&amp;".DIAG_14"</f>
        <v>Диагностика.TREI.CPU.DIAG_14</v>
      </c>
      <c r="B163" s="64">
        <v>11150</v>
      </c>
      <c r="C163" s="64" t="s">
        <v>0</v>
      </c>
      <c r="D163" s="65" t="s">
        <v>808</v>
      </c>
    </row>
    <row r="164" spans="1:4">
      <c r="A164" s="63" t="str">
        <f>$R$2&amp;"."&amp;'Конфигурация TREI'!$A$2&amp;".DIAG_14"</f>
        <v>Диагностика.TREI.CPU.DIAG_14</v>
      </c>
      <c r="B164" s="64">
        <v>11000</v>
      </c>
      <c r="C164" s="64" t="s">
        <v>5</v>
      </c>
      <c r="D164" s="65">
        <v>2147483680</v>
      </c>
    </row>
    <row r="165" spans="1:4">
      <c r="A165" s="19" t="str">
        <f>$R$2&amp;"."&amp;'Конфигурация TREI'!$A$2&amp;".DIAG_14"</f>
        <v>Диагностика.TREI.CPU.DIAG_14</v>
      </c>
      <c r="B165" s="11">
        <v>7999</v>
      </c>
      <c r="C165" s="11" t="s">
        <v>0</v>
      </c>
      <c r="D165" s="20" t="str">
        <f>"#"&amp;$S$2&amp;"#"&amp;$T$2&amp;IF($S$7="","","\")&amp;$S$7&amp;"\"&amp;'Конфигурация TREI'!$A$2&amp;"\DIAG_14"</f>
        <v>#2#treiOPCDA.CoOPCserv.1\pcmaster\CPU\DIAG_14</v>
      </c>
    </row>
    <row r="166" spans="1:4">
      <c r="A166" s="19" t="str">
        <f>$R$2&amp;"."&amp;'Конфигурация TREI'!$A$2&amp;".DIAG_14"</f>
        <v>Диагностика.TREI.CPU.DIAG_14</v>
      </c>
      <c r="B166" s="11">
        <v>7998</v>
      </c>
      <c r="C166" s="11" t="s">
        <v>6</v>
      </c>
      <c r="D166" s="20">
        <v>1</v>
      </c>
    </row>
    <row r="167" spans="1:4">
      <c r="A167" s="19" t="str">
        <f>$R$2&amp;"."&amp;'Конфигурация TREI'!$A$2&amp;".DIAG_14"</f>
        <v>Диагностика.TREI.CPU.DIAG_14</v>
      </c>
      <c r="B167" s="11">
        <v>101</v>
      </c>
      <c r="C167" s="11" t="s">
        <v>0</v>
      </c>
      <c r="D167" s="20" t="s">
        <v>808</v>
      </c>
    </row>
    <row r="168" spans="1:4">
      <c r="A168" s="19" t="str">
        <f>$R$2&amp;"."&amp;'Конфигурация TREI'!$A$2&amp;".DIAG_14"</f>
        <v>Диагностика.TREI.CPU.DIAG_14</v>
      </c>
      <c r="B168" s="11">
        <v>3</v>
      </c>
      <c r="C168" s="11" t="s">
        <v>1</v>
      </c>
      <c r="D168" s="20">
        <v>192</v>
      </c>
    </row>
    <row r="169" spans="1:4">
      <c r="A169" s="19" t="str">
        <f>$R$2&amp;"."&amp;'Конфигурация TREI'!$A$2&amp;".DIAG_14"</f>
        <v>Диагностика.TREI.CPU.DIAG_14</v>
      </c>
      <c r="B169" s="11">
        <v>2</v>
      </c>
      <c r="C169" s="11" t="s">
        <v>2</v>
      </c>
      <c r="D169" s="20" t="s">
        <v>3</v>
      </c>
    </row>
    <row r="170" spans="1:4">
      <c r="A170" s="21" t="str">
        <f>$R$2&amp;"."&amp;'Конфигурация TREI'!$A$2&amp;".DIAG_14"</f>
        <v>Диагностика.TREI.CPU.DIAG_14</v>
      </c>
      <c r="B170" s="8">
        <v>1</v>
      </c>
      <c r="C170" s="8" t="s">
        <v>1</v>
      </c>
      <c r="D170" s="22">
        <v>11</v>
      </c>
    </row>
    <row r="171" spans="1:4">
      <c r="A171" s="159" t="str">
        <f>$R$2&amp;"."&amp;'Конфигурация TREI'!$A$2&amp;".DIAG_15"</f>
        <v>Диагностика.TREI.CPU.DIAG_15</v>
      </c>
      <c r="B171" s="160">
        <v>11154</v>
      </c>
      <c r="C171" s="160" t="s">
        <v>4</v>
      </c>
      <c r="D171" s="161">
        <f>$Q$8</f>
        <v>18</v>
      </c>
    </row>
    <row r="172" spans="1:4">
      <c r="A172" s="100" t="str">
        <f>$R$2&amp;"."&amp;'Конфигурация TREI'!$A$2&amp;".DIAG_15"</f>
        <v>Диагностика.TREI.CPU.DIAG_15</v>
      </c>
      <c r="B172" s="101">
        <v>11152</v>
      </c>
      <c r="C172" s="101" t="s">
        <v>0</v>
      </c>
      <c r="D172" s="104" t="str">
        <f>$R$8</f>
        <v>Телесигнализация</v>
      </c>
    </row>
    <row r="173" spans="1:4">
      <c r="A173" s="100" t="str">
        <f>$R$2&amp;"."&amp;'Конфигурация TREI'!$A$2&amp;".DIAG_15"</f>
        <v>Диагностика.TREI.CPU.DIAG_15</v>
      </c>
      <c r="B173" s="101">
        <v>11150</v>
      </c>
      <c r="C173" s="101" t="s">
        <v>0</v>
      </c>
      <c r="D173" s="103" t="s">
        <v>809</v>
      </c>
    </row>
    <row r="174" spans="1:4">
      <c r="A174" s="100" t="str">
        <f>$R$2&amp;"."&amp;'Конфигурация TREI'!$A$2&amp;".DIAG_15"</f>
        <v>Диагностика.TREI.CPU.DIAG_15</v>
      </c>
      <c r="B174" s="101">
        <v>11000</v>
      </c>
      <c r="C174" s="101" t="s">
        <v>5</v>
      </c>
      <c r="D174" s="103">
        <v>2147483680</v>
      </c>
    </row>
    <row r="175" spans="1:4">
      <c r="A175" s="19" t="str">
        <f>$R$2&amp;"."&amp;'Конфигурация TREI'!$A$2&amp;".DIAG_15"</f>
        <v>Диагностика.TREI.CPU.DIAG_15</v>
      </c>
      <c r="B175" s="11">
        <v>7999</v>
      </c>
      <c r="C175" s="11" t="s">
        <v>0</v>
      </c>
      <c r="D175" s="20" t="str">
        <f>"#"&amp;$S$2&amp;"#"&amp;$T$2&amp;IF($S$7="","","\")&amp;$S$7&amp;"\"&amp;'Конфигурация TREI'!$A$2&amp;"\DIAG_15"</f>
        <v>#2#treiOPCDA.CoOPCserv.1\pcmaster\CPU\DIAG_15</v>
      </c>
    </row>
    <row r="176" spans="1:4">
      <c r="A176" s="19" t="str">
        <f>$R$2&amp;"."&amp;'Конфигурация TREI'!$A$2&amp;".DIAG_15"</f>
        <v>Диагностика.TREI.CPU.DIAG_15</v>
      </c>
      <c r="B176" s="11">
        <v>7998</v>
      </c>
      <c r="C176" s="11" t="s">
        <v>6</v>
      </c>
      <c r="D176" s="20">
        <v>1</v>
      </c>
    </row>
    <row r="177" spans="1:4">
      <c r="A177" s="19" t="str">
        <f>$R$2&amp;"."&amp;'Конфигурация TREI'!$A$2&amp;".DIAG_15"</f>
        <v>Диагностика.TREI.CPU.DIAG_15</v>
      </c>
      <c r="B177" s="11">
        <v>101</v>
      </c>
      <c r="C177" s="11" t="s">
        <v>0</v>
      </c>
      <c r="D177" s="20" t="s">
        <v>809</v>
      </c>
    </row>
    <row r="178" spans="1:4">
      <c r="A178" s="19" t="str">
        <f>$R$2&amp;"."&amp;'Конфигурация TREI'!$A$2&amp;".DIAG_15"</f>
        <v>Диагностика.TREI.CPU.DIAG_15</v>
      </c>
      <c r="B178" s="11">
        <v>3</v>
      </c>
      <c r="C178" s="11" t="s">
        <v>1</v>
      </c>
      <c r="D178" s="20">
        <v>192</v>
      </c>
    </row>
    <row r="179" spans="1:4">
      <c r="A179" s="19" t="str">
        <f>$R$2&amp;"."&amp;'Конфигурация TREI'!$A$2&amp;".DIAG_15"</f>
        <v>Диагностика.TREI.CPU.DIAG_15</v>
      </c>
      <c r="B179" s="11">
        <v>2</v>
      </c>
      <c r="C179" s="11" t="s">
        <v>2</v>
      </c>
      <c r="D179" s="20" t="s">
        <v>3</v>
      </c>
    </row>
    <row r="180" spans="1:4">
      <c r="A180" s="21" t="str">
        <f>$R$2&amp;"."&amp;'Конфигурация TREI'!$A$2&amp;".DIAG_15"</f>
        <v>Диагностика.TREI.CPU.DIAG_15</v>
      </c>
      <c r="B180" s="8">
        <v>1</v>
      </c>
      <c r="C180" s="8" t="s">
        <v>1</v>
      </c>
      <c r="D180" s="22">
        <v>11</v>
      </c>
    </row>
    <row r="181" spans="1:4">
      <c r="A181" s="69" t="str">
        <f>$R$2&amp;"."&amp;'Конфигурация TREI'!$A$2&amp;".DIAG_16"</f>
        <v>Диагностика.TREI.CPU.DIAG_16</v>
      </c>
      <c r="B181" s="70">
        <v>11154</v>
      </c>
      <c r="C181" s="70" t="s">
        <v>4</v>
      </c>
      <c r="D181" s="144">
        <f>$Q$6</f>
        <v>8</v>
      </c>
    </row>
    <row r="182" spans="1:4">
      <c r="A182" s="63" t="str">
        <f>$R$2&amp;"."&amp;'Конфигурация TREI'!$A$2&amp;".DIAG_16"</f>
        <v>Диагностика.TREI.CPU.DIAG_16</v>
      </c>
      <c r="B182" s="64">
        <v>11152</v>
      </c>
      <c r="C182" s="64" t="s">
        <v>0</v>
      </c>
      <c r="D182" s="129" t="str">
        <f>$R$6</f>
        <v>Предупреждение</v>
      </c>
    </row>
    <row r="183" spans="1:4">
      <c r="A183" s="63" t="str">
        <f>$R$2&amp;"."&amp;'Конфигурация TREI'!$A$2&amp;".DIAG_16"</f>
        <v>Диагностика.TREI.CPU.DIAG_16</v>
      </c>
      <c r="B183" s="64">
        <v>11150</v>
      </c>
      <c r="C183" s="64" t="s">
        <v>0</v>
      </c>
      <c r="D183" s="65" t="s">
        <v>1392</v>
      </c>
    </row>
    <row r="184" spans="1:4">
      <c r="A184" s="63" t="str">
        <f>$R$2&amp;"."&amp;'Конфигурация TREI'!$A$2&amp;".DIAG_16"</f>
        <v>Диагностика.TREI.CPU.DIAG_16</v>
      </c>
      <c r="B184" s="64">
        <v>11000</v>
      </c>
      <c r="C184" s="64" t="s">
        <v>5</v>
      </c>
      <c r="D184" s="65">
        <v>2147483680</v>
      </c>
    </row>
    <row r="185" spans="1:4">
      <c r="A185" s="19" t="str">
        <f>$R$2&amp;"."&amp;'Конфигурация TREI'!$A$2&amp;".DIAG_16"</f>
        <v>Диагностика.TREI.CPU.DIAG_16</v>
      </c>
      <c r="B185" s="11">
        <v>7999</v>
      </c>
      <c r="C185" s="11" t="s">
        <v>0</v>
      </c>
      <c r="D185" s="20" t="str">
        <f>"#"&amp;$S$2&amp;"#"&amp;$T$2&amp;IF($S$7="","","\")&amp;$S$7&amp;"\"&amp;'Конфигурация TREI'!$A$2&amp;"\DIAG_16"</f>
        <v>#2#treiOPCDA.CoOPCserv.1\pcmaster\CPU\DIAG_16</v>
      </c>
    </row>
    <row r="186" spans="1:4">
      <c r="A186" s="19" t="str">
        <f>$R$2&amp;"."&amp;'Конфигурация TREI'!$A$2&amp;".DIAG_16"</f>
        <v>Диагностика.TREI.CPU.DIAG_16</v>
      </c>
      <c r="B186" s="11">
        <v>7998</v>
      </c>
      <c r="C186" s="11" t="s">
        <v>6</v>
      </c>
      <c r="D186" s="20">
        <v>1</v>
      </c>
    </row>
    <row r="187" spans="1:4">
      <c r="A187" s="19" t="str">
        <f>$R$2&amp;"."&amp;'Конфигурация TREI'!$A$2&amp;".DIAG_16"</f>
        <v>Диагностика.TREI.CPU.DIAG_16</v>
      </c>
      <c r="B187" s="11">
        <v>101</v>
      </c>
      <c r="C187" s="11" t="s">
        <v>0</v>
      </c>
      <c r="D187" s="20" t="s">
        <v>1392</v>
      </c>
    </row>
    <row r="188" spans="1:4">
      <c r="A188" s="19" t="str">
        <f>$R$2&amp;"."&amp;'Конфигурация TREI'!$A$2&amp;".DIAG_16"</f>
        <v>Диагностика.TREI.CPU.DIAG_16</v>
      </c>
      <c r="B188" s="11">
        <v>3</v>
      </c>
      <c r="C188" s="11" t="s">
        <v>1</v>
      </c>
      <c r="D188" s="20">
        <v>192</v>
      </c>
    </row>
    <row r="189" spans="1:4">
      <c r="A189" s="19" t="str">
        <f>$R$2&amp;"."&amp;'Конфигурация TREI'!$A$2&amp;".DIAG_16"</f>
        <v>Диагностика.TREI.CPU.DIAG_16</v>
      </c>
      <c r="B189" s="11">
        <v>2</v>
      </c>
      <c r="C189" s="11" t="s">
        <v>2</v>
      </c>
      <c r="D189" s="20" t="s">
        <v>3</v>
      </c>
    </row>
    <row r="190" spans="1:4">
      <c r="A190" s="21" t="str">
        <f>$R$2&amp;"."&amp;'Конфигурация TREI'!$A$2&amp;".DIAG_16"</f>
        <v>Диагностика.TREI.CPU.DIAG_16</v>
      </c>
      <c r="B190" s="8">
        <v>1</v>
      </c>
      <c r="C190" s="8" t="s">
        <v>1</v>
      </c>
      <c r="D190" s="22">
        <v>11</v>
      </c>
    </row>
    <row r="191" spans="1:4">
      <c r="A191" s="159" t="str">
        <f>$R$2&amp;"."&amp;'Конфигурация TREI'!$A$2&amp;".DIAG_17"</f>
        <v>Диагностика.TREI.CPU.DIAG_17</v>
      </c>
      <c r="B191" s="160">
        <v>11154</v>
      </c>
      <c r="C191" s="160" t="s">
        <v>4</v>
      </c>
      <c r="D191" s="161">
        <f>$Q$8</f>
        <v>18</v>
      </c>
    </row>
    <row r="192" spans="1:4">
      <c r="A192" s="100" t="str">
        <f>$R$2&amp;"."&amp;'Конфигурация TREI'!$A$2&amp;".DIAG_17"</f>
        <v>Диагностика.TREI.CPU.DIAG_17</v>
      </c>
      <c r="B192" s="101">
        <v>11152</v>
      </c>
      <c r="C192" s="101" t="s">
        <v>0</v>
      </c>
      <c r="D192" s="104" t="str">
        <f>$R$8</f>
        <v>Телесигнализация</v>
      </c>
    </row>
    <row r="193" spans="1:4">
      <c r="A193" s="100" t="str">
        <f>$R$2&amp;"."&amp;'Конфигурация TREI'!$A$2&amp;".DIAG_17"</f>
        <v>Диагностика.TREI.CPU.DIAG_17</v>
      </c>
      <c r="B193" s="101">
        <v>11150</v>
      </c>
      <c r="C193" s="101" t="s">
        <v>0</v>
      </c>
      <c r="D193" s="103" t="s">
        <v>810</v>
      </c>
    </row>
    <row r="194" spans="1:4">
      <c r="A194" s="100" t="str">
        <f>$R$2&amp;"."&amp;'Конфигурация TREI'!$A$2&amp;".DIAG_17"</f>
        <v>Диагностика.TREI.CPU.DIAG_17</v>
      </c>
      <c r="B194" s="101">
        <v>11000</v>
      </c>
      <c r="C194" s="101" t="s">
        <v>5</v>
      </c>
      <c r="D194" s="103">
        <v>2147483680</v>
      </c>
    </row>
    <row r="195" spans="1:4">
      <c r="A195" s="19" t="str">
        <f>$R$2&amp;"."&amp;'Конфигурация TREI'!$A$2&amp;".DIAG_17"</f>
        <v>Диагностика.TREI.CPU.DIAG_17</v>
      </c>
      <c r="B195" s="11">
        <v>7999</v>
      </c>
      <c r="C195" s="11" t="s">
        <v>0</v>
      </c>
      <c r="D195" s="20" t="str">
        <f>"#"&amp;$S$2&amp;"#"&amp;$T$2&amp;IF($S$7="","","\")&amp;$S$7&amp;"\"&amp;'Конфигурация TREI'!$A$2&amp;"\DIAG_17"</f>
        <v>#2#treiOPCDA.CoOPCserv.1\pcmaster\CPU\DIAG_17</v>
      </c>
    </row>
    <row r="196" spans="1:4">
      <c r="A196" s="19" t="str">
        <f>$R$2&amp;"."&amp;'Конфигурация TREI'!$A$2&amp;".DIAG_17"</f>
        <v>Диагностика.TREI.CPU.DIAG_17</v>
      </c>
      <c r="B196" s="11">
        <v>7998</v>
      </c>
      <c r="C196" s="11" t="s">
        <v>6</v>
      </c>
      <c r="D196" s="20">
        <v>1</v>
      </c>
    </row>
    <row r="197" spans="1:4">
      <c r="A197" s="19" t="str">
        <f>$R$2&amp;"."&amp;'Конфигурация TREI'!$A$2&amp;".DIAG_17"</f>
        <v>Диагностика.TREI.CPU.DIAG_17</v>
      </c>
      <c r="B197" s="11">
        <v>101</v>
      </c>
      <c r="C197" s="11" t="s">
        <v>0</v>
      </c>
      <c r="D197" s="20" t="s">
        <v>810</v>
      </c>
    </row>
    <row r="198" spans="1:4">
      <c r="A198" s="19" t="str">
        <f>$R$2&amp;"."&amp;'Конфигурация TREI'!$A$2&amp;".DIAG_17"</f>
        <v>Диагностика.TREI.CPU.DIAG_17</v>
      </c>
      <c r="B198" s="11">
        <v>3</v>
      </c>
      <c r="C198" s="11" t="s">
        <v>1</v>
      </c>
      <c r="D198" s="20">
        <v>192</v>
      </c>
    </row>
    <row r="199" spans="1:4">
      <c r="A199" s="19" t="str">
        <f>$R$2&amp;"."&amp;'Конфигурация TREI'!$A$2&amp;".DIAG_17"</f>
        <v>Диагностика.TREI.CPU.DIAG_17</v>
      </c>
      <c r="B199" s="11">
        <v>2</v>
      </c>
      <c r="C199" s="11" t="s">
        <v>2</v>
      </c>
      <c r="D199" s="20" t="s">
        <v>3</v>
      </c>
    </row>
    <row r="200" spans="1:4">
      <c r="A200" s="21" t="str">
        <f>$R$2&amp;"."&amp;'Конфигурация TREI'!$A$2&amp;".DIAG_17"</f>
        <v>Диагностика.TREI.CPU.DIAG_17</v>
      </c>
      <c r="B200" s="8">
        <v>1</v>
      </c>
      <c r="C200" s="8" t="s">
        <v>1</v>
      </c>
      <c r="D200" s="22">
        <v>11</v>
      </c>
    </row>
    <row r="201" spans="1:4">
      <c r="A201" s="69" t="str">
        <f>$R$2&amp;"."&amp;'Конфигурация TREI'!$A$2&amp;".DIAG_18"</f>
        <v>Диагностика.TREI.CPU.DIAG_18</v>
      </c>
      <c r="B201" s="70">
        <v>11154</v>
      </c>
      <c r="C201" s="70" t="s">
        <v>4</v>
      </c>
      <c r="D201" s="144">
        <f>$Q$6</f>
        <v>8</v>
      </c>
    </row>
    <row r="202" spans="1:4">
      <c r="A202" s="63" t="str">
        <f>$R$2&amp;"."&amp;'Конфигурация TREI'!$A$2&amp;".DIAG_18"</f>
        <v>Диагностика.TREI.CPU.DIAG_18</v>
      </c>
      <c r="B202" s="64">
        <v>11152</v>
      </c>
      <c r="C202" s="64" t="s">
        <v>0</v>
      </c>
      <c r="D202" s="129" t="str">
        <f>$R$6</f>
        <v>Предупреждение</v>
      </c>
    </row>
    <row r="203" spans="1:4">
      <c r="A203" s="63" t="str">
        <f>$R$2&amp;"."&amp;'Конфигурация TREI'!$A$2&amp;".DIAG_18"</f>
        <v>Диагностика.TREI.CPU.DIAG_18</v>
      </c>
      <c r="B203" s="64">
        <v>11150</v>
      </c>
      <c r="C203" s="64" t="s">
        <v>0</v>
      </c>
      <c r="D203" s="65" t="s">
        <v>1393</v>
      </c>
    </row>
    <row r="204" spans="1:4">
      <c r="A204" s="63" t="str">
        <f>$R$2&amp;"."&amp;'Конфигурация TREI'!$A$2&amp;".DIAG_18"</f>
        <v>Диагностика.TREI.CPU.DIAG_18</v>
      </c>
      <c r="B204" s="64">
        <v>11000</v>
      </c>
      <c r="C204" s="64" t="s">
        <v>5</v>
      </c>
      <c r="D204" s="65">
        <v>2147483680</v>
      </c>
    </row>
    <row r="205" spans="1:4">
      <c r="A205" s="19" t="str">
        <f>$R$2&amp;"."&amp;'Конфигурация TREI'!$A$2&amp;".DIAG_18"</f>
        <v>Диагностика.TREI.CPU.DIAG_18</v>
      </c>
      <c r="B205" s="11">
        <v>7999</v>
      </c>
      <c r="C205" s="11" t="s">
        <v>0</v>
      </c>
      <c r="D205" s="20" t="str">
        <f>"#"&amp;$S$2&amp;"#"&amp;$T$2&amp;IF($S$7="","","\")&amp;$S$7&amp;"\"&amp;'Конфигурация TREI'!$A$2&amp;"\DIAG_18"</f>
        <v>#2#treiOPCDA.CoOPCserv.1\pcmaster\CPU\DIAG_18</v>
      </c>
    </row>
    <row r="206" spans="1:4">
      <c r="A206" s="19" t="str">
        <f>$R$2&amp;"."&amp;'Конфигурация TREI'!$A$2&amp;".DIAG_18"</f>
        <v>Диагностика.TREI.CPU.DIAG_18</v>
      </c>
      <c r="B206" s="11">
        <v>7998</v>
      </c>
      <c r="C206" s="11" t="s">
        <v>6</v>
      </c>
      <c r="D206" s="20">
        <v>1</v>
      </c>
    </row>
    <row r="207" spans="1:4">
      <c r="A207" s="19" t="str">
        <f>$R$2&amp;"."&amp;'Конфигурация TREI'!$A$2&amp;".DIAG_18"</f>
        <v>Диагностика.TREI.CPU.DIAG_18</v>
      </c>
      <c r="B207" s="11">
        <v>101</v>
      </c>
      <c r="C207" s="11" t="s">
        <v>0</v>
      </c>
      <c r="D207" s="20" t="s">
        <v>1393</v>
      </c>
    </row>
    <row r="208" spans="1:4">
      <c r="A208" s="19" t="str">
        <f>$R$2&amp;"."&amp;'Конфигурация TREI'!$A$2&amp;".DIAG_18"</f>
        <v>Диагностика.TREI.CPU.DIAG_18</v>
      </c>
      <c r="B208" s="11">
        <v>3</v>
      </c>
      <c r="C208" s="11" t="s">
        <v>1</v>
      </c>
      <c r="D208" s="20">
        <v>192</v>
      </c>
    </row>
    <row r="209" spans="1:4">
      <c r="A209" s="19" t="str">
        <f>$R$2&amp;"."&amp;'Конфигурация TREI'!$A$2&amp;".DIAG_18"</f>
        <v>Диагностика.TREI.CPU.DIAG_18</v>
      </c>
      <c r="B209" s="11">
        <v>2</v>
      </c>
      <c r="C209" s="11" t="s">
        <v>2</v>
      </c>
      <c r="D209" s="20" t="s">
        <v>3</v>
      </c>
    </row>
    <row r="210" spans="1:4">
      <c r="A210" s="21" t="str">
        <f>$R$2&amp;"."&amp;'Конфигурация TREI'!$A$2&amp;".DIAG_18"</f>
        <v>Диагностика.TREI.CPU.DIAG_18</v>
      </c>
      <c r="B210" s="8">
        <v>1</v>
      </c>
      <c r="C210" s="8" t="s">
        <v>1</v>
      </c>
      <c r="D210" s="22">
        <v>11</v>
      </c>
    </row>
    <row r="211" spans="1:4">
      <c r="A211" s="159" t="str">
        <f>$R$2&amp;"."&amp;'Конфигурация TREI'!$A$2&amp;".DIAG_19"</f>
        <v>Диагностика.TREI.CPU.DIAG_19</v>
      </c>
      <c r="B211" s="160">
        <v>11154</v>
      </c>
      <c r="C211" s="160" t="s">
        <v>4</v>
      </c>
      <c r="D211" s="161">
        <f>$Q$8</f>
        <v>18</v>
      </c>
    </row>
    <row r="212" spans="1:4">
      <c r="A212" s="100" t="str">
        <f>$R$2&amp;"."&amp;'Конфигурация TREI'!$A$2&amp;".DIAG_19"</f>
        <v>Диагностика.TREI.CPU.DIAG_19</v>
      </c>
      <c r="B212" s="101">
        <v>11152</v>
      </c>
      <c r="C212" s="101" t="s">
        <v>0</v>
      </c>
      <c r="D212" s="104" t="str">
        <f>$R$8</f>
        <v>Телесигнализация</v>
      </c>
    </row>
    <row r="213" spans="1:4">
      <c r="A213" s="100" t="str">
        <f>$R$2&amp;"."&amp;'Конфигурация TREI'!$A$2&amp;".DIAG_19"</f>
        <v>Диагностика.TREI.CPU.DIAG_19</v>
      </c>
      <c r="B213" s="101">
        <v>11150</v>
      </c>
      <c r="C213" s="101" t="s">
        <v>0</v>
      </c>
      <c r="D213" s="103" t="s">
        <v>811</v>
      </c>
    </row>
    <row r="214" spans="1:4">
      <c r="A214" s="100" t="str">
        <f>$R$2&amp;"."&amp;'Конфигурация TREI'!$A$2&amp;".DIAG_19"</f>
        <v>Диагностика.TREI.CPU.DIAG_19</v>
      </c>
      <c r="B214" s="101">
        <v>11000</v>
      </c>
      <c r="C214" s="101" t="s">
        <v>5</v>
      </c>
      <c r="D214" s="103">
        <v>2147483680</v>
      </c>
    </row>
    <row r="215" spans="1:4">
      <c r="A215" s="19" t="str">
        <f>$R$2&amp;"."&amp;'Конфигурация TREI'!$A$2&amp;".DIAG_19"</f>
        <v>Диагностика.TREI.CPU.DIAG_19</v>
      </c>
      <c r="B215" s="11">
        <v>7999</v>
      </c>
      <c r="C215" s="11" t="s">
        <v>0</v>
      </c>
      <c r="D215" s="20" t="str">
        <f>"#"&amp;$S$2&amp;"#"&amp;$T$2&amp;IF($S$7="","","\")&amp;$S$7&amp;"\"&amp;'Конфигурация TREI'!$A$2&amp;"\DIAG_19"</f>
        <v>#2#treiOPCDA.CoOPCserv.1\pcmaster\CPU\DIAG_19</v>
      </c>
    </row>
    <row r="216" spans="1:4">
      <c r="A216" s="19" t="str">
        <f>$R$2&amp;"."&amp;'Конфигурация TREI'!$A$2&amp;".DIAG_19"</f>
        <v>Диагностика.TREI.CPU.DIAG_19</v>
      </c>
      <c r="B216" s="11">
        <v>7998</v>
      </c>
      <c r="C216" s="11" t="s">
        <v>6</v>
      </c>
      <c r="D216" s="20">
        <v>1</v>
      </c>
    </row>
    <row r="217" spans="1:4">
      <c r="A217" s="19" t="str">
        <f>$R$2&amp;"."&amp;'Конфигурация TREI'!$A$2&amp;".DIAG_19"</f>
        <v>Диагностика.TREI.CPU.DIAG_19</v>
      </c>
      <c r="B217" s="11">
        <v>101</v>
      </c>
      <c r="C217" s="11" t="s">
        <v>0</v>
      </c>
      <c r="D217" s="20" t="s">
        <v>811</v>
      </c>
    </row>
    <row r="218" spans="1:4">
      <c r="A218" s="19" t="str">
        <f>$R$2&amp;"."&amp;'Конфигурация TREI'!$A$2&amp;".DIAG_19"</f>
        <v>Диагностика.TREI.CPU.DIAG_19</v>
      </c>
      <c r="B218" s="11">
        <v>3</v>
      </c>
      <c r="C218" s="11" t="s">
        <v>1</v>
      </c>
      <c r="D218" s="20">
        <v>192</v>
      </c>
    </row>
    <row r="219" spans="1:4">
      <c r="A219" s="19" t="str">
        <f>$R$2&amp;"."&amp;'Конфигурация TREI'!$A$2&amp;".DIAG_19"</f>
        <v>Диагностика.TREI.CPU.DIAG_19</v>
      </c>
      <c r="B219" s="11">
        <v>2</v>
      </c>
      <c r="C219" s="11" t="s">
        <v>2</v>
      </c>
      <c r="D219" s="20" t="s">
        <v>3</v>
      </c>
    </row>
    <row r="220" spans="1:4">
      <c r="A220" s="21" t="str">
        <f>$R$2&amp;"."&amp;'Конфигурация TREI'!$A$2&amp;".DIAG_19"</f>
        <v>Диагностика.TREI.CPU.DIAG_19</v>
      </c>
      <c r="B220" s="8">
        <v>1</v>
      </c>
      <c r="C220" s="8" t="s">
        <v>1</v>
      </c>
      <c r="D220" s="22">
        <v>11</v>
      </c>
    </row>
    <row r="221" spans="1:4">
      <c r="A221" s="69" t="str">
        <f>$R$2&amp;"."&amp;'Конфигурация TREI'!$A$2&amp;".DIAG_20"</f>
        <v>Диагностика.TREI.CPU.DIAG_20</v>
      </c>
      <c r="B221" s="70">
        <v>11154</v>
      </c>
      <c r="C221" s="70" t="s">
        <v>4</v>
      </c>
      <c r="D221" s="144">
        <f>$Q$6</f>
        <v>8</v>
      </c>
    </row>
    <row r="222" spans="1:4">
      <c r="A222" s="63" t="str">
        <f>$R$2&amp;"."&amp;'Конфигурация TREI'!$A$2&amp;".DIAG_20"</f>
        <v>Диагностика.TREI.CPU.DIAG_20</v>
      </c>
      <c r="B222" s="64">
        <v>11152</v>
      </c>
      <c r="C222" s="64" t="s">
        <v>0</v>
      </c>
      <c r="D222" s="129" t="str">
        <f>$R$6</f>
        <v>Предупреждение</v>
      </c>
    </row>
    <row r="223" spans="1:4">
      <c r="A223" s="63" t="str">
        <f>$R$2&amp;"."&amp;'Конфигурация TREI'!$A$2&amp;".DIAG_20"</f>
        <v>Диагностика.TREI.CPU.DIAG_20</v>
      </c>
      <c r="B223" s="64">
        <v>11150</v>
      </c>
      <c r="C223" s="64" t="s">
        <v>0</v>
      </c>
      <c r="D223" s="65" t="s">
        <v>1394</v>
      </c>
    </row>
    <row r="224" spans="1:4">
      <c r="A224" s="63" t="str">
        <f>$R$2&amp;"."&amp;'Конфигурация TREI'!$A$2&amp;".DIAG_20"</f>
        <v>Диагностика.TREI.CPU.DIAG_20</v>
      </c>
      <c r="B224" s="64">
        <v>11000</v>
      </c>
      <c r="C224" s="64" t="s">
        <v>5</v>
      </c>
      <c r="D224" s="65">
        <v>2147483680</v>
      </c>
    </row>
    <row r="225" spans="1:4">
      <c r="A225" s="19" t="str">
        <f>$R$2&amp;"."&amp;'Конфигурация TREI'!$A$2&amp;".DIAG_20"</f>
        <v>Диагностика.TREI.CPU.DIAG_20</v>
      </c>
      <c r="B225" s="11">
        <v>7999</v>
      </c>
      <c r="C225" s="11" t="s">
        <v>0</v>
      </c>
      <c r="D225" s="20" t="str">
        <f>"#"&amp;$S$2&amp;"#"&amp;$T$2&amp;IF($S$7="","","\")&amp;$S$7&amp;"\"&amp;'Конфигурация TREI'!$A$2&amp;"\DIAG_20"</f>
        <v>#2#treiOPCDA.CoOPCserv.1\pcmaster\CPU\DIAG_20</v>
      </c>
    </row>
    <row r="226" spans="1:4">
      <c r="A226" s="19" t="str">
        <f>$R$2&amp;"."&amp;'Конфигурация TREI'!$A$2&amp;".DIAG_20"</f>
        <v>Диагностика.TREI.CPU.DIAG_20</v>
      </c>
      <c r="B226" s="11">
        <v>7998</v>
      </c>
      <c r="C226" s="11" t="s">
        <v>6</v>
      </c>
      <c r="D226" s="20">
        <v>1</v>
      </c>
    </row>
    <row r="227" spans="1:4">
      <c r="A227" s="19" t="str">
        <f>$R$2&amp;"."&amp;'Конфигурация TREI'!$A$2&amp;".DIAG_20"</f>
        <v>Диагностика.TREI.CPU.DIAG_20</v>
      </c>
      <c r="B227" s="11">
        <v>101</v>
      </c>
      <c r="C227" s="11" t="s">
        <v>0</v>
      </c>
      <c r="D227" s="20" t="s">
        <v>1394</v>
      </c>
    </row>
    <row r="228" spans="1:4">
      <c r="A228" s="19" t="str">
        <f>$R$2&amp;"."&amp;'Конфигурация TREI'!$A$2&amp;".DIAG_20"</f>
        <v>Диагностика.TREI.CPU.DIAG_20</v>
      </c>
      <c r="B228" s="11">
        <v>3</v>
      </c>
      <c r="C228" s="11" t="s">
        <v>1</v>
      </c>
      <c r="D228" s="20">
        <v>192</v>
      </c>
    </row>
    <row r="229" spans="1:4">
      <c r="A229" s="19" t="str">
        <f>$R$2&amp;"."&amp;'Конфигурация TREI'!$A$2&amp;".DIAG_20"</f>
        <v>Диагностика.TREI.CPU.DIAG_20</v>
      </c>
      <c r="B229" s="11">
        <v>2</v>
      </c>
      <c r="C229" s="11" t="s">
        <v>2</v>
      </c>
      <c r="D229" s="20" t="s">
        <v>3</v>
      </c>
    </row>
    <row r="230" spans="1:4">
      <c r="A230" s="21" t="str">
        <f>$R$2&amp;"."&amp;'Конфигурация TREI'!$A$2&amp;".DIAG_20"</f>
        <v>Диагностика.TREI.CPU.DIAG_20</v>
      </c>
      <c r="B230" s="8">
        <v>1</v>
      </c>
      <c r="C230" s="8" t="s">
        <v>1</v>
      </c>
      <c r="D230" s="22">
        <v>11</v>
      </c>
    </row>
    <row r="231" spans="1:4">
      <c r="A231" s="159" t="str">
        <f>$R$2&amp;"."&amp;'Конфигурация TREI'!$A$2&amp;".DIAG_21"</f>
        <v>Диагностика.TREI.CPU.DIAG_21</v>
      </c>
      <c r="B231" s="160">
        <v>11154</v>
      </c>
      <c r="C231" s="160" t="s">
        <v>4</v>
      </c>
      <c r="D231" s="161">
        <f>$Q$8</f>
        <v>18</v>
      </c>
    </row>
    <row r="232" spans="1:4">
      <c r="A232" s="100" t="str">
        <f>$R$2&amp;"."&amp;'Конфигурация TREI'!$A$2&amp;".DIAG_21"</f>
        <v>Диагностика.TREI.CPU.DIAG_21</v>
      </c>
      <c r="B232" s="101">
        <v>11152</v>
      </c>
      <c r="C232" s="101" t="s">
        <v>0</v>
      </c>
      <c r="D232" s="104" t="str">
        <f>$R$8</f>
        <v>Телесигнализация</v>
      </c>
    </row>
    <row r="233" spans="1:4">
      <c r="A233" s="100" t="str">
        <f>$R$2&amp;"."&amp;'Конфигурация TREI'!$A$2&amp;".DIAG_21"</f>
        <v>Диагностика.TREI.CPU.DIAG_21</v>
      </c>
      <c r="B233" s="101">
        <v>11150</v>
      </c>
      <c r="C233" s="101" t="s">
        <v>0</v>
      </c>
      <c r="D233" s="103" t="s">
        <v>1405</v>
      </c>
    </row>
    <row r="234" spans="1:4">
      <c r="A234" s="100" t="str">
        <f>$R$2&amp;"."&amp;'Конфигурация TREI'!$A$2&amp;".DIAG_21"</f>
        <v>Диагностика.TREI.CPU.DIAG_21</v>
      </c>
      <c r="B234" s="101">
        <v>11000</v>
      </c>
      <c r="C234" s="101" t="s">
        <v>5</v>
      </c>
      <c r="D234" s="103">
        <v>2147483680</v>
      </c>
    </row>
    <row r="235" spans="1:4">
      <c r="A235" s="19" t="str">
        <f>$R$2&amp;"."&amp;'Конфигурация TREI'!$A$2&amp;".DIAG_21"</f>
        <v>Диагностика.TREI.CPU.DIAG_21</v>
      </c>
      <c r="B235" s="11">
        <v>7999</v>
      </c>
      <c r="C235" s="11" t="s">
        <v>0</v>
      </c>
      <c r="D235" s="20" t="str">
        <f>"#"&amp;$S$2&amp;"#"&amp;$T$2&amp;IF($S$7="","","\")&amp;$S$7&amp;"\"&amp;'Конфигурация TREI'!$A$2&amp;"\DIAG_21"</f>
        <v>#2#treiOPCDA.CoOPCserv.1\pcmaster\CPU\DIAG_21</v>
      </c>
    </row>
    <row r="236" spans="1:4">
      <c r="A236" s="19" t="str">
        <f>$R$2&amp;"."&amp;'Конфигурация TREI'!$A$2&amp;".DIAG_21"</f>
        <v>Диагностика.TREI.CPU.DIAG_21</v>
      </c>
      <c r="B236" s="11">
        <v>7998</v>
      </c>
      <c r="C236" s="11" t="s">
        <v>6</v>
      </c>
      <c r="D236" s="20">
        <v>1</v>
      </c>
    </row>
    <row r="237" spans="1:4">
      <c r="A237" s="19" t="str">
        <f>$R$2&amp;"."&amp;'Конфигурация TREI'!$A$2&amp;".DIAG_21"</f>
        <v>Диагностика.TREI.CPU.DIAG_21</v>
      </c>
      <c r="B237" s="11">
        <v>101</v>
      </c>
      <c r="C237" s="11" t="s">
        <v>0</v>
      </c>
      <c r="D237" s="20" t="s">
        <v>1405</v>
      </c>
    </row>
    <row r="238" spans="1:4">
      <c r="A238" s="19" t="str">
        <f>$R$2&amp;"."&amp;'Конфигурация TREI'!$A$2&amp;".DIAG_21"</f>
        <v>Диагностика.TREI.CPU.DIAG_21</v>
      </c>
      <c r="B238" s="11">
        <v>3</v>
      </c>
      <c r="C238" s="11" t="s">
        <v>1</v>
      </c>
      <c r="D238" s="20">
        <v>192</v>
      </c>
    </row>
    <row r="239" spans="1:4">
      <c r="A239" s="19" t="str">
        <f>$R$2&amp;"."&amp;'Конфигурация TREI'!$A$2&amp;".DIAG_21"</f>
        <v>Диагностика.TREI.CPU.DIAG_21</v>
      </c>
      <c r="B239" s="11">
        <v>2</v>
      </c>
      <c r="C239" s="11" t="s">
        <v>2</v>
      </c>
      <c r="D239" s="20" t="s">
        <v>3</v>
      </c>
    </row>
    <row r="240" spans="1:4">
      <c r="A240" s="21" t="str">
        <f>$R$2&amp;"."&amp;'Конфигурация TREI'!$A$2&amp;".DIAG_21"</f>
        <v>Диагностика.TREI.CPU.DIAG_21</v>
      </c>
      <c r="B240" s="8">
        <v>1</v>
      </c>
      <c r="C240" s="8" t="s">
        <v>1</v>
      </c>
      <c r="D240" s="22">
        <v>11</v>
      </c>
    </row>
    <row r="241" spans="1:4">
      <c r="A241" s="159" t="str">
        <f>$R$2&amp;"."&amp;'Конфигурация TREI'!$A$2&amp;".DIAG_22"</f>
        <v>Диагностика.TREI.CPU.DIAG_22</v>
      </c>
      <c r="B241" s="160">
        <v>11154</v>
      </c>
      <c r="C241" s="160" t="s">
        <v>4</v>
      </c>
      <c r="D241" s="161">
        <f>$Q$8</f>
        <v>18</v>
      </c>
    </row>
    <row r="242" spans="1:4">
      <c r="A242" s="100" t="str">
        <f>$R$2&amp;"."&amp;'Конфигурация TREI'!$A$2&amp;".DIAG_22"</f>
        <v>Диагностика.TREI.CPU.DIAG_22</v>
      </c>
      <c r="B242" s="101">
        <v>11152</v>
      </c>
      <c r="C242" s="101" t="s">
        <v>0</v>
      </c>
      <c r="D242" s="104" t="str">
        <f>$R$8</f>
        <v>Телесигнализация</v>
      </c>
    </row>
    <row r="243" spans="1:4">
      <c r="A243" s="100" t="str">
        <f>$R$2&amp;"."&amp;'Конфигурация TREI'!$A$2&amp;".DIAG_22"</f>
        <v>Диагностика.TREI.CPU.DIAG_22</v>
      </c>
      <c r="B243" s="101">
        <v>11150</v>
      </c>
      <c r="C243" s="101" t="s">
        <v>0</v>
      </c>
      <c r="D243" s="103" t="s">
        <v>812</v>
      </c>
    </row>
    <row r="244" spans="1:4">
      <c r="A244" s="100" t="str">
        <f>$R$2&amp;"."&amp;'Конфигурация TREI'!$A$2&amp;".DIAG_22"</f>
        <v>Диагностика.TREI.CPU.DIAG_22</v>
      </c>
      <c r="B244" s="101">
        <v>11000</v>
      </c>
      <c r="C244" s="101" t="s">
        <v>5</v>
      </c>
      <c r="D244" s="103">
        <v>2147483680</v>
      </c>
    </row>
    <row r="245" spans="1:4">
      <c r="A245" s="19" t="str">
        <f>$R$2&amp;"."&amp;'Конфигурация TREI'!$A$2&amp;".DIAG_22"</f>
        <v>Диагностика.TREI.CPU.DIAG_22</v>
      </c>
      <c r="B245" s="11">
        <v>7999</v>
      </c>
      <c r="C245" s="11" t="s">
        <v>0</v>
      </c>
      <c r="D245" s="20" t="str">
        <f>"#"&amp;$S$2&amp;"#"&amp;$T$2&amp;IF($S$7="","","\")&amp;$S$7&amp;"\"&amp;'Конфигурация TREI'!$A$2&amp;"\DIAG_22"</f>
        <v>#2#treiOPCDA.CoOPCserv.1\pcmaster\CPU\DIAG_22</v>
      </c>
    </row>
    <row r="246" spans="1:4">
      <c r="A246" s="19" t="str">
        <f>$R$2&amp;"."&amp;'Конфигурация TREI'!$A$2&amp;".DIAG_22"</f>
        <v>Диагностика.TREI.CPU.DIAG_22</v>
      </c>
      <c r="B246" s="11">
        <v>7998</v>
      </c>
      <c r="C246" s="11" t="s">
        <v>6</v>
      </c>
      <c r="D246" s="20">
        <v>1</v>
      </c>
    </row>
    <row r="247" spans="1:4">
      <c r="A247" s="19" t="str">
        <f>$R$2&amp;"."&amp;'Конфигурация TREI'!$A$2&amp;".DIAG_22"</f>
        <v>Диагностика.TREI.CPU.DIAG_22</v>
      </c>
      <c r="B247" s="11">
        <v>101</v>
      </c>
      <c r="C247" s="11" t="s">
        <v>0</v>
      </c>
      <c r="D247" s="20" t="s">
        <v>812</v>
      </c>
    </row>
    <row r="248" spans="1:4">
      <c r="A248" s="19" t="str">
        <f>$R$2&amp;"."&amp;'Конфигурация TREI'!$A$2&amp;".DIAG_22"</f>
        <v>Диагностика.TREI.CPU.DIAG_22</v>
      </c>
      <c r="B248" s="11">
        <v>3</v>
      </c>
      <c r="C248" s="11" t="s">
        <v>1</v>
      </c>
      <c r="D248" s="20">
        <v>192</v>
      </c>
    </row>
    <row r="249" spans="1:4">
      <c r="A249" s="19" t="str">
        <f>$R$2&amp;"."&amp;'Конфигурация TREI'!$A$2&amp;".DIAG_22"</f>
        <v>Диагностика.TREI.CPU.DIAG_22</v>
      </c>
      <c r="B249" s="11">
        <v>2</v>
      </c>
      <c r="C249" s="11" t="s">
        <v>2</v>
      </c>
      <c r="D249" s="20" t="s">
        <v>3</v>
      </c>
    </row>
    <row r="250" spans="1:4">
      <c r="A250" s="21" t="str">
        <f>$R$2&amp;"."&amp;'Конфигурация TREI'!$A$2&amp;".DIAG_22"</f>
        <v>Диагностика.TREI.CPU.DIAG_22</v>
      </c>
      <c r="B250" s="8">
        <v>1</v>
      </c>
      <c r="C250" s="8" t="s">
        <v>1</v>
      </c>
      <c r="D250" s="22">
        <v>11</v>
      </c>
    </row>
    <row r="251" spans="1:4">
      <c r="A251" s="69" t="str">
        <f>$R$2&amp;"."&amp;'Конфигурация TREI'!$A$2&amp;".DIAG_24"</f>
        <v>Диагностика.TREI.CPU.DIAG_24</v>
      </c>
      <c r="B251" s="70">
        <v>11154</v>
      </c>
      <c r="C251" s="70" t="s">
        <v>4</v>
      </c>
      <c r="D251" s="144">
        <f>$Q$6</f>
        <v>8</v>
      </c>
    </row>
    <row r="252" spans="1:4">
      <c r="A252" s="63" t="str">
        <f>$R$2&amp;"."&amp;'Конфигурация TREI'!$A$2&amp;".DIAG_24"</f>
        <v>Диагностика.TREI.CPU.DIAG_24</v>
      </c>
      <c r="B252" s="64">
        <v>11152</v>
      </c>
      <c r="C252" s="64" t="s">
        <v>0</v>
      </c>
      <c r="D252" s="129" t="str">
        <f>$R$6</f>
        <v>Предупреждение</v>
      </c>
    </row>
    <row r="253" spans="1:4">
      <c r="A253" s="63" t="str">
        <f>$R$2&amp;"."&amp;'Конфигурация TREI'!$A$2&amp;".DIAG_24"</f>
        <v>Диагностика.TREI.CPU.DIAG_24</v>
      </c>
      <c r="B253" s="64">
        <v>11150</v>
      </c>
      <c r="C253" s="64" t="s">
        <v>0</v>
      </c>
      <c r="D253" s="65" t="s">
        <v>813</v>
      </c>
    </row>
    <row r="254" spans="1:4">
      <c r="A254" s="63" t="str">
        <f>$R$2&amp;"."&amp;'Конфигурация TREI'!$A$2&amp;".DIAG_24"</f>
        <v>Диагностика.TREI.CPU.DIAG_24</v>
      </c>
      <c r="B254" s="64">
        <v>11000</v>
      </c>
      <c r="C254" s="64" t="s">
        <v>5</v>
      </c>
      <c r="D254" s="65">
        <v>2147483680</v>
      </c>
    </row>
    <row r="255" spans="1:4">
      <c r="A255" s="19" t="str">
        <f>$R$2&amp;"."&amp;'Конфигурация TREI'!$A$2&amp;".DIAG_24"</f>
        <v>Диагностика.TREI.CPU.DIAG_24</v>
      </c>
      <c r="B255" s="11">
        <v>7999</v>
      </c>
      <c r="C255" s="11" t="s">
        <v>0</v>
      </c>
      <c r="D255" s="20" t="str">
        <f>"#"&amp;$S$2&amp;"#"&amp;$T$2&amp;IF($S$7="","","\")&amp;$S$7&amp;"\"&amp;'Конфигурация TREI'!$A$2&amp;"\DIAG_24"</f>
        <v>#2#treiOPCDA.CoOPCserv.1\pcmaster\CPU\DIAG_24</v>
      </c>
    </row>
    <row r="256" spans="1:4">
      <c r="A256" s="19" t="str">
        <f>$R$2&amp;"."&amp;'Конфигурация TREI'!$A$2&amp;".DIAG_24"</f>
        <v>Диагностика.TREI.CPU.DIAG_24</v>
      </c>
      <c r="B256" s="11">
        <v>7998</v>
      </c>
      <c r="C256" s="11" t="s">
        <v>6</v>
      </c>
      <c r="D256" s="20">
        <v>1</v>
      </c>
    </row>
    <row r="257" spans="1:4">
      <c r="A257" s="19" t="str">
        <f>$R$2&amp;"."&amp;'Конфигурация TREI'!$A$2&amp;".DIAG_24"</f>
        <v>Диагностика.TREI.CPU.DIAG_24</v>
      </c>
      <c r="B257" s="11">
        <v>101</v>
      </c>
      <c r="C257" s="11" t="s">
        <v>0</v>
      </c>
      <c r="D257" s="20" t="s">
        <v>813</v>
      </c>
    </row>
    <row r="258" spans="1:4">
      <c r="A258" s="19" t="str">
        <f>$R$2&amp;"."&amp;'Конфигурация TREI'!$A$2&amp;".DIAG_24"</f>
        <v>Диагностика.TREI.CPU.DIAG_24</v>
      </c>
      <c r="B258" s="11">
        <v>3</v>
      </c>
      <c r="C258" s="11" t="s">
        <v>1</v>
      </c>
      <c r="D258" s="20">
        <v>192</v>
      </c>
    </row>
    <row r="259" spans="1:4">
      <c r="A259" s="19" t="str">
        <f>$R$2&amp;"."&amp;'Конфигурация TREI'!$A$2&amp;".DIAG_24"</f>
        <v>Диагностика.TREI.CPU.DIAG_24</v>
      </c>
      <c r="B259" s="11">
        <v>2</v>
      </c>
      <c r="C259" s="11" t="s">
        <v>2</v>
      </c>
      <c r="D259" s="20" t="s">
        <v>3</v>
      </c>
    </row>
    <row r="260" spans="1:4">
      <c r="A260" s="21" t="str">
        <f>$R$2&amp;"."&amp;'Конфигурация TREI'!$A$2&amp;".DIAG_24"</f>
        <v>Диагностика.TREI.CPU.DIAG_24</v>
      </c>
      <c r="B260" s="8">
        <v>1</v>
      </c>
      <c r="C260" s="8" t="s">
        <v>1</v>
      </c>
      <c r="D260" s="22">
        <v>11</v>
      </c>
    </row>
    <row r="261" spans="1:4">
      <c r="A261" s="69" t="str">
        <f>$R$2&amp;"."&amp;'Конфигурация TREI'!$A$2&amp;".DIAG_25"</f>
        <v>Диагностика.TREI.CPU.DIAG_25</v>
      </c>
      <c r="B261" s="70">
        <v>11154</v>
      </c>
      <c r="C261" s="70" t="s">
        <v>4</v>
      </c>
      <c r="D261" s="144">
        <f>$Q$6</f>
        <v>8</v>
      </c>
    </row>
    <row r="262" spans="1:4">
      <c r="A262" s="63" t="str">
        <f>$R$2&amp;"."&amp;'Конфигурация TREI'!$A$2&amp;".DIAG_25"</f>
        <v>Диагностика.TREI.CPU.DIAG_25</v>
      </c>
      <c r="B262" s="64">
        <v>11152</v>
      </c>
      <c r="C262" s="64" t="s">
        <v>0</v>
      </c>
      <c r="D262" s="129" t="str">
        <f>$R$6</f>
        <v>Предупреждение</v>
      </c>
    </row>
    <row r="263" spans="1:4">
      <c r="A263" s="63" t="str">
        <f>$R$2&amp;"."&amp;'Конфигурация TREI'!$A$2&amp;".DIAG_25"</f>
        <v>Диагностика.TREI.CPU.DIAG_25</v>
      </c>
      <c r="B263" s="64">
        <v>11150</v>
      </c>
      <c r="C263" s="64" t="s">
        <v>0</v>
      </c>
      <c r="D263" s="65" t="s">
        <v>814</v>
      </c>
    </row>
    <row r="264" spans="1:4">
      <c r="A264" s="63" t="str">
        <f>$R$2&amp;"."&amp;'Конфигурация TREI'!$A$2&amp;".DIAG_25"</f>
        <v>Диагностика.TREI.CPU.DIAG_25</v>
      </c>
      <c r="B264" s="64">
        <v>11000</v>
      </c>
      <c r="C264" s="64" t="s">
        <v>5</v>
      </c>
      <c r="D264" s="65">
        <v>2147483680</v>
      </c>
    </row>
    <row r="265" spans="1:4">
      <c r="A265" s="19" t="str">
        <f>$R$2&amp;"."&amp;'Конфигурация TREI'!$A$2&amp;".DIAG_25"</f>
        <v>Диагностика.TREI.CPU.DIAG_25</v>
      </c>
      <c r="B265" s="11">
        <v>7999</v>
      </c>
      <c r="C265" s="11" t="s">
        <v>0</v>
      </c>
      <c r="D265" s="20" t="str">
        <f>"#"&amp;$S$2&amp;"#"&amp;$T$2&amp;IF($S$7="","","\")&amp;$S$7&amp;"\"&amp;'Конфигурация TREI'!$A$2&amp;"\DIAG_25"</f>
        <v>#2#treiOPCDA.CoOPCserv.1\pcmaster\CPU\DIAG_25</v>
      </c>
    </row>
    <row r="266" spans="1:4">
      <c r="A266" s="19" t="str">
        <f>$R$2&amp;"."&amp;'Конфигурация TREI'!$A$2&amp;".DIAG_25"</f>
        <v>Диагностика.TREI.CPU.DIAG_25</v>
      </c>
      <c r="B266" s="11">
        <v>7998</v>
      </c>
      <c r="C266" s="11" t="s">
        <v>6</v>
      </c>
      <c r="D266" s="20">
        <v>1</v>
      </c>
    </row>
    <row r="267" spans="1:4">
      <c r="A267" s="19" t="str">
        <f>$R$2&amp;"."&amp;'Конфигурация TREI'!$A$2&amp;".DIAG_25"</f>
        <v>Диагностика.TREI.CPU.DIAG_25</v>
      </c>
      <c r="B267" s="11">
        <v>101</v>
      </c>
      <c r="C267" s="11" t="s">
        <v>0</v>
      </c>
      <c r="D267" s="20" t="s">
        <v>814</v>
      </c>
    </row>
    <row r="268" spans="1:4">
      <c r="A268" s="19" t="str">
        <f>$R$2&amp;"."&amp;'Конфигурация TREI'!$A$2&amp;".DIAG_25"</f>
        <v>Диагностика.TREI.CPU.DIAG_25</v>
      </c>
      <c r="B268" s="11">
        <v>3</v>
      </c>
      <c r="C268" s="11" t="s">
        <v>1</v>
      </c>
      <c r="D268" s="20">
        <v>192</v>
      </c>
    </row>
    <row r="269" spans="1:4">
      <c r="A269" s="19" t="str">
        <f>$R$2&amp;"."&amp;'Конфигурация TREI'!$A$2&amp;".DIAG_25"</f>
        <v>Диагностика.TREI.CPU.DIAG_25</v>
      </c>
      <c r="B269" s="11">
        <v>2</v>
      </c>
      <c r="C269" s="11" t="s">
        <v>2</v>
      </c>
      <c r="D269" s="20" t="s">
        <v>3</v>
      </c>
    </row>
    <row r="270" spans="1:4">
      <c r="A270" s="21" t="str">
        <f>$R$2&amp;"."&amp;'Конфигурация TREI'!$A$2&amp;".DIAG_25"</f>
        <v>Диагностика.TREI.CPU.DIAG_25</v>
      </c>
      <c r="B270" s="8">
        <v>1</v>
      </c>
      <c r="C270" s="8" t="s">
        <v>1</v>
      </c>
      <c r="D270" s="22">
        <v>11</v>
      </c>
    </row>
    <row r="271" spans="1:4">
      <c r="A271" s="159" t="str">
        <f>$R$2&amp;"."&amp;'Конфигурация TREI'!$A$2&amp;".DIAG_26"</f>
        <v>Диагностика.TREI.CPU.DIAG_26</v>
      </c>
      <c r="B271" s="160">
        <v>11154</v>
      </c>
      <c r="C271" s="160" t="s">
        <v>4</v>
      </c>
      <c r="D271" s="161">
        <f>$Q$8</f>
        <v>18</v>
      </c>
    </row>
    <row r="272" spans="1:4">
      <c r="A272" s="100" t="str">
        <f>$R$2&amp;"."&amp;'Конфигурация TREI'!$A$2&amp;".DIAG_26"</f>
        <v>Диагностика.TREI.CPU.DIAG_26</v>
      </c>
      <c r="B272" s="101">
        <v>11152</v>
      </c>
      <c r="C272" s="101" t="s">
        <v>0</v>
      </c>
      <c r="D272" s="104" t="str">
        <f>$R$8</f>
        <v>Телесигнализация</v>
      </c>
    </row>
    <row r="273" spans="1:4">
      <c r="A273" s="100" t="str">
        <f>$R$2&amp;"."&amp;'Конфигурация TREI'!$A$2&amp;".DIAG_26"</f>
        <v>Диагностика.TREI.CPU.DIAG_26</v>
      </c>
      <c r="B273" s="101">
        <v>11150</v>
      </c>
      <c r="C273" s="101" t="s">
        <v>0</v>
      </c>
      <c r="D273" s="103" t="s">
        <v>1395</v>
      </c>
    </row>
    <row r="274" spans="1:4">
      <c r="A274" s="100" t="str">
        <f>$R$2&amp;"."&amp;'Конфигурация TREI'!$A$2&amp;".DIAG_26"</f>
        <v>Диагностика.TREI.CPU.DIAG_26</v>
      </c>
      <c r="B274" s="101">
        <v>11000</v>
      </c>
      <c r="C274" s="101" t="s">
        <v>5</v>
      </c>
      <c r="D274" s="103">
        <v>2147483680</v>
      </c>
    </row>
    <row r="275" spans="1:4">
      <c r="A275" s="19" t="str">
        <f>$R$2&amp;"."&amp;'Конфигурация TREI'!$A$2&amp;".DIAG_26"</f>
        <v>Диагностика.TREI.CPU.DIAG_26</v>
      </c>
      <c r="B275" s="11">
        <v>7999</v>
      </c>
      <c r="C275" s="11" t="s">
        <v>0</v>
      </c>
      <c r="D275" s="20" t="str">
        <f>"#"&amp;$S$2&amp;"#"&amp;$T$2&amp;IF($S$7="","","\")&amp;$S$7&amp;"\"&amp;'Конфигурация TREI'!$A$2&amp;"\DIAG_26"</f>
        <v>#2#treiOPCDA.CoOPCserv.1\pcmaster\CPU\DIAG_26</v>
      </c>
    </row>
    <row r="276" spans="1:4">
      <c r="A276" s="19" t="str">
        <f>$R$2&amp;"."&amp;'Конфигурация TREI'!$A$2&amp;".DIAG_26"</f>
        <v>Диагностика.TREI.CPU.DIAG_26</v>
      </c>
      <c r="B276" s="11">
        <v>7998</v>
      </c>
      <c r="C276" s="11" t="s">
        <v>6</v>
      </c>
      <c r="D276" s="20">
        <v>1</v>
      </c>
    </row>
    <row r="277" spans="1:4">
      <c r="A277" s="19" t="str">
        <f>$R$2&amp;"."&amp;'Конфигурация TREI'!$A$2&amp;".DIAG_26"</f>
        <v>Диагностика.TREI.CPU.DIAG_26</v>
      </c>
      <c r="B277" s="11">
        <v>101</v>
      </c>
      <c r="C277" s="11" t="s">
        <v>0</v>
      </c>
      <c r="D277" s="20" t="s">
        <v>1395</v>
      </c>
    </row>
    <row r="278" spans="1:4">
      <c r="A278" s="19" t="str">
        <f>$R$2&amp;"."&amp;'Конфигурация TREI'!$A$2&amp;".DIAG_26"</f>
        <v>Диагностика.TREI.CPU.DIAG_26</v>
      </c>
      <c r="B278" s="11">
        <v>3</v>
      </c>
      <c r="C278" s="11" t="s">
        <v>1</v>
      </c>
      <c r="D278" s="20">
        <v>192</v>
      </c>
    </row>
    <row r="279" spans="1:4">
      <c r="A279" s="19" t="str">
        <f>$R$2&amp;"."&amp;'Конфигурация TREI'!$A$2&amp;".DIAG_26"</f>
        <v>Диагностика.TREI.CPU.DIAG_26</v>
      </c>
      <c r="B279" s="11">
        <v>2</v>
      </c>
      <c r="C279" s="11" t="s">
        <v>2</v>
      </c>
      <c r="D279" s="20" t="s">
        <v>3</v>
      </c>
    </row>
    <row r="280" spans="1:4">
      <c r="A280" s="21" t="str">
        <f>$R$2&amp;"."&amp;'Конфигурация TREI'!$A$2&amp;".DIAG_26"</f>
        <v>Диагностика.TREI.CPU.DIAG_26</v>
      </c>
      <c r="B280" s="8">
        <v>1</v>
      </c>
      <c r="C280" s="8" t="s">
        <v>1</v>
      </c>
      <c r="D280" s="22">
        <v>11</v>
      </c>
    </row>
    <row r="281" spans="1:4">
      <c r="A281" s="159" t="str">
        <f>$R$2&amp;"."&amp;'Конфигурация TREI'!$A$2&amp;".DIAG_29"</f>
        <v>Диагностика.TREI.CPU.DIAG_29</v>
      </c>
      <c r="B281" s="160">
        <v>11154</v>
      </c>
      <c r="C281" s="160" t="s">
        <v>4</v>
      </c>
      <c r="D281" s="161">
        <f>$Q$8</f>
        <v>18</v>
      </c>
    </row>
    <row r="282" spans="1:4">
      <c r="A282" s="100" t="str">
        <f>$R$2&amp;"."&amp;'Конфигурация TREI'!$A$2&amp;".DIAG_29"</f>
        <v>Диагностика.TREI.CPU.DIAG_29</v>
      </c>
      <c r="B282" s="101">
        <v>11152</v>
      </c>
      <c r="C282" s="101" t="s">
        <v>0</v>
      </c>
      <c r="D282" s="104" t="str">
        <f>$R$8</f>
        <v>Телесигнализация</v>
      </c>
    </row>
    <row r="283" spans="1:4">
      <c r="A283" s="100" t="str">
        <f>$R$2&amp;"."&amp;'Конфигурация TREI'!$A$2&amp;".DIAG_29"</f>
        <v>Диагностика.TREI.CPU.DIAG_29</v>
      </c>
      <c r="B283" s="101">
        <v>11150</v>
      </c>
      <c r="C283" s="101" t="s">
        <v>0</v>
      </c>
      <c r="D283" s="103" t="s">
        <v>1396</v>
      </c>
    </row>
    <row r="284" spans="1:4">
      <c r="A284" s="100" t="str">
        <f>$R$2&amp;"."&amp;'Конфигурация TREI'!$A$2&amp;".DIAG_29"</f>
        <v>Диагностика.TREI.CPU.DIAG_29</v>
      </c>
      <c r="B284" s="101">
        <v>11000</v>
      </c>
      <c r="C284" s="101" t="s">
        <v>5</v>
      </c>
      <c r="D284" s="103">
        <v>2147483680</v>
      </c>
    </row>
    <row r="285" spans="1:4">
      <c r="A285" s="19" t="str">
        <f>$R$2&amp;"."&amp;'Конфигурация TREI'!$A$2&amp;".DIAG_29"</f>
        <v>Диагностика.TREI.CPU.DIAG_29</v>
      </c>
      <c r="B285" s="11">
        <v>7999</v>
      </c>
      <c r="C285" s="11" t="s">
        <v>0</v>
      </c>
      <c r="D285" s="20" t="str">
        <f>"#"&amp;$S$2&amp;"#"&amp;$T$2&amp;IF($S$7="","","\")&amp;$S$7&amp;"\"&amp;'Конфигурация TREI'!$A$2&amp;"\DIAG_29"</f>
        <v>#2#treiOPCDA.CoOPCserv.1\pcmaster\CPU\DIAG_29</v>
      </c>
    </row>
    <row r="286" spans="1:4">
      <c r="A286" s="19" t="str">
        <f>$R$2&amp;"."&amp;'Конфигурация TREI'!$A$2&amp;".DIAG_29"</f>
        <v>Диагностика.TREI.CPU.DIAG_29</v>
      </c>
      <c r="B286" s="11">
        <v>7998</v>
      </c>
      <c r="C286" s="11" t="s">
        <v>6</v>
      </c>
      <c r="D286" s="20">
        <v>1</v>
      </c>
    </row>
    <row r="287" spans="1:4">
      <c r="A287" s="19" t="str">
        <f>$R$2&amp;"."&amp;'Конфигурация TREI'!$A$2&amp;".DIAG_29"</f>
        <v>Диагностика.TREI.CPU.DIAG_29</v>
      </c>
      <c r="B287" s="11">
        <v>101</v>
      </c>
      <c r="C287" s="11" t="s">
        <v>0</v>
      </c>
      <c r="D287" s="20" t="s">
        <v>1396</v>
      </c>
    </row>
    <row r="288" spans="1:4">
      <c r="A288" s="19" t="str">
        <f>$R$2&amp;"."&amp;'Конфигурация TREI'!$A$2&amp;".DIAG_29"</f>
        <v>Диагностика.TREI.CPU.DIAG_29</v>
      </c>
      <c r="B288" s="11">
        <v>3</v>
      </c>
      <c r="C288" s="11" t="s">
        <v>1</v>
      </c>
      <c r="D288" s="20">
        <v>192</v>
      </c>
    </row>
    <row r="289" spans="1:68">
      <c r="A289" s="19" t="str">
        <f>$R$2&amp;"."&amp;'Конфигурация TREI'!$A$2&amp;".DIAG_29"</f>
        <v>Диагностика.TREI.CPU.DIAG_29</v>
      </c>
      <c r="B289" s="11">
        <v>2</v>
      </c>
      <c r="C289" s="11" t="s">
        <v>2</v>
      </c>
      <c r="D289" s="20" t="s">
        <v>3</v>
      </c>
    </row>
    <row r="290" spans="1:68">
      <c r="A290" s="21" t="str">
        <f>$R$2&amp;"."&amp;'Конфигурация TREI'!$A$2&amp;".DIAG_29"</f>
        <v>Диагностика.TREI.CPU.DIAG_29</v>
      </c>
      <c r="B290" s="8">
        <v>1</v>
      </c>
      <c r="C290" s="8" t="s">
        <v>1</v>
      </c>
      <c r="D290" s="22">
        <v>11</v>
      </c>
    </row>
    <row r="291" spans="1:68">
      <c r="A291" s="512" t="s">
        <v>1403</v>
      </c>
      <c r="B291" s="512"/>
      <c r="C291" s="512"/>
      <c r="D291" s="512"/>
    </row>
    <row r="292" spans="1:68" ht="15" customHeight="1">
      <c r="A292" s="16" t="str">
        <f>$R$2&amp;"."&amp;'Конфигурация TREI'!$A$2</f>
        <v>Диагностика.TREI.CPU</v>
      </c>
      <c r="B292" s="17">
        <v>11001</v>
      </c>
      <c r="C292" s="17" t="s">
        <v>0</v>
      </c>
      <c r="D292" s="18" t="str">
        <f>$Q$2&amp;". Диагностика CPU"</f>
        <v>Контроллер TREI. Диагностика CPU</v>
      </c>
      <c r="BM292" s="4"/>
      <c r="BN292" s="4"/>
      <c r="BO292" s="4"/>
      <c r="BP292" s="4"/>
    </row>
    <row r="293" spans="1:68" ht="15" customHeight="1">
      <c r="A293" s="19" t="str">
        <f>$R$2&amp;"."&amp;'Конфигурация TREI'!$A$2</f>
        <v>Диагностика.TREI.CPU</v>
      </c>
      <c r="B293" s="11">
        <v>11156</v>
      </c>
      <c r="C293" s="11" t="s">
        <v>0</v>
      </c>
      <c r="D293" s="20" t="str">
        <f>$V$2</f>
        <v>Тестовый экран</v>
      </c>
      <c r="BM293" s="4"/>
      <c r="BN293" s="4"/>
      <c r="BO293" s="4"/>
      <c r="BP293" s="4"/>
    </row>
    <row r="294" spans="1:68" ht="15" customHeight="1">
      <c r="A294" s="21" t="str">
        <f>$R$2&amp;"."&amp;'Конфигурация TREI'!$A$2</f>
        <v>Диагностика.TREI.CPU</v>
      </c>
      <c r="B294" s="8">
        <v>1</v>
      </c>
      <c r="C294" s="8" t="s">
        <v>1</v>
      </c>
      <c r="D294" s="22">
        <v>17</v>
      </c>
      <c r="BM294" s="4"/>
      <c r="BN294" s="4"/>
      <c r="BO294" s="4"/>
      <c r="BP294" s="4"/>
    </row>
    <row r="295" spans="1:68" ht="15" customHeight="1">
      <c r="A295" s="16" t="str">
        <f>$R$2&amp;"."&amp;'Конфигурация TREI'!$A$2</f>
        <v>Диагностика.TREI.CPU</v>
      </c>
      <c r="B295" s="17">
        <v>13</v>
      </c>
      <c r="C295" s="17" t="s">
        <v>2</v>
      </c>
      <c r="D295" s="18" t="s">
        <v>3</v>
      </c>
      <c r="BM295" s="4"/>
      <c r="BN295" s="4"/>
      <c r="BO295" s="4"/>
      <c r="BP295" s="4"/>
    </row>
    <row r="296" spans="1:68" ht="15" customHeight="1">
      <c r="A296" s="19" t="str">
        <f>$R$2&amp;"."&amp;'Конфигурация TREI'!$A$2</f>
        <v>Диагностика.TREI.CPU</v>
      </c>
      <c r="B296" s="11">
        <v>3000013</v>
      </c>
      <c r="C296" s="11" t="s">
        <v>0</v>
      </c>
      <c r="D296" s="20" t="str">
        <f>$AE$2</f>
        <v>Диагностика.CPU.NOT_LINK.noLink</v>
      </c>
      <c r="BM296" s="4"/>
      <c r="BN296" s="4"/>
      <c r="BO296" s="4"/>
      <c r="BP296" s="4"/>
    </row>
    <row r="297" spans="1:68">
      <c r="A297" s="69" t="str">
        <f>$R$2&amp;"."&amp;'Конфигурация TREI'!$A$2&amp;".DIAG_1"</f>
        <v>Диагностика.TREI.CPU.DIAG_1</v>
      </c>
      <c r="B297" s="70">
        <v>11154</v>
      </c>
      <c r="C297" s="70" t="s">
        <v>4</v>
      </c>
      <c r="D297" s="144">
        <f>$Q$6</f>
        <v>8</v>
      </c>
    </row>
    <row r="298" spans="1:68">
      <c r="A298" s="63" t="str">
        <f>$R$2&amp;"."&amp;'Конфигурация TREI'!$A$2&amp;".DIAG_1"</f>
        <v>Диагностика.TREI.CPU.DIAG_1</v>
      </c>
      <c r="B298" s="64">
        <v>11152</v>
      </c>
      <c r="C298" s="64" t="s">
        <v>0</v>
      </c>
      <c r="D298" s="129" t="str">
        <f>$R$6</f>
        <v>Предупреждение</v>
      </c>
    </row>
    <row r="299" spans="1:68">
      <c r="A299" s="63" t="str">
        <f>$R$2&amp;"."&amp;'Конфигурация TREI'!$A$2&amp;".DIAG_1"</f>
        <v>Диагностика.TREI.CPU.DIAG_1</v>
      </c>
      <c r="B299" s="64">
        <v>11150</v>
      </c>
      <c r="C299" s="64" t="s">
        <v>0</v>
      </c>
      <c r="D299" s="65" t="s">
        <v>797</v>
      </c>
    </row>
    <row r="300" spans="1:68">
      <c r="A300" s="63" t="str">
        <f>$R$2&amp;"."&amp;'Конфигурация TREI'!$A$2&amp;".DIAG_1"</f>
        <v>Диагностика.TREI.CPU.DIAG_1</v>
      </c>
      <c r="B300" s="64">
        <v>11000</v>
      </c>
      <c r="C300" s="64" t="s">
        <v>5</v>
      </c>
      <c r="D300" s="65">
        <v>2147483680</v>
      </c>
    </row>
    <row r="301" spans="1:68">
      <c r="A301" s="19" t="str">
        <f>$R$2&amp;"."&amp;'Конфигурация TREI'!$A$2&amp;".DIAG_1"</f>
        <v>Диагностика.TREI.CPU.DIAG_1</v>
      </c>
      <c r="B301" s="11">
        <v>7999</v>
      </c>
      <c r="C301" s="11" t="s">
        <v>0</v>
      </c>
      <c r="D301" s="20" t="str">
        <f>"#"&amp;$S$2&amp;"#"&amp;$T$2&amp;IF($S$7="","","\")&amp;$S$7&amp;"\"&amp;'Конфигурация TREI'!$A$2&amp;"\DIAG_1"</f>
        <v>#2#treiOPCDA.CoOPCserv.1\pcmaster\CPU\DIAG_1</v>
      </c>
    </row>
    <row r="302" spans="1:68">
      <c r="A302" s="19" t="str">
        <f>$R$2&amp;"."&amp;'Конфигурация TREI'!$A$2&amp;".DIAG_1"</f>
        <v>Диагностика.TREI.CPU.DIAG_1</v>
      </c>
      <c r="B302" s="11">
        <v>7998</v>
      </c>
      <c r="C302" s="11" t="s">
        <v>6</v>
      </c>
      <c r="D302" s="20">
        <v>1</v>
      </c>
    </row>
    <row r="303" spans="1:68">
      <c r="A303" s="19" t="str">
        <f>$R$2&amp;"."&amp;'Конфигурация TREI'!$A$2&amp;".DIAG_1"</f>
        <v>Диагностика.TREI.CPU.DIAG_1</v>
      </c>
      <c r="B303" s="11">
        <v>101</v>
      </c>
      <c r="C303" s="11" t="s">
        <v>0</v>
      </c>
      <c r="D303" s="20" t="s">
        <v>797</v>
      </c>
    </row>
    <row r="304" spans="1:68">
      <c r="A304" s="19" t="str">
        <f>$R$2&amp;"."&amp;'Конфигурация TREI'!$A$2&amp;".DIAG_1"</f>
        <v>Диагностика.TREI.CPU.DIAG_1</v>
      </c>
      <c r="B304" s="11">
        <v>3</v>
      </c>
      <c r="C304" s="11" t="s">
        <v>1</v>
      </c>
      <c r="D304" s="20">
        <v>192</v>
      </c>
    </row>
    <row r="305" spans="1:4">
      <c r="A305" s="19" t="str">
        <f>$R$2&amp;"."&amp;'Конфигурация TREI'!$A$2&amp;".DIAG_1"</f>
        <v>Диагностика.TREI.CPU.DIAG_1</v>
      </c>
      <c r="B305" s="11">
        <v>2</v>
      </c>
      <c r="C305" s="11" t="s">
        <v>2</v>
      </c>
      <c r="D305" s="20" t="s">
        <v>3</v>
      </c>
    </row>
    <row r="306" spans="1:4">
      <c r="A306" s="21" t="str">
        <f>$R$2&amp;"."&amp;'Конфигурация TREI'!$A$2&amp;".DIAG_1"</f>
        <v>Диагностика.TREI.CPU.DIAG_1</v>
      </c>
      <c r="B306" s="8">
        <v>1</v>
      </c>
      <c r="C306" s="8" t="s">
        <v>1</v>
      </c>
      <c r="D306" s="22">
        <v>11</v>
      </c>
    </row>
    <row r="307" spans="1:4">
      <c r="A307" s="69" t="str">
        <f>$R$2&amp;"."&amp;'Конфигурация TREI'!$A$2&amp;".DIAG_2"</f>
        <v>Диагностика.TREI.CPU.DIAG_2</v>
      </c>
      <c r="B307" s="70">
        <v>11154</v>
      </c>
      <c r="C307" s="70" t="s">
        <v>4</v>
      </c>
      <c r="D307" s="144">
        <f>$Q$6</f>
        <v>8</v>
      </c>
    </row>
    <row r="308" spans="1:4">
      <c r="A308" s="63" t="str">
        <f>$R$2&amp;"."&amp;'Конфигурация TREI'!$A$2&amp;".DIAG_2"</f>
        <v>Диагностика.TREI.CPU.DIAG_2</v>
      </c>
      <c r="B308" s="64">
        <v>11152</v>
      </c>
      <c r="C308" s="64" t="s">
        <v>0</v>
      </c>
      <c r="D308" s="129" t="str">
        <f>$R$6</f>
        <v>Предупреждение</v>
      </c>
    </row>
    <row r="309" spans="1:4">
      <c r="A309" s="63" t="str">
        <f>$R$2&amp;"."&amp;'Конфигурация TREI'!$A$2&amp;".DIAG_2"</f>
        <v>Диагностика.TREI.CPU.DIAG_2</v>
      </c>
      <c r="B309" s="64">
        <v>11150</v>
      </c>
      <c r="C309" s="64" t="s">
        <v>0</v>
      </c>
      <c r="D309" s="65" t="s">
        <v>798</v>
      </c>
    </row>
    <row r="310" spans="1:4">
      <c r="A310" s="63" t="str">
        <f>$R$2&amp;"."&amp;'Конфигурация TREI'!$A$2&amp;".DIAG_2"</f>
        <v>Диагностика.TREI.CPU.DIAG_2</v>
      </c>
      <c r="B310" s="64">
        <v>11000</v>
      </c>
      <c r="C310" s="64" t="s">
        <v>5</v>
      </c>
      <c r="D310" s="65">
        <v>2147483680</v>
      </c>
    </row>
    <row r="311" spans="1:4">
      <c r="A311" s="19" t="str">
        <f>$R$2&amp;"."&amp;'Конфигурация TREI'!$A$2&amp;".DIAG_2"</f>
        <v>Диагностика.TREI.CPU.DIAG_2</v>
      </c>
      <c r="B311" s="11">
        <v>7999</v>
      </c>
      <c r="C311" s="11" t="s">
        <v>0</v>
      </c>
      <c r="D311" s="20" t="str">
        <f>"#"&amp;$S$2&amp;"#"&amp;$T$2&amp;IF($S$7="","","\")&amp;$S$7&amp;"\"&amp;'Конфигурация TREI'!$A$2&amp;"\DIAG_2"</f>
        <v>#2#treiOPCDA.CoOPCserv.1\pcmaster\CPU\DIAG_2</v>
      </c>
    </row>
    <row r="312" spans="1:4">
      <c r="A312" s="19" t="str">
        <f>$R$2&amp;"."&amp;'Конфигурация TREI'!$A$2&amp;".DIAG_2"</f>
        <v>Диагностика.TREI.CPU.DIAG_2</v>
      </c>
      <c r="B312" s="11">
        <v>7998</v>
      </c>
      <c r="C312" s="11" t="s">
        <v>6</v>
      </c>
      <c r="D312" s="20">
        <v>1</v>
      </c>
    </row>
    <row r="313" spans="1:4">
      <c r="A313" s="19" t="str">
        <f>$R$2&amp;"."&amp;'Конфигурация TREI'!$A$2&amp;".DIAG_2"</f>
        <v>Диагностика.TREI.CPU.DIAG_2</v>
      </c>
      <c r="B313" s="11">
        <v>101</v>
      </c>
      <c r="C313" s="11" t="s">
        <v>0</v>
      </c>
      <c r="D313" s="20" t="s">
        <v>798</v>
      </c>
    </row>
    <row r="314" spans="1:4">
      <c r="A314" s="19" t="str">
        <f>$R$2&amp;"."&amp;'Конфигурация TREI'!$A$2&amp;".DIAG_2"</f>
        <v>Диагностика.TREI.CPU.DIAG_2</v>
      </c>
      <c r="B314" s="11">
        <v>3</v>
      </c>
      <c r="C314" s="11" t="s">
        <v>1</v>
      </c>
      <c r="D314" s="20">
        <v>192</v>
      </c>
    </row>
    <row r="315" spans="1:4">
      <c r="A315" s="19" t="str">
        <f>$R$2&amp;"."&amp;'Конфигурация TREI'!$A$2&amp;".DIAG_2"</f>
        <v>Диагностика.TREI.CPU.DIAG_2</v>
      </c>
      <c r="B315" s="11">
        <v>2</v>
      </c>
      <c r="C315" s="11" t="s">
        <v>2</v>
      </c>
      <c r="D315" s="20" t="s">
        <v>3</v>
      </c>
    </row>
    <row r="316" spans="1:4">
      <c r="A316" s="21" t="str">
        <f>$R$2&amp;"."&amp;'Конфигурация TREI'!$A$2&amp;".DIAG_2"</f>
        <v>Диагностика.TREI.CPU.DIAG_2</v>
      </c>
      <c r="B316" s="8">
        <v>1</v>
      </c>
      <c r="C316" s="8" t="s">
        <v>1</v>
      </c>
      <c r="D316" s="22">
        <v>11</v>
      </c>
    </row>
    <row r="317" spans="1:4">
      <c r="A317" s="69" t="str">
        <f>$R$2&amp;"."&amp;'Конфигурация TREI'!$A$2&amp;".DIAG_3"</f>
        <v>Диагностика.TREI.CPU.DIAG_3</v>
      </c>
      <c r="B317" s="70">
        <v>11154</v>
      </c>
      <c r="C317" s="70" t="s">
        <v>4</v>
      </c>
      <c r="D317" s="144">
        <f>$Q$6</f>
        <v>8</v>
      </c>
    </row>
    <row r="318" spans="1:4">
      <c r="A318" s="63" t="str">
        <f>$R$2&amp;"."&amp;'Конфигурация TREI'!$A$2&amp;".DIAG_3"</f>
        <v>Диагностика.TREI.CPU.DIAG_3</v>
      </c>
      <c r="B318" s="64">
        <v>11152</v>
      </c>
      <c r="C318" s="64" t="s">
        <v>0</v>
      </c>
      <c r="D318" s="129" t="str">
        <f>$R$6</f>
        <v>Предупреждение</v>
      </c>
    </row>
    <row r="319" spans="1:4">
      <c r="A319" s="63" t="str">
        <f>$R$2&amp;"."&amp;'Конфигурация TREI'!$A$2&amp;".DIAG_3"</f>
        <v>Диагностика.TREI.CPU.DIAG_3</v>
      </c>
      <c r="B319" s="64">
        <v>11150</v>
      </c>
      <c r="C319" s="64" t="s">
        <v>0</v>
      </c>
      <c r="D319" s="65" t="s">
        <v>799</v>
      </c>
    </row>
    <row r="320" spans="1:4">
      <c r="A320" s="63" t="str">
        <f>$R$2&amp;"."&amp;'Конфигурация TREI'!$A$2&amp;".DIAG_3"</f>
        <v>Диагностика.TREI.CPU.DIAG_3</v>
      </c>
      <c r="B320" s="64">
        <v>11000</v>
      </c>
      <c r="C320" s="64" t="s">
        <v>5</v>
      </c>
      <c r="D320" s="65">
        <v>2147483680</v>
      </c>
    </row>
    <row r="321" spans="1:4">
      <c r="A321" s="19" t="str">
        <f>$R$2&amp;"."&amp;'Конфигурация TREI'!$A$2&amp;".DIAG_3"</f>
        <v>Диагностика.TREI.CPU.DIAG_3</v>
      </c>
      <c r="B321" s="11">
        <v>7999</v>
      </c>
      <c r="C321" s="11" t="s">
        <v>0</v>
      </c>
      <c r="D321" s="20" t="str">
        <f>"#"&amp;$S$2&amp;"#"&amp;$T$2&amp;IF($S$7="","","\")&amp;$S$7&amp;"\"&amp;'Конфигурация TREI'!$A$2&amp;"\DIAG_3"</f>
        <v>#2#treiOPCDA.CoOPCserv.1\pcmaster\CPU\DIAG_3</v>
      </c>
    </row>
    <row r="322" spans="1:4">
      <c r="A322" s="19" t="str">
        <f>$R$2&amp;"."&amp;'Конфигурация TREI'!$A$2&amp;".DIAG_3"</f>
        <v>Диагностика.TREI.CPU.DIAG_3</v>
      </c>
      <c r="B322" s="11">
        <v>7998</v>
      </c>
      <c r="C322" s="11" t="s">
        <v>6</v>
      </c>
      <c r="D322" s="20">
        <v>1</v>
      </c>
    </row>
    <row r="323" spans="1:4">
      <c r="A323" s="19" t="str">
        <f>$R$2&amp;"."&amp;'Конфигурация TREI'!$A$2&amp;".DIAG_3"</f>
        <v>Диагностика.TREI.CPU.DIAG_3</v>
      </c>
      <c r="B323" s="11">
        <v>101</v>
      </c>
      <c r="C323" s="11" t="s">
        <v>0</v>
      </c>
      <c r="D323" s="20" t="s">
        <v>799</v>
      </c>
    </row>
    <row r="324" spans="1:4">
      <c r="A324" s="19" t="str">
        <f>$R$2&amp;"."&amp;'Конфигурация TREI'!$A$2&amp;".DIAG_3"</f>
        <v>Диагностика.TREI.CPU.DIAG_3</v>
      </c>
      <c r="B324" s="11">
        <v>3</v>
      </c>
      <c r="C324" s="11" t="s">
        <v>1</v>
      </c>
      <c r="D324" s="20">
        <v>192</v>
      </c>
    </row>
    <row r="325" spans="1:4">
      <c r="A325" s="19" t="str">
        <f>$R$2&amp;"."&amp;'Конфигурация TREI'!$A$2&amp;".DIAG_3"</f>
        <v>Диагностика.TREI.CPU.DIAG_3</v>
      </c>
      <c r="B325" s="11">
        <v>2</v>
      </c>
      <c r="C325" s="11" t="s">
        <v>2</v>
      </c>
      <c r="D325" s="20" t="s">
        <v>3</v>
      </c>
    </row>
    <row r="326" spans="1:4">
      <c r="A326" s="21" t="str">
        <f>$R$2&amp;"."&amp;'Конфигурация TREI'!$A$2&amp;".DIAG_3"</f>
        <v>Диагностика.TREI.CPU.DIAG_3</v>
      </c>
      <c r="B326" s="8">
        <v>1</v>
      </c>
      <c r="C326" s="8" t="s">
        <v>1</v>
      </c>
      <c r="D326" s="22">
        <v>11</v>
      </c>
    </row>
    <row r="327" spans="1:4">
      <c r="A327" s="69" t="str">
        <f>$R$2&amp;"."&amp;'Конфигурация TREI'!$A$2&amp;".DIAG_6"</f>
        <v>Диагностика.TREI.CPU.DIAG_6</v>
      </c>
      <c r="B327" s="70">
        <v>11154</v>
      </c>
      <c r="C327" s="70" t="s">
        <v>4</v>
      </c>
      <c r="D327" s="144">
        <f>$Q$6</f>
        <v>8</v>
      </c>
    </row>
    <row r="328" spans="1:4">
      <c r="A328" s="63" t="str">
        <f>$R$2&amp;"."&amp;'Конфигурация TREI'!$A$2&amp;".DIAG_6"</f>
        <v>Диагностика.TREI.CPU.DIAG_6</v>
      </c>
      <c r="B328" s="64">
        <v>11152</v>
      </c>
      <c r="C328" s="64" t="s">
        <v>0</v>
      </c>
      <c r="D328" s="129" t="str">
        <f>$R$6</f>
        <v>Предупреждение</v>
      </c>
    </row>
    <row r="329" spans="1:4">
      <c r="A329" s="63" t="str">
        <f>$R$2&amp;"."&amp;'Конфигурация TREI'!$A$2&amp;".DIAG_6"</f>
        <v>Диагностика.TREI.CPU.DIAG_6</v>
      </c>
      <c r="B329" s="64">
        <v>11150</v>
      </c>
      <c r="C329" s="64" t="s">
        <v>0</v>
      </c>
      <c r="D329" s="65" t="s">
        <v>800</v>
      </c>
    </row>
    <row r="330" spans="1:4">
      <c r="A330" s="63" t="str">
        <f>$R$2&amp;"."&amp;'Конфигурация TREI'!$A$2&amp;".DIAG_6"</f>
        <v>Диагностика.TREI.CPU.DIAG_6</v>
      </c>
      <c r="B330" s="64">
        <v>11000</v>
      </c>
      <c r="C330" s="64" t="s">
        <v>5</v>
      </c>
      <c r="D330" s="65">
        <v>2147483680</v>
      </c>
    </row>
    <row r="331" spans="1:4">
      <c r="A331" s="19" t="str">
        <f>$R$2&amp;"."&amp;'Конфигурация TREI'!$A$2&amp;".DIAG_6"</f>
        <v>Диагностика.TREI.CPU.DIAG_6</v>
      </c>
      <c r="B331" s="11">
        <v>7999</v>
      </c>
      <c r="C331" s="11" t="s">
        <v>0</v>
      </c>
      <c r="D331" s="20" t="str">
        <f>"#"&amp;$S$2&amp;"#"&amp;$T$2&amp;IF($S$7="","","\")&amp;$S$7&amp;"\"&amp;'Конфигурация TREI'!$A$2&amp;"\DIAG_6"</f>
        <v>#2#treiOPCDA.CoOPCserv.1\pcmaster\CPU\DIAG_6</v>
      </c>
    </row>
    <row r="332" spans="1:4">
      <c r="A332" s="19" t="str">
        <f>$R$2&amp;"."&amp;'Конфигурация TREI'!$A$2&amp;".DIAG_6"</f>
        <v>Диагностика.TREI.CPU.DIAG_6</v>
      </c>
      <c r="B332" s="11">
        <v>7998</v>
      </c>
      <c r="C332" s="11" t="s">
        <v>6</v>
      </c>
      <c r="D332" s="20">
        <v>1</v>
      </c>
    </row>
    <row r="333" spans="1:4">
      <c r="A333" s="19" t="str">
        <f>$R$2&amp;"."&amp;'Конфигурация TREI'!$A$2&amp;".DIAG_6"</f>
        <v>Диагностика.TREI.CPU.DIAG_6</v>
      </c>
      <c r="B333" s="11">
        <v>101</v>
      </c>
      <c r="C333" s="11" t="s">
        <v>0</v>
      </c>
      <c r="D333" s="20" t="s">
        <v>800</v>
      </c>
    </row>
    <row r="334" spans="1:4">
      <c r="A334" s="19" t="str">
        <f>$R$2&amp;"."&amp;'Конфигурация TREI'!$A$2&amp;".DIAG_6"</f>
        <v>Диагностика.TREI.CPU.DIAG_6</v>
      </c>
      <c r="B334" s="11">
        <v>3</v>
      </c>
      <c r="C334" s="11" t="s">
        <v>1</v>
      </c>
      <c r="D334" s="20">
        <v>192</v>
      </c>
    </row>
    <row r="335" spans="1:4">
      <c r="A335" s="19" t="str">
        <f>$R$2&amp;"."&amp;'Конфигурация TREI'!$A$2&amp;".DIAG_6"</f>
        <v>Диагностика.TREI.CPU.DIAG_6</v>
      </c>
      <c r="B335" s="11">
        <v>2</v>
      </c>
      <c r="C335" s="11" t="s">
        <v>2</v>
      </c>
      <c r="D335" s="20" t="s">
        <v>3</v>
      </c>
    </row>
    <row r="336" spans="1:4">
      <c r="A336" s="21" t="str">
        <f>$R$2&amp;"."&amp;'Конфигурация TREI'!$A$2&amp;".DIAG_6"</f>
        <v>Диагностика.TREI.CPU.DIAG_6</v>
      </c>
      <c r="B336" s="8">
        <v>1</v>
      </c>
      <c r="C336" s="8" t="s">
        <v>1</v>
      </c>
      <c r="D336" s="22">
        <v>11</v>
      </c>
    </row>
    <row r="337" spans="1:4">
      <c r="A337" s="69" t="str">
        <f>$R$2&amp;"."&amp;'Конфигурация TREI'!$A$2&amp;".DIAG_7"</f>
        <v>Диагностика.TREI.CPU.DIAG_7</v>
      </c>
      <c r="B337" s="70">
        <v>11154</v>
      </c>
      <c r="C337" s="70" t="s">
        <v>4</v>
      </c>
      <c r="D337" s="144">
        <f>$Q$6</f>
        <v>8</v>
      </c>
    </row>
    <row r="338" spans="1:4">
      <c r="A338" s="63" t="str">
        <f>$R$2&amp;"."&amp;'Конфигурация TREI'!$A$2&amp;".DIAG_7"</f>
        <v>Диагностика.TREI.CPU.DIAG_7</v>
      </c>
      <c r="B338" s="64">
        <v>11152</v>
      </c>
      <c r="C338" s="64" t="s">
        <v>0</v>
      </c>
      <c r="D338" s="129" t="str">
        <f>$R$6</f>
        <v>Предупреждение</v>
      </c>
    </row>
    <row r="339" spans="1:4">
      <c r="A339" s="63" t="str">
        <f>$R$2&amp;"."&amp;'Конфигурация TREI'!$A$2&amp;".DIAG_7"</f>
        <v>Диагностика.TREI.CPU.DIAG_7</v>
      </c>
      <c r="B339" s="64">
        <v>11150</v>
      </c>
      <c r="C339" s="64" t="s">
        <v>0</v>
      </c>
      <c r="D339" s="65" t="s">
        <v>801</v>
      </c>
    </row>
    <row r="340" spans="1:4">
      <c r="A340" s="63" t="str">
        <f>$R$2&amp;"."&amp;'Конфигурация TREI'!$A$2&amp;".DIAG_7"</f>
        <v>Диагностика.TREI.CPU.DIAG_7</v>
      </c>
      <c r="B340" s="64">
        <v>11000</v>
      </c>
      <c r="C340" s="64" t="s">
        <v>5</v>
      </c>
      <c r="D340" s="65">
        <v>2147483680</v>
      </c>
    </row>
    <row r="341" spans="1:4">
      <c r="A341" s="19" t="str">
        <f>$R$2&amp;"."&amp;'Конфигурация TREI'!$A$2&amp;".DIAG_7"</f>
        <v>Диагностика.TREI.CPU.DIAG_7</v>
      </c>
      <c r="B341" s="11">
        <v>7999</v>
      </c>
      <c r="C341" s="11" t="s">
        <v>0</v>
      </c>
      <c r="D341" s="20" t="str">
        <f>"#"&amp;$S$2&amp;"#"&amp;$T$2&amp;IF($S$7="","","\")&amp;$S$7&amp;"\"&amp;'Конфигурация TREI'!$A$2&amp;"\DIAG_7"</f>
        <v>#2#treiOPCDA.CoOPCserv.1\pcmaster\CPU\DIAG_7</v>
      </c>
    </row>
    <row r="342" spans="1:4">
      <c r="A342" s="19" t="str">
        <f>$R$2&amp;"."&amp;'Конфигурация TREI'!$A$2&amp;".DIAG_7"</f>
        <v>Диагностика.TREI.CPU.DIAG_7</v>
      </c>
      <c r="B342" s="11">
        <v>7998</v>
      </c>
      <c r="C342" s="11" t="s">
        <v>6</v>
      </c>
      <c r="D342" s="20">
        <v>1</v>
      </c>
    </row>
    <row r="343" spans="1:4">
      <c r="A343" s="19" t="str">
        <f>$R$2&amp;"."&amp;'Конфигурация TREI'!$A$2&amp;".DIAG_7"</f>
        <v>Диагностика.TREI.CPU.DIAG_7</v>
      </c>
      <c r="B343" s="11">
        <v>101</v>
      </c>
      <c r="C343" s="11" t="s">
        <v>0</v>
      </c>
      <c r="D343" s="20" t="s">
        <v>801</v>
      </c>
    </row>
    <row r="344" spans="1:4">
      <c r="A344" s="19" t="str">
        <f>$R$2&amp;"."&amp;'Конфигурация TREI'!$A$2&amp;".DIAG_7"</f>
        <v>Диагностика.TREI.CPU.DIAG_7</v>
      </c>
      <c r="B344" s="11">
        <v>3</v>
      </c>
      <c r="C344" s="11" t="s">
        <v>1</v>
      </c>
      <c r="D344" s="20">
        <v>192</v>
      </c>
    </row>
    <row r="345" spans="1:4">
      <c r="A345" s="19" t="str">
        <f>$R$2&amp;"."&amp;'Конфигурация TREI'!$A$2&amp;".DIAG_7"</f>
        <v>Диагностика.TREI.CPU.DIAG_7</v>
      </c>
      <c r="B345" s="11">
        <v>2</v>
      </c>
      <c r="C345" s="11" t="s">
        <v>2</v>
      </c>
      <c r="D345" s="20" t="s">
        <v>3</v>
      </c>
    </row>
    <row r="346" spans="1:4">
      <c r="A346" s="21" t="str">
        <f>$R$2&amp;"."&amp;'Конфигурация TREI'!$A$2&amp;".DIAG_7"</f>
        <v>Диагностика.TREI.CPU.DIAG_7</v>
      </c>
      <c r="B346" s="8">
        <v>1</v>
      </c>
      <c r="C346" s="8" t="s">
        <v>1</v>
      </c>
      <c r="D346" s="22">
        <v>11</v>
      </c>
    </row>
    <row r="347" spans="1:4">
      <c r="A347" s="69" t="str">
        <f>$R$2&amp;"."&amp;'Конфигурация TREI'!$A$2&amp;".DIAG_8"</f>
        <v>Диагностика.TREI.CPU.DIAG_8</v>
      </c>
      <c r="B347" s="70">
        <v>11154</v>
      </c>
      <c r="C347" s="70" t="s">
        <v>4</v>
      </c>
      <c r="D347" s="144">
        <f>$Q$6</f>
        <v>8</v>
      </c>
    </row>
    <row r="348" spans="1:4">
      <c r="A348" s="63" t="str">
        <f>$R$2&amp;"."&amp;'Конфигурация TREI'!$A$2&amp;".DIAG_8"</f>
        <v>Диагностика.TREI.CPU.DIAG_8</v>
      </c>
      <c r="B348" s="64">
        <v>11152</v>
      </c>
      <c r="C348" s="64" t="s">
        <v>0</v>
      </c>
      <c r="D348" s="129" t="str">
        <f>$R$6</f>
        <v>Предупреждение</v>
      </c>
    </row>
    <row r="349" spans="1:4">
      <c r="A349" s="63" t="str">
        <f>$R$2&amp;"."&amp;'Конфигурация TREI'!$A$2&amp;".DIAG_8"</f>
        <v>Диагностика.TREI.CPU.DIAG_8</v>
      </c>
      <c r="B349" s="64">
        <v>11150</v>
      </c>
      <c r="C349" s="64" t="s">
        <v>0</v>
      </c>
      <c r="D349" s="65" t="s">
        <v>802</v>
      </c>
    </row>
    <row r="350" spans="1:4">
      <c r="A350" s="63" t="str">
        <f>$R$2&amp;"."&amp;'Конфигурация TREI'!$A$2&amp;".DIAG_8"</f>
        <v>Диагностика.TREI.CPU.DIAG_8</v>
      </c>
      <c r="B350" s="64">
        <v>11000</v>
      </c>
      <c r="C350" s="64" t="s">
        <v>5</v>
      </c>
      <c r="D350" s="65">
        <v>2147483680</v>
      </c>
    </row>
    <row r="351" spans="1:4">
      <c r="A351" s="19" t="str">
        <f>$R$2&amp;"."&amp;'Конфигурация TREI'!$A$2&amp;".DIAG_8"</f>
        <v>Диагностика.TREI.CPU.DIAG_8</v>
      </c>
      <c r="B351" s="11">
        <v>7999</v>
      </c>
      <c r="C351" s="11" t="s">
        <v>0</v>
      </c>
      <c r="D351" s="20" t="str">
        <f>"#"&amp;$S$2&amp;"#"&amp;$T$2&amp;IF($S$7="","","\")&amp;$S$7&amp;"\"&amp;'Конфигурация TREI'!$A$2&amp;"\DIAG_8"</f>
        <v>#2#treiOPCDA.CoOPCserv.1\pcmaster\CPU\DIAG_8</v>
      </c>
    </row>
    <row r="352" spans="1:4">
      <c r="A352" s="19" t="str">
        <f>$R$2&amp;"."&amp;'Конфигурация TREI'!$A$2&amp;".DIAG_8"</f>
        <v>Диагностика.TREI.CPU.DIAG_8</v>
      </c>
      <c r="B352" s="11">
        <v>7998</v>
      </c>
      <c r="C352" s="11" t="s">
        <v>6</v>
      </c>
      <c r="D352" s="20">
        <v>1</v>
      </c>
    </row>
    <row r="353" spans="1:4">
      <c r="A353" s="19" t="str">
        <f>$R$2&amp;"."&amp;'Конфигурация TREI'!$A$2&amp;".DIAG_8"</f>
        <v>Диагностика.TREI.CPU.DIAG_8</v>
      </c>
      <c r="B353" s="11">
        <v>101</v>
      </c>
      <c r="C353" s="11" t="s">
        <v>0</v>
      </c>
      <c r="D353" s="20" t="s">
        <v>802</v>
      </c>
    </row>
    <row r="354" spans="1:4">
      <c r="A354" s="19" t="str">
        <f>$R$2&amp;"."&amp;'Конфигурация TREI'!$A$2&amp;".DIAG_8"</f>
        <v>Диагностика.TREI.CPU.DIAG_8</v>
      </c>
      <c r="B354" s="11">
        <v>3</v>
      </c>
      <c r="C354" s="11" t="s">
        <v>1</v>
      </c>
      <c r="D354" s="20">
        <v>192</v>
      </c>
    </row>
    <row r="355" spans="1:4">
      <c r="A355" s="19" t="str">
        <f>$R$2&amp;"."&amp;'Конфигурация TREI'!$A$2&amp;".DIAG_8"</f>
        <v>Диагностика.TREI.CPU.DIAG_8</v>
      </c>
      <c r="B355" s="11">
        <v>2</v>
      </c>
      <c r="C355" s="11" t="s">
        <v>2</v>
      </c>
      <c r="D355" s="20" t="s">
        <v>3</v>
      </c>
    </row>
    <row r="356" spans="1:4">
      <c r="A356" s="21" t="str">
        <f>$R$2&amp;"."&amp;'Конфигурация TREI'!$A$2&amp;".DIAG_8"</f>
        <v>Диагностика.TREI.CPU.DIAG_8</v>
      </c>
      <c r="B356" s="8">
        <v>1</v>
      </c>
      <c r="C356" s="8" t="s">
        <v>1</v>
      </c>
      <c r="D356" s="22">
        <v>11</v>
      </c>
    </row>
    <row r="357" spans="1:4">
      <c r="A357" s="69" t="str">
        <f>$R$2&amp;"."&amp;'Конфигурация TREI'!$A$2&amp;".DIAG_9"</f>
        <v>Диагностика.TREI.CPU.DIAG_9</v>
      </c>
      <c r="B357" s="70">
        <v>11154</v>
      </c>
      <c r="C357" s="70" t="s">
        <v>4</v>
      </c>
      <c r="D357" s="144">
        <f>$Q$6</f>
        <v>8</v>
      </c>
    </row>
    <row r="358" spans="1:4">
      <c r="A358" s="63" t="str">
        <f>$R$2&amp;"."&amp;'Конфигурация TREI'!$A$2&amp;".DIAG_9"</f>
        <v>Диагностика.TREI.CPU.DIAG_9</v>
      </c>
      <c r="B358" s="64">
        <v>11152</v>
      </c>
      <c r="C358" s="64" t="s">
        <v>0</v>
      </c>
      <c r="D358" s="129" t="str">
        <f>$R$6</f>
        <v>Предупреждение</v>
      </c>
    </row>
    <row r="359" spans="1:4">
      <c r="A359" s="63" t="str">
        <f>$R$2&amp;"."&amp;'Конфигурация TREI'!$A$2&amp;".DIAG_9"</f>
        <v>Диагностика.TREI.CPU.DIAG_9</v>
      </c>
      <c r="B359" s="64">
        <v>11150</v>
      </c>
      <c r="C359" s="64" t="s">
        <v>0</v>
      </c>
      <c r="D359" s="65" t="s">
        <v>803</v>
      </c>
    </row>
    <row r="360" spans="1:4">
      <c r="A360" s="63" t="str">
        <f>$R$2&amp;"."&amp;'Конфигурация TREI'!$A$2&amp;".DIAG_9"</f>
        <v>Диагностика.TREI.CPU.DIAG_9</v>
      </c>
      <c r="B360" s="64">
        <v>11000</v>
      </c>
      <c r="C360" s="64" t="s">
        <v>5</v>
      </c>
      <c r="D360" s="65">
        <v>2147483680</v>
      </c>
    </row>
    <row r="361" spans="1:4">
      <c r="A361" s="19" t="str">
        <f>$R$2&amp;"."&amp;'Конфигурация TREI'!$A$2&amp;".DIAG_9"</f>
        <v>Диагностика.TREI.CPU.DIAG_9</v>
      </c>
      <c r="B361" s="11">
        <v>7999</v>
      </c>
      <c r="C361" s="11" t="s">
        <v>0</v>
      </c>
      <c r="D361" s="20" t="str">
        <f>"#"&amp;$S$2&amp;"#"&amp;$T$2&amp;IF($S$7="","","\")&amp;$S$7&amp;"\"&amp;'Конфигурация TREI'!$A$2&amp;"\DIAG_9"</f>
        <v>#2#treiOPCDA.CoOPCserv.1\pcmaster\CPU\DIAG_9</v>
      </c>
    </row>
    <row r="362" spans="1:4">
      <c r="A362" s="19" t="str">
        <f>$R$2&amp;"."&amp;'Конфигурация TREI'!$A$2&amp;".DIAG_9"</f>
        <v>Диагностика.TREI.CPU.DIAG_9</v>
      </c>
      <c r="B362" s="11">
        <v>7998</v>
      </c>
      <c r="C362" s="11" t="s">
        <v>6</v>
      </c>
      <c r="D362" s="20">
        <v>1</v>
      </c>
    </row>
    <row r="363" spans="1:4">
      <c r="A363" s="19" t="str">
        <f>$R$2&amp;"."&amp;'Конфигурация TREI'!$A$2&amp;".DIAG_9"</f>
        <v>Диагностика.TREI.CPU.DIAG_9</v>
      </c>
      <c r="B363" s="11">
        <v>101</v>
      </c>
      <c r="C363" s="11" t="s">
        <v>0</v>
      </c>
      <c r="D363" s="20" t="s">
        <v>803</v>
      </c>
    </row>
    <row r="364" spans="1:4">
      <c r="A364" s="19" t="str">
        <f>$R$2&amp;"."&amp;'Конфигурация TREI'!$A$2&amp;".DIAG_9"</f>
        <v>Диагностика.TREI.CPU.DIAG_9</v>
      </c>
      <c r="B364" s="11">
        <v>3</v>
      </c>
      <c r="C364" s="11" t="s">
        <v>1</v>
      </c>
      <c r="D364" s="20">
        <v>192</v>
      </c>
    </row>
    <row r="365" spans="1:4">
      <c r="A365" s="19" t="str">
        <f>$R$2&amp;"."&amp;'Конфигурация TREI'!$A$2&amp;".DIAG_9"</f>
        <v>Диагностика.TREI.CPU.DIAG_9</v>
      </c>
      <c r="B365" s="11">
        <v>2</v>
      </c>
      <c r="C365" s="11" t="s">
        <v>2</v>
      </c>
      <c r="D365" s="20" t="s">
        <v>3</v>
      </c>
    </row>
    <row r="366" spans="1:4">
      <c r="A366" s="21" t="str">
        <f>$R$2&amp;"."&amp;'Конфигурация TREI'!$A$2&amp;".DIAG_9"</f>
        <v>Диагностика.TREI.CPU.DIAG_9</v>
      </c>
      <c r="B366" s="8">
        <v>1</v>
      </c>
      <c r="C366" s="8" t="s">
        <v>1</v>
      </c>
      <c r="D366" s="22">
        <v>11</v>
      </c>
    </row>
    <row r="367" spans="1:4">
      <c r="A367" s="69" t="str">
        <f>$R$2&amp;"."&amp;'Конфигурация TREI'!$A$2&amp;".DIAG_10"</f>
        <v>Диагностика.TREI.CPU.DIAG_10</v>
      </c>
      <c r="B367" s="70">
        <v>11154</v>
      </c>
      <c r="C367" s="70" t="s">
        <v>4</v>
      </c>
      <c r="D367" s="144">
        <f>$Q$6</f>
        <v>8</v>
      </c>
    </row>
    <row r="368" spans="1:4">
      <c r="A368" s="63" t="str">
        <f>$R$2&amp;"."&amp;'Конфигурация TREI'!$A$2&amp;".DIAG_10"</f>
        <v>Диагностика.TREI.CPU.DIAG_10</v>
      </c>
      <c r="B368" s="64">
        <v>11152</v>
      </c>
      <c r="C368" s="64" t="s">
        <v>0</v>
      </c>
      <c r="D368" s="129" t="str">
        <f>$R$6</f>
        <v>Предупреждение</v>
      </c>
    </row>
    <row r="369" spans="1:4">
      <c r="A369" s="63" t="str">
        <f>$R$2&amp;"."&amp;'Конфигурация TREI'!$A$2&amp;".DIAG_10"</f>
        <v>Диагностика.TREI.CPU.DIAG_10</v>
      </c>
      <c r="B369" s="64">
        <v>11150</v>
      </c>
      <c r="C369" s="64" t="s">
        <v>0</v>
      </c>
      <c r="D369" s="65" t="s">
        <v>804</v>
      </c>
    </row>
    <row r="370" spans="1:4">
      <c r="A370" s="63" t="str">
        <f>$R$2&amp;"."&amp;'Конфигурация TREI'!$A$2&amp;".DIAG_10"</f>
        <v>Диагностика.TREI.CPU.DIAG_10</v>
      </c>
      <c r="B370" s="64">
        <v>11000</v>
      </c>
      <c r="C370" s="64" t="s">
        <v>5</v>
      </c>
      <c r="D370" s="65">
        <v>2147483680</v>
      </c>
    </row>
    <row r="371" spans="1:4">
      <c r="A371" s="19" t="str">
        <f>$R$2&amp;"."&amp;'Конфигурация TREI'!$A$2&amp;".DIAG_10"</f>
        <v>Диагностика.TREI.CPU.DIAG_10</v>
      </c>
      <c r="B371" s="11">
        <v>7999</v>
      </c>
      <c r="C371" s="11" t="s">
        <v>0</v>
      </c>
      <c r="D371" s="20" t="str">
        <f>"#"&amp;$S$2&amp;"#"&amp;$T$2&amp;IF($S$7="","","\")&amp;$S$7&amp;"\"&amp;'Конфигурация TREI'!$A$2&amp;"\DIAG_10"</f>
        <v>#2#treiOPCDA.CoOPCserv.1\pcmaster\CPU\DIAG_10</v>
      </c>
    </row>
    <row r="372" spans="1:4">
      <c r="A372" s="19" t="str">
        <f>$R$2&amp;"."&amp;'Конфигурация TREI'!$A$2&amp;".DIAG_10"</f>
        <v>Диагностика.TREI.CPU.DIAG_10</v>
      </c>
      <c r="B372" s="11">
        <v>7998</v>
      </c>
      <c r="C372" s="11" t="s">
        <v>6</v>
      </c>
      <c r="D372" s="20">
        <v>1</v>
      </c>
    </row>
    <row r="373" spans="1:4">
      <c r="A373" s="19" t="str">
        <f>$R$2&amp;"."&amp;'Конфигурация TREI'!$A$2&amp;".DIAG_10"</f>
        <v>Диагностика.TREI.CPU.DIAG_10</v>
      </c>
      <c r="B373" s="11">
        <v>101</v>
      </c>
      <c r="C373" s="11" t="s">
        <v>0</v>
      </c>
      <c r="D373" s="20" t="s">
        <v>804</v>
      </c>
    </row>
    <row r="374" spans="1:4">
      <c r="A374" s="19" t="str">
        <f>$R$2&amp;"."&amp;'Конфигурация TREI'!$A$2&amp;".DIAG_10"</f>
        <v>Диагностика.TREI.CPU.DIAG_10</v>
      </c>
      <c r="B374" s="11">
        <v>3</v>
      </c>
      <c r="C374" s="11" t="s">
        <v>1</v>
      </c>
      <c r="D374" s="20">
        <v>192</v>
      </c>
    </row>
    <row r="375" spans="1:4">
      <c r="A375" s="19" t="str">
        <f>$R$2&amp;"."&amp;'Конфигурация TREI'!$A$2&amp;".DIAG_10"</f>
        <v>Диагностика.TREI.CPU.DIAG_10</v>
      </c>
      <c r="B375" s="11">
        <v>2</v>
      </c>
      <c r="C375" s="11" t="s">
        <v>2</v>
      </c>
      <c r="D375" s="20" t="s">
        <v>3</v>
      </c>
    </row>
    <row r="376" spans="1:4">
      <c r="A376" s="21" t="str">
        <f>$R$2&amp;"."&amp;'Конфигурация TREI'!$A$2&amp;".DIAG_10"</f>
        <v>Диагностика.TREI.CPU.DIAG_10</v>
      </c>
      <c r="B376" s="8">
        <v>1</v>
      </c>
      <c r="C376" s="8" t="s">
        <v>1</v>
      </c>
      <c r="D376" s="22">
        <v>11</v>
      </c>
    </row>
    <row r="377" spans="1:4">
      <c r="A377" s="69" t="str">
        <f>$R$2&amp;"."&amp;'Конфигурация TREI'!$A$2&amp;".DIAG_11"</f>
        <v>Диагностика.TREI.CPU.DIAG_11</v>
      </c>
      <c r="B377" s="70">
        <v>11154</v>
      </c>
      <c r="C377" s="70" t="s">
        <v>4</v>
      </c>
      <c r="D377" s="144">
        <f>$Q$6</f>
        <v>8</v>
      </c>
    </row>
    <row r="378" spans="1:4">
      <c r="A378" s="63" t="str">
        <f>$R$2&amp;"."&amp;'Конфигурация TREI'!$A$2&amp;".DIAG_11"</f>
        <v>Диагностика.TREI.CPU.DIAG_11</v>
      </c>
      <c r="B378" s="64">
        <v>11152</v>
      </c>
      <c r="C378" s="64" t="s">
        <v>0</v>
      </c>
      <c r="D378" s="129" t="str">
        <f>$R$6</f>
        <v>Предупреждение</v>
      </c>
    </row>
    <row r="379" spans="1:4">
      <c r="A379" s="63" t="str">
        <f>$R$2&amp;"."&amp;'Конфигурация TREI'!$A$2&amp;".DIAG_11"</f>
        <v>Диагностика.TREI.CPU.DIAG_11</v>
      </c>
      <c r="B379" s="64">
        <v>11150</v>
      </c>
      <c r="C379" s="64" t="s">
        <v>0</v>
      </c>
      <c r="D379" s="65" t="s">
        <v>805</v>
      </c>
    </row>
    <row r="380" spans="1:4">
      <c r="A380" s="63" t="str">
        <f>$R$2&amp;"."&amp;'Конфигурация TREI'!$A$2&amp;".DIAG_11"</f>
        <v>Диагностика.TREI.CPU.DIAG_11</v>
      </c>
      <c r="B380" s="64">
        <v>11000</v>
      </c>
      <c r="C380" s="64" t="s">
        <v>5</v>
      </c>
      <c r="D380" s="65">
        <v>2147483680</v>
      </c>
    </row>
    <row r="381" spans="1:4">
      <c r="A381" s="19" t="str">
        <f>$R$2&amp;"."&amp;'Конфигурация TREI'!$A$2&amp;".DIAG_11"</f>
        <v>Диагностика.TREI.CPU.DIAG_11</v>
      </c>
      <c r="B381" s="11">
        <v>7999</v>
      </c>
      <c r="C381" s="11" t="s">
        <v>0</v>
      </c>
      <c r="D381" s="20" t="str">
        <f>"#"&amp;$S$2&amp;"#"&amp;$T$2&amp;IF($S$7="","","\")&amp;$S$7&amp;"\"&amp;'Конфигурация TREI'!$A$2&amp;"\DIAG_11"</f>
        <v>#2#treiOPCDA.CoOPCserv.1\pcmaster\CPU\DIAG_11</v>
      </c>
    </row>
    <row r="382" spans="1:4">
      <c r="A382" s="19" t="str">
        <f>$R$2&amp;"."&amp;'Конфигурация TREI'!$A$2&amp;".DIAG_11"</f>
        <v>Диагностика.TREI.CPU.DIAG_11</v>
      </c>
      <c r="B382" s="11">
        <v>7998</v>
      </c>
      <c r="C382" s="11" t="s">
        <v>6</v>
      </c>
      <c r="D382" s="20">
        <v>1</v>
      </c>
    </row>
    <row r="383" spans="1:4">
      <c r="A383" s="19" t="str">
        <f>$R$2&amp;"."&amp;'Конфигурация TREI'!$A$2&amp;".DIAG_11"</f>
        <v>Диагностика.TREI.CPU.DIAG_11</v>
      </c>
      <c r="B383" s="11">
        <v>101</v>
      </c>
      <c r="C383" s="11" t="s">
        <v>0</v>
      </c>
      <c r="D383" s="20" t="s">
        <v>805</v>
      </c>
    </row>
    <row r="384" spans="1:4">
      <c r="A384" s="19" t="str">
        <f>$R$2&amp;"."&amp;'Конфигурация TREI'!$A$2&amp;".DIAG_11"</f>
        <v>Диагностика.TREI.CPU.DIAG_11</v>
      </c>
      <c r="B384" s="11">
        <v>3</v>
      </c>
      <c r="C384" s="11" t="s">
        <v>1</v>
      </c>
      <c r="D384" s="20">
        <v>192</v>
      </c>
    </row>
    <row r="385" spans="1:4">
      <c r="A385" s="19" t="str">
        <f>$R$2&amp;"."&amp;'Конфигурация TREI'!$A$2&amp;".DIAG_11"</f>
        <v>Диагностика.TREI.CPU.DIAG_11</v>
      </c>
      <c r="B385" s="11">
        <v>2</v>
      </c>
      <c r="C385" s="11" t="s">
        <v>2</v>
      </c>
      <c r="D385" s="20" t="s">
        <v>3</v>
      </c>
    </row>
    <row r="386" spans="1:4">
      <c r="A386" s="21" t="str">
        <f>$R$2&amp;"."&amp;'Конфигурация TREI'!$A$2&amp;".DIAG_11"</f>
        <v>Диагностика.TREI.CPU.DIAG_11</v>
      </c>
      <c r="B386" s="8">
        <v>1</v>
      </c>
      <c r="C386" s="8" t="s">
        <v>1</v>
      </c>
      <c r="D386" s="22">
        <v>11</v>
      </c>
    </row>
    <row r="387" spans="1:4">
      <c r="A387" s="69" t="str">
        <f>$R$2&amp;"."&amp;'Конфигурация TREI'!$A$2&amp;".DIAG_12"</f>
        <v>Диагностика.TREI.CPU.DIAG_12</v>
      </c>
      <c r="B387" s="70">
        <v>11154</v>
      </c>
      <c r="C387" s="70" t="s">
        <v>4</v>
      </c>
      <c r="D387" s="144">
        <f>$Q$6</f>
        <v>8</v>
      </c>
    </row>
    <row r="388" spans="1:4">
      <c r="A388" s="63" t="str">
        <f>$R$2&amp;"."&amp;'Конфигурация TREI'!$A$2&amp;".DIAG_12"</f>
        <v>Диагностика.TREI.CPU.DIAG_12</v>
      </c>
      <c r="B388" s="64">
        <v>11152</v>
      </c>
      <c r="C388" s="64" t="s">
        <v>0</v>
      </c>
      <c r="D388" s="129" t="str">
        <f>$R$6</f>
        <v>Предупреждение</v>
      </c>
    </row>
    <row r="389" spans="1:4">
      <c r="A389" s="63" t="str">
        <f>$R$2&amp;"."&amp;'Конфигурация TREI'!$A$2&amp;".DIAG_12"</f>
        <v>Диагностика.TREI.CPU.DIAG_12</v>
      </c>
      <c r="B389" s="64">
        <v>11150</v>
      </c>
      <c r="C389" s="64" t="s">
        <v>0</v>
      </c>
      <c r="D389" s="65" t="s">
        <v>806</v>
      </c>
    </row>
    <row r="390" spans="1:4">
      <c r="A390" s="63" t="str">
        <f>$R$2&amp;"."&amp;'Конфигурация TREI'!$A$2&amp;".DIAG_12"</f>
        <v>Диагностика.TREI.CPU.DIAG_12</v>
      </c>
      <c r="B390" s="64">
        <v>11000</v>
      </c>
      <c r="C390" s="64" t="s">
        <v>5</v>
      </c>
      <c r="D390" s="65">
        <v>2147483680</v>
      </c>
    </row>
    <row r="391" spans="1:4">
      <c r="A391" s="19" t="str">
        <f>$R$2&amp;"."&amp;'Конфигурация TREI'!$A$2&amp;".DIAG_12"</f>
        <v>Диагностика.TREI.CPU.DIAG_12</v>
      </c>
      <c r="B391" s="11">
        <v>7999</v>
      </c>
      <c r="C391" s="11" t="s">
        <v>0</v>
      </c>
      <c r="D391" s="20" t="str">
        <f>"#"&amp;$S$2&amp;"#"&amp;$T$2&amp;IF($S$7="","","\")&amp;$S$7&amp;"\"&amp;'Конфигурация TREI'!$A$2&amp;"\DIAG_12"</f>
        <v>#2#treiOPCDA.CoOPCserv.1\pcmaster\CPU\DIAG_12</v>
      </c>
    </row>
    <row r="392" spans="1:4">
      <c r="A392" s="19" t="str">
        <f>$R$2&amp;"."&amp;'Конфигурация TREI'!$A$2&amp;".DIAG_12"</f>
        <v>Диагностика.TREI.CPU.DIAG_12</v>
      </c>
      <c r="B392" s="11">
        <v>7998</v>
      </c>
      <c r="C392" s="11" t="s">
        <v>6</v>
      </c>
      <c r="D392" s="20">
        <v>1</v>
      </c>
    </row>
    <row r="393" spans="1:4">
      <c r="A393" s="19" t="str">
        <f>$R$2&amp;"."&amp;'Конфигурация TREI'!$A$2&amp;".DIAG_12"</f>
        <v>Диагностика.TREI.CPU.DIAG_12</v>
      </c>
      <c r="B393" s="11">
        <v>101</v>
      </c>
      <c r="C393" s="11" t="s">
        <v>0</v>
      </c>
      <c r="D393" s="20" t="s">
        <v>806</v>
      </c>
    </row>
    <row r="394" spans="1:4">
      <c r="A394" s="19" t="str">
        <f>$R$2&amp;"."&amp;'Конфигурация TREI'!$A$2&amp;".DIAG_12"</f>
        <v>Диагностика.TREI.CPU.DIAG_12</v>
      </c>
      <c r="B394" s="11">
        <v>3</v>
      </c>
      <c r="C394" s="11" t="s">
        <v>1</v>
      </c>
      <c r="D394" s="20">
        <v>192</v>
      </c>
    </row>
    <row r="395" spans="1:4">
      <c r="A395" s="19" t="str">
        <f>$R$2&amp;"."&amp;'Конфигурация TREI'!$A$2&amp;".DIAG_12"</f>
        <v>Диагностика.TREI.CPU.DIAG_12</v>
      </c>
      <c r="B395" s="11">
        <v>2</v>
      </c>
      <c r="C395" s="11" t="s">
        <v>2</v>
      </c>
      <c r="D395" s="20" t="s">
        <v>3</v>
      </c>
    </row>
    <row r="396" spans="1:4">
      <c r="A396" s="21" t="str">
        <f>$R$2&amp;"."&amp;'Конфигурация TREI'!$A$2&amp;".DIAG_12"</f>
        <v>Диагностика.TREI.CPU.DIAG_12</v>
      </c>
      <c r="B396" s="8">
        <v>1</v>
      </c>
      <c r="C396" s="8" t="s">
        <v>1</v>
      </c>
      <c r="D396" s="22">
        <v>11</v>
      </c>
    </row>
    <row r="397" spans="1:4">
      <c r="A397" s="69" t="str">
        <f>$R$2&amp;"."&amp;'Конфигурация TREI'!$A$2&amp;".DIAG_13"</f>
        <v>Диагностика.TREI.CPU.DIAG_13</v>
      </c>
      <c r="B397" s="70">
        <v>11154</v>
      </c>
      <c r="C397" s="70" t="s">
        <v>4</v>
      </c>
      <c r="D397" s="144">
        <f>$Q$6</f>
        <v>8</v>
      </c>
    </row>
    <row r="398" spans="1:4">
      <c r="A398" s="63" t="str">
        <f>$R$2&amp;"."&amp;'Конфигурация TREI'!$A$2&amp;".DIAG_13"</f>
        <v>Диагностика.TREI.CPU.DIAG_13</v>
      </c>
      <c r="B398" s="64">
        <v>11152</v>
      </c>
      <c r="C398" s="64" t="s">
        <v>0</v>
      </c>
      <c r="D398" s="129" t="str">
        <f>$R$6</f>
        <v>Предупреждение</v>
      </c>
    </row>
    <row r="399" spans="1:4">
      <c r="A399" s="63" t="str">
        <f>$R$2&amp;"."&amp;'Конфигурация TREI'!$A$2&amp;".DIAG_13"</f>
        <v>Диагностика.TREI.CPU.DIAG_13</v>
      </c>
      <c r="B399" s="64">
        <v>11150</v>
      </c>
      <c r="C399" s="64" t="s">
        <v>0</v>
      </c>
      <c r="D399" s="65" t="s">
        <v>807</v>
      </c>
    </row>
    <row r="400" spans="1:4">
      <c r="A400" s="63" t="str">
        <f>$R$2&amp;"."&amp;'Конфигурация TREI'!$A$2&amp;".DIAG_13"</f>
        <v>Диагностика.TREI.CPU.DIAG_13</v>
      </c>
      <c r="B400" s="64">
        <v>11000</v>
      </c>
      <c r="C400" s="64" t="s">
        <v>5</v>
      </c>
      <c r="D400" s="65">
        <v>2147483680</v>
      </c>
    </row>
    <row r="401" spans="1:4">
      <c r="A401" s="19" t="str">
        <f>$R$2&amp;"."&amp;'Конфигурация TREI'!$A$2&amp;".DIAG_13"</f>
        <v>Диагностика.TREI.CPU.DIAG_13</v>
      </c>
      <c r="B401" s="11">
        <v>7999</v>
      </c>
      <c r="C401" s="11" t="s">
        <v>0</v>
      </c>
      <c r="D401" s="20" t="str">
        <f>"#"&amp;$S$2&amp;"#"&amp;$T$2&amp;IF($S$7="","","\")&amp;$S$7&amp;"\"&amp;'Конфигурация TREI'!$A$2&amp;"\DIAG_13"</f>
        <v>#2#treiOPCDA.CoOPCserv.1\pcmaster\CPU\DIAG_13</v>
      </c>
    </row>
    <row r="402" spans="1:4">
      <c r="A402" s="19" t="str">
        <f>$R$2&amp;"."&amp;'Конфигурация TREI'!$A$2&amp;".DIAG_13"</f>
        <v>Диагностика.TREI.CPU.DIAG_13</v>
      </c>
      <c r="B402" s="11">
        <v>7998</v>
      </c>
      <c r="C402" s="11" t="s">
        <v>6</v>
      </c>
      <c r="D402" s="20">
        <v>1</v>
      </c>
    </row>
    <row r="403" spans="1:4">
      <c r="A403" s="19" t="str">
        <f>$R$2&amp;"."&amp;'Конфигурация TREI'!$A$2&amp;".DIAG_13"</f>
        <v>Диагностика.TREI.CPU.DIAG_13</v>
      </c>
      <c r="B403" s="11">
        <v>101</v>
      </c>
      <c r="C403" s="11" t="s">
        <v>0</v>
      </c>
      <c r="D403" s="20" t="s">
        <v>807</v>
      </c>
    </row>
    <row r="404" spans="1:4">
      <c r="A404" s="19" t="str">
        <f>$R$2&amp;"."&amp;'Конфигурация TREI'!$A$2&amp;".DIAG_13"</f>
        <v>Диагностика.TREI.CPU.DIAG_13</v>
      </c>
      <c r="B404" s="11">
        <v>3</v>
      </c>
      <c r="C404" s="11" t="s">
        <v>1</v>
      </c>
      <c r="D404" s="20">
        <v>192</v>
      </c>
    </row>
    <row r="405" spans="1:4">
      <c r="A405" s="19" t="str">
        <f>$R$2&amp;"."&amp;'Конфигурация TREI'!$A$2&amp;".DIAG_13"</f>
        <v>Диагностика.TREI.CPU.DIAG_13</v>
      </c>
      <c r="B405" s="11">
        <v>2</v>
      </c>
      <c r="C405" s="11" t="s">
        <v>2</v>
      </c>
      <c r="D405" s="20" t="s">
        <v>3</v>
      </c>
    </row>
    <row r="406" spans="1:4">
      <c r="A406" s="21" t="str">
        <f>$R$2&amp;"."&amp;'Конфигурация TREI'!$A$2&amp;".DIAG_13"</f>
        <v>Диагностика.TREI.CPU.DIAG_13</v>
      </c>
      <c r="B406" s="8">
        <v>1</v>
      </c>
      <c r="C406" s="8" t="s">
        <v>1</v>
      </c>
      <c r="D406" s="22">
        <v>11</v>
      </c>
    </row>
    <row r="407" spans="1:4">
      <c r="A407" s="69" t="str">
        <f>$R$2&amp;"."&amp;'Конфигурация TREI'!$A$2&amp;".DIAG_14"</f>
        <v>Диагностика.TREI.CPU.DIAG_14</v>
      </c>
      <c r="B407" s="70">
        <v>11154</v>
      </c>
      <c r="C407" s="70" t="s">
        <v>4</v>
      </c>
      <c r="D407" s="144">
        <f>$Q$6</f>
        <v>8</v>
      </c>
    </row>
    <row r="408" spans="1:4">
      <c r="A408" s="63" t="str">
        <f>$R$2&amp;"."&amp;'Конфигурация TREI'!$A$2&amp;".DIAG_14"</f>
        <v>Диагностика.TREI.CPU.DIAG_14</v>
      </c>
      <c r="B408" s="64">
        <v>11152</v>
      </c>
      <c r="C408" s="64" t="s">
        <v>0</v>
      </c>
      <c r="D408" s="129" t="str">
        <f>$R$6</f>
        <v>Предупреждение</v>
      </c>
    </row>
    <row r="409" spans="1:4">
      <c r="A409" s="63" t="str">
        <f>$R$2&amp;"."&amp;'Конфигурация TREI'!$A$2&amp;".DIAG_14"</f>
        <v>Диагностика.TREI.CPU.DIAG_14</v>
      </c>
      <c r="B409" s="64">
        <v>11150</v>
      </c>
      <c r="C409" s="64" t="s">
        <v>0</v>
      </c>
      <c r="D409" s="65" t="s">
        <v>808</v>
      </c>
    </row>
    <row r="410" spans="1:4">
      <c r="A410" s="63" t="str">
        <f>$R$2&amp;"."&amp;'Конфигурация TREI'!$A$2&amp;".DIAG_14"</f>
        <v>Диагностика.TREI.CPU.DIAG_14</v>
      </c>
      <c r="B410" s="64">
        <v>11000</v>
      </c>
      <c r="C410" s="64" t="s">
        <v>5</v>
      </c>
      <c r="D410" s="65">
        <v>2147483680</v>
      </c>
    </row>
    <row r="411" spans="1:4">
      <c r="A411" s="19" t="str">
        <f>$R$2&amp;"."&amp;'Конфигурация TREI'!$A$2&amp;".DIAG_14"</f>
        <v>Диагностика.TREI.CPU.DIAG_14</v>
      </c>
      <c r="B411" s="11">
        <v>7999</v>
      </c>
      <c r="C411" s="11" t="s">
        <v>0</v>
      </c>
      <c r="D411" s="20" t="str">
        <f>"#"&amp;$S$2&amp;"#"&amp;$T$2&amp;IF($S$7="","","\")&amp;$S$7&amp;"\"&amp;'Конфигурация TREI'!$A$2&amp;"\DIAG_14"</f>
        <v>#2#treiOPCDA.CoOPCserv.1\pcmaster\CPU\DIAG_14</v>
      </c>
    </row>
    <row r="412" spans="1:4">
      <c r="A412" s="19" t="str">
        <f>$R$2&amp;"."&amp;'Конфигурация TREI'!$A$2&amp;".DIAG_14"</f>
        <v>Диагностика.TREI.CPU.DIAG_14</v>
      </c>
      <c r="B412" s="11">
        <v>7998</v>
      </c>
      <c r="C412" s="11" t="s">
        <v>6</v>
      </c>
      <c r="D412" s="20">
        <v>1</v>
      </c>
    </row>
    <row r="413" spans="1:4">
      <c r="A413" s="19" t="str">
        <f>$R$2&amp;"."&amp;'Конфигурация TREI'!$A$2&amp;".DIAG_14"</f>
        <v>Диагностика.TREI.CPU.DIAG_14</v>
      </c>
      <c r="B413" s="11">
        <v>101</v>
      </c>
      <c r="C413" s="11" t="s">
        <v>0</v>
      </c>
      <c r="D413" s="20" t="s">
        <v>808</v>
      </c>
    </row>
    <row r="414" spans="1:4">
      <c r="A414" s="19" t="str">
        <f>$R$2&amp;"."&amp;'Конфигурация TREI'!$A$2&amp;".DIAG_14"</f>
        <v>Диагностика.TREI.CPU.DIAG_14</v>
      </c>
      <c r="B414" s="11">
        <v>3</v>
      </c>
      <c r="C414" s="11" t="s">
        <v>1</v>
      </c>
      <c r="D414" s="20">
        <v>192</v>
      </c>
    </row>
    <row r="415" spans="1:4">
      <c r="A415" s="19" t="str">
        <f>$R$2&amp;"."&amp;'Конфигурация TREI'!$A$2&amp;".DIAG_14"</f>
        <v>Диагностика.TREI.CPU.DIAG_14</v>
      </c>
      <c r="B415" s="11">
        <v>2</v>
      </c>
      <c r="C415" s="11" t="s">
        <v>2</v>
      </c>
      <c r="D415" s="20" t="s">
        <v>3</v>
      </c>
    </row>
    <row r="416" spans="1:4">
      <c r="A416" s="21" t="str">
        <f>$R$2&amp;"."&amp;'Конфигурация TREI'!$A$2&amp;".DIAG_14"</f>
        <v>Диагностика.TREI.CPU.DIAG_14</v>
      </c>
      <c r="B416" s="8">
        <v>1</v>
      </c>
      <c r="C416" s="8" t="s">
        <v>1</v>
      </c>
      <c r="D416" s="22">
        <v>11</v>
      </c>
    </row>
    <row r="417" spans="1:4">
      <c r="A417" s="159" t="str">
        <f>$R$2&amp;"."&amp;'Конфигурация TREI'!$A$2&amp;".DIAG_15"</f>
        <v>Диагностика.TREI.CPU.DIAG_15</v>
      </c>
      <c r="B417" s="160">
        <v>11154</v>
      </c>
      <c r="C417" s="160" t="s">
        <v>4</v>
      </c>
      <c r="D417" s="161">
        <f>$Q$8</f>
        <v>18</v>
      </c>
    </row>
    <row r="418" spans="1:4">
      <c r="A418" s="100" t="str">
        <f>$R$2&amp;"."&amp;'Конфигурация TREI'!$A$2&amp;".DIAG_15"</f>
        <v>Диагностика.TREI.CPU.DIAG_15</v>
      </c>
      <c r="B418" s="101">
        <v>11152</v>
      </c>
      <c r="C418" s="101" t="s">
        <v>0</v>
      </c>
      <c r="D418" s="104" t="str">
        <f>$R$8</f>
        <v>Телесигнализация</v>
      </c>
    </row>
    <row r="419" spans="1:4">
      <c r="A419" s="100" t="str">
        <f>$R$2&amp;"."&amp;'Конфигурация TREI'!$A$2&amp;".DIAG_15"</f>
        <v>Диагностика.TREI.CPU.DIAG_15</v>
      </c>
      <c r="B419" s="101">
        <v>11150</v>
      </c>
      <c r="C419" s="101" t="s">
        <v>0</v>
      </c>
      <c r="D419" s="103" t="s">
        <v>809</v>
      </c>
    </row>
    <row r="420" spans="1:4">
      <c r="A420" s="100" t="str">
        <f>$R$2&amp;"."&amp;'Конфигурация TREI'!$A$2&amp;".DIAG_15"</f>
        <v>Диагностика.TREI.CPU.DIAG_15</v>
      </c>
      <c r="B420" s="101">
        <v>11000</v>
      </c>
      <c r="C420" s="101" t="s">
        <v>5</v>
      </c>
      <c r="D420" s="103">
        <v>2147483680</v>
      </c>
    </row>
    <row r="421" spans="1:4">
      <c r="A421" s="19" t="str">
        <f>$R$2&amp;"."&amp;'Конфигурация TREI'!$A$2&amp;".DIAG_15"</f>
        <v>Диагностика.TREI.CPU.DIAG_15</v>
      </c>
      <c r="B421" s="11">
        <v>7999</v>
      </c>
      <c r="C421" s="11" t="s">
        <v>0</v>
      </c>
      <c r="D421" s="20" t="str">
        <f>"#"&amp;$S$2&amp;"#"&amp;$T$2&amp;IF($S$7="","","\")&amp;$S$7&amp;"\"&amp;'Конфигурация TREI'!$A$2&amp;"\DIAG_15"</f>
        <v>#2#treiOPCDA.CoOPCserv.1\pcmaster\CPU\DIAG_15</v>
      </c>
    </row>
    <row r="422" spans="1:4">
      <c r="A422" s="19" t="str">
        <f>$R$2&amp;"."&amp;'Конфигурация TREI'!$A$2&amp;".DIAG_15"</f>
        <v>Диагностика.TREI.CPU.DIAG_15</v>
      </c>
      <c r="B422" s="11">
        <v>7998</v>
      </c>
      <c r="C422" s="11" t="s">
        <v>6</v>
      </c>
      <c r="D422" s="20">
        <v>1</v>
      </c>
    </row>
    <row r="423" spans="1:4">
      <c r="A423" s="19" t="str">
        <f>$R$2&amp;"."&amp;'Конфигурация TREI'!$A$2&amp;".DIAG_15"</f>
        <v>Диагностика.TREI.CPU.DIAG_15</v>
      </c>
      <c r="B423" s="11">
        <v>101</v>
      </c>
      <c r="C423" s="11" t="s">
        <v>0</v>
      </c>
      <c r="D423" s="20" t="s">
        <v>809</v>
      </c>
    </row>
    <row r="424" spans="1:4">
      <c r="A424" s="19" t="str">
        <f>$R$2&amp;"."&amp;'Конфигурация TREI'!$A$2&amp;".DIAG_15"</f>
        <v>Диагностика.TREI.CPU.DIAG_15</v>
      </c>
      <c r="B424" s="11">
        <v>3</v>
      </c>
      <c r="C424" s="11" t="s">
        <v>1</v>
      </c>
      <c r="D424" s="20">
        <v>192</v>
      </c>
    </row>
    <row r="425" spans="1:4">
      <c r="A425" s="19" t="str">
        <f>$R$2&amp;"."&amp;'Конфигурация TREI'!$A$2&amp;".DIAG_15"</f>
        <v>Диагностика.TREI.CPU.DIAG_15</v>
      </c>
      <c r="B425" s="11">
        <v>2</v>
      </c>
      <c r="C425" s="11" t="s">
        <v>2</v>
      </c>
      <c r="D425" s="20" t="s">
        <v>3</v>
      </c>
    </row>
    <row r="426" spans="1:4">
      <c r="A426" s="21" t="str">
        <f>$R$2&amp;"."&amp;'Конфигурация TREI'!$A$2&amp;".DIAG_15"</f>
        <v>Диагностика.TREI.CPU.DIAG_15</v>
      </c>
      <c r="B426" s="8">
        <v>1</v>
      </c>
      <c r="C426" s="8" t="s">
        <v>1</v>
      </c>
      <c r="D426" s="22">
        <v>11</v>
      </c>
    </row>
    <row r="427" spans="1:4">
      <c r="A427" s="159" t="str">
        <f>$R$2&amp;"."&amp;'Конфигурация TREI'!$A$2&amp;".DIAG_17"</f>
        <v>Диагностика.TREI.CPU.DIAG_17</v>
      </c>
      <c r="B427" s="160">
        <v>11154</v>
      </c>
      <c r="C427" s="160" t="s">
        <v>4</v>
      </c>
      <c r="D427" s="161">
        <f>$Q$8</f>
        <v>18</v>
      </c>
    </row>
    <row r="428" spans="1:4">
      <c r="A428" s="100" t="str">
        <f>$R$2&amp;"."&amp;'Конфигурация TREI'!$A$2&amp;".DIAG_17"</f>
        <v>Диагностика.TREI.CPU.DIAG_17</v>
      </c>
      <c r="B428" s="101">
        <v>11152</v>
      </c>
      <c r="C428" s="101" t="s">
        <v>0</v>
      </c>
      <c r="D428" s="104" t="str">
        <f>$R$8</f>
        <v>Телесигнализация</v>
      </c>
    </row>
    <row r="429" spans="1:4">
      <c r="A429" s="100" t="str">
        <f>$R$2&amp;"."&amp;'Конфигурация TREI'!$A$2&amp;".DIAG_17"</f>
        <v>Диагностика.TREI.CPU.DIAG_17</v>
      </c>
      <c r="B429" s="101">
        <v>11150</v>
      </c>
      <c r="C429" s="101" t="s">
        <v>0</v>
      </c>
      <c r="D429" s="103" t="s">
        <v>810</v>
      </c>
    </row>
    <row r="430" spans="1:4">
      <c r="A430" s="100" t="str">
        <f>$R$2&amp;"."&amp;'Конфигурация TREI'!$A$2&amp;".DIAG_17"</f>
        <v>Диагностика.TREI.CPU.DIAG_17</v>
      </c>
      <c r="B430" s="101">
        <v>11000</v>
      </c>
      <c r="C430" s="101" t="s">
        <v>5</v>
      </c>
      <c r="D430" s="103">
        <v>2147483680</v>
      </c>
    </row>
    <row r="431" spans="1:4">
      <c r="A431" s="19" t="str">
        <f>$R$2&amp;"."&amp;'Конфигурация TREI'!$A$2&amp;".DIAG_17"</f>
        <v>Диагностика.TREI.CPU.DIAG_17</v>
      </c>
      <c r="B431" s="11">
        <v>7999</v>
      </c>
      <c r="C431" s="11" t="s">
        <v>0</v>
      </c>
      <c r="D431" s="20" t="str">
        <f>"#"&amp;$S$2&amp;"#"&amp;$T$2&amp;IF($S$7="","","\")&amp;$S$7&amp;"\"&amp;'Конфигурация TREI'!$A$2&amp;"\DIAG_17"</f>
        <v>#2#treiOPCDA.CoOPCserv.1\pcmaster\CPU\DIAG_17</v>
      </c>
    </row>
    <row r="432" spans="1:4">
      <c r="A432" s="19" t="str">
        <f>$R$2&amp;"."&amp;'Конфигурация TREI'!$A$2&amp;".DIAG_17"</f>
        <v>Диагностика.TREI.CPU.DIAG_17</v>
      </c>
      <c r="B432" s="11">
        <v>7998</v>
      </c>
      <c r="C432" s="11" t="s">
        <v>6</v>
      </c>
      <c r="D432" s="20">
        <v>1</v>
      </c>
    </row>
    <row r="433" spans="1:4">
      <c r="A433" s="19" t="str">
        <f>$R$2&amp;"."&amp;'Конфигурация TREI'!$A$2&amp;".DIAG_17"</f>
        <v>Диагностика.TREI.CPU.DIAG_17</v>
      </c>
      <c r="B433" s="11">
        <v>101</v>
      </c>
      <c r="C433" s="11" t="s">
        <v>0</v>
      </c>
      <c r="D433" s="20" t="s">
        <v>810</v>
      </c>
    </row>
    <row r="434" spans="1:4">
      <c r="A434" s="19" t="str">
        <f>$R$2&amp;"."&amp;'Конфигурация TREI'!$A$2&amp;".DIAG_17"</f>
        <v>Диагностика.TREI.CPU.DIAG_17</v>
      </c>
      <c r="B434" s="11">
        <v>3</v>
      </c>
      <c r="C434" s="11" t="s">
        <v>1</v>
      </c>
      <c r="D434" s="20">
        <v>192</v>
      </c>
    </row>
    <row r="435" spans="1:4">
      <c r="A435" s="19" t="str">
        <f>$R$2&amp;"."&amp;'Конфигурация TREI'!$A$2&amp;".DIAG_17"</f>
        <v>Диагностика.TREI.CPU.DIAG_17</v>
      </c>
      <c r="B435" s="11">
        <v>2</v>
      </c>
      <c r="C435" s="11" t="s">
        <v>2</v>
      </c>
      <c r="D435" s="20" t="s">
        <v>3</v>
      </c>
    </row>
    <row r="436" spans="1:4">
      <c r="A436" s="21" t="str">
        <f>$R$2&amp;"."&amp;'Конфигурация TREI'!$A$2&amp;".DIAG_17"</f>
        <v>Диагностика.TREI.CPU.DIAG_17</v>
      </c>
      <c r="B436" s="8">
        <v>1</v>
      </c>
      <c r="C436" s="8" t="s">
        <v>1</v>
      </c>
      <c r="D436" s="22">
        <v>11</v>
      </c>
    </row>
    <row r="437" spans="1:4">
      <c r="A437" s="159" t="str">
        <f>$R$2&amp;"."&amp;'Конфигурация TREI'!$A$2&amp;".DIAG_19"</f>
        <v>Диагностика.TREI.CPU.DIAG_19</v>
      </c>
      <c r="B437" s="160">
        <v>11154</v>
      </c>
      <c r="C437" s="160" t="s">
        <v>4</v>
      </c>
      <c r="D437" s="161">
        <f>$Q$8</f>
        <v>18</v>
      </c>
    </row>
    <row r="438" spans="1:4">
      <c r="A438" s="100" t="str">
        <f>$R$2&amp;"."&amp;'Конфигурация TREI'!$A$2&amp;".DIAG_19"</f>
        <v>Диагностика.TREI.CPU.DIAG_19</v>
      </c>
      <c r="B438" s="101">
        <v>11152</v>
      </c>
      <c r="C438" s="101" t="s">
        <v>0</v>
      </c>
      <c r="D438" s="104" t="str">
        <f>$R$8</f>
        <v>Телесигнализация</v>
      </c>
    </row>
    <row r="439" spans="1:4">
      <c r="A439" s="100" t="str">
        <f>$R$2&amp;"."&amp;'Конфигурация TREI'!$A$2&amp;".DIAG_19"</f>
        <v>Диагностика.TREI.CPU.DIAG_19</v>
      </c>
      <c r="B439" s="101">
        <v>11150</v>
      </c>
      <c r="C439" s="101" t="s">
        <v>0</v>
      </c>
      <c r="D439" s="103" t="s">
        <v>811</v>
      </c>
    </row>
    <row r="440" spans="1:4">
      <c r="A440" s="100" t="str">
        <f>$R$2&amp;"."&amp;'Конфигурация TREI'!$A$2&amp;".DIAG_19"</f>
        <v>Диагностика.TREI.CPU.DIAG_19</v>
      </c>
      <c r="B440" s="101">
        <v>11000</v>
      </c>
      <c r="C440" s="101" t="s">
        <v>5</v>
      </c>
      <c r="D440" s="103">
        <v>2147483680</v>
      </c>
    </row>
    <row r="441" spans="1:4">
      <c r="A441" s="19" t="str">
        <f>$R$2&amp;"."&amp;'Конфигурация TREI'!$A$2&amp;".DIAG_19"</f>
        <v>Диагностика.TREI.CPU.DIAG_19</v>
      </c>
      <c r="B441" s="11">
        <v>7999</v>
      </c>
      <c r="C441" s="11" t="s">
        <v>0</v>
      </c>
      <c r="D441" s="20" t="str">
        <f>"#"&amp;$S$2&amp;"#"&amp;$T$2&amp;IF($S$7="","","\")&amp;$S$7&amp;"\"&amp;'Конфигурация TREI'!$A$2&amp;"\DIAG_19"</f>
        <v>#2#treiOPCDA.CoOPCserv.1\pcmaster\CPU\DIAG_19</v>
      </c>
    </row>
    <row r="442" spans="1:4">
      <c r="A442" s="19" t="str">
        <f>$R$2&amp;"."&amp;'Конфигурация TREI'!$A$2&amp;".DIAG_19"</f>
        <v>Диагностика.TREI.CPU.DIAG_19</v>
      </c>
      <c r="B442" s="11">
        <v>7998</v>
      </c>
      <c r="C442" s="11" t="s">
        <v>6</v>
      </c>
      <c r="D442" s="20">
        <v>1</v>
      </c>
    </row>
    <row r="443" spans="1:4">
      <c r="A443" s="19" t="str">
        <f>$R$2&amp;"."&amp;'Конфигурация TREI'!$A$2&amp;".DIAG_19"</f>
        <v>Диагностика.TREI.CPU.DIAG_19</v>
      </c>
      <c r="B443" s="11">
        <v>101</v>
      </c>
      <c r="C443" s="11" t="s">
        <v>0</v>
      </c>
      <c r="D443" s="20" t="s">
        <v>811</v>
      </c>
    </row>
    <row r="444" spans="1:4">
      <c r="A444" s="19" t="str">
        <f>$R$2&amp;"."&amp;'Конфигурация TREI'!$A$2&amp;".DIAG_19"</f>
        <v>Диагностика.TREI.CPU.DIAG_19</v>
      </c>
      <c r="B444" s="11">
        <v>3</v>
      </c>
      <c r="C444" s="11" t="s">
        <v>1</v>
      </c>
      <c r="D444" s="20">
        <v>192</v>
      </c>
    </row>
    <row r="445" spans="1:4">
      <c r="A445" s="19" t="str">
        <f>$R$2&amp;"."&amp;'Конфигурация TREI'!$A$2&amp;".DIAG_19"</f>
        <v>Диагностика.TREI.CPU.DIAG_19</v>
      </c>
      <c r="B445" s="11">
        <v>2</v>
      </c>
      <c r="C445" s="11" t="s">
        <v>2</v>
      </c>
      <c r="D445" s="20" t="s">
        <v>3</v>
      </c>
    </row>
    <row r="446" spans="1:4">
      <c r="A446" s="21" t="str">
        <f>$R$2&amp;"."&amp;'Конфигурация TREI'!$A$2&amp;".DIAG_19"</f>
        <v>Диагностика.TREI.CPU.DIAG_19</v>
      </c>
      <c r="B446" s="8">
        <v>1</v>
      </c>
      <c r="C446" s="8" t="s">
        <v>1</v>
      </c>
      <c r="D446" s="22">
        <v>11</v>
      </c>
    </row>
    <row r="447" spans="1:4">
      <c r="A447" s="159" t="str">
        <f>$R$2&amp;"."&amp;'Конфигурация TREI'!$A$2&amp;".DIAG_21"</f>
        <v>Диагностика.TREI.CPU.DIAG_21</v>
      </c>
      <c r="B447" s="160">
        <v>11154</v>
      </c>
      <c r="C447" s="160" t="s">
        <v>4</v>
      </c>
      <c r="D447" s="161">
        <f>$Q$8</f>
        <v>18</v>
      </c>
    </row>
    <row r="448" spans="1:4">
      <c r="A448" s="100" t="str">
        <f>$R$2&amp;"."&amp;'Конфигурация TREI'!$A$2&amp;".DIAG_21"</f>
        <v>Диагностика.TREI.CPU.DIAG_21</v>
      </c>
      <c r="B448" s="101">
        <v>11152</v>
      </c>
      <c r="C448" s="101" t="s">
        <v>0</v>
      </c>
      <c r="D448" s="104" t="str">
        <f>$R$8</f>
        <v>Телесигнализация</v>
      </c>
    </row>
    <row r="449" spans="1:4">
      <c r="A449" s="100" t="str">
        <f>$R$2&amp;"."&amp;'Конфигурация TREI'!$A$2&amp;".DIAG_21"</f>
        <v>Диагностика.TREI.CPU.DIAG_21</v>
      </c>
      <c r="B449" s="101">
        <v>11150</v>
      </c>
      <c r="C449" s="101" t="s">
        <v>0</v>
      </c>
      <c r="D449" s="103" t="s">
        <v>1405</v>
      </c>
    </row>
    <row r="450" spans="1:4">
      <c r="A450" s="100" t="str">
        <f>$R$2&amp;"."&amp;'Конфигурация TREI'!$A$2&amp;".DIAG_21"</f>
        <v>Диагностика.TREI.CPU.DIAG_21</v>
      </c>
      <c r="B450" s="101">
        <v>11000</v>
      </c>
      <c r="C450" s="101" t="s">
        <v>5</v>
      </c>
      <c r="D450" s="103">
        <v>2147483680</v>
      </c>
    </row>
    <row r="451" spans="1:4">
      <c r="A451" s="19" t="str">
        <f>$R$2&amp;"."&amp;'Конфигурация TREI'!$A$2&amp;".DIAG_21"</f>
        <v>Диагностика.TREI.CPU.DIAG_21</v>
      </c>
      <c r="B451" s="11">
        <v>7999</v>
      </c>
      <c r="C451" s="11" t="s">
        <v>0</v>
      </c>
      <c r="D451" s="20" t="str">
        <f>"#"&amp;$S$2&amp;"#"&amp;$T$2&amp;IF($S$7="","","\")&amp;$S$7&amp;"\"&amp;'Конфигурация TREI'!$A$2&amp;"\DIAG_21"</f>
        <v>#2#treiOPCDA.CoOPCserv.1\pcmaster\CPU\DIAG_21</v>
      </c>
    </row>
    <row r="452" spans="1:4">
      <c r="A452" s="19" t="str">
        <f>$R$2&amp;"."&amp;'Конфигурация TREI'!$A$2&amp;".DIAG_21"</f>
        <v>Диагностика.TREI.CPU.DIAG_21</v>
      </c>
      <c r="B452" s="11">
        <v>7998</v>
      </c>
      <c r="C452" s="11" t="s">
        <v>6</v>
      </c>
      <c r="D452" s="20">
        <v>1</v>
      </c>
    </row>
    <row r="453" spans="1:4">
      <c r="A453" s="19" t="str">
        <f>$R$2&amp;"."&amp;'Конфигурация TREI'!$A$2&amp;".DIAG_21"</f>
        <v>Диагностика.TREI.CPU.DIAG_21</v>
      </c>
      <c r="B453" s="11">
        <v>101</v>
      </c>
      <c r="C453" s="11" t="s">
        <v>0</v>
      </c>
      <c r="D453" s="20" t="s">
        <v>1405</v>
      </c>
    </row>
    <row r="454" spans="1:4">
      <c r="A454" s="19" t="str">
        <f>$R$2&amp;"."&amp;'Конфигурация TREI'!$A$2&amp;".DIAG_21"</f>
        <v>Диагностика.TREI.CPU.DIAG_21</v>
      </c>
      <c r="B454" s="11">
        <v>3</v>
      </c>
      <c r="C454" s="11" t="s">
        <v>1</v>
      </c>
      <c r="D454" s="20">
        <v>192</v>
      </c>
    </row>
    <row r="455" spans="1:4">
      <c r="A455" s="19" t="str">
        <f>$R$2&amp;"."&amp;'Конфигурация TREI'!$A$2&amp;".DIAG_21"</f>
        <v>Диагностика.TREI.CPU.DIAG_21</v>
      </c>
      <c r="B455" s="11">
        <v>2</v>
      </c>
      <c r="C455" s="11" t="s">
        <v>2</v>
      </c>
      <c r="D455" s="20" t="s">
        <v>3</v>
      </c>
    </row>
    <row r="456" spans="1:4">
      <c r="A456" s="21" t="str">
        <f>$R$2&amp;"."&amp;'Конфигурация TREI'!$A$2&amp;".DIAG_21"</f>
        <v>Диагностика.TREI.CPU.DIAG_21</v>
      </c>
      <c r="B456" s="8">
        <v>1</v>
      </c>
      <c r="C456" s="8" t="s">
        <v>1</v>
      </c>
      <c r="D456" s="22">
        <v>11</v>
      </c>
    </row>
    <row r="457" spans="1:4">
      <c r="A457" s="159" t="str">
        <f>$R$2&amp;"."&amp;'Конфигурация TREI'!$A$2&amp;".DIAG_22"</f>
        <v>Диагностика.TREI.CPU.DIAG_22</v>
      </c>
      <c r="B457" s="160">
        <v>11154</v>
      </c>
      <c r="C457" s="160" t="s">
        <v>4</v>
      </c>
      <c r="D457" s="161">
        <f>$Q$8</f>
        <v>18</v>
      </c>
    </row>
    <row r="458" spans="1:4">
      <c r="A458" s="100" t="str">
        <f>$R$2&amp;"."&amp;'Конфигурация TREI'!$A$2&amp;".DIAG_22"</f>
        <v>Диагностика.TREI.CPU.DIAG_22</v>
      </c>
      <c r="B458" s="101">
        <v>11152</v>
      </c>
      <c r="C458" s="101" t="s">
        <v>0</v>
      </c>
      <c r="D458" s="104" t="str">
        <f>$R$8</f>
        <v>Телесигнализация</v>
      </c>
    </row>
    <row r="459" spans="1:4">
      <c r="A459" s="100" t="str">
        <f>$R$2&amp;"."&amp;'Конфигурация TREI'!$A$2&amp;".DIAG_22"</f>
        <v>Диагностика.TREI.CPU.DIAG_22</v>
      </c>
      <c r="B459" s="101">
        <v>11150</v>
      </c>
      <c r="C459" s="101" t="s">
        <v>0</v>
      </c>
      <c r="D459" s="103" t="s">
        <v>812</v>
      </c>
    </row>
    <row r="460" spans="1:4">
      <c r="A460" s="100" t="str">
        <f>$R$2&amp;"."&amp;'Конфигурация TREI'!$A$2&amp;".DIAG_22"</f>
        <v>Диагностика.TREI.CPU.DIAG_22</v>
      </c>
      <c r="B460" s="101">
        <v>11000</v>
      </c>
      <c r="C460" s="101" t="s">
        <v>5</v>
      </c>
      <c r="D460" s="103">
        <v>2147483680</v>
      </c>
    </row>
    <row r="461" spans="1:4">
      <c r="A461" s="19" t="str">
        <f>$R$2&amp;"."&amp;'Конфигурация TREI'!$A$2&amp;".DIAG_22"</f>
        <v>Диагностика.TREI.CPU.DIAG_22</v>
      </c>
      <c r="B461" s="11">
        <v>7999</v>
      </c>
      <c r="C461" s="11" t="s">
        <v>0</v>
      </c>
      <c r="D461" s="20" t="str">
        <f>"#"&amp;$S$2&amp;"#"&amp;$T$2&amp;IF($S$7="","","\")&amp;$S$7&amp;"\"&amp;'Конфигурация TREI'!$A$2&amp;"\DIAG_22"</f>
        <v>#2#treiOPCDA.CoOPCserv.1\pcmaster\CPU\DIAG_22</v>
      </c>
    </row>
    <row r="462" spans="1:4">
      <c r="A462" s="19" t="str">
        <f>$R$2&amp;"."&amp;'Конфигурация TREI'!$A$2&amp;".DIAG_22"</f>
        <v>Диагностика.TREI.CPU.DIAG_22</v>
      </c>
      <c r="B462" s="11">
        <v>7998</v>
      </c>
      <c r="C462" s="11" t="s">
        <v>6</v>
      </c>
      <c r="D462" s="20">
        <v>1</v>
      </c>
    </row>
    <row r="463" spans="1:4">
      <c r="A463" s="19" t="str">
        <f>$R$2&amp;"."&amp;'Конфигурация TREI'!$A$2&amp;".DIAG_22"</f>
        <v>Диагностика.TREI.CPU.DIAG_22</v>
      </c>
      <c r="B463" s="11">
        <v>101</v>
      </c>
      <c r="C463" s="11" t="s">
        <v>0</v>
      </c>
      <c r="D463" s="20" t="s">
        <v>812</v>
      </c>
    </row>
    <row r="464" spans="1:4">
      <c r="A464" s="19" t="str">
        <f>$R$2&amp;"."&amp;'Конфигурация TREI'!$A$2&amp;".DIAG_22"</f>
        <v>Диагностика.TREI.CPU.DIAG_22</v>
      </c>
      <c r="B464" s="11">
        <v>3</v>
      </c>
      <c r="C464" s="11" t="s">
        <v>1</v>
      </c>
      <c r="D464" s="20">
        <v>192</v>
      </c>
    </row>
    <row r="465" spans="1:4">
      <c r="A465" s="19" t="str">
        <f>$R$2&amp;"."&amp;'Конфигурация TREI'!$A$2&amp;".DIAG_22"</f>
        <v>Диагностика.TREI.CPU.DIAG_22</v>
      </c>
      <c r="B465" s="11">
        <v>2</v>
      </c>
      <c r="C465" s="11" t="s">
        <v>2</v>
      </c>
      <c r="D465" s="20" t="s">
        <v>3</v>
      </c>
    </row>
    <row r="466" spans="1:4">
      <c r="A466" s="21" t="str">
        <f>$R$2&amp;"."&amp;'Конфигурация TREI'!$A$2&amp;".DIAG_22"</f>
        <v>Диагностика.TREI.CPU.DIAG_22</v>
      </c>
      <c r="B466" s="8">
        <v>1</v>
      </c>
      <c r="C466" s="8" t="s">
        <v>1</v>
      </c>
      <c r="D466" s="22">
        <v>11</v>
      </c>
    </row>
    <row r="467" spans="1:4">
      <c r="A467" s="69" t="str">
        <f>$R$2&amp;"."&amp;'Конфигурация TREI'!$A$2&amp;".DIAG_24"</f>
        <v>Диагностика.TREI.CPU.DIAG_24</v>
      </c>
      <c r="B467" s="70">
        <v>11154</v>
      </c>
      <c r="C467" s="70" t="s">
        <v>4</v>
      </c>
      <c r="D467" s="144">
        <f>$Q$6</f>
        <v>8</v>
      </c>
    </row>
    <row r="468" spans="1:4">
      <c r="A468" s="63" t="str">
        <f>$R$2&amp;"."&amp;'Конфигурация TREI'!$A$2&amp;".DIAG_24"</f>
        <v>Диагностика.TREI.CPU.DIAG_24</v>
      </c>
      <c r="B468" s="64">
        <v>11152</v>
      </c>
      <c r="C468" s="64" t="s">
        <v>0</v>
      </c>
      <c r="D468" s="129" t="str">
        <f>$R$6</f>
        <v>Предупреждение</v>
      </c>
    </row>
    <row r="469" spans="1:4">
      <c r="A469" s="63" t="str">
        <f>$R$2&amp;"."&amp;'Конфигурация TREI'!$A$2&amp;".DIAG_24"</f>
        <v>Диагностика.TREI.CPU.DIAG_24</v>
      </c>
      <c r="B469" s="64">
        <v>11150</v>
      </c>
      <c r="C469" s="64" t="s">
        <v>0</v>
      </c>
      <c r="D469" s="65" t="s">
        <v>813</v>
      </c>
    </row>
    <row r="470" spans="1:4">
      <c r="A470" s="63" t="str">
        <f>$R$2&amp;"."&amp;'Конфигурация TREI'!$A$2&amp;".DIAG_24"</f>
        <v>Диагностика.TREI.CPU.DIAG_24</v>
      </c>
      <c r="B470" s="64">
        <v>11000</v>
      </c>
      <c r="C470" s="64" t="s">
        <v>5</v>
      </c>
      <c r="D470" s="65">
        <v>2147483680</v>
      </c>
    </row>
    <row r="471" spans="1:4">
      <c r="A471" s="19" t="str">
        <f>$R$2&amp;"."&amp;'Конфигурация TREI'!$A$2&amp;".DIAG_24"</f>
        <v>Диагностика.TREI.CPU.DIAG_24</v>
      </c>
      <c r="B471" s="11">
        <v>7999</v>
      </c>
      <c r="C471" s="11" t="s">
        <v>0</v>
      </c>
      <c r="D471" s="20" t="str">
        <f>"#"&amp;$S$2&amp;"#"&amp;$T$2&amp;IF($S$7="","","\")&amp;$S$7&amp;"\"&amp;'Конфигурация TREI'!$A$2&amp;"\DIAG_24"</f>
        <v>#2#treiOPCDA.CoOPCserv.1\pcmaster\CPU\DIAG_24</v>
      </c>
    </row>
    <row r="472" spans="1:4">
      <c r="A472" s="19" t="str">
        <f>$R$2&amp;"."&amp;'Конфигурация TREI'!$A$2&amp;".DIAG_24"</f>
        <v>Диагностика.TREI.CPU.DIAG_24</v>
      </c>
      <c r="B472" s="11">
        <v>7998</v>
      </c>
      <c r="C472" s="11" t="s">
        <v>6</v>
      </c>
      <c r="D472" s="20">
        <v>1</v>
      </c>
    </row>
    <row r="473" spans="1:4">
      <c r="A473" s="19" t="str">
        <f>$R$2&amp;"."&amp;'Конфигурация TREI'!$A$2&amp;".DIAG_24"</f>
        <v>Диагностика.TREI.CPU.DIAG_24</v>
      </c>
      <c r="B473" s="11">
        <v>101</v>
      </c>
      <c r="C473" s="11" t="s">
        <v>0</v>
      </c>
      <c r="D473" s="20" t="s">
        <v>813</v>
      </c>
    </row>
    <row r="474" spans="1:4">
      <c r="A474" s="19" t="str">
        <f>$R$2&amp;"."&amp;'Конфигурация TREI'!$A$2&amp;".DIAG_24"</f>
        <v>Диагностика.TREI.CPU.DIAG_24</v>
      </c>
      <c r="B474" s="11">
        <v>3</v>
      </c>
      <c r="C474" s="11" t="s">
        <v>1</v>
      </c>
      <c r="D474" s="20">
        <v>192</v>
      </c>
    </row>
    <row r="475" spans="1:4">
      <c r="A475" s="19" t="str">
        <f>$R$2&amp;"."&amp;'Конфигурация TREI'!$A$2&amp;".DIAG_24"</f>
        <v>Диагностика.TREI.CPU.DIAG_24</v>
      </c>
      <c r="B475" s="11">
        <v>2</v>
      </c>
      <c r="C475" s="11" t="s">
        <v>2</v>
      </c>
      <c r="D475" s="20" t="s">
        <v>3</v>
      </c>
    </row>
    <row r="476" spans="1:4">
      <c r="A476" s="21" t="str">
        <f>$R$2&amp;"."&amp;'Конфигурация TREI'!$A$2&amp;".DIAG_24"</f>
        <v>Диагностика.TREI.CPU.DIAG_24</v>
      </c>
      <c r="B476" s="8">
        <v>1</v>
      </c>
      <c r="C476" s="8" t="s">
        <v>1</v>
      </c>
      <c r="D476" s="22">
        <v>11</v>
      </c>
    </row>
    <row r="477" spans="1:4">
      <c r="A477" s="69" t="str">
        <f>$R$2&amp;"."&amp;'Конфигурация TREI'!$A$2&amp;".DIAG_25"</f>
        <v>Диагностика.TREI.CPU.DIAG_25</v>
      </c>
      <c r="B477" s="70">
        <v>11154</v>
      </c>
      <c r="C477" s="70" t="s">
        <v>4</v>
      </c>
      <c r="D477" s="144">
        <f>$Q$6</f>
        <v>8</v>
      </c>
    </row>
    <row r="478" spans="1:4">
      <c r="A478" s="63" t="str">
        <f>$R$2&amp;"."&amp;'Конфигурация TREI'!$A$2&amp;".DIAG_25"</f>
        <v>Диагностика.TREI.CPU.DIAG_25</v>
      </c>
      <c r="B478" s="64">
        <v>11152</v>
      </c>
      <c r="C478" s="64" t="s">
        <v>0</v>
      </c>
      <c r="D478" s="129" t="str">
        <f>$R$6</f>
        <v>Предупреждение</v>
      </c>
    </row>
    <row r="479" spans="1:4">
      <c r="A479" s="63" t="str">
        <f>$R$2&amp;"."&amp;'Конфигурация TREI'!$A$2&amp;".DIAG_25"</f>
        <v>Диагностика.TREI.CPU.DIAG_25</v>
      </c>
      <c r="B479" s="64">
        <v>11150</v>
      </c>
      <c r="C479" s="64" t="s">
        <v>0</v>
      </c>
      <c r="D479" s="65" t="s">
        <v>814</v>
      </c>
    </row>
    <row r="480" spans="1:4">
      <c r="A480" s="63" t="str">
        <f>$R$2&amp;"."&amp;'Конфигурация TREI'!$A$2&amp;".DIAG_25"</f>
        <v>Диагностика.TREI.CPU.DIAG_25</v>
      </c>
      <c r="B480" s="64">
        <v>11000</v>
      </c>
      <c r="C480" s="64" t="s">
        <v>5</v>
      </c>
      <c r="D480" s="65">
        <v>2147483680</v>
      </c>
    </row>
    <row r="481" spans="1:4">
      <c r="A481" s="19" t="str">
        <f>$R$2&amp;"."&amp;'Конфигурация TREI'!$A$2&amp;".DIAG_25"</f>
        <v>Диагностика.TREI.CPU.DIAG_25</v>
      </c>
      <c r="B481" s="11">
        <v>7999</v>
      </c>
      <c r="C481" s="11" t="s">
        <v>0</v>
      </c>
      <c r="D481" s="20" t="str">
        <f>"#"&amp;$S$2&amp;"#"&amp;$T$2&amp;IF($S$7="","","\")&amp;$S$7&amp;"\"&amp;'Конфигурация TREI'!$A$2&amp;"\DIAG_25"</f>
        <v>#2#treiOPCDA.CoOPCserv.1\pcmaster\CPU\DIAG_25</v>
      </c>
    </row>
    <row r="482" spans="1:4">
      <c r="A482" s="19" t="str">
        <f>$R$2&amp;"."&amp;'Конфигурация TREI'!$A$2&amp;".DIAG_25"</f>
        <v>Диагностика.TREI.CPU.DIAG_25</v>
      </c>
      <c r="B482" s="11">
        <v>7998</v>
      </c>
      <c r="C482" s="11" t="s">
        <v>6</v>
      </c>
      <c r="D482" s="20">
        <v>1</v>
      </c>
    </row>
    <row r="483" spans="1:4">
      <c r="A483" s="19" t="str">
        <f>$R$2&amp;"."&amp;'Конфигурация TREI'!$A$2&amp;".DIAG_25"</f>
        <v>Диагностика.TREI.CPU.DIAG_25</v>
      </c>
      <c r="B483" s="11">
        <v>101</v>
      </c>
      <c r="C483" s="11" t="s">
        <v>0</v>
      </c>
      <c r="D483" s="20" t="s">
        <v>814</v>
      </c>
    </row>
    <row r="484" spans="1:4">
      <c r="A484" s="19" t="str">
        <f>$R$2&amp;"."&amp;'Конфигурация TREI'!$A$2&amp;".DIAG_25"</f>
        <v>Диагностика.TREI.CPU.DIAG_25</v>
      </c>
      <c r="B484" s="11">
        <v>3</v>
      </c>
      <c r="C484" s="11" t="s">
        <v>1</v>
      </c>
      <c r="D484" s="20">
        <v>192</v>
      </c>
    </row>
    <row r="485" spans="1:4">
      <c r="A485" s="19" t="str">
        <f>$R$2&amp;"."&amp;'Конфигурация TREI'!$A$2&amp;".DIAG_25"</f>
        <v>Диагностика.TREI.CPU.DIAG_25</v>
      </c>
      <c r="B485" s="11">
        <v>2</v>
      </c>
      <c r="C485" s="11" t="s">
        <v>2</v>
      </c>
      <c r="D485" s="20" t="s">
        <v>3</v>
      </c>
    </row>
    <row r="486" spans="1:4">
      <c r="A486" s="21" t="str">
        <f>$R$2&amp;"."&amp;'Конфигурация TREI'!$A$2&amp;".DIAG_25"</f>
        <v>Диагностика.TREI.CPU.DIAG_25</v>
      </c>
      <c r="B486" s="8">
        <v>1</v>
      </c>
      <c r="C486" s="8" t="s">
        <v>1</v>
      </c>
      <c r="D486" s="22">
        <v>11</v>
      </c>
    </row>
    <row r="487" spans="1:4">
      <c r="A487" s="159" t="str">
        <f>$R$2&amp;"."&amp;'Конфигурация TREI'!$A$2&amp;".DIAG_26"</f>
        <v>Диагностика.TREI.CPU.DIAG_26</v>
      </c>
      <c r="B487" s="160">
        <v>11154</v>
      </c>
      <c r="C487" s="160" t="s">
        <v>4</v>
      </c>
      <c r="D487" s="161">
        <f>$Q$8</f>
        <v>18</v>
      </c>
    </row>
    <row r="488" spans="1:4">
      <c r="A488" s="100" t="str">
        <f>$R$2&amp;"."&amp;'Конфигурация TREI'!$A$2&amp;".DIAG_26"</f>
        <v>Диагностика.TREI.CPU.DIAG_26</v>
      </c>
      <c r="B488" s="101">
        <v>11152</v>
      </c>
      <c r="C488" s="101" t="s">
        <v>0</v>
      </c>
      <c r="D488" s="104" t="str">
        <f>$R$8</f>
        <v>Телесигнализация</v>
      </c>
    </row>
    <row r="489" spans="1:4">
      <c r="A489" s="100" t="str">
        <f>$R$2&amp;"."&amp;'Конфигурация TREI'!$A$2&amp;".DIAG_26"</f>
        <v>Диагностика.TREI.CPU.DIAG_26</v>
      </c>
      <c r="B489" s="101">
        <v>11150</v>
      </c>
      <c r="C489" s="101" t="s">
        <v>0</v>
      </c>
      <c r="D489" s="103" t="s">
        <v>1406</v>
      </c>
    </row>
    <row r="490" spans="1:4">
      <c r="A490" s="100" t="str">
        <f>$R$2&amp;"."&amp;'Конфигурация TREI'!$A$2&amp;".DIAG_26"</f>
        <v>Диагностика.TREI.CPU.DIAG_26</v>
      </c>
      <c r="B490" s="101">
        <v>11000</v>
      </c>
      <c r="C490" s="101" t="s">
        <v>5</v>
      </c>
      <c r="D490" s="103">
        <v>2147483680</v>
      </c>
    </row>
    <row r="491" spans="1:4">
      <c r="A491" s="19" t="str">
        <f>$R$2&amp;"."&amp;'Конфигурация TREI'!$A$2&amp;".DIAG_26"</f>
        <v>Диагностика.TREI.CPU.DIAG_26</v>
      </c>
      <c r="B491" s="11">
        <v>7999</v>
      </c>
      <c r="C491" s="11" t="s">
        <v>0</v>
      </c>
      <c r="D491" s="20" t="str">
        <f>"#"&amp;$S$2&amp;"#"&amp;$T$2&amp;IF($S$7="","","\")&amp;$S$7&amp;"\"&amp;'Конфигурация TREI'!$A$2&amp;"\DIAG_26"</f>
        <v>#2#treiOPCDA.CoOPCserv.1\pcmaster\CPU\DIAG_26</v>
      </c>
    </row>
    <row r="492" spans="1:4">
      <c r="A492" s="19" t="str">
        <f>$R$2&amp;"."&amp;'Конфигурация TREI'!$A$2&amp;".DIAG_26"</f>
        <v>Диагностика.TREI.CPU.DIAG_26</v>
      </c>
      <c r="B492" s="11">
        <v>7998</v>
      </c>
      <c r="C492" s="11" t="s">
        <v>6</v>
      </c>
      <c r="D492" s="20">
        <v>1</v>
      </c>
    </row>
    <row r="493" spans="1:4">
      <c r="A493" s="19" t="str">
        <f>$R$2&amp;"."&amp;'Конфигурация TREI'!$A$2&amp;".DIAG_26"</f>
        <v>Диагностика.TREI.CPU.DIAG_26</v>
      </c>
      <c r="B493" s="11">
        <v>101</v>
      </c>
      <c r="C493" s="11" t="s">
        <v>0</v>
      </c>
      <c r="D493" s="20" t="s">
        <v>1406</v>
      </c>
    </row>
    <row r="494" spans="1:4">
      <c r="A494" s="19" t="str">
        <f>$R$2&amp;"."&amp;'Конфигурация TREI'!$A$2&amp;".DIAG_26"</f>
        <v>Диагностика.TREI.CPU.DIAG_26</v>
      </c>
      <c r="B494" s="11">
        <v>3</v>
      </c>
      <c r="C494" s="11" t="s">
        <v>1</v>
      </c>
      <c r="D494" s="20">
        <v>192</v>
      </c>
    </row>
    <row r="495" spans="1:4">
      <c r="A495" s="19" t="str">
        <f>$R$2&amp;"."&amp;'Конфигурация TREI'!$A$2&amp;".DIAG_26"</f>
        <v>Диагностика.TREI.CPU.DIAG_26</v>
      </c>
      <c r="B495" s="11">
        <v>2</v>
      </c>
      <c r="C495" s="11" t="s">
        <v>2</v>
      </c>
      <c r="D495" s="20" t="s">
        <v>3</v>
      </c>
    </row>
    <row r="496" spans="1:4">
      <c r="A496" s="21" t="str">
        <f>$R$2&amp;"."&amp;'Конфигурация TREI'!$A$2&amp;".DIAG_26"</f>
        <v>Диагностика.TREI.CPU.DIAG_26</v>
      </c>
      <c r="B496" s="8">
        <v>1</v>
      </c>
      <c r="C496" s="8" t="s">
        <v>1</v>
      </c>
      <c r="D496" s="22">
        <v>11</v>
      </c>
    </row>
    <row r="497" spans="1:4">
      <c r="A497" s="159" t="str">
        <f>$R$2&amp;"."&amp;'Конфигурация TREI'!$A$2&amp;".DIAG_29"</f>
        <v>Диагностика.TREI.CPU.DIAG_29</v>
      </c>
      <c r="B497" s="160">
        <v>11154</v>
      </c>
      <c r="C497" s="160" t="s">
        <v>4</v>
      </c>
      <c r="D497" s="161">
        <f>$Q$8</f>
        <v>18</v>
      </c>
    </row>
    <row r="498" spans="1:4">
      <c r="A498" s="100" t="str">
        <f>$R$2&amp;"."&amp;'Конфигурация TREI'!$A$2&amp;".DIAG_29"</f>
        <v>Диагностика.TREI.CPU.DIAG_29</v>
      </c>
      <c r="B498" s="101">
        <v>11152</v>
      </c>
      <c r="C498" s="101" t="s">
        <v>0</v>
      </c>
      <c r="D498" s="104" t="str">
        <f>$R$8</f>
        <v>Телесигнализация</v>
      </c>
    </row>
    <row r="499" spans="1:4">
      <c r="A499" s="100" t="str">
        <f>$R$2&amp;"."&amp;'Конфигурация TREI'!$A$2&amp;".DIAG_29"</f>
        <v>Диагностика.TREI.CPU.DIAG_29</v>
      </c>
      <c r="B499" s="101">
        <v>11150</v>
      </c>
      <c r="C499" s="101" t="s">
        <v>0</v>
      </c>
      <c r="D499" s="103" t="s">
        <v>1407</v>
      </c>
    </row>
    <row r="500" spans="1:4">
      <c r="A500" s="100" t="str">
        <f>$R$2&amp;"."&amp;'Конфигурация TREI'!$A$2&amp;".DIAG_29"</f>
        <v>Диагностика.TREI.CPU.DIAG_29</v>
      </c>
      <c r="B500" s="101">
        <v>11000</v>
      </c>
      <c r="C500" s="101" t="s">
        <v>5</v>
      </c>
      <c r="D500" s="103">
        <v>2147483680</v>
      </c>
    </row>
    <row r="501" spans="1:4">
      <c r="A501" s="19" t="str">
        <f>$R$2&amp;"."&amp;'Конфигурация TREI'!$A$2&amp;".DIAG_29"</f>
        <v>Диагностика.TREI.CPU.DIAG_29</v>
      </c>
      <c r="B501" s="11">
        <v>7999</v>
      </c>
      <c r="C501" s="11" t="s">
        <v>0</v>
      </c>
      <c r="D501" s="20" t="str">
        <f>"#"&amp;$S$2&amp;"#"&amp;$T$2&amp;IF($S$7="","","\")&amp;$S$7&amp;"\"&amp;'Конфигурация TREI'!$A$2&amp;"\DIAG_29"</f>
        <v>#2#treiOPCDA.CoOPCserv.1\pcmaster\CPU\DIAG_29</v>
      </c>
    </row>
    <row r="502" spans="1:4">
      <c r="A502" s="19" t="str">
        <f>$R$2&amp;"."&amp;'Конфигурация TREI'!$A$2&amp;".DIAG_29"</f>
        <v>Диагностика.TREI.CPU.DIAG_29</v>
      </c>
      <c r="B502" s="11">
        <v>7998</v>
      </c>
      <c r="C502" s="11" t="s">
        <v>6</v>
      </c>
      <c r="D502" s="20">
        <v>1</v>
      </c>
    </row>
    <row r="503" spans="1:4">
      <c r="A503" s="19" t="str">
        <f>$R$2&amp;"."&amp;'Конфигурация TREI'!$A$2&amp;".DIAG_29"</f>
        <v>Диагностика.TREI.CPU.DIAG_29</v>
      </c>
      <c r="B503" s="11">
        <v>101</v>
      </c>
      <c r="C503" s="11" t="s">
        <v>0</v>
      </c>
      <c r="D503" s="20" t="s">
        <v>1407</v>
      </c>
    </row>
    <row r="504" spans="1:4">
      <c r="A504" s="19" t="str">
        <f>$R$2&amp;"."&amp;'Конфигурация TREI'!$A$2&amp;".DIAG_29"</f>
        <v>Диагностика.TREI.CPU.DIAG_29</v>
      </c>
      <c r="B504" s="11">
        <v>3</v>
      </c>
      <c r="C504" s="11" t="s">
        <v>1</v>
      </c>
      <c r="D504" s="20">
        <v>192</v>
      </c>
    </row>
    <row r="505" spans="1:4">
      <c r="A505" s="19" t="str">
        <f>$R$2&amp;"."&amp;'Конфигурация TREI'!$A$2&amp;".DIAG_29"</f>
        <v>Диагностика.TREI.CPU.DIAG_29</v>
      </c>
      <c r="B505" s="11">
        <v>2</v>
      </c>
      <c r="C505" s="11" t="s">
        <v>2</v>
      </c>
      <c r="D505" s="20" t="s">
        <v>3</v>
      </c>
    </row>
    <row r="506" spans="1:4">
      <c r="A506" s="21" t="str">
        <f>$R$2&amp;"."&amp;'Конфигурация TREI'!$A$2&amp;".DIAG_29"</f>
        <v>Диагностика.TREI.CPU.DIAG_29</v>
      </c>
      <c r="B506" s="8">
        <v>1</v>
      </c>
      <c r="C506" s="8" t="s">
        <v>1</v>
      </c>
      <c r="D506" s="22">
        <v>11</v>
      </c>
    </row>
    <row r="507" spans="1:4">
      <c r="A507" s="159" t="str">
        <f>$R$2&amp;"."&amp;'Конфигурация TREI'!$A$2&amp;".DIAG_30"</f>
        <v>Диагностика.TREI.CPU.DIAG_30</v>
      </c>
      <c r="B507" s="160">
        <v>11154</v>
      </c>
      <c r="C507" s="160" t="s">
        <v>4</v>
      </c>
      <c r="D507" s="161">
        <f>$Q$8</f>
        <v>18</v>
      </c>
    </row>
    <row r="508" spans="1:4">
      <c r="A508" s="100" t="str">
        <f>$R$2&amp;"."&amp;'Конфигурация TREI'!$A$2&amp;".DIAG_30"</f>
        <v>Диагностика.TREI.CPU.DIAG_30</v>
      </c>
      <c r="B508" s="101">
        <v>11152</v>
      </c>
      <c r="C508" s="101" t="s">
        <v>0</v>
      </c>
      <c r="D508" s="104" t="str">
        <f>$R$8</f>
        <v>Телесигнализация</v>
      </c>
    </row>
    <row r="509" spans="1:4">
      <c r="A509" s="100" t="str">
        <f>$R$2&amp;"."&amp;'Конфигурация TREI'!$A$2&amp;".DIAG_30"</f>
        <v>Диагностика.TREI.CPU.DIAG_30</v>
      </c>
      <c r="B509" s="101">
        <v>11150</v>
      </c>
      <c r="C509" s="101" t="s">
        <v>0</v>
      </c>
      <c r="D509" s="103" t="s">
        <v>1408</v>
      </c>
    </row>
    <row r="510" spans="1:4">
      <c r="A510" s="100" t="str">
        <f>$R$2&amp;"."&amp;'Конфигурация TREI'!$A$2&amp;".DIAG_30"</f>
        <v>Диагностика.TREI.CPU.DIAG_30</v>
      </c>
      <c r="B510" s="101">
        <v>11000</v>
      </c>
      <c r="C510" s="101" t="s">
        <v>5</v>
      </c>
      <c r="D510" s="103">
        <v>2147483680</v>
      </c>
    </row>
    <row r="511" spans="1:4">
      <c r="A511" s="19" t="str">
        <f>$R$2&amp;"."&amp;'Конфигурация TREI'!$A$2&amp;".DIAG_30"</f>
        <v>Диагностика.TREI.CPU.DIAG_30</v>
      </c>
      <c r="B511" s="11">
        <v>7999</v>
      </c>
      <c r="C511" s="11" t="s">
        <v>0</v>
      </c>
      <c r="D511" s="20" t="str">
        <f>"#"&amp;$S$2&amp;"#"&amp;$T$2&amp;IF($S$7="","","\")&amp;$S$7&amp;"\"&amp;'Конфигурация TREI'!$A$2&amp;"\DIAG_30"</f>
        <v>#2#treiOPCDA.CoOPCserv.1\pcmaster\CPU\DIAG_30</v>
      </c>
    </row>
    <row r="512" spans="1:4">
      <c r="A512" s="19" t="str">
        <f>$R$2&amp;"."&amp;'Конфигурация TREI'!$A$2&amp;".DIAG_30"</f>
        <v>Диагностика.TREI.CPU.DIAG_30</v>
      </c>
      <c r="B512" s="11">
        <v>7998</v>
      </c>
      <c r="C512" s="11" t="s">
        <v>6</v>
      </c>
      <c r="D512" s="20">
        <v>1</v>
      </c>
    </row>
    <row r="513" spans="1:68">
      <c r="A513" s="19" t="str">
        <f>$R$2&amp;"."&amp;'Конфигурация TREI'!$A$2&amp;".DIAG_30"</f>
        <v>Диагностика.TREI.CPU.DIAG_30</v>
      </c>
      <c r="B513" s="11">
        <v>101</v>
      </c>
      <c r="C513" s="11" t="s">
        <v>0</v>
      </c>
      <c r="D513" s="20" t="s">
        <v>1408</v>
      </c>
    </row>
    <row r="514" spans="1:68">
      <c r="A514" s="19" t="str">
        <f>$R$2&amp;"."&amp;'Конфигурация TREI'!$A$2&amp;".DIAG_30"</f>
        <v>Диагностика.TREI.CPU.DIAG_30</v>
      </c>
      <c r="B514" s="11">
        <v>3</v>
      </c>
      <c r="C514" s="11" t="s">
        <v>1</v>
      </c>
      <c r="D514" s="20">
        <v>192</v>
      </c>
    </row>
    <row r="515" spans="1:68">
      <c r="A515" s="19" t="str">
        <f>$R$2&amp;"."&amp;'Конфигурация TREI'!$A$2&amp;".DIAG_30"</f>
        <v>Диагностика.TREI.CPU.DIAG_30</v>
      </c>
      <c r="B515" s="11">
        <v>2</v>
      </c>
      <c r="C515" s="11" t="s">
        <v>2</v>
      </c>
      <c r="D515" s="20" t="s">
        <v>3</v>
      </c>
    </row>
    <row r="516" spans="1:68">
      <c r="A516" s="21" t="str">
        <f>$R$2&amp;"."&amp;'Конфигурация TREI'!$A$2&amp;".DIAG_30"</f>
        <v>Диагностика.TREI.CPU.DIAG_30</v>
      </c>
      <c r="B516" s="8">
        <v>1</v>
      </c>
      <c r="C516" s="8" t="s">
        <v>1</v>
      </c>
      <c r="D516" s="22">
        <v>11</v>
      </c>
    </row>
    <row r="517" spans="1:68">
      <c r="A517" s="512" t="s">
        <v>3082</v>
      </c>
      <c r="B517" s="512"/>
      <c r="C517" s="512"/>
      <c r="D517" s="512"/>
    </row>
    <row r="518" spans="1:68" ht="15" customHeight="1">
      <c r="A518" s="16" t="str">
        <f>$R$2&amp;"."&amp;'Конфигурация TREI'!$A$2</f>
        <v>Диагностика.TREI.CPU</v>
      </c>
      <c r="B518" s="17">
        <v>11001</v>
      </c>
      <c r="C518" s="17" t="s">
        <v>0</v>
      </c>
      <c r="D518" s="18" t="str">
        <f>$Q$2&amp;". Диагностика CPU"</f>
        <v>Контроллер TREI. Диагностика CPU</v>
      </c>
      <c r="BM518" s="4"/>
      <c r="BN518" s="4"/>
      <c r="BO518" s="4"/>
      <c r="BP518" s="4"/>
    </row>
    <row r="519" spans="1:68" ht="15" customHeight="1">
      <c r="A519" s="19" t="str">
        <f>$R$2&amp;"."&amp;'Конфигурация TREI'!$A$2</f>
        <v>Диагностика.TREI.CPU</v>
      </c>
      <c r="B519" s="11">
        <v>11156</v>
      </c>
      <c r="C519" s="11" t="s">
        <v>0</v>
      </c>
      <c r="D519" s="20" t="str">
        <f>$V$2</f>
        <v>Тестовый экран</v>
      </c>
      <c r="BM519" s="4"/>
      <c r="BN519" s="4"/>
      <c r="BO519" s="4"/>
      <c r="BP519" s="4"/>
    </row>
    <row r="520" spans="1:68" ht="15" customHeight="1">
      <c r="A520" s="21" t="str">
        <f>$R$2&amp;"."&amp;'Конфигурация TREI'!$A$2</f>
        <v>Диагностика.TREI.CPU</v>
      </c>
      <c r="B520" s="8">
        <v>1</v>
      </c>
      <c r="C520" s="8" t="s">
        <v>1</v>
      </c>
      <c r="D520" s="22">
        <v>17</v>
      </c>
      <c r="BM520" s="4"/>
      <c r="BN520" s="4"/>
      <c r="BO520" s="4"/>
      <c r="BP520" s="4"/>
    </row>
    <row r="521" spans="1:68" ht="15" customHeight="1">
      <c r="A521" s="16" t="str">
        <f>$R$2&amp;"."&amp;'Конфигурация TREI'!$A$2</f>
        <v>Диагностика.TREI.CPU</v>
      </c>
      <c r="B521" s="17">
        <v>13</v>
      </c>
      <c r="C521" s="17" t="s">
        <v>2</v>
      </c>
      <c r="D521" s="18" t="s">
        <v>3</v>
      </c>
      <c r="BM521" s="4"/>
      <c r="BN521" s="4"/>
      <c r="BO521" s="4"/>
      <c r="BP521" s="4"/>
    </row>
    <row r="522" spans="1:68" ht="15" customHeight="1">
      <c r="A522" s="19" t="str">
        <f>$R$2&amp;"."&amp;'Конфигурация TREI'!$A$2</f>
        <v>Диагностика.TREI.CPU</v>
      </c>
      <c r="B522" s="11">
        <v>3000013</v>
      </c>
      <c r="C522" s="11" t="s">
        <v>0</v>
      </c>
      <c r="D522" s="20" t="str">
        <f>$AE$2</f>
        <v>Диагностика.CPU.NOT_LINK.noLink</v>
      </c>
      <c r="BM522" s="4"/>
      <c r="BN522" s="4"/>
      <c r="BO522" s="4"/>
      <c r="BP522" s="4"/>
    </row>
    <row r="523" spans="1:68">
      <c r="A523" s="69" t="str">
        <f>$R$2&amp;"."&amp;'Конфигурация TREI'!$A$2&amp;".DIAG_1"</f>
        <v>Диагностика.TREI.CPU.DIAG_1</v>
      </c>
      <c r="B523" s="70">
        <v>11154</v>
      </c>
      <c r="C523" s="70" t="s">
        <v>4</v>
      </c>
      <c r="D523" s="144">
        <f>$Q$6</f>
        <v>8</v>
      </c>
    </row>
    <row r="524" spans="1:68">
      <c r="A524" s="63" t="str">
        <f>$R$2&amp;"."&amp;'Конфигурация TREI'!$A$2&amp;".DIAG_1"</f>
        <v>Диагностика.TREI.CPU.DIAG_1</v>
      </c>
      <c r="B524" s="64">
        <v>11152</v>
      </c>
      <c r="C524" s="64" t="s">
        <v>0</v>
      </c>
      <c r="D524" s="129" t="str">
        <f>$R$6</f>
        <v>Предупреждение</v>
      </c>
    </row>
    <row r="525" spans="1:68">
      <c r="A525" s="63" t="str">
        <f>$R$2&amp;"."&amp;'Конфигурация TREI'!$A$2&amp;".DIAG_1"</f>
        <v>Диагностика.TREI.CPU.DIAG_1</v>
      </c>
      <c r="B525" s="64">
        <v>11150</v>
      </c>
      <c r="C525" s="64" t="s">
        <v>0</v>
      </c>
      <c r="D525" s="65" t="s">
        <v>797</v>
      </c>
    </row>
    <row r="526" spans="1:68">
      <c r="A526" s="63" t="str">
        <f>$R$2&amp;"."&amp;'Конфигурация TREI'!$A$2&amp;".DIAG_1"</f>
        <v>Диагностика.TREI.CPU.DIAG_1</v>
      </c>
      <c r="B526" s="64">
        <v>11000</v>
      </c>
      <c r="C526" s="64" t="s">
        <v>5</v>
      </c>
      <c r="D526" s="65">
        <v>2147483680</v>
      </c>
    </row>
    <row r="527" spans="1:68">
      <c r="A527" s="19" t="str">
        <f>$R$2&amp;"."&amp;'Конфигурация TREI'!$A$2&amp;".DIAG_1"</f>
        <v>Диагностика.TREI.CPU.DIAG_1</v>
      </c>
      <c r="B527" s="11">
        <v>7999</v>
      </c>
      <c r="C527" s="11" t="s">
        <v>0</v>
      </c>
      <c r="D527" s="20" t="str">
        <f>"#"&amp;$S$2&amp;"#"&amp;$T$2&amp;IF($S$7="","","\")&amp;$S$7&amp;"\"&amp;'Конфигурация TREI'!$A$2&amp;"\DIAG_1"</f>
        <v>#2#treiOPCDA.CoOPCserv.1\pcmaster\CPU\DIAG_1</v>
      </c>
    </row>
    <row r="528" spans="1:68">
      <c r="A528" s="19" t="str">
        <f>$R$2&amp;"."&amp;'Конфигурация TREI'!$A$2&amp;".DIAG_1"</f>
        <v>Диагностика.TREI.CPU.DIAG_1</v>
      </c>
      <c r="B528" s="11">
        <v>7998</v>
      </c>
      <c r="C528" s="11" t="s">
        <v>6</v>
      </c>
      <c r="D528" s="20">
        <v>1</v>
      </c>
    </row>
    <row r="529" spans="1:4">
      <c r="A529" s="19" t="str">
        <f>$R$2&amp;"."&amp;'Конфигурация TREI'!$A$2&amp;".DIAG_1"</f>
        <v>Диагностика.TREI.CPU.DIAG_1</v>
      </c>
      <c r="B529" s="11">
        <v>101</v>
      </c>
      <c r="C529" s="11" t="s">
        <v>0</v>
      </c>
      <c r="D529" s="20" t="s">
        <v>797</v>
      </c>
    </row>
    <row r="530" spans="1:4">
      <c r="A530" s="19" t="str">
        <f>$R$2&amp;"."&amp;'Конфигурация TREI'!$A$2&amp;".DIAG_1"</f>
        <v>Диагностика.TREI.CPU.DIAG_1</v>
      </c>
      <c r="B530" s="11">
        <v>3</v>
      </c>
      <c r="C530" s="11" t="s">
        <v>1</v>
      </c>
      <c r="D530" s="20">
        <v>192</v>
      </c>
    </row>
    <row r="531" spans="1:4">
      <c r="A531" s="19" t="str">
        <f>$R$2&amp;"."&amp;'Конфигурация TREI'!$A$2&amp;".DIAG_1"</f>
        <v>Диагностика.TREI.CPU.DIAG_1</v>
      </c>
      <c r="B531" s="11">
        <v>2</v>
      </c>
      <c r="C531" s="11" t="s">
        <v>2</v>
      </c>
      <c r="D531" s="20" t="s">
        <v>3</v>
      </c>
    </row>
    <row r="532" spans="1:4">
      <c r="A532" s="21" t="str">
        <f>$R$2&amp;"."&amp;'Конфигурация TREI'!$A$2&amp;".DIAG_1"</f>
        <v>Диагностика.TREI.CPU.DIAG_1</v>
      </c>
      <c r="B532" s="8">
        <v>1</v>
      </c>
      <c r="C532" s="8" t="s">
        <v>1</v>
      </c>
      <c r="D532" s="22">
        <v>11</v>
      </c>
    </row>
    <row r="533" spans="1:4">
      <c r="A533" s="69" t="str">
        <f>$R$2&amp;"."&amp;'Конфигурация TREI'!$A$2&amp;".DIAG_3"</f>
        <v>Диагностика.TREI.CPU.DIAG_3</v>
      </c>
      <c r="B533" s="70">
        <v>11154</v>
      </c>
      <c r="C533" s="70" t="s">
        <v>4</v>
      </c>
      <c r="D533" s="144">
        <f>$Q$6</f>
        <v>8</v>
      </c>
    </row>
    <row r="534" spans="1:4">
      <c r="A534" s="63" t="str">
        <f>$R$2&amp;"."&amp;'Конфигурация TREI'!$A$2&amp;".DIAG_3"</f>
        <v>Диагностика.TREI.CPU.DIAG_3</v>
      </c>
      <c r="B534" s="64">
        <v>11152</v>
      </c>
      <c r="C534" s="64" t="s">
        <v>0</v>
      </c>
      <c r="D534" s="129" t="str">
        <f>$R$6</f>
        <v>Предупреждение</v>
      </c>
    </row>
    <row r="535" spans="1:4">
      <c r="A535" s="63" t="str">
        <f>$R$2&amp;"."&amp;'Конфигурация TREI'!$A$2&amp;".DIAG_3"</f>
        <v>Диагностика.TREI.CPU.DIAG_3</v>
      </c>
      <c r="B535" s="64">
        <v>11150</v>
      </c>
      <c r="C535" s="64" t="s">
        <v>0</v>
      </c>
      <c r="D535" s="65" t="s">
        <v>799</v>
      </c>
    </row>
    <row r="536" spans="1:4">
      <c r="A536" s="63" t="str">
        <f>$R$2&amp;"."&amp;'Конфигурация TREI'!$A$2&amp;".DIAG_3"</f>
        <v>Диагностика.TREI.CPU.DIAG_3</v>
      </c>
      <c r="B536" s="64">
        <v>11000</v>
      </c>
      <c r="C536" s="64" t="s">
        <v>5</v>
      </c>
      <c r="D536" s="65">
        <v>2147483680</v>
      </c>
    </row>
    <row r="537" spans="1:4">
      <c r="A537" s="19" t="str">
        <f>$R$2&amp;"."&amp;'Конфигурация TREI'!$A$2&amp;".DIAG_3"</f>
        <v>Диагностика.TREI.CPU.DIAG_3</v>
      </c>
      <c r="B537" s="11">
        <v>7999</v>
      </c>
      <c r="C537" s="11" t="s">
        <v>0</v>
      </c>
      <c r="D537" s="20" t="str">
        <f>"#"&amp;$S$2&amp;"#"&amp;$T$2&amp;IF($S$7="","","\")&amp;$S$7&amp;"\"&amp;'Конфигурация TREI'!$A$2&amp;"\DIAG_3"</f>
        <v>#2#treiOPCDA.CoOPCserv.1\pcmaster\CPU\DIAG_3</v>
      </c>
    </row>
    <row r="538" spans="1:4">
      <c r="A538" s="19" t="str">
        <f>$R$2&amp;"."&amp;'Конфигурация TREI'!$A$2&amp;".DIAG_3"</f>
        <v>Диагностика.TREI.CPU.DIAG_3</v>
      </c>
      <c r="B538" s="11">
        <v>7998</v>
      </c>
      <c r="C538" s="11" t="s">
        <v>6</v>
      </c>
      <c r="D538" s="20">
        <v>1</v>
      </c>
    </row>
    <row r="539" spans="1:4">
      <c r="A539" s="19" t="str">
        <f>$R$2&amp;"."&amp;'Конфигурация TREI'!$A$2&amp;".DIAG_3"</f>
        <v>Диагностика.TREI.CPU.DIAG_3</v>
      </c>
      <c r="B539" s="11">
        <v>101</v>
      </c>
      <c r="C539" s="11" t="s">
        <v>0</v>
      </c>
      <c r="D539" s="20" t="s">
        <v>799</v>
      </c>
    </row>
    <row r="540" spans="1:4">
      <c r="A540" s="19" t="str">
        <f>$R$2&amp;"."&amp;'Конфигурация TREI'!$A$2&amp;".DIAG_3"</f>
        <v>Диагностика.TREI.CPU.DIAG_3</v>
      </c>
      <c r="B540" s="11">
        <v>3</v>
      </c>
      <c r="C540" s="11" t="s">
        <v>1</v>
      </c>
      <c r="D540" s="20">
        <v>192</v>
      </c>
    </row>
    <row r="541" spans="1:4">
      <c r="A541" s="19" t="str">
        <f>$R$2&amp;"."&amp;'Конфигурация TREI'!$A$2&amp;".DIAG_3"</f>
        <v>Диагностика.TREI.CPU.DIAG_3</v>
      </c>
      <c r="B541" s="11">
        <v>2</v>
      </c>
      <c r="C541" s="11" t="s">
        <v>2</v>
      </c>
      <c r="D541" s="20" t="s">
        <v>3</v>
      </c>
    </row>
    <row r="542" spans="1:4">
      <c r="A542" s="21" t="str">
        <f>$R$2&amp;"."&amp;'Конфигурация TREI'!$A$2&amp;".DIAG_3"</f>
        <v>Диагностика.TREI.CPU.DIAG_3</v>
      </c>
      <c r="B542" s="8">
        <v>1</v>
      </c>
      <c r="C542" s="8" t="s">
        <v>1</v>
      </c>
      <c r="D542" s="22">
        <v>11</v>
      </c>
    </row>
    <row r="543" spans="1:4">
      <c r="A543" s="69" t="str">
        <f>$R$2&amp;"."&amp;'Конфигурация TREI'!$A$2&amp;".DIAG_4"</f>
        <v>Диагностика.TREI.CPU.DIAG_4</v>
      </c>
      <c r="B543" s="70">
        <v>11154</v>
      </c>
      <c r="C543" s="70" t="s">
        <v>4</v>
      </c>
      <c r="D543" s="144">
        <f>$Q$6</f>
        <v>8</v>
      </c>
    </row>
    <row r="544" spans="1:4">
      <c r="A544" s="63" t="str">
        <f>$R$2&amp;"."&amp;'Конфигурация TREI'!$A$2&amp;".DIAG_4"</f>
        <v>Диагностика.TREI.CPU.DIAG_4</v>
      </c>
      <c r="B544" s="64">
        <v>11152</v>
      </c>
      <c r="C544" s="64" t="s">
        <v>0</v>
      </c>
      <c r="D544" s="129" t="str">
        <f>$R$6</f>
        <v>Предупреждение</v>
      </c>
    </row>
    <row r="545" spans="1:4">
      <c r="A545" s="63" t="str">
        <f>$R$2&amp;"."&amp;'Конфигурация TREI'!$A$2&amp;".DIAG_4"</f>
        <v>Диагностика.TREI.CPU.DIAG_4</v>
      </c>
      <c r="B545" s="64">
        <v>11150</v>
      </c>
      <c r="C545" s="64" t="s">
        <v>0</v>
      </c>
      <c r="D545" s="65" t="s">
        <v>1391</v>
      </c>
    </row>
    <row r="546" spans="1:4">
      <c r="A546" s="63" t="str">
        <f>$R$2&amp;"."&amp;'Конфигурация TREI'!$A$2&amp;".DIAG_4"</f>
        <v>Диагностика.TREI.CPU.DIAG_4</v>
      </c>
      <c r="B546" s="64">
        <v>11000</v>
      </c>
      <c r="C546" s="64" t="s">
        <v>5</v>
      </c>
      <c r="D546" s="65">
        <v>2147483680</v>
      </c>
    </row>
    <row r="547" spans="1:4">
      <c r="A547" s="19" t="str">
        <f>$R$2&amp;"."&amp;'Конфигурация TREI'!$A$2&amp;".DIAG_4"</f>
        <v>Диагностика.TREI.CPU.DIAG_4</v>
      </c>
      <c r="B547" s="11">
        <v>7999</v>
      </c>
      <c r="C547" s="11" t="s">
        <v>0</v>
      </c>
      <c r="D547" s="20" t="str">
        <f>"#"&amp;$S$2&amp;"#"&amp;$T$2&amp;IF($S$7="","","\")&amp;$S$7&amp;"\"&amp;'Конфигурация TREI'!$A$2&amp;"\DIAG_4"</f>
        <v>#2#treiOPCDA.CoOPCserv.1\pcmaster\CPU\DIAG_4</v>
      </c>
    </row>
    <row r="548" spans="1:4">
      <c r="A548" s="19" t="str">
        <f>$R$2&amp;"."&amp;'Конфигурация TREI'!$A$2&amp;".DIAG_4"</f>
        <v>Диагностика.TREI.CPU.DIAG_4</v>
      </c>
      <c r="B548" s="11">
        <v>7998</v>
      </c>
      <c r="C548" s="11" t="s">
        <v>6</v>
      </c>
      <c r="D548" s="20">
        <v>1</v>
      </c>
    </row>
    <row r="549" spans="1:4">
      <c r="A549" s="19" t="str">
        <f>$R$2&amp;"."&amp;'Конфигурация TREI'!$A$2&amp;".DIAG_4"</f>
        <v>Диагностика.TREI.CPU.DIAG_4</v>
      </c>
      <c r="B549" s="11">
        <v>101</v>
      </c>
      <c r="C549" s="11" t="s">
        <v>0</v>
      </c>
      <c r="D549" s="20" t="s">
        <v>1391</v>
      </c>
    </row>
    <row r="550" spans="1:4">
      <c r="A550" s="19" t="str">
        <f>$R$2&amp;"."&amp;'Конфигурация TREI'!$A$2&amp;".DIAG_4"</f>
        <v>Диагностика.TREI.CPU.DIAG_4</v>
      </c>
      <c r="B550" s="11">
        <v>3</v>
      </c>
      <c r="C550" s="11" t="s">
        <v>1</v>
      </c>
      <c r="D550" s="20">
        <v>192</v>
      </c>
    </row>
    <row r="551" spans="1:4">
      <c r="A551" s="19" t="str">
        <f>$R$2&amp;"."&amp;'Конфигурация TREI'!$A$2&amp;".DIAG_4"</f>
        <v>Диагностика.TREI.CPU.DIAG_4</v>
      </c>
      <c r="B551" s="11">
        <v>2</v>
      </c>
      <c r="C551" s="11" t="s">
        <v>2</v>
      </c>
      <c r="D551" s="20" t="s">
        <v>3</v>
      </c>
    </row>
    <row r="552" spans="1:4">
      <c r="A552" s="21" t="str">
        <f>$R$2&amp;"."&amp;'Конфигурация TREI'!$A$2&amp;".DIAG_4"</f>
        <v>Диагностика.TREI.CPU.DIAG_4</v>
      </c>
      <c r="B552" s="8">
        <v>1</v>
      </c>
      <c r="C552" s="8" t="s">
        <v>1</v>
      </c>
      <c r="D552" s="22">
        <v>11</v>
      </c>
    </row>
    <row r="553" spans="1:4">
      <c r="A553" s="69" t="str">
        <f>$R$2&amp;"."&amp;'Конфигурация TREI'!$A$2&amp;".DIAG_7"</f>
        <v>Диагностика.TREI.CPU.DIAG_7</v>
      </c>
      <c r="B553" s="70">
        <v>11154</v>
      </c>
      <c r="C553" s="70" t="s">
        <v>4</v>
      </c>
      <c r="D553" s="144">
        <f>$Q$6</f>
        <v>8</v>
      </c>
    </row>
    <row r="554" spans="1:4">
      <c r="A554" s="63" t="str">
        <f>$R$2&amp;"."&amp;'Конфигурация TREI'!$A$2&amp;".DIAG_7"</f>
        <v>Диагностика.TREI.CPU.DIAG_7</v>
      </c>
      <c r="B554" s="64">
        <v>11152</v>
      </c>
      <c r="C554" s="64" t="s">
        <v>0</v>
      </c>
      <c r="D554" s="129" t="str">
        <f>$R$6</f>
        <v>Предупреждение</v>
      </c>
    </row>
    <row r="555" spans="1:4">
      <c r="A555" s="63" t="str">
        <f>$R$2&amp;"."&amp;'Конфигурация TREI'!$A$2&amp;".DIAG_7"</f>
        <v>Диагностика.TREI.CPU.DIAG_7</v>
      </c>
      <c r="B555" s="64">
        <v>11150</v>
      </c>
      <c r="C555" s="64" t="s">
        <v>0</v>
      </c>
      <c r="D555" s="65" t="s">
        <v>801</v>
      </c>
    </row>
    <row r="556" spans="1:4">
      <c r="A556" s="63" t="str">
        <f>$R$2&amp;"."&amp;'Конфигурация TREI'!$A$2&amp;".DIAG_7"</f>
        <v>Диагностика.TREI.CPU.DIAG_7</v>
      </c>
      <c r="B556" s="64">
        <v>11000</v>
      </c>
      <c r="C556" s="64" t="s">
        <v>5</v>
      </c>
      <c r="D556" s="65">
        <v>2147483680</v>
      </c>
    </row>
    <row r="557" spans="1:4">
      <c r="A557" s="19" t="str">
        <f>$R$2&amp;"."&amp;'Конфигурация TREI'!$A$2&amp;".DIAG_7"</f>
        <v>Диагностика.TREI.CPU.DIAG_7</v>
      </c>
      <c r="B557" s="11">
        <v>7999</v>
      </c>
      <c r="C557" s="11" t="s">
        <v>0</v>
      </c>
      <c r="D557" s="20" t="str">
        <f>"#"&amp;$S$2&amp;"#"&amp;$T$2&amp;IF($S$7="","","\")&amp;$S$7&amp;"\"&amp;'Конфигурация TREI'!$A$2&amp;"\DIAG_7"</f>
        <v>#2#treiOPCDA.CoOPCserv.1\pcmaster\CPU\DIAG_7</v>
      </c>
    </row>
    <row r="558" spans="1:4">
      <c r="A558" s="19" t="str">
        <f>$R$2&amp;"."&amp;'Конфигурация TREI'!$A$2&amp;".DIAG_7"</f>
        <v>Диагностика.TREI.CPU.DIAG_7</v>
      </c>
      <c r="B558" s="11">
        <v>7998</v>
      </c>
      <c r="C558" s="11" t="s">
        <v>6</v>
      </c>
      <c r="D558" s="20">
        <v>1</v>
      </c>
    </row>
    <row r="559" spans="1:4">
      <c r="A559" s="19" t="str">
        <f>$R$2&amp;"."&amp;'Конфигурация TREI'!$A$2&amp;".DIAG_7"</f>
        <v>Диагностика.TREI.CPU.DIAG_7</v>
      </c>
      <c r="B559" s="11">
        <v>101</v>
      </c>
      <c r="C559" s="11" t="s">
        <v>0</v>
      </c>
      <c r="D559" s="20" t="s">
        <v>801</v>
      </c>
    </row>
    <row r="560" spans="1:4">
      <c r="A560" s="19" t="str">
        <f>$R$2&amp;"."&amp;'Конфигурация TREI'!$A$2&amp;".DIAG_7"</f>
        <v>Диагностика.TREI.CPU.DIAG_7</v>
      </c>
      <c r="B560" s="11">
        <v>3</v>
      </c>
      <c r="C560" s="11" t="s">
        <v>1</v>
      </c>
      <c r="D560" s="20">
        <v>192</v>
      </c>
    </row>
    <row r="561" spans="1:4">
      <c r="A561" s="19" t="str">
        <f>$R$2&amp;"."&amp;'Конфигурация TREI'!$A$2&amp;".DIAG_7"</f>
        <v>Диагностика.TREI.CPU.DIAG_7</v>
      </c>
      <c r="B561" s="11">
        <v>2</v>
      </c>
      <c r="C561" s="11" t="s">
        <v>2</v>
      </c>
      <c r="D561" s="20" t="s">
        <v>3</v>
      </c>
    </row>
    <row r="562" spans="1:4">
      <c r="A562" s="21" t="str">
        <f>$R$2&amp;"."&amp;'Конфигурация TREI'!$A$2&amp;".DIAG_7"</f>
        <v>Диагностика.TREI.CPU.DIAG_7</v>
      </c>
      <c r="B562" s="8">
        <v>1</v>
      </c>
      <c r="C562" s="8" t="s">
        <v>1</v>
      </c>
      <c r="D562" s="22">
        <v>11</v>
      </c>
    </row>
    <row r="563" spans="1:4">
      <c r="A563" s="69" t="str">
        <f>$R$2&amp;"."&amp;'Конфигурация TREI'!$A$2&amp;".DIAG_11"</f>
        <v>Диагностика.TREI.CPU.DIAG_11</v>
      </c>
      <c r="B563" s="70">
        <v>11154</v>
      </c>
      <c r="C563" s="70" t="s">
        <v>4</v>
      </c>
      <c r="D563" s="144">
        <f>$Q$6</f>
        <v>8</v>
      </c>
    </row>
    <row r="564" spans="1:4">
      <c r="A564" s="63" t="str">
        <f>$R$2&amp;"."&amp;'Конфигурация TREI'!$A$2&amp;".DIAG_11"</f>
        <v>Диагностика.TREI.CPU.DIAG_11</v>
      </c>
      <c r="B564" s="64">
        <v>11152</v>
      </c>
      <c r="C564" s="64" t="s">
        <v>0</v>
      </c>
      <c r="D564" s="129" t="str">
        <f>$R$6</f>
        <v>Предупреждение</v>
      </c>
    </row>
    <row r="565" spans="1:4">
      <c r="A565" s="63" t="str">
        <f>$R$2&amp;"."&amp;'Конфигурация TREI'!$A$2&amp;".DIAG_11"</f>
        <v>Диагностика.TREI.CPU.DIAG_11</v>
      </c>
      <c r="B565" s="64">
        <v>11150</v>
      </c>
      <c r="C565" s="64" t="s">
        <v>0</v>
      </c>
      <c r="D565" s="65" t="s">
        <v>3084</v>
      </c>
    </row>
    <row r="566" spans="1:4">
      <c r="A566" s="63" t="str">
        <f>$R$2&amp;"."&amp;'Конфигурация TREI'!$A$2&amp;".DIAG_11"</f>
        <v>Диагностика.TREI.CPU.DIAG_11</v>
      </c>
      <c r="B566" s="64">
        <v>11000</v>
      </c>
      <c r="C566" s="64" t="s">
        <v>5</v>
      </c>
      <c r="D566" s="65">
        <v>2147483680</v>
      </c>
    </row>
    <row r="567" spans="1:4">
      <c r="A567" s="19" t="str">
        <f>$R$2&amp;"."&amp;'Конфигурация TREI'!$A$2&amp;".DIAG_11"</f>
        <v>Диагностика.TREI.CPU.DIAG_11</v>
      </c>
      <c r="B567" s="11">
        <v>7999</v>
      </c>
      <c r="C567" s="11" t="s">
        <v>0</v>
      </c>
      <c r="D567" s="20" t="str">
        <f>"#"&amp;$S$2&amp;"#"&amp;$T$2&amp;IF($S$7="","","\")&amp;$S$7&amp;"\"&amp;'Конфигурация TREI'!$A$2&amp;"\DIAG_11"</f>
        <v>#2#treiOPCDA.CoOPCserv.1\pcmaster\CPU\DIAG_11</v>
      </c>
    </row>
    <row r="568" spans="1:4">
      <c r="A568" s="19" t="str">
        <f>$R$2&amp;"."&amp;'Конфигурация TREI'!$A$2&amp;".DIAG_11"</f>
        <v>Диагностика.TREI.CPU.DIAG_11</v>
      </c>
      <c r="B568" s="11">
        <v>7998</v>
      </c>
      <c r="C568" s="11" t="s">
        <v>6</v>
      </c>
      <c r="D568" s="20">
        <v>1</v>
      </c>
    </row>
    <row r="569" spans="1:4">
      <c r="A569" s="19" t="str">
        <f>$R$2&amp;"."&amp;'Конфигурация TREI'!$A$2&amp;".DIAG_11"</f>
        <v>Диагностика.TREI.CPU.DIAG_11</v>
      </c>
      <c r="B569" s="11">
        <v>101</v>
      </c>
      <c r="C569" s="11" t="s">
        <v>0</v>
      </c>
      <c r="D569" s="20" t="s">
        <v>3084</v>
      </c>
    </row>
    <row r="570" spans="1:4">
      <c r="A570" s="19" t="str">
        <f>$R$2&amp;"."&amp;'Конфигурация TREI'!$A$2&amp;".DIAG_11"</f>
        <v>Диагностика.TREI.CPU.DIAG_11</v>
      </c>
      <c r="B570" s="11">
        <v>3</v>
      </c>
      <c r="C570" s="11" t="s">
        <v>1</v>
      </c>
      <c r="D570" s="20">
        <v>192</v>
      </c>
    </row>
    <row r="571" spans="1:4">
      <c r="A571" s="19" t="str">
        <f>$R$2&amp;"."&amp;'Конфигурация TREI'!$A$2&amp;".DIAG_11"</f>
        <v>Диагностика.TREI.CPU.DIAG_11</v>
      </c>
      <c r="B571" s="11">
        <v>2</v>
      </c>
      <c r="C571" s="11" t="s">
        <v>2</v>
      </c>
      <c r="D571" s="20" t="s">
        <v>3</v>
      </c>
    </row>
    <row r="572" spans="1:4">
      <c r="A572" s="21" t="str">
        <f>$R$2&amp;"."&amp;'Конфигурация TREI'!$A$2&amp;".DIAG_11"</f>
        <v>Диагностика.TREI.CPU.DIAG_11</v>
      </c>
      <c r="B572" s="8">
        <v>1</v>
      </c>
      <c r="C572" s="8" t="s">
        <v>1</v>
      </c>
      <c r="D572" s="22">
        <v>11</v>
      </c>
    </row>
    <row r="573" spans="1:4">
      <c r="A573" s="69" t="str">
        <f>$R$2&amp;"."&amp;'Конфигурация TREI'!$A$2&amp;".DIAG_13"</f>
        <v>Диагностика.TREI.CPU.DIAG_13</v>
      </c>
      <c r="B573" s="70">
        <v>11154</v>
      </c>
      <c r="C573" s="70" t="s">
        <v>4</v>
      </c>
      <c r="D573" s="144">
        <f>$Q$6</f>
        <v>8</v>
      </c>
    </row>
    <row r="574" spans="1:4">
      <c r="A574" s="63" t="str">
        <f>$R$2&amp;"."&amp;'Конфигурация TREI'!$A$2&amp;".DIAG_13"</f>
        <v>Диагностика.TREI.CPU.DIAG_13</v>
      </c>
      <c r="B574" s="64">
        <v>11152</v>
      </c>
      <c r="C574" s="64" t="s">
        <v>0</v>
      </c>
      <c r="D574" s="129" t="str">
        <f>$R$6</f>
        <v>Предупреждение</v>
      </c>
    </row>
    <row r="575" spans="1:4">
      <c r="A575" s="63" t="str">
        <f>$R$2&amp;"."&amp;'Конфигурация TREI'!$A$2&amp;".DIAG_13"</f>
        <v>Диагностика.TREI.CPU.DIAG_13</v>
      </c>
      <c r="B575" s="64">
        <v>11150</v>
      </c>
      <c r="C575" s="64" t="s">
        <v>0</v>
      </c>
      <c r="D575" s="65" t="s">
        <v>807</v>
      </c>
    </row>
    <row r="576" spans="1:4">
      <c r="A576" s="63" t="str">
        <f>$R$2&amp;"."&amp;'Конфигурация TREI'!$A$2&amp;".DIAG_13"</f>
        <v>Диагностика.TREI.CPU.DIAG_13</v>
      </c>
      <c r="B576" s="64">
        <v>11000</v>
      </c>
      <c r="C576" s="64" t="s">
        <v>5</v>
      </c>
      <c r="D576" s="65">
        <v>2147483680</v>
      </c>
    </row>
    <row r="577" spans="1:4">
      <c r="A577" s="19" t="str">
        <f>$R$2&amp;"."&amp;'Конфигурация TREI'!$A$2&amp;".DIAG_13"</f>
        <v>Диагностика.TREI.CPU.DIAG_13</v>
      </c>
      <c r="B577" s="11">
        <v>7999</v>
      </c>
      <c r="C577" s="11" t="s">
        <v>0</v>
      </c>
      <c r="D577" s="20" t="str">
        <f>"#"&amp;$S$2&amp;"#"&amp;$T$2&amp;IF($S$7="","","\")&amp;$S$7&amp;"\"&amp;'Конфигурация TREI'!$A$2&amp;"\DIAG_13"</f>
        <v>#2#treiOPCDA.CoOPCserv.1\pcmaster\CPU\DIAG_13</v>
      </c>
    </row>
    <row r="578" spans="1:4">
      <c r="A578" s="19" t="str">
        <f>$R$2&amp;"."&amp;'Конфигурация TREI'!$A$2&amp;".DIAG_13"</f>
        <v>Диагностика.TREI.CPU.DIAG_13</v>
      </c>
      <c r="B578" s="11">
        <v>7998</v>
      </c>
      <c r="C578" s="11" t="s">
        <v>6</v>
      </c>
      <c r="D578" s="20">
        <v>1</v>
      </c>
    </row>
    <row r="579" spans="1:4">
      <c r="A579" s="19" t="str">
        <f>$R$2&amp;"."&amp;'Конфигурация TREI'!$A$2&amp;".DIAG_13"</f>
        <v>Диагностика.TREI.CPU.DIAG_13</v>
      </c>
      <c r="B579" s="11">
        <v>101</v>
      </c>
      <c r="C579" s="11" t="s">
        <v>0</v>
      </c>
      <c r="D579" s="20" t="s">
        <v>807</v>
      </c>
    </row>
    <row r="580" spans="1:4">
      <c r="A580" s="19" t="str">
        <f>$R$2&amp;"."&amp;'Конфигурация TREI'!$A$2&amp;".DIAG_13"</f>
        <v>Диагностика.TREI.CPU.DIAG_13</v>
      </c>
      <c r="B580" s="11">
        <v>3</v>
      </c>
      <c r="C580" s="11" t="s">
        <v>1</v>
      </c>
      <c r="D580" s="20">
        <v>192</v>
      </c>
    </row>
    <row r="581" spans="1:4">
      <c r="A581" s="19" t="str">
        <f>$R$2&amp;"."&amp;'Конфигурация TREI'!$A$2&amp;".DIAG_13"</f>
        <v>Диагностика.TREI.CPU.DIAG_13</v>
      </c>
      <c r="B581" s="11">
        <v>2</v>
      </c>
      <c r="C581" s="11" t="s">
        <v>2</v>
      </c>
      <c r="D581" s="20" t="s">
        <v>3</v>
      </c>
    </row>
    <row r="582" spans="1:4">
      <c r="A582" s="21" t="str">
        <f>$R$2&amp;"."&amp;'Конфигурация TREI'!$A$2&amp;".DIAG_13"</f>
        <v>Диагностика.TREI.CPU.DIAG_13</v>
      </c>
      <c r="B582" s="8">
        <v>1</v>
      </c>
      <c r="C582" s="8" t="s">
        <v>1</v>
      </c>
      <c r="D582" s="22">
        <v>11</v>
      </c>
    </row>
    <row r="583" spans="1:4">
      <c r="A583" s="69" t="str">
        <f>$R$2&amp;"."&amp;'Конфигурация TREI'!$A$2&amp;".DIAG_14"</f>
        <v>Диагностика.TREI.CPU.DIAG_14</v>
      </c>
      <c r="B583" s="70">
        <v>11154</v>
      </c>
      <c r="C583" s="70" t="s">
        <v>4</v>
      </c>
      <c r="D583" s="144">
        <f>$Q$6</f>
        <v>8</v>
      </c>
    </row>
    <row r="584" spans="1:4">
      <c r="A584" s="63" t="str">
        <f>$R$2&amp;"."&amp;'Конфигурация TREI'!$A$2&amp;".DIAG_14"</f>
        <v>Диагностика.TREI.CPU.DIAG_14</v>
      </c>
      <c r="B584" s="64">
        <v>11152</v>
      </c>
      <c r="C584" s="64" t="s">
        <v>0</v>
      </c>
      <c r="D584" s="129" t="str">
        <f>$R$6</f>
        <v>Предупреждение</v>
      </c>
    </row>
    <row r="585" spans="1:4">
      <c r="A585" s="63" t="str">
        <f>$R$2&amp;"."&amp;'Конфигурация TREI'!$A$2&amp;".DIAG_14"</f>
        <v>Диагностика.TREI.CPU.DIAG_14</v>
      </c>
      <c r="B585" s="64">
        <v>11150</v>
      </c>
      <c r="C585" s="64" t="s">
        <v>0</v>
      </c>
      <c r="D585" s="65" t="s">
        <v>808</v>
      </c>
    </row>
    <row r="586" spans="1:4">
      <c r="A586" s="63" t="str">
        <f>$R$2&amp;"."&amp;'Конфигурация TREI'!$A$2&amp;".DIAG_14"</f>
        <v>Диагностика.TREI.CPU.DIAG_14</v>
      </c>
      <c r="B586" s="64">
        <v>11000</v>
      </c>
      <c r="C586" s="64" t="s">
        <v>5</v>
      </c>
      <c r="D586" s="65">
        <v>2147483680</v>
      </c>
    </row>
    <row r="587" spans="1:4">
      <c r="A587" s="19" t="str">
        <f>$R$2&amp;"."&amp;'Конфигурация TREI'!$A$2&amp;".DIAG_14"</f>
        <v>Диагностика.TREI.CPU.DIAG_14</v>
      </c>
      <c r="B587" s="11">
        <v>7999</v>
      </c>
      <c r="C587" s="11" t="s">
        <v>0</v>
      </c>
      <c r="D587" s="20" t="str">
        <f>"#"&amp;$S$2&amp;"#"&amp;$T$2&amp;IF($S$7="","","\")&amp;$S$7&amp;"\"&amp;'Конфигурация TREI'!$A$2&amp;"\DIAG_14"</f>
        <v>#2#treiOPCDA.CoOPCserv.1\pcmaster\CPU\DIAG_14</v>
      </c>
    </row>
    <row r="588" spans="1:4">
      <c r="A588" s="19" t="str">
        <f>$R$2&amp;"."&amp;'Конфигурация TREI'!$A$2&amp;".DIAG_14"</f>
        <v>Диагностика.TREI.CPU.DIAG_14</v>
      </c>
      <c r="B588" s="11">
        <v>7998</v>
      </c>
      <c r="C588" s="11" t="s">
        <v>6</v>
      </c>
      <c r="D588" s="20">
        <v>1</v>
      </c>
    </row>
    <row r="589" spans="1:4">
      <c r="A589" s="19" t="str">
        <f>$R$2&amp;"."&amp;'Конфигурация TREI'!$A$2&amp;".DIAG_14"</f>
        <v>Диагностика.TREI.CPU.DIAG_14</v>
      </c>
      <c r="B589" s="11">
        <v>101</v>
      </c>
      <c r="C589" s="11" t="s">
        <v>0</v>
      </c>
      <c r="D589" s="20" t="s">
        <v>808</v>
      </c>
    </row>
    <row r="590" spans="1:4">
      <c r="A590" s="19" t="str">
        <f>$R$2&amp;"."&amp;'Конфигурация TREI'!$A$2&amp;".DIAG_14"</f>
        <v>Диагностика.TREI.CPU.DIAG_14</v>
      </c>
      <c r="B590" s="11">
        <v>3</v>
      </c>
      <c r="C590" s="11" t="s">
        <v>1</v>
      </c>
      <c r="D590" s="20">
        <v>192</v>
      </c>
    </row>
    <row r="591" spans="1:4">
      <c r="A591" s="19" t="str">
        <f>$R$2&amp;"."&amp;'Конфигурация TREI'!$A$2&amp;".DIAG_14"</f>
        <v>Диагностика.TREI.CPU.DIAG_14</v>
      </c>
      <c r="B591" s="11">
        <v>2</v>
      </c>
      <c r="C591" s="11" t="s">
        <v>2</v>
      </c>
      <c r="D591" s="20" t="s">
        <v>3</v>
      </c>
    </row>
    <row r="592" spans="1:4">
      <c r="A592" s="21" t="str">
        <f>$R$2&amp;"."&amp;'Конфигурация TREI'!$A$2&amp;".DIAG_14"</f>
        <v>Диагностика.TREI.CPU.DIAG_14</v>
      </c>
      <c r="B592" s="8">
        <v>1</v>
      </c>
      <c r="C592" s="8" t="s">
        <v>1</v>
      </c>
      <c r="D592" s="22">
        <v>11</v>
      </c>
    </row>
    <row r="593" spans="1:4">
      <c r="A593" s="159" t="str">
        <f>$R$2&amp;"."&amp;'Конфигурация TREI'!$A$2&amp;".DIAG_15"</f>
        <v>Диагностика.TREI.CPU.DIAG_15</v>
      </c>
      <c r="B593" s="160">
        <v>11154</v>
      </c>
      <c r="C593" s="160" t="s">
        <v>4</v>
      </c>
      <c r="D593" s="161">
        <f>$Q$8</f>
        <v>18</v>
      </c>
    </row>
    <row r="594" spans="1:4">
      <c r="A594" s="100" t="str">
        <f>$R$2&amp;"."&amp;'Конфигурация TREI'!$A$2&amp;".DIAG_15"</f>
        <v>Диагностика.TREI.CPU.DIAG_15</v>
      </c>
      <c r="B594" s="101">
        <v>11152</v>
      </c>
      <c r="C594" s="101" t="s">
        <v>0</v>
      </c>
      <c r="D594" s="104" t="str">
        <f>$R$8</f>
        <v>Телесигнализация</v>
      </c>
    </row>
    <row r="595" spans="1:4">
      <c r="A595" s="100" t="str">
        <f>$R$2&amp;"."&amp;'Конфигурация TREI'!$A$2&amp;".DIAG_15"</f>
        <v>Диагностика.TREI.CPU.DIAG_15</v>
      </c>
      <c r="B595" s="101">
        <v>11150</v>
      </c>
      <c r="C595" s="101" t="s">
        <v>0</v>
      </c>
      <c r="D595" s="103" t="s">
        <v>3085</v>
      </c>
    </row>
    <row r="596" spans="1:4">
      <c r="A596" s="100" t="str">
        <f>$R$2&amp;"."&amp;'Конфигурация TREI'!$A$2&amp;".DIAG_15"</f>
        <v>Диагностика.TREI.CPU.DIAG_15</v>
      </c>
      <c r="B596" s="101">
        <v>11000</v>
      </c>
      <c r="C596" s="101" t="s">
        <v>5</v>
      </c>
      <c r="D596" s="103">
        <v>2147483680</v>
      </c>
    </row>
    <row r="597" spans="1:4">
      <c r="A597" s="19" t="str">
        <f>$R$2&amp;"."&amp;'Конфигурация TREI'!$A$2&amp;".DIAG_15"</f>
        <v>Диагностика.TREI.CPU.DIAG_15</v>
      </c>
      <c r="B597" s="11">
        <v>7999</v>
      </c>
      <c r="C597" s="11" t="s">
        <v>0</v>
      </c>
      <c r="D597" s="20" t="str">
        <f>"#"&amp;$S$2&amp;"#"&amp;$T$2&amp;IF($S$7="","","\")&amp;$S$7&amp;"\"&amp;'Конфигурация TREI'!$A$2&amp;"\DIAG_15"</f>
        <v>#2#treiOPCDA.CoOPCserv.1\pcmaster\CPU\DIAG_15</v>
      </c>
    </row>
    <row r="598" spans="1:4">
      <c r="A598" s="19" t="str">
        <f>$R$2&amp;"."&amp;'Конфигурация TREI'!$A$2&amp;".DIAG_15"</f>
        <v>Диагностика.TREI.CPU.DIAG_15</v>
      </c>
      <c r="B598" s="11">
        <v>7998</v>
      </c>
      <c r="C598" s="11" t="s">
        <v>6</v>
      </c>
      <c r="D598" s="20">
        <v>1</v>
      </c>
    </row>
    <row r="599" spans="1:4">
      <c r="A599" s="19" t="str">
        <f>$R$2&amp;"."&amp;'Конфигурация TREI'!$A$2&amp;".DIAG_15"</f>
        <v>Диагностика.TREI.CPU.DIAG_15</v>
      </c>
      <c r="B599" s="11">
        <v>101</v>
      </c>
      <c r="C599" s="11" t="s">
        <v>0</v>
      </c>
      <c r="D599" s="20" t="s">
        <v>3085</v>
      </c>
    </row>
    <row r="600" spans="1:4">
      <c r="A600" s="19" t="str">
        <f>$R$2&amp;"."&amp;'Конфигурация TREI'!$A$2&amp;".DIAG_15"</f>
        <v>Диагностика.TREI.CPU.DIAG_15</v>
      </c>
      <c r="B600" s="11">
        <v>3</v>
      </c>
      <c r="C600" s="11" t="s">
        <v>1</v>
      </c>
      <c r="D600" s="20">
        <v>192</v>
      </c>
    </row>
    <row r="601" spans="1:4">
      <c r="A601" s="19" t="str">
        <f>$R$2&amp;"."&amp;'Конфигурация TREI'!$A$2&amp;".DIAG_15"</f>
        <v>Диагностика.TREI.CPU.DIAG_15</v>
      </c>
      <c r="B601" s="11">
        <v>2</v>
      </c>
      <c r="C601" s="11" t="s">
        <v>2</v>
      </c>
      <c r="D601" s="20" t="s">
        <v>3</v>
      </c>
    </row>
    <row r="602" spans="1:4">
      <c r="A602" s="21" t="str">
        <f>$R$2&amp;"."&amp;'Конфигурация TREI'!$A$2&amp;".DIAG_15"</f>
        <v>Диагностика.TREI.CPU.DIAG_15</v>
      </c>
      <c r="B602" s="8">
        <v>1</v>
      </c>
      <c r="C602" s="8" t="s">
        <v>1</v>
      </c>
      <c r="D602" s="22">
        <v>11</v>
      </c>
    </row>
    <row r="603" spans="1:4">
      <c r="A603" s="159" t="str">
        <f>$R$2&amp;"."&amp;'Конфигурация TREI'!$A$2&amp;".DIAG_16"</f>
        <v>Диагностика.TREI.CPU.DIAG_16</v>
      </c>
      <c r="B603" s="160">
        <v>11154</v>
      </c>
      <c r="C603" s="160" t="s">
        <v>4</v>
      </c>
      <c r="D603" s="161">
        <f>$Q$8</f>
        <v>18</v>
      </c>
    </row>
    <row r="604" spans="1:4">
      <c r="A604" s="100" t="str">
        <f>$R$2&amp;"."&amp;'Конфигурация TREI'!$A$2&amp;".DIAG_16"</f>
        <v>Диагностика.TREI.CPU.DIAG_16</v>
      </c>
      <c r="B604" s="101">
        <v>11152</v>
      </c>
      <c r="C604" s="101" t="s">
        <v>0</v>
      </c>
      <c r="D604" s="104" t="str">
        <f>$R$8</f>
        <v>Телесигнализация</v>
      </c>
    </row>
    <row r="605" spans="1:4">
      <c r="A605" s="100" t="str">
        <f>$R$2&amp;"."&amp;'Конфигурация TREI'!$A$2&amp;".DIAG_16"</f>
        <v>Диагностика.TREI.CPU.DIAG_16</v>
      </c>
      <c r="B605" s="101">
        <v>11150</v>
      </c>
      <c r="C605" s="101" t="s">
        <v>0</v>
      </c>
      <c r="D605" s="103" t="s">
        <v>3086</v>
      </c>
    </row>
    <row r="606" spans="1:4">
      <c r="A606" s="100" t="str">
        <f>$R$2&amp;"."&amp;'Конфигурация TREI'!$A$2&amp;".DIAG_16"</f>
        <v>Диагностика.TREI.CPU.DIAG_16</v>
      </c>
      <c r="B606" s="101">
        <v>11000</v>
      </c>
      <c r="C606" s="101" t="s">
        <v>5</v>
      </c>
      <c r="D606" s="103">
        <v>2147483680</v>
      </c>
    </row>
    <row r="607" spans="1:4">
      <c r="A607" s="19" t="str">
        <f>$R$2&amp;"."&amp;'Конфигурация TREI'!$A$2&amp;".DIAG_16"</f>
        <v>Диагностика.TREI.CPU.DIAG_16</v>
      </c>
      <c r="B607" s="11">
        <v>7999</v>
      </c>
      <c r="C607" s="11" t="s">
        <v>0</v>
      </c>
      <c r="D607" s="20" t="str">
        <f>"#"&amp;$S$2&amp;"#"&amp;$T$2&amp;IF($S$7="","","\")&amp;$S$7&amp;"\"&amp;'Конфигурация TREI'!$A$2&amp;"\DIAG_16"</f>
        <v>#2#treiOPCDA.CoOPCserv.1\pcmaster\CPU\DIAG_16</v>
      </c>
    </row>
    <row r="608" spans="1:4">
      <c r="A608" s="19" t="str">
        <f>$R$2&amp;"."&amp;'Конфигурация TREI'!$A$2&amp;".DIAG_16"</f>
        <v>Диагностика.TREI.CPU.DIAG_16</v>
      </c>
      <c r="B608" s="11">
        <v>7998</v>
      </c>
      <c r="C608" s="11" t="s">
        <v>6</v>
      </c>
      <c r="D608" s="20">
        <v>1</v>
      </c>
    </row>
    <row r="609" spans="1:4">
      <c r="A609" s="19" t="str">
        <f>$R$2&amp;"."&amp;'Конфигурация TREI'!$A$2&amp;".DIAG_16"</f>
        <v>Диагностика.TREI.CPU.DIAG_16</v>
      </c>
      <c r="B609" s="11">
        <v>101</v>
      </c>
      <c r="C609" s="11" t="s">
        <v>0</v>
      </c>
      <c r="D609" s="20" t="s">
        <v>3086</v>
      </c>
    </row>
    <row r="610" spans="1:4">
      <c r="A610" s="19" t="str">
        <f>$R$2&amp;"."&amp;'Конфигурация TREI'!$A$2&amp;".DIAG_16"</f>
        <v>Диагностика.TREI.CPU.DIAG_16</v>
      </c>
      <c r="B610" s="11">
        <v>3</v>
      </c>
      <c r="C610" s="11" t="s">
        <v>1</v>
      </c>
      <c r="D610" s="20">
        <v>192</v>
      </c>
    </row>
    <row r="611" spans="1:4">
      <c r="A611" s="19" t="str">
        <f>$R$2&amp;"."&amp;'Конфигурация TREI'!$A$2&amp;".DIAG_16"</f>
        <v>Диагностика.TREI.CPU.DIAG_16</v>
      </c>
      <c r="B611" s="11">
        <v>2</v>
      </c>
      <c r="C611" s="11" t="s">
        <v>2</v>
      </c>
      <c r="D611" s="20" t="s">
        <v>3</v>
      </c>
    </row>
    <row r="612" spans="1:4">
      <c r="A612" s="21" t="str">
        <f>$R$2&amp;"."&amp;'Конфигурация TREI'!$A$2&amp;".DIAG_16"</f>
        <v>Диагностика.TREI.CPU.DIAG_16</v>
      </c>
      <c r="B612" s="8">
        <v>1</v>
      </c>
      <c r="C612" s="8" t="s">
        <v>1</v>
      </c>
      <c r="D612" s="22">
        <v>11</v>
      </c>
    </row>
    <row r="613" spans="1:4">
      <c r="A613" s="159" t="str">
        <f>$R$2&amp;"."&amp;'Конфигурация TREI'!$A$2&amp;".DIAG_17"</f>
        <v>Диагностика.TREI.CPU.DIAG_17</v>
      </c>
      <c r="B613" s="160">
        <v>11154</v>
      </c>
      <c r="C613" s="160" t="s">
        <v>4</v>
      </c>
      <c r="D613" s="161">
        <f>$Q$8</f>
        <v>18</v>
      </c>
    </row>
    <row r="614" spans="1:4">
      <c r="A614" s="100" t="str">
        <f>$R$2&amp;"."&amp;'Конфигурация TREI'!$A$2&amp;".DIAG_17"</f>
        <v>Диагностика.TREI.CPU.DIAG_17</v>
      </c>
      <c r="B614" s="101">
        <v>11152</v>
      </c>
      <c r="C614" s="101" t="s">
        <v>0</v>
      </c>
      <c r="D614" s="104" t="str">
        <f>$R$8</f>
        <v>Телесигнализация</v>
      </c>
    </row>
    <row r="615" spans="1:4">
      <c r="A615" s="100" t="str">
        <f>$R$2&amp;"."&amp;'Конфигурация TREI'!$A$2&amp;".DIAG_17"</f>
        <v>Диагностика.TREI.CPU.DIAG_17</v>
      </c>
      <c r="B615" s="101">
        <v>11150</v>
      </c>
      <c r="C615" s="101" t="s">
        <v>0</v>
      </c>
      <c r="D615" s="103" t="s">
        <v>3087</v>
      </c>
    </row>
    <row r="616" spans="1:4">
      <c r="A616" s="100" t="str">
        <f>$R$2&amp;"."&amp;'Конфигурация TREI'!$A$2&amp;".DIAG_17"</f>
        <v>Диагностика.TREI.CPU.DIAG_17</v>
      </c>
      <c r="B616" s="101">
        <v>11000</v>
      </c>
      <c r="C616" s="101" t="s">
        <v>5</v>
      </c>
      <c r="D616" s="103">
        <v>2147483680</v>
      </c>
    </row>
    <row r="617" spans="1:4">
      <c r="A617" s="19" t="str">
        <f>$R$2&amp;"."&amp;'Конфигурация TREI'!$A$2&amp;".DIAG_17"</f>
        <v>Диагностика.TREI.CPU.DIAG_17</v>
      </c>
      <c r="B617" s="11">
        <v>7999</v>
      </c>
      <c r="C617" s="11" t="s">
        <v>0</v>
      </c>
      <c r="D617" s="20" t="str">
        <f>"#"&amp;$S$2&amp;"#"&amp;$T$2&amp;IF($S$7="","","\")&amp;$S$7&amp;"\"&amp;'Конфигурация TREI'!$A$2&amp;"\DIAG_17"</f>
        <v>#2#treiOPCDA.CoOPCserv.1\pcmaster\CPU\DIAG_17</v>
      </c>
    </row>
    <row r="618" spans="1:4">
      <c r="A618" s="19" t="str">
        <f>$R$2&amp;"."&amp;'Конфигурация TREI'!$A$2&amp;".DIAG_17"</f>
        <v>Диагностика.TREI.CPU.DIAG_17</v>
      </c>
      <c r="B618" s="11">
        <v>7998</v>
      </c>
      <c r="C618" s="11" t="s">
        <v>6</v>
      </c>
      <c r="D618" s="20">
        <v>1</v>
      </c>
    </row>
    <row r="619" spans="1:4">
      <c r="A619" s="19" t="str">
        <f>$R$2&amp;"."&amp;'Конфигурация TREI'!$A$2&amp;".DIAG_17"</f>
        <v>Диагностика.TREI.CPU.DIAG_17</v>
      </c>
      <c r="B619" s="11">
        <v>101</v>
      </c>
      <c r="C619" s="11" t="s">
        <v>0</v>
      </c>
      <c r="D619" s="20" t="s">
        <v>3087</v>
      </c>
    </row>
    <row r="620" spans="1:4">
      <c r="A620" s="19" t="str">
        <f>$R$2&amp;"."&amp;'Конфигурация TREI'!$A$2&amp;".DIAG_17"</f>
        <v>Диагностика.TREI.CPU.DIAG_17</v>
      </c>
      <c r="B620" s="11">
        <v>3</v>
      </c>
      <c r="C620" s="11" t="s">
        <v>1</v>
      </c>
      <c r="D620" s="20">
        <v>192</v>
      </c>
    </row>
    <row r="621" spans="1:4">
      <c r="A621" s="19" t="str">
        <f>$R$2&amp;"."&amp;'Конфигурация TREI'!$A$2&amp;".DIAG_17"</f>
        <v>Диагностика.TREI.CPU.DIAG_17</v>
      </c>
      <c r="B621" s="11">
        <v>2</v>
      </c>
      <c r="C621" s="11" t="s">
        <v>2</v>
      </c>
      <c r="D621" s="20" t="s">
        <v>3</v>
      </c>
    </row>
    <row r="622" spans="1:4">
      <c r="A622" s="21" t="str">
        <f>$R$2&amp;"."&amp;'Конфигурация TREI'!$A$2&amp;".DIAG_17"</f>
        <v>Диагностика.TREI.CPU.DIAG_17</v>
      </c>
      <c r="B622" s="8">
        <v>1</v>
      </c>
      <c r="C622" s="8" t="s">
        <v>1</v>
      </c>
      <c r="D622" s="22">
        <v>11</v>
      </c>
    </row>
    <row r="623" spans="1:4">
      <c r="A623" s="159" t="str">
        <f>$R$2&amp;"."&amp;'Конфигурация TREI'!$A$2&amp;".DIAG_18"</f>
        <v>Диагностика.TREI.CPU.DIAG_18</v>
      </c>
      <c r="B623" s="160">
        <v>11154</v>
      </c>
      <c r="C623" s="160" t="s">
        <v>4</v>
      </c>
      <c r="D623" s="161">
        <f>$Q$8</f>
        <v>18</v>
      </c>
    </row>
    <row r="624" spans="1:4">
      <c r="A624" s="100" t="str">
        <f>$R$2&amp;"."&amp;'Конфигурация TREI'!$A$2&amp;".DIAG_18"</f>
        <v>Диагностика.TREI.CPU.DIAG_18</v>
      </c>
      <c r="B624" s="101">
        <v>11152</v>
      </c>
      <c r="C624" s="101" t="s">
        <v>0</v>
      </c>
      <c r="D624" s="104" t="str">
        <f>$R$8</f>
        <v>Телесигнализация</v>
      </c>
    </row>
    <row r="625" spans="1:4">
      <c r="A625" s="100" t="str">
        <f>$R$2&amp;"."&amp;'Конфигурация TREI'!$A$2&amp;".DIAG_18"</f>
        <v>Диагностика.TREI.CPU.DIAG_18</v>
      </c>
      <c r="B625" s="101">
        <v>11150</v>
      </c>
      <c r="C625" s="101" t="s">
        <v>0</v>
      </c>
      <c r="D625" s="103" t="s">
        <v>3088</v>
      </c>
    </row>
    <row r="626" spans="1:4">
      <c r="A626" s="100" t="str">
        <f>$R$2&amp;"."&amp;'Конфигурация TREI'!$A$2&amp;".DIAG_18"</f>
        <v>Диагностика.TREI.CPU.DIAG_18</v>
      </c>
      <c r="B626" s="101">
        <v>11000</v>
      </c>
      <c r="C626" s="101" t="s">
        <v>5</v>
      </c>
      <c r="D626" s="103">
        <v>2147483680</v>
      </c>
    </row>
    <row r="627" spans="1:4">
      <c r="A627" s="19" t="str">
        <f>$R$2&amp;"."&amp;'Конфигурация TREI'!$A$2&amp;".DIAG_18"</f>
        <v>Диагностика.TREI.CPU.DIAG_18</v>
      </c>
      <c r="B627" s="11">
        <v>7999</v>
      </c>
      <c r="C627" s="11" t="s">
        <v>0</v>
      </c>
      <c r="D627" s="20" t="str">
        <f>"#"&amp;$S$2&amp;"#"&amp;$T$2&amp;IF($S$7="","","\")&amp;$S$7&amp;"\"&amp;'Конфигурация TREI'!$A$2&amp;"\DIAG_18"</f>
        <v>#2#treiOPCDA.CoOPCserv.1\pcmaster\CPU\DIAG_18</v>
      </c>
    </row>
    <row r="628" spans="1:4">
      <c r="A628" s="19" t="str">
        <f>$R$2&amp;"."&amp;'Конфигурация TREI'!$A$2&amp;".DIAG_18"</f>
        <v>Диагностика.TREI.CPU.DIAG_18</v>
      </c>
      <c r="B628" s="11">
        <v>7998</v>
      </c>
      <c r="C628" s="11" t="s">
        <v>6</v>
      </c>
      <c r="D628" s="20">
        <v>1</v>
      </c>
    </row>
    <row r="629" spans="1:4">
      <c r="A629" s="19" t="str">
        <f>$R$2&amp;"."&amp;'Конфигурация TREI'!$A$2&amp;".DIAG_18"</f>
        <v>Диагностика.TREI.CPU.DIAG_18</v>
      </c>
      <c r="B629" s="11">
        <v>101</v>
      </c>
      <c r="C629" s="11" t="s">
        <v>0</v>
      </c>
      <c r="D629" s="20" t="s">
        <v>3088</v>
      </c>
    </row>
    <row r="630" spans="1:4">
      <c r="A630" s="19" t="str">
        <f>$R$2&amp;"."&amp;'Конфигурация TREI'!$A$2&amp;".DIAG_18"</f>
        <v>Диагностика.TREI.CPU.DIAG_18</v>
      </c>
      <c r="B630" s="11">
        <v>3</v>
      </c>
      <c r="C630" s="11" t="s">
        <v>1</v>
      </c>
      <c r="D630" s="20">
        <v>192</v>
      </c>
    </row>
    <row r="631" spans="1:4">
      <c r="A631" s="19" t="str">
        <f>$R$2&amp;"."&amp;'Конфигурация TREI'!$A$2&amp;".DIAG_18"</f>
        <v>Диагностика.TREI.CPU.DIAG_18</v>
      </c>
      <c r="B631" s="11">
        <v>2</v>
      </c>
      <c r="C631" s="11" t="s">
        <v>2</v>
      </c>
      <c r="D631" s="20" t="s">
        <v>3</v>
      </c>
    </row>
    <row r="632" spans="1:4">
      <c r="A632" s="21" t="str">
        <f>$R$2&amp;"."&amp;'Конфигурация TREI'!$A$2&amp;".DIAG_18"</f>
        <v>Диагностика.TREI.CPU.DIAG_18</v>
      </c>
      <c r="B632" s="8">
        <v>1</v>
      </c>
      <c r="C632" s="8" t="s">
        <v>1</v>
      </c>
      <c r="D632" s="22">
        <v>11</v>
      </c>
    </row>
    <row r="633" spans="1:4">
      <c r="A633" s="159" t="str">
        <f>$R$2&amp;"."&amp;'Конфигурация TREI'!$A$2&amp;".DIAG_19"</f>
        <v>Диагностика.TREI.CPU.DIAG_19</v>
      </c>
      <c r="B633" s="160">
        <v>11154</v>
      </c>
      <c r="C633" s="160" t="s">
        <v>4</v>
      </c>
      <c r="D633" s="161">
        <f>$Q$8</f>
        <v>18</v>
      </c>
    </row>
    <row r="634" spans="1:4">
      <c r="A634" s="100" t="str">
        <f>$R$2&amp;"."&amp;'Конфигурация TREI'!$A$2&amp;".DIAG_19"</f>
        <v>Диагностика.TREI.CPU.DIAG_19</v>
      </c>
      <c r="B634" s="101">
        <v>11152</v>
      </c>
      <c r="C634" s="101" t="s">
        <v>0</v>
      </c>
      <c r="D634" s="104" t="str">
        <f>$R$8</f>
        <v>Телесигнализация</v>
      </c>
    </row>
    <row r="635" spans="1:4">
      <c r="A635" s="100" t="str">
        <f>$R$2&amp;"."&amp;'Конфигурация TREI'!$A$2&amp;".DIAG_19"</f>
        <v>Диагностика.TREI.CPU.DIAG_19</v>
      </c>
      <c r="B635" s="101">
        <v>11150</v>
      </c>
      <c r="C635" s="101" t="s">
        <v>0</v>
      </c>
      <c r="D635" s="103" t="s">
        <v>3089</v>
      </c>
    </row>
    <row r="636" spans="1:4">
      <c r="A636" s="100" t="str">
        <f>$R$2&amp;"."&amp;'Конфигурация TREI'!$A$2&amp;".DIAG_19"</f>
        <v>Диагностика.TREI.CPU.DIAG_19</v>
      </c>
      <c r="B636" s="101">
        <v>11000</v>
      </c>
      <c r="C636" s="101" t="s">
        <v>5</v>
      </c>
      <c r="D636" s="103">
        <v>2147483680</v>
      </c>
    </row>
    <row r="637" spans="1:4">
      <c r="A637" s="19" t="str">
        <f>$R$2&amp;"."&amp;'Конфигурация TREI'!$A$2&amp;".DIAG_19"</f>
        <v>Диагностика.TREI.CPU.DIAG_19</v>
      </c>
      <c r="B637" s="11">
        <v>7999</v>
      </c>
      <c r="C637" s="11" t="s">
        <v>0</v>
      </c>
      <c r="D637" s="20" t="str">
        <f>"#"&amp;$S$2&amp;"#"&amp;$T$2&amp;IF($S$7="","","\")&amp;$S$7&amp;"\"&amp;'Конфигурация TREI'!$A$2&amp;"\DIAG_19"</f>
        <v>#2#treiOPCDA.CoOPCserv.1\pcmaster\CPU\DIAG_19</v>
      </c>
    </row>
    <row r="638" spans="1:4">
      <c r="A638" s="19" t="str">
        <f>$R$2&amp;"."&amp;'Конфигурация TREI'!$A$2&amp;".DIAG_19"</f>
        <v>Диагностика.TREI.CPU.DIAG_19</v>
      </c>
      <c r="B638" s="11">
        <v>7998</v>
      </c>
      <c r="C638" s="11" t="s">
        <v>6</v>
      </c>
      <c r="D638" s="20">
        <v>1</v>
      </c>
    </row>
    <row r="639" spans="1:4">
      <c r="A639" s="19" t="str">
        <f>$R$2&amp;"."&amp;'Конфигурация TREI'!$A$2&amp;".DIAG_19"</f>
        <v>Диагностика.TREI.CPU.DIAG_19</v>
      </c>
      <c r="B639" s="11">
        <v>101</v>
      </c>
      <c r="C639" s="11" t="s">
        <v>0</v>
      </c>
      <c r="D639" s="20" t="s">
        <v>3089</v>
      </c>
    </row>
    <row r="640" spans="1:4">
      <c r="A640" s="19" t="str">
        <f>$R$2&amp;"."&amp;'Конфигурация TREI'!$A$2&amp;".DIAG_19"</f>
        <v>Диагностика.TREI.CPU.DIAG_19</v>
      </c>
      <c r="B640" s="11">
        <v>3</v>
      </c>
      <c r="C640" s="11" t="s">
        <v>1</v>
      </c>
      <c r="D640" s="20">
        <v>192</v>
      </c>
    </row>
    <row r="641" spans="1:4">
      <c r="A641" s="19" t="str">
        <f>$R$2&amp;"."&amp;'Конфигурация TREI'!$A$2&amp;".DIAG_19"</f>
        <v>Диагностика.TREI.CPU.DIAG_19</v>
      </c>
      <c r="B641" s="11">
        <v>2</v>
      </c>
      <c r="C641" s="11" t="s">
        <v>2</v>
      </c>
      <c r="D641" s="20" t="s">
        <v>3</v>
      </c>
    </row>
    <row r="642" spans="1:4">
      <c r="A642" s="21" t="str">
        <f>$R$2&amp;"."&amp;'Конфигурация TREI'!$A$2&amp;".DIAG_19"</f>
        <v>Диагностика.TREI.CPU.DIAG_19</v>
      </c>
      <c r="B642" s="8">
        <v>1</v>
      </c>
      <c r="C642" s="8" t="s">
        <v>1</v>
      </c>
      <c r="D642" s="22">
        <v>11</v>
      </c>
    </row>
    <row r="643" spans="1:4">
      <c r="A643" s="159" t="str">
        <f>$R$2&amp;"."&amp;'Конфигурация TREI'!$A$2&amp;".DIAG_20"</f>
        <v>Диагностика.TREI.CPU.DIAG_20</v>
      </c>
      <c r="B643" s="160">
        <v>11154</v>
      </c>
      <c r="C643" s="160" t="s">
        <v>4</v>
      </c>
      <c r="D643" s="161">
        <f>$Q$8</f>
        <v>18</v>
      </c>
    </row>
    <row r="644" spans="1:4">
      <c r="A644" s="100" t="str">
        <f>$R$2&amp;"."&amp;'Конфигурация TREI'!$A$2&amp;".DIAG_20"</f>
        <v>Диагностика.TREI.CPU.DIAG_20</v>
      </c>
      <c r="B644" s="101">
        <v>11152</v>
      </c>
      <c r="C644" s="101" t="s">
        <v>0</v>
      </c>
      <c r="D644" s="104" t="str">
        <f>$R$8</f>
        <v>Телесигнализация</v>
      </c>
    </row>
    <row r="645" spans="1:4">
      <c r="A645" s="100" t="str">
        <f>$R$2&amp;"."&amp;'Конфигурация TREI'!$A$2&amp;".DIAG_20"</f>
        <v>Диагностика.TREI.CPU.DIAG_20</v>
      </c>
      <c r="B645" s="101">
        <v>11150</v>
      </c>
      <c r="C645" s="101" t="s">
        <v>0</v>
      </c>
      <c r="D645" s="103" t="s">
        <v>3090</v>
      </c>
    </row>
    <row r="646" spans="1:4">
      <c r="A646" s="100" t="str">
        <f>$R$2&amp;"."&amp;'Конфигурация TREI'!$A$2&amp;".DIAG_20"</f>
        <v>Диагностика.TREI.CPU.DIAG_20</v>
      </c>
      <c r="B646" s="101">
        <v>11000</v>
      </c>
      <c r="C646" s="101" t="s">
        <v>5</v>
      </c>
      <c r="D646" s="103">
        <v>2147483680</v>
      </c>
    </row>
    <row r="647" spans="1:4">
      <c r="A647" s="19" t="str">
        <f>$R$2&amp;"."&amp;'Конфигурация TREI'!$A$2&amp;".DIAG_20"</f>
        <v>Диагностика.TREI.CPU.DIAG_20</v>
      </c>
      <c r="B647" s="11">
        <v>7999</v>
      </c>
      <c r="C647" s="11" t="s">
        <v>0</v>
      </c>
      <c r="D647" s="20" t="str">
        <f>"#"&amp;$S$2&amp;"#"&amp;$T$2&amp;IF($S$7="","","\")&amp;$S$7&amp;"\"&amp;'Конфигурация TREI'!$A$2&amp;"\DIAG_20"</f>
        <v>#2#treiOPCDA.CoOPCserv.1\pcmaster\CPU\DIAG_20</v>
      </c>
    </row>
    <row r="648" spans="1:4">
      <c r="A648" s="19" t="str">
        <f>$R$2&amp;"."&amp;'Конфигурация TREI'!$A$2&amp;".DIAG_20"</f>
        <v>Диагностика.TREI.CPU.DIAG_20</v>
      </c>
      <c r="B648" s="11">
        <v>7998</v>
      </c>
      <c r="C648" s="11" t="s">
        <v>6</v>
      </c>
      <c r="D648" s="20">
        <v>1</v>
      </c>
    </row>
    <row r="649" spans="1:4">
      <c r="A649" s="19" t="str">
        <f>$R$2&amp;"."&amp;'Конфигурация TREI'!$A$2&amp;".DIAG_20"</f>
        <v>Диагностика.TREI.CPU.DIAG_20</v>
      </c>
      <c r="B649" s="11">
        <v>101</v>
      </c>
      <c r="C649" s="11" t="s">
        <v>0</v>
      </c>
      <c r="D649" s="20" t="s">
        <v>3090</v>
      </c>
    </row>
    <row r="650" spans="1:4">
      <c r="A650" s="19" t="str">
        <f>$R$2&amp;"."&amp;'Конфигурация TREI'!$A$2&amp;".DIAG_20"</f>
        <v>Диагностика.TREI.CPU.DIAG_20</v>
      </c>
      <c r="B650" s="11">
        <v>3</v>
      </c>
      <c r="C650" s="11" t="s">
        <v>1</v>
      </c>
      <c r="D650" s="20">
        <v>192</v>
      </c>
    </row>
    <row r="651" spans="1:4">
      <c r="A651" s="19" t="str">
        <f>$R$2&amp;"."&amp;'Конфигурация TREI'!$A$2&amp;".DIAG_20"</f>
        <v>Диагностика.TREI.CPU.DIAG_20</v>
      </c>
      <c r="B651" s="11">
        <v>2</v>
      </c>
      <c r="C651" s="11" t="s">
        <v>2</v>
      </c>
      <c r="D651" s="20" t="s">
        <v>3</v>
      </c>
    </row>
    <row r="652" spans="1:4">
      <c r="A652" s="21" t="str">
        <f>$R$2&amp;"."&amp;'Конфигурация TREI'!$A$2&amp;".DIAG_20"</f>
        <v>Диагностика.TREI.CPU.DIAG_20</v>
      </c>
      <c r="B652" s="8">
        <v>1</v>
      </c>
      <c r="C652" s="8" t="s">
        <v>1</v>
      </c>
      <c r="D652" s="22">
        <v>11</v>
      </c>
    </row>
    <row r="653" spans="1:4">
      <c r="A653" s="159" t="str">
        <f>$R$2&amp;"."&amp;'Конфигурация TREI'!$A$2&amp;".DIAG_22"</f>
        <v>Диагностика.TREI.CPU.DIAG_22</v>
      </c>
      <c r="B653" s="160">
        <v>11154</v>
      </c>
      <c r="C653" s="160" t="s">
        <v>4</v>
      </c>
      <c r="D653" s="161">
        <f>$Q$8</f>
        <v>18</v>
      </c>
    </row>
    <row r="654" spans="1:4">
      <c r="A654" s="100" t="str">
        <f>$R$2&amp;"."&amp;'Конфигурация TREI'!$A$2&amp;".DIAG_22"</f>
        <v>Диагностика.TREI.CPU.DIAG_22</v>
      </c>
      <c r="B654" s="101">
        <v>11152</v>
      </c>
      <c r="C654" s="101" t="s">
        <v>0</v>
      </c>
      <c r="D654" s="104" t="str">
        <f>$R$8</f>
        <v>Телесигнализация</v>
      </c>
    </row>
    <row r="655" spans="1:4">
      <c r="A655" s="100" t="str">
        <f>$R$2&amp;"."&amp;'Конфигурация TREI'!$A$2&amp;".DIAG_22"</f>
        <v>Диагностика.TREI.CPU.DIAG_22</v>
      </c>
      <c r="B655" s="101">
        <v>11150</v>
      </c>
      <c r="C655" s="101" t="s">
        <v>0</v>
      </c>
      <c r="D655" s="103" t="s">
        <v>812</v>
      </c>
    </row>
    <row r="656" spans="1:4">
      <c r="A656" s="100" t="str">
        <f>$R$2&amp;"."&amp;'Конфигурация TREI'!$A$2&amp;".DIAG_22"</f>
        <v>Диагностика.TREI.CPU.DIAG_22</v>
      </c>
      <c r="B656" s="101">
        <v>11000</v>
      </c>
      <c r="C656" s="101" t="s">
        <v>5</v>
      </c>
      <c r="D656" s="103">
        <v>2147483680</v>
      </c>
    </row>
    <row r="657" spans="1:4">
      <c r="A657" s="19" t="str">
        <f>$R$2&amp;"."&amp;'Конфигурация TREI'!$A$2&amp;".DIAG_22"</f>
        <v>Диагностика.TREI.CPU.DIAG_22</v>
      </c>
      <c r="B657" s="11">
        <v>7999</v>
      </c>
      <c r="C657" s="11" t="s">
        <v>0</v>
      </c>
      <c r="D657" s="20" t="str">
        <f>"#"&amp;$S$2&amp;"#"&amp;$T$2&amp;IF($S$7="","","\")&amp;$S$7&amp;"\"&amp;'Конфигурация TREI'!$A$2&amp;"\DIAG_22"</f>
        <v>#2#treiOPCDA.CoOPCserv.1\pcmaster\CPU\DIAG_22</v>
      </c>
    </row>
    <row r="658" spans="1:4">
      <c r="A658" s="19" t="str">
        <f>$R$2&amp;"."&amp;'Конфигурация TREI'!$A$2&amp;".DIAG_22"</f>
        <v>Диагностика.TREI.CPU.DIAG_22</v>
      </c>
      <c r="B658" s="11">
        <v>7998</v>
      </c>
      <c r="C658" s="11" t="s">
        <v>6</v>
      </c>
      <c r="D658" s="20">
        <v>1</v>
      </c>
    </row>
    <row r="659" spans="1:4">
      <c r="A659" s="19" t="str">
        <f>$R$2&amp;"."&amp;'Конфигурация TREI'!$A$2&amp;".DIAG_22"</f>
        <v>Диагностика.TREI.CPU.DIAG_22</v>
      </c>
      <c r="B659" s="11">
        <v>101</v>
      </c>
      <c r="C659" s="11" t="s">
        <v>0</v>
      </c>
      <c r="D659" s="20" t="s">
        <v>812</v>
      </c>
    </row>
    <row r="660" spans="1:4">
      <c r="A660" s="19" t="str">
        <f>$R$2&amp;"."&amp;'Конфигурация TREI'!$A$2&amp;".DIAG_22"</f>
        <v>Диагностика.TREI.CPU.DIAG_22</v>
      </c>
      <c r="B660" s="11">
        <v>3</v>
      </c>
      <c r="C660" s="11" t="s">
        <v>1</v>
      </c>
      <c r="D660" s="20">
        <v>192</v>
      </c>
    </row>
    <row r="661" spans="1:4">
      <c r="A661" s="19" t="str">
        <f>$R$2&amp;"."&amp;'Конфигурация TREI'!$A$2&amp;".DIAG_22"</f>
        <v>Диагностика.TREI.CPU.DIAG_22</v>
      </c>
      <c r="B661" s="11">
        <v>2</v>
      </c>
      <c r="C661" s="11" t="s">
        <v>2</v>
      </c>
      <c r="D661" s="20" t="s">
        <v>3</v>
      </c>
    </row>
    <row r="662" spans="1:4">
      <c r="A662" s="21" t="str">
        <f>$R$2&amp;"."&amp;'Конфигурация TREI'!$A$2&amp;".DIAG_22"</f>
        <v>Диагностика.TREI.CPU.DIAG_22</v>
      </c>
      <c r="B662" s="8">
        <v>1</v>
      </c>
      <c r="C662" s="8" t="s">
        <v>1</v>
      </c>
      <c r="D662" s="22">
        <v>11</v>
      </c>
    </row>
    <row r="663" spans="1:4">
      <c r="A663" s="69" t="str">
        <f>$R$2&amp;"."&amp;'Конфигурация TREI'!$A$2&amp;".DIAG_24"</f>
        <v>Диагностика.TREI.CPU.DIAG_24</v>
      </c>
      <c r="B663" s="70">
        <v>11154</v>
      </c>
      <c r="C663" s="70" t="s">
        <v>4</v>
      </c>
      <c r="D663" s="144">
        <f>$Q$6</f>
        <v>8</v>
      </c>
    </row>
    <row r="664" spans="1:4">
      <c r="A664" s="63" t="str">
        <f>$R$2&amp;"."&amp;'Конфигурация TREI'!$A$2&amp;".DIAG_24"</f>
        <v>Диагностика.TREI.CPU.DIAG_24</v>
      </c>
      <c r="B664" s="64">
        <v>11152</v>
      </c>
      <c r="C664" s="64" t="s">
        <v>0</v>
      </c>
      <c r="D664" s="129" t="str">
        <f>$R$6</f>
        <v>Предупреждение</v>
      </c>
    </row>
    <row r="665" spans="1:4">
      <c r="A665" s="63" t="str">
        <f>$R$2&amp;"."&amp;'Конфигурация TREI'!$A$2&amp;".DIAG_24"</f>
        <v>Диагностика.TREI.CPU.DIAG_24</v>
      </c>
      <c r="B665" s="64">
        <v>11150</v>
      </c>
      <c r="C665" s="64" t="s">
        <v>0</v>
      </c>
      <c r="D665" s="65" t="s">
        <v>813</v>
      </c>
    </row>
    <row r="666" spans="1:4">
      <c r="A666" s="63" t="str">
        <f>$R$2&amp;"."&amp;'Конфигурация TREI'!$A$2&amp;".DIAG_24"</f>
        <v>Диагностика.TREI.CPU.DIAG_24</v>
      </c>
      <c r="B666" s="64">
        <v>11000</v>
      </c>
      <c r="C666" s="64" t="s">
        <v>5</v>
      </c>
      <c r="D666" s="65">
        <v>2147483680</v>
      </c>
    </row>
    <row r="667" spans="1:4">
      <c r="A667" s="19" t="str">
        <f>$R$2&amp;"."&amp;'Конфигурация TREI'!$A$2&amp;".DIAG_24"</f>
        <v>Диагностика.TREI.CPU.DIAG_24</v>
      </c>
      <c r="B667" s="11">
        <v>7999</v>
      </c>
      <c r="C667" s="11" t="s">
        <v>0</v>
      </c>
      <c r="D667" s="20" t="str">
        <f>"#"&amp;$S$2&amp;"#"&amp;$T$2&amp;IF($S$7="","","\")&amp;$S$7&amp;"\"&amp;'Конфигурация TREI'!$A$2&amp;"\DIAG_24"</f>
        <v>#2#treiOPCDA.CoOPCserv.1\pcmaster\CPU\DIAG_24</v>
      </c>
    </row>
    <row r="668" spans="1:4">
      <c r="A668" s="19" t="str">
        <f>$R$2&amp;"."&amp;'Конфигурация TREI'!$A$2&amp;".DIAG_24"</f>
        <v>Диагностика.TREI.CPU.DIAG_24</v>
      </c>
      <c r="B668" s="11">
        <v>7998</v>
      </c>
      <c r="C668" s="11" t="s">
        <v>6</v>
      </c>
      <c r="D668" s="20">
        <v>1</v>
      </c>
    </row>
    <row r="669" spans="1:4">
      <c r="A669" s="19" t="str">
        <f>$R$2&amp;"."&amp;'Конфигурация TREI'!$A$2&amp;".DIAG_24"</f>
        <v>Диагностика.TREI.CPU.DIAG_24</v>
      </c>
      <c r="B669" s="11">
        <v>101</v>
      </c>
      <c r="C669" s="11" t="s">
        <v>0</v>
      </c>
      <c r="D669" s="20" t="s">
        <v>813</v>
      </c>
    </row>
    <row r="670" spans="1:4">
      <c r="A670" s="19" t="str">
        <f>$R$2&amp;"."&amp;'Конфигурация TREI'!$A$2&amp;".DIAG_24"</f>
        <v>Диагностика.TREI.CPU.DIAG_24</v>
      </c>
      <c r="B670" s="11">
        <v>3</v>
      </c>
      <c r="C670" s="11" t="s">
        <v>1</v>
      </c>
      <c r="D670" s="20">
        <v>192</v>
      </c>
    </row>
    <row r="671" spans="1:4">
      <c r="A671" s="19" t="str">
        <f>$R$2&amp;"."&amp;'Конфигурация TREI'!$A$2&amp;".DIAG_24"</f>
        <v>Диагностика.TREI.CPU.DIAG_24</v>
      </c>
      <c r="B671" s="11">
        <v>2</v>
      </c>
      <c r="C671" s="11" t="s">
        <v>2</v>
      </c>
      <c r="D671" s="20" t="s">
        <v>3</v>
      </c>
    </row>
    <row r="672" spans="1:4">
      <c r="A672" s="21" t="str">
        <f>$R$2&amp;"."&amp;'Конфигурация TREI'!$A$2&amp;".DIAG_24"</f>
        <v>Диагностика.TREI.CPU.DIAG_24</v>
      </c>
      <c r="B672" s="8">
        <v>1</v>
      </c>
      <c r="C672" s="8" t="s">
        <v>1</v>
      </c>
      <c r="D672" s="22">
        <v>11</v>
      </c>
    </row>
    <row r="673" spans="1:4">
      <c r="A673" s="69" t="str">
        <f>$R$2&amp;"."&amp;'Конфигурация TREI'!$A$2&amp;".DIAG_25"</f>
        <v>Диагностика.TREI.CPU.DIAG_25</v>
      </c>
      <c r="B673" s="70">
        <v>11154</v>
      </c>
      <c r="C673" s="70" t="s">
        <v>4</v>
      </c>
      <c r="D673" s="144">
        <f>$Q$6</f>
        <v>8</v>
      </c>
    </row>
    <row r="674" spans="1:4">
      <c r="A674" s="63" t="str">
        <f>$R$2&amp;"."&amp;'Конфигурация TREI'!$A$2&amp;".DIAG_25"</f>
        <v>Диагностика.TREI.CPU.DIAG_25</v>
      </c>
      <c r="B674" s="64">
        <v>11152</v>
      </c>
      <c r="C674" s="64" t="s">
        <v>0</v>
      </c>
      <c r="D674" s="129" t="str">
        <f>$R$6</f>
        <v>Предупреждение</v>
      </c>
    </row>
    <row r="675" spans="1:4">
      <c r="A675" s="63" t="str">
        <f>$R$2&amp;"."&amp;'Конфигурация TREI'!$A$2&amp;".DIAG_25"</f>
        <v>Диагностика.TREI.CPU.DIAG_25</v>
      </c>
      <c r="B675" s="64">
        <v>11150</v>
      </c>
      <c r="C675" s="64" t="s">
        <v>0</v>
      </c>
      <c r="D675" s="65" t="s">
        <v>814</v>
      </c>
    </row>
    <row r="676" spans="1:4">
      <c r="A676" s="63" t="str">
        <f>$R$2&amp;"."&amp;'Конфигурация TREI'!$A$2&amp;".DIAG_25"</f>
        <v>Диагностика.TREI.CPU.DIAG_25</v>
      </c>
      <c r="B676" s="64">
        <v>11000</v>
      </c>
      <c r="C676" s="64" t="s">
        <v>5</v>
      </c>
      <c r="D676" s="65">
        <v>2147483680</v>
      </c>
    </row>
    <row r="677" spans="1:4">
      <c r="A677" s="19" t="str">
        <f>$R$2&amp;"."&amp;'Конфигурация TREI'!$A$2&amp;".DIAG_25"</f>
        <v>Диагностика.TREI.CPU.DIAG_25</v>
      </c>
      <c r="B677" s="11">
        <v>7999</v>
      </c>
      <c r="C677" s="11" t="s">
        <v>0</v>
      </c>
      <c r="D677" s="20" t="str">
        <f>"#"&amp;$S$2&amp;"#"&amp;$T$2&amp;IF($S$7="","","\")&amp;$S$7&amp;"\"&amp;'Конфигурация TREI'!$A$2&amp;"\DIAG_25"</f>
        <v>#2#treiOPCDA.CoOPCserv.1\pcmaster\CPU\DIAG_25</v>
      </c>
    </row>
    <row r="678" spans="1:4">
      <c r="A678" s="19" t="str">
        <f>$R$2&amp;"."&amp;'Конфигурация TREI'!$A$2&amp;".DIAG_25"</f>
        <v>Диагностика.TREI.CPU.DIAG_25</v>
      </c>
      <c r="B678" s="11">
        <v>7998</v>
      </c>
      <c r="C678" s="11" t="s">
        <v>6</v>
      </c>
      <c r="D678" s="20">
        <v>1</v>
      </c>
    </row>
    <row r="679" spans="1:4">
      <c r="A679" s="19" t="str">
        <f>$R$2&amp;"."&amp;'Конфигурация TREI'!$A$2&amp;".DIAG_25"</f>
        <v>Диагностика.TREI.CPU.DIAG_25</v>
      </c>
      <c r="B679" s="11">
        <v>101</v>
      </c>
      <c r="C679" s="11" t="s">
        <v>0</v>
      </c>
      <c r="D679" s="20" t="s">
        <v>814</v>
      </c>
    </row>
    <row r="680" spans="1:4">
      <c r="A680" s="19" t="str">
        <f>$R$2&amp;"."&amp;'Конфигурация TREI'!$A$2&amp;".DIAG_25"</f>
        <v>Диагностика.TREI.CPU.DIAG_25</v>
      </c>
      <c r="B680" s="11">
        <v>3</v>
      </c>
      <c r="C680" s="11" t="s">
        <v>1</v>
      </c>
      <c r="D680" s="20">
        <v>192</v>
      </c>
    </row>
    <row r="681" spans="1:4">
      <c r="A681" s="19" t="str">
        <f>$R$2&amp;"."&amp;'Конфигурация TREI'!$A$2&amp;".DIAG_25"</f>
        <v>Диагностика.TREI.CPU.DIAG_25</v>
      </c>
      <c r="B681" s="11">
        <v>2</v>
      </c>
      <c r="C681" s="11" t="s">
        <v>2</v>
      </c>
      <c r="D681" s="20" t="s">
        <v>3</v>
      </c>
    </row>
    <row r="682" spans="1:4">
      <c r="A682" s="21" t="str">
        <f>$R$2&amp;"."&amp;'Конфигурация TREI'!$A$2&amp;".DIAG_25"</f>
        <v>Диагностика.TREI.CPU.DIAG_25</v>
      </c>
      <c r="B682" s="8">
        <v>1</v>
      </c>
      <c r="C682" s="8" t="s">
        <v>1</v>
      </c>
      <c r="D682" s="22">
        <v>11</v>
      </c>
    </row>
    <row r="683" spans="1:4">
      <c r="A683" s="159" t="str">
        <f>$R$2&amp;"."&amp;'Конфигурация TREI'!$A$2&amp;".DIAG_26"</f>
        <v>Диагностика.TREI.CPU.DIAG_26</v>
      </c>
      <c r="B683" s="160">
        <v>11154</v>
      </c>
      <c r="C683" s="160" t="s">
        <v>4</v>
      </c>
      <c r="D683" s="161">
        <f>$Q$8</f>
        <v>18</v>
      </c>
    </row>
    <row r="684" spans="1:4">
      <c r="A684" s="100" t="str">
        <f>$R$2&amp;"."&amp;'Конфигурация TREI'!$A$2&amp;".DIAG_26"</f>
        <v>Диагностика.TREI.CPU.DIAG_26</v>
      </c>
      <c r="B684" s="101">
        <v>11152</v>
      </c>
      <c r="C684" s="101" t="s">
        <v>0</v>
      </c>
      <c r="D684" s="104" t="str">
        <f>$R$8</f>
        <v>Телесигнализация</v>
      </c>
    </row>
    <row r="685" spans="1:4">
      <c r="A685" s="100" t="str">
        <f>$R$2&amp;"."&amp;'Конфигурация TREI'!$A$2&amp;".DIAG_26"</f>
        <v>Диагностика.TREI.CPU.DIAG_26</v>
      </c>
      <c r="B685" s="101">
        <v>11150</v>
      </c>
      <c r="C685" s="101" t="s">
        <v>0</v>
      </c>
      <c r="D685" s="103" t="s">
        <v>3091</v>
      </c>
    </row>
    <row r="686" spans="1:4">
      <c r="A686" s="100" t="str">
        <f>$R$2&amp;"."&amp;'Конфигурация TREI'!$A$2&amp;".DIAG_26"</f>
        <v>Диагностика.TREI.CPU.DIAG_26</v>
      </c>
      <c r="B686" s="101">
        <v>11000</v>
      </c>
      <c r="C686" s="101" t="s">
        <v>5</v>
      </c>
      <c r="D686" s="103">
        <v>2147483680</v>
      </c>
    </row>
    <row r="687" spans="1:4">
      <c r="A687" s="19" t="str">
        <f>$R$2&amp;"."&amp;'Конфигурация TREI'!$A$2&amp;".DIAG_26"</f>
        <v>Диагностика.TREI.CPU.DIAG_26</v>
      </c>
      <c r="B687" s="11">
        <v>7999</v>
      </c>
      <c r="C687" s="11" t="s">
        <v>0</v>
      </c>
      <c r="D687" s="20" t="str">
        <f>"#"&amp;$S$2&amp;"#"&amp;$T$2&amp;IF($S$7="","","\")&amp;$S$7&amp;"\"&amp;'Конфигурация TREI'!$A$2&amp;"\DIAG_26"</f>
        <v>#2#treiOPCDA.CoOPCserv.1\pcmaster\CPU\DIAG_26</v>
      </c>
    </row>
    <row r="688" spans="1:4">
      <c r="A688" s="19" t="str">
        <f>$R$2&amp;"."&amp;'Конфигурация TREI'!$A$2&amp;".DIAG_26"</f>
        <v>Диагностика.TREI.CPU.DIAG_26</v>
      </c>
      <c r="B688" s="11">
        <v>7998</v>
      </c>
      <c r="C688" s="11" t="s">
        <v>6</v>
      </c>
      <c r="D688" s="20">
        <v>1</v>
      </c>
    </row>
    <row r="689" spans="1:68">
      <c r="A689" s="19" t="str">
        <f>$R$2&amp;"."&amp;'Конфигурация TREI'!$A$2&amp;".DIAG_26"</f>
        <v>Диагностика.TREI.CPU.DIAG_26</v>
      </c>
      <c r="B689" s="11">
        <v>101</v>
      </c>
      <c r="C689" s="11" t="s">
        <v>0</v>
      </c>
      <c r="D689" s="20" t="s">
        <v>3091</v>
      </c>
    </row>
    <row r="690" spans="1:68">
      <c r="A690" s="19" t="str">
        <f>$R$2&amp;"."&amp;'Конфигурация TREI'!$A$2&amp;".DIAG_26"</f>
        <v>Диагностика.TREI.CPU.DIAG_26</v>
      </c>
      <c r="B690" s="11">
        <v>3</v>
      </c>
      <c r="C690" s="11" t="s">
        <v>1</v>
      </c>
      <c r="D690" s="20">
        <v>192</v>
      </c>
    </row>
    <row r="691" spans="1:68">
      <c r="A691" s="19" t="str">
        <f>$R$2&amp;"."&amp;'Конфигурация TREI'!$A$2&amp;".DIAG_26"</f>
        <v>Диагностика.TREI.CPU.DIAG_26</v>
      </c>
      <c r="B691" s="11">
        <v>2</v>
      </c>
      <c r="C691" s="11" t="s">
        <v>2</v>
      </c>
      <c r="D691" s="20" t="s">
        <v>3</v>
      </c>
    </row>
    <row r="692" spans="1:68">
      <c r="A692" s="21" t="str">
        <f>$R$2&amp;"."&amp;'Конфигурация TREI'!$A$2&amp;".DIAG_26"</f>
        <v>Диагностика.TREI.CPU.DIAG_26</v>
      </c>
      <c r="B692" s="8">
        <v>1</v>
      </c>
      <c r="C692" s="8" t="s">
        <v>1</v>
      </c>
      <c r="D692" s="22">
        <v>11</v>
      </c>
    </row>
    <row r="693" spans="1:68">
      <c r="A693" s="159" t="str">
        <f>$R$2&amp;"."&amp;'Конфигурация TREI'!$A$2&amp;".DIAG_29"</f>
        <v>Диагностика.TREI.CPU.DIAG_29</v>
      </c>
      <c r="B693" s="160">
        <v>11154</v>
      </c>
      <c r="C693" s="160" t="s">
        <v>4</v>
      </c>
      <c r="D693" s="161">
        <f>$Q$8</f>
        <v>18</v>
      </c>
    </row>
    <row r="694" spans="1:68">
      <c r="A694" s="100" t="str">
        <f>$R$2&amp;"."&amp;'Конфигурация TREI'!$A$2&amp;".DIAG_29"</f>
        <v>Диагностика.TREI.CPU.DIAG_29</v>
      </c>
      <c r="B694" s="101">
        <v>11152</v>
      </c>
      <c r="C694" s="101" t="s">
        <v>0</v>
      </c>
      <c r="D694" s="104" t="str">
        <f>$R$8</f>
        <v>Телесигнализация</v>
      </c>
    </row>
    <row r="695" spans="1:68">
      <c r="A695" s="100" t="str">
        <f>$R$2&amp;"."&amp;'Конфигурация TREI'!$A$2&amp;".DIAG_29"</f>
        <v>Диагностика.TREI.CPU.DIAG_29</v>
      </c>
      <c r="B695" s="101">
        <v>11150</v>
      </c>
      <c r="C695" s="101" t="s">
        <v>0</v>
      </c>
      <c r="D695" s="103" t="s">
        <v>3092</v>
      </c>
    </row>
    <row r="696" spans="1:68">
      <c r="A696" s="100" t="str">
        <f>$R$2&amp;"."&amp;'Конфигурация TREI'!$A$2&amp;".DIAG_29"</f>
        <v>Диагностика.TREI.CPU.DIAG_29</v>
      </c>
      <c r="B696" s="101">
        <v>11000</v>
      </c>
      <c r="C696" s="101" t="s">
        <v>5</v>
      </c>
      <c r="D696" s="103">
        <v>2147483680</v>
      </c>
    </row>
    <row r="697" spans="1:68">
      <c r="A697" s="19" t="str">
        <f>$R$2&amp;"."&amp;'Конфигурация TREI'!$A$2&amp;".DIAG_29"</f>
        <v>Диагностика.TREI.CPU.DIAG_29</v>
      </c>
      <c r="B697" s="11">
        <v>7999</v>
      </c>
      <c r="C697" s="11" t="s">
        <v>0</v>
      </c>
      <c r="D697" s="20" t="str">
        <f>"#"&amp;$S$2&amp;"#"&amp;$T$2&amp;IF($S$7="","","\")&amp;$S$7&amp;"\"&amp;'Конфигурация TREI'!$A$2&amp;"\DIAG_29"</f>
        <v>#2#treiOPCDA.CoOPCserv.1\pcmaster\CPU\DIAG_29</v>
      </c>
    </row>
    <row r="698" spans="1:68">
      <c r="A698" s="19" t="str">
        <f>$R$2&amp;"."&amp;'Конфигурация TREI'!$A$2&amp;".DIAG_29"</f>
        <v>Диагностика.TREI.CPU.DIAG_29</v>
      </c>
      <c r="B698" s="11">
        <v>7998</v>
      </c>
      <c r="C698" s="11" t="s">
        <v>6</v>
      </c>
      <c r="D698" s="20">
        <v>1</v>
      </c>
    </row>
    <row r="699" spans="1:68">
      <c r="A699" s="19" t="str">
        <f>$R$2&amp;"."&amp;'Конфигурация TREI'!$A$2&amp;".DIAG_29"</f>
        <v>Диагностика.TREI.CPU.DIAG_29</v>
      </c>
      <c r="B699" s="11">
        <v>101</v>
      </c>
      <c r="C699" s="11" t="s">
        <v>0</v>
      </c>
      <c r="D699" s="20" t="s">
        <v>3092</v>
      </c>
    </row>
    <row r="700" spans="1:68">
      <c r="A700" s="19" t="str">
        <f>$R$2&amp;"."&amp;'Конфигурация TREI'!$A$2&amp;".DIAG_29"</f>
        <v>Диагностика.TREI.CPU.DIAG_29</v>
      </c>
      <c r="B700" s="11">
        <v>3</v>
      </c>
      <c r="C700" s="11" t="s">
        <v>1</v>
      </c>
      <c r="D700" s="20">
        <v>192</v>
      </c>
    </row>
    <row r="701" spans="1:68">
      <c r="A701" s="19" t="str">
        <f>$R$2&amp;"."&amp;'Конфигурация TREI'!$A$2&amp;".DIAG_29"</f>
        <v>Диагностика.TREI.CPU.DIAG_29</v>
      </c>
      <c r="B701" s="11">
        <v>2</v>
      </c>
      <c r="C701" s="11" t="s">
        <v>2</v>
      </c>
      <c r="D701" s="20" t="s">
        <v>3</v>
      </c>
    </row>
    <row r="702" spans="1:68">
      <c r="A702" s="21" t="str">
        <f>$R$2&amp;"."&amp;'Конфигурация TREI'!$A$2&amp;".DIAG_29"</f>
        <v>Диагностика.TREI.CPU.DIAG_29</v>
      </c>
      <c r="B702" s="8">
        <v>1</v>
      </c>
      <c r="C702" s="8" t="s">
        <v>1</v>
      </c>
      <c r="D702" s="22">
        <v>11</v>
      </c>
    </row>
    <row r="703" spans="1:68">
      <c r="A703" s="512" t="s">
        <v>3083</v>
      </c>
      <c r="B703" s="512"/>
      <c r="C703" s="512"/>
      <c r="D703" s="512"/>
    </row>
    <row r="704" spans="1:68" ht="15" customHeight="1">
      <c r="A704" s="16" t="str">
        <f>$R$2&amp;"."&amp;'Конфигурация TREI'!$A$2&amp;"_1"</f>
        <v>Диагностика.TREI.CPU_1</v>
      </c>
      <c r="B704" s="17">
        <v>11001</v>
      </c>
      <c r="C704" s="17" t="s">
        <v>0</v>
      </c>
      <c r="D704" s="18" t="str">
        <f>$Q$2&amp;". Диагностика CPU (основной)"</f>
        <v>Контроллер TREI. Диагностика CPU (основной)</v>
      </c>
      <c r="BM704" s="4"/>
      <c r="BN704" s="4"/>
      <c r="BO704" s="4"/>
      <c r="BP704" s="4"/>
    </row>
    <row r="705" spans="1:68" ht="15" customHeight="1">
      <c r="A705" s="19" t="str">
        <f>$R$2&amp;"."&amp;'Конфигурация TREI'!$A$2&amp;"_1"</f>
        <v>Диагностика.TREI.CPU_1</v>
      </c>
      <c r="B705" s="11">
        <v>11156</v>
      </c>
      <c r="C705" s="11" t="s">
        <v>0</v>
      </c>
      <c r="D705" s="20" t="str">
        <f>$V$2</f>
        <v>Тестовый экран</v>
      </c>
      <c r="BM705" s="4"/>
      <c r="BN705" s="4"/>
      <c r="BO705" s="4"/>
      <c r="BP705" s="4"/>
    </row>
    <row r="706" spans="1:68" ht="15" customHeight="1">
      <c r="A706" s="19" t="str">
        <f>$R$2&amp;"."&amp;'Конфигурация TREI'!$A$2&amp;"_1"</f>
        <v>Диагностика.TREI.CPU_1</v>
      </c>
      <c r="B706" s="11">
        <v>1</v>
      </c>
      <c r="C706" s="11" t="s">
        <v>1</v>
      </c>
      <c r="D706" s="20">
        <v>17</v>
      </c>
      <c r="BM706" s="4"/>
      <c r="BN706" s="4"/>
      <c r="BO706" s="4"/>
      <c r="BP706" s="4"/>
    </row>
    <row r="707" spans="1:68" ht="15" customHeight="1">
      <c r="A707" s="19" t="str">
        <f>$R$2&amp;"."&amp;'Конфигурация TREI'!$A$2&amp;"_1"</f>
        <v>Диагностика.TREI.CPU_1</v>
      </c>
      <c r="B707" s="11">
        <v>13</v>
      </c>
      <c r="C707" s="11" t="s">
        <v>2</v>
      </c>
      <c r="D707" s="20" t="s">
        <v>3</v>
      </c>
      <c r="BM707" s="4"/>
      <c r="BN707" s="4"/>
      <c r="BO707" s="4"/>
      <c r="BP707" s="4"/>
    </row>
    <row r="708" spans="1:68" ht="15" customHeight="1">
      <c r="A708" s="21" t="str">
        <f>$R$2&amp;"."&amp;'Конфигурация TREI'!$A$2&amp;"_1"</f>
        <v>Диагностика.TREI.CPU_1</v>
      </c>
      <c r="B708" s="8">
        <v>3000013</v>
      </c>
      <c r="C708" s="8" t="s">
        <v>0</v>
      </c>
      <c r="D708" s="22" t="str">
        <f>$AE$2</f>
        <v>Диагностика.CPU.NOT_LINK.noLink</v>
      </c>
      <c r="BM708" s="4"/>
      <c r="BN708" s="4"/>
      <c r="BO708" s="4"/>
      <c r="BP708" s="4"/>
    </row>
    <row r="709" spans="1:68">
      <c r="A709" s="63" t="str">
        <f>$R$2&amp;"."&amp;'Конфигурация TREI'!$A$2&amp;"_1.DIAG_1"</f>
        <v>Диагностика.TREI.CPU_1.DIAG_1</v>
      </c>
      <c r="B709" s="64">
        <v>11154</v>
      </c>
      <c r="C709" s="64" t="s">
        <v>4</v>
      </c>
      <c r="D709" s="98">
        <f>$Q$6</f>
        <v>8</v>
      </c>
    </row>
    <row r="710" spans="1:68">
      <c r="A710" s="63" t="str">
        <f>$R$2&amp;"."&amp;'Конфигурация TREI'!$A$2&amp;"_1.DIAG_1"</f>
        <v>Диагностика.TREI.CPU_1.DIAG_1</v>
      </c>
      <c r="B710" s="64">
        <v>11152</v>
      </c>
      <c r="C710" s="64" t="s">
        <v>0</v>
      </c>
      <c r="D710" s="129" t="str">
        <f>$R$6</f>
        <v>Предупреждение</v>
      </c>
    </row>
    <row r="711" spans="1:68">
      <c r="A711" s="63" t="str">
        <f>$R$2&amp;"."&amp;'Конфигурация TREI'!$A$2&amp;"_1.DIAG_1"</f>
        <v>Диагностика.TREI.CPU_1.DIAG_1</v>
      </c>
      <c r="B711" s="64">
        <v>11150</v>
      </c>
      <c r="C711" s="64" t="s">
        <v>0</v>
      </c>
      <c r="D711" s="65" t="s">
        <v>797</v>
      </c>
    </row>
    <row r="712" spans="1:68">
      <c r="A712" s="63" t="str">
        <f>$R$2&amp;"."&amp;'Конфигурация TREI'!$A$2&amp;"_1.DIAG_1"</f>
        <v>Диагностика.TREI.CPU_1.DIAG_1</v>
      </c>
      <c r="B712" s="64">
        <v>11000</v>
      </c>
      <c r="C712" s="64" t="s">
        <v>5</v>
      </c>
      <c r="D712" s="65">
        <v>2147483680</v>
      </c>
    </row>
    <row r="713" spans="1:68">
      <c r="A713" s="19" t="str">
        <f>$R$2&amp;"."&amp;'Конфигурация TREI'!$A$2&amp;"_1.DIAG_1"</f>
        <v>Диагностика.TREI.CPU_1.DIAG_1</v>
      </c>
      <c r="B713" s="11">
        <v>7999</v>
      </c>
      <c r="C713" s="11" t="s">
        <v>0</v>
      </c>
      <c r="D713" s="20" t="str">
        <f>"#"&amp;$S$2&amp;"#"&amp;$T$2&amp;IF($S$7="","","\")&amp;$S$7&amp;"\"&amp;'Конфигурация TREI'!$A$2&amp;"_1\DIAG_1"</f>
        <v>#2#treiOPCDA.CoOPCserv.1\pcmaster\CPU_1\DIAG_1</v>
      </c>
    </row>
    <row r="714" spans="1:68">
      <c r="A714" s="19" t="str">
        <f>$R$2&amp;"."&amp;'Конфигурация TREI'!$A$2&amp;"_1.DIAG_1"</f>
        <v>Диагностика.TREI.CPU_1.DIAG_1</v>
      </c>
      <c r="B714" s="11">
        <v>7998</v>
      </c>
      <c r="C714" s="11" t="s">
        <v>6</v>
      </c>
      <c r="D714" s="20">
        <v>1</v>
      </c>
    </row>
    <row r="715" spans="1:68">
      <c r="A715" s="19" t="str">
        <f>$R$2&amp;"."&amp;'Конфигурация TREI'!$A$2&amp;"_1.DIAG_1"</f>
        <v>Диагностика.TREI.CPU_1.DIAG_1</v>
      </c>
      <c r="B715" s="11">
        <v>101</v>
      </c>
      <c r="C715" s="11" t="s">
        <v>0</v>
      </c>
      <c r="D715" s="20" t="s">
        <v>797</v>
      </c>
    </row>
    <row r="716" spans="1:68">
      <c r="A716" s="19" t="str">
        <f>$R$2&amp;"."&amp;'Конфигурация TREI'!$A$2&amp;"_1.DIAG_1"</f>
        <v>Диагностика.TREI.CPU_1.DIAG_1</v>
      </c>
      <c r="B716" s="11">
        <v>3</v>
      </c>
      <c r="C716" s="11" t="s">
        <v>1</v>
      </c>
      <c r="D716" s="20">
        <v>192</v>
      </c>
    </row>
    <row r="717" spans="1:68">
      <c r="A717" s="19" t="str">
        <f>$R$2&amp;"."&amp;'Конфигурация TREI'!$A$2&amp;"_1.DIAG_1"</f>
        <v>Диагностика.TREI.CPU_1.DIAG_1</v>
      </c>
      <c r="B717" s="11">
        <v>2</v>
      </c>
      <c r="C717" s="11" t="s">
        <v>2</v>
      </c>
      <c r="D717" s="20" t="s">
        <v>3</v>
      </c>
    </row>
    <row r="718" spans="1:68">
      <c r="A718" s="21" t="str">
        <f>$R$2&amp;"."&amp;'Конфигурация TREI'!$A$2&amp;"_1.DIAG_1"</f>
        <v>Диагностика.TREI.CPU_1.DIAG_1</v>
      </c>
      <c r="B718" s="8">
        <v>1</v>
      </c>
      <c r="C718" s="8" t="s">
        <v>1</v>
      </c>
      <c r="D718" s="22">
        <v>11</v>
      </c>
    </row>
    <row r="719" spans="1:68">
      <c r="A719" s="69" t="str">
        <f>$R$2&amp;"."&amp;'Конфигурация TREI'!$A$2&amp;"_1.DIAG_3"</f>
        <v>Диагностика.TREI.CPU_1.DIAG_3</v>
      </c>
      <c r="B719" s="70">
        <v>11154</v>
      </c>
      <c r="C719" s="70" t="s">
        <v>4</v>
      </c>
      <c r="D719" s="144">
        <f>$Q$6</f>
        <v>8</v>
      </c>
    </row>
    <row r="720" spans="1:68">
      <c r="A720" s="63" t="str">
        <f>$R$2&amp;"."&amp;'Конфигурация TREI'!$A$2&amp;"_1.DIAG_3"</f>
        <v>Диагностика.TREI.CPU_1.DIAG_3</v>
      </c>
      <c r="B720" s="64">
        <v>11152</v>
      </c>
      <c r="C720" s="64" t="s">
        <v>0</v>
      </c>
      <c r="D720" s="129" t="str">
        <f>$R$6</f>
        <v>Предупреждение</v>
      </c>
    </row>
    <row r="721" spans="1:4">
      <c r="A721" s="63" t="str">
        <f>$R$2&amp;"."&amp;'Конфигурация TREI'!$A$2&amp;"_1.DIAG_3"</f>
        <v>Диагностика.TREI.CPU_1.DIAG_3</v>
      </c>
      <c r="B721" s="64">
        <v>11150</v>
      </c>
      <c r="C721" s="64" t="s">
        <v>0</v>
      </c>
      <c r="D721" s="65" t="s">
        <v>799</v>
      </c>
    </row>
    <row r="722" spans="1:4">
      <c r="A722" s="63" t="str">
        <f>$R$2&amp;"."&amp;'Конфигурация TREI'!$A$2&amp;"_1.DIAG_3"</f>
        <v>Диагностика.TREI.CPU_1.DIAG_3</v>
      </c>
      <c r="B722" s="64">
        <v>11000</v>
      </c>
      <c r="C722" s="64" t="s">
        <v>5</v>
      </c>
      <c r="D722" s="65">
        <v>2147483680</v>
      </c>
    </row>
    <row r="723" spans="1:4">
      <c r="A723" s="19" t="str">
        <f>$R$2&amp;"."&amp;'Конфигурация TREI'!$A$2&amp;"_1.DIAG_3"</f>
        <v>Диагностика.TREI.CPU_1.DIAG_3</v>
      </c>
      <c r="B723" s="11">
        <v>7999</v>
      </c>
      <c r="C723" s="11" t="s">
        <v>0</v>
      </c>
      <c r="D723" s="20" t="str">
        <f>"#"&amp;$S$2&amp;"#"&amp;$T$2&amp;IF($S$7="","","\")&amp;$S$7&amp;"\"&amp;'Конфигурация TREI'!$A$2&amp;"_1\DIAG_3"</f>
        <v>#2#treiOPCDA.CoOPCserv.1\pcmaster\CPU_1\DIAG_3</v>
      </c>
    </row>
    <row r="724" spans="1:4">
      <c r="A724" s="19" t="str">
        <f>$R$2&amp;"."&amp;'Конфигурация TREI'!$A$2&amp;"_1.DIAG_3"</f>
        <v>Диагностика.TREI.CPU_1.DIAG_3</v>
      </c>
      <c r="B724" s="11">
        <v>7998</v>
      </c>
      <c r="C724" s="11" t="s">
        <v>6</v>
      </c>
      <c r="D724" s="20">
        <v>1</v>
      </c>
    </row>
    <row r="725" spans="1:4">
      <c r="A725" s="19" t="str">
        <f>$R$2&amp;"."&amp;'Конфигурация TREI'!$A$2&amp;"_1.DIAG_3"</f>
        <v>Диагностика.TREI.CPU_1.DIAG_3</v>
      </c>
      <c r="B725" s="11">
        <v>101</v>
      </c>
      <c r="C725" s="11" t="s">
        <v>0</v>
      </c>
      <c r="D725" s="20" t="s">
        <v>799</v>
      </c>
    </row>
    <row r="726" spans="1:4">
      <c r="A726" s="19" t="str">
        <f>$R$2&amp;"."&amp;'Конфигурация TREI'!$A$2&amp;"_1.DIAG_3"</f>
        <v>Диагностика.TREI.CPU_1.DIAG_3</v>
      </c>
      <c r="B726" s="11">
        <v>3</v>
      </c>
      <c r="C726" s="11" t="s">
        <v>1</v>
      </c>
      <c r="D726" s="20">
        <v>192</v>
      </c>
    </row>
    <row r="727" spans="1:4">
      <c r="A727" s="19" t="str">
        <f>$R$2&amp;"."&amp;'Конфигурация TREI'!$A$2&amp;"_1.DIAG_3"</f>
        <v>Диагностика.TREI.CPU_1.DIAG_3</v>
      </c>
      <c r="B727" s="11">
        <v>2</v>
      </c>
      <c r="C727" s="11" t="s">
        <v>2</v>
      </c>
      <c r="D727" s="20" t="s">
        <v>3</v>
      </c>
    </row>
    <row r="728" spans="1:4">
      <c r="A728" s="21" t="str">
        <f>$R$2&amp;"."&amp;'Конфигурация TREI'!$A$2&amp;"_1.DIAG_3"</f>
        <v>Диагностика.TREI.CPU_1.DIAG_3</v>
      </c>
      <c r="B728" s="8">
        <v>1</v>
      </c>
      <c r="C728" s="8" t="s">
        <v>1</v>
      </c>
      <c r="D728" s="22">
        <v>11</v>
      </c>
    </row>
    <row r="729" spans="1:4">
      <c r="A729" s="69" t="str">
        <f>$R$2&amp;"."&amp;'Конфигурация TREI'!$A$2&amp;"_1.DIAG_4"</f>
        <v>Диагностика.TREI.CPU_1.DIAG_4</v>
      </c>
      <c r="B729" s="70">
        <v>11154</v>
      </c>
      <c r="C729" s="70" t="s">
        <v>4</v>
      </c>
      <c r="D729" s="144">
        <f>$Q$6</f>
        <v>8</v>
      </c>
    </row>
    <row r="730" spans="1:4">
      <c r="A730" s="63" t="str">
        <f>$R$2&amp;"."&amp;'Конфигурация TREI'!$A$2&amp;"_1.DIAG_4"</f>
        <v>Диагностика.TREI.CPU_1.DIAG_4</v>
      </c>
      <c r="B730" s="64">
        <v>11152</v>
      </c>
      <c r="C730" s="64" t="s">
        <v>0</v>
      </c>
      <c r="D730" s="129" t="str">
        <f>$R$6</f>
        <v>Предупреждение</v>
      </c>
    </row>
    <row r="731" spans="1:4">
      <c r="A731" s="63" t="str">
        <f>$R$2&amp;"."&amp;'Конфигурация TREI'!$A$2&amp;"_1.DIAG_4"</f>
        <v>Диагностика.TREI.CPU_1.DIAG_4</v>
      </c>
      <c r="B731" s="64">
        <v>11150</v>
      </c>
      <c r="C731" s="64" t="s">
        <v>0</v>
      </c>
      <c r="D731" s="65" t="s">
        <v>1391</v>
      </c>
    </row>
    <row r="732" spans="1:4">
      <c r="A732" s="63" t="str">
        <f>$R$2&amp;"."&amp;'Конфигурация TREI'!$A$2&amp;"_1.DIAG_4"</f>
        <v>Диагностика.TREI.CPU_1.DIAG_4</v>
      </c>
      <c r="B732" s="64">
        <v>11000</v>
      </c>
      <c r="C732" s="64" t="s">
        <v>5</v>
      </c>
      <c r="D732" s="65">
        <v>2147483680</v>
      </c>
    </row>
    <row r="733" spans="1:4">
      <c r="A733" s="19" t="str">
        <f>$R$2&amp;"."&amp;'Конфигурация TREI'!$A$2&amp;"_1.DIAG_4"</f>
        <v>Диагностика.TREI.CPU_1.DIAG_4</v>
      </c>
      <c r="B733" s="11">
        <v>7999</v>
      </c>
      <c r="C733" s="11" t="s">
        <v>0</v>
      </c>
      <c r="D733" s="20" t="str">
        <f>"#"&amp;$S$2&amp;"#"&amp;$T$2&amp;IF($S$7="","","\")&amp;$S$7&amp;"\"&amp;'Конфигурация TREI'!$A$2&amp;"_1\DIAG_4"</f>
        <v>#2#treiOPCDA.CoOPCserv.1\pcmaster\CPU_1\DIAG_4</v>
      </c>
    </row>
    <row r="734" spans="1:4">
      <c r="A734" s="19" t="str">
        <f>$R$2&amp;"."&amp;'Конфигурация TREI'!$A$2&amp;"_1.DIAG_4"</f>
        <v>Диагностика.TREI.CPU_1.DIAG_4</v>
      </c>
      <c r="B734" s="11">
        <v>7998</v>
      </c>
      <c r="C734" s="11" t="s">
        <v>6</v>
      </c>
      <c r="D734" s="20">
        <v>1</v>
      </c>
    </row>
    <row r="735" spans="1:4">
      <c r="A735" s="19" t="str">
        <f>$R$2&amp;"."&amp;'Конфигурация TREI'!$A$2&amp;"_1.DIAG_4"</f>
        <v>Диагностика.TREI.CPU_1.DIAG_4</v>
      </c>
      <c r="B735" s="11">
        <v>101</v>
      </c>
      <c r="C735" s="11" t="s">
        <v>0</v>
      </c>
      <c r="D735" s="20" t="s">
        <v>1391</v>
      </c>
    </row>
    <row r="736" spans="1:4">
      <c r="A736" s="19" t="str">
        <f>$R$2&amp;"."&amp;'Конфигурация TREI'!$A$2&amp;"_1.DIAG_4"</f>
        <v>Диагностика.TREI.CPU_1.DIAG_4</v>
      </c>
      <c r="B736" s="11">
        <v>3</v>
      </c>
      <c r="C736" s="11" t="s">
        <v>1</v>
      </c>
      <c r="D736" s="20">
        <v>192</v>
      </c>
    </row>
    <row r="737" spans="1:4">
      <c r="A737" s="19" t="str">
        <f>$R$2&amp;"."&amp;'Конфигурация TREI'!$A$2&amp;"_1.DIAG_4"</f>
        <v>Диагностика.TREI.CPU_1.DIAG_4</v>
      </c>
      <c r="B737" s="11">
        <v>2</v>
      </c>
      <c r="C737" s="11" t="s">
        <v>2</v>
      </c>
      <c r="D737" s="20" t="s">
        <v>3</v>
      </c>
    </row>
    <row r="738" spans="1:4">
      <c r="A738" s="21" t="str">
        <f>$R$2&amp;"."&amp;'Конфигурация TREI'!$A$2&amp;"_1.DIAG_4"</f>
        <v>Диагностика.TREI.CPU_1.DIAG_4</v>
      </c>
      <c r="B738" s="8">
        <v>1</v>
      </c>
      <c r="C738" s="8" t="s">
        <v>1</v>
      </c>
      <c r="D738" s="22">
        <v>11</v>
      </c>
    </row>
    <row r="739" spans="1:4">
      <c r="A739" s="69" t="str">
        <f>$R$2&amp;"."&amp;'Конфигурация TREI'!$A$2&amp;"_1.DIAG_7"</f>
        <v>Диагностика.TREI.CPU_1.DIAG_7</v>
      </c>
      <c r="B739" s="70">
        <v>11154</v>
      </c>
      <c r="C739" s="70" t="s">
        <v>4</v>
      </c>
      <c r="D739" s="144">
        <f>$Q$6</f>
        <v>8</v>
      </c>
    </row>
    <row r="740" spans="1:4">
      <c r="A740" s="63" t="str">
        <f>$R$2&amp;"."&amp;'Конфигурация TREI'!$A$2&amp;"_1.DIAG_7"</f>
        <v>Диагностика.TREI.CPU_1.DIAG_7</v>
      </c>
      <c r="B740" s="64">
        <v>11152</v>
      </c>
      <c r="C740" s="64" t="s">
        <v>0</v>
      </c>
      <c r="D740" s="129" t="str">
        <f>$R$6</f>
        <v>Предупреждение</v>
      </c>
    </row>
    <row r="741" spans="1:4">
      <c r="A741" s="63" t="str">
        <f>$R$2&amp;"."&amp;'Конфигурация TREI'!$A$2&amp;"_1.DIAG_7"</f>
        <v>Диагностика.TREI.CPU_1.DIAG_7</v>
      </c>
      <c r="B741" s="64">
        <v>11150</v>
      </c>
      <c r="C741" s="64" t="s">
        <v>0</v>
      </c>
      <c r="D741" s="65" t="s">
        <v>801</v>
      </c>
    </row>
    <row r="742" spans="1:4">
      <c r="A742" s="63" t="str">
        <f>$R$2&amp;"."&amp;'Конфигурация TREI'!$A$2&amp;"_1.DIAG_7"</f>
        <v>Диагностика.TREI.CPU_1.DIAG_7</v>
      </c>
      <c r="B742" s="64">
        <v>11000</v>
      </c>
      <c r="C742" s="64" t="s">
        <v>5</v>
      </c>
      <c r="D742" s="65">
        <v>2147483680</v>
      </c>
    </row>
    <row r="743" spans="1:4">
      <c r="A743" s="19" t="str">
        <f>$R$2&amp;"."&amp;'Конфигурация TREI'!$A$2&amp;"_1.DIAG_7"</f>
        <v>Диагностика.TREI.CPU_1.DIAG_7</v>
      </c>
      <c r="B743" s="11">
        <v>7999</v>
      </c>
      <c r="C743" s="11" t="s">
        <v>0</v>
      </c>
      <c r="D743" s="20" t="str">
        <f>"#"&amp;$S$2&amp;"#"&amp;$T$2&amp;IF($S$7="","","\")&amp;$S$7&amp;"\"&amp;'Конфигурация TREI'!$A$2&amp;"_1\DIAG_7"</f>
        <v>#2#treiOPCDA.CoOPCserv.1\pcmaster\CPU_1\DIAG_7</v>
      </c>
    </row>
    <row r="744" spans="1:4">
      <c r="A744" s="19" t="str">
        <f>$R$2&amp;"."&amp;'Конфигурация TREI'!$A$2&amp;"_1.DIAG_7"</f>
        <v>Диагностика.TREI.CPU_1.DIAG_7</v>
      </c>
      <c r="B744" s="11">
        <v>7998</v>
      </c>
      <c r="C744" s="11" t="s">
        <v>6</v>
      </c>
      <c r="D744" s="20">
        <v>1</v>
      </c>
    </row>
    <row r="745" spans="1:4">
      <c r="A745" s="19" t="str">
        <f>$R$2&amp;"."&amp;'Конфигурация TREI'!$A$2&amp;"_1.DIAG_7"</f>
        <v>Диагностика.TREI.CPU_1.DIAG_7</v>
      </c>
      <c r="B745" s="11">
        <v>101</v>
      </c>
      <c r="C745" s="11" t="s">
        <v>0</v>
      </c>
      <c r="D745" s="20" t="s">
        <v>801</v>
      </c>
    </row>
    <row r="746" spans="1:4">
      <c r="A746" s="19" t="str">
        <f>$R$2&amp;"."&amp;'Конфигурация TREI'!$A$2&amp;"_1.DIAG_7"</f>
        <v>Диагностика.TREI.CPU_1.DIAG_7</v>
      </c>
      <c r="B746" s="11">
        <v>3</v>
      </c>
      <c r="C746" s="11" t="s">
        <v>1</v>
      </c>
      <c r="D746" s="20">
        <v>192</v>
      </c>
    </row>
    <row r="747" spans="1:4">
      <c r="A747" s="19" t="str">
        <f>$R$2&amp;"."&amp;'Конфигурация TREI'!$A$2&amp;"_1.DIAG_7"</f>
        <v>Диагностика.TREI.CPU_1.DIAG_7</v>
      </c>
      <c r="B747" s="11">
        <v>2</v>
      </c>
      <c r="C747" s="11" t="s">
        <v>2</v>
      </c>
      <c r="D747" s="20" t="s">
        <v>3</v>
      </c>
    </row>
    <row r="748" spans="1:4">
      <c r="A748" s="21" t="str">
        <f>$R$2&amp;"."&amp;'Конфигурация TREI'!$A$2&amp;"_1.DIAG_7"</f>
        <v>Диагностика.TREI.CPU_1.DIAG_7</v>
      </c>
      <c r="B748" s="8">
        <v>1</v>
      </c>
      <c r="C748" s="8" t="s">
        <v>1</v>
      </c>
      <c r="D748" s="22">
        <v>11</v>
      </c>
    </row>
    <row r="749" spans="1:4">
      <c r="A749" s="69" t="str">
        <f>$R$2&amp;"."&amp;'Конфигурация TREI'!$A$2&amp;"_1.DIAG_11"</f>
        <v>Диагностика.TREI.CPU_1.DIAG_11</v>
      </c>
      <c r="B749" s="70">
        <v>11154</v>
      </c>
      <c r="C749" s="70" t="s">
        <v>4</v>
      </c>
      <c r="D749" s="144">
        <f>$Q$6</f>
        <v>8</v>
      </c>
    </row>
    <row r="750" spans="1:4">
      <c r="A750" s="63" t="str">
        <f>$R$2&amp;"."&amp;'Конфигурация TREI'!$A$2&amp;"_1.DIAG_11"</f>
        <v>Диагностика.TREI.CPU_1.DIAG_11</v>
      </c>
      <c r="B750" s="64">
        <v>11152</v>
      </c>
      <c r="C750" s="64" t="s">
        <v>0</v>
      </c>
      <c r="D750" s="129" t="str">
        <f>$R$6</f>
        <v>Предупреждение</v>
      </c>
    </row>
    <row r="751" spans="1:4">
      <c r="A751" s="63" t="str">
        <f>$R$2&amp;"."&amp;'Конфигурация TREI'!$A$2&amp;"_1.DIAG_11"</f>
        <v>Диагностика.TREI.CPU_1.DIAG_11</v>
      </c>
      <c r="B751" s="64">
        <v>11150</v>
      </c>
      <c r="C751" s="64" t="s">
        <v>0</v>
      </c>
      <c r="D751" s="65" t="s">
        <v>3084</v>
      </c>
    </row>
    <row r="752" spans="1:4">
      <c r="A752" s="63" t="str">
        <f>$R$2&amp;"."&amp;'Конфигурация TREI'!$A$2&amp;"_1.DIAG_11"</f>
        <v>Диагностика.TREI.CPU_1.DIAG_11</v>
      </c>
      <c r="B752" s="64">
        <v>11000</v>
      </c>
      <c r="C752" s="64" t="s">
        <v>5</v>
      </c>
      <c r="D752" s="65">
        <v>2147483680</v>
      </c>
    </row>
    <row r="753" spans="1:4">
      <c r="A753" s="19" t="str">
        <f>$R$2&amp;"."&amp;'Конфигурация TREI'!$A$2&amp;"_1.DIAG_11"</f>
        <v>Диагностика.TREI.CPU_1.DIAG_11</v>
      </c>
      <c r="B753" s="11">
        <v>7999</v>
      </c>
      <c r="C753" s="11" t="s">
        <v>0</v>
      </c>
      <c r="D753" s="20" t="str">
        <f>"#"&amp;$S$2&amp;"#"&amp;$T$2&amp;IF($S$7="","","\")&amp;$S$7&amp;"\"&amp;'Конфигурация TREI'!$A$2&amp;"_1\DIAG_11"</f>
        <v>#2#treiOPCDA.CoOPCserv.1\pcmaster\CPU_1\DIAG_11</v>
      </c>
    </row>
    <row r="754" spans="1:4">
      <c r="A754" s="19" t="str">
        <f>$R$2&amp;"."&amp;'Конфигурация TREI'!$A$2&amp;"_1.DIAG_11"</f>
        <v>Диагностика.TREI.CPU_1.DIAG_11</v>
      </c>
      <c r="B754" s="11">
        <v>7998</v>
      </c>
      <c r="C754" s="11" t="s">
        <v>6</v>
      </c>
      <c r="D754" s="20">
        <v>1</v>
      </c>
    </row>
    <row r="755" spans="1:4">
      <c r="A755" s="19" t="str">
        <f>$R$2&amp;"."&amp;'Конфигурация TREI'!$A$2&amp;"_1.DIAG_11"</f>
        <v>Диагностика.TREI.CPU_1.DIAG_11</v>
      </c>
      <c r="B755" s="11">
        <v>101</v>
      </c>
      <c r="C755" s="11" t="s">
        <v>0</v>
      </c>
      <c r="D755" s="20" t="s">
        <v>3084</v>
      </c>
    </row>
    <row r="756" spans="1:4">
      <c r="A756" s="19" t="str">
        <f>$R$2&amp;"."&amp;'Конфигурация TREI'!$A$2&amp;"_1.DIAG_11"</f>
        <v>Диагностика.TREI.CPU_1.DIAG_11</v>
      </c>
      <c r="B756" s="11">
        <v>3</v>
      </c>
      <c r="C756" s="11" t="s">
        <v>1</v>
      </c>
      <c r="D756" s="20">
        <v>192</v>
      </c>
    </row>
    <row r="757" spans="1:4">
      <c r="A757" s="19" t="str">
        <f>$R$2&amp;"."&amp;'Конфигурация TREI'!$A$2&amp;"_1.DIAG_11"</f>
        <v>Диагностика.TREI.CPU_1.DIAG_11</v>
      </c>
      <c r="B757" s="11">
        <v>2</v>
      </c>
      <c r="C757" s="11" t="s">
        <v>2</v>
      </c>
      <c r="D757" s="20" t="s">
        <v>3</v>
      </c>
    </row>
    <row r="758" spans="1:4">
      <c r="A758" s="21" t="str">
        <f>$R$2&amp;"."&amp;'Конфигурация TREI'!$A$2&amp;"_1.DIAG_11"</f>
        <v>Диагностика.TREI.CPU_1.DIAG_11</v>
      </c>
      <c r="B758" s="8">
        <v>1</v>
      </c>
      <c r="C758" s="8" t="s">
        <v>1</v>
      </c>
      <c r="D758" s="22">
        <v>11</v>
      </c>
    </row>
    <row r="759" spans="1:4">
      <c r="A759" s="69" t="str">
        <f>$R$2&amp;"."&amp;'Конфигурация TREI'!$A$2&amp;"_1.DIAG_13"</f>
        <v>Диагностика.TREI.CPU_1.DIAG_13</v>
      </c>
      <c r="B759" s="70">
        <v>11154</v>
      </c>
      <c r="C759" s="70" t="s">
        <v>4</v>
      </c>
      <c r="D759" s="144">
        <f>$Q$6</f>
        <v>8</v>
      </c>
    </row>
    <row r="760" spans="1:4">
      <c r="A760" s="63" t="str">
        <f>$R$2&amp;"."&amp;'Конфигурация TREI'!$A$2&amp;"_1.DIAG_13"</f>
        <v>Диагностика.TREI.CPU_1.DIAG_13</v>
      </c>
      <c r="B760" s="64">
        <v>11152</v>
      </c>
      <c r="C760" s="64" t="s">
        <v>0</v>
      </c>
      <c r="D760" s="129" t="str">
        <f>$R$6</f>
        <v>Предупреждение</v>
      </c>
    </row>
    <row r="761" spans="1:4">
      <c r="A761" s="63" t="str">
        <f>$R$2&amp;"."&amp;'Конфигурация TREI'!$A$2&amp;"_1.DIAG_13"</f>
        <v>Диагностика.TREI.CPU_1.DIAG_13</v>
      </c>
      <c r="B761" s="64">
        <v>11150</v>
      </c>
      <c r="C761" s="64" t="s">
        <v>0</v>
      </c>
      <c r="D761" s="65" t="s">
        <v>807</v>
      </c>
    </row>
    <row r="762" spans="1:4">
      <c r="A762" s="63" t="str">
        <f>$R$2&amp;"."&amp;'Конфигурация TREI'!$A$2&amp;"_1.DIAG_13"</f>
        <v>Диагностика.TREI.CPU_1.DIAG_13</v>
      </c>
      <c r="B762" s="64">
        <v>11000</v>
      </c>
      <c r="C762" s="64" t="s">
        <v>5</v>
      </c>
      <c r="D762" s="65">
        <v>2147483680</v>
      </c>
    </row>
    <row r="763" spans="1:4">
      <c r="A763" s="19" t="str">
        <f>$R$2&amp;"."&amp;'Конфигурация TREI'!$A$2&amp;"_1.DIAG_13"</f>
        <v>Диагностика.TREI.CPU_1.DIAG_13</v>
      </c>
      <c r="B763" s="11">
        <v>7999</v>
      </c>
      <c r="C763" s="11" t="s">
        <v>0</v>
      </c>
      <c r="D763" s="20" t="str">
        <f>"#"&amp;$S$2&amp;"#"&amp;$T$2&amp;IF($S$7="","","\")&amp;$S$7&amp;"\"&amp;'Конфигурация TREI'!$A$2&amp;"_1\DIAG_13"</f>
        <v>#2#treiOPCDA.CoOPCserv.1\pcmaster\CPU_1\DIAG_13</v>
      </c>
    </row>
    <row r="764" spans="1:4">
      <c r="A764" s="19" t="str">
        <f>$R$2&amp;"."&amp;'Конфигурация TREI'!$A$2&amp;"_1.DIAG_13"</f>
        <v>Диагностика.TREI.CPU_1.DIAG_13</v>
      </c>
      <c r="B764" s="11">
        <v>7998</v>
      </c>
      <c r="C764" s="11" t="s">
        <v>6</v>
      </c>
      <c r="D764" s="20">
        <v>1</v>
      </c>
    </row>
    <row r="765" spans="1:4">
      <c r="A765" s="19" t="str">
        <f>$R$2&amp;"."&amp;'Конфигурация TREI'!$A$2&amp;"_1.DIAG_13"</f>
        <v>Диагностика.TREI.CPU_1.DIAG_13</v>
      </c>
      <c r="B765" s="11">
        <v>101</v>
      </c>
      <c r="C765" s="11" t="s">
        <v>0</v>
      </c>
      <c r="D765" s="20" t="s">
        <v>807</v>
      </c>
    </row>
    <row r="766" spans="1:4">
      <c r="A766" s="19" t="str">
        <f>$R$2&amp;"."&amp;'Конфигурация TREI'!$A$2&amp;"_1.DIAG_13"</f>
        <v>Диагностика.TREI.CPU_1.DIAG_13</v>
      </c>
      <c r="B766" s="11">
        <v>3</v>
      </c>
      <c r="C766" s="11" t="s">
        <v>1</v>
      </c>
      <c r="D766" s="20">
        <v>192</v>
      </c>
    </row>
    <row r="767" spans="1:4">
      <c r="A767" s="19" t="str">
        <f>$R$2&amp;"."&amp;'Конфигурация TREI'!$A$2&amp;"_1.DIAG_13"</f>
        <v>Диагностика.TREI.CPU_1.DIAG_13</v>
      </c>
      <c r="B767" s="11">
        <v>2</v>
      </c>
      <c r="C767" s="11" t="s">
        <v>2</v>
      </c>
      <c r="D767" s="20" t="s">
        <v>3</v>
      </c>
    </row>
    <row r="768" spans="1:4">
      <c r="A768" s="21" t="str">
        <f>$R$2&amp;"."&amp;'Конфигурация TREI'!$A$2&amp;"_1.DIAG_13"</f>
        <v>Диагностика.TREI.CPU_1.DIAG_13</v>
      </c>
      <c r="B768" s="8">
        <v>1</v>
      </c>
      <c r="C768" s="8" t="s">
        <v>1</v>
      </c>
      <c r="D768" s="22">
        <v>11</v>
      </c>
    </row>
    <row r="769" spans="1:4">
      <c r="A769" s="69" t="str">
        <f>$R$2&amp;"."&amp;'Конфигурация TREI'!$A$2&amp;"_1.DIAG_14"</f>
        <v>Диагностика.TREI.CPU_1.DIAG_14</v>
      </c>
      <c r="B769" s="70">
        <v>11154</v>
      </c>
      <c r="C769" s="70" t="s">
        <v>4</v>
      </c>
      <c r="D769" s="144">
        <f>$Q$6</f>
        <v>8</v>
      </c>
    </row>
    <row r="770" spans="1:4">
      <c r="A770" s="63" t="str">
        <f>$R$2&amp;"."&amp;'Конфигурация TREI'!$A$2&amp;"_1.DIAG_14"</f>
        <v>Диагностика.TREI.CPU_1.DIAG_14</v>
      </c>
      <c r="B770" s="64">
        <v>11152</v>
      </c>
      <c r="C770" s="64" t="s">
        <v>0</v>
      </c>
      <c r="D770" s="129" t="str">
        <f>$R$6</f>
        <v>Предупреждение</v>
      </c>
    </row>
    <row r="771" spans="1:4">
      <c r="A771" s="63" t="str">
        <f>$R$2&amp;"."&amp;'Конфигурация TREI'!$A$2&amp;"_1.DIAG_14"</f>
        <v>Диагностика.TREI.CPU_1.DIAG_14</v>
      </c>
      <c r="B771" s="64">
        <v>11150</v>
      </c>
      <c r="C771" s="64" t="s">
        <v>0</v>
      </c>
      <c r="D771" s="65" t="s">
        <v>808</v>
      </c>
    </row>
    <row r="772" spans="1:4">
      <c r="A772" s="63" t="str">
        <f>$R$2&amp;"."&amp;'Конфигурация TREI'!$A$2&amp;"_1.DIAG_14"</f>
        <v>Диагностика.TREI.CPU_1.DIAG_14</v>
      </c>
      <c r="B772" s="64">
        <v>11000</v>
      </c>
      <c r="C772" s="64" t="s">
        <v>5</v>
      </c>
      <c r="D772" s="65">
        <v>2147483680</v>
      </c>
    </row>
    <row r="773" spans="1:4">
      <c r="A773" s="19" t="str">
        <f>$R$2&amp;"."&amp;'Конфигурация TREI'!$A$2&amp;"_1.DIAG_14"</f>
        <v>Диагностика.TREI.CPU_1.DIAG_14</v>
      </c>
      <c r="B773" s="11">
        <v>7999</v>
      </c>
      <c r="C773" s="11" t="s">
        <v>0</v>
      </c>
      <c r="D773" s="20" t="str">
        <f>"#"&amp;$S$2&amp;"#"&amp;$T$2&amp;IF($S$7="","","\")&amp;$S$7&amp;"\"&amp;'Конфигурация TREI'!$A$2&amp;"_1\DIAG_14"</f>
        <v>#2#treiOPCDA.CoOPCserv.1\pcmaster\CPU_1\DIAG_14</v>
      </c>
    </row>
    <row r="774" spans="1:4">
      <c r="A774" s="19" t="str">
        <f>$R$2&amp;"."&amp;'Конфигурация TREI'!$A$2&amp;"_1.DIAG_14"</f>
        <v>Диагностика.TREI.CPU_1.DIAG_14</v>
      </c>
      <c r="B774" s="11">
        <v>7998</v>
      </c>
      <c r="C774" s="11" t="s">
        <v>6</v>
      </c>
      <c r="D774" s="20">
        <v>1</v>
      </c>
    </row>
    <row r="775" spans="1:4">
      <c r="A775" s="19" t="str">
        <f>$R$2&amp;"."&amp;'Конфигурация TREI'!$A$2&amp;"_1.DIAG_14"</f>
        <v>Диагностика.TREI.CPU_1.DIAG_14</v>
      </c>
      <c r="B775" s="11">
        <v>101</v>
      </c>
      <c r="C775" s="11" t="s">
        <v>0</v>
      </c>
      <c r="D775" s="20" t="s">
        <v>808</v>
      </c>
    </row>
    <row r="776" spans="1:4">
      <c r="A776" s="19" t="str">
        <f>$R$2&amp;"."&amp;'Конфигурация TREI'!$A$2&amp;"_1.DIAG_14"</f>
        <v>Диагностика.TREI.CPU_1.DIAG_14</v>
      </c>
      <c r="B776" s="11">
        <v>3</v>
      </c>
      <c r="C776" s="11" t="s">
        <v>1</v>
      </c>
      <c r="D776" s="20">
        <v>192</v>
      </c>
    </row>
    <row r="777" spans="1:4">
      <c r="A777" s="19" t="str">
        <f>$R$2&amp;"."&amp;'Конфигурация TREI'!$A$2&amp;"_1.DIAG_14"</f>
        <v>Диагностика.TREI.CPU_1.DIAG_14</v>
      </c>
      <c r="B777" s="11">
        <v>2</v>
      </c>
      <c r="C777" s="11" t="s">
        <v>2</v>
      </c>
      <c r="D777" s="20" t="s">
        <v>3</v>
      </c>
    </row>
    <row r="778" spans="1:4">
      <c r="A778" s="21" t="str">
        <f>$R$2&amp;"."&amp;'Конфигурация TREI'!$A$2&amp;"_1.DIAG_14"</f>
        <v>Диагностика.TREI.CPU_1.DIAG_14</v>
      </c>
      <c r="B778" s="8">
        <v>1</v>
      </c>
      <c r="C778" s="8" t="s">
        <v>1</v>
      </c>
      <c r="D778" s="22">
        <v>11</v>
      </c>
    </row>
    <row r="779" spans="1:4">
      <c r="A779" s="159" t="str">
        <f>$R$2&amp;"."&amp;'Конфигурация TREI'!$A$2&amp;"_1.DIAG_15"</f>
        <v>Диагностика.TREI.CPU_1.DIAG_15</v>
      </c>
      <c r="B779" s="160">
        <v>11154</v>
      </c>
      <c r="C779" s="160" t="s">
        <v>4</v>
      </c>
      <c r="D779" s="161">
        <f>$Q$8</f>
        <v>18</v>
      </c>
    </row>
    <row r="780" spans="1:4">
      <c r="A780" s="100" t="str">
        <f>$R$2&amp;"."&amp;'Конфигурация TREI'!$A$2&amp;"_1.DIAG_15"</f>
        <v>Диагностика.TREI.CPU_1.DIAG_15</v>
      </c>
      <c r="B780" s="101">
        <v>11152</v>
      </c>
      <c r="C780" s="101" t="s">
        <v>0</v>
      </c>
      <c r="D780" s="104" t="str">
        <f>$R$8</f>
        <v>Телесигнализация</v>
      </c>
    </row>
    <row r="781" spans="1:4">
      <c r="A781" s="100" t="str">
        <f>$R$2&amp;"."&amp;'Конфигурация TREI'!$A$2&amp;"_1.DIAG_15"</f>
        <v>Диагностика.TREI.CPU_1.DIAG_15</v>
      </c>
      <c r="B781" s="101">
        <v>11150</v>
      </c>
      <c r="C781" s="101" t="s">
        <v>0</v>
      </c>
      <c r="D781" s="103" t="s">
        <v>3085</v>
      </c>
    </row>
    <row r="782" spans="1:4">
      <c r="A782" s="100" t="str">
        <f>$R$2&amp;"."&amp;'Конфигурация TREI'!$A$2&amp;"_1.DIAG_15"</f>
        <v>Диагностика.TREI.CPU_1.DIAG_15</v>
      </c>
      <c r="B782" s="101">
        <v>11000</v>
      </c>
      <c r="C782" s="101" t="s">
        <v>5</v>
      </c>
      <c r="D782" s="103">
        <v>2147483680</v>
      </c>
    </row>
    <row r="783" spans="1:4">
      <c r="A783" s="19" t="str">
        <f>$R$2&amp;"."&amp;'Конфигурация TREI'!$A$2&amp;"_1.DIAG_15"</f>
        <v>Диагностика.TREI.CPU_1.DIAG_15</v>
      </c>
      <c r="B783" s="11">
        <v>7999</v>
      </c>
      <c r="C783" s="11" t="s">
        <v>0</v>
      </c>
      <c r="D783" s="20" t="str">
        <f>"#"&amp;$S$2&amp;"#"&amp;$T$2&amp;IF($S$7="","","\")&amp;$S$7&amp;"\"&amp;'Конфигурация TREI'!$A$2&amp;"_1\DIAG_15"</f>
        <v>#2#treiOPCDA.CoOPCserv.1\pcmaster\CPU_1\DIAG_15</v>
      </c>
    </row>
    <row r="784" spans="1:4">
      <c r="A784" s="19" t="str">
        <f>$R$2&amp;"."&amp;'Конфигурация TREI'!$A$2&amp;"_1.DIAG_15"</f>
        <v>Диагностика.TREI.CPU_1.DIAG_15</v>
      </c>
      <c r="B784" s="11">
        <v>7998</v>
      </c>
      <c r="C784" s="11" t="s">
        <v>6</v>
      </c>
      <c r="D784" s="20">
        <v>1</v>
      </c>
    </row>
    <row r="785" spans="1:4">
      <c r="A785" s="19" t="str">
        <f>$R$2&amp;"."&amp;'Конфигурация TREI'!$A$2&amp;"_1.DIAG_15"</f>
        <v>Диагностика.TREI.CPU_1.DIAG_15</v>
      </c>
      <c r="B785" s="11">
        <v>101</v>
      </c>
      <c r="C785" s="11" t="s">
        <v>0</v>
      </c>
      <c r="D785" s="20" t="s">
        <v>3085</v>
      </c>
    </row>
    <row r="786" spans="1:4">
      <c r="A786" s="19" t="str">
        <f>$R$2&amp;"."&amp;'Конфигурация TREI'!$A$2&amp;"_1.DIAG_15"</f>
        <v>Диагностика.TREI.CPU_1.DIAG_15</v>
      </c>
      <c r="B786" s="11">
        <v>3</v>
      </c>
      <c r="C786" s="11" t="s">
        <v>1</v>
      </c>
      <c r="D786" s="20">
        <v>192</v>
      </c>
    </row>
    <row r="787" spans="1:4">
      <c r="A787" s="19" t="str">
        <f>$R$2&amp;"."&amp;'Конфигурация TREI'!$A$2&amp;"_1.DIAG_15"</f>
        <v>Диагностика.TREI.CPU_1.DIAG_15</v>
      </c>
      <c r="B787" s="11">
        <v>2</v>
      </c>
      <c r="C787" s="11" t="s">
        <v>2</v>
      </c>
      <c r="D787" s="20" t="s">
        <v>3</v>
      </c>
    </row>
    <row r="788" spans="1:4">
      <c r="A788" s="21" t="str">
        <f>$R$2&amp;"."&amp;'Конфигурация TREI'!$A$2&amp;"_1.DIAG_15"</f>
        <v>Диагностика.TREI.CPU_1.DIAG_15</v>
      </c>
      <c r="B788" s="8">
        <v>1</v>
      </c>
      <c r="C788" s="8" t="s">
        <v>1</v>
      </c>
      <c r="D788" s="22">
        <v>11</v>
      </c>
    </row>
    <row r="789" spans="1:4">
      <c r="A789" s="159" t="str">
        <f>$R$2&amp;"."&amp;'Конфигурация TREI'!$A$2&amp;"_1.DIAG_16"</f>
        <v>Диагностика.TREI.CPU_1.DIAG_16</v>
      </c>
      <c r="B789" s="160">
        <v>11154</v>
      </c>
      <c r="C789" s="160" t="s">
        <v>4</v>
      </c>
      <c r="D789" s="161">
        <f>$Q$8</f>
        <v>18</v>
      </c>
    </row>
    <row r="790" spans="1:4">
      <c r="A790" s="100" t="str">
        <f>$R$2&amp;"."&amp;'Конфигурация TREI'!$A$2&amp;"_1.DIAG_16"</f>
        <v>Диагностика.TREI.CPU_1.DIAG_16</v>
      </c>
      <c r="B790" s="101">
        <v>11152</v>
      </c>
      <c r="C790" s="101" t="s">
        <v>0</v>
      </c>
      <c r="D790" s="104" t="str">
        <f>$R$8</f>
        <v>Телесигнализация</v>
      </c>
    </row>
    <row r="791" spans="1:4">
      <c r="A791" s="100" t="str">
        <f>$R$2&amp;"."&amp;'Конфигурация TREI'!$A$2&amp;"_1.DIAG_16"</f>
        <v>Диагностика.TREI.CPU_1.DIAG_16</v>
      </c>
      <c r="B791" s="101">
        <v>11150</v>
      </c>
      <c r="C791" s="101" t="s">
        <v>0</v>
      </c>
      <c r="D791" s="103" t="s">
        <v>3086</v>
      </c>
    </row>
    <row r="792" spans="1:4">
      <c r="A792" s="100" t="str">
        <f>$R$2&amp;"."&amp;'Конфигурация TREI'!$A$2&amp;"_1.DIAG_16"</f>
        <v>Диагностика.TREI.CPU_1.DIAG_16</v>
      </c>
      <c r="B792" s="101">
        <v>11000</v>
      </c>
      <c r="C792" s="101" t="s">
        <v>5</v>
      </c>
      <c r="D792" s="103">
        <v>2147483680</v>
      </c>
    </row>
    <row r="793" spans="1:4">
      <c r="A793" s="19" t="str">
        <f>$R$2&amp;"."&amp;'Конфигурация TREI'!$A$2&amp;"_1.DIAG_16"</f>
        <v>Диагностика.TREI.CPU_1.DIAG_16</v>
      </c>
      <c r="B793" s="11">
        <v>7999</v>
      </c>
      <c r="C793" s="11" t="s">
        <v>0</v>
      </c>
      <c r="D793" s="20" t="str">
        <f>"#"&amp;$S$2&amp;"#"&amp;$T$2&amp;IF($S$7="","","\")&amp;$S$7&amp;"\"&amp;'Конфигурация TREI'!$A$2&amp;"_1\DIAG_16"</f>
        <v>#2#treiOPCDA.CoOPCserv.1\pcmaster\CPU_1\DIAG_16</v>
      </c>
    </row>
    <row r="794" spans="1:4">
      <c r="A794" s="19" t="str">
        <f>$R$2&amp;"."&amp;'Конфигурация TREI'!$A$2&amp;"_1.DIAG_16"</f>
        <v>Диагностика.TREI.CPU_1.DIAG_16</v>
      </c>
      <c r="B794" s="11">
        <v>7998</v>
      </c>
      <c r="C794" s="11" t="s">
        <v>6</v>
      </c>
      <c r="D794" s="20">
        <v>1</v>
      </c>
    </row>
    <row r="795" spans="1:4">
      <c r="A795" s="19" t="str">
        <f>$R$2&amp;"."&amp;'Конфигурация TREI'!$A$2&amp;"_1.DIAG_16"</f>
        <v>Диагностика.TREI.CPU_1.DIAG_16</v>
      </c>
      <c r="B795" s="11">
        <v>101</v>
      </c>
      <c r="C795" s="11" t="s">
        <v>0</v>
      </c>
      <c r="D795" s="20" t="s">
        <v>3086</v>
      </c>
    </row>
    <row r="796" spans="1:4">
      <c r="A796" s="19" t="str">
        <f>$R$2&amp;"."&amp;'Конфигурация TREI'!$A$2&amp;"_1.DIAG_16"</f>
        <v>Диагностика.TREI.CPU_1.DIAG_16</v>
      </c>
      <c r="B796" s="11">
        <v>3</v>
      </c>
      <c r="C796" s="11" t="s">
        <v>1</v>
      </c>
      <c r="D796" s="20">
        <v>192</v>
      </c>
    </row>
    <row r="797" spans="1:4">
      <c r="A797" s="19" t="str">
        <f>$R$2&amp;"."&amp;'Конфигурация TREI'!$A$2&amp;"_1.DIAG_16"</f>
        <v>Диагностика.TREI.CPU_1.DIAG_16</v>
      </c>
      <c r="B797" s="11">
        <v>2</v>
      </c>
      <c r="C797" s="11" t="s">
        <v>2</v>
      </c>
      <c r="D797" s="20" t="s">
        <v>3</v>
      </c>
    </row>
    <row r="798" spans="1:4">
      <c r="A798" s="21" t="str">
        <f>$R$2&amp;"."&amp;'Конфигурация TREI'!$A$2&amp;"_1.DIAG_16"</f>
        <v>Диагностика.TREI.CPU_1.DIAG_16</v>
      </c>
      <c r="B798" s="8">
        <v>1</v>
      </c>
      <c r="C798" s="8" t="s">
        <v>1</v>
      </c>
      <c r="D798" s="22">
        <v>11</v>
      </c>
    </row>
    <row r="799" spans="1:4">
      <c r="A799" s="159" t="str">
        <f>$R$2&amp;"."&amp;'Конфигурация TREI'!$A$2&amp;"_1.DIAG_17"</f>
        <v>Диагностика.TREI.CPU_1.DIAG_17</v>
      </c>
      <c r="B799" s="160">
        <v>11154</v>
      </c>
      <c r="C799" s="160" t="s">
        <v>4</v>
      </c>
      <c r="D799" s="161">
        <f>$Q$8</f>
        <v>18</v>
      </c>
    </row>
    <row r="800" spans="1:4">
      <c r="A800" s="100" t="str">
        <f>$R$2&amp;"."&amp;'Конфигурация TREI'!$A$2&amp;"_1.DIAG_17"</f>
        <v>Диагностика.TREI.CPU_1.DIAG_17</v>
      </c>
      <c r="B800" s="101">
        <v>11152</v>
      </c>
      <c r="C800" s="101" t="s">
        <v>0</v>
      </c>
      <c r="D800" s="104" t="str">
        <f>$R$8</f>
        <v>Телесигнализация</v>
      </c>
    </row>
    <row r="801" spans="1:4">
      <c r="A801" s="100" t="str">
        <f>$R$2&amp;"."&amp;'Конфигурация TREI'!$A$2&amp;"_1.DIAG_17"</f>
        <v>Диагностика.TREI.CPU_1.DIAG_17</v>
      </c>
      <c r="B801" s="101">
        <v>11150</v>
      </c>
      <c r="C801" s="101" t="s">
        <v>0</v>
      </c>
      <c r="D801" s="103" t="s">
        <v>3087</v>
      </c>
    </row>
    <row r="802" spans="1:4">
      <c r="A802" s="100" t="str">
        <f>$R$2&amp;"."&amp;'Конфигурация TREI'!$A$2&amp;"_1.DIAG_17"</f>
        <v>Диагностика.TREI.CPU_1.DIAG_17</v>
      </c>
      <c r="B802" s="101">
        <v>11000</v>
      </c>
      <c r="C802" s="101" t="s">
        <v>5</v>
      </c>
      <c r="D802" s="103">
        <v>2147483680</v>
      </c>
    </row>
    <row r="803" spans="1:4">
      <c r="A803" s="19" t="str">
        <f>$R$2&amp;"."&amp;'Конфигурация TREI'!$A$2&amp;"_1.DIAG_17"</f>
        <v>Диагностика.TREI.CPU_1.DIAG_17</v>
      </c>
      <c r="B803" s="11">
        <v>7999</v>
      </c>
      <c r="C803" s="11" t="s">
        <v>0</v>
      </c>
      <c r="D803" s="20" t="str">
        <f>"#"&amp;$S$2&amp;"#"&amp;$T$2&amp;IF($S$7="","","\")&amp;$S$7&amp;"\"&amp;'Конфигурация TREI'!$A$2&amp;"_1\DIAG_17"</f>
        <v>#2#treiOPCDA.CoOPCserv.1\pcmaster\CPU_1\DIAG_17</v>
      </c>
    </row>
    <row r="804" spans="1:4">
      <c r="A804" s="19" t="str">
        <f>$R$2&amp;"."&amp;'Конфигурация TREI'!$A$2&amp;"_1.DIAG_17"</f>
        <v>Диагностика.TREI.CPU_1.DIAG_17</v>
      </c>
      <c r="B804" s="11">
        <v>7998</v>
      </c>
      <c r="C804" s="11" t="s">
        <v>6</v>
      </c>
      <c r="D804" s="20">
        <v>1</v>
      </c>
    </row>
    <row r="805" spans="1:4">
      <c r="A805" s="19" t="str">
        <f>$R$2&amp;"."&amp;'Конфигурация TREI'!$A$2&amp;"_1.DIAG_17"</f>
        <v>Диагностика.TREI.CPU_1.DIAG_17</v>
      </c>
      <c r="B805" s="11">
        <v>101</v>
      </c>
      <c r="C805" s="11" t="s">
        <v>0</v>
      </c>
      <c r="D805" s="20" t="s">
        <v>3087</v>
      </c>
    </row>
    <row r="806" spans="1:4">
      <c r="A806" s="19" t="str">
        <f>$R$2&amp;"."&amp;'Конфигурация TREI'!$A$2&amp;"_1.DIAG_17"</f>
        <v>Диагностика.TREI.CPU_1.DIAG_17</v>
      </c>
      <c r="B806" s="11">
        <v>3</v>
      </c>
      <c r="C806" s="11" t="s">
        <v>1</v>
      </c>
      <c r="D806" s="20">
        <v>192</v>
      </c>
    </row>
    <row r="807" spans="1:4">
      <c r="A807" s="19" t="str">
        <f>$R$2&amp;"."&amp;'Конфигурация TREI'!$A$2&amp;"_1.DIAG_17"</f>
        <v>Диагностика.TREI.CPU_1.DIAG_17</v>
      </c>
      <c r="B807" s="11">
        <v>2</v>
      </c>
      <c r="C807" s="11" t="s">
        <v>2</v>
      </c>
      <c r="D807" s="20" t="s">
        <v>3</v>
      </c>
    </row>
    <row r="808" spans="1:4">
      <c r="A808" s="21" t="str">
        <f>$R$2&amp;"."&amp;'Конфигурация TREI'!$A$2&amp;"_1.DIAG_17"</f>
        <v>Диагностика.TREI.CPU_1.DIAG_17</v>
      </c>
      <c r="B808" s="8">
        <v>1</v>
      </c>
      <c r="C808" s="8" t="s">
        <v>1</v>
      </c>
      <c r="D808" s="22">
        <v>11</v>
      </c>
    </row>
    <row r="809" spans="1:4">
      <c r="A809" s="159" t="str">
        <f>$R$2&amp;"."&amp;'Конфигурация TREI'!$A$2&amp;"_1.DIAG_18"</f>
        <v>Диагностика.TREI.CPU_1.DIAG_18</v>
      </c>
      <c r="B809" s="160">
        <v>11154</v>
      </c>
      <c r="C809" s="160" t="s">
        <v>4</v>
      </c>
      <c r="D809" s="161">
        <f>$Q$8</f>
        <v>18</v>
      </c>
    </row>
    <row r="810" spans="1:4">
      <c r="A810" s="100" t="str">
        <f>$R$2&amp;"."&amp;'Конфигурация TREI'!$A$2&amp;"_1.DIAG_18"</f>
        <v>Диагностика.TREI.CPU_1.DIAG_18</v>
      </c>
      <c r="B810" s="101">
        <v>11152</v>
      </c>
      <c r="C810" s="101" t="s">
        <v>0</v>
      </c>
      <c r="D810" s="104" t="str">
        <f>$R$8</f>
        <v>Телесигнализация</v>
      </c>
    </row>
    <row r="811" spans="1:4">
      <c r="A811" s="100" t="str">
        <f>$R$2&amp;"."&amp;'Конфигурация TREI'!$A$2&amp;"_1.DIAG_18"</f>
        <v>Диагностика.TREI.CPU_1.DIAG_18</v>
      </c>
      <c r="B811" s="101">
        <v>11150</v>
      </c>
      <c r="C811" s="101" t="s">
        <v>0</v>
      </c>
      <c r="D811" s="103" t="s">
        <v>3088</v>
      </c>
    </row>
    <row r="812" spans="1:4">
      <c r="A812" s="100" t="str">
        <f>$R$2&amp;"."&amp;'Конфигурация TREI'!$A$2&amp;"_1.DIAG_18"</f>
        <v>Диагностика.TREI.CPU_1.DIAG_18</v>
      </c>
      <c r="B812" s="101">
        <v>11000</v>
      </c>
      <c r="C812" s="101" t="s">
        <v>5</v>
      </c>
      <c r="D812" s="103">
        <v>2147483680</v>
      </c>
    </row>
    <row r="813" spans="1:4">
      <c r="A813" s="19" t="str">
        <f>$R$2&amp;"."&amp;'Конфигурация TREI'!$A$2&amp;"_1.DIAG_18"</f>
        <v>Диагностика.TREI.CPU_1.DIAG_18</v>
      </c>
      <c r="B813" s="11">
        <v>7999</v>
      </c>
      <c r="C813" s="11" t="s">
        <v>0</v>
      </c>
      <c r="D813" s="20" t="str">
        <f>"#"&amp;$S$2&amp;"#"&amp;$T$2&amp;IF($S$7="","","\")&amp;$S$7&amp;"\"&amp;'Конфигурация TREI'!$A$2&amp;"_1\DIAG_18"</f>
        <v>#2#treiOPCDA.CoOPCserv.1\pcmaster\CPU_1\DIAG_18</v>
      </c>
    </row>
    <row r="814" spans="1:4">
      <c r="A814" s="19" t="str">
        <f>$R$2&amp;"."&amp;'Конфигурация TREI'!$A$2&amp;"_1.DIAG_18"</f>
        <v>Диагностика.TREI.CPU_1.DIAG_18</v>
      </c>
      <c r="B814" s="11">
        <v>7998</v>
      </c>
      <c r="C814" s="11" t="s">
        <v>6</v>
      </c>
      <c r="D814" s="20">
        <v>1</v>
      </c>
    </row>
    <row r="815" spans="1:4">
      <c r="A815" s="19" t="str">
        <f>$R$2&amp;"."&amp;'Конфигурация TREI'!$A$2&amp;"_1.DIAG_18"</f>
        <v>Диагностика.TREI.CPU_1.DIAG_18</v>
      </c>
      <c r="B815" s="11">
        <v>101</v>
      </c>
      <c r="C815" s="11" t="s">
        <v>0</v>
      </c>
      <c r="D815" s="20" t="s">
        <v>3088</v>
      </c>
    </row>
    <row r="816" spans="1:4">
      <c r="A816" s="19" t="str">
        <f>$R$2&amp;"."&amp;'Конфигурация TREI'!$A$2&amp;"_1.DIAG_18"</f>
        <v>Диагностика.TREI.CPU_1.DIAG_18</v>
      </c>
      <c r="B816" s="11">
        <v>3</v>
      </c>
      <c r="C816" s="11" t="s">
        <v>1</v>
      </c>
      <c r="D816" s="20">
        <v>192</v>
      </c>
    </row>
    <row r="817" spans="1:4">
      <c r="A817" s="19" t="str">
        <f>$R$2&amp;"."&amp;'Конфигурация TREI'!$A$2&amp;"_1.DIAG_18"</f>
        <v>Диагностика.TREI.CPU_1.DIAG_18</v>
      </c>
      <c r="B817" s="11">
        <v>2</v>
      </c>
      <c r="C817" s="11" t="s">
        <v>2</v>
      </c>
      <c r="D817" s="20" t="s">
        <v>3</v>
      </c>
    </row>
    <row r="818" spans="1:4">
      <c r="A818" s="21" t="str">
        <f>$R$2&amp;"."&amp;'Конфигурация TREI'!$A$2&amp;"_1.DIAG_18"</f>
        <v>Диагностика.TREI.CPU_1.DIAG_18</v>
      </c>
      <c r="B818" s="8">
        <v>1</v>
      </c>
      <c r="C818" s="8" t="s">
        <v>1</v>
      </c>
      <c r="D818" s="22">
        <v>11</v>
      </c>
    </row>
    <row r="819" spans="1:4">
      <c r="A819" s="159" t="str">
        <f>$R$2&amp;"."&amp;'Конфигурация TREI'!$A$2&amp;"_1.DIAG_19"</f>
        <v>Диагностика.TREI.CPU_1.DIAG_19</v>
      </c>
      <c r="B819" s="160">
        <v>11154</v>
      </c>
      <c r="C819" s="160" t="s">
        <v>4</v>
      </c>
      <c r="D819" s="161">
        <f>$Q$8</f>
        <v>18</v>
      </c>
    </row>
    <row r="820" spans="1:4">
      <c r="A820" s="100" t="str">
        <f>$R$2&amp;"."&amp;'Конфигурация TREI'!$A$2&amp;"_1.DIAG_19"</f>
        <v>Диагностика.TREI.CPU_1.DIAG_19</v>
      </c>
      <c r="B820" s="101">
        <v>11152</v>
      </c>
      <c r="C820" s="101" t="s">
        <v>0</v>
      </c>
      <c r="D820" s="104" t="str">
        <f>$R$8</f>
        <v>Телесигнализация</v>
      </c>
    </row>
    <row r="821" spans="1:4">
      <c r="A821" s="100" t="str">
        <f>$R$2&amp;"."&amp;'Конфигурация TREI'!$A$2&amp;"_1.DIAG_19"</f>
        <v>Диагностика.TREI.CPU_1.DIAG_19</v>
      </c>
      <c r="B821" s="101">
        <v>11150</v>
      </c>
      <c r="C821" s="101" t="s">
        <v>0</v>
      </c>
      <c r="D821" s="103" t="s">
        <v>3089</v>
      </c>
    </row>
    <row r="822" spans="1:4">
      <c r="A822" s="100" t="str">
        <f>$R$2&amp;"."&amp;'Конфигурация TREI'!$A$2&amp;"_1.DIAG_19"</f>
        <v>Диагностика.TREI.CPU_1.DIAG_19</v>
      </c>
      <c r="B822" s="101">
        <v>11000</v>
      </c>
      <c r="C822" s="101" t="s">
        <v>5</v>
      </c>
      <c r="D822" s="103">
        <v>2147483680</v>
      </c>
    </row>
    <row r="823" spans="1:4">
      <c r="A823" s="19" t="str">
        <f>$R$2&amp;"."&amp;'Конфигурация TREI'!$A$2&amp;"_1.DIAG_19"</f>
        <v>Диагностика.TREI.CPU_1.DIAG_19</v>
      </c>
      <c r="B823" s="11">
        <v>7999</v>
      </c>
      <c r="C823" s="11" t="s">
        <v>0</v>
      </c>
      <c r="D823" s="20" t="str">
        <f>"#"&amp;$S$2&amp;"#"&amp;$T$2&amp;IF($S$7="","","\")&amp;$S$7&amp;"\"&amp;'Конфигурация TREI'!$A$2&amp;"_1\DIAG_19"</f>
        <v>#2#treiOPCDA.CoOPCserv.1\pcmaster\CPU_1\DIAG_19</v>
      </c>
    </row>
    <row r="824" spans="1:4">
      <c r="A824" s="19" t="str">
        <f>$R$2&amp;"."&amp;'Конфигурация TREI'!$A$2&amp;"_1.DIAG_19"</f>
        <v>Диагностика.TREI.CPU_1.DIAG_19</v>
      </c>
      <c r="B824" s="11">
        <v>7998</v>
      </c>
      <c r="C824" s="11" t="s">
        <v>6</v>
      </c>
      <c r="D824" s="20">
        <v>1</v>
      </c>
    </row>
    <row r="825" spans="1:4">
      <c r="A825" s="19" t="str">
        <f>$R$2&amp;"."&amp;'Конфигурация TREI'!$A$2&amp;"_1.DIAG_19"</f>
        <v>Диагностика.TREI.CPU_1.DIAG_19</v>
      </c>
      <c r="B825" s="11">
        <v>101</v>
      </c>
      <c r="C825" s="11" t="s">
        <v>0</v>
      </c>
      <c r="D825" s="20" t="s">
        <v>3089</v>
      </c>
    </row>
    <row r="826" spans="1:4">
      <c r="A826" s="19" t="str">
        <f>$R$2&amp;"."&amp;'Конфигурация TREI'!$A$2&amp;"_1.DIAG_19"</f>
        <v>Диагностика.TREI.CPU_1.DIAG_19</v>
      </c>
      <c r="B826" s="11">
        <v>3</v>
      </c>
      <c r="C826" s="11" t="s">
        <v>1</v>
      </c>
      <c r="D826" s="20">
        <v>192</v>
      </c>
    </row>
    <row r="827" spans="1:4">
      <c r="A827" s="19" t="str">
        <f>$R$2&amp;"."&amp;'Конфигурация TREI'!$A$2&amp;"_1.DIAG_19"</f>
        <v>Диагностика.TREI.CPU_1.DIAG_19</v>
      </c>
      <c r="B827" s="11">
        <v>2</v>
      </c>
      <c r="C827" s="11" t="s">
        <v>2</v>
      </c>
      <c r="D827" s="20" t="s">
        <v>3</v>
      </c>
    </row>
    <row r="828" spans="1:4">
      <c r="A828" s="21" t="str">
        <f>$R$2&amp;"."&amp;'Конфигурация TREI'!$A$2&amp;"_1.DIAG_19"</f>
        <v>Диагностика.TREI.CPU_1.DIAG_19</v>
      </c>
      <c r="B828" s="8">
        <v>1</v>
      </c>
      <c r="C828" s="8" t="s">
        <v>1</v>
      </c>
      <c r="D828" s="22">
        <v>11</v>
      </c>
    </row>
    <row r="829" spans="1:4">
      <c r="A829" s="159" t="str">
        <f>$R$2&amp;"."&amp;'Конфигурация TREI'!$A$2&amp;"_1.DIAG_20"</f>
        <v>Диагностика.TREI.CPU_1.DIAG_20</v>
      </c>
      <c r="B829" s="160">
        <v>11154</v>
      </c>
      <c r="C829" s="160" t="s">
        <v>4</v>
      </c>
      <c r="D829" s="161">
        <f>$Q$8</f>
        <v>18</v>
      </c>
    </row>
    <row r="830" spans="1:4">
      <c r="A830" s="100" t="str">
        <f>$R$2&amp;"."&amp;'Конфигурация TREI'!$A$2&amp;"_1.DIAG_20"</f>
        <v>Диагностика.TREI.CPU_1.DIAG_20</v>
      </c>
      <c r="B830" s="101">
        <v>11152</v>
      </c>
      <c r="C830" s="101" t="s">
        <v>0</v>
      </c>
      <c r="D830" s="104" t="str">
        <f>$R$8</f>
        <v>Телесигнализация</v>
      </c>
    </row>
    <row r="831" spans="1:4">
      <c r="A831" s="100" t="str">
        <f>$R$2&amp;"."&amp;'Конфигурация TREI'!$A$2&amp;"_1.DIAG_20"</f>
        <v>Диагностика.TREI.CPU_1.DIAG_20</v>
      </c>
      <c r="B831" s="101">
        <v>11150</v>
      </c>
      <c r="C831" s="101" t="s">
        <v>0</v>
      </c>
      <c r="D831" s="103" t="s">
        <v>3090</v>
      </c>
    </row>
    <row r="832" spans="1:4">
      <c r="A832" s="100" t="str">
        <f>$R$2&amp;"."&amp;'Конфигурация TREI'!$A$2&amp;"_1.DIAG_20"</f>
        <v>Диагностика.TREI.CPU_1.DIAG_20</v>
      </c>
      <c r="B832" s="101">
        <v>11000</v>
      </c>
      <c r="C832" s="101" t="s">
        <v>5</v>
      </c>
      <c r="D832" s="103">
        <v>2147483680</v>
      </c>
    </row>
    <row r="833" spans="1:4">
      <c r="A833" s="19" t="str">
        <f>$R$2&amp;"."&amp;'Конфигурация TREI'!$A$2&amp;"_1.DIAG_20"</f>
        <v>Диагностика.TREI.CPU_1.DIAG_20</v>
      </c>
      <c r="B833" s="11">
        <v>7999</v>
      </c>
      <c r="C833" s="11" t="s">
        <v>0</v>
      </c>
      <c r="D833" s="20" t="str">
        <f>"#"&amp;$S$2&amp;"#"&amp;$T$2&amp;IF($S$7="","","\")&amp;$S$7&amp;"\"&amp;'Конфигурация TREI'!$A$2&amp;"_1\DIAG_20"</f>
        <v>#2#treiOPCDA.CoOPCserv.1\pcmaster\CPU_1\DIAG_20</v>
      </c>
    </row>
    <row r="834" spans="1:4">
      <c r="A834" s="19" t="str">
        <f>$R$2&amp;"."&amp;'Конфигурация TREI'!$A$2&amp;"_1.DIAG_20"</f>
        <v>Диагностика.TREI.CPU_1.DIAG_20</v>
      </c>
      <c r="B834" s="11">
        <v>7998</v>
      </c>
      <c r="C834" s="11" t="s">
        <v>6</v>
      </c>
      <c r="D834" s="20">
        <v>1</v>
      </c>
    </row>
    <row r="835" spans="1:4">
      <c r="A835" s="19" t="str">
        <f>$R$2&amp;"."&amp;'Конфигурация TREI'!$A$2&amp;"_1.DIAG_20"</f>
        <v>Диагностика.TREI.CPU_1.DIAG_20</v>
      </c>
      <c r="B835" s="11">
        <v>101</v>
      </c>
      <c r="C835" s="11" t="s">
        <v>0</v>
      </c>
      <c r="D835" s="20" t="s">
        <v>3090</v>
      </c>
    </row>
    <row r="836" spans="1:4">
      <c r="A836" s="19" t="str">
        <f>$R$2&amp;"."&amp;'Конфигурация TREI'!$A$2&amp;"_1.DIAG_20"</f>
        <v>Диагностика.TREI.CPU_1.DIAG_20</v>
      </c>
      <c r="B836" s="11">
        <v>3</v>
      </c>
      <c r="C836" s="11" t="s">
        <v>1</v>
      </c>
      <c r="D836" s="20">
        <v>192</v>
      </c>
    </row>
    <row r="837" spans="1:4">
      <c r="A837" s="19" t="str">
        <f>$R$2&amp;"."&amp;'Конфигурация TREI'!$A$2&amp;"_1.DIAG_20"</f>
        <v>Диагностика.TREI.CPU_1.DIAG_20</v>
      </c>
      <c r="B837" s="11">
        <v>2</v>
      </c>
      <c r="C837" s="11" t="s">
        <v>2</v>
      </c>
      <c r="D837" s="20" t="s">
        <v>3</v>
      </c>
    </row>
    <row r="838" spans="1:4">
      <c r="A838" s="21" t="str">
        <f>$R$2&amp;"."&amp;'Конфигурация TREI'!$A$2&amp;"_1.DIAG_20"</f>
        <v>Диагностика.TREI.CPU_1.DIAG_20</v>
      </c>
      <c r="B838" s="8">
        <v>1</v>
      </c>
      <c r="C838" s="8" t="s">
        <v>1</v>
      </c>
      <c r="D838" s="22">
        <v>11</v>
      </c>
    </row>
    <row r="839" spans="1:4">
      <c r="A839" s="159" t="str">
        <f>$R$2&amp;"."&amp;'Конфигурация TREI'!$A$2&amp;"_1.DIAG_22"</f>
        <v>Диагностика.TREI.CPU_1.DIAG_22</v>
      </c>
      <c r="B839" s="160">
        <v>11154</v>
      </c>
      <c r="C839" s="160" t="s">
        <v>4</v>
      </c>
      <c r="D839" s="161">
        <f>$Q$8</f>
        <v>18</v>
      </c>
    </row>
    <row r="840" spans="1:4">
      <c r="A840" s="100" t="str">
        <f>$R$2&amp;"."&amp;'Конфигурация TREI'!$A$2&amp;"_1.DIAG_22"</f>
        <v>Диагностика.TREI.CPU_1.DIAG_22</v>
      </c>
      <c r="B840" s="101">
        <v>11152</v>
      </c>
      <c r="C840" s="101" t="s">
        <v>0</v>
      </c>
      <c r="D840" s="104" t="str">
        <f>$R$8</f>
        <v>Телесигнализация</v>
      </c>
    </row>
    <row r="841" spans="1:4">
      <c r="A841" s="100" t="str">
        <f>$R$2&amp;"."&amp;'Конфигурация TREI'!$A$2&amp;"_1.DIAG_22"</f>
        <v>Диагностика.TREI.CPU_1.DIAG_22</v>
      </c>
      <c r="B841" s="101">
        <v>11150</v>
      </c>
      <c r="C841" s="101" t="s">
        <v>0</v>
      </c>
      <c r="D841" s="103" t="s">
        <v>812</v>
      </c>
    </row>
    <row r="842" spans="1:4">
      <c r="A842" s="100" t="str">
        <f>$R$2&amp;"."&amp;'Конфигурация TREI'!$A$2&amp;"_1.DIAG_22"</f>
        <v>Диагностика.TREI.CPU_1.DIAG_22</v>
      </c>
      <c r="B842" s="101">
        <v>11000</v>
      </c>
      <c r="C842" s="101" t="s">
        <v>5</v>
      </c>
      <c r="D842" s="103">
        <v>2147483680</v>
      </c>
    </row>
    <row r="843" spans="1:4">
      <c r="A843" s="19" t="str">
        <f>$R$2&amp;"."&amp;'Конфигурация TREI'!$A$2&amp;"_1.DIAG_22"</f>
        <v>Диагностика.TREI.CPU_1.DIAG_22</v>
      </c>
      <c r="B843" s="11">
        <v>7999</v>
      </c>
      <c r="C843" s="11" t="s">
        <v>0</v>
      </c>
      <c r="D843" s="20" t="str">
        <f>"#"&amp;$S$2&amp;"#"&amp;$T$2&amp;IF($S$7="","","\")&amp;$S$7&amp;"\"&amp;'Конфигурация TREI'!$A$2&amp;"_1\DIAG_22"</f>
        <v>#2#treiOPCDA.CoOPCserv.1\pcmaster\CPU_1\DIAG_22</v>
      </c>
    </row>
    <row r="844" spans="1:4">
      <c r="A844" s="19" t="str">
        <f>$R$2&amp;"."&amp;'Конфигурация TREI'!$A$2&amp;"_1.DIAG_22"</f>
        <v>Диагностика.TREI.CPU_1.DIAG_22</v>
      </c>
      <c r="B844" s="11">
        <v>7998</v>
      </c>
      <c r="C844" s="11" t="s">
        <v>6</v>
      </c>
      <c r="D844" s="20">
        <v>1</v>
      </c>
    </row>
    <row r="845" spans="1:4">
      <c r="A845" s="19" t="str">
        <f>$R$2&amp;"."&amp;'Конфигурация TREI'!$A$2&amp;"_1.DIAG_22"</f>
        <v>Диагностика.TREI.CPU_1.DIAG_22</v>
      </c>
      <c r="B845" s="11">
        <v>101</v>
      </c>
      <c r="C845" s="11" t="s">
        <v>0</v>
      </c>
      <c r="D845" s="20" t="s">
        <v>812</v>
      </c>
    </row>
    <row r="846" spans="1:4">
      <c r="A846" s="19" t="str">
        <f>$R$2&amp;"."&amp;'Конфигурация TREI'!$A$2&amp;"_1.DIAG_22"</f>
        <v>Диагностика.TREI.CPU_1.DIAG_22</v>
      </c>
      <c r="B846" s="11">
        <v>3</v>
      </c>
      <c r="C846" s="11" t="s">
        <v>1</v>
      </c>
      <c r="D846" s="20">
        <v>192</v>
      </c>
    </row>
    <row r="847" spans="1:4">
      <c r="A847" s="19" t="str">
        <f>$R$2&amp;"."&amp;'Конфигурация TREI'!$A$2&amp;"_1.DIAG_22"</f>
        <v>Диагностика.TREI.CPU_1.DIAG_22</v>
      </c>
      <c r="B847" s="11">
        <v>2</v>
      </c>
      <c r="C847" s="11" t="s">
        <v>2</v>
      </c>
      <c r="D847" s="20" t="s">
        <v>3</v>
      </c>
    </row>
    <row r="848" spans="1:4">
      <c r="A848" s="21" t="str">
        <f>$R$2&amp;"."&amp;'Конфигурация TREI'!$A$2&amp;"_1.DIAG_22"</f>
        <v>Диагностика.TREI.CPU_1.DIAG_22</v>
      </c>
      <c r="B848" s="8">
        <v>1</v>
      </c>
      <c r="C848" s="8" t="s">
        <v>1</v>
      </c>
      <c r="D848" s="22">
        <v>11</v>
      </c>
    </row>
    <row r="849" spans="1:4">
      <c r="A849" s="69" t="str">
        <f>$R$2&amp;"."&amp;'Конфигурация TREI'!$A$2&amp;"_1.DIAG_24"</f>
        <v>Диагностика.TREI.CPU_1.DIAG_24</v>
      </c>
      <c r="B849" s="70">
        <v>11154</v>
      </c>
      <c r="C849" s="70" t="s">
        <v>4</v>
      </c>
      <c r="D849" s="144">
        <f>$Q$6</f>
        <v>8</v>
      </c>
    </row>
    <row r="850" spans="1:4">
      <c r="A850" s="63" t="str">
        <f>$R$2&amp;"."&amp;'Конфигурация TREI'!$A$2&amp;"_1.DIAG_24"</f>
        <v>Диагностика.TREI.CPU_1.DIAG_24</v>
      </c>
      <c r="B850" s="64">
        <v>11152</v>
      </c>
      <c r="C850" s="64" t="s">
        <v>0</v>
      </c>
      <c r="D850" s="129" t="str">
        <f>$R$6</f>
        <v>Предупреждение</v>
      </c>
    </row>
    <row r="851" spans="1:4">
      <c r="A851" s="63" t="str">
        <f>$R$2&amp;"."&amp;'Конфигурация TREI'!$A$2&amp;"_1.DIAG_24"</f>
        <v>Диагностика.TREI.CPU_1.DIAG_24</v>
      </c>
      <c r="B851" s="64">
        <v>11150</v>
      </c>
      <c r="C851" s="64" t="s">
        <v>0</v>
      </c>
      <c r="D851" s="65" t="s">
        <v>813</v>
      </c>
    </row>
    <row r="852" spans="1:4">
      <c r="A852" s="63" t="str">
        <f>$R$2&amp;"."&amp;'Конфигурация TREI'!$A$2&amp;"_1.DIAG_24"</f>
        <v>Диагностика.TREI.CPU_1.DIAG_24</v>
      </c>
      <c r="B852" s="64">
        <v>11000</v>
      </c>
      <c r="C852" s="64" t="s">
        <v>5</v>
      </c>
      <c r="D852" s="65">
        <v>2147483680</v>
      </c>
    </row>
    <row r="853" spans="1:4">
      <c r="A853" s="19" t="str">
        <f>$R$2&amp;"."&amp;'Конфигурация TREI'!$A$2&amp;"_1.DIAG_24"</f>
        <v>Диагностика.TREI.CPU_1.DIAG_24</v>
      </c>
      <c r="B853" s="11">
        <v>7999</v>
      </c>
      <c r="C853" s="11" t="s">
        <v>0</v>
      </c>
      <c r="D853" s="20" t="str">
        <f>"#"&amp;$S$2&amp;"#"&amp;$T$2&amp;IF($S$7="","","\")&amp;$S$7&amp;"\"&amp;'Конфигурация TREI'!$A$2&amp;"_1\DIAG_24"</f>
        <v>#2#treiOPCDA.CoOPCserv.1\pcmaster\CPU_1\DIAG_24</v>
      </c>
    </row>
    <row r="854" spans="1:4">
      <c r="A854" s="19" t="str">
        <f>$R$2&amp;"."&amp;'Конфигурация TREI'!$A$2&amp;"_1.DIAG_24"</f>
        <v>Диагностика.TREI.CPU_1.DIAG_24</v>
      </c>
      <c r="B854" s="11">
        <v>7998</v>
      </c>
      <c r="C854" s="11" t="s">
        <v>6</v>
      </c>
      <c r="D854" s="20">
        <v>1</v>
      </c>
    </row>
    <row r="855" spans="1:4">
      <c r="A855" s="19" t="str">
        <f>$R$2&amp;"."&amp;'Конфигурация TREI'!$A$2&amp;"_1.DIAG_24"</f>
        <v>Диагностика.TREI.CPU_1.DIAG_24</v>
      </c>
      <c r="B855" s="11">
        <v>101</v>
      </c>
      <c r="C855" s="11" t="s">
        <v>0</v>
      </c>
      <c r="D855" s="20" t="s">
        <v>813</v>
      </c>
    </row>
    <row r="856" spans="1:4">
      <c r="A856" s="19" t="str">
        <f>$R$2&amp;"."&amp;'Конфигурация TREI'!$A$2&amp;"_1.DIAG_24"</f>
        <v>Диагностика.TREI.CPU_1.DIAG_24</v>
      </c>
      <c r="B856" s="11">
        <v>3</v>
      </c>
      <c r="C856" s="11" t="s">
        <v>1</v>
      </c>
      <c r="D856" s="20">
        <v>192</v>
      </c>
    </row>
    <row r="857" spans="1:4">
      <c r="A857" s="19" t="str">
        <f>$R$2&amp;"."&amp;'Конфигурация TREI'!$A$2&amp;"_1.DIAG_24"</f>
        <v>Диагностика.TREI.CPU_1.DIAG_24</v>
      </c>
      <c r="B857" s="11">
        <v>2</v>
      </c>
      <c r="C857" s="11" t="s">
        <v>2</v>
      </c>
      <c r="D857" s="20" t="s">
        <v>3</v>
      </c>
    </row>
    <row r="858" spans="1:4">
      <c r="A858" s="21" t="str">
        <f>$R$2&amp;"."&amp;'Конфигурация TREI'!$A$2&amp;"_1.DIAG_24"</f>
        <v>Диагностика.TREI.CPU_1.DIAG_24</v>
      </c>
      <c r="B858" s="8">
        <v>1</v>
      </c>
      <c r="C858" s="8" t="s">
        <v>1</v>
      </c>
      <c r="D858" s="22">
        <v>11</v>
      </c>
    </row>
    <row r="859" spans="1:4">
      <c r="A859" s="69" t="str">
        <f>$R$2&amp;"."&amp;'Конфигурация TREI'!$A$2&amp;"_1.DIAG_25"</f>
        <v>Диагностика.TREI.CPU_1.DIAG_25</v>
      </c>
      <c r="B859" s="70">
        <v>11154</v>
      </c>
      <c r="C859" s="70" t="s">
        <v>4</v>
      </c>
      <c r="D859" s="144">
        <f>$Q$6</f>
        <v>8</v>
      </c>
    </row>
    <row r="860" spans="1:4">
      <c r="A860" s="63" t="str">
        <f>$R$2&amp;"."&amp;'Конфигурация TREI'!$A$2&amp;"_1.DIAG_25"</f>
        <v>Диагностика.TREI.CPU_1.DIAG_25</v>
      </c>
      <c r="B860" s="64">
        <v>11152</v>
      </c>
      <c r="C860" s="64" t="s">
        <v>0</v>
      </c>
      <c r="D860" s="129" t="str">
        <f>$R$6</f>
        <v>Предупреждение</v>
      </c>
    </row>
    <row r="861" spans="1:4">
      <c r="A861" s="63" t="str">
        <f>$R$2&amp;"."&amp;'Конфигурация TREI'!$A$2&amp;"_1.DIAG_25"</f>
        <v>Диагностика.TREI.CPU_1.DIAG_25</v>
      </c>
      <c r="B861" s="64">
        <v>11150</v>
      </c>
      <c r="C861" s="64" t="s">
        <v>0</v>
      </c>
      <c r="D861" s="65" t="s">
        <v>814</v>
      </c>
    </row>
    <row r="862" spans="1:4">
      <c r="A862" s="63" t="str">
        <f>$R$2&amp;"."&amp;'Конфигурация TREI'!$A$2&amp;"_1.DIAG_25"</f>
        <v>Диагностика.TREI.CPU_1.DIAG_25</v>
      </c>
      <c r="B862" s="64">
        <v>11000</v>
      </c>
      <c r="C862" s="64" t="s">
        <v>5</v>
      </c>
      <c r="D862" s="65">
        <v>2147483680</v>
      </c>
    </row>
    <row r="863" spans="1:4">
      <c r="A863" s="19" t="str">
        <f>$R$2&amp;"."&amp;'Конфигурация TREI'!$A$2&amp;"_1.DIAG_25"</f>
        <v>Диагностика.TREI.CPU_1.DIAG_25</v>
      </c>
      <c r="B863" s="11">
        <v>7999</v>
      </c>
      <c r="C863" s="11" t="s">
        <v>0</v>
      </c>
      <c r="D863" s="20" t="str">
        <f>"#"&amp;$S$2&amp;"#"&amp;$T$2&amp;IF($S$7="","","\")&amp;$S$7&amp;"\"&amp;'Конфигурация TREI'!$A$2&amp;"_1\DIAG_25"</f>
        <v>#2#treiOPCDA.CoOPCserv.1\pcmaster\CPU_1\DIAG_25</v>
      </c>
    </row>
    <row r="864" spans="1:4">
      <c r="A864" s="19" t="str">
        <f>$R$2&amp;"."&amp;'Конфигурация TREI'!$A$2&amp;"_1.DIAG_25"</f>
        <v>Диагностика.TREI.CPU_1.DIAG_25</v>
      </c>
      <c r="B864" s="11">
        <v>7998</v>
      </c>
      <c r="C864" s="11" t="s">
        <v>6</v>
      </c>
      <c r="D864" s="20">
        <v>1</v>
      </c>
    </row>
    <row r="865" spans="1:4">
      <c r="A865" s="19" t="str">
        <f>$R$2&amp;"."&amp;'Конфигурация TREI'!$A$2&amp;"_1.DIAG_25"</f>
        <v>Диагностика.TREI.CPU_1.DIAG_25</v>
      </c>
      <c r="B865" s="11">
        <v>101</v>
      </c>
      <c r="C865" s="11" t="s">
        <v>0</v>
      </c>
      <c r="D865" s="20" t="s">
        <v>814</v>
      </c>
    </row>
    <row r="866" spans="1:4">
      <c r="A866" s="19" t="str">
        <f>$R$2&amp;"."&amp;'Конфигурация TREI'!$A$2&amp;"_1.DIAG_25"</f>
        <v>Диагностика.TREI.CPU_1.DIAG_25</v>
      </c>
      <c r="B866" s="11">
        <v>3</v>
      </c>
      <c r="C866" s="11" t="s">
        <v>1</v>
      </c>
      <c r="D866" s="20">
        <v>192</v>
      </c>
    </row>
    <row r="867" spans="1:4">
      <c r="A867" s="19" t="str">
        <f>$R$2&amp;"."&amp;'Конфигурация TREI'!$A$2&amp;"_1.DIAG_25"</f>
        <v>Диагностика.TREI.CPU_1.DIAG_25</v>
      </c>
      <c r="B867" s="11">
        <v>2</v>
      </c>
      <c r="C867" s="11" t="s">
        <v>2</v>
      </c>
      <c r="D867" s="20" t="s">
        <v>3</v>
      </c>
    </row>
    <row r="868" spans="1:4">
      <c r="A868" s="21" t="str">
        <f>$R$2&amp;"."&amp;'Конфигурация TREI'!$A$2&amp;"_1.DIAG_25"</f>
        <v>Диагностика.TREI.CPU_1.DIAG_25</v>
      </c>
      <c r="B868" s="8">
        <v>1</v>
      </c>
      <c r="C868" s="8" t="s">
        <v>1</v>
      </c>
      <c r="D868" s="22">
        <v>11</v>
      </c>
    </row>
    <row r="869" spans="1:4">
      <c r="A869" s="159" t="str">
        <f>$R$2&amp;"."&amp;'Конфигурация TREI'!$A$2&amp;"_1.DIAG_26"</f>
        <v>Диагностика.TREI.CPU_1.DIAG_26</v>
      </c>
      <c r="B869" s="160">
        <v>11154</v>
      </c>
      <c r="C869" s="160" t="s">
        <v>4</v>
      </c>
      <c r="D869" s="161">
        <f>$Q$8</f>
        <v>18</v>
      </c>
    </row>
    <row r="870" spans="1:4">
      <c r="A870" s="100" t="str">
        <f>$R$2&amp;"."&amp;'Конфигурация TREI'!$A$2&amp;"_1.DIAG_26"</f>
        <v>Диагностика.TREI.CPU_1.DIAG_26</v>
      </c>
      <c r="B870" s="101">
        <v>11152</v>
      </c>
      <c r="C870" s="101" t="s">
        <v>0</v>
      </c>
      <c r="D870" s="104" t="str">
        <f>$R$8</f>
        <v>Телесигнализация</v>
      </c>
    </row>
    <row r="871" spans="1:4">
      <c r="A871" s="100" t="str">
        <f>$R$2&amp;"."&amp;'Конфигурация TREI'!$A$2&amp;"_1.DIAG_26"</f>
        <v>Диагностика.TREI.CPU_1.DIAG_26</v>
      </c>
      <c r="B871" s="101">
        <v>11150</v>
      </c>
      <c r="C871" s="101" t="s">
        <v>0</v>
      </c>
      <c r="D871" s="103" t="s">
        <v>3091</v>
      </c>
    </row>
    <row r="872" spans="1:4">
      <c r="A872" s="100" t="str">
        <f>$R$2&amp;"."&amp;'Конфигурация TREI'!$A$2&amp;"_1.DIAG_26"</f>
        <v>Диагностика.TREI.CPU_1.DIAG_26</v>
      </c>
      <c r="B872" s="101">
        <v>11000</v>
      </c>
      <c r="C872" s="101" t="s">
        <v>5</v>
      </c>
      <c r="D872" s="103">
        <v>2147483680</v>
      </c>
    </row>
    <row r="873" spans="1:4">
      <c r="A873" s="19" t="str">
        <f>$R$2&amp;"."&amp;'Конфигурация TREI'!$A$2&amp;"_1.DIAG_26"</f>
        <v>Диагностика.TREI.CPU_1.DIAG_26</v>
      </c>
      <c r="B873" s="11">
        <v>7999</v>
      </c>
      <c r="C873" s="11" t="s">
        <v>0</v>
      </c>
      <c r="D873" s="20" t="str">
        <f>"#"&amp;$S$2&amp;"#"&amp;$T$2&amp;IF($S$7="","","\")&amp;$S$7&amp;"\"&amp;'Конфигурация TREI'!$A$2&amp;"_1\DIAG_26"</f>
        <v>#2#treiOPCDA.CoOPCserv.1\pcmaster\CPU_1\DIAG_26</v>
      </c>
    </row>
    <row r="874" spans="1:4">
      <c r="A874" s="19" t="str">
        <f>$R$2&amp;"."&amp;'Конфигурация TREI'!$A$2&amp;"_1.DIAG_26"</f>
        <v>Диагностика.TREI.CPU_1.DIAG_26</v>
      </c>
      <c r="B874" s="11">
        <v>7998</v>
      </c>
      <c r="C874" s="11" t="s">
        <v>6</v>
      </c>
      <c r="D874" s="20">
        <v>1</v>
      </c>
    </row>
    <row r="875" spans="1:4">
      <c r="A875" s="19" t="str">
        <f>$R$2&amp;"."&amp;'Конфигурация TREI'!$A$2&amp;"_1.DIAG_26"</f>
        <v>Диагностика.TREI.CPU_1.DIAG_26</v>
      </c>
      <c r="B875" s="11">
        <v>101</v>
      </c>
      <c r="C875" s="11" t="s">
        <v>0</v>
      </c>
      <c r="D875" s="20" t="s">
        <v>3091</v>
      </c>
    </row>
    <row r="876" spans="1:4">
      <c r="A876" s="19" t="str">
        <f>$R$2&amp;"."&amp;'Конфигурация TREI'!$A$2&amp;"_1.DIAG_26"</f>
        <v>Диагностика.TREI.CPU_1.DIAG_26</v>
      </c>
      <c r="B876" s="11">
        <v>3</v>
      </c>
      <c r="C876" s="11" t="s">
        <v>1</v>
      </c>
      <c r="D876" s="20">
        <v>192</v>
      </c>
    </row>
    <row r="877" spans="1:4">
      <c r="A877" s="19" t="str">
        <f>$R$2&amp;"."&amp;'Конфигурация TREI'!$A$2&amp;"_1.DIAG_26"</f>
        <v>Диагностика.TREI.CPU_1.DIAG_26</v>
      </c>
      <c r="B877" s="11">
        <v>2</v>
      </c>
      <c r="C877" s="11" t="s">
        <v>2</v>
      </c>
      <c r="D877" s="20" t="s">
        <v>3</v>
      </c>
    </row>
    <row r="878" spans="1:4">
      <c r="A878" s="21" t="str">
        <f>$R$2&amp;"."&amp;'Конфигурация TREI'!$A$2&amp;"_1.DIAG_26"</f>
        <v>Диагностика.TREI.CPU_1.DIAG_26</v>
      </c>
      <c r="B878" s="8">
        <v>1</v>
      </c>
      <c r="C878" s="8" t="s">
        <v>1</v>
      </c>
      <c r="D878" s="22">
        <v>11</v>
      </c>
    </row>
    <row r="879" spans="1:4">
      <c r="A879" s="159" t="str">
        <f>$R$2&amp;"."&amp;'Конфигурация TREI'!$A$2&amp;"_1.DIAG_29"</f>
        <v>Диагностика.TREI.CPU_1.DIAG_29</v>
      </c>
      <c r="B879" s="160">
        <v>11154</v>
      </c>
      <c r="C879" s="160" t="s">
        <v>4</v>
      </c>
      <c r="D879" s="161">
        <f>$Q$8</f>
        <v>18</v>
      </c>
    </row>
    <row r="880" spans="1:4">
      <c r="A880" s="100" t="str">
        <f>$R$2&amp;"."&amp;'Конфигурация TREI'!$A$2&amp;"_1.DIAG_29"</f>
        <v>Диагностика.TREI.CPU_1.DIAG_29</v>
      </c>
      <c r="B880" s="101">
        <v>11152</v>
      </c>
      <c r="C880" s="101" t="s">
        <v>0</v>
      </c>
      <c r="D880" s="104" t="str">
        <f>$R$8</f>
        <v>Телесигнализация</v>
      </c>
    </row>
    <row r="881" spans="1:68">
      <c r="A881" s="100" t="str">
        <f>$R$2&amp;"."&amp;'Конфигурация TREI'!$A$2&amp;"_1.DIAG_29"</f>
        <v>Диагностика.TREI.CPU_1.DIAG_29</v>
      </c>
      <c r="B881" s="101">
        <v>11150</v>
      </c>
      <c r="C881" s="101" t="s">
        <v>0</v>
      </c>
      <c r="D881" s="103" t="s">
        <v>3092</v>
      </c>
    </row>
    <row r="882" spans="1:68">
      <c r="A882" s="100" t="str">
        <f>$R$2&amp;"."&amp;'Конфигурация TREI'!$A$2&amp;"_1.DIAG_29"</f>
        <v>Диагностика.TREI.CPU_1.DIAG_29</v>
      </c>
      <c r="B882" s="101">
        <v>11000</v>
      </c>
      <c r="C882" s="101" t="s">
        <v>5</v>
      </c>
      <c r="D882" s="103">
        <v>2147483680</v>
      </c>
    </row>
    <row r="883" spans="1:68">
      <c r="A883" s="19" t="str">
        <f>$R$2&amp;"."&amp;'Конфигурация TREI'!$A$2&amp;"_1.DIAG_29"</f>
        <v>Диагностика.TREI.CPU_1.DIAG_29</v>
      </c>
      <c r="B883" s="11">
        <v>7999</v>
      </c>
      <c r="C883" s="11" t="s">
        <v>0</v>
      </c>
      <c r="D883" s="20" t="str">
        <f>"#"&amp;$S$2&amp;"#"&amp;$T$2&amp;IF($S$7="","","\")&amp;$S$7&amp;"\"&amp;'Конфигурация TREI'!$A$2&amp;"_1\DIAG_29"</f>
        <v>#2#treiOPCDA.CoOPCserv.1\pcmaster\CPU_1\DIAG_29</v>
      </c>
    </row>
    <row r="884" spans="1:68">
      <c r="A884" s="19" t="str">
        <f>$R$2&amp;"."&amp;'Конфигурация TREI'!$A$2&amp;"_1.DIAG_29"</f>
        <v>Диагностика.TREI.CPU_1.DIAG_29</v>
      </c>
      <c r="B884" s="11">
        <v>7998</v>
      </c>
      <c r="C884" s="11" t="s">
        <v>6</v>
      </c>
      <c r="D884" s="20">
        <v>1</v>
      </c>
    </row>
    <row r="885" spans="1:68">
      <c r="A885" s="19" t="str">
        <f>$R$2&amp;"."&amp;'Конфигурация TREI'!$A$2&amp;"_1.DIAG_29"</f>
        <v>Диагностика.TREI.CPU_1.DIAG_29</v>
      </c>
      <c r="B885" s="11">
        <v>101</v>
      </c>
      <c r="C885" s="11" t="s">
        <v>0</v>
      </c>
      <c r="D885" s="20" t="s">
        <v>3092</v>
      </c>
    </row>
    <row r="886" spans="1:68">
      <c r="A886" s="19" t="str">
        <f>$R$2&amp;"."&amp;'Конфигурация TREI'!$A$2&amp;"_1.DIAG_29"</f>
        <v>Диагностика.TREI.CPU_1.DIAG_29</v>
      </c>
      <c r="B886" s="11">
        <v>3</v>
      </c>
      <c r="C886" s="11" t="s">
        <v>1</v>
      </c>
      <c r="D886" s="20">
        <v>192</v>
      </c>
    </row>
    <row r="887" spans="1:68">
      <c r="A887" s="19" t="str">
        <f>$R$2&amp;"."&amp;'Конфигурация TREI'!$A$2&amp;"_1.DIAG_29"</f>
        <v>Диагностика.TREI.CPU_1.DIAG_29</v>
      </c>
      <c r="B887" s="11">
        <v>2</v>
      </c>
      <c r="C887" s="11" t="s">
        <v>2</v>
      </c>
      <c r="D887" s="20" t="s">
        <v>3</v>
      </c>
    </row>
    <row r="888" spans="1:68">
      <c r="A888" s="21" t="str">
        <f>$R$2&amp;"."&amp;'Конфигурация TREI'!$A$2&amp;"_1.DIAG_29"</f>
        <v>Диагностика.TREI.CPU_1.DIAG_29</v>
      </c>
      <c r="B888" s="8">
        <v>1</v>
      </c>
      <c r="C888" s="8" t="s">
        <v>1</v>
      </c>
      <c r="D888" s="22">
        <v>11</v>
      </c>
    </row>
    <row r="889" spans="1:68" ht="15" customHeight="1">
      <c r="A889" s="16" t="str">
        <f>$R$2&amp;"."&amp;'Конфигурация TREI'!$A$2&amp;"_2"</f>
        <v>Диагностика.TREI.CPU_2</v>
      </c>
      <c r="B889" s="17">
        <v>11001</v>
      </c>
      <c r="C889" s="17" t="s">
        <v>0</v>
      </c>
      <c r="D889" s="18" t="str">
        <f>$Q$2&amp;". Диагностика CPU (резервный)"</f>
        <v>Контроллер TREI. Диагностика CPU (резервный)</v>
      </c>
      <c r="BM889" s="4"/>
      <c r="BN889" s="4"/>
      <c r="BO889" s="4"/>
      <c r="BP889" s="4"/>
    </row>
    <row r="890" spans="1:68" ht="15" customHeight="1">
      <c r="A890" s="19" t="str">
        <f>$R$2&amp;"."&amp;'Конфигурация TREI'!$A$2&amp;"_2"</f>
        <v>Диагностика.TREI.CPU_2</v>
      </c>
      <c r="B890" s="11">
        <v>11156</v>
      </c>
      <c r="C890" s="11" t="s">
        <v>0</v>
      </c>
      <c r="D890" s="20" t="str">
        <f>$V$2</f>
        <v>Тестовый экран</v>
      </c>
      <c r="BM890" s="4"/>
      <c r="BN890" s="4"/>
      <c r="BO890" s="4"/>
      <c r="BP890" s="4"/>
    </row>
    <row r="891" spans="1:68" ht="15" customHeight="1">
      <c r="A891" s="19" t="str">
        <f>$R$2&amp;"."&amp;'Конфигурация TREI'!$A$2&amp;"_2"</f>
        <v>Диагностика.TREI.CPU_2</v>
      </c>
      <c r="B891" s="11">
        <v>1</v>
      </c>
      <c r="C891" s="11" t="s">
        <v>1</v>
      </c>
      <c r="D891" s="20">
        <v>17</v>
      </c>
      <c r="BM891" s="4"/>
      <c r="BN891" s="4"/>
      <c r="BO891" s="4"/>
      <c r="BP891" s="4"/>
    </row>
    <row r="892" spans="1:68" ht="15" customHeight="1">
      <c r="A892" s="19" t="str">
        <f>$R$2&amp;"."&amp;'Конфигурация TREI'!$A$2&amp;"_2"</f>
        <v>Диагностика.TREI.CPU_2</v>
      </c>
      <c r="B892" s="11">
        <v>13</v>
      </c>
      <c r="C892" s="11" t="s">
        <v>2</v>
      </c>
      <c r="D892" s="20" t="s">
        <v>3</v>
      </c>
      <c r="BM892" s="4"/>
      <c r="BN892" s="4"/>
      <c r="BO892" s="4"/>
      <c r="BP892" s="4"/>
    </row>
    <row r="893" spans="1:68" ht="15" customHeight="1">
      <c r="A893" s="21" t="str">
        <f>$R$2&amp;"."&amp;'Конфигурация TREI'!$A$2&amp;"_2"</f>
        <v>Диагностика.TREI.CPU_2</v>
      </c>
      <c r="B893" s="8">
        <v>3000013</v>
      </c>
      <c r="C893" s="8" t="s">
        <v>0</v>
      </c>
      <c r="D893" s="22" t="str">
        <f>$AE$2</f>
        <v>Диагностика.CPU.NOT_LINK.noLink</v>
      </c>
      <c r="BM893" s="4"/>
      <c r="BN893" s="4"/>
      <c r="BO893" s="4"/>
      <c r="BP893" s="4"/>
    </row>
    <row r="894" spans="1:68">
      <c r="A894" s="63" t="str">
        <f>$R$2&amp;"."&amp;'Конфигурация TREI'!$A$2&amp;"_2.DIAG_1"</f>
        <v>Диагностика.TREI.CPU_2.DIAG_1</v>
      </c>
      <c r="B894" s="64">
        <v>11154</v>
      </c>
      <c r="C894" s="64" t="s">
        <v>4</v>
      </c>
      <c r="D894" s="98">
        <f>$Q$6</f>
        <v>8</v>
      </c>
    </row>
    <row r="895" spans="1:68">
      <c r="A895" s="63" t="str">
        <f>$R$2&amp;"."&amp;'Конфигурация TREI'!$A$2&amp;"_2.DIAG_1"</f>
        <v>Диагностика.TREI.CPU_2.DIAG_1</v>
      </c>
      <c r="B895" s="64">
        <v>11152</v>
      </c>
      <c r="C895" s="64" t="s">
        <v>0</v>
      </c>
      <c r="D895" s="129" t="str">
        <f>$R$6</f>
        <v>Предупреждение</v>
      </c>
    </row>
    <row r="896" spans="1:68">
      <c r="A896" s="63" t="str">
        <f>$R$2&amp;"."&amp;'Конфигурация TREI'!$A$2&amp;"_2.DIAG_1"</f>
        <v>Диагностика.TREI.CPU_2.DIAG_1</v>
      </c>
      <c r="B896" s="64">
        <v>11150</v>
      </c>
      <c r="C896" s="64" t="s">
        <v>0</v>
      </c>
      <c r="D896" s="65" t="s">
        <v>797</v>
      </c>
    </row>
    <row r="897" spans="1:4">
      <c r="A897" s="63" t="str">
        <f>$R$2&amp;"."&amp;'Конфигурация TREI'!$A$2&amp;"_2.DIAG_1"</f>
        <v>Диагностика.TREI.CPU_2.DIAG_1</v>
      </c>
      <c r="B897" s="64">
        <v>11000</v>
      </c>
      <c r="C897" s="64" t="s">
        <v>5</v>
      </c>
      <c r="D897" s="65">
        <v>2147483680</v>
      </c>
    </row>
    <row r="898" spans="1:4">
      <c r="A898" s="19" t="str">
        <f>$R$2&amp;"."&amp;'Конфигурация TREI'!$A$2&amp;"_2.DIAG_1"</f>
        <v>Диагностика.TREI.CPU_2.DIAG_1</v>
      </c>
      <c r="B898" s="11">
        <v>7999</v>
      </c>
      <c r="C898" s="11" t="s">
        <v>0</v>
      </c>
      <c r="D898" s="20" t="str">
        <f>"#"&amp;$S$2&amp;"#"&amp;$T$2&amp;IF($S$7="","","\")&amp;$S$7&amp;"\"&amp;'Конфигурация TREI'!$A$2&amp;"_2\DIAG_1"</f>
        <v>#2#treiOPCDA.CoOPCserv.1\pcmaster\CPU_2\DIAG_1</v>
      </c>
    </row>
    <row r="899" spans="1:4">
      <c r="A899" s="19" t="str">
        <f>$R$2&amp;"."&amp;'Конфигурация TREI'!$A$2&amp;"_2.DIAG_1"</f>
        <v>Диагностика.TREI.CPU_2.DIAG_1</v>
      </c>
      <c r="B899" s="11">
        <v>7998</v>
      </c>
      <c r="C899" s="11" t="s">
        <v>6</v>
      </c>
      <c r="D899" s="20">
        <v>1</v>
      </c>
    </row>
    <row r="900" spans="1:4">
      <c r="A900" s="19" t="str">
        <f>$R$2&amp;"."&amp;'Конфигурация TREI'!$A$2&amp;"_2.DIAG_1"</f>
        <v>Диагностика.TREI.CPU_2.DIAG_1</v>
      </c>
      <c r="B900" s="11">
        <v>101</v>
      </c>
      <c r="C900" s="11" t="s">
        <v>0</v>
      </c>
      <c r="D900" s="20" t="s">
        <v>797</v>
      </c>
    </row>
    <row r="901" spans="1:4">
      <c r="A901" s="19" t="str">
        <f>$R$2&amp;"."&amp;'Конфигурация TREI'!$A$2&amp;"_2.DIAG_1"</f>
        <v>Диагностика.TREI.CPU_2.DIAG_1</v>
      </c>
      <c r="B901" s="11">
        <v>3</v>
      </c>
      <c r="C901" s="11" t="s">
        <v>1</v>
      </c>
      <c r="D901" s="20">
        <v>192</v>
      </c>
    </row>
    <row r="902" spans="1:4">
      <c r="A902" s="19" t="str">
        <f>$R$2&amp;"."&amp;'Конфигурация TREI'!$A$2&amp;"_2.DIAG_1"</f>
        <v>Диагностика.TREI.CPU_2.DIAG_1</v>
      </c>
      <c r="B902" s="11">
        <v>2</v>
      </c>
      <c r="C902" s="11" t="s">
        <v>2</v>
      </c>
      <c r="D902" s="20" t="s">
        <v>3</v>
      </c>
    </row>
    <row r="903" spans="1:4">
      <c r="A903" s="21" t="str">
        <f>$R$2&amp;"."&amp;'Конфигурация TREI'!$A$2&amp;"_2.DIAG_1"</f>
        <v>Диагностика.TREI.CPU_2.DIAG_1</v>
      </c>
      <c r="B903" s="8">
        <v>1</v>
      </c>
      <c r="C903" s="8" t="s">
        <v>1</v>
      </c>
      <c r="D903" s="22">
        <v>11</v>
      </c>
    </row>
    <row r="904" spans="1:4">
      <c r="A904" s="69" t="str">
        <f>$R$2&amp;"."&amp;'Конфигурация TREI'!$A$2&amp;"_2.DIAG_3"</f>
        <v>Диагностика.TREI.CPU_2.DIAG_3</v>
      </c>
      <c r="B904" s="70">
        <v>11154</v>
      </c>
      <c r="C904" s="70" t="s">
        <v>4</v>
      </c>
      <c r="D904" s="144">
        <f>$Q$6</f>
        <v>8</v>
      </c>
    </row>
    <row r="905" spans="1:4">
      <c r="A905" s="63" t="str">
        <f>$R$2&amp;"."&amp;'Конфигурация TREI'!$A$2&amp;"_2.DIAG_3"</f>
        <v>Диагностика.TREI.CPU_2.DIAG_3</v>
      </c>
      <c r="B905" s="64">
        <v>11152</v>
      </c>
      <c r="C905" s="64" t="s">
        <v>0</v>
      </c>
      <c r="D905" s="129" t="str">
        <f>$R$6</f>
        <v>Предупреждение</v>
      </c>
    </row>
    <row r="906" spans="1:4">
      <c r="A906" s="63" t="str">
        <f>$R$2&amp;"."&amp;'Конфигурация TREI'!$A$2&amp;"_2.DIAG_3"</f>
        <v>Диагностика.TREI.CPU_2.DIAG_3</v>
      </c>
      <c r="B906" s="64">
        <v>11150</v>
      </c>
      <c r="C906" s="64" t="s">
        <v>0</v>
      </c>
      <c r="D906" s="65" t="s">
        <v>799</v>
      </c>
    </row>
    <row r="907" spans="1:4">
      <c r="A907" s="63" t="str">
        <f>$R$2&amp;"."&amp;'Конфигурация TREI'!$A$2&amp;"_2.DIAG_3"</f>
        <v>Диагностика.TREI.CPU_2.DIAG_3</v>
      </c>
      <c r="B907" s="64">
        <v>11000</v>
      </c>
      <c r="C907" s="64" t="s">
        <v>5</v>
      </c>
      <c r="D907" s="65">
        <v>2147483680</v>
      </c>
    </row>
    <row r="908" spans="1:4">
      <c r="A908" s="19" t="str">
        <f>$R$2&amp;"."&amp;'Конфигурация TREI'!$A$2&amp;"_2.DIAG_3"</f>
        <v>Диагностика.TREI.CPU_2.DIAG_3</v>
      </c>
      <c r="B908" s="11">
        <v>7999</v>
      </c>
      <c r="C908" s="11" t="s">
        <v>0</v>
      </c>
      <c r="D908" s="20" t="str">
        <f>"#"&amp;$S$2&amp;"#"&amp;$T$2&amp;IF($S$7="","","\")&amp;$S$7&amp;"\"&amp;'Конфигурация TREI'!$A$2&amp;"_2\DIAG_3"</f>
        <v>#2#treiOPCDA.CoOPCserv.1\pcmaster\CPU_2\DIAG_3</v>
      </c>
    </row>
    <row r="909" spans="1:4">
      <c r="A909" s="19" t="str">
        <f>$R$2&amp;"."&amp;'Конфигурация TREI'!$A$2&amp;"_2.DIAG_3"</f>
        <v>Диагностика.TREI.CPU_2.DIAG_3</v>
      </c>
      <c r="B909" s="11">
        <v>7998</v>
      </c>
      <c r="C909" s="11" t="s">
        <v>6</v>
      </c>
      <c r="D909" s="20">
        <v>1</v>
      </c>
    </row>
    <row r="910" spans="1:4">
      <c r="A910" s="19" t="str">
        <f>$R$2&amp;"."&amp;'Конфигурация TREI'!$A$2&amp;"_2.DIAG_3"</f>
        <v>Диагностика.TREI.CPU_2.DIAG_3</v>
      </c>
      <c r="B910" s="11">
        <v>101</v>
      </c>
      <c r="C910" s="11" t="s">
        <v>0</v>
      </c>
      <c r="D910" s="20" t="s">
        <v>799</v>
      </c>
    </row>
    <row r="911" spans="1:4">
      <c r="A911" s="19" t="str">
        <f>$R$2&amp;"."&amp;'Конфигурация TREI'!$A$2&amp;"_2.DIAG_3"</f>
        <v>Диагностика.TREI.CPU_2.DIAG_3</v>
      </c>
      <c r="B911" s="11">
        <v>3</v>
      </c>
      <c r="C911" s="11" t="s">
        <v>1</v>
      </c>
      <c r="D911" s="20">
        <v>192</v>
      </c>
    </row>
    <row r="912" spans="1:4">
      <c r="A912" s="19" t="str">
        <f>$R$2&amp;"."&amp;'Конфигурация TREI'!$A$2&amp;"_2.DIAG_3"</f>
        <v>Диагностика.TREI.CPU_2.DIAG_3</v>
      </c>
      <c r="B912" s="11">
        <v>2</v>
      </c>
      <c r="C912" s="11" t="s">
        <v>2</v>
      </c>
      <c r="D912" s="20" t="s">
        <v>3</v>
      </c>
    </row>
    <row r="913" spans="1:4">
      <c r="A913" s="21" t="str">
        <f>$R$2&amp;"."&amp;'Конфигурация TREI'!$A$2&amp;"_2.DIAG_3"</f>
        <v>Диагностика.TREI.CPU_2.DIAG_3</v>
      </c>
      <c r="B913" s="8">
        <v>1</v>
      </c>
      <c r="C913" s="8" t="s">
        <v>1</v>
      </c>
      <c r="D913" s="22">
        <v>11</v>
      </c>
    </row>
    <row r="914" spans="1:4">
      <c r="A914" s="69" t="str">
        <f>$R$2&amp;"."&amp;'Конфигурация TREI'!$A$2&amp;"_2.DIAG_4"</f>
        <v>Диагностика.TREI.CPU_2.DIAG_4</v>
      </c>
      <c r="B914" s="70">
        <v>11154</v>
      </c>
      <c r="C914" s="70" t="s">
        <v>4</v>
      </c>
      <c r="D914" s="144">
        <f>$Q$6</f>
        <v>8</v>
      </c>
    </row>
    <row r="915" spans="1:4">
      <c r="A915" s="63" t="str">
        <f>$R$2&amp;"."&amp;'Конфигурация TREI'!$A$2&amp;"_2.DIAG_4"</f>
        <v>Диагностика.TREI.CPU_2.DIAG_4</v>
      </c>
      <c r="B915" s="64">
        <v>11152</v>
      </c>
      <c r="C915" s="64" t="s">
        <v>0</v>
      </c>
      <c r="D915" s="129" t="str">
        <f>$R$6</f>
        <v>Предупреждение</v>
      </c>
    </row>
    <row r="916" spans="1:4">
      <c r="A916" s="63" t="str">
        <f>$R$2&amp;"."&amp;'Конфигурация TREI'!$A$2&amp;"_2.DIAG_4"</f>
        <v>Диагностика.TREI.CPU_2.DIAG_4</v>
      </c>
      <c r="B916" s="64">
        <v>11150</v>
      </c>
      <c r="C916" s="64" t="s">
        <v>0</v>
      </c>
      <c r="D916" s="65" t="s">
        <v>1391</v>
      </c>
    </row>
    <row r="917" spans="1:4">
      <c r="A917" s="63" t="str">
        <f>$R$2&amp;"."&amp;'Конфигурация TREI'!$A$2&amp;"_2.DIAG_4"</f>
        <v>Диагностика.TREI.CPU_2.DIAG_4</v>
      </c>
      <c r="B917" s="64">
        <v>11000</v>
      </c>
      <c r="C917" s="64" t="s">
        <v>5</v>
      </c>
      <c r="D917" s="65">
        <v>2147483680</v>
      </c>
    </row>
    <row r="918" spans="1:4">
      <c r="A918" s="19" t="str">
        <f>$R$2&amp;"."&amp;'Конфигурация TREI'!$A$2&amp;"_2.DIAG_4"</f>
        <v>Диагностика.TREI.CPU_2.DIAG_4</v>
      </c>
      <c r="B918" s="11">
        <v>7999</v>
      </c>
      <c r="C918" s="11" t="s">
        <v>0</v>
      </c>
      <c r="D918" s="20" t="str">
        <f>"#"&amp;$S$2&amp;"#"&amp;$T$2&amp;IF($S$7="","","\")&amp;$S$7&amp;"\"&amp;'Конфигурация TREI'!$A$2&amp;"_2\DIAG_4"</f>
        <v>#2#treiOPCDA.CoOPCserv.1\pcmaster\CPU_2\DIAG_4</v>
      </c>
    </row>
    <row r="919" spans="1:4">
      <c r="A919" s="19" t="str">
        <f>$R$2&amp;"."&amp;'Конфигурация TREI'!$A$2&amp;"_2.DIAG_4"</f>
        <v>Диагностика.TREI.CPU_2.DIAG_4</v>
      </c>
      <c r="B919" s="11">
        <v>7998</v>
      </c>
      <c r="C919" s="11" t="s">
        <v>6</v>
      </c>
      <c r="D919" s="20">
        <v>1</v>
      </c>
    </row>
    <row r="920" spans="1:4">
      <c r="A920" s="19" t="str">
        <f>$R$2&amp;"."&amp;'Конфигурация TREI'!$A$2&amp;"_2.DIAG_4"</f>
        <v>Диагностика.TREI.CPU_2.DIAG_4</v>
      </c>
      <c r="B920" s="11">
        <v>101</v>
      </c>
      <c r="C920" s="11" t="s">
        <v>0</v>
      </c>
      <c r="D920" s="20" t="s">
        <v>1391</v>
      </c>
    </row>
    <row r="921" spans="1:4">
      <c r="A921" s="19" t="str">
        <f>$R$2&amp;"."&amp;'Конфигурация TREI'!$A$2&amp;"_2.DIAG_4"</f>
        <v>Диагностика.TREI.CPU_2.DIAG_4</v>
      </c>
      <c r="B921" s="11">
        <v>3</v>
      </c>
      <c r="C921" s="11" t="s">
        <v>1</v>
      </c>
      <c r="D921" s="20">
        <v>192</v>
      </c>
    </row>
    <row r="922" spans="1:4">
      <c r="A922" s="19" t="str">
        <f>$R$2&amp;"."&amp;'Конфигурация TREI'!$A$2&amp;"_2.DIAG_4"</f>
        <v>Диагностика.TREI.CPU_2.DIAG_4</v>
      </c>
      <c r="B922" s="11">
        <v>2</v>
      </c>
      <c r="C922" s="11" t="s">
        <v>2</v>
      </c>
      <c r="D922" s="20" t="s">
        <v>3</v>
      </c>
    </row>
    <row r="923" spans="1:4">
      <c r="A923" s="21" t="str">
        <f>$R$2&amp;"."&amp;'Конфигурация TREI'!$A$2&amp;"_2.DIAG_4"</f>
        <v>Диагностика.TREI.CPU_2.DIAG_4</v>
      </c>
      <c r="B923" s="8">
        <v>1</v>
      </c>
      <c r="C923" s="8" t="s">
        <v>1</v>
      </c>
      <c r="D923" s="22">
        <v>11</v>
      </c>
    </row>
    <row r="924" spans="1:4">
      <c r="A924" s="69" t="str">
        <f>$R$2&amp;"."&amp;'Конфигурация TREI'!$A$2&amp;"_2.DIAG_7"</f>
        <v>Диагностика.TREI.CPU_2.DIAG_7</v>
      </c>
      <c r="B924" s="70">
        <v>11154</v>
      </c>
      <c r="C924" s="70" t="s">
        <v>4</v>
      </c>
      <c r="D924" s="144">
        <f>$Q$6</f>
        <v>8</v>
      </c>
    </row>
    <row r="925" spans="1:4">
      <c r="A925" s="63" t="str">
        <f>$R$2&amp;"."&amp;'Конфигурация TREI'!$A$2&amp;"_2.DIAG_7"</f>
        <v>Диагностика.TREI.CPU_2.DIAG_7</v>
      </c>
      <c r="B925" s="64">
        <v>11152</v>
      </c>
      <c r="C925" s="64" t="s">
        <v>0</v>
      </c>
      <c r="D925" s="129" t="str">
        <f>$R$6</f>
        <v>Предупреждение</v>
      </c>
    </row>
    <row r="926" spans="1:4">
      <c r="A926" s="63" t="str">
        <f>$R$2&amp;"."&amp;'Конфигурация TREI'!$A$2&amp;"_2.DIAG_7"</f>
        <v>Диагностика.TREI.CPU_2.DIAG_7</v>
      </c>
      <c r="B926" s="64">
        <v>11150</v>
      </c>
      <c r="C926" s="64" t="s">
        <v>0</v>
      </c>
      <c r="D926" s="65" t="s">
        <v>801</v>
      </c>
    </row>
    <row r="927" spans="1:4">
      <c r="A927" s="63" t="str">
        <f>$R$2&amp;"."&amp;'Конфигурация TREI'!$A$2&amp;"_2.DIAG_7"</f>
        <v>Диагностика.TREI.CPU_2.DIAG_7</v>
      </c>
      <c r="B927" s="64">
        <v>11000</v>
      </c>
      <c r="C927" s="64" t="s">
        <v>5</v>
      </c>
      <c r="D927" s="65">
        <v>2147483680</v>
      </c>
    </row>
    <row r="928" spans="1:4">
      <c r="A928" s="19" t="str">
        <f>$R$2&amp;"."&amp;'Конфигурация TREI'!$A$2&amp;"_2.DIAG_7"</f>
        <v>Диагностика.TREI.CPU_2.DIAG_7</v>
      </c>
      <c r="B928" s="11">
        <v>7999</v>
      </c>
      <c r="C928" s="11" t="s">
        <v>0</v>
      </c>
      <c r="D928" s="20" t="str">
        <f>"#"&amp;$S$2&amp;"#"&amp;$T$2&amp;IF($S$7="","","\")&amp;$S$7&amp;"\"&amp;'Конфигурация TREI'!$A$2&amp;"_2\DIAG_7"</f>
        <v>#2#treiOPCDA.CoOPCserv.1\pcmaster\CPU_2\DIAG_7</v>
      </c>
    </row>
    <row r="929" spans="1:4">
      <c r="A929" s="19" t="str">
        <f>$R$2&amp;"."&amp;'Конфигурация TREI'!$A$2&amp;"_2.DIAG_7"</f>
        <v>Диагностика.TREI.CPU_2.DIAG_7</v>
      </c>
      <c r="B929" s="11">
        <v>7998</v>
      </c>
      <c r="C929" s="11" t="s">
        <v>6</v>
      </c>
      <c r="D929" s="20">
        <v>1</v>
      </c>
    </row>
    <row r="930" spans="1:4">
      <c r="A930" s="19" t="str">
        <f>$R$2&amp;"."&amp;'Конфигурация TREI'!$A$2&amp;"_2.DIAG_7"</f>
        <v>Диагностика.TREI.CPU_2.DIAG_7</v>
      </c>
      <c r="B930" s="11">
        <v>101</v>
      </c>
      <c r="C930" s="11" t="s">
        <v>0</v>
      </c>
      <c r="D930" s="20" t="s">
        <v>801</v>
      </c>
    </row>
    <row r="931" spans="1:4">
      <c r="A931" s="19" t="str">
        <f>$R$2&amp;"."&amp;'Конфигурация TREI'!$A$2&amp;"_2.DIAG_7"</f>
        <v>Диагностика.TREI.CPU_2.DIAG_7</v>
      </c>
      <c r="B931" s="11">
        <v>3</v>
      </c>
      <c r="C931" s="11" t="s">
        <v>1</v>
      </c>
      <c r="D931" s="20">
        <v>192</v>
      </c>
    </row>
    <row r="932" spans="1:4">
      <c r="A932" s="19" t="str">
        <f>$R$2&amp;"."&amp;'Конфигурация TREI'!$A$2&amp;"_2.DIAG_7"</f>
        <v>Диагностика.TREI.CPU_2.DIAG_7</v>
      </c>
      <c r="B932" s="11">
        <v>2</v>
      </c>
      <c r="C932" s="11" t="s">
        <v>2</v>
      </c>
      <c r="D932" s="20" t="s">
        <v>3</v>
      </c>
    </row>
    <row r="933" spans="1:4">
      <c r="A933" s="21" t="str">
        <f>$R$2&amp;"."&amp;'Конфигурация TREI'!$A$2&amp;"_2.DIAG_7"</f>
        <v>Диагностика.TREI.CPU_2.DIAG_7</v>
      </c>
      <c r="B933" s="8">
        <v>1</v>
      </c>
      <c r="C933" s="8" t="s">
        <v>1</v>
      </c>
      <c r="D933" s="22">
        <v>11</v>
      </c>
    </row>
    <row r="934" spans="1:4">
      <c r="A934" s="69" t="str">
        <f>$R$2&amp;"."&amp;'Конфигурация TREI'!$A$2&amp;"_2.DIAG_11"</f>
        <v>Диагностика.TREI.CPU_2.DIAG_11</v>
      </c>
      <c r="B934" s="70">
        <v>11154</v>
      </c>
      <c r="C934" s="70" t="s">
        <v>4</v>
      </c>
      <c r="D934" s="144">
        <f>$Q$6</f>
        <v>8</v>
      </c>
    </row>
    <row r="935" spans="1:4">
      <c r="A935" s="63" t="str">
        <f>$R$2&amp;"."&amp;'Конфигурация TREI'!$A$2&amp;"_2.DIAG_11"</f>
        <v>Диагностика.TREI.CPU_2.DIAG_11</v>
      </c>
      <c r="B935" s="64">
        <v>11152</v>
      </c>
      <c r="C935" s="64" t="s">
        <v>0</v>
      </c>
      <c r="D935" s="129" t="str">
        <f>$R$6</f>
        <v>Предупреждение</v>
      </c>
    </row>
    <row r="936" spans="1:4">
      <c r="A936" s="63" t="str">
        <f>$R$2&amp;"."&amp;'Конфигурация TREI'!$A$2&amp;"_2.DIAG_11"</f>
        <v>Диагностика.TREI.CPU_2.DIAG_11</v>
      </c>
      <c r="B936" s="64">
        <v>11150</v>
      </c>
      <c r="C936" s="64" t="s">
        <v>0</v>
      </c>
      <c r="D936" s="65" t="s">
        <v>3084</v>
      </c>
    </row>
    <row r="937" spans="1:4">
      <c r="A937" s="63" t="str">
        <f>$R$2&amp;"."&amp;'Конфигурация TREI'!$A$2&amp;"_2.DIAG_11"</f>
        <v>Диагностика.TREI.CPU_2.DIAG_11</v>
      </c>
      <c r="B937" s="64">
        <v>11000</v>
      </c>
      <c r="C937" s="64" t="s">
        <v>5</v>
      </c>
      <c r="D937" s="65">
        <v>2147483680</v>
      </c>
    </row>
    <row r="938" spans="1:4">
      <c r="A938" s="19" t="str">
        <f>$R$2&amp;"."&amp;'Конфигурация TREI'!$A$2&amp;"_2.DIAG_11"</f>
        <v>Диагностика.TREI.CPU_2.DIAG_11</v>
      </c>
      <c r="B938" s="11">
        <v>7999</v>
      </c>
      <c r="C938" s="11" t="s">
        <v>0</v>
      </c>
      <c r="D938" s="20" t="str">
        <f>"#"&amp;$S$2&amp;"#"&amp;$T$2&amp;IF($S$7="","","\")&amp;$S$7&amp;"\"&amp;'Конфигурация TREI'!$A$2&amp;"_2\DIAG_11"</f>
        <v>#2#treiOPCDA.CoOPCserv.1\pcmaster\CPU_2\DIAG_11</v>
      </c>
    </row>
    <row r="939" spans="1:4">
      <c r="A939" s="19" t="str">
        <f>$R$2&amp;"."&amp;'Конфигурация TREI'!$A$2&amp;"_2.DIAG_11"</f>
        <v>Диагностика.TREI.CPU_2.DIAG_11</v>
      </c>
      <c r="B939" s="11">
        <v>7998</v>
      </c>
      <c r="C939" s="11" t="s">
        <v>6</v>
      </c>
      <c r="D939" s="20">
        <v>1</v>
      </c>
    </row>
    <row r="940" spans="1:4">
      <c r="A940" s="19" t="str">
        <f>$R$2&amp;"."&amp;'Конфигурация TREI'!$A$2&amp;"_2.DIAG_11"</f>
        <v>Диагностика.TREI.CPU_2.DIAG_11</v>
      </c>
      <c r="B940" s="11">
        <v>101</v>
      </c>
      <c r="C940" s="11" t="s">
        <v>0</v>
      </c>
      <c r="D940" s="20" t="s">
        <v>3084</v>
      </c>
    </row>
    <row r="941" spans="1:4">
      <c r="A941" s="19" t="str">
        <f>$R$2&amp;"."&amp;'Конфигурация TREI'!$A$2&amp;"_2.DIAG_11"</f>
        <v>Диагностика.TREI.CPU_2.DIAG_11</v>
      </c>
      <c r="B941" s="11">
        <v>3</v>
      </c>
      <c r="C941" s="11" t="s">
        <v>1</v>
      </c>
      <c r="D941" s="20">
        <v>192</v>
      </c>
    </row>
    <row r="942" spans="1:4">
      <c r="A942" s="19" t="str">
        <f>$R$2&amp;"."&amp;'Конфигурация TREI'!$A$2&amp;"_2.DIAG_11"</f>
        <v>Диагностика.TREI.CPU_2.DIAG_11</v>
      </c>
      <c r="B942" s="11">
        <v>2</v>
      </c>
      <c r="C942" s="11" t="s">
        <v>2</v>
      </c>
      <c r="D942" s="20" t="s">
        <v>3</v>
      </c>
    </row>
    <row r="943" spans="1:4">
      <c r="A943" s="21" t="str">
        <f>$R$2&amp;"."&amp;'Конфигурация TREI'!$A$2&amp;"_2.DIAG_11"</f>
        <v>Диагностика.TREI.CPU_2.DIAG_11</v>
      </c>
      <c r="B943" s="8">
        <v>1</v>
      </c>
      <c r="C943" s="8" t="s">
        <v>1</v>
      </c>
      <c r="D943" s="22">
        <v>11</v>
      </c>
    </row>
    <row r="944" spans="1:4">
      <c r="A944" s="69" t="str">
        <f>$R$2&amp;"."&amp;'Конфигурация TREI'!$A$2&amp;"_2.DIAG_13"</f>
        <v>Диагностика.TREI.CPU_2.DIAG_13</v>
      </c>
      <c r="B944" s="70">
        <v>11154</v>
      </c>
      <c r="C944" s="70" t="s">
        <v>4</v>
      </c>
      <c r="D944" s="144">
        <f>$Q$6</f>
        <v>8</v>
      </c>
    </row>
    <row r="945" spans="1:4">
      <c r="A945" s="63" t="str">
        <f>$R$2&amp;"."&amp;'Конфигурация TREI'!$A$2&amp;"_2.DIAG_13"</f>
        <v>Диагностика.TREI.CPU_2.DIAG_13</v>
      </c>
      <c r="B945" s="64">
        <v>11152</v>
      </c>
      <c r="C945" s="64" t="s">
        <v>0</v>
      </c>
      <c r="D945" s="129" t="str">
        <f>$R$6</f>
        <v>Предупреждение</v>
      </c>
    </row>
    <row r="946" spans="1:4">
      <c r="A946" s="63" t="str">
        <f>$R$2&amp;"."&amp;'Конфигурация TREI'!$A$2&amp;"_2.DIAG_13"</f>
        <v>Диагностика.TREI.CPU_2.DIAG_13</v>
      </c>
      <c r="B946" s="64">
        <v>11150</v>
      </c>
      <c r="C946" s="64" t="s">
        <v>0</v>
      </c>
      <c r="D946" s="65" t="s">
        <v>807</v>
      </c>
    </row>
    <row r="947" spans="1:4">
      <c r="A947" s="63" t="str">
        <f>$R$2&amp;"."&amp;'Конфигурация TREI'!$A$2&amp;"_2.DIAG_13"</f>
        <v>Диагностика.TREI.CPU_2.DIAG_13</v>
      </c>
      <c r="B947" s="64">
        <v>11000</v>
      </c>
      <c r="C947" s="64" t="s">
        <v>5</v>
      </c>
      <c r="D947" s="65">
        <v>2147483680</v>
      </c>
    </row>
    <row r="948" spans="1:4">
      <c r="A948" s="19" t="str">
        <f>$R$2&amp;"."&amp;'Конфигурация TREI'!$A$2&amp;"_2.DIAG_13"</f>
        <v>Диагностика.TREI.CPU_2.DIAG_13</v>
      </c>
      <c r="B948" s="11">
        <v>7999</v>
      </c>
      <c r="C948" s="11" t="s">
        <v>0</v>
      </c>
      <c r="D948" s="20" t="str">
        <f>"#"&amp;$S$2&amp;"#"&amp;$T$2&amp;IF($S$7="","","\")&amp;$S$7&amp;"\"&amp;'Конфигурация TREI'!$A$2&amp;"_2\DIAG_13"</f>
        <v>#2#treiOPCDA.CoOPCserv.1\pcmaster\CPU_2\DIAG_13</v>
      </c>
    </row>
    <row r="949" spans="1:4">
      <c r="A949" s="19" t="str">
        <f>$R$2&amp;"."&amp;'Конфигурация TREI'!$A$2&amp;"_2.DIAG_13"</f>
        <v>Диагностика.TREI.CPU_2.DIAG_13</v>
      </c>
      <c r="B949" s="11">
        <v>7998</v>
      </c>
      <c r="C949" s="11" t="s">
        <v>6</v>
      </c>
      <c r="D949" s="20">
        <v>1</v>
      </c>
    </row>
    <row r="950" spans="1:4">
      <c r="A950" s="19" t="str">
        <f>$R$2&amp;"."&amp;'Конфигурация TREI'!$A$2&amp;"_2.DIAG_13"</f>
        <v>Диагностика.TREI.CPU_2.DIAG_13</v>
      </c>
      <c r="B950" s="11">
        <v>101</v>
      </c>
      <c r="C950" s="11" t="s">
        <v>0</v>
      </c>
      <c r="D950" s="20" t="s">
        <v>807</v>
      </c>
    </row>
    <row r="951" spans="1:4">
      <c r="A951" s="19" t="str">
        <f>$R$2&amp;"."&amp;'Конфигурация TREI'!$A$2&amp;"_2.DIAG_13"</f>
        <v>Диагностика.TREI.CPU_2.DIAG_13</v>
      </c>
      <c r="B951" s="11">
        <v>3</v>
      </c>
      <c r="C951" s="11" t="s">
        <v>1</v>
      </c>
      <c r="D951" s="20">
        <v>192</v>
      </c>
    </row>
    <row r="952" spans="1:4">
      <c r="A952" s="19" t="str">
        <f>$R$2&amp;"."&amp;'Конфигурация TREI'!$A$2&amp;"_2.DIAG_13"</f>
        <v>Диагностика.TREI.CPU_2.DIAG_13</v>
      </c>
      <c r="B952" s="11">
        <v>2</v>
      </c>
      <c r="C952" s="11" t="s">
        <v>2</v>
      </c>
      <c r="D952" s="20" t="s">
        <v>3</v>
      </c>
    </row>
    <row r="953" spans="1:4">
      <c r="A953" s="21" t="str">
        <f>$R$2&amp;"."&amp;'Конфигурация TREI'!$A$2&amp;"_2.DIAG_13"</f>
        <v>Диагностика.TREI.CPU_2.DIAG_13</v>
      </c>
      <c r="B953" s="8">
        <v>1</v>
      </c>
      <c r="C953" s="8" t="s">
        <v>1</v>
      </c>
      <c r="D953" s="22">
        <v>11</v>
      </c>
    </row>
    <row r="954" spans="1:4">
      <c r="A954" s="69" t="str">
        <f>$R$2&amp;"."&amp;'Конфигурация TREI'!$A$2&amp;"_2.DIAG_14"</f>
        <v>Диагностика.TREI.CPU_2.DIAG_14</v>
      </c>
      <c r="B954" s="70">
        <v>11154</v>
      </c>
      <c r="C954" s="70" t="s">
        <v>4</v>
      </c>
      <c r="D954" s="144">
        <f>$Q$6</f>
        <v>8</v>
      </c>
    </row>
    <row r="955" spans="1:4">
      <c r="A955" s="63" t="str">
        <f>$R$2&amp;"."&amp;'Конфигурация TREI'!$A$2&amp;"_2.DIAG_14"</f>
        <v>Диагностика.TREI.CPU_2.DIAG_14</v>
      </c>
      <c r="B955" s="64">
        <v>11152</v>
      </c>
      <c r="C955" s="64" t="s">
        <v>0</v>
      </c>
      <c r="D955" s="129" t="str">
        <f>$R$6</f>
        <v>Предупреждение</v>
      </c>
    </row>
    <row r="956" spans="1:4">
      <c r="A956" s="63" t="str">
        <f>$R$2&amp;"."&amp;'Конфигурация TREI'!$A$2&amp;"_2.DIAG_14"</f>
        <v>Диагностика.TREI.CPU_2.DIAG_14</v>
      </c>
      <c r="B956" s="64">
        <v>11150</v>
      </c>
      <c r="C956" s="64" t="s">
        <v>0</v>
      </c>
      <c r="D956" s="65" t="s">
        <v>808</v>
      </c>
    </row>
    <row r="957" spans="1:4">
      <c r="A957" s="63" t="str">
        <f>$R$2&amp;"."&amp;'Конфигурация TREI'!$A$2&amp;"_2.DIAG_14"</f>
        <v>Диагностика.TREI.CPU_2.DIAG_14</v>
      </c>
      <c r="B957" s="64">
        <v>11000</v>
      </c>
      <c r="C957" s="64" t="s">
        <v>5</v>
      </c>
      <c r="D957" s="65">
        <v>2147483680</v>
      </c>
    </row>
    <row r="958" spans="1:4">
      <c r="A958" s="19" t="str">
        <f>$R$2&amp;"."&amp;'Конфигурация TREI'!$A$2&amp;"_2.DIAG_14"</f>
        <v>Диагностика.TREI.CPU_2.DIAG_14</v>
      </c>
      <c r="B958" s="11">
        <v>7999</v>
      </c>
      <c r="C958" s="11" t="s">
        <v>0</v>
      </c>
      <c r="D958" s="20" t="str">
        <f>"#"&amp;$S$2&amp;"#"&amp;$T$2&amp;IF($S$7="","","\")&amp;$S$7&amp;"\"&amp;'Конфигурация TREI'!$A$2&amp;"_2\DIAG_14"</f>
        <v>#2#treiOPCDA.CoOPCserv.1\pcmaster\CPU_2\DIAG_14</v>
      </c>
    </row>
    <row r="959" spans="1:4">
      <c r="A959" s="19" t="str">
        <f>$R$2&amp;"."&amp;'Конфигурация TREI'!$A$2&amp;"_2.DIAG_14"</f>
        <v>Диагностика.TREI.CPU_2.DIAG_14</v>
      </c>
      <c r="B959" s="11">
        <v>7998</v>
      </c>
      <c r="C959" s="11" t="s">
        <v>6</v>
      </c>
      <c r="D959" s="20">
        <v>1</v>
      </c>
    </row>
    <row r="960" spans="1:4">
      <c r="A960" s="19" t="str">
        <f>$R$2&amp;"."&amp;'Конфигурация TREI'!$A$2&amp;"_2.DIAG_14"</f>
        <v>Диагностика.TREI.CPU_2.DIAG_14</v>
      </c>
      <c r="B960" s="11">
        <v>101</v>
      </c>
      <c r="C960" s="11" t="s">
        <v>0</v>
      </c>
      <c r="D960" s="20" t="s">
        <v>808</v>
      </c>
    </row>
    <row r="961" spans="1:4">
      <c r="A961" s="19" t="str">
        <f>$R$2&amp;"."&amp;'Конфигурация TREI'!$A$2&amp;"_2.DIAG_14"</f>
        <v>Диагностика.TREI.CPU_2.DIAG_14</v>
      </c>
      <c r="B961" s="11">
        <v>3</v>
      </c>
      <c r="C961" s="11" t="s">
        <v>1</v>
      </c>
      <c r="D961" s="20">
        <v>192</v>
      </c>
    </row>
    <row r="962" spans="1:4">
      <c r="A962" s="19" t="str">
        <f>$R$2&amp;"."&amp;'Конфигурация TREI'!$A$2&amp;"_2.DIAG_14"</f>
        <v>Диагностика.TREI.CPU_2.DIAG_14</v>
      </c>
      <c r="B962" s="11">
        <v>2</v>
      </c>
      <c r="C962" s="11" t="s">
        <v>2</v>
      </c>
      <c r="D962" s="20" t="s">
        <v>3</v>
      </c>
    </row>
    <row r="963" spans="1:4">
      <c r="A963" s="21" t="str">
        <f>$R$2&amp;"."&amp;'Конфигурация TREI'!$A$2&amp;"_2.DIAG_14"</f>
        <v>Диагностика.TREI.CPU_2.DIAG_14</v>
      </c>
      <c r="B963" s="8">
        <v>1</v>
      </c>
      <c r="C963" s="8" t="s">
        <v>1</v>
      </c>
      <c r="D963" s="22">
        <v>11</v>
      </c>
    </row>
    <row r="964" spans="1:4">
      <c r="A964" s="159" t="str">
        <f>$R$2&amp;"."&amp;'Конфигурация TREI'!$A$2&amp;"_2.DIAG_15"</f>
        <v>Диагностика.TREI.CPU_2.DIAG_15</v>
      </c>
      <c r="B964" s="160">
        <v>11154</v>
      </c>
      <c r="C964" s="160" t="s">
        <v>4</v>
      </c>
      <c r="D964" s="161">
        <f>$Q$8</f>
        <v>18</v>
      </c>
    </row>
    <row r="965" spans="1:4">
      <c r="A965" s="100" t="str">
        <f>$R$2&amp;"."&amp;'Конфигурация TREI'!$A$2&amp;"_2.DIAG_15"</f>
        <v>Диагностика.TREI.CPU_2.DIAG_15</v>
      </c>
      <c r="B965" s="101">
        <v>11152</v>
      </c>
      <c r="C965" s="101" t="s">
        <v>0</v>
      </c>
      <c r="D965" s="104" t="str">
        <f>$R$8</f>
        <v>Телесигнализация</v>
      </c>
    </row>
    <row r="966" spans="1:4">
      <c r="A966" s="100" t="str">
        <f>$R$2&amp;"."&amp;'Конфигурация TREI'!$A$2&amp;"_2.DIAG_15"</f>
        <v>Диагностика.TREI.CPU_2.DIAG_15</v>
      </c>
      <c r="B966" s="101">
        <v>11150</v>
      </c>
      <c r="C966" s="101" t="s">
        <v>0</v>
      </c>
      <c r="D966" s="103" t="s">
        <v>3085</v>
      </c>
    </row>
    <row r="967" spans="1:4">
      <c r="A967" s="100" t="str">
        <f>$R$2&amp;"."&amp;'Конфигурация TREI'!$A$2&amp;"_2.DIAG_15"</f>
        <v>Диагностика.TREI.CPU_2.DIAG_15</v>
      </c>
      <c r="B967" s="101">
        <v>11000</v>
      </c>
      <c r="C967" s="101" t="s">
        <v>5</v>
      </c>
      <c r="D967" s="103">
        <v>2147483680</v>
      </c>
    </row>
    <row r="968" spans="1:4">
      <c r="A968" s="19" t="str">
        <f>$R$2&amp;"."&amp;'Конфигурация TREI'!$A$2&amp;"_2.DIAG_15"</f>
        <v>Диагностика.TREI.CPU_2.DIAG_15</v>
      </c>
      <c r="B968" s="11">
        <v>7999</v>
      </c>
      <c r="C968" s="11" t="s">
        <v>0</v>
      </c>
      <c r="D968" s="20" t="str">
        <f>"#"&amp;$S$2&amp;"#"&amp;$T$2&amp;IF($S$7="","","\")&amp;$S$7&amp;"\"&amp;'Конфигурация TREI'!$A$2&amp;"_2\DIAG_15"</f>
        <v>#2#treiOPCDA.CoOPCserv.1\pcmaster\CPU_2\DIAG_15</v>
      </c>
    </row>
    <row r="969" spans="1:4">
      <c r="A969" s="19" t="str">
        <f>$R$2&amp;"."&amp;'Конфигурация TREI'!$A$2&amp;"_2.DIAG_15"</f>
        <v>Диагностика.TREI.CPU_2.DIAG_15</v>
      </c>
      <c r="B969" s="11">
        <v>7998</v>
      </c>
      <c r="C969" s="11" t="s">
        <v>6</v>
      </c>
      <c r="D969" s="20">
        <v>1</v>
      </c>
    </row>
    <row r="970" spans="1:4">
      <c r="A970" s="19" t="str">
        <f>$R$2&amp;"."&amp;'Конфигурация TREI'!$A$2&amp;"_2.DIAG_15"</f>
        <v>Диагностика.TREI.CPU_2.DIAG_15</v>
      </c>
      <c r="B970" s="11">
        <v>101</v>
      </c>
      <c r="C970" s="11" t="s">
        <v>0</v>
      </c>
      <c r="D970" s="20" t="s">
        <v>3085</v>
      </c>
    </row>
    <row r="971" spans="1:4">
      <c r="A971" s="19" t="str">
        <f>$R$2&amp;"."&amp;'Конфигурация TREI'!$A$2&amp;"_2.DIAG_15"</f>
        <v>Диагностика.TREI.CPU_2.DIAG_15</v>
      </c>
      <c r="B971" s="11">
        <v>3</v>
      </c>
      <c r="C971" s="11" t="s">
        <v>1</v>
      </c>
      <c r="D971" s="20">
        <v>192</v>
      </c>
    </row>
    <row r="972" spans="1:4">
      <c r="A972" s="19" t="str">
        <f>$R$2&amp;"."&amp;'Конфигурация TREI'!$A$2&amp;"_2.DIAG_15"</f>
        <v>Диагностика.TREI.CPU_2.DIAG_15</v>
      </c>
      <c r="B972" s="11">
        <v>2</v>
      </c>
      <c r="C972" s="11" t="s">
        <v>2</v>
      </c>
      <c r="D972" s="20" t="s">
        <v>3</v>
      </c>
    </row>
    <row r="973" spans="1:4">
      <c r="A973" s="21" t="str">
        <f>$R$2&amp;"."&amp;'Конфигурация TREI'!$A$2&amp;"_2.DIAG_15"</f>
        <v>Диагностика.TREI.CPU_2.DIAG_15</v>
      </c>
      <c r="B973" s="8">
        <v>1</v>
      </c>
      <c r="C973" s="8" t="s">
        <v>1</v>
      </c>
      <c r="D973" s="22">
        <v>11</v>
      </c>
    </row>
    <row r="974" spans="1:4">
      <c r="A974" s="159" t="str">
        <f>$R$2&amp;"."&amp;'Конфигурация TREI'!$A$2&amp;"_2.DIAG_16"</f>
        <v>Диагностика.TREI.CPU_2.DIAG_16</v>
      </c>
      <c r="B974" s="160">
        <v>11154</v>
      </c>
      <c r="C974" s="160" t="s">
        <v>4</v>
      </c>
      <c r="D974" s="161">
        <f>$Q$8</f>
        <v>18</v>
      </c>
    </row>
    <row r="975" spans="1:4">
      <c r="A975" s="100" t="str">
        <f>$R$2&amp;"."&amp;'Конфигурация TREI'!$A$2&amp;"_2.DIAG_16"</f>
        <v>Диагностика.TREI.CPU_2.DIAG_16</v>
      </c>
      <c r="B975" s="101">
        <v>11152</v>
      </c>
      <c r="C975" s="101" t="s">
        <v>0</v>
      </c>
      <c r="D975" s="104" t="str">
        <f>$R$8</f>
        <v>Телесигнализация</v>
      </c>
    </row>
    <row r="976" spans="1:4">
      <c r="A976" s="100" t="str">
        <f>$R$2&amp;"."&amp;'Конфигурация TREI'!$A$2&amp;"_2.DIAG_16"</f>
        <v>Диагностика.TREI.CPU_2.DIAG_16</v>
      </c>
      <c r="B976" s="101">
        <v>11150</v>
      </c>
      <c r="C976" s="101" t="s">
        <v>0</v>
      </c>
      <c r="D976" s="103" t="s">
        <v>3086</v>
      </c>
    </row>
    <row r="977" spans="1:4">
      <c r="A977" s="100" t="str">
        <f>$R$2&amp;"."&amp;'Конфигурация TREI'!$A$2&amp;"_2.DIAG_16"</f>
        <v>Диагностика.TREI.CPU_2.DIAG_16</v>
      </c>
      <c r="B977" s="101">
        <v>11000</v>
      </c>
      <c r="C977" s="101" t="s">
        <v>5</v>
      </c>
      <c r="D977" s="103">
        <v>2147483680</v>
      </c>
    </row>
    <row r="978" spans="1:4">
      <c r="A978" s="19" t="str">
        <f>$R$2&amp;"."&amp;'Конфигурация TREI'!$A$2&amp;"_2.DIAG_16"</f>
        <v>Диагностика.TREI.CPU_2.DIAG_16</v>
      </c>
      <c r="B978" s="11">
        <v>7999</v>
      </c>
      <c r="C978" s="11" t="s">
        <v>0</v>
      </c>
      <c r="D978" s="20" t="str">
        <f>"#"&amp;$S$2&amp;"#"&amp;$T$2&amp;IF($S$7="","","\")&amp;$S$7&amp;"\"&amp;'Конфигурация TREI'!$A$2&amp;"_2\DIAG_16"</f>
        <v>#2#treiOPCDA.CoOPCserv.1\pcmaster\CPU_2\DIAG_16</v>
      </c>
    </row>
    <row r="979" spans="1:4">
      <c r="A979" s="19" t="str">
        <f>$R$2&amp;"."&amp;'Конфигурация TREI'!$A$2&amp;"_2.DIAG_16"</f>
        <v>Диагностика.TREI.CPU_2.DIAG_16</v>
      </c>
      <c r="B979" s="11">
        <v>7998</v>
      </c>
      <c r="C979" s="11" t="s">
        <v>6</v>
      </c>
      <c r="D979" s="20">
        <v>1</v>
      </c>
    </row>
    <row r="980" spans="1:4">
      <c r="A980" s="19" t="str">
        <f>$R$2&amp;"."&amp;'Конфигурация TREI'!$A$2&amp;"_2.DIAG_16"</f>
        <v>Диагностика.TREI.CPU_2.DIAG_16</v>
      </c>
      <c r="B980" s="11">
        <v>101</v>
      </c>
      <c r="C980" s="11" t="s">
        <v>0</v>
      </c>
      <c r="D980" s="20" t="s">
        <v>3086</v>
      </c>
    </row>
    <row r="981" spans="1:4">
      <c r="A981" s="19" t="str">
        <f>$R$2&amp;"."&amp;'Конфигурация TREI'!$A$2&amp;"_2.DIAG_16"</f>
        <v>Диагностика.TREI.CPU_2.DIAG_16</v>
      </c>
      <c r="B981" s="11">
        <v>3</v>
      </c>
      <c r="C981" s="11" t="s">
        <v>1</v>
      </c>
      <c r="D981" s="20">
        <v>192</v>
      </c>
    </row>
    <row r="982" spans="1:4">
      <c r="A982" s="19" t="str">
        <f>$R$2&amp;"."&amp;'Конфигурация TREI'!$A$2&amp;"_2.DIAG_16"</f>
        <v>Диагностика.TREI.CPU_2.DIAG_16</v>
      </c>
      <c r="B982" s="11">
        <v>2</v>
      </c>
      <c r="C982" s="11" t="s">
        <v>2</v>
      </c>
      <c r="D982" s="20" t="s">
        <v>3</v>
      </c>
    </row>
    <row r="983" spans="1:4">
      <c r="A983" s="21" t="str">
        <f>$R$2&amp;"."&amp;'Конфигурация TREI'!$A$2&amp;"_2.DIAG_16"</f>
        <v>Диагностика.TREI.CPU_2.DIAG_16</v>
      </c>
      <c r="B983" s="8">
        <v>1</v>
      </c>
      <c r="C983" s="8" t="s">
        <v>1</v>
      </c>
      <c r="D983" s="22">
        <v>11</v>
      </c>
    </row>
    <row r="984" spans="1:4">
      <c r="A984" s="159" t="str">
        <f>$R$2&amp;"."&amp;'Конфигурация TREI'!$A$2&amp;"_2.DIAG_17"</f>
        <v>Диагностика.TREI.CPU_2.DIAG_17</v>
      </c>
      <c r="B984" s="160">
        <v>11154</v>
      </c>
      <c r="C984" s="160" t="s">
        <v>4</v>
      </c>
      <c r="D984" s="161">
        <f>$Q$8</f>
        <v>18</v>
      </c>
    </row>
    <row r="985" spans="1:4">
      <c r="A985" s="100" t="str">
        <f>$R$2&amp;"."&amp;'Конфигурация TREI'!$A$2&amp;"_2.DIAG_17"</f>
        <v>Диагностика.TREI.CPU_2.DIAG_17</v>
      </c>
      <c r="B985" s="101">
        <v>11152</v>
      </c>
      <c r="C985" s="101" t="s">
        <v>0</v>
      </c>
      <c r="D985" s="104" t="str">
        <f>$R$8</f>
        <v>Телесигнализация</v>
      </c>
    </row>
    <row r="986" spans="1:4">
      <c r="A986" s="100" t="str">
        <f>$R$2&amp;"."&amp;'Конфигурация TREI'!$A$2&amp;"_2.DIAG_17"</f>
        <v>Диагностика.TREI.CPU_2.DIAG_17</v>
      </c>
      <c r="B986" s="101">
        <v>11150</v>
      </c>
      <c r="C986" s="101" t="s">
        <v>0</v>
      </c>
      <c r="D986" s="103" t="s">
        <v>3087</v>
      </c>
    </row>
    <row r="987" spans="1:4">
      <c r="A987" s="100" t="str">
        <f>$R$2&amp;"."&amp;'Конфигурация TREI'!$A$2&amp;"_2.DIAG_17"</f>
        <v>Диагностика.TREI.CPU_2.DIAG_17</v>
      </c>
      <c r="B987" s="101">
        <v>11000</v>
      </c>
      <c r="C987" s="101" t="s">
        <v>5</v>
      </c>
      <c r="D987" s="103">
        <v>2147483680</v>
      </c>
    </row>
    <row r="988" spans="1:4">
      <c r="A988" s="19" t="str">
        <f>$R$2&amp;"."&amp;'Конфигурация TREI'!$A$2&amp;"_2.DIAG_17"</f>
        <v>Диагностика.TREI.CPU_2.DIAG_17</v>
      </c>
      <c r="B988" s="11">
        <v>7999</v>
      </c>
      <c r="C988" s="11" t="s">
        <v>0</v>
      </c>
      <c r="D988" s="20" t="str">
        <f>"#"&amp;$S$2&amp;"#"&amp;$T$2&amp;IF($S$7="","","\")&amp;$S$7&amp;"\"&amp;'Конфигурация TREI'!$A$2&amp;"_2\DIAG_17"</f>
        <v>#2#treiOPCDA.CoOPCserv.1\pcmaster\CPU_2\DIAG_17</v>
      </c>
    </row>
    <row r="989" spans="1:4">
      <c r="A989" s="19" t="str">
        <f>$R$2&amp;"."&amp;'Конфигурация TREI'!$A$2&amp;"_2.DIAG_17"</f>
        <v>Диагностика.TREI.CPU_2.DIAG_17</v>
      </c>
      <c r="B989" s="11">
        <v>7998</v>
      </c>
      <c r="C989" s="11" t="s">
        <v>6</v>
      </c>
      <c r="D989" s="20">
        <v>1</v>
      </c>
    </row>
    <row r="990" spans="1:4">
      <c r="A990" s="19" t="str">
        <f>$R$2&amp;"."&amp;'Конфигурация TREI'!$A$2&amp;"_2.DIAG_17"</f>
        <v>Диагностика.TREI.CPU_2.DIAG_17</v>
      </c>
      <c r="B990" s="11">
        <v>101</v>
      </c>
      <c r="C990" s="11" t="s">
        <v>0</v>
      </c>
      <c r="D990" s="20" t="s">
        <v>3087</v>
      </c>
    </row>
    <row r="991" spans="1:4">
      <c r="A991" s="19" t="str">
        <f>$R$2&amp;"."&amp;'Конфигурация TREI'!$A$2&amp;"_2.DIAG_17"</f>
        <v>Диагностика.TREI.CPU_2.DIAG_17</v>
      </c>
      <c r="B991" s="11">
        <v>3</v>
      </c>
      <c r="C991" s="11" t="s">
        <v>1</v>
      </c>
      <c r="D991" s="20">
        <v>192</v>
      </c>
    </row>
    <row r="992" spans="1:4">
      <c r="A992" s="19" t="str">
        <f>$R$2&amp;"."&amp;'Конфигурация TREI'!$A$2&amp;"_2.DIAG_17"</f>
        <v>Диагностика.TREI.CPU_2.DIAG_17</v>
      </c>
      <c r="B992" s="11">
        <v>2</v>
      </c>
      <c r="C992" s="11" t="s">
        <v>2</v>
      </c>
      <c r="D992" s="20" t="s">
        <v>3</v>
      </c>
    </row>
    <row r="993" spans="1:4">
      <c r="A993" s="21" t="str">
        <f>$R$2&amp;"."&amp;'Конфигурация TREI'!$A$2&amp;"_2.DIAG_17"</f>
        <v>Диагностика.TREI.CPU_2.DIAG_17</v>
      </c>
      <c r="B993" s="8">
        <v>1</v>
      </c>
      <c r="C993" s="8" t="s">
        <v>1</v>
      </c>
      <c r="D993" s="22">
        <v>11</v>
      </c>
    </row>
    <row r="994" spans="1:4">
      <c r="A994" s="159" t="str">
        <f>$R$2&amp;"."&amp;'Конфигурация TREI'!$A$2&amp;"_2.DIAG_18"</f>
        <v>Диагностика.TREI.CPU_2.DIAG_18</v>
      </c>
      <c r="B994" s="160">
        <v>11154</v>
      </c>
      <c r="C994" s="160" t="s">
        <v>4</v>
      </c>
      <c r="D994" s="161">
        <f>$Q$8</f>
        <v>18</v>
      </c>
    </row>
    <row r="995" spans="1:4">
      <c r="A995" s="100" t="str">
        <f>$R$2&amp;"."&amp;'Конфигурация TREI'!$A$2&amp;"_2.DIAG_18"</f>
        <v>Диагностика.TREI.CPU_2.DIAG_18</v>
      </c>
      <c r="B995" s="101">
        <v>11152</v>
      </c>
      <c r="C995" s="101" t="s">
        <v>0</v>
      </c>
      <c r="D995" s="104" t="str">
        <f>$R$8</f>
        <v>Телесигнализация</v>
      </c>
    </row>
    <row r="996" spans="1:4">
      <c r="A996" s="100" t="str">
        <f>$R$2&amp;"."&amp;'Конфигурация TREI'!$A$2&amp;"_2.DIAG_18"</f>
        <v>Диагностика.TREI.CPU_2.DIAG_18</v>
      </c>
      <c r="B996" s="101">
        <v>11150</v>
      </c>
      <c r="C996" s="101" t="s">
        <v>0</v>
      </c>
      <c r="D996" s="103" t="s">
        <v>3088</v>
      </c>
    </row>
    <row r="997" spans="1:4">
      <c r="A997" s="100" t="str">
        <f>$R$2&amp;"."&amp;'Конфигурация TREI'!$A$2&amp;"_2.DIAG_18"</f>
        <v>Диагностика.TREI.CPU_2.DIAG_18</v>
      </c>
      <c r="B997" s="101">
        <v>11000</v>
      </c>
      <c r="C997" s="101" t="s">
        <v>5</v>
      </c>
      <c r="D997" s="103">
        <v>2147483680</v>
      </c>
    </row>
    <row r="998" spans="1:4">
      <c r="A998" s="19" t="str">
        <f>$R$2&amp;"."&amp;'Конфигурация TREI'!$A$2&amp;"_2.DIAG_18"</f>
        <v>Диагностика.TREI.CPU_2.DIAG_18</v>
      </c>
      <c r="B998" s="11">
        <v>7999</v>
      </c>
      <c r="C998" s="11" t="s">
        <v>0</v>
      </c>
      <c r="D998" s="20" t="str">
        <f>"#"&amp;$S$2&amp;"#"&amp;$T$2&amp;IF($S$7="","","\")&amp;$S$7&amp;"\"&amp;'Конфигурация TREI'!$A$2&amp;"_2\DIAG_18"</f>
        <v>#2#treiOPCDA.CoOPCserv.1\pcmaster\CPU_2\DIAG_18</v>
      </c>
    </row>
    <row r="999" spans="1:4">
      <c r="A999" s="19" t="str">
        <f>$R$2&amp;"."&amp;'Конфигурация TREI'!$A$2&amp;"_2.DIAG_18"</f>
        <v>Диагностика.TREI.CPU_2.DIAG_18</v>
      </c>
      <c r="B999" s="11">
        <v>7998</v>
      </c>
      <c r="C999" s="11" t="s">
        <v>6</v>
      </c>
      <c r="D999" s="20">
        <v>1</v>
      </c>
    </row>
    <row r="1000" spans="1:4">
      <c r="A1000" s="19" t="str">
        <f>$R$2&amp;"."&amp;'Конфигурация TREI'!$A$2&amp;"_2.DIAG_18"</f>
        <v>Диагностика.TREI.CPU_2.DIAG_18</v>
      </c>
      <c r="B1000" s="11">
        <v>101</v>
      </c>
      <c r="C1000" s="11" t="s">
        <v>0</v>
      </c>
      <c r="D1000" s="20" t="s">
        <v>3088</v>
      </c>
    </row>
    <row r="1001" spans="1:4">
      <c r="A1001" s="19" t="str">
        <f>$R$2&amp;"."&amp;'Конфигурация TREI'!$A$2&amp;"_2.DIAG_18"</f>
        <v>Диагностика.TREI.CPU_2.DIAG_18</v>
      </c>
      <c r="B1001" s="11">
        <v>3</v>
      </c>
      <c r="C1001" s="11" t="s">
        <v>1</v>
      </c>
      <c r="D1001" s="20">
        <v>192</v>
      </c>
    </row>
    <row r="1002" spans="1:4">
      <c r="A1002" s="19" t="str">
        <f>$R$2&amp;"."&amp;'Конфигурация TREI'!$A$2&amp;"_2.DIAG_18"</f>
        <v>Диагностика.TREI.CPU_2.DIAG_18</v>
      </c>
      <c r="B1002" s="11">
        <v>2</v>
      </c>
      <c r="C1002" s="11" t="s">
        <v>2</v>
      </c>
      <c r="D1002" s="20" t="s">
        <v>3</v>
      </c>
    </row>
    <row r="1003" spans="1:4">
      <c r="A1003" s="21" t="str">
        <f>$R$2&amp;"."&amp;'Конфигурация TREI'!$A$2&amp;"_2.DIAG_18"</f>
        <v>Диагностика.TREI.CPU_2.DIAG_18</v>
      </c>
      <c r="B1003" s="8">
        <v>1</v>
      </c>
      <c r="C1003" s="8" t="s">
        <v>1</v>
      </c>
      <c r="D1003" s="22">
        <v>11</v>
      </c>
    </row>
    <row r="1004" spans="1:4">
      <c r="A1004" s="159" t="str">
        <f>$R$2&amp;"."&amp;'Конфигурация TREI'!$A$2&amp;"_2.DIAG_19"</f>
        <v>Диагностика.TREI.CPU_2.DIAG_19</v>
      </c>
      <c r="B1004" s="160">
        <v>11154</v>
      </c>
      <c r="C1004" s="160" t="s">
        <v>4</v>
      </c>
      <c r="D1004" s="161">
        <f>$Q$8</f>
        <v>18</v>
      </c>
    </row>
    <row r="1005" spans="1:4">
      <c r="A1005" s="100" t="str">
        <f>$R$2&amp;"."&amp;'Конфигурация TREI'!$A$2&amp;"_2.DIAG_19"</f>
        <v>Диагностика.TREI.CPU_2.DIAG_19</v>
      </c>
      <c r="B1005" s="101">
        <v>11152</v>
      </c>
      <c r="C1005" s="101" t="s">
        <v>0</v>
      </c>
      <c r="D1005" s="104" t="str">
        <f>$R$8</f>
        <v>Телесигнализация</v>
      </c>
    </row>
    <row r="1006" spans="1:4">
      <c r="A1006" s="100" t="str">
        <f>$R$2&amp;"."&amp;'Конфигурация TREI'!$A$2&amp;"_2.DIAG_19"</f>
        <v>Диагностика.TREI.CPU_2.DIAG_19</v>
      </c>
      <c r="B1006" s="101">
        <v>11150</v>
      </c>
      <c r="C1006" s="101" t="s">
        <v>0</v>
      </c>
      <c r="D1006" s="103" t="s">
        <v>3089</v>
      </c>
    </row>
    <row r="1007" spans="1:4">
      <c r="A1007" s="100" t="str">
        <f>$R$2&amp;"."&amp;'Конфигурация TREI'!$A$2&amp;"_2.DIAG_19"</f>
        <v>Диагностика.TREI.CPU_2.DIAG_19</v>
      </c>
      <c r="B1007" s="101">
        <v>11000</v>
      </c>
      <c r="C1007" s="101" t="s">
        <v>5</v>
      </c>
      <c r="D1007" s="103">
        <v>2147483680</v>
      </c>
    </row>
    <row r="1008" spans="1:4">
      <c r="A1008" s="19" t="str">
        <f>$R$2&amp;"."&amp;'Конфигурация TREI'!$A$2&amp;"_2.DIAG_19"</f>
        <v>Диагностика.TREI.CPU_2.DIAG_19</v>
      </c>
      <c r="B1008" s="11">
        <v>7999</v>
      </c>
      <c r="C1008" s="11" t="s">
        <v>0</v>
      </c>
      <c r="D1008" s="20" t="str">
        <f>"#"&amp;$S$2&amp;"#"&amp;$T$2&amp;IF($S$7="","","\")&amp;$S$7&amp;"\"&amp;'Конфигурация TREI'!$A$2&amp;"_2\DIAG_19"</f>
        <v>#2#treiOPCDA.CoOPCserv.1\pcmaster\CPU_2\DIAG_19</v>
      </c>
    </row>
    <row r="1009" spans="1:4">
      <c r="A1009" s="19" t="str">
        <f>$R$2&amp;"."&amp;'Конфигурация TREI'!$A$2&amp;"_2.DIAG_19"</f>
        <v>Диагностика.TREI.CPU_2.DIAG_19</v>
      </c>
      <c r="B1009" s="11">
        <v>7998</v>
      </c>
      <c r="C1009" s="11" t="s">
        <v>6</v>
      </c>
      <c r="D1009" s="20">
        <v>1</v>
      </c>
    </row>
    <row r="1010" spans="1:4">
      <c r="A1010" s="19" t="str">
        <f>$R$2&amp;"."&amp;'Конфигурация TREI'!$A$2&amp;"_2.DIAG_19"</f>
        <v>Диагностика.TREI.CPU_2.DIAG_19</v>
      </c>
      <c r="B1010" s="11">
        <v>101</v>
      </c>
      <c r="C1010" s="11" t="s">
        <v>0</v>
      </c>
      <c r="D1010" s="20" t="s">
        <v>3089</v>
      </c>
    </row>
    <row r="1011" spans="1:4">
      <c r="A1011" s="19" t="str">
        <f>$R$2&amp;"."&amp;'Конфигурация TREI'!$A$2&amp;"_2.DIAG_19"</f>
        <v>Диагностика.TREI.CPU_2.DIAG_19</v>
      </c>
      <c r="B1011" s="11">
        <v>3</v>
      </c>
      <c r="C1011" s="11" t="s">
        <v>1</v>
      </c>
      <c r="D1011" s="20">
        <v>192</v>
      </c>
    </row>
    <row r="1012" spans="1:4">
      <c r="A1012" s="19" t="str">
        <f>$R$2&amp;"."&amp;'Конфигурация TREI'!$A$2&amp;"_2.DIAG_19"</f>
        <v>Диагностика.TREI.CPU_2.DIAG_19</v>
      </c>
      <c r="B1012" s="11">
        <v>2</v>
      </c>
      <c r="C1012" s="11" t="s">
        <v>2</v>
      </c>
      <c r="D1012" s="20" t="s">
        <v>3</v>
      </c>
    </row>
    <row r="1013" spans="1:4">
      <c r="A1013" s="21" t="str">
        <f>$R$2&amp;"."&amp;'Конфигурация TREI'!$A$2&amp;"_2.DIAG_19"</f>
        <v>Диагностика.TREI.CPU_2.DIAG_19</v>
      </c>
      <c r="B1013" s="8">
        <v>1</v>
      </c>
      <c r="C1013" s="8" t="s">
        <v>1</v>
      </c>
      <c r="D1013" s="22">
        <v>11</v>
      </c>
    </row>
    <row r="1014" spans="1:4">
      <c r="A1014" s="159" t="str">
        <f>$R$2&amp;"."&amp;'Конфигурация TREI'!$A$2&amp;"_2.DIAG_20"</f>
        <v>Диагностика.TREI.CPU_2.DIAG_20</v>
      </c>
      <c r="B1014" s="160">
        <v>11154</v>
      </c>
      <c r="C1014" s="160" t="s">
        <v>4</v>
      </c>
      <c r="D1014" s="161">
        <f>$Q$8</f>
        <v>18</v>
      </c>
    </row>
    <row r="1015" spans="1:4">
      <c r="A1015" s="100" t="str">
        <f>$R$2&amp;"."&amp;'Конфигурация TREI'!$A$2&amp;"_2.DIAG_20"</f>
        <v>Диагностика.TREI.CPU_2.DIAG_20</v>
      </c>
      <c r="B1015" s="101">
        <v>11152</v>
      </c>
      <c r="C1015" s="101" t="s">
        <v>0</v>
      </c>
      <c r="D1015" s="104" t="str">
        <f>$R$8</f>
        <v>Телесигнализация</v>
      </c>
    </row>
    <row r="1016" spans="1:4">
      <c r="A1016" s="100" t="str">
        <f>$R$2&amp;"."&amp;'Конфигурация TREI'!$A$2&amp;"_2.DIAG_20"</f>
        <v>Диагностика.TREI.CPU_2.DIAG_20</v>
      </c>
      <c r="B1016" s="101">
        <v>11150</v>
      </c>
      <c r="C1016" s="101" t="s">
        <v>0</v>
      </c>
      <c r="D1016" s="103" t="s">
        <v>3090</v>
      </c>
    </row>
    <row r="1017" spans="1:4">
      <c r="A1017" s="100" t="str">
        <f>$R$2&amp;"."&amp;'Конфигурация TREI'!$A$2&amp;"_2.DIAG_20"</f>
        <v>Диагностика.TREI.CPU_2.DIAG_20</v>
      </c>
      <c r="B1017" s="101">
        <v>11000</v>
      </c>
      <c r="C1017" s="101" t="s">
        <v>5</v>
      </c>
      <c r="D1017" s="103">
        <v>2147483680</v>
      </c>
    </row>
    <row r="1018" spans="1:4">
      <c r="A1018" s="19" t="str">
        <f>$R$2&amp;"."&amp;'Конфигурация TREI'!$A$2&amp;"_2.DIAG_20"</f>
        <v>Диагностика.TREI.CPU_2.DIAG_20</v>
      </c>
      <c r="B1018" s="11">
        <v>7999</v>
      </c>
      <c r="C1018" s="11" t="s">
        <v>0</v>
      </c>
      <c r="D1018" s="20" t="str">
        <f>"#"&amp;$S$2&amp;"#"&amp;$T$2&amp;IF($S$7="","","\")&amp;$S$7&amp;"\"&amp;'Конфигурация TREI'!$A$2&amp;"_2\DIAG_20"</f>
        <v>#2#treiOPCDA.CoOPCserv.1\pcmaster\CPU_2\DIAG_20</v>
      </c>
    </row>
    <row r="1019" spans="1:4">
      <c r="A1019" s="19" t="str">
        <f>$R$2&amp;"."&amp;'Конфигурация TREI'!$A$2&amp;"_2.DIAG_20"</f>
        <v>Диагностика.TREI.CPU_2.DIAG_20</v>
      </c>
      <c r="B1019" s="11">
        <v>7998</v>
      </c>
      <c r="C1019" s="11" t="s">
        <v>6</v>
      </c>
      <c r="D1019" s="20">
        <v>1</v>
      </c>
    </row>
    <row r="1020" spans="1:4">
      <c r="A1020" s="19" t="str">
        <f>$R$2&amp;"."&amp;'Конфигурация TREI'!$A$2&amp;"_2.DIAG_20"</f>
        <v>Диагностика.TREI.CPU_2.DIAG_20</v>
      </c>
      <c r="B1020" s="11">
        <v>101</v>
      </c>
      <c r="C1020" s="11" t="s">
        <v>0</v>
      </c>
      <c r="D1020" s="20" t="s">
        <v>3090</v>
      </c>
    </row>
    <row r="1021" spans="1:4">
      <c r="A1021" s="19" t="str">
        <f>$R$2&amp;"."&amp;'Конфигурация TREI'!$A$2&amp;"_2.DIAG_20"</f>
        <v>Диагностика.TREI.CPU_2.DIAG_20</v>
      </c>
      <c r="B1021" s="11">
        <v>3</v>
      </c>
      <c r="C1021" s="11" t="s">
        <v>1</v>
      </c>
      <c r="D1021" s="20">
        <v>192</v>
      </c>
    </row>
    <row r="1022" spans="1:4">
      <c r="A1022" s="19" t="str">
        <f>$R$2&amp;"."&amp;'Конфигурация TREI'!$A$2&amp;"_2.DIAG_20"</f>
        <v>Диагностика.TREI.CPU_2.DIAG_20</v>
      </c>
      <c r="B1022" s="11">
        <v>2</v>
      </c>
      <c r="C1022" s="11" t="s">
        <v>2</v>
      </c>
      <c r="D1022" s="20" t="s">
        <v>3</v>
      </c>
    </row>
    <row r="1023" spans="1:4">
      <c r="A1023" s="21" t="str">
        <f>$R$2&amp;"."&amp;'Конфигурация TREI'!$A$2&amp;"_2.DIAG_20"</f>
        <v>Диагностика.TREI.CPU_2.DIAG_20</v>
      </c>
      <c r="B1023" s="8">
        <v>1</v>
      </c>
      <c r="C1023" s="8" t="s">
        <v>1</v>
      </c>
      <c r="D1023" s="22">
        <v>11</v>
      </c>
    </row>
    <row r="1024" spans="1:4">
      <c r="A1024" s="159" t="str">
        <f>$R$2&amp;"."&amp;'Конфигурация TREI'!$A$2&amp;"_2.DIAG_22"</f>
        <v>Диагностика.TREI.CPU_2.DIAG_22</v>
      </c>
      <c r="B1024" s="160">
        <v>11154</v>
      </c>
      <c r="C1024" s="160" t="s">
        <v>4</v>
      </c>
      <c r="D1024" s="161">
        <f>$Q$8</f>
        <v>18</v>
      </c>
    </row>
    <row r="1025" spans="1:4">
      <c r="A1025" s="100" t="str">
        <f>$R$2&amp;"."&amp;'Конфигурация TREI'!$A$2&amp;"_2.DIAG_22"</f>
        <v>Диагностика.TREI.CPU_2.DIAG_22</v>
      </c>
      <c r="B1025" s="101">
        <v>11152</v>
      </c>
      <c r="C1025" s="101" t="s">
        <v>0</v>
      </c>
      <c r="D1025" s="104" t="str">
        <f>$R$8</f>
        <v>Телесигнализация</v>
      </c>
    </row>
    <row r="1026" spans="1:4">
      <c r="A1026" s="100" t="str">
        <f>$R$2&amp;"."&amp;'Конфигурация TREI'!$A$2&amp;"_2.DIAG_22"</f>
        <v>Диагностика.TREI.CPU_2.DIAG_22</v>
      </c>
      <c r="B1026" s="101">
        <v>11150</v>
      </c>
      <c r="C1026" s="101" t="s">
        <v>0</v>
      </c>
      <c r="D1026" s="103" t="s">
        <v>812</v>
      </c>
    </row>
    <row r="1027" spans="1:4">
      <c r="A1027" s="100" t="str">
        <f>$R$2&amp;"."&amp;'Конфигурация TREI'!$A$2&amp;"_2.DIAG_22"</f>
        <v>Диагностика.TREI.CPU_2.DIAG_22</v>
      </c>
      <c r="B1027" s="101">
        <v>11000</v>
      </c>
      <c r="C1027" s="101" t="s">
        <v>5</v>
      </c>
      <c r="D1027" s="103">
        <v>2147483680</v>
      </c>
    </row>
    <row r="1028" spans="1:4">
      <c r="A1028" s="19" t="str">
        <f>$R$2&amp;"."&amp;'Конфигурация TREI'!$A$2&amp;"_2.DIAG_22"</f>
        <v>Диагностика.TREI.CPU_2.DIAG_22</v>
      </c>
      <c r="B1028" s="11">
        <v>7999</v>
      </c>
      <c r="C1028" s="11" t="s">
        <v>0</v>
      </c>
      <c r="D1028" s="20" t="str">
        <f>"#"&amp;$S$2&amp;"#"&amp;$T$2&amp;IF($S$7="","","\")&amp;$S$7&amp;"\"&amp;'Конфигурация TREI'!$A$2&amp;"_2\DIAG_22"</f>
        <v>#2#treiOPCDA.CoOPCserv.1\pcmaster\CPU_2\DIAG_22</v>
      </c>
    </row>
    <row r="1029" spans="1:4">
      <c r="A1029" s="19" t="str">
        <f>$R$2&amp;"."&amp;'Конфигурация TREI'!$A$2&amp;"_2.DIAG_22"</f>
        <v>Диагностика.TREI.CPU_2.DIAG_22</v>
      </c>
      <c r="B1029" s="11">
        <v>7998</v>
      </c>
      <c r="C1029" s="11" t="s">
        <v>6</v>
      </c>
      <c r="D1029" s="20">
        <v>1</v>
      </c>
    </row>
    <row r="1030" spans="1:4">
      <c r="A1030" s="19" t="str">
        <f>$R$2&amp;"."&amp;'Конфигурация TREI'!$A$2&amp;"_2.DIAG_22"</f>
        <v>Диагностика.TREI.CPU_2.DIAG_22</v>
      </c>
      <c r="B1030" s="11">
        <v>101</v>
      </c>
      <c r="C1030" s="11" t="s">
        <v>0</v>
      </c>
      <c r="D1030" s="20" t="s">
        <v>812</v>
      </c>
    </row>
    <row r="1031" spans="1:4">
      <c r="A1031" s="19" t="str">
        <f>$R$2&amp;"."&amp;'Конфигурация TREI'!$A$2&amp;"_2.DIAG_22"</f>
        <v>Диагностика.TREI.CPU_2.DIAG_22</v>
      </c>
      <c r="B1031" s="11">
        <v>3</v>
      </c>
      <c r="C1031" s="11" t="s">
        <v>1</v>
      </c>
      <c r="D1031" s="20">
        <v>192</v>
      </c>
    </row>
    <row r="1032" spans="1:4">
      <c r="A1032" s="19" t="str">
        <f>$R$2&amp;"."&amp;'Конфигурация TREI'!$A$2&amp;"_2.DIAG_22"</f>
        <v>Диагностика.TREI.CPU_2.DIAG_22</v>
      </c>
      <c r="B1032" s="11">
        <v>2</v>
      </c>
      <c r="C1032" s="11" t="s">
        <v>2</v>
      </c>
      <c r="D1032" s="20" t="s">
        <v>3</v>
      </c>
    </row>
    <row r="1033" spans="1:4">
      <c r="A1033" s="21" t="str">
        <f>$R$2&amp;"."&amp;'Конфигурация TREI'!$A$2&amp;"_2.DIAG_22"</f>
        <v>Диагностика.TREI.CPU_2.DIAG_22</v>
      </c>
      <c r="B1033" s="8">
        <v>1</v>
      </c>
      <c r="C1033" s="8" t="s">
        <v>1</v>
      </c>
      <c r="D1033" s="22">
        <v>11</v>
      </c>
    </row>
    <row r="1034" spans="1:4">
      <c r="A1034" s="69" t="str">
        <f>$R$2&amp;"."&amp;'Конфигурация TREI'!$A$2&amp;"_2.DIAG_24"</f>
        <v>Диагностика.TREI.CPU_2.DIAG_24</v>
      </c>
      <c r="B1034" s="70">
        <v>11154</v>
      </c>
      <c r="C1034" s="70" t="s">
        <v>4</v>
      </c>
      <c r="D1034" s="144">
        <f>$Q$6</f>
        <v>8</v>
      </c>
    </row>
    <row r="1035" spans="1:4">
      <c r="A1035" s="63" t="str">
        <f>$R$2&amp;"."&amp;'Конфигурация TREI'!$A$2&amp;"_2.DIAG_24"</f>
        <v>Диагностика.TREI.CPU_2.DIAG_24</v>
      </c>
      <c r="B1035" s="64">
        <v>11152</v>
      </c>
      <c r="C1035" s="64" t="s">
        <v>0</v>
      </c>
      <c r="D1035" s="129" t="str">
        <f>$R$6</f>
        <v>Предупреждение</v>
      </c>
    </row>
    <row r="1036" spans="1:4">
      <c r="A1036" s="63" t="str">
        <f>$R$2&amp;"."&amp;'Конфигурация TREI'!$A$2&amp;"_2.DIAG_24"</f>
        <v>Диагностика.TREI.CPU_2.DIAG_24</v>
      </c>
      <c r="B1036" s="64">
        <v>11150</v>
      </c>
      <c r="C1036" s="64" t="s">
        <v>0</v>
      </c>
      <c r="D1036" s="65" t="s">
        <v>813</v>
      </c>
    </row>
    <row r="1037" spans="1:4">
      <c r="A1037" s="63" t="str">
        <f>$R$2&amp;"."&amp;'Конфигурация TREI'!$A$2&amp;"_2.DIAG_24"</f>
        <v>Диагностика.TREI.CPU_2.DIAG_24</v>
      </c>
      <c r="B1037" s="64">
        <v>11000</v>
      </c>
      <c r="C1037" s="64" t="s">
        <v>5</v>
      </c>
      <c r="D1037" s="65">
        <v>2147483680</v>
      </c>
    </row>
    <row r="1038" spans="1:4">
      <c r="A1038" s="19" t="str">
        <f>$R$2&amp;"."&amp;'Конфигурация TREI'!$A$2&amp;"_2.DIAG_24"</f>
        <v>Диагностика.TREI.CPU_2.DIAG_24</v>
      </c>
      <c r="B1038" s="11">
        <v>7999</v>
      </c>
      <c r="C1038" s="11" t="s">
        <v>0</v>
      </c>
      <c r="D1038" s="20" t="str">
        <f>"#"&amp;$S$2&amp;"#"&amp;$T$2&amp;IF($S$7="","","\")&amp;$S$7&amp;"\"&amp;'Конфигурация TREI'!$A$2&amp;"_2\DIAG_24"</f>
        <v>#2#treiOPCDA.CoOPCserv.1\pcmaster\CPU_2\DIAG_24</v>
      </c>
    </row>
    <row r="1039" spans="1:4">
      <c r="A1039" s="19" t="str">
        <f>$R$2&amp;"."&amp;'Конфигурация TREI'!$A$2&amp;"_2.DIAG_24"</f>
        <v>Диагностика.TREI.CPU_2.DIAG_24</v>
      </c>
      <c r="B1039" s="11">
        <v>7998</v>
      </c>
      <c r="C1039" s="11" t="s">
        <v>6</v>
      </c>
      <c r="D1039" s="20">
        <v>1</v>
      </c>
    </row>
    <row r="1040" spans="1:4">
      <c r="A1040" s="19" t="str">
        <f>$R$2&amp;"."&amp;'Конфигурация TREI'!$A$2&amp;"_2.DIAG_24"</f>
        <v>Диагностика.TREI.CPU_2.DIAG_24</v>
      </c>
      <c r="B1040" s="11">
        <v>101</v>
      </c>
      <c r="C1040" s="11" t="s">
        <v>0</v>
      </c>
      <c r="D1040" s="20" t="s">
        <v>813</v>
      </c>
    </row>
    <row r="1041" spans="1:4">
      <c r="A1041" s="19" t="str">
        <f>$R$2&amp;"."&amp;'Конфигурация TREI'!$A$2&amp;"_2.DIAG_24"</f>
        <v>Диагностика.TREI.CPU_2.DIAG_24</v>
      </c>
      <c r="B1041" s="11">
        <v>3</v>
      </c>
      <c r="C1041" s="11" t="s">
        <v>1</v>
      </c>
      <c r="D1041" s="20">
        <v>192</v>
      </c>
    </row>
    <row r="1042" spans="1:4">
      <c r="A1042" s="19" t="str">
        <f>$R$2&amp;"."&amp;'Конфигурация TREI'!$A$2&amp;"_2.DIAG_24"</f>
        <v>Диагностика.TREI.CPU_2.DIAG_24</v>
      </c>
      <c r="B1042" s="11">
        <v>2</v>
      </c>
      <c r="C1042" s="11" t="s">
        <v>2</v>
      </c>
      <c r="D1042" s="20" t="s">
        <v>3</v>
      </c>
    </row>
    <row r="1043" spans="1:4">
      <c r="A1043" s="21" t="str">
        <f>$R$2&amp;"."&amp;'Конфигурация TREI'!$A$2&amp;"_2.DIAG_24"</f>
        <v>Диагностика.TREI.CPU_2.DIAG_24</v>
      </c>
      <c r="B1043" s="8">
        <v>1</v>
      </c>
      <c r="C1043" s="8" t="s">
        <v>1</v>
      </c>
      <c r="D1043" s="22">
        <v>11</v>
      </c>
    </row>
    <row r="1044" spans="1:4">
      <c r="A1044" s="69" t="str">
        <f>$R$2&amp;"."&amp;'Конфигурация TREI'!$A$2&amp;"_2.DIAG_25"</f>
        <v>Диагностика.TREI.CPU_2.DIAG_25</v>
      </c>
      <c r="B1044" s="70">
        <v>11154</v>
      </c>
      <c r="C1044" s="70" t="s">
        <v>4</v>
      </c>
      <c r="D1044" s="144">
        <f>$Q$6</f>
        <v>8</v>
      </c>
    </row>
    <row r="1045" spans="1:4">
      <c r="A1045" s="63" t="str">
        <f>$R$2&amp;"."&amp;'Конфигурация TREI'!$A$2&amp;"_2.DIAG_25"</f>
        <v>Диагностика.TREI.CPU_2.DIAG_25</v>
      </c>
      <c r="B1045" s="64">
        <v>11152</v>
      </c>
      <c r="C1045" s="64" t="s">
        <v>0</v>
      </c>
      <c r="D1045" s="129" t="str">
        <f>$R$6</f>
        <v>Предупреждение</v>
      </c>
    </row>
    <row r="1046" spans="1:4">
      <c r="A1046" s="63" t="str">
        <f>$R$2&amp;"."&amp;'Конфигурация TREI'!$A$2&amp;"_2.DIAG_25"</f>
        <v>Диагностика.TREI.CPU_2.DIAG_25</v>
      </c>
      <c r="B1046" s="64">
        <v>11150</v>
      </c>
      <c r="C1046" s="64" t="s">
        <v>0</v>
      </c>
      <c r="D1046" s="65" t="s">
        <v>814</v>
      </c>
    </row>
    <row r="1047" spans="1:4">
      <c r="A1047" s="63" t="str">
        <f>$R$2&amp;"."&amp;'Конфигурация TREI'!$A$2&amp;"_2.DIAG_25"</f>
        <v>Диагностика.TREI.CPU_2.DIAG_25</v>
      </c>
      <c r="B1047" s="64">
        <v>11000</v>
      </c>
      <c r="C1047" s="64" t="s">
        <v>5</v>
      </c>
      <c r="D1047" s="65">
        <v>2147483680</v>
      </c>
    </row>
    <row r="1048" spans="1:4">
      <c r="A1048" s="19" t="str">
        <f>$R$2&amp;"."&amp;'Конфигурация TREI'!$A$2&amp;"_2.DIAG_25"</f>
        <v>Диагностика.TREI.CPU_2.DIAG_25</v>
      </c>
      <c r="B1048" s="11">
        <v>7999</v>
      </c>
      <c r="C1048" s="11" t="s">
        <v>0</v>
      </c>
      <c r="D1048" s="20" t="str">
        <f>"#"&amp;$S$2&amp;"#"&amp;$T$2&amp;IF($S$7="","","\")&amp;$S$7&amp;"\"&amp;'Конфигурация TREI'!$A$2&amp;"_2\DIAG_25"</f>
        <v>#2#treiOPCDA.CoOPCserv.1\pcmaster\CPU_2\DIAG_25</v>
      </c>
    </row>
    <row r="1049" spans="1:4">
      <c r="A1049" s="19" t="str">
        <f>$R$2&amp;"."&amp;'Конфигурация TREI'!$A$2&amp;"_2.DIAG_25"</f>
        <v>Диагностика.TREI.CPU_2.DIAG_25</v>
      </c>
      <c r="B1049" s="11">
        <v>7998</v>
      </c>
      <c r="C1049" s="11" t="s">
        <v>6</v>
      </c>
      <c r="D1049" s="20">
        <v>1</v>
      </c>
    </row>
    <row r="1050" spans="1:4">
      <c r="A1050" s="19" t="str">
        <f>$R$2&amp;"."&amp;'Конфигурация TREI'!$A$2&amp;"_2.DIAG_25"</f>
        <v>Диагностика.TREI.CPU_2.DIAG_25</v>
      </c>
      <c r="B1050" s="11">
        <v>101</v>
      </c>
      <c r="C1050" s="11" t="s">
        <v>0</v>
      </c>
      <c r="D1050" s="20" t="s">
        <v>814</v>
      </c>
    </row>
    <row r="1051" spans="1:4">
      <c r="A1051" s="19" t="str">
        <f>$R$2&amp;"."&amp;'Конфигурация TREI'!$A$2&amp;"_2.DIAG_25"</f>
        <v>Диагностика.TREI.CPU_2.DIAG_25</v>
      </c>
      <c r="B1051" s="11">
        <v>3</v>
      </c>
      <c r="C1051" s="11" t="s">
        <v>1</v>
      </c>
      <c r="D1051" s="20">
        <v>192</v>
      </c>
    </row>
    <row r="1052" spans="1:4">
      <c r="A1052" s="19" t="str">
        <f>$R$2&amp;"."&amp;'Конфигурация TREI'!$A$2&amp;"_2.DIAG_25"</f>
        <v>Диагностика.TREI.CPU_2.DIAG_25</v>
      </c>
      <c r="B1052" s="11">
        <v>2</v>
      </c>
      <c r="C1052" s="11" t="s">
        <v>2</v>
      </c>
      <c r="D1052" s="20" t="s">
        <v>3</v>
      </c>
    </row>
    <row r="1053" spans="1:4">
      <c r="A1053" s="21" t="str">
        <f>$R$2&amp;"."&amp;'Конфигурация TREI'!$A$2&amp;"_2.DIAG_25"</f>
        <v>Диагностика.TREI.CPU_2.DIAG_25</v>
      </c>
      <c r="B1053" s="8">
        <v>1</v>
      </c>
      <c r="C1053" s="8" t="s">
        <v>1</v>
      </c>
      <c r="D1053" s="22">
        <v>11</v>
      </c>
    </row>
    <row r="1054" spans="1:4">
      <c r="A1054" s="159" t="str">
        <f>$R$2&amp;"."&amp;'Конфигурация TREI'!$A$2&amp;"_2.DIAG_26"</f>
        <v>Диагностика.TREI.CPU_2.DIAG_26</v>
      </c>
      <c r="B1054" s="160">
        <v>11154</v>
      </c>
      <c r="C1054" s="160" t="s">
        <v>4</v>
      </c>
      <c r="D1054" s="161">
        <f>$Q$8</f>
        <v>18</v>
      </c>
    </row>
    <row r="1055" spans="1:4">
      <c r="A1055" s="100" t="str">
        <f>$R$2&amp;"."&amp;'Конфигурация TREI'!$A$2&amp;"_2.DIAG_26"</f>
        <v>Диагностика.TREI.CPU_2.DIAG_26</v>
      </c>
      <c r="B1055" s="101">
        <v>11152</v>
      </c>
      <c r="C1055" s="101" t="s">
        <v>0</v>
      </c>
      <c r="D1055" s="104" t="str">
        <f>$R$8</f>
        <v>Телесигнализация</v>
      </c>
    </row>
    <row r="1056" spans="1:4">
      <c r="A1056" s="100" t="str">
        <f>$R$2&amp;"."&amp;'Конфигурация TREI'!$A$2&amp;"_2.DIAG_26"</f>
        <v>Диагностика.TREI.CPU_2.DIAG_26</v>
      </c>
      <c r="B1056" s="101">
        <v>11150</v>
      </c>
      <c r="C1056" s="101" t="s">
        <v>0</v>
      </c>
      <c r="D1056" s="103" t="s">
        <v>3091</v>
      </c>
    </row>
    <row r="1057" spans="1:4">
      <c r="A1057" s="100" t="str">
        <f>$R$2&amp;"."&amp;'Конфигурация TREI'!$A$2&amp;"_2.DIAG_26"</f>
        <v>Диагностика.TREI.CPU_2.DIAG_26</v>
      </c>
      <c r="B1057" s="101">
        <v>11000</v>
      </c>
      <c r="C1057" s="101" t="s">
        <v>5</v>
      </c>
      <c r="D1057" s="103">
        <v>2147483680</v>
      </c>
    </row>
    <row r="1058" spans="1:4">
      <c r="A1058" s="19" t="str">
        <f>$R$2&amp;"."&amp;'Конфигурация TREI'!$A$2&amp;"_2.DIAG_26"</f>
        <v>Диагностика.TREI.CPU_2.DIAG_26</v>
      </c>
      <c r="B1058" s="11">
        <v>7999</v>
      </c>
      <c r="C1058" s="11" t="s">
        <v>0</v>
      </c>
      <c r="D1058" s="20" t="str">
        <f>"#"&amp;$S$2&amp;"#"&amp;$T$2&amp;IF($S$7="","","\")&amp;$S$7&amp;"\"&amp;'Конфигурация TREI'!$A$2&amp;"_2\DIAG_26"</f>
        <v>#2#treiOPCDA.CoOPCserv.1\pcmaster\CPU_2\DIAG_26</v>
      </c>
    </row>
    <row r="1059" spans="1:4">
      <c r="A1059" s="19" t="str">
        <f>$R$2&amp;"."&amp;'Конфигурация TREI'!$A$2&amp;"_2.DIAG_26"</f>
        <v>Диагностика.TREI.CPU_2.DIAG_26</v>
      </c>
      <c r="B1059" s="11">
        <v>7998</v>
      </c>
      <c r="C1059" s="11" t="s">
        <v>6</v>
      </c>
      <c r="D1059" s="20">
        <v>1</v>
      </c>
    </row>
    <row r="1060" spans="1:4">
      <c r="A1060" s="19" t="str">
        <f>$R$2&amp;"."&amp;'Конфигурация TREI'!$A$2&amp;"_2.DIAG_26"</f>
        <v>Диагностика.TREI.CPU_2.DIAG_26</v>
      </c>
      <c r="B1060" s="11">
        <v>101</v>
      </c>
      <c r="C1060" s="11" t="s">
        <v>0</v>
      </c>
      <c r="D1060" s="20" t="s">
        <v>3091</v>
      </c>
    </row>
    <row r="1061" spans="1:4">
      <c r="A1061" s="19" t="str">
        <f>$R$2&amp;"."&amp;'Конфигурация TREI'!$A$2&amp;"_2.DIAG_26"</f>
        <v>Диагностика.TREI.CPU_2.DIAG_26</v>
      </c>
      <c r="B1061" s="11">
        <v>3</v>
      </c>
      <c r="C1061" s="11" t="s">
        <v>1</v>
      </c>
      <c r="D1061" s="20">
        <v>192</v>
      </c>
    </row>
    <row r="1062" spans="1:4">
      <c r="A1062" s="19" t="str">
        <f>$R$2&amp;"."&amp;'Конфигурация TREI'!$A$2&amp;"_2.DIAG_26"</f>
        <v>Диагностика.TREI.CPU_2.DIAG_26</v>
      </c>
      <c r="B1062" s="11">
        <v>2</v>
      </c>
      <c r="C1062" s="11" t="s">
        <v>2</v>
      </c>
      <c r="D1062" s="20" t="s">
        <v>3</v>
      </c>
    </row>
    <row r="1063" spans="1:4">
      <c r="A1063" s="21" t="str">
        <f>$R$2&amp;"."&amp;'Конфигурация TREI'!$A$2&amp;"_2.DIAG_26"</f>
        <v>Диагностика.TREI.CPU_2.DIAG_26</v>
      </c>
      <c r="B1063" s="8">
        <v>1</v>
      </c>
      <c r="C1063" s="8" t="s">
        <v>1</v>
      </c>
      <c r="D1063" s="22">
        <v>11</v>
      </c>
    </row>
    <row r="1064" spans="1:4">
      <c r="A1064" s="159" t="str">
        <f>$R$2&amp;"."&amp;'Конфигурация TREI'!$A$2&amp;"_2.DIAG_29"</f>
        <v>Диагностика.TREI.CPU_2.DIAG_29</v>
      </c>
      <c r="B1064" s="160">
        <v>11154</v>
      </c>
      <c r="C1064" s="160" t="s">
        <v>4</v>
      </c>
      <c r="D1064" s="161">
        <f>$Q$8</f>
        <v>18</v>
      </c>
    </row>
    <row r="1065" spans="1:4">
      <c r="A1065" s="100" t="str">
        <f>$R$2&amp;"."&amp;'Конфигурация TREI'!$A$2&amp;"_2.DIAG_29"</f>
        <v>Диагностика.TREI.CPU_2.DIAG_29</v>
      </c>
      <c r="B1065" s="101">
        <v>11152</v>
      </c>
      <c r="C1065" s="101" t="s">
        <v>0</v>
      </c>
      <c r="D1065" s="104" t="str">
        <f>$R$8</f>
        <v>Телесигнализация</v>
      </c>
    </row>
    <row r="1066" spans="1:4">
      <c r="A1066" s="100" t="str">
        <f>$R$2&amp;"."&amp;'Конфигурация TREI'!$A$2&amp;"_2.DIAG_29"</f>
        <v>Диагностика.TREI.CPU_2.DIAG_29</v>
      </c>
      <c r="B1066" s="101">
        <v>11150</v>
      </c>
      <c r="C1066" s="101" t="s">
        <v>0</v>
      </c>
      <c r="D1066" s="103" t="s">
        <v>3092</v>
      </c>
    </row>
    <row r="1067" spans="1:4">
      <c r="A1067" s="100" t="str">
        <f>$R$2&amp;"."&amp;'Конфигурация TREI'!$A$2&amp;"_2.DIAG_29"</f>
        <v>Диагностика.TREI.CPU_2.DIAG_29</v>
      </c>
      <c r="B1067" s="101">
        <v>11000</v>
      </c>
      <c r="C1067" s="101" t="s">
        <v>5</v>
      </c>
      <c r="D1067" s="103">
        <v>2147483680</v>
      </c>
    </row>
    <row r="1068" spans="1:4">
      <c r="A1068" s="19" t="str">
        <f>$R$2&amp;"."&amp;'Конфигурация TREI'!$A$2&amp;"_2.DIAG_29"</f>
        <v>Диагностика.TREI.CPU_2.DIAG_29</v>
      </c>
      <c r="B1068" s="11">
        <v>7999</v>
      </c>
      <c r="C1068" s="11" t="s">
        <v>0</v>
      </c>
      <c r="D1068" s="20" t="str">
        <f>"#"&amp;$S$2&amp;"#"&amp;$T$2&amp;IF($S$7="","","\")&amp;$S$7&amp;"\"&amp;'Конфигурация TREI'!$A$2&amp;"_2\DIAG_29"</f>
        <v>#2#treiOPCDA.CoOPCserv.1\pcmaster\CPU_2\DIAG_29</v>
      </c>
    </row>
    <row r="1069" spans="1:4">
      <c r="A1069" s="19" t="str">
        <f>$R$2&amp;"."&amp;'Конфигурация TREI'!$A$2&amp;"_2.DIAG_29"</f>
        <v>Диагностика.TREI.CPU_2.DIAG_29</v>
      </c>
      <c r="B1069" s="11">
        <v>7998</v>
      </c>
      <c r="C1069" s="11" t="s">
        <v>6</v>
      </c>
      <c r="D1069" s="20">
        <v>1</v>
      </c>
    </row>
    <row r="1070" spans="1:4">
      <c r="A1070" s="19" t="str">
        <f>$R$2&amp;"."&amp;'Конфигурация TREI'!$A$2&amp;"_2.DIAG_29"</f>
        <v>Диагностика.TREI.CPU_2.DIAG_29</v>
      </c>
      <c r="B1070" s="11">
        <v>101</v>
      </c>
      <c r="C1070" s="11" t="s">
        <v>0</v>
      </c>
      <c r="D1070" s="20" t="s">
        <v>3092</v>
      </c>
    </row>
    <row r="1071" spans="1:4">
      <c r="A1071" s="19" t="str">
        <f>$R$2&amp;"."&amp;'Конфигурация TREI'!$A$2&amp;"_2.DIAG_29"</f>
        <v>Диагностика.TREI.CPU_2.DIAG_29</v>
      </c>
      <c r="B1071" s="11">
        <v>3</v>
      </c>
      <c r="C1071" s="11" t="s">
        <v>1</v>
      </c>
      <c r="D1071" s="20">
        <v>192</v>
      </c>
    </row>
    <row r="1072" spans="1:4">
      <c r="A1072" s="19" t="str">
        <f>$R$2&amp;"."&amp;'Конфигурация TREI'!$A$2&amp;"_2.DIAG_29"</f>
        <v>Диагностика.TREI.CPU_2.DIAG_29</v>
      </c>
      <c r="B1072" s="11">
        <v>2</v>
      </c>
      <c r="C1072" s="11" t="s">
        <v>2</v>
      </c>
      <c r="D1072" s="20" t="s">
        <v>3</v>
      </c>
    </row>
    <row r="1073" spans="1:4">
      <c r="A1073" s="21" t="str">
        <f>$R$2&amp;"."&amp;'Конфигурация TREI'!$A$2&amp;"_2.DIAG_29"</f>
        <v>Диагностика.TREI.CPU_2.DIAG_29</v>
      </c>
      <c r="B1073" s="8">
        <v>1</v>
      </c>
      <c r="C1073" s="8" t="s">
        <v>1</v>
      </c>
      <c r="D1073" s="22">
        <v>11</v>
      </c>
    </row>
    <row r="1074" spans="1:4">
      <c r="A1074" s="23" t="str">
        <f>$R$2&amp;"."&amp;'Конфигурация TREI'!$A$2&amp;".CONTR.LINE_A"</f>
        <v>Диагностика.TREI.CPU.CONTR.LINE_A</v>
      </c>
      <c r="B1074" s="24">
        <v>11001</v>
      </c>
      <c r="C1074" s="24" t="s">
        <v>0</v>
      </c>
      <c r="D1074" s="25" t="s">
        <v>1601</v>
      </c>
    </row>
    <row r="1075" spans="1:4">
      <c r="A1075" s="29" t="str">
        <f>$R$2&amp;"."&amp;'Конфигурация TREI'!$A$2&amp;".CONTR.LINE_A"</f>
        <v>Диагностика.TREI.CPU.CONTR.LINE_A</v>
      </c>
      <c r="B1075" s="1">
        <v>9002</v>
      </c>
      <c r="C1075" s="1" t="s">
        <v>0</v>
      </c>
      <c r="D1075" s="30">
        <v>2</v>
      </c>
    </row>
    <row r="1076" spans="1:4">
      <c r="A1076" s="29" t="str">
        <f>$R$2&amp;"."&amp;'Конфигурация TREI'!$A$2&amp;".CONTR.LINE_A"</f>
        <v>Диагностика.TREI.CPU.CONTR.LINE_A</v>
      </c>
      <c r="B1076" s="1">
        <v>7999</v>
      </c>
      <c r="C1076" s="1" t="s">
        <v>0</v>
      </c>
      <c r="D1076" s="30" t="str">
        <f>"#"&amp;$S$2&amp;"#"&amp;$T$2&amp;"\CONTR\LINE_A"</f>
        <v>#2#treiOPCDA.CoOPCserv.1\pcmaster\CONTR\LINE_A</v>
      </c>
    </row>
    <row r="1077" spans="1:4">
      <c r="A1077" s="29" t="str">
        <f>$R$2&amp;"."&amp;'Конфигурация TREI'!$A$2&amp;".CONTR.LINE_A"</f>
        <v>Диагностика.TREI.CPU.CONTR.LINE_A</v>
      </c>
      <c r="B1077" s="1">
        <v>7998</v>
      </c>
      <c r="C1077" s="1" t="s">
        <v>6</v>
      </c>
      <c r="D1077" s="30">
        <v>1</v>
      </c>
    </row>
    <row r="1078" spans="1:4">
      <c r="A1078" s="29" t="str">
        <f>$R$2&amp;"."&amp;'Конфигурация TREI'!$A$2&amp;".CONTR.LINE_A"</f>
        <v>Диагностика.TREI.CPU.CONTR.LINE_A</v>
      </c>
      <c r="B1078" s="1">
        <v>7011</v>
      </c>
      <c r="C1078" s="1" t="s">
        <v>2</v>
      </c>
      <c r="D1078" s="30" t="s">
        <v>130</v>
      </c>
    </row>
    <row r="1079" spans="1:4">
      <c r="A1079" s="29" t="str">
        <f>$R$2&amp;"."&amp;'Конфигурация TREI'!$A$2&amp;".CONTR.LINE_A"</f>
        <v>Диагностика.TREI.CPU.CONTR.LINE_A</v>
      </c>
      <c r="B1079" s="1">
        <v>3</v>
      </c>
      <c r="C1079" s="1" t="s">
        <v>1</v>
      </c>
      <c r="D1079" s="30">
        <v>4</v>
      </c>
    </row>
    <row r="1080" spans="1:4">
      <c r="A1080" s="26" t="str">
        <f>$R$2&amp;"."&amp;'Конфигурация TREI'!$A$2&amp;".CONTR.LINE_A"</f>
        <v>Диагностика.TREI.CPU.CONTR.LINE_A</v>
      </c>
      <c r="B1080" s="27">
        <v>1</v>
      </c>
      <c r="C1080" s="27" t="s">
        <v>1</v>
      </c>
      <c r="D1080" s="28">
        <v>16</v>
      </c>
    </row>
    <row r="1081" spans="1:4">
      <c r="A1081" s="29" t="str">
        <f>$R$2&amp;"."&amp;'Конфигурация TREI'!$A$2&amp;".CONTR.LINE_B"</f>
        <v>Диагностика.TREI.CPU.CONTR.LINE_B</v>
      </c>
      <c r="B1081" s="1">
        <v>9002</v>
      </c>
      <c r="C1081" s="1" t="s">
        <v>0</v>
      </c>
      <c r="D1081" s="30">
        <v>2</v>
      </c>
    </row>
    <row r="1082" spans="1:4">
      <c r="A1082" s="29" t="str">
        <f>$R$2&amp;"."&amp;'Конфигурация TREI'!$A$2&amp;".CONTR.LINE_B"</f>
        <v>Диагностика.TREI.CPU.CONTR.LINE_B</v>
      </c>
      <c r="B1082" s="1">
        <v>7999</v>
      </c>
      <c r="C1082" s="1" t="s">
        <v>0</v>
      </c>
      <c r="D1082" s="30" t="str">
        <f>"#"&amp;$S$2&amp;"#"&amp;$T$2&amp;"\CONTR\LINE_B"</f>
        <v>#2#treiOPCDA.CoOPCserv.1\pcmaster\CONTR\LINE_B</v>
      </c>
    </row>
    <row r="1083" spans="1:4">
      <c r="A1083" s="29" t="str">
        <f>$R$2&amp;"."&amp;'Конфигурация TREI'!$A$2&amp;".CONTR.LINE_B"</f>
        <v>Диагностика.TREI.CPU.CONTR.LINE_B</v>
      </c>
      <c r="B1083" s="1">
        <v>7998</v>
      </c>
      <c r="C1083" s="1" t="s">
        <v>6</v>
      </c>
      <c r="D1083" s="30">
        <v>1</v>
      </c>
    </row>
    <row r="1084" spans="1:4">
      <c r="A1084" s="29" t="str">
        <f>$R$2&amp;"."&amp;'Конфигурация TREI'!$A$2&amp;".CONTR.LINE_B"</f>
        <v>Диагностика.TREI.CPU.CONTR.LINE_B</v>
      </c>
      <c r="B1084" s="1">
        <v>7011</v>
      </c>
      <c r="C1084" s="1" t="s">
        <v>2</v>
      </c>
      <c r="D1084" s="30" t="s">
        <v>130</v>
      </c>
    </row>
    <row r="1085" spans="1:4">
      <c r="A1085" s="29" t="str">
        <f>$R$2&amp;"."&amp;'Конфигурация TREI'!$A$2&amp;".CONTR.LINE_B"</f>
        <v>Диагностика.TREI.CPU.CONTR.LINE_B</v>
      </c>
      <c r="B1085" s="1">
        <v>3</v>
      </c>
      <c r="C1085" s="1" t="s">
        <v>1</v>
      </c>
      <c r="D1085" s="30">
        <v>4</v>
      </c>
    </row>
    <row r="1086" spans="1:4">
      <c r="A1086" s="29" t="str">
        <f>$R$2&amp;"."&amp;'Конфигурация TREI'!$A$2&amp;".CONTR.LINE_B"</f>
        <v>Диагностика.TREI.CPU.CONTR.LINE_B</v>
      </c>
      <c r="B1086" s="1">
        <v>1</v>
      </c>
      <c r="C1086" s="1" t="s">
        <v>1</v>
      </c>
      <c r="D1086" s="30">
        <v>16</v>
      </c>
    </row>
    <row r="1087" spans="1:4">
      <c r="A1087" s="26" t="str">
        <f>$R$2&amp;"."&amp;'Конфигурация TREI'!$A$2&amp;".CONTR.LINE_B"</f>
        <v>Диагностика.TREI.CPU.CONTR.LINE_B</v>
      </c>
      <c r="B1087" s="27">
        <v>11001</v>
      </c>
      <c r="C1087" s="27" t="s">
        <v>0</v>
      </c>
      <c r="D1087" s="28" t="s">
        <v>1594</v>
      </c>
    </row>
    <row r="1088" spans="1:4">
      <c r="A1088" s="29" t="str">
        <f>$R$2&amp;"."&amp;'Конфигурация TREI'!$A$2&amp;".CONTR.RESV_A"</f>
        <v>Диагностика.TREI.CPU.CONTR.RESV_A</v>
      </c>
      <c r="B1088" s="1">
        <v>9002</v>
      </c>
      <c r="C1088" s="1" t="s">
        <v>0</v>
      </c>
      <c r="D1088" s="30">
        <v>2</v>
      </c>
    </row>
    <row r="1089" spans="1:6">
      <c r="A1089" s="29" t="str">
        <f>$R$2&amp;"."&amp;'Конфигурация TREI'!$A$2&amp;".CONTR.RESV_A"</f>
        <v>Диагностика.TREI.CPU.CONTR.RESV_A</v>
      </c>
      <c r="B1089" s="1">
        <v>7999</v>
      </c>
      <c r="C1089" s="1" t="s">
        <v>0</v>
      </c>
      <c r="D1089" s="30" t="str">
        <f>"#"&amp;$S$2&amp;"#"&amp;$T$2&amp;"\CONTR\RESV_A"</f>
        <v>#2#treiOPCDA.CoOPCserv.1\pcmaster\CONTR\RESV_A</v>
      </c>
    </row>
    <row r="1090" spans="1:6">
      <c r="A1090" s="29" t="str">
        <f>$R$2&amp;"."&amp;'Конфигурация TREI'!$A$2&amp;".CONTR.RESV_A"</f>
        <v>Диагностика.TREI.CPU.CONTR.RESV_A</v>
      </c>
      <c r="B1090" s="1">
        <v>7998</v>
      </c>
      <c r="C1090" s="1" t="s">
        <v>6</v>
      </c>
      <c r="D1090" s="30">
        <v>1</v>
      </c>
    </row>
    <row r="1091" spans="1:6">
      <c r="A1091" s="29" t="str">
        <f>$R$2&amp;"."&amp;'Конфигурация TREI'!$A$2&amp;".CONTR.RESV_A"</f>
        <v>Диагностика.TREI.CPU.CONTR.RESV_A</v>
      </c>
      <c r="B1091" s="1">
        <v>7011</v>
      </c>
      <c r="C1091" s="1" t="s">
        <v>2</v>
      </c>
      <c r="D1091" s="30" t="s">
        <v>130</v>
      </c>
      <c r="E1091" t="s">
        <v>1597</v>
      </c>
    </row>
    <row r="1092" spans="1:6">
      <c r="A1092" s="29" t="str">
        <f>$R$2&amp;"."&amp;'Конфигурация TREI'!$A$2&amp;".CONTR.RESV_A"</f>
        <v>Диагностика.TREI.CPU.CONTR.RESV_A</v>
      </c>
      <c r="B1092" s="1">
        <v>3</v>
      </c>
      <c r="C1092" s="1" t="s">
        <v>1</v>
      </c>
      <c r="D1092" s="30">
        <v>4</v>
      </c>
    </row>
    <row r="1093" spans="1:6">
      <c r="A1093" s="29" t="str">
        <f>$R$2&amp;"."&amp;'Конфигурация TREI'!$A$2&amp;".CONTR.RESV_A"</f>
        <v>Диагностика.TREI.CPU.CONTR.RESV_A</v>
      </c>
      <c r="B1093" s="1">
        <v>1</v>
      </c>
      <c r="C1093" s="1" t="s">
        <v>1</v>
      </c>
      <c r="D1093" s="30">
        <v>3</v>
      </c>
    </row>
    <row r="1094" spans="1:6">
      <c r="A1094" s="26" t="str">
        <f>$R$2&amp;"."&amp;'Конфигурация TREI'!$A$2&amp;".CONTR.RESV_A"</f>
        <v>Диагностика.TREI.CPU.CONTR.RESV_A</v>
      </c>
      <c r="B1094" s="27">
        <v>11001</v>
      </c>
      <c r="C1094" s="27" t="s">
        <v>0</v>
      </c>
      <c r="D1094" s="28" t="s">
        <v>1595</v>
      </c>
    </row>
    <row r="1095" spans="1:6">
      <c r="A1095" s="29" t="str">
        <f>$R$2&amp;"."&amp;'Конфигурация TREI'!$A$2&amp;".CONTR.RESV_B"</f>
        <v>Диагностика.TREI.CPU.CONTR.RESV_B</v>
      </c>
      <c r="B1095" s="1">
        <v>9002</v>
      </c>
      <c r="C1095" s="1" t="s">
        <v>0</v>
      </c>
      <c r="D1095" s="30">
        <v>2</v>
      </c>
    </row>
    <row r="1096" spans="1:6">
      <c r="A1096" s="29" t="str">
        <f>$R$2&amp;"."&amp;'Конфигурация TREI'!$A$2&amp;".CONTR.RESV_B"</f>
        <v>Диагностика.TREI.CPU.CONTR.RESV_B</v>
      </c>
      <c r="B1096" s="1">
        <v>7999</v>
      </c>
      <c r="C1096" s="1" t="s">
        <v>0</v>
      </c>
      <c r="D1096" s="30" t="str">
        <f>"#"&amp;$S$2&amp;"#"&amp;$T$2&amp;"\CONTR\RESV_B"</f>
        <v>#2#treiOPCDA.CoOPCserv.1\pcmaster\CONTR\RESV_B</v>
      </c>
    </row>
    <row r="1097" spans="1:6">
      <c r="A1097" s="29" t="str">
        <f>$R$2&amp;"."&amp;'Конфигурация TREI'!$A$2&amp;".CONTR.RESV_B"</f>
        <v>Диагностика.TREI.CPU.CONTR.RESV_B</v>
      </c>
      <c r="B1097" s="1">
        <v>7998</v>
      </c>
      <c r="C1097" s="1" t="s">
        <v>6</v>
      </c>
      <c r="D1097" s="30">
        <v>1</v>
      </c>
      <c r="E1097">
        <v>1</v>
      </c>
      <c r="F1097" t="s">
        <v>1599</v>
      </c>
    </row>
    <row r="1098" spans="1:6">
      <c r="A1098" s="29" t="str">
        <f>$R$2&amp;"."&amp;'Конфигурация TREI'!$A$2&amp;".CONTR.RESV_B"</f>
        <v>Диагностика.TREI.CPU.CONTR.RESV_B</v>
      </c>
      <c r="B1098" s="1">
        <v>7011</v>
      </c>
      <c r="C1098" s="1" t="s">
        <v>2</v>
      </c>
      <c r="D1098" s="30" t="s">
        <v>130</v>
      </c>
    </row>
    <row r="1099" spans="1:6">
      <c r="A1099" s="29" t="str">
        <f>$R$2&amp;"."&amp;'Конфигурация TREI'!$A$2&amp;".CONTR.RESV_B"</f>
        <v>Диагностика.TREI.CPU.CONTR.RESV_B</v>
      </c>
      <c r="B1099" s="1">
        <v>3</v>
      </c>
      <c r="C1099" s="1" t="s">
        <v>1</v>
      </c>
      <c r="D1099" s="30">
        <v>4</v>
      </c>
    </row>
    <row r="1100" spans="1:6">
      <c r="A1100" s="29" t="str">
        <f>$R$2&amp;"."&amp;'Конфигурация TREI'!$A$2&amp;".CONTR.RESV_B"</f>
        <v>Диагностика.TREI.CPU.CONTR.RESV_B</v>
      </c>
      <c r="B1100" s="1">
        <v>101</v>
      </c>
      <c r="C1100" s="1" t="s">
        <v>0</v>
      </c>
      <c r="D1100" s="30" t="s">
        <v>1596</v>
      </c>
    </row>
    <row r="1101" spans="1:6">
      <c r="A1101" s="29" t="str">
        <f>$R$2&amp;"."&amp;'Конфигурация TREI'!$A$2&amp;".CONTR.RESV_B"</f>
        <v>Диагностика.TREI.CPU.CONTR.RESV_B</v>
      </c>
      <c r="B1101" s="1">
        <v>1</v>
      </c>
      <c r="C1101" s="1" t="s">
        <v>1</v>
      </c>
      <c r="D1101" s="30">
        <v>3</v>
      </c>
    </row>
    <row r="1102" spans="1:6">
      <c r="A1102" s="26" t="str">
        <f>$R$2&amp;"."&amp;'Конфигурация TREI'!$A$2&amp;".CONTR.RESV_B"</f>
        <v>Диагностика.TREI.CPU.CONTR.RESV_B</v>
      </c>
      <c r="B1102" s="27">
        <v>11001</v>
      </c>
      <c r="C1102" s="27" t="s">
        <v>0</v>
      </c>
      <c r="D1102" s="28" t="s">
        <v>1598</v>
      </c>
    </row>
    <row r="1103" spans="1:6">
      <c r="A1103" s="23" t="str">
        <f>$R$2&amp;"."&amp;'Конфигурация TREI'!$A$2&amp;".CONTR.SWITCH_STATE_ON"</f>
        <v>Диагностика.TREI.CPU.CONTR.SWITCH_STATE_ON</v>
      </c>
      <c r="B1103" s="24">
        <v>7999</v>
      </c>
      <c r="C1103" s="24" t="s">
        <v>0</v>
      </c>
      <c r="D1103" s="30" t="str">
        <f>"#"&amp;$S$2&amp;"#"&amp;$T$2&amp;"\CONTR\SWITCH_STATE_ON"</f>
        <v>#2#treiOPCDA.CoOPCserv.1\pcmaster\CONTR\SWITCH_STATE_ON</v>
      </c>
    </row>
    <row r="1104" spans="1:6">
      <c r="A1104" s="29" t="str">
        <f>$R$2&amp;"."&amp;'Конфигурация TREI'!$A$2&amp;".CONTR.SWITCH_STATE_ON"</f>
        <v>Диагностика.TREI.CPU.CONTR.SWITCH_STATE_ON</v>
      </c>
      <c r="B1104" s="1">
        <v>7998</v>
      </c>
      <c r="C1104" s="1" t="s">
        <v>6</v>
      </c>
      <c r="D1104" s="30">
        <v>2</v>
      </c>
    </row>
    <row r="1105" spans="1:68">
      <c r="A1105" s="29" t="str">
        <f>$R$2&amp;"."&amp;'Конфигурация TREI'!$A$2&amp;".CONTR.SWITCH_STATE_ON"</f>
        <v>Диагностика.TREI.CPU.CONTR.SWITCH_STATE_ON</v>
      </c>
      <c r="B1105" s="1">
        <v>3</v>
      </c>
      <c r="C1105" s="1" t="s">
        <v>1</v>
      </c>
      <c r="D1105" s="30">
        <v>192</v>
      </c>
    </row>
    <row r="1106" spans="1:68" ht="15" customHeight="1">
      <c r="A1106" s="29" t="str">
        <f>$R$2&amp;"."&amp;'Конфигурация TREI'!$A$2&amp;".CONTR.SWITCH_STATE_ON"</f>
        <v>Диагностика.TREI.CPU.CONTR.SWITCH_STATE_ON</v>
      </c>
      <c r="B1106" s="1">
        <v>101</v>
      </c>
      <c r="C1106" s="1" t="s">
        <v>0</v>
      </c>
      <c r="D1106" s="30" t="s">
        <v>234</v>
      </c>
      <c r="E1106" s="9"/>
      <c r="F1106" s="9"/>
      <c r="P1106" s="511"/>
      <c r="Q1106" s="445"/>
      <c r="R1106" s="445"/>
      <c r="S1106" s="10"/>
      <c r="T1106" s="10"/>
      <c r="U1106" s="10"/>
      <c r="V1106" s="10"/>
      <c r="W1106" s="10"/>
      <c r="X1106" s="10"/>
      <c r="Y1106" s="10"/>
      <c r="Z1106" s="10"/>
      <c r="AA1106" s="10"/>
      <c r="AB1106" s="10"/>
      <c r="AC1106" s="10"/>
      <c r="BM1106" s="4"/>
      <c r="BN1106" s="4"/>
      <c r="BO1106" s="4"/>
      <c r="BP1106" s="4"/>
    </row>
    <row r="1107" spans="1:68">
      <c r="A1107" s="29" t="str">
        <f>$R$2&amp;"."&amp;'Конфигурация TREI'!$A$2&amp;".CONTR.SWITCH_STATE_ON"</f>
        <v>Диагностика.TREI.CPU.CONTR.SWITCH_STATE_ON</v>
      </c>
      <c r="B1107" s="1">
        <v>1</v>
      </c>
      <c r="C1107" s="1" t="s">
        <v>1</v>
      </c>
      <c r="D1107" s="30">
        <v>3</v>
      </c>
    </row>
    <row r="1108" spans="1:68">
      <c r="A1108" s="26" t="str">
        <f>$R$2&amp;"."&amp;'Конфигурация TREI'!$A$2&amp;".CONTR.SWITCH_STATE_ON"</f>
        <v>Диагностика.TREI.CPU.CONTR.SWITCH_STATE_ON</v>
      </c>
      <c r="B1108" s="27">
        <v>3000000</v>
      </c>
      <c r="C1108" s="27" t="s">
        <v>0</v>
      </c>
      <c r="D1108" s="22" t="e">
        <f>'Конфигурация TREI'!#REF!</f>
        <v>#REF!</v>
      </c>
    </row>
    <row r="1109" spans="1:68">
      <c r="A1109" s="29" t="str">
        <f>$R$2&amp;"."&amp;'Конфигурация TREI'!$A$2&amp;".CONTR.TAG"</f>
        <v>Диагностика.TREI.CPU.CONTR.TAG</v>
      </c>
      <c r="B1109" s="1">
        <v>9002</v>
      </c>
      <c r="C1109" s="1" t="s">
        <v>0</v>
      </c>
      <c r="D1109" s="30">
        <v>2</v>
      </c>
    </row>
    <row r="1110" spans="1:68">
      <c r="A1110" s="29" t="str">
        <f>$R$2&amp;"."&amp;'Конфигурация TREI'!$A$2&amp;".CONTR.TAG"</f>
        <v>Диагностика.TREI.CPU.CONTR.TAG</v>
      </c>
      <c r="B1110" s="1">
        <v>7999</v>
      </c>
      <c r="C1110" s="1" t="s">
        <v>0</v>
      </c>
      <c r="D1110" s="30" t="str">
        <f>"#"&amp;$S$2&amp;"#"&amp;$T$2&amp;"\CONTR\TAG"</f>
        <v>#2#treiOPCDA.CoOPCserv.1\pcmaster\CONTR\TAG</v>
      </c>
    </row>
    <row r="1111" spans="1:68">
      <c r="A1111" s="29" t="str">
        <f>$R$2&amp;"."&amp;'Конфигурация TREI'!$A$2&amp;".CONTR.TAG"</f>
        <v>Диагностика.TREI.CPU.CONTR.TAG</v>
      </c>
      <c r="B1111" s="1">
        <v>7998</v>
      </c>
      <c r="C1111" s="1" t="s">
        <v>6</v>
      </c>
      <c r="D1111" s="30">
        <v>1</v>
      </c>
    </row>
    <row r="1112" spans="1:68">
      <c r="A1112" s="29" t="str">
        <f>$R$2&amp;"."&amp;'Конфигурация TREI'!$A$2&amp;".CONTR.TAG"</f>
        <v>Диагностика.TREI.CPU.CONTR.TAG</v>
      </c>
      <c r="B1112" s="1">
        <v>7011</v>
      </c>
      <c r="C1112" s="1" t="s">
        <v>2</v>
      </c>
      <c r="D1112" s="30" t="s">
        <v>130</v>
      </c>
    </row>
    <row r="1113" spans="1:68">
      <c r="A1113" s="29" t="str">
        <f>$R$2&amp;"."&amp;'Конфигурация TREI'!$A$2&amp;".CONTR.TAG"</f>
        <v>Диагностика.TREI.CPU.CONTR.TAG</v>
      </c>
      <c r="B1113" s="1">
        <v>3</v>
      </c>
      <c r="C1113" s="1" t="s">
        <v>1</v>
      </c>
      <c r="D1113" s="30">
        <v>4</v>
      </c>
    </row>
    <row r="1114" spans="1:68">
      <c r="A1114" s="29" t="str">
        <f>$R$2&amp;"."&amp;'Конфигурация TREI'!$A$2&amp;".CONTR.TAG"</f>
        <v>Диагностика.TREI.CPU.CONTR.TAG</v>
      </c>
      <c r="B1114" s="1">
        <v>1</v>
      </c>
      <c r="C1114" s="1" t="s">
        <v>1</v>
      </c>
      <c r="D1114" s="30">
        <v>16</v>
      </c>
    </row>
    <row r="1115" spans="1:68">
      <c r="A1115" s="26" t="str">
        <f>$R$2&amp;"."&amp;'Конфигурация TREI'!$A$2&amp;".CONTR.TAG"</f>
        <v>Диагностика.TREI.CPU.CONTR.TAG</v>
      </c>
      <c r="B1115" s="27">
        <v>11001</v>
      </c>
      <c r="C1115" s="27" t="s">
        <v>0</v>
      </c>
      <c r="D1115" s="28" t="s">
        <v>1600</v>
      </c>
    </row>
    <row r="1116" spans="1:68" ht="15" customHeight="1">
      <c r="A1116" s="512" t="s">
        <v>1593</v>
      </c>
      <c r="B1116" s="512"/>
      <c r="C1116" s="512"/>
      <c r="D1116" s="512"/>
      <c r="E1116" s="9"/>
      <c r="F1116" s="9"/>
      <c r="P1116" s="511"/>
      <c r="Q1116" s="445"/>
      <c r="R1116" s="445"/>
      <c r="S1116" s="10"/>
      <c r="T1116" s="10"/>
      <c r="U1116" s="10"/>
      <c r="V1116" s="10"/>
      <c r="W1116" s="10"/>
      <c r="X1116" s="10"/>
      <c r="Y1116" s="10"/>
      <c r="Z1116" s="10"/>
      <c r="AA1116" s="10"/>
      <c r="AB1116" s="10"/>
      <c r="AC1116" s="10"/>
      <c r="BM1116" s="4"/>
      <c r="BN1116" s="4"/>
      <c r="BO1116" s="4"/>
      <c r="BP1116" s="4"/>
    </row>
    <row r="1117" spans="1:68" ht="15" customHeight="1">
      <c r="A1117" s="16" t="str">
        <f>$R$2&amp;"."&amp;'Конфигурация TREI'!$A$2&amp;"_1"</f>
        <v>Диагностика.TREI.CPU_1</v>
      </c>
      <c r="B1117" s="17">
        <v>11001</v>
      </c>
      <c r="C1117" s="17" t="s">
        <v>0</v>
      </c>
      <c r="D1117" s="18" t="str">
        <f>$Q$2&amp;". Диагностика CPU (основной)"</f>
        <v>Контроллер TREI. Диагностика CPU (основной)</v>
      </c>
      <c r="BM1117" s="4"/>
      <c r="BN1117" s="4"/>
      <c r="BO1117" s="4"/>
      <c r="BP1117" s="4"/>
    </row>
    <row r="1118" spans="1:68" ht="15" customHeight="1">
      <c r="A1118" s="19" t="str">
        <f>$R$2&amp;"."&amp;'Конфигурация TREI'!$A$2&amp;"_1"</f>
        <v>Диагностика.TREI.CPU_1</v>
      </c>
      <c r="B1118" s="11">
        <v>11156</v>
      </c>
      <c r="C1118" s="11" t="s">
        <v>0</v>
      </c>
      <c r="D1118" s="20" t="str">
        <f>$V$2</f>
        <v>Тестовый экран</v>
      </c>
      <c r="BM1118" s="4"/>
      <c r="BN1118" s="4"/>
      <c r="BO1118" s="4"/>
      <c r="BP1118" s="4"/>
    </row>
    <row r="1119" spans="1:68" ht="15" customHeight="1">
      <c r="A1119" s="19" t="str">
        <f>$R$2&amp;"."&amp;'Конфигурация TREI'!$A$2&amp;"_1"</f>
        <v>Диагностика.TREI.CPU_1</v>
      </c>
      <c r="B1119" s="11">
        <v>1</v>
      </c>
      <c r="C1119" s="11" t="s">
        <v>1</v>
      </c>
      <c r="D1119" s="20">
        <v>17</v>
      </c>
      <c r="BM1119" s="4"/>
      <c r="BN1119" s="4"/>
      <c r="BO1119" s="4"/>
      <c r="BP1119" s="4"/>
    </row>
    <row r="1120" spans="1:68">
      <c r="A1120" s="19" t="str">
        <f>$R$2&amp;"."&amp;'Конфигурация TREI'!$A$2&amp;"_1"</f>
        <v>Диагностика.TREI.CPU_1</v>
      </c>
      <c r="B1120" s="11">
        <v>13</v>
      </c>
      <c r="C1120" s="11" t="s">
        <v>2</v>
      </c>
      <c r="D1120" s="20" t="s">
        <v>3</v>
      </c>
    </row>
    <row r="1121" spans="1:4">
      <c r="A1121" s="21" t="str">
        <f>$R$2&amp;"."&amp;'Конфигурация TREI'!$A$2&amp;"_1"</f>
        <v>Диагностика.TREI.CPU_1</v>
      </c>
      <c r="B1121" s="8">
        <v>3000013</v>
      </c>
      <c r="C1121" s="8" t="s">
        <v>0</v>
      </c>
      <c r="D1121" s="22" t="str">
        <f>$AE$2</f>
        <v>Диагностика.CPU.NOT_LINK.noLink</v>
      </c>
    </row>
    <row r="1122" spans="1:4">
      <c r="A1122" s="63" t="str">
        <f>$R$2&amp;"."&amp;'Конфигурация TREI'!$A$2&amp;"_1.DIAG_1"</f>
        <v>Диагностика.TREI.CPU_1.DIAG_1</v>
      </c>
      <c r="B1122" s="64">
        <v>11154</v>
      </c>
      <c r="C1122" s="64" t="s">
        <v>4</v>
      </c>
      <c r="D1122" s="98">
        <f>$Q$6</f>
        <v>8</v>
      </c>
    </row>
    <row r="1123" spans="1:4">
      <c r="A1123" s="63" t="str">
        <f>$R$2&amp;"."&amp;'Конфигурация TREI'!$A$2&amp;"_1.DIAG_1"</f>
        <v>Диагностика.TREI.CPU_1.DIAG_1</v>
      </c>
      <c r="B1123" s="64">
        <v>11152</v>
      </c>
      <c r="C1123" s="64" t="s">
        <v>0</v>
      </c>
      <c r="D1123" s="129" t="str">
        <f>$R$6</f>
        <v>Предупреждение</v>
      </c>
    </row>
    <row r="1124" spans="1:4">
      <c r="A1124" s="63" t="str">
        <f>$R$2&amp;"."&amp;'Конфигурация TREI'!$A$2&amp;"_1.DIAG_1"</f>
        <v>Диагностика.TREI.CPU_1.DIAG_1</v>
      </c>
      <c r="B1124" s="64">
        <v>11150</v>
      </c>
      <c r="C1124" s="64" t="s">
        <v>0</v>
      </c>
      <c r="D1124" s="65" t="s">
        <v>797</v>
      </c>
    </row>
    <row r="1125" spans="1:4">
      <c r="A1125" s="63" t="str">
        <f>$R$2&amp;"."&amp;'Конфигурация TREI'!$A$2&amp;"_1.DIAG_1"</f>
        <v>Диагностика.TREI.CPU_1.DIAG_1</v>
      </c>
      <c r="B1125" s="64">
        <v>11000</v>
      </c>
      <c r="C1125" s="64" t="s">
        <v>5</v>
      </c>
      <c r="D1125" s="65">
        <v>2147483680</v>
      </c>
    </row>
    <row r="1126" spans="1:4">
      <c r="A1126" s="19" t="str">
        <f>$R$2&amp;"."&amp;'Конфигурация TREI'!$A$2&amp;"_1.DIAG_1"</f>
        <v>Диагностика.TREI.CPU_1.DIAG_1</v>
      </c>
      <c r="B1126" s="11">
        <v>7999</v>
      </c>
      <c r="C1126" s="11" t="s">
        <v>0</v>
      </c>
      <c r="D1126" s="20" t="str">
        <f>"#"&amp;$S$2&amp;"#"&amp;$T$2&amp;IF($S$7="","","\")&amp;$S$7&amp;"\"&amp;'Конфигурация TREI'!$A$2&amp;"_1\DIAG_1"</f>
        <v>#2#treiOPCDA.CoOPCserv.1\pcmaster\CPU_1\DIAG_1</v>
      </c>
    </row>
    <row r="1127" spans="1:4">
      <c r="A1127" s="19" t="str">
        <f>$R$2&amp;"."&amp;'Конфигурация TREI'!$A$2&amp;"_1.DIAG_1"</f>
        <v>Диагностика.TREI.CPU_1.DIAG_1</v>
      </c>
      <c r="B1127" s="11">
        <v>7998</v>
      </c>
      <c r="C1127" s="11" t="s">
        <v>6</v>
      </c>
      <c r="D1127" s="20">
        <v>1</v>
      </c>
    </row>
    <row r="1128" spans="1:4">
      <c r="A1128" s="19" t="str">
        <f>$R$2&amp;"."&amp;'Конфигурация TREI'!$A$2&amp;"_1.DIAG_1"</f>
        <v>Диагностика.TREI.CPU_1.DIAG_1</v>
      </c>
      <c r="B1128" s="11">
        <v>101</v>
      </c>
      <c r="C1128" s="11" t="s">
        <v>0</v>
      </c>
      <c r="D1128" s="20" t="s">
        <v>797</v>
      </c>
    </row>
    <row r="1129" spans="1:4">
      <c r="A1129" s="19" t="str">
        <f>$R$2&amp;"."&amp;'Конфигурация TREI'!$A$2&amp;"_1.DIAG_1"</f>
        <v>Диагностика.TREI.CPU_1.DIAG_1</v>
      </c>
      <c r="B1129" s="11">
        <v>3</v>
      </c>
      <c r="C1129" s="11" t="s">
        <v>1</v>
      </c>
      <c r="D1129" s="20">
        <v>192</v>
      </c>
    </row>
    <row r="1130" spans="1:4">
      <c r="A1130" s="19" t="str">
        <f>$R$2&amp;"."&amp;'Конфигурация TREI'!$A$2&amp;"_1.DIAG_1"</f>
        <v>Диагностика.TREI.CPU_1.DIAG_1</v>
      </c>
      <c r="B1130" s="11">
        <v>2</v>
      </c>
      <c r="C1130" s="11" t="s">
        <v>2</v>
      </c>
      <c r="D1130" s="20" t="s">
        <v>3</v>
      </c>
    </row>
    <row r="1131" spans="1:4">
      <c r="A1131" s="21" t="str">
        <f>$R$2&amp;"."&amp;'Конфигурация TREI'!$A$2&amp;"_1.DIAG_1"</f>
        <v>Диагностика.TREI.CPU_1.DIAG_1</v>
      </c>
      <c r="B1131" s="8">
        <v>1</v>
      </c>
      <c r="C1131" s="8" t="s">
        <v>1</v>
      </c>
      <c r="D1131" s="22">
        <v>11</v>
      </c>
    </row>
    <row r="1132" spans="1:4">
      <c r="A1132" s="69" t="str">
        <f>$R$2&amp;"."&amp;'Конфигурация TREI'!$A$2&amp;"_1.DIAG_2"</f>
        <v>Диагностика.TREI.CPU_1.DIAG_2</v>
      </c>
      <c r="B1132" s="70">
        <v>11154</v>
      </c>
      <c r="C1132" s="70" t="s">
        <v>4</v>
      </c>
      <c r="D1132" s="144">
        <f>$Q$6</f>
        <v>8</v>
      </c>
    </row>
    <row r="1133" spans="1:4">
      <c r="A1133" s="63" t="str">
        <f>$R$2&amp;"."&amp;'Конфигурация TREI'!$A$2&amp;"_1.DIAG_2"</f>
        <v>Диагностика.TREI.CPU_1.DIAG_2</v>
      </c>
      <c r="B1133" s="64">
        <v>11152</v>
      </c>
      <c r="C1133" s="64" t="s">
        <v>0</v>
      </c>
      <c r="D1133" s="129" t="str">
        <f>$R$6</f>
        <v>Предупреждение</v>
      </c>
    </row>
    <row r="1134" spans="1:4">
      <c r="A1134" s="63" t="str">
        <f>$R$2&amp;"."&amp;'Конфигурация TREI'!$A$2&amp;"_1.DIAG_2"</f>
        <v>Диагностика.TREI.CPU_1.DIAG_2</v>
      </c>
      <c r="B1134" s="64">
        <v>11150</v>
      </c>
      <c r="C1134" s="64" t="s">
        <v>0</v>
      </c>
      <c r="D1134" s="65" t="s">
        <v>798</v>
      </c>
    </row>
    <row r="1135" spans="1:4">
      <c r="A1135" s="63" t="str">
        <f>$R$2&amp;"."&amp;'Конфигурация TREI'!$A$2&amp;"_1.DIAG_2"</f>
        <v>Диагностика.TREI.CPU_1.DIAG_2</v>
      </c>
      <c r="B1135" s="64">
        <v>11000</v>
      </c>
      <c r="C1135" s="64" t="s">
        <v>5</v>
      </c>
      <c r="D1135" s="65">
        <v>2147483680</v>
      </c>
    </row>
    <row r="1136" spans="1:4">
      <c r="A1136" s="19" t="str">
        <f>$R$2&amp;"."&amp;'Конфигурация TREI'!$A$2&amp;"_1.DIAG_2"</f>
        <v>Диагностика.TREI.CPU_1.DIAG_2</v>
      </c>
      <c r="B1136" s="11">
        <v>7999</v>
      </c>
      <c r="C1136" s="11" t="s">
        <v>0</v>
      </c>
      <c r="D1136" s="20" t="str">
        <f>"#"&amp;$S$2&amp;"#"&amp;$T$2&amp;IF($S$7="","","\")&amp;$S$7&amp;"\"&amp;'Конфигурация TREI'!$A$2&amp;"_1\DIAG_2"</f>
        <v>#2#treiOPCDA.CoOPCserv.1\pcmaster\CPU_1\DIAG_2</v>
      </c>
    </row>
    <row r="1137" spans="1:4">
      <c r="A1137" s="19" t="str">
        <f>$R$2&amp;"."&amp;'Конфигурация TREI'!$A$2&amp;"_1.DIAG_2"</f>
        <v>Диагностика.TREI.CPU_1.DIAG_2</v>
      </c>
      <c r="B1137" s="11">
        <v>7998</v>
      </c>
      <c r="C1137" s="11" t="s">
        <v>6</v>
      </c>
      <c r="D1137" s="20">
        <v>1</v>
      </c>
    </row>
    <row r="1138" spans="1:4">
      <c r="A1138" s="19" t="str">
        <f>$R$2&amp;"."&amp;'Конфигурация TREI'!$A$2&amp;"_1.DIAG_2"</f>
        <v>Диагностика.TREI.CPU_1.DIAG_2</v>
      </c>
      <c r="B1138" s="11">
        <v>101</v>
      </c>
      <c r="C1138" s="11" t="s">
        <v>0</v>
      </c>
      <c r="D1138" s="20" t="s">
        <v>798</v>
      </c>
    </row>
    <row r="1139" spans="1:4">
      <c r="A1139" s="19" t="str">
        <f>$R$2&amp;"."&amp;'Конфигурация TREI'!$A$2&amp;"_1.DIAG_2"</f>
        <v>Диагностика.TREI.CPU_1.DIAG_2</v>
      </c>
      <c r="B1139" s="11">
        <v>3</v>
      </c>
      <c r="C1139" s="11" t="s">
        <v>1</v>
      </c>
      <c r="D1139" s="20">
        <v>192</v>
      </c>
    </row>
    <row r="1140" spans="1:4">
      <c r="A1140" s="19" t="str">
        <f>$R$2&amp;"."&amp;'Конфигурация TREI'!$A$2&amp;"_1.DIAG_2"</f>
        <v>Диагностика.TREI.CPU_1.DIAG_2</v>
      </c>
      <c r="B1140" s="11">
        <v>2</v>
      </c>
      <c r="C1140" s="11" t="s">
        <v>2</v>
      </c>
      <c r="D1140" s="20" t="s">
        <v>3</v>
      </c>
    </row>
    <row r="1141" spans="1:4">
      <c r="A1141" s="21" t="str">
        <f>$R$2&amp;"."&amp;'Конфигурация TREI'!$A$2&amp;"_1.DIAG_2"</f>
        <v>Диагностика.TREI.CPU_1.DIAG_2</v>
      </c>
      <c r="B1141" s="8">
        <v>1</v>
      </c>
      <c r="C1141" s="8" t="s">
        <v>1</v>
      </c>
      <c r="D1141" s="22">
        <v>11</v>
      </c>
    </row>
    <row r="1142" spans="1:4">
      <c r="A1142" s="69" t="str">
        <f>$R$2&amp;"."&amp;'Конфигурация TREI'!$A$2&amp;"_1.DIAG_3"</f>
        <v>Диагностика.TREI.CPU_1.DIAG_3</v>
      </c>
      <c r="B1142" s="70">
        <v>11154</v>
      </c>
      <c r="C1142" s="70" t="s">
        <v>4</v>
      </c>
      <c r="D1142" s="144">
        <f>$Q$6</f>
        <v>8</v>
      </c>
    </row>
    <row r="1143" spans="1:4">
      <c r="A1143" s="63" t="str">
        <f>$R$2&amp;"."&amp;'Конфигурация TREI'!$A$2&amp;"_1.DIAG_3"</f>
        <v>Диагностика.TREI.CPU_1.DIAG_3</v>
      </c>
      <c r="B1143" s="64">
        <v>11152</v>
      </c>
      <c r="C1143" s="64" t="s">
        <v>0</v>
      </c>
      <c r="D1143" s="129" t="str">
        <f>$R$6</f>
        <v>Предупреждение</v>
      </c>
    </row>
    <row r="1144" spans="1:4">
      <c r="A1144" s="63" t="str">
        <f>$R$2&amp;"."&amp;'Конфигурация TREI'!$A$2&amp;"_1.DIAG_3"</f>
        <v>Диагностика.TREI.CPU_1.DIAG_3</v>
      </c>
      <c r="B1144" s="64">
        <v>11150</v>
      </c>
      <c r="C1144" s="64" t="s">
        <v>0</v>
      </c>
      <c r="D1144" s="65" t="s">
        <v>799</v>
      </c>
    </row>
    <row r="1145" spans="1:4">
      <c r="A1145" s="63" t="str">
        <f>$R$2&amp;"."&amp;'Конфигурация TREI'!$A$2&amp;"_1.DIAG_3"</f>
        <v>Диагностика.TREI.CPU_1.DIAG_3</v>
      </c>
      <c r="B1145" s="64">
        <v>11000</v>
      </c>
      <c r="C1145" s="64" t="s">
        <v>5</v>
      </c>
      <c r="D1145" s="65">
        <v>2147483680</v>
      </c>
    </row>
    <row r="1146" spans="1:4">
      <c r="A1146" s="19" t="str">
        <f>$R$2&amp;"."&amp;'Конфигурация TREI'!$A$2&amp;"_1.DIAG_3"</f>
        <v>Диагностика.TREI.CPU_1.DIAG_3</v>
      </c>
      <c r="B1146" s="11">
        <v>7999</v>
      </c>
      <c r="C1146" s="11" t="s">
        <v>0</v>
      </c>
      <c r="D1146" s="20" t="str">
        <f>"#"&amp;$S$2&amp;"#"&amp;$T$2&amp;IF($S$7="","","\")&amp;$S$7&amp;"\"&amp;'Конфигурация TREI'!$A$2&amp;"_1\DIAG_3"</f>
        <v>#2#treiOPCDA.CoOPCserv.1\pcmaster\CPU_1\DIAG_3</v>
      </c>
    </row>
    <row r="1147" spans="1:4">
      <c r="A1147" s="19" t="str">
        <f>$R$2&amp;"."&amp;'Конфигурация TREI'!$A$2&amp;"_1.DIAG_3"</f>
        <v>Диагностика.TREI.CPU_1.DIAG_3</v>
      </c>
      <c r="B1147" s="11">
        <v>7998</v>
      </c>
      <c r="C1147" s="11" t="s">
        <v>6</v>
      </c>
      <c r="D1147" s="20">
        <v>1</v>
      </c>
    </row>
    <row r="1148" spans="1:4">
      <c r="A1148" s="19" t="str">
        <f>$R$2&amp;"."&amp;'Конфигурация TREI'!$A$2&amp;"_1.DIAG_3"</f>
        <v>Диагностика.TREI.CPU_1.DIAG_3</v>
      </c>
      <c r="B1148" s="11">
        <v>101</v>
      </c>
      <c r="C1148" s="11" t="s">
        <v>0</v>
      </c>
      <c r="D1148" s="20" t="s">
        <v>799</v>
      </c>
    </row>
    <row r="1149" spans="1:4">
      <c r="A1149" s="19" t="str">
        <f>$R$2&amp;"."&amp;'Конфигурация TREI'!$A$2&amp;"_1.DIAG_3"</f>
        <v>Диагностика.TREI.CPU_1.DIAG_3</v>
      </c>
      <c r="B1149" s="11">
        <v>3</v>
      </c>
      <c r="C1149" s="11" t="s">
        <v>1</v>
      </c>
      <c r="D1149" s="20">
        <v>192</v>
      </c>
    </row>
    <row r="1150" spans="1:4">
      <c r="A1150" s="19" t="str">
        <f>$R$2&amp;"."&amp;'Конфигурация TREI'!$A$2&amp;"_1.DIAG_3"</f>
        <v>Диагностика.TREI.CPU_1.DIAG_3</v>
      </c>
      <c r="B1150" s="11">
        <v>2</v>
      </c>
      <c r="C1150" s="11" t="s">
        <v>2</v>
      </c>
      <c r="D1150" s="20" t="s">
        <v>3</v>
      </c>
    </row>
    <row r="1151" spans="1:4">
      <c r="A1151" s="21" t="str">
        <f>$R$2&amp;"."&amp;'Конфигурация TREI'!$A$2&amp;"_1.DIAG_3"</f>
        <v>Диагностика.TREI.CPU_1.DIAG_3</v>
      </c>
      <c r="B1151" s="8">
        <v>1</v>
      </c>
      <c r="C1151" s="8" t="s">
        <v>1</v>
      </c>
      <c r="D1151" s="22">
        <v>11</v>
      </c>
    </row>
    <row r="1152" spans="1:4">
      <c r="A1152" s="69" t="str">
        <f>$R$2&amp;"."&amp;'Конфигурация TREI'!$A$2&amp;"_1.DIAG_4"</f>
        <v>Диагностика.TREI.CPU_1.DIAG_4</v>
      </c>
      <c r="B1152" s="70">
        <v>11154</v>
      </c>
      <c r="C1152" s="70" t="s">
        <v>4</v>
      </c>
      <c r="D1152" s="144">
        <f>$Q$6</f>
        <v>8</v>
      </c>
    </row>
    <row r="1153" spans="1:4">
      <c r="A1153" s="63" t="str">
        <f>$R$2&amp;"."&amp;'Конфигурация TREI'!$A$2&amp;"_1.DIAG_4"</f>
        <v>Диагностика.TREI.CPU_1.DIAG_4</v>
      </c>
      <c r="B1153" s="64">
        <v>11152</v>
      </c>
      <c r="C1153" s="64" t="s">
        <v>0</v>
      </c>
      <c r="D1153" s="129" t="str">
        <f>$R$6</f>
        <v>Предупреждение</v>
      </c>
    </row>
    <row r="1154" spans="1:4">
      <c r="A1154" s="63" t="str">
        <f>$R$2&amp;"."&amp;'Конфигурация TREI'!$A$2&amp;"_1.DIAG_4"</f>
        <v>Диагностика.TREI.CPU_1.DIAG_4</v>
      </c>
      <c r="B1154" s="64">
        <v>11150</v>
      </c>
      <c r="C1154" s="64" t="s">
        <v>0</v>
      </c>
      <c r="D1154" s="65" t="s">
        <v>1391</v>
      </c>
    </row>
    <row r="1155" spans="1:4">
      <c r="A1155" s="63" t="str">
        <f>$R$2&amp;"."&amp;'Конфигурация TREI'!$A$2&amp;"_1.DIAG_4"</f>
        <v>Диагностика.TREI.CPU_1.DIAG_4</v>
      </c>
      <c r="B1155" s="64">
        <v>11000</v>
      </c>
      <c r="C1155" s="64" t="s">
        <v>5</v>
      </c>
      <c r="D1155" s="65">
        <v>2147483680</v>
      </c>
    </row>
    <row r="1156" spans="1:4">
      <c r="A1156" s="19" t="str">
        <f>$R$2&amp;"."&amp;'Конфигурация TREI'!$A$2&amp;"_1.DIAG_4"</f>
        <v>Диагностика.TREI.CPU_1.DIAG_4</v>
      </c>
      <c r="B1156" s="11">
        <v>7999</v>
      </c>
      <c r="C1156" s="11" t="s">
        <v>0</v>
      </c>
      <c r="D1156" s="20" t="str">
        <f>"#"&amp;$S$2&amp;"#"&amp;$T$2&amp;IF($S$7="","","\")&amp;$S$7&amp;"\"&amp;'Конфигурация TREI'!$A$2&amp;"_1\DIAG_4"</f>
        <v>#2#treiOPCDA.CoOPCserv.1\pcmaster\CPU_1\DIAG_4</v>
      </c>
    </row>
    <row r="1157" spans="1:4">
      <c r="A1157" s="19" t="str">
        <f>$R$2&amp;"."&amp;'Конфигурация TREI'!$A$2&amp;"_1.DIAG_4"</f>
        <v>Диагностика.TREI.CPU_1.DIAG_4</v>
      </c>
      <c r="B1157" s="11">
        <v>7998</v>
      </c>
      <c r="C1157" s="11" t="s">
        <v>6</v>
      </c>
      <c r="D1157" s="20">
        <v>1</v>
      </c>
    </row>
    <row r="1158" spans="1:4">
      <c r="A1158" s="19" t="str">
        <f>$R$2&amp;"."&amp;'Конфигурация TREI'!$A$2&amp;"_1.DIAG_4"</f>
        <v>Диагностика.TREI.CPU_1.DIAG_4</v>
      </c>
      <c r="B1158" s="11">
        <v>101</v>
      </c>
      <c r="C1158" s="11" t="s">
        <v>0</v>
      </c>
      <c r="D1158" s="20" t="s">
        <v>1391</v>
      </c>
    </row>
    <row r="1159" spans="1:4">
      <c r="A1159" s="19" t="str">
        <f>$R$2&amp;"."&amp;'Конфигурация TREI'!$A$2&amp;"_1.DIAG_4"</f>
        <v>Диагностика.TREI.CPU_1.DIAG_4</v>
      </c>
      <c r="B1159" s="11">
        <v>3</v>
      </c>
      <c r="C1159" s="11" t="s">
        <v>1</v>
      </c>
      <c r="D1159" s="20">
        <v>192</v>
      </c>
    </row>
    <row r="1160" spans="1:4">
      <c r="A1160" s="19" t="str">
        <f>$R$2&amp;"."&amp;'Конфигурация TREI'!$A$2&amp;"_1.DIAG_4"</f>
        <v>Диагностика.TREI.CPU_1.DIAG_4</v>
      </c>
      <c r="B1160" s="11">
        <v>2</v>
      </c>
      <c r="C1160" s="11" t="s">
        <v>2</v>
      </c>
      <c r="D1160" s="20" t="s">
        <v>3</v>
      </c>
    </row>
    <row r="1161" spans="1:4">
      <c r="A1161" s="21" t="str">
        <f>$R$2&amp;"."&amp;'Конфигурация TREI'!$A$2&amp;"_1.DIAG_4"</f>
        <v>Диагностика.TREI.CPU_1.DIAG_4</v>
      </c>
      <c r="B1161" s="8">
        <v>1</v>
      </c>
      <c r="C1161" s="8" t="s">
        <v>1</v>
      </c>
      <c r="D1161" s="22">
        <v>11</v>
      </c>
    </row>
    <row r="1162" spans="1:4">
      <c r="A1162" s="69" t="str">
        <f>$R$2&amp;"."&amp;'Конфигурация TREI'!$A$2&amp;"_1.DIAG_6"</f>
        <v>Диагностика.TREI.CPU_1.DIAG_6</v>
      </c>
      <c r="B1162" s="70">
        <v>11154</v>
      </c>
      <c r="C1162" s="70" t="s">
        <v>4</v>
      </c>
      <c r="D1162" s="144">
        <f>$Q$6</f>
        <v>8</v>
      </c>
    </row>
    <row r="1163" spans="1:4">
      <c r="A1163" s="63" t="str">
        <f>$R$2&amp;"."&amp;'Конфигурация TREI'!$A$2&amp;"_1.DIAG_6"</f>
        <v>Диагностика.TREI.CPU_1.DIAG_6</v>
      </c>
      <c r="B1163" s="64">
        <v>11152</v>
      </c>
      <c r="C1163" s="64" t="s">
        <v>0</v>
      </c>
      <c r="D1163" s="129" t="str">
        <f>$R$6</f>
        <v>Предупреждение</v>
      </c>
    </row>
    <row r="1164" spans="1:4">
      <c r="A1164" s="63" t="str">
        <f>$R$2&amp;"."&amp;'Конфигурация TREI'!$A$2&amp;"_1.DIAG_6"</f>
        <v>Диагностика.TREI.CPU_1.DIAG_6</v>
      </c>
      <c r="B1164" s="64">
        <v>11150</v>
      </c>
      <c r="C1164" s="64" t="s">
        <v>0</v>
      </c>
      <c r="D1164" s="65" t="s">
        <v>800</v>
      </c>
    </row>
    <row r="1165" spans="1:4">
      <c r="A1165" s="63" t="str">
        <f>$R$2&amp;"."&amp;'Конфигурация TREI'!$A$2&amp;"_1.DIAG_6"</f>
        <v>Диагностика.TREI.CPU_1.DIAG_6</v>
      </c>
      <c r="B1165" s="64">
        <v>11000</v>
      </c>
      <c r="C1165" s="64" t="s">
        <v>5</v>
      </c>
      <c r="D1165" s="65">
        <v>2147483680</v>
      </c>
    </row>
    <row r="1166" spans="1:4">
      <c r="A1166" s="19" t="str">
        <f>$R$2&amp;"."&amp;'Конфигурация TREI'!$A$2&amp;"_1.DIAG_6"</f>
        <v>Диагностика.TREI.CPU_1.DIAG_6</v>
      </c>
      <c r="B1166" s="11">
        <v>7999</v>
      </c>
      <c r="C1166" s="11" t="s">
        <v>0</v>
      </c>
      <c r="D1166" s="20" t="str">
        <f>"#"&amp;$S$2&amp;"#"&amp;$T$2&amp;IF($S$7="","","\")&amp;$S$7&amp;"\"&amp;'Конфигурация TREI'!$A$2&amp;"_1\DIAG_6"</f>
        <v>#2#treiOPCDA.CoOPCserv.1\pcmaster\CPU_1\DIAG_6</v>
      </c>
    </row>
    <row r="1167" spans="1:4">
      <c r="A1167" s="19" t="str">
        <f>$R$2&amp;"."&amp;'Конфигурация TREI'!$A$2&amp;"_1.DIAG_6"</f>
        <v>Диагностика.TREI.CPU_1.DIAG_6</v>
      </c>
      <c r="B1167" s="11">
        <v>7998</v>
      </c>
      <c r="C1167" s="11" t="s">
        <v>6</v>
      </c>
      <c r="D1167" s="20">
        <v>1</v>
      </c>
    </row>
    <row r="1168" spans="1:4">
      <c r="A1168" s="19" t="str">
        <f>$R$2&amp;"."&amp;'Конфигурация TREI'!$A$2&amp;"_1.DIAG_6"</f>
        <v>Диагностика.TREI.CPU_1.DIAG_6</v>
      </c>
      <c r="B1168" s="11">
        <v>101</v>
      </c>
      <c r="C1168" s="11" t="s">
        <v>0</v>
      </c>
      <c r="D1168" s="20" t="s">
        <v>800</v>
      </c>
    </row>
    <row r="1169" spans="1:16">
      <c r="A1169" s="19" t="str">
        <f>$R$2&amp;"."&amp;'Конфигурация TREI'!$A$2&amp;"_1.DIAG_6"</f>
        <v>Диагностика.TREI.CPU_1.DIAG_6</v>
      </c>
      <c r="B1169" s="11">
        <v>3</v>
      </c>
      <c r="C1169" s="11" t="s">
        <v>1</v>
      </c>
      <c r="D1169" s="20">
        <v>192</v>
      </c>
    </row>
    <row r="1170" spans="1:16">
      <c r="A1170" s="19" t="str">
        <f>$R$2&amp;"."&amp;'Конфигурация TREI'!$A$2&amp;"_1.DIAG_6"</f>
        <v>Диагностика.TREI.CPU_1.DIAG_6</v>
      </c>
      <c r="B1170" s="11">
        <v>2</v>
      </c>
      <c r="C1170" s="11" t="s">
        <v>2</v>
      </c>
      <c r="D1170" s="20" t="s">
        <v>3</v>
      </c>
      <c r="E1170" s="1"/>
      <c r="F1170" s="1"/>
      <c r="G1170" s="1"/>
      <c r="H1170" s="1"/>
      <c r="I1170" s="1"/>
      <c r="J1170" s="1"/>
      <c r="K1170" s="1"/>
      <c r="L1170" s="1"/>
      <c r="M1170" s="1"/>
      <c r="N1170" s="1"/>
      <c r="O1170" s="1"/>
      <c r="P1170" s="1"/>
    </row>
    <row r="1171" spans="1:16">
      <c r="A1171" s="21" t="str">
        <f>$R$2&amp;"."&amp;'Конфигурация TREI'!$A$2&amp;"_1.DIAG_6"</f>
        <v>Диагностика.TREI.CPU_1.DIAG_6</v>
      </c>
      <c r="B1171" s="8">
        <v>1</v>
      </c>
      <c r="C1171" s="8" t="s">
        <v>1</v>
      </c>
      <c r="D1171" s="22">
        <v>11</v>
      </c>
      <c r="E1171" s="1"/>
      <c r="F1171" s="1"/>
      <c r="G1171" s="1"/>
      <c r="H1171" s="1"/>
      <c r="I1171" s="1"/>
      <c r="J1171" s="1"/>
      <c r="K1171" s="1"/>
      <c r="L1171" s="1"/>
      <c r="M1171" s="1"/>
      <c r="N1171" s="1"/>
      <c r="O1171" s="1"/>
      <c r="P1171" s="1"/>
    </row>
    <row r="1172" spans="1:16">
      <c r="A1172" s="69" t="str">
        <f>$R$2&amp;"."&amp;'Конфигурация TREI'!$A$2&amp;"_1.DIAG_7"</f>
        <v>Диагностика.TREI.CPU_1.DIAG_7</v>
      </c>
      <c r="B1172" s="70">
        <v>11154</v>
      </c>
      <c r="C1172" s="70" t="s">
        <v>4</v>
      </c>
      <c r="D1172" s="144">
        <f>$Q$6</f>
        <v>8</v>
      </c>
      <c r="E1172" s="1"/>
      <c r="F1172" s="1"/>
      <c r="G1172" s="1"/>
      <c r="H1172" s="1"/>
      <c r="I1172" s="1"/>
      <c r="J1172" s="1"/>
      <c r="K1172" s="1"/>
      <c r="L1172" s="1"/>
      <c r="M1172" s="1"/>
      <c r="N1172" s="1"/>
      <c r="O1172" s="1"/>
      <c r="P1172" s="1"/>
    </row>
    <row r="1173" spans="1:16">
      <c r="A1173" s="63" t="str">
        <f>$R$2&amp;"."&amp;'Конфигурация TREI'!$A$2&amp;"_1.DIAG_7"</f>
        <v>Диагностика.TREI.CPU_1.DIAG_7</v>
      </c>
      <c r="B1173" s="64">
        <v>11152</v>
      </c>
      <c r="C1173" s="64" t="s">
        <v>0</v>
      </c>
      <c r="D1173" s="129" t="str">
        <f>$R$6</f>
        <v>Предупреждение</v>
      </c>
      <c r="E1173" s="1"/>
      <c r="F1173" s="1"/>
      <c r="G1173" s="1"/>
      <c r="H1173" s="1"/>
      <c r="I1173" s="1"/>
      <c r="J1173" s="1"/>
      <c r="K1173" s="1"/>
      <c r="L1173" s="1"/>
      <c r="M1173" s="1"/>
      <c r="N1173" s="1"/>
      <c r="O1173" s="1"/>
      <c r="P1173" s="1"/>
    </row>
    <row r="1174" spans="1:16">
      <c r="A1174" s="63" t="str">
        <f>$R$2&amp;"."&amp;'Конфигурация TREI'!$A$2&amp;"_1.DIAG_7"</f>
        <v>Диагностика.TREI.CPU_1.DIAG_7</v>
      </c>
      <c r="B1174" s="64">
        <v>11150</v>
      </c>
      <c r="C1174" s="64" t="s">
        <v>0</v>
      </c>
      <c r="D1174" s="65" t="s">
        <v>801</v>
      </c>
      <c r="E1174" s="1"/>
      <c r="F1174" s="1"/>
      <c r="G1174" s="1"/>
      <c r="H1174" s="1"/>
      <c r="I1174" s="1"/>
      <c r="J1174" s="1"/>
      <c r="K1174" s="1"/>
      <c r="L1174" s="1"/>
      <c r="M1174" s="1"/>
      <c r="N1174" s="1"/>
      <c r="O1174" s="1"/>
      <c r="P1174" s="1"/>
    </row>
    <row r="1175" spans="1:16">
      <c r="A1175" s="63" t="str">
        <f>$R$2&amp;"."&amp;'Конфигурация TREI'!$A$2&amp;"_1.DIAG_7"</f>
        <v>Диагностика.TREI.CPU_1.DIAG_7</v>
      </c>
      <c r="B1175" s="64">
        <v>11000</v>
      </c>
      <c r="C1175" s="64" t="s">
        <v>5</v>
      </c>
      <c r="D1175" s="65">
        <v>2147483680</v>
      </c>
      <c r="E1175" s="1"/>
      <c r="F1175" s="1"/>
      <c r="G1175" s="1"/>
      <c r="H1175" s="1"/>
      <c r="I1175" s="1"/>
      <c r="J1175" s="1"/>
      <c r="K1175" s="1"/>
      <c r="L1175" s="1"/>
      <c r="M1175" s="1"/>
      <c r="N1175" s="1"/>
      <c r="O1175" s="1"/>
      <c r="P1175" s="1"/>
    </row>
    <row r="1176" spans="1:16">
      <c r="A1176" s="19" t="str">
        <f>$R$2&amp;"."&amp;'Конфигурация TREI'!$A$2&amp;"_1.DIAG_7"</f>
        <v>Диагностика.TREI.CPU_1.DIAG_7</v>
      </c>
      <c r="B1176" s="11">
        <v>7999</v>
      </c>
      <c r="C1176" s="11" t="s">
        <v>0</v>
      </c>
      <c r="D1176" s="20" t="str">
        <f>"#"&amp;$S$2&amp;"#"&amp;$T$2&amp;IF($S$7="","","\")&amp;$S$7&amp;"\"&amp;'Конфигурация TREI'!$A$2&amp;"_1\DIAG_7"</f>
        <v>#2#treiOPCDA.CoOPCserv.1\pcmaster\CPU_1\DIAG_7</v>
      </c>
      <c r="E1176" s="1"/>
      <c r="F1176" s="1"/>
      <c r="G1176" s="1"/>
      <c r="H1176" s="1"/>
      <c r="I1176" s="1"/>
      <c r="J1176" s="1"/>
      <c r="K1176" s="1"/>
      <c r="L1176" s="1"/>
      <c r="M1176" s="1"/>
      <c r="N1176" s="1"/>
      <c r="O1176" s="1"/>
      <c r="P1176" s="1"/>
    </row>
    <row r="1177" spans="1:16">
      <c r="A1177" s="19" t="str">
        <f>$R$2&amp;"."&amp;'Конфигурация TREI'!$A$2&amp;"_1.DIAG_7"</f>
        <v>Диагностика.TREI.CPU_1.DIAG_7</v>
      </c>
      <c r="B1177" s="11">
        <v>7998</v>
      </c>
      <c r="C1177" s="11" t="s">
        <v>6</v>
      </c>
      <c r="D1177" s="20">
        <v>1</v>
      </c>
      <c r="E1177" s="1"/>
      <c r="F1177" s="1"/>
      <c r="G1177" s="1"/>
      <c r="H1177" s="1"/>
      <c r="I1177" s="1"/>
      <c r="J1177" s="1"/>
      <c r="K1177" s="1"/>
      <c r="L1177" s="1"/>
      <c r="M1177" s="1"/>
      <c r="N1177" s="1"/>
      <c r="O1177" s="1"/>
      <c r="P1177" s="1"/>
    </row>
    <row r="1178" spans="1:16">
      <c r="A1178" s="19" t="str">
        <f>$R$2&amp;"."&amp;'Конфигурация TREI'!$A$2&amp;"_1.DIAG_7"</f>
        <v>Диагностика.TREI.CPU_1.DIAG_7</v>
      </c>
      <c r="B1178" s="11">
        <v>101</v>
      </c>
      <c r="C1178" s="11" t="s">
        <v>0</v>
      </c>
      <c r="D1178" s="20" t="s">
        <v>801</v>
      </c>
      <c r="E1178" s="1"/>
      <c r="F1178" s="1"/>
      <c r="G1178" s="1"/>
      <c r="H1178" s="1"/>
      <c r="I1178" s="1"/>
      <c r="J1178" s="1"/>
      <c r="K1178" s="1"/>
      <c r="L1178" s="1"/>
      <c r="M1178" s="1"/>
      <c r="N1178" s="1"/>
      <c r="O1178" s="1"/>
      <c r="P1178" s="1"/>
    </row>
    <row r="1179" spans="1:16">
      <c r="A1179" s="19" t="str">
        <f>$R$2&amp;"."&amp;'Конфигурация TREI'!$A$2&amp;"_1.DIAG_7"</f>
        <v>Диагностика.TREI.CPU_1.DIAG_7</v>
      </c>
      <c r="B1179" s="11">
        <v>3</v>
      </c>
      <c r="C1179" s="11" t="s">
        <v>1</v>
      </c>
      <c r="D1179" s="20">
        <v>192</v>
      </c>
      <c r="E1179" s="1"/>
      <c r="F1179" s="1"/>
      <c r="G1179" s="1"/>
      <c r="H1179" s="1"/>
      <c r="I1179" s="1"/>
      <c r="J1179" s="1"/>
      <c r="K1179" s="1"/>
      <c r="L1179" s="1"/>
      <c r="M1179" s="1"/>
      <c r="N1179" s="1"/>
      <c r="O1179" s="1"/>
      <c r="P1179" s="1"/>
    </row>
    <row r="1180" spans="1:16">
      <c r="A1180" s="19" t="str">
        <f>$R$2&amp;"."&amp;'Конфигурация TREI'!$A$2&amp;"_1.DIAG_7"</f>
        <v>Диагностика.TREI.CPU_1.DIAG_7</v>
      </c>
      <c r="B1180" s="11">
        <v>2</v>
      </c>
      <c r="C1180" s="11" t="s">
        <v>2</v>
      </c>
      <c r="D1180" s="20" t="s">
        <v>3</v>
      </c>
    </row>
    <row r="1181" spans="1:16">
      <c r="A1181" s="21" t="str">
        <f>$R$2&amp;"."&amp;'Конфигурация TREI'!$A$2&amp;"_1.DIAG_7"</f>
        <v>Диагностика.TREI.CPU_1.DIAG_7</v>
      </c>
      <c r="B1181" s="8">
        <v>1</v>
      </c>
      <c r="C1181" s="8" t="s">
        <v>1</v>
      </c>
      <c r="D1181" s="22">
        <v>11</v>
      </c>
    </row>
    <row r="1182" spans="1:16">
      <c r="A1182" s="69" t="str">
        <f>$R$2&amp;"."&amp;'Конфигурация TREI'!$A$2&amp;"_1.DIAG_8"</f>
        <v>Диагностика.TREI.CPU_1.DIAG_8</v>
      </c>
      <c r="B1182" s="70">
        <v>11154</v>
      </c>
      <c r="C1182" s="70" t="s">
        <v>4</v>
      </c>
      <c r="D1182" s="144">
        <f>$Q$6</f>
        <v>8</v>
      </c>
    </row>
    <row r="1183" spans="1:16">
      <c r="A1183" s="63" t="str">
        <f>$R$2&amp;"."&amp;'Конфигурация TREI'!$A$2&amp;"_1.DIAG_8"</f>
        <v>Диагностика.TREI.CPU_1.DIAG_8</v>
      </c>
      <c r="B1183" s="64">
        <v>11152</v>
      </c>
      <c r="C1183" s="64" t="s">
        <v>0</v>
      </c>
      <c r="D1183" s="129" t="str">
        <f>$R$6</f>
        <v>Предупреждение</v>
      </c>
    </row>
    <row r="1184" spans="1:16">
      <c r="A1184" s="63" t="str">
        <f>$R$2&amp;"."&amp;'Конфигурация TREI'!$A$2&amp;"_1.DIAG_8"</f>
        <v>Диагностика.TREI.CPU_1.DIAG_8</v>
      </c>
      <c r="B1184" s="64">
        <v>11150</v>
      </c>
      <c r="C1184" s="64" t="s">
        <v>0</v>
      </c>
      <c r="D1184" s="65" t="s">
        <v>802</v>
      </c>
    </row>
    <row r="1185" spans="1:4">
      <c r="A1185" s="63" t="str">
        <f>$R$2&amp;"."&amp;'Конфигурация TREI'!$A$2&amp;"_1.DIAG_8"</f>
        <v>Диагностика.TREI.CPU_1.DIAG_8</v>
      </c>
      <c r="B1185" s="64">
        <v>11000</v>
      </c>
      <c r="C1185" s="64" t="s">
        <v>5</v>
      </c>
      <c r="D1185" s="65">
        <v>2147483680</v>
      </c>
    </row>
    <row r="1186" spans="1:4">
      <c r="A1186" s="19" t="str">
        <f>$R$2&amp;"."&amp;'Конфигурация TREI'!$A$2&amp;"_1.DIAG_8"</f>
        <v>Диагностика.TREI.CPU_1.DIAG_8</v>
      </c>
      <c r="B1186" s="11">
        <v>7999</v>
      </c>
      <c r="C1186" s="11" t="s">
        <v>0</v>
      </c>
      <c r="D1186" s="20" t="str">
        <f>"#"&amp;$S$2&amp;"#"&amp;$T$2&amp;IF($S$7="","","\")&amp;$S$7&amp;"\"&amp;'Конфигурация TREI'!$A$2&amp;"_1\DIAG_8"</f>
        <v>#2#treiOPCDA.CoOPCserv.1\pcmaster\CPU_1\DIAG_8</v>
      </c>
    </row>
    <row r="1187" spans="1:4">
      <c r="A1187" s="19" t="str">
        <f>$R$2&amp;"."&amp;'Конфигурация TREI'!$A$2&amp;"_1.DIAG_8"</f>
        <v>Диагностика.TREI.CPU_1.DIAG_8</v>
      </c>
      <c r="B1187" s="11">
        <v>7998</v>
      </c>
      <c r="C1187" s="11" t="s">
        <v>6</v>
      </c>
      <c r="D1187" s="20">
        <v>1</v>
      </c>
    </row>
    <row r="1188" spans="1:4">
      <c r="A1188" s="19" t="str">
        <f>$R$2&amp;"."&amp;'Конфигурация TREI'!$A$2&amp;"_1.DIAG_8"</f>
        <v>Диагностика.TREI.CPU_1.DIAG_8</v>
      </c>
      <c r="B1188" s="11">
        <v>101</v>
      </c>
      <c r="C1188" s="11" t="s">
        <v>0</v>
      </c>
      <c r="D1188" s="20" t="s">
        <v>802</v>
      </c>
    </row>
    <row r="1189" spans="1:4">
      <c r="A1189" s="19" t="str">
        <f>$R$2&amp;"."&amp;'Конфигурация TREI'!$A$2&amp;"_1.DIAG_8"</f>
        <v>Диагностика.TREI.CPU_1.DIAG_8</v>
      </c>
      <c r="B1189" s="11">
        <v>3</v>
      </c>
      <c r="C1189" s="11" t="s">
        <v>1</v>
      </c>
      <c r="D1189" s="20">
        <v>192</v>
      </c>
    </row>
    <row r="1190" spans="1:4">
      <c r="A1190" s="19" t="str">
        <f>$R$2&amp;"."&amp;'Конфигурация TREI'!$A$2&amp;"_1.DIAG_8"</f>
        <v>Диагностика.TREI.CPU_1.DIAG_8</v>
      </c>
      <c r="B1190" s="11">
        <v>2</v>
      </c>
      <c r="C1190" s="11" t="s">
        <v>2</v>
      </c>
      <c r="D1190" s="20" t="s">
        <v>3</v>
      </c>
    </row>
    <row r="1191" spans="1:4">
      <c r="A1191" s="21" t="str">
        <f>$R$2&amp;"."&amp;'Конфигурация TREI'!$A$2&amp;"_1.DIAG_8"</f>
        <v>Диагностика.TREI.CPU_1.DIAG_8</v>
      </c>
      <c r="B1191" s="8">
        <v>1</v>
      </c>
      <c r="C1191" s="8" t="s">
        <v>1</v>
      </c>
      <c r="D1191" s="22">
        <v>11</v>
      </c>
    </row>
    <row r="1192" spans="1:4">
      <c r="A1192" s="69" t="str">
        <f>$R$2&amp;"."&amp;'Конфигурация TREI'!$A$2&amp;"_1.DIAG_9"</f>
        <v>Диагностика.TREI.CPU_1.DIAG_9</v>
      </c>
      <c r="B1192" s="70">
        <v>11154</v>
      </c>
      <c r="C1192" s="70" t="s">
        <v>4</v>
      </c>
      <c r="D1192" s="144">
        <f>$Q$6</f>
        <v>8</v>
      </c>
    </row>
    <row r="1193" spans="1:4">
      <c r="A1193" s="63" t="str">
        <f>$R$2&amp;"."&amp;'Конфигурация TREI'!$A$2&amp;"_1.DIAG_9"</f>
        <v>Диагностика.TREI.CPU_1.DIAG_9</v>
      </c>
      <c r="B1193" s="64">
        <v>11152</v>
      </c>
      <c r="C1193" s="64" t="s">
        <v>0</v>
      </c>
      <c r="D1193" s="129" t="str">
        <f>$R$6</f>
        <v>Предупреждение</v>
      </c>
    </row>
    <row r="1194" spans="1:4">
      <c r="A1194" s="63" t="str">
        <f>$R$2&amp;"."&amp;'Конфигурация TREI'!$A$2&amp;"_1.DIAG_9"</f>
        <v>Диагностика.TREI.CPU_1.DIAG_9</v>
      </c>
      <c r="B1194" s="64">
        <v>11150</v>
      </c>
      <c r="C1194" s="64" t="s">
        <v>0</v>
      </c>
      <c r="D1194" s="65" t="s">
        <v>803</v>
      </c>
    </row>
    <row r="1195" spans="1:4">
      <c r="A1195" s="63" t="str">
        <f>$R$2&amp;"."&amp;'Конфигурация TREI'!$A$2&amp;"_1.DIAG_9"</f>
        <v>Диагностика.TREI.CPU_1.DIAG_9</v>
      </c>
      <c r="B1195" s="64">
        <v>11000</v>
      </c>
      <c r="C1195" s="64" t="s">
        <v>5</v>
      </c>
      <c r="D1195" s="65">
        <v>2147483680</v>
      </c>
    </row>
    <row r="1196" spans="1:4">
      <c r="A1196" s="19" t="str">
        <f>$R$2&amp;"."&amp;'Конфигурация TREI'!$A$2&amp;"_1.DIAG_9"</f>
        <v>Диагностика.TREI.CPU_1.DIAG_9</v>
      </c>
      <c r="B1196" s="11">
        <v>7999</v>
      </c>
      <c r="C1196" s="11" t="s">
        <v>0</v>
      </c>
      <c r="D1196" s="20" t="str">
        <f>"#"&amp;$S$2&amp;"#"&amp;$T$2&amp;IF($S$7="","","\")&amp;$S$7&amp;"\"&amp;'Конфигурация TREI'!$A$2&amp;"_1\DIAG_9"</f>
        <v>#2#treiOPCDA.CoOPCserv.1\pcmaster\CPU_1\DIAG_9</v>
      </c>
    </row>
    <row r="1197" spans="1:4">
      <c r="A1197" s="19" t="str">
        <f>$R$2&amp;"."&amp;'Конфигурация TREI'!$A$2&amp;"_1.DIAG_9"</f>
        <v>Диагностика.TREI.CPU_1.DIAG_9</v>
      </c>
      <c r="B1197" s="11">
        <v>7998</v>
      </c>
      <c r="C1197" s="11" t="s">
        <v>6</v>
      </c>
      <c r="D1197" s="20">
        <v>1</v>
      </c>
    </row>
    <row r="1198" spans="1:4">
      <c r="A1198" s="19" t="str">
        <f>$R$2&amp;"."&amp;'Конфигурация TREI'!$A$2&amp;"_1.DIAG_9"</f>
        <v>Диагностика.TREI.CPU_1.DIAG_9</v>
      </c>
      <c r="B1198" s="11">
        <v>101</v>
      </c>
      <c r="C1198" s="11" t="s">
        <v>0</v>
      </c>
      <c r="D1198" s="20" t="s">
        <v>803</v>
      </c>
    </row>
    <row r="1199" spans="1:4">
      <c r="A1199" s="19" t="str">
        <f>$R$2&amp;"."&amp;'Конфигурация TREI'!$A$2&amp;"_1.DIAG_9"</f>
        <v>Диагностика.TREI.CPU_1.DIAG_9</v>
      </c>
      <c r="B1199" s="11">
        <v>3</v>
      </c>
      <c r="C1199" s="11" t="s">
        <v>1</v>
      </c>
      <c r="D1199" s="20">
        <v>192</v>
      </c>
    </row>
    <row r="1200" spans="1:4">
      <c r="A1200" s="19" t="str">
        <f>$R$2&amp;"."&amp;'Конфигурация TREI'!$A$2&amp;"_1.DIAG_9"</f>
        <v>Диагностика.TREI.CPU_1.DIAG_9</v>
      </c>
      <c r="B1200" s="11">
        <v>2</v>
      </c>
      <c r="C1200" s="11" t="s">
        <v>2</v>
      </c>
      <c r="D1200" s="20" t="s">
        <v>3</v>
      </c>
    </row>
    <row r="1201" spans="1:4">
      <c r="A1201" s="21" t="str">
        <f>$R$2&amp;"."&amp;'Конфигурация TREI'!$A$2&amp;"_1.DIAG_9"</f>
        <v>Диагностика.TREI.CPU_1.DIAG_9</v>
      </c>
      <c r="B1201" s="8">
        <v>1</v>
      </c>
      <c r="C1201" s="8" t="s">
        <v>1</v>
      </c>
      <c r="D1201" s="22">
        <v>11</v>
      </c>
    </row>
    <row r="1202" spans="1:4">
      <c r="A1202" s="69" t="str">
        <f>$R$2&amp;"."&amp;'Конфигурация TREI'!$A$2&amp;"_1.DIAG_10"</f>
        <v>Диагностика.TREI.CPU_1.DIAG_10</v>
      </c>
      <c r="B1202" s="70">
        <v>11154</v>
      </c>
      <c r="C1202" s="70" t="s">
        <v>4</v>
      </c>
      <c r="D1202" s="144">
        <f>$Q$6</f>
        <v>8</v>
      </c>
    </row>
    <row r="1203" spans="1:4">
      <c r="A1203" s="63" t="str">
        <f>$R$2&amp;"."&amp;'Конфигурация TREI'!$A$2&amp;"_1.DIAG_10"</f>
        <v>Диагностика.TREI.CPU_1.DIAG_10</v>
      </c>
      <c r="B1203" s="64">
        <v>11152</v>
      </c>
      <c r="C1203" s="64" t="s">
        <v>0</v>
      </c>
      <c r="D1203" s="129" t="str">
        <f>$R$6</f>
        <v>Предупреждение</v>
      </c>
    </row>
    <row r="1204" spans="1:4">
      <c r="A1204" s="63" t="str">
        <f>$R$2&amp;"."&amp;'Конфигурация TREI'!$A$2&amp;"_1.DIAG_10"</f>
        <v>Диагностика.TREI.CPU_1.DIAG_10</v>
      </c>
      <c r="B1204" s="64">
        <v>11150</v>
      </c>
      <c r="C1204" s="64" t="s">
        <v>0</v>
      </c>
      <c r="D1204" s="65" t="s">
        <v>804</v>
      </c>
    </row>
    <row r="1205" spans="1:4">
      <c r="A1205" s="63" t="str">
        <f>$R$2&amp;"."&amp;'Конфигурация TREI'!$A$2&amp;"_1.DIAG_10"</f>
        <v>Диагностика.TREI.CPU_1.DIAG_10</v>
      </c>
      <c r="B1205" s="64">
        <v>11000</v>
      </c>
      <c r="C1205" s="64" t="s">
        <v>5</v>
      </c>
      <c r="D1205" s="65">
        <v>2147483680</v>
      </c>
    </row>
    <row r="1206" spans="1:4">
      <c r="A1206" s="19" t="str">
        <f>$R$2&amp;"."&amp;'Конфигурация TREI'!$A$2&amp;"_1.DIAG_10"</f>
        <v>Диагностика.TREI.CPU_1.DIAG_10</v>
      </c>
      <c r="B1206" s="11">
        <v>7999</v>
      </c>
      <c r="C1206" s="11" t="s">
        <v>0</v>
      </c>
      <c r="D1206" s="20" t="str">
        <f>"#"&amp;$S$2&amp;"#"&amp;$T$2&amp;IF($S$7="","","\")&amp;$S$7&amp;"\"&amp;'Конфигурация TREI'!$A$2&amp;"_1\DIAG_10"</f>
        <v>#2#treiOPCDA.CoOPCserv.1\pcmaster\CPU_1\DIAG_10</v>
      </c>
    </row>
    <row r="1207" spans="1:4">
      <c r="A1207" s="19" t="str">
        <f>$R$2&amp;"."&amp;'Конфигурация TREI'!$A$2&amp;"_1.DIAG_10"</f>
        <v>Диагностика.TREI.CPU_1.DIAG_10</v>
      </c>
      <c r="B1207" s="11">
        <v>7998</v>
      </c>
      <c r="C1207" s="11" t="s">
        <v>6</v>
      </c>
      <c r="D1207" s="20">
        <v>1</v>
      </c>
    </row>
    <row r="1208" spans="1:4">
      <c r="A1208" s="19" t="str">
        <f>$R$2&amp;"."&amp;'Конфигурация TREI'!$A$2&amp;"_1.DIAG_10"</f>
        <v>Диагностика.TREI.CPU_1.DIAG_10</v>
      </c>
      <c r="B1208" s="11">
        <v>101</v>
      </c>
      <c r="C1208" s="11" t="s">
        <v>0</v>
      </c>
      <c r="D1208" s="20" t="s">
        <v>804</v>
      </c>
    </row>
    <row r="1209" spans="1:4">
      <c r="A1209" s="19" t="str">
        <f>$R$2&amp;"."&amp;'Конфигурация TREI'!$A$2&amp;"_1.DIAG_10"</f>
        <v>Диагностика.TREI.CPU_1.DIAG_10</v>
      </c>
      <c r="B1209" s="11">
        <v>3</v>
      </c>
      <c r="C1209" s="11" t="s">
        <v>1</v>
      </c>
      <c r="D1209" s="20">
        <v>192</v>
      </c>
    </row>
    <row r="1210" spans="1:4">
      <c r="A1210" s="19" t="str">
        <f>$R$2&amp;"."&amp;'Конфигурация TREI'!$A$2&amp;"_1.DIAG_10"</f>
        <v>Диагностика.TREI.CPU_1.DIAG_10</v>
      </c>
      <c r="B1210" s="11">
        <v>2</v>
      </c>
      <c r="C1210" s="11" t="s">
        <v>2</v>
      </c>
      <c r="D1210" s="20" t="s">
        <v>3</v>
      </c>
    </row>
    <row r="1211" spans="1:4">
      <c r="A1211" s="21" t="str">
        <f>$R$2&amp;"."&amp;'Конфигурация TREI'!$A$2&amp;"_1.DIAG_10"</f>
        <v>Диагностика.TREI.CPU_1.DIAG_10</v>
      </c>
      <c r="B1211" s="8">
        <v>1</v>
      </c>
      <c r="C1211" s="8" t="s">
        <v>1</v>
      </c>
      <c r="D1211" s="22">
        <v>11</v>
      </c>
    </row>
    <row r="1212" spans="1:4">
      <c r="A1212" s="69" t="str">
        <f>$R$2&amp;"."&amp;'Конфигурация TREI'!$A$2&amp;"_1.DIAG_11"</f>
        <v>Диагностика.TREI.CPU_1.DIAG_11</v>
      </c>
      <c r="B1212" s="70">
        <v>11154</v>
      </c>
      <c r="C1212" s="70" t="s">
        <v>4</v>
      </c>
      <c r="D1212" s="144">
        <f>$Q$6</f>
        <v>8</v>
      </c>
    </row>
    <row r="1213" spans="1:4">
      <c r="A1213" s="63" t="str">
        <f>$R$2&amp;"."&amp;'Конфигурация TREI'!$A$2&amp;"_1.DIAG_11"</f>
        <v>Диагностика.TREI.CPU_1.DIAG_11</v>
      </c>
      <c r="B1213" s="64">
        <v>11152</v>
      </c>
      <c r="C1213" s="64" t="s">
        <v>0</v>
      </c>
      <c r="D1213" s="129" t="str">
        <f>$R$6</f>
        <v>Предупреждение</v>
      </c>
    </row>
    <row r="1214" spans="1:4">
      <c r="A1214" s="63" t="str">
        <f>$R$2&amp;"."&amp;'Конфигурация TREI'!$A$2&amp;"_1.DIAG_11"</f>
        <v>Диагностика.TREI.CPU_1.DIAG_11</v>
      </c>
      <c r="B1214" s="64">
        <v>11150</v>
      </c>
      <c r="C1214" s="64" t="s">
        <v>0</v>
      </c>
      <c r="D1214" s="65" t="s">
        <v>805</v>
      </c>
    </row>
    <row r="1215" spans="1:4">
      <c r="A1215" s="63" t="str">
        <f>$R$2&amp;"."&amp;'Конфигурация TREI'!$A$2&amp;"_1.DIAG_11"</f>
        <v>Диагностика.TREI.CPU_1.DIAG_11</v>
      </c>
      <c r="B1215" s="64">
        <v>11000</v>
      </c>
      <c r="C1215" s="64" t="s">
        <v>5</v>
      </c>
      <c r="D1215" s="65">
        <v>2147483680</v>
      </c>
    </row>
    <row r="1216" spans="1:4">
      <c r="A1216" s="19" t="str">
        <f>$R$2&amp;"."&amp;'Конфигурация TREI'!$A$2&amp;"_1.DIAG_11"</f>
        <v>Диагностика.TREI.CPU_1.DIAG_11</v>
      </c>
      <c r="B1216" s="11">
        <v>7999</v>
      </c>
      <c r="C1216" s="11" t="s">
        <v>0</v>
      </c>
      <c r="D1216" s="20" t="str">
        <f>"#"&amp;$S$2&amp;"#"&amp;$T$2&amp;IF($S$7="","","\")&amp;$S$7&amp;"\"&amp;'Конфигурация TREI'!$A$2&amp;"_1\DIAG_11"</f>
        <v>#2#treiOPCDA.CoOPCserv.1\pcmaster\CPU_1\DIAG_11</v>
      </c>
    </row>
    <row r="1217" spans="1:4">
      <c r="A1217" s="19" t="str">
        <f>$R$2&amp;"."&amp;'Конфигурация TREI'!$A$2&amp;"_1.DIAG_11"</f>
        <v>Диагностика.TREI.CPU_1.DIAG_11</v>
      </c>
      <c r="B1217" s="11">
        <v>7998</v>
      </c>
      <c r="C1217" s="11" t="s">
        <v>6</v>
      </c>
      <c r="D1217" s="20">
        <v>1</v>
      </c>
    </row>
    <row r="1218" spans="1:4">
      <c r="A1218" s="19" t="str">
        <f>$R$2&amp;"."&amp;'Конфигурация TREI'!$A$2&amp;"_1.DIAG_11"</f>
        <v>Диагностика.TREI.CPU_1.DIAG_11</v>
      </c>
      <c r="B1218" s="11">
        <v>101</v>
      </c>
      <c r="C1218" s="11" t="s">
        <v>0</v>
      </c>
      <c r="D1218" s="20" t="s">
        <v>805</v>
      </c>
    </row>
    <row r="1219" spans="1:4">
      <c r="A1219" s="19" t="str">
        <f>$R$2&amp;"."&amp;'Конфигурация TREI'!$A$2&amp;"_1.DIAG_11"</f>
        <v>Диагностика.TREI.CPU_1.DIAG_11</v>
      </c>
      <c r="B1219" s="11">
        <v>3</v>
      </c>
      <c r="C1219" s="11" t="s">
        <v>1</v>
      </c>
      <c r="D1219" s="20">
        <v>192</v>
      </c>
    </row>
    <row r="1220" spans="1:4">
      <c r="A1220" s="19" t="str">
        <f>$R$2&amp;"."&amp;'Конфигурация TREI'!$A$2&amp;"_1.DIAG_11"</f>
        <v>Диагностика.TREI.CPU_1.DIAG_11</v>
      </c>
      <c r="B1220" s="11">
        <v>2</v>
      </c>
      <c r="C1220" s="11" t="s">
        <v>2</v>
      </c>
      <c r="D1220" s="20" t="s">
        <v>3</v>
      </c>
    </row>
    <row r="1221" spans="1:4">
      <c r="A1221" s="21" t="str">
        <f>$R$2&amp;"."&amp;'Конфигурация TREI'!$A$2&amp;"_1.DIAG_11"</f>
        <v>Диагностика.TREI.CPU_1.DIAG_11</v>
      </c>
      <c r="B1221" s="8">
        <v>1</v>
      </c>
      <c r="C1221" s="8" t="s">
        <v>1</v>
      </c>
      <c r="D1221" s="22">
        <v>11</v>
      </c>
    </row>
    <row r="1222" spans="1:4">
      <c r="A1222" s="69" t="str">
        <f>$R$2&amp;"."&amp;'Конфигурация TREI'!$A$2&amp;"_1.DIAG_12"</f>
        <v>Диагностика.TREI.CPU_1.DIAG_12</v>
      </c>
      <c r="B1222" s="70">
        <v>11154</v>
      </c>
      <c r="C1222" s="70" t="s">
        <v>4</v>
      </c>
      <c r="D1222" s="144">
        <f>$Q$6</f>
        <v>8</v>
      </c>
    </row>
    <row r="1223" spans="1:4">
      <c r="A1223" s="63" t="str">
        <f>$R$2&amp;"."&amp;'Конфигурация TREI'!$A$2&amp;"_1.DIAG_12"</f>
        <v>Диагностика.TREI.CPU_1.DIAG_12</v>
      </c>
      <c r="B1223" s="64">
        <v>11152</v>
      </c>
      <c r="C1223" s="64" t="s">
        <v>0</v>
      </c>
      <c r="D1223" s="129" t="str">
        <f>$R$6</f>
        <v>Предупреждение</v>
      </c>
    </row>
    <row r="1224" spans="1:4">
      <c r="A1224" s="63" t="str">
        <f>$R$2&amp;"."&amp;'Конфигурация TREI'!$A$2&amp;"_1.DIAG_12"</f>
        <v>Диагностика.TREI.CPU_1.DIAG_12</v>
      </c>
      <c r="B1224" s="64">
        <v>11150</v>
      </c>
      <c r="C1224" s="64" t="s">
        <v>0</v>
      </c>
      <c r="D1224" s="65" t="s">
        <v>806</v>
      </c>
    </row>
    <row r="1225" spans="1:4">
      <c r="A1225" s="63" t="str">
        <f>$R$2&amp;"."&amp;'Конфигурация TREI'!$A$2&amp;"_1.DIAG_12"</f>
        <v>Диагностика.TREI.CPU_1.DIAG_12</v>
      </c>
      <c r="B1225" s="64">
        <v>11000</v>
      </c>
      <c r="C1225" s="64" t="s">
        <v>5</v>
      </c>
      <c r="D1225" s="65">
        <v>2147483680</v>
      </c>
    </row>
    <row r="1226" spans="1:4">
      <c r="A1226" s="19" t="str">
        <f>$R$2&amp;"."&amp;'Конфигурация TREI'!$A$2&amp;"_1.DIAG_12"</f>
        <v>Диагностика.TREI.CPU_1.DIAG_12</v>
      </c>
      <c r="B1226" s="11">
        <v>7999</v>
      </c>
      <c r="C1226" s="11" t="s">
        <v>0</v>
      </c>
      <c r="D1226" s="20" t="str">
        <f>"#"&amp;$S$2&amp;"#"&amp;$T$2&amp;IF($S$7="","","\")&amp;$S$7&amp;"\"&amp;'Конфигурация TREI'!$A$2&amp;"_1\DIAG_12"</f>
        <v>#2#treiOPCDA.CoOPCserv.1\pcmaster\CPU_1\DIAG_12</v>
      </c>
    </row>
    <row r="1227" spans="1:4">
      <c r="A1227" s="19" t="str">
        <f>$R$2&amp;"."&amp;'Конфигурация TREI'!$A$2&amp;"_1.DIAG_12"</f>
        <v>Диагностика.TREI.CPU_1.DIAG_12</v>
      </c>
      <c r="B1227" s="11">
        <v>7998</v>
      </c>
      <c r="C1227" s="11" t="s">
        <v>6</v>
      </c>
      <c r="D1227" s="20">
        <v>1</v>
      </c>
    </row>
    <row r="1228" spans="1:4">
      <c r="A1228" s="19" t="str">
        <f>$R$2&amp;"."&amp;'Конфигурация TREI'!$A$2&amp;"_1.DIAG_12"</f>
        <v>Диагностика.TREI.CPU_1.DIAG_12</v>
      </c>
      <c r="B1228" s="11">
        <v>101</v>
      </c>
      <c r="C1228" s="11" t="s">
        <v>0</v>
      </c>
      <c r="D1228" s="20" t="s">
        <v>806</v>
      </c>
    </row>
    <row r="1229" spans="1:4">
      <c r="A1229" s="19" t="str">
        <f>$R$2&amp;"."&amp;'Конфигурация TREI'!$A$2&amp;"_1.DIAG_12"</f>
        <v>Диагностика.TREI.CPU_1.DIAG_12</v>
      </c>
      <c r="B1229" s="11">
        <v>3</v>
      </c>
      <c r="C1229" s="11" t="s">
        <v>1</v>
      </c>
      <c r="D1229" s="20">
        <v>192</v>
      </c>
    </row>
    <row r="1230" spans="1:4">
      <c r="A1230" s="19" t="str">
        <f>$R$2&amp;"."&amp;'Конфигурация TREI'!$A$2&amp;"_1.DIAG_12"</f>
        <v>Диагностика.TREI.CPU_1.DIAG_12</v>
      </c>
      <c r="B1230" s="11">
        <v>2</v>
      </c>
      <c r="C1230" s="11" t="s">
        <v>2</v>
      </c>
      <c r="D1230" s="20" t="s">
        <v>3</v>
      </c>
    </row>
    <row r="1231" spans="1:4">
      <c r="A1231" s="21" t="str">
        <f>$R$2&amp;"."&amp;'Конфигурация TREI'!$A$2&amp;"_1.DIAG_12"</f>
        <v>Диагностика.TREI.CPU_1.DIAG_12</v>
      </c>
      <c r="B1231" s="8">
        <v>1</v>
      </c>
      <c r="C1231" s="8" t="s">
        <v>1</v>
      </c>
      <c r="D1231" s="22">
        <v>11</v>
      </c>
    </row>
    <row r="1232" spans="1:4">
      <c r="A1232" s="69" t="str">
        <f>$R$2&amp;"."&amp;'Конфигурация TREI'!$A$2&amp;"_1.DIAG_13"</f>
        <v>Диагностика.TREI.CPU_1.DIAG_13</v>
      </c>
      <c r="B1232" s="70">
        <v>11154</v>
      </c>
      <c r="C1232" s="70" t="s">
        <v>4</v>
      </c>
      <c r="D1232" s="144">
        <f>$Q$6</f>
        <v>8</v>
      </c>
    </row>
    <row r="1233" spans="1:4">
      <c r="A1233" s="63" t="str">
        <f>$R$2&amp;"."&amp;'Конфигурация TREI'!$A$2&amp;"_1.DIAG_13"</f>
        <v>Диагностика.TREI.CPU_1.DIAG_13</v>
      </c>
      <c r="B1233" s="64">
        <v>11152</v>
      </c>
      <c r="C1233" s="64" t="s">
        <v>0</v>
      </c>
      <c r="D1233" s="129" t="str">
        <f>$R$6</f>
        <v>Предупреждение</v>
      </c>
    </row>
    <row r="1234" spans="1:4">
      <c r="A1234" s="63" t="str">
        <f>$R$2&amp;"."&amp;'Конфигурация TREI'!$A$2&amp;"_1.DIAG_13"</f>
        <v>Диагностика.TREI.CPU_1.DIAG_13</v>
      </c>
      <c r="B1234" s="64">
        <v>11150</v>
      </c>
      <c r="C1234" s="64" t="s">
        <v>0</v>
      </c>
      <c r="D1234" s="65" t="s">
        <v>807</v>
      </c>
    </row>
    <row r="1235" spans="1:4">
      <c r="A1235" s="63" t="str">
        <f>$R$2&amp;"."&amp;'Конфигурация TREI'!$A$2&amp;"_1.DIAG_13"</f>
        <v>Диагностика.TREI.CPU_1.DIAG_13</v>
      </c>
      <c r="B1235" s="64">
        <v>11000</v>
      </c>
      <c r="C1235" s="64" t="s">
        <v>5</v>
      </c>
      <c r="D1235" s="65">
        <v>2147483680</v>
      </c>
    </row>
    <row r="1236" spans="1:4">
      <c r="A1236" s="19" t="str">
        <f>$R$2&amp;"."&amp;'Конфигурация TREI'!$A$2&amp;"_1.DIAG_13"</f>
        <v>Диагностика.TREI.CPU_1.DIAG_13</v>
      </c>
      <c r="B1236" s="11">
        <v>7999</v>
      </c>
      <c r="C1236" s="11" t="s">
        <v>0</v>
      </c>
      <c r="D1236" s="20" t="str">
        <f>"#"&amp;$S$2&amp;"#"&amp;$T$2&amp;IF($S$7="","","\")&amp;$S$7&amp;"\"&amp;'Конфигурация TREI'!$A$2&amp;"_1\DIAG_13"</f>
        <v>#2#treiOPCDA.CoOPCserv.1\pcmaster\CPU_1\DIAG_13</v>
      </c>
    </row>
    <row r="1237" spans="1:4">
      <c r="A1237" s="19" t="str">
        <f>$R$2&amp;"."&amp;'Конфигурация TREI'!$A$2&amp;"_1.DIAG_13"</f>
        <v>Диагностика.TREI.CPU_1.DIAG_13</v>
      </c>
      <c r="B1237" s="11">
        <v>7998</v>
      </c>
      <c r="C1237" s="11" t="s">
        <v>6</v>
      </c>
      <c r="D1237" s="20">
        <v>1</v>
      </c>
    </row>
    <row r="1238" spans="1:4">
      <c r="A1238" s="19" t="str">
        <f>$R$2&amp;"."&amp;'Конфигурация TREI'!$A$2&amp;"_1.DIAG_13"</f>
        <v>Диагностика.TREI.CPU_1.DIAG_13</v>
      </c>
      <c r="B1238" s="11">
        <v>101</v>
      </c>
      <c r="C1238" s="11" t="s">
        <v>0</v>
      </c>
      <c r="D1238" s="20" t="s">
        <v>807</v>
      </c>
    </row>
    <row r="1239" spans="1:4">
      <c r="A1239" s="19" t="str">
        <f>$R$2&amp;"."&amp;'Конфигурация TREI'!$A$2&amp;"_1.DIAG_13"</f>
        <v>Диагностика.TREI.CPU_1.DIAG_13</v>
      </c>
      <c r="B1239" s="11">
        <v>3</v>
      </c>
      <c r="C1239" s="11" t="s">
        <v>1</v>
      </c>
      <c r="D1239" s="20">
        <v>192</v>
      </c>
    </row>
    <row r="1240" spans="1:4">
      <c r="A1240" s="19" t="str">
        <f>$R$2&amp;"."&amp;'Конфигурация TREI'!$A$2&amp;"_1.DIAG_13"</f>
        <v>Диагностика.TREI.CPU_1.DIAG_13</v>
      </c>
      <c r="B1240" s="11">
        <v>2</v>
      </c>
      <c r="C1240" s="11" t="s">
        <v>2</v>
      </c>
      <c r="D1240" s="20" t="s">
        <v>3</v>
      </c>
    </row>
    <row r="1241" spans="1:4">
      <c r="A1241" s="21" t="str">
        <f>$R$2&amp;"."&amp;'Конфигурация TREI'!$A$2&amp;"_1.DIAG_13"</f>
        <v>Диагностика.TREI.CPU_1.DIAG_13</v>
      </c>
      <c r="B1241" s="8">
        <v>1</v>
      </c>
      <c r="C1241" s="8" t="s">
        <v>1</v>
      </c>
      <c r="D1241" s="22">
        <v>11</v>
      </c>
    </row>
    <row r="1242" spans="1:4">
      <c r="A1242" s="69" t="str">
        <f>$R$2&amp;"."&amp;'Конфигурация TREI'!$A$2&amp;"_1.DIAG_14"</f>
        <v>Диагностика.TREI.CPU_1.DIAG_14</v>
      </c>
      <c r="B1242" s="70">
        <v>11154</v>
      </c>
      <c r="C1242" s="70" t="s">
        <v>4</v>
      </c>
      <c r="D1242" s="144">
        <f>$Q$6</f>
        <v>8</v>
      </c>
    </row>
    <row r="1243" spans="1:4">
      <c r="A1243" s="63" t="str">
        <f>$R$2&amp;"."&amp;'Конфигурация TREI'!$A$2&amp;"_1.DIAG_14"</f>
        <v>Диагностика.TREI.CPU_1.DIAG_14</v>
      </c>
      <c r="B1243" s="64">
        <v>11152</v>
      </c>
      <c r="C1243" s="64" t="s">
        <v>0</v>
      </c>
      <c r="D1243" s="129" t="str">
        <f>$R$6</f>
        <v>Предупреждение</v>
      </c>
    </row>
    <row r="1244" spans="1:4">
      <c r="A1244" s="63" t="str">
        <f>$R$2&amp;"."&amp;'Конфигурация TREI'!$A$2&amp;"_1.DIAG_14"</f>
        <v>Диагностика.TREI.CPU_1.DIAG_14</v>
      </c>
      <c r="B1244" s="64">
        <v>11150</v>
      </c>
      <c r="C1244" s="64" t="s">
        <v>0</v>
      </c>
      <c r="D1244" s="65" t="s">
        <v>808</v>
      </c>
    </row>
    <row r="1245" spans="1:4">
      <c r="A1245" s="63" t="str">
        <f>$R$2&amp;"."&amp;'Конфигурация TREI'!$A$2&amp;"_1.DIAG_14"</f>
        <v>Диагностика.TREI.CPU_1.DIAG_14</v>
      </c>
      <c r="B1245" s="64">
        <v>11000</v>
      </c>
      <c r="C1245" s="64" t="s">
        <v>5</v>
      </c>
      <c r="D1245" s="65">
        <v>2147483680</v>
      </c>
    </row>
    <row r="1246" spans="1:4">
      <c r="A1246" s="19" t="str">
        <f>$R$2&amp;"."&amp;'Конфигурация TREI'!$A$2&amp;"_1.DIAG_14"</f>
        <v>Диагностика.TREI.CPU_1.DIAG_14</v>
      </c>
      <c r="B1246" s="11">
        <v>7999</v>
      </c>
      <c r="C1246" s="11" t="s">
        <v>0</v>
      </c>
      <c r="D1246" s="20" t="str">
        <f>"#"&amp;$S$2&amp;"#"&amp;$T$2&amp;IF($S$7="","","\")&amp;$S$7&amp;"\"&amp;'Конфигурация TREI'!$A$2&amp;"_1\DIAG_14"</f>
        <v>#2#treiOPCDA.CoOPCserv.1\pcmaster\CPU_1\DIAG_14</v>
      </c>
    </row>
    <row r="1247" spans="1:4">
      <c r="A1247" s="19" t="str">
        <f>$R$2&amp;"."&amp;'Конфигурация TREI'!$A$2&amp;"_1.DIAG_14"</f>
        <v>Диагностика.TREI.CPU_1.DIAG_14</v>
      </c>
      <c r="B1247" s="11">
        <v>7998</v>
      </c>
      <c r="C1247" s="11" t="s">
        <v>6</v>
      </c>
      <c r="D1247" s="20">
        <v>1</v>
      </c>
    </row>
    <row r="1248" spans="1:4">
      <c r="A1248" s="19" t="str">
        <f>$R$2&amp;"."&amp;'Конфигурация TREI'!$A$2&amp;"_1.DIAG_14"</f>
        <v>Диагностика.TREI.CPU_1.DIAG_14</v>
      </c>
      <c r="B1248" s="11">
        <v>101</v>
      </c>
      <c r="C1248" s="11" t="s">
        <v>0</v>
      </c>
      <c r="D1248" s="20" t="s">
        <v>808</v>
      </c>
    </row>
    <row r="1249" spans="1:4">
      <c r="A1249" s="19" t="str">
        <f>$R$2&amp;"."&amp;'Конфигурация TREI'!$A$2&amp;"_1.DIAG_14"</f>
        <v>Диагностика.TREI.CPU_1.DIAG_14</v>
      </c>
      <c r="B1249" s="11">
        <v>3</v>
      </c>
      <c r="C1249" s="11" t="s">
        <v>1</v>
      </c>
      <c r="D1249" s="20">
        <v>192</v>
      </c>
    </row>
    <row r="1250" spans="1:4">
      <c r="A1250" s="19" t="str">
        <f>$R$2&amp;"."&amp;'Конфигурация TREI'!$A$2&amp;"_1.DIAG_14"</f>
        <v>Диагностика.TREI.CPU_1.DIAG_14</v>
      </c>
      <c r="B1250" s="11">
        <v>2</v>
      </c>
      <c r="C1250" s="11" t="s">
        <v>2</v>
      </c>
      <c r="D1250" s="20" t="s">
        <v>3</v>
      </c>
    </row>
    <row r="1251" spans="1:4">
      <c r="A1251" s="21" t="str">
        <f>$R$2&amp;"."&amp;'Конфигурация TREI'!$A$2&amp;"_1.DIAG_14"</f>
        <v>Диагностика.TREI.CPU_1.DIAG_14</v>
      </c>
      <c r="B1251" s="8">
        <v>1</v>
      </c>
      <c r="C1251" s="8" t="s">
        <v>1</v>
      </c>
      <c r="D1251" s="22">
        <v>11</v>
      </c>
    </row>
    <row r="1252" spans="1:4">
      <c r="A1252" s="159" t="str">
        <f>$R$2&amp;"."&amp;'Конфигурация TREI'!$A$2&amp;"_1.DIAG_15"</f>
        <v>Диагностика.TREI.CPU_1.DIAG_15</v>
      </c>
      <c r="B1252" s="160">
        <v>11154</v>
      </c>
      <c r="C1252" s="160" t="s">
        <v>4</v>
      </c>
      <c r="D1252" s="161">
        <f>$Q$8</f>
        <v>18</v>
      </c>
    </row>
    <row r="1253" spans="1:4">
      <c r="A1253" s="100" t="str">
        <f>$R$2&amp;"."&amp;'Конфигурация TREI'!$A$2&amp;"_1.DIAG_15"</f>
        <v>Диагностика.TREI.CPU_1.DIAG_15</v>
      </c>
      <c r="B1253" s="101">
        <v>11152</v>
      </c>
      <c r="C1253" s="101" t="s">
        <v>0</v>
      </c>
      <c r="D1253" s="104" t="str">
        <f>$R$8</f>
        <v>Телесигнализация</v>
      </c>
    </row>
    <row r="1254" spans="1:4">
      <c r="A1254" s="100" t="str">
        <f>$R$2&amp;"."&amp;'Конфигурация TREI'!$A$2&amp;"_1.DIAG_15"</f>
        <v>Диагностика.TREI.CPU_1.DIAG_15</v>
      </c>
      <c r="B1254" s="101">
        <v>11150</v>
      </c>
      <c r="C1254" s="101" t="s">
        <v>0</v>
      </c>
      <c r="D1254" s="103" t="s">
        <v>809</v>
      </c>
    </row>
    <row r="1255" spans="1:4">
      <c r="A1255" s="100" t="str">
        <f>$R$2&amp;"."&amp;'Конфигурация TREI'!$A$2&amp;"_1.DIAG_15"</f>
        <v>Диагностика.TREI.CPU_1.DIAG_15</v>
      </c>
      <c r="B1255" s="101">
        <v>11000</v>
      </c>
      <c r="C1255" s="101" t="s">
        <v>5</v>
      </c>
      <c r="D1255" s="103">
        <v>2147483680</v>
      </c>
    </row>
    <row r="1256" spans="1:4">
      <c r="A1256" s="19" t="str">
        <f>$R$2&amp;"."&amp;'Конфигурация TREI'!$A$2&amp;"_1.DIAG_15"</f>
        <v>Диагностика.TREI.CPU_1.DIAG_15</v>
      </c>
      <c r="B1256" s="11">
        <v>7999</v>
      </c>
      <c r="C1256" s="11" t="s">
        <v>0</v>
      </c>
      <c r="D1256" s="20" t="str">
        <f>"#"&amp;$S$2&amp;"#"&amp;$T$2&amp;IF($S$7="","","\")&amp;$S$7&amp;"\"&amp;'Конфигурация TREI'!$A$2&amp;"_1\DIAG_15"</f>
        <v>#2#treiOPCDA.CoOPCserv.1\pcmaster\CPU_1\DIAG_15</v>
      </c>
    </row>
    <row r="1257" spans="1:4">
      <c r="A1257" s="19" t="str">
        <f>$R$2&amp;"."&amp;'Конфигурация TREI'!$A$2&amp;"_1.DIAG_15"</f>
        <v>Диагностика.TREI.CPU_1.DIAG_15</v>
      </c>
      <c r="B1257" s="11">
        <v>7998</v>
      </c>
      <c r="C1257" s="11" t="s">
        <v>6</v>
      </c>
      <c r="D1257" s="20">
        <v>1</v>
      </c>
    </row>
    <row r="1258" spans="1:4">
      <c r="A1258" s="19" t="str">
        <f>$R$2&amp;"."&amp;'Конфигурация TREI'!$A$2&amp;"_1.DIAG_15"</f>
        <v>Диагностика.TREI.CPU_1.DIAG_15</v>
      </c>
      <c r="B1258" s="11">
        <v>101</v>
      </c>
      <c r="C1258" s="11" t="s">
        <v>0</v>
      </c>
      <c r="D1258" s="20" t="s">
        <v>809</v>
      </c>
    </row>
    <row r="1259" spans="1:4">
      <c r="A1259" s="19" t="str">
        <f>$R$2&amp;"."&amp;'Конфигурация TREI'!$A$2&amp;"_1.DIAG_15"</f>
        <v>Диагностика.TREI.CPU_1.DIAG_15</v>
      </c>
      <c r="B1259" s="11">
        <v>3</v>
      </c>
      <c r="C1259" s="11" t="s">
        <v>1</v>
      </c>
      <c r="D1259" s="20">
        <v>192</v>
      </c>
    </row>
    <row r="1260" spans="1:4">
      <c r="A1260" s="19" t="str">
        <f>$R$2&amp;"."&amp;'Конфигурация TREI'!$A$2&amp;"_1.DIAG_15"</f>
        <v>Диагностика.TREI.CPU_1.DIAG_15</v>
      </c>
      <c r="B1260" s="11">
        <v>2</v>
      </c>
      <c r="C1260" s="11" t="s">
        <v>2</v>
      </c>
      <c r="D1260" s="20" t="s">
        <v>3</v>
      </c>
    </row>
    <row r="1261" spans="1:4">
      <c r="A1261" s="21" t="str">
        <f>$R$2&amp;"."&amp;'Конфигурация TREI'!$A$2&amp;"_1.DIAG_15"</f>
        <v>Диагностика.TREI.CPU_1.DIAG_15</v>
      </c>
      <c r="B1261" s="8">
        <v>1</v>
      </c>
      <c r="C1261" s="8" t="s">
        <v>1</v>
      </c>
      <c r="D1261" s="22">
        <v>11</v>
      </c>
    </row>
    <row r="1262" spans="1:4">
      <c r="A1262" s="69" t="str">
        <f>$R$2&amp;"."&amp;'Конфигурация TREI'!$A$2&amp;"_1.DIAG_16"</f>
        <v>Диагностика.TREI.CPU_1.DIAG_16</v>
      </c>
      <c r="B1262" s="70">
        <v>11154</v>
      </c>
      <c r="C1262" s="70" t="s">
        <v>4</v>
      </c>
      <c r="D1262" s="144">
        <f>$Q$6</f>
        <v>8</v>
      </c>
    </row>
    <row r="1263" spans="1:4">
      <c r="A1263" s="63" t="str">
        <f>$R$2&amp;"."&amp;'Конфигурация TREI'!$A$2&amp;"_1.DIAG_16"</f>
        <v>Диагностика.TREI.CPU_1.DIAG_16</v>
      </c>
      <c r="B1263" s="64">
        <v>11152</v>
      </c>
      <c r="C1263" s="64" t="s">
        <v>0</v>
      </c>
      <c r="D1263" s="129" t="str">
        <f>$R$6</f>
        <v>Предупреждение</v>
      </c>
    </row>
    <row r="1264" spans="1:4">
      <c r="A1264" s="63" t="str">
        <f>$R$2&amp;"."&amp;'Конфигурация TREI'!$A$2&amp;"_1.DIAG_16"</f>
        <v>Диагностика.TREI.CPU_1.DIAG_16</v>
      </c>
      <c r="B1264" s="64">
        <v>11150</v>
      </c>
      <c r="C1264" s="64" t="s">
        <v>0</v>
      </c>
      <c r="D1264" s="65" t="s">
        <v>1392</v>
      </c>
    </row>
    <row r="1265" spans="1:4">
      <c r="A1265" s="63" t="str">
        <f>$R$2&amp;"."&amp;'Конфигурация TREI'!$A$2&amp;"_1.DIAG_16"</f>
        <v>Диагностика.TREI.CPU_1.DIAG_16</v>
      </c>
      <c r="B1265" s="64">
        <v>11000</v>
      </c>
      <c r="C1265" s="64" t="s">
        <v>5</v>
      </c>
      <c r="D1265" s="65">
        <v>2147483680</v>
      </c>
    </row>
    <row r="1266" spans="1:4">
      <c r="A1266" s="19" t="str">
        <f>$R$2&amp;"."&amp;'Конфигурация TREI'!$A$2&amp;"_1.DIAG_16"</f>
        <v>Диагностика.TREI.CPU_1.DIAG_16</v>
      </c>
      <c r="B1266" s="11">
        <v>7999</v>
      </c>
      <c r="C1266" s="11" t="s">
        <v>0</v>
      </c>
      <c r="D1266" s="20" t="str">
        <f>"#"&amp;$S$2&amp;"#"&amp;$T$2&amp;IF($S$7="","","\")&amp;$S$7&amp;"\"&amp;'Конфигурация TREI'!$A$2&amp;"_1\DIAG_16"</f>
        <v>#2#treiOPCDA.CoOPCserv.1\pcmaster\CPU_1\DIAG_16</v>
      </c>
    </row>
    <row r="1267" spans="1:4">
      <c r="A1267" s="19" t="str">
        <f>$R$2&amp;"."&amp;'Конфигурация TREI'!$A$2&amp;"_1.DIAG_16"</f>
        <v>Диагностика.TREI.CPU_1.DIAG_16</v>
      </c>
      <c r="B1267" s="11">
        <v>7998</v>
      </c>
      <c r="C1267" s="11" t="s">
        <v>6</v>
      </c>
      <c r="D1267" s="20">
        <v>1</v>
      </c>
    </row>
    <row r="1268" spans="1:4">
      <c r="A1268" s="19" t="str">
        <f>$R$2&amp;"."&amp;'Конфигурация TREI'!$A$2&amp;"_1.DIAG_16"</f>
        <v>Диагностика.TREI.CPU_1.DIAG_16</v>
      </c>
      <c r="B1268" s="11">
        <v>101</v>
      </c>
      <c r="C1268" s="11" t="s">
        <v>0</v>
      </c>
      <c r="D1268" s="20" t="s">
        <v>1392</v>
      </c>
    </row>
    <row r="1269" spans="1:4">
      <c r="A1269" s="19" t="str">
        <f>$R$2&amp;"."&amp;'Конфигурация TREI'!$A$2&amp;"_1.DIAG_16"</f>
        <v>Диагностика.TREI.CPU_1.DIAG_16</v>
      </c>
      <c r="B1269" s="11">
        <v>3</v>
      </c>
      <c r="C1269" s="11" t="s">
        <v>1</v>
      </c>
      <c r="D1269" s="20">
        <v>192</v>
      </c>
    </row>
    <row r="1270" spans="1:4">
      <c r="A1270" s="19" t="str">
        <f>$R$2&amp;"."&amp;'Конфигурация TREI'!$A$2&amp;"_1.DIAG_16"</f>
        <v>Диагностика.TREI.CPU_1.DIAG_16</v>
      </c>
      <c r="B1270" s="11">
        <v>2</v>
      </c>
      <c r="C1270" s="11" t="s">
        <v>2</v>
      </c>
      <c r="D1270" s="20" t="s">
        <v>3</v>
      </c>
    </row>
    <row r="1271" spans="1:4">
      <c r="A1271" s="21" t="str">
        <f>$R$2&amp;"."&amp;'Конфигурация TREI'!$A$2&amp;"_1.DIAG_16"</f>
        <v>Диагностика.TREI.CPU_1.DIAG_16</v>
      </c>
      <c r="B1271" s="8">
        <v>1</v>
      </c>
      <c r="C1271" s="8" t="s">
        <v>1</v>
      </c>
      <c r="D1271" s="22">
        <v>11</v>
      </c>
    </row>
    <row r="1272" spans="1:4">
      <c r="A1272" s="159" t="str">
        <f>$R$2&amp;"."&amp;'Конфигурация TREI'!$A$2&amp;"_1.DIAG_17"</f>
        <v>Диагностика.TREI.CPU_1.DIAG_17</v>
      </c>
      <c r="B1272" s="160">
        <v>11154</v>
      </c>
      <c r="C1272" s="160" t="s">
        <v>4</v>
      </c>
      <c r="D1272" s="161">
        <f>$Q$8</f>
        <v>18</v>
      </c>
    </row>
    <row r="1273" spans="1:4">
      <c r="A1273" s="100" t="str">
        <f>$R$2&amp;"."&amp;'Конфигурация TREI'!$A$2&amp;"_1.DIAG_17"</f>
        <v>Диагностика.TREI.CPU_1.DIAG_17</v>
      </c>
      <c r="B1273" s="101">
        <v>11152</v>
      </c>
      <c r="C1273" s="101" t="s">
        <v>0</v>
      </c>
      <c r="D1273" s="104" t="str">
        <f>$R$8</f>
        <v>Телесигнализация</v>
      </c>
    </row>
    <row r="1274" spans="1:4">
      <c r="A1274" s="100" t="str">
        <f>$R$2&amp;"."&amp;'Конфигурация TREI'!$A$2&amp;"_1.DIAG_17"</f>
        <v>Диагностика.TREI.CPU_1.DIAG_17</v>
      </c>
      <c r="B1274" s="101">
        <v>11150</v>
      </c>
      <c r="C1274" s="101" t="s">
        <v>0</v>
      </c>
      <c r="D1274" s="103" t="s">
        <v>810</v>
      </c>
    </row>
    <row r="1275" spans="1:4">
      <c r="A1275" s="100" t="str">
        <f>$R$2&amp;"."&amp;'Конфигурация TREI'!$A$2&amp;"_1.DIAG_17"</f>
        <v>Диагностика.TREI.CPU_1.DIAG_17</v>
      </c>
      <c r="B1275" s="101">
        <v>11000</v>
      </c>
      <c r="C1275" s="101" t="s">
        <v>5</v>
      </c>
      <c r="D1275" s="103">
        <v>2147483680</v>
      </c>
    </row>
    <row r="1276" spans="1:4">
      <c r="A1276" s="19" t="str">
        <f>$R$2&amp;"."&amp;'Конфигурация TREI'!$A$2&amp;"_1.DIAG_17"</f>
        <v>Диагностика.TREI.CPU_1.DIAG_17</v>
      </c>
      <c r="B1276" s="11">
        <v>7999</v>
      </c>
      <c r="C1276" s="11" t="s">
        <v>0</v>
      </c>
      <c r="D1276" s="20" t="str">
        <f>"#"&amp;$S$2&amp;"#"&amp;$T$2&amp;IF($S$7="","","\")&amp;$S$7&amp;"\"&amp;'Конфигурация TREI'!$A$2&amp;"_1\DIAG_17"</f>
        <v>#2#treiOPCDA.CoOPCserv.1\pcmaster\CPU_1\DIAG_17</v>
      </c>
    </row>
    <row r="1277" spans="1:4">
      <c r="A1277" s="19" t="str">
        <f>$R$2&amp;"."&amp;'Конфигурация TREI'!$A$2&amp;"_1.DIAG_17"</f>
        <v>Диагностика.TREI.CPU_1.DIAG_17</v>
      </c>
      <c r="B1277" s="11">
        <v>7998</v>
      </c>
      <c r="C1277" s="11" t="s">
        <v>6</v>
      </c>
      <c r="D1277" s="20">
        <v>1</v>
      </c>
    </row>
    <row r="1278" spans="1:4">
      <c r="A1278" s="19" t="str">
        <f>$R$2&amp;"."&amp;'Конфигурация TREI'!$A$2&amp;"_1.DIAG_17"</f>
        <v>Диагностика.TREI.CPU_1.DIAG_17</v>
      </c>
      <c r="B1278" s="11">
        <v>101</v>
      </c>
      <c r="C1278" s="11" t="s">
        <v>0</v>
      </c>
      <c r="D1278" s="20" t="s">
        <v>810</v>
      </c>
    </row>
    <row r="1279" spans="1:4">
      <c r="A1279" s="19" t="str">
        <f>$R$2&amp;"."&amp;'Конфигурация TREI'!$A$2&amp;"_1.DIAG_17"</f>
        <v>Диагностика.TREI.CPU_1.DIAG_17</v>
      </c>
      <c r="B1279" s="11">
        <v>3</v>
      </c>
      <c r="C1279" s="11" t="s">
        <v>1</v>
      </c>
      <c r="D1279" s="20">
        <v>192</v>
      </c>
    </row>
    <row r="1280" spans="1:4">
      <c r="A1280" s="19" t="str">
        <f>$R$2&amp;"."&amp;'Конфигурация TREI'!$A$2&amp;"_1.DIAG_17"</f>
        <v>Диагностика.TREI.CPU_1.DIAG_17</v>
      </c>
      <c r="B1280" s="11">
        <v>2</v>
      </c>
      <c r="C1280" s="11" t="s">
        <v>2</v>
      </c>
      <c r="D1280" s="20" t="s">
        <v>3</v>
      </c>
    </row>
    <row r="1281" spans="1:4">
      <c r="A1281" s="21" t="str">
        <f>$R$2&amp;"."&amp;'Конфигурация TREI'!$A$2&amp;"_1.DIAG_17"</f>
        <v>Диагностика.TREI.CPU_1.DIAG_17</v>
      </c>
      <c r="B1281" s="8">
        <v>1</v>
      </c>
      <c r="C1281" s="8" t="s">
        <v>1</v>
      </c>
      <c r="D1281" s="22">
        <v>11</v>
      </c>
    </row>
    <row r="1282" spans="1:4">
      <c r="A1282" s="69" t="str">
        <f>$R$2&amp;"."&amp;'Конфигурация TREI'!$A$2&amp;"_1.DIAG_18"</f>
        <v>Диагностика.TREI.CPU_1.DIAG_18</v>
      </c>
      <c r="B1282" s="70">
        <v>11154</v>
      </c>
      <c r="C1282" s="70" t="s">
        <v>4</v>
      </c>
      <c r="D1282" s="144">
        <f>$Q$6</f>
        <v>8</v>
      </c>
    </row>
    <row r="1283" spans="1:4">
      <c r="A1283" s="63" t="str">
        <f>$R$2&amp;"."&amp;'Конфигурация TREI'!$A$2&amp;"_1.DIAG_18"</f>
        <v>Диагностика.TREI.CPU_1.DIAG_18</v>
      </c>
      <c r="B1283" s="64">
        <v>11152</v>
      </c>
      <c r="C1283" s="64" t="s">
        <v>0</v>
      </c>
      <c r="D1283" s="129" t="str">
        <f>$R$6</f>
        <v>Предупреждение</v>
      </c>
    </row>
    <row r="1284" spans="1:4">
      <c r="A1284" s="63" t="str">
        <f>$R$2&amp;"."&amp;'Конфигурация TREI'!$A$2&amp;"_1.DIAG_18"</f>
        <v>Диагностика.TREI.CPU_1.DIAG_18</v>
      </c>
      <c r="B1284" s="64">
        <v>11150</v>
      </c>
      <c r="C1284" s="64" t="s">
        <v>0</v>
      </c>
      <c r="D1284" s="65" t="s">
        <v>1393</v>
      </c>
    </row>
    <row r="1285" spans="1:4">
      <c r="A1285" s="63" t="str">
        <f>$R$2&amp;"."&amp;'Конфигурация TREI'!$A$2&amp;"_1.DIAG_18"</f>
        <v>Диагностика.TREI.CPU_1.DIAG_18</v>
      </c>
      <c r="B1285" s="64">
        <v>11000</v>
      </c>
      <c r="C1285" s="64" t="s">
        <v>5</v>
      </c>
      <c r="D1285" s="65">
        <v>2147483680</v>
      </c>
    </row>
    <row r="1286" spans="1:4">
      <c r="A1286" s="19" t="str">
        <f>$R$2&amp;"."&amp;'Конфигурация TREI'!$A$2&amp;"_1.DIAG_18"</f>
        <v>Диагностика.TREI.CPU_1.DIAG_18</v>
      </c>
      <c r="B1286" s="11">
        <v>7999</v>
      </c>
      <c r="C1286" s="11" t="s">
        <v>0</v>
      </c>
      <c r="D1286" s="20" t="str">
        <f>"#"&amp;$S$2&amp;"#"&amp;$T$2&amp;IF($S$7="","","\")&amp;$S$7&amp;"\"&amp;'Конфигурация TREI'!$A$2&amp;"_1\DIAG_18"</f>
        <v>#2#treiOPCDA.CoOPCserv.1\pcmaster\CPU_1\DIAG_18</v>
      </c>
    </row>
    <row r="1287" spans="1:4">
      <c r="A1287" s="19" t="str">
        <f>$R$2&amp;"."&amp;'Конфигурация TREI'!$A$2&amp;"_1.DIAG_18"</f>
        <v>Диагностика.TREI.CPU_1.DIAG_18</v>
      </c>
      <c r="B1287" s="11">
        <v>7998</v>
      </c>
      <c r="C1287" s="11" t="s">
        <v>6</v>
      </c>
      <c r="D1287" s="20">
        <v>1</v>
      </c>
    </row>
    <row r="1288" spans="1:4">
      <c r="A1288" s="19" t="str">
        <f>$R$2&amp;"."&amp;'Конфигурация TREI'!$A$2&amp;"_1.DIAG_18"</f>
        <v>Диагностика.TREI.CPU_1.DIAG_18</v>
      </c>
      <c r="B1288" s="11">
        <v>101</v>
      </c>
      <c r="C1288" s="11" t="s">
        <v>0</v>
      </c>
      <c r="D1288" s="20" t="s">
        <v>1393</v>
      </c>
    </row>
    <row r="1289" spans="1:4">
      <c r="A1289" s="19" t="str">
        <f>$R$2&amp;"."&amp;'Конфигурация TREI'!$A$2&amp;"_1.DIAG_18"</f>
        <v>Диагностика.TREI.CPU_1.DIAG_18</v>
      </c>
      <c r="B1289" s="11">
        <v>3</v>
      </c>
      <c r="C1289" s="11" t="s">
        <v>1</v>
      </c>
      <c r="D1289" s="20">
        <v>192</v>
      </c>
    </row>
    <row r="1290" spans="1:4">
      <c r="A1290" s="19" t="str">
        <f>$R$2&amp;"."&amp;'Конфигурация TREI'!$A$2&amp;"_1.DIAG_18"</f>
        <v>Диагностика.TREI.CPU_1.DIAG_18</v>
      </c>
      <c r="B1290" s="11">
        <v>2</v>
      </c>
      <c r="C1290" s="11" t="s">
        <v>2</v>
      </c>
      <c r="D1290" s="20" t="s">
        <v>3</v>
      </c>
    </row>
    <row r="1291" spans="1:4">
      <c r="A1291" s="21" t="str">
        <f>$R$2&amp;"."&amp;'Конфигурация TREI'!$A$2&amp;"_1.DIAG_18"</f>
        <v>Диагностика.TREI.CPU_1.DIAG_18</v>
      </c>
      <c r="B1291" s="8">
        <v>1</v>
      </c>
      <c r="C1291" s="8" t="s">
        <v>1</v>
      </c>
      <c r="D1291" s="22">
        <v>11</v>
      </c>
    </row>
    <row r="1292" spans="1:4">
      <c r="A1292" s="159" t="str">
        <f>$R$2&amp;"."&amp;'Конфигурация TREI'!$A$2&amp;"_1.DIAG_19"</f>
        <v>Диагностика.TREI.CPU_1.DIAG_19</v>
      </c>
      <c r="B1292" s="160">
        <v>11154</v>
      </c>
      <c r="C1292" s="160" t="s">
        <v>4</v>
      </c>
      <c r="D1292" s="161">
        <f>$Q$8</f>
        <v>18</v>
      </c>
    </row>
    <row r="1293" spans="1:4">
      <c r="A1293" s="100" t="str">
        <f>$R$2&amp;"."&amp;'Конфигурация TREI'!$A$2&amp;"_1.DIAG_19"</f>
        <v>Диагностика.TREI.CPU_1.DIAG_19</v>
      </c>
      <c r="B1293" s="101">
        <v>11152</v>
      </c>
      <c r="C1293" s="101" t="s">
        <v>0</v>
      </c>
      <c r="D1293" s="104" t="str">
        <f>$R$8</f>
        <v>Телесигнализация</v>
      </c>
    </row>
    <row r="1294" spans="1:4">
      <c r="A1294" s="100" t="str">
        <f>$R$2&amp;"."&amp;'Конфигурация TREI'!$A$2&amp;"_1.DIAG_19"</f>
        <v>Диагностика.TREI.CPU_1.DIAG_19</v>
      </c>
      <c r="B1294" s="101">
        <v>11150</v>
      </c>
      <c r="C1294" s="101" t="s">
        <v>0</v>
      </c>
      <c r="D1294" s="103" t="s">
        <v>811</v>
      </c>
    </row>
    <row r="1295" spans="1:4">
      <c r="A1295" s="100" t="str">
        <f>$R$2&amp;"."&amp;'Конфигурация TREI'!$A$2&amp;"_1.DIAG_19"</f>
        <v>Диагностика.TREI.CPU_1.DIAG_19</v>
      </c>
      <c r="B1295" s="101">
        <v>11000</v>
      </c>
      <c r="C1295" s="101" t="s">
        <v>5</v>
      </c>
      <c r="D1295" s="103">
        <v>2147483680</v>
      </c>
    </row>
    <row r="1296" spans="1:4">
      <c r="A1296" s="19" t="str">
        <f>$R$2&amp;"."&amp;'Конфигурация TREI'!$A$2&amp;"_1.DIAG_19"</f>
        <v>Диагностика.TREI.CPU_1.DIAG_19</v>
      </c>
      <c r="B1296" s="11">
        <v>7999</v>
      </c>
      <c r="C1296" s="11" t="s">
        <v>0</v>
      </c>
      <c r="D1296" s="20" t="str">
        <f>"#"&amp;$S$2&amp;"#"&amp;$T$2&amp;IF($S$7="","","\")&amp;$S$7&amp;"\"&amp;'Конфигурация TREI'!$A$2&amp;"_1\DIAG_19"</f>
        <v>#2#treiOPCDA.CoOPCserv.1\pcmaster\CPU_1\DIAG_19</v>
      </c>
    </row>
    <row r="1297" spans="1:4">
      <c r="A1297" s="19" t="str">
        <f>$R$2&amp;"."&amp;'Конфигурация TREI'!$A$2&amp;"_1.DIAG_19"</f>
        <v>Диагностика.TREI.CPU_1.DIAG_19</v>
      </c>
      <c r="B1297" s="11">
        <v>7998</v>
      </c>
      <c r="C1297" s="11" t="s">
        <v>6</v>
      </c>
      <c r="D1297" s="20">
        <v>1</v>
      </c>
    </row>
    <row r="1298" spans="1:4">
      <c r="A1298" s="19" t="str">
        <f>$R$2&amp;"."&amp;'Конфигурация TREI'!$A$2&amp;"_1.DIAG_19"</f>
        <v>Диагностика.TREI.CPU_1.DIAG_19</v>
      </c>
      <c r="B1298" s="11">
        <v>101</v>
      </c>
      <c r="C1298" s="11" t="s">
        <v>0</v>
      </c>
      <c r="D1298" s="20" t="s">
        <v>811</v>
      </c>
    </row>
    <row r="1299" spans="1:4">
      <c r="A1299" s="19" t="str">
        <f>$R$2&amp;"."&amp;'Конфигурация TREI'!$A$2&amp;"_1.DIAG_19"</f>
        <v>Диагностика.TREI.CPU_1.DIAG_19</v>
      </c>
      <c r="B1299" s="11">
        <v>3</v>
      </c>
      <c r="C1299" s="11" t="s">
        <v>1</v>
      </c>
      <c r="D1299" s="20">
        <v>192</v>
      </c>
    </row>
    <row r="1300" spans="1:4">
      <c r="A1300" s="19" t="str">
        <f>$R$2&amp;"."&amp;'Конфигурация TREI'!$A$2&amp;"_1.DIAG_19"</f>
        <v>Диагностика.TREI.CPU_1.DIAG_19</v>
      </c>
      <c r="B1300" s="11">
        <v>2</v>
      </c>
      <c r="C1300" s="11" t="s">
        <v>2</v>
      </c>
      <c r="D1300" s="20" t="s">
        <v>3</v>
      </c>
    </row>
    <row r="1301" spans="1:4">
      <c r="A1301" s="21" t="str">
        <f>$R$2&amp;"."&amp;'Конфигурация TREI'!$A$2&amp;"_1.DIAG_19"</f>
        <v>Диагностика.TREI.CPU_1.DIAG_19</v>
      </c>
      <c r="B1301" s="8">
        <v>1</v>
      </c>
      <c r="C1301" s="8" t="s">
        <v>1</v>
      </c>
      <c r="D1301" s="22">
        <v>11</v>
      </c>
    </row>
    <row r="1302" spans="1:4">
      <c r="A1302" s="69" t="str">
        <f>$R$2&amp;"."&amp;'Конфигурация TREI'!$A$2&amp;"_1.DIAG_20"</f>
        <v>Диагностика.TREI.CPU_1.DIAG_20</v>
      </c>
      <c r="B1302" s="70">
        <v>11154</v>
      </c>
      <c r="C1302" s="70" t="s">
        <v>4</v>
      </c>
      <c r="D1302" s="144">
        <f>$Q$6</f>
        <v>8</v>
      </c>
    </row>
    <row r="1303" spans="1:4">
      <c r="A1303" s="63" t="str">
        <f>$R$2&amp;"."&amp;'Конфигурация TREI'!$A$2&amp;"_1.DIAG_20"</f>
        <v>Диагностика.TREI.CPU_1.DIAG_20</v>
      </c>
      <c r="B1303" s="64">
        <v>11152</v>
      </c>
      <c r="C1303" s="64" t="s">
        <v>0</v>
      </c>
      <c r="D1303" s="129" t="str">
        <f>$R$6</f>
        <v>Предупреждение</v>
      </c>
    </row>
    <row r="1304" spans="1:4">
      <c r="A1304" s="63" t="str">
        <f>$R$2&amp;"."&amp;'Конфигурация TREI'!$A$2&amp;"_1.DIAG_20"</f>
        <v>Диагностика.TREI.CPU_1.DIAG_20</v>
      </c>
      <c r="B1304" s="64">
        <v>11150</v>
      </c>
      <c r="C1304" s="64" t="s">
        <v>0</v>
      </c>
      <c r="D1304" s="65" t="s">
        <v>1394</v>
      </c>
    </row>
    <row r="1305" spans="1:4">
      <c r="A1305" s="63" t="str">
        <f>$R$2&amp;"."&amp;'Конфигурация TREI'!$A$2&amp;"_1.DIAG_20"</f>
        <v>Диагностика.TREI.CPU_1.DIAG_20</v>
      </c>
      <c r="B1305" s="64">
        <v>11000</v>
      </c>
      <c r="C1305" s="64" t="s">
        <v>5</v>
      </c>
      <c r="D1305" s="65">
        <v>2147483680</v>
      </c>
    </row>
    <row r="1306" spans="1:4">
      <c r="A1306" s="19" t="str">
        <f>$R$2&amp;"."&amp;'Конфигурация TREI'!$A$2&amp;"_1.DIAG_20"</f>
        <v>Диагностика.TREI.CPU_1.DIAG_20</v>
      </c>
      <c r="B1306" s="11">
        <v>7999</v>
      </c>
      <c r="C1306" s="11" t="s">
        <v>0</v>
      </c>
      <c r="D1306" s="20" t="str">
        <f>"#"&amp;$S$2&amp;"#"&amp;$T$2&amp;IF($S$7="","","\")&amp;$S$7&amp;"\"&amp;'Конфигурация TREI'!$A$2&amp;"_1\DIAG_20"</f>
        <v>#2#treiOPCDA.CoOPCserv.1\pcmaster\CPU_1\DIAG_20</v>
      </c>
    </row>
    <row r="1307" spans="1:4">
      <c r="A1307" s="19" t="str">
        <f>$R$2&amp;"."&amp;'Конфигурация TREI'!$A$2&amp;"_1.DIAG_20"</f>
        <v>Диагностика.TREI.CPU_1.DIAG_20</v>
      </c>
      <c r="B1307" s="11">
        <v>7998</v>
      </c>
      <c r="C1307" s="11" t="s">
        <v>6</v>
      </c>
      <c r="D1307" s="20">
        <v>1</v>
      </c>
    </row>
    <row r="1308" spans="1:4">
      <c r="A1308" s="19" t="str">
        <f>$R$2&amp;"."&amp;'Конфигурация TREI'!$A$2&amp;"_1.DIAG_20"</f>
        <v>Диагностика.TREI.CPU_1.DIAG_20</v>
      </c>
      <c r="B1308" s="11">
        <v>101</v>
      </c>
      <c r="C1308" s="11" t="s">
        <v>0</v>
      </c>
      <c r="D1308" s="20" t="s">
        <v>1394</v>
      </c>
    </row>
    <row r="1309" spans="1:4">
      <c r="A1309" s="19" t="str">
        <f>$R$2&amp;"."&amp;'Конфигурация TREI'!$A$2&amp;"_1.DIAG_20"</f>
        <v>Диагностика.TREI.CPU_1.DIAG_20</v>
      </c>
      <c r="B1309" s="11">
        <v>3</v>
      </c>
      <c r="C1309" s="11" t="s">
        <v>1</v>
      </c>
      <c r="D1309" s="20">
        <v>192</v>
      </c>
    </row>
    <row r="1310" spans="1:4">
      <c r="A1310" s="19" t="str">
        <f>$R$2&amp;"."&amp;'Конфигурация TREI'!$A$2&amp;"_1.DIAG_20"</f>
        <v>Диагностика.TREI.CPU_1.DIAG_20</v>
      </c>
      <c r="B1310" s="11">
        <v>2</v>
      </c>
      <c r="C1310" s="11" t="s">
        <v>2</v>
      </c>
      <c r="D1310" s="20" t="s">
        <v>3</v>
      </c>
    </row>
    <row r="1311" spans="1:4">
      <c r="A1311" s="21" t="str">
        <f>$R$2&amp;"."&amp;'Конфигурация TREI'!$A$2&amp;"_1.DIAG_20"</f>
        <v>Диагностика.TREI.CPU_1.DIAG_20</v>
      </c>
      <c r="B1311" s="8">
        <v>1</v>
      </c>
      <c r="C1311" s="8" t="s">
        <v>1</v>
      </c>
      <c r="D1311" s="22">
        <v>11</v>
      </c>
    </row>
    <row r="1312" spans="1:4">
      <c r="A1312" s="159" t="str">
        <f>$R$2&amp;"."&amp;'Конфигурация TREI'!$A$2&amp;"_1.DIAG_21"</f>
        <v>Диагностика.TREI.CPU_1.DIAG_21</v>
      </c>
      <c r="B1312" s="160">
        <v>11154</v>
      </c>
      <c r="C1312" s="160" t="s">
        <v>4</v>
      </c>
      <c r="D1312" s="161">
        <f>$Q$8</f>
        <v>18</v>
      </c>
    </row>
    <row r="1313" spans="1:4">
      <c r="A1313" s="100" t="str">
        <f>$R$2&amp;"."&amp;'Конфигурация TREI'!$A$2&amp;"_1.DIAG_21"</f>
        <v>Диагностика.TREI.CPU_1.DIAG_21</v>
      </c>
      <c r="B1313" s="101">
        <v>11152</v>
      </c>
      <c r="C1313" s="101" t="s">
        <v>0</v>
      </c>
      <c r="D1313" s="104" t="str">
        <f>$R$8</f>
        <v>Телесигнализация</v>
      </c>
    </row>
    <row r="1314" spans="1:4">
      <c r="A1314" s="100" t="str">
        <f>$R$2&amp;"."&amp;'Конфигурация TREI'!$A$2&amp;"_1.DIAG_21"</f>
        <v>Диагностика.TREI.CPU_1.DIAG_21</v>
      </c>
      <c r="B1314" s="101">
        <v>11150</v>
      </c>
      <c r="C1314" s="101" t="s">
        <v>0</v>
      </c>
      <c r="D1314" s="103" t="s">
        <v>1405</v>
      </c>
    </row>
    <row r="1315" spans="1:4">
      <c r="A1315" s="100" t="str">
        <f>$R$2&amp;"."&amp;'Конфигурация TREI'!$A$2&amp;"_1.DIAG_21"</f>
        <v>Диагностика.TREI.CPU_1.DIAG_21</v>
      </c>
      <c r="B1315" s="101">
        <v>11000</v>
      </c>
      <c r="C1315" s="101" t="s">
        <v>5</v>
      </c>
      <c r="D1315" s="103">
        <v>2147483680</v>
      </c>
    </row>
    <row r="1316" spans="1:4">
      <c r="A1316" s="19" t="str">
        <f>$R$2&amp;"."&amp;'Конфигурация TREI'!$A$2&amp;"_1.DIAG_21"</f>
        <v>Диагностика.TREI.CPU_1.DIAG_21</v>
      </c>
      <c r="B1316" s="11">
        <v>7999</v>
      </c>
      <c r="C1316" s="11" t="s">
        <v>0</v>
      </c>
      <c r="D1316" s="20" t="str">
        <f>"#"&amp;$S$2&amp;"#"&amp;$T$2&amp;IF($S$7="","","\")&amp;$S$7&amp;"\"&amp;'Конфигурация TREI'!$A$2&amp;"_1\DIAG_21"</f>
        <v>#2#treiOPCDA.CoOPCserv.1\pcmaster\CPU_1\DIAG_21</v>
      </c>
    </row>
    <row r="1317" spans="1:4">
      <c r="A1317" s="19" t="str">
        <f>$R$2&amp;"."&amp;'Конфигурация TREI'!$A$2&amp;"_1.DIAG_21"</f>
        <v>Диагностика.TREI.CPU_1.DIAG_21</v>
      </c>
      <c r="B1317" s="11">
        <v>7998</v>
      </c>
      <c r="C1317" s="11" t="s">
        <v>6</v>
      </c>
      <c r="D1317" s="20">
        <v>1</v>
      </c>
    </row>
    <row r="1318" spans="1:4">
      <c r="A1318" s="19" t="str">
        <f>$R$2&amp;"."&amp;'Конфигурация TREI'!$A$2&amp;"_1.DIAG_21"</f>
        <v>Диагностика.TREI.CPU_1.DIAG_21</v>
      </c>
      <c r="B1318" s="11">
        <v>101</v>
      </c>
      <c r="C1318" s="11" t="s">
        <v>0</v>
      </c>
      <c r="D1318" s="20" t="s">
        <v>1405</v>
      </c>
    </row>
    <row r="1319" spans="1:4">
      <c r="A1319" s="19" t="str">
        <f>$R$2&amp;"."&amp;'Конфигурация TREI'!$A$2&amp;"_1.DIAG_21"</f>
        <v>Диагностика.TREI.CPU_1.DIAG_21</v>
      </c>
      <c r="B1319" s="11">
        <v>3</v>
      </c>
      <c r="C1319" s="11" t="s">
        <v>1</v>
      </c>
      <c r="D1319" s="20">
        <v>192</v>
      </c>
    </row>
    <row r="1320" spans="1:4">
      <c r="A1320" s="19" t="str">
        <f>$R$2&amp;"."&amp;'Конфигурация TREI'!$A$2&amp;"_1.DIAG_21"</f>
        <v>Диагностика.TREI.CPU_1.DIAG_21</v>
      </c>
      <c r="B1320" s="11">
        <v>2</v>
      </c>
      <c r="C1320" s="11" t="s">
        <v>2</v>
      </c>
      <c r="D1320" s="20" t="s">
        <v>3</v>
      </c>
    </row>
    <row r="1321" spans="1:4">
      <c r="A1321" s="21" t="str">
        <f>$R$2&amp;"."&amp;'Конфигурация TREI'!$A$2&amp;"_1.DIAG_21"</f>
        <v>Диагностика.TREI.CPU_1.DIAG_21</v>
      </c>
      <c r="B1321" s="8">
        <v>1</v>
      </c>
      <c r="C1321" s="8" t="s">
        <v>1</v>
      </c>
      <c r="D1321" s="22">
        <v>11</v>
      </c>
    </row>
    <row r="1322" spans="1:4">
      <c r="A1322" s="159" t="str">
        <f>$R$2&amp;"."&amp;'Конфигурация TREI'!$A$2&amp;"_1.DIAG_22"</f>
        <v>Диагностика.TREI.CPU_1.DIAG_22</v>
      </c>
      <c r="B1322" s="160">
        <v>11154</v>
      </c>
      <c r="C1322" s="160" t="s">
        <v>4</v>
      </c>
      <c r="D1322" s="161">
        <f>$Q$8</f>
        <v>18</v>
      </c>
    </row>
    <row r="1323" spans="1:4">
      <c r="A1323" s="100" t="str">
        <f>$R$2&amp;"."&amp;'Конфигурация TREI'!$A$2&amp;"_1.DIAG_22"</f>
        <v>Диагностика.TREI.CPU_1.DIAG_22</v>
      </c>
      <c r="B1323" s="101">
        <v>11152</v>
      </c>
      <c r="C1323" s="101" t="s">
        <v>0</v>
      </c>
      <c r="D1323" s="104" t="str">
        <f>$R$8</f>
        <v>Телесигнализация</v>
      </c>
    </row>
    <row r="1324" spans="1:4">
      <c r="A1324" s="100" t="str">
        <f>$R$2&amp;"."&amp;'Конфигурация TREI'!$A$2&amp;"_1.DIAG_22"</f>
        <v>Диагностика.TREI.CPU_1.DIAG_22</v>
      </c>
      <c r="B1324" s="101">
        <v>11150</v>
      </c>
      <c r="C1324" s="101" t="s">
        <v>0</v>
      </c>
      <c r="D1324" s="103" t="s">
        <v>812</v>
      </c>
    </row>
    <row r="1325" spans="1:4">
      <c r="A1325" s="100" t="str">
        <f>$R$2&amp;"."&amp;'Конфигурация TREI'!$A$2&amp;"_1.DIAG_22"</f>
        <v>Диагностика.TREI.CPU_1.DIAG_22</v>
      </c>
      <c r="B1325" s="101">
        <v>11000</v>
      </c>
      <c r="C1325" s="101" t="s">
        <v>5</v>
      </c>
      <c r="D1325" s="103">
        <v>2147483680</v>
      </c>
    </row>
    <row r="1326" spans="1:4">
      <c r="A1326" s="19" t="str">
        <f>$R$2&amp;"."&amp;'Конфигурация TREI'!$A$2&amp;"_1.DIAG_22"</f>
        <v>Диагностика.TREI.CPU_1.DIAG_22</v>
      </c>
      <c r="B1326" s="11">
        <v>7999</v>
      </c>
      <c r="C1326" s="11" t="s">
        <v>0</v>
      </c>
      <c r="D1326" s="20" t="str">
        <f>"#"&amp;$S$2&amp;"#"&amp;$T$2&amp;IF($S$7="","","\")&amp;$S$7&amp;"\"&amp;'Конфигурация TREI'!$A$2&amp;"_1\DIAG_22"</f>
        <v>#2#treiOPCDA.CoOPCserv.1\pcmaster\CPU_1\DIAG_22</v>
      </c>
    </row>
    <row r="1327" spans="1:4">
      <c r="A1327" s="19" t="str">
        <f>$R$2&amp;"."&amp;'Конфигурация TREI'!$A$2&amp;"_1.DIAG_22"</f>
        <v>Диагностика.TREI.CPU_1.DIAG_22</v>
      </c>
      <c r="B1327" s="11">
        <v>7998</v>
      </c>
      <c r="C1327" s="11" t="s">
        <v>6</v>
      </c>
      <c r="D1327" s="20">
        <v>1</v>
      </c>
    </row>
    <row r="1328" spans="1:4">
      <c r="A1328" s="19" t="str">
        <f>$R$2&amp;"."&amp;'Конфигурация TREI'!$A$2&amp;"_1.DIAG_22"</f>
        <v>Диагностика.TREI.CPU_1.DIAG_22</v>
      </c>
      <c r="B1328" s="11">
        <v>101</v>
      </c>
      <c r="C1328" s="11" t="s">
        <v>0</v>
      </c>
      <c r="D1328" s="20" t="s">
        <v>812</v>
      </c>
    </row>
    <row r="1329" spans="1:4">
      <c r="A1329" s="19" t="str">
        <f>$R$2&amp;"."&amp;'Конфигурация TREI'!$A$2&amp;"_1.DIAG_22"</f>
        <v>Диагностика.TREI.CPU_1.DIAG_22</v>
      </c>
      <c r="B1329" s="11">
        <v>3</v>
      </c>
      <c r="C1329" s="11" t="s">
        <v>1</v>
      </c>
      <c r="D1329" s="20">
        <v>192</v>
      </c>
    </row>
    <row r="1330" spans="1:4">
      <c r="A1330" s="19" t="str">
        <f>$R$2&amp;"."&amp;'Конфигурация TREI'!$A$2&amp;"_1.DIAG_22"</f>
        <v>Диагностика.TREI.CPU_1.DIAG_22</v>
      </c>
      <c r="B1330" s="11">
        <v>2</v>
      </c>
      <c r="C1330" s="11" t="s">
        <v>2</v>
      </c>
      <c r="D1330" s="20" t="s">
        <v>3</v>
      </c>
    </row>
    <row r="1331" spans="1:4">
      <c r="A1331" s="21" t="str">
        <f>$R$2&amp;"."&amp;'Конфигурация TREI'!$A$2&amp;"_1.DIAG_22"</f>
        <v>Диагностика.TREI.CPU_1.DIAG_22</v>
      </c>
      <c r="B1331" s="8">
        <v>1</v>
      </c>
      <c r="C1331" s="8" t="s">
        <v>1</v>
      </c>
      <c r="D1331" s="22">
        <v>11</v>
      </c>
    </row>
    <row r="1332" spans="1:4">
      <c r="A1332" s="69" t="str">
        <f>$R$2&amp;"."&amp;'Конфигурация TREI'!$A$2&amp;"_1.DIAG_24"</f>
        <v>Диагностика.TREI.CPU_1.DIAG_24</v>
      </c>
      <c r="B1332" s="70">
        <v>11154</v>
      </c>
      <c r="C1332" s="70" t="s">
        <v>4</v>
      </c>
      <c r="D1332" s="144">
        <f>$Q$6</f>
        <v>8</v>
      </c>
    </row>
    <row r="1333" spans="1:4">
      <c r="A1333" s="63" t="str">
        <f>$R$2&amp;"."&amp;'Конфигурация TREI'!$A$2&amp;"_1.DIAG_24"</f>
        <v>Диагностика.TREI.CPU_1.DIAG_24</v>
      </c>
      <c r="B1333" s="64">
        <v>11152</v>
      </c>
      <c r="C1333" s="64" t="s">
        <v>0</v>
      </c>
      <c r="D1333" s="129" t="str">
        <f>$R$6</f>
        <v>Предупреждение</v>
      </c>
    </row>
    <row r="1334" spans="1:4">
      <c r="A1334" s="63" t="str">
        <f>$R$2&amp;"."&amp;'Конфигурация TREI'!$A$2&amp;"_1.DIAG_24"</f>
        <v>Диагностика.TREI.CPU_1.DIAG_24</v>
      </c>
      <c r="B1334" s="64">
        <v>11150</v>
      </c>
      <c r="C1334" s="64" t="s">
        <v>0</v>
      </c>
      <c r="D1334" s="65" t="s">
        <v>813</v>
      </c>
    </row>
    <row r="1335" spans="1:4">
      <c r="A1335" s="63" t="str">
        <f>$R$2&amp;"."&amp;'Конфигурация TREI'!$A$2&amp;"_1.DIAG_24"</f>
        <v>Диагностика.TREI.CPU_1.DIAG_24</v>
      </c>
      <c r="B1335" s="64">
        <v>11000</v>
      </c>
      <c r="C1335" s="64" t="s">
        <v>5</v>
      </c>
      <c r="D1335" s="65">
        <v>2147483680</v>
      </c>
    </row>
    <row r="1336" spans="1:4">
      <c r="A1336" s="19" t="str">
        <f>$R$2&amp;"."&amp;'Конфигурация TREI'!$A$2&amp;"_1.DIAG_24"</f>
        <v>Диагностика.TREI.CPU_1.DIAG_24</v>
      </c>
      <c r="B1336" s="11">
        <v>7999</v>
      </c>
      <c r="C1336" s="11" t="s">
        <v>0</v>
      </c>
      <c r="D1336" s="20" t="str">
        <f>"#"&amp;$S$2&amp;"#"&amp;$T$2&amp;IF($S$7="","","\")&amp;$S$7&amp;"\"&amp;'Конфигурация TREI'!$A$2&amp;"_1\DIAG_24"</f>
        <v>#2#treiOPCDA.CoOPCserv.1\pcmaster\CPU_1\DIAG_24</v>
      </c>
    </row>
    <row r="1337" spans="1:4">
      <c r="A1337" s="19" t="str">
        <f>$R$2&amp;"."&amp;'Конфигурация TREI'!$A$2&amp;"_1.DIAG_24"</f>
        <v>Диагностика.TREI.CPU_1.DIAG_24</v>
      </c>
      <c r="B1337" s="11">
        <v>7998</v>
      </c>
      <c r="C1337" s="11" t="s">
        <v>6</v>
      </c>
      <c r="D1337" s="20">
        <v>1</v>
      </c>
    </row>
    <row r="1338" spans="1:4">
      <c r="A1338" s="19" t="str">
        <f>$R$2&amp;"."&amp;'Конфигурация TREI'!$A$2&amp;"_1.DIAG_24"</f>
        <v>Диагностика.TREI.CPU_1.DIAG_24</v>
      </c>
      <c r="B1338" s="11">
        <v>101</v>
      </c>
      <c r="C1338" s="11" t="s">
        <v>0</v>
      </c>
      <c r="D1338" s="20" t="s">
        <v>813</v>
      </c>
    </row>
    <row r="1339" spans="1:4">
      <c r="A1339" s="19" t="str">
        <f>$R$2&amp;"."&amp;'Конфигурация TREI'!$A$2&amp;"_1.DIAG_24"</f>
        <v>Диагностика.TREI.CPU_1.DIAG_24</v>
      </c>
      <c r="B1339" s="11">
        <v>3</v>
      </c>
      <c r="C1339" s="11" t="s">
        <v>1</v>
      </c>
      <c r="D1339" s="20">
        <v>192</v>
      </c>
    </row>
    <row r="1340" spans="1:4">
      <c r="A1340" s="19" t="str">
        <f>$R$2&amp;"."&amp;'Конфигурация TREI'!$A$2&amp;"_1.DIAG_24"</f>
        <v>Диагностика.TREI.CPU_1.DIAG_24</v>
      </c>
      <c r="B1340" s="11">
        <v>2</v>
      </c>
      <c r="C1340" s="11" t="s">
        <v>2</v>
      </c>
      <c r="D1340" s="20" t="s">
        <v>3</v>
      </c>
    </row>
    <row r="1341" spans="1:4">
      <c r="A1341" s="21" t="str">
        <f>$R$2&amp;"."&amp;'Конфигурация TREI'!$A$2&amp;"_1.DIAG_24"</f>
        <v>Диагностика.TREI.CPU_1.DIAG_24</v>
      </c>
      <c r="B1341" s="8">
        <v>1</v>
      </c>
      <c r="C1341" s="8" t="s">
        <v>1</v>
      </c>
      <c r="D1341" s="22">
        <v>11</v>
      </c>
    </row>
    <row r="1342" spans="1:4">
      <c r="A1342" s="69" t="str">
        <f>$R$2&amp;"."&amp;'Конфигурация TREI'!$A$2&amp;"_1.DIAG_25"</f>
        <v>Диагностика.TREI.CPU_1.DIAG_25</v>
      </c>
      <c r="B1342" s="70">
        <v>11154</v>
      </c>
      <c r="C1342" s="70" t="s">
        <v>4</v>
      </c>
      <c r="D1342" s="144">
        <f>$Q$6</f>
        <v>8</v>
      </c>
    </row>
    <row r="1343" spans="1:4">
      <c r="A1343" s="63" t="str">
        <f>$R$2&amp;"."&amp;'Конфигурация TREI'!$A$2&amp;"_1.DIAG_25"</f>
        <v>Диагностика.TREI.CPU_1.DIAG_25</v>
      </c>
      <c r="B1343" s="64">
        <v>11152</v>
      </c>
      <c r="C1343" s="64" t="s">
        <v>0</v>
      </c>
      <c r="D1343" s="129" t="str">
        <f>$R$6</f>
        <v>Предупреждение</v>
      </c>
    </row>
    <row r="1344" spans="1:4">
      <c r="A1344" s="63" t="str">
        <f>$R$2&amp;"."&amp;'Конфигурация TREI'!$A$2&amp;"_1.DIAG_25"</f>
        <v>Диагностика.TREI.CPU_1.DIAG_25</v>
      </c>
      <c r="B1344" s="64">
        <v>11150</v>
      </c>
      <c r="C1344" s="64" t="s">
        <v>0</v>
      </c>
      <c r="D1344" s="65" t="s">
        <v>814</v>
      </c>
    </row>
    <row r="1345" spans="1:4">
      <c r="A1345" s="63" t="str">
        <f>$R$2&amp;"."&amp;'Конфигурация TREI'!$A$2&amp;"_1.DIAG_25"</f>
        <v>Диагностика.TREI.CPU_1.DIAG_25</v>
      </c>
      <c r="B1345" s="64">
        <v>11000</v>
      </c>
      <c r="C1345" s="64" t="s">
        <v>5</v>
      </c>
      <c r="D1345" s="65">
        <v>2147483680</v>
      </c>
    </row>
    <row r="1346" spans="1:4">
      <c r="A1346" s="19" t="str">
        <f>$R$2&amp;"."&amp;'Конфигурация TREI'!$A$2&amp;"_1.DIAG_25"</f>
        <v>Диагностика.TREI.CPU_1.DIAG_25</v>
      </c>
      <c r="B1346" s="11">
        <v>7999</v>
      </c>
      <c r="C1346" s="11" t="s">
        <v>0</v>
      </c>
      <c r="D1346" s="20" t="str">
        <f>"#"&amp;$S$2&amp;"#"&amp;$T$2&amp;IF($S$7="","","\")&amp;$S$7&amp;"\"&amp;'Конфигурация TREI'!$A$2&amp;"_1\DIAG_25"</f>
        <v>#2#treiOPCDA.CoOPCserv.1\pcmaster\CPU_1\DIAG_25</v>
      </c>
    </row>
    <row r="1347" spans="1:4">
      <c r="A1347" s="19" t="str">
        <f>$R$2&amp;"."&amp;'Конфигурация TREI'!$A$2&amp;"_1.DIAG_25"</f>
        <v>Диагностика.TREI.CPU_1.DIAG_25</v>
      </c>
      <c r="B1347" s="11">
        <v>7998</v>
      </c>
      <c r="C1347" s="11" t="s">
        <v>6</v>
      </c>
      <c r="D1347" s="20">
        <v>1</v>
      </c>
    </row>
    <row r="1348" spans="1:4">
      <c r="A1348" s="19" t="str">
        <f>$R$2&amp;"."&amp;'Конфигурация TREI'!$A$2&amp;"_1.DIAG_25"</f>
        <v>Диагностика.TREI.CPU_1.DIAG_25</v>
      </c>
      <c r="B1348" s="11">
        <v>101</v>
      </c>
      <c r="C1348" s="11" t="s">
        <v>0</v>
      </c>
      <c r="D1348" s="20" t="s">
        <v>814</v>
      </c>
    </row>
    <row r="1349" spans="1:4">
      <c r="A1349" s="19" t="str">
        <f>$R$2&amp;"."&amp;'Конфигурация TREI'!$A$2&amp;"_1.DIAG_25"</f>
        <v>Диагностика.TREI.CPU_1.DIAG_25</v>
      </c>
      <c r="B1349" s="11">
        <v>3</v>
      </c>
      <c r="C1349" s="11" t="s">
        <v>1</v>
      </c>
      <c r="D1349" s="20">
        <v>192</v>
      </c>
    </row>
    <row r="1350" spans="1:4">
      <c r="A1350" s="19" t="str">
        <f>$R$2&amp;"."&amp;'Конфигурация TREI'!$A$2&amp;"_1.DIAG_25"</f>
        <v>Диагностика.TREI.CPU_1.DIAG_25</v>
      </c>
      <c r="B1350" s="11">
        <v>2</v>
      </c>
      <c r="C1350" s="11" t="s">
        <v>2</v>
      </c>
      <c r="D1350" s="20" t="s">
        <v>3</v>
      </c>
    </row>
    <row r="1351" spans="1:4">
      <c r="A1351" s="21" t="str">
        <f>$R$2&amp;"."&amp;'Конфигурация TREI'!$A$2&amp;"_1.DIAG_25"</f>
        <v>Диагностика.TREI.CPU_1.DIAG_25</v>
      </c>
      <c r="B1351" s="8">
        <v>1</v>
      </c>
      <c r="C1351" s="8" t="s">
        <v>1</v>
      </c>
      <c r="D1351" s="22">
        <v>11</v>
      </c>
    </row>
    <row r="1352" spans="1:4">
      <c r="A1352" s="159" t="str">
        <f>$R$2&amp;"."&amp;'Конфигурация TREI'!$A$2&amp;"_1.DIAG_26"</f>
        <v>Диагностика.TREI.CPU_1.DIAG_26</v>
      </c>
      <c r="B1352" s="160">
        <v>11154</v>
      </c>
      <c r="C1352" s="160" t="s">
        <v>4</v>
      </c>
      <c r="D1352" s="161">
        <f>$Q$8</f>
        <v>18</v>
      </c>
    </row>
    <row r="1353" spans="1:4">
      <c r="A1353" s="100" t="str">
        <f>$R$2&amp;"."&amp;'Конфигурация TREI'!$A$2&amp;"_1.DIAG_26"</f>
        <v>Диагностика.TREI.CPU_1.DIAG_26</v>
      </c>
      <c r="B1353" s="101">
        <v>11152</v>
      </c>
      <c r="C1353" s="101" t="s">
        <v>0</v>
      </c>
      <c r="D1353" s="104" t="str">
        <f>$R$8</f>
        <v>Телесигнализация</v>
      </c>
    </row>
    <row r="1354" spans="1:4">
      <c r="A1354" s="100" t="str">
        <f>$R$2&amp;"."&amp;'Конфигурация TREI'!$A$2&amp;"_1.DIAG_26"</f>
        <v>Диагностика.TREI.CPU_1.DIAG_26</v>
      </c>
      <c r="B1354" s="101">
        <v>11150</v>
      </c>
      <c r="C1354" s="101" t="s">
        <v>0</v>
      </c>
      <c r="D1354" s="103" t="s">
        <v>1395</v>
      </c>
    </row>
    <row r="1355" spans="1:4">
      <c r="A1355" s="100" t="str">
        <f>$R$2&amp;"."&amp;'Конфигурация TREI'!$A$2&amp;"_1.DIAG_26"</f>
        <v>Диагностика.TREI.CPU_1.DIAG_26</v>
      </c>
      <c r="B1355" s="101">
        <v>11000</v>
      </c>
      <c r="C1355" s="101" t="s">
        <v>5</v>
      </c>
      <c r="D1355" s="103">
        <v>2147483680</v>
      </c>
    </row>
    <row r="1356" spans="1:4">
      <c r="A1356" s="19" t="str">
        <f>$R$2&amp;"."&amp;'Конфигурация TREI'!$A$2&amp;"_1.DIAG_26"</f>
        <v>Диагностика.TREI.CPU_1.DIAG_26</v>
      </c>
      <c r="B1356" s="11">
        <v>7999</v>
      </c>
      <c r="C1356" s="11" t="s">
        <v>0</v>
      </c>
      <c r="D1356" s="20" t="str">
        <f>"#"&amp;$S$2&amp;"#"&amp;$T$2&amp;IF($S$7="","","\")&amp;$S$7&amp;"\"&amp;'Конфигурация TREI'!$A$2&amp;"_1\DIAG_26"</f>
        <v>#2#treiOPCDA.CoOPCserv.1\pcmaster\CPU_1\DIAG_26</v>
      </c>
    </row>
    <row r="1357" spans="1:4">
      <c r="A1357" s="19" t="str">
        <f>$R$2&amp;"."&amp;'Конфигурация TREI'!$A$2&amp;"_1.DIAG_26"</f>
        <v>Диагностика.TREI.CPU_1.DIAG_26</v>
      </c>
      <c r="B1357" s="11">
        <v>7998</v>
      </c>
      <c r="C1357" s="11" t="s">
        <v>6</v>
      </c>
      <c r="D1357" s="20">
        <v>1</v>
      </c>
    </row>
    <row r="1358" spans="1:4">
      <c r="A1358" s="19" t="str">
        <f>$R$2&amp;"."&amp;'Конфигурация TREI'!$A$2&amp;"_1.DIAG_26"</f>
        <v>Диагностика.TREI.CPU_1.DIAG_26</v>
      </c>
      <c r="B1358" s="11">
        <v>101</v>
      </c>
      <c r="C1358" s="11" t="s">
        <v>0</v>
      </c>
      <c r="D1358" s="20" t="s">
        <v>1395</v>
      </c>
    </row>
    <row r="1359" spans="1:4">
      <c r="A1359" s="19" t="str">
        <f>$R$2&amp;"."&amp;'Конфигурация TREI'!$A$2&amp;"_1.DIAG_26"</f>
        <v>Диагностика.TREI.CPU_1.DIAG_26</v>
      </c>
      <c r="B1359" s="11">
        <v>3</v>
      </c>
      <c r="C1359" s="11" t="s">
        <v>1</v>
      </c>
      <c r="D1359" s="20">
        <v>192</v>
      </c>
    </row>
    <row r="1360" spans="1:4">
      <c r="A1360" s="19" t="str">
        <f>$R$2&amp;"."&amp;'Конфигурация TREI'!$A$2&amp;"_1.DIAG_26"</f>
        <v>Диагностика.TREI.CPU_1.DIAG_26</v>
      </c>
      <c r="B1360" s="11">
        <v>2</v>
      </c>
      <c r="C1360" s="11" t="s">
        <v>2</v>
      </c>
      <c r="D1360" s="20" t="s">
        <v>3</v>
      </c>
    </row>
    <row r="1361" spans="1:68">
      <c r="A1361" s="21" t="str">
        <f>$R$2&amp;"."&amp;'Конфигурация TREI'!$A$2&amp;"_1.DIAG_26"</f>
        <v>Диагностика.TREI.CPU_1.DIAG_26</v>
      </c>
      <c r="B1361" s="8">
        <v>1</v>
      </c>
      <c r="C1361" s="8" t="s">
        <v>1</v>
      </c>
      <c r="D1361" s="22">
        <v>11</v>
      </c>
    </row>
    <row r="1362" spans="1:68">
      <c r="A1362" s="159" t="str">
        <f>$R$2&amp;"."&amp;'Конфигурация TREI'!$A$2&amp;"_1.DIAG_29"</f>
        <v>Диагностика.TREI.CPU_1.DIAG_29</v>
      </c>
      <c r="B1362" s="160">
        <v>11154</v>
      </c>
      <c r="C1362" s="160" t="s">
        <v>4</v>
      </c>
      <c r="D1362" s="161">
        <f>$Q$8</f>
        <v>18</v>
      </c>
    </row>
    <row r="1363" spans="1:68">
      <c r="A1363" s="100" t="str">
        <f>$R$2&amp;"."&amp;'Конфигурация TREI'!$A$2&amp;"_1.DIAG_29"</f>
        <v>Диагностика.TREI.CPU_1.DIAG_29</v>
      </c>
      <c r="B1363" s="101">
        <v>11152</v>
      </c>
      <c r="C1363" s="101" t="s">
        <v>0</v>
      </c>
      <c r="D1363" s="104" t="str">
        <f>$R$8</f>
        <v>Телесигнализация</v>
      </c>
    </row>
    <row r="1364" spans="1:68">
      <c r="A1364" s="100" t="str">
        <f>$R$2&amp;"."&amp;'Конфигурация TREI'!$A$2&amp;"_1.DIAG_29"</f>
        <v>Диагностика.TREI.CPU_1.DIAG_29</v>
      </c>
      <c r="B1364" s="101">
        <v>11150</v>
      </c>
      <c r="C1364" s="101" t="s">
        <v>0</v>
      </c>
      <c r="D1364" s="103" t="s">
        <v>1396</v>
      </c>
    </row>
    <row r="1365" spans="1:68">
      <c r="A1365" s="100" t="str">
        <f>$R$2&amp;"."&amp;'Конфигурация TREI'!$A$2&amp;"_1.DIAG_29"</f>
        <v>Диагностика.TREI.CPU_1.DIAG_29</v>
      </c>
      <c r="B1365" s="101">
        <v>11000</v>
      </c>
      <c r="C1365" s="101" t="s">
        <v>5</v>
      </c>
      <c r="D1365" s="103">
        <v>2147483680</v>
      </c>
    </row>
    <row r="1366" spans="1:68">
      <c r="A1366" s="19" t="str">
        <f>$R$2&amp;"."&amp;'Конфигурация TREI'!$A$2&amp;"_1.DIAG_29"</f>
        <v>Диагностика.TREI.CPU_1.DIAG_29</v>
      </c>
      <c r="B1366" s="11">
        <v>7999</v>
      </c>
      <c r="C1366" s="11" t="s">
        <v>0</v>
      </c>
      <c r="D1366" s="20" t="str">
        <f>"#"&amp;$S$2&amp;"#"&amp;$T$2&amp;IF($S$7="","","\")&amp;$S$7&amp;"\"&amp;'Конфигурация TREI'!$A$2&amp;"_1\DIAG_29"</f>
        <v>#2#treiOPCDA.CoOPCserv.1\pcmaster\CPU_1\DIAG_29</v>
      </c>
    </row>
    <row r="1367" spans="1:68">
      <c r="A1367" s="19" t="str">
        <f>$R$2&amp;"."&amp;'Конфигурация TREI'!$A$2&amp;"_1.DIAG_29"</f>
        <v>Диагностика.TREI.CPU_1.DIAG_29</v>
      </c>
      <c r="B1367" s="11">
        <v>7998</v>
      </c>
      <c r="C1367" s="11" t="s">
        <v>6</v>
      </c>
      <c r="D1367" s="20">
        <v>1</v>
      </c>
    </row>
    <row r="1368" spans="1:68">
      <c r="A1368" s="19" t="str">
        <f>$R$2&amp;"."&amp;'Конфигурация TREI'!$A$2&amp;"_1.DIAG_29"</f>
        <v>Диагностика.TREI.CPU_1.DIAG_29</v>
      </c>
      <c r="B1368" s="11">
        <v>101</v>
      </c>
      <c r="C1368" s="11" t="s">
        <v>0</v>
      </c>
      <c r="D1368" s="20" t="s">
        <v>1396</v>
      </c>
    </row>
    <row r="1369" spans="1:68">
      <c r="A1369" s="19" t="str">
        <f>$R$2&amp;"."&amp;'Конфигурация TREI'!$A$2&amp;"_1.DIAG_29"</f>
        <v>Диагностика.TREI.CPU_1.DIAG_29</v>
      </c>
      <c r="B1369" s="11">
        <v>3</v>
      </c>
      <c r="C1369" s="11" t="s">
        <v>1</v>
      </c>
      <c r="D1369" s="20">
        <v>192</v>
      </c>
    </row>
    <row r="1370" spans="1:68">
      <c r="A1370" s="19" t="str">
        <f>$R$2&amp;"."&amp;'Конфигурация TREI'!$A$2&amp;"_1.DIAG_29"</f>
        <v>Диагностика.TREI.CPU_1.DIAG_29</v>
      </c>
      <c r="B1370" s="11">
        <v>2</v>
      </c>
      <c r="C1370" s="11" t="s">
        <v>2</v>
      </c>
      <c r="D1370" s="20" t="s">
        <v>3</v>
      </c>
    </row>
    <row r="1371" spans="1:68">
      <c r="A1371" s="19" t="str">
        <f>$R$2&amp;"."&amp;'Конфигурация TREI'!$A$2&amp;"_1.DIAG_29"</f>
        <v>Диагностика.TREI.CPU_1.DIAG_29</v>
      </c>
      <c r="B1371" s="11">
        <v>1</v>
      </c>
      <c r="C1371" s="11" t="s">
        <v>1</v>
      </c>
      <c r="D1371" s="20">
        <v>11</v>
      </c>
    </row>
    <row r="1372" spans="1:68" ht="15" customHeight="1">
      <c r="A1372" s="16" t="str">
        <f>$R$2&amp;"."&amp;'Конфигурация TREI'!$A$2&amp;"_2"</f>
        <v>Диагностика.TREI.CPU_2</v>
      </c>
      <c r="B1372" s="17">
        <v>11001</v>
      </c>
      <c r="C1372" s="17" t="s">
        <v>0</v>
      </c>
      <c r="D1372" s="18" t="str">
        <f>$Q$2&amp;". Диагностика CPU (резервный)"</f>
        <v>Контроллер TREI. Диагностика CPU (резервный)</v>
      </c>
      <c r="BM1372" s="4"/>
      <c r="BN1372" s="4"/>
      <c r="BO1372" s="4"/>
      <c r="BP1372" s="4"/>
    </row>
    <row r="1373" spans="1:68" ht="15" customHeight="1">
      <c r="A1373" s="19" t="str">
        <f>$R$2&amp;"."&amp;'Конфигурация TREI'!$A$2&amp;"_2"</f>
        <v>Диагностика.TREI.CPU_2</v>
      </c>
      <c r="B1373" s="11">
        <v>11156</v>
      </c>
      <c r="C1373" s="11" t="s">
        <v>0</v>
      </c>
      <c r="D1373" s="20" t="str">
        <f>$V$2</f>
        <v>Тестовый экран</v>
      </c>
      <c r="BM1373" s="4"/>
      <c r="BN1373" s="4"/>
      <c r="BO1373" s="4"/>
      <c r="BP1373" s="4"/>
    </row>
    <row r="1374" spans="1:68" ht="15" customHeight="1">
      <c r="A1374" s="19" t="str">
        <f>$R$2&amp;"."&amp;'Конфигурация TREI'!$A$2&amp;"_2"</f>
        <v>Диагностика.TREI.CPU_2</v>
      </c>
      <c r="B1374" s="11">
        <v>1</v>
      </c>
      <c r="C1374" s="11" t="s">
        <v>1</v>
      </c>
      <c r="D1374" s="20">
        <v>17</v>
      </c>
      <c r="BM1374" s="4"/>
      <c r="BN1374" s="4"/>
      <c r="BO1374" s="4"/>
      <c r="BP1374" s="4"/>
    </row>
    <row r="1375" spans="1:68" ht="15" customHeight="1">
      <c r="A1375" s="19" t="str">
        <f>$R$2&amp;"."&amp;'Конфигурация TREI'!$A$2&amp;"_2"</f>
        <v>Диагностика.TREI.CPU_2</v>
      </c>
      <c r="B1375" s="11">
        <v>13</v>
      </c>
      <c r="C1375" s="11" t="s">
        <v>2</v>
      </c>
      <c r="D1375" s="20" t="s">
        <v>3</v>
      </c>
      <c r="BM1375" s="4"/>
      <c r="BN1375" s="4"/>
      <c r="BO1375" s="4"/>
      <c r="BP1375" s="4"/>
    </row>
    <row r="1376" spans="1:68" ht="15" customHeight="1">
      <c r="A1376" s="21" t="str">
        <f>$R$2&amp;"."&amp;'Конфигурация TREI'!$A$2&amp;"_2"</f>
        <v>Диагностика.TREI.CPU_2</v>
      </c>
      <c r="B1376" s="8">
        <v>3000013</v>
      </c>
      <c r="C1376" s="8" t="s">
        <v>0</v>
      </c>
      <c r="D1376" s="22" t="str">
        <f>'Конфигурация TREI'!$F$2</f>
        <v>Диагностика.CPU_2.NOT_LINK.noLink</v>
      </c>
      <c r="BM1376" s="4"/>
      <c r="BN1376" s="4"/>
      <c r="BO1376" s="4"/>
      <c r="BP1376" s="4"/>
    </row>
    <row r="1377" spans="1:4">
      <c r="A1377" s="63" t="str">
        <f>$R$2&amp;"."&amp;'Конфигурация TREI'!$A$2&amp;"_2.DIAG_1"</f>
        <v>Диагностика.TREI.CPU_2.DIAG_1</v>
      </c>
      <c r="B1377" s="64">
        <v>11154</v>
      </c>
      <c r="C1377" s="64" t="s">
        <v>4</v>
      </c>
      <c r="D1377" s="98">
        <f>$Q$6</f>
        <v>8</v>
      </c>
    </row>
    <row r="1378" spans="1:4">
      <c r="A1378" s="63" t="str">
        <f>$R$2&amp;"."&amp;'Конфигурация TREI'!$A$2&amp;"_2.DIAG_1"</f>
        <v>Диагностика.TREI.CPU_2.DIAG_1</v>
      </c>
      <c r="B1378" s="64">
        <v>11152</v>
      </c>
      <c r="C1378" s="64" t="s">
        <v>0</v>
      </c>
      <c r="D1378" s="129" t="str">
        <f>$R$6</f>
        <v>Предупреждение</v>
      </c>
    </row>
    <row r="1379" spans="1:4">
      <c r="A1379" s="63" t="str">
        <f>$R$2&amp;"."&amp;'Конфигурация TREI'!$A$2&amp;"_2.DIAG_1"</f>
        <v>Диагностика.TREI.CPU_2.DIAG_1</v>
      </c>
      <c r="B1379" s="64">
        <v>11150</v>
      </c>
      <c r="C1379" s="64" t="s">
        <v>0</v>
      </c>
      <c r="D1379" s="65" t="s">
        <v>797</v>
      </c>
    </row>
    <row r="1380" spans="1:4">
      <c r="A1380" s="63" t="str">
        <f>$R$2&amp;"."&amp;'Конфигурация TREI'!$A$2&amp;"_2.DIAG_1"</f>
        <v>Диагностика.TREI.CPU_2.DIAG_1</v>
      </c>
      <c r="B1380" s="64">
        <v>11000</v>
      </c>
      <c r="C1380" s="64" t="s">
        <v>5</v>
      </c>
      <c r="D1380" s="65">
        <v>2147483680</v>
      </c>
    </row>
    <row r="1381" spans="1:4">
      <c r="A1381" s="19" t="str">
        <f>$R$2&amp;"."&amp;'Конфигурация TREI'!$A$2&amp;"_2.DIAG_1"</f>
        <v>Диагностика.TREI.CPU_2.DIAG_1</v>
      </c>
      <c r="B1381" s="11">
        <v>7999</v>
      </c>
      <c r="C1381" s="11" t="s">
        <v>0</v>
      </c>
      <c r="D1381" s="20" t="str">
        <f>"#"&amp;$S$2&amp;"#"&amp;$T$2&amp;IF($S$7="","","\")&amp;$S$7&amp;"\"&amp;'Конфигурация TREI'!$A$2&amp;"_2\DIAG_1"</f>
        <v>#2#treiOPCDA.CoOPCserv.1\pcmaster\CPU_2\DIAG_1</v>
      </c>
    </row>
    <row r="1382" spans="1:4">
      <c r="A1382" s="19" t="str">
        <f>$R$2&amp;"."&amp;'Конфигурация TREI'!$A$2&amp;"_2.DIAG_1"</f>
        <v>Диагностика.TREI.CPU_2.DIAG_1</v>
      </c>
      <c r="B1382" s="11">
        <v>7998</v>
      </c>
      <c r="C1382" s="11" t="s">
        <v>6</v>
      </c>
      <c r="D1382" s="20">
        <v>1</v>
      </c>
    </row>
    <row r="1383" spans="1:4">
      <c r="A1383" s="19" t="str">
        <f>$R$2&amp;"."&amp;'Конфигурация TREI'!$A$2&amp;"_2.DIAG_1"</f>
        <v>Диагностика.TREI.CPU_2.DIAG_1</v>
      </c>
      <c r="B1383" s="11">
        <v>101</v>
      </c>
      <c r="C1383" s="11" t="s">
        <v>0</v>
      </c>
      <c r="D1383" s="20" t="s">
        <v>797</v>
      </c>
    </row>
    <row r="1384" spans="1:4">
      <c r="A1384" s="19" t="str">
        <f>$R$2&amp;"."&amp;'Конфигурация TREI'!$A$2&amp;"_2.DIAG_1"</f>
        <v>Диагностика.TREI.CPU_2.DIAG_1</v>
      </c>
      <c r="B1384" s="11">
        <v>3</v>
      </c>
      <c r="C1384" s="11" t="s">
        <v>1</v>
      </c>
      <c r="D1384" s="20">
        <v>192</v>
      </c>
    </row>
    <row r="1385" spans="1:4">
      <c r="A1385" s="19" t="str">
        <f>$R$2&amp;"."&amp;'Конфигурация TREI'!$A$2&amp;"_2.DIAG_1"</f>
        <v>Диагностика.TREI.CPU_2.DIAG_1</v>
      </c>
      <c r="B1385" s="11">
        <v>2</v>
      </c>
      <c r="C1385" s="11" t="s">
        <v>2</v>
      </c>
      <c r="D1385" s="20" t="s">
        <v>3</v>
      </c>
    </row>
    <row r="1386" spans="1:4">
      <c r="A1386" s="21" t="str">
        <f>$R$2&amp;"."&amp;'Конфигурация TREI'!$A$2&amp;"_2.DIAG_1"</f>
        <v>Диагностика.TREI.CPU_2.DIAG_1</v>
      </c>
      <c r="B1386" s="8">
        <v>1</v>
      </c>
      <c r="C1386" s="8" t="s">
        <v>1</v>
      </c>
      <c r="D1386" s="22">
        <v>11</v>
      </c>
    </row>
    <row r="1387" spans="1:4">
      <c r="A1387" s="69" t="str">
        <f>$R$2&amp;"."&amp;'Конфигурация TREI'!$A$2&amp;"_2.DIAG_2"</f>
        <v>Диагностика.TREI.CPU_2.DIAG_2</v>
      </c>
      <c r="B1387" s="70">
        <v>11154</v>
      </c>
      <c r="C1387" s="70" t="s">
        <v>4</v>
      </c>
      <c r="D1387" s="144">
        <f>$Q$6</f>
        <v>8</v>
      </c>
    </row>
    <row r="1388" spans="1:4">
      <c r="A1388" s="63" t="str">
        <f>$R$2&amp;"."&amp;'Конфигурация TREI'!$A$2&amp;"_2.DIAG_2"</f>
        <v>Диагностика.TREI.CPU_2.DIAG_2</v>
      </c>
      <c r="B1388" s="64">
        <v>11152</v>
      </c>
      <c r="C1388" s="64" t="s">
        <v>0</v>
      </c>
      <c r="D1388" s="129" t="str">
        <f>$R$6</f>
        <v>Предупреждение</v>
      </c>
    </row>
    <row r="1389" spans="1:4">
      <c r="A1389" s="63" t="str">
        <f>$R$2&amp;"."&amp;'Конфигурация TREI'!$A$2&amp;"_2.DIAG_2"</f>
        <v>Диагностика.TREI.CPU_2.DIAG_2</v>
      </c>
      <c r="B1389" s="64">
        <v>11150</v>
      </c>
      <c r="C1389" s="64" t="s">
        <v>0</v>
      </c>
      <c r="D1389" s="65" t="s">
        <v>798</v>
      </c>
    </row>
    <row r="1390" spans="1:4">
      <c r="A1390" s="63" t="str">
        <f>$R$2&amp;"."&amp;'Конфигурация TREI'!$A$2&amp;"_2.DIAG_2"</f>
        <v>Диагностика.TREI.CPU_2.DIAG_2</v>
      </c>
      <c r="B1390" s="64">
        <v>11000</v>
      </c>
      <c r="C1390" s="64" t="s">
        <v>5</v>
      </c>
      <c r="D1390" s="65">
        <v>2147483680</v>
      </c>
    </row>
    <row r="1391" spans="1:4">
      <c r="A1391" s="19" t="str">
        <f>$R$2&amp;"."&amp;'Конфигурация TREI'!$A$2&amp;"_2.DIAG_2"</f>
        <v>Диагностика.TREI.CPU_2.DIAG_2</v>
      </c>
      <c r="B1391" s="11">
        <v>7999</v>
      </c>
      <c r="C1391" s="11" t="s">
        <v>0</v>
      </c>
      <c r="D1391" s="20" t="str">
        <f>"#"&amp;$S$2&amp;"#"&amp;$T$2&amp;IF($S$7="","","\")&amp;$S$7&amp;"\"&amp;'Конфигурация TREI'!$A$2&amp;"_2\DIAG_2"</f>
        <v>#2#treiOPCDA.CoOPCserv.1\pcmaster\CPU_2\DIAG_2</v>
      </c>
    </row>
    <row r="1392" spans="1:4">
      <c r="A1392" s="19" t="str">
        <f>$R$2&amp;"."&amp;'Конфигурация TREI'!$A$2&amp;"_2.DIAG_2"</f>
        <v>Диагностика.TREI.CPU_2.DIAG_2</v>
      </c>
      <c r="B1392" s="11">
        <v>7998</v>
      </c>
      <c r="C1392" s="11" t="s">
        <v>6</v>
      </c>
      <c r="D1392" s="20">
        <v>1</v>
      </c>
    </row>
    <row r="1393" spans="1:4">
      <c r="A1393" s="19" t="str">
        <f>$R$2&amp;"."&amp;'Конфигурация TREI'!$A$2&amp;"_2.DIAG_2"</f>
        <v>Диагностика.TREI.CPU_2.DIAG_2</v>
      </c>
      <c r="B1393" s="11">
        <v>101</v>
      </c>
      <c r="C1393" s="11" t="s">
        <v>0</v>
      </c>
      <c r="D1393" s="20" t="s">
        <v>798</v>
      </c>
    </row>
    <row r="1394" spans="1:4">
      <c r="A1394" s="19" t="str">
        <f>$R$2&amp;"."&amp;'Конфигурация TREI'!$A$2&amp;"_2.DIAG_2"</f>
        <v>Диагностика.TREI.CPU_2.DIAG_2</v>
      </c>
      <c r="B1394" s="11">
        <v>3</v>
      </c>
      <c r="C1394" s="11" t="s">
        <v>1</v>
      </c>
      <c r="D1394" s="20">
        <v>192</v>
      </c>
    </row>
    <row r="1395" spans="1:4">
      <c r="A1395" s="19" t="str">
        <f>$R$2&amp;"."&amp;'Конфигурация TREI'!$A$2&amp;"_2.DIAG_2"</f>
        <v>Диагностика.TREI.CPU_2.DIAG_2</v>
      </c>
      <c r="B1395" s="11">
        <v>2</v>
      </c>
      <c r="C1395" s="11" t="s">
        <v>2</v>
      </c>
      <c r="D1395" s="20" t="s">
        <v>3</v>
      </c>
    </row>
    <row r="1396" spans="1:4">
      <c r="A1396" s="21" t="str">
        <f>$R$2&amp;"."&amp;'Конфигурация TREI'!$A$2&amp;"_2.DIAG_2"</f>
        <v>Диагностика.TREI.CPU_2.DIAG_2</v>
      </c>
      <c r="B1396" s="8">
        <v>1</v>
      </c>
      <c r="C1396" s="8" t="s">
        <v>1</v>
      </c>
      <c r="D1396" s="22">
        <v>11</v>
      </c>
    </row>
    <row r="1397" spans="1:4">
      <c r="A1397" s="69" t="str">
        <f>$R$2&amp;"."&amp;'Конфигурация TREI'!$A$2&amp;"_2.DIAG_3"</f>
        <v>Диагностика.TREI.CPU_2.DIAG_3</v>
      </c>
      <c r="B1397" s="70">
        <v>11154</v>
      </c>
      <c r="C1397" s="70" t="s">
        <v>4</v>
      </c>
      <c r="D1397" s="144">
        <f>$Q$6</f>
        <v>8</v>
      </c>
    </row>
    <row r="1398" spans="1:4">
      <c r="A1398" s="63" t="str">
        <f>$R$2&amp;"."&amp;'Конфигурация TREI'!$A$2&amp;"_2.DIAG_3"</f>
        <v>Диагностика.TREI.CPU_2.DIAG_3</v>
      </c>
      <c r="B1398" s="64">
        <v>11152</v>
      </c>
      <c r="C1398" s="64" t="s">
        <v>0</v>
      </c>
      <c r="D1398" s="129" t="str">
        <f>$R$6</f>
        <v>Предупреждение</v>
      </c>
    </row>
    <row r="1399" spans="1:4">
      <c r="A1399" s="63" t="str">
        <f>$R$2&amp;"."&amp;'Конфигурация TREI'!$A$2&amp;"_2.DIAG_3"</f>
        <v>Диагностика.TREI.CPU_2.DIAG_3</v>
      </c>
      <c r="B1399" s="64">
        <v>11150</v>
      </c>
      <c r="C1399" s="64" t="s">
        <v>0</v>
      </c>
      <c r="D1399" s="65" t="s">
        <v>799</v>
      </c>
    </row>
    <row r="1400" spans="1:4">
      <c r="A1400" s="63" t="str">
        <f>$R$2&amp;"."&amp;'Конфигурация TREI'!$A$2&amp;"_2.DIAG_3"</f>
        <v>Диагностика.TREI.CPU_2.DIAG_3</v>
      </c>
      <c r="B1400" s="64">
        <v>11000</v>
      </c>
      <c r="C1400" s="64" t="s">
        <v>5</v>
      </c>
      <c r="D1400" s="65">
        <v>2147483680</v>
      </c>
    </row>
    <row r="1401" spans="1:4">
      <c r="A1401" s="19" t="str">
        <f>$R$2&amp;"."&amp;'Конфигурация TREI'!$A$2&amp;"_2.DIAG_3"</f>
        <v>Диагностика.TREI.CPU_2.DIAG_3</v>
      </c>
      <c r="B1401" s="11">
        <v>7999</v>
      </c>
      <c r="C1401" s="11" t="s">
        <v>0</v>
      </c>
      <c r="D1401" s="20" t="str">
        <f>"#"&amp;$S$2&amp;"#"&amp;$T$2&amp;IF($S$7="","","\")&amp;$S$7&amp;"\"&amp;'Конфигурация TREI'!$A$2&amp;"_2\DIAG_3"</f>
        <v>#2#treiOPCDA.CoOPCserv.1\pcmaster\CPU_2\DIAG_3</v>
      </c>
    </row>
    <row r="1402" spans="1:4">
      <c r="A1402" s="19" t="str">
        <f>$R$2&amp;"."&amp;'Конфигурация TREI'!$A$2&amp;"_2.DIAG_3"</f>
        <v>Диагностика.TREI.CPU_2.DIAG_3</v>
      </c>
      <c r="B1402" s="11">
        <v>7998</v>
      </c>
      <c r="C1402" s="11" t="s">
        <v>6</v>
      </c>
      <c r="D1402" s="20">
        <v>1</v>
      </c>
    </row>
    <row r="1403" spans="1:4">
      <c r="A1403" s="19" t="str">
        <f>$R$2&amp;"."&amp;'Конфигурация TREI'!$A$2&amp;"_2.DIAG_3"</f>
        <v>Диагностика.TREI.CPU_2.DIAG_3</v>
      </c>
      <c r="B1403" s="11">
        <v>101</v>
      </c>
      <c r="C1403" s="11" t="s">
        <v>0</v>
      </c>
      <c r="D1403" s="20" t="s">
        <v>799</v>
      </c>
    </row>
    <row r="1404" spans="1:4">
      <c r="A1404" s="19" t="str">
        <f>$R$2&amp;"."&amp;'Конфигурация TREI'!$A$2&amp;"_2.DIAG_3"</f>
        <v>Диагностика.TREI.CPU_2.DIAG_3</v>
      </c>
      <c r="B1404" s="11">
        <v>3</v>
      </c>
      <c r="C1404" s="11" t="s">
        <v>1</v>
      </c>
      <c r="D1404" s="20">
        <v>192</v>
      </c>
    </row>
    <row r="1405" spans="1:4">
      <c r="A1405" s="19" t="str">
        <f>$R$2&amp;"."&amp;'Конфигурация TREI'!$A$2&amp;"_2.DIAG_3"</f>
        <v>Диагностика.TREI.CPU_2.DIAG_3</v>
      </c>
      <c r="B1405" s="11">
        <v>2</v>
      </c>
      <c r="C1405" s="11" t="s">
        <v>2</v>
      </c>
      <c r="D1405" s="20" t="s">
        <v>3</v>
      </c>
    </row>
    <row r="1406" spans="1:4">
      <c r="A1406" s="21" t="str">
        <f>$R$2&amp;"."&amp;'Конфигурация TREI'!$A$2&amp;"_2.DIAG_3"</f>
        <v>Диагностика.TREI.CPU_2.DIAG_3</v>
      </c>
      <c r="B1406" s="8">
        <v>1</v>
      </c>
      <c r="C1406" s="8" t="s">
        <v>1</v>
      </c>
      <c r="D1406" s="22">
        <v>11</v>
      </c>
    </row>
    <row r="1407" spans="1:4">
      <c r="A1407" s="69" t="str">
        <f>$R$2&amp;"."&amp;'Конфигурация TREI'!$A$2&amp;"_2.DIAG_4"</f>
        <v>Диагностика.TREI.CPU_2.DIAG_4</v>
      </c>
      <c r="B1407" s="70">
        <v>11154</v>
      </c>
      <c r="C1407" s="70" t="s">
        <v>4</v>
      </c>
      <c r="D1407" s="144">
        <f>$Q$6</f>
        <v>8</v>
      </c>
    </row>
    <row r="1408" spans="1:4">
      <c r="A1408" s="63" t="str">
        <f>$R$2&amp;"."&amp;'Конфигурация TREI'!$A$2&amp;"_2.DIAG_4"</f>
        <v>Диагностика.TREI.CPU_2.DIAG_4</v>
      </c>
      <c r="B1408" s="64">
        <v>11152</v>
      </c>
      <c r="C1408" s="64" t="s">
        <v>0</v>
      </c>
      <c r="D1408" s="129" t="str">
        <f>$R$6</f>
        <v>Предупреждение</v>
      </c>
    </row>
    <row r="1409" spans="1:4">
      <c r="A1409" s="63" t="str">
        <f>$R$2&amp;"."&amp;'Конфигурация TREI'!$A$2&amp;"_2.DIAG_4"</f>
        <v>Диагностика.TREI.CPU_2.DIAG_4</v>
      </c>
      <c r="B1409" s="64">
        <v>11150</v>
      </c>
      <c r="C1409" s="64" t="s">
        <v>0</v>
      </c>
      <c r="D1409" s="65" t="s">
        <v>1391</v>
      </c>
    </row>
    <row r="1410" spans="1:4">
      <c r="A1410" s="63" t="str">
        <f>$R$2&amp;"."&amp;'Конфигурация TREI'!$A$2&amp;"_2.DIAG_4"</f>
        <v>Диагностика.TREI.CPU_2.DIAG_4</v>
      </c>
      <c r="B1410" s="64">
        <v>11000</v>
      </c>
      <c r="C1410" s="64" t="s">
        <v>5</v>
      </c>
      <c r="D1410" s="65">
        <v>2147483680</v>
      </c>
    </row>
    <row r="1411" spans="1:4">
      <c r="A1411" s="19" t="str">
        <f>$R$2&amp;"."&amp;'Конфигурация TREI'!$A$2&amp;"_2.DIAG_4"</f>
        <v>Диагностика.TREI.CPU_2.DIAG_4</v>
      </c>
      <c r="B1411" s="11">
        <v>7999</v>
      </c>
      <c r="C1411" s="11" t="s">
        <v>0</v>
      </c>
      <c r="D1411" s="20" t="str">
        <f>"#"&amp;$S$2&amp;"#"&amp;$T$2&amp;IF($S$7="","","\")&amp;$S$7&amp;"\"&amp;'Конфигурация TREI'!$A$2&amp;"_2\DIAG_4"</f>
        <v>#2#treiOPCDA.CoOPCserv.1\pcmaster\CPU_2\DIAG_4</v>
      </c>
    </row>
    <row r="1412" spans="1:4">
      <c r="A1412" s="19" t="str">
        <f>$R$2&amp;"."&amp;'Конфигурация TREI'!$A$2&amp;"_2.DIAG_4"</f>
        <v>Диагностика.TREI.CPU_2.DIAG_4</v>
      </c>
      <c r="B1412" s="11">
        <v>7998</v>
      </c>
      <c r="C1412" s="11" t="s">
        <v>6</v>
      </c>
      <c r="D1412" s="20">
        <v>1</v>
      </c>
    </row>
    <row r="1413" spans="1:4">
      <c r="A1413" s="19" t="str">
        <f>$R$2&amp;"."&amp;'Конфигурация TREI'!$A$2&amp;"_2.DIAG_4"</f>
        <v>Диагностика.TREI.CPU_2.DIAG_4</v>
      </c>
      <c r="B1413" s="11">
        <v>101</v>
      </c>
      <c r="C1413" s="11" t="s">
        <v>0</v>
      </c>
      <c r="D1413" s="20" t="s">
        <v>1391</v>
      </c>
    </row>
    <row r="1414" spans="1:4">
      <c r="A1414" s="19" t="str">
        <f>$R$2&amp;"."&amp;'Конфигурация TREI'!$A$2&amp;"_2.DIAG_4"</f>
        <v>Диагностика.TREI.CPU_2.DIAG_4</v>
      </c>
      <c r="B1414" s="11">
        <v>3</v>
      </c>
      <c r="C1414" s="11" t="s">
        <v>1</v>
      </c>
      <c r="D1414" s="20">
        <v>192</v>
      </c>
    </row>
    <row r="1415" spans="1:4">
      <c r="A1415" s="19" t="str">
        <f>$R$2&amp;"."&amp;'Конфигурация TREI'!$A$2&amp;"_2.DIAG_4"</f>
        <v>Диагностика.TREI.CPU_2.DIAG_4</v>
      </c>
      <c r="B1415" s="11">
        <v>2</v>
      </c>
      <c r="C1415" s="11" t="s">
        <v>2</v>
      </c>
      <c r="D1415" s="20" t="s">
        <v>3</v>
      </c>
    </row>
    <row r="1416" spans="1:4">
      <c r="A1416" s="21" t="str">
        <f>$R$2&amp;"."&amp;'Конфигурация TREI'!$A$2&amp;"_2.DIAG_4"</f>
        <v>Диагностика.TREI.CPU_2.DIAG_4</v>
      </c>
      <c r="B1416" s="8">
        <v>1</v>
      </c>
      <c r="C1416" s="8" t="s">
        <v>1</v>
      </c>
      <c r="D1416" s="22">
        <v>11</v>
      </c>
    </row>
    <row r="1417" spans="1:4">
      <c r="A1417" s="69" t="str">
        <f>$R$2&amp;"."&amp;'Конфигурация TREI'!$A$2&amp;"_2.DIAG_6"</f>
        <v>Диагностика.TREI.CPU_2.DIAG_6</v>
      </c>
      <c r="B1417" s="70">
        <v>11154</v>
      </c>
      <c r="C1417" s="70" t="s">
        <v>4</v>
      </c>
      <c r="D1417" s="144">
        <f>$Q$6</f>
        <v>8</v>
      </c>
    </row>
    <row r="1418" spans="1:4">
      <c r="A1418" s="63" t="str">
        <f>$R$2&amp;"."&amp;'Конфигурация TREI'!$A$2&amp;"_2.DIAG_6"</f>
        <v>Диагностика.TREI.CPU_2.DIAG_6</v>
      </c>
      <c r="B1418" s="64">
        <v>11152</v>
      </c>
      <c r="C1418" s="64" t="s">
        <v>0</v>
      </c>
      <c r="D1418" s="129" t="str">
        <f>$R$6</f>
        <v>Предупреждение</v>
      </c>
    </row>
    <row r="1419" spans="1:4">
      <c r="A1419" s="63" t="str">
        <f>$R$2&amp;"."&amp;'Конфигурация TREI'!$A$2&amp;"_2.DIAG_6"</f>
        <v>Диагностика.TREI.CPU_2.DIAG_6</v>
      </c>
      <c r="B1419" s="64">
        <v>11150</v>
      </c>
      <c r="C1419" s="64" t="s">
        <v>0</v>
      </c>
      <c r="D1419" s="65" t="s">
        <v>800</v>
      </c>
    </row>
    <row r="1420" spans="1:4">
      <c r="A1420" s="63" t="str">
        <f>$R$2&amp;"."&amp;'Конфигурация TREI'!$A$2&amp;"_2.DIAG_6"</f>
        <v>Диагностика.TREI.CPU_2.DIAG_6</v>
      </c>
      <c r="B1420" s="64">
        <v>11000</v>
      </c>
      <c r="C1420" s="64" t="s">
        <v>5</v>
      </c>
      <c r="D1420" s="65">
        <v>2147483680</v>
      </c>
    </row>
    <row r="1421" spans="1:4">
      <c r="A1421" s="19" t="str">
        <f>$R$2&amp;"."&amp;'Конфигурация TREI'!$A$2&amp;"_2.DIAG_6"</f>
        <v>Диагностика.TREI.CPU_2.DIAG_6</v>
      </c>
      <c r="B1421" s="11">
        <v>7999</v>
      </c>
      <c r="C1421" s="11" t="s">
        <v>0</v>
      </c>
      <c r="D1421" s="20" t="str">
        <f>"#"&amp;$S$2&amp;"#"&amp;$T$2&amp;IF($S$7="","","\")&amp;$S$7&amp;"\"&amp;'Конфигурация TREI'!$A$2&amp;"_2\DIAG_6"</f>
        <v>#2#treiOPCDA.CoOPCserv.1\pcmaster\CPU_2\DIAG_6</v>
      </c>
    </row>
    <row r="1422" spans="1:4">
      <c r="A1422" s="19" t="str">
        <f>$R$2&amp;"."&amp;'Конфигурация TREI'!$A$2&amp;"_2.DIAG_6"</f>
        <v>Диагностика.TREI.CPU_2.DIAG_6</v>
      </c>
      <c r="B1422" s="11">
        <v>7998</v>
      </c>
      <c r="C1422" s="11" t="s">
        <v>6</v>
      </c>
      <c r="D1422" s="20">
        <v>1</v>
      </c>
    </row>
    <row r="1423" spans="1:4">
      <c r="A1423" s="19" t="str">
        <f>$R$2&amp;"."&amp;'Конфигурация TREI'!$A$2&amp;"_2.DIAG_6"</f>
        <v>Диагностика.TREI.CPU_2.DIAG_6</v>
      </c>
      <c r="B1423" s="11">
        <v>101</v>
      </c>
      <c r="C1423" s="11" t="s">
        <v>0</v>
      </c>
      <c r="D1423" s="20" t="s">
        <v>800</v>
      </c>
    </row>
    <row r="1424" spans="1:4">
      <c r="A1424" s="19" t="str">
        <f>$R$2&amp;"."&amp;'Конфигурация TREI'!$A$2&amp;"_2.DIAG_6"</f>
        <v>Диагностика.TREI.CPU_2.DIAG_6</v>
      </c>
      <c r="B1424" s="11">
        <v>3</v>
      </c>
      <c r="C1424" s="11" t="s">
        <v>1</v>
      </c>
      <c r="D1424" s="20">
        <v>192</v>
      </c>
    </row>
    <row r="1425" spans="1:16">
      <c r="A1425" s="19" t="str">
        <f>$R$2&amp;"."&amp;'Конфигурация TREI'!$A$2&amp;"_2.DIAG_6"</f>
        <v>Диагностика.TREI.CPU_2.DIAG_6</v>
      </c>
      <c r="B1425" s="11">
        <v>2</v>
      </c>
      <c r="C1425" s="11" t="s">
        <v>2</v>
      </c>
      <c r="D1425" s="20" t="s">
        <v>3</v>
      </c>
      <c r="E1425" s="1"/>
      <c r="F1425" s="1"/>
      <c r="G1425" s="1"/>
      <c r="H1425" s="1"/>
      <c r="I1425" s="1"/>
      <c r="J1425" s="1"/>
      <c r="K1425" s="1"/>
      <c r="L1425" s="1"/>
      <c r="M1425" s="1"/>
      <c r="N1425" s="1"/>
      <c r="O1425" s="1"/>
      <c r="P1425" s="1"/>
    </row>
    <row r="1426" spans="1:16">
      <c r="A1426" s="21" t="str">
        <f>$R$2&amp;"."&amp;'Конфигурация TREI'!$A$2&amp;"_2.DIAG_6"</f>
        <v>Диагностика.TREI.CPU_2.DIAG_6</v>
      </c>
      <c r="B1426" s="8">
        <v>1</v>
      </c>
      <c r="C1426" s="8" t="s">
        <v>1</v>
      </c>
      <c r="D1426" s="22">
        <v>11</v>
      </c>
      <c r="E1426" s="1"/>
      <c r="F1426" s="1"/>
      <c r="G1426" s="1"/>
      <c r="H1426" s="1"/>
      <c r="I1426" s="1"/>
      <c r="J1426" s="1"/>
      <c r="K1426" s="1"/>
      <c r="L1426" s="1"/>
      <c r="M1426" s="1"/>
      <c r="N1426" s="1"/>
      <c r="O1426" s="1"/>
      <c r="P1426" s="1"/>
    </row>
    <row r="1427" spans="1:16">
      <c r="A1427" s="69" t="str">
        <f>$R$2&amp;"."&amp;'Конфигурация TREI'!$A$2&amp;"_2.DIAG_7"</f>
        <v>Диагностика.TREI.CPU_2.DIAG_7</v>
      </c>
      <c r="B1427" s="70">
        <v>11154</v>
      </c>
      <c r="C1427" s="70" t="s">
        <v>4</v>
      </c>
      <c r="D1427" s="144">
        <f>$Q$6</f>
        <v>8</v>
      </c>
      <c r="E1427" s="1"/>
      <c r="F1427" s="1"/>
      <c r="G1427" s="1"/>
      <c r="H1427" s="1"/>
      <c r="I1427" s="1"/>
      <c r="J1427" s="1"/>
      <c r="K1427" s="1"/>
      <c r="L1427" s="1"/>
      <c r="M1427" s="1"/>
      <c r="N1427" s="1"/>
      <c r="O1427" s="1"/>
      <c r="P1427" s="1"/>
    </row>
    <row r="1428" spans="1:16">
      <c r="A1428" s="63" t="str">
        <f>$R$2&amp;"."&amp;'Конфигурация TREI'!$A$2&amp;"_2.DIAG_7"</f>
        <v>Диагностика.TREI.CPU_2.DIAG_7</v>
      </c>
      <c r="B1428" s="64">
        <v>11152</v>
      </c>
      <c r="C1428" s="64" t="s">
        <v>0</v>
      </c>
      <c r="D1428" s="129" t="str">
        <f>$R$6</f>
        <v>Предупреждение</v>
      </c>
      <c r="E1428" s="1"/>
      <c r="F1428" s="1"/>
      <c r="G1428" s="1"/>
      <c r="H1428" s="1"/>
      <c r="I1428" s="1"/>
      <c r="J1428" s="1"/>
      <c r="K1428" s="1"/>
      <c r="L1428" s="1"/>
      <c r="M1428" s="1"/>
      <c r="N1428" s="1"/>
      <c r="O1428" s="1"/>
      <c r="P1428" s="1"/>
    </row>
    <row r="1429" spans="1:16">
      <c r="A1429" s="63" t="str">
        <f>$R$2&amp;"."&amp;'Конфигурация TREI'!$A$2&amp;"_2.DIAG_7"</f>
        <v>Диагностика.TREI.CPU_2.DIAG_7</v>
      </c>
      <c r="B1429" s="64">
        <v>11150</v>
      </c>
      <c r="C1429" s="64" t="s">
        <v>0</v>
      </c>
      <c r="D1429" s="65" t="s">
        <v>801</v>
      </c>
      <c r="E1429" s="1"/>
      <c r="F1429" s="1"/>
      <c r="G1429" s="1"/>
      <c r="H1429" s="1"/>
      <c r="I1429" s="1"/>
      <c r="J1429" s="1"/>
      <c r="K1429" s="1"/>
      <c r="L1429" s="1"/>
      <c r="M1429" s="1"/>
      <c r="N1429" s="1"/>
      <c r="O1429" s="1"/>
      <c r="P1429" s="1"/>
    </row>
    <row r="1430" spans="1:16">
      <c r="A1430" s="63" t="str">
        <f>$R$2&amp;"."&amp;'Конфигурация TREI'!$A$2&amp;"_2.DIAG_7"</f>
        <v>Диагностика.TREI.CPU_2.DIAG_7</v>
      </c>
      <c r="B1430" s="64">
        <v>11000</v>
      </c>
      <c r="C1430" s="64" t="s">
        <v>5</v>
      </c>
      <c r="D1430" s="65">
        <v>2147483680</v>
      </c>
      <c r="E1430" s="1"/>
      <c r="F1430" s="1"/>
      <c r="G1430" s="1"/>
      <c r="H1430" s="1"/>
      <c r="I1430" s="1"/>
      <c r="J1430" s="1"/>
      <c r="K1430" s="1"/>
      <c r="L1430" s="1"/>
      <c r="M1430" s="1"/>
      <c r="N1430" s="1"/>
      <c r="O1430" s="1"/>
      <c r="P1430" s="1"/>
    </row>
    <row r="1431" spans="1:16">
      <c r="A1431" s="19" t="str">
        <f>$R$2&amp;"."&amp;'Конфигурация TREI'!$A$2&amp;"_2.DIAG_7"</f>
        <v>Диагностика.TREI.CPU_2.DIAG_7</v>
      </c>
      <c r="B1431" s="11">
        <v>7999</v>
      </c>
      <c r="C1431" s="11" t="s">
        <v>0</v>
      </c>
      <c r="D1431" s="20" t="str">
        <f>"#"&amp;$S$2&amp;"#"&amp;$T$2&amp;IF($S$7="","","\")&amp;$S$7&amp;"\"&amp;'Конфигурация TREI'!$A$2&amp;"_2\DIAG_7"</f>
        <v>#2#treiOPCDA.CoOPCserv.1\pcmaster\CPU_2\DIAG_7</v>
      </c>
      <c r="E1431" s="1"/>
      <c r="F1431" s="1"/>
      <c r="G1431" s="1"/>
      <c r="H1431" s="1"/>
      <c r="I1431" s="1"/>
      <c r="J1431" s="1"/>
      <c r="K1431" s="1"/>
      <c r="L1431" s="1"/>
      <c r="M1431" s="1"/>
      <c r="N1431" s="1"/>
      <c r="O1431" s="1"/>
      <c r="P1431" s="1"/>
    </row>
    <row r="1432" spans="1:16">
      <c r="A1432" s="19" t="str">
        <f>$R$2&amp;"."&amp;'Конфигурация TREI'!$A$2&amp;"_2.DIAG_7"</f>
        <v>Диагностика.TREI.CPU_2.DIAG_7</v>
      </c>
      <c r="B1432" s="11">
        <v>7998</v>
      </c>
      <c r="C1432" s="11" t="s">
        <v>6</v>
      </c>
      <c r="D1432" s="20">
        <v>1</v>
      </c>
      <c r="E1432" s="1"/>
      <c r="F1432" s="1"/>
      <c r="G1432" s="1"/>
      <c r="H1432" s="1"/>
      <c r="I1432" s="1"/>
      <c r="J1432" s="1"/>
      <c r="K1432" s="1"/>
      <c r="L1432" s="1"/>
      <c r="M1432" s="1"/>
      <c r="N1432" s="1"/>
      <c r="O1432" s="1"/>
      <c r="P1432" s="1"/>
    </row>
    <row r="1433" spans="1:16">
      <c r="A1433" s="19" t="str">
        <f>$R$2&amp;"."&amp;'Конфигурация TREI'!$A$2&amp;"_2.DIAG_7"</f>
        <v>Диагностика.TREI.CPU_2.DIAG_7</v>
      </c>
      <c r="B1433" s="11">
        <v>101</v>
      </c>
      <c r="C1433" s="11" t="s">
        <v>0</v>
      </c>
      <c r="D1433" s="20" t="s">
        <v>801</v>
      </c>
      <c r="E1433" s="1"/>
      <c r="F1433" s="1"/>
      <c r="G1433" s="1"/>
      <c r="H1433" s="1"/>
      <c r="I1433" s="1"/>
      <c r="J1433" s="1"/>
      <c r="K1433" s="1"/>
      <c r="L1433" s="1"/>
      <c r="M1433" s="1"/>
      <c r="N1433" s="1"/>
      <c r="O1433" s="1"/>
      <c r="P1433" s="1"/>
    </row>
    <row r="1434" spans="1:16">
      <c r="A1434" s="19" t="str">
        <f>$R$2&amp;"."&amp;'Конфигурация TREI'!$A$2&amp;"_2.DIAG_7"</f>
        <v>Диагностика.TREI.CPU_2.DIAG_7</v>
      </c>
      <c r="B1434" s="11">
        <v>3</v>
      </c>
      <c r="C1434" s="11" t="s">
        <v>1</v>
      </c>
      <c r="D1434" s="20">
        <v>192</v>
      </c>
      <c r="E1434" s="1"/>
      <c r="F1434" s="1"/>
      <c r="G1434" s="1"/>
      <c r="H1434" s="1"/>
      <c r="I1434" s="1"/>
      <c r="J1434" s="1"/>
      <c r="K1434" s="1"/>
      <c r="L1434" s="1"/>
      <c r="M1434" s="1"/>
      <c r="N1434" s="1"/>
      <c r="O1434" s="1"/>
      <c r="P1434" s="1"/>
    </row>
    <row r="1435" spans="1:16">
      <c r="A1435" s="19" t="str">
        <f>$R$2&amp;"."&amp;'Конфигурация TREI'!$A$2&amp;"_2.DIAG_7"</f>
        <v>Диагностика.TREI.CPU_2.DIAG_7</v>
      </c>
      <c r="B1435" s="11">
        <v>2</v>
      </c>
      <c r="C1435" s="11" t="s">
        <v>2</v>
      </c>
      <c r="D1435" s="20" t="s">
        <v>3</v>
      </c>
    </row>
    <row r="1436" spans="1:16">
      <c r="A1436" s="21" t="str">
        <f>$R$2&amp;"."&amp;'Конфигурация TREI'!$A$2&amp;"_2.DIAG_7"</f>
        <v>Диагностика.TREI.CPU_2.DIAG_7</v>
      </c>
      <c r="B1436" s="8">
        <v>1</v>
      </c>
      <c r="C1436" s="8" t="s">
        <v>1</v>
      </c>
      <c r="D1436" s="22">
        <v>11</v>
      </c>
    </row>
    <row r="1437" spans="1:16">
      <c r="A1437" s="69" t="str">
        <f>$R$2&amp;"."&amp;'Конфигурация TREI'!$A$2&amp;"_2.DIAG_8"</f>
        <v>Диагностика.TREI.CPU_2.DIAG_8</v>
      </c>
      <c r="B1437" s="70">
        <v>11154</v>
      </c>
      <c r="C1437" s="70" t="s">
        <v>4</v>
      </c>
      <c r="D1437" s="144">
        <f>$Q$6</f>
        <v>8</v>
      </c>
    </row>
    <row r="1438" spans="1:16">
      <c r="A1438" s="63" t="str">
        <f>$R$2&amp;"."&amp;'Конфигурация TREI'!$A$2&amp;"_2.DIAG_8"</f>
        <v>Диагностика.TREI.CPU_2.DIAG_8</v>
      </c>
      <c r="B1438" s="64">
        <v>11152</v>
      </c>
      <c r="C1438" s="64" t="s">
        <v>0</v>
      </c>
      <c r="D1438" s="129" t="str">
        <f>$R$6</f>
        <v>Предупреждение</v>
      </c>
    </row>
    <row r="1439" spans="1:16">
      <c r="A1439" s="63" t="str">
        <f>$R$2&amp;"."&amp;'Конфигурация TREI'!$A$2&amp;"_2.DIAG_8"</f>
        <v>Диагностика.TREI.CPU_2.DIAG_8</v>
      </c>
      <c r="B1439" s="64">
        <v>11150</v>
      </c>
      <c r="C1439" s="64" t="s">
        <v>0</v>
      </c>
      <c r="D1439" s="65" t="s">
        <v>802</v>
      </c>
    </row>
    <row r="1440" spans="1:16">
      <c r="A1440" s="63" t="str">
        <f>$R$2&amp;"."&amp;'Конфигурация TREI'!$A$2&amp;"_2.DIAG_8"</f>
        <v>Диагностика.TREI.CPU_2.DIAG_8</v>
      </c>
      <c r="B1440" s="64">
        <v>11000</v>
      </c>
      <c r="C1440" s="64" t="s">
        <v>5</v>
      </c>
      <c r="D1440" s="65">
        <v>2147483680</v>
      </c>
    </row>
    <row r="1441" spans="1:4">
      <c r="A1441" s="19" t="str">
        <f>$R$2&amp;"."&amp;'Конфигурация TREI'!$A$2&amp;"_2.DIAG_8"</f>
        <v>Диагностика.TREI.CPU_2.DIAG_8</v>
      </c>
      <c r="B1441" s="11">
        <v>7999</v>
      </c>
      <c r="C1441" s="11" t="s">
        <v>0</v>
      </c>
      <c r="D1441" s="20" t="str">
        <f>"#"&amp;$S$2&amp;"#"&amp;$T$2&amp;IF($S$7="","","\")&amp;$S$7&amp;"\"&amp;'Конфигурация TREI'!$A$2&amp;"_2\DIAG_8"</f>
        <v>#2#treiOPCDA.CoOPCserv.1\pcmaster\CPU_2\DIAG_8</v>
      </c>
    </row>
    <row r="1442" spans="1:4">
      <c r="A1442" s="19" t="str">
        <f>$R$2&amp;"."&amp;'Конфигурация TREI'!$A$2&amp;"_2.DIAG_8"</f>
        <v>Диагностика.TREI.CPU_2.DIAG_8</v>
      </c>
      <c r="B1442" s="11">
        <v>7998</v>
      </c>
      <c r="C1442" s="11" t="s">
        <v>6</v>
      </c>
      <c r="D1442" s="20">
        <v>1</v>
      </c>
    </row>
    <row r="1443" spans="1:4">
      <c r="A1443" s="19" t="str">
        <f>$R$2&amp;"."&amp;'Конфигурация TREI'!$A$2&amp;"_2.DIAG_8"</f>
        <v>Диагностика.TREI.CPU_2.DIAG_8</v>
      </c>
      <c r="B1443" s="11">
        <v>101</v>
      </c>
      <c r="C1443" s="11" t="s">
        <v>0</v>
      </c>
      <c r="D1443" s="20" t="s">
        <v>802</v>
      </c>
    </row>
    <row r="1444" spans="1:4">
      <c r="A1444" s="19" t="str">
        <f>$R$2&amp;"."&amp;'Конфигурация TREI'!$A$2&amp;"_2.DIAG_8"</f>
        <v>Диагностика.TREI.CPU_2.DIAG_8</v>
      </c>
      <c r="B1444" s="11">
        <v>3</v>
      </c>
      <c r="C1444" s="11" t="s">
        <v>1</v>
      </c>
      <c r="D1444" s="20">
        <v>192</v>
      </c>
    </row>
    <row r="1445" spans="1:4">
      <c r="A1445" s="19" t="str">
        <f>$R$2&amp;"."&amp;'Конфигурация TREI'!$A$2&amp;"_2.DIAG_8"</f>
        <v>Диагностика.TREI.CPU_2.DIAG_8</v>
      </c>
      <c r="B1445" s="11">
        <v>2</v>
      </c>
      <c r="C1445" s="11" t="s">
        <v>2</v>
      </c>
      <c r="D1445" s="20" t="s">
        <v>3</v>
      </c>
    </row>
    <row r="1446" spans="1:4">
      <c r="A1446" s="21" t="str">
        <f>$R$2&amp;"."&amp;'Конфигурация TREI'!$A$2&amp;"_2.DIAG_8"</f>
        <v>Диагностика.TREI.CPU_2.DIAG_8</v>
      </c>
      <c r="B1446" s="8">
        <v>1</v>
      </c>
      <c r="C1446" s="8" t="s">
        <v>1</v>
      </c>
      <c r="D1446" s="22">
        <v>11</v>
      </c>
    </row>
    <row r="1447" spans="1:4">
      <c r="A1447" s="69" t="str">
        <f>$R$2&amp;"."&amp;'Конфигурация TREI'!$A$2&amp;"_2.DIAG_9"</f>
        <v>Диагностика.TREI.CPU_2.DIAG_9</v>
      </c>
      <c r="B1447" s="70">
        <v>11154</v>
      </c>
      <c r="C1447" s="70" t="s">
        <v>4</v>
      </c>
      <c r="D1447" s="144">
        <f>$Q$6</f>
        <v>8</v>
      </c>
    </row>
    <row r="1448" spans="1:4">
      <c r="A1448" s="63" t="str">
        <f>$R$2&amp;"."&amp;'Конфигурация TREI'!$A$2&amp;"_2.DIAG_9"</f>
        <v>Диагностика.TREI.CPU_2.DIAG_9</v>
      </c>
      <c r="B1448" s="64">
        <v>11152</v>
      </c>
      <c r="C1448" s="64" t="s">
        <v>0</v>
      </c>
      <c r="D1448" s="129" t="str">
        <f>$R$6</f>
        <v>Предупреждение</v>
      </c>
    </row>
    <row r="1449" spans="1:4">
      <c r="A1449" s="63" t="str">
        <f>$R$2&amp;"."&amp;'Конфигурация TREI'!$A$2&amp;"_2.DIAG_9"</f>
        <v>Диагностика.TREI.CPU_2.DIAG_9</v>
      </c>
      <c r="B1449" s="64">
        <v>11150</v>
      </c>
      <c r="C1449" s="64" t="s">
        <v>0</v>
      </c>
      <c r="D1449" s="65" t="s">
        <v>803</v>
      </c>
    </row>
    <row r="1450" spans="1:4">
      <c r="A1450" s="63" t="str">
        <f>$R$2&amp;"."&amp;'Конфигурация TREI'!$A$2&amp;"_2.DIAG_9"</f>
        <v>Диагностика.TREI.CPU_2.DIAG_9</v>
      </c>
      <c r="B1450" s="64">
        <v>11000</v>
      </c>
      <c r="C1450" s="64" t="s">
        <v>5</v>
      </c>
      <c r="D1450" s="65">
        <v>2147483680</v>
      </c>
    </row>
    <row r="1451" spans="1:4">
      <c r="A1451" s="19" t="str">
        <f>$R$2&amp;"."&amp;'Конфигурация TREI'!$A$2&amp;"_2.DIAG_9"</f>
        <v>Диагностика.TREI.CPU_2.DIAG_9</v>
      </c>
      <c r="B1451" s="11">
        <v>7999</v>
      </c>
      <c r="C1451" s="11" t="s">
        <v>0</v>
      </c>
      <c r="D1451" s="20" t="str">
        <f>"#"&amp;$S$2&amp;"#"&amp;$T$2&amp;IF($S$7="","","\")&amp;$S$7&amp;"\"&amp;'Конфигурация TREI'!$A$2&amp;"_2\DIAG_9"</f>
        <v>#2#treiOPCDA.CoOPCserv.1\pcmaster\CPU_2\DIAG_9</v>
      </c>
    </row>
    <row r="1452" spans="1:4">
      <c r="A1452" s="19" t="str">
        <f>$R$2&amp;"."&amp;'Конфигурация TREI'!$A$2&amp;"_2.DIAG_9"</f>
        <v>Диагностика.TREI.CPU_2.DIAG_9</v>
      </c>
      <c r="B1452" s="11">
        <v>7998</v>
      </c>
      <c r="C1452" s="11" t="s">
        <v>6</v>
      </c>
      <c r="D1452" s="20">
        <v>1</v>
      </c>
    </row>
    <row r="1453" spans="1:4">
      <c r="A1453" s="19" t="str">
        <f>$R$2&amp;"."&amp;'Конфигурация TREI'!$A$2&amp;"_2.DIAG_9"</f>
        <v>Диагностика.TREI.CPU_2.DIAG_9</v>
      </c>
      <c r="B1453" s="11">
        <v>101</v>
      </c>
      <c r="C1453" s="11" t="s">
        <v>0</v>
      </c>
      <c r="D1453" s="20" t="s">
        <v>803</v>
      </c>
    </row>
    <row r="1454" spans="1:4">
      <c r="A1454" s="19" t="str">
        <f>$R$2&amp;"."&amp;'Конфигурация TREI'!$A$2&amp;"_2.DIAG_9"</f>
        <v>Диагностика.TREI.CPU_2.DIAG_9</v>
      </c>
      <c r="B1454" s="11">
        <v>3</v>
      </c>
      <c r="C1454" s="11" t="s">
        <v>1</v>
      </c>
      <c r="D1454" s="20">
        <v>192</v>
      </c>
    </row>
    <row r="1455" spans="1:4">
      <c r="A1455" s="19" t="str">
        <f>$R$2&amp;"."&amp;'Конфигурация TREI'!$A$2&amp;"_2.DIAG_9"</f>
        <v>Диагностика.TREI.CPU_2.DIAG_9</v>
      </c>
      <c r="B1455" s="11">
        <v>2</v>
      </c>
      <c r="C1455" s="11" t="s">
        <v>2</v>
      </c>
      <c r="D1455" s="20" t="s">
        <v>3</v>
      </c>
    </row>
    <row r="1456" spans="1:4">
      <c r="A1456" s="21" t="str">
        <f>$R$2&amp;"."&amp;'Конфигурация TREI'!$A$2&amp;"_2.DIAG_9"</f>
        <v>Диагностика.TREI.CPU_2.DIAG_9</v>
      </c>
      <c r="B1456" s="8">
        <v>1</v>
      </c>
      <c r="C1456" s="8" t="s">
        <v>1</v>
      </c>
      <c r="D1456" s="22">
        <v>11</v>
      </c>
    </row>
    <row r="1457" spans="1:4">
      <c r="A1457" s="69" t="str">
        <f>$R$2&amp;"."&amp;'Конфигурация TREI'!$A$2&amp;"_2.DIAG_10"</f>
        <v>Диагностика.TREI.CPU_2.DIAG_10</v>
      </c>
      <c r="B1457" s="70">
        <v>11154</v>
      </c>
      <c r="C1457" s="70" t="s">
        <v>4</v>
      </c>
      <c r="D1457" s="144">
        <f>$Q$6</f>
        <v>8</v>
      </c>
    </row>
    <row r="1458" spans="1:4">
      <c r="A1458" s="63" t="str">
        <f>$R$2&amp;"."&amp;'Конфигурация TREI'!$A$2&amp;"_2.DIAG_10"</f>
        <v>Диагностика.TREI.CPU_2.DIAG_10</v>
      </c>
      <c r="B1458" s="64">
        <v>11152</v>
      </c>
      <c r="C1458" s="64" t="s">
        <v>0</v>
      </c>
      <c r="D1458" s="129" t="str">
        <f>$R$6</f>
        <v>Предупреждение</v>
      </c>
    </row>
    <row r="1459" spans="1:4">
      <c r="A1459" s="63" t="str">
        <f>$R$2&amp;"."&amp;'Конфигурация TREI'!$A$2&amp;"_2.DIAG_10"</f>
        <v>Диагностика.TREI.CPU_2.DIAG_10</v>
      </c>
      <c r="B1459" s="64">
        <v>11150</v>
      </c>
      <c r="C1459" s="64" t="s">
        <v>0</v>
      </c>
      <c r="D1459" s="65" t="s">
        <v>804</v>
      </c>
    </row>
    <row r="1460" spans="1:4">
      <c r="A1460" s="63" t="str">
        <f>$R$2&amp;"."&amp;'Конфигурация TREI'!$A$2&amp;"_2.DIAG_10"</f>
        <v>Диагностика.TREI.CPU_2.DIAG_10</v>
      </c>
      <c r="B1460" s="64">
        <v>11000</v>
      </c>
      <c r="C1460" s="64" t="s">
        <v>5</v>
      </c>
      <c r="D1460" s="65">
        <v>2147483680</v>
      </c>
    </row>
    <row r="1461" spans="1:4">
      <c r="A1461" s="19" t="str">
        <f>$R$2&amp;"."&amp;'Конфигурация TREI'!$A$2&amp;"_2.DIAG_10"</f>
        <v>Диагностика.TREI.CPU_2.DIAG_10</v>
      </c>
      <c r="B1461" s="11">
        <v>7999</v>
      </c>
      <c r="C1461" s="11" t="s">
        <v>0</v>
      </c>
      <c r="D1461" s="20" t="str">
        <f>"#"&amp;$S$2&amp;"#"&amp;$T$2&amp;IF($S$7="","","\")&amp;$S$7&amp;"\"&amp;'Конфигурация TREI'!$A$2&amp;"_2\DIAG_10"</f>
        <v>#2#treiOPCDA.CoOPCserv.1\pcmaster\CPU_2\DIAG_10</v>
      </c>
    </row>
    <row r="1462" spans="1:4">
      <c r="A1462" s="19" t="str">
        <f>$R$2&amp;"."&amp;'Конфигурация TREI'!$A$2&amp;"_2.DIAG_10"</f>
        <v>Диагностика.TREI.CPU_2.DIAG_10</v>
      </c>
      <c r="B1462" s="11">
        <v>7998</v>
      </c>
      <c r="C1462" s="11" t="s">
        <v>6</v>
      </c>
      <c r="D1462" s="20">
        <v>1</v>
      </c>
    </row>
    <row r="1463" spans="1:4">
      <c r="A1463" s="19" t="str">
        <f>$R$2&amp;"."&amp;'Конфигурация TREI'!$A$2&amp;"_2.DIAG_10"</f>
        <v>Диагностика.TREI.CPU_2.DIAG_10</v>
      </c>
      <c r="B1463" s="11">
        <v>101</v>
      </c>
      <c r="C1463" s="11" t="s">
        <v>0</v>
      </c>
      <c r="D1463" s="20" t="s">
        <v>804</v>
      </c>
    </row>
    <row r="1464" spans="1:4">
      <c r="A1464" s="19" t="str">
        <f>$R$2&amp;"."&amp;'Конфигурация TREI'!$A$2&amp;"_2.DIAG_10"</f>
        <v>Диагностика.TREI.CPU_2.DIAG_10</v>
      </c>
      <c r="B1464" s="11">
        <v>3</v>
      </c>
      <c r="C1464" s="11" t="s">
        <v>1</v>
      </c>
      <c r="D1464" s="20">
        <v>192</v>
      </c>
    </row>
    <row r="1465" spans="1:4">
      <c r="A1465" s="19" t="str">
        <f>$R$2&amp;"."&amp;'Конфигурация TREI'!$A$2&amp;"_2.DIAG_10"</f>
        <v>Диагностика.TREI.CPU_2.DIAG_10</v>
      </c>
      <c r="B1465" s="11">
        <v>2</v>
      </c>
      <c r="C1465" s="11" t="s">
        <v>2</v>
      </c>
      <c r="D1465" s="20" t="s">
        <v>3</v>
      </c>
    </row>
    <row r="1466" spans="1:4">
      <c r="A1466" s="21" t="str">
        <f>$R$2&amp;"."&amp;'Конфигурация TREI'!$A$2&amp;"_2.DIAG_10"</f>
        <v>Диагностика.TREI.CPU_2.DIAG_10</v>
      </c>
      <c r="B1466" s="8">
        <v>1</v>
      </c>
      <c r="C1466" s="8" t="s">
        <v>1</v>
      </c>
      <c r="D1466" s="22">
        <v>11</v>
      </c>
    </row>
    <row r="1467" spans="1:4">
      <c r="A1467" s="69" t="str">
        <f>$R$2&amp;"."&amp;'Конфигурация TREI'!$A$2&amp;"_2.DIAG_11"</f>
        <v>Диагностика.TREI.CPU_2.DIAG_11</v>
      </c>
      <c r="B1467" s="70">
        <v>11154</v>
      </c>
      <c r="C1467" s="70" t="s">
        <v>4</v>
      </c>
      <c r="D1467" s="144">
        <f>$Q$6</f>
        <v>8</v>
      </c>
    </row>
    <row r="1468" spans="1:4">
      <c r="A1468" s="63" t="str">
        <f>$R$2&amp;"."&amp;'Конфигурация TREI'!$A$2&amp;"_2.DIAG_11"</f>
        <v>Диагностика.TREI.CPU_2.DIAG_11</v>
      </c>
      <c r="B1468" s="64">
        <v>11152</v>
      </c>
      <c r="C1468" s="64" t="s">
        <v>0</v>
      </c>
      <c r="D1468" s="129" t="str">
        <f>$R$6</f>
        <v>Предупреждение</v>
      </c>
    </row>
    <row r="1469" spans="1:4">
      <c r="A1469" s="63" t="str">
        <f>$R$2&amp;"."&amp;'Конфигурация TREI'!$A$2&amp;"_2.DIAG_11"</f>
        <v>Диагностика.TREI.CPU_2.DIAG_11</v>
      </c>
      <c r="B1469" s="64">
        <v>11150</v>
      </c>
      <c r="C1469" s="64" t="s">
        <v>0</v>
      </c>
      <c r="D1469" s="65" t="s">
        <v>805</v>
      </c>
    </row>
    <row r="1470" spans="1:4">
      <c r="A1470" s="63" t="str">
        <f>$R$2&amp;"."&amp;'Конфигурация TREI'!$A$2&amp;"_2.DIAG_11"</f>
        <v>Диагностика.TREI.CPU_2.DIAG_11</v>
      </c>
      <c r="B1470" s="64">
        <v>11000</v>
      </c>
      <c r="C1470" s="64" t="s">
        <v>5</v>
      </c>
      <c r="D1470" s="65">
        <v>2147483680</v>
      </c>
    </row>
    <row r="1471" spans="1:4">
      <c r="A1471" s="19" t="str">
        <f>$R$2&amp;"."&amp;'Конфигурация TREI'!$A$2&amp;"_2.DIAG_11"</f>
        <v>Диагностика.TREI.CPU_2.DIAG_11</v>
      </c>
      <c r="B1471" s="11">
        <v>7999</v>
      </c>
      <c r="C1471" s="11" t="s">
        <v>0</v>
      </c>
      <c r="D1471" s="20" t="str">
        <f>"#"&amp;$S$2&amp;"#"&amp;$T$2&amp;IF($S$7="","","\")&amp;$S$7&amp;"\"&amp;'Конфигурация TREI'!$A$2&amp;"_2\DIAG_11"</f>
        <v>#2#treiOPCDA.CoOPCserv.1\pcmaster\CPU_2\DIAG_11</v>
      </c>
    </row>
    <row r="1472" spans="1:4">
      <c r="A1472" s="19" t="str">
        <f>$R$2&amp;"."&amp;'Конфигурация TREI'!$A$2&amp;"_2.DIAG_11"</f>
        <v>Диагностика.TREI.CPU_2.DIAG_11</v>
      </c>
      <c r="B1472" s="11">
        <v>7998</v>
      </c>
      <c r="C1472" s="11" t="s">
        <v>6</v>
      </c>
      <c r="D1472" s="20">
        <v>1</v>
      </c>
    </row>
    <row r="1473" spans="1:4">
      <c r="A1473" s="19" t="str">
        <f>$R$2&amp;"."&amp;'Конфигурация TREI'!$A$2&amp;"_2.DIAG_11"</f>
        <v>Диагностика.TREI.CPU_2.DIAG_11</v>
      </c>
      <c r="B1473" s="11">
        <v>101</v>
      </c>
      <c r="C1473" s="11" t="s">
        <v>0</v>
      </c>
      <c r="D1473" s="20" t="s">
        <v>805</v>
      </c>
    </row>
    <row r="1474" spans="1:4">
      <c r="A1474" s="19" t="str">
        <f>$R$2&amp;"."&amp;'Конфигурация TREI'!$A$2&amp;"_2.DIAG_11"</f>
        <v>Диагностика.TREI.CPU_2.DIAG_11</v>
      </c>
      <c r="B1474" s="11">
        <v>3</v>
      </c>
      <c r="C1474" s="11" t="s">
        <v>1</v>
      </c>
      <c r="D1474" s="20">
        <v>192</v>
      </c>
    </row>
    <row r="1475" spans="1:4">
      <c r="A1475" s="19" t="str">
        <f>$R$2&amp;"."&amp;'Конфигурация TREI'!$A$2&amp;"_2.DIAG_11"</f>
        <v>Диагностика.TREI.CPU_2.DIAG_11</v>
      </c>
      <c r="B1475" s="11">
        <v>2</v>
      </c>
      <c r="C1475" s="11" t="s">
        <v>2</v>
      </c>
      <c r="D1475" s="20" t="s">
        <v>3</v>
      </c>
    </row>
    <row r="1476" spans="1:4">
      <c r="A1476" s="21" t="str">
        <f>$R$2&amp;"."&amp;'Конфигурация TREI'!$A$2&amp;"_2.DIAG_11"</f>
        <v>Диагностика.TREI.CPU_2.DIAG_11</v>
      </c>
      <c r="B1476" s="8">
        <v>1</v>
      </c>
      <c r="C1476" s="8" t="s">
        <v>1</v>
      </c>
      <c r="D1476" s="22">
        <v>11</v>
      </c>
    </row>
    <row r="1477" spans="1:4">
      <c r="A1477" s="69" t="str">
        <f>$R$2&amp;"."&amp;'Конфигурация TREI'!$A$2&amp;"_2.DIAG_12"</f>
        <v>Диагностика.TREI.CPU_2.DIAG_12</v>
      </c>
      <c r="B1477" s="70">
        <v>11154</v>
      </c>
      <c r="C1477" s="70" t="s">
        <v>4</v>
      </c>
      <c r="D1477" s="144">
        <f>$Q$6</f>
        <v>8</v>
      </c>
    </row>
    <row r="1478" spans="1:4">
      <c r="A1478" s="63" t="str">
        <f>$R$2&amp;"."&amp;'Конфигурация TREI'!$A$2&amp;"_2.DIAG_12"</f>
        <v>Диагностика.TREI.CPU_2.DIAG_12</v>
      </c>
      <c r="B1478" s="64">
        <v>11152</v>
      </c>
      <c r="C1478" s="64" t="s">
        <v>0</v>
      </c>
      <c r="D1478" s="129" t="str">
        <f>$R$6</f>
        <v>Предупреждение</v>
      </c>
    </row>
    <row r="1479" spans="1:4">
      <c r="A1479" s="63" t="str">
        <f>$R$2&amp;"."&amp;'Конфигурация TREI'!$A$2&amp;"_2.DIAG_12"</f>
        <v>Диагностика.TREI.CPU_2.DIAG_12</v>
      </c>
      <c r="B1479" s="64">
        <v>11150</v>
      </c>
      <c r="C1479" s="64" t="s">
        <v>0</v>
      </c>
      <c r="D1479" s="65" t="s">
        <v>806</v>
      </c>
    </row>
    <row r="1480" spans="1:4">
      <c r="A1480" s="63" t="str">
        <f>$R$2&amp;"."&amp;'Конфигурация TREI'!$A$2&amp;"_2.DIAG_12"</f>
        <v>Диагностика.TREI.CPU_2.DIAG_12</v>
      </c>
      <c r="B1480" s="64">
        <v>11000</v>
      </c>
      <c r="C1480" s="64" t="s">
        <v>5</v>
      </c>
      <c r="D1480" s="65">
        <v>2147483680</v>
      </c>
    </row>
    <row r="1481" spans="1:4">
      <c r="A1481" s="19" t="str">
        <f>$R$2&amp;"."&amp;'Конфигурация TREI'!$A$2&amp;"_2.DIAG_12"</f>
        <v>Диагностика.TREI.CPU_2.DIAG_12</v>
      </c>
      <c r="B1481" s="11">
        <v>7999</v>
      </c>
      <c r="C1481" s="11" t="s">
        <v>0</v>
      </c>
      <c r="D1481" s="20" t="str">
        <f>"#"&amp;$S$2&amp;"#"&amp;$T$2&amp;IF($S$7="","","\")&amp;$S$7&amp;"\"&amp;'Конфигурация TREI'!$A$2&amp;"_2\DIAG_12"</f>
        <v>#2#treiOPCDA.CoOPCserv.1\pcmaster\CPU_2\DIAG_12</v>
      </c>
    </row>
    <row r="1482" spans="1:4">
      <c r="A1482" s="19" t="str">
        <f>$R$2&amp;"."&amp;'Конфигурация TREI'!$A$2&amp;"_2.DIAG_12"</f>
        <v>Диагностика.TREI.CPU_2.DIAG_12</v>
      </c>
      <c r="B1482" s="11">
        <v>7998</v>
      </c>
      <c r="C1482" s="11" t="s">
        <v>6</v>
      </c>
      <c r="D1482" s="20">
        <v>1</v>
      </c>
    </row>
    <row r="1483" spans="1:4">
      <c r="A1483" s="19" t="str">
        <f>$R$2&amp;"."&amp;'Конфигурация TREI'!$A$2&amp;"_2.DIAG_12"</f>
        <v>Диагностика.TREI.CPU_2.DIAG_12</v>
      </c>
      <c r="B1483" s="11">
        <v>101</v>
      </c>
      <c r="C1483" s="11" t="s">
        <v>0</v>
      </c>
      <c r="D1483" s="20" t="s">
        <v>806</v>
      </c>
    </row>
    <row r="1484" spans="1:4">
      <c r="A1484" s="19" t="str">
        <f>$R$2&amp;"."&amp;'Конфигурация TREI'!$A$2&amp;"_2.DIAG_12"</f>
        <v>Диагностика.TREI.CPU_2.DIAG_12</v>
      </c>
      <c r="B1484" s="11">
        <v>3</v>
      </c>
      <c r="C1484" s="11" t="s">
        <v>1</v>
      </c>
      <c r="D1484" s="20">
        <v>192</v>
      </c>
    </row>
    <row r="1485" spans="1:4">
      <c r="A1485" s="19" t="str">
        <f>$R$2&amp;"."&amp;'Конфигурация TREI'!$A$2&amp;"_2.DIAG_12"</f>
        <v>Диагностика.TREI.CPU_2.DIAG_12</v>
      </c>
      <c r="B1485" s="11">
        <v>2</v>
      </c>
      <c r="C1485" s="11" t="s">
        <v>2</v>
      </c>
      <c r="D1485" s="20" t="s">
        <v>3</v>
      </c>
    </row>
    <row r="1486" spans="1:4">
      <c r="A1486" s="21" t="str">
        <f>$R$2&amp;"."&amp;'Конфигурация TREI'!$A$2&amp;"_2.DIAG_12"</f>
        <v>Диагностика.TREI.CPU_2.DIAG_12</v>
      </c>
      <c r="B1486" s="8">
        <v>1</v>
      </c>
      <c r="C1486" s="8" t="s">
        <v>1</v>
      </c>
      <c r="D1486" s="22">
        <v>11</v>
      </c>
    </row>
    <row r="1487" spans="1:4">
      <c r="A1487" s="69" t="str">
        <f>$R$2&amp;"."&amp;'Конфигурация TREI'!$A$2&amp;"_2.DIAG_13"</f>
        <v>Диагностика.TREI.CPU_2.DIAG_13</v>
      </c>
      <c r="B1487" s="70">
        <v>11154</v>
      </c>
      <c r="C1487" s="70" t="s">
        <v>4</v>
      </c>
      <c r="D1487" s="144">
        <f>$Q$6</f>
        <v>8</v>
      </c>
    </row>
    <row r="1488" spans="1:4">
      <c r="A1488" s="63" t="str">
        <f>$R$2&amp;"."&amp;'Конфигурация TREI'!$A$2&amp;"_2.DIAG_13"</f>
        <v>Диагностика.TREI.CPU_2.DIAG_13</v>
      </c>
      <c r="B1488" s="64">
        <v>11152</v>
      </c>
      <c r="C1488" s="64" t="s">
        <v>0</v>
      </c>
      <c r="D1488" s="129" t="str">
        <f>$R$6</f>
        <v>Предупреждение</v>
      </c>
    </row>
    <row r="1489" spans="1:4">
      <c r="A1489" s="63" t="str">
        <f>$R$2&amp;"."&amp;'Конфигурация TREI'!$A$2&amp;"_2.DIAG_13"</f>
        <v>Диагностика.TREI.CPU_2.DIAG_13</v>
      </c>
      <c r="B1489" s="64">
        <v>11150</v>
      </c>
      <c r="C1489" s="64" t="s">
        <v>0</v>
      </c>
      <c r="D1489" s="65" t="s">
        <v>807</v>
      </c>
    </row>
    <row r="1490" spans="1:4">
      <c r="A1490" s="63" t="str">
        <f>$R$2&amp;"."&amp;'Конфигурация TREI'!$A$2&amp;"_2.DIAG_13"</f>
        <v>Диагностика.TREI.CPU_2.DIAG_13</v>
      </c>
      <c r="B1490" s="64">
        <v>11000</v>
      </c>
      <c r="C1490" s="64" t="s">
        <v>5</v>
      </c>
      <c r="D1490" s="65">
        <v>2147483680</v>
      </c>
    </row>
    <row r="1491" spans="1:4">
      <c r="A1491" s="19" t="str">
        <f>$R$2&amp;"."&amp;'Конфигурация TREI'!$A$2&amp;"_2.DIAG_13"</f>
        <v>Диагностика.TREI.CPU_2.DIAG_13</v>
      </c>
      <c r="B1491" s="11">
        <v>7999</v>
      </c>
      <c r="C1491" s="11" t="s">
        <v>0</v>
      </c>
      <c r="D1491" s="20" t="str">
        <f>"#"&amp;$S$2&amp;"#"&amp;$T$2&amp;IF($S$7="","","\")&amp;$S$7&amp;"\"&amp;'Конфигурация TREI'!$A$2&amp;"_2\DIAG_13"</f>
        <v>#2#treiOPCDA.CoOPCserv.1\pcmaster\CPU_2\DIAG_13</v>
      </c>
    </row>
    <row r="1492" spans="1:4">
      <c r="A1492" s="19" t="str">
        <f>$R$2&amp;"."&amp;'Конфигурация TREI'!$A$2&amp;"_2.DIAG_13"</f>
        <v>Диагностика.TREI.CPU_2.DIAG_13</v>
      </c>
      <c r="B1492" s="11">
        <v>7998</v>
      </c>
      <c r="C1492" s="11" t="s">
        <v>6</v>
      </c>
      <c r="D1492" s="20">
        <v>1</v>
      </c>
    </row>
    <row r="1493" spans="1:4">
      <c r="A1493" s="19" t="str">
        <f>$R$2&amp;"."&amp;'Конфигурация TREI'!$A$2&amp;"_2.DIAG_13"</f>
        <v>Диагностика.TREI.CPU_2.DIAG_13</v>
      </c>
      <c r="B1493" s="11">
        <v>101</v>
      </c>
      <c r="C1493" s="11" t="s">
        <v>0</v>
      </c>
      <c r="D1493" s="20" t="s">
        <v>807</v>
      </c>
    </row>
    <row r="1494" spans="1:4">
      <c r="A1494" s="19" t="str">
        <f>$R$2&amp;"."&amp;'Конфигурация TREI'!$A$2&amp;"_2.DIAG_13"</f>
        <v>Диагностика.TREI.CPU_2.DIAG_13</v>
      </c>
      <c r="B1494" s="11">
        <v>3</v>
      </c>
      <c r="C1494" s="11" t="s">
        <v>1</v>
      </c>
      <c r="D1494" s="20">
        <v>192</v>
      </c>
    </row>
    <row r="1495" spans="1:4">
      <c r="A1495" s="19" t="str">
        <f>$R$2&amp;"."&amp;'Конфигурация TREI'!$A$2&amp;"_2.DIAG_13"</f>
        <v>Диагностика.TREI.CPU_2.DIAG_13</v>
      </c>
      <c r="B1495" s="11">
        <v>2</v>
      </c>
      <c r="C1495" s="11" t="s">
        <v>2</v>
      </c>
      <c r="D1495" s="20" t="s">
        <v>3</v>
      </c>
    </row>
    <row r="1496" spans="1:4">
      <c r="A1496" s="21" t="str">
        <f>$R$2&amp;"."&amp;'Конфигурация TREI'!$A$2&amp;"_2.DIAG_13"</f>
        <v>Диагностика.TREI.CPU_2.DIAG_13</v>
      </c>
      <c r="B1496" s="8">
        <v>1</v>
      </c>
      <c r="C1496" s="8" t="s">
        <v>1</v>
      </c>
      <c r="D1496" s="22">
        <v>11</v>
      </c>
    </row>
    <row r="1497" spans="1:4">
      <c r="A1497" s="69" t="str">
        <f>$R$2&amp;"."&amp;'Конфигурация TREI'!$A$2&amp;"_2.DIAG_14"</f>
        <v>Диагностика.TREI.CPU_2.DIAG_14</v>
      </c>
      <c r="B1497" s="70">
        <v>11154</v>
      </c>
      <c r="C1497" s="70" t="s">
        <v>4</v>
      </c>
      <c r="D1497" s="144">
        <f>$Q$6</f>
        <v>8</v>
      </c>
    </row>
    <row r="1498" spans="1:4">
      <c r="A1498" s="63" t="str">
        <f>$R$2&amp;"."&amp;'Конфигурация TREI'!$A$2&amp;"_2.DIAG_14"</f>
        <v>Диагностика.TREI.CPU_2.DIAG_14</v>
      </c>
      <c r="B1498" s="64">
        <v>11152</v>
      </c>
      <c r="C1498" s="64" t="s">
        <v>0</v>
      </c>
      <c r="D1498" s="129" t="str">
        <f>$R$6</f>
        <v>Предупреждение</v>
      </c>
    </row>
    <row r="1499" spans="1:4">
      <c r="A1499" s="63" t="str">
        <f>$R$2&amp;"."&amp;'Конфигурация TREI'!$A$2&amp;"_2.DIAG_14"</f>
        <v>Диагностика.TREI.CPU_2.DIAG_14</v>
      </c>
      <c r="B1499" s="64">
        <v>11150</v>
      </c>
      <c r="C1499" s="64" t="s">
        <v>0</v>
      </c>
      <c r="D1499" s="65" t="s">
        <v>808</v>
      </c>
    </row>
    <row r="1500" spans="1:4">
      <c r="A1500" s="63" t="str">
        <f>$R$2&amp;"."&amp;'Конфигурация TREI'!$A$2&amp;"_2.DIAG_14"</f>
        <v>Диагностика.TREI.CPU_2.DIAG_14</v>
      </c>
      <c r="B1500" s="64">
        <v>11000</v>
      </c>
      <c r="C1500" s="64" t="s">
        <v>5</v>
      </c>
      <c r="D1500" s="65">
        <v>2147483680</v>
      </c>
    </row>
    <row r="1501" spans="1:4">
      <c r="A1501" s="19" t="str">
        <f>$R$2&amp;"."&amp;'Конфигурация TREI'!$A$2&amp;"_2.DIAG_14"</f>
        <v>Диагностика.TREI.CPU_2.DIAG_14</v>
      </c>
      <c r="B1501" s="11">
        <v>7999</v>
      </c>
      <c r="C1501" s="11" t="s">
        <v>0</v>
      </c>
      <c r="D1501" s="20" t="str">
        <f>"#"&amp;$S$2&amp;"#"&amp;$T$2&amp;IF($S$7="","","\")&amp;$S$7&amp;"\"&amp;'Конфигурация TREI'!$A$2&amp;"_2\DIAG_14"</f>
        <v>#2#treiOPCDA.CoOPCserv.1\pcmaster\CPU_2\DIAG_14</v>
      </c>
    </row>
    <row r="1502" spans="1:4">
      <c r="A1502" s="19" t="str">
        <f>$R$2&amp;"."&amp;'Конфигурация TREI'!$A$2&amp;"_2.DIAG_14"</f>
        <v>Диагностика.TREI.CPU_2.DIAG_14</v>
      </c>
      <c r="B1502" s="11">
        <v>7998</v>
      </c>
      <c r="C1502" s="11" t="s">
        <v>6</v>
      </c>
      <c r="D1502" s="20">
        <v>1</v>
      </c>
    </row>
    <row r="1503" spans="1:4">
      <c r="A1503" s="19" t="str">
        <f>$R$2&amp;"."&amp;'Конфигурация TREI'!$A$2&amp;"_2.DIAG_14"</f>
        <v>Диагностика.TREI.CPU_2.DIAG_14</v>
      </c>
      <c r="B1503" s="11">
        <v>101</v>
      </c>
      <c r="C1503" s="11" t="s">
        <v>0</v>
      </c>
      <c r="D1503" s="20" t="s">
        <v>808</v>
      </c>
    </row>
    <row r="1504" spans="1:4">
      <c r="A1504" s="19" t="str">
        <f>$R$2&amp;"."&amp;'Конфигурация TREI'!$A$2&amp;"_2.DIAG_14"</f>
        <v>Диагностика.TREI.CPU_2.DIAG_14</v>
      </c>
      <c r="B1504" s="11">
        <v>3</v>
      </c>
      <c r="C1504" s="11" t="s">
        <v>1</v>
      </c>
      <c r="D1504" s="20">
        <v>192</v>
      </c>
    </row>
    <row r="1505" spans="1:4">
      <c r="A1505" s="19" t="str">
        <f>$R$2&amp;"."&amp;'Конфигурация TREI'!$A$2&amp;"_2.DIAG_14"</f>
        <v>Диагностика.TREI.CPU_2.DIAG_14</v>
      </c>
      <c r="B1505" s="11">
        <v>2</v>
      </c>
      <c r="C1505" s="11" t="s">
        <v>2</v>
      </c>
      <c r="D1505" s="20" t="s">
        <v>3</v>
      </c>
    </row>
    <row r="1506" spans="1:4">
      <c r="A1506" s="21" t="str">
        <f>$R$2&amp;"."&amp;'Конфигурация TREI'!$A$2&amp;"_2.DIAG_14"</f>
        <v>Диагностика.TREI.CPU_2.DIAG_14</v>
      </c>
      <c r="B1506" s="8">
        <v>1</v>
      </c>
      <c r="C1506" s="8" t="s">
        <v>1</v>
      </c>
      <c r="D1506" s="22">
        <v>11</v>
      </c>
    </row>
    <row r="1507" spans="1:4">
      <c r="A1507" s="159" t="str">
        <f>$R$2&amp;"."&amp;'Конфигурация TREI'!$A$2&amp;"_2.DIAG_15"</f>
        <v>Диагностика.TREI.CPU_2.DIAG_15</v>
      </c>
      <c r="B1507" s="160">
        <v>11154</v>
      </c>
      <c r="C1507" s="160" t="s">
        <v>4</v>
      </c>
      <c r="D1507" s="161">
        <f>$Q$8</f>
        <v>18</v>
      </c>
    </row>
    <row r="1508" spans="1:4">
      <c r="A1508" s="100" t="str">
        <f>$R$2&amp;"."&amp;'Конфигурация TREI'!$A$2&amp;"_2.DIAG_15"</f>
        <v>Диагностика.TREI.CPU_2.DIAG_15</v>
      </c>
      <c r="B1508" s="101">
        <v>11152</v>
      </c>
      <c r="C1508" s="101" t="s">
        <v>0</v>
      </c>
      <c r="D1508" s="104" t="str">
        <f>$R$8</f>
        <v>Телесигнализация</v>
      </c>
    </row>
    <row r="1509" spans="1:4">
      <c r="A1509" s="100" t="str">
        <f>$R$2&amp;"."&amp;'Конфигурация TREI'!$A$2&amp;"_2.DIAG_15"</f>
        <v>Диагностика.TREI.CPU_2.DIAG_15</v>
      </c>
      <c r="B1509" s="101">
        <v>11150</v>
      </c>
      <c r="C1509" s="101" t="s">
        <v>0</v>
      </c>
      <c r="D1509" s="103" t="s">
        <v>809</v>
      </c>
    </row>
    <row r="1510" spans="1:4">
      <c r="A1510" s="100" t="str">
        <f>$R$2&amp;"."&amp;'Конфигурация TREI'!$A$2&amp;"_2.DIAG_15"</f>
        <v>Диагностика.TREI.CPU_2.DIAG_15</v>
      </c>
      <c r="B1510" s="101">
        <v>11000</v>
      </c>
      <c r="C1510" s="101" t="s">
        <v>5</v>
      </c>
      <c r="D1510" s="103">
        <v>2147483680</v>
      </c>
    </row>
    <row r="1511" spans="1:4">
      <c r="A1511" s="19" t="str">
        <f>$R$2&amp;"."&amp;'Конфигурация TREI'!$A$2&amp;"_2.DIAG_15"</f>
        <v>Диагностика.TREI.CPU_2.DIAG_15</v>
      </c>
      <c r="B1511" s="11">
        <v>7999</v>
      </c>
      <c r="C1511" s="11" t="s">
        <v>0</v>
      </c>
      <c r="D1511" s="20" t="str">
        <f>"#"&amp;$S$2&amp;"#"&amp;$T$2&amp;IF($S$7="","","\")&amp;$S$7&amp;"\"&amp;'Конфигурация TREI'!$A$2&amp;"_2\DIAG_15"</f>
        <v>#2#treiOPCDA.CoOPCserv.1\pcmaster\CPU_2\DIAG_15</v>
      </c>
    </row>
    <row r="1512" spans="1:4">
      <c r="A1512" s="19" t="str">
        <f>$R$2&amp;"."&amp;'Конфигурация TREI'!$A$2&amp;"_2.DIAG_15"</f>
        <v>Диагностика.TREI.CPU_2.DIAG_15</v>
      </c>
      <c r="B1512" s="11">
        <v>7998</v>
      </c>
      <c r="C1512" s="11" t="s">
        <v>6</v>
      </c>
      <c r="D1512" s="20">
        <v>1</v>
      </c>
    </row>
    <row r="1513" spans="1:4">
      <c r="A1513" s="19" t="str">
        <f>$R$2&amp;"."&amp;'Конфигурация TREI'!$A$2&amp;"_2.DIAG_15"</f>
        <v>Диагностика.TREI.CPU_2.DIAG_15</v>
      </c>
      <c r="B1513" s="11">
        <v>101</v>
      </c>
      <c r="C1513" s="11" t="s">
        <v>0</v>
      </c>
      <c r="D1513" s="20" t="s">
        <v>809</v>
      </c>
    </row>
    <row r="1514" spans="1:4">
      <c r="A1514" s="19" t="str">
        <f>$R$2&amp;"."&amp;'Конфигурация TREI'!$A$2&amp;"_2.DIAG_15"</f>
        <v>Диагностика.TREI.CPU_2.DIAG_15</v>
      </c>
      <c r="B1514" s="11">
        <v>3</v>
      </c>
      <c r="C1514" s="11" t="s">
        <v>1</v>
      </c>
      <c r="D1514" s="20">
        <v>192</v>
      </c>
    </row>
    <row r="1515" spans="1:4">
      <c r="A1515" s="19" t="str">
        <f>$R$2&amp;"."&amp;'Конфигурация TREI'!$A$2&amp;"_2.DIAG_15"</f>
        <v>Диагностика.TREI.CPU_2.DIAG_15</v>
      </c>
      <c r="B1515" s="11">
        <v>2</v>
      </c>
      <c r="C1515" s="11" t="s">
        <v>2</v>
      </c>
      <c r="D1515" s="20" t="s">
        <v>3</v>
      </c>
    </row>
    <row r="1516" spans="1:4">
      <c r="A1516" s="21" t="str">
        <f>$R$2&amp;"."&amp;'Конфигурация TREI'!$A$2&amp;"_2.DIAG_15"</f>
        <v>Диагностика.TREI.CPU_2.DIAG_15</v>
      </c>
      <c r="B1516" s="8">
        <v>1</v>
      </c>
      <c r="C1516" s="8" t="s">
        <v>1</v>
      </c>
      <c r="D1516" s="22">
        <v>11</v>
      </c>
    </row>
    <row r="1517" spans="1:4">
      <c r="A1517" s="69" t="str">
        <f>$R$2&amp;"."&amp;'Конфигурация TREI'!$A$2&amp;"_2.DIAG_16"</f>
        <v>Диагностика.TREI.CPU_2.DIAG_16</v>
      </c>
      <c r="B1517" s="70">
        <v>11154</v>
      </c>
      <c r="C1517" s="70" t="s">
        <v>4</v>
      </c>
      <c r="D1517" s="144">
        <f>$Q$6</f>
        <v>8</v>
      </c>
    </row>
    <row r="1518" spans="1:4">
      <c r="A1518" s="63" t="str">
        <f>$R$2&amp;"."&amp;'Конфигурация TREI'!$A$2&amp;"_2.DIAG_16"</f>
        <v>Диагностика.TREI.CPU_2.DIAG_16</v>
      </c>
      <c r="B1518" s="64">
        <v>11152</v>
      </c>
      <c r="C1518" s="64" t="s">
        <v>0</v>
      </c>
      <c r="D1518" s="129" t="str">
        <f>$R$6</f>
        <v>Предупреждение</v>
      </c>
    </row>
    <row r="1519" spans="1:4">
      <c r="A1519" s="63" t="str">
        <f>$R$2&amp;"."&amp;'Конфигурация TREI'!$A$2&amp;"_2.DIAG_16"</f>
        <v>Диагностика.TREI.CPU_2.DIAG_16</v>
      </c>
      <c r="B1519" s="64">
        <v>11150</v>
      </c>
      <c r="C1519" s="64" t="s">
        <v>0</v>
      </c>
      <c r="D1519" s="65" t="s">
        <v>1392</v>
      </c>
    </row>
    <row r="1520" spans="1:4">
      <c r="A1520" s="63" t="str">
        <f>$R$2&amp;"."&amp;'Конфигурация TREI'!$A$2&amp;"_2.DIAG_16"</f>
        <v>Диагностика.TREI.CPU_2.DIAG_16</v>
      </c>
      <c r="B1520" s="64">
        <v>11000</v>
      </c>
      <c r="C1520" s="64" t="s">
        <v>5</v>
      </c>
      <c r="D1520" s="65">
        <v>2147483680</v>
      </c>
    </row>
    <row r="1521" spans="1:4">
      <c r="A1521" s="19" t="str">
        <f>$R$2&amp;"."&amp;'Конфигурация TREI'!$A$2&amp;"_2.DIAG_16"</f>
        <v>Диагностика.TREI.CPU_2.DIAG_16</v>
      </c>
      <c r="B1521" s="11">
        <v>7999</v>
      </c>
      <c r="C1521" s="11" t="s">
        <v>0</v>
      </c>
      <c r="D1521" s="20" t="str">
        <f>"#"&amp;$S$2&amp;"#"&amp;$T$2&amp;IF($S$7="","","\")&amp;$S$7&amp;"\"&amp;'Конфигурация TREI'!$A$2&amp;"_2\DIAG_16"</f>
        <v>#2#treiOPCDA.CoOPCserv.1\pcmaster\CPU_2\DIAG_16</v>
      </c>
    </row>
    <row r="1522" spans="1:4">
      <c r="A1522" s="19" t="str">
        <f>$R$2&amp;"."&amp;'Конфигурация TREI'!$A$2&amp;"_2.DIAG_16"</f>
        <v>Диагностика.TREI.CPU_2.DIAG_16</v>
      </c>
      <c r="B1522" s="11">
        <v>7998</v>
      </c>
      <c r="C1522" s="11" t="s">
        <v>6</v>
      </c>
      <c r="D1522" s="20">
        <v>1</v>
      </c>
    </row>
    <row r="1523" spans="1:4">
      <c r="A1523" s="19" t="str">
        <f>$R$2&amp;"."&amp;'Конфигурация TREI'!$A$2&amp;"_2.DIAG_16"</f>
        <v>Диагностика.TREI.CPU_2.DIAG_16</v>
      </c>
      <c r="B1523" s="11">
        <v>101</v>
      </c>
      <c r="C1523" s="11" t="s">
        <v>0</v>
      </c>
      <c r="D1523" s="20" t="s">
        <v>1392</v>
      </c>
    </row>
    <row r="1524" spans="1:4">
      <c r="A1524" s="19" t="str">
        <f>$R$2&amp;"."&amp;'Конфигурация TREI'!$A$2&amp;"_2.DIAG_16"</f>
        <v>Диагностика.TREI.CPU_2.DIAG_16</v>
      </c>
      <c r="B1524" s="11">
        <v>3</v>
      </c>
      <c r="C1524" s="11" t="s">
        <v>1</v>
      </c>
      <c r="D1524" s="20">
        <v>192</v>
      </c>
    </row>
    <row r="1525" spans="1:4">
      <c r="A1525" s="19" t="str">
        <f>$R$2&amp;"."&amp;'Конфигурация TREI'!$A$2&amp;"_2.DIAG_16"</f>
        <v>Диагностика.TREI.CPU_2.DIAG_16</v>
      </c>
      <c r="B1525" s="11">
        <v>2</v>
      </c>
      <c r="C1525" s="11" t="s">
        <v>2</v>
      </c>
      <c r="D1525" s="20" t="s">
        <v>3</v>
      </c>
    </row>
    <row r="1526" spans="1:4">
      <c r="A1526" s="21" t="str">
        <f>$R$2&amp;"."&amp;'Конфигурация TREI'!$A$2&amp;"_2.DIAG_16"</f>
        <v>Диагностика.TREI.CPU_2.DIAG_16</v>
      </c>
      <c r="B1526" s="8">
        <v>1</v>
      </c>
      <c r="C1526" s="8" t="s">
        <v>1</v>
      </c>
      <c r="D1526" s="22">
        <v>11</v>
      </c>
    </row>
    <row r="1527" spans="1:4">
      <c r="A1527" s="159" t="str">
        <f>$R$2&amp;"."&amp;'Конфигурация TREI'!$A$2&amp;"_2.DIAG_17"</f>
        <v>Диагностика.TREI.CPU_2.DIAG_17</v>
      </c>
      <c r="B1527" s="160">
        <v>11154</v>
      </c>
      <c r="C1527" s="160" t="s">
        <v>4</v>
      </c>
      <c r="D1527" s="161">
        <f>$Q$8</f>
        <v>18</v>
      </c>
    </row>
    <row r="1528" spans="1:4">
      <c r="A1528" s="100" t="str">
        <f>$R$2&amp;"."&amp;'Конфигурация TREI'!$A$2&amp;"_2.DIAG_17"</f>
        <v>Диагностика.TREI.CPU_2.DIAG_17</v>
      </c>
      <c r="B1528" s="101">
        <v>11152</v>
      </c>
      <c r="C1528" s="101" t="s">
        <v>0</v>
      </c>
      <c r="D1528" s="104" t="str">
        <f>$R$8</f>
        <v>Телесигнализация</v>
      </c>
    </row>
    <row r="1529" spans="1:4">
      <c r="A1529" s="100" t="str">
        <f>$R$2&amp;"."&amp;'Конфигурация TREI'!$A$2&amp;"_2.DIAG_17"</f>
        <v>Диагностика.TREI.CPU_2.DIAG_17</v>
      </c>
      <c r="B1529" s="101">
        <v>11150</v>
      </c>
      <c r="C1529" s="101" t="s">
        <v>0</v>
      </c>
      <c r="D1529" s="103" t="s">
        <v>810</v>
      </c>
    </row>
    <row r="1530" spans="1:4">
      <c r="A1530" s="100" t="str">
        <f>$R$2&amp;"."&amp;'Конфигурация TREI'!$A$2&amp;"_2.DIAG_17"</f>
        <v>Диагностика.TREI.CPU_2.DIAG_17</v>
      </c>
      <c r="B1530" s="101">
        <v>11000</v>
      </c>
      <c r="C1530" s="101" t="s">
        <v>5</v>
      </c>
      <c r="D1530" s="103">
        <v>2147483680</v>
      </c>
    </row>
    <row r="1531" spans="1:4">
      <c r="A1531" s="19" t="str">
        <f>$R$2&amp;"."&amp;'Конфигурация TREI'!$A$2&amp;"_2.DIAG_17"</f>
        <v>Диагностика.TREI.CPU_2.DIAG_17</v>
      </c>
      <c r="B1531" s="11">
        <v>7999</v>
      </c>
      <c r="C1531" s="11" t="s">
        <v>0</v>
      </c>
      <c r="D1531" s="20" t="str">
        <f>"#"&amp;$S$2&amp;"#"&amp;$T$2&amp;IF($S$7="","","\")&amp;$S$7&amp;"\"&amp;'Конфигурация TREI'!$A$2&amp;"_2\DIAG_17"</f>
        <v>#2#treiOPCDA.CoOPCserv.1\pcmaster\CPU_2\DIAG_17</v>
      </c>
    </row>
    <row r="1532" spans="1:4">
      <c r="A1532" s="19" t="str">
        <f>$R$2&amp;"."&amp;'Конфигурация TREI'!$A$2&amp;"_2.DIAG_17"</f>
        <v>Диагностика.TREI.CPU_2.DIAG_17</v>
      </c>
      <c r="B1532" s="11">
        <v>7998</v>
      </c>
      <c r="C1532" s="11" t="s">
        <v>6</v>
      </c>
      <c r="D1532" s="20">
        <v>1</v>
      </c>
    </row>
    <row r="1533" spans="1:4">
      <c r="A1533" s="19" t="str">
        <f>$R$2&amp;"."&amp;'Конфигурация TREI'!$A$2&amp;"_2.DIAG_17"</f>
        <v>Диагностика.TREI.CPU_2.DIAG_17</v>
      </c>
      <c r="B1533" s="11">
        <v>101</v>
      </c>
      <c r="C1533" s="11" t="s">
        <v>0</v>
      </c>
      <c r="D1533" s="20" t="s">
        <v>810</v>
      </c>
    </row>
    <row r="1534" spans="1:4">
      <c r="A1534" s="19" t="str">
        <f>$R$2&amp;"."&amp;'Конфигурация TREI'!$A$2&amp;"_2.DIAG_17"</f>
        <v>Диагностика.TREI.CPU_2.DIAG_17</v>
      </c>
      <c r="B1534" s="11">
        <v>3</v>
      </c>
      <c r="C1534" s="11" t="s">
        <v>1</v>
      </c>
      <c r="D1534" s="20">
        <v>192</v>
      </c>
    </row>
    <row r="1535" spans="1:4">
      <c r="A1535" s="19" t="str">
        <f>$R$2&amp;"."&amp;'Конфигурация TREI'!$A$2&amp;"_2.DIAG_17"</f>
        <v>Диагностика.TREI.CPU_2.DIAG_17</v>
      </c>
      <c r="B1535" s="11">
        <v>2</v>
      </c>
      <c r="C1535" s="11" t="s">
        <v>2</v>
      </c>
      <c r="D1535" s="20" t="s">
        <v>3</v>
      </c>
    </row>
    <row r="1536" spans="1:4">
      <c r="A1536" s="21" t="str">
        <f>$R$2&amp;"."&amp;'Конфигурация TREI'!$A$2&amp;"_2.DIAG_17"</f>
        <v>Диагностика.TREI.CPU_2.DIAG_17</v>
      </c>
      <c r="B1536" s="8">
        <v>1</v>
      </c>
      <c r="C1536" s="8" t="s">
        <v>1</v>
      </c>
      <c r="D1536" s="22">
        <v>11</v>
      </c>
    </row>
    <row r="1537" spans="1:4">
      <c r="A1537" s="69" t="str">
        <f>$R$2&amp;"."&amp;'Конфигурация TREI'!$A$2&amp;"_2.DIAG_18"</f>
        <v>Диагностика.TREI.CPU_2.DIAG_18</v>
      </c>
      <c r="B1537" s="70">
        <v>11154</v>
      </c>
      <c r="C1537" s="70" t="s">
        <v>4</v>
      </c>
      <c r="D1537" s="144">
        <f>$Q$6</f>
        <v>8</v>
      </c>
    </row>
    <row r="1538" spans="1:4">
      <c r="A1538" s="63" t="str">
        <f>$R$2&amp;"."&amp;'Конфигурация TREI'!$A$2&amp;"_2.DIAG_18"</f>
        <v>Диагностика.TREI.CPU_2.DIAG_18</v>
      </c>
      <c r="B1538" s="64">
        <v>11152</v>
      </c>
      <c r="C1538" s="64" t="s">
        <v>0</v>
      </c>
      <c r="D1538" s="129" t="str">
        <f>$R$6</f>
        <v>Предупреждение</v>
      </c>
    </row>
    <row r="1539" spans="1:4">
      <c r="A1539" s="63" t="str">
        <f>$R$2&amp;"."&amp;'Конфигурация TREI'!$A$2&amp;"_2.DIAG_18"</f>
        <v>Диагностика.TREI.CPU_2.DIAG_18</v>
      </c>
      <c r="B1539" s="64">
        <v>11150</v>
      </c>
      <c r="C1539" s="64" t="s">
        <v>0</v>
      </c>
      <c r="D1539" s="65" t="s">
        <v>1393</v>
      </c>
    </row>
    <row r="1540" spans="1:4">
      <c r="A1540" s="63" t="str">
        <f>$R$2&amp;"."&amp;'Конфигурация TREI'!$A$2&amp;"_2.DIAG_18"</f>
        <v>Диагностика.TREI.CPU_2.DIAG_18</v>
      </c>
      <c r="B1540" s="64">
        <v>11000</v>
      </c>
      <c r="C1540" s="64" t="s">
        <v>5</v>
      </c>
      <c r="D1540" s="65">
        <v>2147483680</v>
      </c>
    </row>
    <row r="1541" spans="1:4">
      <c r="A1541" s="19" t="str">
        <f>$R$2&amp;"."&amp;'Конфигурация TREI'!$A$2&amp;"_2.DIAG_18"</f>
        <v>Диагностика.TREI.CPU_2.DIAG_18</v>
      </c>
      <c r="B1541" s="11">
        <v>7999</v>
      </c>
      <c r="C1541" s="11" t="s">
        <v>0</v>
      </c>
      <c r="D1541" s="20" t="str">
        <f>"#"&amp;$S$2&amp;"#"&amp;$T$2&amp;IF($S$7="","","\")&amp;$S$7&amp;"\"&amp;'Конфигурация TREI'!$A$2&amp;"_2\DIAG_18"</f>
        <v>#2#treiOPCDA.CoOPCserv.1\pcmaster\CPU_2\DIAG_18</v>
      </c>
    </row>
    <row r="1542" spans="1:4">
      <c r="A1542" s="19" t="str">
        <f>$R$2&amp;"."&amp;'Конфигурация TREI'!$A$2&amp;"_2.DIAG_18"</f>
        <v>Диагностика.TREI.CPU_2.DIAG_18</v>
      </c>
      <c r="B1542" s="11">
        <v>7998</v>
      </c>
      <c r="C1542" s="11" t="s">
        <v>6</v>
      </c>
      <c r="D1542" s="20">
        <v>1</v>
      </c>
    </row>
    <row r="1543" spans="1:4">
      <c r="A1543" s="19" t="str">
        <f>$R$2&amp;"."&amp;'Конфигурация TREI'!$A$2&amp;"_2.DIAG_18"</f>
        <v>Диагностика.TREI.CPU_2.DIAG_18</v>
      </c>
      <c r="B1543" s="11">
        <v>101</v>
      </c>
      <c r="C1543" s="11" t="s">
        <v>0</v>
      </c>
      <c r="D1543" s="20" t="s">
        <v>1393</v>
      </c>
    </row>
    <row r="1544" spans="1:4">
      <c r="A1544" s="19" t="str">
        <f>$R$2&amp;"."&amp;'Конфигурация TREI'!$A$2&amp;"_2.DIAG_18"</f>
        <v>Диагностика.TREI.CPU_2.DIAG_18</v>
      </c>
      <c r="B1544" s="11">
        <v>3</v>
      </c>
      <c r="C1544" s="11" t="s">
        <v>1</v>
      </c>
      <c r="D1544" s="20">
        <v>192</v>
      </c>
    </row>
    <row r="1545" spans="1:4">
      <c r="A1545" s="19" t="str">
        <f>$R$2&amp;"."&amp;'Конфигурация TREI'!$A$2&amp;"_2.DIAG_18"</f>
        <v>Диагностика.TREI.CPU_2.DIAG_18</v>
      </c>
      <c r="B1545" s="11">
        <v>2</v>
      </c>
      <c r="C1545" s="11" t="s">
        <v>2</v>
      </c>
      <c r="D1545" s="20" t="s">
        <v>3</v>
      </c>
    </row>
    <row r="1546" spans="1:4">
      <c r="A1546" s="21" t="str">
        <f>$R$2&amp;"."&amp;'Конфигурация TREI'!$A$2&amp;"_2.DIAG_18"</f>
        <v>Диагностика.TREI.CPU_2.DIAG_18</v>
      </c>
      <c r="B1546" s="8">
        <v>1</v>
      </c>
      <c r="C1546" s="8" t="s">
        <v>1</v>
      </c>
      <c r="D1546" s="22">
        <v>11</v>
      </c>
    </row>
    <row r="1547" spans="1:4">
      <c r="A1547" s="159" t="str">
        <f>$R$2&amp;"."&amp;'Конфигурация TREI'!$A$2&amp;"_2.DIAG_19"</f>
        <v>Диагностика.TREI.CPU_2.DIAG_19</v>
      </c>
      <c r="B1547" s="160">
        <v>11154</v>
      </c>
      <c r="C1547" s="160" t="s">
        <v>4</v>
      </c>
      <c r="D1547" s="161">
        <f>$Q$8</f>
        <v>18</v>
      </c>
    </row>
    <row r="1548" spans="1:4">
      <c r="A1548" s="100" t="str">
        <f>$R$2&amp;"."&amp;'Конфигурация TREI'!$A$2&amp;"_2.DIAG_19"</f>
        <v>Диагностика.TREI.CPU_2.DIAG_19</v>
      </c>
      <c r="B1548" s="101">
        <v>11152</v>
      </c>
      <c r="C1548" s="101" t="s">
        <v>0</v>
      </c>
      <c r="D1548" s="104" t="str">
        <f>$R$8</f>
        <v>Телесигнализация</v>
      </c>
    </row>
    <row r="1549" spans="1:4">
      <c r="A1549" s="100" t="str">
        <f>$R$2&amp;"."&amp;'Конфигурация TREI'!$A$2&amp;"_2.DIAG_19"</f>
        <v>Диагностика.TREI.CPU_2.DIAG_19</v>
      </c>
      <c r="B1549" s="101">
        <v>11150</v>
      </c>
      <c r="C1549" s="101" t="s">
        <v>0</v>
      </c>
      <c r="D1549" s="103" t="s">
        <v>811</v>
      </c>
    </row>
    <row r="1550" spans="1:4">
      <c r="A1550" s="100" t="str">
        <f>$R$2&amp;"."&amp;'Конфигурация TREI'!$A$2&amp;"_2.DIAG_19"</f>
        <v>Диагностика.TREI.CPU_2.DIAG_19</v>
      </c>
      <c r="B1550" s="101">
        <v>11000</v>
      </c>
      <c r="C1550" s="101" t="s">
        <v>5</v>
      </c>
      <c r="D1550" s="103">
        <v>2147483680</v>
      </c>
    </row>
    <row r="1551" spans="1:4">
      <c r="A1551" s="19" t="str">
        <f>$R$2&amp;"."&amp;'Конфигурация TREI'!$A$2&amp;"_2.DIAG_19"</f>
        <v>Диагностика.TREI.CPU_2.DIAG_19</v>
      </c>
      <c r="B1551" s="11">
        <v>7999</v>
      </c>
      <c r="C1551" s="11" t="s">
        <v>0</v>
      </c>
      <c r="D1551" s="20" t="str">
        <f>"#"&amp;$S$2&amp;"#"&amp;$T$2&amp;IF($S$7="","","\")&amp;$S$7&amp;"\"&amp;'Конфигурация TREI'!$A$2&amp;"_2\DIAG_19"</f>
        <v>#2#treiOPCDA.CoOPCserv.1\pcmaster\CPU_2\DIAG_19</v>
      </c>
    </row>
    <row r="1552" spans="1:4">
      <c r="A1552" s="19" t="str">
        <f>$R$2&amp;"."&amp;'Конфигурация TREI'!$A$2&amp;"_2.DIAG_19"</f>
        <v>Диагностика.TREI.CPU_2.DIAG_19</v>
      </c>
      <c r="B1552" s="11">
        <v>7998</v>
      </c>
      <c r="C1552" s="11" t="s">
        <v>6</v>
      </c>
      <c r="D1552" s="20">
        <v>1</v>
      </c>
    </row>
    <row r="1553" spans="1:4">
      <c r="A1553" s="19" t="str">
        <f>$R$2&amp;"."&amp;'Конфигурация TREI'!$A$2&amp;"_2.DIAG_19"</f>
        <v>Диагностика.TREI.CPU_2.DIAG_19</v>
      </c>
      <c r="B1553" s="11">
        <v>101</v>
      </c>
      <c r="C1553" s="11" t="s">
        <v>0</v>
      </c>
      <c r="D1553" s="20" t="s">
        <v>811</v>
      </c>
    </row>
    <row r="1554" spans="1:4">
      <c r="A1554" s="19" t="str">
        <f>$R$2&amp;"."&amp;'Конфигурация TREI'!$A$2&amp;"_2.DIAG_19"</f>
        <v>Диагностика.TREI.CPU_2.DIAG_19</v>
      </c>
      <c r="B1554" s="11">
        <v>3</v>
      </c>
      <c r="C1554" s="11" t="s">
        <v>1</v>
      </c>
      <c r="D1554" s="20">
        <v>192</v>
      </c>
    </row>
    <row r="1555" spans="1:4">
      <c r="A1555" s="19" t="str">
        <f>$R$2&amp;"."&amp;'Конфигурация TREI'!$A$2&amp;"_2.DIAG_19"</f>
        <v>Диагностика.TREI.CPU_2.DIAG_19</v>
      </c>
      <c r="B1555" s="11">
        <v>2</v>
      </c>
      <c r="C1555" s="11" t="s">
        <v>2</v>
      </c>
      <c r="D1555" s="20" t="s">
        <v>3</v>
      </c>
    </row>
    <row r="1556" spans="1:4">
      <c r="A1556" s="21" t="str">
        <f>$R$2&amp;"."&amp;'Конфигурация TREI'!$A$2&amp;"_2.DIAG_19"</f>
        <v>Диагностика.TREI.CPU_2.DIAG_19</v>
      </c>
      <c r="B1556" s="8">
        <v>1</v>
      </c>
      <c r="C1556" s="8" t="s">
        <v>1</v>
      </c>
      <c r="D1556" s="22">
        <v>11</v>
      </c>
    </row>
    <row r="1557" spans="1:4">
      <c r="A1557" s="69" t="str">
        <f>$R$2&amp;"."&amp;'Конфигурация TREI'!$A$2&amp;"_2.DIAG_20"</f>
        <v>Диагностика.TREI.CPU_2.DIAG_20</v>
      </c>
      <c r="B1557" s="70">
        <v>11154</v>
      </c>
      <c r="C1557" s="70" t="s">
        <v>4</v>
      </c>
      <c r="D1557" s="144">
        <f>$Q$6</f>
        <v>8</v>
      </c>
    </row>
    <row r="1558" spans="1:4">
      <c r="A1558" s="63" t="str">
        <f>$R$2&amp;"."&amp;'Конфигурация TREI'!$A$2&amp;"_2.DIAG_20"</f>
        <v>Диагностика.TREI.CPU_2.DIAG_20</v>
      </c>
      <c r="B1558" s="64">
        <v>11152</v>
      </c>
      <c r="C1558" s="64" t="s">
        <v>0</v>
      </c>
      <c r="D1558" s="129" t="str">
        <f>$R$6</f>
        <v>Предупреждение</v>
      </c>
    </row>
    <row r="1559" spans="1:4">
      <c r="A1559" s="63" t="str">
        <f>$R$2&amp;"."&amp;'Конфигурация TREI'!$A$2&amp;"_2.DIAG_20"</f>
        <v>Диагностика.TREI.CPU_2.DIAG_20</v>
      </c>
      <c r="B1559" s="64">
        <v>11150</v>
      </c>
      <c r="C1559" s="64" t="s">
        <v>0</v>
      </c>
      <c r="D1559" s="65" t="s">
        <v>1394</v>
      </c>
    </row>
    <row r="1560" spans="1:4">
      <c r="A1560" s="63" t="str">
        <f>$R$2&amp;"."&amp;'Конфигурация TREI'!$A$2&amp;"_2.DIAG_20"</f>
        <v>Диагностика.TREI.CPU_2.DIAG_20</v>
      </c>
      <c r="B1560" s="64">
        <v>11000</v>
      </c>
      <c r="C1560" s="64" t="s">
        <v>5</v>
      </c>
      <c r="D1560" s="65">
        <v>2147483680</v>
      </c>
    </row>
    <row r="1561" spans="1:4">
      <c r="A1561" s="19" t="str">
        <f>$R$2&amp;"."&amp;'Конфигурация TREI'!$A$2&amp;"_2.DIAG_20"</f>
        <v>Диагностика.TREI.CPU_2.DIAG_20</v>
      </c>
      <c r="B1561" s="11">
        <v>7999</v>
      </c>
      <c r="C1561" s="11" t="s">
        <v>0</v>
      </c>
      <c r="D1561" s="20" t="str">
        <f>"#"&amp;$S$2&amp;"#"&amp;$T$2&amp;IF($S$7="","","\")&amp;$S$7&amp;"\"&amp;'Конфигурация TREI'!$A$2&amp;"_2\DIAG_20"</f>
        <v>#2#treiOPCDA.CoOPCserv.1\pcmaster\CPU_2\DIAG_20</v>
      </c>
    </row>
    <row r="1562" spans="1:4">
      <c r="A1562" s="19" t="str">
        <f>$R$2&amp;"."&amp;'Конфигурация TREI'!$A$2&amp;"_2.DIAG_20"</f>
        <v>Диагностика.TREI.CPU_2.DIAG_20</v>
      </c>
      <c r="B1562" s="11">
        <v>7998</v>
      </c>
      <c r="C1562" s="11" t="s">
        <v>6</v>
      </c>
      <c r="D1562" s="20">
        <v>1</v>
      </c>
    </row>
    <row r="1563" spans="1:4">
      <c r="A1563" s="19" t="str">
        <f>$R$2&amp;"."&amp;'Конфигурация TREI'!$A$2&amp;"_2.DIAG_20"</f>
        <v>Диагностика.TREI.CPU_2.DIAG_20</v>
      </c>
      <c r="B1563" s="11">
        <v>101</v>
      </c>
      <c r="C1563" s="11" t="s">
        <v>0</v>
      </c>
      <c r="D1563" s="20" t="s">
        <v>1394</v>
      </c>
    </row>
    <row r="1564" spans="1:4">
      <c r="A1564" s="19" t="str">
        <f>$R$2&amp;"."&amp;'Конфигурация TREI'!$A$2&amp;"_2.DIAG_20"</f>
        <v>Диагностика.TREI.CPU_2.DIAG_20</v>
      </c>
      <c r="B1564" s="11">
        <v>3</v>
      </c>
      <c r="C1564" s="11" t="s">
        <v>1</v>
      </c>
      <c r="D1564" s="20">
        <v>192</v>
      </c>
    </row>
    <row r="1565" spans="1:4">
      <c r="A1565" s="19" t="str">
        <f>$R$2&amp;"."&amp;'Конфигурация TREI'!$A$2&amp;"_2.DIAG_20"</f>
        <v>Диагностика.TREI.CPU_2.DIAG_20</v>
      </c>
      <c r="B1565" s="11">
        <v>2</v>
      </c>
      <c r="C1565" s="11" t="s">
        <v>2</v>
      </c>
      <c r="D1565" s="20" t="s">
        <v>3</v>
      </c>
    </row>
    <row r="1566" spans="1:4">
      <c r="A1566" s="21" t="str">
        <f>$R$2&amp;"."&amp;'Конфигурация TREI'!$A$2&amp;"_2.DIAG_20"</f>
        <v>Диагностика.TREI.CPU_2.DIAG_20</v>
      </c>
      <c r="B1566" s="8">
        <v>1</v>
      </c>
      <c r="C1566" s="8" t="s">
        <v>1</v>
      </c>
      <c r="D1566" s="22">
        <v>11</v>
      </c>
    </row>
    <row r="1567" spans="1:4">
      <c r="A1567" s="159" t="str">
        <f>$R$2&amp;"."&amp;'Конфигурация TREI'!$A$2&amp;"_2.DIAG_21"</f>
        <v>Диагностика.TREI.CPU_2.DIAG_21</v>
      </c>
      <c r="B1567" s="160">
        <v>11154</v>
      </c>
      <c r="C1567" s="160" t="s">
        <v>4</v>
      </c>
      <c r="D1567" s="161">
        <f>$Q$8</f>
        <v>18</v>
      </c>
    </row>
    <row r="1568" spans="1:4">
      <c r="A1568" s="100" t="str">
        <f>$R$2&amp;"."&amp;'Конфигурация TREI'!$A$2&amp;"_2.DIAG_21"</f>
        <v>Диагностика.TREI.CPU_2.DIAG_21</v>
      </c>
      <c r="B1568" s="101">
        <v>11152</v>
      </c>
      <c r="C1568" s="101" t="s">
        <v>0</v>
      </c>
      <c r="D1568" s="104" t="str">
        <f>$R$8</f>
        <v>Телесигнализация</v>
      </c>
    </row>
    <row r="1569" spans="1:4">
      <c r="A1569" s="100" t="str">
        <f>$R$2&amp;"."&amp;'Конфигурация TREI'!$A$2&amp;"_2.DIAG_21"</f>
        <v>Диагностика.TREI.CPU_2.DIAG_21</v>
      </c>
      <c r="B1569" s="101">
        <v>11150</v>
      </c>
      <c r="C1569" s="101" t="s">
        <v>0</v>
      </c>
      <c r="D1569" s="103" t="s">
        <v>1405</v>
      </c>
    </row>
    <row r="1570" spans="1:4">
      <c r="A1570" s="100" t="str">
        <f>$R$2&amp;"."&amp;'Конфигурация TREI'!$A$2&amp;"_2.DIAG_21"</f>
        <v>Диагностика.TREI.CPU_2.DIAG_21</v>
      </c>
      <c r="B1570" s="101">
        <v>11000</v>
      </c>
      <c r="C1570" s="101" t="s">
        <v>5</v>
      </c>
      <c r="D1570" s="103">
        <v>2147483680</v>
      </c>
    </row>
    <row r="1571" spans="1:4">
      <c r="A1571" s="19" t="str">
        <f>$R$2&amp;"."&amp;'Конфигурация TREI'!$A$2&amp;"_2.DIAG_21"</f>
        <v>Диагностика.TREI.CPU_2.DIAG_21</v>
      </c>
      <c r="B1571" s="11">
        <v>7999</v>
      </c>
      <c r="C1571" s="11" t="s">
        <v>0</v>
      </c>
      <c r="D1571" s="20" t="str">
        <f>"#"&amp;$S$2&amp;"#"&amp;$T$2&amp;IF($S$7="","","\")&amp;$S$7&amp;"\"&amp;'Конфигурация TREI'!$A$2&amp;"_2\DIAG_21"</f>
        <v>#2#treiOPCDA.CoOPCserv.1\pcmaster\CPU_2\DIAG_21</v>
      </c>
    </row>
    <row r="1572" spans="1:4">
      <c r="A1572" s="19" t="str">
        <f>$R$2&amp;"."&amp;'Конфигурация TREI'!$A$2&amp;"_2.DIAG_21"</f>
        <v>Диагностика.TREI.CPU_2.DIAG_21</v>
      </c>
      <c r="B1572" s="11">
        <v>7998</v>
      </c>
      <c r="C1572" s="11" t="s">
        <v>6</v>
      </c>
      <c r="D1572" s="20">
        <v>1</v>
      </c>
    </row>
    <row r="1573" spans="1:4">
      <c r="A1573" s="19" t="str">
        <f>$R$2&amp;"."&amp;'Конфигурация TREI'!$A$2&amp;"_2.DIAG_21"</f>
        <v>Диагностика.TREI.CPU_2.DIAG_21</v>
      </c>
      <c r="B1573" s="11">
        <v>101</v>
      </c>
      <c r="C1573" s="11" t="s">
        <v>0</v>
      </c>
      <c r="D1573" s="20" t="s">
        <v>1405</v>
      </c>
    </row>
    <row r="1574" spans="1:4">
      <c r="A1574" s="19" t="str">
        <f>$R$2&amp;"."&amp;'Конфигурация TREI'!$A$2&amp;"_2.DIAG_21"</f>
        <v>Диагностика.TREI.CPU_2.DIAG_21</v>
      </c>
      <c r="B1574" s="11">
        <v>3</v>
      </c>
      <c r="C1574" s="11" t="s">
        <v>1</v>
      </c>
      <c r="D1574" s="20">
        <v>192</v>
      </c>
    </row>
    <row r="1575" spans="1:4">
      <c r="A1575" s="19" t="str">
        <f>$R$2&amp;"."&amp;'Конфигурация TREI'!$A$2&amp;"_2.DIAG_21"</f>
        <v>Диагностика.TREI.CPU_2.DIAG_21</v>
      </c>
      <c r="B1575" s="11">
        <v>2</v>
      </c>
      <c r="C1575" s="11" t="s">
        <v>2</v>
      </c>
      <c r="D1575" s="20" t="s">
        <v>3</v>
      </c>
    </row>
    <row r="1576" spans="1:4">
      <c r="A1576" s="21" t="str">
        <f>$R$2&amp;"."&amp;'Конфигурация TREI'!$A$2&amp;"_2.DIAG_21"</f>
        <v>Диагностика.TREI.CPU_2.DIAG_21</v>
      </c>
      <c r="B1576" s="8">
        <v>1</v>
      </c>
      <c r="C1576" s="8" t="s">
        <v>1</v>
      </c>
      <c r="D1576" s="22">
        <v>11</v>
      </c>
    </row>
    <row r="1577" spans="1:4">
      <c r="A1577" s="159" t="str">
        <f>$R$2&amp;"."&amp;'Конфигурация TREI'!$A$2&amp;"_2.DIAG_22"</f>
        <v>Диагностика.TREI.CPU_2.DIAG_22</v>
      </c>
      <c r="B1577" s="160">
        <v>11154</v>
      </c>
      <c r="C1577" s="160" t="s">
        <v>4</v>
      </c>
      <c r="D1577" s="161">
        <f>$Q$8</f>
        <v>18</v>
      </c>
    </row>
    <row r="1578" spans="1:4">
      <c r="A1578" s="100" t="str">
        <f>$R$2&amp;"."&amp;'Конфигурация TREI'!$A$2&amp;"_2.DIAG_22"</f>
        <v>Диагностика.TREI.CPU_2.DIAG_22</v>
      </c>
      <c r="B1578" s="101">
        <v>11152</v>
      </c>
      <c r="C1578" s="101" t="s">
        <v>0</v>
      </c>
      <c r="D1578" s="104" t="str">
        <f>$R$8</f>
        <v>Телесигнализация</v>
      </c>
    </row>
    <row r="1579" spans="1:4">
      <c r="A1579" s="100" t="str">
        <f>$R$2&amp;"."&amp;'Конфигурация TREI'!$A$2&amp;"_2.DIAG_22"</f>
        <v>Диагностика.TREI.CPU_2.DIAG_22</v>
      </c>
      <c r="B1579" s="101">
        <v>11150</v>
      </c>
      <c r="C1579" s="101" t="s">
        <v>0</v>
      </c>
      <c r="D1579" s="103" t="s">
        <v>812</v>
      </c>
    </row>
    <row r="1580" spans="1:4">
      <c r="A1580" s="100" t="str">
        <f>$R$2&amp;"."&amp;'Конфигурация TREI'!$A$2&amp;"_2.DIAG_22"</f>
        <v>Диагностика.TREI.CPU_2.DIAG_22</v>
      </c>
      <c r="B1580" s="101">
        <v>11000</v>
      </c>
      <c r="C1580" s="101" t="s">
        <v>5</v>
      </c>
      <c r="D1580" s="103">
        <v>2147483680</v>
      </c>
    </row>
    <row r="1581" spans="1:4">
      <c r="A1581" s="19" t="str">
        <f>$R$2&amp;"."&amp;'Конфигурация TREI'!$A$2&amp;"_2.DIAG_22"</f>
        <v>Диагностика.TREI.CPU_2.DIAG_22</v>
      </c>
      <c r="B1581" s="11">
        <v>7999</v>
      </c>
      <c r="C1581" s="11" t="s">
        <v>0</v>
      </c>
      <c r="D1581" s="20" t="str">
        <f>"#"&amp;$S$2&amp;"#"&amp;$T$2&amp;IF($S$7="","","\")&amp;$S$7&amp;"\"&amp;'Конфигурация TREI'!$A$2&amp;"_2\DIAG_22"</f>
        <v>#2#treiOPCDA.CoOPCserv.1\pcmaster\CPU_2\DIAG_22</v>
      </c>
    </row>
    <row r="1582" spans="1:4">
      <c r="A1582" s="19" t="str">
        <f>$R$2&amp;"."&amp;'Конфигурация TREI'!$A$2&amp;"_2.DIAG_22"</f>
        <v>Диагностика.TREI.CPU_2.DIAG_22</v>
      </c>
      <c r="B1582" s="11">
        <v>7998</v>
      </c>
      <c r="C1582" s="11" t="s">
        <v>6</v>
      </c>
      <c r="D1582" s="20">
        <v>1</v>
      </c>
    </row>
    <row r="1583" spans="1:4">
      <c r="A1583" s="19" t="str">
        <f>$R$2&amp;"."&amp;'Конфигурация TREI'!$A$2&amp;"_2.DIAG_22"</f>
        <v>Диагностика.TREI.CPU_2.DIAG_22</v>
      </c>
      <c r="B1583" s="11">
        <v>101</v>
      </c>
      <c r="C1583" s="11" t="s">
        <v>0</v>
      </c>
      <c r="D1583" s="20" t="s">
        <v>812</v>
      </c>
    </row>
    <row r="1584" spans="1:4">
      <c r="A1584" s="19" t="str">
        <f>$R$2&amp;"."&amp;'Конфигурация TREI'!$A$2&amp;"_2.DIAG_22"</f>
        <v>Диагностика.TREI.CPU_2.DIAG_22</v>
      </c>
      <c r="B1584" s="11">
        <v>3</v>
      </c>
      <c r="C1584" s="11" t="s">
        <v>1</v>
      </c>
      <c r="D1584" s="20">
        <v>192</v>
      </c>
    </row>
    <row r="1585" spans="1:4">
      <c r="A1585" s="19" t="str">
        <f>$R$2&amp;"."&amp;'Конфигурация TREI'!$A$2&amp;"_2.DIAG_22"</f>
        <v>Диагностика.TREI.CPU_2.DIAG_22</v>
      </c>
      <c r="B1585" s="11">
        <v>2</v>
      </c>
      <c r="C1585" s="11" t="s">
        <v>2</v>
      </c>
      <c r="D1585" s="20" t="s">
        <v>3</v>
      </c>
    </row>
    <row r="1586" spans="1:4">
      <c r="A1586" s="21" t="str">
        <f>$R$2&amp;"."&amp;'Конфигурация TREI'!$A$2&amp;"_2.DIAG_22"</f>
        <v>Диагностика.TREI.CPU_2.DIAG_22</v>
      </c>
      <c r="B1586" s="8">
        <v>1</v>
      </c>
      <c r="C1586" s="8" t="s">
        <v>1</v>
      </c>
      <c r="D1586" s="22">
        <v>11</v>
      </c>
    </row>
    <row r="1587" spans="1:4">
      <c r="A1587" s="69" t="str">
        <f>$R$2&amp;"."&amp;'Конфигурация TREI'!$A$2&amp;"_2.DIAG_24"</f>
        <v>Диагностика.TREI.CPU_2.DIAG_24</v>
      </c>
      <c r="B1587" s="70">
        <v>11154</v>
      </c>
      <c r="C1587" s="70" t="s">
        <v>4</v>
      </c>
      <c r="D1587" s="144">
        <f>$Q$6</f>
        <v>8</v>
      </c>
    </row>
    <row r="1588" spans="1:4">
      <c r="A1588" s="63" t="str">
        <f>$R$2&amp;"."&amp;'Конфигурация TREI'!$A$2&amp;"_2.DIAG_24"</f>
        <v>Диагностика.TREI.CPU_2.DIAG_24</v>
      </c>
      <c r="B1588" s="64">
        <v>11152</v>
      </c>
      <c r="C1588" s="64" t="s">
        <v>0</v>
      </c>
      <c r="D1588" s="129" t="str">
        <f>$R$6</f>
        <v>Предупреждение</v>
      </c>
    </row>
    <row r="1589" spans="1:4">
      <c r="A1589" s="63" t="str">
        <f>$R$2&amp;"."&amp;'Конфигурация TREI'!$A$2&amp;"_2.DIAG_24"</f>
        <v>Диагностика.TREI.CPU_2.DIAG_24</v>
      </c>
      <c r="B1589" s="64">
        <v>11150</v>
      </c>
      <c r="C1589" s="64" t="s">
        <v>0</v>
      </c>
      <c r="D1589" s="65" t="s">
        <v>813</v>
      </c>
    </row>
    <row r="1590" spans="1:4">
      <c r="A1590" s="63" t="str">
        <f>$R$2&amp;"."&amp;'Конфигурация TREI'!$A$2&amp;"_2.DIAG_24"</f>
        <v>Диагностика.TREI.CPU_2.DIAG_24</v>
      </c>
      <c r="B1590" s="64">
        <v>11000</v>
      </c>
      <c r="C1590" s="64" t="s">
        <v>5</v>
      </c>
      <c r="D1590" s="65">
        <v>2147483680</v>
      </c>
    </row>
    <row r="1591" spans="1:4">
      <c r="A1591" s="19" t="str">
        <f>$R$2&amp;"."&amp;'Конфигурация TREI'!$A$2&amp;"_2.DIAG_24"</f>
        <v>Диагностика.TREI.CPU_2.DIAG_24</v>
      </c>
      <c r="B1591" s="11">
        <v>7999</v>
      </c>
      <c r="C1591" s="11" t="s">
        <v>0</v>
      </c>
      <c r="D1591" s="20" t="str">
        <f>"#"&amp;$S$2&amp;"#"&amp;$T$2&amp;IF($S$7="","","\")&amp;$S$7&amp;"\"&amp;'Конфигурация TREI'!$A$2&amp;"_2\DIAG_24"</f>
        <v>#2#treiOPCDA.CoOPCserv.1\pcmaster\CPU_2\DIAG_24</v>
      </c>
    </row>
    <row r="1592" spans="1:4">
      <c r="A1592" s="19" t="str">
        <f>$R$2&amp;"."&amp;'Конфигурация TREI'!$A$2&amp;"_2.DIAG_24"</f>
        <v>Диагностика.TREI.CPU_2.DIAG_24</v>
      </c>
      <c r="B1592" s="11">
        <v>7998</v>
      </c>
      <c r="C1592" s="11" t="s">
        <v>6</v>
      </c>
      <c r="D1592" s="20">
        <v>1</v>
      </c>
    </row>
    <row r="1593" spans="1:4">
      <c r="A1593" s="19" t="str">
        <f>$R$2&amp;"."&amp;'Конфигурация TREI'!$A$2&amp;"_2.DIAG_24"</f>
        <v>Диагностика.TREI.CPU_2.DIAG_24</v>
      </c>
      <c r="B1593" s="11">
        <v>101</v>
      </c>
      <c r="C1593" s="11" t="s">
        <v>0</v>
      </c>
      <c r="D1593" s="20" t="s">
        <v>813</v>
      </c>
    </row>
    <row r="1594" spans="1:4">
      <c r="A1594" s="19" t="str">
        <f>$R$2&amp;"."&amp;'Конфигурация TREI'!$A$2&amp;"_2.DIAG_24"</f>
        <v>Диагностика.TREI.CPU_2.DIAG_24</v>
      </c>
      <c r="B1594" s="11">
        <v>3</v>
      </c>
      <c r="C1594" s="11" t="s">
        <v>1</v>
      </c>
      <c r="D1594" s="20">
        <v>192</v>
      </c>
    </row>
    <row r="1595" spans="1:4">
      <c r="A1595" s="19" t="str">
        <f>$R$2&amp;"."&amp;'Конфигурация TREI'!$A$2&amp;"_2.DIAG_24"</f>
        <v>Диагностика.TREI.CPU_2.DIAG_24</v>
      </c>
      <c r="B1595" s="11">
        <v>2</v>
      </c>
      <c r="C1595" s="11" t="s">
        <v>2</v>
      </c>
      <c r="D1595" s="20" t="s">
        <v>3</v>
      </c>
    </row>
    <row r="1596" spans="1:4">
      <c r="A1596" s="21" t="str">
        <f>$R$2&amp;"."&amp;'Конфигурация TREI'!$A$2&amp;"_2.DIAG_24"</f>
        <v>Диагностика.TREI.CPU_2.DIAG_24</v>
      </c>
      <c r="B1596" s="8">
        <v>1</v>
      </c>
      <c r="C1596" s="8" t="s">
        <v>1</v>
      </c>
      <c r="D1596" s="22">
        <v>11</v>
      </c>
    </row>
    <row r="1597" spans="1:4">
      <c r="A1597" s="69" t="str">
        <f>$R$2&amp;"."&amp;'Конфигурация TREI'!$A$2&amp;"_2.DIAG_25"</f>
        <v>Диагностика.TREI.CPU_2.DIAG_25</v>
      </c>
      <c r="B1597" s="70">
        <v>11154</v>
      </c>
      <c r="C1597" s="70" t="s">
        <v>4</v>
      </c>
      <c r="D1597" s="144">
        <f>$Q$6</f>
        <v>8</v>
      </c>
    </row>
    <row r="1598" spans="1:4">
      <c r="A1598" s="63" t="str">
        <f>$R$2&amp;"."&amp;'Конфигурация TREI'!$A$2&amp;"_2.DIAG_25"</f>
        <v>Диагностика.TREI.CPU_2.DIAG_25</v>
      </c>
      <c r="B1598" s="64">
        <v>11152</v>
      </c>
      <c r="C1598" s="64" t="s">
        <v>0</v>
      </c>
      <c r="D1598" s="129" t="str">
        <f>$R$6</f>
        <v>Предупреждение</v>
      </c>
    </row>
    <row r="1599" spans="1:4">
      <c r="A1599" s="63" t="str">
        <f>$R$2&amp;"."&amp;'Конфигурация TREI'!$A$2&amp;"_2.DIAG_25"</f>
        <v>Диагностика.TREI.CPU_2.DIAG_25</v>
      </c>
      <c r="B1599" s="64">
        <v>11150</v>
      </c>
      <c r="C1599" s="64" t="s">
        <v>0</v>
      </c>
      <c r="D1599" s="65" t="s">
        <v>814</v>
      </c>
    </row>
    <row r="1600" spans="1:4">
      <c r="A1600" s="63" t="str">
        <f>$R$2&amp;"."&amp;'Конфигурация TREI'!$A$2&amp;"_2.DIAG_25"</f>
        <v>Диагностика.TREI.CPU_2.DIAG_25</v>
      </c>
      <c r="B1600" s="64">
        <v>11000</v>
      </c>
      <c r="C1600" s="64" t="s">
        <v>5</v>
      </c>
      <c r="D1600" s="65">
        <v>2147483680</v>
      </c>
    </row>
    <row r="1601" spans="1:4">
      <c r="A1601" s="19" t="str">
        <f>$R$2&amp;"."&amp;'Конфигурация TREI'!$A$2&amp;"_2.DIAG_25"</f>
        <v>Диагностика.TREI.CPU_2.DIAG_25</v>
      </c>
      <c r="B1601" s="11">
        <v>7999</v>
      </c>
      <c r="C1601" s="11" t="s">
        <v>0</v>
      </c>
      <c r="D1601" s="20" t="str">
        <f>"#"&amp;$S$2&amp;"#"&amp;$T$2&amp;IF($S$7="","","\")&amp;$S$7&amp;"\"&amp;'Конфигурация TREI'!$A$2&amp;"_2\DIAG_25"</f>
        <v>#2#treiOPCDA.CoOPCserv.1\pcmaster\CPU_2\DIAG_25</v>
      </c>
    </row>
    <row r="1602" spans="1:4">
      <c r="A1602" s="19" t="str">
        <f>$R$2&amp;"."&amp;'Конфигурация TREI'!$A$2&amp;"_2.DIAG_25"</f>
        <v>Диагностика.TREI.CPU_2.DIAG_25</v>
      </c>
      <c r="B1602" s="11">
        <v>7998</v>
      </c>
      <c r="C1602" s="11" t="s">
        <v>6</v>
      </c>
      <c r="D1602" s="20">
        <v>1</v>
      </c>
    </row>
    <row r="1603" spans="1:4">
      <c r="A1603" s="19" t="str">
        <f>$R$2&amp;"."&amp;'Конфигурация TREI'!$A$2&amp;"_2.DIAG_25"</f>
        <v>Диагностика.TREI.CPU_2.DIAG_25</v>
      </c>
      <c r="B1603" s="11">
        <v>101</v>
      </c>
      <c r="C1603" s="11" t="s">
        <v>0</v>
      </c>
      <c r="D1603" s="20" t="s">
        <v>814</v>
      </c>
    </row>
    <row r="1604" spans="1:4">
      <c r="A1604" s="19" t="str">
        <f>$R$2&amp;"."&amp;'Конфигурация TREI'!$A$2&amp;"_2.DIAG_25"</f>
        <v>Диагностика.TREI.CPU_2.DIAG_25</v>
      </c>
      <c r="B1604" s="11">
        <v>3</v>
      </c>
      <c r="C1604" s="11" t="s">
        <v>1</v>
      </c>
      <c r="D1604" s="20">
        <v>192</v>
      </c>
    </row>
    <row r="1605" spans="1:4">
      <c r="A1605" s="19" t="str">
        <f>$R$2&amp;"."&amp;'Конфигурация TREI'!$A$2&amp;"_2.DIAG_25"</f>
        <v>Диагностика.TREI.CPU_2.DIAG_25</v>
      </c>
      <c r="B1605" s="11">
        <v>2</v>
      </c>
      <c r="C1605" s="11" t="s">
        <v>2</v>
      </c>
      <c r="D1605" s="20" t="s">
        <v>3</v>
      </c>
    </row>
    <row r="1606" spans="1:4">
      <c r="A1606" s="21" t="str">
        <f>$R$2&amp;"."&amp;'Конфигурация TREI'!$A$2&amp;"_2.DIAG_25"</f>
        <v>Диагностика.TREI.CPU_2.DIAG_25</v>
      </c>
      <c r="B1606" s="8">
        <v>1</v>
      </c>
      <c r="C1606" s="8" t="s">
        <v>1</v>
      </c>
      <c r="D1606" s="22">
        <v>11</v>
      </c>
    </row>
    <row r="1607" spans="1:4">
      <c r="A1607" s="159" t="str">
        <f>$R$2&amp;"."&amp;'Конфигурация TREI'!$A$2&amp;"_2.DIAG_26"</f>
        <v>Диагностика.TREI.CPU_2.DIAG_26</v>
      </c>
      <c r="B1607" s="160">
        <v>11154</v>
      </c>
      <c r="C1607" s="160" t="s">
        <v>4</v>
      </c>
      <c r="D1607" s="161">
        <f>$Q$8</f>
        <v>18</v>
      </c>
    </row>
    <row r="1608" spans="1:4">
      <c r="A1608" s="100" t="str">
        <f>$R$2&amp;"."&amp;'Конфигурация TREI'!$A$2&amp;"_2.DIAG_26"</f>
        <v>Диагностика.TREI.CPU_2.DIAG_26</v>
      </c>
      <c r="B1608" s="101">
        <v>11152</v>
      </c>
      <c r="C1608" s="101" t="s">
        <v>0</v>
      </c>
      <c r="D1608" s="104" t="str">
        <f>$R$8</f>
        <v>Телесигнализация</v>
      </c>
    </row>
    <row r="1609" spans="1:4">
      <c r="A1609" s="100" t="str">
        <f>$R$2&amp;"."&amp;'Конфигурация TREI'!$A$2&amp;"_2.DIAG_26"</f>
        <v>Диагностика.TREI.CPU_2.DIAG_26</v>
      </c>
      <c r="B1609" s="101">
        <v>11150</v>
      </c>
      <c r="C1609" s="101" t="s">
        <v>0</v>
      </c>
      <c r="D1609" s="103" t="s">
        <v>1395</v>
      </c>
    </row>
    <row r="1610" spans="1:4">
      <c r="A1610" s="100" t="str">
        <f>$R$2&amp;"."&amp;'Конфигурация TREI'!$A$2&amp;"_2.DIAG_26"</f>
        <v>Диагностика.TREI.CPU_2.DIAG_26</v>
      </c>
      <c r="B1610" s="101">
        <v>11000</v>
      </c>
      <c r="C1610" s="101" t="s">
        <v>5</v>
      </c>
      <c r="D1610" s="103">
        <v>2147483680</v>
      </c>
    </row>
    <row r="1611" spans="1:4">
      <c r="A1611" s="19" t="str">
        <f>$R$2&amp;"."&amp;'Конфигурация TREI'!$A$2&amp;"_2.DIAG_26"</f>
        <v>Диагностика.TREI.CPU_2.DIAG_26</v>
      </c>
      <c r="B1611" s="11">
        <v>7999</v>
      </c>
      <c r="C1611" s="11" t="s">
        <v>0</v>
      </c>
      <c r="D1611" s="20" t="str">
        <f>"#"&amp;$S$2&amp;"#"&amp;$T$2&amp;IF($S$7="","","\")&amp;$S$7&amp;"\"&amp;'Конфигурация TREI'!$A$2&amp;"_2\DIAG_26"</f>
        <v>#2#treiOPCDA.CoOPCserv.1\pcmaster\CPU_2\DIAG_26</v>
      </c>
    </row>
    <row r="1612" spans="1:4">
      <c r="A1612" s="19" t="str">
        <f>$R$2&amp;"."&amp;'Конфигурация TREI'!$A$2&amp;"_2.DIAG_26"</f>
        <v>Диагностика.TREI.CPU_2.DIAG_26</v>
      </c>
      <c r="B1612" s="11">
        <v>7998</v>
      </c>
      <c r="C1612" s="11" t="s">
        <v>6</v>
      </c>
      <c r="D1612" s="20">
        <v>1</v>
      </c>
    </row>
    <row r="1613" spans="1:4">
      <c r="A1613" s="19" t="str">
        <f>$R$2&amp;"."&amp;'Конфигурация TREI'!$A$2&amp;"_2.DIAG_26"</f>
        <v>Диагностика.TREI.CPU_2.DIAG_26</v>
      </c>
      <c r="B1613" s="11">
        <v>101</v>
      </c>
      <c r="C1613" s="11" t="s">
        <v>0</v>
      </c>
      <c r="D1613" s="20" t="s">
        <v>1395</v>
      </c>
    </row>
    <row r="1614" spans="1:4">
      <c r="A1614" s="19" t="str">
        <f>$R$2&amp;"."&amp;'Конфигурация TREI'!$A$2&amp;"_2.DIAG_26"</f>
        <v>Диагностика.TREI.CPU_2.DIAG_26</v>
      </c>
      <c r="B1614" s="11">
        <v>3</v>
      </c>
      <c r="C1614" s="11" t="s">
        <v>1</v>
      </c>
      <c r="D1614" s="20">
        <v>192</v>
      </c>
    </row>
    <row r="1615" spans="1:4">
      <c r="A1615" s="19" t="str">
        <f>$R$2&amp;"."&amp;'Конфигурация TREI'!$A$2&amp;"_2.DIAG_26"</f>
        <v>Диагностика.TREI.CPU_2.DIAG_26</v>
      </c>
      <c r="B1615" s="11">
        <v>2</v>
      </c>
      <c r="C1615" s="11" t="s">
        <v>2</v>
      </c>
      <c r="D1615" s="20" t="s">
        <v>3</v>
      </c>
    </row>
    <row r="1616" spans="1:4">
      <c r="A1616" s="21" t="str">
        <f>$R$2&amp;"."&amp;'Конфигурация TREI'!$A$2&amp;"_2.DIAG_26"</f>
        <v>Диагностика.TREI.CPU_2.DIAG_26</v>
      </c>
      <c r="B1616" s="8">
        <v>1</v>
      </c>
      <c r="C1616" s="8" t="s">
        <v>1</v>
      </c>
      <c r="D1616" s="22">
        <v>11</v>
      </c>
    </row>
    <row r="1617" spans="1:4">
      <c r="A1617" s="159" t="str">
        <f>$R$2&amp;"."&amp;'Конфигурация TREI'!$A$2&amp;"_2.DIAG_29"</f>
        <v>Диагностика.TREI.CPU_2.DIAG_29</v>
      </c>
      <c r="B1617" s="160">
        <v>11154</v>
      </c>
      <c r="C1617" s="160" t="s">
        <v>4</v>
      </c>
      <c r="D1617" s="161">
        <f>$Q$8</f>
        <v>18</v>
      </c>
    </row>
    <row r="1618" spans="1:4">
      <c r="A1618" s="100" t="str">
        <f>$R$2&amp;"."&amp;'Конфигурация TREI'!$A$2&amp;"_2.DIAG_29"</f>
        <v>Диагностика.TREI.CPU_2.DIAG_29</v>
      </c>
      <c r="B1618" s="101">
        <v>11152</v>
      </c>
      <c r="C1618" s="101" t="s">
        <v>0</v>
      </c>
      <c r="D1618" s="104" t="str">
        <f>$R$8</f>
        <v>Телесигнализация</v>
      </c>
    </row>
    <row r="1619" spans="1:4">
      <c r="A1619" s="100" t="str">
        <f>$R$2&amp;"."&amp;'Конфигурация TREI'!$A$2&amp;"_2.DIAG_29"</f>
        <v>Диагностика.TREI.CPU_2.DIAG_29</v>
      </c>
      <c r="B1619" s="101">
        <v>11150</v>
      </c>
      <c r="C1619" s="101" t="s">
        <v>0</v>
      </c>
      <c r="D1619" s="103" t="s">
        <v>1396</v>
      </c>
    </row>
    <row r="1620" spans="1:4">
      <c r="A1620" s="100" t="str">
        <f>$R$2&amp;"."&amp;'Конфигурация TREI'!$A$2&amp;"_2.DIAG_29"</f>
        <v>Диагностика.TREI.CPU_2.DIAG_29</v>
      </c>
      <c r="B1620" s="101">
        <v>11000</v>
      </c>
      <c r="C1620" s="101" t="s">
        <v>5</v>
      </c>
      <c r="D1620" s="103">
        <v>2147483680</v>
      </c>
    </row>
    <row r="1621" spans="1:4">
      <c r="A1621" s="19" t="str">
        <f>$R$2&amp;"."&amp;'Конфигурация TREI'!$A$2&amp;"_2.DIAG_29"</f>
        <v>Диагностика.TREI.CPU_2.DIAG_29</v>
      </c>
      <c r="B1621" s="11">
        <v>7999</v>
      </c>
      <c r="C1621" s="11" t="s">
        <v>0</v>
      </c>
      <c r="D1621" s="20" t="str">
        <f>"#"&amp;$S$2&amp;"#"&amp;$T$2&amp;IF($S$7="","","\")&amp;$S$7&amp;"\"&amp;'Конфигурация TREI'!$A$2&amp;"_2\DIAG_29"</f>
        <v>#2#treiOPCDA.CoOPCserv.1\pcmaster\CPU_2\DIAG_29</v>
      </c>
    </row>
    <row r="1622" spans="1:4">
      <c r="A1622" s="19" t="str">
        <f>$R$2&amp;"."&amp;'Конфигурация TREI'!$A$2&amp;"_2.DIAG_29"</f>
        <v>Диагностика.TREI.CPU_2.DIAG_29</v>
      </c>
      <c r="B1622" s="11">
        <v>7998</v>
      </c>
      <c r="C1622" s="11" t="s">
        <v>6</v>
      </c>
      <c r="D1622" s="20">
        <v>1</v>
      </c>
    </row>
    <row r="1623" spans="1:4">
      <c r="A1623" s="19" t="str">
        <f>$R$2&amp;"."&amp;'Конфигурация TREI'!$A$2&amp;"_2.DIAG_29"</f>
        <v>Диагностика.TREI.CPU_2.DIAG_29</v>
      </c>
      <c r="B1623" s="11">
        <v>101</v>
      </c>
      <c r="C1623" s="11" t="s">
        <v>0</v>
      </c>
      <c r="D1623" s="20" t="s">
        <v>1396</v>
      </c>
    </row>
    <row r="1624" spans="1:4">
      <c r="A1624" s="19" t="str">
        <f>$R$2&amp;"."&amp;'Конфигурация TREI'!$A$2&amp;"_2.DIAG_29"</f>
        <v>Диагностика.TREI.CPU_2.DIAG_29</v>
      </c>
      <c r="B1624" s="11">
        <v>3</v>
      </c>
      <c r="C1624" s="11" t="s">
        <v>1</v>
      </c>
      <c r="D1624" s="20">
        <v>192</v>
      </c>
    </row>
    <row r="1625" spans="1:4">
      <c r="A1625" s="19" t="str">
        <f>$R$2&amp;"."&amp;'Конфигурация TREI'!$A$2&amp;"_2.DIAG_29"</f>
        <v>Диагностика.TREI.CPU_2.DIAG_29</v>
      </c>
      <c r="B1625" s="11">
        <v>2</v>
      </c>
      <c r="C1625" s="11" t="s">
        <v>2</v>
      </c>
      <c r="D1625" s="20" t="s">
        <v>3</v>
      </c>
    </row>
    <row r="1626" spans="1:4">
      <c r="A1626" s="21" t="str">
        <f>$R$2&amp;"."&amp;'Конфигурация TREI'!$A$2&amp;"_2.DIAG_29"</f>
        <v>Диагностика.TREI.CPU_2.DIAG_29</v>
      </c>
      <c r="B1626" s="8">
        <v>1</v>
      </c>
      <c r="C1626" s="8" t="s">
        <v>1</v>
      </c>
      <c r="D1626" s="22">
        <v>11</v>
      </c>
    </row>
    <row r="1627" spans="1:4">
      <c r="A1627" s="23" t="str">
        <f>$R$2&amp;"."&amp;'Конфигурация TREI'!$A$2&amp;".CONTR.LINE_A"</f>
        <v>Диагностика.TREI.CPU.CONTR.LINE_A</v>
      </c>
      <c r="B1627" s="24">
        <v>11001</v>
      </c>
      <c r="C1627" s="24" t="s">
        <v>0</v>
      </c>
      <c r="D1627" s="25" t="s">
        <v>1601</v>
      </c>
    </row>
    <row r="1628" spans="1:4">
      <c r="A1628" s="29" t="str">
        <f>$R$2&amp;"."&amp;'Конфигурация TREI'!$A$2&amp;".CONTR.LINE_A"</f>
        <v>Диагностика.TREI.CPU.CONTR.LINE_A</v>
      </c>
      <c r="B1628" s="1">
        <v>9002</v>
      </c>
      <c r="C1628" s="1" t="s">
        <v>0</v>
      </c>
      <c r="D1628" s="30">
        <v>2</v>
      </c>
    </row>
    <row r="1629" spans="1:4">
      <c r="A1629" s="29" t="str">
        <f>$R$2&amp;"."&amp;'Конфигурация TREI'!$A$2&amp;".CONTR.LINE_A"</f>
        <v>Диагностика.TREI.CPU.CONTR.LINE_A</v>
      </c>
      <c r="B1629" s="1">
        <v>7999</v>
      </c>
      <c r="C1629" s="1" t="s">
        <v>0</v>
      </c>
      <c r="D1629" s="30" t="str">
        <f>"#"&amp;$S$2&amp;"#"&amp;$T$2&amp;"\CONTR\LINE_A"</f>
        <v>#2#treiOPCDA.CoOPCserv.1\pcmaster\CONTR\LINE_A</v>
      </c>
    </row>
    <row r="1630" spans="1:4">
      <c r="A1630" s="29" t="str">
        <f>$R$2&amp;"."&amp;'Конфигурация TREI'!$A$2&amp;".CONTR.LINE_A"</f>
        <v>Диагностика.TREI.CPU.CONTR.LINE_A</v>
      </c>
      <c r="B1630" s="1">
        <v>7998</v>
      </c>
      <c r="C1630" s="1" t="s">
        <v>6</v>
      </c>
      <c r="D1630" s="30">
        <v>1</v>
      </c>
    </row>
    <row r="1631" spans="1:4">
      <c r="A1631" s="29" t="str">
        <f>$R$2&amp;"."&amp;'Конфигурация TREI'!$A$2&amp;".CONTR.LINE_A"</f>
        <v>Диагностика.TREI.CPU.CONTR.LINE_A</v>
      </c>
      <c r="B1631" s="1">
        <v>7011</v>
      </c>
      <c r="C1631" s="1" t="s">
        <v>2</v>
      </c>
      <c r="D1631" s="30" t="s">
        <v>130</v>
      </c>
    </row>
    <row r="1632" spans="1:4">
      <c r="A1632" s="29" t="str">
        <f>$R$2&amp;"."&amp;'Конфигурация TREI'!$A$2&amp;".CONTR.LINE_A"</f>
        <v>Диагностика.TREI.CPU.CONTR.LINE_A</v>
      </c>
      <c r="B1632" s="1">
        <v>3</v>
      </c>
      <c r="C1632" s="1" t="s">
        <v>1</v>
      </c>
      <c r="D1632" s="30">
        <v>4</v>
      </c>
    </row>
    <row r="1633" spans="1:5">
      <c r="A1633" s="26" t="str">
        <f>$R$2&amp;"."&amp;'Конфигурация TREI'!$A$2&amp;".CONTR.LINE_A"</f>
        <v>Диагностика.TREI.CPU.CONTR.LINE_A</v>
      </c>
      <c r="B1633" s="27">
        <v>1</v>
      </c>
      <c r="C1633" s="27" t="s">
        <v>1</v>
      </c>
      <c r="D1633" s="28">
        <v>16</v>
      </c>
    </row>
    <row r="1634" spans="1:5">
      <c r="A1634" s="29" t="str">
        <f>$R$2&amp;"."&amp;'Конфигурация TREI'!$A$2&amp;".CONTR.LINE_B"</f>
        <v>Диагностика.TREI.CPU.CONTR.LINE_B</v>
      </c>
      <c r="B1634" s="1">
        <v>9002</v>
      </c>
      <c r="C1634" s="1" t="s">
        <v>0</v>
      </c>
      <c r="D1634" s="30">
        <v>2</v>
      </c>
    </row>
    <row r="1635" spans="1:5">
      <c r="A1635" s="29" t="str">
        <f>$R$2&amp;"."&amp;'Конфигурация TREI'!$A$2&amp;".CONTR.LINE_B"</f>
        <v>Диагностика.TREI.CPU.CONTR.LINE_B</v>
      </c>
      <c r="B1635" s="1">
        <v>7999</v>
      </c>
      <c r="C1635" s="1" t="s">
        <v>0</v>
      </c>
      <c r="D1635" s="30" t="str">
        <f>"#"&amp;$S$2&amp;"#"&amp;$T$2&amp;"\CONTR\LINE_B"</f>
        <v>#2#treiOPCDA.CoOPCserv.1\pcmaster\CONTR\LINE_B</v>
      </c>
    </row>
    <row r="1636" spans="1:5">
      <c r="A1636" s="29" t="str">
        <f>$R$2&amp;"."&amp;'Конфигурация TREI'!$A$2&amp;".CONTR.LINE_B"</f>
        <v>Диагностика.TREI.CPU.CONTR.LINE_B</v>
      </c>
      <c r="B1636" s="1">
        <v>7998</v>
      </c>
      <c r="C1636" s="1" t="s">
        <v>6</v>
      </c>
      <c r="D1636" s="30">
        <v>1</v>
      </c>
    </row>
    <row r="1637" spans="1:5">
      <c r="A1637" s="29" t="str">
        <f>$R$2&amp;"."&amp;'Конфигурация TREI'!$A$2&amp;".CONTR.LINE_B"</f>
        <v>Диагностика.TREI.CPU.CONTR.LINE_B</v>
      </c>
      <c r="B1637" s="1">
        <v>7011</v>
      </c>
      <c r="C1637" s="1" t="s">
        <v>2</v>
      </c>
      <c r="D1637" s="30" t="s">
        <v>130</v>
      </c>
    </row>
    <row r="1638" spans="1:5">
      <c r="A1638" s="29" t="str">
        <f>$R$2&amp;"."&amp;'Конфигурация TREI'!$A$2&amp;".CONTR.LINE_B"</f>
        <v>Диагностика.TREI.CPU.CONTR.LINE_B</v>
      </c>
      <c r="B1638" s="1">
        <v>3</v>
      </c>
      <c r="C1638" s="1" t="s">
        <v>1</v>
      </c>
      <c r="D1638" s="30">
        <v>4</v>
      </c>
    </row>
    <row r="1639" spans="1:5">
      <c r="A1639" s="29" t="str">
        <f>$R$2&amp;"."&amp;'Конфигурация TREI'!$A$2&amp;".CONTR.LINE_B"</f>
        <v>Диагностика.TREI.CPU.CONTR.LINE_B</v>
      </c>
      <c r="B1639" s="1">
        <v>1</v>
      </c>
      <c r="C1639" s="1" t="s">
        <v>1</v>
      </c>
      <c r="D1639" s="30">
        <v>16</v>
      </c>
    </row>
    <row r="1640" spans="1:5">
      <c r="A1640" s="26" t="str">
        <f>$R$2&amp;"."&amp;'Конфигурация TREI'!$A$2&amp;".CONTR.LINE_B"</f>
        <v>Диагностика.TREI.CPU.CONTR.LINE_B</v>
      </c>
      <c r="B1640" s="27">
        <v>11001</v>
      </c>
      <c r="C1640" s="27" t="s">
        <v>0</v>
      </c>
      <c r="D1640" s="28" t="s">
        <v>1594</v>
      </c>
    </row>
    <row r="1641" spans="1:5">
      <c r="A1641" s="29" t="str">
        <f>$R$2&amp;"."&amp;'Конфигурация TREI'!$A$2&amp;".CONTR.RESV_A"</f>
        <v>Диагностика.TREI.CPU.CONTR.RESV_A</v>
      </c>
      <c r="B1641" s="1">
        <v>9002</v>
      </c>
      <c r="C1641" s="1" t="s">
        <v>0</v>
      </c>
      <c r="D1641" s="30">
        <v>2</v>
      </c>
    </row>
    <row r="1642" spans="1:5">
      <c r="A1642" s="29" t="str">
        <f>$R$2&amp;"."&amp;'Конфигурация TREI'!$A$2&amp;".CONTR.RESV_A"</f>
        <v>Диагностика.TREI.CPU.CONTR.RESV_A</v>
      </c>
      <c r="B1642" s="1">
        <v>7999</v>
      </c>
      <c r="C1642" s="1" t="s">
        <v>0</v>
      </c>
      <c r="D1642" s="30" t="str">
        <f>"#"&amp;$S$2&amp;"#"&amp;$T$2&amp;"\CONTR\RESV_A"</f>
        <v>#2#treiOPCDA.CoOPCserv.1\pcmaster\CONTR\RESV_A</v>
      </c>
    </row>
    <row r="1643" spans="1:5">
      <c r="A1643" s="29" t="str">
        <f>$R$2&amp;"."&amp;'Конфигурация TREI'!$A$2&amp;".CONTR.RESV_A"</f>
        <v>Диагностика.TREI.CPU.CONTR.RESV_A</v>
      </c>
      <c r="B1643" s="1">
        <v>7998</v>
      </c>
      <c r="C1643" s="1" t="s">
        <v>6</v>
      </c>
      <c r="D1643" s="30">
        <v>1</v>
      </c>
    </row>
    <row r="1644" spans="1:5">
      <c r="A1644" s="29" t="str">
        <f>$R$2&amp;"."&amp;'Конфигурация TREI'!$A$2&amp;".CONTR.RESV_A"</f>
        <v>Диагностика.TREI.CPU.CONTR.RESV_A</v>
      </c>
      <c r="B1644" s="1">
        <v>7011</v>
      </c>
      <c r="C1644" s="1" t="s">
        <v>2</v>
      </c>
      <c r="D1644" s="30" t="s">
        <v>130</v>
      </c>
      <c r="E1644" t="s">
        <v>1597</v>
      </c>
    </row>
    <row r="1645" spans="1:5">
      <c r="A1645" s="29" t="str">
        <f>$R$2&amp;"."&amp;'Конфигурация TREI'!$A$2&amp;".CONTR.RESV_A"</f>
        <v>Диагностика.TREI.CPU.CONTR.RESV_A</v>
      </c>
      <c r="B1645" s="1">
        <v>3</v>
      </c>
      <c r="C1645" s="1" t="s">
        <v>1</v>
      </c>
      <c r="D1645" s="30">
        <v>4</v>
      </c>
    </row>
    <row r="1646" spans="1:5">
      <c r="A1646" s="29" t="str">
        <f>$R$2&amp;"."&amp;'Конфигурация TREI'!$A$2&amp;".CONTR.RESV_A"</f>
        <v>Диагностика.TREI.CPU.CONTR.RESV_A</v>
      </c>
      <c r="B1646" s="1">
        <v>1</v>
      </c>
      <c r="C1646" s="1" t="s">
        <v>1</v>
      </c>
      <c r="D1646" s="30">
        <v>3</v>
      </c>
    </row>
    <row r="1647" spans="1:5">
      <c r="A1647" s="26" t="str">
        <f>$R$2&amp;"."&amp;'Конфигурация TREI'!$A$2&amp;".CONTR.RESV_A"</f>
        <v>Диагностика.TREI.CPU.CONTR.RESV_A</v>
      </c>
      <c r="B1647" s="27">
        <v>11001</v>
      </c>
      <c r="C1647" s="27" t="s">
        <v>0</v>
      </c>
      <c r="D1647" s="28" t="s">
        <v>1595</v>
      </c>
    </row>
    <row r="1648" spans="1:5">
      <c r="A1648" s="29" t="str">
        <f>$R$2&amp;"."&amp;'Конфигурация TREI'!$A$2&amp;".CONTR.RESV_B"</f>
        <v>Диагностика.TREI.CPU.CONTR.RESV_B</v>
      </c>
      <c r="B1648" s="1">
        <v>9002</v>
      </c>
      <c r="C1648" s="1" t="s">
        <v>0</v>
      </c>
      <c r="D1648" s="30">
        <v>2</v>
      </c>
    </row>
    <row r="1649" spans="1:68">
      <c r="A1649" s="29" t="str">
        <f>$R$2&amp;"."&amp;'Конфигурация TREI'!$A$2&amp;".CONTR.RESV_B"</f>
        <v>Диагностика.TREI.CPU.CONTR.RESV_B</v>
      </c>
      <c r="B1649" s="1">
        <v>7999</v>
      </c>
      <c r="C1649" s="1" t="s">
        <v>0</v>
      </c>
      <c r="D1649" s="30" t="str">
        <f>"#"&amp;$S$2&amp;"#"&amp;$T$2&amp;"\CONTR\RESV_B"</f>
        <v>#2#treiOPCDA.CoOPCserv.1\pcmaster\CONTR\RESV_B</v>
      </c>
    </row>
    <row r="1650" spans="1:68">
      <c r="A1650" s="29" t="str">
        <f>$R$2&amp;"."&amp;'Конфигурация TREI'!$A$2&amp;".CONTR.RESV_B"</f>
        <v>Диагностика.TREI.CPU.CONTR.RESV_B</v>
      </c>
      <c r="B1650" s="1">
        <v>7998</v>
      </c>
      <c r="C1650" s="1" t="s">
        <v>6</v>
      </c>
      <c r="D1650" s="30">
        <v>1</v>
      </c>
      <c r="E1650">
        <v>1</v>
      </c>
      <c r="F1650" t="s">
        <v>1599</v>
      </c>
    </row>
    <row r="1651" spans="1:68">
      <c r="A1651" s="29" t="str">
        <f>$R$2&amp;"."&amp;'Конфигурация TREI'!$A$2&amp;".CONTR.RESV_B"</f>
        <v>Диагностика.TREI.CPU.CONTR.RESV_B</v>
      </c>
      <c r="B1651" s="1">
        <v>7011</v>
      </c>
      <c r="C1651" s="1" t="s">
        <v>2</v>
      </c>
      <c r="D1651" s="30" t="s">
        <v>130</v>
      </c>
    </row>
    <row r="1652" spans="1:68">
      <c r="A1652" s="29" t="str">
        <f>$R$2&amp;"."&amp;'Конфигурация TREI'!$A$2&amp;".CONTR.RESV_B"</f>
        <v>Диагностика.TREI.CPU.CONTR.RESV_B</v>
      </c>
      <c r="B1652" s="1">
        <v>3</v>
      </c>
      <c r="C1652" s="1" t="s">
        <v>1</v>
      </c>
      <c r="D1652" s="30">
        <v>4</v>
      </c>
    </row>
    <row r="1653" spans="1:68">
      <c r="A1653" s="29" t="str">
        <f>$R$2&amp;"."&amp;'Конфигурация TREI'!$A$2&amp;".CONTR.RESV_B"</f>
        <v>Диагностика.TREI.CPU.CONTR.RESV_B</v>
      </c>
      <c r="B1653" s="1">
        <v>101</v>
      </c>
      <c r="C1653" s="1" t="s">
        <v>0</v>
      </c>
      <c r="D1653" s="30" t="s">
        <v>1596</v>
      </c>
    </row>
    <row r="1654" spans="1:68">
      <c r="A1654" s="29" t="str">
        <f>$R$2&amp;"."&amp;'Конфигурация TREI'!$A$2&amp;".CONTR.RESV_B"</f>
        <v>Диагностика.TREI.CPU.CONTR.RESV_B</v>
      </c>
      <c r="B1654" s="1">
        <v>1</v>
      </c>
      <c r="C1654" s="1" t="s">
        <v>1</v>
      </c>
      <c r="D1654" s="30">
        <v>3</v>
      </c>
    </row>
    <row r="1655" spans="1:68">
      <c r="A1655" s="26" t="str">
        <f>$R$2&amp;"."&amp;'Конфигурация TREI'!$A$2&amp;".CONTR.RESV_B"</f>
        <v>Диагностика.TREI.CPU.CONTR.RESV_B</v>
      </c>
      <c r="B1655" s="27">
        <v>11001</v>
      </c>
      <c r="C1655" s="27" t="s">
        <v>0</v>
      </c>
      <c r="D1655" s="28" t="s">
        <v>1598</v>
      </c>
    </row>
    <row r="1656" spans="1:68">
      <c r="A1656" s="23" t="str">
        <f>$R$2&amp;"."&amp;'Конфигурация TREI'!$A$2&amp;".CONTR.SWITCH_STATE_ON"</f>
        <v>Диагностика.TREI.CPU.CONTR.SWITCH_STATE_ON</v>
      </c>
      <c r="B1656" s="24">
        <v>7999</v>
      </c>
      <c r="C1656" s="24" t="s">
        <v>0</v>
      </c>
      <c r="D1656" s="30" t="str">
        <f>"#"&amp;$S$2&amp;"#"&amp;$T$2&amp;"\CONTR\SWITCH_STATE_ON"</f>
        <v>#2#treiOPCDA.CoOPCserv.1\pcmaster\CONTR\SWITCH_STATE_ON</v>
      </c>
    </row>
    <row r="1657" spans="1:68">
      <c r="A1657" s="29" t="str">
        <f>$R$2&amp;"."&amp;'Конфигурация TREI'!$A$2&amp;".CONTR.SWITCH_STATE_ON"</f>
        <v>Диагностика.TREI.CPU.CONTR.SWITCH_STATE_ON</v>
      </c>
      <c r="B1657" s="1">
        <v>7998</v>
      </c>
      <c r="C1657" s="1" t="s">
        <v>6</v>
      </c>
      <c r="D1657" s="30">
        <v>2</v>
      </c>
    </row>
    <row r="1658" spans="1:68">
      <c r="A1658" s="29" t="str">
        <f>$R$2&amp;"."&amp;'Конфигурация TREI'!$A$2&amp;".CONTR.SWITCH_STATE_ON"</f>
        <v>Диагностика.TREI.CPU.CONTR.SWITCH_STATE_ON</v>
      </c>
      <c r="B1658" s="1">
        <v>3</v>
      </c>
      <c r="C1658" s="1" t="s">
        <v>1</v>
      </c>
      <c r="D1658" s="30">
        <v>192</v>
      </c>
    </row>
    <row r="1659" spans="1:68" ht="15" customHeight="1">
      <c r="A1659" s="29" t="str">
        <f>$R$2&amp;"."&amp;'Конфигурация TREI'!$A$2&amp;".CONTR.SWITCH_STATE_ON"</f>
        <v>Диагностика.TREI.CPU.CONTR.SWITCH_STATE_ON</v>
      </c>
      <c r="B1659" s="1">
        <v>101</v>
      </c>
      <c r="C1659" s="1" t="s">
        <v>0</v>
      </c>
      <c r="D1659" s="30" t="s">
        <v>234</v>
      </c>
      <c r="E1659" s="9"/>
      <c r="F1659" s="9"/>
      <c r="P1659" s="511"/>
      <c r="Q1659" s="445"/>
      <c r="R1659" s="445"/>
      <c r="S1659" s="10"/>
      <c r="T1659" s="10"/>
      <c r="U1659" s="10"/>
      <c r="V1659" s="10"/>
      <c r="W1659" s="10"/>
      <c r="X1659" s="10"/>
      <c r="Y1659" s="10"/>
      <c r="Z1659" s="10"/>
      <c r="AA1659" s="10"/>
      <c r="AB1659" s="10"/>
      <c r="AC1659" s="10"/>
      <c r="BM1659" s="4"/>
      <c r="BN1659" s="4"/>
      <c r="BO1659" s="4"/>
      <c r="BP1659" s="4"/>
    </row>
    <row r="1660" spans="1:68">
      <c r="A1660" s="29" t="str">
        <f>$R$2&amp;"."&amp;'Конфигурация TREI'!$A$2&amp;".CONTR.SWITCH_STATE_ON"</f>
        <v>Диагностика.TREI.CPU.CONTR.SWITCH_STATE_ON</v>
      </c>
      <c r="B1660" s="1">
        <v>1</v>
      </c>
      <c r="C1660" s="1" t="s">
        <v>1</v>
      </c>
      <c r="D1660" s="30">
        <v>3</v>
      </c>
    </row>
    <row r="1661" spans="1:68">
      <c r="A1661" s="26" t="str">
        <f>$R$2&amp;"."&amp;'Конфигурация TREI'!$A$2&amp;".CONTR.SWITCH_STATE_ON"</f>
        <v>Диагностика.TREI.CPU.CONTR.SWITCH_STATE_ON</v>
      </c>
      <c r="B1661" s="27">
        <v>3000000</v>
      </c>
      <c r="C1661" s="27" t="s">
        <v>0</v>
      </c>
      <c r="D1661" s="22" t="str">
        <f>'Конфигурация TREI'!F2</f>
        <v>Диагностика.CPU_2.NOT_LINK.noLink</v>
      </c>
    </row>
    <row r="1662" spans="1:68">
      <c r="A1662" s="29" t="str">
        <f>$R$2&amp;"."&amp;'Конфигурация TREI'!$A$2&amp;".CONTR.TAG"</f>
        <v>Диагностика.TREI.CPU.CONTR.TAG</v>
      </c>
      <c r="B1662" s="1">
        <v>9002</v>
      </c>
      <c r="C1662" s="1" t="s">
        <v>0</v>
      </c>
      <c r="D1662" s="30">
        <v>2</v>
      </c>
    </row>
    <row r="1663" spans="1:68">
      <c r="A1663" s="29" t="str">
        <f>$R$2&amp;"."&amp;'Конфигурация TREI'!$A$2&amp;".CONTR.TAG"</f>
        <v>Диагностика.TREI.CPU.CONTR.TAG</v>
      </c>
      <c r="B1663" s="1">
        <v>7999</v>
      </c>
      <c r="C1663" s="1" t="s">
        <v>0</v>
      </c>
      <c r="D1663" s="30" t="str">
        <f>"#"&amp;$S$2&amp;"#"&amp;$T$2&amp;"\CONTR\TAG"</f>
        <v>#2#treiOPCDA.CoOPCserv.1\pcmaster\CONTR\TAG</v>
      </c>
    </row>
    <row r="1664" spans="1:68">
      <c r="A1664" s="29" t="str">
        <f>$R$2&amp;"."&amp;'Конфигурация TREI'!$A$2&amp;".CONTR.TAG"</f>
        <v>Диагностика.TREI.CPU.CONTR.TAG</v>
      </c>
      <c r="B1664" s="1">
        <v>7998</v>
      </c>
      <c r="C1664" s="1" t="s">
        <v>6</v>
      </c>
      <c r="D1664" s="30">
        <v>1</v>
      </c>
    </row>
    <row r="1665" spans="1:68">
      <c r="A1665" s="29" t="str">
        <f>$R$2&amp;"."&amp;'Конфигурация TREI'!$A$2&amp;".CONTR.TAG"</f>
        <v>Диагностика.TREI.CPU.CONTR.TAG</v>
      </c>
      <c r="B1665" s="1">
        <v>7011</v>
      </c>
      <c r="C1665" s="1" t="s">
        <v>2</v>
      </c>
      <c r="D1665" s="30" t="s">
        <v>130</v>
      </c>
    </row>
    <row r="1666" spans="1:68">
      <c r="A1666" s="29" t="str">
        <f>$R$2&amp;"."&amp;'Конфигурация TREI'!$A$2&amp;".CONTR.TAG"</f>
        <v>Диагностика.TREI.CPU.CONTR.TAG</v>
      </c>
      <c r="B1666" s="1">
        <v>3</v>
      </c>
      <c r="C1666" s="1" t="s">
        <v>1</v>
      </c>
      <c r="D1666" s="30">
        <v>4</v>
      </c>
    </row>
    <row r="1667" spans="1:68">
      <c r="A1667" s="29" t="str">
        <f>$R$2&amp;"."&amp;'Конфигурация TREI'!$A$2&amp;".CONTR.TAG"</f>
        <v>Диагностика.TREI.CPU.CONTR.TAG</v>
      </c>
      <c r="B1667" s="1">
        <v>1</v>
      </c>
      <c r="C1667" s="1" t="s">
        <v>1</v>
      </c>
      <c r="D1667" s="30">
        <v>16</v>
      </c>
    </row>
    <row r="1668" spans="1:68">
      <c r="A1668" s="26" t="str">
        <f>$R$2&amp;"."&amp;'Конфигурация TREI'!$A$2&amp;".CONTR.TAG"</f>
        <v>Диагностика.TREI.CPU.CONTR.TAG</v>
      </c>
      <c r="B1668" s="27">
        <v>11001</v>
      </c>
      <c r="C1668" s="27" t="s">
        <v>0</v>
      </c>
      <c r="D1668" s="28" t="s">
        <v>1600</v>
      </c>
    </row>
    <row r="1669" spans="1:68">
      <c r="A1669" s="512" t="s">
        <v>1592</v>
      </c>
      <c r="B1669" s="512"/>
      <c r="C1669" s="512"/>
      <c r="D1669" s="512"/>
    </row>
    <row r="1670" spans="1:68" ht="15" customHeight="1">
      <c r="A1670" s="16" t="str">
        <f>$R$2&amp;"."&amp;'Конфигурация TREI'!$A$2&amp;"_1"</f>
        <v>Диагностика.TREI.CPU_1</v>
      </c>
      <c r="B1670" s="17">
        <v>11001</v>
      </c>
      <c r="C1670" s="17" t="s">
        <v>0</v>
      </c>
      <c r="D1670" s="18" t="str">
        <f>$Q$2&amp;". Диагностика CPU (основной)"</f>
        <v>Контроллер TREI. Диагностика CPU (основной)</v>
      </c>
      <c r="BM1670" s="4"/>
      <c r="BN1670" s="4"/>
      <c r="BO1670" s="4"/>
      <c r="BP1670" s="4"/>
    </row>
    <row r="1671" spans="1:68" ht="15" customHeight="1">
      <c r="A1671" s="19" t="str">
        <f>$R$2&amp;"."&amp;'Конфигурация TREI'!$A$2&amp;"_1"</f>
        <v>Диагностика.TREI.CPU_1</v>
      </c>
      <c r="B1671" s="11">
        <v>11156</v>
      </c>
      <c r="C1671" s="11" t="s">
        <v>0</v>
      </c>
      <c r="D1671" s="20" t="str">
        <f>$V$2</f>
        <v>Тестовый экран</v>
      </c>
      <c r="BM1671" s="4"/>
      <c r="BN1671" s="4"/>
      <c r="BO1671" s="4"/>
      <c r="BP1671" s="4"/>
    </row>
    <row r="1672" spans="1:68" ht="15" customHeight="1">
      <c r="A1672" s="19" t="str">
        <f>$R$2&amp;"."&amp;'Конфигурация TREI'!$A$2&amp;"_1"</f>
        <v>Диагностика.TREI.CPU_1</v>
      </c>
      <c r="B1672" s="11">
        <v>1</v>
      </c>
      <c r="C1672" s="11" t="s">
        <v>1</v>
      </c>
      <c r="D1672" s="20">
        <v>17</v>
      </c>
      <c r="BM1672" s="4"/>
      <c r="BN1672" s="4"/>
      <c r="BO1672" s="4"/>
      <c r="BP1672" s="4"/>
    </row>
    <row r="1673" spans="1:68" ht="15" customHeight="1">
      <c r="A1673" s="19" t="str">
        <f>$R$2&amp;"."&amp;'Конфигурация TREI'!$A$2&amp;"_1"</f>
        <v>Диагностика.TREI.CPU_1</v>
      </c>
      <c r="B1673" s="11">
        <v>13</v>
      </c>
      <c r="C1673" s="11" t="s">
        <v>2</v>
      </c>
      <c r="D1673" s="20" t="s">
        <v>3</v>
      </c>
      <c r="BM1673" s="4"/>
      <c r="BN1673" s="4"/>
      <c r="BO1673" s="4"/>
      <c r="BP1673" s="4"/>
    </row>
    <row r="1674" spans="1:68" ht="15" customHeight="1">
      <c r="A1674" s="21" t="str">
        <f>$R$2&amp;"."&amp;'Конфигурация TREI'!$A$2&amp;"_1"</f>
        <v>Диагностика.TREI.CPU_1</v>
      </c>
      <c r="B1674" s="8">
        <v>3000013</v>
      </c>
      <c r="C1674" s="8" t="s">
        <v>0</v>
      </c>
      <c r="D1674" s="22" t="str">
        <f>$AE$2</f>
        <v>Диагностика.CPU.NOT_LINK.noLink</v>
      </c>
      <c r="BM1674" s="4"/>
      <c r="BN1674" s="4"/>
      <c r="BO1674" s="4"/>
      <c r="BP1674" s="4"/>
    </row>
    <row r="1675" spans="1:68">
      <c r="A1675" s="63" t="str">
        <f>$R$2&amp;"."&amp;'Конфигурация TREI'!$A$2&amp;"_1.DIAG_1"</f>
        <v>Диагностика.TREI.CPU_1.DIAG_1</v>
      </c>
      <c r="B1675" s="64">
        <v>11154</v>
      </c>
      <c r="C1675" s="64" t="s">
        <v>4</v>
      </c>
      <c r="D1675" s="98">
        <f>$Q$6</f>
        <v>8</v>
      </c>
      <c r="P1675" s="11"/>
    </row>
    <row r="1676" spans="1:68">
      <c r="A1676" s="63" t="str">
        <f>$R$2&amp;"."&amp;'Конфигурация TREI'!$A$2&amp;"_1.DIAG_1"</f>
        <v>Диагностика.TREI.CPU_1.DIAG_1</v>
      </c>
      <c r="B1676" s="64">
        <v>11152</v>
      </c>
      <c r="C1676" s="64" t="s">
        <v>0</v>
      </c>
      <c r="D1676" s="129" t="str">
        <f>$R$6</f>
        <v>Предупреждение</v>
      </c>
      <c r="P1676" s="11"/>
    </row>
    <row r="1677" spans="1:68">
      <c r="A1677" s="63" t="str">
        <f>$R$2&amp;"."&amp;'Конфигурация TREI'!$A$2&amp;"_1.DIAG_1"</f>
        <v>Диагностика.TREI.CPU_1.DIAG_1</v>
      </c>
      <c r="B1677" s="64">
        <v>11150</v>
      </c>
      <c r="C1677" s="64" t="s">
        <v>0</v>
      </c>
      <c r="D1677" s="65" t="s">
        <v>797</v>
      </c>
      <c r="P1677" s="11"/>
    </row>
    <row r="1678" spans="1:68">
      <c r="A1678" s="63" t="str">
        <f>$R$2&amp;"."&amp;'Конфигурация TREI'!$A$2&amp;"_1.DIAG_1"</f>
        <v>Диагностика.TREI.CPU_1.DIAG_1</v>
      </c>
      <c r="B1678" s="64">
        <v>11000</v>
      </c>
      <c r="C1678" s="64" t="s">
        <v>5</v>
      </c>
      <c r="D1678" s="65">
        <v>2147483680</v>
      </c>
      <c r="P1678" s="11"/>
    </row>
    <row r="1679" spans="1:68">
      <c r="A1679" s="19" t="str">
        <f>$R$2&amp;"."&amp;'Конфигурация TREI'!$A$2&amp;"_1.DIAG_1"</f>
        <v>Диагностика.TREI.CPU_1.DIAG_1</v>
      </c>
      <c r="B1679" s="11">
        <v>7999</v>
      </c>
      <c r="C1679" s="11" t="s">
        <v>0</v>
      </c>
      <c r="D1679" s="20" t="str">
        <f>"#"&amp;$S$2&amp;"#"&amp;$T$2&amp;IF($S$7="","","\")&amp;$S$7&amp;"\"&amp;'Конфигурация TREI'!$A$2&amp;"_1\DIAG_1"</f>
        <v>#2#treiOPCDA.CoOPCserv.1\pcmaster\CPU_1\DIAG_1</v>
      </c>
    </row>
    <row r="1680" spans="1:68">
      <c r="A1680" s="19" t="str">
        <f>$R$2&amp;"."&amp;'Конфигурация TREI'!$A$2&amp;"_1.DIAG_1"</f>
        <v>Диагностика.TREI.CPU_1.DIAG_1</v>
      </c>
      <c r="B1680" s="11">
        <v>7998</v>
      </c>
      <c r="C1680" s="11" t="s">
        <v>6</v>
      </c>
      <c r="D1680" s="20">
        <v>1</v>
      </c>
    </row>
    <row r="1681" spans="1:4">
      <c r="A1681" s="19" t="str">
        <f>$R$2&amp;"."&amp;'Конфигурация TREI'!$A$2&amp;"_1.DIAG_1"</f>
        <v>Диагностика.TREI.CPU_1.DIAG_1</v>
      </c>
      <c r="B1681" s="11">
        <v>101</v>
      </c>
      <c r="C1681" s="11" t="s">
        <v>0</v>
      </c>
      <c r="D1681" s="20" t="s">
        <v>797</v>
      </c>
    </row>
    <row r="1682" spans="1:4">
      <c r="A1682" s="19" t="str">
        <f>$R$2&amp;"."&amp;'Конфигурация TREI'!$A$2&amp;"_1.DIAG_1"</f>
        <v>Диагностика.TREI.CPU_1.DIAG_1</v>
      </c>
      <c r="B1682" s="11">
        <v>3</v>
      </c>
      <c r="C1682" s="11" t="s">
        <v>1</v>
      </c>
      <c r="D1682" s="20">
        <v>192</v>
      </c>
    </row>
    <row r="1683" spans="1:4">
      <c r="A1683" s="19" t="str">
        <f>$R$2&amp;"."&amp;'Конфигурация TREI'!$A$2&amp;"_1.DIAG_1"</f>
        <v>Диагностика.TREI.CPU_1.DIAG_1</v>
      </c>
      <c r="B1683" s="11">
        <v>2</v>
      </c>
      <c r="C1683" s="11" t="s">
        <v>2</v>
      </c>
      <c r="D1683" s="20" t="s">
        <v>3</v>
      </c>
    </row>
    <row r="1684" spans="1:4">
      <c r="A1684" s="21" t="str">
        <f>$R$2&amp;"."&amp;'Конфигурация TREI'!$A$2&amp;"_1.DIAG_1"</f>
        <v>Диагностика.TREI.CPU_1.DIAG_1</v>
      </c>
      <c r="B1684" s="8">
        <v>1</v>
      </c>
      <c r="C1684" s="8" t="s">
        <v>1</v>
      </c>
      <c r="D1684" s="22">
        <v>11</v>
      </c>
    </row>
    <row r="1685" spans="1:4">
      <c r="A1685" s="69" t="str">
        <f>$R$2&amp;"."&amp;'Конфигурация TREI'!$A$2&amp;"_1.DIAG_2"</f>
        <v>Диагностика.TREI.CPU_1.DIAG_2</v>
      </c>
      <c r="B1685" s="70">
        <v>11154</v>
      </c>
      <c r="C1685" s="70" t="s">
        <v>4</v>
      </c>
      <c r="D1685" s="144">
        <f>$Q$6</f>
        <v>8</v>
      </c>
    </row>
    <row r="1686" spans="1:4">
      <c r="A1686" s="63" t="str">
        <f>$R$2&amp;"."&amp;'Конфигурация TREI'!$A$2&amp;"_1.DIAG_2"</f>
        <v>Диагностика.TREI.CPU_1.DIAG_2</v>
      </c>
      <c r="B1686" s="64">
        <v>11152</v>
      </c>
      <c r="C1686" s="64" t="s">
        <v>0</v>
      </c>
      <c r="D1686" s="129" t="str">
        <f>$R$6</f>
        <v>Предупреждение</v>
      </c>
    </row>
    <row r="1687" spans="1:4">
      <c r="A1687" s="63" t="str">
        <f>$R$2&amp;"."&amp;'Конфигурация TREI'!$A$2&amp;"_1.DIAG_2"</f>
        <v>Диагностика.TREI.CPU_1.DIAG_2</v>
      </c>
      <c r="B1687" s="64">
        <v>11150</v>
      </c>
      <c r="C1687" s="64" t="s">
        <v>0</v>
      </c>
      <c r="D1687" s="65" t="s">
        <v>798</v>
      </c>
    </row>
    <row r="1688" spans="1:4">
      <c r="A1688" s="63" t="str">
        <f>$R$2&amp;"."&amp;'Конфигурация TREI'!$A$2&amp;"_1.DIAG_2"</f>
        <v>Диагностика.TREI.CPU_1.DIAG_2</v>
      </c>
      <c r="B1688" s="64">
        <v>11000</v>
      </c>
      <c r="C1688" s="64" t="s">
        <v>5</v>
      </c>
      <c r="D1688" s="65">
        <v>2147483680</v>
      </c>
    </row>
    <row r="1689" spans="1:4">
      <c r="A1689" s="19" t="str">
        <f>$R$2&amp;"."&amp;'Конфигурация TREI'!$A$2&amp;"_1.DIAG_2"</f>
        <v>Диагностика.TREI.CPU_1.DIAG_2</v>
      </c>
      <c r="B1689" s="11">
        <v>7999</v>
      </c>
      <c r="C1689" s="11" t="s">
        <v>0</v>
      </c>
      <c r="D1689" s="20" t="str">
        <f>"#"&amp;$S$2&amp;"#"&amp;$T$2&amp;IF($S$7="","","\")&amp;$S$7&amp;"\"&amp;'Конфигурация TREI'!$A$2&amp;"_1\DIAG_2"</f>
        <v>#2#treiOPCDA.CoOPCserv.1\pcmaster\CPU_1\DIAG_2</v>
      </c>
    </row>
    <row r="1690" spans="1:4">
      <c r="A1690" s="19" t="str">
        <f>$R$2&amp;"."&amp;'Конфигурация TREI'!$A$2&amp;"_1.DIAG_2"</f>
        <v>Диагностика.TREI.CPU_1.DIAG_2</v>
      </c>
      <c r="B1690" s="11">
        <v>7998</v>
      </c>
      <c r="C1690" s="11" t="s">
        <v>6</v>
      </c>
      <c r="D1690" s="20">
        <v>1</v>
      </c>
    </row>
    <row r="1691" spans="1:4">
      <c r="A1691" s="19" t="str">
        <f>$R$2&amp;"."&amp;'Конфигурация TREI'!$A$2&amp;"_1.DIAG_2"</f>
        <v>Диагностика.TREI.CPU_1.DIAG_2</v>
      </c>
      <c r="B1691" s="11">
        <v>101</v>
      </c>
      <c r="C1691" s="11" t="s">
        <v>0</v>
      </c>
      <c r="D1691" s="20" t="s">
        <v>798</v>
      </c>
    </row>
    <row r="1692" spans="1:4">
      <c r="A1692" s="19" t="str">
        <f>$R$2&amp;"."&amp;'Конфигурация TREI'!$A$2&amp;"_1.DIAG_2"</f>
        <v>Диагностика.TREI.CPU_1.DIAG_2</v>
      </c>
      <c r="B1692" s="11">
        <v>3</v>
      </c>
      <c r="C1692" s="11" t="s">
        <v>1</v>
      </c>
      <c r="D1692" s="20">
        <v>192</v>
      </c>
    </row>
    <row r="1693" spans="1:4">
      <c r="A1693" s="19" t="str">
        <f>$R$2&amp;"."&amp;'Конфигурация TREI'!$A$2&amp;"_1.DIAG_2"</f>
        <v>Диагностика.TREI.CPU_1.DIAG_2</v>
      </c>
      <c r="B1693" s="11">
        <v>2</v>
      </c>
      <c r="C1693" s="11" t="s">
        <v>2</v>
      </c>
      <c r="D1693" s="20" t="s">
        <v>3</v>
      </c>
    </row>
    <row r="1694" spans="1:4">
      <c r="A1694" s="21" t="str">
        <f>$R$2&amp;"."&amp;'Конфигурация TREI'!$A$2&amp;"_1.DIAG_2"</f>
        <v>Диагностика.TREI.CPU_1.DIAG_2</v>
      </c>
      <c r="B1694" s="8">
        <v>1</v>
      </c>
      <c r="C1694" s="8" t="s">
        <v>1</v>
      </c>
      <c r="D1694" s="22">
        <v>11</v>
      </c>
    </row>
    <row r="1695" spans="1:4">
      <c r="A1695" s="69" t="str">
        <f>$R$2&amp;"."&amp;'Конфигурация TREI'!$A$2&amp;"_1.DIAG_3"</f>
        <v>Диагностика.TREI.CPU_1.DIAG_3</v>
      </c>
      <c r="B1695" s="70">
        <v>11154</v>
      </c>
      <c r="C1695" s="70" t="s">
        <v>4</v>
      </c>
      <c r="D1695" s="144">
        <f>$Q$6</f>
        <v>8</v>
      </c>
    </row>
    <row r="1696" spans="1:4">
      <c r="A1696" s="63" t="str">
        <f>$R$2&amp;"."&amp;'Конфигурация TREI'!$A$2&amp;"_1.DIAG_3"</f>
        <v>Диагностика.TREI.CPU_1.DIAG_3</v>
      </c>
      <c r="B1696" s="64">
        <v>11152</v>
      </c>
      <c r="C1696" s="64" t="s">
        <v>0</v>
      </c>
      <c r="D1696" s="129" t="str">
        <f>$R$6</f>
        <v>Предупреждение</v>
      </c>
    </row>
    <row r="1697" spans="1:4">
      <c r="A1697" s="63" t="str">
        <f>$R$2&amp;"."&amp;'Конфигурация TREI'!$A$2&amp;"_1.DIAG_3"</f>
        <v>Диагностика.TREI.CPU_1.DIAG_3</v>
      </c>
      <c r="B1697" s="64">
        <v>11150</v>
      </c>
      <c r="C1697" s="64" t="s">
        <v>0</v>
      </c>
      <c r="D1697" s="65" t="s">
        <v>799</v>
      </c>
    </row>
    <row r="1698" spans="1:4">
      <c r="A1698" s="63" t="str">
        <f>$R$2&amp;"."&amp;'Конфигурация TREI'!$A$2&amp;"_1.DIAG_3"</f>
        <v>Диагностика.TREI.CPU_1.DIAG_3</v>
      </c>
      <c r="B1698" s="64">
        <v>11000</v>
      </c>
      <c r="C1698" s="64" t="s">
        <v>5</v>
      </c>
      <c r="D1698" s="65">
        <v>2147483680</v>
      </c>
    </row>
    <row r="1699" spans="1:4">
      <c r="A1699" s="19" t="str">
        <f>$R$2&amp;"."&amp;'Конфигурация TREI'!$A$2&amp;"_1.DIAG_3"</f>
        <v>Диагностика.TREI.CPU_1.DIAG_3</v>
      </c>
      <c r="B1699" s="11">
        <v>7999</v>
      </c>
      <c r="C1699" s="11" t="s">
        <v>0</v>
      </c>
      <c r="D1699" s="20" t="str">
        <f>"#"&amp;$S$2&amp;"#"&amp;$T$2&amp;IF($S$7="","","\")&amp;$S$7&amp;"\"&amp;'Конфигурация TREI'!$A$2&amp;"_1\DIAG_3"</f>
        <v>#2#treiOPCDA.CoOPCserv.1\pcmaster\CPU_1\DIAG_3</v>
      </c>
    </row>
    <row r="1700" spans="1:4">
      <c r="A1700" s="19" t="str">
        <f>$R$2&amp;"."&amp;'Конфигурация TREI'!$A$2&amp;"_1.DIAG_3"</f>
        <v>Диагностика.TREI.CPU_1.DIAG_3</v>
      </c>
      <c r="B1700" s="11">
        <v>7998</v>
      </c>
      <c r="C1700" s="11" t="s">
        <v>6</v>
      </c>
      <c r="D1700" s="20">
        <v>1</v>
      </c>
    </row>
    <row r="1701" spans="1:4">
      <c r="A1701" s="19" t="str">
        <f>$R$2&amp;"."&amp;'Конфигурация TREI'!$A$2&amp;"_1.DIAG_3"</f>
        <v>Диагностика.TREI.CPU_1.DIAG_3</v>
      </c>
      <c r="B1701" s="11">
        <v>101</v>
      </c>
      <c r="C1701" s="11" t="s">
        <v>0</v>
      </c>
      <c r="D1701" s="20" t="s">
        <v>799</v>
      </c>
    </row>
    <row r="1702" spans="1:4">
      <c r="A1702" s="19" t="str">
        <f>$R$2&amp;"."&amp;'Конфигурация TREI'!$A$2&amp;"_1.DIAG_3"</f>
        <v>Диагностика.TREI.CPU_1.DIAG_3</v>
      </c>
      <c r="B1702" s="11">
        <v>3</v>
      </c>
      <c r="C1702" s="11" t="s">
        <v>1</v>
      </c>
      <c r="D1702" s="20">
        <v>192</v>
      </c>
    </row>
    <row r="1703" spans="1:4">
      <c r="A1703" s="19" t="str">
        <f>$R$2&amp;"."&amp;'Конфигурация TREI'!$A$2&amp;"_1.DIAG_3"</f>
        <v>Диагностика.TREI.CPU_1.DIAG_3</v>
      </c>
      <c r="B1703" s="11">
        <v>2</v>
      </c>
      <c r="C1703" s="11" t="s">
        <v>2</v>
      </c>
      <c r="D1703" s="20" t="s">
        <v>3</v>
      </c>
    </row>
    <row r="1704" spans="1:4">
      <c r="A1704" s="21" t="str">
        <f>$R$2&amp;"."&amp;'Конфигурация TREI'!$A$2&amp;"_1.DIAG_3"</f>
        <v>Диагностика.TREI.CPU_1.DIAG_3</v>
      </c>
      <c r="B1704" s="8">
        <v>1</v>
      </c>
      <c r="C1704" s="8" t="s">
        <v>1</v>
      </c>
      <c r="D1704" s="22">
        <v>11</v>
      </c>
    </row>
    <row r="1705" spans="1:4">
      <c r="A1705" s="69" t="str">
        <f>$R$2&amp;"."&amp;'Конфигурация TREI'!$A$2&amp;"_1.DIAG_6"</f>
        <v>Диагностика.TREI.CPU_1.DIAG_6</v>
      </c>
      <c r="B1705" s="70">
        <v>11154</v>
      </c>
      <c r="C1705" s="70" t="s">
        <v>4</v>
      </c>
      <c r="D1705" s="144">
        <f>$Q$6</f>
        <v>8</v>
      </c>
    </row>
    <row r="1706" spans="1:4">
      <c r="A1706" s="63" t="str">
        <f>$R$2&amp;"."&amp;'Конфигурация TREI'!$A$2&amp;"_1.DIAG_6"</f>
        <v>Диагностика.TREI.CPU_1.DIAG_6</v>
      </c>
      <c r="B1706" s="64">
        <v>11152</v>
      </c>
      <c r="C1706" s="64" t="s">
        <v>0</v>
      </c>
      <c r="D1706" s="129" t="str">
        <f>$R$6</f>
        <v>Предупреждение</v>
      </c>
    </row>
    <row r="1707" spans="1:4">
      <c r="A1707" s="63" t="str">
        <f>$R$2&amp;"."&amp;'Конфигурация TREI'!$A$2&amp;"_1.DIAG_6"</f>
        <v>Диагностика.TREI.CPU_1.DIAG_6</v>
      </c>
      <c r="B1707" s="64">
        <v>11150</v>
      </c>
      <c r="C1707" s="64" t="s">
        <v>0</v>
      </c>
      <c r="D1707" s="65" t="s">
        <v>800</v>
      </c>
    </row>
    <row r="1708" spans="1:4">
      <c r="A1708" s="63" t="str">
        <f>$R$2&amp;"."&amp;'Конфигурация TREI'!$A$2&amp;"_1.DIAG_6"</f>
        <v>Диагностика.TREI.CPU_1.DIAG_6</v>
      </c>
      <c r="B1708" s="64">
        <v>11000</v>
      </c>
      <c r="C1708" s="64" t="s">
        <v>5</v>
      </c>
      <c r="D1708" s="65">
        <v>2147483680</v>
      </c>
    </row>
    <row r="1709" spans="1:4">
      <c r="A1709" s="19" t="str">
        <f>$R$2&amp;"."&amp;'Конфигурация TREI'!$A$2&amp;"_1.DIAG_6"</f>
        <v>Диагностика.TREI.CPU_1.DIAG_6</v>
      </c>
      <c r="B1709" s="11">
        <v>7999</v>
      </c>
      <c r="C1709" s="11" t="s">
        <v>0</v>
      </c>
      <c r="D1709" s="20" t="str">
        <f>"#"&amp;$S$2&amp;"#"&amp;$T$2&amp;IF($S$7="","","\")&amp;$S$7&amp;"\"&amp;'Конфигурация TREI'!$A$2&amp;"_1\DIAG_6"</f>
        <v>#2#treiOPCDA.CoOPCserv.1\pcmaster\CPU_1\DIAG_6</v>
      </c>
    </row>
    <row r="1710" spans="1:4">
      <c r="A1710" s="19" t="str">
        <f>$R$2&amp;"."&amp;'Конфигурация TREI'!$A$2&amp;"_1.DIAG_6"</f>
        <v>Диагностика.TREI.CPU_1.DIAG_6</v>
      </c>
      <c r="B1710" s="11">
        <v>7998</v>
      </c>
      <c r="C1710" s="11" t="s">
        <v>6</v>
      </c>
      <c r="D1710" s="20">
        <v>1</v>
      </c>
    </row>
    <row r="1711" spans="1:4">
      <c r="A1711" s="19" t="str">
        <f>$R$2&amp;"."&amp;'Конфигурация TREI'!$A$2&amp;"_1.DIAG_6"</f>
        <v>Диагностика.TREI.CPU_1.DIAG_6</v>
      </c>
      <c r="B1711" s="11">
        <v>101</v>
      </c>
      <c r="C1711" s="11" t="s">
        <v>0</v>
      </c>
      <c r="D1711" s="20" t="s">
        <v>800</v>
      </c>
    </row>
    <row r="1712" spans="1:4">
      <c r="A1712" s="19" t="str">
        <f>$R$2&amp;"."&amp;'Конфигурация TREI'!$A$2&amp;"_1.DIAG_6"</f>
        <v>Диагностика.TREI.CPU_1.DIAG_6</v>
      </c>
      <c r="B1712" s="11">
        <v>3</v>
      </c>
      <c r="C1712" s="11" t="s">
        <v>1</v>
      </c>
      <c r="D1712" s="20">
        <v>192</v>
      </c>
    </row>
    <row r="1713" spans="1:4">
      <c r="A1713" s="19" t="str">
        <f>$R$2&amp;"."&amp;'Конфигурация TREI'!$A$2&amp;"_1.DIAG_6"</f>
        <v>Диагностика.TREI.CPU_1.DIAG_6</v>
      </c>
      <c r="B1713" s="11">
        <v>2</v>
      </c>
      <c r="C1713" s="11" t="s">
        <v>2</v>
      </c>
      <c r="D1713" s="20" t="s">
        <v>3</v>
      </c>
    </row>
    <row r="1714" spans="1:4">
      <c r="A1714" s="21" t="str">
        <f>$R$2&amp;"."&amp;'Конфигурация TREI'!$A$2&amp;"_1.DIAG_6"</f>
        <v>Диагностика.TREI.CPU_1.DIAG_6</v>
      </c>
      <c r="B1714" s="8">
        <v>1</v>
      </c>
      <c r="C1714" s="8" t="s">
        <v>1</v>
      </c>
      <c r="D1714" s="22">
        <v>11</v>
      </c>
    </row>
    <row r="1715" spans="1:4">
      <c r="A1715" s="69" t="str">
        <f>$R$2&amp;"."&amp;'Конфигурация TREI'!$A$2&amp;"_1.DIAG_7"</f>
        <v>Диагностика.TREI.CPU_1.DIAG_7</v>
      </c>
      <c r="B1715" s="70">
        <v>11154</v>
      </c>
      <c r="C1715" s="70" t="s">
        <v>4</v>
      </c>
      <c r="D1715" s="144">
        <f>$Q$6</f>
        <v>8</v>
      </c>
    </row>
    <row r="1716" spans="1:4">
      <c r="A1716" s="63" t="str">
        <f>$R$2&amp;"."&amp;'Конфигурация TREI'!$A$2&amp;"_1.DIAG_7"</f>
        <v>Диагностика.TREI.CPU_1.DIAG_7</v>
      </c>
      <c r="B1716" s="64">
        <v>11152</v>
      </c>
      <c r="C1716" s="64" t="s">
        <v>0</v>
      </c>
      <c r="D1716" s="129" t="str">
        <f>$R$6</f>
        <v>Предупреждение</v>
      </c>
    </row>
    <row r="1717" spans="1:4">
      <c r="A1717" s="63" t="str">
        <f>$R$2&amp;"."&amp;'Конфигурация TREI'!$A$2&amp;"_1.DIAG_7"</f>
        <v>Диагностика.TREI.CPU_1.DIAG_7</v>
      </c>
      <c r="B1717" s="64">
        <v>11150</v>
      </c>
      <c r="C1717" s="64" t="s">
        <v>0</v>
      </c>
      <c r="D1717" s="65" t="s">
        <v>801</v>
      </c>
    </row>
    <row r="1718" spans="1:4">
      <c r="A1718" s="63" t="str">
        <f>$R$2&amp;"."&amp;'Конфигурация TREI'!$A$2&amp;"_1.DIAG_7"</f>
        <v>Диагностика.TREI.CPU_1.DIAG_7</v>
      </c>
      <c r="B1718" s="64">
        <v>11000</v>
      </c>
      <c r="C1718" s="64" t="s">
        <v>5</v>
      </c>
      <c r="D1718" s="65">
        <v>2147483680</v>
      </c>
    </row>
    <row r="1719" spans="1:4">
      <c r="A1719" s="19" t="str">
        <f>$R$2&amp;"."&amp;'Конфигурация TREI'!$A$2&amp;"_1.DIAG_7"</f>
        <v>Диагностика.TREI.CPU_1.DIAG_7</v>
      </c>
      <c r="B1719" s="11">
        <v>7999</v>
      </c>
      <c r="C1719" s="11" t="s">
        <v>0</v>
      </c>
      <c r="D1719" s="20" t="str">
        <f>"#"&amp;$S$2&amp;"#"&amp;$T$2&amp;IF($S$7="","","\")&amp;$S$7&amp;"\"&amp;'Конфигурация TREI'!$A$2&amp;"_1\DIAG_7"</f>
        <v>#2#treiOPCDA.CoOPCserv.1\pcmaster\CPU_1\DIAG_7</v>
      </c>
    </row>
    <row r="1720" spans="1:4">
      <c r="A1720" s="19" t="str">
        <f>$R$2&amp;"."&amp;'Конфигурация TREI'!$A$2&amp;"_1.DIAG_7"</f>
        <v>Диагностика.TREI.CPU_1.DIAG_7</v>
      </c>
      <c r="B1720" s="11">
        <v>7998</v>
      </c>
      <c r="C1720" s="11" t="s">
        <v>6</v>
      </c>
      <c r="D1720" s="20">
        <v>1</v>
      </c>
    </row>
    <row r="1721" spans="1:4">
      <c r="A1721" s="19" t="str">
        <f>$R$2&amp;"."&amp;'Конфигурация TREI'!$A$2&amp;"_1.DIAG_7"</f>
        <v>Диагностика.TREI.CPU_1.DIAG_7</v>
      </c>
      <c r="B1721" s="11">
        <v>101</v>
      </c>
      <c r="C1721" s="11" t="s">
        <v>0</v>
      </c>
      <c r="D1721" s="20" t="s">
        <v>801</v>
      </c>
    </row>
    <row r="1722" spans="1:4">
      <c r="A1722" s="19" t="str">
        <f>$R$2&amp;"."&amp;'Конфигурация TREI'!$A$2&amp;"_1.DIAG_7"</f>
        <v>Диагностика.TREI.CPU_1.DIAG_7</v>
      </c>
      <c r="B1722" s="11">
        <v>3</v>
      </c>
      <c r="C1722" s="11" t="s">
        <v>1</v>
      </c>
      <c r="D1722" s="20">
        <v>192</v>
      </c>
    </row>
    <row r="1723" spans="1:4">
      <c r="A1723" s="19" t="str">
        <f>$R$2&amp;"."&amp;'Конфигурация TREI'!$A$2&amp;"_1.DIAG_7"</f>
        <v>Диагностика.TREI.CPU_1.DIAG_7</v>
      </c>
      <c r="B1723" s="11">
        <v>2</v>
      </c>
      <c r="C1723" s="11" t="s">
        <v>2</v>
      </c>
      <c r="D1723" s="20" t="s">
        <v>3</v>
      </c>
    </row>
    <row r="1724" spans="1:4">
      <c r="A1724" s="21" t="str">
        <f>$R$2&amp;"."&amp;'Конфигурация TREI'!$A$2&amp;"_1.DIAG_7"</f>
        <v>Диагностика.TREI.CPU_1.DIAG_7</v>
      </c>
      <c r="B1724" s="8">
        <v>1</v>
      </c>
      <c r="C1724" s="8" t="s">
        <v>1</v>
      </c>
      <c r="D1724" s="22">
        <v>11</v>
      </c>
    </row>
    <row r="1725" spans="1:4">
      <c r="A1725" s="69" t="str">
        <f>$R$2&amp;"."&amp;'Конфигурация TREI'!$A$2&amp;"_1.DIAG_8"</f>
        <v>Диагностика.TREI.CPU_1.DIAG_8</v>
      </c>
      <c r="B1725" s="70">
        <v>11154</v>
      </c>
      <c r="C1725" s="70" t="s">
        <v>4</v>
      </c>
      <c r="D1725" s="144">
        <f>$Q$6</f>
        <v>8</v>
      </c>
    </row>
    <row r="1726" spans="1:4">
      <c r="A1726" s="63" t="str">
        <f>$R$2&amp;"."&amp;'Конфигурация TREI'!$A$2&amp;"_1.DIAG_8"</f>
        <v>Диагностика.TREI.CPU_1.DIAG_8</v>
      </c>
      <c r="B1726" s="64">
        <v>11152</v>
      </c>
      <c r="C1726" s="64" t="s">
        <v>0</v>
      </c>
      <c r="D1726" s="129" t="str">
        <f>$R$6</f>
        <v>Предупреждение</v>
      </c>
    </row>
    <row r="1727" spans="1:4">
      <c r="A1727" s="63" t="str">
        <f>$R$2&amp;"."&amp;'Конфигурация TREI'!$A$2&amp;"_1.DIAG_8"</f>
        <v>Диагностика.TREI.CPU_1.DIAG_8</v>
      </c>
      <c r="B1727" s="64">
        <v>11150</v>
      </c>
      <c r="C1727" s="64" t="s">
        <v>0</v>
      </c>
      <c r="D1727" s="65" t="s">
        <v>802</v>
      </c>
    </row>
    <row r="1728" spans="1:4">
      <c r="A1728" s="63" t="str">
        <f>$R$2&amp;"."&amp;'Конфигурация TREI'!$A$2&amp;"_1.DIAG_8"</f>
        <v>Диагностика.TREI.CPU_1.DIAG_8</v>
      </c>
      <c r="B1728" s="64">
        <v>11000</v>
      </c>
      <c r="C1728" s="64" t="s">
        <v>5</v>
      </c>
      <c r="D1728" s="65">
        <v>2147483680</v>
      </c>
    </row>
    <row r="1729" spans="1:4">
      <c r="A1729" s="19" t="str">
        <f>$R$2&amp;"."&amp;'Конфигурация TREI'!$A$2&amp;"_1.DIAG_8"</f>
        <v>Диагностика.TREI.CPU_1.DIAG_8</v>
      </c>
      <c r="B1729" s="11">
        <v>7999</v>
      </c>
      <c r="C1729" s="11" t="s">
        <v>0</v>
      </c>
      <c r="D1729" s="20" t="str">
        <f>"#"&amp;$S$2&amp;"#"&amp;$T$2&amp;IF($S$7="","","\")&amp;$S$7&amp;"\"&amp;'Конфигурация TREI'!$A$2&amp;"_1\DIAG_8"</f>
        <v>#2#treiOPCDA.CoOPCserv.1\pcmaster\CPU_1\DIAG_8</v>
      </c>
    </row>
    <row r="1730" spans="1:4">
      <c r="A1730" s="19" t="str">
        <f>$R$2&amp;"."&amp;'Конфигурация TREI'!$A$2&amp;"_1.DIAG_8"</f>
        <v>Диагностика.TREI.CPU_1.DIAG_8</v>
      </c>
      <c r="B1730" s="11">
        <v>7998</v>
      </c>
      <c r="C1730" s="11" t="s">
        <v>6</v>
      </c>
      <c r="D1730" s="20">
        <v>1</v>
      </c>
    </row>
    <row r="1731" spans="1:4">
      <c r="A1731" s="19" t="str">
        <f>$R$2&amp;"."&amp;'Конфигурация TREI'!$A$2&amp;"_1.DIAG_8"</f>
        <v>Диагностика.TREI.CPU_1.DIAG_8</v>
      </c>
      <c r="B1731" s="11">
        <v>101</v>
      </c>
      <c r="C1731" s="11" t="s">
        <v>0</v>
      </c>
      <c r="D1731" s="20" t="s">
        <v>802</v>
      </c>
    </row>
    <row r="1732" spans="1:4">
      <c r="A1732" s="19" t="str">
        <f>$R$2&amp;"."&amp;'Конфигурация TREI'!$A$2&amp;"_1.DIAG_8"</f>
        <v>Диагностика.TREI.CPU_1.DIAG_8</v>
      </c>
      <c r="B1732" s="11">
        <v>3</v>
      </c>
      <c r="C1732" s="11" t="s">
        <v>1</v>
      </c>
      <c r="D1732" s="20">
        <v>192</v>
      </c>
    </row>
    <row r="1733" spans="1:4">
      <c r="A1733" s="19" t="str">
        <f>$R$2&amp;"."&amp;'Конфигурация TREI'!$A$2&amp;"_1.DIAG_8"</f>
        <v>Диагностика.TREI.CPU_1.DIAG_8</v>
      </c>
      <c r="B1733" s="11">
        <v>2</v>
      </c>
      <c r="C1733" s="11" t="s">
        <v>2</v>
      </c>
      <c r="D1733" s="20" t="s">
        <v>3</v>
      </c>
    </row>
    <row r="1734" spans="1:4">
      <c r="A1734" s="21" t="str">
        <f>$R$2&amp;"."&amp;'Конфигурация TREI'!$A$2&amp;"_1.DIAG_8"</f>
        <v>Диагностика.TREI.CPU_1.DIAG_8</v>
      </c>
      <c r="B1734" s="8">
        <v>1</v>
      </c>
      <c r="C1734" s="8" t="s">
        <v>1</v>
      </c>
      <c r="D1734" s="22">
        <v>11</v>
      </c>
    </row>
    <row r="1735" spans="1:4">
      <c r="A1735" s="69" t="str">
        <f>$R$2&amp;"."&amp;'Конфигурация TREI'!$A$2&amp;"_1.DIAG_9"</f>
        <v>Диагностика.TREI.CPU_1.DIAG_9</v>
      </c>
      <c r="B1735" s="70">
        <v>11154</v>
      </c>
      <c r="C1735" s="70" t="s">
        <v>4</v>
      </c>
      <c r="D1735" s="144">
        <f>$Q$6</f>
        <v>8</v>
      </c>
    </row>
    <row r="1736" spans="1:4">
      <c r="A1736" s="63" t="str">
        <f>$R$2&amp;"."&amp;'Конфигурация TREI'!$A$2&amp;"_1.DIAG_9"</f>
        <v>Диагностика.TREI.CPU_1.DIAG_9</v>
      </c>
      <c r="B1736" s="64">
        <v>11152</v>
      </c>
      <c r="C1736" s="64" t="s">
        <v>0</v>
      </c>
      <c r="D1736" s="129" t="str">
        <f>$R$6</f>
        <v>Предупреждение</v>
      </c>
    </row>
    <row r="1737" spans="1:4">
      <c r="A1737" s="63" t="str">
        <f>$R$2&amp;"."&amp;'Конфигурация TREI'!$A$2&amp;"_1.DIAG_9"</f>
        <v>Диагностика.TREI.CPU_1.DIAG_9</v>
      </c>
      <c r="B1737" s="64">
        <v>11150</v>
      </c>
      <c r="C1737" s="64" t="s">
        <v>0</v>
      </c>
      <c r="D1737" s="65" t="s">
        <v>803</v>
      </c>
    </row>
    <row r="1738" spans="1:4">
      <c r="A1738" s="63" t="str">
        <f>$R$2&amp;"."&amp;'Конфигурация TREI'!$A$2&amp;"_1.DIAG_9"</f>
        <v>Диагностика.TREI.CPU_1.DIAG_9</v>
      </c>
      <c r="B1738" s="64">
        <v>11000</v>
      </c>
      <c r="C1738" s="64" t="s">
        <v>5</v>
      </c>
      <c r="D1738" s="65">
        <v>2147483680</v>
      </c>
    </row>
    <row r="1739" spans="1:4">
      <c r="A1739" s="19" t="str">
        <f>$R$2&amp;"."&amp;'Конфигурация TREI'!$A$2&amp;"_1.DIAG_9"</f>
        <v>Диагностика.TREI.CPU_1.DIAG_9</v>
      </c>
      <c r="B1739" s="11">
        <v>7999</v>
      </c>
      <c r="C1739" s="11" t="s">
        <v>0</v>
      </c>
      <c r="D1739" s="20" t="str">
        <f>"#"&amp;$S$2&amp;"#"&amp;$T$2&amp;IF($S$7="","","\")&amp;$S$7&amp;"\"&amp;'Конфигурация TREI'!$A$2&amp;"_1\DIAG_9"</f>
        <v>#2#treiOPCDA.CoOPCserv.1\pcmaster\CPU_1\DIAG_9</v>
      </c>
    </row>
    <row r="1740" spans="1:4">
      <c r="A1740" s="19" t="str">
        <f>$R$2&amp;"."&amp;'Конфигурация TREI'!$A$2&amp;"_1.DIAG_9"</f>
        <v>Диагностика.TREI.CPU_1.DIAG_9</v>
      </c>
      <c r="B1740" s="11">
        <v>7998</v>
      </c>
      <c r="C1740" s="11" t="s">
        <v>6</v>
      </c>
      <c r="D1740" s="20">
        <v>1</v>
      </c>
    </row>
    <row r="1741" spans="1:4">
      <c r="A1741" s="19" t="str">
        <f>$R$2&amp;"."&amp;'Конфигурация TREI'!$A$2&amp;"_1.DIAG_9"</f>
        <v>Диагностика.TREI.CPU_1.DIAG_9</v>
      </c>
      <c r="B1741" s="11">
        <v>101</v>
      </c>
      <c r="C1741" s="11" t="s">
        <v>0</v>
      </c>
      <c r="D1741" s="20" t="s">
        <v>803</v>
      </c>
    </row>
    <row r="1742" spans="1:4">
      <c r="A1742" s="19" t="str">
        <f>$R$2&amp;"."&amp;'Конфигурация TREI'!$A$2&amp;"_1.DIAG_9"</f>
        <v>Диагностика.TREI.CPU_1.DIAG_9</v>
      </c>
      <c r="B1742" s="11">
        <v>3</v>
      </c>
      <c r="C1742" s="11" t="s">
        <v>1</v>
      </c>
      <c r="D1742" s="20">
        <v>192</v>
      </c>
    </row>
    <row r="1743" spans="1:4">
      <c r="A1743" s="19" t="str">
        <f>$R$2&amp;"."&amp;'Конфигурация TREI'!$A$2&amp;"_1.DIAG_9"</f>
        <v>Диагностика.TREI.CPU_1.DIAG_9</v>
      </c>
      <c r="B1743" s="11">
        <v>2</v>
      </c>
      <c r="C1743" s="11" t="s">
        <v>2</v>
      </c>
      <c r="D1743" s="20" t="s">
        <v>3</v>
      </c>
    </row>
    <row r="1744" spans="1:4">
      <c r="A1744" s="21" t="str">
        <f>$R$2&amp;"."&amp;'Конфигурация TREI'!$A$2&amp;"_1.DIAG_9"</f>
        <v>Диагностика.TREI.CPU_1.DIAG_9</v>
      </c>
      <c r="B1744" s="8">
        <v>1</v>
      </c>
      <c r="C1744" s="8" t="s">
        <v>1</v>
      </c>
      <c r="D1744" s="22">
        <v>11</v>
      </c>
    </row>
    <row r="1745" spans="1:4">
      <c r="A1745" s="69" t="str">
        <f>$R$2&amp;"."&amp;'Конфигурация TREI'!$A$2&amp;"_1.DIAG_10"</f>
        <v>Диагностика.TREI.CPU_1.DIAG_10</v>
      </c>
      <c r="B1745" s="70">
        <v>11154</v>
      </c>
      <c r="C1745" s="70" t="s">
        <v>4</v>
      </c>
      <c r="D1745" s="144">
        <f>$Q$6</f>
        <v>8</v>
      </c>
    </row>
    <row r="1746" spans="1:4">
      <c r="A1746" s="63" t="str">
        <f>$R$2&amp;"."&amp;'Конфигурация TREI'!$A$2&amp;"_1.DIAG_10"</f>
        <v>Диагностика.TREI.CPU_1.DIAG_10</v>
      </c>
      <c r="B1746" s="64">
        <v>11152</v>
      </c>
      <c r="C1746" s="64" t="s">
        <v>0</v>
      </c>
      <c r="D1746" s="129" t="str">
        <f>$R$6</f>
        <v>Предупреждение</v>
      </c>
    </row>
    <row r="1747" spans="1:4">
      <c r="A1747" s="63" t="str">
        <f>$R$2&amp;"."&amp;'Конфигурация TREI'!$A$2&amp;"_1.DIAG_10"</f>
        <v>Диагностика.TREI.CPU_1.DIAG_10</v>
      </c>
      <c r="B1747" s="64">
        <v>11150</v>
      </c>
      <c r="C1747" s="64" t="s">
        <v>0</v>
      </c>
      <c r="D1747" s="65" t="s">
        <v>804</v>
      </c>
    </row>
    <row r="1748" spans="1:4">
      <c r="A1748" s="63" t="str">
        <f>$R$2&amp;"."&amp;'Конфигурация TREI'!$A$2&amp;"_1.DIAG_10"</f>
        <v>Диагностика.TREI.CPU_1.DIAG_10</v>
      </c>
      <c r="B1748" s="64">
        <v>11000</v>
      </c>
      <c r="C1748" s="64" t="s">
        <v>5</v>
      </c>
      <c r="D1748" s="65">
        <v>2147483680</v>
      </c>
    </row>
    <row r="1749" spans="1:4">
      <c r="A1749" s="19" t="str">
        <f>$R$2&amp;"."&amp;'Конфигурация TREI'!$A$2&amp;"_1.DIAG_10"</f>
        <v>Диагностика.TREI.CPU_1.DIAG_10</v>
      </c>
      <c r="B1749" s="11">
        <v>7999</v>
      </c>
      <c r="C1749" s="11" t="s">
        <v>0</v>
      </c>
      <c r="D1749" s="20" t="str">
        <f>"#"&amp;$S$2&amp;"#"&amp;$T$2&amp;IF($S$7="","","\")&amp;$S$7&amp;"\"&amp;'Конфигурация TREI'!$A$2&amp;"_1\DIAG_10"</f>
        <v>#2#treiOPCDA.CoOPCserv.1\pcmaster\CPU_1\DIAG_10</v>
      </c>
    </row>
    <row r="1750" spans="1:4">
      <c r="A1750" s="19" t="str">
        <f>$R$2&amp;"."&amp;'Конфигурация TREI'!$A$2&amp;"_1.DIAG_10"</f>
        <v>Диагностика.TREI.CPU_1.DIAG_10</v>
      </c>
      <c r="B1750" s="11">
        <v>7998</v>
      </c>
      <c r="C1750" s="11" t="s">
        <v>6</v>
      </c>
      <c r="D1750" s="20">
        <v>1</v>
      </c>
    </row>
    <row r="1751" spans="1:4">
      <c r="A1751" s="19" t="str">
        <f>$R$2&amp;"."&amp;'Конфигурация TREI'!$A$2&amp;"_1.DIAG_10"</f>
        <v>Диагностика.TREI.CPU_1.DIAG_10</v>
      </c>
      <c r="B1751" s="11">
        <v>101</v>
      </c>
      <c r="C1751" s="11" t="s">
        <v>0</v>
      </c>
      <c r="D1751" s="20" t="s">
        <v>804</v>
      </c>
    </row>
    <row r="1752" spans="1:4">
      <c r="A1752" s="19" t="str">
        <f>$R$2&amp;"."&amp;'Конфигурация TREI'!$A$2&amp;"_1.DIAG_10"</f>
        <v>Диагностика.TREI.CPU_1.DIAG_10</v>
      </c>
      <c r="B1752" s="11">
        <v>3</v>
      </c>
      <c r="C1752" s="11" t="s">
        <v>1</v>
      </c>
      <c r="D1752" s="20">
        <v>192</v>
      </c>
    </row>
    <row r="1753" spans="1:4">
      <c r="A1753" s="19" t="str">
        <f>$R$2&amp;"."&amp;'Конфигурация TREI'!$A$2&amp;"_1.DIAG_10"</f>
        <v>Диагностика.TREI.CPU_1.DIAG_10</v>
      </c>
      <c r="B1753" s="11">
        <v>2</v>
      </c>
      <c r="C1753" s="11" t="s">
        <v>2</v>
      </c>
      <c r="D1753" s="20" t="s">
        <v>3</v>
      </c>
    </row>
    <row r="1754" spans="1:4">
      <c r="A1754" s="21" t="str">
        <f>$R$2&amp;"."&amp;'Конфигурация TREI'!$A$2&amp;"_1.DIAG_10"</f>
        <v>Диагностика.TREI.CPU_1.DIAG_10</v>
      </c>
      <c r="B1754" s="8">
        <v>1</v>
      </c>
      <c r="C1754" s="8" t="s">
        <v>1</v>
      </c>
      <c r="D1754" s="22">
        <v>11</v>
      </c>
    </row>
    <row r="1755" spans="1:4">
      <c r="A1755" s="69" t="str">
        <f>$R$2&amp;"."&amp;'Конфигурация TREI'!$A$2&amp;"_1.DIAG_11"</f>
        <v>Диагностика.TREI.CPU_1.DIAG_11</v>
      </c>
      <c r="B1755" s="70">
        <v>11154</v>
      </c>
      <c r="C1755" s="70" t="s">
        <v>4</v>
      </c>
      <c r="D1755" s="144">
        <f>$Q$6</f>
        <v>8</v>
      </c>
    </row>
    <row r="1756" spans="1:4">
      <c r="A1756" s="63" t="str">
        <f>$R$2&amp;"."&amp;'Конфигурация TREI'!$A$2&amp;"_1.DIAG_11"</f>
        <v>Диагностика.TREI.CPU_1.DIAG_11</v>
      </c>
      <c r="B1756" s="64">
        <v>11152</v>
      </c>
      <c r="C1756" s="64" t="s">
        <v>0</v>
      </c>
      <c r="D1756" s="129" t="str">
        <f>$R$6</f>
        <v>Предупреждение</v>
      </c>
    </row>
    <row r="1757" spans="1:4">
      <c r="A1757" s="63" t="str">
        <f>$R$2&amp;"."&amp;'Конфигурация TREI'!$A$2&amp;"_1.DIAG_11"</f>
        <v>Диагностика.TREI.CPU_1.DIAG_11</v>
      </c>
      <c r="B1757" s="64">
        <v>11150</v>
      </c>
      <c r="C1757" s="64" t="s">
        <v>0</v>
      </c>
      <c r="D1757" s="65" t="s">
        <v>805</v>
      </c>
    </row>
    <row r="1758" spans="1:4">
      <c r="A1758" s="63" t="str">
        <f>$R$2&amp;"."&amp;'Конфигурация TREI'!$A$2&amp;"_1.DIAG_11"</f>
        <v>Диагностика.TREI.CPU_1.DIAG_11</v>
      </c>
      <c r="B1758" s="64">
        <v>11000</v>
      </c>
      <c r="C1758" s="64" t="s">
        <v>5</v>
      </c>
      <c r="D1758" s="65">
        <v>2147483680</v>
      </c>
    </row>
    <row r="1759" spans="1:4">
      <c r="A1759" s="19" t="str">
        <f>$R$2&amp;"."&amp;'Конфигурация TREI'!$A$2&amp;"_1.DIAG_11"</f>
        <v>Диагностика.TREI.CPU_1.DIAG_11</v>
      </c>
      <c r="B1759" s="11">
        <v>7999</v>
      </c>
      <c r="C1759" s="11" t="s">
        <v>0</v>
      </c>
      <c r="D1759" s="20" t="str">
        <f>"#"&amp;$S$2&amp;"#"&amp;$T$2&amp;IF($S$7="","","\")&amp;$S$7&amp;"\"&amp;'Конфигурация TREI'!$A$2&amp;"_1\DIAG_11"</f>
        <v>#2#treiOPCDA.CoOPCserv.1\pcmaster\CPU_1\DIAG_11</v>
      </c>
    </row>
    <row r="1760" spans="1:4">
      <c r="A1760" s="19" t="str">
        <f>$R$2&amp;"."&amp;'Конфигурация TREI'!$A$2&amp;"_1.DIAG_11"</f>
        <v>Диагностика.TREI.CPU_1.DIAG_11</v>
      </c>
      <c r="B1760" s="11">
        <v>7998</v>
      </c>
      <c r="C1760" s="11" t="s">
        <v>6</v>
      </c>
      <c r="D1760" s="20">
        <v>1</v>
      </c>
    </row>
    <row r="1761" spans="1:4">
      <c r="A1761" s="19" t="str">
        <f>$R$2&amp;"."&amp;'Конфигурация TREI'!$A$2&amp;"_1.DIAG_11"</f>
        <v>Диагностика.TREI.CPU_1.DIAG_11</v>
      </c>
      <c r="B1761" s="11">
        <v>101</v>
      </c>
      <c r="C1761" s="11" t="s">
        <v>0</v>
      </c>
      <c r="D1761" s="20" t="s">
        <v>805</v>
      </c>
    </row>
    <row r="1762" spans="1:4">
      <c r="A1762" s="19" t="str">
        <f>$R$2&amp;"."&amp;'Конфигурация TREI'!$A$2&amp;"_1.DIAG_11"</f>
        <v>Диагностика.TREI.CPU_1.DIAG_11</v>
      </c>
      <c r="B1762" s="11">
        <v>3</v>
      </c>
      <c r="C1762" s="11" t="s">
        <v>1</v>
      </c>
      <c r="D1762" s="20">
        <v>192</v>
      </c>
    </row>
    <row r="1763" spans="1:4">
      <c r="A1763" s="19" t="str">
        <f>$R$2&amp;"."&amp;'Конфигурация TREI'!$A$2&amp;"_1.DIAG_11"</f>
        <v>Диагностика.TREI.CPU_1.DIAG_11</v>
      </c>
      <c r="B1763" s="11">
        <v>2</v>
      </c>
      <c r="C1763" s="11" t="s">
        <v>2</v>
      </c>
      <c r="D1763" s="20" t="s">
        <v>3</v>
      </c>
    </row>
    <row r="1764" spans="1:4">
      <c r="A1764" s="21" t="str">
        <f>$R$2&amp;"."&amp;'Конфигурация TREI'!$A$2&amp;"_1.DIAG_11"</f>
        <v>Диагностика.TREI.CPU_1.DIAG_11</v>
      </c>
      <c r="B1764" s="8">
        <v>1</v>
      </c>
      <c r="C1764" s="8" t="s">
        <v>1</v>
      </c>
      <c r="D1764" s="22">
        <v>11</v>
      </c>
    </row>
    <row r="1765" spans="1:4">
      <c r="A1765" s="69" t="str">
        <f>$R$2&amp;"."&amp;'Конфигурация TREI'!$A$2&amp;"_1.DIAG_12"</f>
        <v>Диагностика.TREI.CPU_1.DIAG_12</v>
      </c>
      <c r="B1765" s="70">
        <v>11154</v>
      </c>
      <c r="C1765" s="70" t="s">
        <v>4</v>
      </c>
      <c r="D1765" s="144">
        <f>$Q$6</f>
        <v>8</v>
      </c>
    </row>
    <row r="1766" spans="1:4">
      <c r="A1766" s="63" t="str">
        <f>$R$2&amp;"."&amp;'Конфигурация TREI'!$A$2&amp;"_1.DIAG_12"</f>
        <v>Диагностика.TREI.CPU_1.DIAG_12</v>
      </c>
      <c r="B1766" s="64">
        <v>11152</v>
      </c>
      <c r="C1766" s="64" t="s">
        <v>0</v>
      </c>
      <c r="D1766" s="129" t="str">
        <f>$R$6</f>
        <v>Предупреждение</v>
      </c>
    </row>
    <row r="1767" spans="1:4">
      <c r="A1767" s="63" t="str">
        <f>$R$2&amp;"."&amp;'Конфигурация TREI'!$A$2&amp;"_1.DIAG_12"</f>
        <v>Диагностика.TREI.CPU_1.DIAG_12</v>
      </c>
      <c r="B1767" s="64">
        <v>11150</v>
      </c>
      <c r="C1767" s="64" t="s">
        <v>0</v>
      </c>
      <c r="D1767" s="65" t="s">
        <v>806</v>
      </c>
    </row>
    <row r="1768" spans="1:4">
      <c r="A1768" s="63" t="str">
        <f>$R$2&amp;"."&amp;'Конфигурация TREI'!$A$2&amp;"_1.DIAG_12"</f>
        <v>Диагностика.TREI.CPU_1.DIAG_12</v>
      </c>
      <c r="B1768" s="64">
        <v>11000</v>
      </c>
      <c r="C1768" s="64" t="s">
        <v>5</v>
      </c>
      <c r="D1768" s="65">
        <v>2147483680</v>
      </c>
    </row>
    <row r="1769" spans="1:4">
      <c r="A1769" s="19" t="str">
        <f>$R$2&amp;"."&amp;'Конфигурация TREI'!$A$2&amp;"_1.DIAG_12"</f>
        <v>Диагностика.TREI.CPU_1.DIAG_12</v>
      </c>
      <c r="B1769" s="11">
        <v>7999</v>
      </c>
      <c r="C1769" s="11" t="s">
        <v>0</v>
      </c>
      <c r="D1769" s="20" t="str">
        <f>"#"&amp;$S$2&amp;"#"&amp;$T$2&amp;IF($S$7="","","\")&amp;$S$7&amp;"\"&amp;'Конфигурация TREI'!$A$2&amp;"_1\DIAG_12"</f>
        <v>#2#treiOPCDA.CoOPCserv.1\pcmaster\CPU_1\DIAG_12</v>
      </c>
    </row>
    <row r="1770" spans="1:4">
      <c r="A1770" s="19" t="str">
        <f>$R$2&amp;"."&amp;'Конфигурация TREI'!$A$2&amp;"_1.DIAG_12"</f>
        <v>Диагностика.TREI.CPU_1.DIAG_12</v>
      </c>
      <c r="B1770" s="11">
        <v>7998</v>
      </c>
      <c r="C1770" s="11" t="s">
        <v>6</v>
      </c>
      <c r="D1770" s="20">
        <v>1</v>
      </c>
    </row>
    <row r="1771" spans="1:4">
      <c r="A1771" s="19" t="str">
        <f>$R$2&amp;"."&amp;'Конфигурация TREI'!$A$2&amp;"_1.DIAG_12"</f>
        <v>Диагностика.TREI.CPU_1.DIAG_12</v>
      </c>
      <c r="B1771" s="11">
        <v>101</v>
      </c>
      <c r="C1771" s="11" t="s">
        <v>0</v>
      </c>
      <c r="D1771" s="20" t="s">
        <v>806</v>
      </c>
    </row>
    <row r="1772" spans="1:4">
      <c r="A1772" s="19" t="str">
        <f>$R$2&amp;"."&amp;'Конфигурация TREI'!$A$2&amp;"_1.DIAG_12"</f>
        <v>Диагностика.TREI.CPU_1.DIAG_12</v>
      </c>
      <c r="B1772" s="11">
        <v>3</v>
      </c>
      <c r="C1772" s="11" t="s">
        <v>1</v>
      </c>
      <c r="D1772" s="20">
        <v>192</v>
      </c>
    </row>
    <row r="1773" spans="1:4">
      <c r="A1773" s="19" t="str">
        <f>$R$2&amp;"."&amp;'Конфигурация TREI'!$A$2&amp;"_1.DIAG_12"</f>
        <v>Диагностика.TREI.CPU_1.DIAG_12</v>
      </c>
      <c r="B1773" s="11">
        <v>2</v>
      </c>
      <c r="C1773" s="11" t="s">
        <v>2</v>
      </c>
      <c r="D1773" s="20" t="s">
        <v>3</v>
      </c>
    </row>
    <row r="1774" spans="1:4">
      <c r="A1774" s="21" t="str">
        <f>$R$2&amp;"."&amp;'Конфигурация TREI'!$A$2&amp;"_1.DIAG_12"</f>
        <v>Диагностика.TREI.CPU_1.DIAG_12</v>
      </c>
      <c r="B1774" s="8">
        <v>1</v>
      </c>
      <c r="C1774" s="8" t="s">
        <v>1</v>
      </c>
      <c r="D1774" s="22">
        <v>11</v>
      </c>
    </row>
    <row r="1775" spans="1:4">
      <c r="A1775" s="69" t="str">
        <f>$R$2&amp;"."&amp;'Конфигурация TREI'!$A$2&amp;"_1.DIAG_13"</f>
        <v>Диагностика.TREI.CPU_1.DIAG_13</v>
      </c>
      <c r="B1775" s="70">
        <v>11154</v>
      </c>
      <c r="C1775" s="70" t="s">
        <v>4</v>
      </c>
      <c r="D1775" s="144">
        <f>$Q$6</f>
        <v>8</v>
      </c>
    </row>
    <row r="1776" spans="1:4">
      <c r="A1776" s="63" t="str">
        <f>$R$2&amp;"."&amp;'Конфигурация TREI'!$A$2&amp;"_1.DIAG_13"</f>
        <v>Диагностика.TREI.CPU_1.DIAG_13</v>
      </c>
      <c r="B1776" s="64">
        <v>11152</v>
      </c>
      <c r="C1776" s="64" t="s">
        <v>0</v>
      </c>
      <c r="D1776" s="129" t="str">
        <f>$R$6</f>
        <v>Предупреждение</v>
      </c>
    </row>
    <row r="1777" spans="1:4">
      <c r="A1777" s="63" t="str">
        <f>$R$2&amp;"."&amp;'Конфигурация TREI'!$A$2&amp;"_1.DIAG_13"</f>
        <v>Диагностика.TREI.CPU_1.DIAG_13</v>
      </c>
      <c r="B1777" s="64">
        <v>11150</v>
      </c>
      <c r="C1777" s="64" t="s">
        <v>0</v>
      </c>
      <c r="D1777" s="65" t="s">
        <v>807</v>
      </c>
    </row>
    <row r="1778" spans="1:4">
      <c r="A1778" s="63" t="str">
        <f>$R$2&amp;"."&amp;'Конфигурация TREI'!$A$2&amp;"_1.DIAG_13"</f>
        <v>Диагностика.TREI.CPU_1.DIAG_13</v>
      </c>
      <c r="B1778" s="64">
        <v>11000</v>
      </c>
      <c r="C1778" s="64" t="s">
        <v>5</v>
      </c>
      <c r="D1778" s="65">
        <v>2147483680</v>
      </c>
    </row>
    <row r="1779" spans="1:4">
      <c r="A1779" s="19" t="str">
        <f>$R$2&amp;"."&amp;'Конфигурация TREI'!$A$2&amp;"_1.DIAG_13"</f>
        <v>Диагностика.TREI.CPU_1.DIAG_13</v>
      </c>
      <c r="B1779" s="11">
        <v>7999</v>
      </c>
      <c r="C1779" s="11" t="s">
        <v>0</v>
      </c>
      <c r="D1779" s="20" t="str">
        <f>"#"&amp;$S$2&amp;"#"&amp;$T$2&amp;IF($S$7="","","\")&amp;$S$7&amp;"\"&amp;'Конфигурация TREI'!$A$2&amp;"_1\DIAG_13"</f>
        <v>#2#treiOPCDA.CoOPCserv.1\pcmaster\CPU_1\DIAG_13</v>
      </c>
    </row>
    <row r="1780" spans="1:4">
      <c r="A1780" s="19" t="str">
        <f>$R$2&amp;"."&amp;'Конфигурация TREI'!$A$2&amp;"_1.DIAG_13"</f>
        <v>Диагностика.TREI.CPU_1.DIAG_13</v>
      </c>
      <c r="B1780" s="11">
        <v>7998</v>
      </c>
      <c r="C1780" s="11" t="s">
        <v>6</v>
      </c>
      <c r="D1780" s="20">
        <v>1</v>
      </c>
    </row>
    <row r="1781" spans="1:4">
      <c r="A1781" s="19" t="str">
        <f>$R$2&amp;"."&amp;'Конфигурация TREI'!$A$2&amp;"_1.DIAG_13"</f>
        <v>Диагностика.TREI.CPU_1.DIAG_13</v>
      </c>
      <c r="B1781" s="11">
        <v>101</v>
      </c>
      <c r="C1781" s="11" t="s">
        <v>0</v>
      </c>
      <c r="D1781" s="20" t="s">
        <v>807</v>
      </c>
    </row>
    <row r="1782" spans="1:4">
      <c r="A1782" s="19" t="str">
        <f>$R$2&amp;"."&amp;'Конфигурация TREI'!$A$2&amp;"_1.DIAG_13"</f>
        <v>Диагностика.TREI.CPU_1.DIAG_13</v>
      </c>
      <c r="B1782" s="11">
        <v>3</v>
      </c>
      <c r="C1782" s="11" t="s">
        <v>1</v>
      </c>
      <c r="D1782" s="20">
        <v>192</v>
      </c>
    </row>
    <row r="1783" spans="1:4">
      <c r="A1783" s="19" t="str">
        <f>$R$2&amp;"."&amp;'Конфигурация TREI'!$A$2&amp;"_1.DIAG_13"</f>
        <v>Диагностика.TREI.CPU_1.DIAG_13</v>
      </c>
      <c r="B1783" s="11">
        <v>2</v>
      </c>
      <c r="C1783" s="11" t="s">
        <v>2</v>
      </c>
      <c r="D1783" s="20" t="s">
        <v>3</v>
      </c>
    </row>
    <row r="1784" spans="1:4">
      <c r="A1784" s="21" t="str">
        <f>$R$2&amp;"."&amp;'Конфигурация TREI'!$A$2&amp;"_1.DIAG_13"</f>
        <v>Диагностика.TREI.CPU_1.DIAG_13</v>
      </c>
      <c r="B1784" s="8">
        <v>1</v>
      </c>
      <c r="C1784" s="8" t="s">
        <v>1</v>
      </c>
      <c r="D1784" s="22">
        <v>11</v>
      </c>
    </row>
    <row r="1785" spans="1:4">
      <c r="A1785" s="69" t="str">
        <f>$R$2&amp;"."&amp;'Конфигурация TREI'!$A$2&amp;"_1.DIAG_14"</f>
        <v>Диагностика.TREI.CPU_1.DIAG_14</v>
      </c>
      <c r="B1785" s="70">
        <v>11154</v>
      </c>
      <c r="C1785" s="70" t="s">
        <v>4</v>
      </c>
      <c r="D1785" s="144">
        <f>$Q$6</f>
        <v>8</v>
      </c>
    </row>
    <row r="1786" spans="1:4">
      <c r="A1786" s="63" t="str">
        <f>$R$2&amp;"."&amp;'Конфигурация TREI'!$A$2&amp;"_1.DIAG_14"</f>
        <v>Диагностика.TREI.CPU_1.DIAG_14</v>
      </c>
      <c r="B1786" s="64">
        <v>11152</v>
      </c>
      <c r="C1786" s="64" t="s">
        <v>0</v>
      </c>
      <c r="D1786" s="129" t="str">
        <f>$R$6</f>
        <v>Предупреждение</v>
      </c>
    </row>
    <row r="1787" spans="1:4">
      <c r="A1787" s="63" t="str">
        <f>$R$2&amp;"."&amp;'Конфигурация TREI'!$A$2&amp;"_1.DIAG_14"</f>
        <v>Диагностика.TREI.CPU_1.DIAG_14</v>
      </c>
      <c r="B1787" s="64">
        <v>11150</v>
      </c>
      <c r="C1787" s="64" t="s">
        <v>0</v>
      </c>
      <c r="D1787" s="65" t="s">
        <v>808</v>
      </c>
    </row>
    <row r="1788" spans="1:4">
      <c r="A1788" s="63" t="str">
        <f>$R$2&amp;"."&amp;'Конфигурация TREI'!$A$2&amp;"_1.DIAG_14"</f>
        <v>Диагностика.TREI.CPU_1.DIAG_14</v>
      </c>
      <c r="B1788" s="64">
        <v>11000</v>
      </c>
      <c r="C1788" s="64" t="s">
        <v>5</v>
      </c>
      <c r="D1788" s="65">
        <v>2147483680</v>
      </c>
    </row>
    <row r="1789" spans="1:4">
      <c r="A1789" s="19" t="str">
        <f>$R$2&amp;"."&amp;'Конфигурация TREI'!$A$2&amp;"_1.DIAG_14"</f>
        <v>Диагностика.TREI.CPU_1.DIAG_14</v>
      </c>
      <c r="B1789" s="11">
        <v>7999</v>
      </c>
      <c r="C1789" s="11" t="s">
        <v>0</v>
      </c>
      <c r="D1789" s="20" t="str">
        <f>"#"&amp;$S$2&amp;"#"&amp;$T$2&amp;IF($S$7="","","\")&amp;$S$7&amp;"\"&amp;'Конфигурация TREI'!$A$2&amp;"_1\DIAG_14"</f>
        <v>#2#treiOPCDA.CoOPCserv.1\pcmaster\CPU_1\DIAG_14</v>
      </c>
    </row>
    <row r="1790" spans="1:4">
      <c r="A1790" s="19" t="str">
        <f>$R$2&amp;"."&amp;'Конфигурация TREI'!$A$2&amp;"_1.DIAG_14"</f>
        <v>Диагностика.TREI.CPU_1.DIAG_14</v>
      </c>
      <c r="B1790" s="11">
        <v>7998</v>
      </c>
      <c r="C1790" s="11" t="s">
        <v>6</v>
      </c>
      <c r="D1790" s="20">
        <v>1</v>
      </c>
    </row>
    <row r="1791" spans="1:4">
      <c r="A1791" s="19" t="str">
        <f>$R$2&amp;"."&amp;'Конфигурация TREI'!$A$2&amp;"_1.DIAG_14"</f>
        <v>Диагностика.TREI.CPU_1.DIAG_14</v>
      </c>
      <c r="B1791" s="11">
        <v>101</v>
      </c>
      <c r="C1791" s="11" t="s">
        <v>0</v>
      </c>
      <c r="D1791" s="20" t="s">
        <v>808</v>
      </c>
    </row>
    <row r="1792" spans="1:4">
      <c r="A1792" s="19" t="str">
        <f>$R$2&amp;"."&amp;'Конфигурация TREI'!$A$2&amp;"_1.DIAG_14"</f>
        <v>Диагностика.TREI.CPU_1.DIAG_14</v>
      </c>
      <c r="B1792" s="11">
        <v>3</v>
      </c>
      <c r="C1792" s="11" t="s">
        <v>1</v>
      </c>
      <c r="D1792" s="20">
        <v>192</v>
      </c>
    </row>
    <row r="1793" spans="1:4">
      <c r="A1793" s="19" t="str">
        <f>$R$2&amp;"."&amp;'Конфигурация TREI'!$A$2&amp;"_1.DIAG_14"</f>
        <v>Диагностика.TREI.CPU_1.DIAG_14</v>
      </c>
      <c r="B1793" s="11">
        <v>2</v>
      </c>
      <c r="C1793" s="11" t="s">
        <v>2</v>
      </c>
      <c r="D1793" s="20" t="s">
        <v>3</v>
      </c>
    </row>
    <row r="1794" spans="1:4">
      <c r="A1794" s="21" t="str">
        <f>$R$2&amp;"."&amp;'Конфигурация TREI'!$A$2&amp;"_1.DIAG_14"</f>
        <v>Диагностика.TREI.CPU_1.DIAG_14</v>
      </c>
      <c r="B1794" s="8">
        <v>1</v>
      </c>
      <c r="C1794" s="8" t="s">
        <v>1</v>
      </c>
      <c r="D1794" s="22">
        <v>11</v>
      </c>
    </row>
    <row r="1795" spans="1:4">
      <c r="A1795" s="159" t="str">
        <f>$R$2&amp;"."&amp;'Конфигурация TREI'!$A$2&amp;"_1.DIAG_15"</f>
        <v>Диагностика.TREI.CPU_1.DIAG_15</v>
      </c>
      <c r="B1795" s="160">
        <v>11154</v>
      </c>
      <c r="C1795" s="160" t="s">
        <v>4</v>
      </c>
      <c r="D1795" s="161">
        <f>$Q$8</f>
        <v>18</v>
      </c>
    </row>
    <row r="1796" spans="1:4">
      <c r="A1796" s="100" t="str">
        <f>$R$2&amp;"."&amp;'Конфигурация TREI'!$A$2&amp;"_1.DIAG_15"</f>
        <v>Диагностика.TREI.CPU_1.DIAG_15</v>
      </c>
      <c r="B1796" s="101">
        <v>11152</v>
      </c>
      <c r="C1796" s="101" t="s">
        <v>0</v>
      </c>
      <c r="D1796" s="104" t="str">
        <f>$R$8</f>
        <v>Телесигнализация</v>
      </c>
    </row>
    <row r="1797" spans="1:4">
      <c r="A1797" s="100" t="str">
        <f>$R$2&amp;"."&amp;'Конфигурация TREI'!$A$2&amp;"_1.DIAG_15"</f>
        <v>Диагностика.TREI.CPU_1.DIAG_15</v>
      </c>
      <c r="B1797" s="101">
        <v>11150</v>
      </c>
      <c r="C1797" s="101" t="s">
        <v>0</v>
      </c>
      <c r="D1797" s="103" t="s">
        <v>809</v>
      </c>
    </row>
    <row r="1798" spans="1:4">
      <c r="A1798" s="100" t="str">
        <f>$R$2&amp;"."&amp;'Конфигурация TREI'!$A$2&amp;"_1.DIAG_15"</f>
        <v>Диагностика.TREI.CPU_1.DIAG_15</v>
      </c>
      <c r="B1798" s="101">
        <v>11000</v>
      </c>
      <c r="C1798" s="101" t="s">
        <v>5</v>
      </c>
      <c r="D1798" s="103">
        <v>2147483680</v>
      </c>
    </row>
    <row r="1799" spans="1:4">
      <c r="A1799" s="19" t="str">
        <f>$R$2&amp;"."&amp;'Конфигурация TREI'!$A$2&amp;"_1.DIAG_15"</f>
        <v>Диагностика.TREI.CPU_1.DIAG_15</v>
      </c>
      <c r="B1799" s="11">
        <v>7999</v>
      </c>
      <c r="C1799" s="11" t="s">
        <v>0</v>
      </c>
      <c r="D1799" s="20" t="str">
        <f>"#"&amp;$S$2&amp;"#"&amp;$T$2&amp;IF($S$7="","","\")&amp;$S$7&amp;"\"&amp;'Конфигурация TREI'!$A$2&amp;"_1\DIAG_15"</f>
        <v>#2#treiOPCDA.CoOPCserv.1\pcmaster\CPU_1\DIAG_15</v>
      </c>
    </row>
    <row r="1800" spans="1:4">
      <c r="A1800" s="19" t="str">
        <f>$R$2&amp;"."&amp;'Конфигурация TREI'!$A$2&amp;"_1.DIAG_15"</f>
        <v>Диагностика.TREI.CPU_1.DIAG_15</v>
      </c>
      <c r="B1800" s="11">
        <v>7998</v>
      </c>
      <c r="C1800" s="11" t="s">
        <v>6</v>
      </c>
      <c r="D1800" s="20">
        <v>1</v>
      </c>
    </row>
    <row r="1801" spans="1:4">
      <c r="A1801" s="19" t="str">
        <f>$R$2&amp;"."&amp;'Конфигурация TREI'!$A$2&amp;"_1.DIAG_15"</f>
        <v>Диагностика.TREI.CPU_1.DIAG_15</v>
      </c>
      <c r="B1801" s="11">
        <v>101</v>
      </c>
      <c r="C1801" s="11" t="s">
        <v>0</v>
      </c>
      <c r="D1801" s="20" t="s">
        <v>809</v>
      </c>
    </row>
    <row r="1802" spans="1:4">
      <c r="A1802" s="19" t="str">
        <f>$R$2&amp;"."&amp;'Конфигурация TREI'!$A$2&amp;"_1.DIAG_15"</f>
        <v>Диагностика.TREI.CPU_1.DIAG_15</v>
      </c>
      <c r="B1802" s="11">
        <v>3</v>
      </c>
      <c r="C1802" s="11" t="s">
        <v>1</v>
      </c>
      <c r="D1802" s="20">
        <v>192</v>
      </c>
    </row>
    <row r="1803" spans="1:4">
      <c r="A1803" s="19" t="str">
        <f>$R$2&amp;"."&amp;'Конфигурация TREI'!$A$2&amp;"_1.DIAG_15"</f>
        <v>Диагностика.TREI.CPU_1.DIAG_15</v>
      </c>
      <c r="B1803" s="11">
        <v>2</v>
      </c>
      <c r="C1803" s="11" t="s">
        <v>2</v>
      </c>
      <c r="D1803" s="20" t="s">
        <v>3</v>
      </c>
    </row>
    <row r="1804" spans="1:4">
      <c r="A1804" s="21" t="str">
        <f>$R$2&amp;"."&amp;'Конфигурация TREI'!$A$2&amp;"_1.DIAG_15"</f>
        <v>Диагностика.TREI.CPU_1.DIAG_15</v>
      </c>
      <c r="B1804" s="8">
        <v>1</v>
      </c>
      <c r="C1804" s="8" t="s">
        <v>1</v>
      </c>
      <c r="D1804" s="22">
        <v>11</v>
      </c>
    </row>
    <row r="1805" spans="1:4">
      <c r="A1805" s="159" t="str">
        <f>$R$2&amp;"."&amp;'Конфигурация TREI'!$A$2&amp;"_1.DIAG_17"</f>
        <v>Диагностика.TREI.CPU_1.DIAG_17</v>
      </c>
      <c r="B1805" s="160">
        <v>11154</v>
      </c>
      <c r="C1805" s="160" t="s">
        <v>4</v>
      </c>
      <c r="D1805" s="161">
        <f>$Q$8</f>
        <v>18</v>
      </c>
    </row>
    <row r="1806" spans="1:4">
      <c r="A1806" s="100" t="str">
        <f>$R$2&amp;"."&amp;'Конфигурация TREI'!$A$2&amp;"_1.DIAG_17"</f>
        <v>Диагностика.TREI.CPU_1.DIAG_17</v>
      </c>
      <c r="B1806" s="101">
        <v>11152</v>
      </c>
      <c r="C1806" s="101" t="s">
        <v>0</v>
      </c>
      <c r="D1806" s="104" t="str">
        <f>$R$8</f>
        <v>Телесигнализация</v>
      </c>
    </row>
    <row r="1807" spans="1:4">
      <c r="A1807" s="100" t="str">
        <f>$R$2&amp;"."&amp;'Конфигурация TREI'!$A$2&amp;"_1.DIAG_17"</f>
        <v>Диагностика.TREI.CPU_1.DIAG_17</v>
      </c>
      <c r="B1807" s="101">
        <v>11150</v>
      </c>
      <c r="C1807" s="101" t="s">
        <v>0</v>
      </c>
      <c r="D1807" s="103" t="s">
        <v>810</v>
      </c>
    </row>
    <row r="1808" spans="1:4">
      <c r="A1808" s="100" t="str">
        <f>$R$2&amp;"."&amp;'Конфигурация TREI'!$A$2&amp;"_1.DIAG_17"</f>
        <v>Диагностика.TREI.CPU_1.DIAG_17</v>
      </c>
      <c r="B1808" s="101">
        <v>11000</v>
      </c>
      <c r="C1808" s="101" t="s">
        <v>5</v>
      </c>
      <c r="D1808" s="103">
        <v>2147483680</v>
      </c>
    </row>
    <row r="1809" spans="1:4">
      <c r="A1809" s="19" t="str">
        <f>$R$2&amp;"."&amp;'Конфигурация TREI'!$A$2&amp;"_1.DIAG_17"</f>
        <v>Диагностика.TREI.CPU_1.DIAG_17</v>
      </c>
      <c r="B1809" s="11">
        <v>7999</v>
      </c>
      <c r="C1809" s="11" t="s">
        <v>0</v>
      </c>
      <c r="D1809" s="20" t="str">
        <f>"#"&amp;$S$2&amp;"#"&amp;$T$2&amp;IF($S$7="","","\")&amp;$S$7&amp;"\"&amp;'Конфигурация TREI'!$A$2&amp;"_1\DIAG_17"</f>
        <v>#2#treiOPCDA.CoOPCserv.1\pcmaster\CPU_1\DIAG_17</v>
      </c>
    </row>
    <row r="1810" spans="1:4">
      <c r="A1810" s="19" t="str">
        <f>$R$2&amp;"."&amp;'Конфигурация TREI'!$A$2&amp;"_1.DIAG_17"</f>
        <v>Диагностика.TREI.CPU_1.DIAG_17</v>
      </c>
      <c r="B1810" s="11">
        <v>7998</v>
      </c>
      <c r="C1810" s="11" t="s">
        <v>6</v>
      </c>
      <c r="D1810" s="20">
        <v>1</v>
      </c>
    </row>
    <row r="1811" spans="1:4">
      <c r="A1811" s="19" t="str">
        <f>$R$2&amp;"."&amp;'Конфигурация TREI'!$A$2&amp;"_1.DIAG_17"</f>
        <v>Диагностика.TREI.CPU_1.DIAG_17</v>
      </c>
      <c r="B1811" s="11">
        <v>101</v>
      </c>
      <c r="C1811" s="11" t="s">
        <v>0</v>
      </c>
      <c r="D1811" s="20" t="s">
        <v>810</v>
      </c>
    </row>
    <row r="1812" spans="1:4">
      <c r="A1812" s="19" t="str">
        <f>$R$2&amp;"."&amp;'Конфигурация TREI'!$A$2&amp;"_1.DIAG_17"</f>
        <v>Диагностика.TREI.CPU_1.DIAG_17</v>
      </c>
      <c r="B1812" s="11">
        <v>3</v>
      </c>
      <c r="C1812" s="11" t="s">
        <v>1</v>
      </c>
      <c r="D1812" s="20">
        <v>192</v>
      </c>
    </row>
    <row r="1813" spans="1:4">
      <c r="A1813" s="19" t="str">
        <f>$R$2&amp;"."&amp;'Конфигурация TREI'!$A$2&amp;"_1.DIAG_17"</f>
        <v>Диагностика.TREI.CPU_1.DIAG_17</v>
      </c>
      <c r="B1813" s="11">
        <v>2</v>
      </c>
      <c r="C1813" s="11" t="s">
        <v>2</v>
      </c>
      <c r="D1813" s="20" t="s">
        <v>3</v>
      </c>
    </row>
    <row r="1814" spans="1:4">
      <c r="A1814" s="21" t="str">
        <f>$R$2&amp;"."&amp;'Конфигурация TREI'!$A$2&amp;"_1.DIAG_17"</f>
        <v>Диагностика.TREI.CPU_1.DIAG_17</v>
      </c>
      <c r="B1814" s="8">
        <v>1</v>
      </c>
      <c r="C1814" s="8" t="s">
        <v>1</v>
      </c>
      <c r="D1814" s="22">
        <v>11</v>
      </c>
    </row>
    <row r="1815" spans="1:4">
      <c r="A1815" s="159" t="str">
        <f>$R$2&amp;"."&amp;'Конфигурация TREI'!$A$2&amp;"_1.DIAG_19"</f>
        <v>Диагностика.TREI.CPU_1.DIAG_19</v>
      </c>
      <c r="B1815" s="160">
        <v>11154</v>
      </c>
      <c r="C1815" s="160" t="s">
        <v>4</v>
      </c>
      <c r="D1815" s="161">
        <f>$Q$8</f>
        <v>18</v>
      </c>
    </row>
    <row r="1816" spans="1:4">
      <c r="A1816" s="100" t="str">
        <f>$R$2&amp;"."&amp;'Конфигурация TREI'!$A$2&amp;"_1.DIAG_19"</f>
        <v>Диагностика.TREI.CPU_1.DIAG_19</v>
      </c>
      <c r="B1816" s="101">
        <v>11152</v>
      </c>
      <c r="C1816" s="101" t="s">
        <v>0</v>
      </c>
      <c r="D1816" s="104" t="str">
        <f>$R$8</f>
        <v>Телесигнализация</v>
      </c>
    </row>
    <row r="1817" spans="1:4">
      <c r="A1817" s="100" t="str">
        <f>$R$2&amp;"."&amp;'Конфигурация TREI'!$A$2&amp;"_1.DIAG_19"</f>
        <v>Диагностика.TREI.CPU_1.DIAG_19</v>
      </c>
      <c r="B1817" s="101">
        <v>11150</v>
      </c>
      <c r="C1817" s="101" t="s">
        <v>0</v>
      </c>
      <c r="D1817" s="103" t="s">
        <v>811</v>
      </c>
    </row>
    <row r="1818" spans="1:4">
      <c r="A1818" s="100" t="str">
        <f>$R$2&amp;"."&amp;'Конфигурация TREI'!$A$2&amp;"_1.DIAG_19"</f>
        <v>Диагностика.TREI.CPU_1.DIAG_19</v>
      </c>
      <c r="B1818" s="101">
        <v>11000</v>
      </c>
      <c r="C1818" s="101" t="s">
        <v>5</v>
      </c>
      <c r="D1818" s="103">
        <v>2147483680</v>
      </c>
    </row>
    <row r="1819" spans="1:4">
      <c r="A1819" s="19" t="str">
        <f>$R$2&amp;"."&amp;'Конфигурация TREI'!$A$2&amp;"_1.DIAG_19"</f>
        <v>Диагностика.TREI.CPU_1.DIAG_19</v>
      </c>
      <c r="B1819" s="11">
        <v>7999</v>
      </c>
      <c r="C1819" s="11" t="s">
        <v>0</v>
      </c>
      <c r="D1819" s="20" t="str">
        <f>"#"&amp;$S$2&amp;"#"&amp;$T$2&amp;IF($S$7="","","\")&amp;$S$7&amp;"\"&amp;'Конфигурация TREI'!$A$2&amp;"_1\DIAG_19"</f>
        <v>#2#treiOPCDA.CoOPCserv.1\pcmaster\CPU_1\DIAG_19</v>
      </c>
    </row>
    <row r="1820" spans="1:4">
      <c r="A1820" s="19" t="str">
        <f>$R$2&amp;"."&amp;'Конфигурация TREI'!$A$2&amp;"_1.DIAG_19"</f>
        <v>Диагностика.TREI.CPU_1.DIAG_19</v>
      </c>
      <c r="B1820" s="11">
        <v>7998</v>
      </c>
      <c r="C1820" s="11" t="s">
        <v>6</v>
      </c>
      <c r="D1820" s="20">
        <v>1</v>
      </c>
    </row>
    <row r="1821" spans="1:4">
      <c r="A1821" s="19" t="str">
        <f>$R$2&amp;"."&amp;'Конфигурация TREI'!$A$2&amp;"_1.DIAG_19"</f>
        <v>Диагностика.TREI.CPU_1.DIAG_19</v>
      </c>
      <c r="B1821" s="11">
        <v>101</v>
      </c>
      <c r="C1821" s="11" t="s">
        <v>0</v>
      </c>
      <c r="D1821" s="20" t="s">
        <v>811</v>
      </c>
    </row>
    <row r="1822" spans="1:4">
      <c r="A1822" s="19" t="str">
        <f>$R$2&amp;"."&amp;'Конфигурация TREI'!$A$2&amp;"_1.DIAG_19"</f>
        <v>Диагностика.TREI.CPU_1.DIAG_19</v>
      </c>
      <c r="B1822" s="11">
        <v>3</v>
      </c>
      <c r="C1822" s="11" t="s">
        <v>1</v>
      </c>
      <c r="D1822" s="20">
        <v>192</v>
      </c>
    </row>
    <row r="1823" spans="1:4">
      <c r="A1823" s="19" t="str">
        <f>$R$2&amp;"."&amp;'Конфигурация TREI'!$A$2&amp;"_1.DIAG_19"</f>
        <v>Диагностика.TREI.CPU_1.DIAG_19</v>
      </c>
      <c r="B1823" s="11">
        <v>2</v>
      </c>
      <c r="C1823" s="11" t="s">
        <v>2</v>
      </c>
      <c r="D1823" s="20" t="s">
        <v>3</v>
      </c>
    </row>
    <row r="1824" spans="1:4">
      <c r="A1824" s="21" t="str">
        <f>$R$2&amp;"."&amp;'Конфигурация TREI'!$A$2&amp;"_1.DIAG_19"</f>
        <v>Диагностика.TREI.CPU_1.DIAG_19</v>
      </c>
      <c r="B1824" s="8">
        <v>1</v>
      </c>
      <c r="C1824" s="8" t="s">
        <v>1</v>
      </c>
      <c r="D1824" s="22">
        <v>11</v>
      </c>
    </row>
    <row r="1825" spans="1:4">
      <c r="A1825" s="159" t="str">
        <f>$R$2&amp;"."&amp;'Конфигурация TREI'!$A$2&amp;"_1.DIAG_21"</f>
        <v>Диагностика.TREI.CPU_1.DIAG_21</v>
      </c>
      <c r="B1825" s="160">
        <v>11154</v>
      </c>
      <c r="C1825" s="160" t="s">
        <v>4</v>
      </c>
      <c r="D1825" s="161">
        <f>$Q$8</f>
        <v>18</v>
      </c>
    </row>
    <row r="1826" spans="1:4">
      <c r="A1826" s="100" t="str">
        <f>$R$2&amp;"."&amp;'Конфигурация TREI'!$A$2&amp;"_1.DIAG_21"</f>
        <v>Диагностика.TREI.CPU_1.DIAG_21</v>
      </c>
      <c r="B1826" s="101">
        <v>11152</v>
      </c>
      <c r="C1826" s="101" t="s">
        <v>0</v>
      </c>
      <c r="D1826" s="104" t="str">
        <f>$R$8</f>
        <v>Телесигнализация</v>
      </c>
    </row>
    <row r="1827" spans="1:4">
      <c r="A1827" s="100" t="str">
        <f>$R$2&amp;"."&amp;'Конфигурация TREI'!$A$2&amp;"_1.DIAG_21"</f>
        <v>Диагностика.TREI.CPU_1.DIAG_21</v>
      </c>
      <c r="B1827" s="101">
        <v>11150</v>
      </c>
      <c r="C1827" s="101" t="s">
        <v>0</v>
      </c>
      <c r="D1827" s="103" t="s">
        <v>1405</v>
      </c>
    </row>
    <row r="1828" spans="1:4">
      <c r="A1828" s="100" t="str">
        <f>$R$2&amp;"."&amp;'Конфигурация TREI'!$A$2&amp;"_1.DIAG_21"</f>
        <v>Диагностика.TREI.CPU_1.DIAG_21</v>
      </c>
      <c r="B1828" s="101">
        <v>11000</v>
      </c>
      <c r="C1828" s="101" t="s">
        <v>5</v>
      </c>
      <c r="D1828" s="103">
        <v>2147483680</v>
      </c>
    </row>
    <row r="1829" spans="1:4">
      <c r="A1829" s="19" t="str">
        <f>$R$2&amp;"."&amp;'Конфигурация TREI'!$A$2&amp;"_1.DIAG_21"</f>
        <v>Диагностика.TREI.CPU_1.DIAG_21</v>
      </c>
      <c r="B1829" s="11">
        <v>7999</v>
      </c>
      <c r="C1829" s="11" t="s">
        <v>0</v>
      </c>
      <c r="D1829" s="20" t="str">
        <f>"#"&amp;$S$2&amp;"#"&amp;$T$2&amp;IF($S$7="","","\")&amp;$S$7&amp;"\"&amp;'Конфигурация TREI'!$A$2&amp;"_1\DIAG_21"</f>
        <v>#2#treiOPCDA.CoOPCserv.1\pcmaster\CPU_1\DIAG_21</v>
      </c>
    </row>
    <row r="1830" spans="1:4">
      <c r="A1830" s="19" t="str">
        <f>$R$2&amp;"."&amp;'Конфигурация TREI'!$A$2&amp;"_1.DIAG_21"</f>
        <v>Диагностика.TREI.CPU_1.DIAG_21</v>
      </c>
      <c r="B1830" s="11">
        <v>7998</v>
      </c>
      <c r="C1830" s="11" t="s">
        <v>6</v>
      </c>
      <c r="D1830" s="20">
        <v>1</v>
      </c>
    </row>
    <row r="1831" spans="1:4">
      <c r="A1831" s="19" t="str">
        <f>$R$2&amp;"."&amp;'Конфигурация TREI'!$A$2&amp;"_1.DIAG_21"</f>
        <v>Диагностика.TREI.CPU_1.DIAG_21</v>
      </c>
      <c r="B1831" s="11">
        <v>101</v>
      </c>
      <c r="C1831" s="11" t="s">
        <v>0</v>
      </c>
      <c r="D1831" s="20" t="s">
        <v>1405</v>
      </c>
    </row>
    <row r="1832" spans="1:4">
      <c r="A1832" s="19" t="str">
        <f>$R$2&amp;"."&amp;'Конфигурация TREI'!$A$2&amp;"_1.DIAG_21"</f>
        <v>Диагностика.TREI.CPU_1.DIAG_21</v>
      </c>
      <c r="B1832" s="11">
        <v>3</v>
      </c>
      <c r="C1832" s="11" t="s">
        <v>1</v>
      </c>
      <c r="D1832" s="20">
        <v>192</v>
      </c>
    </row>
    <row r="1833" spans="1:4">
      <c r="A1833" s="19" t="str">
        <f>$R$2&amp;"."&amp;'Конфигурация TREI'!$A$2&amp;"_1.DIAG_21"</f>
        <v>Диагностика.TREI.CPU_1.DIAG_21</v>
      </c>
      <c r="B1833" s="11">
        <v>2</v>
      </c>
      <c r="C1833" s="11" t="s">
        <v>2</v>
      </c>
      <c r="D1833" s="20" t="s">
        <v>3</v>
      </c>
    </row>
    <row r="1834" spans="1:4">
      <c r="A1834" s="21" t="str">
        <f>$R$2&amp;"."&amp;'Конфигурация TREI'!$A$2&amp;"_1.DIAG_21"</f>
        <v>Диагностика.TREI.CPU_1.DIAG_21</v>
      </c>
      <c r="B1834" s="8">
        <v>1</v>
      </c>
      <c r="C1834" s="8" t="s">
        <v>1</v>
      </c>
      <c r="D1834" s="22">
        <v>11</v>
      </c>
    </row>
    <row r="1835" spans="1:4">
      <c r="A1835" s="159" t="str">
        <f>$R$2&amp;"."&amp;'Конфигурация TREI'!$A$2&amp;"_1.DIAG_22"</f>
        <v>Диагностика.TREI.CPU_1.DIAG_22</v>
      </c>
      <c r="B1835" s="160">
        <v>11154</v>
      </c>
      <c r="C1835" s="160" t="s">
        <v>4</v>
      </c>
      <c r="D1835" s="161">
        <f>$Q$8</f>
        <v>18</v>
      </c>
    </row>
    <row r="1836" spans="1:4">
      <c r="A1836" s="100" t="str">
        <f>$R$2&amp;"."&amp;'Конфигурация TREI'!$A$2&amp;"_1.DIAG_22"</f>
        <v>Диагностика.TREI.CPU_1.DIAG_22</v>
      </c>
      <c r="B1836" s="101">
        <v>11152</v>
      </c>
      <c r="C1836" s="101" t="s">
        <v>0</v>
      </c>
      <c r="D1836" s="104" t="str">
        <f>$R$8</f>
        <v>Телесигнализация</v>
      </c>
    </row>
    <row r="1837" spans="1:4">
      <c r="A1837" s="100" t="str">
        <f>$R$2&amp;"."&amp;'Конфигурация TREI'!$A$2&amp;"_1.DIAG_22"</f>
        <v>Диагностика.TREI.CPU_1.DIAG_22</v>
      </c>
      <c r="B1837" s="101">
        <v>11150</v>
      </c>
      <c r="C1837" s="101" t="s">
        <v>0</v>
      </c>
      <c r="D1837" s="103" t="s">
        <v>812</v>
      </c>
    </row>
    <row r="1838" spans="1:4">
      <c r="A1838" s="100" t="str">
        <f>$R$2&amp;"."&amp;'Конфигурация TREI'!$A$2&amp;"_1.DIAG_22"</f>
        <v>Диагностика.TREI.CPU_1.DIAG_22</v>
      </c>
      <c r="B1838" s="101">
        <v>11000</v>
      </c>
      <c r="C1838" s="101" t="s">
        <v>5</v>
      </c>
      <c r="D1838" s="103">
        <v>2147483680</v>
      </c>
    </row>
    <row r="1839" spans="1:4">
      <c r="A1839" s="19" t="str">
        <f>$R$2&amp;"."&amp;'Конфигурация TREI'!$A$2&amp;"_1.DIAG_22"</f>
        <v>Диагностика.TREI.CPU_1.DIAG_22</v>
      </c>
      <c r="B1839" s="11">
        <v>7999</v>
      </c>
      <c r="C1839" s="11" t="s">
        <v>0</v>
      </c>
      <c r="D1839" s="20" t="str">
        <f>"#"&amp;$S$2&amp;"#"&amp;$T$2&amp;IF($S$7="","","\")&amp;$S$7&amp;"\"&amp;'Конфигурация TREI'!$A$2&amp;"_1\DIAG_22"</f>
        <v>#2#treiOPCDA.CoOPCserv.1\pcmaster\CPU_1\DIAG_22</v>
      </c>
    </row>
    <row r="1840" spans="1:4">
      <c r="A1840" s="19" t="str">
        <f>$R$2&amp;"."&amp;'Конфигурация TREI'!$A$2&amp;"_1.DIAG_22"</f>
        <v>Диагностика.TREI.CPU_1.DIAG_22</v>
      </c>
      <c r="B1840" s="11">
        <v>7998</v>
      </c>
      <c r="C1840" s="11" t="s">
        <v>6</v>
      </c>
      <c r="D1840" s="20">
        <v>1</v>
      </c>
    </row>
    <row r="1841" spans="1:4">
      <c r="A1841" s="19" t="str">
        <f>$R$2&amp;"."&amp;'Конфигурация TREI'!$A$2&amp;"_1.DIAG_22"</f>
        <v>Диагностика.TREI.CPU_1.DIAG_22</v>
      </c>
      <c r="B1841" s="11">
        <v>101</v>
      </c>
      <c r="C1841" s="11" t="s">
        <v>0</v>
      </c>
      <c r="D1841" s="20" t="s">
        <v>812</v>
      </c>
    </row>
    <row r="1842" spans="1:4">
      <c r="A1842" s="19" t="str">
        <f>$R$2&amp;"."&amp;'Конфигурация TREI'!$A$2&amp;"_1.DIAG_22"</f>
        <v>Диагностика.TREI.CPU_1.DIAG_22</v>
      </c>
      <c r="B1842" s="11">
        <v>3</v>
      </c>
      <c r="C1842" s="11" t="s">
        <v>1</v>
      </c>
      <c r="D1842" s="20">
        <v>192</v>
      </c>
    </row>
    <row r="1843" spans="1:4">
      <c r="A1843" s="19" t="str">
        <f>$R$2&amp;"."&amp;'Конфигурация TREI'!$A$2&amp;"_1.DIAG_22"</f>
        <v>Диагностика.TREI.CPU_1.DIAG_22</v>
      </c>
      <c r="B1843" s="11">
        <v>2</v>
      </c>
      <c r="C1843" s="11" t="s">
        <v>2</v>
      </c>
      <c r="D1843" s="20" t="s">
        <v>3</v>
      </c>
    </row>
    <row r="1844" spans="1:4">
      <c r="A1844" s="21" t="str">
        <f>$R$2&amp;"."&amp;'Конфигурация TREI'!$A$2&amp;"_1.DIAG_22"</f>
        <v>Диагностика.TREI.CPU_1.DIAG_22</v>
      </c>
      <c r="B1844" s="8">
        <v>1</v>
      </c>
      <c r="C1844" s="8" t="s">
        <v>1</v>
      </c>
      <c r="D1844" s="22">
        <v>11</v>
      </c>
    </row>
    <row r="1845" spans="1:4">
      <c r="A1845" s="69" t="str">
        <f>$R$2&amp;"."&amp;'Конфигурация TREI'!$A$2&amp;"_1.DIAG_24"</f>
        <v>Диагностика.TREI.CPU_1.DIAG_24</v>
      </c>
      <c r="B1845" s="70">
        <v>11154</v>
      </c>
      <c r="C1845" s="70" t="s">
        <v>4</v>
      </c>
      <c r="D1845" s="144">
        <f>$Q$6</f>
        <v>8</v>
      </c>
    </row>
    <row r="1846" spans="1:4">
      <c r="A1846" s="63" t="str">
        <f>$R$2&amp;"."&amp;'Конфигурация TREI'!$A$2&amp;"_1.DIAG_24"</f>
        <v>Диагностика.TREI.CPU_1.DIAG_24</v>
      </c>
      <c r="B1846" s="64">
        <v>11152</v>
      </c>
      <c r="C1846" s="64" t="s">
        <v>0</v>
      </c>
      <c r="D1846" s="129" t="str">
        <f>$R$6</f>
        <v>Предупреждение</v>
      </c>
    </row>
    <row r="1847" spans="1:4">
      <c r="A1847" s="63" t="str">
        <f>$R$2&amp;"."&amp;'Конфигурация TREI'!$A$2&amp;"_1.DIAG_24"</f>
        <v>Диагностика.TREI.CPU_1.DIAG_24</v>
      </c>
      <c r="B1847" s="64">
        <v>11150</v>
      </c>
      <c r="C1847" s="64" t="s">
        <v>0</v>
      </c>
      <c r="D1847" s="65" t="s">
        <v>813</v>
      </c>
    </row>
    <row r="1848" spans="1:4">
      <c r="A1848" s="63" t="str">
        <f>$R$2&amp;"."&amp;'Конфигурация TREI'!$A$2&amp;"_1.DIAG_24"</f>
        <v>Диагностика.TREI.CPU_1.DIAG_24</v>
      </c>
      <c r="B1848" s="64">
        <v>11000</v>
      </c>
      <c r="C1848" s="64" t="s">
        <v>5</v>
      </c>
      <c r="D1848" s="65">
        <v>2147483680</v>
      </c>
    </row>
    <row r="1849" spans="1:4">
      <c r="A1849" s="19" t="str">
        <f>$R$2&amp;"."&amp;'Конфигурация TREI'!$A$2&amp;"_1.DIAG_24"</f>
        <v>Диагностика.TREI.CPU_1.DIAG_24</v>
      </c>
      <c r="B1849" s="11">
        <v>7999</v>
      </c>
      <c r="C1849" s="11" t="s">
        <v>0</v>
      </c>
      <c r="D1849" s="20" t="str">
        <f>"#"&amp;$S$2&amp;"#"&amp;$T$2&amp;IF($S$7="","","\")&amp;$S$7&amp;"\"&amp;'Конфигурация TREI'!$A$2&amp;"_1\DIAG_24"</f>
        <v>#2#treiOPCDA.CoOPCserv.1\pcmaster\CPU_1\DIAG_24</v>
      </c>
    </row>
    <row r="1850" spans="1:4">
      <c r="A1850" s="19" t="str">
        <f>$R$2&amp;"."&amp;'Конфигурация TREI'!$A$2&amp;"_1.DIAG_24"</f>
        <v>Диагностика.TREI.CPU_1.DIAG_24</v>
      </c>
      <c r="B1850" s="11">
        <v>7998</v>
      </c>
      <c r="C1850" s="11" t="s">
        <v>6</v>
      </c>
      <c r="D1850" s="20">
        <v>1</v>
      </c>
    </row>
    <row r="1851" spans="1:4">
      <c r="A1851" s="19" t="str">
        <f>$R$2&amp;"."&amp;'Конфигурация TREI'!$A$2&amp;"_1.DIAG_24"</f>
        <v>Диагностика.TREI.CPU_1.DIAG_24</v>
      </c>
      <c r="B1851" s="11">
        <v>101</v>
      </c>
      <c r="C1851" s="11" t="s">
        <v>0</v>
      </c>
      <c r="D1851" s="20" t="s">
        <v>813</v>
      </c>
    </row>
    <row r="1852" spans="1:4">
      <c r="A1852" s="19" t="str">
        <f>$R$2&amp;"."&amp;'Конфигурация TREI'!$A$2&amp;"_1.DIAG_24"</f>
        <v>Диагностика.TREI.CPU_1.DIAG_24</v>
      </c>
      <c r="B1852" s="11">
        <v>3</v>
      </c>
      <c r="C1852" s="11" t="s">
        <v>1</v>
      </c>
      <c r="D1852" s="20">
        <v>192</v>
      </c>
    </row>
    <row r="1853" spans="1:4">
      <c r="A1853" s="19" t="str">
        <f>$R$2&amp;"."&amp;'Конфигурация TREI'!$A$2&amp;"_1.DIAG_24"</f>
        <v>Диагностика.TREI.CPU_1.DIAG_24</v>
      </c>
      <c r="B1853" s="11">
        <v>2</v>
      </c>
      <c r="C1853" s="11" t="s">
        <v>2</v>
      </c>
      <c r="D1853" s="20" t="s">
        <v>3</v>
      </c>
    </row>
    <row r="1854" spans="1:4">
      <c r="A1854" s="21" t="str">
        <f>$R$2&amp;"."&amp;'Конфигурация TREI'!$A$2&amp;"_1.DIAG_24"</f>
        <v>Диагностика.TREI.CPU_1.DIAG_24</v>
      </c>
      <c r="B1854" s="8">
        <v>1</v>
      </c>
      <c r="C1854" s="8" t="s">
        <v>1</v>
      </c>
      <c r="D1854" s="22">
        <v>11</v>
      </c>
    </row>
    <row r="1855" spans="1:4">
      <c r="A1855" s="69" t="str">
        <f>$R$2&amp;"."&amp;'Конфигурация TREI'!$A$2&amp;"_1.DIAG_25"</f>
        <v>Диагностика.TREI.CPU_1.DIAG_25</v>
      </c>
      <c r="B1855" s="70">
        <v>11154</v>
      </c>
      <c r="C1855" s="70" t="s">
        <v>4</v>
      </c>
      <c r="D1855" s="144">
        <f>$Q$6</f>
        <v>8</v>
      </c>
    </row>
    <row r="1856" spans="1:4">
      <c r="A1856" s="63" t="str">
        <f>$R$2&amp;"."&amp;'Конфигурация TREI'!$A$2&amp;"_1.DIAG_25"</f>
        <v>Диагностика.TREI.CPU_1.DIAG_25</v>
      </c>
      <c r="B1856" s="64">
        <v>11152</v>
      </c>
      <c r="C1856" s="64" t="s">
        <v>0</v>
      </c>
      <c r="D1856" s="129" t="str">
        <f>$R$6</f>
        <v>Предупреждение</v>
      </c>
    </row>
    <row r="1857" spans="1:4">
      <c r="A1857" s="63" t="str">
        <f>$R$2&amp;"."&amp;'Конфигурация TREI'!$A$2&amp;"_1.DIAG_25"</f>
        <v>Диагностика.TREI.CPU_1.DIAG_25</v>
      </c>
      <c r="B1857" s="64">
        <v>11150</v>
      </c>
      <c r="C1857" s="64" t="s">
        <v>0</v>
      </c>
      <c r="D1857" s="65" t="s">
        <v>814</v>
      </c>
    </row>
    <row r="1858" spans="1:4">
      <c r="A1858" s="63" t="str">
        <f>$R$2&amp;"."&amp;'Конфигурация TREI'!$A$2&amp;"_1.DIAG_25"</f>
        <v>Диагностика.TREI.CPU_1.DIAG_25</v>
      </c>
      <c r="B1858" s="64">
        <v>11000</v>
      </c>
      <c r="C1858" s="64" t="s">
        <v>5</v>
      </c>
      <c r="D1858" s="65">
        <v>2147483680</v>
      </c>
    </row>
    <row r="1859" spans="1:4">
      <c r="A1859" s="19" t="str">
        <f>$R$2&amp;"."&amp;'Конфигурация TREI'!$A$2&amp;"_1.DIAG_25"</f>
        <v>Диагностика.TREI.CPU_1.DIAG_25</v>
      </c>
      <c r="B1859" s="11">
        <v>7999</v>
      </c>
      <c r="C1859" s="11" t="s">
        <v>0</v>
      </c>
      <c r="D1859" s="20" t="str">
        <f>"#"&amp;$S$2&amp;"#"&amp;$T$2&amp;IF($S$7="","","\")&amp;$S$7&amp;"\"&amp;'Конфигурация TREI'!$A$2&amp;"_1\DIAG_25"</f>
        <v>#2#treiOPCDA.CoOPCserv.1\pcmaster\CPU_1\DIAG_25</v>
      </c>
    </row>
    <row r="1860" spans="1:4">
      <c r="A1860" s="19" t="str">
        <f>$R$2&amp;"."&amp;'Конфигурация TREI'!$A$2&amp;"_1.DIAG_25"</f>
        <v>Диагностика.TREI.CPU_1.DIAG_25</v>
      </c>
      <c r="B1860" s="11">
        <v>7998</v>
      </c>
      <c r="C1860" s="11" t="s">
        <v>6</v>
      </c>
      <c r="D1860" s="20">
        <v>1</v>
      </c>
    </row>
    <row r="1861" spans="1:4">
      <c r="A1861" s="19" t="str">
        <f>$R$2&amp;"."&amp;'Конфигурация TREI'!$A$2&amp;"_1.DIAG_25"</f>
        <v>Диагностика.TREI.CPU_1.DIAG_25</v>
      </c>
      <c r="B1861" s="11">
        <v>101</v>
      </c>
      <c r="C1861" s="11" t="s">
        <v>0</v>
      </c>
      <c r="D1861" s="20" t="s">
        <v>814</v>
      </c>
    </row>
    <row r="1862" spans="1:4">
      <c r="A1862" s="19" t="str">
        <f>$R$2&amp;"."&amp;'Конфигурация TREI'!$A$2&amp;"_1.DIAG_25"</f>
        <v>Диагностика.TREI.CPU_1.DIAG_25</v>
      </c>
      <c r="B1862" s="11">
        <v>3</v>
      </c>
      <c r="C1862" s="11" t="s">
        <v>1</v>
      </c>
      <c r="D1862" s="20">
        <v>192</v>
      </c>
    </row>
    <row r="1863" spans="1:4">
      <c r="A1863" s="19" t="str">
        <f>$R$2&amp;"."&amp;'Конфигурация TREI'!$A$2&amp;"_1.DIAG_25"</f>
        <v>Диагностика.TREI.CPU_1.DIAG_25</v>
      </c>
      <c r="B1863" s="11">
        <v>2</v>
      </c>
      <c r="C1863" s="11" t="s">
        <v>2</v>
      </c>
      <c r="D1863" s="20" t="s">
        <v>3</v>
      </c>
    </row>
    <row r="1864" spans="1:4">
      <c r="A1864" s="21" t="str">
        <f>$R$2&amp;"."&amp;'Конфигурация TREI'!$A$2&amp;"_1.DIAG_25"</f>
        <v>Диагностика.TREI.CPU_1.DIAG_25</v>
      </c>
      <c r="B1864" s="8">
        <v>1</v>
      </c>
      <c r="C1864" s="8" t="s">
        <v>1</v>
      </c>
      <c r="D1864" s="22">
        <v>11</v>
      </c>
    </row>
    <row r="1865" spans="1:4">
      <c r="A1865" s="159" t="str">
        <f>$R$2&amp;"."&amp;'Конфигурация TREI'!$A$2&amp;"_1.DIAG_26"</f>
        <v>Диагностика.TREI.CPU_1.DIAG_26</v>
      </c>
      <c r="B1865" s="160">
        <v>11154</v>
      </c>
      <c r="C1865" s="160" t="s">
        <v>4</v>
      </c>
      <c r="D1865" s="161">
        <f>$Q$8</f>
        <v>18</v>
      </c>
    </row>
    <row r="1866" spans="1:4">
      <c r="A1866" s="100" t="str">
        <f>$R$2&amp;"."&amp;'Конфигурация TREI'!$A$2&amp;"_1.DIAG_26"</f>
        <v>Диагностика.TREI.CPU_1.DIAG_26</v>
      </c>
      <c r="B1866" s="101">
        <v>11152</v>
      </c>
      <c r="C1866" s="101" t="s">
        <v>0</v>
      </c>
      <c r="D1866" s="104" t="str">
        <f>$R$8</f>
        <v>Телесигнализация</v>
      </c>
    </row>
    <row r="1867" spans="1:4">
      <c r="A1867" s="100" t="str">
        <f>$R$2&amp;"."&amp;'Конфигурация TREI'!$A$2&amp;"_1.DIAG_26"</f>
        <v>Диагностика.TREI.CPU_1.DIAG_26</v>
      </c>
      <c r="B1867" s="101">
        <v>11150</v>
      </c>
      <c r="C1867" s="101" t="s">
        <v>0</v>
      </c>
      <c r="D1867" s="103" t="s">
        <v>1406</v>
      </c>
    </row>
    <row r="1868" spans="1:4">
      <c r="A1868" s="100" t="str">
        <f>$R$2&amp;"."&amp;'Конфигурация TREI'!$A$2&amp;"_1.DIAG_26"</f>
        <v>Диагностика.TREI.CPU_1.DIAG_26</v>
      </c>
      <c r="B1868" s="101">
        <v>11000</v>
      </c>
      <c r="C1868" s="101" t="s">
        <v>5</v>
      </c>
      <c r="D1868" s="103">
        <v>2147483680</v>
      </c>
    </row>
    <row r="1869" spans="1:4">
      <c r="A1869" s="19" t="str">
        <f>$R$2&amp;"."&amp;'Конфигурация TREI'!$A$2&amp;"_1.DIAG_26"</f>
        <v>Диагностика.TREI.CPU_1.DIAG_26</v>
      </c>
      <c r="B1869" s="11">
        <v>7999</v>
      </c>
      <c r="C1869" s="11" t="s">
        <v>0</v>
      </c>
      <c r="D1869" s="20" t="str">
        <f>"#"&amp;$S$2&amp;"#"&amp;$T$2&amp;IF($S$7="","","\")&amp;$S$7&amp;"\"&amp;'Конфигурация TREI'!$A$2&amp;"_1\DIAG_26"</f>
        <v>#2#treiOPCDA.CoOPCserv.1\pcmaster\CPU_1\DIAG_26</v>
      </c>
    </row>
    <row r="1870" spans="1:4">
      <c r="A1870" s="19" t="str">
        <f>$R$2&amp;"."&amp;'Конфигурация TREI'!$A$2&amp;"_1.DIAG_26"</f>
        <v>Диагностика.TREI.CPU_1.DIAG_26</v>
      </c>
      <c r="B1870" s="11">
        <v>7998</v>
      </c>
      <c r="C1870" s="11" t="s">
        <v>6</v>
      </c>
      <c r="D1870" s="20">
        <v>1</v>
      </c>
    </row>
    <row r="1871" spans="1:4">
      <c r="A1871" s="19" t="str">
        <f>$R$2&amp;"."&amp;'Конфигурация TREI'!$A$2&amp;"_1.DIAG_26"</f>
        <v>Диагностика.TREI.CPU_1.DIAG_26</v>
      </c>
      <c r="B1871" s="11">
        <v>101</v>
      </c>
      <c r="C1871" s="11" t="s">
        <v>0</v>
      </c>
      <c r="D1871" s="20" t="s">
        <v>1406</v>
      </c>
    </row>
    <row r="1872" spans="1:4">
      <c r="A1872" s="19" t="str">
        <f>$R$2&amp;"."&amp;'Конфигурация TREI'!$A$2&amp;"_1.DIAG_26"</f>
        <v>Диагностика.TREI.CPU_1.DIAG_26</v>
      </c>
      <c r="B1872" s="11">
        <v>3</v>
      </c>
      <c r="C1872" s="11" t="s">
        <v>1</v>
      </c>
      <c r="D1872" s="20">
        <v>192</v>
      </c>
    </row>
    <row r="1873" spans="1:4">
      <c r="A1873" s="19" t="str">
        <f>$R$2&amp;"."&amp;'Конфигурация TREI'!$A$2&amp;"_1.DIAG_26"</f>
        <v>Диагностика.TREI.CPU_1.DIAG_26</v>
      </c>
      <c r="B1873" s="11">
        <v>2</v>
      </c>
      <c r="C1873" s="11" t="s">
        <v>2</v>
      </c>
      <c r="D1873" s="20" t="s">
        <v>3</v>
      </c>
    </row>
    <row r="1874" spans="1:4">
      <c r="A1874" s="21" t="str">
        <f>$R$2&amp;"."&amp;'Конфигурация TREI'!$A$2&amp;"_1.DIAG_26"</f>
        <v>Диагностика.TREI.CPU_1.DIAG_26</v>
      </c>
      <c r="B1874" s="8">
        <v>1</v>
      </c>
      <c r="C1874" s="8" t="s">
        <v>1</v>
      </c>
      <c r="D1874" s="22">
        <v>11</v>
      </c>
    </row>
    <row r="1875" spans="1:4">
      <c r="A1875" s="159" t="str">
        <f>$R$2&amp;"."&amp;'Конфигурация TREI'!$A$2&amp;"_1.DIAG_29"</f>
        <v>Диагностика.TREI.CPU_1.DIAG_29</v>
      </c>
      <c r="B1875" s="160">
        <v>11154</v>
      </c>
      <c r="C1875" s="160" t="s">
        <v>4</v>
      </c>
      <c r="D1875" s="161">
        <f>$Q$8</f>
        <v>18</v>
      </c>
    </row>
    <row r="1876" spans="1:4">
      <c r="A1876" s="100" t="str">
        <f>$R$2&amp;"."&amp;'Конфигурация TREI'!$A$2&amp;"_1.DIAG_29"</f>
        <v>Диагностика.TREI.CPU_1.DIAG_29</v>
      </c>
      <c r="B1876" s="101">
        <v>11152</v>
      </c>
      <c r="C1876" s="101" t="s">
        <v>0</v>
      </c>
      <c r="D1876" s="104" t="str">
        <f>$R$8</f>
        <v>Телесигнализация</v>
      </c>
    </row>
    <row r="1877" spans="1:4">
      <c r="A1877" s="100" t="str">
        <f>$R$2&amp;"."&amp;'Конфигурация TREI'!$A$2&amp;"_1.DIAG_29"</f>
        <v>Диагностика.TREI.CPU_1.DIAG_29</v>
      </c>
      <c r="B1877" s="101">
        <v>11150</v>
      </c>
      <c r="C1877" s="101" t="s">
        <v>0</v>
      </c>
      <c r="D1877" s="103" t="s">
        <v>1407</v>
      </c>
    </row>
    <row r="1878" spans="1:4">
      <c r="A1878" s="100" t="str">
        <f>$R$2&amp;"."&amp;'Конфигурация TREI'!$A$2&amp;"_1.DIAG_29"</f>
        <v>Диагностика.TREI.CPU_1.DIAG_29</v>
      </c>
      <c r="B1878" s="101">
        <v>11000</v>
      </c>
      <c r="C1878" s="101" t="s">
        <v>5</v>
      </c>
      <c r="D1878" s="103">
        <v>2147483680</v>
      </c>
    </row>
    <row r="1879" spans="1:4">
      <c r="A1879" s="19" t="str">
        <f>$R$2&amp;"."&amp;'Конфигурация TREI'!$A$2&amp;"_1.DIAG_29"</f>
        <v>Диагностика.TREI.CPU_1.DIAG_29</v>
      </c>
      <c r="B1879" s="11">
        <v>7999</v>
      </c>
      <c r="C1879" s="11" t="s">
        <v>0</v>
      </c>
      <c r="D1879" s="20" t="str">
        <f>"#"&amp;$S$2&amp;"#"&amp;$T$2&amp;IF($S$7="","","\")&amp;$S$7&amp;"\"&amp;'Конфигурация TREI'!$A$2&amp;"_1\DIAG_29"</f>
        <v>#2#treiOPCDA.CoOPCserv.1\pcmaster\CPU_1\DIAG_29</v>
      </c>
    </row>
    <row r="1880" spans="1:4">
      <c r="A1880" s="19" t="str">
        <f>$R$2&amp;"."&amp;'Конфигурация TREI'!$A$2&amp;"_1.DIAG_29"</f>
        <v>Диагностика.TREI.CPU_1.DIAG_29</v>
      </c>
      <c r="B1880" s="11">
        <v>7998</v>
      </c>
      <c r="C1880" s="11" t="s">
        <v>6</v>
      </c>
      <c r="D1880" s="20">
        <v>1</v>
      </c>
    </row>
    <row r="1881" spans="1:4">
      <c r="A1881" s="19" t="str">
        <f>$R$2&amp;"."&amp;'Конфигурация TREI'!$A$2&amp;"_1.DIAG_29"</f>
        <v>Диагностика.TREI.CPU_1.DIAG_29</v>
      </c>
      <c r="B1881" s="11">
        <v>101</v>
      </c>
      <c r="C1881" s="11" t="s">
        <v>0</v>
      </c>
      <c r="D1881" s="20" t="s">
        <v>1407</v>
      </c>
    </row>
    <row r="1882" spans="1:4">
      <c r="A1882" s="19" t="str">
        <f>$R$2&amp;"."&amp;'Конфигурация TREI'!$A$2&amp;"_1.DIAG_29"</f>
        <v>Диагностика.TREI.CPU_1.DIAG_29</v>
      </c>
      <c r="B1882" s="11">
        <v>3</v>
      </c>
      <c r="C1882" s="11" t="s">
        <v>1</v>
      </c>
      <c r="D1882" s="20">
        <v>192</v>
      </c>
    </row>
    <row r="1883" spans="1:4">
      <c r="A1883" s="19" t="str">
        <f>$R$2&amp;"."&amp;'Конфигурация TREI'!$A$2&amp;"_1.DIAG_29"</f>
        <v>Диагностика.TREI.CPU_1.DIAG_29</v>
      </c>
      <c r="B1883" s="11">
        <v>2</v>
      </c>
      <c r="C1883" s="11" t="s">
        <v>2</v>
      </c>
      <c r="D1883" s="20" t="s">
        <v>3</v>
      </c>
    </row>
    <row r="1884" spans="1:4">
      <c r="A1884" s="21" t="str">
        <f>$R$2&amp;"."&amp;'Конфигурация TREI'!$A$2&amp;"_1.DIAG_29"</f>
        <v>Диагностика.TREI.CPU_1.DIAG_29</v>
      </c>
      <c r="B1884" s="8">
        <v>1</v>
      </c>
      <c r="C1884" s="8" t="s">
        <v>1</v>
      </c>
      <c r="D1884" s="22">
        <v>11</v>
      </c>
    </row>
    <row r="1885" spans="1:4">
      <c r="A1885" s="159" t="str">
        <f>$R$2&amp;"."&amp;'Конфигурация TREI'!$A$2&amp;"_1.DIAG_30"</f>
        <v>Диагностика.TREI.CPU_1.DIAG_30</v>
      </c>
      <c r="B1885" s="160">
        <v>11154</v>
      </c>
      <c r="C1885" s="160" t="s">
        <v>4</v>
      </c>
      <c r="D1885" s="161">
        <f>$Q$8</f>
        <v>18</v>
      </c>
    </row>
    <row r="1886" spans="1:4">
      <c r="A1886" s="100" t="str">
        <f>$R$2&amp;"."&amp;'Конфигурация TREI'!$A$2&amp;"_1.DIAG_30"</f>
        <v>Диагностика.TREI.CPU_1.DIAG_30</v>
      </c>
      <c r="B1886" s="101">
        <v>11152</v>
      </c>
      <c r="C1886" s="101" t="s">
        <v>0</v>
      </c>
      <c r="D1886" s="104" t="str">
        <f>$R$8</f>
        <v>Телесигнализация</v>
      </c>
    </row>
    <row r="1887" spans="1:4">
      <c r="A1887" s="100" t="str">
        <f>$R$2&amp;"."&amp;'Конфигурация TREI'!$A$2&amp;"_1.DIAG_30"</f>
        <v>Диагностика.TREI.CPU_1.DIAG_30</v>
      </c>
      <c r="B1887" s="101">
        <v>11150</v>
      </c>
      <c r="C1887" s="101" t="s">
        <v>0</v>
      </c>
      <c r="D1887" s="103" t="s">
        <v>1408</v>
      </c>
    </row>
    <row r="1888" spans="1:4">
      <c r="A1888" s="100" t="str">
        <f>$R$2&amp;"."&amp;'Конфигурация TREI'!$A$2&amp;"_1.DIAG_30"</f>
        <v>Диагностика.TREI.CPU_1.DIAG_30</v>
      </c>
      <c r="B1888" s="101">
        <v>11000</v>
      </c>
      <c r="C1888" s="101" t="s">
        <v>5</v>
      </c>
      <c r="D1888" s="103">
        <v>2147483680</v>
      </c>
    </row>
    <row r="1889" spans="1:68">
      <c r="A1889" s="19" t="str">
        <f>$R$2&amp;"."&amp;'Конфигурация TREI'!$A$2&amp;"_1.DIAG_30"</f>
        <v>Диагностика.TREI.CPU_1.DIAG_30</v>
      </c>
      <c r="B1889" s="11">
        <v>7999</v>
      </c>
      <c r="C1889" s="11" t="s">
        <v>0</v>
      </c>
      <c r="D1889" s="20" t="str">
        <f>"#"&amp;$S$2&amp;"#"&amp;$T$2&amp;IF($S$7="","","\")&amp;$S$7&amp;"\"&amp;'Конфигурация TREI'!$A$2&amp;"_1\DIAG_30"</f>
        <v>#2#treiOPCDA.CoOPCserv.1\pcmaster\CPU_1\DIAG_30</v>
      </c>
    </row>
    <row r="1890" spans="1:68">
      <c r="A1890" s="19" t="str">
        <f>$R$2&amp;"."&amp;'Конфигурация TREI'!$A$2&amp;"_1.DIAG_30"</f>
        <v>Диагностика.TREI.CPU_1.DIAG_30</v>
      </c>
      <c r="B1890" s="11">
        <v>7998</v>
      </c>
      <c r="C1890" s="11" t="s">
        <v>6</v>
      </c>
      <c r="D1890" s="20">
        <v>1</v>
      </c>
    </row>
    <row r="1891" spans="1:68">
      <c r="A1891" s="19" t="str">
        <f>$R$2&amp;"."&amp;'Конфигурация TREI'!$A$2&amp;"_1.DIAG_30"</f>
        <v>Диагностика.TREI.CPU_1.DIAG_30</v>
      </c>
      <c r="B1891" s="11">
        <v>101</v>
      </c>
      <c r="C1891" s="11" t="s">
        <v>0</v>
      </c>
      <c r="D1891" s="20" t="s">
        <v>1408</v>
      </c>
    </row>
    <row r="1892" spans="1:68">
      <c r="A1892" s="19" t="str">
        <f>$R$2&amp;"."&amp;'Конфигурация TREI'!$A$2&amp;"_1.DIAG_30"</f>
        <v>Диагностика.TREI.CPU_1.DIAG_30</v>
      </c>
      <c r="B1892" s="11">
        <v>3</v>
      </c>
      <c r="C1892" s="11" t="s">
        <v>1</v>
      </c>
      <c r="D1892" s="20">
        <v>192</v>
      </c>
    </row>
    <row r="1893" spans="1:68">
      <c r="A1893" s="19" t="str">
        <f>$R$2&amp;"."&amp;'Конфигурация TREI'!$A$2&amp;"_1.DIAG_30"</f>
        <v>Диагностика.TREI.CPU_1.DIAG_30</v>
      </c>
      <c r="B1893" s="11">
        <v>2</v>
      </c>
      <c r="C1893" s="11" t="s">
        <v>2</v>
      </c>
      <c r="D1893" s="20" t="s">
        <v>3</v>
      </c>
    </row>
    <row r="1894" spans="1:68">
      <c r="A1894" s="19" t="str">
        <f>$R$2&amp;"."&amp;'Конфигурация TREI'!$A$2&amp;"_1.DIAG_30"</f>
        <v>Диагностика.TREI.CPU_1.DIAG_30</v>
      </c>
      <c r="B1894" s="11">
        <v>1</v>
      </c>
      <c r="C1894" s="11" t="s">
        <v>1</v>
      </c>
      <c r="D1894" s="20">
        <v>11</v>
      </c>
    </row>
    <row r="1895" spans="1:68" ht="15" customHeight="1">
      <c r="A1895" s="16" t="str">
        <f>$R$2&amp;"."&amp;'Конфигурация TREI'!$A$2&amp;"_2"</f>
        <v>Диагностика.TREI.CPU_2</v>
      </c>
      <c r="B1895" s="17">
        <v>11001</v>
      </c>
      <c r="C1895" s="17" t="s">
        <v>0</v>
      </c>
      <c r="D1895" s="18" t="str">
        <f>$Q$2&amp;". Диагностика CPU (основной)"</f>
        <v>Контроллер TREI. Диагностика CPU (основной)</v>
      </c>
      <c r="BM1895" s="4"/>
      <c r="BN1895" s="4"/>
      <c r="BO1895" s="4"/>
      <c r="BP1895" s="4"/>
    </row>
    <row r="1896" spans="1:68" ht="15" customHeight="1">
      <c r="A1896" s="19" t="str">
        <f>$R$2&amp;"."&amp;'Конфигурация TREI'!$A$2&amp;"_2"</f>
        <v>Диагностика.TREI.CPU_2</v>
      </c>
      <c r="B1896" s="11">
        <v>11156</v>
      </c>
      <c r="C1896" s="11" t="s">
        <v>0</v>
      </c>
      <c r="D1896" s="20" t="str">
        <f>$V$2</f>
        <v>Тестовый экран</v>
      </c>
      <c r="BM1896" s="4"/>
      <c r="BN1896" s="4"/>
      <c r="BO1896" s="4"/>
      <c r="BP1896" s="4"/>
    </row>
    <row r="1897" spans="1:68" ht="15" customHeight="1">
      <c r="A1897" s="19" t="str">
        <f>$R$2&amp;"."&amp;'Конфигурация TREI'!$A$2&amp;"_2"</f>
        <v>Диагностика.TREI.CPU_2</v>
      </c>
      <c r="B1897" s="11">
        <v>1</v>
      </c>
      <c r="C1897" s="11" t="s">
        <v>1</v>
      </c>
      <c r="D1897" s="20">
        <v>17</v>
      </c>
      <c r="BM1897" s="4"/>
      <c r="BN1897" s="4"/>
      <c r="BO1897" s="4"/>
      <c r="BP1897" s="4"/>
    </row>
    <row r="1898" spans="1:68" ht="15" customHeight="1">
      <c r="A1898" s="19" t="str">
        <f>$R$2&amp;"."&amp;'Конфигурация TREI'!$A$2&amp;"_2"</f>
        <v>Диагностика.TREI.CPU_2</v>
      </c>
      <c r="B1898" s="11">
        <v>13</v>
      </c>
      <c r="C1898" s="11" t="s">
        <v>2</v>
      </c>
      <c r="D1898" s="20" t="s">
        <v>3</v>
      </c>
      <c r="BM1898" s="4"/>
      <c r="BN1898" s="4"/>
      <c r="BO1898" s="4"/>
      <c r="BP1898" s="4"/>
    </row>
    <row r="1899" spans="1:68" ht="15" customHeight="1">
      <c r="A1899" s="21" t="str">
        <f>$R$2&amp;"."&amp;'Конфигурация TREI'!$A$2&amp;"_2"</f>
        <v>Диагностика.TREI.CPU_2</v>
      </c>
      <c r="B1899" s="8">
        <v>3000013</v>
      </c>
      <c r="C1899" s="8" t="s">
        <v>0</v>
      </c>
      <c r="D1899" s="22" t="str">
        <f>'Конфигурация TREI'!$F$2</f>
        <v>Диагностика.CPU_2.NOT_LINK.noLink</v>
      </c>
      <c r="BM1899" s="4"/>
      <c r="BN1899" s="4"/>
      <c r="BO1899" s="4"/>
      <c r="BP1899" s="4"/>
    </row>
    <row r="1900" spans="1:68">
      <c r="A1900" s="63" t="str">
        <f>$R$2&amp;"."&amp;'Конфигурация TREI'!$A$2&amp;"_2.DIAG_1"</f>
        <v>Диагностика.TREI.CPU_2.DIAG_1</v>
      </c>
      <c r="B1900" s="64">
        <v>11154</v>
      </c>
      <c r="C1900" s="64" t="s">
        <v>4</v>
      </c>
      <c r="D1900" s="98">
        <f>$Q$6</f>
        <v>8</v>
      </c>
      <c r="P1900" s="11"/>
    </row>
    <row r="1901" spans="1:68">
      <c r="A1901" s="63" t="str">
        <f>$R$2&amp;"."&amp;'Конфигурация TREI'!$A$2&amp;"_2.DIAG_1"</f>
        <v>Диагностика.TREI.CPU_2.DIAG_1</v>
      </c>
      <c r="B1901" s="64">
        <v>11152</v>
      </c>
      <c r="C1901" s="64" t="s">
        <v>0</v>
      </c>
      <c r="D1901" s="129" t="str">
        <f>$R$6</f>
        <v>Предупреждение</v>
      </c>
      <c r="P1901" s="11"/>
    </row>
    <row r="1902" spans="1:68">
      <c r="A1902" s="63" t="str">
        <f>$R$2&amp;"."&amp;'Конфигурация TREI'!$A$2&amp;"_2.DIAG_1"</f>
        <v>Диагностика.TREI.CPU_2.DIAG_1</v>
      </c>
      <c r="B1902" s="64">
        <v>11150</v>
      </c>
      <c r="C1902" s="64" t="s">
        <v>0</v>
      </c>
      <c r="D1902" s="65" t="s">
        <v>797</v>
      </c>
      <c r="P1902" s="11"/>
    </row>
    <row r="1903" spans="1:68">
      <c r="A1903" s="63" t="str">
        <f>$R$2&amp;"."&amp;'Конфигурация TREI'!$A$2&amp;"_2.DIAG_1"</f>
        <v>Диагностика.TREI.CPU_2.DIAG_1</v>
      </c>
      <c r="B1903" s="64">
        <v>11000</v>
      </c>
      <c r="C1903" s="64" t="s">
        <v>5</v>
      </c>
      <c r="D1903" s="65">
        <v>2147483680</v>
      </c>
      <c r="P1903" s="11"/>
    </row>
    <row r="1904" spans="1:68">
      <c r="A1904" s="19" t="str">
        <f>$R$2&amp;"."&amp;'Конфигурация TREI'!$A$2&amp;"_2.DIAG_1"</f>
        <v>Диагностика.TREI.CPU_2.DIAG_1</v>
      </c>
      <c r="B1904" s="11">
        <v>7999</v>
      </c>
      <c r="C1904" s="11" t="s">
        <v>0</v>
      </c>
      <c r="D1904" s="20" t="str">
        <f>"#"&amp;$S$2&amp;"#"&amp;$T$2&amp;IF($S$7="","","\")&amp;$S$7&amp;"\"&amp;'Конфигурация TREI'!$A$2&amp;"_2\DIAG_1"</f>
        <v>#2#treiOPCDA.CoOPCserv.1\pcmaster\CPU_2\DIAG_1</v>
      </c>
    </row>
    <row r="1905" spans="1:4">
      <c r="A1905" s="19" t="str">
        <f>$R$2&amp;"."&amp;'Конфигурация TREI'!$A$2&amp;"_2.DIAG_1"</f>
        <v>Диагностика.TREI.CPU_2.DIAG_1</v>
      </c>
      <c r="B1905" s="11">
        <v>7998</v>
      </c>
      <c r="C1905" s="11" t="s">
        <v>6</v>
      </c>
      <c r="D1905" s="20">
        <v>1</v>
      </c>
    </row>
    <row r="1906" spans="1:4">
      <c r="A1906" s="19" t="str">
        <f>$R$2&amp;"."&amp;'Конфигурация TREI'!$A$2&amp;"_2.DIAG_1"</f>
        <v>Диагностика.TREI.CPU_2.DIAG_1</v>
      </c>
      <c r="B1906" s="11">
        <v>101</v>
      </c>
      <c r="C1906" s="11" t="s">
        <v>0</v>
      </c>
      <c r="D1906" s="20" t="s">
        <v>797</v>
      </c>
    </row>
    <row r="1907" spans="1:4">
      <c r="A1907" s="19" t="str">
        <f>$R$2&amp;"."&amp;'Конфигурация TREI'!$A$2&amp;"_2.DIAG_1"</f>
        <v>Диагностика.TREI.CPU_2.DIAG_1</v>
      </c>
      <c r="B1907" s="11">
        <v>3</v>
      </c>
      <c r="C1907" s="11" t="s">
        <v>1</v>
      </c>
      <c r="D1907" s="20">
        <v>192</v>
      </c>
    </row>
    <row r="1908" spans="1:4">
      <c r="A1908" s="19" t="str">
        <f>$R$2&amp;"."&amp;'Конфигурация TREI'!$A$2&amp;"_2.DIAG_1"</f>
        <v>Диагностика.TREI.CPU_2.DIAG_1</v>
      </c>
      <c r="B1908" s="11">
        <v>2</v>
      </c>
      <c r="C1908" s="11" t="s">
        <v>2</v>
      </c>
      <c r="D1908" s="20" t="s">
        <v>3</v>
      </c>
    </row>
    <row r="1909" spans="1:4">
      <c r="A1909" s="21" t="str">
        <f>$R$2&amp;"."&amp;'Конфигурация TREI'!$A$2&amp;"_2.DIAG_1"</f>
        <v>Диагностика.TREI.CPU_2.DIAG_1</v>
      </c>
      <c r="B1909" s="8">
        <v>1</v>
      </c>
      <c r="C1909" s="8" t="s">
        <v>1</v>
      </c>
      <c r="D1909" s="22">
        <v>11</v>
      </c>
    </row>
    <row r="1910" spans="1:4">
      <c r="A1910" s="69" t="str">
        <f>$R$2&amp;"."&amp;'Конфигурация TREI'!$A$2&amp;"_2.DIAG_2"</f>
        <v>Диагностика.TREI.CPU_2.DIAG_2</v>
      </c>
      <c r="B1910" s="70">
        <v>11154</v>
      </c>
      <c r="C1910" s="70" t="s">
        <v>4</v>
      </c>
      <c r="D1910" s="144">
        <f>$Q$6</f>
        <v>8</v>
      </c>
    </row>
    <row r="1911" spans="1:4">
      <c r="A1911" s="63" t="str">
        <f>$R$2&amp;"."&amp;'Конфигурация TREI'!$A$2&amp;"_2.DIAG_2"</f>
        <v>Диагностика.TREI.CPU_2.DIAG_2</v>
      </c>
      <c r="B1911" s="64">
        <v>11152</v>
      </c>
      <c r="C1911" s="64" t="s">
        <v>0</v>
      </c>
      <c r="D1911" s="129" t="str">
        <f>$R$6</f>
        <v>Предупреждение</v>
      </c>
    </row>
    <row r="1912" spans="1:4">
      <c r="A1912" s="63" t="str">
        <f>$R$2&amp;"."&amp;'Конфигурация TREI'!$A$2&amp;"_2.DIAG_2"</f>
        <v>Диагностика.TREI.CPU_2.DIAG_2</v>
      </c>
      <c r="B1912" s="64">
        <v>11150</v>
      </c>
      <c r="C1912" s="64" t="s">
        <v>0</v>
      </c>
      <c r="D1912" s="65" t="s">
        <v>798</v>
      </c>
    </row>
    <row r="1913" spans="1:4">
      <c r="A1913" s="63" t="str">
        <f>$R$2&amp;"."&amp;'Конфигурация TREI'!$A$2&amp;"_2.DIAG_2"</f>
        <v>Диагностика.TREI.CPU_2.DIAG_2</v>
      </c>
      <c r="B1913" s="64">
        <v>11000</v>
      </c>
      <c r="C1913" s="64" t="s">
        <v>5</v>
      </c>
      <c r="D1913" s="65">
        <v>2147483680</v>
      </c>
    </row>
    <row r="1914" spans="1:4">
      <c r="A1914" s="19" t="str">
        <f>$R$2&amp;"."&amp;'Конфигурация TREI'!$A$2&amp;"_2.DIAG_2"</f>
        <v>Диагностика.TREI.CPU_2.DIAG_2</v>
      </c>
      <c r="B1914" s="11">
        <v>7999</v>
      </c>
      <c r="C1914" s="11" t="s">
        <v>0</v>
      </c>
      <c r="D1914" s="20" t="str">
        <f>"#"&amp;$S$2&amp;"#"&amp;$T$2&amp;IF($S$7="","","\")&amp;$S$7&amp;"\"&amp;'Конфигурация TREI'!$A$2&amp;"_2\DIAG_2"</f>
        <v>#2#treiOPCDA.CoOPCserv.1\pcmaster\CPU_2\DIAG_2</v>
      </c>
    </row>
    <row r="1915" spans="1:4">
      <c r="A1915" s="19" t="str">
        <f>$R$2&amp;"."&amp;'Конфигурация TREI'!$A$2&amp;"_2.DIAG_2"</f>
        <v>Диагностика.TREI.CPU_2.DIAG_2</v>
      </c>
      <c r="B1915" s="11">
        <v>7998</v>
      </c>
      <c r="C1915" s="11" t="s">
        <v>6</v>
      </c>
      <c r="D1915" s="20">
        <v>1</v>
      </c>
    </row>
    <row r="1916" spans="1:4">
      <c r="A1916" s="19" t="str">
        <f>$R$2&amp;"."&amp;'Конфигурация TREI'!$A$2&amp;"_2.DIAG_2"</f>
        <v>Диагностика.TREI.CPU_2.DIAG_2</v>
      </c>
      <c r="B1916" s="11">
        <v>101</v>
      </c>
      <c r="C1916" s="11" t="s">
        <v>0</v>
      </c>
      <c r="D1916" s="20" t="s">
        <v>798</v>
      </c>
    </row>
    <row r="1917" spans="1:4">
      <c r="A1917" s="19" t="str">
        <f>$R$2&amp;"."&amp;'Конфигурация TREI'!$A$2&amp;"_2.DIAG_2"</f>
        <v>Диагностика.TREI.CPU_2.DIAG_2</v>
      </c>
      <c r="B1917" s="11">
        <v>3</v>
      </c>
      <c r="C1917" s="11" t="s">
        <v>1</v>
      </c>
      <c r="D1917" s="20">
        <v>192</v>
      </c>
    </row>
    <row r="1918" spans="1:4">
      <c r="A1918" s="19" t="str">
        <f>$R$2&amp;"."&amp;'Конфигурация TREI'!$A$2&amp;"_2.DIAG_2"</f>
        <v>Диагностика.TREI.CPU_2.DIAG_2</v>
      </c>
      <c r="B1918" s="11">
        <v>2</v>
      </c>
      <c r="C1918" s="11" t="s">
        <v>2</v>
      </c>
      <c r="D1918" s="20" t="s">
        <v>3</v>
      </c>
    </row>
    <row r="1919" spans="1:4">
      <c r="A1919" s="21" t="str">
        <f>$R$2&amp;"."&amp;'Конфигурация TREI'!$A$2&amp;"_2.DIAG_2"</f>
        <v>Диагностика.TREI.CPU_2.DIAG_2</v>
      </c>
      <c r="B1919" s="8">
        <v>1</v>
      </c>
      <c r="C1919" s="8" t="s">
        <v>1</v>
      </c>
      <c r="D1919" s="22">
        <v>11</v>
      </c>
    </row>
    <row r="1920" spans="1:4">
      <c r="A1920" s="69" t="str">
        <f>$R$2&amp;"."&amp;'Конфигурация TREI'!$A$2&amp;"_2.DIAG_3"</f>
        <v>Диагностика.TREI.CPU_2.DIAG_3</v>
      </c>
      <c r="B1920" s="70">
        <v>11154</v>
      </c>
      <c r="C1920" s="70" t="s">
        <v>4</v>
      </c>
      <c r="D1920" s="144">
        <f>$Q$6</f>
        <v>8</v>
      </c>
    </row>
    <row r="1921" spans="1:4">
      <c r="A1921" s="63" t="str">
        <f>$R$2&amp;"."&amp;'Конфигурация TREI'!$A$2&amp;"_2.DIAG_3"</f>
        <v>Диагностика.TREI.CPU_2.DIAG_3</v>
      </c>
      <c r="B1921" s="64">
        <v>11152</v>
      </c>
      <c r="C1921" s="64" t="s">
        <v>0</v>
      </c>
      <c r="D1921" s="129" t="str">
        <f>$R$6</f>
        <v>Предупреждение</v>
      </c>
    </row>
    <row r="1922" spans="1:4">
      <c r="A1922" s="63" t="str">
        <f>$R$2&amp;"."&amp;'Конфигурация TREI'!$A$2&amp;"_2.DIAG_3"</f>
        <v>Диагностика.TREI.CPU_2.DIAG_3</v>
      </c>
      <c r="B1922" s="64">
        <v>11150</v>
      </c>
      <c r="C1922" s="64" t="s">
        <v>0</v>
      </c>
      <c r="D1922" s="65" t="s">
        <v>799</v>
      </c>
    </row>
    <row r="1923" spans="1:4">
      <c r="A1923" s="63" t="str">
        <f>$R$2&amp;"."&amp;'Конфигурация TREI'!$A$2&amp;"_2.DIAG_3"</f>
        <v>Диагностика.TREI.CPU_2.DIAG_3</v>
      </c>
      <c r="B1923" s="64">
        <v>11000</v>
      </c>
      <c r="C1923" s="64" t="s">
        <v>5</v>
      </c>
      <c r="D1923" s="65">
        <v>2147483680</v>
      </c>
    </row>
    <row r="1924" spans="1:4">
      <c r="A1924" s="19" t="str">
        <f>$R$2&amp;"."&amp;'Конфигурация TREI'!$A$2&amp;"_2.DIAG_3"</f>
        <v>Диагностика.TREI.CPU_2.DIAG_3</v>
      </c>
      <c r="B1924" s="11">
        <v>7999</v>
      </c>
      <c r="C1924" s="11" t="s">
        <v>0</v>
      </c>
      <c r="D1924" s="20" t="str">
        <f>"#"&amp;$S$2&amp;"#"&amp;$T$2&amp;IF($S$7="","","\")&amp;$S$7&amp;"\"&amp;'Конфигурация TREI'!$A$2&amp;"_2\DIAG_3"</f>
        <v>#2#treiOPCDA.CoOPCserv.1\pcmaster\CPU_2\DIAG_3</v>
      </c>
    </row>
    <row r="1925" spans="1:4">
      <c r="A1925" s="19" t="str">
        <f>$R$2&amp;"."&amp;'Конфигурация TREI'!$A$2&amp;"_2.DIAG_3"</f>
        <v>Диагностика.TREI.CPU_2.DIAG_3</v>
      </c>
      <c r="B1925" s="11">
        <v>7998</v>
      </c>
      <c r="C1925" s="11" t="s">
        <v>6</v>
      </c>
      <c r="D1925" s="20">
        <v>1</v>
      </c>
    </row>
    <row r="1926" spans="1:4">
      <c r="A1926" s="19" t="str">
        <f>$R$2&amp;"."&amp;'Конфигурация TREI'!$A$2&amp;"_2.DIAG_3"</f>
        <v>Диагностика.TREI.CPU_2.DIAG_3</v>
      </c>
      <c r="B1926" s="11">
        <v>101</v>
      </c>
      <c r="C1926" s="11" t="s">
        <v>0</v>
      </c>
      <c r="D1926" s="20" t="s">
        <v>799</v>
      </c>
    </row>
    <row r="1927" spans="1:4">
      <c r="A1927" s="19" t="str">
        <f>$R$2&amp;"."&amp;'Конфигурация TREI'!$A$2&amp;"_2.DIAG_3"</f>
        <v>Диагностика.TREI.CPU_2.DIAG_3</v>
      </c>
      <c r="B1927" s="11">
        <v>3</v>
      </c>
      <c r="C1927" s="11" t="s">
        <v>1</v>
      </c>
      <c r="D1927" s="20">
        <v>192</v>
      </c>
    </row>
    <row r="1928" spans="1:4">
      <c r="A1928" s="19" t="str">
        <f>$R$2&amp;"."&amp;'Конфигурация TREI'!$A$2&amp;"_2.DIAG_3"</f>
        <v>Диагностика.TREI.CPU_2.DIAG_3</v>
      </c>
      <c r="B1928" s="11">
        <v>2</v>
      </c>
      <c r="C1928" s="11" t="s">
        <v>2</v>
      </c>
      <c r="D1928" s="20" t="s">
        <v>3</v>
      </c>
    </row>
    <row r="1929" spans="1:4">
      <c r="A1929" s="21" t="str">
        <f>$R$2&amp;"."&amp;'Конфигурация TREI'!$A$2&amp;"_2.DIAG_3"</f>
        <v>Диагностика.TREI.CPU_2.DIAG_3</v>
      </c>
      <c r="B1929" s="8">
        <v>1</v>
      </c>
      <c r="C1929" s="8" t="s">
        <v>1</v>
      </c>
      <c r="D1929" s="22">
        <v>11</v>
      </c>
    </row>
    <row r="1930" spans="1:4">
      <c r="A1930" s="69" t="str">
        <f>$R$2&amp;"."&amp;'Конфигурация TREI'!$A$2&amp;"_2.DIAG_6"</f>
        <v>Диагностика.TREI.CPU_2.DIAG_6</v>
      </c>
      <c r="B1930" s="70">
        <v>11154</v>
      </c>
      <c r="C1930" s="70" t="s">
        <v>4</v>
      </c>
      <c r="D1930" s="144">
        <f>$Q$6</f>
        <v>8</v>
      </c>
    </row>
    <row r="1931" spans="1:4">
      <c r="A1931" s="63" t="str">
        <f>$R$2&amp;"."&amp;'Конфигурация TREI'!$A$2&amp;"_2.DIAG_6"</f>
        <v>Диагностика.TREI.CPU_2.DIAG_6</v>
      </c>
      <c r="B1931" s="64">
        <v>11152</v>
      </c>
      <c r="C1931" s="64" t="s">
        <v>0</v>
      </c>
      <c r="D1931" s="129" t="str">
        <f>$R$6</f>
        <v>Предупреждение</v>
      </c>
    </row>
    <row r="1932" spans="1:4">
      <c r="A1932" s="63" t="str">
        <f>$R$2&amp;"."&amp;'Конфигурация TREI'!$A$2&amp;"_2.DIAG_6"</f>
        <v>Диагностика.TREI.CPU_2.DIAG_6</v>
      </c>
      <c r="B1932" s="64">
        <v>11150</v>
      </c>
      <c r="C1932" s="64" t="s">
        <v>0</v>
      </c>
      <c r="D1932" s="65" t="s">
        <v>800</v>
      </c>
    </row>
    <row r="1933" spans="1:4">
      <c r="A1933" s="63" t="str">
        <f>$R$2&amp;"."&amp;'Конфигурация TREI'!$A$2&amp;"_2.DIAG_6"</f>
        <v>Диагностика.TREI.CPU_2.DIAG_6</v>
      </c>
      <c r="B1933" s="64">
        <v>11000</v>
      </c>
      <c r="C1933" s="64" t="s">
        <v>5</v>
      </c>
      <c r="D1933" s="65">
        <v>2147483680</v>
      </c>
    </row>
    <row r="1934" spans="1:4">
      <c r="A1934" s="19" t="str">
        <f>$R$2&amp;"."&amp;'Конфигурация TREI'!$A$2&amp;"_2.DIAG_6"</f>
        <v>Диагностика.TREI.CPU_2.DIAG_6</v>
      </c>
      <c r="B1934" s="11">
        <v>7999</v>
      </c>
      <c r="C1934" s="11" t="s">
        <v>0</v>
      </c>
      <c r="D1934" s="20" t="str">
        <f>"#"&amp;$S$2&amp;"#"&amp;$T$2&amp;IF($S$7="","","\")&amp;$S$7&amp;"\"&amp;'Конфигурация TREI'!$A$2&amp;"_2\DIAG_6"</f>
        <v>#2#treiOPCDA.CoOPCserv.1\pcmaster\CPU_2\DIAG_6</v>
      </c>
    </row>
    <row r="1935" spans="1:4">
      <c r="A1935" s="19" t="str">
        <f>$R$2&amp;"."&amp;'Конфигурация TREI'!$A$2&amp;"_2.DIAG_6"</f>
        <v>Диагностика.TREI.CPU_2.DIAG_6</v>
      </c>
      <c r="B1935" s="11">
        <v>7998</v>
      </c>
      <c r="C1935" s="11" t="s">
        <v>6</v>
      </c>
      <c r="D1935" s="20">
        <v>1</v>
      </c>
    </row>
    <row r="1936" spans="1:4">
      <c r="A1936" s="19" t="str">
        <f>$R$2&amp;"."&amp;'Конфигурация TREI'!$A$2&amp;"_2.DIAG_6"</f>
        <v>Диагностика.TREI.CPU_2.DIAG_6</v>
      </c>
      <c r="B1936" s="11">
        <v>101</v>
      </c>
      <c r="C1936" s="11" t="s">
        <v>0</v>
      </c>
      <c r="D1936" s="20" t="s">
        <v>800</v>
      </c>
    </row>
    <row r="1937" spans="1:4">
      <c r="A1937" s="19" t="str">
        <f>$R$2&amp;"."&amp;'Конфигурация TREI'!$A$2&amp;"_2.DIAG_6"</f>
        <v>Диагностика.TREI.CPU_2.DIAG_6</v>
      </c>
      <c r="B1937" s="11">
        <v>3</v>
      </c>
      <c r="C1937" s="11" t="s">
        <v>1</v>
      </c>
      <c r="D1937" s="20">
        <v>192</v>
      </c>
    </row>
    <row r="1938" spans="1:4">
      <c r="A1938" s="19" t="str">
        <f>$R$2&amp;"."&amp;'Конфигурация TREI'!$A$2&amp;"_2.DIAG_6"</f>
        <v>Диагностика.TREI.CPU_2.DIAG_6</v>
      </c>
      <c r="B1938" s="11">
        <v>2</v>
      </c>
      <c r="C1938" s="11" t="s">
        <v>2</v>
      </c>
      <c r="D1938" s="20" t="s">
        <v>3</v>
      </c>
    </row>
    <row r="1939" spans="1:4">
      <c r="A1939" s="21" t="str">
        <f>$R$2&amp;"."&amp;'Конфигурация TREI'!$A$2&amp;"_2.DIAG_6"</f>
        <v>Диагностика.TREI.CPU_2.DIAG_6</v>
      </c>
      <c r="B1939" s="8">
        <v>1</v>
      </c>
      <c r="C1939" s="8" t="s">
        <v>1</v>
      </c>
      <c r="D1939" s="22">
        <v>11</v>
      </c>
    </row>
    <row r="1940" spans="1:4">
      <c r="A1940" s="69" t="str">
        <f>$R$2&amp;"."&amp;'Конфигурация TREI'!$A$2&amp;"_2.DIAG_7"</f>
        <v>Диагностика.TREI.CPU_2.DIAG_7</v>
      </c>
      <c r="B1940" s="70">
        <v>11154</v>
      </c>
      <c r="C1940" s="70" t="s">
        <v>4</v>
      </c>
      <c r="D1940" s="144">
        <f>$Q$6</f>
        <v>8</v>
      </c>
    </row>
    <row r="1941" spans="1:4">
      <c r="A1941" s="63" t="str">
        <f>$R$2&amp;"."&amp;'Конфигурация TREI'!$A$2&amp;"_2.DIAG_7"</f>
        <v>Диагностика.TREI.CPU_2.DIAG_7</v>
      </c>
      <c r="B1941" s="64">
        <v>11152</v>
      </c>
      <c r="C1941" s="64" t="s">
        <v>0</v>
      </c>
      <c r="D1941" s="129" t="str">
        <f>$R$6</f>
        <v>Предупреждение</v>
      </c>
    </row>
    <row r="1942" spans="1:4">
      <c r="A1942" s="63" t="str">
        <f>$R$2&amp;"."&amp;'Конфигурация TREI'!$A$2&amp;"_2.DIAG_7"</f>
        <v>Диагностика.TREI.CPU_2.DIAG_7</v>
      </c>
      <c r="B1942" s="64">
        <v>11150</v>
      </c>
      <c r="C1942" s="64" t="s">
        <v>0</v>
      </c>
      <c r="D1942" s="65" t="s">
        <v>801</v>
      </c>
    </row>
    <row r="1943" spans="1:4">
      <c r="A1943" s="63" t="str">
        <f>$R$2&amp;"."&amp;'Конфигурация TREI'!$A$2&amp;"_2.DIAG_7"</f>
        <v>Диагностика.TREI.CPU_2.DIAG_7</v>
      </c>
      <c r="B1943" s="64">
        <v>11000</v>
      </c>
      <c r="C1943" s="64" t="s">
        <v>5</v>
      </c>
      <c r="D1943" s="65">
        <v>2147483680</v>
      </c>
    </row>
    <row r="1944" spans="1:4">
      <c r="A1944" s="19" t="str">
        <f>$R$2&amp;"."&amp;'Конфигурация TREI'!$A$2&amp;"_2.DIAG_7"</f>
        <v>Диагностика.TREI.CPU_2.DIAG_7</v>
      </c>
      <c r="B1944" s="11">
        <v>7999</v>
      </c>
      <c r="C1944" s="11" t="s">
        <v>0</v>
      </c>
      <c r="D1944" s="20" t="str">
        <f>"#"&amp;$S$2&amp;"#"&amp;$T$2&amp;IF($S$7="","","\")&amp;$S$7&amp;"\"&amp;'Конфигурация TREI'!$A$2&amp;"_2\DIAG_7"</f>
        <v>#2#treiOPCDA.CoOPCserv.1\pcmaster\CPU_2\DIAG_7</v>
      </c>
    </row>
    <row r="1945" spans="1:4">
      <c r="A1945" s="19" t="str">
        <f>$R$2&amp;"."&amp;'Конфигурация TREI'!$A$2&amp;"_2.DIAG_7"</f>
        <v>Диагностика.TREI.CPU_2.DIAG_7</v>
      </c>
      <c r="B1945" s="11">
        <v>7998</v>
      </c>
      <c r="C1945" s="11" t="s">
        <v>6</v>
      </c>
      <c r="D1945" s="20">
        <v>1</v>
      </c>
    </row>
    <row r="1946" spans="1:4">
      <c r="A1946" s="19" t="str">
        <f>$R$2&amp;"."&amp;'Конфигурация TREI'!$A$2&amp;"_2.DIAG_7"</f>
        <v>Диагностика.TREI.CPU_2.DIAG_7</v>
      </c>
      <c r="B1946" s="11">
        <v>101</v>
      </c>
      <c r="C1946" s="11" t="s">
        <v>0</v>
      </c>
      <c r="D1946" s="20" t="s">
        <v>801</v>
      </c>
    </row>
    <row r="1947" spans="1:4">
      <c r="A1947" s="19" t="str">
        <f>$R$2&amp;"."&amp;'Конфигурация TREI'!$A$2&amp;"_2.DIAG_7"</f>
        <v>Диагностика.TREI.CPU_2.DIAG_7</v>
      </c>
      <c r="B1947" s="11">
        <v>3</v>
      </c>
      <c r="C1947" s="11" t="s">
        <v>1</v>
      </c>
      <c r="D1947" s="20">
        <v>192</v>
      </c>
    </row>
    <row r="1948" spans="1:4">
      <c r="A1948" s="19" t="str">
        <f>$R$2&amp;"."&amp;'Конфигурация TREI'!$A$2&amp;"_2.DIAG_7"</f>
        <v>Диагностика.TREI.CPU_2.DIAG_7</v>
      </c>
      <c r="B1948" s="11">
        <v>2</v>
      </c>
      <c r="C1948" s="11" t="s">
        <v>2</v>
      </c>
      <c r="D1948" s="20" t="s">
        <v>3</v>
      </c>
    </row>
    <row r="1949" spans="1:4">
      <c r="A1949" s="21" t="str">
        <f>$R$2&amp;"."&amp;'Конфигурация TREI'!$A$2&amp;"_2.DIAG_7"</f>
        <v>Диагностика.TREI.CPU_2.DIAG_7</v>
      </c>
      <c r="B1949" s="8">
        <v>1</v>
      </c>
      <c r="C1949" s="8" t="s">
        <v>1</v>
      </c>
      <c r="D1949" s="22">
        <v>11</v>
      </c>
    </row>
    <row r="1950" spans="1:4">
      <c r="A1950" s="69" t="str">
        <f>$R$2&amp;"."&amp;'Конфигурация TREI'!$A$2&amp;"_2.DIAG_8"</f>
        <v>Диагностика.TREI.CPU_2.DIAG_8</v>
      </c>
      <c r="B1950" s="70">
        <v>11154</v>
      </c>
      <c r="C1950" s="70" t="s">
        <v>4</v>
      </c>
      <c r="D1950" s="144">
        <f>$Q$6</f>
        <v>8</v>
      </c>
    </row>
    <row r="1951" spans="1:4">
      <c r="A1951" s="63" t="str">
        <f>$R$2&amp;"."&amp;'Конфигурация TREI'!$A$2&amp;"_2.DIAG_8"</f>
        <v>Диагностика.TREI.CPU_2.DIAG_8</v>
      </c>
      <c r="B1951" s="64">
        <v>11152</v>
      </c>
      <c r="C1951" s="64" t="s">
        <v>0</v>
      </c>
      <c r="D1951" s="129" t="str">
        <f>$R$6</f>
        <v>Предупреждение</v>
      </c>
    </row>
    <row r="1952" spans="1:4">
      <c r="A1952" s="63" t="str">
        <f>$R$2&amp;"."&amp;'Конфигурация TREI'!$A$2&amp;"_2.DIAG_8"</f>
        <v>Диагностика.TREI.CPU_2.DIAG_8</v>
      </c>
      <c r="B1952" s="64">
        <v>11150</v>
      </c>
      <c r="C1952" s="64" t="s">
        <v>0</v>
      </c>
      <c r="D1952" s="65" t="s">
        <v>802</v>
      </c>
    </row>
    <row r="1953" spans="1:4">
      <c r="A1953" s="63" t="str">
        <f>$R$2&amp;"."&amp;'Конфигурация TREI'!$A$2&amp;"_2.DIAG_8"</f>
        <v>Диагностика.TREI.CPU_2.DIAG_8</v>
      </c>
      <c r="B1953" s="64">
        <v>11000</v>
      </c>
      <c r="C1953" s="64" t="s">
        <v>5</v>
      </c>
      <c r="D1953" s="65">
        <v>2147483680</v>
      </c>
    </row>
    <row r="1954" spans="1:4">
      <c r="A1954" s="19" t="str">
        <f>$R$2&amp;"."&amp;'Конфигурация TREI'!$A$2&amp;"_2.DIAG_8"</f>
        <v>Диагностика.TREI.CPU_2.DIAG_8</v>
      </c>
      <c r="B1954" s="11">
        <v>7999</v>
      </c>
      <c r="C1954" s="11" t="s">
        <v>0</v>
      </c>
      <c r="D1954" s="20" t="str">
        <f>"#"&amp;$S$2&amp;"#"&amp;$T$2&amp;IF($S$7="","","\")&amp;$S$7&amp;"\"&amp;'Конфигурация TREI'!$A$2&amp;"_2\DIAG_8"</f>
        <v>#2#treiOPCDA.CoOPCserv.1\pcmaster\CPU_2\DIAG_8</v>
      </c>
    </row>
    <row r="1955" spans="1:4">
      <c r="A1955" s="19" t="str">
        <f>$R$2&amp;"."&amp;'Конфигурация TREI'!$A$2&amp;"_2.DIAG_8"</f>
        <v>Диагностика.TREI.CPU_2.DIAG_8</v>
      </c>
      <c r="B1955" s="11">
        <v>7998</v>
      </c>
      <c r="C1955" s="11" t="s">
        <v>6</v>
      </c>
      <c r="D1955" s="20">
        <v>1</v>
      </c>
    </row>
    <row r="1956" spans="1:4">
      <c r="A1956" s="19" t="str">
        <f>$R$2&amp;"."&amp;'Конфигурация TREI'!$A$2&amp;"_2.DIAG_8"</f>
        <v>Диагностика.TREI.CPU_2.DIAG_8</v>
      </c>
      <c r="B1956" s="11">
        <v>101</v>
      </c>
      <c r="C1956" s="11" t="s">
        <v>0</v>
      </c>
      <c r="D1956" s="20" t="s">
        <v>802</v>
      </c>
    </row>
    <row r="1957" spans="1:4">
      <c r="A1957" s="19" t="str">
        <f>$R$2&amp;"."&amp;'Конфигурация TREI'!$A$2&amp;"_2.DIAG_8"</f>
        <v>Диагностика.TREI.CPU_2.DIAG_8</v>
      </c>
      <c r="B1957" s="11">
        <v>3</v>
      </c>
      <c r="C1957" s="11" t="s">
        <v>1</v>
      </c>
      <c r="D1957" s="20">
        <v>192</v>
      </c>
    </row>
    <row r="1958" spans="1:4">
      <c r="A1958" s="19" t="str">
        <f>$R$2&amp;"."&amp;'Конфигурация TREI'!$A$2&amp;"_2.DIAG_8"</f>
        <v>Диагностика.TREI.CPU_2.DIAG_8</v>
      </c>
      <c r="B1958" s="11">
        <v>2</v>
      </c>
      <c r="C1958" s="11" t="s">
        <v>2</v>
      </c>
      <c r="D1958" s="20" t="s">
        <v>3</v>
      </c>
    </row>
    <row r="1959" spans="1:4">
      <c r="A1959" s="21" t="str">
        <f>$R$2&amp;"."&amp;'Конфигурация TREI'!$A$2&amp;"_2.DIAG_8"</f>
        <v>Диагностика.TREI.CPU_2.DIAG_8</v>
      </c>
      <c r="B1959" s="8">
        <v>1</v>
      </c>
      <c r="C1959" s="8" t="s">
        <v>1</v>
      </c>
      <c r="D1959" s="22">
        <v>11</v>
      </c>
    </row>
    <row r="1960" spans="1:4">
      <c r="A1960" s="69" t="str">
        <f>$R$2&amp;"."&amp;'Конфигурация TREI'!$A$2&amp;"_2.DIAG_9"</f>
        <v>Диагностика.TREI.CPU_2.DIAG_9</v>
      </c>
      <c r="B1960" s="70">
        <v>11154</v>
      </c>
      <c r="C1960" s="70" t="s">
        <v>4</v>
      </c>
      <c r="D1960" s="144">
        <f>$Q$6</f>
        <v>8</v>
      </c>
    </row>
    <row r="1961" spans="1:4">
      <c r="A1961" s="63" t="str">
        <f>$R$2&amp;"."&amp;'Конфигурация TREI'!$A$2&amp;"_2.DIAG_9"</f>
        <v>Диагностика.TREI.CPU_2.DIAG_9</v>
      </c>
      <c r="B1961" s="64">
        <v>11152</v>
      </c>
      <c r="C1961" s="64" t="s">
        <v>0</v>
      </c>
      <c r="D1961" s="129" t="str">
        <f>$R$6</f>
        <v>Предупреждение</v>
      </c>
    </row>
    <row r="1962" spans="1:4">
      <c r="A1962" s="63" t="str">
        <f>$R$2&amp;"."&amp;'Конфигурация TREI'!$A$2&amp;"_2.DIAG_9"</f>
        <v>Диагностика.TREI.CPU_2.DIAG_9</v>
      </c>
      <c r="B1962" s="64">
        <v>11150</v>
      </c>
      <c r="C1962" s="64" t="s">
        <v>0</v>
      </c>
      <c r="D1962" s="65" t="s">
        <v>803</v>
      </c>
    </row>
    <row r="1963" spans="1:4">
      <c r="A1963" s="63" t="str">
        <f>$R$2&amp;"."&amp;'Конфигурация TREI'!$A$2&amp;"_2.DIAG_9"</f>
        <v>Диагностика.TREI.CPU_2.DIAG_9</v>
      </c>
      <c r="B1963" s="64">
        <v>11000</v>
      </c>
      <c r="C1963" s="64" t="s">
        <v>5</v>
      </c>
      <c r="D1963" s="65">
        <v>2147483680</v>
      </c>
    </row>
    <row r="1964" spans="1:4">
      <c r="A1964" s="19" t="str">
        <f>$R$2&amp;"."&amp;'Конфигурация TREI'!$A$2&amp;"_2.DIAG_9"</f>
        <v>Диагностика.TREI.CPU_2.DIAG_9</v>
      </c>
      <c r="B1964" s="11">
        <v>7999</v>
      </c>
      <c r="C1964" s="11" t="s">
        <v>0</v>
      </c>
      <c r="D1964" s="20" t="str">
        <f>"#"&amp;$S$2&amp;"#"&amp;$T$2&amp;IF($S$7="","","\")&amp;$S$7&amp;"\"&amp;'Конфигурация TREI'!$A$2&amp;"_2\DIAG_9"</f>
        <v>#2#treiOPCDA.CoOPCserv.1\pcmaster\CPU_2\DIAG_9</v>
      </c>
    </row>
    <row r="1965" spans="1:4">
      <c r="A1965" s="19" t="str">
        <f>$R$2&amp;"."&amp;'Конфигурация TREI'!$A$2&amp;"_2.DIAG_9"</f>
        <v>Диагностика.TREI.CPU_2.DIAG_9</v>
      </c>
      <c r="B1965" s="11">
        <v>7998</v>
      </c>
      <c r="C1965" s="11" t="s">
        <v>6</v>
      </c>
      <c r="D1965" s="20">
        <v>1</v>
      </c>
    </row>
    <row r="1966" spans="1:4">
      <c r="A1966" s="19" t="str">
        <f>$R$2&amp;"."&amp;'Конфигурация TREI'!$A$2&amp;"_2.DIAG_9"</f>
        <v>Диагностика.TREI.CPU_2.DIAG_9</v>
      </c>
      <c r="B1966" s="11">
        <v>101</v>
      </c>
      <c r="C1966" s="11" t="s">
        <v>0</v>
      </c>
      <c r="D1966" s="20" t="s">
        <v>803</v>
      </c>
    </row>
    <row r="1967" spans="1:4">
      <c r="A1967" s="19" t="str">
        <f>$R$2&amp;"."&amp;'Конфигурация TREI'!$A$2&amp;"_2.DIAG_9"</f>
        <v>Диагностика.TREI.CPU_2.DIAG_9</v>
      </c>
      <c r="B1967" s="11">
        <v>3</v>
      </c>
      <c r="C1967" s="11" t="s">
        <v>1</v>
      </c>
      <c r="D1967" s="20">
        <v>192</v>
      </c>
    </row>
    <row r="1968" spans="1:4">
      <c r="A1968" s="19" t="str">
        <f>$R$2&amp;"."&amp;'Конфигурация TREI'!$A$2&amp;"_2.DIAG_9"</f>
        <v>Диагностика.TREI.CPU_2.DIAG_9</v>
      </c>
      <c r="B1968" s="11">
        <v>2</v>
      </c>
      <c r="C1968" s="11" t="s">
        <v>2</v>
      </c>
      <c r="D1968" s="20" t="s">
        <v>3</v>
      </c>
    </row>
    <row r="1969" spans="1:4">
      <c r="A1969" s="21" t="str">
        <f>$R$2&amp;"."&amp;'Конфигурация TREI'!$A$2&amp;"_2.DIAG_9"</f>
        <v>Диагностика.TREI.CPU_2.DIAG_9</v>
      </c>
      <c r="B1969" s="8">
        <v>1</v>
      </c>
      <c r="C1969" s="8" t="s">
        <v>1</v>
      </c>
      <c r="D1969" s="22">
        <v>11</v>
      </c>
    </row>
    <row r="1970" spans="1:4">
      <c r="A1970" s="69" t="str">
        <f>$R$2&amp;"."&amp;'Конфигурация TREI'!$A$2&amp;"_2.DIAG_10"</f>
        <v>Диагностика.TREI.CPU_2.DIAG_10</v>
      </c>
      <c r="B1970" s="70">
        <v>11154</v>
      </c>
      <c r="C1970" s="70" t="s">
        <v>4</v>
      </c>
      <c r="D1970" s="144">
        <f>$Q$6</f>
        <v>8</v>
      </c>
    </row>
    <row r="1971" spans="1:4">
      <c r="A1971" s="63" t="str">
        <f>$R$2&amp;"."&amp;'Конфигурация TREI'!$A$2&amp;"_2.DIAG_10"</f>
        <v>Диагностика.TREI.CPU_2.DIAG_10</v>
      </c>
      <c r="B1971" s="64">
        <v>11152</v>
      </c>
      <c r="C1971" s="64" t="s">
        <v>0</v>
      </c>
      <c r="D1971" s="129" t="str">
        <f>$R$6</f>
        <v>Предупреждение</v>
      </c>
    </row>
    <row r="1972" spans="1:4">
      <c r="A1972" s="63" t="str">
        <f>$R$2&amp;"."&amp;'Конфигурация TREI'!$A$2&amp;"_2.DIAG_10"</f>
        <v>Диагностика.TREI.CPU_2.DIAG_10</v>
      </c>
      <c r="B1972" s="64">
        <v>11150</v>
      </c>
      <c r="C1972" s="64" t="s">
        <v>0</v>
      </c>
      <c r="D1972" s="65" t="s">
        <v>804</v>
      </c>
    </row>
    <row r="1973" spans="1:4">
      <c r="A1973" s="63" t="str">
        <f>$R$2&amp;"."&amp;'Конфигурация TREI'!$A$2&amp;"_2.DIAG_10"</f>
        <v>Диагностика.TREI.CPU_2.DIAG_10</v>
      </c>
      <c r="B1973" s="64">
        <v>11000</v>
      </c>
      <c r="C1973" s="64" t="s">
        <v>5</v>
      </c>
      <c r="D1973" s="65">
        <v>2147483680</v>
      </c>
    </row>
    <row r="1974" spans="1:4">
      <c r="A1974" s="19" t="str">
        <f>$R$2&amp;"."&amp;'Конфигурация TREI'!$A$2&amp;"_2.DIAG_10"</f>
        <v>Диагностика.TREI.CPU_2.DIAG_10</v>
      </c>
      <c r="B1974" s="11">
        <v>7999</v>
      </c>
      <c r="C1974" s="11" t="s">
        <v>0</v>
      </c>
      <c r="D1974" s="20" t="str">
        <f>"#"&amp;$S$2&amp;"#"&amp;$T$2&amp;IF($S$7="","","\")&amp;$S$7&amp;"\"&amp;'Конфигурация TREI'!$A$2&amp;"_2\DIAG_10"</f>
        <v>#2#treiOPCDA.CoOPCserv.1\pcmaster\CPU_2\DIAG_10</v>
      </c>
    </row>
    <row r="1975" spans="1:4">
      <c r="A1975" s="19" t="str">
        <f>$R$2&amp;"."&amp;'Конфигурация TREI'!$A$2&amp;"_2.DIAG_10"</f>
        <v>Диагностика.TREI.CPU_2.DIAG_10</v>
      </c>
      <c r="B1975" s="11">
        <v>7998</v>
      </c>
      <c r="C1975" s="11" t="s">
        <v>6</v>
      </c>
      <c r="D1975" s="20">
        <v>1</v>
      </c>
    </row>
    <row r="1976" spans="1:4">
      <c r="A1976" s="19" t="str">
        <f>$R$2&amp;"."&amp;'Конфигурация TREI'!$A$2&amp;"_2.DIAG_10"</f>
        <v>Диагностика.TREI.CPU_2.DIAG_10</v>
      </c>
      <c r="B1976" s="11">
        <v>101</v>
      </c>
      <c r="C1976" s="11" t="s">
        <v>0</v>
      </c>
      <c r="D1976" s="20" t="s">
        <v>804</v>
      </c>
    </row>
    <row r="1977" spans="1:4">
      <c r="A1977" s="19" t="str">
        <f>$R$2&amp;"."&amp;'Конфигурация TREI'!$A$2&amp;"_2.DIAG_10"</f>
        <v>Диагностика.TREI.CPU_2.DIAG_10</v>
      </c>
      <c r="B1977" s="11">
        <v>3</v>
      </c>
      <c r="C1977" s="11" t="s">
        <v>1</v>
      </c>
      <c r="D1977" s="20">
        <v>192</v>
      </c>
    </row>
    <row r="1978" spans="1:4">
      <c r="A1978" s="19" t="str">
        <f>$R$2&amp;"."&amp;'Конфигурация TREI'!$A$2&amp;"_2.DIAG_10"</f>
        <v>Диагностика.TREI.CPU_2.DIAG_10</v>
      </c>
      <c r="B1978" s="11">
        <v>2</v>
      </c>
      <c r="C1978" s="11" t="s">
        <v>2</v>
      </c>
      <c r="D1978" s="20" t="s">
        <v>3</v>
      </c>
    </row>
    <row r="1979" spans="1:4">
      <c r="A1979" s="21" t="str">
        <f>$R$2&amp;"."&amp;'Конфигурация TREI'!$A$2&amp;"_2.DIAG_10"</f>
        <v>Диагностика.TREI.CPU_2.DIAG_10</v>
      </c>
      <c r="B1979" s="8">
        <v>1</v>
      </c>
      <c r="C1979" s="8" t="s">
        <v>1</v>
      </c>
      <c r="D1979" s="22">
        <v>11</v>
      </c>
    </row>
    <row r="1980" spans="1:4">
      <c r="A1980" s="69" t="str">
        <f>$R$2&amp;"."&amp;'Конфигурация TREI'!$A$2&amp;"_2.DIAG_11"</f>
        <v>Диагностика.TREI.CPU_2.DIAG_11</v>
      </c>
      <c r="B1980" s="70">
        <v>11154</v>
      </c>
      <c r="C1980" s="70" t="s">
        <v>4</v>
      </c>
      <c r="D1980" s="144">
        <f>$Q$6</f>
        <v>8</v>
      </c>
    </row>
    <row r="1981" spans="1:4">
      <c r="A1981" s="63" t="str">
        <f>$R$2&amp;"."&amp;'Конфигурация TREI'!$A$2&amp;"_2.DIAG_11"</f>
        <v>Диагностика.TREI.CPU_2.DIAG_11</v>
      </c>
      <c r="B1981" s="64">
        <v>11152</v>
      </c>
      <c r="C1981" s="64" t="s">
        <v>0</v>
      </c>
      <c r="D1981" s="129" t="str">
        <f>$R$6</f>
        <v>Предупреждение</v>
      </c>
    </row>
    <row r="1982" spans="1:4">
      <c r="A1982" s="63" t="str">
        <f>$R$2&amp;"."&amp;'Конфигурация TREI'!$A$2&amp;"_2.DIAG_11"</f>
        <v>Диагностика.TREI.CPU_2.DIAG_11</v>
      </c>
      <c r="B1982" s="64">
        <v>11150</v>
      </c>
      <c r="C1982" s="64" t="s">
        <v>0</v>
      </c>
      <c r="D1982" s="65" t="s">
        <v>805</v>
      </c>
    </row>
    <row r="1983" spans="1:4">
      <c r="A1983" s="63" t="str">
        <f>$R$2&amp;"."&amp;'Конфигурация TREI'!$A$2&amp;"_2.DIAG_11"</f>
        <v>Диагностика.TREI.CPU_2.DIAG_11</v>
      </c>
      <c r="B1983" s="64">
        <v>11000</v>
      </c>
      <c r="C1983" s="64" t="s">
        <v>5</v>
      </c>
      <c r="D1983" s="65">
        <v>2147483680</v>
      </c>
    </row>
    <row r="1984" spans="1:4">
      <c r="A1984" s="19" t="str">
        <f>$R$2&amp;"."&amp;'Конфигурация TREI'!$A$2&amp;"_2.DIAG_11"</f>
        <v>Диагностика.TREI.CPU_2.DIAG_11</v>
      </c>
      <c r="B1984" s="11">
        <v>7999</v>
      </c>
      <c r="C1984" s="11" t="s">
        <v>0</v>
      </c>
      <c r="D1984" s="20" t="str">
        <f>"#"&amp;$S$2&amp;"#"&amp;$T$2&amp;IF($S$7="","","\")&amp;$S$7&amp;"\"&amp;'Конфигурация TREI'!$A$2&amp;"_2\DIAG_11"</f>
        <v>#2#treiOPCDA.CoOPCserv.1\pcmaster\CPU_2\DIAG_11</v>
      </c>
    </row>
    <row r="1985" spans="1:4">
      <c r="A1985" s="19" t="str">
        <f>$R$2&amp;"."&amp;'Конфигурация TREI'!$A$2&amp;"_2.DIAG_11"</f>
        <v>Диагностика.TREI.CPU_2.DIAG_11</v>
      </c>
      <c r="B1985" s="11">
        <v>7998</v>
      </c>
      <c r="C1985" s="11" t="s">
        <v>6</v>
      </c>
      <c r="D1985" s="20">
        <v>1</v>
      </c>
    </row>
    <row r="1986" spans="1:4">
      <c r="A1986" s="19" t="str">
        <f>$R$2&amp;"."&amp;'Конфигурация TREI'!$A$2&amp;"_2.DIAG_11"</f>
        <v>Диагностика.TREI.CPU_2.DIAG_11</v>
      </c>
      <c r="B1986" s="11">
        <v>101</v>
      </c>
      <c r="C1986" s="11" t="s">
        <v>0</v>
      </c>
      <c r="D1986" s="20" t="s">
        <v>805</v>
      </c>
    </row>
    <row r="1987" spans="1:4">
      <c r="A1987" s="19" t="str">
        <f>$R$2&amp;"."&amp;'Конфигурация TREI'!$A$2&amp;"_2.DIAG_11"</f>
        <v>Диагностика.TREI.CPU_2.DIAG_11</v>
      </c>
      <c r="B1987" s="11">
        <v>3</v>
      </c>
      <c r="C1987" s="11" t="s">
        <v>1</v>
      </c>
      <c r="D1987" s="20">
        <v>192</v>
      </c>
    </row>
    <row r="1988" spans="1:4">
      <c r="A1988" s="19" t="str">
        <f>$R$2&amp;"."&amp;'Конфигурация TREI'!$A$2&amp;"_2.DIAG_11"</f>
        <v>Диагностика.TREI.CPU_2.DIAG_11</v>
      </c>
      <c r="B1988" s="11">
        <v>2</v>
      </c>
      <c r="C1988" s="11" t="s">
        <v>2</v>
      </c>
      <c r="D1988" s="20" t="s">
        <v>3</v>
      </c>
    </row>
    <row r="1989" spans="1:4">
      <c r="A1989" s="21" t="str">
        <f>$R$2&amp;"."&amp;'Конфигурация TREI'!$A$2&amp;"_2.DIAG_11"</f>
        <v>Диагностика.TREI.CPU_2.DIAG_11</v>
      </c>
      <c r="B1989" s="8">
        <v>1</v>
      </c>
      <c r="C1989" s="8" t="s">
        <v>1</v>
      </c>
      <c r="D1989" s="22">
        <v>11</v>
      </c>
    </row>
    <row r="1990" spans="1:4">
      <c r="A1990" s="69" t="str">
        <f>$R$2&amp;"."&amp;'Конфигурация TREI'!$A$2&amp;"_2.DIAG_12"</f>
        <v>Диагностика.TREI.CPU_2.DIAG_12</v>
      </c>
      <c r="B1990" s="70">
        <v>11154</v>
      </c>
      <c r="C1990" s="70" t="s">
        <v>4</v>
      </c>
      <c r="D1990" s="144">
        <f>$Q$6</f>
        <v>8</v>
      </c>
    </row>
    <row r="1991" spans="1:4">
      <c r="A1991" s="63" t="str">
        <f>$R$2&amp;"."&amp;'Конфигурация TREI'!$A$2&amp;"_2.DIAG_12"</f>
        <v>Диагностика.TREI.CPU_2.DIAG_12</v>
      </c>
      <c r="B1991" s="64">
        <v>11152</v>
      </c>
      <c r="C1991" s="64" t="s">
        <v>0</v>
      </c>
      <c r="D1991" s="129" t="str">
        <f>$R$6</f>
        <v>Предупреждение</v>
      </c>
    </row>
    <row r="1992" spans="1:4">
      <c r="A1992" s="63" t="str">
        <f>$R$2&amp;"."&amp;'Конфигурация TREI'!$A$2&amp;"_2.DIAG_12"</f>
        <v>Диагностика.TREI.CPU_2.DIAG_12</v>
      </c>
      <c r="B1992" s="64">
        <v>11150</v>
      </c>
      <c r="C1992" s="64" t="s">
        <v>0</v>
      </c>
      <c r="D1992" s="65" t="s">
        <v>806</v>
      </c>
    </row>
    <row r="1993" spans="1:4">
      <c r="A1993" s="63" t="str">
        <f>$R$2&amp;"."&amp;'Конфигурация TREI'!$A$2&amp;"_2.DIAG_12"</f>
        <v>Диагностика.TREI.CPU_2.DIAG_12</v>
      </c>
      <c r="B1993" s="64">
        <v>11000</v>
      </c>
      <c r="C1993" s="64" t="s">
        <v>5</v>
      </c>
      <c r="D1993" s="65">
        <v>2147483680</v>
      </c>
    </row>
    <row r="1994" spans="1:4">
      <c r="A1994" s="19" t="str">
        <f>$R$2&amp;"."&amp;'Конфигурация TREI'!$A$2&amp;"_2.DIAG_12"</f>
        <v>Диагностика.TREI.CPU_2.DIAG_12</v>
      </c>
      <c r="B1994" s="11">
        <v>7999</v>
      </c>
      <c r="C1994" s="11" t="s">
        <v>0</v>
      </c>
      <c r="D1994" s="20" t="str">
        <f>"#"&amp;$S$2&amp;"#"&amp;$T$2&amp;IF($S$7="","","\")&amp;$S$7&amp;"\"&amp;'Конфигурация TREI'!$A$2&amp;"_2\DIAG_12"</f>
        <v>#2#treiOPCDA.CoOPCserv.1\pcmaster\CPU_2\DIAG_12</v>
      </c>
    </row>
    <row r="1995" spans="1:4">
      <c r="A1995" s="19" t="str">
        <f>$R$2&amp;"."&amp;'Конфигурация TREI'!$A$2&amp;"_2.DIAG_12"</f>
        <v>Диагностика.TREI.CPU_2.DIAG_12</v>
      </c>
      <c r="B1995" s="11">
        <v>7998</v>
      </c>
      <c r="C1995" s="11" t="s">
        <v>6</v>
      </c>
      <c r="D1995" s="20">
        <v>1</v>
      </c>
    </row>
    <row r="1996" spans="1:4">
      <c r="A1996" s="19" t="str">
        <f>$R$2&amp;"."&amp;'Конфигурация TREI'!$A$2&amp;"_2.DIAG_12"</f>
        <v>Диагностика.TREI.CPU_2.DIAG_12</v>
      </c>
      <c r="B1996" s="11">
        <v>101</v>
      </c>
      <c r="C1996" s="11" t="s">
        <v>0</v>
      </c>
      <c r="D1996" s="20" t="s">
        <v>806</v>
      </c>
    </row>
    <row r="1997" spans="1:4">
      <c r="A1997" s="19" t="str">
        <f>$R$2&amp;"."&amp;'Конфигурация TREI'!$A$2&amp;"_2.DIAG_12"</f>
        <v>Диагностика.TREI.CPU_2.DIAG_12</v>
      </c>
      <c r="B1997" s="11">
        <v>3</v>
      </c>
      <c r="C1997" s="11" t="s">
        <v>1</v>
      </c>
      <c r="D1997" s="20">
        <v>192</v>
      </c>
    </row>
    <row r="1998" spans="1:4">
      <c r="A1998" s="19" t="str">
        <f>$R$2&amp;"."&amp;'Конфигурация TREI'!$A$2&amp;"_2.DIAG_12"</f>
        <v>Диагностика.TREI.CPU_2.DIAG_12</v>
      </c>
      <c r="B1998" s="11">
        <v>2</v>
      </c>
      <c r="C1998" s="11" t="s">
        <v>2</v>
      </c>
      <c r="D1998" s="20" t="s">
        <v>3</v>
      </c>
    </row>
    <row r="1999" spans="1:4">
      <c r="A1999" s="21" t="str">
        <f>$R$2&amp;"."&amp;'Конфигурация TREI'!$A$2&amp;"_2.DIAG_12"</f>
        <v>Диагностика.TREI.CPU_2.DIAG_12</v>
      </c>
      <c r="B1999" s="8">
        <v>1</v>
      </c>
      <c r="C1999" s="8" t="s">
        <v>1</v>
      </c>
      <c r="D1999" s="22">
        <v>11</v>
      </c>
    </row>
    <row r="2000" spans="1:4">
      <c r="A2000" s="69" t="str">
        <f>$R$2&amp;"."&amp;'Конфигурация TREI'!$A$2&amp;"_2.DIAG_13"</f>
        <v>Диагностика.TREI.CPU_2.DIAG_13</v>
      </c>
      <c r="B2000" s="70">
        <v>11154</v>
      </c>
      <c r="C2000" s="70" t="s">
        <v>4</v>
      </c>
      <c r="D2000" s="144">
        <f>$Q$6</f>
        <v>8</v>
      </c>
    </row>
    <row r="2001" spans="1:4">
      <c r="A2001" s="63" t="str">
        <f>$R$2&amp;"."&amp;'Конфигурация TREI'!$A$2&amp;"_2.DIAG_13"</f>
        <v>Диагностика.TREI.CPU_2.DIAG_13</v>
      </c>
      <c r="B2001" s="64">
        <v>11152</v>
      </c>
      <c r="C2001" s="64" t="s">
        <v>0</v>
      </c>
      <c r="D2001" s="129" t="str">
        <f>$R$6</f>
        <v>Предупреждение</v>
      </c>
    </row>
    <row r="2002" spans="1:4">
      <c r="A2002" s="63" t="str">
        <f>$R$2&amp;"."&amp;'Конфигурация TREI'!$A$2&amp;"_2.DIAG_13"</f>
        <v>Диагностика.TREI.CPU_2.DIAG_13</v>
      </c>
      <c r="B2002" s="64">
        <v>11150</v>
      </c>
      <c r="C2002" s="64" t="s">
        <v>0</v>
      </c>
      <c r="D2002" s="65" t="s">
        <v>807</v>
      </c>
    </row>
    <row r="2003" spans="1:4">
      <c r="A2003" s="63" t="str">
        <f>$R$2&amp;"."&amp;'Конфигурация TREI'!$A$2&amp;"_2.DIAG_13"</f>
        <v>Диагностика.TREI.CPU_2.DIAG_13</v>
      </c>
      <c r="B2003" s="64">
        <v>11000</v>
      </c>
      <c r="C2003" s="64" t="s">
        <v>5</v>
      </c>
      <c r="D2003" s="65">
        <v>2147483680</v>
      </c>
    </row>
    <row r="2004" spans="1:4">
      <c r="A2004" s="19" t="str">
        <f>$R$2&amp;"."&amp;'Конфигурация TREI'!$A$2&amp;"_2.DIAG_13"</f>
        <v>Диагностика.TREI.CPU_2.DIAG_13</v>
      </c>
      <c r="B2004" s="11">
        <v>7999</v>
      </c>
      <c r="C2004" s="11" t="s">
        <v>0</v>
      </c>
      <c r="D2004" s="20" t="str">
        <f>"#"&amp;$S$2&amp;"#"&amp;$T$2&amp;IF($S$7="","","\")&amp;$S$7&amp;"\"&amp;'Конфигурация TREI'!$A$2&amp;"_2\DIAG_13"</f>
        <v>#2#treiOPCDA.CoOPCserv.1\pcmaster\CPU_2\DIAG_13</v>
      </c>
    </row>
    <row r="2005" spans="1:4">
      <c r="A2005" s="19" t="str">
        <f>$R$2&amp;"."&amp;'Конфигурация TREI'!$A$2&amp;"_2.DIAG_13"</f>
        <v>Диагностика.TREI.CPU_2.DIAG_13</v>
      </c>
      <c r="B2005" s="11">
        <v>7998</v>
      </c>
      <c r="C2005" s="11" t="s">
        <v>6</v>
      </c>
      <c r="D2005" s="20">
        <v>1</v>
      </c>
    </row>
    <row r="2006" spans="1:4">
      <c r="A2006" s="19" t="str">
        <f>$R$2&amp;"."&amp;'Конфигурация TREI'!$A$2&amp;"_2.DIAG_13"</f>
        <v>Диагностика.TREI.CPU_2.DIAG_13</v>
      </c>
      <c r="B2006" s="11">
        <v>101</v>
      </c>
      <c r="C2006" s="11" t="s">
        <v>0</v>
      </c>
      <c r="D2006" s="20" t="s">
        <v>807</v>
      </c>
    </row>
    <row r="2007" spans="1:4">
      <c r="A2007" s="19" t="str">
        <f>$R$2&amp;"."&amp;'Конфигурация TREI'!$A$2&amp;"_2.DIAG_13"</f>
        <v>Диагностика.TREI.CPU_2.DIAG_13</v>
      </c>
      <c r="B2007" s="11">
        <v>3</v>
      </c>
      <c r="C2007" s="11" t="s">
        <v>1</v>
      </c>
      <c r="D2007" s="20">
        <v>192</v>
      </c>
    </row>
    <row r="2008" spans="1:4">
      <c r="A2008" s="19" t="str">
        <f>$R$2&amp;"."&amp;'Конфигурация TREI'!$A$2&amp;"_2.DIAG_13"</f>
        <v>Диагностика.TREI.CPU_2.DIAG_13</v>
      </c>
      <c r="B2008" s="11">
        <v>2</v>
      </c>
      <c r="C2008" s="11" t="s">
        <v>2</v>
      </c>
      <c r="D2008" s="20" t="s">
        <v>3</v>
      </c>
    </row>
    <row r="2009" spans="1:4">
      <c r="A2009" s="21" t="str">
        <f>$R$2&amp;"."&amp;'Конфигурация TREI'!$A$2&amp;"_2.DIAG_13"</f>
        <v>Диагностика.TREI.CPU_2.DIAG_13</v>
      </c>
      <c r="B2009" s="8">
        <v>1</v>
      </c>
      <c r="C2009" s="8" t="s">
        <v>1</v>
      </c>
      <c r="D2009" s="22">
        <v>11</v>
      </c>
    </row>
    <row r="2010" spans="1:4">
      <c r="A2010" s="69" t="str">
        <f>$R$2&amp;"."&amp;'Конфигурация TREI'!$A$2&amp;"_2.DIAG_14"</f>
        <v>Диагностика.TREI.CPU_2.DIAG_14</v>
      </c>
      <c r="B2010" s="70">
        <v>11154</v>
      </c>
      <c r="C2010" s="70" t="s">
        <v>4</v>
      </c>
      <c r="D2010" s="144">
        <f>$Q$6</f>
        <v>8</v>
      </c>
    </row>
    <row r="2011" spans="1:4">
      <c r="A2011" s="63" t="str">
        <f>$R$2&amp;"."&amp;'Конфигурация TREI'!$A$2&amp;"_2.DIAG_14"</f>
        <v>Диагностика.TREI.CPU_2.DIAG_14</v>
      </c>
      <c r="B2011" s="64">
        <v>11152</v>
      </c>
      <c r="C2011" s="64" t="s">
        <v>0</v>
      </c>
      <c r="D2011" s="129" t="str">
        <f>$R$6</f>
        <v>Предупреждение</v>
      </c>
    </row>
    <row r="2012" spans="1:4">
      <c r="A2012" s="63" t="str">
        <f>$R$2&amp;"."&amp;'Конфигурация TREI'!$A$2&amp;"_2.DIAG_14"</f>
        <v>Диагностика.TREI.CPU_2.DIAG_14</v>
      </c>
      <c r="B2012" s="64">
        <v>11150</v>
      </c>
      <c r="C2012" s="64" t="s">
        <v>0</v>
      </c>
      <c r="D2012" s="65" t="s">
        <v>808</v>
      </c>
    </row>
    <row r="2013" spans="1:4">
      <c r="A2013" s="63" t="str">
        <f>$R$2&amp;"."&amp;'Конфигурация TREI'!$A$2&amp;"_2.DIAG_14"</f>
        <v>Диагностика.TREI.CPU_2.DIAG_14</v>
      </c>
      <c r="B2013" s="64">
        <v>11000</v>
      </c>
      <c r="C2013" s="64" t="s">
        <v>5</v>
      </c>
      <c r="D2013" s="65">
        <v>2147483680</v>
      </c>
    </row>
    <row r="2014" spans="1:4">
      <c r="A2014" s="19" t="str">
        <f>$R$2&amp;"."&amp;'Конфигурация TREI'!$A$2&amp;"_2.DIAG_14"</f>
        <v>Диагностика.TREI.CPU_2.DIAG_14</v>
      </c>
      <c r="B2014" s="11">
        <v>7999</v>
      </c>
      <c r="C2014" s="11" t="s">
        <v>0</v>
      </c>
      <c r="D2014" s="20" t="str">
        <f>"#"&amp;$S$2&amp;"#"&amp;$T$2&amp;IF($S$7="","","\")&amp;$S$7&amp;"\"&amp;'Конфигурация TREI'!$A$2&amp;"_2\DIAG_14"</f>
        <v>#2#treiOPCDA.CoOPCserv.1\pcmaster\CPU_2\DIAG_14</v>
      </c>
    </row>
    <row r="2015" spans="1:4">
      <c r="A2015" s="19" t="str">
        <f>$R$2&amp;"."&amp;'Конфигурация TREI'!$A$2&amp;"_2.DIAG_14"</f>
        <v>Диагностика.TREI.CPU_2.DIAG_14</v>
      </c>
      <c r="B2015" s="11">
        <v>7998</v>
      </c>
      <c r="C2015" s="11" t="s">
        <v>6</v>
      </c>
      <c r="D2015" s="20">
        <v>1</v>
      </c>
    </row>
    <row r="2016" spans="1:4">
      <c r="A2016" s="19" t="str">
        <f>$R$2&amp;"."&amp;'Конфигурация TREI'!$A$2&amp;"_2.DIAG_14"</f>
        <v>Диагностика.TREI.CPU_2.DIAG_14</v>
      </c>
      <c r="B2016" s="11">
        <v>101</v>
      </c>
      <c r="C2016" s="11" t="s">
        <v>0</v>
      </c>
      <c r="D2016" s="20" t="s">
        <v>808</v>
      </c>
    </row>
    <row r="2017" spans="1:4">
      <c r="A2017" s="19" t="str">
        <f>$R$2&amp;"."&amp;'Конфигурация TREI'!$A$2&amp;"_2.DIAG_14"</f>
        <v>Диагностика.TREI.CPU_2.DIAG_14</v>
      </c>
      <c r="B2017" s="11">
        <v>3</v>
      </c>
      <c r="C2017" s="11" t="s">
        <v>1</v>
      </c>
      <c r="D2017" s="20">
        <v>192</v>
      </c>
    </row>
    <row r="2018" spans="1:4">
      <c r="A2018" s="19" t="str">
        <f>$R$2&amp;"."&amp;'Конфигурация TREI'!$A$2&amp;"_2.DIAG_14"</f>
        <v>Диагностика.TREI.CPU_2.DIAG_14</v>
      </c>
      <c r="B2018" s="11">
        <v>2</v>
      </c>
      <c r="C2018" s="11" t="s">
        <v>2</v>
      </c>
      <c r="D2018" s="20" t="s">
        <v>3</v>
      </c>
    </row>
    <row r="2019" spans="1:4">
      <c r="A2019" s="21" t="str">
        <f>$R$2&amp;"."&amp;'Конфигурация TREI'!$A$2&amp;"_2.DIAG_14"</f>
        <v>Диагностика.TREI.CPU_2.DIAG_14</v>
      </c>
      <c r="B2019" s="8">
        <v>1</v>
      </c>
      <c r="C2019" s="8" t="s">
        <v>1</v>
      </c>
      <c r="D2019" s="22">
        <v>11</v>
      </c>
    </row>
    <row r="2020" spans="1:4">
      <c r="A2020" s="159" t="str">
        <f>$R$2&amp;"."&amp;'Конфигурация TREI'!$A$2&amp;"_2.DIAG_15"</f>
        <v>Диагностика.TREI.CPU_2.DIAG_15</v>
      </c>
      <c r="B2020" s="160">
        <v>11154</v>
      </c>
      <c r="C2020" s="160" t="s">
        <v>4</v>
      </c>
      <c r="D2020" s="161">
        <f>$Q$8</f>
        <v>18</v>
      </c>
    </row>
    <row r="2021" spans="1:4">
      <c r="A2021" s="100" t="str">
        <f>$R$2&amp;"."&amp;'Конфигурация TREI'!$A$2&amp;"_2.DIAG_15"</f>
        <v>Диагностика.TREI.CPU_2.DIAG_15</v>
      </c>
      <c r="B2021" s="101">
        <v>11152</v>
      </c>
      <c r="C2021" s="101" t="s">
        <v>0</v>
      </c>
      <c r="D2021" s="104" t="str">
        <f>$R$8</f>
        <v>Телесигнализация</v>
      </c>
    </row>
    <row r="2022" spans="1:4">
      <c r="A2022" s="100" t="str">
        <f>$R$2&amp;"."&amp;'Конфигурация TREI'!$A$2&amp;"_2.DIAG_15"</f>
        <v>Диагностика.TREI.CPU_2.DIAG_15</v>
      </c>
      <c r="B2022" s="101">
        <v>11150</v>
      </c>
      <c r="C2022" s="101" t="s">
        <v>0</v>
      </c>
      <c r="D2022" s="103" t="s">
        <v>809</v>
      </c>
    </row>
    <row r="2023" spans="1:4">
      <c r="A2023" s="100" t="str">
        <f>$R$2&amp;"."&amp;'Конфигурация TREI'!$A$2&amp;"_2.DIAG_15"</f>
        <v>Диагностика.TREI.CPU_2.DIAG_15</v>
      </c>
      <c r="B2023" s="101">
        <v>11000</v>
      </c>
      <c r="C2023" s="101" t="s">
        <v>5</v>
      </c>
      <c r="D2023" s="103">
        <v>2147483680</v>
      </c>
    </row>
    <row r="2024" spans="1:4">
      <c r="A2024" s="19" t="str">
        <f>$R$2&amp;"."&amp;'Конфигурация TREI'!$A$2&amp;"_2.DIAG_15"</f>
        <v>Диагностика.TREI.CPU_2.DIAG_15</v>
      </c>
      <c r="B2024" s="11">
        <v>7999</v>
      </c>
      <c r="C2024" s="11" t="s">
        <v>0</v>
      </c>
      <c r="D2024" s="20" t="str">
        <f>"#"&amp;$S$2&amp;"#"&amp;$T$2&amp;IF($S$7="","","\")&amp;$S$7&amp;"\"&amp;'Конфигурация TREI'!$A$2&amp;"_2\DIAG_15"</f>
        <v>#2#treiOPCDA.CoOPCserv.1\pcmaster\CPU_2\DIAG_15</v>
      </c>
    </row>
    <row r="2025" spans="1:4">
      <c r="A2025" s="19" t="str">
        <f>$R$2&amp;"."&amp;'Конфигурация TREI'!$A$2&amp;"_2.DIAG_15"</f>
        <v>Диагностика.TREI.CPU_2.DIAG_15</v>
      </c>
      <c r="B2025" s="11">
        <v>7998</v>
      </c>
      <c r="C2025" s="11" t="s">
        <v>6</v>
      </c>
      <c r="D2025" s="20">
        <v>1</v>
      </c>
    </row>
    <row r="2026" spans="1:4">
      <c r="A2026" s="19" t="str">
        <f>$R$2&amp;"."&amp;'Конфигурация TREI'!$A$2&amp;"_2.DIAG_15"</f>
        <v>Диагностика.TREI.CPU_2.DIAG_15</v>
      </c>
      <c r="B2026" s="11">
        <v>101</v>
      </c>
      <c r="C2026" s="11" t="s">
        <v>0</v>
      </c>
      <c r="D2026" s="20" t="s">
        <v>809</v>
      </c>
    </row>
    <row r="2027" spans="1:4">
      <c r="A2027" s="19" t="str">
        <f>$R$2&amp;"."&amp;'Конфигурация TREI'!$A$2&amp;"_2.DIAG_15"</f>
        <v>Диагностика.TREI.CPU_2.DIAG_15</v>
      </c>
      <c r="B2027" s="11">
        <v>3</v>
      </c>
      <c r="C2027" s="11" t="s">
        <v>1</v>
      </c>
      <c r="D2027" s="20">
        <v>192</v>
      </c>
    </row>
    <row r="2028" spans="1:4">
      <c r="A2028" s="19" t="str">
        <f>$R$2&amp;"."&amp;'Конфигурация TREI'!$A$2&amp;"_2.DIAG_15"</f>
        <v>Диагностика.TREI.CPU_2.DIAG_15</v>
      </c>
      <c r="B2028" s="11">
        <v>2</v>
      </c>
      <c r="C2028" s="11" t="s">
        <v>2</v>
      </c>
      <c r="D2028" s="20" t="s">
        <v>3</v>
      </c>
    </row>
    <row r="2029" spans="1:4">
      <c r="A2029" s="21" t="str">
        <f>$R$2&amp;"."&amp;'Конфигурация TREI'!$A$2&amp;"_2.DIAG_15"</f>
        <v>Диагностика.TREI.CPU_2.DIAG_15</v>
      </c>
      <c r="B2029" s="8">
        <v>1</v>
      </c>
      <c r="C2029" s="8" t="s">
        <v>1</v>
      </c>
      <c r="D2029" s="22">
        <v>11</v>
      </c>
    </row>
    <row r="2030" spans="1:4">
      <c r="A2030" s="159" t="str">
        <f>$R$2&amp;"."&amp;'Конфигурация TREI'!$A$2&amp;"_2.DIAG_17"</f>
        <v>Диагностика.TREI.CPU_2.DIAG_17</v>
      </c>
      <c r="B2030" s="160">
        <v>11154</v>
      </c>
      <c r="C2030" s="160" t="s">
        <v>4</v>
      </c>
      <c r="D2030" s="161">
        <f>$Q$8</f>
        <v>18</v>
      </c>
    </row>
    <row r="2031" spans="1:4">
      <c r="A2031" s="100" t="str">
        <f>$R$2&amp;"."&amp;'Конфигурация TREI'!$A$2&amp;"_2.DIAG_17"</f>
        <v>Диагностика.TREI.CPU_2.DIAG_17</v>
      </c>
      <c r="B2031" s="101">
        <v>11152</v>
      </c>
      <c r="C2031" s="101" t="s">
        <v>0</v>
      </c>
      <c r="D2031" s="104" t="str">
        <f>$R$8</f>
        <v>Телесигнализация</v>
      </c>
    </row>
    <row r="2032" spans="1:4">
      <c r="A2032" s="100" t="str">
        <f>$R$2&amp;"."&amp;'Конфигурация TREI'!$A$2&amp;"_2.DIAG_17"</f>
        <v>Диагностика.TREI.CPU_2.DIAG_17</v>
      </c>
      <c r="B2032" s="101">
        <v>11150</v>
      </c>
      <c r="C2032" s="101" t="s">
        <v>0</v>
      </c>
      <c r="D2032" s="103" t="s">
        <v>810</v>
      </c>
    </row>
    <row r="2033" spans="1:4">
      <c r="A2033" s="100" t="str">
        <f>$R$2&amp;"."&amp;'Конфигурация TREI'!$A$2&amp;"_2.DIAG_17"</f>
        <v>Диагностика.TREI.CPU_2.DIAG_17</v>
      </c>
      <c r="B2033" s="101">
        <v>11000</v>
      </c>
      <c r="C2033" s="101" t="s">
        <v>5</v>
      </c>
      <c r="D2033" s="103">
        <v>2147483680</v>
      </c>
    </row>
    <row r="2034" spans="1:4">
      <c r="A2034" s="19" t="str">
        <f>$R$2&amp;"."&amp;'Конфигурация TREI'!$A$2&amp;"_2.DIAG_17"</f>
        <v>Диагностика.TREI.CPU_2.DIAG_17</v>
      </c>
      <c r="B2034" s="11">
        <v>7999</v>
      </c>
      <c r="C2034" s="11" t="s">
        <v>0</v>
      </c>
      <c r="D2034" s="20" t="str">
        <f>"#"&amp;$S$2&amp;"#"&amp;$T$2&amp;IF($S$7="","","\")&amp;$S$7&amp;"\"&amp;'Конфигурация TREI'!$A$2&amp;"_2\DIAG_17"</f>
        <v>#2#treiOPCDA.CoOPCserv.1\pcmaster\CPU_2\DIAG_17</v>
      </c>
    </row>
    <row r="2035" spans="1:4">
      <c r="A2035" s="19" t="str">
        <f>$R$2&amp;"."&amp;'Конфигурация TREI'!$A$2&amp;"_2.DIAG_17"</f>
        <v>Диагностика.TREI.CPU_2.DIAG_17</v>
      </c>
      <c r="B2035" s="11">
        <v>7998</v>
      </c>
      <c r="C2035" s="11" t="s">
        <v>6</v>
      </c>
      <c r="D2035" s="20">
        <v>1</v>
      </c>
    </row>
    <row r="2036" spans="1:4">
      <c r="A2036" s="19" t="str">
        <f>$R$2&amp;"."&amp;'Конфигурация TREI'!$A$2&amp;"_2.DIAG_17"</f>
        <v>Диагностика.TREI.CPU_2.DIAG_17</v>
      </c>
      <c r="B2036" s="11">
        <v>101</v>
      </c>
      <c r="C2036" s="11" t="s">
        <v>0</v>
      </c>
      <c r="D2036" s="20" t="s">
        <v>810</v>
      </c>
    </row>
    <row r="2037" spans="1:4">
      <c r="A2037" s="19" t="str">
        <f>$R$2&amp;"."&amp;'Конфигурация TREI'!$A$2&amp;"_2.DIAG_17"</f>
        <v>Диагностика.TREI.CPU_2.DIAG_17</v>
      </c>
      <c r="B2037" s="11">
        <v>3</v>
      </c>
      <c r="C2037" s="11" t="s">
        <v>1</v>
      </c>
      <c r="D2037" s="20">
        <v>192</v>
      </c>
    </row>
    <row r="2038" spans="1:4">
      <c r="A2038" s="19" t="str">
        <f>$R$2&amp;"."&amp;'Конфигурация TREI'!$A$2&amp;"_2.DIAG_17"</f>
        <v>Диагностика.TREI.CPU_2.DIAG_17</v>
      </c>
      <c r="B2038" s="11">
        <v>2</v>
      </c>
      <c r="C2038" s="11" t="s">
        <v>2</v>
      </c>
      <c r="D2038" s="20" t="s">
        <v>3</v>
      </c>
    </row>
    <row r="2039" spans="1:4">
      <c r="A2039" s="21" t="str">
        <f>$R$2&amp;"."&amp;'Конфигурация TREI'!$A$2&amp;"_2.DIAG_17"</f>
        <v>Диагностика.TREI.CPU_2.DIAG_17</v>
      </c>
      <c r="B2039" s="8">
        <v>1</v>
      </c>
      <c r="C2039" s="8" t="s">
        <v>1</v>
      </c>
      <c r="D2039" s="22">
        <v>11</v>
      </c>
    </row>
    <row r="2040" spans="1:4">
      <c r="A2040" s="159" t="str">
        <f>$R$2&amp;"."&amp;'Конфигурация TREI'!$A$2&amp;"_2.DIAG_19"</f>
        <v>Диагностика.TREI.CPU_2.DIAG_19</v>
      </c>
      <c r="B2040" s="160">
        <v>11154</v>
      </c>
      <c r="C2040" s="160" t="s">
        <v>4</v>
      </c>
      <c r="D2040" s="161">
        <f>$Q$8</f>
        <v>18</v>
      </c>
    </row>
    <row r="2041" spans="1:4">
      <c r="A2041" s="100" t="str">
        <f>$R$2&amp;"."&amp;'Конфигурация TREI'!$A$2&amp;"_2.DIAG_19"</f>
        <v>Диагностика.TREI.CPU_2.DIAG_19</v>
      </c>
      <c r="B2041" s="101">
        <v>11152</v>
      </c>
      <c r="C2041" s="101" t="s">
        <v>0</v>
      </c>
      <c r="D2041" s="104" t="str">
        <f>$R$8</f>
        <v>Телесигнализация</v>
      </c>
    </row>
    <row r="2042" spans="1:4">
      <c r="A2042" s="100" t="str">
        <f>$R$2&amp;"."&amp;'Конфигурация TREI'!$A$2&amp;"_2.DIAG_19"</f>
        <v>Диагностика.TREI.CPU_2.DIAG_19</v>
      </c>
      <c r="B2042" s="101">
        <v>11150</v>
      </c>
      <c r="C2042" s="101" t="s">
        <v>0</v>
      </c>
      <c r="D2042" s="103" t="s">
        <v>811</v>
      </c>
    </row>
    <row r="2043" spans="1:4">
      <c r="A2043" s="100" t="str">
        <f>$R$2&amp;"."&amp;'Конфигурация TREI'!$A$2&amp;"_2.DIAG_19"</f>
        <v>Диагностика.TREI.CPU_2.DIAG_19</v>
      </c>
      <c r="B2043" s="101">
        <v>11000</v>
      </c>
      <c r="C2043" s="101" t="s">
        <v>5</v>
      </c>
      <c r="D2043" s="103">
        <v>2147483680</v>
      </c>
    </row>
    <row r="2044" spans="1:4">
      <c r="A2044" s="19" t="str">
        <f>$R$2&amp;"."&amp;'Конфигурация TREI'!$A$2&amp;"_2.DIAG_19"</f>
        <v>Диагностика.TREI.CPU_2.DIAG_19</v>
      </c>
      <c r="B2044" s="11">
        <v>7999</v>
      </c>
      <c r="C2044" s="11" t="s">
        <v>0</v>
      </c>
      <c r="D2044" s="20" t="str">
        <f>"#"&amp;$S$2&amp;"#"&amp;$T$2&amp;IF($S$7="","","\")&amp;$S$7&amp;"\"&amp;'Конфигурация TREI'!$A$2&amp;"_2\DIAG_19"</f>
        <v>#2#treiOPCDA.CoOPCserv.1\pcmaster\CPU_2\DIAG_19</v>
      </c>
    </row>
    <row r="2045" spans="1:4">
      <c r="A2045" s="19" t="str">
        <f>$R$2&amp;"."&amp;'Конфигурация TREI'!$A$2&amp;"_2.DIAG_19"</f>
        <v>Диагностика.TREI.CPU_2.DIAG_19</v>
      </c>
      <c r="B2045" s="11">
        <v>7998</v>
      </c>
      <c r="C2045" s="11" t="s">
        <v>6</v>
      </c>
      <c r="D2045" s="20">
        <v>1</v>
      </c>
    </row>
    <row r="2046" spans="1:4">
      <c r="A2046" s="19" t="str">
        <f>$R$2&amp;"."&amp;'Конфигурация TREI'!$A$2&amp;"_2.DIAG_19"</f>
        <v>Диагностика.TREI.CPU_2.DIAG_19</v>
      </c>
      <c r="B2046" s="11">
        <v>101</v>
      </c>
      <c r="C2046" s="11" t="s">
        <v>0</v>
      </c>
      <c r="D2046" s="20" t="s">
        <v>811</v>
      </c>
    </row>
    <row r="2047" spans="1:4">
      <c r="A2047" s="19" t="str">
        <f>$R$2&amp;"."&amp;'Конфигурация TREI'!$A$2&amp;"_2.DIAG_19"</f>
        <v>Диагностика.TREI.CPU_2.DIAG_19</v>
      </c>
      <c r="B2047" s="11">
        <v>3</v>
      </c>
      <c r="C2047" s="11" t="s">
        <v>1</v>
      </c>
      <c r="D2047" s="20">
        <v>192</v>
      </c>
    </row>
    <row r="2048" spans="1:4">
      <c r="A2048" s="19" t="str">
        <f>$R$2&amp;"."&amp;'Конфигурация TREI'!$A$2&amp;"_2.DIAG_19"</f>
        <v>Диагностика.TREI.CPU_2.DIAG_19</v>
      </c>
      <c r="B2048" s="11">
        <v>2</v>
      </c>
      <c r="C2048" s="11" t="s">
        <v>2</v>
      </c>
      <c r="D2048" s="20" t="s">
        <v>3</v>
      </c>
    </row>
    <row r="2049" spans="1:4">
      <c r="A2049" s="21" t="str">
        <f>$R$2&amp;"."&amp;'Конфигурация TREI'!$A$2&amp;"_2.DIAG_19"</f>
        <v>Диагностика.TREI.CPU_2.DIAG_19</v>
      </c>
      <c r="B2049" s="8">
        <v>1</v>
      </c>
      <c r="C2049" s="8" t="s">
        <v>1</v>
      </c>
      <c r="D2049" s="22">
        <v>11</v>
      </c>
    </row>
    <row r="2050" spans="1:4">
      <c r="A2050" s="159" t="str">
        <f>$R$2&amp;"."&amp;'Конфигурация TREI'!$A$2&amp;"_2.DIAG_21"</f>
        <v>Диагностика.TREI.CPU_2.DIAG_21</v>
      </c>
      <c r="B2050" s="160">
        <v>11154</v>
      </c>
      <c r="C2050" s="160" t="s">
        <v>4</v>
      </c>
      <c r="D2050" s="161">
        <f>$Q$8</f>
        <v>18</v>
      </c>
    </row>
    <row r="2051" spans="1:4">
      <c r="A2051" s="100" t="str">
        <f>$R$2&amp;"."&amp;'Конфигурация TREI'!$A$2&amp;"_2.DIAG_21"</f>
        <v>Диагностика.TREI.CPU_2.DIAG_21</v>
      </c>
      <c r="B2051" s="101">
        <v>11152</v>
      </c>
      <c r="C2051" s="101" t="s">
        <v>0</v>
      </c>
      <c r="D2051" s="104" t="str">
        <f>$R$8</f>
        <v>Телесигнализация</v>
      </c>
    </row>
    <row r="2052" spans="1:4">
      <c r="A2052" s="100" t="str">
        <f>$R$2&amp;"."&amp;'Конфигурация TREI'!$A$2&amp;"_2.DIAG_21"</f>
        <v>Диагностика.TREI.CPU_2.DIAG_21</v>
      </c>
      <c r="B2052" s="101">
        <v>11150</v>
      </c>
      <c r="C2052" s="101" t="s">
        <v>0</v>
      </c>
      <c r="D2052" s="103" t="s">
        <v>1405</v>
      </c>
    </row>
    <row r="2053" spans="1:4">
      <c r="A2053" s="100" t="str">
        <f>$R$2&amp;"."&amp;'Конфигурация TREI'!$A$2&amp;"_2.DIAG_21"</f>
        <v>Диагностика.TREI.CPU_2.DIAG_21</v>
      </c>
      <c r="B2053" s="101">
        <v>11000</v>
      </c>
      <c r="C2053" s="101" t="s">
        <v>5</v>
      </c>
      <c r="D2053" s="103">
        <v>2147483680</v>
      </c>
    </row>
    <row r="2054" spans="1:4">
      <c r="A2054" s="19" t="str">
        <f>$R$2&amp;"."&amp;'Конфигурация TREI'!$A$2&amp;"_2.DIAG_21"</f>
        <v>Диагностика.TREI.CPU_2.DIAG_21</v>
      </c>
      <c r="B2054" s="11">
        <v>7999</v>
      </c>
      <c r="C2054" s="11" t="s">
        <v>0</v>
      </c>
      <c r="D2054" s="20" t="str">
        <f>"#"&amp;$S$2&amp;"#"&amp;$T$2&amp;IF($S$7="","","\")&amp;$S$7&amp;"\"&amp;'Конфигурация TREI'!$A$2&amp;"_2\DIAG_21"</f>
        <v>#2#treiOPCDA.CoOPCserv.1\pcmaster\CPU_2\DIAG_21</v>
      </c>
    </row>
    <row r="2055" spans="1:4">
      <c r="A2055" s="19" t="str">
        <f>$R$2&amp;"."&amp;'Конфигурация TREI'!$A$2&amp;"_2.DIAG_21"</f>
        <v>Диагностика.TREI.CPU_2.DIAG_21</v>
      </c>
      <c r="B2055" s="11">
        <v>7998</v>
      </c>
      <c r="C2055" s="11" t="s">
        <v>6</v>
      </c>
      <c r="D2055" s="20">
        <v>1</v>
      </c>
    </row>
    <row r="2056" spans="1:4">
      <c r="A2056" s="19" t="str">
        <f>$R$2&amp;"."&amp;'Конфигурация TREI'!$A$2&amp;"_2.DIAG_21"</f>
        <v>Диагностика.TREI.CPU_2.DIAG_21</v>
      </c>
      <c r="B2056" s="11">
        <v>101</v>
      </c>
      <c r="C2056" s="11" t="s">
        <v>0</v>
      </c>
      <c r="D2056" s="20" t="s">
        <v>1405</v>
      </c>
    </row>
    <row r="2057" spans="1:4">
      <c r="A2057" s="19" t="str">
        <f>$R$2&amp;"."&amp;'Конфигурация TREI'!$A$2&amp;"_2.DIAG_21"</f>
        <v>Диагностика.TREI.CPU_2.DIAG_21</v>
      </c>
      <c r="B2057" s="11">
        <v>3</v>
      </c>
      <c r="C2057" s="11" t="s">
        <v>1</v>
      </c>
      <c r="D2057" s="20">
        <v>192</v>
      </c>
    </row>
    <row r="2058" spans="1:4">
      <c r="A2058" s="19" t="str">
        <f>$R$2&amp;"."&amp;'Конфигурация TREI'!$A$2&amp;"_2.DIAG_21"</f>
        <v>Диагностика.TREI.CPU_2.DIAG_21</v>
      </c>
      <c r="B2058" s="11">
        <v>2</v>
      </c>
      <c r="C2058" s="11" t="s">
        <v>2</v>
      </c>
      <c r="D2058" s="20" t="s">
        <v>3</v>
      </c>
    </row>
    <row r="2059" spans="1:4">
      <c r="A2059" s="21" t="str">
        <f>$R$2&amp;"."&amp;'Конфигурация TREI'!$A$2&amp;"_2.DIAG_21"</f>
        <v>Диагностика.TREI.CPU_2.DIAG_21</v>
      </c>
      <c r="B2059" s="8">
        <v>1</v>
      </c>
      <c r="C2059" s="8" t="s">
        <v>1</v>
      </c>
      <c r="D2059" s="22">
        <v>11</v>
      </c>
    </row>
    <row r="2060" spans="1:4">
      <c r="A2060" s="159" t="str">
        <f>$R$2&amp;"."&amp;'Конфигурация TREI'!$A$2&amp;"_2.DIAG_22"</f>
        <v>Диагностика.TREI.CPU_2.DIAG_22</v>
      </c>
      <c r="B2060" s="160">
        <v>11154</v>
      </c>
      <c r="C2060" s="160" t="s">
        <v>4</v>
      </c>
      <c r="D2060" s="161">
        <f>$Q$8</f>
        <v>18</v>
      </c>
    </row>
    <row r="2061" spans="1:4">
      <c r="A2061" s="100" t="str">
        <f>$R$2&amp;"."&amp;'Конфигурация TREI'!$A$2&amp;"_2.DIAG_22"</f>
        <v>Диагностика.TREI.CPU_2.DIAG_22</v>
      </c>
      <c r="B2061" s="101">
        <v>11152</v>
      </c>
      <c r="C2061" s="101" t="s">
        <v>0</v>
      </c>
      <c r="D2061" s="104" t="str">
        <f>$R$8</f>
        <v>Телесигнализация</v>
      </c>
    </row>
    <row r="2062" spans="1:4">
      <c r="A2062" s="100" t="str">
        <f>$R$2&amp;"."&amp;'Конфигурация TREI'!$A$2&amp;"_2.DIAG_22"</f>
        <v>Диагностика.TREI.CPU_2.DIAG_22</v>
      </c>
      <c r="B2062" s="101">
        <v>11150</v>
      </c>
      <c r="C2062" s="101" t="s">
        <v>0</v>
      </c>
      <c r="D2062" s="103" t="s">
        <v>812</v>
      </c>
    </row>
    <row r="2063" spans="1:4">
      <c r="A2063" s="100" t="str">
        <f>$R$2&amp;"."&amp;'Конфигурация TREI'!$A$2&amp;"_2.DIAG_22"</f>
        <v>Диагностика.TREI.CPU_2.DIAG_22</v>
      </c>
      <c r="B2063" s="101">
        <v>11000</v>
      </c>
      <c r="C2063" s="101" t="s">
        <v>5</v>
      </c>
      <c r="D2063" s="103">
        <v>2147483680</v>
      </c>
    </row>
    <row r="2064" spans="1:4">
      <c r="A2064" s="19" t="str">
        <f>$R$2&amp;"."&amp;'Конфигурация TREI'!$A$2&amp;"_2.DIAG_22"</f>
        <v>Диагностика.TREI.CPU_2.DIAG_22</v>
      </c>
      <c r="B2064" s="11">
        <v>7999</v>
      </c>
      <c r="C2064" s="11" t="s">
        <v>0</v>
      </c>
      <c r="D2064" s="20" t="str">
        <f>"#"&amp;$S$2&amp;"#"&amp;$T$2&amp;IF($S$7="","","\")&amp;$S$7&amp;"\"&amp;'Конфигурация TREI'!$A$2&amp;"_2\DIAG_22"</f>
        <v>#2#treiOPCDA.CoOPCserv.1\pcmaster\CPU_2\DIAG_22</v>
      </c>
    </row>
    <row r="2065" spans="1:4">
      <c r="A2065" s="19" t="str">
        <f>$R$2&amp;"."&amp;'Конфигурация TREI'!$A$2&amp;"_2.DIAG_22"</f>
        <v>Диагностика.TREI.CPU_2.DIAG_22</v>
      </c>
      <c r="B2065" s="11">
        <v>7998</v>
      </c>
      <c r="C2065" s="11" t="s">
        <v>6</v>
      </c>
      <c r="D2065" s="20">
        <v>1</v>
      </c>
    </row>
    <row r="2066" spans="1:4">
      <c r="A2066" s="19" t="str">
        <f>$R$2&amp;"."&amp;'Конфигурация TREI'!$A$2&amp;"_2.DIAG_22"</f>
        <v>Диагностика.TREI.CPU_2.DIAG_22</v>
      </c>
      <c r="B2066" s="11">
        <v>101</v>
      </c>
      <c r="C2066" s="11" t="s">
        <v>0</v>
      </c>
      <c r="D2066" s="20" t="s">
        <v>812</v>
      </c>
    </row>
    <row r="2067" spans="1:4">
      <c r="A2067" s="19" t="str">
        <f>$R$2&amp;"."&amp;'Конфигурация TREI'!$A$2&amp;"_2.DIAG_22"</f>
        <v>Диагностика.TREI.CPU_2.DIAG_22</v>
      </c>
      <c r="B2067" s="11">
        <v>3</v>
      </c>
      <c r="C2067" s="11" t="s">
        <v>1</v>
      </c>
      <c r="D2067" s="20">
        <v>192</v>
      </c>
    </row>
    <row r="2068" spans="1:4">
      <c r="A2068" s="19" t="str">
        <f>$R$2&amp;"."&amp;'Конфигурация TREI'!$A$2&amp;"_2.DIAG_22"</f>
        <v>Диагностика.TREI.CPU_2.DIAG_22</v>
      </c>
      <c r="B2068" s="11">
        <v>2</v>
      </c>
      <c r="C2068" s="11" t="s">
        <v>2</v>
      </c>
      <c r="D2068" s="20" t="s">
        <v>3</v>
      </c>
    </row>
    <row r="2069" spans="1:4">
      <c r="A2069" s="21" t="str">
        <f>$R$2&amp;"."&amp;'Конфигурация TREI'!$A$2&amp;"_2.DIAG_22"</f>
        <v>Диагностика.TREI.CPU_2.DIAG_22</v>
      </c>
      <c r="B2069" s="8">
        <v>1</v>
      </c>
      <c r="C2069" s="8" t="s">
        <v>1</v>
      </c>
      <c r="D2069" s="22">
        <v>11</v>
      </c>
    </row>
    <row r="2070" spans="1:4">
      <c r="A2070" s="69" t="str">
        <f>$R$2&amp;"."&amp;'Конфигурация TREI'!$A$2&amp;"_2.DIAG_24"</f>
        <v>Диагностика.TREI.CPU_2.DIAG_24</v>
      </c>
      <c r="B2070" s="70">
        <v>11154</v>
      </c>
      <c r="C2070" s="70" t="s">
        <v>4</v>
      </c>
      <c r="D2070" s="144">
        <f>$Q$6</f>
        <v>8</v>
      </c>
    </row>
    <row r="2071" spans="1:4">
      <c r="A2071" s="63" t="str">
        <f>$R$2&amp;"."&amp;'Конфигурация TREI'!$A$2&amp;"_2.DIAG_24"</f>
        <v>Диагностика.TREI.CPU_2.DIAG_24</v>
      </c>
      <c r="B2071" s="64">
        <v>11152</v>
      </c>
      <c r="C2071" s="64" t="s">
        <v>0</v>
      </c>
      <c r="D2071" s="129" t="str">
        <f>$R$6</f>
        <v>Предупреждение</v>
      </c>
    </row>
    <row r="2072" spans="1:4">
      <c r="A2072" s="63" t="str">
        <f>$R$2&amp;"."&amp;'Конфигурация TREI'!$A$2&amp;"_2.DIAG_24"</f>
        <v>Диагностика.TREI.CPU_2.DIAG_24</v>
      </c>
      <c r="B2072" s="64">
        <v>11150</v>
      </c>
      <c r="C2072" s="64" t="s">
        <v>0</v>
      </c>
      <c r="D2072" s="65" t="s">
        <v>813</v>
      </c>
    </row>
    <row r="2073" spans="1:4">
      <c r="A2073" s="63" t="str">
        <f>$R$2&amp;"."&amp;'Конфигурация TREI'!$A$2&amp;"_2.DIAG_24"</f>
        <v>Диагностика.TREI.CPU_2.DIAG_24</v>
      </c>
      <c r="B2073" s="64">
        <v>11000</v>
      </c>
      <c r="C2073" s="64" t="s">
        <v>5</v>
      </c>
      <c r="D2073" s="65">
        <v>2147483680</v>
      </c>
    </row>
    <row r="2074" spans="1:4">
      <c r="A2074" s="19" t="str">
        <f>$R$2&amp;"."&amp;'Конфигурация TREI'!$A$2&amp;"_2.DIAG_24"</f>
        <v>Диагностика.TREI.CPU_2.DIAG_24</v>
      </c>
      <c r="B2074" s="11">
        <v>7999</v>
      </c>
      <c r="C2074" s="11" t="s">
        <v>0</v>
      </c>
      <c r="D2074" s="20" t="str">
        <f>"#"&amp;$S$2&amp;"#"&amp;$T$2&amp;IF($S$7="","","\")&amp;$S$7&amp;"\"&amp;'Конфигурация TREI'!$A$2&amp;"_2\DIAG_24"</f>
        <v>#2#treiOPCDA.CoOPCserv.1\pcmaster\CPU_2\DIAG_24</v>
      </c>
    </row>
    <row r="2075" spans="1:4">
      <c r="A2075" s="19" t="str">
        <f>$R$2&amp;"."&amp;'Конфигурация TREI'!$A$2&amp;"_2.DIAG_24"</f>
        <v>Диагностика.TREI.CPU_2.DIAG_24</v>
      </c>
      <c r="B2075" s="11">
        <v>7998</v>
      </c>
      <c r="C2075" s="11" t="s">
        <v>6</v>
      </c>
      <c r="D2075" s="20">
        <v>1</v>
      </c>
    </row>
    <row r="2076" spans="1:4">
      <c r="A2076" s="19" t="str">
        <f>$R$2&amp;"."&amp;'Конфигурация TREI'!$A$2&amp;"_2.DIAG_24"</f>
        <v>Диагностика.TREI.CPU_2.DIAG_24</v>
      </c>
      <c r="B2076" s="11">
        <v>101</v>
      </c>
      <c r="C2076" s="11" t="s">
        <v>0</v>
      </c>
      <c r="D2076" s="20" t="s">
        <v>813</v>
      </c>
    </row>
    <row r="2077" spans="1:4">
      <c r="A2077" s="19" t="str">
        <f>$R$2&amp;"."&amp;'Конфигурация TREI'!$A$2&amp;"_2.DIAG_24"</f>
        <v>Диагностика.TREI.CPU_2.DIAG_24</v>
      </c>
      <c r="B2077" s="11">
        <v>3</v>
      </c>
      <c r="C2077" s="11" t="s">
        <v>1</v>
      </c>
      <c r="D2077" s="20">
        <v>192</v>
      </c>
    </row>
    <row r="2078" spans="1:4">
      <c r="A2078" s="19" t="str">
        <f>$R$2&amp;"."&amp;'Конфигурация TREI'!$A$2&amp;"_2.DIAG_24"</f>
        <v>Диагностика.TREI.CPU_2.DIAG_24</v>
      </c>
      <c r="B2078" s="11">
        <v>2</v>
      </c>
      <c r="C2078" s="11" t="s">
        <v>2</v>
      </c>
      <c r="D2078" s="20" t="s">
        <v>3</v>
      </c>
    </row>
    <row r="2079" spans="1:4">
      <c r="A2079" s="21" t="str">
        <f>$R$2&amp;"."&amp;'Конфигурация TREI'!$A$2&amp;"_2.DIAG_24"</f>
        <v>Диагностика.TREI.CPU_2.DIAG_24</v>
      </c>
      <c r="B2079" s="8">
        <v>1</v>
      </c>
      <c r="C2079" s="8" t="s">
        <v>1</v>
      </c>
      <c r="D2079" s="22">
        <v>11</v>
      </c>
    </row>
    <row r="2080" spans="1:4">
      <c r="A2080" s="69" t="str">
        <f>$R$2&amp;"."&amp;'Конфигурация TREI'!$A$2&amp;"_2.DIAG_25"</f>
        <v>Диагностика.TREI.CPU_2.DIAG_25</v>
      </c>
      <c r="B2080" s="70">
        <v>11154</v>
      </c>
      <c r="C2080" s="70" t="s">
        <v>4</v>
      </c>
      <c r="D2080" s="144">
        <f>$Q$6</f>
        <v>8</v>
      </c>
    </row>
    <row r="2081" spans="1:4">
      <c r="A2081" s="63" t="str">
        <f>$R$2&amp;"."&amp;'Конфигурация TREI'!$A$2&amp;"_2.DIAG_25"</f>
        <v>Диагностика.TREI.CPU_2.DIAG_25</v>
      </c>
      <c r="B2081" s="64">
        <v>11152</v>
      </c>
      <c r="C2081" s="64" t="s">
        <v>0</v>
      </c>
      <c r="D2081" s="129" t="str">
        <f>$R$6</f>
        <v>Предупреждение</v>
      </c>
    </row>
    <row r="2082" spans="1:4">
      <c r="A2082" s="63" t="str">
        <f>$R$2&amp;"."&amp;'Конфигурация TREI'!$A$2&amp;"_2.DIAG_25"</f>
        <v>Диагностика.TREI.CPU_2.DIAG_25</v>
      </c>
      <c r="B2082" s="64">
        <v>11150</v>
      </c>
      <c r="C2082" s="64" t="s">
        <v>0</v>
      </c>
      <c r="D2082" s="65" t="s">
        <v>814</v>
      </c>
    </row>
    <row r="2083" spans="1:4">
      <c r="A2083" s="63" t="str">
        <f>$R$2&amp;"."&amp;'Конфигурация TREI'!$A$2&amp;"_2.DIAG_25"</f>
        <v>Диагностика.TREI.CPU_2.DIAG_25</v>
      </c>
      <c r="B2083" s="64">
        <v>11000</v>
      </c>
      <c r="C2083" s="64" t="s">
        <v>5</v>
      </c>
      <c r="D2083" s="65">
        <v>2147483680</v>
      </c>
    </row>
    <row r="2084" spans="1:4">
      <c r="A2084" s="19" t="str">
        <f>$R$2&amp;"."&amp;'Конфигурация TREI'!$A$2&amp;"_2.DIAG_25"</f>
        <v>Диагностика.TREI.CPU_2.DIAG_25</v>
      </c>
      <c r="B2084" s="11">
        <v>7999</v>
      </c>
      <c r="C2084" s="11" t="s">
        <v>0</v>
      </c>
      <c r="D2084" s="20" t="str">
        <f>"#"&amp;$S$2&amp;"#"&amp;$T$2&amp;IF($S$7="","","\")&amp;$S$7&amp;"\"&amp;'Конфигурация TREI'!$A$2&amp;"_2\DIAG_25"</f>
        <v>#2#treiOPCDA.CoOPCserv.1\pcmaster\CPU_2\DIAG_25</v>
      </c>
    </row>
    <row r="2085" spans="1:4">
      <c r="A2085" s="19" t="str">
        <f>$R$2&amp;"."&amp;'Конфигурация TREI'!$A$2&amp;"_2.DIAG_25"</f>
        <v>Диагностика.TREI.CPU_2.DIAG_25</v>
      </c>
      <c r="B2085" s="11">
        <v>7998</v>
      </c>
      <c r="C2085" s="11" t="s">
        <v>6</v>
      </c>
      <c r="D2085" s="20">
        <v>1</v>
      </c>
    </row>
    <row r="2086" spans="1:4">
      <c r="A2086" s="19" t="str">
        <f>$R$2&amp;"."&amp;'Конфигурация TREI'!$A$2&amp;"_2.DIAG_25"</f>
        <v>Диагностика.TREI.CPU_2.DIAG_25</v>
      </c>
      <c r="B2086" s="11">
        <v>101</v>
      </c>
      <c r="C2086" s="11" t="s">
        <v>0</v>
      </c>
      <c r="D2086" s="20" t="s">
        <v>814</v>
      </c>
    </row>
    <row r="2087" spans="1:4">
      <c r="A2087" s="19" t="str">
        <f>$R$2&amp;"."&amp;'Конфигурация TREI'!$A$2&amp;"_2.DIAG_25"</f>
        <v>Диагностика.TREI.CPU_2.DIAG_25</v>
      </c>
      <c r="B2087" s="11">
        <v>3</v>
      </c>
      <c r="C2087" s="11" t="s">
        <v>1</v>
      </c>
      <c r="D2087" s="20">
        <v>192</v>
      </c>
    </row>
    <row r="2088" spans="1:4">
      <c r="A2088" s="19" t="str">
        <f>$R$2&amp;"."&amp;'Конфигурация TREI'!$A$2&amp;"_2.DIAG_25"</f>
        <v>Диагностика.TREI.CPU_2.DIAG_25</v>
      </c>
      <c r="B2088" s="11">
        <v>2</v>
      </c>
      <c r="C2088" s="11" t="s">
        <v>2</v>
      </c>
      <c r="D2088" s="20" t="s">
        <v>3</v>
      </c>
    </row>
    <row r="2089" spans="1:4">
      <c r="A2089" s="21" t="str">
        <f>$R$2&amp;"."&amp;'Конфигурация TREI'!$A$2&amp;"_2.DIAG_25"</f>
        <v>Диагностика.TREI.CPU_2.DIAG_25</v>
      </c>
      <c r="B2089" s="8">
        <v>1</v>
      </c>
      <c r="C2089" s="8" t="s">
        <v>1</v>
      </c>
      <c r="D2089" s="22">
        <v>11</v>
      </c>
    </row>
    <row r="2090" spans="1:4">
      <c r="A2090" s="159" t="str">
        <f>$R$2&amp;"."&amp;'Конфигурация TREI'!$A$2&amp;"_2.DIAG_26"</f>
        <v>Диагностика.TREI.CPU_2.DIAG_26</v>
      </c>
      <c r="B2090" s="160">
        <v>11154</v>
      </c>
      <c r="C2090" s="160" t="s">
        <v>4</v>
      </c>
      <c r="D2090" s="161">
        <f>$Q$8</f>
        <v>18</v>
      </c>
    </row>
    <row r="2091" spans="1:4">
      <c r="A2091" s="100" t="str">
        <f>$R$2&amp;"."&amp;'Конфигурация TREI'!$A$2&amp;"_2.DIAG_26"</f>
        <v>Диагностика.TREI.CPU_2.DIAG_26</v>
      </c>
      <c r="B2091" s="101">
        <v>11152</v>
      </c>
      <c r="C2091" s="101" t="s">
        <v>0</v>
      </c>
      <c r="D2091" s="104" t="str">
        <f>$R$8</f>
        <v>Телесигнализация</v>
      </c>
    </row>
    <row r="2092" spans="1:4">
      <c r="A2092" s="100" t="str">
        <f>$R$2&amp;"."&amp;'Конфигурация TREI'!$A$2&amp;"_2.DIAG_26"</f>
        <v>Диагностика.TREI.CPU_2.DIAG_26</v>
      </c>
      <c r="B2092" s="101">
        <v>11150</v>
      </c>
      <c r="C2092" s="101" t="s">
        <v>0</v>
      </c>
      <c r="D2092" s="103" t="s">
        <v>1406</v>
      </c>
    </row>
    <row r="2093" spans="1:4">
      <c r="A2093" s="100" t="str">
        <f>$R$2&amp;"."&amp;'Конфигурация TREI'!$A$2&amp;"_2.DIAG_26"</f>
        <v>Диагностика.TREI.CPU_2.DIAG_26</v>
      </c>
      <c r="B2093" s="101">
        <v>11000</v>
      </c>
      <c r="C2093" s="101" t="s">
        <v>5</v>
      </c>
      <c r="D2093" s="103">
        <v>2147483680</v>
      </c>
    </row>
    <row r="2094" spans="1:4">
      <c r="A2094" s="19" t="str">
        <f>$R$2&amp;"."&amp;'Конфигурация TREI'!$A$2&amp;"_2.DIAG_26"</f>
        <v>Диагностика.TREI.CPU_2.DIAG_26</v>
      </c>
      <c r="B2094" s="11">
        <v>7999</v>
      </c>
      <c r="C2094" s="11" t="s">
        <v>0</v>
      </c>
      <c r="D2094" s="20" t="str">
        <f>"#"&amp;$S$2&amp;"#"&amp;$T$2&amp;IF($S$7="","","\")&amp;$S$7&amp;"\"&amp;'Конфигурация TREI'!$A$2&amp;"_2\DIAG_26"</f>
        <v>#2#treiOPCDA.CoOPCserv.1\pcmaster\CPU_2\DIAG_26</v>
      </c>
    </row>
    <row r="2095" spans="1:4">
      <c r="A2095" s="19" t="str">
        <f>$R$2&amp;"."&amp;'Конфигурация TREI'!$A$2&amp;"_2.DIAG_26"</f>
        <v>Диагностика.TREI.CPU_2.DIAG_26</v>
      </c>
      <c r="B2095" s="11">
        <v>7998</v>
      </c>
      <c r="C2095" s="11" t="s">
        <v>6</v>
      </c>
      <c r="D2095" s="20">
        <v>1</v>
      </c>
    </row>
    <row r="2096" spans="1:4">
      <c r="A2096" s="19" t="str">
        <f>$R$2&amp;"."&amp;'Конфигурация TREI'!$A$2&amp;"_2.DIAG_26"</f>
        <v>Диагностика.TREI.CPU_2.DIAG_26</v>
      </c>
      <c r="B2096" s="11">
        <v>101</v>
      </c>
      <c r="C2096" s="11" t="s">
        <v>0</v>
      </c>
      <c r="D2096" s="20" t="s">
        <v>1406</v>
      </c>
    </row>
    <row r="2097" spans="1:4">
      <c r="A2097" s="19" t="str">
        <f>$R$2&amp;"."&amp;'Конфигурация TREI'!$A$2&amp;"_2.DIAG_26"</f>
        <v>Диагностика.TREI.CPU_2.DIAG_26</v>
      </c>
      <c r="B2097" s="11">
        <v>3</v>
      </c>
      <c r="C2097" s="11" t="s">
        <v>1</v>
      </c>
      <c r="D2097" s="20">
        <v>192</v>
      </c>
    </row>
    <row r="2098" spans="1:4">
      <c r="A2098" s="19" t="str">
        <f>$R$2&amp;"."&amp;'Конфигурация TREI'!$A$2&amp;"_2.DIAG_26"</f>
        <v>Диагностика.TREI.CPU_2.DIAG_26</v>
      </c>
      <c r="B2098" s="11">
        <v>2</v>
      </c>
      <c r="C2098" s="11" t="s">
        <v>2</v>
      </c>
      <c r="D2098" s="20" t="s">
        <v>3</v>
      </c>
    </row>
    <row r="2099" spans="1:4">
      <c r="A2099" s="21" t="str">
        <f>$R$2&amp;"."&amp;'Конфигурация TREI'!$A$2&amp;"_2.DIAG_26"</f>
        <v>Диагностика.TREI.CPU_2.DIAG_26</v>
      </c>
      <c r="B2099" s="8">
        <v>1</v>
      </c>
      <c r="C2099" s="8" t="s">
        <v>1</v>
      </c>
      <c r="D2099" s="22">
        <v>11</v>
      </c>
    </row>
    <row r="2100" spans="1:4">
      <c r="A2100" s="159" t="str">
        <f>$R$2&amp;"."&amp;'Конфигурация TREI'!$A$2&amp;"_2.DIAG_29"</f>
        <v>Диагностика.TREI.CPU_2.DIAG_29</v>
      </c>
      <c r="B2100" s="160">
        <v>11154</v>
      </c>
      <c r="C2100" s="160" t="s">
        <v>4</v>
      </c>
      <c r="D2100" s="161">
        <f>$Q$8</f>
        <v>18</v>
      </c>
    </row>
    <row r="2101" spans="1:4">
      <c r="A2101" s="100" t="str">
        <f>$R$2&amp;"."&amp;'Конфигурация TREI'!$A$2&amp;"_2.DIAG_29"</f>
        <v>Диагностика.TREI.CPU_2.DIAG_29</v>
      </c>
      <c r="B2101" s="101">
        <v>11152</v>
      </c>
      <c r="C2101" s="101" t="s">
        <v>0</v>
      </c>
      <c r="D2101" s="104" t="str">
        <f>$R$8</f>
        <v>Телесигнализация</v>
      </c>
    </row>
    <row r="2102" spans="1:4">
      <c r="A2102" s="100" t="str">
        <f>$R$2&amp;"."&amp;'Конфигурация TREI'!$A$2&amp;"_2.DIAG_29"</f>
        <v>Диагностика.TREI.CPU_2.DIAG_29</v>
      </c>
      <c r="B2102" s="101">
        <v>11150</v>
      </c>
      <c r="C2102" s="101" t="s">
        <v>0</v>
      </c>
      <c r="D2102" s="103" t="s">
        <v>1407</v>
      </c>
    </row>
    <row r="2103" spans="1:4">
      <c r="A2103" s="100" t="str">
        <f>$R$2&amp;"."&amp;'Конфигурация TREI'!$A$2&amp;"_2.DIAG_29"</f>
        <v>Диагностика.TREI.CPU_2.DIAG_29</v>
      </c>
      <c r="B2103" s="101">
        <v>11000</v>
      </c>
      <c r="C2103" s="101" t="s">
        <v>5</v>
      </c>
      <c r="D2103" s="103">
        <v>2147483680</v>
      </c>
    </row>
    <row r="2104" spans="1:4">
      <c r="A2104" s="19" t="str">
        <f>$R$2&amp;"."&amp;'Конфигурация TREI'!$A$2&amp;"_2.DIAG_29"</f>
        <v>Диагностика.TREI.CPU_2.DIAG_29</v>
      </c>
      <c r="B2104" s="11">
        <v>7999</v>
      </c>
      <c r="C2104" s="11" t="s">
        <v>0</v>
      </c>
      <c r="D2104" s="20" t="str">
        <f>"#"&amp;$S$2&amp;"#"&amp;$T$2&amp;IF($S$7="","","\")&amp;$S$7&amp;"\"&amp;'Конфигурация TREI'!$A$2&amp;"_2\DIAG_29"</f>
        <v>#2#treiOPCDA.CoOPCserv.1\pcmaster\CPU_2\DIAG_29</v>
      </c>
    </row>
    <row r="2105" spans="1:4">
      <c r="A2105" s="19" t="str">
        <f>$R$2&amp;"."&amp;'Конфигурация TREI'!$A$2&amp;"_2.DIAG_29"</f>
        <v>Диагностика.TREI.CPU_2.DIAG_29</v>
      </c>
      <c r="B2105" s="11">
        <v>7998</v>
      </c>
      <c r="C2105" s="11" t="s">
        <v>6</v>
      </c>
      <c r="D2105" s="20">
        <v>1</v>
      </c>
    </row>
    <row r="2106" spans="1:4">
      <c r="A2106" s="19" t="str">
        <f>$R$2&amp;"."&amp;'Конфигурация TREI'!$A$2&amp;"_2.DIAG_29"</f>
        <v>Диагностика.TREI.CPU_2.DIAG_29</v>
      </c>
      <c r="B2106" s="11">
        <v>101</v>
      </c>
      <c r="C2106" s="11" t="s">
        <v>0</v>
      </c>
      <c r="D2106" s="20" t="s">
        <v>1407</v>
      </c>
    </row>
    <row r="2107" spans="1:4">
      <c r="A2107" s="19" t="str">
        <f>$R$2&amp;"."&amp;'Конфигурация TREI'!$A$2&amp;"_2.DIAG_29"</f>
        <v>Диагностика.TREI.CPU_2.DIAG_29</v>
      </c>
      <c r="B2107" s="11">
        <v>3</v>
      </c>
      <c r="C2107" s="11" t="s">
        <v>1</v>
      </c>
      <c r="D2107" s="20">
        <v>192</v>
      </c>
    </row>
    <row r="2108" spans="1:4">
      <c r="A2108" s="19" t="str">
        <f>$R$2&amp;"."&amp;'Конфигурация TREI'!$A$2&amp;"_2.DIAG_29"</f>
        <v>Диагностика.TREI.CPU_2.DIAG_29</v>
      </c>
      <c r="B2108" s="11">
        <v>2</v>
      </c>
      <c r="C2108" s="11" t="s">
        <v>2</v>
      </c>
      <c r="D2108" s="20" t="s">
        <v>3</v>
      </c>
    </row>
    <row r="2109" spans="1:4">
      <c r="A2109" s="21" t="str">
        <f>$R$2&amp;"."&amp;'Конфигурация TREI'!$A$2&amp;"_2.DIAG_29"</f>
        <v>Диагностика.TREI.CPU_2.DIAG_29</v>
      </c>
      <c r="B2109" s="8">
        <v>1</v>
      </c>
      <c r="C2109" s="8" t="s">
        <v>1</v>
      </c>
      <c r="D2109" s="22">
        <v>11</v>
      </c>
    </row>
    <row r="2110" spans="1:4">
      <c r="A2110" s="159" t="str">
        <f>$R$2&amp;"."&amp;'Конфигурация TREI'!$A$2&amp;"_2.DIAG_30"</f>
        <v>Диагностика.TREI.CPU_2.DIAG_30</v>
      </c>
      <c r="B2110" s="160">
        <v>11154</v>
      </c>
      <c r="C2110" s="160" t="s">
        <v>4</v>
      </c>
      <c r="D2110" s="161">
        <f>$Q$8</f>
        <v>18</v>
      </c>
    </row>
    <row r="2111" spans="1:4">
      <c r="A2111" s="100" t="str">
        <f>$R$2&amp;"."&amp;'Конфигурация TREI'!$A$2&amp;"_2.DIAG_30"</f>
        <v>Диагностика.TREI.CPU_2.DIAG_30</v>
      </c>
      <c r="B2111" s="101">
        <v>11152</v>
      </c>
      <c r="C2111" s="101" t="s">
        <v>0</v>
      </c>
      <c r="D2111" s="104" t="str">
        <f>$R$8</f>
        <v>Телесигнализация</v>
      </c>
    </row>
    <row r="2112" spans="1:4">
      <c r="A2112" s="100" t="str">
        <f>$R$2&amp;"."&amp;'Конфигурация TREI'!$A$2&amp;"_2.DIAG_30"</f>
        <v>Диагностика.TREI.CPU_2.DIAG_30</v>
      </c>
      <c r="B2112" s="101">
        <v>11150</v>
      </c>
      <c r="C2112" s="101" t="s">
        <v>0</v>
      </c>
      <c r="D2112" s="103" t="s">
        <v>1408</v>
      </c>
    </row>
    <row r="2113" spans="1:4">
      <c r="A2113" s="100" t="str">
        <f>$R$2&amp;"."&amp;'Конфигурация TREI'!$A$2&amp;"_2.DIAG_30"</f>
        <v>Диагностика.TREI.CPU_2.DIAG_30</v>
      </c>
      <c r="B2113" s="101">
        <v>11000</v>
      </c>
      <c r="C2113" s="101" t="s">
        <v>5</v>
      </c>
      <c r="D2113" s="103">
        <v>2147483680</v>
      </c>
    </row>
    <row r="2114" spans="1:4">
      <c r="A2114" s="19" t="str">
        <f>$R$2&amp;"."&amp;'Конфигурация TREI'!$A$2&amp;"_2.DIAG_30"</f>
        <v>Диагностика.TREI.CPU_2.DIAG_30</v>
      </c>
      <c r="B2114" s="11">
        <v>7999</v>
      </c>
      <c r="C2114" s="11" t="s">
        <v>0</v>
      </c>
      <c r="D2114" s="20" t="str">
        <f>"#"&amp;$S$2&amp;"#"&amp;$T$2&amp;IF($S$7="","","\")&amp;$S$7&amp;"\"&amp;'Конфигурация TREI'!$A$2&amp;"_2\DIAG_30"</f>
        <v>#2#treiOPCDA.CoOPCserv.1\pcmaster\CPU_2\DIAG_30</v>
      </c>
    </row>
    <row r="2115" spans="1:4">
      <c r="A2115" s="19" t="str">
        <f>$R$2&amp;"."&amp;'Конфигурация TREI'!$A$2&amp;"_2.DIAG_30"</f>
        <v>Диагностика.TREI.CPU_2.DIAG_30</v>
      </c>
      <c r="B2115" s="11">
        <v>7998</v>
      </c>
      <c r="C2115" s="11" t="s">
        <v>6</v>
      </c>
      <c r="D2115" s="20">
        <v>1</v>
      </c>
    </row>
    <row r="2116" spans="1:4">
      <c r="A2116" s="19" t="str">
        <f>$R$2&amp;"."&amp;'Конфигурация TREI'!$A$2&amp;"_2.DIAG_30"</f>
        <v>Диагностика.TREI.CPU_2.DIAG_30</v>
      </c>
      <c r="B2116" s="11">
        <v>101</v>
      </c>
      <c r="C2116" s="11" t="s">
        <v>0</v>
      </c>
      <c r="D2116" s="20" t="s">
        <v>1408</v>
      </c>
    </row>
    <row r="2117" spans="1:4">
      <c r="A2117" s="19" t="str">
        <f>$R$2&amp;"."&amp;'Конфигурация TREI'!$A$2&amp;"_2.DIAG_30"</f>
        <v>Диагностика.TREI.CPU_2.DIAG_30</v>
      </c>
      <c r="B2117" s="11">
        <v>3</v>
      </c>
      <c r="C2117" s="11" t="s">
        <v>1</v>
      </c>
      <c r="D2117" s="20">
        <v>192</v>
      </c>
    </row>
    <row r="2118" spans="1:4">
      <c r="A2118" s="19" t="str">
        <f>$R$2&amp;"."&amp;'Конфигурация TREI'!$A$2&amp;"_2.DIAG_30"</f>
        <v>Диагностика.TREI.CPU_2.DIAG_30</v>
      </c>
      <c r="B2118" s="11">
        <v>2</v>
      </c>
      <c r="C2118" s="11" t="s">
        <v>2</v>
      </c>
      <c r="D2118" s="20" t="s">
        <v>3</v>
      </c>
    </row>
    <row r="2119" spans="1:4">
      <c r="A2119" s="21" t="str">
        <f>$R$2&amp;"."&amp;'Конфигурация TREI'!$A$2&amp;"_2.DIAG_30"</f>
        <v>Диагностика.TREI.CPU_2.DIAG_30</v>
      </c>
      <c r="B2119" s="8">
        <v>1</v>
      </c>
      <c r="C2119" s="8" t="s">
        <v>1</v>
      </c>
      <c r="D2119" s="22">
        <v>11</v>
      </c>
    </row>
    <row r="2120" spans="1:4">
      <c r="A2120" s="23" t="str">
        <f>$R$2&amp;"."&amp;'Конфигурация TREI'!$A$2&amp;".CONTR.LINE_A"</f>
        <v>Диагностика.TREI.CPU.CONTR.LINE_A</v>
      </c>
      <c r="B2120" s="24">
        <v>11001</v>
      </c>
      <c r="C2120" s="24" t="s">
        <v>0</v>
      </c>
      <c r="D2120" s="25" t="s">
        <v>1601</v>
      </c>
    </row>
    <row r="2121" spans="1:4">
      <c r="A2121" s="29" t="str">
        <f>$R$2&amp;"."&amp;'Конфигурация TREI'!$A$2&amp;".CONTR.LINE_A"</f>
        <v>Диагностика.TREI.CPU.CONTR.LINE_A</v>
      </c>
      <c r="B2121" s="1">
        <v>9002</v>
      </c>
      <c r="C2121" s="1" t="s">
        <v>0</v>
      </c>
      <c r="D2121" s="30">
        <v>2</v>
      </c>
    </row>
    <row r="2122" spans="1:4">
      <c r="A2122" s="29" t="str">
        <f>$R$2&amp;"."&amp;'Конфигурация TREI'!$A$2&amp;".CONTR.LINE_A"</f>
        <v>Диагностика.TREI.CPU.CONTR.LINE_A</v>
      </c>
      <c r="B2122" s="1">
        <v>7999</v>
      </c>
      <c r="C2122" s="1" t="s">
        <v>0</v>
      </c>
      <c r="D2122" s="30" t="str">
        <f>"#"&amp;$S$2&amp;"#"&amp;$T$2&amp;"\CONTR\LINE_A"</f>
        <v>#2#treiOPCDA.CoOPCserv.1\pcmaster\CONTR\LINE_A</v>
      </c>
    </row>
    <row r="2123" spans="1:4">
      <c r="A2123" s="29" t="str">
        <f>$R$2&amp;"."&amp;'Конфигурация TREI'!$A$2&amp;".CONTR.LINE_A"</f>
        <v>Диагностика.TREI.CPU.CONTR.LINE_A</v>
      </c>
      <c r="B2123" s="1">
        <v>7998</v>
      </c>
      <c r="C2123" s="1" t="s">
        <v>6</v>
      </c>
      <c r="D2123" s="30">
        <v>1</v>
      </c>
    </row>
    <row r="2124" spans="1:4">
      <c r="A2124" s="29" t="str">
        <f>$R$2&amp;"."&amp;'Конфигурация TREI'!$A$2&amp;".CONTR.LINE_A"</f>
        <v>Диагностика.TREI.CPU.CONTR.LINE_A</v>
      </c>
      <c r="B2124" s="1">
        <v>7011</v>
      </c>
      <c r="C2124" s="1" t="s">
        <v>2</v>
      </c>
      <c r="D2124" s="30" t="s">
        <v>130</v>
      </c>
    </row>
    <row r="2125" spans="1:4">
      <c r="A2125" s="29" t="str">
        <f>$R$2&amp;"."&amp;'Конфигурация TREI'!$A$2&amp;".CONTR.LINE_A"</f>
        <v>Диагностика.TREI.CPU.CONTR.LINE_A</v>
      </c>
      <c r="B2125" s="1">
        <v>3</v>
      </c>
      <c r="C2125" s="1" t="s">
        <v>1</v>
      </c>
      <c r="D2125" s="30">
        <v>4</v>
      </c>
    </row>
    <row r="2126" spans="1:4">
      <c r="A2126" s="26" t="str">
        <f>$R$2&amp;"."&amp;'Конфигурация TREI'!$A$2&amp;".CONTR.LINE_A"</f>
        <v>Диагностика.TREI.CPU.CONTR.LINE_A</v>
      </c>
      <c r="B2126" s="27">
        <v>1</v>
      </c>
      <c r="C2126" s="27" t="s">
        <v>1</v>
      </c>
      <c r="D2126" s="28">
        <v>16</v>
      </c>
    </row>
    <row r="2127" spans="1:4">
      <c r="A2127" s="29" t="str">
        <f>$R$2&amp;"."&amp;'Конфигурация TREI'!$A$2&amp;".CONTR.LINE_B"</f>
        <v>Диагностика.TREI.CPU.CONTR.LINE_B</v>
      </c>
      <c r="B2127" s="1">
        <v>9002</v>
      </c>
      <c r="C2127" s="1" t="s">
        <v>0</v>
      </c>
      <c r="D2127" s="30">
        <v>2</v>
      </c>
    </row>
    <row r="2128" spans="1:4">
      <c r="A2128" s="29" t="str">
        <f>$R$2&amp;"."&amp;'Конфигурация TREI'!$A$2&amp;".CONTR.LINE_B"</f>
        <v>Диагностика.TREI.CPU.CONTR.LINE_B</v>
      </c>
      <c r="B2128" s="1">
        <v>7999</v>
      </c>
      <c r="C2128" s="1" t="s">
        <v>0</v>
      </c>
      <c r="D2128" s="30" t="str">
        <f>"#"&amp;$S$2&amp;"#"&amp;$T$2&amp;"\CONTR\LINE_B"</f>
        <v>#2#treiOPCDA.CoOPCserv.1\pcmaster\CONTR\LINE_B</v>
      </c>
    </row>
    <row r="2129" spans="1:6">
      <c r="A2129" s="29" t="str">
        <f>$R$2&amp;"."&amp;'Конфигурация TREI'!$A$2&amp;".CONTR.LINE_B"</f>
        <v>Диагностика.TREI.CPU.CONTR.LINE_B</v>
      </c>
      <c r="B2129" s="1">
        <v>7998</v>
      </c>
      <c r="C2129" s="1" t="s">
        <v>6</v>
      </c>
      <c r="D2129" s="30">
        <v>1</v>
      </c>
    </row>
    <row r="2130" spans="1:6">
      <c r="A2130" s="29" t="str">
        <f>$R$2&amp;"."&amp;'Конфигурация TREI'!$A$2&amp;".CONTR.LINE_B"</f>
        <v>Диагностика.TREI.CPU.CONTR.LINE_B</v>
      </c>
      <c r="B2130" s="1">
        <v>7011</v>
      </c>
      <c r="C2130" s="1" t="s">
        <v>2</v>
      </c>
      <c r="D2130" s="30" t="s">
        <v>130</v>
      </c>
    </row>
    <row r="2131" spans="1:6">
      <c r="A2131" s="29" t="str">
        <f>$R$2&amp;"."&amp;'Конфигурация TREI'!$A$2&amp;".CONTR.LINE_B"</f>
        <v>Диагностика.TREI.CPU.CONTR.LINE_B</v>
      </c>
      <c r="B2131" s="1">
        <v>3</v>
      </c>
      <c r="C2131" s="1" t="s">
        <v>1</v>
      </c>
      <c r="D2131" s="30">
        <v>4</v>
      </c>
    </row>
    <row r="2132" spans="1:6">
      <c r="A2132" s="29" t="str">
        <f>$R$2&amp;"."&amp;'Конфигурация TREI'!$A$2&amp;".CONTR.LINE_B"</f>
        <v>Диагностика.TREI.CPU.CONTR.LINE_B</v>
      </c>
      <c r="B2132" s="1">
        <v>1</v>
      </c>
      <c r="C2132" s="1" t="s">
        <v>1</v>
      </c>
      <c r="D2132" s="30">
        <v>16</v>
      </c>
    </row>
    <row r="2133" spans="1:6">
      <c r="A2133" s="26" t="str">
        <f>$R$2&amp;"."&amp;'Конфигурация TREI'!$A$2&amp;".CONTR.LINE_B"</f>
        <v>Диагностика.TREI.CPU.CONTR.LINE_B</v>
      </c>
      <c r="B2133" s="27">
        <v>11001</v>
      </c>
      <c r="C2133" s="27" t="s">
        <v>0</v>
      </c>
      <c r="D2133" s="28" t="s">
        <v>1594</v>
      </c>
    </row>
    <row r="2134" spans="1:6">
      <c r="A2134" s="29" t="str">
        <f>$R$2&amp;"."&amp;'Конфигурация TREI'!$A$2&amp;".CONTR.RESV_A"</f>
        <v>Диагностика.TREI.CPU.CONTR.RESV_A</v>
      </c>
      <c r="B2134" s="1">
        <v>9002</v>
      </c>
      <c r="C2134" s="1" t="s">
        <v>0</v>
      </c>
      <c r="D2134" s="30">
        <v>2</v>
      </c>
    </row>
    <row r="2135" spans="1:6">
      <c r="A2135" s="29" t="str">
        <f>$R$2&amp;"."&amp;'Конфигурация TREI'!$A$2&amp;".CONTR.RESV_A"</f>
        <v>Диагностика.TREI.CPU.CONTR.RESV_A</v>
      </c>
      <c r="B2135" s="1">
        <v>7999</v>
      </c>
      <c r="C2135" s="1" t="s">
        <v>0</v>
      </c>
      <c r="D2135" s="30" t="str">
        <f>"#"&amp;$S$2&amp;"#"&amp;$T$2&amp;"\CONTR\RESV_A"</f>
        <v>#2#treiOPCDA.CoOPCserv.1\pcmaster\CONTR\RESV_A</v>
      </c>
    </row>
    <row r="2136" spans="1:6">
      <c r="A2136" s="29" t="str">
        <f>$R$2&amp;"."&amp;'Конфигурация TREI'!$A$2&amp;".CONTR.RESV_A"</f>
        <v>Диагностика.TREI.CPU.CONTR.RESV_A</v>
      </c>
      <c r="B2136" s="1">
        <v>7998</v>
      </c>
      <c r="C2136" s="1" t="s">
        <v>6</v>
      </c>
      <c r="D2136" s="30">
        <v>1</v>
      </c>
    </row>
    <row r="2137" spans="1:6">
      <c r="A2137" s="29" t="str">
        <f>$R$2&amp;"."&amp;'Конфигурация TREI'!$A$2&amp;".CONTR.RESV_A"</f>
        <v>Диагностика.TREI.CPU.CONTR.RESV_A</v>
      </c>
      <c r="B2137" s="1">
        <v>7011</v>
      </c>
      <c r="C2137" s="1" t="s">
        <v>2</v>
      </c>
      <c r="D2137" s="30" t="s">
        <v>130</v>
      </c>
      <c r="E2137" t="s">
        <v>1597</v>
      </c>
    </row>
    <row r="2138" spans="1:6">
      <c r="A2138" s="29" t="str">
        <f>$R$2&amp;"."&amp;'Конфигурация TREI'!$A$2&amp;".CONTR.RESV_A"</f>
        <v>Диагностика.TREI.CPU.CONTR.RESV_A</v>
      </c>
      <c r="B2138" s="1">
        <v>3</v>
      </c>
      <c r="C2138" s="1" t="s">
        <v>1</v>
      </c>
      <c r="D2138" s="30">
        <v>4</v>
      </c>
    </row>
    <row r="2139" spans="1:6">
      <c r="A2139" s="29" t="str">
        <f>$R$2&amp;"."&amp;'Конфигурация TREI'!$A$2&amp;".CONTR.RESV_A"</f>
        <v>Диагностика.TREI.CPU.CONTR.RESV_A</v>
      </c>
      <c r="B2139" s="1">
        <v>1</v>
      </c>
      <c r="C2139" s="1" t="s">
        <v>1</v>
      </c>
      <c r="D2139" s="30">
        <v>3</v>
      </c>
    </row>
    <row r="2140" spans="1:6">
      <c r="A2140" s="26" t="str">
        <f>$R$2&amp;"."&amp;'Конфигурация TREI'!$A$2&amp;".CONTR.RESV_A"</f>
        <v>Диагностика.TREI.CPU.CONTR.RESV_A</v>
      </c>
      <c r="B2140" s="27">
        <v>11001</v>
      </c>
      <c r="C2140" s="27" t="s">
        <v>0</v>
      </c>
      <c r="D2140" s="28" t="s">
        <v>1595</v>
      </c>
    </row>
    <row r="2141" spans="1:6">
      <c r="A2141" s="29" t="str">
        <f>$R$2&amp;"."&amp;'Конфигурация TREI'!$A$2&amp;".CONTR.RESV_B"</f>
        <v>Диагностика.TREI.CPU.CONTR.RESV_B</v>
      </c>
      <c r="B2141" s="1">
        <v>9002</v>
      </c>
      <c r="C2141" s="1" t="s">
        <v>0</v>
      </c>
      <c r="D2141" s="30">
        <v>2</v>
      </c>
    </row>
    <row r="2142" spans="1:6">
      <c r="A2142" s="29" t="str">
        <f>$R$2&amp;"."&amp;'Конфигурация TREI'!$A$2&amp;".CONTR.RESV_B"</f>
        <v>Диагностика.TREI.CPU.CONTR.RESV_B</v>
      </c>
      <c r="B2142" s="1">
        <v>7999</v>
      </c>
      <c r="C2142" s="1" t="s">
        <v>0</v>
      </c>
      <c r="D2142" s="30" t="str">
        <f>"#"&amp;$S$2&amp;"#"&amp;$T$2&amp;"\CONTR\RESV_B"</f>
        <v>#2#treiOPCDA.CoOPCserv.1\pcmaster\CONTR\RESV_B</v>
      </c>
    </row>
    <row r="2143" spans="1:6">
      <c r="A2143" s="29" t="str">
        <f>$R$2&amp;"."&amp;'Конфигурация TREI'!$A$2&amp;".CONTR.RESV_B"</f>
        <v>Диагностика.TREI.CPU.CONTR.RESV_B</v>
      </c>
      <c r="B2143" s="1">
        <v>7998</v>
      </c>
      <c r="C2143" s="1" t="s">
        <v>6</v>
      </c>
      <c r="D2143" s="30">
        <v>1</v>
      </c>
      <c r="E2143">
        <v>1</v>
      </c>
      <c r="F2143" t="s">
        <v>1599</v>
      </c>
    </row>
    <row r="2144" spans="1:6">
      <c r="A2144" s="29" t="str">
        <f>$R$2&amp;"."&amp;'Конфигурация TREI'!$A$2&amp;".CONTR.RESV_B"</f>
        <v>Диагностика.TREI.CPU.CONTR.RESV_B</v>
      </c>
      <c r="B2144" s="1">
        <v>7011</v>
      </c>
      <c r="C2144" s="1" t="s">
        <v>2</v>
      </c>
      <c r="D2144" s="30" t="s">
        <v>130</v>
      </c>
    </row>
    <row r="2145" spans="1:68">
      <c r="A2145" s="29" t="str">
        <f>$R$2&amp;"."&amp;'Конфигурация TREI'!$A$2&amp;".CONTR.RESV_B"</f>
        <v>Диагностика.TREI.CPU.CONTR.RESV_B</v>
      </c>
      <c r="B2145" s="1">
        <v>3</v>
      </c>
      <c r="C2145" s="1" t="s">
        <v>1</v>
      </c>
      <c r="D2145" s="30">
        <v>4</v>
      </c>
    </row>
    <row r="2146" spans="1:68">
      <c r="A2146" s="29" t="str">
        <f>$R$2&amp;"."&amp;'Конфигурация TREI'!$A$2&amp;".CONTR.RESV_B"</f>
        <v>Диагностика.TREI.CPU.CONTR.RESV_B</v>
      </c>
      <c r="B2146" s="1">
        <v>101</v>
      </c>
      <c r="C2146" s="1" t="s">
        <v>0</v>
      </c>
      <c r="D2146" s="30" t="s">
        <v>1596</v>
      </c>
    </row>
    <row r="2147" spans="1:68">
      <c r="A2147" s="29" t="str">
        <f>$R$2&amp;"."&amp;'Конфигурация TREI'!$A$2&amp;".CONTR.RESV_B"</f>
        <v>Диагностика.TREI.CPU.CONTR.RESV_B</v>
      </c>
      <c r="B2147" s="1">
        <v>1</v>
      </c>
      <c r="C2147" s="1" t="s">
        <v>1</v>
      </c>
      <c r="D2147" s="30">
        <v>3</v>
      </c>
    </row>
    <row r="2148" spans="1:68">
      <c r="A2148" s="26" t="str">
        <f>$R$2&amp;"."&amp;'Конфигурация TREI'!$A$2&amp;".CONTR.RESV_B"</f>
        <v>Диагностика.TREI.CPU.CONTR.RESV_B</v>
      </c>
      <c r="B2148" s="27">
        <v>11001</v>
      </c>
      <c r="C2148" s="27" t="s">
        <v>0</v>
      </c>
      <c r="D2148" s="28" t="s">
        <v>1598</v>
      </c>
    </row>
    <row r="2149" spans="1:68">
      <c r="A2149" s="23" t="str">
        <f>$R$2&amp;"."&amp;'Конфигурация TREI'!$A$2&amp;".CONTR.SWITCH_STATE_ON"</f>
        <v>Диагностика.TREI.CPU.CONTR.SWITCH_STATE_ON</v>
      </c>
      <c r="B2149" s="24">
        <v>7999</v>
      </c>
      <c r="C2149" s="24" t="s">
        <v>0</v>
      </c>
      <c r="D2149" s="30" t="str">
        <f>"#"&amp;$S$2&amp;"#"&amp;$T$2&amp;"\CONTR\SWITCH_STATE_ON"</f>
        <v>#2#treiOPCDA.CoOPCserv.1\pcmaster\CONTR\SWITCH_STATE_ON</v>
      </c>
    </row>
    <row r="2150" spans="1:68">
      <c r="A2150" s="29" t="str">
        <f>$R$2&amp;"."&amp;'Конфигурация TREI'!$A$2&amp;".CONTR.SWITCH_STATE_ON"</f>
        <v>Диагностика.TREI.CPU.CONTR.SWITCH_STATE_ON</v>
      </c>
      <c r="B2150" s="1">
        <v>7998</v>
      </c>
      <c r="C2150" s="1" t="s">
        <v>6</v>
      </c>
      <c r="D2150" s="30">
        <v>2</v>
      </c>
    </row>
    <row r="2151" spans="1:68">
      <c r="A2151" s="29" t="str">
        <f>$R$2&amp;"."&amp;'Конфигурация TREI'!$A$2&amp;".CONTR.SWITCH_STATE_ON"</f>
        <v>Диагностика.TREI.CPU.CONTR.SWITCH_STATE_ON</v>
      </c>
      <c r="B2151" s="1">
        <v>3</v>
      </c>
      <c r="C2151" s="1" t="s">
        <v>1</v>
      </c>
      <c r="D2151" s="30">
        <v>192</v>
      </c>
    </row>
    <row r="2152" spans="1:68" ht="15" customHeight="1">
      <c r="A2152" s="29" t="str">
        <f>$R$2&amp;"."&amp;'Конфигурация TREI'!$A$2&amp;".CONTR.SWITCH_STATE_ON"</f>
        <v>Диагностика.TREI.CPU.CONTR.SWITCH_STATE_ON</v>
      </c>
      <c r="B2152" s="1">
        <v>101</v>
      </c>
      <c r="C2152" s="1" t="s">
        <v>0</v>
      </c>
      <c r="D2152" s="30" t="s">
        <v>234</v>
      </c>
      <c r="E2152" s="9"/>
      <c r="F2152" s="9"/>
      <c r="P2152" s="511"/>
      <c r="Q2152" s="445"/>
      <c r="R2152" s="445"/>
      <c r="S2152" s="10"/>
      <c r="T2152" s="10"/>
      <c r="U2152" s="10"/>
      <c r="V2152" s="10"/>
      <c r="W2152" s="10"/>
      <c r="X2152" s="10"/>
      <c r="Y2152" s="10"/>
      <c r="Z2152" s="10"/>
      <c r="AA2152" s="10"/>
      <c r="AB2152" s="10"/>
      <c r="AC2152" s="10"/>
      <c r="BM2152" s="4"/>
      <c r="BN2152" s="4"/>
      <c r="BO2152" s="4"/>
      <c r="BP2152" s="4"/>
    </row>
    <row r="2153" spans="1:68">
      <c r="A2153" s="29" t="str">
        <f>$R$2&amp;"."&amp;'Конфигурация TREI'!$A$2&amp;".CONTR.SWITCH_STATE_ON"</f>
        <v>Диагностика.TREI.CPU.CONTR.SWITCH_STATE_ON</v>
      </c>
      <c r="B2153" s="1">
        <v>1</v>
      </c>
      <c r="C2153" s="1" t="s">
        <v>1</v>
      </c>
      <c r="D2153" s="30">
        <v>3</v>
      </c>
    </row>
    <row r="2154" spans="1:68">
      <c r="A2154" s="26" t="str">
        <f>$R$2&amp;"."&amp;'Конфигурация TREI'!$A$2&amp;".CONTR.SWITCH_STATE_ON"</f>
        <v>Диагностика.TREI.CPU.CONTR.SWITCH_STATE_ON</v>
      </c>
      <c r="B2154" s="27">
        <v>3000000</v>
      </c>
      <c r="C2154" s="27" t="s">
        <v>0</v>
      </c>
      <c r="D2154" s="22" t="str">
        <f>'Конфигурация TREI'!F2</f>
        <v>Диагностика.CPU_2.NOT_LINK.noLink</v>
      </c>
    </row>
    <row r="2155" spans="1:68">
      <c r="A2155" s="29" t="str">
        <f>$R$2&amp;"."&amp;'Конфигурация TREI'!$A$2&amp;".CONTR.TAG"</f>
        <v>Диагностика.TREI.CPU.CONTR.TAG</v>
      </c>
      <c r="B2155" s="1">
        <v>9002</v>
      </c>
      <c r="C2155" s="1" t="s">
        <v>0</v>
      </c>
      <c r="D2155" s="30">
        <v>2</v>
      </c>
    </row>
    <row r="2156" spans="1:68">
      <c r="A2156" s="29" t="str">
        <f>$R$2&amp;"."&amp;'Конфигурация TREI'!$A$2&amp;".CONTR.TAG"</f>
        <v>Диагностика.TREI.CPU.CONTR.TAG</v>
      </c>
      <c r="B2156" s="1">
        <v>7999</v>
      </c>
      <c r="C2156" s="1" t="s">
        <v>0</v>
      </c>
      <c r="D2156" s="30" t="str">
        <f>"#"&amp;$S$2&amp;"#"&amp;$T$2&amp;"\CONTR\TAG"</f>
        <v>#2#treiOPCDA.CoOPCserv.1\pcmaster\CONTR\TAG</v>
      </c>
    </row>
    <row r="2157" spans="1:68">
      <c r="A2157" s="29" t="str">
        <f>$R$2&amp;"."&amp;'Конфигурация TREI'!$A$2&amp;".CONTR.TAG"</f>
        <v>Диагностика.TREI.CPU.CONTR.TAG</v>
      </c>
      <c r="B2157" s="1">
        <v>7998</v>
      </c>
      <c r="C2157" s="1" t="s">
        <v>6</v>
      </c>
      <c r="D2157" s="30">
        <v>1</v>
      </c>
    </row>
    <row r="2158" spans="1:68">
      <c r="A2158" s="29" t="str">
        <f>$R$2&amp;"."&amp;'Конфигурация TREI'!$A$2&amp;".CONTR.TAG"</f>
        <v>Диагностика.TREI.CPU.CONTR.TAG</v>
      </c>
      <c r="B2158" s="1">
        <v>7011</v>
      </c>
      <c r="C2158" s="1" t="s">
        <v>2</v>
      </c>
      <c r="D2158" s="30" t="s">
        <v>130</v>
      </c>
    </row>
    <row r="2159" spans="1:68">
      <c r="A2159" s="29" t="str">
        <f>$R$2&amp;"."&amp;'Конфигурация TREI'!$A$2&amp;".CONTR.TAG"</f>
        <v>Диагностика.TREI.CPU.CONTR.TAG</v>
      </c>
      <c r="B2159" s="1">
        <v>3</v>
      </c>
      <c r="C2159" s="1" t="s">
        <v>1</v>
      </c>
      <c r="D2159" s="30">
        <v>4</v>
      </c>
    </row>
    <row r="2160" spans="1:68">
      <c r="A2160" s="29" t="str">
        <f>$R$2&amp;"."&amp;'Конфигурация TREI'!$A$2&amp;".CONTR.TAG"</f>
        <v>Диагностика.TREI.CPU.CONTR.TAG</v>
      </c>
      <c r="B2160" s="1">
        <v>1</v>
      </c>
      <c r="C2160" s="1" t="s">
        <v>1</v>
      </c>
      <c r="D2160" s="30">
        <v>16</v>
      </c>
    </row>
    <row r="2161" spans="1:68">
      <c r="A2161" s="26" t="str">
        <f>$R$2&amp;"."&amp;'Конфигурация TREI'!$A$2&amp;".CONTR.TAG"</f>
        <v>Диагностика.TREI.CPU.CONTR.TAG</v>
      </c>
      <c r="B2161" s="27">
        <v>11001</v>
      </c>
      <c r="C2161" s="27" t="s">
        <v>0</v>
      </c>
      <c r="D2161" s="28" t="s">
        <v>1600</v>
      </c>
    </row>
    <row r="2162" spans="1:68">
      <c r="A2162" s="512" t="s">
        <v>1605</v>
      </c>
      <c r="B2162" s="512"/>
      <c r="C2162" s="512"/>
      <c r="D2162" s="512"/>
    </row>
    <row r="2163" spans="1:68" ht="15" customHeight="1">
      <c r="A2163" s="16" t="str">
        <f>$R$2&amp;"."&amp;'Конфигурация TREI'!$A$2</f>
        <v>Диагностика.TREI.CPU</v>
      </c>
      <c r="B2163" s="17">
        <v>11001</v>
      </c>
      <c r="C2163" s="17" t="s">
        <v>0</v>
      </c>
      <c r="D2163" s="18" t="str">
        <f>$Q$2&amp;". Диагностика CPU"</f>
        <v>Контроллер TREI. Диагностика CPU</v>
      </c>
      <c r="BM2163" s="4"/>
      <c r="BN2163" s="4"/>
      <c r="BO2163" s="4"/>
      <c r="BP2163" s="4"/>
    </row>
    <row r="2164" spans="1:68" ht="15" customHeight="1">
      <c r="A2164" s="19" t="str">
        <f>$R$2&amp;"."&amp;'Конфигурация TREI'!$A$2</f>
        <v>Диагностика.TREI.CPU</v>
      </c>
      <c r="B2164" s="11">
        <v>11156</v>
      </c>
      <c r="C2164" s="11" t="s">
        <v>0</v>
      </c>
      <c r="D2164" s="20" t="str">
        <f>$V$2</f>
        <v>Тестовый экран</v>
      </c>
      <c r="BM2164" s="4"/>
      <c r="BN2164" s="4"/>
      <c r="BO2164" s="4"/>
      <c r="BP2164" s="4"/>
    </row>
    <row r="2165" spans="1:68" ht="15" customHeight="1">
      <c r="A2165" s="21" t="str">
        <f>$R$2&amp;"."&amp;'Конфигурация TREI'!$A$2</f>
        <v>Диагностика.TREI.CPU</v>
      </c>
      <c r="B2165" s="8">
        <v>1</v>
      </c>
      <c r="C2165" s="8" t="s">
        <v>1</v>
      </c>
      <c r="D2165" s="22">
        <v>17</v>
      </c>
      <c r="BM2165" s="4"/>
      <c r="BN2165" s="4"/>
      <c r="BO2165" s="4"/>
      <c r="BP2165" s="4"/>
    </row>
    <row r="2166" spans="1:68" ht="15" customHeight="1">
      <c r="A2166" s="16" t="str">
        <f>$R$2&amp;"."&amp;'Конфигурация TREI'!$A$2</f>
        <v>Диагностика.TREI.CPU</v>
      </c>
      <c r="B2166" s="17">
        <v>13</v>
      </c>
      <c r="C2166" s="17" t="s">
        <v>2</v>
      </c>
      <c r="D2166" s="18" t="s">
        <v>3</v>
      </c>
      <c r="BM2166" s="4"/>
      <c r="BN2166" s="4"/>
      <c r="BO2166" s="4"/>
      <c r="BP2166" s="4"/>
    </row>
    <row r="2167" spans="1:68" ht="15" customHeight="1">
      <c r="A2167" s="19" t="str">
        <f>$R$2&amp;"."&amp;'Конфигурация TREI'!$A$2</f>
        <v>Диагностика.TREI.CPU</v>
      </c>
      <c r="B2167" s="11">
        <v>3000013</v>
      </c>
      <c r="C2167" s="11" t="s">
        <v>0</v>
      </c>
      <c r="D2167" s="20" t="str">
        <f>$AE$2</f>
        <v>Диагностика.CPU.NOT_LINK.noLink</v>
      </c>
      <c r="BM2167" s="4"/>
      <c r="BN2167" s="4"/>
      <c r="BO2167" s="4"/>
      <c r="BP2167" s="4"/>
    </row>
    <row r="2168" spans="1:68">
      <c r="A2168" s="69" t="str">
        <f>$R$2&amp;"."&amp;'Конфигурация TREI'!$A$2&amp;".DIAG_1"</f>
        <v>Диагностика.TREI.CPU.DIAG_1</v>
      </c>
      <c r="B2168" s="70">
        <v>11154</v>
      </c>
      <c r="C2168" s="70" t="s">
        <v>4</v>
      </c>
      <c r="D2168" s="144">
        <f>$Q$6</f>
        <v>8</v>
      </c>
    </row>
    <row r="2169" spans="1:68">
      <c r="A2169" s="63" t="str">
        <f>$R$2&amp;"."&amp;'Конфигурация TREI'!$A$2&amp;".DIAG_1"</f>
        <v>Диагностика.TREI.CPU.DIAG_1</v>
      </c>
      <c r="B2169" s="64">
        <v>11152</v>
      </c>
      <c r="C2169" s="64" t="s">
        <v>0</v>
      </c>
      <c r="D2169" s="129" t="str">
        <f>$R$6</f>
        <v>Предупреждение</v>
      </c>
    </row>
    <row r="2170" spans="1:68">
      <c r="A2170" s="63" t="str">
        <f>$R$2&amp;"."&amp;'Конфигурация TREI'!$A$2&amp;".DIAG_1"</f>
        <v>Диагностика.TREI.CPU.DIAG_1</v>
      </c>
      <c r="B2170" s="64">
        <v>11150</v>
      </c>
      <c r="C2170" s="64" t="s">
        <v>0</v>
      </c>
      <c r="D2170" s="65" t="s">
        <v>797</v>
      </c>
    </row>
    <row r="2171" spans="1:68">
      <c r="A2171" s="63" t="str">
        <f>$R$2&amp;"."&amp;'Конфигурация TREI'!$A$2&amp;".DIAG_1"</f>
        <v>Диагностика.TREI.CPU.DIAG_1</v>
      </c>
      <c r="B2171" s="64">
        <v>11000</v>
      </c>
      <c r="C2171" s="64" t="s">
        <v>5</v>
      </c>
      <c r="D2171" s="65">
        <v>2147483680</v>
      </c>
    </row>
    <row r="2172" spans="1:68">
      <c r="A2172" s="19" t="str">
        <f>$R$2&amp;"."&amp;'Конфигурация TREI'!$A$2&amp;".DIAG_1"</f>
        <v>Диагностика.TREI.CPU.DIAG_1</v>
      </c>
      <c r="B2172" s="11">
        <v>7999</v>
      </c>
      <c r="C2172" s="11" t="s">
        <v>0</v>
      </c>
      <c r="D2172" s="20" t="str">
        <f>"#"&amp;$S$2&amp;"#"&amp;$T$2&amp;IF($S$7="","","\")&amp;$S$7&amp;"\"&amp;'Конфигурация TREI'!$A$2&amp;"\DIAG_1"</f>
        <v>#2#treiOPCDA.CoOPCserv.1\pcmaster\CPU\DIAG_1</v>
      </c>
    </row>
    <row r="2173" spans="1:68">
      <c r="A2173" s="19" t="str">
        <f>$R$2&amp;"."&amp;'Конфигурация TREI'!$A$2&amp;".DIAG_1"</f>
        <v>Диагностика.TREI.CPU.DIAG_1</v>
      </c>
      <c r="B2173" s="11">
        <v>7998</v>
      </c>
      <c r="C2173" s="11" t="s">
        <v>6</v>
      </c>
      <c r="D2173" s="20">
        <v>1</v>
      </c>
    </row>
    <row r="2174" spans="1:68">
      <c r="A2174" s="19" t="str">
        <f>$R$2&amp;"."&amp;'Конфигурация TREI'!$A$2&amp;".DIAG_1"</f>
        <v>Диагностика.TREI.CPU.DIAG_1</v>
      </c>
      <c r="B2174" s="11">
        <v>101</v>
      </c>
      <c r="C2174" s="11" t="s">
        <v>0</v>
      </c>
      <c r="D2174" s="20" t="s">
        <v>797</v>
      </c>
    </row>
    <row r="2175" spans="1:68">
      <c r="A2175" s="19" t="str">
        <f>$R$2&amp;"."&amp;'Конфигурация TREI'!$A$2&amp;".DIAG_1"</f>
        <v>Диагностика.TREI.CPU.DIAG_1</v>
      </c>
      <c r="B2175" s="11">
        <v>3</v>
      </c>
      <c r="C2175" s="11" t="s">
        <v>1</v>
      </c>
      <c r="D2175" s="20">
        <v>192</v>
      </c>
    </row>
    <row r="2176" spans="1:68">
      <c r="A2176" s="19" t="str">
        <f>$R$2&amp;"."&amp;'Конфигурация TREI'!$A$2&amp;".DIAG_1"</f>
        <v>Диагностика.TREI.CPU.DIAG_1</v>
      </c>
      <c r="B2176" s="11">
        <v>2</v>
      </c>
      <c r="C2176" s="11" t="s">
        <v>2</v>
      </c>
      <c r="D2176" s="20" t="s">
        <v>3</v>
      </c>
    </row>
    <row r="2177" spans="1:4">
      <c r="A2177" s="21" t="str">
        <f>$R$2&amp;"."&amp;'Конфигурация TREI'!$A$2&amp;".DIAG_1"</f>
        <v>Диагностика.TREI.CPU.DIAG_1</v>
      </c>
      <c r="B2177" s="8">
        <v>1</v>
      </c>
      <c r="C2177" s="8" t="s">
        <v>1</v>
      </c>
      <c r="D2177" s="22">
        <v>11</v>
      </c>
    </row>
    <row r="2178" spans="1:4">
      <c r="A2178" s="69" t="str">
        <f>$R$2&amp;"."&amp;'Конфигурация TREI'!$A$2&amp;".DIAG_2"</f>
        <v>Диагностика.TREI.CPU.DIAG_2</v>
      </c>
      <c r="B2178" s="70">
        <v>11154</v>
      </c>
      <c r="C2178" s="70" t="s">
        <v>4</v>
      </c>
      <c r="D2178" s="144">
        <f>$Q$6</f>
        <v>8</v>
      </c>
    </row>
    <row r="2179" spans="1:4">
      <c r="A2179" s="63" t="str">
        <f>$R$2&amp;"."&amp;'Конфигурация TREI'!$A$2&amp;".DIAG_2"</f>
        <v>Диагностика.TREI.CPU.DIAG_2</v>
      </c>
      <c r="B2179" s="64">
        <v>11152</v>
      </c>
      <c r="C2179" s="64" t="s">
        <v>0</v>
      </c>
      <c r="D2179" s="129" t="str">
        <f>$R$6</f>
        <v>Предупреждение</v>
      </c>
    </row>
    <row r="2180" spans="1:4">
      <c r="A2180" s="63" t="str">
        <f>$R$2&amp;"."&amp;'Конфигурация TREI'!$A$2&amp;".DIAG_2"</f>
        <v>Диагностика.TREI.CPU.DIAG_2</v>
      </c>
      <c r="B2180" s="64">
        <v>11150</v>
      </c>
      <c r="C2180" s="64" t="s">
        <v>0</v>
      </c>
      <c r="D2180" s="65" t="s">
        <v>798</v>
      </c>
    </row>
    <row r="2181" spans="1:4">
      <c r="A2181" s="63" t="str">
        <f>$R$2&amp;"."&amp;'Конфигурация TREI'!$A$2&amp;".DIAG_2"</f>
        <v>Диагностика.TREI.CPU.DIAG_2</v>
      </c>
      <c r="B2181" s="64">
        <v>11000</v>
      </c>
      <c r="C2181" s="64" t="s">
        <v>5</v>
      </c>
      <c r="D2181" s="65">
        <v>2147483680</v>
      </c>
    </row>
    <row r="2182" spans="1:4">
      <c r="A2182" s="19" t="str">
        <f>$R$2&amp;"."&amp;'Конфигурация TREI'!$A$2&amp;".DIAG_2"</f>
        <v>Диагностика.TREI.CPU.DIAG_2</v>
      </c>
      <c r="B2182" s="11">
        <v>7999</v>
      </c>
      <c r="C2182" s="11" t="s">
        <v>0</v>
      </c>
      <c r="D2182" s="20" t="str">
        <f>"#"&amp;$S$2&amp;"#"&amp;$T$2&amp;IF($S$7="","","\")&amp;$S$7&amp;"\"&amp;'Конфигурация TREI'!$A$2&amp;"\DIAG_2"</f>
        <v>#2#treiOPCDA.CoOPCserv.1\pcmaster\CPU\DIAG_2</v>
      </c>
    </row>
    <row r="2183" spans="1:4">
      <c r="A2183" s="19" t="str">
        <f>$R$2&amp;"."&amp;'Конфигурация TREI'!$A$2&amp;".DIAG_2"</f>
        <v>Диагностика.TREI.CPU.DIAG_2</v>
      </c>
      <c r="B2183" s="11">
        <v>7998</v>
      </c>
      <c r="C2183" s="11" t="s">
        <v>6</v>
      </c>
      <c r="D2183" s="20">
        <v>1</v>
      </c>
    </row>
    <row r="2184" spans="1:4">
      <c r="A2184" s="19" t="str">
        <f>$R$2&amp;"."&amp;'Конфигурация TREI'!$A$2&amp;".DIAG_2"</f>
        <v>Диагностика.TREI.CPU.DIAG_2</v>
      </c>
      <c r="B2184" s="11">
        <v>101</v>
      </c>
      <c r="C2184" s="11" t="s">
        <v>0</v>
      </c>
      <c r="D2184" s="20" t="s">
        <v>798</v>
      </c>
    </row>
    <row r="2185" spans="1:4">
      <c r="A2185" s="19" t="str">
        <f>$R$2&amp;"."&amp;'Конфигурация TREI'!$A$2&amp;".DIAG_2"</f>
        <v>Диагностика.TREI.CPU.DIAG_2</v>
      </c>
      <c r="B2185" s="11">
        <v>3</v>
      </c>
      <c r="C2185" s="11" t="s">
        <v>1</v>
      </c>
      <c r="D2185" s="20">
        <v>192</v>
      </c>
    </row>
    <row r="2186" spans="1:4">
      <c r="A2186" s="19" t="str">
        <f>$R$2&amp;"."&amp;'Конфигурация TREI'!$A$2&amp;".DIAG_2"</f>
        <v>Диагностика.TREI.CPU.DIAG_2</v>
      </c>
      <c r="B2186" s="11">
        <v>2</v>
      </c>
      <c r="C2186" s="11" t="s">
        <v>2</v>
      </c>
      <c r="D2186" s="20" t="s">
        <v>3</v>
      </c>
    </row>
    <row r="2187" spans="1:4">
      <c r="A2187" s="21" t="str">
        <f>$R$2&amp;"."&amp;'Конфигурация TREI'!$A$2&amp;".DIAG_2"</f>
        <v>Диагностика.TREI.CPU.DIAG_2</v>
      </c>
      <c r="B2187" s="8">
        <v>1</v>
      </c>
      <c r="C2187" s="8" t="s">
        <v>1</v>
      </c>
      <c r="D2187" s="22">
        <v>11</v>
      </c>
    </row>
    <row r="2188" spans="1:4">
      <c r="A2188" s="69" t="str">
        <f>$R$2&amp;"."&amp;'Конфигурация TREI'!$A$2&amp;".DIAG_3"</f>
        <v>Диагностика.TREI.CPU.DIAG_3</v>
      </c>
      <c r="B2188" s="70">
        <v>11154</v>
      </c>
      <c r="C2188" s="70" t="s">
        <v>4</v>
      </c>
      <c r="D2188" s="144">
        <f>$Q$6</f>
        <v>8</v>
      </c>
    </row>
    <row r="2189" spans="1:4">
      <c r="A2189" s="63" t="str">
        <f>$R$2&amp;"."&amp;'Конфигурация TREI'!$A$2&amp;".DIAG_3"</f>
        <v>Диагностика.TREI.CPU.DIAG_3</v>
      </c>
      <c r="B2189" s="64">
        <v>11152</v>
      </c>
      <c r="C2189" s="64" t="s">
        <v>0</v>
      </c>
      <c r="D2189" s="129" t="str">
        <f>$R$6</f>
        <v>Предупреждение</v>
      </c>
    </row>
    <row r="2190" spans="1:4">
      <c r="A2190" s="63" t="str">
        <f>$R$2&amp;"."&amp;'Конфигурация TREI'!$A$2&amp;".DIAG_3"</f>
        <v>Диагностика.TREI.CPU.DIAG_3</v>
      </c>
      <c r="B2190" s="64">
        <v>11150</v>
      </c>
      <c r="C2190" s="64" t="s">
        <v>0</v>
      </c>
      <c r="D2190" s="65" t="s">
        <v>799</v>
      </c>
    </row>
    <row r="2191" spans="1:4">
      <c r="A2191" s="63" t="str">
        <f>$R$2&amp;"."&amp;'Конфигурация TREI'!$A$2&amp;".DIAG_3"</f>
        <v>Диагностика.TREI.CPU.DIAG_3</v>
      </c>
      <c r="B2191" s="64">
        <v>11000</v>
      </c>
      <c r="C2191" s="64" t="s">
        <v>5</v>
      </c>
      <c r="D2191" s="65">
        <v>2147483680</v>
      </c>
    </row>
    <row r="2192" spans="1:4">
      <c r="A2192" s="19" t="str">
        <f>$R$2&amp;"."&amp;'Конфигурация TREI'!$A$2&amp;".DIAG_3"</f>
        <v>Диагностика.TREI.CPU.DIAG_3</v>
      </c>
      <c r="B2192" s="11">
        <v>7999</v>
      </c>
      <c r="C2192" s="11" t="s">
        <v>0</v>
      </c>
      <c r="D2192" s="20" t="str">
        <f>"#"&amp;$S$2&amp;"#"&amp;$T$2&amp;IF($S$7="","","\")&amp;$S$7&amp;"\"&amp;'Конфигурация TREI'!$A$2&amp;"\DIAG_3"</f>
        <v>#2#treiOPCDA.CoOPCserv.1\pcmaster\CPU\DIAG_3</v>
      </c>
    </row>
    <row r="2193" spans="1:4">
      <c r="A2193" s="19" t="str">
        <f>$R$2&amp;"."&amp;'Конфигурация TREI'!$A$2&amp;".DIAG_3"</f>
        <v>Диагностика.TREI.CPU.DIAG_3</v>
      </c>
      <c r="B2193" s="11">
        <v>7998</v>
      </c>
      <c r="C2193" s="11" t="s">
        <v>6</v>
      </c>
      <c r="D2193" s="20">
        <v>1</v>
      </c>
    </row>
    <row r="2194" spans="1:4">
      <c r="A2194" s="19" t="str">
        <f>$R$2&amp;"."&amp;'Конфигурация TREI'!$A$2&amp;".DIAG_3"</f>
        <v>Диагностика.TREI.CPU.DIAG_3</v>
      </c>
      <c r="B2194" s="11">
        <v>101</v>
      </c>
      <c r="C2194" s="11" t="s">
        <v>0</v>
      </c>
      <c r="D2194" s="20" t="s">
        <v>799</v>
      </c>
    </row>
    <row r="2195" spans="1:4">
      <c r="A2195" s="19" t="str">
        <f>$R$2&amp;"."&amp;'Конфигурация TREI'!$A$2&amp;".DIAG_3"</f>
        <v>Диагностика.TREI.CPU.DIAG_3</v>
      </c>
      <c r="B2195" s="11">
        <v>3</v>
      </c>
      <c r="C2195" s="11" t="s">
        <v>1</v>
      </c>
      <c r="D2195" s="20">
        <v>192</v>
      </c>
    </row>
    <row r="2196" spans="1:4">
      <c r="A2196" s="19" t="str">
        <f>$R$2&amp;"."&amp;'Конфигурация TREI'!$A$2&amp;".DIAG_3"</f>
        <v>Диагностика.TREI.CPU.DIAG_3</v>
      </c>
      <c r="B2196" s="11">
        <v>2</v>
      </c>
      <c r="C2196" s="11" t="s">
        <v>2</v>
      </c>
      <c r="D2196" s="20" t="s">
        <v>3</v>
      </c>
    </row>
    <row r="2197" spans="1:4">
      <c r="A2197" s="21" t="str">
        <f>$R$2&amp;"."&amp;'Конфигурация TREI'!$A$2&amp;".DIAG_3"</f>
        <v>Диагностика.TREI.CPU.DIAG_3</v>
      </c>
      <c r="B2197" s="8">
        <v>1</v>
      </c>
      <c r="C2197" s="8" t="s">
        <v>1</v>
      </c>
      <c r="D2197" s="22">
        <v>11</v>
      </c>
    </row>
    <row r="2198" spans="1:4">
      <c r="A2198" s="69" t="str">
        <f>$R$2&amp;"."&amp;'Конфигурация TREI'!$A$2&amp;".DIAG_6"</f>
        <v>Диагностика.TREI.CPU.DIAG_6</v>
      </c>
      <c r="B2198" s="70">
        <v>11154</v>
      </c>
      <c r="C2198" s="70" t="s">
        <v>4</v>
      </c>
      <c r="D2198" s="144">
        <f>$Q$6</f>
        <v>8</v>
      </c>
    </row>
    <row r="2199" spans="1:4">
      <c r="A2199" s="63" t="str">
        <f>$R$2&amp;"."&amp;'Конфигурация TREI'!$A$2&amp;".DIAG_6"</f>
        <v>Диагностика.TREI.CPU.DIAG_6</v>
      </c>
      <c r="B2199" s="64">
        <v>11152</v>
      </c>
      <c r="C2199" s="64" t="s">
        <v>0</v>
      </c>
      <c r="D2199" s="129" t="str">
        <f>$R$6</f>
        <v>Предупреждение</v>
      </c>
    </row>
    <row r="2200" spans="1:4">
      <c r="A2200" s="63" t="str">
        <f>$R$2&amp;"."&amp;'Конфигурация TREI'!$A$2&amp;".DIAG_6"</f>
        <v>Диагностика.TREI.CPU.DIAG_6</v>
      </c>
      <c r="B2200" s="64">
        <v>11150</v>
      </c>
      <c r="C2200" s="64" t="s">
        <v>0</v>
      </c>
      <c r="D2200" s="65" t="s">
        <v>800</v>
      </c>
    </row>
    <row r="2201" spans="1:4">
      <c r="A2201" s="63" t="str">
        <f>$R$2&amp;"."&amp;'Конфигурация TREI'!$A$2&amp;".DIAG_6"</f>
        <v>Диагностика.TREI.CPU.DIAG_6</v>
      </c>
      <c r="B2201" s="64">
        <v>11000</v>
      </c>
      <c r="C2201" s="64" t="s">
        <v>5</v>
      </c>
      <c r="D2201" s="65">
        <v>2147483680</v>
      </c>
    </row>
    <row r="2202" spans="1:4">
      <c r="A2202" s="19" t="str">
        <f>$R$2&amp;"."&amp;'Конфигурация TREI'!$A$2&amp;".DIAG_6"</f>
        <v>Диагностика.TREI.CPU.DIAG_6</v>
      </c>
      <c r="B2202" s="11">
        <v>7999</v>
      </c>
      <c r="C2202" s="11" t="s">
        <v>0</v>
      </c>
      <c r="D2202" s="20" t="str">
        <f>"#"&amp;$S$2&amp;"#"&amp;$T$2&amp;IF($S$7="","","\")&amp;$S$7&amp;"\"&amp;'Конфигурация TREI'!$A$2&amp;"\DIAG_6"</f>
        <v>#2#treiOPCDA.CoOPCserv.1\pcmaster\CPU\DIAG_6</v>
      </c>
    </row>
    <row r="2203" spans="1:4">
      <c r="A2203" s="19" t="str">
        <f>$R$2&amp;"."&amp;'Конфигурация TREI'!$A$2&amp;".DIAG_6"</f>
        <v>Диагностика.TREI.CPU.DIAG_6</v>
      </c>
      <c r="B2203" s="11">
        <v>7998</v>
      </c>
      <c r="C2203" s="11" t="s">
        <v>6</v>
      </c>
      <c r="D2203" s="20">
        <v>1</v>
      </c>
    </row>
    <row r="2204" spans="1:4">
      <c r="A2204" s="19" t="str">
        <f>$R$2&amp;"."&amp;'Конфигурация TREI'!$A$2&amp;".DIAG_6"</f>
        <v>Диагностика.TREI.CPU.DIAG_6</v>
      </c>
      <c r="B2204" s="11">
        <v>101</v>
      </c>
      <c r="C2204" s="11" t="s">
        <v>0</v>
      </c>
      <c r="D2204" s="20" t="s">
        <v>800</v>
      </c>
    </row>
    <row r="2205" spans="1:4">
      <c r="A2205" s="19" t="str">
        <f>$R$2&amp;"."&amp;'Конфигурация TREI'!$A$2&amp;".DIAG_6"</f>
        <v>Диагностика.TREI.CPU.DIAG_6</v>
      </c>
      <c r="B2205" s="11">
        <v>3</v>
      </c>
      <c r="C2205" s="11" t="s">
        <v>1</v>
      </c>
      <c r="D2205" s="20">
        <v>192</v>
      </c>
    </row>
    <row r="2206" spans="1:4">
      <c r="A2206" s="19" t="str">
        <f>$R$2&amp;"."&amp;'Конфигурация TREI'!$A$2&amp;".DIAG_6"</f>
        <v>Диагностика.TREI.CPU.DIAG_6</v>
      </c>
      <c r="B2206" s="11">
        <v>2</v>
      </c>
      <c r="C2206" s="11" t="s">
        <v>2</v>
      </c>
      <c r="D2206" s="20" t="s">
        <v>3</v>
      </c>
    </row>
    <row r="2207" spans="1:4">
      <c r="A2207" s="21" t="str">
        <f>$R$2&amp;"."&amp;'Конфигурация TREI'!$A$2&amp;".DIAG_6"</f>
        <v>Диагностика.TREI.CPU.DIAG_6</v>
      </c>
      <c r="B2207" s="8">
        <v>1</v>
      </c>
      <c r="C2207" s="8" t="s">
        <v>1</v>
      </c>
      <c r="D2207" s="22">
        <v>11</v>
      </c>
    </row>
    <row r="2208" spans="1:4">
      <c r="A2208" s="69" t="str">
        <f>$R$2&amp;"."&amp;'Конфигурация TREI'!$A$2&amp;".DIAG_7"</f>
        <v>Диагностика.TREI.CPU.DIAG_7</v>
      </c>
      <c r="B2208" s="70">
        <v>11154</v>
      </c>
      <c r="C2208" s="70" t="s">
        <v>4</v>
      </c>
      <c r="D2208" s="144">
        <f>$Q$6</f>
        <v>8</v>
      </c>
    </row>
    <row r="2209" spans="1:4">
      <c r="A2209" s="63" t="str">
        <f>$R$2&amp;"."&amp;'Конфигурация TREI'!$A$2&amp;".DIAG_7"</f>
        <v>Диагностика.TREI.CPU.DIAG_7</v>
      </c>
      <c r="B2209" s="64">
        <v>11152</v>
      </c>
      <c r="C2209" s="64" t="s">
        <v>0</v>
      </c>
      <c r="D2209" s="129" t="str">
        <f>$R$6</f>
        <v>Предупреждение</v>
      </c>
    </row>
    <row r="2210" spans="1:4">
      <c r="A2210" s="63" t="str">
        <f>$R$2&amp;"."&amp;'Конфигурация TREI'!$A$2&amp;".DIAG_7"</f>
        <v>Диагностика.TREI.CPU.DIAG_7</v>
      </c>
      <c r="B2210" s="64">
        <v>11150</v>
      </c>
      <c r="C2210" s="64" t="s">
        <v>0</v>
      </c>
      <c r="D2210" s="65" t="s">
        <v>801</v>
      </c>
    </row>
    <row r="2211" spans="1:4">
      <c r="A2211" s="63" t="str">
        <f>$R$2&amp;"."&amp;'Конфигурация TREI'!$A$2&amp;".DIAG_7"</f>
        <v>Диагностика.TREI.CPU.DIAG_7</v>
      </c>
      <c r="B2211" s="64">
        <v>11000</v>
      </c>
      <c r="C2211" s="64" t="s">
        <v>5</v>
      </c>
      <c r="D2211" s="65">
        <v>2147483680</v>
      </c>
    </row>
    <row r="2212" spans="1:4">
      <c r="A2212" s="19" t="str">
        <f>$R$2&amp;"."&amp;'Конфигурация TREI'!$A$2&amp;".DIAG_7"</f>
        <v>Диагностика.TREI.CPU.DIAG_7</v>
      </c>
      <c r="B2212" s="11">
        <v>7999</v>
      </c>
      <c r="C2212" s="11" t="s">
        <v>0</v>
      </c>
      <c r="D2212" s="20" t="str">
        <f>"#"&amp;$S$2&amp;"#"&amp;$T$2&amp;IF($S$7="","","\")&amp;$S$7&amp;"\"&amp;'Конфигурация TREI'!$A$2&amp;"\DIAG_7"</f>
        <v>#2#treiOPCDA.CoOPCserv.1\pcmaster\CPU\DIAG_7</v>
      </c>
    </row>
    <row r="2213" spans="1:4">
      <c r="A2213" s="19" t="str">
        <f>$R$2&amp;"."&amp;'Конфигурация TREI'!$A$2&amp;".DIAG_7"</f>
        <v>Диагностика.TREI.CPU.DIAG_7</v>
      </c>
      <c r="B2213" s="11">
        <v>7998</v>
      </c>
      <c r="C2213" s="11" t="s">
        <v>6</v>
      </c>
      <c r="D2213" s="20">
        <v>1</v>
      </c>
    </row>
    <row r="2214" spans="1:4">
      <c r="A2214" s="19" t="str">
        <f>$R$2&amp;"."&amp;'Конфигурация TREI'!$A$2&amp;".DIAG_7"</f>
        <v>Диагностика.TREI.CPU.DIAG_7</v>
      </c>
      <c r="B2214" s="11">
        <v>101</v>
      </c>
      <c r="C2214" s="11" t="s">
        <v>0</v>
      </c>
      <c r="D2214" s="20" t="s">
        <v>801</v>
      </c>
    </row>
    <row r="2215" spans="1:4">
      <c r="A2215" s="19" t="str">
        <f>$R$2&amp;"."&amp;'Конфигурация TREI'!$A$2&amp;".DIAG_7"</f>
        <v>Диагностика.TREI.CPU.DIAG_7</v>
      </c>
      <c r="B2215" s="11">
        <v>3</v>
      </c>
      <c r="C2215" s="11" t="s">
        <v>1</v>
      </c>
      <c r="D2215" s="20">
        <v>192</v>
      </c>
    </row>
    <row r="2216" spans="1:4">
      <c r="A2216" s="19" t="str">
        <f>$R$2&amp;"."&amp;'Конфигурация TREI'!$A$2&amp;".DIAG_7"</f>
        <v>Диагностика.TREI.CPU.DIAG_7</v>
      </c>
      <c r="B2216" s="11">
        <v>2</v>
      </c>
      <c r="C2216" s="11" t="s">
        <v>2</v>
      </c>
      <c r="D2216" s="20" t="s">
        <v>3</v>
      </c>
    </row>
    <row r="2217" spans="1:4">
      <c r="A2217" s="21" t="str">
        <f>$R$2&amp;"."&amp;'Конфигурация TREI'!$A$2&amp;".DIAG_7"</f>
        <v>Диагностика.TREI.CPU.DIAG_7</v>
      </c>
      <c r="B2217" s="8">
        <v>1</v>
      </c>
      <c r="C2217" s="8" t="s">
        <v>1</v>
      </c>
      <c r="D2217" s="22">
        <v>11</v>
      </c>
    </row>
    <row r="2218" spans="1:4">
      <c r="A2218" s="69" t="str">
        <f>$R$2&amp;"."&amp;'Конфигурация TREI'!$A$2&amp;".DIAG_8"</f>
        <v>Диагностика.TREI.CPU.DIAG_8</v>
      </c>
      <c r="B2218" s="70">
        <v>11154</v>
      </c>
      <c r="C2218" s="70" t="s">
        <v>4</v>
      </c>
      <c r="D2218" s="144">
        <f>$Q$6</f>
        <v>8</v>
      </c>
    </row>
    <row r="2219" spans="1:4">
      <c r="A2219" s="63" t="str">
        <f>$R$2&amp;"."&amp;'Конфигурация TREI'!$A$2&amp;".DIAG_8"</f>
        <v>Диагностика.TREI.CPU.DIAG_8</v>
      </c>
      <c r="B2219" s="64">
        <v>11152</v>
      </c>
      <c r="C2219" s="64" t="s">
        <v>0</v>
      </c>
      <c r="D2219" s="129" t="str">
        <f>$R$6</f>
        <v>Предупреждение</v>
      </c>
    </row>
    <row r="2220" spans="1:4">
      <c r="A2220" s="63" t="str">
        <f>$R$2&amp;"."&amp;'Конфигурация TREI'!$A$2&amp;".DIAG_8"</f>
        <v>Диагностика.TREI.CPU.DIAG_8</v>
      </c>
      <c r="B2220" s="64">
        <v>11150</v>
      </c>
      <c r="C2220" s="64" t="s">
        <v>0</v>
      </c>
      <c r="D2220" s="65" t="s">
        <v>802</v>
      </c>
    </row>
    <row r="2221" spans="1:4">
      <c r="A2221" s="63" t="str">
        <f>$R$2&amp;"."&amp;'Конфигурация TREI'!$A$2&amp;".DIAG_8"</f>
        <v>Диагностика.TREI.CPU.DIAG_8</v>
      </c>
      <c r="B2221" s="64">
        <v>11000</v>
      </c>
      <c r="C2221" s="64" t="s">
        <v>5</v>
      </c>
      <c r="D2221" s="65">
        <v>2147483680</v>
      </c>
    </row>
    <row r="2222" spans="1:4">
      <c r="A2222" s="19" t="str">
        <f>$R$2&amp;"."&amp;'Конфигурация TREI'!$A$2&amp;".DIAG_8"</f>
        <v>Диагностика.TREI.CPU.DIAG_8</v>
      </c>
      <c r="B2222" s="11">
        <v>7999</v>
      </c>
      <c r="C2222" s="11" t="s">
        <v>0</v>
      </c>
      <c r="D2222" s="20" t="str">
        <f>"#"&amp;$S$2&amp;"#"&amp;$T$2&amp;IF($S$7="","","\")&amp;$S$7&amp;"\"&amp;'Конфигурация TREI'!$A$2&amp;"\DIAG_8"</f>
        <v>#2#treiOPCDA.CoOPCserv.1\pcmaster\CPU\DIAG_8</v>
      </c>
    </row>
    <row r="2223" spans="1:4">
      <c r="A2223" s="19" t="str">
        <f>$R$2&amp;"."&amp;'Конфигурация TREI'!$A$2&amp;".DIAG_8"</f>
        <v>Диагностика.TREI.CPU.DIAG_8</v>
      </c>
      <c r="B2223" s="11">
        <v>7998</v>
      </c>
      <c r="C2223" s="11" t="s">
        <v>6</v>
      </c>
      <c r="D2223" s="20">
        <v>1</v>
      </c>
    </row>
    <row r="2224" spans="1:4">
      <c r="A2224" s="19" t="str">
        <f>$R$2&amp;"."&amp;'Конфигурация TREI'!$A$2&amp;".DIAG_8"</f>
        <v>Диагностика.TREI.CPU.DIAG_8</v>
      </c>
      <c r="B2224" s="11">
        <v>101</v>
      </c>
      <c r="C2224" s="11" t="s">
        <v>0</v>
      </c>
      <c r="D2224" s="20" t="s">
        <v>802</v>
      </c>
    </row>
    <row r="2225" spans="1:4">
      <c r="A2225" s="19" t="str">
        <f>$R$2&amp;"."&amp;'Конфигурация TREI'!$A$2&amp;".DIAG_8"</f>
        <v>Диагностика.TREI.CPU.DIAG_8</v>
      </c>
      <c r="B2225" s="11">
        <v>3</v>
      </c>
      <c r="C2225" s="11" t="s">
        <v>1</v>
      </c>
      <c r="D2225" s="20">
        <v>192</v>
      </c>
    </row>
    <row r="2226" spans="1:4">
      <c r="A2226" s="19" t="str">
        <f>$R$2&amp;"."&amp;'Конфигурация TREI'!$A$2&amp;".DIAG_8"</f>
        <v>Диагностика.TREI.CPU.DIAG_8</v>
      </c>
      <c r="B2226" s="11">
        <v>2</v>
      </c>
      <c r="C2226" s="11" t="s">
        <v>2</v>
      </c>
      <c r="D2226" s="20" t="s">
        <v>3</v>
      </c>
    </row>
    <row r="2227" spans="1:4">
      <c r="A2227" s="21" t="str">
        <f>$R$2&amp;"."&amp;'Конфигурация TREI'!$A$2&amp;".DIAG_8"</f>
        <v>Диагностика.TREI.CPU.DIAG_8</v>
      </c>
      <c r="B2227" s="8">
        <v>1</v>
      </c>
      <c r="C2227" s="8" t="s">
        <v>1</v>
      </c>
      <c r="D2227" s="22">
        <v>11</v>
      </c>
    </row>
    <row r="2228" spans="1:4">
      <c r="A2228" s="69" t="str">
        <f>$R$2&amp;"."&amp;'Конфигурация TREI'!$A$2&amp;".DIAG_9"</f>
        <v>Диагностика.TREI.CPU.DIAG_9</v>
      </c>
      <c r="B2228" s="70">
        <v>11154</v>
      </c>
      <c r="C2228" s="70" t="s">
        <v>4</v>
      </c>
      <c r="D2228" s="144">
        <f>$Q$6</f>
        <v>8</v>
      </c>
    </row>
    <row r="2229" spans="1:4">
      <c r="A2229" s="63" t="str">
        <f>$R$2&amp;"."&amp;'Конфигурация TREI'!$A$2&amp;".DIAG_9"</f>
        <v>Диагностика.TREI.CPU.DIAG_9</v>
      </c>
      <c r="B2229" s="64">
        <v>11152</v>
      </c>
      <c r="C2229" s="64" t="s">
        <v>0</v>
      </c>
      <c r="D2229" s="129" t="str">
        <f>$R$6</f>
        <v>Предупреждение</v>
      </c>
    </row>
    <row r="2230" spans="1:4">
      <c r="A2230" s="63" t="str">
        <f>$R$2&amp;"."&amp;'Конфигурация TREI'!$A$2&amp;".DIAG_9"</f>
        <v>Диагностика.TREI.CPU.DIAG_9</v>
      </c>
      <c r="B2230" s="64">
        <v>11150</v>
      </c>
      <c r="C2230" s="64" t="s">
        <v>0</v>
      </c>
      <c r="D2230" s="65" t="s">
        <v>803</v>
      </c>
    </row>
    <row r="2231" spans="1:4">
      <c r="A2231" s="63" t="str">
        <f>$R$2&amp;"."&amp;'Конфигурация TREI'!$A$2&amp;".DIAG_9"</f>
        <v>Диагностика.TREI.CPU.DIAG_9</v>
      </c>
      <c r="B2231" s="64">
        <v>11000</v>
      </c>
      <c r="C2231" s="64" t="s">
        <v>5</v>
      </c>
      <c r="D2231" s="65">
        <v>2147483680</v>
      </c>
    </row>
    <row r="2232" spans="1:4">
      <c r="A2232" s="19" t="str">
        <f>$R$2&amp;"."&amp;'Конфигурация TREI'!$A$2&amp;".DIAG_9"</f>
        <v>Диагностика.TREI.CPU.DIAG_9</v>
      </c>
      <c r="B2232" s="11">
        <v>7999</v>
      </c>
      <c r="C2232" s="11" t="s">
        <v>0</v>
      </c>
      <c r="D2232" s="20" t="str">
        <f>"#"&amp;$S$2&amp;"#"&amp;$T$2&amp;IF($S$7="","","\")&amp;$S$7&amp;"\"&amp;'Конфигурация TREI'!$A$2&amp;"\DIAG_9"</f>
        <v>#2#treiOPCDA.CoOPCserv.1\pcmaster\CPU\DIAG_9</v>
      </c>
    </row>
    <row r="2233" spans="1:4">
      <c r="A2233" s="19" t="str">
        <f>$R$2&amp;"."&amp;'Конфигурация TREI'!$A$2&amp;".DIAG_9"</f>
        <v>Диагностика.TREI.CPU.DIAG_9</v>
      </c>
      <c r="B2233" s="11">
        <v>7998</v>
      </c>
      <c r="C2233" s="11" t="s">
        <v>6</v>
      </c>
      <c r="D2233" s="20">
        <v>1</v>
      </c>
    </row>
    <row r="2234" spans="1:4">
      <c r="A2234" s="19" t="str">
        <f>$R$2&amp;"."&amp;'Конфигурация TREI'!$A$2&amp;".DIAG_9"</f>
        <v>Диагностика.TREI.CPU.DIAG_9</v>
      </c>
      <c r="B2234" s="11">
        <v>101</v>
      </c>
      <c r="C2234" s="11" t="s">
        <v>0</v>
      </c>
      <c r="D2234" s="20" t="s">
        <v>803</v>
      </c>
    </row>
    <row r="2235" spans="1:4">
      <c r="A2235" s="19" t="str">
        <f>$R$2&amp;"."&amp;'Конфигурация TREI'!$A$2&amp;".DIAG_9"</f>
        <v>Диагностика.TREI.CPU.DIAG_9</v>
      </c>
      <c r="B2235" s="11">
        <v>3</v>
      </c>
      <c r="C2235" s="11" t="s">
        <v>1</v>
      </c>
      <c r="D2235" s="20">
        <v>192</v>
      </c>
    </row>
    <row r="2236" spans="1:4">
      <c r="A2236" s="19" t="str">
        <f>$R$2&amp;"."&amp;'Конфигурация TREI'!$A$2&amp;".DIAG_9"</f>
        <v>Диагностика.TREI.CPU.DIAG_9</v>
      </c>
      <c r="B2236" s="11">
        <v>2</v>
      </c>
      <c r="C2236" s="11" t="s">
        <v>2</v>
      </c>
      <c r="D2236" s="20" t="s">
        <v>3</v>
      </c>
    </row>
    <row r="2237" spans="1:4">
      <c r="A2237" s="21" t="str">
        <f>$R$2&amp;"."&amp;'Конфигурация TREI'!$A$2&amp;".DIAG_9"</f>
        <v>Диагностика.TREI.CPU.DIAG_9</v>
      </c>
      <c r="B2237" s="8">
        <v>1</v>
      </c>
      <c r="C2237" s="8" t="s">
        <v>1</v>
      </c>
      <c r="D2237" s="22">
        <v>11</v>
      </c>
    </row>
    <row r="2238" spans="1:4">
      <c r="A2238" s="69" t="str">
        <f>$R$2&amp;"."&amp;'Конфигурация TREI'!$A$2&amp;".DIAG_10"</f>
        <v>Диагностика.TREI.CPU.DIAG_10</v>
      </c>
      <c r="B2238" s="70">
        <v>11154</v>
      </c>
      <c r="C2238" s="70" t="s">
        <v>4</v>
      </c>
      <c r="D2238" s="144">
        <f>$Q$6</f>
        <v>8</v>
      </c>
    </row>
    <row r="2239" spans="1:4">
      <c r="A2239" s="63" t="str">
        <f>$R$2&amp;"."&amp;'Конфигурация TREI'!$A$2&amp;".DIAG_10"</f>
        <v>Диагностика.TREI.CPU.DIAG_10</v>
      </c>
      <c r="B2239" s="64">
        <v>11152</v>
      </c>
      <c r="C2239" s="64" t="s">
        <v>0</v>
      </c>
      <c r="D2239" s="129" t="str">
        <f>$R$6</f>
        <v>Предупреждение</v>
      </c>
    </row>
    <row r="2240" spans="1:4">
      <c r="A2240" s="63" t="str">
        <f>$R$2&amp;"."&amp;'Конфигурация TREI'!$A$2&amp;".DIAG_10"</f>
        <v>Диагностика.TREI.CPU.DIAG_10</v>
      </c>
      <c r="B2240" s="64">
        <v>11150</v>
      </c>
      <c r="C2240" s="64" t="s">
        <v>0</v>
      </c>
      <c r="D2240" s="65" t="s">
        <v>804</v>
      </c>
    </row>
    <row r="2241" spans="1:4">
      <c r="A2241" s="63" t="str">
        <f>$R$2&amp;"."&amp;'Конфигурация TREI'!$A$2&amp;".DIAG_10"</f>
        <v>Диагностика.TREI.CPU.DIAG_10</v>
      </c>
      <c r="B2241" s="64">
        <v>11000</v>
      </c>
      <c r="C2241" s="64" t="s">
        <v>5</v>
      </c>
      <c r="D2241" s="65">
        <v>2147483680</v>
      </c>
    </row>
    <row r="2242" spans="1:4">
      <c r="A2242" s="19" t="str">
        <f>$R$2&amp;"."&amp;'Конфигурация TREI'!$A$2&amp;".DIAG_10"</f>
        <v>Диагностика.TREI.CPU.DIAG_10</v>
      </c>
      <c r="B2242" s="11">
        <v>7999</v>
      </c>
      <c r="C2242" s="11" t="s">
        <v>0</v>
      </c>
      <c r="D2242" s="20" t="str">
        <f>"#"&amp;$S$2&amp;"#"&amp;$T$2&amp;IF($S$7="","","\")&amp;$S$7&amp;"\"&amp;'Конфигурация TREI'!$A$2&amp;"\DIAG_10"</f>
        <v>#2#treiOPCDA.CoOPCserv.1\pcmaster\CPU\DIAG_10</v>
      </c>
    </row>
    <row r="2243" spans="1:4">
      <c r="A2243" s="19" t="str">
        <f>$R$2&amp;"."&amp;'Конфигурация TREI'!$A$2&amp;".DIAG_10"</f>
        <v>Диагностика.TREI.CPU.DIAG_10</v>
      </c>
      <c r="B2243" s="11">
        <v>7998</v>
      </c>
      <c r="C2243" s="11" t="s">
        <v>6</v>
      </c>
      <c r="D2243" s="20">
        <v>1</v>
      </c>
    </row>
    <row r="2244" spans="1:4">
      <c r="A2244" s="19" t="str">
        <f>$R$2&amp;"."&amp;'Конфигурация TREI'!$A$2&amp;".DIAG_10"</f>
        <v>Диагностика.TREI.CPU.DIAG_10</v>
      </c>
      <c r="B2244" s="11">
        <v>101</v>
      </c>
      <c r="C2244" s="11" t="s">
        <v>0</v>
      </c>
      <c r="D2244" s="20" t="s">
        <v>804</v>
      </c>
    </row>
    <row r="2245" spans="1:4">
      <c r="A2245" s="19" t="str">
        <f>$R$2&amp;"."&amp;'Конфигурация TREI'!$A$2&amp;".DIAG_10"</f>
        <v>Диагностика.TREI.CPU.DIAG_10</v>
      </c>
      <c r="B2245" s="11">
        <v>3</v>
      </c>
      <c r="C2245" s="11" t="s">
        <v>1</v>
      </c>
      <c r="D2245" s="20">
        <v>192</v>
      </c>
    </row>
    <row r="2246" spans="1:4">
      <c r="A2246" s="19" t="str">
        <f>$R$2&amp;"."&amp;'Конфигурация TREI'!$A$2&amp;".DIAG_10"</f>
        <v>Диагностика.TREI.CPU.DIAG_10</v>
      </c>
      <c r="B2246" s="11">
        <v>2</v>
      </c>
      <c r="C2246" s="11" t="s">
        <v>2</v>
      </c>
      <c r="D2246" s="20" t="s">
        <v>3</v>
      </c>
    </row>
    <row r="2247" spans="1:4">
      <c r="A2247" s="21" t="str">
        <f>$R$2&amp;"."&amp;'Конфигурация TREI'!$A$2&amp;".DIAG_10"</f>
        <v>Диагностика.TREI.CPU.DIAG_10</v>
      </c>
      <c r="B2247" s="8">
        <v>1</v>
      </c>
      <c r="C2247" s="8" t="s">
        <v>1</v>
      </c>
      <c r="D2247" s="22">
        <v>11</v>
      </c>
    </row>
    <row r="2248" spans="1:4">
      <c r="A2248" s="69" t="str">
        <f>$R$2&amp;"."&amp;'Конфигурация TREI'!$A$2&amp;".DIAG_11"</f>
        <v>Диагностика.TREI.CPU.DIAG_11</v>
      </c>
      <c r="B2248" s="70">
        <v>11154</v>
      </c>
      <c r="C2248" s="70" t="s">
        <v>4</v>
      </c>
      <c r="D2248" s="144">
        <f>$Q$6</f>
        <v>8</v>
      </c>
    </row>
    <row r="2249" spans="1:4">
      <c r="A2249" s="63" t="str">
        <f>$R$2&amp;"."&amp;'Конфигурация TREI'!$A$2&amp;".DIAG_11"</f>
        <v>Диагностика.TREI.CPU.DIAG_11</v>
      </c>
      <c r="B2249" s="64">
        <v>11152</v>
      </c>
      <c r="C2249" s="64" t="s">
        <v>0</v>
      </c>
      <c r="D2249" s="129" t="str">
        <f>$R$6</f>
        <v>Предупреждение</v>
      </c>
    </row>
    <row r="2250" spans="1:4">
      <c r="A2250" s="63" t="str">
        <f>$R$2&amp;"."&amp;'Конфигурация TREI'!$A$2&amp;".DIAG_11"</f>
        <v>Диагностика.TREI.CPU.DIAG_11</v>
      </c>
      <c r="B2250" s="64">
        <v>11150</v>
      </c>
      <c r="C2250" s="64" t="s">
        <v>0</v>
      </c>
      <c r="D2250" s="65" t="s">
        <v>805</v>
      </c>
    </row>
    <row r="2251" spans="1:4">
      <c r="A2251" s="63" t="str">
        <f>$R$2&amp;"."&amp;'Конфигурация TREI'!$A$2&amp;".DIAG_11"</f>
        <v>Диагностика.TREI.CPU.DIAG_11</v>
      </c>
      <c r="B2251" s="64">
        <v>11000</v>
      </c>
      <c r="C2251" s="64" t="s">
        <v>5</v>
      </c>
      <c r="D2251" s="65">
        <v>2147483680</v>
      </c>
    </row>
    <row r="2252" spans="1:4">
      <c r="A2252" s="19" t="str">
        <f>$R$2&amp;"."&amp;'Конфигурация TREI'!$A$2&amp;".DIAG_11"</f>
        <v>Диагностика.TREI.CPU.DIAG_11</v>
      </c>
      <c r="B2252" s="11">
        <v>7999</v>
      </c>
      <c r="C2252" s="11" t="s">
        <v>0</v>
      </c>
      <c r="D2252" s="20" t="str">
        <f>"#"&amp;$S$2&amp;"#"&amp;$T$2&amp;IF($S$7="","","\")&amp;$S$7&amp;"\"&amp;'Конфигурация TREI'!$A$2&amp;"\DIAG_11"</f>
        <v>#2#treiOPCDA.CoOPCserv.1\pcmaster\CPU\DIAG_11</v>
      </c>
    </row>
    <row r="2253" spans="1:4">
      <c r="A2253" s="19" t="str">
        <f>$R$2&amp;"."&amp;'Конфигурация TREI'!$A$2&amp;".DIAG_11"</f>
        <v>Диагностика.TREI.CPU.DIAG_11</v>
      </c>
      <c r="B2253" s="11">
        <v>7998</v>
      </c>
      <c r="C2253" s="11" t="s">
        <v>6</v>
      </c>
      <c r="D2253" s="20">
        <v>1</v>
      </c>
    </row>
    <row r="2254" spans="1:4">
      <c r="A2254" s="19" t="str">
        <f>$R$2&amp;"."&amp;'Конфигурация TREI'!$A$2&amp;".DIAG_11"</f>
        <v>Диагностика.TREI.CPU.DIAG_11</v>
      </c>
      <c r="B2254" s="11">
        <v>101</v>
      </c>
      <c r="C2254" s="11" t="s">
        <v>0</v>
      </c>
      <c r="D2254" s="20" t="s">
        <v>805</v>
      </c>
    </row>
    <row r="2255" spans="1:4">
      <c r="A2255" s="19" t="str">
        <f>$R$2&amp;"."&amp;'Конфигурация TREI'!$A$2&amp;".DIAG_11"</f>
        <v>Диагностика.TREI.CPU.DIAG_11</v>
      </c>
      <c r="B2255" s="11">
        <v>3</v>
      </c>
      <c r="C2255" s="11" t="s">
        <v>1</v>
      </c>
      <c r="D2255" s="20">
        <v>192</v>
      </c>
    </row>
    <row r="2256" spans="1:4">
      <c r="A2256" s="19" t="str">
        <f>$R$2&amp;"."&amp;'Конфигурация TREI'!$A$2&amp;".DIAG_11"</f>
        <v>Диагностика.TREI.CPU.DIAG_11</v>
      </c>
      <c r="B2256" s="11">
        <v>2</v>
      </c>
      <c r="C2256" s="11" t="s">
        <v>2</v>
      </c>
      <c r="D2256" s="20" t="s">
        <v>3</v>
      </c>
    </row>
    <row r="2257" spans="1:4">
      <c r="A2257" s="21" t="str">
        <f>$R$2&amp;"."&amp;'Конфигурация TREI'!$A$2&amp;".DIAG_11"</f>
        <v>Диагностика.TREI.CPU.DIAG_11</v>
      </c>
      <c r="B2257" s="8">
        <v>1</v>
      </c>
      <c r="C2257" s="8" t="s">
        <v>1</v>
      </c>
      <c r="D2257" s="22">
        <v>11</v>
      </c>
    </row>
    <row r="2258" spans="1:4">
      <c r="A2258" s="69" t="str">
        <f>$R$2&amp;"."&amp;'Конфигурация TREI'!$A$2&amp;".DIAG_12"</f>
        <v>Диагностика.TREI.CPU.DIAG_12</v>
      </c>
      <c r="B2258" s="70">
        <v>11154</v>
      </c>
      <c r="C2258" s="70" t="s">
        <v>4</v>
      </c>
      <c r="D2258" s="144">
        <f>$Q$6</f>
        <v>8</v>
      </c>
    </row>
    <row r="2259" spans="1:4">
      <c r="A2259" s="63" t="str">
        <f>$R$2&amp;"."&amp;'Конфигурация TREI'!$A$2&amp;".DIAG_12"</f>
        <v>Диагностика.TREI.CPU.DIAG_12</v>
      </c>
      <c r="B2259" s="64">
        <v>11152</v>
      </c>
      <c r="C2259" s="64" t="s">
        <v>0</v>
      </c>
      <c r="D2259" s="129" t="str">
        <f>$R$6</f>
        <v>Предупреждение</v>
      </c>
    </row>
    <row r="2260" spans="1:4">
      <c r="A2260" s="63" t="str">
        <f>$R$2&amp;"."&amp;'Конфигурация TREI'!$A$2&amp;".DIAG_12"</f>
        <v>Диагностика.TREI.CPU.DIAG_12</v>
      </c>
      <c r="B2260" s="64">
        <v>11150</v>
      </c>
      <c r="C2260" s="64" t="s">
        <v>0</v>
      </c>
      <c r="D2260" s="65" t="s">
        <v>806</v>
      </c>
    </row>
    <row r="2261" spans="1:4">
      <c r="A2261" s="63" t="str">
        <f>$R$2&amp;"."&amp;'Конфигурация TREI'!$A$2&amp;".DIAG_12"</f>
        <v>Диагностика.TREI.CPU.DIAG_12</v>
      </c>
      <c r="B2261" s="64">
        <v>11000</v>
      </c>
      <c r="C2261" s="64" t="s">
        <v>5</v>
      </c>
      <c r="D2261" s="65">
        <v>2147483680</v>
      </c>
    </row>
    <row r="2262" spans="1:4">
      <c r="A2262" s="19" t="str">
        <f>$R$2&amp;"."&amp;'Конфигурация TREI'!$A$2&amp;".DIAG_12"</f>
        <v>Диагностика.TREI.CPU.DIAG_12</v>
      </c>
      <c r="B2262" s="11">
        <v>7999</v>
      </c>
      <c r="C2262" s="11" t="s">
        <v>0</v>
      </c>
      <c r="D2262" s="20" t="str">
        <f>"#"&amp;$S$2&amp;"#"&amp;$T$2&amp;IF($S$7="","","\")&amp;$S$7&amp;"\"&amp;'Конфигурация TREI'!$A$2&amp;"\DIAG_12"</f>
        <v>#2#treiOPCDA.CoOPCserv.1\pcmaster\CPU\DIAG_12</v>
      </c>
    </row>
    <row r="2263" spans="1:4">
      <c r="A2263" s="19" t="str">
        <f>$R$2&amp;"."&amp;'Конфигурация TREI'!$A$2&amp;".DIAG_12"</f>
        <v>Диагностика.TREI.CPU.DIAG_12</v>
      </c>
      <c r="B2263" s="11">
        <v>7998</v>
      </c>
      <c r="C2263" s="11" t="s">
        <v>6</v>
      </c>
      <c r="D2263" s="20">
        <v>1</v>
      </c>
    </row>
    <row r="2264" spans="1:4">
      <c r="A2264" s="19" t="str">
        <f>$R$2&amp;"."&amp;'Конфигурация TREI'!$A$2&amp;".DIAG_12"</f>
        <v>Диагностика.TREI.CPU.DIAG_12</v>
      </c>
      <c r="B2264" s="11">
        <v>101</v>
      </c>
      <c r="C2264" s="11" t="s">
        <v>0</v>
      </c>
      <c r="D2264" s="20" t="s">
        <v>806</v>
      </c>
    </row>
    <row r="2265" spans="1:4">
      <c r="A2265" s="19" t="str">
        <f>$R$2&amp;"."&amp;'Конфигурация TREI'!$A$2&amp;".DIAG_12"</f>
        <v>Диагностика.TREI.CPU.DIAG_12</v>
      </c>
      <c r="B2265" s="11">
        <v>3</v>
      </c>
      <c r="C2265" s="11" t="s">
        <v>1</v>
      </c>
      <c r="D2265" s="20">
        <v>192</v>
      </c>
    </row>
    <row r="2266" spans="1:4">
      <c r="A2266" s="19" t="str">
        <f>$R$2&amp;"."&amp;'Конфигурация TREI'!$A$2&amp;".DIAG_12"</f>
        <v>Диагностика.TREI.CPU.DIAG_12</v>
      </c>
      <c r="B2266" s="11">
        <v>2</v>
      </c>
      <c r="C2266" s="11" t="s">
        <v>2</v>
      </c>
      <c r="D2266" s="20" t="s">
        <v>3</v>
      </c>
    </row>
    <row r="2267" spans="1:4">
      <c r="A2267" s="21" t="str">
        <f>$R$2&amp;"."&amp;'Конфигурация TREI'!$A$2&amp;".DIAG_12"</f>
        <v>Диагностика.TREI.CPU.DIAG_12</v>
      </c>
      <c r="B2267" s="8">
        <v>1</v>
      </c>
      <c r="C2267" s="8" t="s">
        <v>1</v>
      </c>
      <c r="D2267" s="22">
        <v>11</v>
      </c>
    </row>
    <row r="2268" spans="1:4">
      <c r="A2268" s="69" t="str">
        <f>$R$2&amp;"."&amp;'Конфигурация TREI'!$A$2&amp;".DIAG_13"</f>
        <v>Диагностика.TREI.CPU.DIAG_13</v>
      </c>
      <c r="B2268" s="70">
        <v>11154</v>
      </c>
      <c r="C2268" s="70" t="s">
        <v>4</v>
      </c>
      <c r="D2268" s="144">
        <f>$Q$6</f>
        <v>8</v>
      </c>
    </row>
    <row r="2269" spans="1:4">
      <c r="A2269" s="63" t="str">
        <f>$R$2&amp;"."&amp;'Конфигурация TREI'!$A$2&amp;".DIAG_13"</f>
        <v>Диагностика.TREI.CPU.DIAG_13</v>
      </c>
      <c r="B2269" s="64">
        <v>11152</v>
      </c>
      <c r="C2269" s="64" t="s">
        <v>0</v>
      </c>
      <c r="D2269" s="129" t="str">
        <f>$R$6</f>
        <v>Предупреждение</v>
      </c>
    </row>
    <row r="2270" spans="1:4">
      <c r="A2270" s="63" t="str">
        <f>$R$2&amp;"."&amp;'Конфигурация TREI'!$A$2&amp;".DIAG_13"</f>
        <v>Диагностика.TREI.CPU.DIAG_13</v>
      </c>
      <c r="B2270" s="64">
        <v>11150</v>
      </c>
      <c r="C2270" s="64" t="s">
        <v>0</v>
      </c>
      <c r="D2270" s="65" t="s">
        <v>807</v>
      </c>
    </row>
    <row r="2271" spans="1:4">
      <c r="A2271" s="63" t="str">
        <f>$R$2&amp;"."&amp;'Конфигурация TREI'!$A$2&amp;".DIAG_13"</f>
        <v>Диагностика.TREI.CPU.DIAG_13</v>
      </c>
      <c r="B2271" s="64">
        <v>11000</v>
      </c>
      <c r="C2271" s="64" t="s">
        <v>5</v>
      </c>
      <c r="D2271" s="65">
        <v>2147483680</v>
      </c>
    </row>
    <row r="2272" spans="1:4">
      <c r="A2272" s="19" t="str">
        <f>$R$2&amp;"."&amp;'Конфигурация TREI'!$A$2&amp;".DIAG_13"</f>
        <v>Диагностика.TREI.CPU.DIAG_13</v>
      </c>
      <c r="B2272" s="11">
        <v>7999</v>
      </c>
      <c r="C2272" s="11" t="s">
        <v>0</v>
      </c>
      <c r="D2272" s="20" t="str">
        <f>"#"&amp;$S$2&amp;"#"&amp;$T$2&amp;IF($S$7="","","\")&amp;$S$7&amp;"\"&amp;'Конфигурация TREI'!$A$2&amp;"\DIAG_13"</f>
        <v>#2#treiOPCDA.CoOPCserv.1\pcmaster\CPU\DIAG_13</v>
      </c>
    </row>
    <row r="2273" spans="1:4">
      <c r="A2273" s="19" t="str">
        <f>$R$2&amp;"."&amp;'Конфигурация TREI'!$A$2&amp;".DIAG_13"</f>
        <v>Диагностика.TREI.CPU.DIAG_13</v>
      </c>
      <c r="B2273" s="11">
        <v>7998</v>
      </c>
      <c r="C2273" s="11" t="s">
        <v>6</v>
      </c>
      <c r="D2273" s="20">
        <v>1</v>
      </c>
    </row>
    <row r="2274" spans="1:4">
      <c r="A2274" s="19" t="str">
        <f>$R$2&amp;"."&amp;'Конфигурация TREI'!$A$2&amp;".DIAG_13"</f>
        <v>Диагностика.TREI.CPU.DIAG_13</v>
      </c>
      <c r="B2274" s="11">
        <v>101</v>
      </c>
      <c r="C2274" s="11" t="s">
        <v>0</v>
      </c>
      <c r="D2274" s="20" t="s">
        <v>807</v>
      </c>
    </row>
    <row r="2275" spans="1:4">
      <c r="A2275" s="19" t="str">
        <f>$R$2&amp;"."&amp;'Конфигурация TREI'!$A$2&amp;".DIAG_13"</f>
        <v>Диагностика.TREI.CPU.DIAG_13</v>
      </c>
      <c r="B2275" s="11">
        <v>3</v>
      </c>
      <c r="C2275" s="11" t="s">
        <v>1</v>
      </c>
      <c r="D2275" s="20">
        <v>192</v>
      </c>
    </row>
    <row r="2276" spans="1:4">
      <c r="A2276" s="19" t="str">
        <f>$R$2&amp;"."&amp;'Конфигурация TREI'!$A$2&amp;".DIAG_13"</f>
        <v>Диагностика.TREI.CPU.DIAG_13</v>
      </c>
      <c r="B2276" s="11">
        <v>2</v>
      </c>
      <c r="C2276" s="11" t="s">
        <v>2</v>
      </c>
      <c r="D2276" s="20" t="s">
        <v>3</v>
      </c>
    </row>
    <row r="2277" spans="1:4">
      <c r="A2277" s="21" t="str">
        <f>$R$2&amp;"."&amp;'Конфигурация TREI'!$A$2&amp;".DIAG_13"</f>
        <v>Диагностика.TREI.CPU.DIAG_13</v>
      </c>
      <c r="B2277" s="8">
        <v>1</v>
      </c>
      <c r="C2277" s="8" t="s">
        <v>1</v>
      </c>
      <c r="D2277" s="22">
        <v>11</v>
      </c>
    </row>
    <row r="2278" spans="1:4">
      <c r="A2278" s="69" t="str">
        <f>$R$2&amp;"."&amp;'Конфигурация TREI'!$A$2&amp;".DIAG_14"</f>
        <v>Диагностика.TREI.CPU.DIAG_14</v>
      </c>
      <c r="B2278" s="70">
        <v>11154</v>
      </c>
      <c r="C2278" s="70" t="s">
        <v>4</v>
      </c>
      <c r="D2278" s="144">
        <f>$Q$6</f>
        <v>8</v>
      </c>
    </row>
    <row r="2279" spans="1:4">
      <c r="A2279" s="63" t="str">
        <f>$R$2&amp;"."&amp;'Конфигурация TREI'!$A$2&amp;".DIAG_14"</f>
        <v>Диагностика.TREI.CPU.DIAG_14</v>
      </c>
      <c r="B2279" s="64">
        <v>11152</v>
      </c>
      <c r="C2279" s="64" t="s">
        <v>0</v>
      </c>
      <c r="D2279" s="129" t="str">
        <f>$R$6</f>
        <v>Предупреждение</v>
      </c>
    </row>
    <row r="2280" spans="1:4">
      <c r="A2280" s="63" t="str">
        <f>$R$2&amp;"."&amp;'Конфигурация TREI'!$A$2&amp;".DIAG_14"</f>
        <v>Диагностика.TREI.CPU.DIAG_14</v>
      </c>
      <c r="B2280" s="64">
        <v>11150</v>
      </c>
      <c r="C2280" s="64" t="s">
        <v>0</v>
      </c>
      <c r="D2280" s="65" t="s">
        <v>808</v>
      </c>
    </row>
    <row r="2281" spans="1:4">
      <c r="A2281" s="63" t="str">
        <f>$R$2&amp;"."&amp;'Конфигурация TREI'!$A$2&amp;".DIAG_14"</f>
        <v>Диагностика.TREI.CPU.DIAG_14</v>
      </c>
      <c r="B2281" s="64">
        <v>11000</v>
      </c>
      <c r="C2281" s="64" t="s">
        <v>5</v>
      </c>
      <c r="D2281" s="65">
        <v>2147483680</v>
      </c>
    </row>
    <row r="2282" spans="1:4">
      <c r="A2282" s="19" t="str">
        <f>$R$2&amp;"."&amp;'Конфигурация TREI'!$A$2&amp;".DIAG_14"</f>
        <v>Диагностика.TREI.CPU.DIAG_14</v>
      </c>
      <c r="B2282" s="11">
        <v>7999</v>
      </c>
      <c r="C2282" s="11" t="s">
        <v>0</v>
      </c>
      <c r="D2282" s="20" t="str">
        <f>"#"&amp;$S$2&amp;"#"&amp;$T$2&amp;IF($S$7="","","\")&amp;$S$7&amp;"\"&amp;'Конфигурация TREI'!$A$2&amp;"\DIAG_14"</f>
        <v>#2#treiOPCDA.CoOPCserv.1\pcmaster\CPU\DIAG_14</v>
      </c>
    </row>
    <row r="2283" spans="1:4">
      <c r="A2283" s="19" t="str">
        <f>$R$2&amp;"."&amp;'Конфигурация TREI'!$A$2&amp;".DIAG_14"</f>
        <v>Диагностика.TREI.CPU.DIAG_14</v>
      </c>
      <c r="B2283" s="11">
        <v>7998</v>
      </c>
      <c r="C2283" s="11" t="s">
        <v>6</v>
      </c>
      <c r="D2283" s="20">
        <v>1</v>
      </c>
    </row>
    <row r="2284" spans="1:4">
      <c r="A2284" s="19" t="str">
        <f>$R$2&amp;"."&amp;'Конфигурация TREI'!$A$2&amp;".DIAG_14"</f>
        <v>Диагностика.TREI.CPU.DIAG_14</v>
      </c>
      <c r="B2284" s="11">
        <v>101</v>
      </c>
      <c r="C2284" s="11" t="s">
        <v>0</v>
      </c>
      <c r="D2284" s="20" t="s">
        <v>808</v>
      </c>
    </row>
    <row r="2285" spans="1:4">
      <c r="A2285" s="19" t="str">
        <f>$R$2&amp;"."&amp;'Конфигурация TREI'!$A$2&amp;".DIAG_14"</f>
        <v>Диагностика.TREI.CPU.DIAG_14</v>
      </c>
      <c r="B2285" s="11">
        <v>3</v>
      </c>
      <c r="C2285" s="11" t="s">
        <v>1</v>
      </c>
      <c r="D2285" s="20">
        <v>192</v>
      </c>
    </row>
    <row r="2286" spans="1:4">
      <c r="A2286" s="19" t="str">
        <f>$R$2&amp;"."&amp;'Конфигурация TREI'!$A$2&amp;".DIAG_14"</f>
        <v>Диагностика.TREI.CPU.DIAG_14</v>
      </c>
      <c r="B2286" s="11">
        <v>2</v>
      </c>
      <c r="C2286" s="11" t="s">
        <v>2</v>
      </c>
      <c r="D2286" s="20" t="s">
        <v>3</v>
      </c>
    </row>
    <row r="2287" spans="1:4">
      <c r="A2287" s="21" t="str">
        <f>$R$2&amp;"."&amp;'Конфигурация TREI'!$A$2&amp;".DIAG_14"</f>
        <v>Диагностика.TREI.CPU.DIAG_14</v>
      </c>
      <c r="B2287" s="8">
        <v>1</v>
      </c>
      <c r="C2287" s="8" t="s">
        <v>1</v>
      </c>
      <c r="D2287" s="22">
        <v>11</v>
      </c>
    </row>
    <row r="2288" spans="1:4">
      <c r="A2288" s="159" t="str">
        <f>$R$2&amp;"."&amp;'Конфигурация TREI'!$A$2&amp;".DIAG_15"</f>
        <v>Диагностика.TREI.CPU.DIAG_15</v>
      </c>
      <c r="B2288" s="160">
        <v>11154</v>
      </c>
      <c r="C2288" s="160" t="s">
        <v>4</v>
      </c>
      <c r="D2288" s="161">
        <f>$Q$8</f>
        <v>18</v>
      </c>
    </row>
    <row r="2289" spans="1:4">
      <c r="A2289" s="100" t="str">
        <f>$R$2&amp;"."&amp;'Конфигурация TREI'!$A$2&amp;".DIAG_15"</f>
        <v>Диагностика.TREI.CPU.DIAG_15</v>
      </c>
      <c r="B2289" s="101">
        <v>11152</v>
      </c>
      <c r="C2289" s="101" t="s">
        <v>0</v>
      </c>
      <c r="D2289" s="104" t="str">
        <f>$R$8</f>
        <v>Телесигнализация</v>
      </c>
    </row>
    <row r="2290" spans="1:4">
      <c r="A2290" s="100" t="str">
        <f>$R$2&amp;"."&amp;'Конфигурация TREI'!$A$2&amp;".DIAG_15"</f>
        <v>Диагностика.TREI.CPU.DIAG_15</v>
      </c>
      <c r="B2290" s="101">
        <v>11150</v>
      </c>
      <c r="C2290" s="101" t="s">
        <v>0</v>
      </c>
      <c r="D2290" s="103" t="s">
        <v>809</v>
      </c>
    </row>
    <row r="2291" spans="1:4">
      <c r="A2291" s="100" t="str">
        <f>$R$2&amp;"."&amp;'Конфигурация TREI'!$A$2&amp;".DIAG_15"</f>
        <v>Диагностика.TREI.CPU.DIAG_15</v>
      </c>
      <c r="B2291" s="101">
        <v>11000</v>
      </c>
      <c r="C2291" s="101" t="s">
        <v>5</v>
      </c>
      <c r="D2291" s="103">
        <v>2147483680</v>
      </c>
    </row>
    <row r="2292" spans="1:4">
      <c r="A2292" s="19" t="str">
        <f>$R$2&amp;"."&amp;'Конфигурация TREI'!$A$2&amp;".DIAG_15"</f>
        <v>Диагностика.TREI.CPU.DIAG_15</v>
      </c>
      <c r="B2292" s="11">
        <v>7999</v>
      </c>
      <c r="C2292" s="11" t="s">
        <v>0</v>
      </c>
      <c r="D2292" s="20" t="str">
        <f>"#"&amp;$S$2&amp;"#"&amp;$T$2&amp;IF($S$7="","","\")&amp;$S$7&amp;"\"&amp;'Конфигурация TREI'!$A$2&amp;"\DIAG_15"</f>
        <v>#2#treiOPCDA.CoOPCserv.1\pcmaster\CPU\DIAG_15</v>
      </c>
    </row>
    <row r="2293" spans="1:4">
      <c r="A2293" s="19" t="str">
        <f>$R$2&amp;"."&amp;'Конфигурация TREI'!$A$2&amp;".DIAG_15"</f>
        <v>Диагностика.TREI.CPU.DIAG_15</v>
      </c>
      <c r="B2293" s="11">
        <v>7998</v>
      </c>
      <c r="C2293" s="11" t="s">
        <v>6</v>
      </c>
      <c r="D2293" s="20">
        <v>1</v>
      </c>
    </row>
    <row r="2294" spans="1:4">
      <c r="A2294" s="19" t="str">
        <f>$R$2&amp;"."&amp;'Конфигурация TREI'!$A$2&amp;".DIAG_15"</f>
        <v>Диагностика.TREI.CPU.DIAG_15</v>
      </c>
      <c r="B2294" s="11">
        <v>101</v>
      </c>
      <c r="C2294" s="11" t="s">
        <v>0</v>
      </c>
      <c r="D2294" s="20" t="s">
        <v>809</v>
      </c>
    </row>
    <row r="2295" spans="1:4">
      <c r="A2295" s="19" t="str">
        <f>$R$2&amp;"."&amp;'Конфигурация TREI'!$A$2&amp;".DIAG_15"</f>
        <v>Диагностика.TREI.CPU.DIAG_15</v>
      </c>
      <c r="B2295" s="11">
        <v>3</v>
      </c>
      <c r="C2295" s="11" t="s">
        <v>1</v>
      </c>
      <c r="D2295" s="20">
        <v>192</v>
      </c>
    </row>
    <row r="2296" spans="1:4">
      <c r="A2296" s="19" t="str">
        <f>$R$2&amp;"."&amp;'Конфигурация TREI'!$A$2&amp;".DIAG_15"</f>
        <v>Диагностика.TREI.CPU.DIAG_15</v>
      </c>
      <c r="B2296" s="11">
        <v>2</v>
      </c>
      <c r="C2296" s="11" t="s">
        <v>2</v>
      </c>
      <c r="D2296" s="20" t="s">
        <v>3</v>
      </c>
    </row>
    <row r="2297" spans="1:4">
      <c r="A2297" s="21" t="str">
        <f>$R$2&amp;"."&amp;'Конфигурация TREI'!$A$2&amp;".DIAG_15"</f>
        <v>Диагностика.TREI.CPU.DIAG_15</v>
      </c>
      <c r="B2297" s="8">
        <v>1</v>
      </c>
      <c r="C2297" s="8" t="s">
        <v>1</v>
      </c>
      <c r="D2297" s="22">
        <v>11</v>
      </c>
    </row>
    <row r="2298" spans="1:4">
      <c r="A2298" s="159" t="str">
        <f>$R$2&amp;"."&amp;'Конфигурация TREI'!$A$2&amp;".DIAG_17"</f>
        <v>Диагностика.TREI.CPU.DIAG_17</v>
      </c>
      <c r="B2298" s="160">
        <v>11154</v>
      </c>
      <c r="C2298" s="160" t="s">
        <v>4</v>
      </c>
      <c r="D2298" s="161">
        <f>$Q$8</f>
        <v>18</v>
      </c>
    </row>
    <row r="2299" spans="1:4">
      <c r="A2299" s="100" t="str">
        <f>$R$2&amp;"."&amp;'Конфигурация TREI'!$A$2&amp;".DIAG_17"</f>
        <v>Диагностика.TREI.CPU.DIAG_17</v>
      </c>
      <c r="B2299" s="101">
        <v>11152</v>
      </c>
      <c r="C2299" s="101" t="s">
        <v>0</v>
      </c>
      <c r="D2299" s="104" t="str">
        <f>$R$8</f>
        <v>Телесигнализация</v>
      </c>
    </row>
    <row r="2300" spans="1:4">
      <c r="A2300" s="100" t="str">
        <f>$R$2&amp;"."&amp;'Конфигурация TREI'!$A$2&amp;".DIAG_17"</f>
        <v>Диагностика.TREI.CPU.DIAG_17</v>
      </c>
      <c r="B2300" s="101">
        <v>11150</v>
      </c>
      <c r="C2300" s="101" t="s">
        <v>0</v>
      </c>
      <c r="D2300" s="103" t="s">
        <v>810</v>
      </c>
    </row>
    <row r="2301" spans="1:4">
      <c r="A2301" s="100" t="str">
        <f>$R$2&amp;"."&amp;'Конфигурация TREI'!$A$2&amp;".DIAG_17"</f>
        <v>Диагностика.TREI.CPU.DIAG_17</v>
      </c>
      <c r="B2301" s="101">
        <v>11000</v>
      </c>
      <c r="C2301" s="101" t="s">
        <v>5</v>
      </c>
      <c r="D2301" s="103">
        <v>2147483680</v>
      </c>
    </row>
    <row r="2302" spans="1:4">
      <c r="A2302" s="19" t="str">
        <f>$R$2&amp;"."&amp;'Конфигурация TREI'!$A$2&amp;".DIAG_17"</f>
        <v>Диагностика.TREI.CPU.DIAG_17</v>
      </c>
      <c r="B2302" s="11">
        <v>7999</v>
      </c>
      <c r="C2302" s="11" t="s">
        <v>0</v>
      </c>
      <c r="D2302" s="20" t="str">
        <f>"#"&amp;$S$2&amp;"#"&amp;$T$2&amp;IF($S$7="","","\")&amp;$S$7&amp;"\"&amp;'Конфигурация TREI'!$A$2&amp;"\DIAG_17"</f>
        <v>#2#treiOPCDA.CoOPCserv.1\pcmaster\CPU\DIAG_17</v>
      </c>
    </row>
    <row r="2303" spans="1:4">
      <c r="A2303" s="19" t="str">
        <f>$R$2&amp;"."&amp;'Конфигурация TREI'!$A$2&amp;".DIAG_17"</f>
        <v>Диагностика.TREI.CPU.DIAG_17</v>
      </c>
      <c r="B2303" s="11">
        <v>7998</v>
      </c>
      <c r="C2303" s="11" t="s">
        <v>6</v>
      </c>
      <c r="D2303" s="20">
        <v>1</v>
      </c>
    </row>
    <row r="2304" spans="1:4">
      <c r="A2304" s="19" t="str">
        <f>$R$2&amp;"."&amp;'Конфигурация TREI'!$A$2&amp;".DIAG_17"</f>
        <v>Диагностика.TREI.CPU.DIAG_17</v>
      </c>
      <c r="B2304" s="11">
        <v>101</v>
      </c>
      <c r="C2304" s="11" t="s">
        <v>0</v>
      </c>
      <c r="D2304" s="20" t="s">
        <v>810</v>
      </c>
    </row>
    <row r="2305" spans="1:4">
      <c r="A2305" s="19" t="str">
        <f>$R$2&amp;"."&amp;'Конфигурация TREI'!$A$2&amp;".DIAG_17"</f>
        <v>Диагностика.TREI.CPU.DIAG_17</v>
      </c>
      <c r="B2305" s="11">
        <v>3</v>
      </c>
      <c r="C2305" s="11" t="s">
        <v>1</v>
      </c>
      <c r="D2305" s="20">
        <v>192</v>
      </c>
    </row>
    <row r="2306" spans="1:4">
      <c r="A2306" s="19" t="str">
        <f>$R$2&amp;"."&amp;'Конфигурация TREI'!$A$2&amp;".DIAG_17"</f>
        <v>Диагностика.TREI.CPU.DIAG_17</v>
      </c>
      <c r="B2306" s="11">
        <v>2</v>
      </c>
      <c r="C2306" s="11" t="s">
        <v>2</v>
      </c>
      <c r="D2306" s="20" t="s">
        <v>3</v>
      </c>
    </row>
    <row r="2307" spans="1:4">
      <c r="A2307" s="21" t="str">
        <f>$R$2&amp;"."&amp;'Конфигурация TREI'!$A$2&amp;".DIAG_17"</f>
        <v>Диагностика.TREI.CPU.DIAG_17</v>
      </c>
      <c r="B2307" s="8">
        <v>1</v>
      </c>
      <c r="C2307" s="8" t="s">
        <v>1</v>
      </c>
      <c r="D2307" s="22">
        <v>11</v>
      </c>
    </row>
    <row r="2308" spans="1:4">
      <c r="A2308" s="159" t="str">
        <f>$R$2&amp;"."&amp;'Конфигурация TREI'!$A$2&amp;".DIAG_19"</f>
        <v>Диагностика.TREI.CPU.DIAG_19</v>
      </c>
      <c r="B2308" s="160">
        <v>11154</v>
      </c>
      <c r="C2308" s="160" t="s">
        <v>4</v>
      </c>
      <c r="D2308" s="161">
        <f>$Q$8</f>
        <v>18</v>
      </c>
    </row>
    <row r="2309" spans="1:4">
      <c r="A2309" s="100" t="str">
        <f>$R$2&amp;"."&amp;'Конфигурация TREI'!$A$2&amp;".DIAG_19"</f>
        <v>Диагностика.TREI.CPU.DIAG_19</v>
      </c>
      <c r="B2309" s="101">
        <v>11152</v>
      </c>
      <c r="C2309" s="101" t="s">
        <v>0</v>
      </c>
      <c r="D2309" s="104" t="str">
        <f>$R$8</f>
        <v>Телесигнализация</v>
      </c>
    </row>
    <row r="2310" spans="1:4">
      <c r="A2310" s="100" t="str">
        <f>$R$2&amp;"."&amp;'Конфигурация TREI'!$A$2&amp;".DIAG_19"</f>
        <v>Диагностика.TREI.CPU.DIAG_19</v>
      </c>
      <c r="B2310" s="101">
        <v>11150</v>
      </c>
      <c r="C2310" s="101" t="s">
        <v>0</v>
      </c>
      <c r="D2310" s="103" t="s">
        <v>811</v>
      </c>
    </row>
    <row r="2311" spans="1:4">
      <c r="A2311" s="100" t="str">
        <f>$R$2&amp;"."&amp;'Конфигурация TREI'!$A$2&amp;".DIAG_19"</f>
        <v>Диагностика.TREI.CPU.DIAG_19</v>
      </c>
      <c r="B2311" s="101">
        <v>11000</v>
      </c>
      <c r="C2311" s="101" t="s">
        <v>5</v>
      </c>
      <c r="D2311" s="103">
        <v>2147483680</v>
      </c>
    </row>
    <row r="2312" spans="1:4">
      <c r="A2312" s="19" t="str">
        <f>$R$2&amp;"."&amp;'Конфигурация TREI'!$A$2&amp;".DIAG_19"</f>
        <v>Диагностика.TREI.CPU.DIAG_19</v>
      </c>
      <c r="B2312" s="11">
        <v>7999</v>
      </c>
      <c r="C2312" s="11" t="s">
        <v>0</v>
      </c>
      <c r="D2312" s="20" t="str">
        <f>"#"&amp;$S$2&amp;"#"&amp;$T$2&amp;IF($S$7="","","\")&amp;$S$7&amp;"\"&amp;'Конфигурация TREI'!$A$2&amp;"\DIAG_19"</f>
        <v>#2#treiOPCDA.CoOPCserv.1\pcmaster\CPU\DIAG_19</v>
      </c>
    </row>
    <row r="2313" spans="1:4">
      <c r="A2313" s="19" t="str">
        <f>$R$2&amp;"."&amp;'Конфигурация TREI'!$A$2&amp;".DIAG_19"</f>
        <v>Диагностика.TREI.CPU.DIAG_19</v>
      </c>
      <c r="B2313" s="11">
        <v>7998</v>
      </c>
      <c r="C2313" s="11" t="s">
        <v>6</v>
      </c>
      <c r="D2313" s="20">
        <v>1</v>
      </c>
    </row>
    <row r="2314" spans="1:4">
      <c r="A2314" s="19" t="str">
        <f>$R$2&amp;"."&amp;'Конфигурация TREI'!$A$2&amp;".DIAG_19"</f>
        <v>Диагностика.TREI.CPU.DIAG_19</v>
      </c>
      <c r="B2314" s="11">
        <v>101</v>
      </c>
      <c r="C2314" s="11" t="s">
        <v>0</v>
      </c>
      <c r="D2314" s="20" t="s">
        <v>811</v>
      </c>
    </row>
    <row r="2315" spans="1:4">
      <c r="A2315" s="19" t="str">
        <f>$R$2&amp;"."&amp;'Конфигурация TREI'!$A$2&amp;".DIAG_19"</f>
        <v>Диагностика.TREI.CPU.DIAG_19</v>
      </c>
      <c r="B2315" s="11">
        <v>3</v>
      </c>
      <c r="C2315" s="11" t="s">
        <v>1</v>
      </c>
      <c r="D2315" s="20">
        <v>192</v>
      </c>
    </row>
    <row r="2316" spans="1:4">
      <c r="A2316" s="19" t="str">
        <f>$R$2&amp;"."&amp;'Конфигурация TREI'!$A$2&amp;".DIAG_19"</f>
        <v>Диагностика.TREI.CPU.DIAG_19</v>
      </c>
      <c r="B2316" s="11">
        <v>2</v>
      </c>
      <c r="C2316" s="11" t="s">
        <v>2</v>
      </c>
      <c r="D2316" s="20" t="s">
        <v>3</v>
      </c>
    </row>
    <row r="2317" spans="1:4">
      <c r="A2317" s="21" t="str">
        <f>$R$2&amp;"."&amp;'Конфигурация TREI'!$A$2&amp;".DIAG_19"</f>
        <v>Диагностика.TREI.CPU.DIAG_19</v>
      </c>
      <c r="B2317" s="8">
        <v>1</v>
      </c>
      <c r="C2317" s="8" t="s">
        <v>1</v>
      </c>
      <c r="D2317" s="22">
        <v>11</v>
      </c>
    </row>
    <row r="2318" spans="1:4">
      <c r="A2318" s="159" t="str">
        <f>$R$2&amp;"."&amp;'Конфигурация TREI'!$A$2&amp;".DIAG_21"</f>
        <v>Диагностика.TREI.CPU.DIAG_21</v>
      </c>
      <c r="B2318" s="160">
        <v>11154</v>
      </c>
      <c r="C2318" s="160" t="s">
        <v>4</v>
      </c>
      <c r="D2318" s="161">
        <f>$Q$8</f>
        <v>18</v>
      </c>
    </row>
    <row r="2319" spans="1:4">
      <c r="A2319" s="100" t="str">
        <f>$R$2&amp;"."&amp;'Конфигурация TREI'!$A$2&amp;".DIAG_21"</f>
        <v>Диагностика.TREI.CPU.DIAG_21</v>
      </c>
      <c r="B2319" s="101">
        <v>11152</v>
      </c>
      <c r="C2319" s="101" t="s">
        <v>0</v>
      </c>
      <c r="D2319" s="104" t="str">
        <f>$R$8</f>
        <v>Телесигнализация</v>
      </c>
    </row>
    <row r="2320" spans="1:4">
      <c r="A2320" s="100" t="str">
        <f>$R$2&amp;"."&amp;'Конфигурация TREI'!$A$2&amp;".DIAG_21"</f>
        <v>Диагностика.TREI.CPU.DIAG_21</v>
      </c>
      <c r="B2320" s="101">
        <v>11150</v>
      </c>
      <c r="C2320" s="101" t="s">
        <v>0</v>
      </c>
      <c r="D2320" s="103" t="s">
        <v>1405</v>
      </c>
    </row>
    <row r="2321" spans="1:4">
      <c r="A2321" s="100" t="str">
        <f>$R$2&amp;"."&amp;'Конфигурация TREI'!$A$2&amp;".DIAG_21"</f>
        <v>Диагностика.TREI.CPU.DIAG_21</v>
      </c>
      <c r="B2321" s="101">
        <v>11000</v>
      </c>
      <c r="C2321" s="101" t="s">
        <v>5</v>
      </c>
      <c r="D2321" s="103">
        <v>2147483680</v>
      </c>
    </row>
    <row r="2322" spans="1:4">
      <c r="A2322" s="19" t="str">
        <f>$R$2&amp;"."&amp;'Конфигурация TREI'!$A$2&amp;".DIAG_21"</f>
        <v>Диагностика.TREI.CPU.DIAG_21</v>
      </c>
      <c r="B2322" s="11">
        <v>7999</v>
      </c>
      <c r="C2322" s="11" t="s">
        <v>0</v>
      </c>
      <c r="D2322" s="20" t="str">
        <f>"#"&amp;$S$2&amp;"#"&amp;$T$2&amp;IF($S$7="","","\")&amp;$S$7&amp;"\"&amp;'Конфигурация TREI'!$A$2&amp;"\DIAG_21"</f>
        <v>#2#treiOPCDA.CoOPCserv.1\pcmaster\CPU\DIAG_21</v>
      </c>
    </row>
    <row r="2323" spans="1:4">
      <c r="A2323" s="19" t="str">
        <f>$R$2&amp;"."&amp;'Конфигурация TREI'!$A$2&amp;".DIAG_21"</f>
        <v>Диагностика.TREI.CPU.DIAG_21</v>
      </c>
      <c r="B2323" s="11">
        <v>7998</v>
      </c>
      <c r="C2323" s="11" t="s">
        <v>6</v>
      </c>
      <c r="D2323" s="20">
        <v>1</v>
      </c>
    </row>
    <row r="2324" spans="1:4">
      <c r="A2324" s="19" t="str">
        <f>$R$2&amp;"."&amp;'Конфигурация TREI'!$A$2&amp;".DIAG_21"</f>
        <v>Диагностика.TREI.CPU.DIAG_21</v>
      </c>
      <c r="B2324" s="11">
        <v>101</v>
      </c>
      <c r="C2324" s="11" t="s">
        <v>0</v>
      </c>
      <c r="D2324" s="20" t="s">
        <v>1405</v>
      </c>
    </row>
    <row r="2325" spans="1:4">
      <c r="A2325" s="19" t="str">
        <f>$R$2&amp;"."&amp;'Конфигурация TREI'!$A$2&amp;".DIAG_21"</f>
        <v>Диагностика.TREI.CPU.DIAG_21</v>
      </c>
      <c r="B2325" s="11">
        <v>3</v>
      </c>
      <c r="C2325" s="11" t="s">
        <v>1</v>
      </c>
      <c r="D2325" s="20">
        <v>192</v>
      </c>
    </row>
    <row r="2326" spans="1:4">
      <c r="A2326" s="19" t="str">
        <f>$R$2&amp;"."&amp;'Конфигурация TREI'!$A$2&amp;".DIAG_21"</f>
        <v>Диагностика.TREI.CPU.DIAG_21</v>
      </c>
      <c r="B2326" s="11">
        <v>2</v>
      </c>
      <c r="C2326" s="11" t="s">
        <v>2</v>
      </c>
      <c r="D2326" s="20" t="s">
        <v>3</v>
      </c>
    </row>
    <row r="2327" spans="1:4">
      <c r="A2327" s="21" t="str">
        <f>$R$2&amp;"."&amp;'Конфигурация TREI'!$A$2&amp;".DIAG_21"</f>
        <v>Диагностика.TREI.CPU.DIAG_21</v>
      </c>
      <c r="B2327" s="8">
        <v>1</v>
      </c>
      <c r="C2327" s="8" t="s">
        <v>1</v>
      </c>
      <c r="D2327" s="22">
        <v>11</v>
      </c>
    </row>
    <row r="2328" spans="1:4">
      <c r="A2328" s="159" t="str">
        <f>$R$2&amp;"."&amp;'Конфигурация TREI'!$A$2&amp;".DIAG_22"</f>
        <v>Диагностика.TREI.CPU.DIAG_22</v>
      </c>
      <c r="B2328" s="160">
        <v>11154</v>
      </c>
      <c r="C2328" s="160" t="s">
        <v>4</v>
      </c>
      <c r="D2328" s="161">
        <f>$Q$8</f>
        <v>18</v>
      </c>
    </row>
    <row r="2329" spans="1:4">
      <c r="A2329" s="100" t="str">
        <f>$R$2&amp;"."&amp;'Конфигурация TREI'!$A$2&amp;".DIAG_22"</f>
        <v>Диагностика.TREI.CPU.DIAG_22</v>
      </c>
      <c r="B2329" s="101">
        <v>11152</v>
      </c>
      <c r="C2329" s="101" t="s">
        <v>0</v>
      </c>
      <c r="D2329" s="104" t="str">
        <f>$R$8</f>
        <v>Телесигнализация</v>
      </c>
    </row>
    <row r="2330" spans="1:4">
      <c r="A2330" s="100" t="str">
        <f>$R$2&amp;"."&amp;'Конфигурация TREI'!$A$2&amp;".DIAG_22"</f>
        <v>Диагностика.TREI.CPU.DIAG_22</v>
      </c>
      <c r="B2330" s="101">
        <v>11150</v>
      </c>
      <c r="C2330" s="101" t="s">
        <v>0</v>
      </c>
      <c r="D2330" s="103" t="s">
        <v>812</v>
      </c>
    </row>
    <row r="2331" spans="1:4">
      <c r="A2331" s="100" t="str">
        <f>$R$2&amp;"."&amp;'Конфигурация TREI'!$A$2&amp;".DIAG_22"</f>
        <v>Диагностика.TREI.CPU.DIAG_22</v>
      </c>
      <c r="B2331" s="101">
        <v>11000</v>
      </c>
      <c r="C2331" s="101" t="s">
        <v>5</v>
      </c>
      <c r="D2331" s="103">
        <v>2147483680</v>
      </c>
    </row>
    <row r="2332" spans="1:4">
      <c r="A2332" s="19" t="str">
        <f>$R$2&amp;"."&amp;'Конфигурация TREI'!$A$2&amp;".DIAG_22"</f>
        <v>Диагностика.TREI.CPU.DIAG_22</v>
      </c>
      <c r="B2332" s="11">
        <v>7999</v>
      </c>
      <c r="C2332" s="11" t="s">
        <v>0</v>
      </c>
      <c r="D2332" s="20" t="str">
        <f>"#"&amp;$S$2&amp;"#"&amp;$T$2&amp;IF($S$7="","","\")&amp;$S$7&amp;"\"&amp;'Конфигурация TREI'!$A$2&amp;"\DIAG_22"</f>
        <v>#2#treiOPCDA.CoOPCserv.1\pcmaster\CPU\DIAG_22</v>
      </c>
    </row>
    <row r="2333" spans="1:4">
      <c r="A2333" s="19" t="str">
        <f>$R$2&amp;"."&amp;'Конфигурация TREI'!$A$2&amp;".DIAG_22"</f>
        <v>Диагностика.TREI.CPU.DIAG_22</v>
      </c>
      <c r="B2333" s="11">
        <v>7998</v>
      </c>
      <c r="C2333" s="11" t="s">
        <v>6</v>
      </c>
      <c r="D2333" s="20">
        <v>1</v>
      </c>
    </row>
    <row r="2334" spans="1:4">
      <c r="A2334" s="19" t="str">
        <f>$R$2&amp;"."&amp;'Конфигурация TREI'!$A$2&amp;".DIAG_22"</f>
        <v>Диагностика.TREI.CPU.DIAG_22</v>
      </c>
      <c r="B2334" s="11">
        <v>101</v>
      </c>
      <c r="C2334" s="11" t="s">
        <v>0</v>
      </c>
      <c r="D2334" s="20" t="s">
        <v>812</v>
      </c>
    </row>
    <row r="2335" spans="1:4">
      <c r="A2335" s="19" t="str">
        <f>$R$2&amp;"."&amp;'Конфигурация TREI'!$A$2&amp;".DIAG_22"</f>
        <v>Диагностика.TREI.CPU.DIAG_22</v>
      </c>
      <c r="B2335" s="11">
        <v>3</v>
      </c>
      <c r="C2335" s="11" t="s">
        <v>1</v>
      </c>
      <c r="D2335" s="20">
        <v>192</v>
      </c>
    </row>
    <row r="2336" spans="1:4">
      <c r="A2336" s="19" t="str">
        <f>$R$2&amp;"."&amp;'Конфигурация TREI'!$A$2&amp;".DIAG_22"</f>
        <v>Диагностика.TREI.CPU.DIAG_22</v>
      </c>
      <c r="B2336" s="11">
        <v>2</v>
      </c>
      <c r="C2336" s="11" t="s">
        <v>2</v>
      </c>
      <c r="D2336" s="20" t="s">
        <v>3</v>
      </c>
    </row>
    <row r="2337" spans="1:4">
      <c r="A2337" s="21" t="str">
        <f>$R$2&amp;"."&amp;'Конфигурация TREI'!$A$2&amp;".DIAG_22"</f>
        <v>Диагностика.TREI.CPU.DIAG_22</v>
      </c>
      <c r="B2337" s="8">
        <v>1</v>
      </c>
      <c r="C2337" s="8" t="s">
        <v>1</v>
      </c>
      <c r="D2337" s="22">
        <v>11</v>
      </c>
    </row>
    <row r="2338" spans="1:4">
      <c r="A2338" s="69" t="str">
        <f>$R$2&amp;"."&amp;'Конфигурация TREI'!$A$2&amp;".DIAG_24"</f>
        <v>Диагностика.TREI.CPU.DIAG_24</v>
      </c>
      <c r="B2338" s="70">
        <v>11154</v>
      </c>
      <c r="C2338" s="70" t="s">
        <v>4</v>
      </c>
      <c r="D2338" s="144">
        <f>$Q$6</f>
        <v>8</v>
      </c>
    </row>
    <row r="2339" spans="1:4">
      <c r="A2339" s="63" t="str">
        <f>$R$2&amp;"."&amp;'Конфигурация TREI'!$A$2&amp;".DIAG_24"</f>
        <v>Диагностика.TREI.CPU.DIAG_24</v>
      </c>
      <c r="B2339" s="64">
        <v>11152</v>
      </c>
      <c r="C2339" s="64" t="s">
        <v>0</v>
      </c>
      <c r="D2339" s="129" t="str">
        <f>$R$6</f>
        <v>Предупреждение</v>
      </c>
    </row>
    <row r="2340" spans="1:4">
      <c r="A2340" s="63" t="str">
        <f>$R$2&amp;"."&amp;'Конфигурация TREI'!$A$2&amp;".DIAG_24"</f>
        <v>Диагностика.TREI.CPU.DIAG_24</v>
      </c>
      <c r="B2340" s="64">
        <v>11150</v>
      </c>
      <c r="C2340" s="64" t="s">
        <v>0</v>
      </c>
      <c r="D2340" s="65" t="s">
        <v>813</v>
      </c>
    </row>
    <row r="2341" spans="1:4">
      <c r="A2341" s="63" t="str">
        <f>$R$2&amp;"."&amp;'Конфигурация TREI'!$A$2&amp;".DIAG_24"</f>
        <v>Диагностика.TREI.CPU.DIAG_24</v>
      </c>
      <c r="B2341" s="64">
        <v>11000</v>
      </c>
      <c r="C2341" s="64" t="s">
        <v>5</v>
      </c>
      <c r="D2341" s="65">
        <v>2147483680</v>
      </c>
    </row>
    <row r="2342" spans="1:4">
      <c r="A2342" s="19" t="str">
        <f>$R$2&amp;"."&amp;'Конфигурация TREI'!$A$2&amp;".DIAG_24"</f>
        <v>Диагностика.TREI.CPU.DIAG_24</v>
      </c>
      <c r="B2342" s="11">
        <v>7999</v>
      </c>
      <c r="C2342" s="11" t="s">
        <v>0</v>
      </c>
      <c r="D2342" s="20" t="str">
        <f>"#"&amp;$S$2&amp;"#"&amp;$T$2&amp;IF($S$7="","","\")&amp;$S$7&amp;"\"&amp;'Конфигурация TREI'!$A$2&amp;"\DIAG_24"</f>
        <v>#2#treiOPCDA.CoOPCserv.1\pcmaster\CPU\DIAG_24</v>
      </c>
    </row>
    <row r="2343" spans="1:4">
      <c r="A2343" s="19" t="str">
        <f>$R$2&amp;"."&amp;'Конфигурация TREI'!$A$2&amp;".DIAG_24"</f>
        <v>Диагностика.TREI.CPU.DIAG_24</v>
      </c>
      <c r="B2343" s="11">
        <v>7998</v>
      </c>
      <c r="C2343" s="11" t="s">
        <v>6</v>
      </c>
      <c r="D2343" s="20">
        <v>1</v>
      </c>
    </row>
    <row r="2344" spans="1:4">
      <c r="A2344" s="19" t="str">
        <f>$R$2&amp;"."&amp;'Конфигурация TREI'!$A$2&amp;".DIAG_24"</f>
        <v>Диагностика.TREI.CPU.DIAG_24</v>
      </c>
      <c r="B2344" s="11">
        <v>101</v>
      </c>
      <c r="C2344" s="11" t="s">
        <v>0</v>
      </c>
      <c r="D2344" s="20" t="s">
        <v>813</v>
      </c>
    </row>
    <row r="2345" spans="1:4">
      <c r="A2345" s="19" t="str">
        <f>$R$2&amp;"."&amp;'Конфигурация TREI'!$A$2&amp;".DIAG_24"</f>
        <v>Диагностика.TREI.CPU.DIAG_24</v>
      </c>
      <c r="B2345" s="11">
        <v>3</v>
      </c>
      <c r="C2345" s="11" t="s">
        <v>1</v>
      </c>
      <c r="D2345" s="20">
        <v>192</v>
      </c>
    </row>
    <row r="2346" spans="1:4">
      <c r="A2346" s="19" t="str">
        <f>$R$2&amp;"."&amp;'Конфигурация TREI'!$A$2&amp;".DIAG_24"</f>
        <v>Диагностика.TREI.CPU.DIAG_24</v>
      </c>
      <c r="B2346" s="11">
        <v>2</v>
      </c>
      <c r="C2346" s="11" t="s">
        <v>2</v>
      </c>
      <c r="D2346" s="20" t="s">
        <v>3</v>
      </c>
    </row>
    <row r="2347" spans="1:4">
      <c r="A2347" s="21" t="str">
        <f>$R$2&amp;"."&amp;'Конфигурация TREI'!$A$2&amp;".DIAG_24"</f>
        <v>Диагностика.TREI.CPU.DIAG_24</v>
      </c>
      <c r="B2347" s="8">
        <v>1</v>
      </c>
      <c r="C2347" s="8" t="s">
        <v>1</v>
      </c>
      <c r="D2347" s="22">
        <v>11</v>
      </c>
    </row>
    <row r="2348" spans="1:4">
      <c r="A2348" s="69" t="str">
        <f>$R$2&amp;"."&amp;'Конфигурация TREI'!$A$2&amp;".DIAG_25"</f>
        <v>Диагностика.TREI.CPU.DIAG_25</v>
      </c>
      <c r="B2348" s="70">
        <v>11154</v>
      </c>
      <c r="C2348" s="70" t="s">
        <v>4</v>
      </c>
      <c r="D2348" s="144">
        <f>$Q$6</f>
        <v>8</v>
      </c>
    </row>
    <row r="2349" spans="1:4">
      <c r="A2349" s="63" t="str">
        <f>$R$2&amp;"."&amp;'Конфигурация TREI'!$A$2&amp;".DIAG_25"</f>
        <v>Диагностика.TREI.CPU.DIAG_25</v>
      </c>
      <c r="B2349" s="64">
        <v>11152</v>
      </c>
      <c r="C2349" s="64" t="s">
        <v>0</v>
      </c>
      <c r="D2349" s="129" t="str">
        <f>$R$6</f>
        <v>Предупреждение</v>
      </c>
    </row>
    <row r="2350" spans="1:4">
      <c r="A2350" s="63" t="str">
        <f>$R$2&amp;"."&amp;'Конфигурация TREI'!$A$2&amp;".DIAG_25"</f>
        <v>Диагностика.TREI.CPU.DIAG_25</v>
      </c>
      <c r="B2350" s="64">
        <v>11150</v>
      </c>
      <c r="C2350" s="64" t="s">
        <v>0</v>
      </c>
      <c r="D2350" s="65" t="s">
        <v>814</v>
      </c>
    </row>
    <row r="2351" spans="1:4">
      <c r="A2351" s="63" t="str">
        <f>$R$2&amp;"."&amp;'Конфигурация TREI'!$A$2&amp;".DIAG_25"</f>
        <v>Диагностика.TREI.CPU.DIAG_25</v>
      </c>
      <c r="B2351" s="64">
        <v>11000</v>
      </c>
      <c r="C2351" s="64" t="s">
        <v>5</v>
      </c>
      <c r="D2351" s="65">
        <v>2147483680</v>
      </c>
    </row>
    <row r="2352" spans="1:4">
      <c r="A2352" s="19" t="str">
        <f>$R$2&amp;"."&amp;'Конфигурация TREI'!$A$2&amp;".DIAG_25"</f>
        <v>Диагностика.TREI.CPU.DIAG_25</v>
      </c>
      <c r="B2352" s="11">
        <v>7999</v>
      </c>
      <c r="C2352" s="11" t="s">
        <v>0</v>
      </c>
      <c r="D2352" s="20" t="str">
        <f>"#"&amp;$S$2&amp;"#"&amp;$T$2&amp;IF($S$7="","","\")&amp;$S$7&amp;"\"&amp;'Конфигурация TREI'!$A$2&amp;"\DIAG_25"</f>
        <v>#2#treiOPCDA.CoOPCserv.1\pcmaster\CPU\DIAG_25</v>
      </c>
    </row>
    <row r="2353" spans="1:4">
      <c r="A2353" s="19" t="str">
        <f>$R$2&amp;"."&amp;'Конфигурация TREI'!$A$2&amp;".DIAG_25"</f>
        <v>Диагностика.TREI.CPU.DIAG_25</v>
      </c>
      <c r="B2353" s="11">
        <v>7998</v>
      </c>
      <c r="C2353" s="11" t="s">
        <v>6</v>
      </c>
      <c r="D2353" s="20">
        <v>1</v>
      </c>
    </row>
    <row r="2354" spans="1:4">
      <c r="A2354" s="19" t="str">
        <f>$R$2&amp;"."&amp;'Конфигурация TREI'!$A$2&amp;".DIAG_25"</f>
        <v>Диагностика.TREI.CPU.DIAG_25</v>
      </c>
      <c r="B2354" s="11">
        <v>101</v>
      </c>
      <c r="C2354" s="11" t="s">
        <v>0</v>
      </c>
      <c r="D2354" s="20" t="s">
        <v>814</v>
      </c>
    </row>
    <row r="2355" spans="1:4">
      <c r="A2355" s="19" t="str">
        <f>$R$2&amp;"."&amp;'Конфигурация TREI'!$A$2&amp;".DIAG_25"</f>
        <v>Диагностика.TREI.CPU.DIAG_25</v>
      </c>
      <c r="B2355" s="11">
        <v>3</v>
      </c>
      <c r="C2355" s="11" t="s">
        <v>1</v>
      </c>
      <c r="D2355" s="20">
        <v>192</v>
      </c>
    </row>
    <row r="2356" spans="1:4">
      <c r="A2356" s="19" t="str">
        <f>$R$2&amp;"."&amp;'Конфигурация TREI'!$A$2&amp;".DIAG_25"</f>
        <v>Диагностика.TREI.CPU.DIAG_25</v>
      </c>
      <c r="B2356" s="11">
        <v>2</v>
      </c>
      <c r="C2356" s="11" t="s">
        <v>2</v>
      </c>
      <c r="D2356" s="20" t="s">
        <v>3</v>
      </c>
    </row>
    <row r="2357" spans="1:4">
      <c r="A2357" s="21" t="str">
        <f>$R$2&amp;"."&amp;'Конфигурация TREI'!$A$2&amp;".DIAG_25"</f>
        <v>Диагностика.TREI.CPU.DIAG_25</v>
      </c>
      <c r="B2357" s="8">
        <v>1</v>
      </c>
      <c r="C2357" s="8" t="s">
        <v>1</v>
      </c>
      <c r="D2357" s="22">
        <v>11</v>
      </c>
    </row>
    <row r="2358" spans="1:4">
      <c r="A2358" s="159" t="str">
        <f>$R$2&amp;"."&amp;'Конфигурация TREI'!$A$2&amp;".DIAG_26"</f>
        <v>Диагностика.TREI.CPU.DIAG_26</v>
      </c>
      <c r="B2358" s="160">
        <v>11154</v>
      </c>
      <c r="C2358" s="160" t="s">
        <v>4</v>
      </c>
      <c r="D2358" s="161">
        <f>$Q$8</f>
        <v>18</v>
      </c>
    </row>
    <row r="2359" spans="1:4">
      <c r="A2359" s="100" t="str">
        <f>$R$2&amp;"."&amp;'Конфигурация TREI'!$A$2&amp;".DIAG_26"</f>
        <v>Диагностика.TREI.CPU.DIAG_26</v>
      </c>
      <c r="B2359" s="101">
        <v>11152</v>
      </c>
      <c r="C2359" s="101" t="s">
        <v>0</v>
      </c>
      <c r="D2359" s="104" t="str">
        <f>$R$8</f>
        <v>Телесигнализация</v>
      </c>
    </row>
    <row r="2360" spans="1:4">
      <c r="A2360" s="100" t="str">
        <f>$R$2&amp;"."&amp;'Конфигурация TREI'!$A$2&amp;".DIAG_26"</f>
        <v>Диагностика.TREI.CPU.DIAG_26</v>
      </c>
      <c r="B2360" s="101">
        <v>11150</v>
      </c>
      <c r="C2360" s="101" t="s">
        <v>0</v>
      </c>
      <c r="D2360" s="103" t="s">
        <v>1406</v>
      </c>
    </row>
    <row r="2361" spans="1:4">
      <c r="A2361" s="100" t="str">
        <f>$R$2&amp;"."&amp;'Конфигурация TREI'!$A$2&amp;".DIAG_26"</f>
        <v>Диагностика.TREI.CPU.DIAG_26</v>
      </c>
      <c r="B2361" s="101">
        <v>11000</v>
      </c>
      <c r="C2361" s="101" t="s">
        <v>5</v>
      </c>
      <c r="D2361" s="103">
        <v>2147483680</v>
      </c>
    </row>
    <row r="2362" spans="1:4">
      <c r="A2362" s="19" t="str">
        <f>$R$2&amp;"."&amp;'Конфигурация TREI'!$A$2&amp;".DIAG_26"</f>
        <v>Диагностика.TREI.CPU.DIAG_26</v>
      </c>
      <c r="B2362" s="11">
        <v>7999</v>
      </c>
      <c r="C2362" s="11" t="s">
        <v>0</v>
      </c>
      <c r="D2362" s="20" t="str">
        <f>"#"&amp;$S$2&amp;"#"&amp;$T$2&amp;IF($S$7="","","\")&amp;$S$7&amp;"\"&amp;'Конфигурация TREI'!$A$2&amp;"\DIAG_26"</f>
        <v>#2#treiOPCDA.CoOPCserv.1\pcmaster\CPU\DIAG_26</v>
      </c>
    </row>
    <row r="2363" spans="1:4">
      <c r="A2363" s="19" t="str">
        <f>$R$2&amp;"."&amp;'Конфигурация TREI'!$A$2&amp;".DIAG_26"</f>
        <v>Диагностика.TREI.CPU.DIAG_26</v>
      </c>
      <c r="B2363" s="11">
        <v>7998</v>
      </c>
      <c r="C2363" s="11" t="s">
        <v>6</v>
      </c>
      <c r="D2363" s="20">
        <v>1</v>
      </c>
    </row>
    <row r="2364" spans="1:4">
      <c r="A2364" s="19" t="str">
        <f>$R$2&amp;"."&amp;'Конфигурация TREI'!$A$2&amp;".DIAG_26"</f>
        <v>Диагностика.TREI.CPU.DIAG_26</v>
      </c>
      <c r="B2364" s="11">
        <v>101</v>
      </c>
      <c r="C2364" s="11" t="s">
        <v>0</v>
      </c>
      <c r="D2364" s="20" t="s">
        <v>1406</v>
      </c>
    </row>
    <row r="2365" spans="1:4">
      <c r="A2365" s="19" t="str">
        <f>$R$2&amp;"."&amp;'Конфигурация TREI'!$A$2&amp;".DIAG_26"</f>
        <v>Диагностика.TREI.CPU.DIAG_26</v>
      </c>
      <c r="B2365" s="11">
        <v>3</v>
      </c>
      <c r="C2365" s="11" t="s">
        <v>1</v>
      </c>
      <c r="D2365" s="20">
        <v>192</v>
      </c>
    </row>
    <row r="2366" spans="1:4">
      <c r="A2366" s="19" t="str">
        <f>$R$2&amp;"."&amp;'Конфигурация TREI'!$A$2&amp;".DIAG_26"</f>
        <v>Диагностика.TREI.CPU.DIAG_26</v>
      </c>
      <c r="B2366" s="11">
        <v>2</v>
      </c>
      <c r="C2366" s="11" t="s">
        <v>2</v>
      </c>
      <c r="D2366" s="20" t="s">
        <v>3</v>
      </c>
    </row>
    <row r="2367" spans="1:4">
      <c r="A2367" s="21" t="str">
        <f>$R$2&amp;"."&amp;'Конфигурация TREI'!$A$2&amp;".DIAG_26"</f>
        <v>Диагностика.TREI.CPU.DIAG_26</v>
      </c>
      <c r="B2367" s="8">
        <v>1</v>
      </c>
      <c r="C2367" s="8" t="s">
        <v>1</v>
      </c>
      <c r="D2367" s="22">
        <v>11</v>
      </c>
    </row>
    <row r="2368" spans="1:4">
      <c r="A2368" s="159" t="str">
        <f>$R$2&amp;"."&amp;'Конфигурация TREI'!$A$2&amp;".DIAG_29"</f>
        <v>Диагностика.TREI.CPU.DIAG_29</v>
      </c>
      <c r="B2368" s="160">
        <v>11154</v>
      </c>
      <c r="C2368" s="160" t="s">
        <v>4</v>
      </c>
      <c r="D2368" s="161">
        <f>$Q$8</f>
        <v>18</v>
      </c>
    </row>
    <row r="2369" spans="1:4">
      <c r="A2369" s="100" t="str">
        <f>$R$2&amp;"."&amp;'Конфигурация TREI'!$A$2&amp;".DIAG_29"</f>
        <v>Диагностика.TREI.CPU.DIAG_29</v>
      </c>
      <c r="B2369" s="101">
        <v>11152</v>
      </c>
      <c r="C2369" s="101" t="s">
        <v>0</v>
      </c>
      <c r="D2369" s="104" t="str">
        <f>$R$8</f>
        <v>Телесигнализация</v>
      </c>
    </row>
    <row r="2370" spans="1:4">
      <c r="A2370" s="100" t="str">
        <f>$R$2&amp;"."&amp;'Конфигурация TREI'!$A$2&amp;".DIAG_29"</f>
        <v>Диагностика.TREI.CPU.DIAG_29</v>
      </c>
      <c r="B2370" s="101">
        <v>11150</v>
      </c>
      <c r="C2370" s="101" t="s">
        <v>0</v>
      </c>
      <c r="D2370" s="103" t="s">
        <v>1407</v>
      </c>
    </row>
    <row r="2371" spans="1:4">
      <c r="A2371" s="100" t="str">
        <f>$R$2&amp;"."&amp;'Конфигурация TREI'!$A$2&amp;".DIAG_29"</f>
        <v>Диагностика.TREI.CPU.DIAG_29</v>
      </c>
      <c r="B2371" s="101">
        <v>11000</v>
      </c>
      <c r="C2371" s="101" t="s">
        <v>5</v>
      </c>
      <c r="D2371" s="103">
        <v>2147483680</v>
      </c>
    </row>
    <row r="2372" spans="1:4">
      <c r="A2372" s="19" t="str">
        <f>$R$2&amp;"."&amp;'Конфигурация TREI'!$A$2&amp;".DIAG_29"</f>
        <v>Диагностика.TREI.CPU.DIAG_29</v>
      </c>
      <c r="B2372" s="11">
        <v>7999</v>
      </c>
      <c r="C2372" s="11" t="s">
        <v>0</v>
      </c>
      <c r="D2372" s="20" t="str">
        <f>"#"&amp;$S$2&amp;"#"&amp;$T$2&amp;IF($S$7="","","\")&amp;$S$7&amp;"\"&amp;'Конфигурация TREI'!$A$2&amp;"\DIAG_29"</f>
        <v>#2#treiOPCDA.CoOPCserv.1\pcmaster\CPU\DIAG_29</v>
      </c>
    </row>
    <row r="2373" spans="1:4">
      <c r="A2373" s="19" t="str">
        <f>$R$2&amp;"."&amp;'Конфигурация TREI'!$A$2&amp;".DIAG_29"</f>
        <v>Диагностика.TREI.CPU.DIAG_29</v>
      </c>
      <c r="B2373" s="11">
        <v>7998</v>
      </c>
      <c r="C2373" s="11" t="s">
        <v>6</v>
      </c>
      <c r="D2373" s="20">
        <v>1</v>
      </c>
    </row>
    <row r="2374" spans="1:4">
      <c r="A2374" s="19" t="str">
        <f>$R$2&amp;"."&amp;'Конфигурация TREI'!$A$2&amp;".DIAG_29"</f>
        <v>Диагностика.TREI.CPU.DIAG_29</v>
      </c>
      <c r="B2374" s="11">
        <v>101</v>
      </c>
      <c r="C2374" s="11" t="s">
        <v>0</v>
      </c>
      <c r="D2374" s="20" t="s">
        <v>1407</v>
      </c>
    </row>
    <row r="2375" spans="1:4">
      <c r="A2375" s="19" t="str">
        <f>$R$2&amp;"."&amp;'Конфигурация TREI'!$A$2&amp;".DIAG_29"</f>
        <v>Диагностика.TREI.CPU.DIAG_29</v>
      </c>
      <c r="B2375" s="11">
        <v>3</v>
      </c>
      <c r="C2375" s="11" t="s">
        <v>1</v>
      </c>
      <c r="D2375" s="20">
        <v>192</v>
      </c>
    </row>
    <row r="2376" spans="1:4">
      <c r="A2376" s="19" t="str">
        <f>$R$2&amp;"."&amp;'Конфигурация TREI'!$A$2&amp;".DIAG_29"</f>
        <v>Диагностика.TREI.CPU.DIAG_29</v>
      </c>
      <c r="B2376" s="11">
        <v>2</v>
      </c>
      <c r="C2376" s="11" t="s">
        <v>2</v>
      </c>
      <c r="D2376" s="20" t="s">
        <v>3</v>
      </c>
    </row>
    <row r="2377" spans="1:4">
      <c r="A2377" s="21" t="str">
        <f>$R$2&amp;"."&amp;'Конфигурация TREI'!$A$2&amp;".DIAG_29"</f>
        <v>Диагностика.TREI.CPU.DIAG_29</v>
      </c>
      <c r="B2377" s="8">
        <v>1</v>
      </c>
      <c r="C2377" s="8" t="s">
        <v>1</v>
      </c>
      <c r="D2377" s="22">
        <v>11</v>
      </c>
    </row>
    <row r="2378" spans="1:4">
      <c r="A2378" s="159" t="str">
        <f>$R$2&amp;"."&amp;'Конфигурация TREI'!$A$2&amp;".DIAG_30"</f>
        <v>Диагностика.TREI.CPU.DIAG_30</v>
      </c>
      <c r="B2378" s="160">
        <v>11154</v>
      </c>
      <c r="C2378" s="160" t="s">
        <v>4</v>
      </c>
      <c r="D2378" s="161">
        <f>$Q$8</f>
        <v>18</v>
      </c>
    </row>
    <row r="2379" spans="1:4">
      <c r="A2379" s="100" t="str">
        <f>$R$2&amp;"."&amp;'Конфигурация TREI'!$A$2&amp;".DIAG_30"</f>
        <v>Диагностика.TREI.CPU.DIAG_30</v>
      </c>
      <c r="B2379" s="101">
        <v>11152</v>
      </c>
      <c r="C2379" s="101" t="s">
        <v>0</v>
      </c>
      <c r="D2379" s="104" t="str">
        <f>$R$8</f>
        <v>Телесигнализация</v>
      </c>
    </row>
    <row r="2380" spans="1:4">
      <c r="A2380" s="100" t="str">
        <f>$R$2&amp;"."&amp;'Конфигурация TREI'!$A$2&amp;".DIAG_30"</f>
        <v>Диагностика.TREI.CPU.DIAG_30</v>
      </c>
      <c r="B2380" s="101">
        <v>11150</v>
      </c>
      <c r="C2380" s="101" t="s">
        <v>0</v>
      </c>
      <c r="D2380" s="103" t="s">
        <v>1408</v>
      </c>
    </row>
    <row r="2381" spans="1:4">
      <c r="A2381" s="100" t="str">
        <f>$R$2&amp;"."&amp;'Конфигурация TREI'!$A$2&amp;".DIAG_30"</f>
        <v>Диагностика.TREI.CPU.DIAG_30</v>
      </c>
      <c r="B2381" s="101">
        <v>11000</v>
      </c>
      <c r="C2381" s="101" t="s">
        <v>5</v>
      </c>
      <c r="D2381" s="103">
        <v>2147483680</v>
      </c>
    </row>
    <row r="2382" spans="1:4">
      <c r="A2382" s="19" t="str">
        <f>$R$2&amp;"."&amp;'Конфигурация TREI'!$A$2&amp;".DIAG_30"</f>
        <v>Диагностика.TREI.CPU.DIAG_30</v>
      </c>
      <c r="B2382" s="11">
        <v>7999</v>
      </c>
      <c r="C2382" s="11" t="s">
        <v>0</v>
      </c>
      <c r="D2382" s="20" t="str">
        <f>"#"&amp;$S$2&amp;"#"&amp;$T$2&amp;IF($S$7="","","\")&amp;$S$7&amp;"\"&amp;'Конфигурация TREI'!$A$2&amp;"\DIAG_30"</f>
        <v>#2#treiOPCDA.CoOPCserv.1\pcmaster\CPU\DIAG_30</v>
      </c>
    </row>
    <row r="2383" spans="1:4">
      <c r="A2383" s="19" t="str">
        <f>$R$2&amp;"."&amp;'Конфигурация TREI'!$A$2&amp;".DIAG_30"</f>
        <v>Диагностика.TREI.CPU.DIAG_30</v>
      </c>
      <c r="B2383" s="11">
        <v>7998</v>
      </c>
      <c r="C2383" s="11" t="s">
        <v>6</v>
      </c>
      <c r="D2383" s="20">
        <v>1</v>
      </c>
    </row>
    <row r="2384" spans="1:4">
      <c r="A2384" s="19" t="str">
        <f>$R$2&amp;"."&amp;'Конфигурация TREI'!$A$2&amp;".DIAG_30"</f>
        <v>Диагностика.TREI.CPU.DIAG_30</v>
      </c>
      <c r="B2384" s="11">
        <v>101</v>
      </c>
      <c r="C2384" s="11" t="s">
        <v>0</v>
      </c>
      <c r="D2384" s="20" t="s">
        <v>1408</v>
      </c>
    </row>
    <row r="2385" spans="1:4">
      <c r="A2385" s="19" t="str">
        <f>$R$2&amp;"."&amp;'Конфигурация TREI'!$A$2&amp;".DIAG_30"</f>
        <v>Диагностика.TREI.CPU.DIAG_30</v>
      </c>
      <c r="B2385" s="11">
        <v>3</v>
      </c>
      <c r="C2385" s="11" t="s">
        <v>1</v>
      </c>
      <c r="D2385" s="20">
        <v>192</v>
      </c>
    </row>
    <row r="2386" spans="1:4">
      <c r="A2386" s="19" t="str">
        <f>$R$2&amp;"."&amp;'Конфигурация TREI'!$A$2&amp;".DIAG_30"</f>
        <v>Диагностика.TREI.CPU.DIAG_30</v>
      </c>
      <c r="B2386" s="11">
        <v>2</v>
      </c>
      <c r="C2386" s="11" t="s">
        <v>2</v>
      </c>
      <c r="D2386" s="20" t="s">
        <v>3</v>
      </c>
    </row>
    <row r="2387" spans="1:4">
      <c r="A2387" s="21" t="str">
        <f>$R$2&amp;"."&amp;'Конфигурация TREI'!$A$2&amp;".DIAG_30"</f>
        <v>Диагностика.TREI.CPU.DIAG_30</v>
      </c>
      <c r="B2387" s="8">
        <v>1</v>
      </c>
      <c r="C2387" s="8" t="s">
        <v>1</v>
      </c>
      <c r="D2387" s="22">
        <v>11</v>
      </c>
    </row>
    <row r="2388" spans="1:4">
      <c r="A2388" s="521" t="s">
        <v>955</v>
      </c>
      <c r="B2388" s="522"/>
      <c r="C2388" s="522"/>
      <c r="D2388" s="523"/>
    </row>
    <row r="2389" spans="1:4">
      <c r="A2389" s="211" t="str">
        <f t="shared" ref="A2389:A2398" si="2">$R$2&amp;"."&amp;$P$2&amp;".Err_izm_ACP1"</f>
        <v>Диагностика.TREI.BR12.Err_izm_ACP1</v>
      </c>
      <c r="B2389" s="218">
        <v>11154</v>
      </c>
      <c r="C2389" s="218" t="s">
        <v>4</v>
      </c>
      <c r="D2389" s="219">
        <f>$Q$7</f>
        <v>12</v>
      </c>
    </row>
    <row r="2390" spans="1:4">
      <c r="A2390" s="211" t="str">
        <f t="shared" si="2"/>
        <v>Диагностика.TREI.BR12.Err_izm_ACP1</v>
      </c>
      <c r="B2390" s="212">
        <v>11150</v>
      </c>
      <c r="C2390" s="212" t="s">
        <v>0</v>
      </c>
      <c r="D2390" s="213" t="s">
        <v>1369</v>
      </c>
    </row>
    <row r="2391" spans="1:4">
      <c r="A2391" s="211" t="str">
        <f t="shared" si="2"/>
        <v>Диагностика.TREI.BR12.Err_izm_ACP1</v>
      </c>
      <c r="B2391" s="212">
        <v>11152</v>
      </c>
      <c r="C2391" s="212" t="s">
        <v>0</v>
      </c>
      <c r="D2391" s="220" t="str">
        <f>$R$7</f>
        <v>Неисправность</v>
      </c>
    </row>
    <row r="2392" spans="1:4">
      <c r="A2392" s="211" t="str">
        <f t="shared" si="2"/>
        <v>Диагностика.TREI.BR12.Err_izm_ACP1</v>
      </c>
      <c r="B2392" s="212">
        <v>11000</v>
      </c>
      <c r="C2392" s="212" t="s">
        <v>5</v>
      </c>
      <c r="D2392" s="213">
        <v>2147483680</v>
      </c>
    </row>
    <row r="2393" spans="1:4">
      <c r="A2393" s="19" t="str">
        <f t="shared" si="2"/>
        <v>Диагностика.TREI.BR12.Err_izm_ACP1</v>
      </c>
      <c r="B2393" s="11">
        <v>7999</v>
      </c>
      <c r="C2393" s="11" t="s">
        <v>0</v>
      </c>
      <c r="D2393" s="20" t="str">
        <f>"#"&amp;$S$2&amp;"#"&amp;$T$2&amp;"\"&amp;$P$2&amp;"\Err_izm_ACP1"</f>
        <v>#2#treiOPCDA.CoOPCserv.1\pcmaster\BR12\Err_izm_ACP1</v>
      </c>
    </row>
    <row r="2394" spans="1:4">
      <c r="A2394" s="19" t="str">
        <f t="shared" si="2"/>
        <v>Диагностика.TREI.BR12.Err_izm_ACP1</v>
      </c>
      <c r="B2394" s="11">
        <v>7998</v>
      </c>
      <c r="C2394" s="11" t="s">
        <v>6</v>
      </c>
      <c r="D2394" s="20">
        <v>1</v>
      </c>
    </row>
    <row r="2395" spans="1:4">
      <c r="A2395" s="19" t="str">
        <f t="shared" si="2"/>
        <v>Диагностика.TREI.BR12.Err_izm_ACP1</v>
      </c>
      <c r="B2395" s="11">
        <v>101</v>
      </c>
      <c r="C2395" s="11" t="s">
        <v>0</v>
      </c>
      <c r="D2395" s="20" t="s">
        <v>1369</v>
      </c>
    </row>
    <row r="2396" spans="1:4">
      <c r="A2396" s="19" t="str">
        <f t="shared" si="2"/>
        <v>Диагностика.TREI.BR12.Err_izm_ACP1</v>
      </c>
      <c r="B2396" s="11">
        <v>3</v>
      </c>
      <c r="C2396" s="11" t="s">
        <v>1</v>
      </c>
      <c r="D2396" s="20">
        <v>192</v>
      </c>
    </row>
    <row r="2397" spans="1:4">
      <c r="A2397" s="19" t="str">
        <f t="shared" si="2"/>
        <v>Диагностика.TREI.BR12.Err_izm_ACP1</v>
      </c>
      <c r="B2397" s="11">
        <v>2</v>
      </c>
      <c r="C2397" s="11" t="s">
        <v>2</v>
      </c>
      <c r="D2397" s="20" t="s">
        <v>3</v>
      </c>
    </row>
    <row r="2398" spans="1:4">
      <c r="A2398" s="21" t="str">
        <f t="shared" si="2"/>
        <v>Диагностика.TREI.BR12.Err_izm_ACP1</v>
      </c>
      <c r="B2398" s="8">
        <v>1</v>
      </c>
      <c r="C2398" s="8" t="s">
        <v>1</v>
      </c>
      <c r="D2398" s="22">
        <v>11</v>
      </c>
    </row>
    <row r="2399" spans="1:4">
      <c r="A2399" s="217" t="str">
        <f t="shared" ref="A2399:A2408" si="3">$R$2&amp;"."&amp;$P$2&amp;".Err_izm_ACP2"</f>
        <v>Диагностика.TREI.BR12.Err_izm_ACP2</v>
      </c>
      <c r="B2399" s="218">
        <v>11154</v>
      </c>
      <c r="C2399" s="218" t="s">
        <v>4</v>
      </c>
      <c r="D2399" s="219">
        <f>$Q$7</f>
        <v>12</v>
      </c>
    </row>
    <row r="2400" spans="1:4">
      <c r="A2400" s="211" t="str">
        <f t="shared" si="3"/>
        <v>Диагностика.TREI.BR12.Err_izm_ACP2</v>
      </c>
      <c r="B2400" s="212">
        <v>11150</v>
      </c>
      <c r="C2400" s="212" t="s">
        <v>0</v>
      </c>
      <c r="D2400" s="213" t="s">
        <v>1373</v>
      </c>
    </row>
    <row r="2401" spans="1:4">
      <c r="A2401" s="211" t="str">
        <f t="shared" si="3"/>
        <v>Диагностика.TREI.BR12.Err_izm_ACP2</v>
      </c>
      <c r="B2401" s="212">
        <v>11152</v>
      </c>
      <c r="C2401" s="212" t="s">
        <v>0</v>
      </c>
      <c r="D2401" s="220" t="str">
        <f>$R$7</f>
        <v>Неисправность</v>
      </c>
    </row>
    <row r="2402" spans="1:4">
      <c r="A2402" s="211" t="str">
        <f t="shared" si="3"/>
        <v>Диагностика.TREI.BR12.Err_izm_ACP2</v>
      </c>
      <c r="B2402" s="212">
        <v>11000</v>
      </c>
      <c r="C2402" s="212" t="s">
        <v>5</v>
      </c>
      <c r="D2402" s="213">
        <v>2147483680</v>
      </c>
    </row>
    <row r="2403" spans="1:4">
      <c r="A2403" s="19" t="str">
        <f t="shared" si="3"/>
        <v>Диагностика.TREI.BR12.Err_izm_ACP2</v>
      </c>
      <c r="B2403" s="11">
        <v>7999</v>
      </c>
      <c r="C2403" s="11" t="s">
        <v>0</v>
      </c>
      <c r="D2403" s="20" t="str">
        <f>"#"&amp;$S$2&amp;"#"&amp;$T$2&amp;"\"&amp;$P$2&amp;"\Err_izm_ACP2"</f>
        <v>#2#treiOPCDA.CoOPCserv.1\pcmaster\BR12\Err_izm_ACP2</v>
      </c>
    </row>
    <row r="2404" spans="1:4">
      <c r="A2404" s="19" t="str">
        <f t="shared" si="3"/>
        <v>Диагностика.TREI.BR12.Err_izm_ACP2</v>
      </c>
      <c r="B2404" s="11">
        <v>7998</v>
      </c>
      <c r="C2404" s="11" t="s">
        <v>6</v>
      </c>
      <c r="D2404" s="20">
        <v>1</v>
      </c>
    </row>
    <row r="2405" spans="1:4">
      <c r="A2405" s="19" t="str">
        <f t="shared" si="3"/>
        <v>Диагностика.TREI.BR12.Err_izm_ACP2</v>
      </c>
      <c r="B2405" s="11">
        <v>101</v>
      </c>
      <c r="C2405" s="11" t="s">
        <v>0</v>
      </c>
      <c r="D2405" s="20" t="s">
        <v>1373</v>
      </c>
    </row>
    <row r="2406" spans="1:4">
      <c r="A2406" s="19" t="str">
        <f t="shared" si="3"/>
        <v>Диагностика.TREI.BR12.Err_izm_ACP2</v>
      </c>
      <c r="B2406" s="11">
        <v>3</v>
      </c>
      <c r="C2406" s="11" t="s">
        <v>1</v>
      </c>
      <c r="D2406" s="20">
        <v>192</v>
      </c>
    </row>
    <row r="2407" spans="1:4">
      <c r="A2407" s="19" t="str">
        <f t="shared" si="3"/>
        <v>Диагностика.TREI.BR12.Err_izm_ACP2</v>
      </c>
      <c r="B2407" s="11">
        <v>2</v>
      </c>
      <c r="C2407" s="11" t="s">
        <v>2</v>
      </c>
      <c r="D2407" s="20" t="s">
        <v>3</v>
      </c>
    </row>
    <row r="2408" spans="1:4">
      <c r="A2408" s="21" t="str">
        <f t="shared" si="3"/>
        <v>Диагностика.TREI.BR12.Err_izm_ACP2</v>
      </c>
      <c r="B2408" s="8">
        <v>1</v>
      </c>
      <c r="C2408" s="8" t="s">
        <v>1</v>
      </c>
      <c r="D2408" s="22">
        <v>11</v>
      </c>
    </row>
    <row r="2409" spans="1:4">
      <c r="A2409" s="217" t="str">
        <f t="shared" ref="A2409:A2418" si="4">$R$2&amp;"."&amp;$P$2&amp;".Err_kalib_ACP1"</f>
        <v>Диагностика.TREI.BR12.Err_kalib_ACP1</v>
      </c>
      <c r="B2409" s="218">
        <v>11154</v>
      </c>
      <c r="C2409" s="218" t="s">
        <v>4</v>
      </c>
      <c r="D2409" s="219">
        <f>$Q$7</f>
        <v>12</v>
      </c>
    </row>
    <row r="2410" spans="1:4">
      <c r="A2410" s="211" t="str">
        <f t="shared" si="4"/>
        <v>Диагностика.TREI.BR12.Err_kalib_ACP1</v>
      </c>
      <c r="B2410" s="212">
        <v>11150</v>
      </c>
      <c r="C2410" s="212" t="s">
        <v>0</v>
      </c>
      <c r="D2410" s="213" t="s">
        <v>1370</v>
      </c>
    </row>
    <row r="2411" spans="1:4">
      <c r="A2411" s="211" t="str">
        <f t="shared" si="4"/>
        <v>Диагностика.TREI.BR12.Err_kalib_ACP1</v>
      </c>
      <c r="B2411" s="212">
        <v>11152</v>
      </c>
      <c r="C2411" s="212" t="s">
        <v>0</v>
      </c>
      <c r="D2411" s="220" t="str">
        <f>$R$7</f>
        <v>Неисправность</v>
      </c>
    </row>
    <row r="2412" spans="1:4">
      <c r="A2412" s="211" t="str">
        <f t="shared" si="4"/>
        <v>Диагностика.TREI.BR12.Err_kalib_ACP1</v>
      </c>
      <c r="B2412" s="212">
        <v>11000</v>
      </c>
      <c r="C2412" s="212" t="s">
        <v>5</v>
      </c>
      <c r="D2412" s="213">
        <v>2147483680</v>
      </c>
    </row>
    <row r="2413" spans="1:4">
      <c r="A2413" s="19" t="str">
        <f t="shared" si="4"/>
        <v>Диагностика.TREI.BR12.Err_kalib_ACP1</v>
      </c>
      <c r="B2413" s="11">
        <v>7999</v>
      </c>
      <c r="C2413" s="11" t="s">
        <v>0</v>
      </c>
      <c r="D2413" s="20" t="str">
        <f>"#"&amp;$S$2&amp;"#"&amp;$T$2&amp;"\"&amp;$P$2&amp;"\Err_kalib_ACP1"</f>
        <v>#2#treiOPCDA.CoOPCserv.1\pcmaster\BR12\Err_kalib_ACP1</v>
      </c>
    </row>
    <row r="2414" spans="1:4">
      <c r="A2414" s="19" t="str">
        <f t="shared" si="4"/>
        <v>Диагностика.TREI.BR12.Err_kalib_ACP1</v>
      </c>
      <c r="B2414" s="11">
        <v>7998</v>
      </c>
      <c r="C2414" s="11" t="s">
        <v>6</v>
      </c>
      <c r="D2414" s="20">
        <v>1</v>
      </c>
    </row>
    <row r="2415" spans="1:4">
      <c r="A2415" s="19" t="str">
        <f t="shared" si="4"/>
        <v>Диагностика.TREI.BR12.Err_kalib_ACP1</v>
      </c>
      <c r="B2415" s="11">
        <v>101</v>
      </c>
      <c r="C2415" s="11" t="s">
        <v>0</v>
      </c>
      <c r="D2415" s="20" t="s">
        <v>1370</v>
      </c>
    </row>
    <row r="2416" spans="1:4">
      <c r="A2416" s="19" t="str">
        <f t="shared" si="4"/>
        <v>Диагностика.TREI.BR12.Err_kalib_ACP1</v>
      </c>
      <c r="B2416" s="11">
        <v>3</v>
      </c>
      <c r="C2416" s="11" t="s">
        <v>1</v>
      </c>
      <c r="D2416" s="20">
        <v>192</v>
      </c>
    </row>
    <row r="2417" spans="1:4">
      <c r="A2417" s="19" t="str">
        <f t="shared" si="4"/>
        <v>Диагностика.TREI.BR12.Err_kalib_ACP1</v>
      </c>
      <c r="B2417" s="11">
        <v>2</v>
      </c>
      <c r="C2417" s="11" t="s">
        <v>2</v>
      </c>
      <c r="D2417" s="20" t="s">
        <v>3</v>
      </c>
    </row>
    <row r="2418" spans="1:4">
      <c r="A2418" s="21" t="str">
        <f t="shared" si="4"/>
        <v>Диагностика.TREI.BR12.Err_kalib_ACP1</v>
      </c>
      <c r="B2418" s="8">
        <v>1</v>
      </c>
      <c r="C2418" s="8" t="s">
        <v>1</v>
      </c>
      <c r="D2418" s="22">
        <v>11</v>
      </c>
    </row>
    <row r="2419" spans="1:4">
      <c r="A2419" s="217" t="str">
        <f t="shared" ref="A2419:A2428" si="5">$R$2&amp;"."&amp;$P$2&amp;".Err_kalib_ACP2"</f>
        <v>Диагностика.TREI.BR12.Err_kalib_ACP2</v>
      </c>
      <c r="B2419" s="218">
        <v>11154</v>
      </c>
      <c r="C2419" s="218" t="s">
        <v>4</v>
      </c>
      <c r="D2419" s="219">
        <f>$Q$7</f>
        <v>12</v>
      </c>
    </row>
    <row r="2420" spans="1:4">
      <c r="A2420" s="211" t="str">
        <f t="shared" si="5"/>
        <v>Диагностика.TREI.BR12.Err_kalib_ACP2</v>
      </c>
      <c r="B2420" s="212">
        <v>11150</v>
      </c>
      <c r="C2420" s="212" t="s">
        <v>0</v>
      </c>
      <c r="D2420" s="213" t="s">
        <v>1372</v>
      </c>
    </row>
    <row r="2421" spans="1:4">
      <c r="A2421" s="211" t="str">
        <f t="shared" si="5"/>
        <v>Диагностика.TREI.BR12.Err_kalib_ACP2</v>
      </c>
      <c r="B2421" s="212">
        <v>11152</v>
      </c>
      <c r="C2421" s="212" t="s">
        <v>0</v>
      </c>
      <c r="D2421" s="220" t="str">
        <f>$R$7</f>
        <v>Неисправность</v>
      </c>
    </row>
    <row r="2422" spans="1:4">
      <c r="A2422" s="211" t="str">
        <f t="shared" si="5"/>
        <v>Диагностика.TREI.BR12.Err_kalib_ACP2</v>
      </c>
      <c r="B2422" s="212">
        <v>11000</v>
      </c>
      <c r="C2422" s="212" t="s">
        <v>5</v>
      </c>
      <c r="D2422" s="213">
        <v>2147483680</v>
      </c>
    </row>
    <row r="2423" spans="1:4">
      <c r="A2423" s="19" t="str">
        <f t="shared" si="5"/>
        <v>Диагностика.TREI.BR12.Err_kalib_ACP2</v>
      </c>
      <c r="B2423" s="11">
        <v>7999</v>
      </c>
      <c r="C2423" s="11" t="s">
        <v>0</v>
      </c>
      <c r="D2423" s="20" t="str">
        <f>"#"&amp;$S$2&amp;"#"&amp;$T$2&amp;"\"&amp;$P$2&amp;"\Err_kalib_ACP2"</f>
        <v>#2#treiOPCDA.CoOPCserv.1\pcmaster\BR12\Err_kalib_ACP2</v>
      </c>
    </row>
    <row r="2424" spans="1:4">
      <c r="A2424" s="19" t="str">
        <f t="shared" si="5"/>
        <v>Диагностика.TREI.BR12.Err_kalib_ACP2</v>
      </c>
      <c r="B2424" s="11">
        <v>7998</v>
      </c>
      <c r="C2424" s="11" t="s">
        <v>6</v>
      </c>
      <c r="D2424" s="20">
        <v>1</v>
      </c>
    </row>
    <row r="2425" spans="1:4">
      <c r="A2425" s="19" t="str">
        <f t="shared" si="5"/>
        <v>Диагностика.TREI.BR12.Err_kalib_ACP2</v>
      </c>
      <c r="B2425" s="11">
        <v>101</v>
      </c>
      <c r="C2425" s="11" t="s">
        <v>0</v>
      </c>
      <c r="D2425" s="20" t="s">
        <v>1372</v>
      </c>
    </row>
    <row r="2426" spans="1:4">
      <c r="A2426" s="19" t="str">
        <f t="shared" si="5"/>
        <v>Диагностика.TREI.BR12.Err_kalib_ACP2</v>
      </c>
      <c r="B2426" s="11">
        <v>3</v>
      </c>
      <c r="C2426" s="11" t="s">
        <v>1</v>
      </c>
      <c r="D2426" s="20">
        <v>192</v>
      </c>
    </row>
    <row r="2427" spans="1:4">
      <c r="A2427" s="19" t="str">
        <f t="shared" si="5"/>
        <v>Диагностика.TREI.BR12.Err_kalib_ACP2</v>
      </c>
      <c r="B2427" s="11">
        <v>2</v>
      </c>
      <c r="C2427" s="11" t="s">
        <v>2</v>
      </c>
      <c r="D2427" s="20" t="s">
        <v>3</v>
      </c>
    </row>
    <row r="2428" spans="1:4">
      <c r="A2428" s="21" t="str">
        <f t="shared" si="5"/>
        <v>Диагностика.TREI.BR12.Err_kalib_ACP2</v>
      </c>
      <c r="B2428" s="8">
        <v>1</v>
      </c>
      <c r="C2428" s="8" t="s">
        <v>1</v>
      </c>
      <c r="D2428" s="22">
        <v>11</v>
      </c>
    </row>
    <row r="2429" spans="1:4">
      <c r="A2429" s="211" t="str">
        <f t="shared" ref="A2429:A2438" si="6">$R$2&amp;"."&amp;$P$2&amp;".Err_line_ACP1"</f>
        <v>Диагностика.TREI.BR12.Err_line_ACP1</v>
      </c>
      <c r="B2429" s="212">
        <v>11154</v>
      </c>
      <c r="C2429" s="212" t="s">
        <v>4</v>
      </c>
      <c r="D2429" s="221">
        <f>$Q$7</f>
        <v>12</v>
      </c>
    </row>
    <row r="2430" spans="1:4">
      <c r="A2430" s="211" t="str">
        <f t="shared" si="6"/>
        <v>Диагностика.TREI.BR12.Err_line_ACP1</v>
      </c>
      <c r="B2430" s="212">
        <v>11152</v>
      </c>
      <c r="C2430" s="212" t="s">
        <v>0</v>
      </c>
      <c r="D2430" s="220" t="str">
        <f>$R$7</f>
        <v>Неисправность</v>
      </c>
    </row>
    <row r="2431" spans="1:4">
      <c r="A2431" s="211" t="str">
        <f t="shared" si="6"/>
        <v>Диагностика.TREI.BR12.Err_line_ACP1</v>
      </c>
      <c r="B2431" s="212">
        <v>11150</v>
      </c>
      <c r="C2431" s="212" t="s">
        <v>0</v>
      </c>
      <c r="D2431" s="213" t="s">
        <v>1371</v>
      </c>
    </row>
    <row r="2432" spans="1:4">
      <c r="A2432" s="211" t="str">
        <f t="shared" si="6"/>
        <v>Диагностика.TREI.BR12.Err_line_ACP1</v>
      </c>
      <c r="B2432" s="212">
        <v>11000</v>
      </c>
      <c r="C2432" s="212" t="s">
        <v>5</v>
      </c>
      <c r="D2432" s="213">
        <v>2147483680</v>
      </c>
    </row>
    <row r="2433" spans="1:4">
      <c r="A2433" s="19" t="str">
        <f t="shared" si="6"/>
        <v>Диагностика.TREI.BR12.Err_line_ACP1</v>
      </c>
      <c r="B2433" s="11">
        <v>7999</v>
      </c>
      <c r="C2433" s="11" t="s">
        <v>0</v>
      </c>
      <c r="D2433" s="20" t="str">
        <f>"#"&amp;$S$2&amp;"#"&amp;$T$2&amp;"\"&amp;$P$2&amp;"\Err_line_ACP1"</f>
        <v>#2#treiOPCDA.CoOPCserv.1\pcmaster\BR12\Err_line_ACP1</v>
      </c>
    </row>
    <row r="2434" spans="1:4">
      <c r="A2434" s="19" t="str">
        <f t="shared" si="6"/>
        <v>Диагностика.TREI.BR12.Err_line_ACP1</v>
      </c>
      <c r="B2434" s="11">
        <v>7998</v>
      </c>
      <c r="C2434" s="11" t="s">
        <v>6</v>
      </c>
      <c r="D2434" s="20">
        <v>1</v>
      </c>
    </row>
    <row r="2435" spans="1:4">
      <c r="A2435" s="19" t="str">
        <f t="shared" si="6"/>
        <v>Диагностика.TREI.BR12.Err_line_ACP1</v>
      </c>
      <c r="B2435" s="11">
        <v>101</v>
      </c>
      <c r="C2435" s="11" t="s">
        <v>0</v>
      </c>
      <c r="D2435" s="20" t="s">
        <v>1371</v>
      </c>
    </row>
    <row r="2436" spans="1:4">
      <c r="A2436" s="19" t="str">
        <f t="shared" si="6"/>
        <v>Диагностика.TREI.BR12.Err_line_ACP1</v>
      </c>
      <c r="B2436" s="11">
        <v>3</v>
      </c>
      <c r="C2436" s="11" t="s">
        <v>1</v>
      </c>
      <c r="D2436" s="20">
        <v>192</v>
      </c>
    </row>
    <row r="2437" spans="1:4">
      <c r="A2437" s="19" t="str">
        <f t="shared" si="6"/>
        <v>Диагностика.TREI.BR12.Err_line_ACP1</v>
      </c>
      <c r="B2437" s="11">
        <v>2</v>
      </c>
      <c r="C2437" s="11" t="s">
        <v>2</v>
      </c>
      <c r="D2437" s="20" t="s">
        <v>3</v>
      </c>
    </row>
    <row r="2438" spans="1:4">
      <c r="A2438" s="21" t="str">
        <f t="shared" si="6"/>
        <v>Диагностика.TREI.BR12.Err_line_ACP1</v>
      </c>
      <c r="B2438" s="8">
        <v>1</v>
      </c>
      <c r="C2438" s="8" t="s">
        <v>1</v>
      </c>
      <c r="D2438" s="22">
        <v>11</v>
      </c>
    </row>
    <row r="2439" spans="1:4">
      <c r="A2439" s="211" t="str">
        <f t="shared" ref="A2439:A2448" si="7">$R$2&amp;"."&amp;$P$2&amp;".Err_line_ACP2"</f>
        <v>Диагностика.TREI.BR12.Err_line_ACP2</v>
      </c>
      <c r="B2439" s="212">
        <v>11154</v>
      </c>
      <c r="C2439" s="212" t="s">
        <v>4</v>
      </c>
      <c r="D2439" s="221">
        <f>$Q$7</f>
        <v>12</v>
      </c>
    </row>
    <row r="2440" spans="1:4">
      <c r="A2440" s="211" t="str">
        <f t="shared" si="7"/>
        <v>Диагностика.TREI.BR12.Err_line_ACP2</v>
      </c>
      <c r="B2440" s="212">
        <v>11152</v>
      </c>
      <c r="C2440" s="212" t="s">
        <v>0</v>
      </c>
      <c r="D2440" s="220" t="str">
        <f>$R$7</f>
        <v>Неисправность</v>
      </c>
    </row>
    <row r="2441" spans="1:4">
      <c r="A2441" s="211" t="str">
        <f t="shared" si="7"/>
        <v>Диагностика.TREI.BR12.Err_line_ACP2</v>
      </c>
      <c r="B2441" s="212">
        <v>11150</v>
      </c>
      <c r="C2441" s="212" t="s">
        <v>0</v>
      </c>
      <c r="D2441" s="213" t="s">
        <v>1374</v>
      </c>
    </row>
    <row r="2442" spans="1:4">
      <c r="A2442" s="211" t="str">
        <f t="shared" si="7"/>
        <v>Диагностика.TREI.BR12.Err_line_ACP2</v>
      </c>
      <c r="B2442" s="212">
        <v>11000</v>
      </c>
      <c r="C2442" s="212" t="s">
        <v>5</v>
      </c>
      <c r="D2442" s="213">
        <v>2147483680</v>
      </c>
    </row>
    <row r="2443" spans="1:4">
      <c r="A2443" s="19" t="str">
        <f t="shared" si="7"/>
        <v>Диагностика.TREI.BR12.Err_line_ACP2</v>
      </c>
      <c r="B2443" s="11">
        <v>7999</v>
      </c>
      <c r="C2443" s="11" t="s">
        <v>0</v>
      </c>
      <c r="D2443" s="20" t="str">
        <f>"#"&amp;$S$2&amp;"#"&amp;$T$2&amp;"\"&amp;$P$2&amp;"\Err_line_ACP2"</f>
        <v>#2#treiOPCDA.CoOPCserv.1\pcmaster\BR12\Err_line_ACP2</v>
      </c>
    </row>
    <row r="2444" spans="1:4">
      <c r="A2444" s="19" t="str">
        <f t="shared" si="7"/>
        <v>Диагностика.TREI.BR12.Err_line_ACP2</v>
      </c>
      <c r="B2444" s="11">
        <v>7998</v>
      </c>
      <c r="C2444" s="11" t="s">
        <v>6</v>
      </c>
      <c r="D2444" s="20">
        <v>1</v>
      </c>
    </row>
    <row r="2445" spans="1:4">
      <c r="A2445" s="19" t="str">
        <f t="shared" si="7"/>
        <v>Диагностика.TREI.BR12.Err_line_ACP2</v>
      </c>
      <c r="B2445" s="11">
        <v>101</v>
      </c>
      <c r="C2445" s="11" t="s">
        <v>0</v>
      </c>
      <c r="D2445" s="20" t="s">
        <v>1374</v>
      </c>
    </row>
    <row r="2446" spans="1:4">
      <c r="A2446" s="19" t="str">
        <f t="shared" si="7"/>
        <v>Диагностика.TREI.BR12.Err_line_ACP2</v>
      </c>
      <c r="B2446" s="11">
        <v>3</v>
      </c>
      <c r="C2446" s="11" t="s">
        <v>1</v>
      </c>
      <c r="D2446" s="20">
        <v>192</v>
      </c>
    </row>
    <row r="2447" spans="1:4">
      <c r="A2447" s="19" t="str">
        <f t="shared" si="7"/>
        <v>Диагностика.TREI.BR12.Err_line_ACP2</v>
      </c>
      <c r="B2447" s="11">
        <v>2</v>
      </c>
      <c r="C2447" s="11" t="s">
        <v>2</v>
      </c>
      <c r="D2447" s="20" t="s">
        <v>3</v>
      </c>
    </row>
    <row r="2448" spans="1:4">
      <c r="A2448" s="21" t="str">
        <f t="shared" si="7"/>
        <v>Диагностика.TREI.BR12.Err_line_ACP2</v>
      </c>
      <c r="B2448" s="8">
        <v>1</v>
      </c>
      <c r="C2448" s="8" t="s">
        <v>1</v>
      </c>
      <c r="D2448" s="22">
        <v>11</v>
      </c>
    </row>
    <row r="2449" spans="1:4">
      <c r="A2449" s="211" t="str">
        <f t="shared" ref="A2449:A2458" si="8">$R$2&amp;"."&amp;$P$2&amp;".Err_line1"</f>
        <v>Диагностика.TREI.BR12.Err_line1</v>
      </c>
      <c r="B2449" s="212">
        <v>11154</v>
      </c>
      <c r="C2449" s="212" t="s">
        <v>4</v>
      </c>
      <c r="D2449" s="221">
        <f>$Q$7</f>
        <v>12</v>
      </c>
    </row>
    <row r="2450" spans="1:4">
      <c r="A2450" s="211" t="str">
        <f t="shared" si="8"/>
        <v>Диагностика.TREI.BR12.Err_line1</v>
      </c>
      <c r="B2450" s="212">
        <v>11152</v>
      </c>
      <c r="C2450" s="212" t="s">
        <v>0</v>
      </c>
      <c r="D2450" s="220" t="str">
        <f>$R$7</f>
        <v>Неисправность</v>
      </c>
    </row>
    <row r="2451" spans="1:4">
      <c r="A2451" s="211" t="str">
        <f t="shared" si="8"/>
        <v>Диагностика.TREI.BR12.Err_line1</v>
      </c>
      <c r="B2451" s="212">
        <v>11150</v>
      </c>
      <c r="C2451" s="212" t="s">
        <v>0</v>
      </c>
      <c r="D2451" s="213" t="s">
        <v>1375</v>
      </c>
    </row>
    <row r="2452" spans="1:4">
      <c r="A2452" s="211" t="str">
        <f t="shared" si="8"/>
        <v>Диагностика.TREI.BR12.Err_line1</v>
      </c>
      <c r="B2452" s="212">
        <v>11000</v>
      </c>
      <c r="C2452" s="212" t="s">
        <v>5</v>
      </c>
      <c r="D2452" s="213">
        <v>2147483680</v>
      </c>
    </row>
    <row r="2453" spans="1:4">
      <c r="A2453" s="19" t="str">
        <f t="shared" si="8"/>
        <v>Диагностика.TREI.BR12.Err_line1</v>
      </c>
      <c r="B2453" s="11">
        <v>7999</v>
      </c>
      <c r="C2453" s="11" t="s">
        <v>0</v>
      </c>
      <c r="D2453" s="20" t="str">
        <f>"#"&amp;$S$2&amp;"#"&amp;$T$2&amp;"\"&amp;$P$2&amp;"\Err_line1"</f>
        <v>#2#treiOPCDA.CoOPCserv.1\pcmaster\BR12\Err_line1</v>
      </c>
    </row>
    <row r="2454" spans="1:4">
      <c r="A2454" s="19" t="str">
        <f t="shared" si="8"/>
        <v>Диагностика.TREI.BR12.Err_line1</v>
      </c>
      <c r="B2454" s="11">
        <v>7998</v>
      </c>
      <c r="C2454" s="11" t="s">
        <v>6</v>
      </c>
      <c r="D2454" s="20">
        <v>1</v>
      </c>
    </row>
    <row r="2455" spans="1:4">
      <c r="A2455" s="19" t="str">
        <f t="shared" si="8"/>
        <v>Диагностика.TREI.BR12.Err_line1</v>
      </c>
      <c r="B2455" s="11">
        <v>101</v>
      </c>
      <c r="C2455" s="11" t="s">
        <v>0</v>
      </c>
      <c r="D2455" s="20" t="s">
        <v>1375</v>
      </c>
    </row>
    <row r="2456" spans="1:4">
      <c r="A2456" s="19" t="str">
        <f t="shared" si="8"/>
        <v>Диагностика.TREI.BR12.Err_line1</v>
      </c>
      <c r="B2456" s="11">
        <v>3</v>
      </c>
      <c r="C2456" s="11" t="s">
        <v>1</v>
      </c>
      <c r="D2456" s="20">
        <v>192</v>
      </c>
    </row>
    <row r="2457" spans="1:4">
      <c r="A2457" s="19" t="str">
        <f t="shared" si="8"/>
        <v>Диагностика.TREI.BR12.Err_line1</v>
      </c>
      <c r="B2457" s="11">
        <v>2</v>
      </c>
      <c r="C2457" s="11" t="s">
        <v>2</v>
      </c>
      <c r="D2457" s="20" t="s">
        <v>3</v>
      </c>
    </row>
    <row r="2458" spans="1:4">
      <c r="A2458" s="21" t="str">
        <f t="shared" si="8"/>
        <v>Диагностика.TREI.BR12.Err_line1</v>
      </c>
      <c r="B2458" s="8">
        <v>1</v>
      </c>
      <c r="C2458" s="8" t="s">
        <v>1</v>
      </c>
      <c r="D2458" s="22">
        <v>11</v>
      </c>
    </row>
    <row r="2459" spans="1:4">
      <c r="A2459" s="211" t="str">
        <f t="shared" ref="A2459:A2468" si="9">$R$2&amp;"."&amp;$P$2&amp;".Err_line2"</f>
        <v>Диагностика.TREI.BR12.Err_line2</v>
      </c>
      <c r="B2459" s="212">
        <v>11154</v>
      </c>
      <c r="C2459" s="212" t="s">
        <v>4</v>
      </c>
      <c r="D2459" s="221">
        <f>$Q$7</f>
        <v>12</v>
      </c>
    </row>
    <row r="2460" spans="1:4">
      <c r="A2460" s="211" t="str">
        <f t="shared" si="9"/>
        <v>Диагностика.TREI.BR12.Err_line2</v>
      </c>
      <c r="B2460" s="212">
        <v>11152</v>
      </c>
      <c r="C2460" s="212" t="s">
        <v>0</v>
      </c>
      <c r="D2460" s="220" t="str">
        <f>$R$7</f>
        <v>Неисправность</v>
      </c>
    </row>
    <row r="2461" spans="1:4">
      <c r="A2461" s="211" t="str">
        <f t="shared" si="9"/>
        <v>Диагностика.TREI.BR12.Err_line2</v>
      </c>
      <c r="B2461" s="212">
        <v>11150</v>
      </c>
      <c r="C2461" s="212" t="s">
        <v>0</v>
      </c>
      <c r="D2461" s="213" t="s">
        <v>1376</v>
      </c>
    </row>
    <row r="2462" spans="1:4">
      <c r="A2462" s="211" t="str">
        <f t="shared" si="9"/>
        <v>Диагностика.TREI.BR12.Err_line2</v>
      </c>
      <c r="B2462" s="212">
        <v>11000</v>
      </c>
      <c r="C2462" s="212" t="s">
        <v>5</v>
      </c>
      <c r="D2462" s="213">
        <v>2147483680</v>
      </c>
    </row>
    <row r="2463" spans="1:4">
      <c r="A2463" s="19" t="str">
        <f t="shared" si="9"/>
        <v>Диагностика.TREI.BR12.Err_line2</v>
      </c>
      <c r="B2463" s="11">
        <v>7999</v>
      </c>
      <c r="C2463" s="11" t="s">
        <v>0</v>
      </c>
      <c r="D2463" s="20" t="str">
        <f>"#"&amp;$S$2&amp;"#"&amp;$T$2&amp;"\"&amp;$P$2&amp;"\Err_line2"</f>
        <v>#2#treiOPCDA.CoOPCserv.1\pcmaster\BR12\Err_line2</v>
      </c>
    </row>
    <row r="2464" spans="1:4">
      <c r="A2464" s="19" t="str">
        <f t="shared" si="9"/>
        <v>Диагностика.TREI.BR12.Err_line2</v>
      </c>
      <c r="B2464" s="11">
        <v>7998</v>
      </c>
      <c r="C2464" s="11" t="s">
        <v>6</v>
      </c>
      <c r="D2464" s="20">
        <v>1</v>
      </c>
    </row>
    <row r="2465" spans="1:4">
      <c r="A2465" s="19" t="str">
        <f t="shared" si="9"/>
        <v>Диагностика.TREI.BR12.Err_line2</v>
      </c>
      <c r="B2465" s="11">
        <v>101</v>
      </c>
      <c r="C2465" s="11" t="s">
        <v>0</v>
      </c>
      <c r="D2465" s="20" t="s">
        <v>1376</v>
      </c>
    </row>
    <row r="2466" spans="1:4">
      <c r="A2466" s="19" t="str">
        <f t="shared" si="9"/>
        <v>Диагностика.TREI.BR12.Err_line2</v>
      </c>
      <c r="B2466" s="11">
        <v>3</v>
      </c>
      <c r="C2466" s="11" t="s">
        <v>1</v>
      </c>
      <c r="D2466" s="20">
        <v>192</v>
      </c>
    </row>
    <row r="2467" spans="1:4">
      <c r="A2467" s="19" t="str">
        <f t="shared" si="9"/>
        <v>Диагностика.TREI.BR12.Err_line2</v>
      </c>
      <c r="B2467" s="11">
        <v>2</v>
      </c>
      <c r="C2467" s="11" t="s">
        <v>2</v>
      </c>
      <c r="D2467" s="20" t="s">
        <v>3</v>
      </c>
    </row>
    <row r="2468" spans="1:4">
      <c r="A2468" s="21" t="str">
        <f t="shared" si="9"/>
        <v>Диагностика.TREI.BR12.Err_line2</v>
      </c>
      <c r="B2468" s="8">
        <v>1</v>
      </c>
      <c r="C2468" s="8" t="s">
        <v>1</v>
      </c>
      <c r="D2468" s="22">
        <v>11</v>
      </c>
    </row>
    <row r="2469" spans="1:4">
      <c r="A2469" s="211" t="str">
        <f t="shared" ref="A2469:A2478" si="10">$R$2&amp;"."&amp;$P$2&amp;".Err_voltage_ACP1"</f>
        <v>Диагностика.TREI.BR12.Err_voltage_ACP1</v>
      </c>
      <c r="B2469" s="212">
        <v>11154</v>
      </c>
      <c r="C2469" s="212" t="s">
        <v>4</v>
      </c>
      <c r="D2469" s="221">
        <f>$Q$7</f>
        <v>12</v>
      </c>
    </row>
    <row r="2470" spans="1:4">
      <c r="A2470" s="211" t="str">
        <f t="shared" si="10"/>
        <v>Диагностика.TREI.BR12.Err_voltage_ACP1</v>
      </c>
      <c r="B2470" s="212">
        <v>11152</v>
      </c>
      <c r="C2470" s="212" t="s">
        <v>0</v>
      </c>
      <c r="D2470" s="220" t="str">
        <f>$R$7</f>
        <v>Неисправность</v>
      </c>
    </row>
    <row r="2471" spans="1:4">
      <c r="A2471" s="211" t="str">
        <f t="shared" si="10"/>
        <v>Диагностика.TREI.BR12.Err_voltage_ACP1</v>
      </c>
      <c r="B2471" s="212">
        <v>11150</v>
      </c>
      <c r="C2471" s="212" t="s">
        <v>0</v>
      </c>
      <c r="D2471" s="213" t="s">
        <v>1378</v>
      </c>
    </row>
    <row r="2472" spans="1:4">
      <c r="A2472" s="211" t="str">
        <f t="shared" si="10"/>
        <v>Диагностика.TREI.BR12.Err_voltage_ACP1</v>
      </c>
      <c r="B2472" s="212">
        <v>11000</v>
      </c>
      <c r="C2472" s="212" t="s">
        <v>5</v>
      </c>
      <c r="D2472" s="213">
        <v>2147483680</v>
      </c>
    </row>
    <row r="2473" spans="1:4">
      <c r="A2473" s="19" t="str">
        <f t="shared" si="10"/>
        <v>Диагностика.TREI.BR12.Err_voltage_ACP1</v>
      </c>
      <c r="B2473" s="11">
        <v>7999</v>
      </c>
      <c r="C2473" s="11" t="s">
        <v>0</v>
      </c>
      <c r="D2473" s="20" t="str">
        <f>"#"&amp;$S$2&amp;"#"&amp;$T$2&amp;"\"&amp;$P$2&amp;"\Err_voltage_ACP1"</f>
        <v>#2#treiOPCDA.CoOPCserv.1\pcmaster\BR12\Err_voltage_ACP1</v>
      </c>
    </row>
    <row r="2474" spans="1:4">
      <c r="A2474" s="19" t="str">
        <f t="shared" si="10"/>
        <v>Диагностика.TREI.BR12.Err_voltage_ACP1</v>
      </c>
      <c r="B2474" s="11">
        <v>7998</v>
      </c>
      <c r="C2474" s="11" t="s">
        <v>6</v>
      </c>
      <c r="D2474" s="20">
        <v>1</v>
      </c>
    </row>
    <row r="2475" spans="1:4">
      <c r="A2475" s="19" t="str">
        <f t="shared" si="10"/>
        <v>Диагностика.TREI.BR12.Err_voltage_ACP1</v>
      </c>
      <c r="B2475" s="11">
        <v>101</v>
      </c>
      <c r="C2475" s="11" t="s">
        <v>0</v>
      </c>
      <c r="D2475" s="20" t="s">
        <v>1378</v>
      </c>
    </row>
    <row r="2476" spans="1:4">
      <c r="A2476" s="19" t="str">
        <f t="shared" si="10"/>
        <v>Диагностика.TREI.BR12.Err_voltage_ACP1</v>
      </c>
      <c r="B2476" s="11">
        <v>3</v>
      </c>
      <c r="C2476" s="11" t="s">
        <v>1</v>
      </c>
      <c r="D2476" s="20">
        <v>192</v>
      </c>
    </row>
    <row r="2477" spans="1:4">
      <c r="A2477" s="19" t="str">
        <f t="shared" si="10"/>
        <v>Диагностика.TREI.BR12.Err_voltage_ACP1</v>
      </c>
      <c r="B2477" s="11">
        <v>2</v>
      </c>
      <c r="C2477" s="11" t="s">
        <v>2</v>
      </c>
      <c r="D2477" s="20" t="s">
        <v>3</v>
      </c>
    </row>
    <row r="2478" spans="1:4">
      <c r="A2478" s="21" t="str">
        <f t="shared" si="10"/>
        <v>Диагностика.TREI.BR12.Err_voltage_ACP1</v>
      </c>
      <c r="B2478" s="8">
        <v>1</v>
      </c>
      <c r="C2478" s="8" t="s">
        <v>1</v>
      </c>
      <c r="D2478" s="22">
        <v>11</v>
      </c>
    </row>
    <row r="2479" spans="1:4">
      <c r="A2479" s="211" t="str">
        <f t="shared" ref="A2479:A2488" si="11">$R$2&amp;"."&amp;$P$2&amp;".Err_voltage_ACP2"</f>
        <v>Диагностика.TREI.BR12.Err_voltage_ACP2</v>
      </c>
      <c r="B2479" s="212">
        <v>11154</v>
      </c>
      <c r="C2479" s="212" t="s">
        <v>4</v>
      </c>
      <c r="D2479" s="221">
        <f>$Q$7</f>
        <v>12</v>
      </c>
    </row>
    <row r="2480" spans="1:4">
      <c r="A2480" s="211" t="str">
        <f t="shared" si="11"/>
        <v>Диагностика.TREI.BR12.Err_voltage_ACP2</v>
      </c>
      <c r="B2480" s="212">
        <v>11152</v>
      </c>
      <c r="C2480" s="212" t="s">
        <v>0</v>
      </c>
      <c r="D2480" s="220" t="str">
        <f>$R$7</f>
        <v>Неисправность</v>
      </c>
    </row>
    <row r="2481" spans="1:4">
      <c r="A2481" s="211" t="str">
        <f t="shared" si="11"/>
        <v>Диагностика.TREI.BR12.Err_voltage_ACP2</v>
      </c>
      <c r="B2481" s="212">
        <v>11150</v>
      </c>
      <c r="C2481" s="212" t="s">
        <v>0</v>
      </c>
      <c r="D2481" s="213" t="s">
        <v>1377</v>
      </c>
    </row>
    <row r="2482" spans="1:4">
      <c r="A2482" s="211" t="str">
        <f t="shared" si="11"/>
        <v>Диагностика.TREI.BR12.Err_voltage_ACP2</v>
      </c>
      <c r="B2482" s="212">
        <v>11000</v>
      </c>
      <c r="C2482" s="212" t="s">
        <v>5</v>
      </c>
      <c r="D2482" s="213">
        <v>2147483680</v>
      </c>
    </row>
    <row r="2483" spans="1:4">
      <c r="A2483" s="19" t="str">
        <f t="shared" si="11"/>
        <v>Диагностика.TREI.BR12.Err_voltage_ACP2</v>
      </c>
      <c r="B2483" s="11">
        <v>7999</v>
      </c>
      <c r="C2483" s="11" t="s">
        <v>0</v>
      </c>
      <c r="D2483" s="20" t="str">
        <f>"#"&amp;$S$2&amp;"#"&amp;$T$2&amp;"\"&amp;$P$2&amp;"\Err_voltage_ACP2"</f>
        <v>#2#treiOPCDA.CoOPCserv.1\pcmaster\BR12\Err_voltage_ACP2</v>
      </c>
    </row>
    <row r="2484" spans="1:4">
      <c r="A2484" s="19" t="str">
        <f t="shared" si="11"/>
        <v>Диагностика.TREI.BR12.Err_voltage_ACP2</v>
      </c>
      <c r="B2484" s="11">
        <v>7998</v>
      </c>
      <c r="C2484" s="11" t="s">
        <v>6</v>
      </c>
      <c r="D2484" s="20">
        <v>1</v>
      </c>
    </row>
    <row r="2485" spans="1:4">
      <c r="A2485" s="19" t="str">
        <f t="shared" si="11"/>
        <v>Диагностика.TREI.BR12.Err_voltage_ACP2</v>
      </c>
      <c r="B2485" s="11">
        <v>101</v>
      </c>
      <c r="C2485" s="11" t="s">
        <v>0</v>
      </c>
      <c r="D2485" s="20" t="s">
        <v>1377</v>
      </c>
    </row>
    <row r="2486" spans="1:4">
      <c r="A2486" s="19" t="str">
        <f t="shared" si="11"/>
        <v>Диагностика.TREI.BR12.Err_voltage_ACP2</v>
      </c>
      <c r="B2486" s="11">
        <v>3</v>
      </c>
      <c r="C2486" s="11" t="s">
        <v>1</v>
      </c>
      <c r="D2486" s="20">
        <v>192</v>
      </c>
    </row>
    <row r="2487" spans="1:4">
      <c r="A2487" s="19" t="str">
        <f t="shared" si="11"/>
        <v>Диагностика.TREI.BR12.Err_voltage_ACP2</v>
      </c>
      <c r="B2487" s="11">
        <v>2</v>
      </c>
      <c r="C2487" s="11" t="s">
        <v>2</v>
      </c>
      <c r="D2487" s="20" t="s">
        <v>3</v>
      </c>
    </row>
    <row r="2488" spans="1:4">
      <c r="A2488" s="21" t="str">
        <f t="shared" si="11"/>
        <v>Диагностика.TREI.BR12.Err_voltage_ACP2</v>
      </c>
      <c r="B2488" s="8">
        <v>1</v>
      </c>
      <c r="C2488" s="8" t="s">
        <v>1</v>
      </c>
      <c r="D2488" s="22">
        <v>11</v>
      </c>
    </row>
    <row r="2489" spans="1:4">
      <c r="A2489" s="211" t="str">
        <f t="shared" ref="A2489:A2498" si="12">$R$2&amp;"."&amp;$P$2&amp;".No_power1"</f>
        <v>Диагностика.TREI.BR12.No_power1</v>
      </c>
      <c r="B2489" s="212">
        <v>11154</v>
      </c>
      <c r="C2489" s="212" t="s">
        <v>4</v>
      </c>
      <c r="D2489" s="221">
        <f>$Q$7</f>
        <v>12</v>
      </c>
    </row>
    <row r="2490" spans="1:4">
      <c r="A2490" s="211" t="str">
        <f t="shared" si="12"/>
        <v>Диагностика.TREI.BR12.No_power1</v>
      </c>
      <c r="B2490" s="212">
        <v>11152</v>
      </c>
      <c r="C2490" s="212" t="s">
        <v>0</v>
      </c>
      <c r="D2490" s="220" t="str">
        <f>$R$7</f>
        <v>Неисправность</v>
      </c>
    </row>
    <row r="2491" spans="1:4">
      <c r="A2491" s="211" t="str">
        <f t="shared" si="12"/>
        <v>Диагностика.TREI.BR12.No_power1</v>
      </c>
      <c r="B2491" s="212">
        <v>11150</v>
      </c>
      <c r="C2491" s="212" t="s">
        <v>0</v>
      </c>
      <c r="D2491" s="213" t="s">
        <v>1780</v>
      </c>
    </row>
    <row r="2492" spans="1:4">
      <c r="A2492" s="211" t="str">
        <f t="shared" si="12"/>
        <v>Диагностика.TREI.BR12.No_power1</v>
      </c>
      <c r="B2492" s="212">
        <v>11000</v>
      </c>
      <c r="C2492" s="212" t="s">
        <v>5</v>
      </c>
      <c r="D2492" s="213">
        <v>2147483680</v>
      </c>
    </row>
    <row r="2493" spans="1:4">
      <c r="A2493" s="19" t="str">
        <f t="shared" si="12"/>
        <v>Диагностика.TREI.BR12.No_power1</v>
      </c>
      <c r="B2493" s="11">
        <v>7999</v>
      </c>
      <c r="C2493" s="11" t="s">
        <v>0</v>
      </c>
      <c r="D2493" s="20" t="str">
        <f>"#"&amp;$S$2&amp;"#"&amp;$T$2&amp;"\"&amp;$P$2&amp;"\No_power1"</f>
        <v>#2#treiOPCDA.CoOPCserv.1\pcmaster\BR12\No_power1</v>
      </c>
    </row>
    <row r="2494" spans="1:4">
      <c r="A2494" s="19" t="str">
        <f t="shared" si="12"/>
        <v>Диагностика.TREI.BR12.No_power1</v>
      </c>
      <c r="B2494" s="11">
        <v>7998</v>
      </c>
      <c r="C2494" s="11" t="s">
        <v>6</v>
      </c>
      <c r="D2494" s="20">
        <v>1</v>
      </c>
    </row>
    <row r="2495" spans="1:4">
      <c r="A2495" s="19" t="str">
        <f t="shared" si="12"/>
        <v>Диагностика.TREI.BR12.No_power1</v>
      </c>
      <c r="B2495" s="11">
        <v>101</v>
      </c>
      <c r="C2495" s="11" t="s">
        <v>0</v>
      </c>
      <c r="D2495" s="20" t="s">
        <v>1780</v>
      </c>
    </row>
    <row r="2496" spans="1:4">
      <c r="A2496" s="19" t="str">
        <f t="shared" si="12"/>
        <v>Диагностика.TREI.BR12.No_power1</v>
      </c>
      <c r="B2496" s="11">
        <v>3</v>
      </c>
      <c r="C2496" s="11" t="s">
        <v>1</v>
      </c>
      <c r="D2496" s="20">
        <v>192</v>
      </c>
    </row>
    <row r="2497" spans="1:4">
      <c r="A2497" s="19" t="str">
        <f t="shared" si="12"/>
        <v>Диагностика.TREI.BR12.No_power1</v>
      </c>
      <c r="B2497" s="11">
        <v>2</v>
      </c>
      <c r="C2497" s="11" t="s">
        <v>2</v>
      </c>
      <c r="D2497" s="20" t="s">
        <v>3</v>
      </c>
    </row>
    <row r="2498" spans="1:4">
      <c r="A2498" s="21" t="str">
        <f t="shared" si="12"/>
        <v>Диагностика.TREI.BR12.No_power1</v>
      </c>
      <c r="B2498" s="8">
        <v>1</v>
      </c>
      <c r="C2498" s="8" t="s">
        <v>1</v>
      </c>
      <c r="D2498" s="22">
        <v>11</v>
      </c>
    </row>
    <row r="2499" spans="1:4">
      <c r="A2499" s="211" t="str">
        <f t="shared" ref="A2499:A2508" si="13">$R$2&amp;"."&amp;$P$2&amp;".No_power2"</f>
        <v>Диагностика.TREI.BR12.No_power2</v>
      </c>
      <c r="B2499" s="212">
        <v>11154</v>
      </c>
      <c r="C2499" s="212" t="s">
        <v>4</v>
      </c>
      <c r="D2499" s="221">
        <f>$Q$7</f>
        <v>12</v>
      </c>
    </row>
    <row r="2500" spans="1:4">
      <c r="A2500" s="211" t="str">
        <f t="shared" si="13"/>
        <v>Диагностика.TREI.BR12.No_power2</v>
      </c>
      <c r="B2500" s="212">
        <v>11152</v>
      </c>
      <c r="C2500" s="212" t="s">
        <v>0</v>
      </c>
      <c r="D2500" s="220" t="str">
        <f>$R$7</f>
        <v>Неисправность</v>
      </c>
    </row>
    <row r="2501" spans="1:4">
      <c r="A2501" s="211" t="str">
        <f t="shared" si="13"/>
        <v>Диагностика.TREI.BR12.No_power2</v>
      </c>
      <c r="B2501" s="212">
        <v>11150</v>
      </c>
      <c r="C2501" s="212" t="s">
        <v>0</v>
      </c>
      <c r="D2501" s="213" t="s">
        <v>1781</v>
      </c>
    </row>
    <row r="2502" spans="1:4">
      <c r="A2502" s="211" t="str">
        <f t="shared" si="13"/>
        <v>Диагностика.TREI.BR12.No_power2</v>
      </c>
      <c r="B2502" s="212">
        <v>11000</v>
      </c>
      <c r="C2502" s="212" t="s">
        <v>5</v>
      </c>
      <c r="D2502" s="213">
        <v>2147483680</v>
      </c>
    </row>
    <row r="2503" spans="1:4">
      <c r="A2503" s="19" t="str">
        <f t="shared" si="13"/>
        <v>Диагностика.TREI.BR12.No_power2</v>
      </c>
      <c r="B2503" s="11">
        <v>7999</v>
      </c>
      <c r="C2503" s="11" t="s">
        <v>0</v>
      </c>
      <c r="D2503" s="20" t="str">
        <f>"#"&amp;$S$2&amp;"#"&amp;$T$2&amp;"\"&amp;$P$2&amp;"\No_power2"</f>
        <v>#2#treiOPCDA.CoOPCserv.1\pcmaster\BR12\No_power2</v>
      </c>
    </row>
    <row r="2504" spans="1:4">
      <c r="A2504" s="19" t="str">
        <f t="shared" si="13"/>
        <v>Диагностика.TREI.BR12.No_power2</v>
      </c>
      <c r="B2504" s="11">
        <v>7998</v>
      </c>
      <c r="C2504" s="11" t="s">
        <v>6</v>
      </c>
      <c r="D2504" s="20">
        <v>1</v>
      </c>
    </row>
    <row r="2505" spans="1:4">
      <c r="A2505" s="19" t="str">
        <f t="shared" si="13"/>
        <v>Диагностика.TREI.BR12.No_power2</v>
      </c>
      <c r="B2505" s="11">
        <v>101</v>
      </c>
      <c r="C2505" s="11" t="s">
        <v>0</v>
      </c>
      <c r="D2505" s="20" t="s">
        <v>1781</v>
      </c>
    </row>
    <row r="2506" spans="1:4">
      <c r="A2506" s="19" t="str">
        <f t="shared" si="13"/>
        <v>Диагностика.TREI.BR12.No_power2</v>
      </c>
      <c r="B2506" s="11">
        <v>3</v>
      </c>
      <c r="C2506" s="11" t="s">
        <v>1</v>
      </c>
      <c r="D2506" s="20">
        <v>192</v>
      </c>
    </row>
    <row r="2507" spans="1:4">
      <c r="A2507" s="19" t="str">
        <f t="shared" si="13"/>
        <v>Диагностика.TREI.BR12.No_power2</v>
      </c>
      <c r="B2507" s="11">
        <v>2</v>
      </c>
      <c r="C2507" s="11" t="s">
        <v>2</v>
      </c>
      <c r="D2507" s="20" t="s">
        <v>3</v>
      </c>
    </row>
    <row r="2508" spans="1:4">
      <c r="A2508" s="21" t="str">
        <f t="shared" si="13"/>
        <v>Диагностика.TREI.BR12.No_power2</v>
      </c>
      <c r="B2508" s="8">
        <v>1</v>
      </c>
      <c r="C2508" s="8" t="s">
        <v>1</v>
      </c>
      <c r="D2508" s="22">
        <v>11</v>
      </c>
    </row>
    <row r="2509" spans="1:4">
      <c r="A2509" s="266" t="str">
        <f t="shared" ref="A2509:A2514" si="14">$R$2&amp;"."&amp;$P$2&amp;".Err_Canal_01"</f>
        <v>Диагностика.TREI.BR12.Err_Canal_01</v>
      </c>
      <c r="B2509" s="267">
        <v>7999</v>
      </c>
      <c r="C2509" s="267" t="s">
        <v>0</v>
      </c>
      <c r="D2509" s="268" t="str">
        <f>"#"&amp;$S$2&amp;"#"&amp;$T$2&amp;"\"&amp;$P$2&amp;"\Err_Canal_01"</f>
        <v>#2#treiOPCDA.CoOPCserv.1\pcmaster\BR12\Err_Canal_01</v>
      </c>
    </row>
    <row r="2510" spans="1:4">
      <c r="A2510" s="269" t="str">
        <f t="shared" si="14"/>
        <v>Диагностика.TREI.BR12.Err_Canal_01</v>
      </c>
      <c r="B2510" s="270">
        <v>7998</v>
      </c>
      <c r="C2510" s="270" t="s">
        <v>6</v>
      </c>
      <c r="D2510" s="271">
        <v>1</v>
      </c>
    </row>
    <row r="2511" spans="1:4">
      <c r="A2511" s="269" t="str">
        <f t="shared" si="14"/>
        <v>Диагностика.TREI.BR12.Err_Canal_01</v>
      </c>
      <c r="B2511" s="270">
        <v>101</v>
      </c>
      <c r="C2511" s="270" t="s">
        <v>0</v>
      </c>
      <c r="D2511" s="271" t="s">
        <v>1442</v>
      </c>
    </row>
    <row r="2512" spans="1:4">
      <c r="A2512" s="269" t="str">
        <f t="shared" si="14"/>
        <v>Диагностика.TREI.BR12.Err_Canal_01</v>
      </c>
      <c r="B2512" s="270">
        <v>3</v>
      </c>
      <c r="C2512" s="270" t="s">
        <v>1</v>
      </c>
      <c r="D2512" s="271">
        <v>192</v>
      </c>
    </row>
    <row r="2513" spans="1:4">
      <c r="A2513" s="269" t="str">
        <f t="shared" si="14"/>
        <v>Диагностика.TREI.BR12.Err_Canal_01</v>
      </c>
      <c r="B2513" s="270">
        <v>2</v>
      </c>
      <c r="C2513" s="270" t="s">
        <v>6</v>
      </c>
      <c r="D2513" s="271">
        <v>0</v>
      </c>
    </row>
    <row r="2514" spans="1:4">
      <c r="A2514" s="272" t="str">
        <f t="shared" si="14"/>
        <v>Диагностика.TREI.BR12.Err_Canal_01</v>
      </c>
      <c r="B2514" s="273">
        <v>1</v>
      </c>
      <c r="C2514" s="273" t="s">
        <v>1</v>
      </c>
      <c r="D2514" s="274">
        <v>3</v>
      </c>
    </row>
    <row r="2515" spans="1:4">
      <c r="A2515" s="266" t="str">
        <f t="shared" ref="A2515:A2520" si="15">$R$2&amp;"."&amp;$P$2&amp;".Err_Canal_02"</f>
        <v>Диагностика.TREI.BR12.Err_Canal_02</v>
      </c>
      <c r="B2515" s="267">
        <v>7999</v>
      </c>
      <c r="C2515" s="267" t="s">
        <v>0</v>
      </c>
      <c r="D2515" s="268" t="str">
        <f>"#"&amp;$S$2&amp;"#"&amp;$T$2&amp;"\"&amp;$P$2&amp;"\Err_Canal_02"</f>
        <v>#2#treiOPCDA.CoOPCserv.1\pcmaster\BR12\Err_Canal_02</v>
      </c>
    </row>
    <row r="2516" spans="1:4">
      <c r="A2516" s="269" t="str">
        <f t="shared" si="15"/>
        <v>Диагностика.TREI.BR12.Err_Canal_02</v>
      </c>
      <c r="B2516" s="270">
        <v>7998</v>
      </c>
      <c r="C2516" s="270" t="s">
        <v>6</v>
      </c>
      <c r="D2516" s="271">
        <v>1</v>
      </c>
    </row>
    <row r="2517" spans="1:4">
      <c r="A2517" s="269" t="str">
        <f t="shared" si="15"/>
        <v>Диагностика.TREI.BR12.Err_Canal_02</v>
      </c>
      <c r="B2517" s="270">
        <v>101</v>
      </c>
      <c r="C2517" s="270" t="s">
        <v>0</v>
      </c>
      <c r="D2517" s="271" t="s">
        <v>1443</v>
      </c>
    </row>
    <row r="2518" spans="1:4">
      <c r="A2518" s="269" t="str">
        <f t="shared" si="15"/>
        <v>Диагностика.TREI.BR12.Err_Canal_02</v>
      </c>
      <c r="B2518" s="270">
        <v>3</v>
      </c>
      <c r="C2518" s="270" t="s">
        <v>1</v>
      </c>
      <c r="D2518" s="271">
        <v>192</v>
      </c>
    </row>
    <row r="2519" spans="1:4">
      <c r="A2519" s="269" t="str">
        <f t="shared" si="15"/>
        <v>Диагностика.TREI.BR12.Err_Canal_02</v>
      </c>
      <c r="B2519" s="270">
        <v>2</v>
      </c>
      <c r="C2519" s="270" t="s">
        <v>6</v>
      </c>
      <c r="D2519" s="271">
        <v>0</v>
      </c>
    </row>
    <row r="2520" spans="1:4">
      <c r="A2520" s="272" t="str">
        <f t="shared" si="15"/>
        <v>Диагностика.TREI.BR12.Err_Canal_02</v>
      </c>
      <c r="B2520" s="273">
        <v>1</v>
      </c>
      <c r="C2520" s="273" t="s">
        <v>1</v>
      </c>
      <c r="D2520" s="274">
        <v>3</v>
      </c>
    </row>
    <row r="2521" spans="1:4">
      <c r="A2521" s="266" t="str">
        <f t="shared" ref="A2521:A2526" si="16">$R$2&amp;"."&amp;$P$2&amp;".Err_Canal_03"</f>
        <v>Диагностика.TREI.BR12.Err_Canal_03</v>
      </c>
      <c r="B2521" s="267">
        <v>7999</v>
      </c>
      <c r="C2521" s="267" t="s">
        <v>0</v>
      </c>
      <c r="D2521" s="268" t="str">
        <f>"#"&amp;$S$2&amp;"#"&amp;$T$2&amp;"\"&amp;$P$2&amp;"\Err_Canal_03"</f>
        <v>#2#treiOPCDA.CoOPCserv.1\pcmaster\BR12\Err_Canal_03</v>
      </c>
    </row>
    <row r="2522" spans="1:4">
      <c r="A2522" s="269" t="str">
        <f t="shared" si="16"/>
        <v>Диагностика.TREI.BR12.Err_Canal_03</v>
      </c>
      <c r="B2522" s="270">
        <v>7998</v>
      </c>
      <c r="C2522" s="270" t="s">
        <v>6</v>
      </c>
      <c r="D2522" s="271">
        <v>1</v>
      </c>
    </row>
    <row r="2523" spans="1:4">
      <c r="A2523" s="269" t="str">
        <f t="shared" si="16"/>
        <v>Диагностика.TREI.BR12.Err_Canal_03</v>
      </c>
      <c r="B2523" s="270">
        <v>101</v>
      </c>
      <c r="C2523" s="270" t="s">
        <v>0</v>
      </c>
      <c r="D2523" s="271" t="s">
        <v>1444</v>
      </c>
    </row>
    <row r="2524" spans="1:4">
      <c r="A2524" s="269" t="str">
        <f t="shared" si="16"/>
        <v>Диагностика.TREI.BR12.Err_Canal_03</v>
      </c>
      <c r="B2524" s="270">
        <v>3</v>
      </c>
      <c r="C2524" s="270" t="s">
        <v>1</v>
      </c>
      <c r="D2524" s="271">
        <v>192</v>
      </c>
    </row>
    <row r="2525" spans="1:4">
      <c r="A2525" s="269" t="str">
        <f t="shared" si="16"/>
        <v>Диагностика.TREI.BR12.Err_Canal_03</v>
      </c>
      <c r="B2525" s="270">
        <v>2</v>
      </c>
      <c r="C2525" s="270" t="s">
        <v>6</v>
      </c>
      <c r="D2525" s="271">
        <v>0</v>
      </c>
    </row>
    <row r="2526" spans="1:4">
      <c r="A2526" s="272" t="str">
        <f t="shared" si="16"/>
        <v>Диагностика.TREI.BR12.Err_Canal_03</v>
      </c>
      <c r="B2526" s="273">
        <v>1</v>
      </c>
      <c r="C2526" s="273" t="s">
        <v>1</v>
      </c>
      <c r="D2526" s="274">
        <v>3</v>
      </c>
    </row>
    <row r="2527" spans="1:4">
      <c r="A2527" s="266" t="str">
        <f t="shared" ref="A2527:A2532" si="17">$R$2&amp;"."&amp;$P$2&amp;".Err_Canal_04"</f>
        <v>Диагностика.TREI.BR12.Err_Canal_04</v>
      </c>
      <c r="B2527" s="267">
        <v>7999</v>
      </c>
      <c r="C2527" s="267" t="s">
        <v>0</v>
      </c>
      <c r="D2527" s="268" t="str">
        <f>"#"&amp;$S$2&amp;"#"&amp;$T$2&amp;"\"&amp;$P$2&amp;"\Err_Canal_04"</f>
        <v>#2#treiOPCDA.CoOPCserv.1\pcmaster\BR12\Err_Canal_04</v>
      </c>
    </row>
    <row r="2528" spans="1:4">
      <c r="A2528" s="269" t="str">
        <f t="shared" si="17"/>
        <v>Диагностика.TREI.BR12.Err_Canal_04</v>
      </c>
      <c r="B2528" s="270">
        <v>7998</v>
      </c>
      <c r="C2528" s="270" t="s">
        <v>6</v>
      </c>
      <c r="D2528" s="271">
        <v>1</v>
      </c>
    </row>
    <row r="2529" spans="1:4">
      <c r="A2529" s="269" t="str">
        <f t="shared" si="17"/>
        <v>Диагностика.TREI.BR12.Err_Canal_04</v>
      </c>
      <c r="B2529" s="270">
        <v>101</v>
      </c>
      <c r="C2529" s="270" t="s">
        <v>0</v>
      </c>
      <c r="D2529" s="271" t="s">
        <v>1445</v>
      </c>
    </row>
    <row r="2530" spans="1:4">
      <c r="A2530" s="269" t="str">
        <f t="shared" si="17"/>
        <v>Диагностика.TREI.BR12.Err_Canal_04</v>
      </c>
      <c r="B2530" s="270">
        <v>3</v>
      </c>
      <c r="C2530" s="270" t="s">
        <v>1</v>
      </c>
      <c r="D2530" s="271">
        <v>192</v>
      </c>
    </row>
    <row r="2531" spans="1:4">
      <c r="A2531" s="269" t="str">
        <f t="shared" si="17"/>
        <v>Диагностика.TREI.BR12.Err_Canal_04</v>
      </c>
      <c r="B2531" s="270">
        <v>2</v>
      </c>
      <c r="C2531" s="270" t="s">
        <v>6</v>
      </c>
      <c r="D2531" s="271">
        <v>0</v>
      </c>
    </row>
    <row r="2532" spans="1:4">
      <c r="A2532" s="272" t="str">
        <f t="shared" si="17"/>
        <v>Диагностика.TREI.BR12.Err_Canal_04</v>
      </c>
      <c r="B2532" s="273">
        <v>1</v>
      </c>
      <c r="C2532" s="273" t="s">
        <v>1</v>
      </c>
      <c r="D2532" s="274">
        <v>3</v>
      </c>
    </row>
    <row r="2533" spans="1:4">
      <c r="A2533" s="266" t="str">
        <f t="shared" ref="A2533:A2538" si="18">$R$2&amp;"."&amp;$P$2&amp;".Err_Canal_05"</f>
        <v>Диагностика.TREI.BR12.Err_Canal_05</v>
      </c>
      <c r="B2533" s="267">
        <v>7999</v>
      </c>
      <c r="C2533" s="267" t="s">
        <v>0</v>
      </c>
      <c r="D2533" s="268" t="str">
        <f>"#"&amp;$S$2&amp;"#"&amp;$T$2&amp;"\"&amp;$P$2&amp;"\Err_Canal_05"</f>
        <v>#2#treiOPCDA.CoOPCserv.1\pcmaster\BR12\Err_Canal_05</v>
      </c>
    </row>
    <row r="2534" spans="1:4">
      <c r="A2534" s="269" t="str">
        <f t="shared" si="18"/>
        <v>Диагностика.TREI.BR12.Err_Canal_05</v>
      </c>
      <c r="B2534" s="270">
        <v>7998</v>
      </c>
      <c r="C2534" s="270" t="s">
        <v>6</v>
      </c>
      <c r="D2534" s="271">
        <v>1</v>
      </c>
    </row>
    <row r="2535" spans="1:4">
      <c r="A2535" s="269" t="str">
        <f t="shared" si="18"/>
        <v>Диагностика.TREI.BR12.Err_Canal_05</v>
      </c>
      <c r="B2535" s="270">
        <v>101</v>
      </c>
      <c r="C2535" s="270" t="s">
        <v>0</v>
      </c>
      <c r="D2535" s="271" t="s">
        <v>1446</v>
      </c>
    </row>
    <row r="2536" spans="1:4">
      <c r="A2536" s="269" t="str">
        <f t="shared" si="18"/>
        <v>Диагностика.TREI.BR12.Err_Canal_05</v>
      </c>
      <c r="B2536" s="270">
        <v>3</v>
      </c>
      <c r="C2536" s="270" t="s">
        <v>1</v>
      </c>
      <c r="D2536" s="271">
        <v>192</v>
      </c>
    </row>
    <row r="2537" spans="1:4">
      <c r="A2537" s="269" t="str">
        <f t="shared" si="18"/>
        <v>Диагностика.TREI.BR12.Err_Canal_05</v>
      </c>
      <c r="B2537" s="270">
        <v>2</v>
      </c>
      <c r="C2537" s="270" t="s">
        <v>6</v>
      </c>
      <c r="D2537" s="271">
        <v>0</v>
      </c>
    </row>
    <row r="2538" spans="1:4">
      <c r="A2538" s="272" t="str">
        <f t="shared" si="18"/>
        <v>Диагностика.TREI.BR12.Err_Canal_05</v>
      </c>
      <c r="B2538" s="273">
        <v>1</v>
      </c>
      <c r="C2538" s="273" t="s">
        <v>1</v>
      </c>
      <c r="D2538" s="274">
        <v>3</v>
      </c>
    </row>
    <row r="2539" spans="1:4">
      <c r="A2539" s="266" t="str">
        <f t="shared" ref="A2539:A2544" si="19">$R$2&amp;"."&amp;$P$2&amp;".Err_Canal_06"</f>
        <v>Диагностика.TREI.BR12.Err_Canal_06</v>
      </c>
      <c r="B2539" s="267">
        <v>7999</v>
      </c>
      <c r="C2539" s="267" t="s">
        <v>0</v>
      </c>
      <c r="D2539" s="268" t="str">
        <f>"#"&amp;$S$2&amp;"#"&amp;$T$2&amp;"\"&amp;$P$2&amp;"\Err_Canal_06"</f>
        <v>#2#treiOPCDA.CoOPCserv.1\pcmaster\BR12\Err_Canal_06</v>
      </c>
    </row>
    <row r="2540" spans="1:4">
      <c r="A2540" s="269" t="str">
        <f t="shared" si="19"/>
        <v>Диагностика.TREI.BR12.Err_Canal_06</v>
      </c>
      <c r="B2540" s="270">
        <v>7998</v>
      </c>
      <c r="C2540" s="270" t="s">
        <v>6</v>
      </c>
      <c r="D2540" s="271">
        <v>1</v>
      </c>
    </row>
    <row r="2541" spans="1:4">
      <c r="A2541" s="269" t="str">
        <f t="shared" si="19"/>
        <v>Диагностика.TREI.BR12.Err_Canal_06</v>
      </c>
      <c r="B2541" s="270">
        <v>101</v>
      </c>
      <c r="C2541" s="270" t="s">
        <v>0</v>
      </c>
      <c r="D2541" s="271" t="s">
        <v>1447</v>
      </c>
    </row>
    <row r="2542" spans="1:4">
      <c r="A2542" s="269" t="str">
        <f t="shared" si="19"/>
        <v>Диагностика.TREI.BR12.Err_Canal_06</v>
      </c>
      <c r="B2542" s="270">
        <v>3</v>
      </c>
      <c r="C2542" s="270" t="s">
        <v>1</v>
      </c>
      <c r="D2542" s="271">
        <v>192</v>
      </c>
    </row>
    <row r="2543" spans="1:4">
      <c r="A2543" s="269" t="str">
        <f t="shared" si="19"/>
        <v>Диагностика.TREI.BR12.Err_Canal_06</v>
      </c>
      <c r="B2543" s="270">
        <v>2</v>
      </c>
      <c r="C2543" s="270" t="s">
        <v>6</v>
      </c>
      <c r="D2543" s="271">
        <v>0</v>
      </c>
    </row>
    <row r="2544" spans="1:4">
      <c r="A2544" s="272" t="str">
        <f t="shared" si="19"/>
        <v>Диагностика.TREI.BR12.Err_Canal_06</v>
      </c>
      <c r="B2544" s="273">
        <v>1</v>
      </c>
      <c r="C2544" s="273" t="s">
        <v>1</v>
      </c>
      <c r="D2544" s="274">
        <v>3</v>
      </c>
    </row>
    <row r="2545" spans="1:4">
      <c r="A2545" s="266" t="str">
        <f t="shared" ref="A2545:A2550" si="20">$R$2&amp;"."&amp;$P$2&amp;".Err_Canal_07"</f>
        <v>Диагностика.TREI.BR12.Err_Canal_07</v>
      </c>
      <c r="B2545" s="267">
        <v>7999</v>
      </c>
      <c r="C2545" s="267" t="s">
        <v>0</v>
      </c>
      <c r="D2545" s="268" t="str">
        <f>"#"&amp;$S$2&amp;"#"&amp;$T$2&amp;"\"&amp;$P$2&amp;"\Err_Canal_07"</f>
        <v>#2#treiOPCDA.CoOPCserv.1\pcmaster\BR12\Err_Canal_07</v>
      </c>
    </row>
    <row r="2546" spans="1:4">
      <c r="A2546" s="269" t="str">
        <f t="shared" si="20"/>
        <v>Диагностика.TREI.BR12.Err_Canal_07</v>
      </c>
      <c r="B2546" s="270">
        <v>7998</v>
      </c>
      <c r="C2546" s="270" t="s">
        <v>6</v>
      </c>
      <c r="D2546" s="271">
        <v>1</v>
      </c>
    </row>
    <row r="2547" spans="1:4">
      <c r="A2547" s="269" t="str">
        <f t="shared" si="20"/>
        <v>Диагностика.TREI.BR12.Err_Canal_07</v>
      </c>
      <c r="B2547" s="270">
        <v>101</v>
      </c>
      <c r="C2547" s="270" t="s">
        <v>0</v>
      </c>
      <c r="D2547" s="271" t="s">
        <v>1448</v>
      </c>
    </row>
    <row r="2548" spans="1:4">
      <c r="A2548" s="269" t="str">
        <f t="shared" si="20"/>
        <v>Диагностика.TREI.BR12.Err_Canal_07</v>
      </c>
      <c r="B2548" s="270">
        <v>3</v>
      </c>
      <c r="C2548" s="270" t="s">
        <v>1</v>
      </c>
      <c r="D2548" s="271">
        <v>192</v>
      </c>
    </row>
    <row r="2549" spans="1:4">
      <c r="A2549" s="269" t="str">
        <f t="shared" si="20"/>
        <v>Диагностика.TREI.BR12.Err_Canal_07</v>
      </c>
      <c r="B2549" s="270">
        <v>2</v>
      </c>
      <c r="C2549" s="270" t="s">
        <v>6</v>
      </c>
      <c r="D2549" s="271">
        <v>0</v>
      </c>
    </row>
    <row r="2550" spans="1:4">
      <c r="A2550" s="272" t="str">
        <f t="shared" si="20"/>
        <v>Диагностика.TREI.BR12.Err_Canal_07</v>
      </c>
      <c r="B2550" s="273">
        <v>1</v>
      </c>
      <c r="C2550" s="273" t="s">
        <v>1</v>
      </c>
      <c r="D2550" s="274">
        <v>3</v>
      </c>
    </row>
    <row r="2551" spans="1:4">
      <c r="A2551" s="266" t="str">
        <f t="shared" ref="A2551:A2556" si="21">$R$2&amp;"."&amp;$P$2&amp;".Err_Canal_08"</f>
        <v>Диагностика.TREI.BR12.Err_Canal_08</v>
      </c>
      <c r="B2551" s="267">
        <v>7999</v>
      </c>
      <c r="C2551" s="267" t="s">
        <v>0</v>
      </c>
      <c r="D2551" s="268" t="str">
        <f>"#"&amp;$S$2&amp;"#"&amp;$T$2&amp;"\"&amp;$P$2&amp;"\Err_Canal_08"</f>
        <v>#2#treiOPCDA.CoOPCserv.1\pcmaster\BR12\Err_Canal_08</v>
      </c>
    </row>
    <row r="2552" spans="1:4">
      <c r="A2552" s="269" t="str">
        <f t="shared" si="21"/>
        <v>Диагностика.TREI.BR12.Err_Canal_08</v>
      </c>
      <c r="B2552" s="270">
        <v>7998</v>
      </c>
      <c r="C2552" s="270" t="s">
        <v>6</v>
      </c>
      <c r="D2552" s="271">
        <v>1</v>
      </c>
    </row>
    <row r="2553" spans="1:4">
      <c r="A2553" s="269" t="str">
        <f t="shared" si="21"/>
        <v>Диагностика.TREI.BR12.Err_Canal_08</v>
      </c>
      <c r="B2553" s="270">
        <v>101</v>
      </c>
      <c r="C2553" s="270" t="s">
        <v>0</v>
      </c>
      <c r="D2553" s="271" t="s">
        <v>1449</v>
      </c>
    </row>
    <row r="2554" spans="1:4">
      <c r="A2554" s="269" t="str">
        <f t="shared" si="21"/>
        <v>Диагностика.TREI.BR12.Err_Canal_08</v>
      </c>
      <c r="B2554" s="270">
        <v>3</v>
      </c>
      <c r="C2554" s="270" t="s">
        <v>1</v>
      </c>
      <c r="D2554" s="271">
        <v>192</v>
      </c>
    </row>
    <row r="2555" spans="1:4">
      <c r="A2555" s="269" t="str">
        <f t="shared" si="21"/>
        <v>Диагностика.TREI.BR12.Err_Canal_08</v>
      </c>
      <c r="B2555" s="270">
        <v>2</v>
      </c>
      <c r="C2555" s="270" t="s">
        <v>6</v>
      </c>
      <c r="D2555" s="271">
        <v>0</v>
      </c>
    </row>
    <row r="2556" spans="1:4">
      <c r="A2556" s="272" t="str">
        <f t="shared" si="21"/>
        <v>Диагностика.TREI.BR12.Err_Canal_08</v>
      </c>
      <c r="B2556" s="273">
        <v>1</v>
      </c>
      <c r="C2556" s="273" t="s">
        <v>1</v>
      </c>
      <c r="D2556" s="274">
        <v>3</v>
      </c>
    </row>
    <row r="2557" spans="1:4">
      <c r="A2557" s="266" t="str">
        <f t="shared" ref="A2557:A2562" si="22">$R$2&amp;"."&amp;$P$2&amp;".Err_Canal_09"</f>
        <v>Диагностика.TREI.BR12.Err_Canal_09</v>
      </c>
      <c r="B2557" s="267">
        <v>7999</v>
      </c>
      <c r="C2557" s="267" t="s">
        <v>0</v>
      </c>
      <c r="D2557" s="268" t="str">
        <f>"#"&amp;$S$2&amp;"#"&amp;$T$2&amp;"\"&amp;$P$2&amp;"\Err_Canal_09"</f>
        <v>#2#treiOPCDA.CoOPCserv.1\pcmaster\BR12\Err_Canal_09</v>
      </c>
    </row>
    <row r="2558" spans="1:4">
      <c r="A2558" s="269" t="str">
        <f t="shared" si="22"/>
        <v>Диагностика.TREI.BR12.Err_Canal_09</v>
      </c>
      <c r="B2558" s="270">
        <v>7998</v>
      </c>
      <c r="C2558" s="270" t="s">
        <v>6</v>
      </c>
      <c r="D2558" s="271">
        <v>1</v>
      </c>
    </row>
    <row r="2559" spans="1:4">
      <c r="A2559" s="269" t="str">
        <f t="shared" si="22"/>
        <v>Диагностика.TREI.BR12.Err_Canal_09</v>
      </c>
      <c r="B2559" s="270">
        <v>101</v>
      </c>
      <c r="C2559" s="270" t="s">
        <v>0</v>
      </c>
      <c r="D2559" s="271" t="s">
        <v>1450</v>
      </c>
    </row>
    <row r="2560" spans="1:4">
      <c r="A2560" s="269" t="str">
        <f t="shared" si="22"/>
        <v>Диагностика.TREI.BR12.Err_Canal_09</v>
      </c>
      <c r="B2560" s="270">
        <v>3</v>
      </c>
      <c r="C2560" s="270" t="s">
        <v>1</v>
      </c>
      <c r="D2560" s="271">
        <v>192</v>
      </c>
    </row>
    <row r="2561" spans="1:4">
      <c r="A2561" s="269" t="str">
        <f t="shared" si="22"/>
        <v>Диагностика.TREI.BR12.Err_Canal_09</v>
      </c>
      <c r="B2561" s="270">
        <v>2</v>
      </c>
      <c r="C2561" s="270" t="s">
        <v>6</v>
      </c>
      <c r="D2561" s="271">
        <v>0</v>
      </c>
    </row>
    <row r="2562" spans="1:4">
      <c r="A2562" s="272" t="str">
        <f t="shared" si="22"/>
        <v>Диагностика.TREI.BR12.Err_Canal_09</v>
      </c>
      <c r="B2562" s="273">
        <v>1</v>
      </c>
      <c r="C2562" s="273" t="s">
        <v>1</v>
      </c>
      <c r="D2562" s="274">
        <v>3</v>
      </c>
    </row>
    <row r="2563" spans="1:4">
      <c r="A2563" s="266" t="str">
        <f t="shared" ref="A2563:A2568" si="23">$R$2&amp;"."&amp;$P$2&amp;".Err_Canal_10"</f>
        <v>Диагностика.TREI.BR12.Err_Canal_10</v>
      </c>
      <c r="B2563" s="267">
        <v>7999</v>
      </c>
      <c r="C2563" s="267" t="s">
        <v>0</v>
      </c>
      <c r="D2563" s="268" t="str">
        <f>"#"&amp;$S$2&amp;"#"&amp;$T$2&amp;"\"&amp;$P$2&amp;"\Err_Canal_10"</f>
        <v>#2#treiOPCDA.CoOPCserv.1\pcmaster\BR12\Err_Canal_10</v>
      </c>
    </row>
    <row r="2564" spans="1:4">
      <c r="A2564" s="269" t="str">
        <f t="shared" si="23"/>
        <v>Диагностика.TREI.BR12.Err_Canal_10</v>
      </c>
      <c r="B2564" s="270">
        <v>7998</v>
      </c>
      <c r="C2564" s="270" t="s">
        <v>6</v>
      </c>
      <c r="D2564" s="271">
        <v>1</v>
      </c>
    </row>
    <row r="2565" spans="1:4">
      <c r="A2565" s="269" t="str">
        <f t="shared" si="23"/>
        <v>Диагностика.TREI.BR12.Err_Canal_10</v>
      </c>
      <c r="B2565" s="270">
        <v>101</v>
      </c>
      <c r="C2565" s="270" t="s">
        <v>0</v>
      </c>
      <c r="D2565" s="271" t="s">
        <v>1451</v>
      </c>
    </row>
    <row r="2566" spans="1:4">
      <c r="A2566" s="269" t="str">
        <f t="shared" si="23"/>
        <v>Диагностика.TREI.BR12.Err_Canal_10</v>
      </c>
      <c r="B2566" s="270">
        <v>3</v>
      </c>
      <c r="C2566" s="270" t="s">
        <v>1</v>
      </c>
      <c r="D2566" s="271">
        <v>192</v>
      </c>
    </row>
    <row r="2567" spans="1:4">
      <c r="A2567" s="269" t="str">
        <f t="shared" si="23"/>
        <v>Диагностика.TREI.BR12.Err_Canal_10</v>
      </c>
      <c r="B2567" s="270">
        <v>2</v>
      </c>
      <c r="C2567" s="270" t="s">
        <v>6</v>
      </c>
      <c r="D2567" s="271">
        <v>0</v>
      </c>
    </row>
    <row r="2568" spans="1:4">
      <c r="A2568" s="272" t="str">
        <f t="shared" si="23"/>
        <v>Диагностика.TREI.BR12.Err_Canal_10</v>
      </c>
      <c r="B2568" s="273">
        <v>1</v>
      </c>
      <c r="C2568" s="273" t="s">
        <v>1</v>
      </c>
      <c r="D2568" s="274">
        <v>3</v>
      </c>
    </row>
    <row r="2569" spans="1:4">
      <c r="A2569" s="266" t="str">
        <f t="shared" ref="A2569:A2574" si="24">$R$2&amp;"."&amp;$P$2&amp;".Err_Canal_11"</f>
        <v>Диагностика.TREI.BR12.Err_Canal_11</v>
      </c>
      <c r="B2569" s="267">
        <v>7999</v>
      </c>
      <c r="C2569" s="267" t="s">
        <v>0</v>
      </c>
      <c r="D2569" s="268" t="str">
        <f>"#"&amp;$S$2&amp;"#"&amp;$T$2&amp;"\"&amp;$P$2&amp;"\Err_Canal_11"</f>
        <v>#2#treiOPCDA.CoOPCserv.1\pcmaster\BR12\Err_Canal_11</v>
      </c>
    </row>
    <row r="2570" spans="1:4">
      <c r="A2570" s="269" t="str">
        <f t="shared" si="24"/>
        <v>Диагностика.TREI.BR12.Err_Canal_11</v>
      </c>
      <c r="B2570" s="270">
        <v>7998</v>
      </c>
      <c r="C2570" s="270" t="s">
        <v>6</v>
      </c>
      <c r="D2570" s="271">
        <v>1</v>
      </c>
    </row>
    <row r="2571" spans="1:4">
      <c r="A2571" s="269" t="str">
        <f t="shared" si="24"/>
        <v>Диагностика.TREI.BR12.Err_Canal_11</v>
      </c>
      <c r="B2571" s="270">
        <v>101</v>
      </c>
      <c r="C2571" s="270" t="s">
        <v>0</v>
      </c>
      <c r="D2571" s="271" t="s">
        <v>1452</v>
      </c>
    </row>
    <row r="2572" spans="1:4">
      <c r="A2572" s="269" t="str">
        <f t="shared" si="24"/>
        <v>Диагностика.TREI.BR12.Err_Canal_11</v>
      </c>
      <c r="B2572" s="270">
        <v>3</v>
      </c>
      <c r="C2572" s="270" t="s">
        <v>1</v>
      </c>
      <c r="D2572" s="271">
        <v>192</v>
      </c>
    </row>
    <row r="2573" spans="1:4">
      <c r="A2573" s="269" t="str">
        <f t="shared" si="24"/>
        <v>Диагностика.TREI.BR12.Err_Canal_11</v>
      </c>
      <c r="B2573" s="270">
        <v>2</v>
      </c>
      <c r="C2573" s="270" t="s">
        <v>6</v>
      </c>
      <c r="D2573" s="271">
        <v>0</v>
      </c>
    </row>
    <row r="2574" spans="1:4">
      <c r="A2574" s="272" t="str">
        <f t="shared" si="24"/>
        <v>Диагностика.TREI.BR12.Err_Canal_11</v>
      </c>
      <c r="B2574" s="273">
        <v>1</v>
      </c>
      <c r="C2574" s="273" t="s">
        <v>1</v>
      </c>
      <c r="D2574" s="274">
        <v>3</v>
      </c>
    </row>
    <row r="2575" spans="1:4">
      <c r="A2575" s="266" t="str">
        <f t="shared" ref="A2575:A2580" si="25">$R$2&amp;"."&amp;$P$2&amp;".Err_Canal_12"</f>
        <v>Диагностика.TREI.BR12.Err_Canal_12</v>
      </c>
      <c r="B2575" s="267">
        <v>7999</v>
      </c>
      <c r="C2575" s="267" t="s">
        <v>0</v>
      </c>
      <c r="D2575" s="268" t="str">
        <f>"#"&amp;$S$2&amp;"#"&amp;$T$2&amp;"\"&amp;$P$2&amp;"\Err_Canal_12"</f>
        <v>#2#treiOPCDA.CoOPCserv.1\pcmaster\BR12\Err_Canal_12</v>
      </c>
    </row>
    <row r="2576" spans="1:4">
      <c r="A2576" s="269" t="str">
        <f t="shared" si="25"/>
        <v>Диагностика.TREI.BR12.Err_Canal_12</v>
      </c>
      <c r="B2576" s="270">
        <v>7998</v>
      </c>
      <c r="C2576" s="270" t="s">
        <v>6</v>
      </c>
      <c r="D2576" s="271">
        <v>1</v>
      </c>
    </row>
    <row r="2577" spans="1:4">
      <c r="A2577" s="269" t="str">
        <f t="shared" si="25"/>
        <v>Диагностика.TREI.BR12.Err_Canal_12</v>
      </c>
      <c r="B2577" s="270">
        <v>101</v>
      </c>
      <c r="C2577" s="270" t="s">
        <v>0</v>
      </c>
      <c r="D2577" s="271" t="s">
        <v>1453</v>
      </c>
    </row>
    <row r="2578" spans="1:4">
      <c r="A2578" s="269" t="str">
        <f t="shared" si="25"/>
        <v>Диагностика.TREI.BR12.Err_Canal_12</v>
      </c>
      <c r="B2578" s="270">
        <v>3</v>
      </c>
      <c r="C2578" s="270" t="s">
        <v>1</v>
      </c>
      <c r="D2578" s="271">
        <v>192</v>
      </c>
    </row>
    <row r="2579" spans="1:4">
      <c r="A2579" s="269" t="str">
        <f t="shared" si="25"/>
        <v>Диагностика.TREI.BR12.Err_Canal_12</v>
      </c>
      <c r="B2579" s="270">
        <v>2</v>
      </c>
      <c r="C2579" s="270" t="s">
        <v>6</v>
      </c>
      <c r="D2579" s="271">
        <v>0</v>
      </c>
    </row>
    <row r="2580" spans="1:4">
      <c r="A2580" s="272" t="str">
        <f t="shared" si="25"/>
        <v>Диагностика.TREI.BR12.Err_Canal_12</v>
      </c>
      <c r="B2580" s="273">
        <v>1</v>
      </c>
      <c r="C2580" s="273" t="s">
        <v>1</v>
      </c>
      <c r="D2580" s="274">
        <v>3</v>
      </c>
    </row>
    <row r="2581" spans="1:4">
      <c r="A2581" s="266" t="str">
        <f t="shared" ref="A2581:A2586" si="26">$R$2&amp;"."&amp;$P$2&amp;".Err_Canal_13"</f>
        <v>Диагностика.TREI.BR12.Err_Canal_13</v>
      </c>
      <c r="B2581" s="267">
        <v>7999</v>
      </c>
      <c r="C2581" s="267" t="s">
        <v>0</v>
      </c>
      <c r="D2581" s="268" t="str">
        <f>"#"&amp;$S$2&amp;"#"&amp;$T$2&amp;"\"&amp;$P$2&amp;"\Err_Canal_13"</f>
        <v>#2#treiOPCDA.CoOPCserv.1\pcmaster\BR12\Err_Canal_13</v>
      </c>
    </row>
    <row r="2582" spans="1:4">
      <c r="A2582" s="269" t="str">
        <f t="shared" si="26"/>
        <v>Диагностика.TREI.BR12.Err_Canal_13</v>
      </c>
      <c r="B2582" s="270">
        <v>7998</v>
      </c>
      <c r="C2582" s="270" t="s">
        <v>6</v>
      </c>
      <c r="D2582" s="271">
        <v>1</v>
      </c>
    </row>
    <row r="2583" spans="1:4">
      <c r="A2583" s="269" t="str">
        <f t="shared" si="26"/>
        <v>Диагностика.TREI.BR12.Err_Canal_13</v>
      </c>
      <c r="B2583" s="270">
        <v>101</v>
      </c>
      <c r="C2583" s="270" t="s">
        <v>0</v>
      </c>
      <c r="D2583" s="271" t="s">
        <v>1454</v>
      </c>
    </row>
    <row r="2584" spans="1:4">
      <c r="A2584" s="269" t="str">
        <f t="shared" si="26"/>
        <v>Диагностика.TREI.BR12.Err_Canal_13</v>
      </c>
      <c r="B2584" s="270">
        <v>3</v>
      </c>
      <c r="C2584" s="270" t="s">
        <v>1</v>
      </c>
      <c r="D2584" s="271">
        <v>192</v>
      </c>
    </row>
    <row r="2585" spans="1:4">
      <c r="A2585" s="269" t="str">
        <f t="shared" si="26"/>
        <v>Диагностика.TREI.BR12.Err_Canal_13</v>
      </c>
      <c r="B2585" s="270">
        <v>2</v>
      </c>
      <c r="C2585" s="270" t="s">
        <v>6</v>
      </c>
      <c r="D2585" s="271">
        <v>0</v>
      </c>
    </row>
    <row r="2586" spans="1:4">
      <c r="A2586" s="272" t="str">
        <f t="shared" si="26"/>
        <v>Диагностика.TREI.BR12.Err_Canal_13</v>
      </c>
      <c r="B2586" s="273">
        <v>1</v>
      </c>
      <c r="C2586" s="273" t="s">
        <v>1</v>
      </c>
      <c r="D2586" s="274">
        <v>3</v>
      </c>
    </row>
    <row r="2587" spans="1:4">
      <c r="A2587" s="266" t="str">
        <f t="shared" ref="A2587:A2592" si="27">$R$2&amp;"."&amp;$P$2&amp;".Err_Canal_14"</f>
        <v>Диагностика.TREI.BR12.Err_Canal_14</v>
      </c>
      <c r="B2587" s="267">
        <v>7999</v>
      </c>
      <c r="C2587" s="267" t="s">
        <v>0</v>
      </c>
      <c r="D2587" s="268" t="str">
        <f>"#"&amp;$S$2&amp;"#"&amp;$T$2&amp;"\"&amp;$P$2&amp;"\Err_Canal_14"</f>
        <v>#2#treiOPCDA.CoOPCserv.1\pcmaster\BR12\Err_Canal_14</v>
      </c>
    </row>
    <row r="2588" spans="1:4">
      <c r="A2588" s="269" t="str">
        <f t="shared" si="27"/>
        <v>Диагностика.TREI.BR12.Err_Canal_14</v>
      </c>
      <c r="B2588" s="270">
        <v>7998</v>
      </c>
      <c r="C2588" s="270" t="s">
        <v>6</v>
      </c>
      <c r="D2588" s="271">
        <v>1</v>
      </c>
    </row>
    <row r="2589" spans="1:4">
      <c r="A2589" s="269" t="str">
        <f t="shared" si="27"/>
        <v>Диагностика.TREI.BR12.Err_Canal_14</v>
      </c>
      <c r="B2589" s="270">
        <v>101</v>
      </c>
      <c r="C2589" s="270" t="s">
        <v>0</v>
      </c>
      <c r="D2589" s="271" t="s">
        <v>1455</v>
      </c>
    </row>
    <row r="2590" spans="1:4">
      <c r="A2590" s="269" t="str">
        <f t="shared" si="27"/>
        <v>Диагностика.TREI.BR12.Err_Canal_14</v>
      </c>
      <c r="B2590" s="270">
        <v>3</v>
      </c>
      <c r="C2590" s="270" t="s">
        <v>1</v>
      </c>
      <c r="D2590" s="271">
        <v>192</v>
      </c>
    </row>
    <row r="2591" spans="1:4">
      <c r="A2591" s="269" t="str">
        <f t="shared" si="27"/>
        <v>Диагностика.TREI.BR12.Err_Canal_14</v>
      </c>
      <c r="B2591" s="270">
        <v>2</v>
      </c>
      <c r="C2591" s="270" t="s">
        <v>6</v>
      </c>
      <c r="D2591" s="271">
        <v>0</v>
      </c>
    </row>
    <row r="2592" spans="1:4">
      <c r="A2592" s="272" t="str">
        <f t="shared" si="27"/>
        <v>Диагностика.TREI.BR12.Err_Canal_14</v>
      </c>
      <c r="B2592" s="273">
        <v>1</v>
      </c>
      <c r="C2592" s="273" t="s">
        <v>1</v>
      </c>
      <c r="D2592" s="274">
        <v>3</v>
      </c>
    </row>
    <row r="2593" spans="1:4">
      <c r="A2593" s="266" t="str">
        <f t="shared" ref="A2593:A2598" si="28">$R$2&amp;"."&amp;$P$2&amp;".Err_Canal_15"</f>
        <v>Диагностика.TREI.BR12.Err_Canal_15</v>
      </c>
      <c r="B2593" s="267">
        <v>7999</v>
      </c>
      <c r="C2593" s="267" t="s">
        <v>0</v>
      </c>
      <c r="D2593" s="268" t="str">
        <f>"#"&amp;$S$2&amp;"#"&amp;$T$2&amp;"\"&amp;$P$2&amp;"\Err_Canal_15"</f>
        <v>#2#treiOPCDA.CoOPCserv.1\pcmaster\BR12\Err_Canal_15</v>
      </c>
    </row>
    <row r="2594" spans="1:4">
      <c r="A2594" s="269" t="str">
        <f t="shared" si="28"/>
        <v>Диагностика.TREI.BR12.Err_Canal_15</v>
      </c>
      <c r="B2594" s="270">
        <v>7998</v>
      </c>
      <c r="C2594" s="270" t="s">
        <v>6</v>
      </c>
      <c r="D2594" s="271">
        <v>1</v>
      </c>
    </row>
    <row r="2595" spans="1:4">
      <c r="A2595" s="269" t="str">
        <f t="shared" si="28"/>
        <v>Диагностика.TREI.BR12.Err_Canal_15</v>
      </c>
      <c r="B2595" s="270">
        <v>101</v>
      </c>
      <c r="C2595" s="270" t="s">
        <v>0</v>
      </c>
      <c r="D2595" s="271" t="s">
        <v>1456</v>
      </c>
    </row>
    <row r="2596" spans="1:4">
      <c r="A2596" s="269" t="str">
        <f t="shared" si="28"/>
        <v>Диагностика.TREI.BR12.Err_Canal_15</v>
      </c>
      <c r="B2596" s="270">
        <v>3</v>
      </c>
      <c r="C2596" s="270" t="s">
        <v>1</v>
      </c>
      <c r="D2596" s="271">
        <v>192</v>
      </c>
    </row>
    <row r="2597" spans="1:4">
      <c r="A2597" s="269" t="str">
        <f t="shared" si="28"/>
        <v>Диагностика.TREI.BR12.Err_Canal_15</v>
      </c>
      <c r="B2597" s="270">
        <v>2</v>
      </c>
      <c r="C2597" s="270" t="s">
        <v>6</v>
      </c>
      <c r="D2597" s="271">
        <v>0</v>
      </c>
    </row>
    <row r="2598" spans="1:4">
      <c r="A2598" s="272" t="str">
        <f t="shared" si="28"/>
        <v>Диагностика.TREI.BR12.Err_Canal_15</v>
      </c>
      <c r="B2598" s="273">
        <v>1</v>
      </c>
      <c r="C2598" s="273" t="s">
        <v>1</v>
      </c>
      <c r="D2598" s="274">
        <v>3</v>
      </c>
    </row>
    <row r="2599" spans="1:4">
      <c r="A2599" s="266" t="str">
        <f t="shared" ref="A2599:A2604" si="29">$R$2&amp;"."&amp;$P$2&amp;".Err_Canal_16"</f>
        <v>Диагностика.TREI.BR12.Err_Canal_16</v>
      </c>
      <c r="B2599" s="267">
        <v>7999</v>
      </c>
      <c r="C2599" s="267" t="s">
        <v>0</v>
      </c>
      <c r="D2599" s="268" t="str">
        <f>"#"&amp;$S$2&amp;"#"&amp;$T$2&amp;"\"&amp;$P$2&amp;"\Err_Canal_16"</f>
        <v>#2#treiOPCDA.CoOPCserv.1\pcmaster\BR12\Err_Canal_16</v>
      </c>
    </row>
    <row r="2600" spans="1:4">
      <c r="A2600" s="269" t="str">
        <f t="shared" si="29"/>
        <v>Диагностика.TREI.BR12.Err_Canal_16</v>
      </c>
      <c r="B2600" s="270">
        <v>7998</v>
      </c>
      <c r="C2600" s="270" t="s">
        <v>6</v>
      </c>
      <c r="D2600" s="271">
        <v>1</v>
      </c>
    </row>
    <row r="2601" spans="1:4">
      <c r="A2601" s="269" t="str">
        <f t="shared" si="29"/>
        <v>Диагностика.TREI.BR12.Err_Canal_16</v>
      </c>
      <c r="B2601" s="270">
        <v>101</v>
      </c>
      <c r="C2601" s="270" t="s">
        <v>0</v>
      </c>
      <c r="D2601" s="271" t="s">
        <v>1457</v>
      </c>
    </row>
    <row r="2602" spans="1:4">
      <c r="A2602" s="269" t="str">
        <f t="shared" si="29"/>
        <v>Диагностика.TREI.BR12.Err_Canal_16</v>
      </c>
      <c r="B2602" s="270">
        <v>3</v>
      </c>
      <c r="C2602" s="270" t="s">
        <v>1</v>
      </c>
      <c r="D2602" s="271">
        <v>192</v>
      </c>
    </row>
    <row r="2603" spans="1:4">
      <c r="A2603" s="269" t="str">
        <f t="shared" si="29"/>
        <v>Диагностика.TREI.BR12.Err_Canal_16</v>
      </c>
      <c r="B2603" s="270">
        <v>2</v>
      </c>
      <c r="C2603" s="270" t="s">
        <v>6</v>
      </c>
      <c r="D2603" s="271">
        <v>0</v>
      </c>
    </row>
    <row r="2604" spans="1:4">
      <c r="A2604" s="272" t="str">
        <f t="shared" si="29"/>
        <v>Диагностика.TREI.BR12.Err_Canal_16</v>
      </c>
      <c r="B2604" s="273">
        <v>1</v>
      </c>
      <c r="C2604" s="273" t="s">
        <v>1</v>
      </c>
      <c r="D2604" s="274">
        <v>3</v>
      </c>
    </row>
    <row r="2605" spans="1:4">
      <c r="A2605" s="521" t="s">
        <v>1880</v>
      </c>
      <c r="B2605" s="522"/>
      <c r="C2605" s="522"/>
      <c r="D2605" s="523"/>
    </row>
    <row r="2606" spans="1:4">
      <c r="A2606" s="211" t="str">
        <f>$R$2&amp;"."&amp;$P$2&amp;".Not_ready"</f>
        <v>Диагностика.TREI.BR12.Not_ready</v>
      </c>
      <c r="B2606" s="212">
        <v>11154</v>
      </c>
      <c r="C2606" s="212" t="s">
        <v>4</v>
      </c>
      <c r="D2606" s="221">
        <f>$Q$7</f>
        <v>12</v>
      </c>
    </row>
    <row r="2607" spans="1:4">
      <c r="A2607" s="211" t="str">
        <f t="shared" ref="A2607:A2615" si="30">$R$2&amp;"."&amp;$P$2&amp;".Not_ready"</f>
        <v>Диагностика.TREI.BR12.Not_ready</v>
      </c>
      <c r="B2607" s="212">
        <v>11152</v>
      </c>
      <c r="C2607" s="212" t="s">
        <v>0</v>
      </c>
      <c r="D2607" s="220" t="str">
        <f>$R$7</f>
        <v>Неисправность</v>
      </c>
    </row>
    <row r="2608" spans="1:4">
      <c r="A2608" s="211" t="str">
        <f t="shared" si="30"/>
        <v>Диагностика.TREI.BR12.Not_ready</v>
      </c>
      <c r="B2608" s="212">
        <v>11150</v>
      </c>
      <c r="C2608" s="212" t="s">
        <v>0</v>
      </c>
      <c r="D2608" s="213" t="s">
        <v>2669</v>
      </c>
    </row>
    <row r="2609" spans="1:4">
      <c r="A2609" s="211" t="str">
        <f t="shared" si="30"/>
        <v>Диагностика.TREI.BR12.Not_ready</v>
      </c>
      <c r="B2609" s="212">
        <v>11000</v>
      </c>
      <c r="C2609" s="212" t="s">
        <v>5</v>
      </c>
      <c r="D2609" s="213">
        <v>2147483680</v>
      </c>
    </row>
    <row r="2610" spans="1:4">
      <c r="A2610" s="19" t="str">
        <f t="shared" si="30"/>
        <v>Диагностика.TREI.BR12.Not_ready</v>
      </c>
      <c r="B2610" s="11">
        <v>7999</v>
      </c>
      <c r="C2610" s="11" t="s">
        <v>0</v>
      </c>
      <c r="D2610" s="20" t="str">
        <f>"#"&amp;$S$2&amp;"#"&amp;$T$2&amp;"\"&amp;$P$2&amp;"\Not_ready"</f>
        <v>#2#treiOPCDA.CoOPCserv.1\pcmaster\BR12\Not_ready</v>
      </c>
    </row>
    <row r="2611" spans="1:4">
      <c r="A2611" s="19" t="str">
        <f t="shared" si="30"/>
        <v>Диагностика.TREI.BR12.Not_ready</v>
      </c>
      <c r="B2611" s="11">
        <v>7998</v>
      </c>
      <c r="C2611" s="11" t="s">
        <v>6</v>
      </c>
      <c r="D2611" s="20">
        <v>1</v>
      </c>
    </row>
    <row r="2612" spans="1:4">
      <c r="A2612" s="19" t="str">
        <f t="shared" si="30"/>
        <v>Диагностика.TREI.BR12.Not_ready</v>
      </c>
      <c r="B2612" s="11">
        <v>101</v>
      </c>
      <c r="C2612" s="11" t="s">
        <v>0</v>
      </c>
      <c r="D2612" s="20" t="s">
        <v>2669</v>
      </c>
    </row>
    <row r="2613" spans="1:4">
      <c r="A2613" s="19" t="str">
        <f t="shared" si="30"/>
        <v>Диагностика.TREI.BR12.Not_ready</v>
      </c>
      <c r="B2613" s="11">
        <v>3</v>
      </c>
      <c r="C2613" s="11" t="s">
        <v>1</v>
      </c>
      <c r="D2613" s="20">
        <v>192</v>
      </c>
    </row>
    <row r="2614" spans="1:4">
      <c r="A2614" s="19" t="str">
        <f t="shared" si="30"/>
        <v>Диагностика.TREI.BR12.Not_ready</v>
      </c>
      <c r="B2614" s="11">
        <v>2</v>
      </c>
      <c r="C2614" s="11" t="s">
        <v>2</v>
      </c>
      <c r="D2614" s="20" t="s">
        <v>3</v>
      </c>
    </row>
    <row r="2615" spans="1:4">
      <c r="A2615" s="21" t="str">
        <f t="shared" si="30"/>
        <v>Диагностика.TREI.BR12.Not_ready</v>
      </c>
      <c r="B2615" s="8">
        <v>1</v>
      </c>
      <c r="C2615" s="8" t="s">
        <v>1</v>
      </c>
      <c r="D2615" s="22">
        <v>11</v>
      </c>
    </row>
    <row r="2616" spans="1:4">
      <c r="A2616" s="211" t="str">
        <f t="shared" ref="A2616:A2625" si="31">$R$2&amp;"."&amp;$P$2&amp;".Err_izm_ACP1"</f>
        <v>Диагностика.TREI.BR12.Err_izm_ACP1</v>
      </c>
      <c r="B2616" s="218">
        <v>11154</v>
      </c>
      <c r="C2616" s="218" t="s">
        <v>4</v>
      </c>
      <c r="D2616" s="219">
        <f>$Q$7</f>
        <v>12</v>
      </c>
    </row>
    <row r="2617" spans="1:4">
      <c r="A2617" s="211" t="str">
        <f t="shared" si="31"/>
        <v>Диагностика.TREI.BR12.Err_izm_ACP1</v>
      </c>
      <c r="B2617" s="212">
        <v>11150</v>
      </c>
      <c r="C2617" s="212" t="s">
        <v>0</v>
      </c>
      <c r="D2617" s="213" t="s">
        <v>1369</v>
      </c>
    </row>
    <row r="2618" spans="1:4">
      <c r="A2618" s="211" t="str">
        <f t="shared" si="31"/>
        <v>Диагностика.TREI.BR12.Err_izm_ACP1</v>
      </c>
      <c r="B2618" s="212">
        <v>11152</v>
      </c>
      <c r="C2618" s="212" t="s">
        <v>0</v>
      </c>
      <c r="D2618" s="220" t="str">
        <f>$R$7</f>
        <v>Неисправность</v>
      </c>
    </row>
    <row r="2619" spans="1:4">
      <c r="A2619" s="211" t="str">
        <f t="shared" si="31"/>
        <v>Диагностика.TREI.BR12.Err_izm_ACP1</v>
      </c>
      <c r="B2619" s="212">
        <v>11000</v>
      </c>
      <c r="C2619" s="212" t="s">
        <v>5</v>
      </c>
      <c r="D2619" s="213">
        <v>2147483680</v>
      </c>
    </row>
    <row r="2620" spans="1:4">
      <c r="A2620" s="19" t="str">
        <f t="shared" si="31"/>
        <v>Диагностика.TREI.BR12.Err_izm_ACP1</v>
      </c>
      <c r="B2620" s="11">
        <v>7999</v>
      </c>
      <c r="C2620" s="11" t="s">
        <v>0</v>
      </c>
      <c r="D2620" s="20" t="str">
        <f>"#"&amp;$S$2&amp;"#"&amp;$T$2&amp;"\"&amp;$P$2&amp;"\Err_izm_ACP1"</f>
        <v>#2#treiOPCDA.CoOPCserv.1\pcmaster\BR12\Err_izm_ACP1</v>
      </c>
    </row>
    <row r="2621" spans="1:4">
      <c r="A2621" s="19" t="str">
        <f t="shared" si="31"/>
        <v>Диагностика.TREI.BR12.Err_izm_ACP1</v>
      </c>
      <c r="B2621" s="11">
        <v>7998</v>
      </c>
      <c r="C2621" s="11" t="s">
        <v>6</v>
      </c>
      <c r="D2621" s="20">
        <v>1</v>
      </c>
    </row>
    <row r="2622" spans="1:4">
      <c r="A2622" s="19" t="str">
        <f t="shared" si="31"/>
        <v>Диагностика.TREI.BR12.Err_izm_ACP1</v>
      </c>
      <c r="B2622" s="11">
        <v>101</v>
      </c>
      <c r="C2622" s="11" t="s">
        <v>0</v>
      </c>
      <c r="D2622" s="20" t="s">
        <v>1369</v>
      </c>
    </row>
    <row r="2623" spans="1:4">
      <c r="A2623" s="19" t="str">
        <f t="shared" si="31"/>
        <v>Диагностика.TREI.BR12.Err_izm_ACP1</v>
      </c>
      <c r="B2623" s="11">
        <v>3</v>
      </c>
      <c r="C2623" s="11" t="s">
        <v>1</v>
      </c>
      <c r="D2623" s="20">
        <v>192</v>
      </c>
    </row>
    <row r="2624" spans="1:4">
      <c r="A2624" s="19" t="str">
        <f t="shared" si="31"/>
        <v>Диагностика.TREI.BR12.Err_izm_ACP1</v>
      </c>
      <c r="B2624" s="11">
        <v>2</v>
      </c>
      <c r="C2624" s="11" t="s">
        <v>2</v>
      </c>
      <c r="D2624" s="20" t="s">
        <v>3</v>
      </c>
    </row>
    <row r="2625" spans="1:4">
      <c r="A2625" s="21" t="str">
        <f t="shared" si="31"/>
        <v>Диагностика.TREI.BR12.Err_izm_ACP1</v>
      </c>
      <c r="B2625" s="8">
        <v>1</v>
      </c>
      <c r="C2625" s="8" t="s">
        <v>1</v>
      </c>
      <c r="D2625" s="22">
        <v>11</v>
      </c>
    </row>
    <row r="2626" spans="1:4">
      <c r="A2626" s="217" t="str">
        <f t="shared" ref="A2626:A2635" si="32">$R$2&amp;"."&amp;$P$2&amp;".Err_izm_ACP2"</f>
        <v>Диагностика.TREI.BR12.Err_izm_ACP2</v>
      </c>
      <c r="B2626" s="218">
        <v>11154</v>
      </c>
      <c r="C2626" s="218" t="s">
        <v>4</v>
      </c>
      <c r="D2626" s="219">
        <f>$Q$7</f>
        <v>12</v>
      </c>
    </row>
    <row r="2627" spans="1:4">
      <c r="A2627" s="211" t="str">
        <f t="shared" si="32"/>
        <v>Диагностика.TREI.BR12.Err_izm_ACP2</v>
      </c>
      <c r="B2627" s="212">
        <v>11150</v>
      </c>
      <c r="C2627" s="212" t="s">
        <v>0</v>
      </c>
      <c r="D2627" s="213" t="s">
        <v>1373</v>
      </c>
    </row>
    <row r="2628" spans="1:4">
      <c r="A2628" s="211" t="str">
        <f t="shared" si="32"/>
        <v>Диагностика.TREI.BR12.Err_izm_ACP2</v>
      </c>
      <c r="B2628" s="212">
        <v>11152</v>
      </c>
      <c r="C2628" s="212" t="s">
        <v>0</v>
      </c>
      <c r="D2628" s="220" t="str">
        <f>$R$7</f>
        <v>Неисправность</v>
      </c>
    </row>
    <row r="2629" spans="1:4">
      <c r="A2629" s="211" t="str">
        <f t="shared" si="32"/>
        <v>Диагностика.TREI.BR12.Err_izm_ACP2</v>
      </c>
      <c r="B2629" s="212">
        <v>11000</v>
      </c>
      <c r="C2629" s="212" t="s">
        <v>5</v>
      </c>
      <c r="D2629" s="213">
        <v>2147483680</v>
      </c>
    </row>
    <row r="2630" spans="1:4">
      <c r="A2630" s="19" t="str">
        <f t="shared" si="32"/>
        <v>Диагностика.TREI.BR12.Err_izm_ACP2</v>
      </c>
      <c r="B2630" s="11">
        <v>7999</v>
      </c>
      <c r="C2630" s="11" t="s">
        <v>0</v>
      </c>
      <c r="D2630" s="20" t="str">
        <f>"#"&amp;$S$2&amp;"#"&amp;$T$2&amp;"\"&amp;$P$2&amp;"\Err_izm_ACP2"</f>
        <v>#2#treiOPCDA.CoOPCserv.1\pcmaster\BR12\Err_izm_ACP2</v>
      </c>
    </row>
    <row r="2631" spans="1:4">
      <c r="A2631" s="19" t="str">
        <f t="shared" si="32"/>
        <v>Диагностика.TREI.BR12.Err_izm_ACP2</v>
      </c>
      <c r="B2631" s="11">
        <v>7998</v>
      </c>
      <c r="C2631" s="11" t="s">
        <v>6</v>
      </c>
      <c r="D2631" s="20">
        <v>1</v>
      </c>
    </row>
    <row r="2632" spans="1:4">
      <c r="A2632" s="19" t="str">
        <f t="shared" si="32"/>
        <v>Диагностика.TREI.BR12.Err_izm_ACP2</v>
      </c>
      <c r="B2632" s="11">
        <v>101</v>
      </c>
      <c r="C2632" s="11" t="s">
        <v>0</v>
      </c>
      <c r="D2632" s="20" t="s">
        <v>1373</v>
      </c>
    </row>
    <row r="2633" spans="1:4">
      <c r="A2633" s="19" t="str">
        <f t="shared" si="32"/>
        <v>Диагностика.TREI.BR12.Err_izm_ACP2</v>
      </c>
      <c r="B2633" s="11">
        <v>3</v>
      </c>
      <c r="C2633" s="11" t="s">
        <v>1</v>
      </c>
      <c r="D2633" s="20">
        <v>192</v>
      </c>
    </row>
    <row r="2634" spans="1:4">
      <c r="A2634" s="19" t="str">
        <f t="shared" si="32"/>
        <v>Диагностика.TREI.BR12.Err_izm_ACP2</v>
      </c>
      <c r="B2634" s="11">
        <v>2</v>
      </c>
      <c r="C2634" s="11" t="s">
        <v>2</v>
      </c>
      <c r="D2634" s="20" t="s">
        <v>3</v>
      </c>
    </row>
    <row r="2635" spans="1:4">
      <c r="A2635" s="21" t="str">
        <f t="shared" si="32"/>
        <v>Диагностика.TREI.BR12.Err_izm_ACP2</v>
      </c>
      <c r="B2635" s="8">
        <v>1</v>
      </c>
      <c r="C2635" s="8" t="s">
        <v>1</v>
      </c>
      <c r="D2635" s="22">
        <v>11</v>
      </c>
    </row>
    <row r="2636" spans="1:4">
      <c r="A2636" s="217" t="str">
        <f t="shared" ref="A2636:A2645" si="33">$R$2&amp;"."&amp;$P$2&amp;".Err_kalib_ACP1"</f>
        <v>Диагностика.TREI.BR12.Err_kalib_ACP1</v>
      </c>
      <c r="B2636" s="218">
        <v>11154</v>
      </c>
      <c r="C2636" s="218" t="s">
        <v>4</v>
      </c>
      <c r="D2636" s="219">
        <f>$Q$7</f>
        <v>12</v>
      </c>
    </row>
    <row r="2637" spans="1:4">
      <c r="A2637" s="211" t="str">
        <f t="shared" si="33"/>
        <v>Диагностика.TREI.BR12.Err_kalib_ACP1</v>
      </c>
      <c r="B2637" s="212">
        <v>11150</v>
      </c>
      <c r="C2637" s="212" t="s">
        <v>0</v>
      </c>
      <c r="D2637" s="213" t="s">
        <v>1370</v>
      </c>
    </row>
    <row r="2638" spans="1:4">
      <c r="A2638" s="211" t="str">
        <f t="shared" si="33"/>
        <v>Диагностика.TREI.BR12.Err_kalib_ACP1</v>
      </c>
      <c r="B2638" s="212">
        <v>11152</v>
      </c>
      <c r="C2638" s="212" t="s">
        <v>0</v>
      </c>
      <c r="D2638" s="220" t="str">
        <f>$R$7</f>
        <v>Неисправность</v>
      </c>
    </row>
    <row r="2639" spans="1:4">
      <c r="A2639" s="211" t="str">
        <f t="shared" si="33"/>
        <v>Диагностика.TREI.BR12.Err_kalib_ACP1</v>
      </c>
      <c r="B2639" s="212">
        <v>11000</v>
      </c>
      <c r="C2639" s="212" t="s">
        <v>5</v>
      </c>
      <c r="D2639" s="213">
        <v>2147483680</v>
      </c>
    </row>
    <row r="2640" spans="1:4">
      <c r="A2640" s="19" t="str">
        <f t="shared" si="33"/>
        <v>Диагностика.TREI.BR12.Err_kalib_ACP1</v>
      </c>
      <c r="B2640" s="11">
        <v>7999</v>
      </c>
      <c r="C2640" s="11" t="s">
        <v>0</v>
      </c>
      <c r="D2640" s="20" t="str">
        <f>"#"&amp;$S$2&amp;"#"&amp;$T$2&amp;"\"&amp;$P$2&amp;"\Err_kalib_ACP1"</f>
        <v>#2#treiOPCDA.CoOPCserv.1\pcmaster\BR12\Err_kalib_ACP1</v>
      </c>
    </row>
    <row r="2641" spans="1:4">
      <c r="A2641" s="19" t="str">
        <f t="shared" si="33"/>
        <v>Диагностика.TREI.BR12.Err_kalib_ACP1</v>
      </c>
      <c r="B2641" s="11">
        <v>7998</v>
      </c>
      <c r="C2641" s="11" t="s">
        <v>6</v>
      </c>
      <c r="D2641" s="20">
        <v>1</v>
      </c>
    </row>
    <row r="2642" spans="1:4">
      <c r="A2642" s="19" t="str">
        <f t="shared" si="33"/>
        <v>Диагностика.TREI.BR12.Err_kalib_ACP1</v>
      </c>
      <c r="B2642" s="11">
        <v>101</v>
      </c>
      <c r="C2642" s="11" t="s">
        <v>0</v>
      </c>
      <c r="D2642" s="20" t="s">
        <v>1370</v>
      </c>
    </row>
    <row r="2643" spans="1:4">
      <c r="A2643" s="19" t="str">
        <f t="shared" si="33"/>
        <v>Диагностика.TREI.BR12.Err_kalib_ACP1</v>
      </c>
      <c r="B2643" s="11">
        <v>3</v>
      </c>
      <c r="C2643" s="11" t="s">
        <v>1</v>
      </c>
      <c r="D2643" s="20">
        <v>192</v>
      </c>
    </row>
    <row r="2644" spans="1:4">
      <c r="A2644" s="19" t="str">
        <f t="shared" si="33"/>
        <v>Диагностика.TREI.BR12.Err_kalib_ACP1</v>
      </c>
      <c r="B2644" s="11">
        <v>2</v>
      </c>
      <c r="C2644" s="11" t="s">
        <v>2</v>
      </c>
      <c r="D2644" s="20" t="s">
        <v>3</v>
      </c>
    </row>
    <row r="2645" spans="1:4">
      <c r="A2645" s="21" t="str">
        <f t="shared" si="33"/>
        <v>Диагностика.TREI.BR12.Err_kalib_ACP1</v>
      </c>
      <c r="B2645" s="8">
        <v>1</v>
      </c>
      <c r="C2645" s="8" t="s">
        <v>1</v>
      </c>
      <c r="D2645" s="22">
        <v>11</v>
      </c>
    </row>
    <row r="2646" spans="1:4">
      <c r="A2646" s="217" t="str">
        <f t="shared" ref="A2646:A2655" si="34">$R$2&amp;"."&amp;$P$2&amp;".Err_kalib_ACP2"</f>
        <v>Диагностика.TREI.BR12.Err_kalib_ACP2</v>
      </c>
      <c r="B2646" s="218">
        <v>11154</v>
      </c>
      <c r="C2646" s="218" t="s">
        <v>4</v>
      </c>
      <c r="D2646" s="219">
        <f>$Q$7</f>
        <v>12</v>
      </c>
    </row>
    <row r="2647" spans="1:4">
      <c r="A2647" s="211" t="str">
        <f t="shared" si="34"/>
        <v>Диагностика.TREI.BR12.Err_kalib_ACP2</v>
      </c>
      <c r="B2647" s="212">
        <v>11150</v>
      </c>
      <c r="C2647" s="212" t="s">
        <v>0</v>
      </c>
      <c r="D2647" s="213" t="s">
        <v>1372</v>
      </c>
    </row>
    <row r="2648" spans="1:4">
      <c r="A2648" s="211" t="str">
        <f t="shared" si="34"/>
        <v>Диагностика.TREI.BR12.Err_kalib_ACP2</v>
      </c>
      <c r="B2648" s="212">
        <v>11152</v>
      </c>
      <c r="C2648" s="212" t="s">
        <v>0</v>
      </c>
      <c r="D2648" s="220" t="str">
        <f>$R$7</f>
        <v>Неисправность</v>
      </c>
    </row>
    <row r="2649" spans="1:4">
      <c r="A2649" s="211" t="str">
        <f t="shared" si="34"/>
        <v>Диагностика.TREI.BR12.Err_kalib_ACP2</v>
      </c>
      <c r="B2649" s="212">
        <v>11000</v>
      </c>
      <c r="C2649" s="212" t="s">
        <v>5</v>
      </c>
      <c r="D2649" s="213">
        <v>2147483680</v>
      </c>
    </row>
    <row r="2650" spans="1:4">
      <c r="A2650" s="19" t="str">
        <f t="shared" si="34"/>
        <v>Диагностика.TREI.BR12.Err_kalib_ACP2</v>
      </c>
      <c r="B2650" s="11">
        <v>7999</v>
      </c>
      <c r="C2650" s="11" t="s">
        <v>0</v>
      </c>
      <c r="D2650" s="20" t="str">
        <f>"#"&amp;$S$2&amp;"#"&amp;$T$2&amp;"\"&amp;$P$2&amp;"\Err_kalib_ACP2"</f>
        <v>#2#treiOPCDA.CoOPCserv.1\pcmaster\BR12\Err_kalib_ACP2</v>
      </c>
    </row>
    <row r="2651" spans="1:4">
      <c r="A2651" s="19" t="str">
        <f t="shared" si="34"/>
        <v>Диагностика.TREI.BR12.Err_kalib_ACP2</v>
      </c>
      <c r="B2651" s="11">
        <v>7998</v>
      </c>
      <c r="C2651" s="11" t="s">
        <v>6</v>
      </c>
      <c r="D2651" s="20">
        <v>1</v>
      </c>
    </row>
    <row r="2652" spans="1:4">
      <c r="A2652" s="19" t="str">
        <f t="shared" si="34"/>
        <v>Диагностика.TREI.BR12.Err_kalib_ACP2</v>
      </c>
      <c r="B2652" s="11">
        <v>101</v>
      </c>
      <c r="C2652" s="11" t="s">
        <v>0</v>
      </c>
      <c r="D2652" s="20" t="s">
        <v>1372</v>
      </c>
    </row>
    <row r="2653" spans="1:4">
      <c r="A2653" s="19" t="str">
        <f t="shared" si="34"/>
        <v>Диагностика.TREI.BR12.Err_kalib_ACP2</v>
      </c>
      <c r="B2653" s="11">
        <v>3</v>
      </c>
      <c r="C2653" s="11" t="s">
        <v>1</v>
      </c>
      <c r="D2653" s="20">
        <v>192</v>
      </c>
    </row>
    <row r="2654" spans="1:4">
      <c r="A2654" s="19" t="str">
        <f t="shared" si="34"/>
        <v>Диагностика.TREI.BR12.Err_kalib_ACP2</v>
      </c>
      <c r="B2654" s="11">
        <v>2</v>
      </c>
      <c r="C2654" s="11" t="s">
        <v>2</v>
      </c>
      <c r="D2654" s="20" t="s">
        <v>3</v>
      </c>
    </row>
    <row r="2655" spans="1:4">
      <c r="A2655" s="21" t="str">
        <f t="shared" si="34"/>
        <v>Диагностика.TREI.BR12.Err_kalib_ACP2</v>
      </c>
      <c r="B2655" s="8">
        <v>1</v>
      </c>
      <c r="C2655" s="8" t="s">
        <v>1</v>
      </c>
      <c r="D2655" s="22">
        <v>11</v>
      </c>
    </row>
    <row r="2656" spans="1:4">
      <c r="A2656" s="211" t="str">
        <f t="shared" ref="A2656:A2665" si="35">$R$2&amp;"."&amp;$P$2&amp;".Err_line_ACP1"</f>
        <v>Диагностика.TREI.BR12.Err_line_ACP1</v>
      </c>
      <c r="B2656" s="212">
        <v>11154</v>
      </c>
      <c r="C2656" s="212" t="s">
        <v>4</v>
      </c>
      <c r="D2656" s="221">
        <f>$Q$7</f>
        <v>12</v>
      </c>
    </row>
    <row r="2657" spans="1:4">
      <c r="A2657" s="211" t="str">
        <f t="shared" si="35"/>
        <v>Диагностика.TREI.BR12.Err_line_ACP1</v>
      </c>
      <c r="B2657" s="212">
        <v>11152</v>
      </c>
      <c r="C2657" s="212" t="s">
        <v>0</v>
      </c>
      <c r="D2657" s="220" t="str">
        <f>$R$7</f>
        <v>Неисправность</v>
      </c>
    </row>
    <row r="2658" spans="1:4">
      <c r="A2658" s="211" t="str">
        <f t="shared" si="35"/>
        <v>Диагностика.TREI.BR12.Err_line_ACP1</v>
      </c>
      <c r="B2658" s="212">
        <v>11150</v>
      </c>
      <c r="C2658" s="212" t="s">
        <v>0</v>
      </c>
      <c r="D2658" s="213" t="s">
        <v>1371</v>
      </c>
    </row>
    <row r="2659" spans="1:4">
      <c r="A2659" s="211" t="str">
        <f t="shared" si="35"/>
        <v>Диагностика.TREI.BR12.Err_line_ACP1</v>
      </c>
      <c r="B2659" s="212">
        <v>11000</v>
      </c>
      <c r="C2659" s="212" t="s">
        <v>5</v>
      </c>
      <c r="D2659" s="213">
        <v>2147483680</v>
      </c>
    </row>
    <row r="2660" spans="1:4">
      <c r="A2660" s="19" t="str">
        <f t="shared" si="35"/>
        <v>Диагностика.TREI.BR12.Err_line_ACP1</v>
      </c>
      <c r="B2660" s="11">
        <v>7999</v>
      </c>
      <c r="C2660" s="11" t="s">
        <v>0</v>
      </c>
      <c r="D2660" s="20" t="str">
        <f>"#"&amp;$S$2&amp;"#"&amp;$T$2&amp;"\"&amp;$P$2&amp;"\Err_line_ACP1"</f>
        <v>#2#treiOPCDA.CoOPCserv.1\pcmaster\BR12\Err_line_ACP1</v>
      </c>
    </row>
    <row r="2661" spans="1:4">
      <c r="A2661" s="19" t="str">
        <f t="shared" si="35"/>
        <v>Диагностика.TREI.BR12.Err_line_ACP1</v>
      </c>
      <c r="B2661" s="11">
        <v>7998</v>
      </c>
      <c r="C2661" s="11" t="s">
        <v>6</v>
      </c>
      <c r="D2661" s="20">
        <v>1</v>
      </c>
    </row>
    <row r="2662" spans="1:4">
      <c r="A2662" s="19" t="str">
        <f t="shared" si="35"/>
        <v>Диагностика.TREI.BR12.Err_line_ACP1</v>
      </c>
      <c r="B2662" s="11">
        <v>101</v>
      </c>
      <c r="C2662" s="11" t="s">
        <v>0</v>
      </c>
      <c r="D2662" s="20" t="s">
        <v>1371</v>
      </c>
    </row>
    <row r="2663" spans="1:4">
      <c r="A2663" s="19" t="str">
        <f t="shared" si="35"/>
        <v>Диагностика.TREI.BR12.Err_line_ACP1</v>
      </c>
      <c r="B2663" s="11">
        <v>3</v>
      </c>
      <c r="C2663" s="11" t="s">
        <v>1</v>
      </c>
      <c r="D2663" s="20">
        <v>192</v>
      </c>
    </row>
    <row r="2664" spans="1:4">
      <c r="A2664" s="19" t="str">
        <f t="shared" si="35"/>
        <v>Диагностика.TREI.BR12.Err_line_ACP1</v>
      </c>
      <c r="B2664" s="11">
        <v>2</v>
      </c>
      <c r="C2664" s="11" t="s">
        <v>2</v>
      </c>
      <c r="D2664" s="20" t="s">
        <v>3</v>
      </c>
    </row>
    <row r="2665" spans="1:4">
      <c r="A2665" s="21" t="str">
        <f t="shared" si="35"/>
        <v>Диагностика.TREI.BR12.Err_line_ACP1</v>
      </c>
      <c r="B2665" s="8">
        <v>1</v>
      </c>
      <c r="C2665" s="8" t="s">
        <v>1</v>
      </c>
      <c r="D2665" s="22">
        <v>11</v>
      </c>
    </row>
    <row r="2666" spans="1:4">
      <c r="A2666" s="211" t="str">
        <f t="shared" ref="A2666:A2675" si="36">$R$2&amp;"."&amp;$P$2&amp;".Err_line_ACP2"</f>
        <v>Диагностика.TREI.BR12.Err_line_ACP2</v>
      </c>
      <c r="B2666" s="212">
        <v>11154</v>
      </c>
      <c r="C2666" s="212" t="s">
        <v>4</v>
      </c>
      <c r="D2666" s="221">
        <f>$Q$7</f>
        <v>12</v>
      </c>
    </row>
    <row r="2667" spans="1:4">
      <c r="A2667" s="211" t="str">
        <f t="shared" si="36"/>
        <v>Диагностика.TREI.BR12.Err_line_ACP2</v>
      </c>
      <c r="B2667" s="212">
        <v>11152</v>
      </c>
      <c r="C2667" s="212" t="s">
        <v>0</v>
      </c>
      <c r="D2667" s="220" t="str">
        <f>$R$7</f>
        <v>Неисправность</v>
      </c>
    </row>
    <row r="2668" spans="1:4">
      <c r="A2668" s="211" t="str">
        <f t="shared" si="36"/>
        <v>Диагностика.TREI.BR12.Err_line_ACP2</v>
      </c>
      <c r="B2668" s="212">
        <v>11150</v>
      </c>
      <c r="C2668" s="212" t="s">
        <v>0</v>
      </c>
      <c r="D2668" s="213" t="s">
        <v>1374</v>
      </c>
    </row>
    <row r="2669" spans="1:4">
      <c r="A2669" s="211" t="str">
        <f t="shared" si="36"/>
        <v>Диагностика.TREI.BR12.Err_line_ACP2</v>
      </c>
      <c r="B2669" s="212">
        <v>11000</v>
      </c>
      <c r="C2669" s="212" t="s">
        <v>5</v>
      </c>
      <c r="D2669" s="213">
        <v>2147483680</v>
      </c>
    </row>
    <row r="2670" spans="1:4">
      <c r="A2670" s="19" t="str">
        <f t="shared" si="36"/>
        <v>Диагностика.TREI.BR12.Err_line_ACP2</v>
      </c>
      <c r="B2670" s="11">
        <v>7999</v>
      </c>
      <c r="C2670" s="11" t="s">
        <v>0</v>
      </c>
      <c r="D2670" s="20" t="str">
        <f>"#"&amp;$S$2&amp;"#"&amp;$T$2&amp;"\"&amp;$P$2&amp;"\Err_line_ACP2"</f>
        <v>#2#treiOPCDA.CoOPCserv.1\pcmaster\BR12\Err_line_ACP2</v>
      </c>
    </row>
    <row r="2671" spans="1:4">
      <c r="A2671" s="19" t="str">
        <f t="shared" si="36"/>
        <v>Диагностика.TREI.BR12.Err_line_ACP2</v>
      </c>
      <c r="B2671" s="11">
        <v>7998</v>
      </c>
      <c r="C2671" s="11" t="s">
        <v>6</v>
      </c>
      <c r="D2671" s="20">
        <v>1</v>
      </c>
    </row>
    <row r="2672" spans="1:4">
      <c r="A2672" s="19" t="str">
        <f t="shared" si="36"/>
        <v>Диагностика.TREI.BR12.Err_line_ACP2</v>
      </c>
      <c r="B2672" s="11">
        <v>101</v>
      </c>
      <c r="C2672" s="11" t="s">
        <v>0</v>
      </c>
      <c r="D2672" s="20" t="s">
        <v>1374</v>
      </c>
    </row>
    <row r="2673" spans="1:4">
      <c r="A2673" s="19" t="str">
        <f t="shared" si="36"/>
        <v>Диагностика.TREI.BR12.Err_line_ACP2</v>
      </c>
      <c r="B2673" s="11">
        <v>3</v>
      </c>
      <c r="C2673" s="11" t="s">
        <v>1</v>
      </c>
      <c r="D2673" s="20">
        <v>192</v>
      </c>
    </row>
    <row r="2674" spans="1:4">
      <c r="A2674" s="19" t="str">
        <f t="shared" si="36"/>
        <v>Диагностика.TREI.BR12.Err_line_ACP2</v>
      </c>
      <c r="B2674" s="11">
        <v>2</v>
      </c>
      <c r="C2674" s="11" t="s">
        <v>2</v>
      </c>
      <c r="D2674" s="20" t="s">
        <v>3</v>
      </c>
    </row>
    <row r="2675" spans="1:4">
      <c r="A2675" s="21" t="str">
        <f t="shared" si="36"/>
        <v>Диагностика.TREI.BR12.Err_line_ACP2</v>
      </c>
      <c r="B2675" s="8">
        <v>1</v>
      </c>
      <c r="C2675" s="8" t="s">
        <v>1</v>
      </c>
      <c r="D2675" s="22">
        <v>11</v>
      </c>
    </row>
    <row r="2676" spans="1:4">
      <c r="A2676" s="211" t="str">
        <f t="shared" ref="A2676:A2685" si="37">$R$2&amp;"."&amp;$P$2&amp;".Err_line1"</f>
        <v>Диагностика.TREI.BR12.Err_line1</v>
      </c>
      <c r="B2676" s="212">
        <v>11154</v>
      </c>
      <c r="C2676" s="212" t="s">
        <v>4</v>
      </c>
      <c r="D2676" s="221">
        <f>$Q$7</f>
        <v>12</v>
      </c>
    </row>
    <row r="2677" spans="1:4">
      <c r="A2677" s="211" t="str">
        <f t="shared" si="37"/>
        <v>Диагностика.TREI.BR12.Err_line1</v>
      </c>
      <c r="B2677" s="212">
        <v>11152</v>
      </c>
      <c r="C2677" s="212" t="s">
        <v>0</v>
      </c>
      <c r="D2677" s="220" t="str">
        <f>$R$7</f>
        <v>Неисправность</v>
      </c>
    </row>
    <row r="2678" spans="1:4">
      <c r="A2678" s="211" t="str">
        <f t="shared" si="37"/>
        <v>Диагностика.TREI.BR12.Err_line1</v>
      </c>
      <c r="B2678" s="212">
        <v>11150</v>
      </c>
      <c r="C2678" s="212" t="s">
        <v>0</v>
      </c>
      <c r="D2678" s="213" t="s">
        <v>1375</v>
      </c>
    </row>
    <row r="2679" spans="1:4">
      <c r="A2679" s="211" t="str">
        <f t="shared" si="37"/>
        <v>Диагностика.TREI.BR12.Err_line1</v>
      </c>
      <c r="B2679" s="212">
        <v>11000</v>
      </c>
      <c r="C2679" s="212" t="s">
        <v>5</v>
      </c>
      <c r="D2679" s="213">
        <v>2147483680</v>
      </c>
    </row>
    <row r="2680" spans="1:4">
      <c r="A2680" s="19" t="str">
        <f t="shared" si="37"/>
        <v>Диагностика.TREI.BR12.Err_line1</v>
      </c>
      <c r="B2680" s="11">
        <v>7999</v>
      </c>
      <c r="C2680" s="11" t="s">
        <v>0</v>
      </c>
      <c r="D2680" s="20" t="str">
        <f>"#"&amp;$S$2&amp;"#"&amp;$T$2&amp;"\"&amp;$P$2&amp;"\Err_line1"</f>
        <v>#2#treiOPCDA.CoOPCserv.1\pcmaster\BR12\Err_line1</v>
      </c>
    </row>
    <row r="2681" spans="1:4">
      <c r="A2681" s="19" t="str">
        <f t="shared" si="37"/>
        <v>Диагностика.TREI.BR12.Err_line1</v>
      </c>
      <c r="B2681" s="11">
        <v>7998</v>
      </c>
      <c r="C2681" s="11" t="s">
        <v>6</v>
      </c>
      <c r="D2681" s="20">
        <v>1</v>
      </c>
    </row>
    <row r="2682" spans="1:4">
      <c r="A2682" s="19" t="str">
        <f t="shared" si="37"/>
        <v>Диагностика.TREI.BR12.Err_line1</v>
      </c>
      <c r="B2682" s="11">
        <v>101</v>
      </c>
      <c r="C2682" s="11" t="s">
        <v>0</v>
      </c>
      <c r="D2682" s="20" t="s">
        <v>1375</v>
      </c>
    </row>
    <row r="2683" spans="1:4">
      <c r="A2683" s="19" t="str">
        <f t="shared" si="37"/>
        <v>Диагностика.TREI.BR12.Err_line1</v>
      </c>
      <c r="B2683" s="11">
        <v>3</v>
      </c>
      <c r="C2683" s="11" t="s">
        <v>1</v>
      </c>
      <c r="D2683" s="20">
        <v>192</v>
      </c>
    </row>
    <row r="2684" spans="1:4">
      <c r="A2684" s="19" t="str">
        <f t="shared" si="37"/>
        <v>Диагностика.TREI.BR12.Err_line1</v>
      </c>
      <c r="B2684" s="11">
        <v>2</v>
      </c>
      <c r="C2684" s="11" t="s">
        <v>2</v>
      </c>
      <c r="D2684" s="20" t="s">
        <v>3</v>
      </c>
    </row>
    <row r="2685" spans="1:4">
      <c r="A2685" s="21" t="str">
        <f t="shared" si="37"/>
        <v>Диагностика.TREI.BR12.Err_line1</v>
      </c>
      <c r="B2685" s="8">
        <v>1</v>
      </c>
      <c r="C2685" s="8" t="s">
        <v>1</v>
      </c>
      <c r="D2685" s="22">
        <v>11</v>
      </c>
    </row>
    <row r="2686" spans="1:4">
      <c r="A2686" s="211" t="str">
        <f t="shared" ref="A2686:A2695" si="38">$R$2&amp;"."&amp;$P$2&amp;".Err_line2"</f>
        <v>Диагностика.TREI.BR12.Err_line2</v>
      </c>
      <c r="B2686" s="212">
        <v>11154</v>
      </c>
      <c r="C2686" s="212" t="s">
        <v>4</v>
      </c>
      <c r="D2686" s="221">
        <f>$Q$7</f>
        <v>12</v>
      </c>
    </row>
    <row r="2687" spans="1:4">
      <c r="A2687" s="211" t="str">
        <f t="shared" si="38"/>
        <v>Диагностика.TREI.BR12.Err_line2</v>
      </c>
      <c r="B2687" s="212">
        <v>11152</v>
      </c>
      <c r="C2687" s="212" t="s">
        <v>0</v>
      </c>
      <c r="D2687" s="220" t="str">
        <f>$R$7</f>
        <v>Неисправность</v>
      </c>
    </row>
    <row r="2688" spans="1:4">
      <c r="A2688" s="211" t="str">
        <f t="shared" si="38"/>
        <v>Диагностика.TREI.BR12.Err_line2</v>
      </c>
      <c r="B2688" s="212">
        <v>11150</v>
      </c>
      <c r="C2688" s="212" t="s">
        <v>0</v>
      </c>
      <c r="D2688" s="213" t="s">
        <v>1376</v>
      </c>
    </row>
    <row r="2689" spans="1:4">
      <c r="A2689" s="211" t="str">
        <f t="shared" si="38"/>
        <v>Диагностика.TREI.BR12.Err_line2</v>
      </c>
      <c r="B2689" s="212">
        <v>11000</v>
      </c>
      <c r="C2689" s="212" t="s">
        <v>5</v>
      </c>
      <c r="D2689" s="213">
        <v>2147483680</v>
      </c>
    </row>
    <row r="2690" spans="1:4">
      <c r="A2690" s="19" t="str">
        <f t="shared" si="38"/>
        <v>Диагностика.TREI.BR12.Err_line2</v>
      </c>
      <c r="B2690" s="11">
        <v>7999</v>
      </c>
      <c r="C2690" s="11" t="s">
        <v>0</v>
      </c>
      <c r="D2690" s="20" t="str">
        <f>"#"&amp;$S$2&amp;"#"&amp;$T$2&amp;"\"&amp;$P$2&amp;"\Err_line2"</f>
        <v>#2#treiOPCDA.CoOPCserv.1\pcmaster\BR12\Err_line2</v>
      </c>
    </row>
    <row r="2691" spans="1:4">
      <c r="A2691" s="19" t="str">
        <f t="shared" si="38"/>
        <v>Диагностика.TREI.BR12.Err_line2</v>
      </c>
      <c r="B2691" s="11">
        <v>7998</v>
      </c>
      <c r="C2691" s="11" t="s">
        <v>6</v>
      </c>
      <c r="D2691" s="20">
        <v>1</v>
      </c>
    </row>
    <row r="2692" spans="1:4">
      <c r="A2692" s="19" t="str">
        <f t="shared" si="38"/>
        <v>Диагностика.TREI.BR12.Err_line2</v>
      </c>
      <c r="B2692" s="11">
        <v>101</v>
      </c>
      <c r="C2692" s="11" t="s">
        <v>0</v>
      </c>
      <c r="D2692" s="20" t="s">
        <v>1376</v>
      </c>
    </row>
    <row r="2693" spans="1:4">
      <c r="A2693" s="19" t="str">
        <f t="shared" si="38"/>
        <v>Диагностика.TREI.BR12.Err_line2</v>
      </c>
      <c r="B2693" s="11">
        <v>3</v>
      </c>
      <c r="C2693" s="11" t="s">
        <v>1</v>
      </c>
      <c r="D2693" s="20">
        <v>192</v>
      </c>
    </row>
    <row r="2694" spans="1:4">
      <c r="A2694" s="19" t="str">
        <f t="shared" si="38"/>
        <v>Диагностика.TREI.BR12.Err_line2</v>
      </c>
      <c r="B2694" s="11">
        <v>2</v>
      </c>
      <c r="C2694" s="11" t="s">
        <v>2</v>
      </c>
      <c r="D2694" s="20" t="s">
        <v>3</v>
      </c>
    </row>
    <row r="2695" spans="1:4">
      <c r="A2695" s="21" t="str">
        <f t="shared" si="38"/>
        <v>Диагностика.TREI.BR12.Err_line2</v>
      </c>
      <c r="B2695" s="8">
        <v>1</v>
      </c>
      <c r="C2695" s="8" t="s">
        <v>1</v>
      </c>
      <c r="D2695" s="22">
        <v>11</v>
      </c>
    </row>
    <row r="2696" spans="1:4">
      <c r="A2696" s="211" t="str">
        <f t="shared" ref="A2696:A2705" si="39">$R$2&amp;"."&amp;$P$2&amp;".Err_voltage_ACP1"</f>
        <v>Диагностика.TREI.BR12.Err_voltage_ACP1</v>
      </c>
      <c r="B2696" s="212">
        <v>11154</v>
      </c>
      <c r="C2696" s="212" t="s">
        <v>4</v>
      </c>
      <c r="D2696" s="221">
        <f>$Q$7</f>
        <v>12</v>
      </c>
    </row>
    <row r="2697" spans="1:4">
      <c r="A2697" s="211" t="str">
        <f t="shared" si="39"/>
        <v>Диагностика.TREI.BR12.Err_voltage_ACP1</v>
      </c>
      <c r="B2697" s="212">
        <v>11152</v>
      </c>
      <c r="C2697" s="212" t="s">
        <v>0</v>
      </c>
      <c r="D2697" s="220" t="str">
        <f>$R$7</f>
        <v>Неисправность</v>
      </c>
    </row>
    <row r="2698" spans="1:4">
      <c r="A2698" s="211" t="str">
        <f t="shared" si="39"/>
        <v>Диагностика.TREI.BR12.Err_voltage_ACP1</v>
      </c>
      <c r="B2698" s="212">
        <v>11150</v>
      </c>
      <c r="C2698" s="212" t="s">
        <v>0</v>
      </c>
      <c r="D2698" s="213" t="s">
        <v>1378</v>
      </c>
    </row>
    <row r="2699" spans="1:4">
      <c r="A2699" s="211" t="str">
        <f t="shared" si="39"/>
        <v>Диагностика.TREI.BR12.Err_voltage_ACP1</v>
      </c>
      <c r="B2699" s="212">
        <v>11000</v>
      </c>
      <c r="C2699" s="212" t="s">
        <v>5</v>
      </c>
      <c r="D2699" s="213">
        <v>2147483680</v>
      </c>
    </row>
    <row r="2700" spans="1:4">
      <c r="A2700" s="19" t="str">
        <f t="shared" si="39"/>
        <v>Диагностика.TREI.BR12.Err_voltage_ACP1</v>
      </c>
      <c r="B2700" s="11">
        <v>7999</v>
      </c>
      <c r="C2700" s="11" t="s">
        <v>0</v>
      </c>
      <c r="D2700" s="20" t="str">
        <f>"#"&amp;$S$2&amp;"#"&amp;$T$2&amp;"\"&amp;$P$2&amp;"\Err_voltage_ACP1"</f>
        <v>#2#treiOPCDA.CoOPCserv.1\pcmaster\BR12\Err_voltage_ACP1</v>
      </c>
    </row>
    <row r="2701" spans="1:4">
      <c r="A2701" s="19" t="str">
        <f t="shared" si="39"/>
        <v>Диагностика.TREI.BR12.Err_voltage_ACP1</v>
      </c>
      <c r="B2701" s="11">
        <v>7998</v>
      </c>
      <c r="C2701" s="11" t="s">
        <v>6</v>
      </c>
      <c r="D2701" s="20">
        <v>1</v>
      </c>
    </row>
    <row r="2702" spans="1:4">
      <c r="A2702" s="19" t="str">
        <f t="shared" si="39"/>
        <v>Диагностика.TREI.BR12.Err_voltage_ACP1</v>
      </c>
      <c r="B2702" s="11">
        <v>101</v>
      </c>
      <c r="C2702" s="11" t="s">
        <v>0</v>
      </c>
      <c r="D2702" s="20" t="s">
        <v>1378</v>
      </c>
    </row>
    <row r="2703" spans="1:4">
      <c r="A2703" s="19" t="str">
        <f t="shared" si="39"/>
        <v>Диагностика.TREI.BR12.Err_voltage_ACP1</v>
      </c>
      <c r="B2703" s="11">
        <v>3</v>
      </c>
      <c r="C2703" s="11" t="s">
        <v>1</v>
      </c>
      <c r="D2703" s="20">
        <v>192</v>
      </c>
    </row>
    <row r="2704" spans="1:4">
      <c r="A2704" s="19" t="str">
        <f t="shared" si="39"/>
        <v>Диагностика.TREI.BR12.Err_voltage_ACP1</v>
      </c>
      <c r="B2704" s="11">
        <v>2</v>
      </c>
      <c r="C2704" s="11" t="s">
        <v>2</v>
      </c>
      <c r="D2704" s="20" t="s">
        <v>3</v>
      </c>
    </row>
    <row r="2705" spans="1:4">
      <c r="A2705" s="21" t="str">
        <f t="shared" si="39"/>
        <v>Диагностика.TREI.BR12.Err_voltage_ACP1</v>
      </c>
      <c r="B2705" s="8">
        <v>1</v>
      </c>
      <c r="C2705" s="8" t="s">
        <v>1</v>
      </c>
      <c r="D2705" s="22">
        <v>11</v>
      </c>
    </row>
    <row r="2706" spans="1:4">
      <c r="A2706" s="211" t="str">
        <f t="shared" ref="A2706:A2715" si="40">$R$2&amp;"."&amp;$P$2&amp;".Err_voltage_ACP2"</f>
        <v>Диагностика.TREI.BR12.Err_voltage_ACP2</v>
      </c>
      <c r="B2706" s="212">
        <v>11154</v>
      </c>
      <c r="C2706" s="212" t="s">
        <v>4</v>
      </c>
      <c r="D2706" s="221">
        <f>$Q$7</f>
        <v>12</v>
      </c>
    </row>
    <row r="2707" spans="1:4">
      <c r="A2707" s="211" t="str">
        <f t="shared" si="40"/>
        <v>Диагностика.TREI.BR12.Err_voltage_ACP2</v>
      </c>
      <c r="B2707" s="212">
        <v>11152</v>
      </c>
      <c r="C2707" s="212" t="s">
        <v>0</v>
      </c>
      <c r="D2707" s="220" t="str">
        <f>$R$7</f>
        <v>Неисправность</v>
      </c>
    </row>
    <row r="2708" spans="1:4">
      <c r="A2708" s="211" t="str">
        <f t="shared" si="40"/>
        <v>Диагностика.TREI.BR12.Err_voltage_ACP2</v>
      </c>
      <c r="B2708" s="212">
        <v>11150</v>
      </c>
      <c r="C2708" s="212" t="s">
        <v>0</v>
      </c>
      <c r="D2708" s="213" t="s">
        <v>1377</v>
      </c>
    </row>
    <row r="2709" spans="1:4">
      <c r="A2709" s="211" t="str">
        <f t="shared" si="40"/>
        <v>Диагностика.TREI.BR12.Err_voltage_ACP2</v>
      </c>
      <c r="B2709" s="212">
        <v>11000</v>
      </c>
      <c r="C2709" s="212" t="s">
        <v>5</v>
      </c>
      <c r="D2709" s="213">
        <v>2147483680</v>
      </c>
    </row>
    <row r="2710" spans="1:4">
      <c r="A2710" s="19" t="str">
        <f t="shared" si="40"/>
        <v>Диагностика.TREI.BR12.Err_voltage_ACP2</v>
      </c>
      <c r="B2710" s="11">
        <v>7999</v>
      </c>
      <c r="C2710" s="11" t="s">
        <v>0</v>
      </c>
      <c r="D2710" s="20" t="str">
        <f>"#"&amp;$S$2&amp;"#"&amp;$T$2&amp;"\"&amp;$P$2&amp;"\Err_voltage_ACP2"</f>
        <v>#2#treiOPCDA.CoOPCserv.1\pcmaster\BR12\Err_voltage_ACP2</v>
      </c>
    </row>
    <row r="2711" spans="1:4">
      <c r="A2711" s="19" t="str">
        <f t="shared" si="40"/>
        <v>Диагностика.TREI.BR12.Err_voltage_ACP2</v>
      </c>
      <c r="B2711" s="11">
        <v>7998</v>
      </c>
      <c r="C2711" s="11" t="s">
        <v>6</v>
      </c>
      <c r="D2711" s="20">
        <v>1</v>
      </c>
    </row>
    <row r="2712" spans="1:4">
      <c r="A2712" s="19" t="str">
        <f t="shared" si="40"/>
        <v>Диагностика.TREI.BR12.Err_voltage_ACP2</v>
      </c>
      <c r="B2712" s="11">
        <v>101</v>
      </c>
      <c r="C2712" s="11" t="s">
        <v>0</v>
      </c>
      <c r="D2712" s="20" t="s">
        <v>1377</v>
      </c>
    </row>
    <row r="2713" spans="1:4">
      <c r="A2713" s="19" t="str">
        <f t="shared" si="40"/>
        <v>Диагностика.TREI.BR12.Err_voltage_ACP2</v>
      </c>
      <c r="B2713" s="11">
        <v>3</v>
      </c>
      <c r="C2713" s="11" t="s">
        <v>1</v>
      </c>
      <c r="D2713" s="20">
        <v>192</v>
      </c>
    </row>
    <row r="2714" spans="1:4">
      <c r="A2714" s="19" t="str">
        <f t="shared" si="40"/>
        <v>Диагностика.TREI.BR12.Err_voltage_ACP2</v>
      </c>
      <c r="B2714" s="11">
        <v>2</v>
      </c>
      <c r="C2714" s="11" t="s">
        <v>2</v>
      </c>
      <c r="D2714" s="20" t="s">
        <v>3</v>
      </c>
    </row>
    <row r="2715" spans="1:4">
      <c r="A2715" s="21" t="str">
        <f t="shared" si="40"/>
        <v>Диагностика.TREI.BR12.Err_voltage_ACP2</v>
      </c>
      <c r="B2715" s="8">
        <v>1</v>
      </c>
      <c r="C2715" s="8" t="s">
        <v>1</v>
      </c>
      <c r="D2715" s="22">
        <v>11</v>
      </c>
    </row>
    <row r="2716" spans="1:4">
      <c r="A2716" s="211" t="str">
        <f t="shared" ref="A2716:A2725" si="41">$R$2&amp;"."&amp;$P$2&amp;".No_power1"</f>
        <v>Диагностика.TREI.BR12.No_power1</v>
      </c>
      <c r="B2716" s="212">
        <v>11154</v>
      </c>
      <c r="C2716" s="212" t="s">
        <v>4</v>
      </c>
      <c r="D2716" s="221">
        <f>$Q$7</f>
        <v>12</v>
      </c>
    </row>
    <row r="2717" spans="1:4">
      <c r="A2717" s="211" t="str">
        <f t="shared" si="41"/>
        <v>Диагностика.TREI.BR12.No_power1</v>
      </c>
      <c r="B2717" s="212">
        <v>11152</v>
      </c>
      <c r="C2717" s="212" t="s">
        <v>0</v>
      </c>
      <c r="D2717" s="220" t="str">
        <f>$R$7</f>
        <v>Неисправность</v>
      </c>
    </row>
    <row r="2718" spans="1:4">
      <c r="A2718" s="211" t="str">
        <f t="shared" si="41"/>
        <v>Диагностика.TREI.BR12.No_power1</v>
      </c>
      <c r="B2718" s="212">
        <v>11150</v>
      </c>
      <c r="C2718" s="212" t="s">
        <v>0</v>
      </c>
      <c r="D2718" s="213" t="s">
        <v>1780</v>
      </c>
    </row>
    <row r="2719" spans="1:4">
      <c r="A2719" s="211" t="str">
        <f t="shared" si="41"/>
        <v>Диагностика.TREI.BR12.No_power1</v>
      </c>
      <c r="B2719" s="212">
        <v>11000</v>
      </c>
      <c r="C2719" s="212" t="s">
        <v>5</v>
      </c>
      <c r="D2719" s="213">
        <v>2147483680</v>
      </c>
    </row>
    <row r="2720" spans="1:4">
      <c r="A2720" s="19" t="str">
        <f t="shared" si="41"/>
        <v>Диагностика.TREI.BR12.No_power1</v>
      </c>
      <c r="B2720" s="11">
        <v>7999</v>
      </c>
      <c r="C2720" s="11" t="s">
        <v>0</v>
      </c>
      <c r="D2720" s="20" t="str">
        <f>"#"&amp;$S$2&amp;"#"&amp;$T$2&amp;"\"&amp;$P$2&amp;"\No_power1"</f>
        <v>#2#treiOPCDA.CoOPCserv.1\pcmaster\BR12\No_power1</v>
      </c>
    </row>
    <row r="2721" spans="1:4">
      <c r="A2721" s="19" t="str">
        <f t="shared" si="41"/>
        <v>Диагностика.TREI.BR12.No_power1</v>
      </c>
      <c r="B2721" s="11">
        <v>7998</v>
      </c>
      <c r="C2721" s="11" t="s">
        <v>6</v>
      </c>
      <c r="D2721" s="20">
        <v>1</v>
      </c>
    </row>
    <row r="2722" spans="1:4">
      <c r="A2722" s="19" t="str">
        <f t="shared" si="41"/>
        <v>Диагностика.TREI.BR12.No_power1</v>
      </c>
      <c r="B2722" s="11">
        <v>101</v>
      </c>
      <c r="C2722" s="11" t="s">
        <v>0</v>
      </c>
      <c r="D2722" s="20" t="s">
        <v>1780</v>
      </c>
    </row>
    <row r="2723" spans="1:4">
      <c r="A2723" s="19" t="str">
        <f t="shared" si="41"/>
        <v>Диагностика.TREI.BR12.No_power1</v>
      </c>
      <c r="B2723" s="11">
        <v>3</v>
      </c>
      <c r="C2723" s="11" t="s">
        <v>1</v>
      </c>
      <c r="D2723" s="20">
        <v>192</v>
      </c>
    </row>
    <row r="2724" spans="1:4">
      <c r="A2724" s="19" t="str">
        <f t="shared" si="41"/>
        <v>Диагностика.TREI.BR12.No_power1</v>
      </c>
      <c r="B2724" s="11">
        <v>2</v>
      </c>
      <c r="C2724" s="11" t="s">
        <v>2</v>
      </c>
      <c r="D2724" s="20" t="s">
        <v>3</v>
      </c>
    </row>
    <row r="2725" spans="1:4">
      <c r="A2725" s="21" t="str">
        <f t="shared" si="41"/>
        <v>Диагностика.TREI.BR12.No_power1</v>
      </c>
      <c r="B2725" s="8">
        <v>1</v>
      </c>
      <c r="C2725" s="8" t="s">
        <v>1</v>
      </c>
      <c r="D2725" s="22">
        <v>11</v>
      </c>
    </row>
    <row r="2726" spans="1:4">
      <c r="A2726" s="211" t="str">
        <f t="shared" ref="A2726:A2735" si="42">$R$2&amp;"."&amp;$P$2&amp;".No_power2"</f>
        <v>Диагностика.TREI.BR12.No_power2</v>
      </c>
      <c r="B2726" s="212">
        <v>11154</v>
      </c>
      <c r="C2726" s="212" t="s">
        <v>4</v>
      </c>
      <c r="D2726" s="221">
        <f>$Q$7</f>
        <v>12</v>
      </c>
    </row>
    <row r="2727" spans="1:4">
      <c r="A2727" s="211" t="str">
        <f t="shared" si="42"/>
        <v>Диагностика.TREI.BR12.No_power2</v>
      </c>
      <c r="B2727" s="212">
        <v>11152</v>
      </c>
      <c r="C2727" s="212" t="s">
        <v>0</v>
      </c>
      <c r="D2727" s="220" t="str">
        <f>$R$7</f>
        <v>Неисправность</v>
      </c>
    </row>
    <row r="2728" spans="1:4">
      <c r="A2728" s="211" t="str">
        <f t="shared" si="42"/>
        <v>Диагностика.TREI.BR12.No_power2</v>
      </c>
      <c r="B2728" s="212">
        <v>11150</v>
      </c>
      <c r="C2728" s="212" t="s">
        <v>0</v>
      </c>
      <c r="D2728" s="213" t="s">
        <v>1781</v>
      </c>
    </row>
    <row r="2729" spans="1:4">
      <c r="A2729" s="211" t="str">
        <f t="shared" si="42"/>
        <v>Диагностика.TREI.BR12.No_power2</v>
      </c>
      <c r="B2729" s="212">
        <v>11000</v>
      </c>
      <c r="C2729" s="212" t="s">
        <v>5</v>
      </c>
      <c r="D2729" s="213">
        <v>2147483680</v>
      </c>
    </row>
    <row r="2730" spans="1:4">
      <c r="A2730" s="19" t="str">
        <f t="shared" si="42"/>
        <v>Диагностика.TREI.BR12.No_power2</v>
      </c>
      <c r="B2730" s="11">
        <v>7999</v>
      </c>
      <c r="C2730" s="11" t="s">
        <v>0</v>
      </c>
      <c r="D2730" s="20" t="str">
        <f>"#"&amp;$S$2&amp;"#"&amp;$T$2&amp;"\"&amp;$P$2&amp;"\No_power2"</f>
        <v>#2#treiOPCDA.CoOPCserv.1\pcmaster\BR12\No_power2</v>
      </c>
    </row>
    <row r="2731" spans="1:4">
      <c r="A2731" s="19" t="str">
        <f t="shared" si="42"/>
        <v>Диагностика.TREI.BR12.No_power2</v>
      </c>
      <c r="B2731" s="11">
        <v>7998</v>
      </c>
      <c r="C2731" s="11" t="s">
        <v>6</v>
      </c>
      <c r="D2731" s="20">
        <v>1</v>
      </c>
    </row>
    <row r="2732" spans="1:4">
      <c r="A2732" s="19" t="str">
        <f t="shared" si="42"/>
        <v>Диагностика.TREI.BR12.No_power2</v>
      </c>
      <c r="B2732" s="11">
        <v>101</v>
      </c>
      <c r="C2732" s="11" t="s">
        <v>0</v>
      </c>
      <c r="D2732" s="20" t="s">
        <v>1781</v>
      </c>
    </row>
    <row r="2733" spans="1:4">
      <c r="A2733" s="19" t="str">
        <f t="shared" si="42"/>
        <v>Диагностика.TREI.BR12.No_power2</v>
      </c>
      <c r="B2733" s="11">
        <v>3</v>
      </c>
      <c r="C2733" s="11" t="s">
        <v>1</v>
      </c>
      <c r="D2733" s="20">
        <v>192</v>
      </c>
    </row>
    <row r="2734" spans="1:4">
      <c r="A2734" s="19" t="str">
        <f t="shared" si="42"/>
        <v>Диагностика.TREI.BR12.No_power2</v>
      </c>
      <c r="B2734" s="11">
        <v>2</v>
      </c>
      <c r="C2734" s="11" t="s">
        <v>2</v>
      </c>
      <c r="D2734" s="20" t="s">
        <v>3</v>
      </c>
    </row>
    <row r="2735" spans="1:4">
      <c r="A2735" s="21" t="str">
        <f t="shared" si="42"/>
        <v>Диагностика.TREI.BR12.No_power2</v>
      </c>
      <c r="B2735" s="8">
        <v>1</v>
      </c>
      <c r="C2735" s="8" t="s">
        <v>1</v>
      </c>
      <c r="D2735" s="22">
        <v>11</v>
      </c>
    </row>
    <row r="2736" spans="1:4">
      <c r="A2736" s="266" t="str">
        <f t="shared" ref="A2736:A2741" si="43">$R$2&amp;"."&amp;$P$2&amp;".Err_Canal_01"</f>
        <v>Диагностика.TREI.BR12.Err_Canal_01</v>
      </c>
      <c r="B2736" s="267">
        <v>7999</v>
      </c>
      <c r="C2736" s="267" t="s">
        <v>0</v>
      </c>
      <c r="D2736" s="268" t="str">
        <f>"#"&amp;$S$2&amp;"#"&amp;$T$2&amp;"\"&amp;$P$2&amp;"\Err_Canal_01"</f>
        <v>#2#treiOPCDA.CoOPCserv.1\pcmaster\BR12\Err_Canal_01</v>
      </c>
    </row>
    <row r="2737" spans="1:4">
      <c r="A2737" s="269" t="str">
        <f t="shared" si="43"/>
        <v>Диагностика.TREI.BR12.Err_Canal_01</v>
      </c>
      <c r="B2737" s="270">
        <v>7998</v>
      </c>
      <c r="C2737" s="270" t="s">
        <v>6</v>
      </c>
      <c r="D2737" s="271">
        <v>1</v>
      </c>
    </row>
    <row r="2738" spans="1:4">
      <c r="A2738" s="269" t="str">
        <f t="shared" si="43"/>
        <v>Диагностика.TREI.BR12.Err_Canal_01</v>
      </c>
      <c r="B2738" s="270">
        <v>101</v>
      </c>
      <c r="C2738" s="270" t="s">
        <v>0</v>
      </c>
      <c r="D2738" s="271" t="s">
        <v>1442</v>
      </c>
    </row>
    <row r="2739" spans="1:4">
      <c r="A2739" s="269" t="str">
        <f t="shared" si="43"/>
        <v>Диагностика.TREI.BR12.Err_Canal_01</v>
      </c>
      <c r="B2739" s="270">
        <v>3</v>
      </c>
      <c r="C2739" s="270" t="s">
        <v>1</v>
      </c>
      <c r="D2739" s="271">
        <v>192</v>
      </c>
    </row>
    <row r="2740" spans="1:4">
      <c r="A2740" s="269" t="str">
        <f t="shared" si="43"/>
        <v>Диагностика.TREI.BR12.Err_Canal_01</v>
      </c>
      <c r="B2740" s="270">
        <v>2</v>
      </c>
      <c r="C2740" s="270" t="s">
        <v>6</v>
      </c>
      <c r="D2740" s="271">
        <v>0</v>
      </c>
    </row>
    <row r="2741" spans="1:4">
      <c r="A2741" s="272" t="str">
        <f t="shared" si="43"/>
        <v>Диагностика.TREI.BR12.Err_Canal_01</v>
      </c>
      <c r="B2741" s="273">
        <v>1</v>
      </c>
      <c r="C2741" s="273" t="s">
        <v>1</v>
      </c>
      <c r="D2741" s="274">
        <v>3</v>
      </c>
    </row>
    <row r="2742" spans="1:4">
      <c r="A2742" s="266" t="str">
        <f t="shared" ref="A2742:A2747" si="44">$R$2&amp;"."&amp;$P$2&amp;".Err_Canal_02"</f>
        <v>Диагностика.TREI.BR12.Err_Canal_02</v>
      </c>
      <c r="B2742" s="267">
        <v>7999</v>
      </c>
      <c r="C2742" s="267" t="s">
        <v>0</v>
      </c>
      <c r="D2742" s="268" t="str">
        <f>"#"&amp;$S$2&amp;"#"&amp;$T$2&amp;"\"&amp;$P$2&amp;"\Err_Canal_02"</f>
        <v>#2#treiOPCDA.CoOPCserv.1\pcmaster\BR12\Err_Canal_02</v>
      </c>
    </row>
    <row r="2743" spans="1:4">
      <c r="A2743" s="269" t="str">
        <f t="shared" si="44"/>
        <v>Диагностика.TREI.BR12.Err_Canal_02</v>
      </c>
      <c r="B2743" s="270">
        <v>7998</v>
      </c>
      <c r="C2743" s="270" t="s">
        <v>6</v>
      </c>
      <c r="D2743" s="271">
        <v>1</v>
      </c>
    </row>
    <row r="2744" spans="1:4">
      <c r="A2744" s="269" t="str">
        <f t="shared" si="44"/>
        <v>Диагностика.TREI.BR12.Err_Canal_02</v>
      </c>
      <c r="B2744" s="270">
        <v>101</v>
      </c>
      <c r="C2744" s="270" t="s">
        <v>0</v>
      </c>
      <c r="D2744" s="271" t="s">
        <v>1443</v>
      </c>
    </row>
    <row r="2745" spans="1:4">
      <c r="A2745" s="269" t="str">
        <f t="shared" si="44"/>
        <v>Диагностика.TREI.BR12.Err_Canal_02</v>
      </c>
      <c r="B2745" s="270">
        <v>3</v>
      </c>
      <c r="C2745" s="270" t="s">
        <v>1</v>
      </c>
      <c r="D2745" s="271">
        <v>192</v>
      </c>
    </row>
    <row r="2746" spans="1:4">
      <c r="A2746" s="269" t="str">
        <f t="shared" si="44"/>
        <v>Диагностика.TREI.BR12.Err_Canal_02</v>
      </c>
      <c r="B2746" s="270">
        <v>2</v>
      </c>
      <c r="C2746" s="270" t="s">
        <v>6</v>
      </c>
      <c r="D2746" s="271">
        <v>0</v>
      </c>
    </row>
    <row r="2747" spans="1:4">
      <c r="A2747" s="272" t="str">
        <f t="shared" si="44"/>
        <v>Диагностика.TREI.BR12.Err_Canal_02</v>
      </c>
      <c r="B2747" s="273">
        <v>1</v>
      </c>
      <c r="C2747" s="273" t="s">
        <v>1</v>
      </c>
      <c r="D2747" s="274">
        <v>3</v>
      </c>
    </row>
    <row r="2748" spans="1:4">
      <c r="A2748" s="266" t="str">
        <f t="shared" ref="A2748:A2753" si="45">$R$2&amp;"."&amp;$P$2&amp;".Err_Canal_03"</f>
        <v>Диагностика.TREI.BR12.Err_Canal_03</v>
      </c>
      <c r="B2748" s="267">
        <v>7999</v>
      </c>
      <c r="C2748" s="267" t="s">
        <v>0</v>
      </c>
      <c r="D2748" s="268" t="str">
        <f>"#"&amp;$S$2&amp;"#"&amp;$T$2&amp;"\"&amp;$P$2&amp;"\Err_Canal_03"</f>
        <v>#2#treiOPCDA.CoOPCserv.1\pcmaster\BR12\Err_Canal_03</v>
      </c>
    </row>
    <row r="2749" spans="1:4">
      <c r="A2749" s="269" t="str">
        <f t="shared" si="45"/>
        <v>Диагностика.TREI.BR12.Err_Canal_03</v>
      </c>
      <c r="B2749" s="270">
        <v>7998</v>
      </c>
      <c r="C2749" s="270" t="s">
        <v>6</v>
      </c>
      <c r="D2749" s="271">
        <v>1</v>
      </c>
    </row>
    <row r="2750" spans="1:4">
      <c r="A2750" s="269" t="str">
        <f t="shared" si="45"/>
        <v>Диагностика.TREI.BR12.Err_Canal_03</v>
      </c>
      <c r="B2750" s="270">
        <v>101</v>
      </c>
      <c r="C2750" s="270" t="s">
        <v>0</v>
      </c>
      <c r="D2750" s="271" t="s">
        <v>1444</v>
      </c>
    </row>
    <row r="2751" spans="1:4">
      <c r="A2751" s="269" t="str">
        <f t="shared" si="45"/>
        <v>Диагностика.TREI.BR12.Err_Canal_03</v>
      </c>
      <c r="B2751" s="270">
        <v>3</v>
      </c>
      <c r="C2751" s="270" t="s">
        <v>1</v>
      </c>
      <c r="D2751" s="271">
        <v>192</v>
      </c>
    </row>
    <row r="2752" spans="1:4">
      <c r="A2752" s="269" t="str">
        <f t="shared" si="45"/>
        <v>Диагностика.TREI.BR12.Err_Canal_03</v>
      </c>
      <c r="B2752" s="270">
        <v>2</v>
      </c>
      <c r="C2752" s="270" t="s">
        <v>6</v>
      </c>
      <c r="D2752" s="271">
        <v>0</v>
      </c>
    </row>
    <row r="2753" spans="1:4">
      <c r="A2753" s="272" t="str">
        <f t="shared" si="45"/>
        <v>Диагностика.TREI.BR12.Err_Canal_03</v>
      </c>
      <c r="B2753" s="273">
        <v>1</v>
      </c>
      <c r="C2753" s="273" t="s">
        <v>1</v>
      </c>
      <c r="D2753" s="274">
        <v>3</v>
      </c>
    </row>
    <row r="2754" spans="1:4">
      <c r="A2754" s="266" t="str">
        <f t="shared" ref="A2754:A2759" si="46">$R$2&amp;"."&amp;$P$2&amp;".Err_Canal_04"</f>
        <v>Диагностика.TREI.BR12.Err_Canal_04</v>
      </c>
      <c r="B2754" s="267">
        <v>7999</v>
      </c>
      <c r="C2754" s="267" t="s">
        <v>0</v>
      </c>
      <c r="D2754" s="268" t="str">
        <f>"#"&amp;$S$2&amp;"#"&amp;$T$2&amp;"\"&amp;$P$2&amp;"\Err_Canal_04"</f>
        <v>#2#treiOPCDA.CoOPCserv.1\pcmaster\BR12\Err_Canal_04</v>
      </c>
    </row>
    <row r="2755" spans="1:4">
      <c r="A2755" s="269" t="str">
        <f t="shared" si="46"/>
        <v>Диагностика.TREI.BR12.Err_Canal_04</v>
      </c>
      <c r="B2755" s="270">
        <v>7998</v>
      </c>
      <c r="C2755" s="270" t="s">
        <v>6</v>
      </c>
      <c r="D2755" s="271">
        <v>1</v>
      </c>
    </row>
    <row r="2756" spans="1:4">
      <c r="A2756" s="269" t="str">
        <f t="shared" si="46"/>
        <v>Диагностика.TREI.BR12.Err_Canal_04</v>
      </c>
      <c r="B2756" s="270">
        <v>101</v>
      </c>
      <c r="C2756" s="270" t="s">
        <v>0</v>
      </c>
      <c r="D2756" s="271" t="s">
        <v>1445</v>
      </c>
    </row>
    <row r="2757" spans="1:4">
      <c r="A2757" s="269" t="str">
        <f t="shared" si="46"/>
        <v>Диагностика.TREI.BR12.Err_Canal_04</v>
      </c>
      <c r="B2757" s="270">
        <v>3</v>
      </c>
      <c r="C2757" s="270" t="s">
        <v>1</v>
      </c>
      <c r="D2757" s="271">
        <v>192</v>
      </c>
    </row>
    <row r="2758" spans="1:4">
      <c r="A2758" s="269" t="str">
        <f t="shared" si="46"/>
        <v>Диагностика.TREI.BR12.Err_Canal_04</v>
      </c>
      <c r="B2758" s="270">
        <v>2</v>
      </c>
      <c r="C2758" s="270" t="s">
        <v>6</v>
      </c>
      <c r="D2758" s="271">
        <v>0</v>
      </c>
    </row>
    <row r="2759" spans="1:4">
      <c r="A2759" s="272" t="str">
        <f t="shared" si="46"/>
        <v>Диагностика.TREI.BR12.Err_Canal_04</v>
      </c>
      <c r="B2759" s="273">
        <v>1</v>
      </c>
      <c r="C2759" s="273" t="s">
        <v>1</v>
      </c>
      <c r="D2759" s="274">
        <v>3</v>
      </c>
    </row>
    <row r="2760" spans="1:4">
      <c r="A2760" s="266" t="str">
        <f t="shared" ref="A2760:A2765" si="47">$R$2&amp;"."&amp;$P$2&amp;".Err_Canal_05"</f>
        <v>Диагностика.TREI.BR12.Err_Canal_05</v>
      </c>
      <c r="B2760" s="267">
        <v>7999</v>
      </c>
      <c r="C2760" s="267" t="s">
        <v>0</v>
      </c>
      <c r="D2760" s="268" t="str">
        <f>"#"&amp;$S$2&amp;"#"&amp;$T$2&amp;"\"&amp;$P$2&amp;"\Err_Canal_05"</f>
        <v>#2#treiOPCDA.CoOPCserv.1\pcmaster\BR12\Err_Canal_05</v>
      </c>
    </row>
    <row r="2761" spans="1:4">
      <c r="A2761" s="269" t="str">
        <f t="shared" si="47"/>
        <v>Диагностика.TREI.BR12.Err_Canal_05</v>
      </c>
      <c r="B2761" s="270">
        <v>7998</v>
      </c>
      <c r="C2761" s="270" t="s">
        <v>6</v>
      </c>
      <c r="D2761" s="271">
        <v>1</v>
      </c>
    </row>
    <row r="2762" spans="1:4">
      <c r="A2762" s="269" t="str">
        <f t="shared" si="47"/>
        <v>Диагностика.TREI.BR12.Err_Canal_05</v>
      </c>
      <c r="B2762" s="270">
        <v>101</v>
      </c>
      <c r="C2762" s="270" t="s">
        <v>0</v>
      </c>
      <c r="D2762" s="271" t="s">
        <v>1446</v>
      </c>
    </row>
    <row r="2763" spans="1:4">
      <c r="A2763" s="269" t="str">
        <f t="shared" si="47"/>
        <v>Диагностика.TREI.BR12.Err_Canal_05</v>
      </c>
      <c r="B2763" s="270">
        <v>3</v>
      </c>
      <c r="C2763" s="270" t="s">
        <v>1</v>
      </c>
      <c r="D2763" s="271">
        <v>192</v>
      </c>
    </row>
    <row r="2764" spans="1:4">
      <c r="A2764" s="269" t="str">
        <f t="shared" si="47"/>
        <v>Диагностика.TREI.BR12.Err_Canal_05</v>
      </c>
      <c r="B2764" s="270">
        <v>2</v>
      </c>
      <c r="C2764" s="270" t="s">
        <v>6</v>
      </c>
      <c r="D2764" s="271">
        <v>0</v>
      </c>
    </row>
    <row r="2765" spans="1:4">
      <c r="A2765" s="272" t="str">
        <f t="shared" si="47"/>
        <v>Диагностика.TREI.BR12.Err_Canal_05</v>
      </c>
      <c r="B2765" s="273">
        <v>1</v>
      </c>
      <c r="C2765" s="273" t="s">
        <v>1</v>
      </c>
      <c r="D2765" s="274">
        <v>3</v>
      </c>
    </row>
    <row r="2766" spans="1:4">
      <c r="A2766" s="266" t="str">
        <f t="shared" ref="A2766:A2771" si="48">$R$2&amp;"."&amp;$P$2&amp;".Err_Canal_06"</f>
        <v>Диагностика.TREI.BR12.Err_Canal_06</v>
      </c>
      <c r="B2766" s="267">
        <v>7999</v>
      </c>
      <c r="C2766" s="267" t="s">
        <v>0</v>
      </c>
      <c r="D2766" s="268" t="str">
        <f>"#"&amp;$S$2&amp;"#"&amp;$T$2&amp;"\"&amp;$P$2&amp;"\Err_Canal_06"</f>
        <v>#2#treiOPCDA.CoOPCserv.1\pcmaster\BR12\Err_Canal_06</v>
      </c>
    </row>
    <row r="2767" spans="1:4">
      <c r="A2767" s="269" t="str">
        <f t="shared" si="48"/>
        <v>Диагностика.TREI.BR12.Err_Canal_06</v>
      </c>
      <c r="B2767" s="270">
        <v>7998</v>
      </c>
      <c r="C2767" s="270" t="s">
        <v>6</v>
      </c>
      <c r="D2767" s="271">
        <v>1</v>
      </c>
    </row>
    <row r="2768" spans="1:4">
      <c r="A2768" s="269" t="str">
        <f t="shared" si="48"/>
        <v>Диагностика.TREI.BR12.Err_Canal_06</v>
      </c>
      <c r="B2768" s="270">
        <v>101</v>
      </c>
      <c r="C2768" s="270" t="s">
        <v>0</v>
      </c>
      <c r="D2768" s="271" t="s">
        <v>1447</v>
      </c>
    </row>
    <row r="2769" spans="1:4">
      <c r="A2769" s="269" t="str">
        <f t="shared" si="48"/>
        <v>Диагностика.TREI.BR12.Err_Canal_06</v>
      </c>
      <c r="B2769" s="270">
        <v>3</v>
      </c>
      <c r="C2769" s="270" t="s">
        <v>1</v>
      </c>
      <c r="D2769" s="271">
        <v>192</v>
      </c>
    </row>
    <row r="2770" spans="1:4">
      <c r="A2770" s="269" t="str">
        <f t="shared" si="48"/>
        <v>Диагностика.TREI.BR12.Err_Canal_06</v>
      </c>
      <c r="B2770" s="270">
        <v>2</v>
      </c>
      <c r="C2770" s="270" t="s">
        <v>6</v>
      </c>
      <c r="D2770" s="271">
        <v>0</v>
      </c>
    </row>
    <row r="2771" spans="1:4">
      <c r="A2771" s="272" t="str">
        <f t="shared" si="48"/>
        <v>Диагностика.TREI.BR12.Err_Canal_06</v>
      </c>
      <c r="B2771" s="273">
        <v>1</v>
      </c>
      <c r="C2771" s="273" t="s">
        <v>1</v>
      </c>
      <c r="D2771" s="274">
        <v>3</v>
      </c>
    </row>
    <row r="2772" spans="1:4">
      <c r="A2772" s="266" t="str">
        <f t="shared" ref="A2772:A2777" si="49">$R$2&amp;"."&amp;$P$2&amp;".Err_Canal_07"</f>
        <v>Диагностика.TREI.BR12.Err_Canal_07</v>
      </c>
      <c r="B2772" s="267">
        <v>7999</v>
      </c>
      <c r="C2772" s="267" t="s">
        <v>0</v>
      </c>
      <c r="D2772" s="268" t="str">
        <f>"#"&amp;$S$2&amp;"#"&amp;$T$2&amp;"\"&amp;$P$2&amp;"\Err_Canal_07"</f>
        <v>#2#treiOPCDA.CoOPCserv.1\pcmaster\BR12\Err_Canal_07</v>
      </c>
    </row>
    <row r="2773" spans="1:4">
      <c r="A2773" s="269" t="str">
        <f t="shared" si="49"/>
        <v>Диагностика.TREI.BR12.Err_Canal_07</v>
      </c>
      <c r="B2773" s="270">
        <v>7998</v>
      </c>
      <c r="C2773" s="270" t="s">
        <v>6</v>
      </c>
      <c r="D2773" s="271">
        <v>1</v>
      </c>
    </row>
    <row r="2774" spans="1:4">
      <c r="A2774" s="269" t="str">
        <f t="shared" si="49"/>
        <v>Диагностика.TREI.BR12.Err_Canal_07</v>
      </c>
      <c r="B2774" s="270">
        <v>101</v>
      </c>
      <c r="C2774" s="270" t="s">
        <v>0</v>
      </c>
      <c r="D2774" s="271" t="s">
        <v>1448</v>
      </c>
    </row>
    <row r="2775" spans="1:4">
      <c r="A2775" s="269" t="str">
        <f t="shared" si="49"/>
        <v>Диагностика.TREI.BR12.Err_Canal_07</v>
      </c>
      <c r="B2775" s="270">
        <v>3</v>
      </c>
      <c r="C2775" s="270" t="s">
        <v>1</v>
      </c>
      <c r="D2775" s="271">
        <v>192</v>
      </c>
    </row>
    <row r="2776" spans="1:4">
      <c r="A2776" s="269" t="str">
        <f t="shared" si="49"/>
        <v>Диагностика.TREI.BR12.Err_Canal_07</v>
      </c>
      <c r="B2776" s="270">
        <v>2</v>
      </c>
      <c r="C2776" s="270" t="s">
        <v>6</v>
      </c>
      <c r="D2776" s="271">
        <v>0</v>
      </c>
    </row>
    <row r="2777" spans="1:4">
      <c r="A2777" s="272" t="str">
        <f t="shared" si="49"/>
        <v>Диагностика.TREI.BR12.Err_Canal_07</v>
      </c>
      <c r="B2777" s="273">
        <v>1</v>
      </c>
      <c r="C2777" s="273" t="s">
        <v>1</v>
      </c>
      <c r="D2777" s="274">
        <v>3</v>
      </c>
    </row>
    <row r="2778" spans="1:4">
      <c r="A2778" s="266" t="str">
        <f t="shared" ref="A2778:A2783" si="50">$R$2&amp;"."&amp;$P$2&amp;".Err_Canal_08"</f>
        <v>Диагностика.TREI.BR12.Err_Canal_08</v>
      </c>
      <c r="B2778" s="267">
        <v>7999</v>
      </c>
      <c r="C2778" s="267" t="s">
        <v>0</v>
      </c>
      <c r="D2778" s="268" t="str">
        <f>"#"&amp;$S$2&amp;"#"&amp;$T$2&amp;"\"&amp;$P$2&amp;"\Err_Canal_08"</f>
        <v>#2#treiOPCDA.CoOPCserv.1\pcmaster\BR12\Err_Canal_08</v>
      </c>
    </row>
    <row r="2779" spans="1:4">
      <c r="A2779" s="269" t="str">
        <f t="shared" si="50"/>
        <v>Диагностика.TREI.BR12.Err_Canal_08</v>
      </c>
      <c r="B2779" s="270">
        <v>7998</v>
      </c>
      <c r="C2779" s="270" t="s">
        <v>6</v>
      </c>
      <c r="D2779" s="271">
        <v>1</v>
      </c>
    </row>
    <row r="2780" spans="1:4">
      <c r="A2780" s="269" t="str">
        <f t="shared" si="50"/>
        <v>Диагностика.TREI.BR12.Err_Canal_08</v>
      </c>
      <c r="B2780" s="270">
        <v>101</v>
      </c>
      <c r="C2780" s="270" t="s">
        <v>0</v>
      </c>
      <c r="D2780" s="271" t="s">
        <v>1449</v>
      </c>
    </row>
    <row r="2781" spans="1:4">
      <c r="A2781" s="269" t="str">
        <f t="shared" si="50"/>
        <v>Диагностика.TREI.BR12.Err_Canal_08</v>
      </c>
      <c r="B2781" s="270">
        <v>3</v>
      </c>
      <c r="C2781" s="270" t="s">
        <v>1</v>
      </c>
      <c r="D2781" s="271">
        <v>192</v>
      </c>
    </row>
    <row r="2782" spans="1:4">
      <c r="A2782" s="269" t="str">
        <f t="shared" si="50"/>
        <v>Диагностика.TREI.BR12.Err_Canal_08</v>
      </c>
      <c r="B2782" s="270">
        <v>2</v>
      </c>
      <c r="C2782" s="270" t="s">
        <v>6</v>
      </c>
      <c r="D2782" s="271">
        <v>0</v>
      </c>
    </row>
    <row r="2783" spans="1:4">
      <c r="A2783" s="272" t="str">
        <f t="shared" si="50"/>
        <v>Диагностика.TREI.BR12.Err_Canal_08</v>
      </c>
      <c r="B2783" s="273">
        <v>1</v>
      </c>
      <c r="C2783" s="273" t="s">
        <v>1</v>
      </c>
      <c r="D2783" s="274">
        <v>3</v>
      </c>
    </row>
    <row r="2784" spans="1:4">
      <c r="A2784" s="266" t="str">
        <f t="shared" ref="A2784:A2789" si="51">$R$2&amp;"."&amp;$P$2&amp;".Err_Canal_09"</f>
        <v>Диагностика.TREI.BR12.Err_Canal_09</v>
      </c>
      <c r="B2784" s="267">
        <v>7999</v>
      </c>
      <c r="C2784" s="267" t="s">
        <v>0</v>
      </c>
      <c r="D2784" s="268" t="str">
        <f>"#"&amp;$S$2&amp;"#"&amp;$T$2&amp;"\"&amp;$P$2&amp;"\Err_Canal_09"</f>
        <v>#2#treiOPCDA.CoOPCserv.1\pcmaster\BR12\Err_Canal_09</v>
      </c>
    </row>
    <row r="2785" spans="1:4">
      <c r="A2785" s="269" t="str">
        <f t="shared" si="51"/>
        <v>Диагностика.TREI.BR12.Err_Canal_09</v>
      </c>
      <c r="B2785" s="270">
        <v>7998</v>
      </c>
      <c r="C2785" s="270" t="s">
        <v>6</v>
      </c>
      <c r="D2785" s="271">
        <v>1</v>
      </c>
    </row>
    <row r="2786" spans="1:4">
      <c r="A2786" s="269" t="str">
        <f t="shared" si="51"/>
        <v>Диагностика.TREI.BR12.Err_Canal_09</v>
      </c>
      <c r="B2786" s="270">
        <v>101</v>
      </c>
      <c r="C2786" s="270" t="s">
        <v>0</v>
      </c>
      <c r="D2786" s="271" t="s">
        <v>1450</v>
      </c>
    </row>
    <row r="2787" spans="1:4">
      <c r="A2787" s="269" t="str">
        <f t="shared" si="51"/>
        <v>Диагностика.TREI.BR12.Err_Canal_09</v>
      </c>
      <c r="B2787" s="270">
        <v>3</v>
      </c>
      <c r="C2787" s="270" t="s">
        <v>1</v>
      </c>
      <c r="D2787" s="271">
        <v>192</v>
      </c>
    </row>
    <row r="2788" spans="1:4">
      <c r="A2788" s="269" t="str">
        <f t="shared" si="51"/>
        <v>Диагностика.TREI.BR12.Err_Canal_09</v>
      </c>
      <c r="B2788" s="270">
        <v>2</v>
      </c>
      <c r="C2788" s="270" t="s">
        <v>6</v>
      </c>
      <c r="D2788" s="271">
        <v>0</v>
      </c>
    </row>
    <row r="2789" spans="1:4">
      <c r="A2789" s="272" t="str">
        <f t="shared" si="51"/>
        <v>Диагностика.TREI.BR12.Err_Canal_09</v>
      </c>
      <c r="B2789" s="273">
        <v>1</v>
      </c>
      <c r="C2789" s="273" t="s">
        <v>1</v>
      </c>
      <c r="D2789" s="274">
        <v>3</v>
      </c>
    </row>
    <row r="2790" spans="1:4">
      <c r="A2790" s="266" t="str">
        <f t="shared" ref="A2790:A2795" si="52">$R$2&amp;"."&amp;$P$2&amp;".Err_Canal_10"</f>
        <v>Диагностика.TREI.BR12.Err_Canal_10</v>
      </c>
      <c r="B2790" s="267">
        <v>7999</v>
      </c>
      <c r="C2790" s="267" t="s">
        <v>0</v>
      </c>
      <c r="D2790" s="268" t="str">
        <f>"#"&amp;$S$2&amp;"#"&amp;$T$2&amp;"\"&amp;$P$2&amp;"\Err_Canal_10"</f>
        <v>#2#treiOPCDA.CoOPCserv.1\pcmaster\BR12\Err_Canal_10</v>
      </c>
    </row>
    <row r="2791" spans="1:4">
      <c r="A2791" s="269" t="str">
        <f t="shared" si="52"/>
        <v>Диагностика.TREI.BR12.Err_Canal_10</v>
      </c>
      <c r="B2791" s="270">
        <v>7998</v>
      </c>
      <c r="C2791" s="270" t="s">
        <v>6</v>
      </c>
      <c r="D2791" s="271">
        <v>1</v>
      </c>
    </row>
    <row r="2792" spans="1:4">
      <c r="A2792" s="269" t="str">
        <f t="shared" si="52"/>
        <v>Диагностика.TREI.BR12.Err_Canal_10</v>
      </c>
      <c r="B2792" s="270">
        <v>101</v>
      </c>
      <c r="C2792" s="270" t="s">
        <v>0</v>
      </c>
      <c r="D2792" s="271" t="s">
        <v>1451</v>
      </c>
    </row>
    <row r="2793" spans="1:4">
      <c r="A2793" s="269" t="str">
        <f t="shared" si="52"/>
        <v>Диагностика.TREI.BR12.Err_Canal_10</v>
      </c>
      <c r="B2793" s="270">
        <v>3</v>
      </c>
      <c r="C2793" s="270" t="s">
        <v>1</v>
      </c>
      <c r="D2793" s="271">
        <v>192</v>
      </c>
    </row>
    <row r="2794" spans="1:4">
      <c r="A2794" s="269" t="str">
        <f t="shared" si="52"/>
        <v>Диагностика.TREI.BR12.Err_Canal_10</v>
      </c>
      <c r="B2794" s="270">
        <v>2</v>
      </c>
      <c r="C2794" s="270" t="s">
        <v>6</v>
      </c>
      <c r="D2794" s="271">
        <v>0</v>
      </c>
    </row>
    <row r="2795" spans="1:4">
      <c r="A2795" s="272" t="str">
        <f t="shared" si="52"/>
        <v>Диагностика.TREI.BR12.Err_Canal_10</v>
      </c>
      <c r="B2795" s="273">
        <v>1</v>
      </c>
      <c r="C2795" s="273" t="s">
        <v>1</v>
      </c>
      <c r="D2795" s="274">
        <v>3</v>
      </c>
    </row>
    <row r="2796" spans="1:4">
      <c r="A2796" s="266" t="str">
        <f t="shared" ref="A2796:A2801" si="53">$R$2&amp;"."&amp;$P$2&amp;".Err_Canal_11"</f>
        <v>Диагностика.TREI.BR12.Err_Canal_11</v>
      </c>
      <c r="B2796" s="267">
        <v>7999</v>
      </c>
      <c r="C2796" s="267" t="s">
        <v>0</v>
      </c>
      <c r="D2796" s="268" t="str">
        <f>"#"&amp;$S$2&amp;"#"&amp;$T$2&amp;"\"&amp;$P$2&amp;"\Err_Canal_11"</f>
        <v>#2#treiOPCDA.CoOPCserv.1\pcmaster\BR12\Err_Canal_11</v>
      </c>
    </row>
    <row r="2797" spans="1:4">
      <c r="A2797" s="269" t="str">
        <f t="shared" si="53"/>
        <v>Диагностика.TREI.BR12.Err_Canal_11</v>
      </c>
      <c r="B2797" s="270">
        <v>7998</v>
      </c>
      <c r="C2797" s="270" t="s">
        <v>6</v>
      </c>
      <c r="D2797" s="271">
        <v>1</v>
      </c>
    </row>
    <row r="2798" spans="1:4">
      <c r="A2798" s="269" t="str">
        <f t="shared" si="53"/>
        <v>Диагностика.TREI.BR12.Err_Canal_11</v>
      </c>
      <c r="B2798" s="270">
        <v>101</v>
      </c>
      <c r="C2798" s="270" t="s">
        <v>0</v>
      </c>
      <c r="D2798" s="271" t="s">
        <v>1452</v>
      </c>
    </row>
    <row r="2799" spans="1:4">
      <c r="A2799" s="269" t="str">
        <f t="shared" si="53"/>
        <v>Диагностика.TREI.BR12.Err_Canal_11</v>
      </c>
      <c r="B2799" s="270">
        <v>3</v>
      </c>
      <c r="C2799" s="270" t="s">
        <v>1</v>
      </c>
      <c r="D2799" s="271">
        <v>192</v>
      </c>
    </row>
    <row r="2800" spans="1:4">
      <c r="A2800" s="269" t="str">
        <f t="shared" si="53"/>
        <v>Диагностика.TREI.BR12.Err_Canal_11</v>
      </c>
      <c r="B2800" s="270">
        <v>2</v>
      </c>
      <c r="C2800" s="270" t="s">
        <v>6</v>
      </c>
      <c r="D2800" s="271">
        <v>0</v>
      </c>
    </row>
    <row r="2801" spans="1:4">
      <c r="A2801" s="272" t="str">
        <f t="shared" si="53"/>
        <v>Диагностика.TREI.BR12.Err_Canal_11</v>
      </c>
      <c r="B2801" s="273">
        <v>1</v>
      </c>
      <c r="C2801" s="273" t="s">
        <v>1</v>
      </c>
      <c r="D2801" s="274">
        <v>3</v>
      </c>
    </row>
    <row r="2802" spans="1:4">
      <c r="A2802" s="266" t="str">
        <f t="shared" ref="A2802:A2807" si="54">$R$2&amp;"."&amp;$P$2&amp;".Err_Canal_12"</f>
        <v>Диагностика.TREI.BR12.Err_Canal_12</v>
      </c>
      <c r="B2802" s="267">
        <v>7999</v>
      </c>
      <c r="C2802" s="267" t="s">
        <v>0</v>
      </c>
      <c r="D2802" s="268" t="str">
        <f>"#"&amp;$S$2&amp;"#"&amp;$T$2&amp;"\"&amp;$P$2&amp;"\Err_Canal_12"</f>
        <v>#2#treiOPCDA.CoOPCserv.1\pcmaster\BR12\Err_Canal_12</v>
      </c>
    </row>
    <row r="2803" spans="1:4">
      <c r="A2803" s="269" t="str">
        <f t="shared" si="54"/>
        <v>Диагностика.TREI.BR12.Err_Canal_12</v>
      </c>
      <c r="B2803" s="270">
        <v>7998</v>
      </c>
      <c r="C2803" s="270" t="s">
        <v>6</v>
      </c>
      <c r="D2803" s="271">
        <v>1</v>
      </c>
    </row>
    <row r="2804" spans="1:4">
      <c r="A2804" s="269" t="str">
        <f t="shared" si="54"/>
        <v>Диагностика.TREI.BR12.Err_Canal_12</v>
      </c>
      <c r="B2804" s="270">
        <v>101</v>
      </c>
      <c r="C2804" s="270" t="s">
        <v>0</v>
      </c>
      <c r="D2804" s="271" t="s">
        <v>1453</v>
      </c>
    </row>
    <row r="2805" spans="1:4">
      <c r="A2805" s="269" t="str">
        <f t="shared" si="54"/>
        <v>Диагностика.TREI.BR12.Err_Canal_12</v>
      </c>
      <c r="B2805" s="270">
        <v>3</v>
      </c>
      <c r="C2805" s="270" t="s">
        <v>1</v>
      </c>
      <c r="D2805" s="271">
        <v>192</v>
      </c>
    </row>
    <row r="2806" spans="1:4">
      <c r="A2806" s="269" t="str">
        <f t="shared" si="54"/>
        <v>Диагностика.TREI.BR12.Err_Canal_12</v>
      </c>
      <c r="B2806" s="270">
        <v>2</v>
      </c>
      <c r="C2806" s="270" t="s">
        <v>6</v>
      </c>
      <c r="D2806" s="271">
        <v>0</v>
      </c>
    </row>
    <row r="2807" spans="1:4">
      <c r="A2807" s="272" t="str">
        <f t="shared" si="54"/>
        <v>Диагностика.TREI.BR12.Err_Canal_12</v>
      </c>
      <c r="B2807" s="273">
        <v>1</v>
      </c>
      <c r="C2807" s="273" t="s">
        <v>1</v>
      </c>
      <c r="D2807" s="274">
        <v>3</v>
      </c>
    </row>
    <row r="2808" spans="1:4">
      <c r="A2808" s="266" t="str">
        <f t="shared" ref="A2808:A2813" si="55">$R$2&amp;"."&amp;$P$2&amp;".Err_Canal_13"</f>
        <v>Диагностика.TREI.BR12.Err_Canal_13</v>
      </c>
      <c r="B2808" s="267">
        <v>7999</v>
      </c>
      <c r="C2808" s="267" t="s">
        <v>0</v>
      </c>
      <c r="D2808" s="268" t="str">
        <f>"#"&amp;$S$2&amp;"#"&amp;$T$2&amp;"\"&amp;$P$2&amp;"\Err_Canal_13"</f>
        <v>#2#treiOPCDA.CoOPCserv.1\pcmaster\BR12\Err_Canal_13</v>
      </c>
    </row>
    <row r="2809" spans="1:4">
      <c r="A2809" s="269" t="str">
        <f t="shared" si="55"/>
        <v>Диагностика.TREI.BR12.Err_Canal_13</v>
      </c>
      <c r="B2809" s="270">
        <v>7998</v>
      </c>
      <c r="C2809" s="270" t="s">
        <v>6</v>
      </c>
      <c r="D2809" s="271">
        <v>1</v>
      </c>
    </row>
    <row r="2810" spans="1:4">
      <c r="A2810" s="269" t="str">
        <f t="shared" si="55"/>
        <v>Диагностика.TREI.BR12.Err_Canal_13</v>
      </c>
      <c r="B2810" s="270">
        <v>101</v>
      </c>
      <c r="C2810" s="270" t="s">
        <v>0</v>
      </c>
      <c r="D2810" s="271" t="s">
        <v>1454</v>
      </c>
    </row>
    <row r="2811" spans="1:4">
      <c r="A2811" s="269" t="str">
        <f t="shared" si="55"/>
        <v>Диагностика.TREI.BR12.Err_Canal_13</v>
      </c>
      <c r="B2811" s="270">
        <v>3</v>
      </c>
      <c r="C2811" s="270" t="s">
        <v>1</v>
      </c>
      <c r="D2811" s="271">
        <v>192</v>
      </c>
    </row>
    <row r="2812" spans="1:4">
      <c r="A2812" s="269" t="str">
        <f t="shared" si="55"/>
        <v>Диагностика.TREI.BR12.Err_Canal_13</v>
      </c>
      <c r="B2812" s="270">
        <v>2</v>
      </c>
      <c r="C2812" s="270" t="s">
        <v>6</v>
      </c>
      <c r="D2812" s="271">
        <v>0</v>
      </c>
    </row>
    <row r="2813" spans="1:4">
      <c r="A2813" s="272" t="str">
        <f t="shared" si="55"/>
        <v>Диагностика.TREI.BR12.Err_Canal_13</v>
      </c>
      <c r="B2813" s="273">
        <v>1</v>
      </c>
      <c r="C2813" s="273" t="s">
        <v>1</v>
      </c>
      <c r="D2813" s="274">
        <v>3</v>
      </c>
    </row>
    <row r="2814" spans="1:4">
      <c r="A2814" s="266" t="str">
        <f t="shared" ref="A2814:A2819" si="56">$R$2&amp;"."&amp;$P$2&amp;".Err_Canal_14"</f>
        <v>Диагностика.TREI.BR12.Err_Canal_14</v>
      </c>
      <c r="B2814" s="267">
        <v>7999</v>
      </c>
      <c r="C2814" s="267" t="s">
        <v>0</v>
      </c>
      <c r="D2814" s="268" t="str">
        <f>"#"&amp;$S$2&amp;"#"&amp;$T$2&amp;"\"&amp;$P$2&amp;"\Err_Canal_14"</f>
        <v>#2#treiOPCDA.CoOPCserv.1\pcmaster\BR12\Err_Canal_14</v>
      </c>
    </row>
    <row r="2815" spans="1:4">
      <c r="A2815" s="269" t="str">
        <f t="shared" si="56"/>
        <v>Диагностика.TREI.BR12.Err_Canal_14</v>
      </c>
      <c r="B2815" s="270">
        <v>7998</v>
      </c>
      <c r="C2815" s="270" t="s">
        <v>6</v>
      </c>
      <c r="D2815" s="271">
        <v>1</v>
      </c>
    </row>
    <row r="2816" spans="1:4">
      <c r="A2816" s="269" t="str">
        <f t="shared" si="56"/>
        <v>Диагностика.TREI.BR12.Err_Canal_14</v>
      </c>
      <c r="B2816" s="270">
        <v>101</v>
      </c>
      <c r="C2816" s="270" t="s">
        <v>0</v>
      </c>
      <c r="D2816" s="271" t="s">
        <v>1455</v>
      </c>
    </row>
    <row r="2817" spans="1:4">
      <c r="A2817" s="269" t="str">
        <f t="shared" si="56"/>
        <v>Диагностика.TREI.BR12.Err_Canal_14</v>
      </c>
      <c r="B2817" s="270">
        <v>3</v>
      </c>
      <c r="C2817" s="270" t="s">
        <v>1</v>
      </c>
      <c r="D2817" s="271">
        <v>192</v>
      </c>
    </row>
    <row r="2818" spans="1:4">
      <c r="A2818" s="269" t="str">
        <f t="shared" si="56"/>
        <v>Диагностика.TREI.BR12.Err_Canal_14</v>
      </c>
      <c r="B2818" s="270">
        <v>2</v>
      </c>
      <c r="C2818" s="270" t="s">
        <v>6</v>
      </c>
      <c r="D2818" s="271">
        <v>0</v>
      </c>
    </row>
    <row r="2819" spans="1:4">
      <c r="A2819" s="272" t="str">
        <f t="shared" si="56"/>
        <v>Диагностика.TREI.BR12.Err_Canal_14</v>
      </c>
      <c r="B2819" s="273">
        <v>1</v>
      </c>
      <c r="C2819" s="273" t="s">
        <v>1</v>
      </c>
      <c r="D2819" s="274">
        <v>3</v>
      </c>
    </row>
    <row r="2820" spans="1:4">
      <c r="A2820" s="266" t="str">
        <f t="shared" ref="A2820:A2825" si="57">$R$2&amp;"."&amp;$P$2&amp;".Err_Canal_15"</f>
        <v>Диагностика.TREI.BR12.Err_Canal_15</v>
      </c>
      <c r="B2820" s="267">
        <v>7999</v>
      </c>
      <c r="C2820" s="267" t="s">
        <v>0</v>
      </c>
      <c r="D2820" s="268" t="str">
        <f>"#"&amp;$S$2&amp;"#"&amp;$T$2&amp;"\"&amp;$P$2&amp;"\Err_Canal_15"</f>
        <v>#2#treiOPCDA.CoOPCserv.1\pcmaster\BR12\Err_Canal_15</v>
      </c>
    </row>
    <row r="2821" spans="1:4">
      <c r="A2821" s="269" t="str">
        <f t="shared" si="57"/>
        <v>Диагностика.TREI.BR12.Err_Canal_15</v>
      </c>
      <c r="B2821" s="270">
        <v>7998</v>
      </c>
      <c r="C2821" s="270" t="s">
        <v>6</v>
      </c>
      <c r="D2821" s="271">
        <v>1</v>
      </c>
    </row>
    <row r="2822" spans="1:4">
      <c r="A2822" s="269" t="str">
        <f t="shared" si="57"/>
        <v>Диагностика.TREI.BR12.Err_Canal_15</v>
      </c>
      <c r="B2822" s="270">
        <v>101</v>
      </c>
      <c r="C2822" s="270" t="s">
        <v>0</v>
      </c>
      <c r="D2822" s="271" t="s">
        <v>1456</v>
      </c>
    </row>
    <row r="2823" spans="1:4">
      <c r="A2823" s="269" t="str">
        <f t="shared" si="57"/>
        <v>Диагностика.TREI.BR12.Err_Canal_15</v>
      </c>
      <c r="B2823" s="270">
        <v>3</v>
      </c>
      <c r="C2823" s="270" t="s">
        <v>1</v>
      </c>
      <c r="D2823" s="271">
        <v>192</v>
      </c>
    </row>
    <row r="2824" spans="1:4">
      <c r="A2824" s="269" t="str">
        <f t="shared" si="57"/>
        <v>Диагностика.TREI.BR12.Err_Canal_15</v>
      </c>
      <c r="B2824" s="270">
        <v>2</v>
      </c>
      <c r="C2824" s="270" t="s">
        <v>6</v>
      </c>
      <c r="D2824" s="271">
        <v>0</v>
      </c>
    </row>
    <row r="2825" spans="1:4">
      <c r="A2825" s="272" t="str">
        <f t="shared" si="57"/>
        <v>Диагностика.TREI.BR12.Err_Canal_15</v>
      </c>
      <c r="B2825" s="273">
        <v>1</v>
      </c>
      <c r="C2825" s="273" t="s">
        <v>1</v>
      </c>
      <c r="D2825" s="274">
        <v>3</v>
      </c>
    </row>
    <row r="2826" spans="1:4">
      <c r="A2826" s="266" t="str">
        <f t="shared" ref="A2826:A2831" si="58">$R$2&amp;"."&amp;$P$2&amp;".Err_Canal_16"</f>
        <v>Диагностика.TREI.BR12.Err_Canal_16</v>
      </c>
      <c r="B2826" s="267">
        <v>7999</v>
      </c>
      <c r="C2826" s="267" t="s">
        <v>0</v>
      </c>
      <c r="D2826" s="268" t="str">
        <f>"#"&amp;$S$2&amp;"#"&amp;$T$2&amp;"\"&amp;$P$2&amp;"\Err_Canal_16"</f>
        <v>#2#treiOPCDA.CoOPCserv.1\pcmaster\BR12\Err_Canal_16</v>
      </c>
    </row>
    <row r="2827" spans="1:4">
      <c r="A2827" s="269" t="str">
        <f t="shared" si="58"/>
        <v>Диагностика.TREI.BR12.Err_Canal_16</v>
      </c>
      <c r="B2827" s="270">
        <v>7998</v>
      </c>
      <c r="C2827" s="270" t="s">
        <v>6</v>
      </c>
      <c r="D2827" s="271">
        <v>1</v>
      </c>
    </row>
    <row r="2828" spans="1:4">
      <c r="A2828" s="269" t="str">
        <f t="shared" si="58"/>
        <v>Диагностика.TREI.BR12.Err_Canal_16</v>
      </c>
      <c r="B2828" s="270">
        <v>101</v>
      </c>
      <c r="C2828" s="270" t="s">
        <v>0</v>
      </c>
      <c r="D2828" s="271" t="s">
        <v>1457</v>
      </c>
    </row>
    <row r="2829" spans="1:4">
      <c r="A2829" s="269" t="str">
        <f t="shared" si="58"/>
        <v>Диагностика.TREI.BR12.Err_Canal_16</v>
      </c>
      <c r="B2829" s="270">
        <v>3</v>
      </c>
      <c r="C2829" s="270" t="s">
        <v>1</v>
      </c>
      <c r="D2829" s="271">
        <v>192</v>
      </c>
    </row>
    <row r="2830" spans="1:4">
      <c r="A2830" s="269" t="str">
        <f t="shared" si="58"/>
        <v>Диагностика.TREI.BR12.Err_Canal_16</v>
      </c>
      <c r="B2830" s="270">
        <v>2</v>
      </c>
      <c r="C2830" s="270" t="s">
        <v>6</v>
      </c>
      <c r="D2830" s="271">
        <v>0</v>
      </c>
    </row>
    <row r="2831" spans="1:4">
      <c r="A2831" s="272" t="str">
        <f t="shared" si="58"/>
        <v>Диагностика.TREI.BR12.Err_Canal_16</v>
      </c>
      <c r="B2831" s="273">
        <v>1</v>
      </c>
      <c r="C2831" s="273" t="s">
        <v>1</v>
      </c>
      <c r="D2831" s="274">
        <v>3</v>
      </c>
    </row>
    <row r="2832" spans="1:4">
      <c r="A2832" s="512" t="s">
        <v>1380</v>
      </c>
      <c r="B2832" s="512"/>
      <c r="C2832" s="512"/>
      <c r="D2832" s="512"/>
    </row>
    <row r="2833" spans="1:4">
      <c r="A2833" s="211" t="str">
        <f t="shared" ref="A2833:A2842" si="59">$R$2&amp;"."&amp;$P$2&amp;".Err_line1"</f>
        <v>Диагностика.TREI.BR12.Err_line1</v>
      </c>
      <c r="B2833" s="212">
        <v>11154</v>
      </c>
      <c r="C2833" s="212" t="s">
        <v>4</v>
      </c>
      <c r="D2833" s="221">
        <f>$Q$7</f>
        <v>12</v>
      </c>
    </row>
    <row r="2834" spans="1:4">
      <c r="A2834" s="211" t="str">
        <f t="shared" si="59"/>
        <v>Диагностика.TREI.BR12.Err_line1</v>
      </c>
      <c r="B2834" s="212">
        <v>11152</v>
      </c>
      <c r="C2834" s="212" t="s">
        <v>0</v>
      </c>
      <c r="D2834" s="220" t="str">
        <f>$R$7</f>
        <v>Неисправность</v>
      </c>
    </row>
    <row r="2835" spans="1:4">
      <c r="A2835" s="211" t="str">
        <f t="shared" si="59"/>
        <v>Диагностика.TREI.BR12.Err_line1</v>
      </c>
      <c r="B2835" s="212">
        <v>11150</v>
      </c>
      <c r="C2835" s="212" t="s">
        <v>0</v>
      </c>
      <c r="D2835" s="213" t="s">
        <v>1375</v>
      </c>
    </row>
    <row r="2836" spans="1:4">
      <c r="A2836" s="211" t="str">
        <f t="shared" si="59"/>
        <v>Диагностика.TREI.BR12.Err_line1</v>
      </c>
      <c r="B2836" s="212">
        <v>11000</v>
      </c>
      <c r="C2836" s="212" t="s">
        <v>5</v>
      </c>
      <c r="D2836" s="213">
        <v>2147483680</v>
      </c>
    </row>
    <row r="2837" spans="1:4">
      <c r="A2837" s="19" t="str">
        <f t="shared" si="59"/>
        <v>Диагностика.TREI.BR12.Err_line1</v>
      </c>
      <c r="B2837" s="11">
        <v>7999</v>
      </c>
      <c r="C2837" s="11" t="s">
        <v>0</v>
      </c>
      <c r="D2837" s="20" t="str">
        <f>"#"&amp;$S$2&amp;"#"&amp;$T$2&amp;"\"&amp;$P$2&amp;"\Err_line1"</f>
        <v>#2#treiOPCDA.CoOPCserv.1\pcmaster\BR12\Err_line1</v>
      </c>
    </row>
    <row r="2838" spans="1:4">
      <c r="A2838" s="19" t="str">
        <f t="shared" si="59"/>
        <v>Диагностика.TREI.BR12.Err_line1</v>
      </c>
      <c r="B2838" s="11">
        <v>7998</v>
      </c>
      <c r="C2838" s="11" t="s">
        <v>6</v>
      </c>
      <c r="D2838" s="20">
        <v>1</v>
      </c>
    </row>
    <row r="2839" spans="1:4">
      <c r="A2839" s="19" t="str">
        <f t="shared" si="59"/>
        <v>Диагностика.TREI.BR12.Err_line1</v>
      </c>
      <c r="B2839" s="11">
        <v>101</v>
      </c>
      <c r="C2839" s="11" t="s">
        <v>0</v>
      </c>
      <c r="D2839" s="20" t="s">
        <v>1375</v>
      </c>
    </row>
    <row r="2840" spans="1:4">
      <c r="A2840" s="19" t="str">
        <f t="shared" si="59"/>
        <v>Диагностика.TREI.BR12.Err_line1</v>
      </c>
      <c r="B2840" s="11">
        <v>3</v>
      </c>
      <c r="C2840" s="11" t="s">
        <v>1</v>
      </c>
      <c r="D2840" s="20">
        <v>192</v>
      </c>
    </row>
    <row r="2841" spans="1:4">
      <c r="A2841" s="19" t="str">
        <f t="shared" si="59"/>
        <v>Диагностика.TREI.BR12.Err_line1</v>
      </c>
      <c r="B2841" s="11">
        <v>2</v>
      </c>
      <c r="C2841" s="11" t="s">
        <v>2</v>
      </c>
      <c r="D2841" s="20" t="s">
        <v>3</v>
      </c>
    </row>
    <row r="2842" spans="1:4">
      <c r="A2842" s="21" t="str">
        <f t="shared" si="59"/>
        <v>Диагностика.TREI.BR12.Err_line1</v>
      </c>
      <c r="B2842" s="8">
        <v>1</v>
      </c>
      <c r="C2842" s="8" t="s">
        <v>1</v>
      </c>
      <c r="D2842" s="22">
        <v>11</v>
      </c>
    </row>
    <row r="2843" spans="1:4">
      <c r="A2843" s="211" t="str">
        <f t="shared" ref="A2843:A2852" si="60">$R$2&amp;"."&amp;$P$2&amp;".Err_line2"</f>
        <v>Диагностика.TREI.BR12.Err_line2</v>
      </c>
      <c r="B2843" s="212">
        <v>11154</v>
      </c>
      <c r="C2843" s="212" t="s">
        <v>4</v>
      </c>
      <c r="D2843" s="221">
        <f>$Q$7</f>
        <v>12</v>
      </c>
    </row>
    <row r="2844" spans="1:4">
      <c r="A2844" s="211" t="str">
        <f t="shared" si="60"/>
        <v>Диагностика.TREI.BR12.Err_line2</v>
      </c>
      <c r="B2844" s="212">
        <v>11152</v>
      </c>
      <c r="C2844" s="212" t="s">
        <v>0</v>
      </c>
      <c r="D2844" s="220" t="str">
        <f>$R$7</f>
        <v>Неисправность</v>
      </c>
    </row>
    <row r="2845" spans="1:4">
      <c r="A2845" s="211" t="str">
        <f t="shared" si="60"/>
        <v>Диагностика.TREI.BR12.Err_line2</v>
      </c>
      <c r="B2845" s="212">
        <v>11150</v>
      </c>
      <c r="C2845" s="212" t="s">
        <v>0</v>
      </c>
      <c r="D2845" s="213" t="s">
        <v>1376</v>
      </c>
    </row>
    <row r="2846" spans="1:4">
      <c r="A2846" s="211" t="str">
        <f t="shared" si="60"/>
        <v>Диагностика.TREI.BR12.Err_line2</v>
      </c>
      <c r="B2846" s="212">
        <v>11000</v>
      </c>
      <c r="C2846" s="212" t="s">
        <v>5</v>
      </c>
      <c r="D2846" s="213">
        <v>2147483680</v>
      </c>
    </row>
    <row r="2847" spans="1:4">
      <c r="A2847" s="19" t="str">
        <f t="shared" si="60"/>
        <v>Диагностика.TREI.BR12.Err_line2</v>
      </c>
      <c r="B2847" s="11">
        <v>7999</v>
      </c>
      <c r="C2847" s="11" t="s">
        <v>0</v>
      </c>
      <c r="D2847" s="20" t="str">
        <f>"#"&amp;$S$2&amp;"#"&amp;$T$2&amp;"\"&amp;$P$2&amp;"\Err_line2"</f>
        <v>#2#treiOPCDA.CoOPCserv.1\pcmaster\BR12\Err_line2</v>
      </c>
    </row>
    <row r="2848" spans="1:4">
      <c r="A2848" s="19" t="str">
        <f t="shared" si="60"/>
        <v>Диагностика.TREI.BR12.Err_line2</v>
      </c>
      <c r="B2848" s="11">
        <v>7998</v>
      </c>
      <c r="C2848" s="11" t="s">
        <v>6</v>
      </c>
      <c r="D2848" s="20">
        <v>1</v>
      </c>
    </row>
    <row r="2849" spans="1:4">
      <c r="A2849" s="19" t="str">
        <f t="shared" si="60"/>
        <v>Диагностика.TREI.BR12.Err_line2</v>
      </c>
      <c r="B2849" s="11">
        <v>101</v>
      </c>
      <c r="C2849" s="11" t="s">
        <v>0</v>
      </c>
      <c r="D2849" s="20" t="s">
        <v>1376</v>
      </c>
    </row>
    <row r="2850" spans="1:4">
      <c r="A2850" s="19" t="str">
        <f t="shared" si="60"/>
        <v>Диагностика.TREI.BR12.Err_line2</v>
      </c>
      <c r="B2850" s="11">
        <v>3</v>
      </c>
      <c r="C2850" s="11" t="s">
        <v>1</v>
      </c>
      <c r="D2850" s="20">
        <v>192</v>
      </c>
    </row>
    <row r="2851" spans="1:4">
      <c r="A2851" s="19" t="str">
        <f t="shared" si="60"/>
        <v>Диагностика.TREI.BR12.Err_line2</v>
      </c>
      <c r="B2851" s="11">
        <v>2</v>
      </c>
      <c r="C2851" s="11" t="s">
        <v>2</v>
      </c>
      <c r="D2851" s="20" t="s">
        <v>3</v>
      </c>
    </row>
    <row r="2852" spans="1:4">
      <c r="A2852" s="21" t="str">
        <f t="shared" si="60"/>
        <v>Диагностика.TREI.BR12.Err_line2</v>
      </c>
      <c r="B2852" s="8">
        <v>1</v>
      </c>
      <c r="C2852" s="8" t="s">
        <v>1</v>
      </c>
      <c r="D2852" s="22">
        <v>11</v>
      </c>
    </row>
    <row r="2853" spans="1:4">
      <c r="A2853" s="211" t="str">
        <f t="shared" ref="A2853:A2862" si="61">$R$2&amp;"."&amp;$P$2&amp;".No_power1"</f>
        <v>Диагностика.TREI.BR12.No_power1</v>
      </c>
      <c r="B2853" s="212">
        <v>11154</v>
      </c>
      <c r="C2853" s="212" t="s">
        <v>4</v>
      </c>
      <c r="D2853" s="221">
        <f>$Q$7</f>
        <v>12</v>
      </c>
    </row>
    <row r="2854" spans="1:4">
      <c r="A2854" s="211" t="str">
        <f t="shared" si="61"/>
        <v>Диагностика.TREI.BR12.No_power1</v>
      </c>
      <c r="B2854" s="212">
        <v>11152</v>
      </c>
      <c r="C2854" s="212" t="s">
        <v>0</v>
      </c>
      <c r="D2854" s="220" t="str">
        <f>$R$7</f>
        <v>Неисправность</v>
      </c>
    </row>
    <row r="2855" spans="1:4">
      <c r="A2855" s="211" t="str">
        <f t="shared" si="61"/>
        <v>Диагностика.TREI.BR12.No_power1</v>
      </c>
      <c r="B2855" s="212">
        <v>11150</v>
      </c>
      <c r="C2855" s="212" t="s">
        <v>0</v>
      </c>
      <c r="D2855" s="213" t="s">
        <v>1780</v>
      </c>
    </row>
    <row r="2856" spans="1:4">
      <c r="A2856" s="211" t="str">
        <f t="shared" si="61"/>
        <v>Диагностика.TREI.BR12.No_power1</v>
      </c>
      <c r="B2856" s="212">
        <v>11000</v>
      </c>
      <c r="C2856" s="212" t="s">
        <v>5</v>
      </c>
      <c r="D2856" s="213">
        <v>2147483680</v>
      </c>
    </row>
    <row r="2857" spans="1:4">
      <c r="A2857" s="19" t="str">
        <f t="shared" si="61"/>
        <v>Диагностика.TREI.BR12.No_power1</v>
      </c>
      <c r="B2857" s="11">
        <v>7999</v>
      </c>
      <c r="C2857" s="11" t="s">
        <v>0</v>
      </c>
      <c r="D2857" s="20" t="str">
        <f>"#"&amp;$S$2&amp;"#"&amp;$T$2&amp;"\"&amp;$P$2&amp;"\No_power1"</f>
        <v>#2#treiOPCDA.CoOPCserv.1\pcmaster\BR12\No_power1</v>
      </c>
    </row>
    <row r="2858" spans="1:4">
      <c r="A2858" s="19" t="str">
        <f t="shared" si="61"/>
        <v>Диагностика.TREI.BR12.No_power1</v>
      </c>
      <c r="B2858" s="11">
        <v>7998</v>
      </c>
      <c r="C2858" s="11" t="s">
        <v>6</v>
      </c>
      <c r="D2858" s="20">
        <v>1</v>
      </c>
    </row>
    <row r="2859" spans="1:4">
      <c r="A2859" s="19" t="str">
        <f t="shared" si="61"/>
        <v>Диагностика.TREI.BR12.No_power1</v>
      </c>
      <c r="B2859" s="11">
        <v>101</v>
      </c>
      <c r="C2859" s="11" t="s">
        <v>0</v>
      </c>
      <c r="D2859" s="20" t="s">
        <v>1780</v>
      </c>
    </row>
    <row r="2860" spans="1:4">
      <c r="A2860" s="19" t="str">
        <f t="shared" si="61"/>
        <v>Диагностика.TREI.BR12.No_power1</v>
      </c>
      <c r="B2860" s="11">
        <v>3</v>
      </c>
      <c r="C2860" s="11" t="s">
        <v>1</v>
      </c>
      <c r="D2860" s="20">
        <v>192</v>
      </c>
    </row>
    <row r="2861" spans="1:4">
      <c r="A2861" s="19" t="str">
        <f t="shared" si="61"/>
        <v>Диагностика.TREI.BR12.No_power1</v>
      </c>
      <c r="B2861" s="11">
        <v>2</v>
      </c>
      <c r="C2861" s="11" t="s">
        <v>2</v>
      </c>
      <c r="D2861" s="20" t="s">
        <v>3</v>
      </c>
    </row>
    <row r="2862" spans="1:4">
      <c r="A2862" s="21" t="str">
        <f t="shared" si="61"/>
        <v>Диагностика.TREI.BR12.No_power1</v>
      </c>
      <c r="B2862" s="8">
        <v>1</v>
      </c>
      <c r="C2862" s="8" t="s">
        <v>1</v>
      </c>
      <c r="D2862" s="22">
        <v>11</v>
      </c>
    </row>
    <row r="2863" spans="1:4">
      <c r="A2863" s="211" t="str">
        <f t="shared" ref="A2863:A2872" si="62">$R$2&amp;"."&amp;$P$2&amp;".No_power2"</f>
        <v>Диагностика.TREI.BR12.No_power2</v>
      </c>
      <c r="B2863" s="212">
        <v>11154</v>
      </c>
      <c r="C2863" s="212" t="s">
        <v>4</v>
      </c>
      <c r="D2863" s="221">
        <f>$Q$7</f>
        <v>12</v>
      </c>
    </row>
    <row r="2864" spans="1:4">
      <c r="A2864" s="211" t="str">
        <f t="shared" si="62"/>
        <v>Диагностика.TREI.BR12.No_power2</v>
      </c>
      <c r="B2864" s="212">
        <v>11152</v>
      </c>
      <c r="C2864" s="212" t="s">
        <v>0</v>
      </c>
      <c r="D2864" s="220" t="str">
        <f>$R$7</f>
        <v>Неисправность</v>
      </c>
    </row>
    <row r="2865" spans="1:4">
      <c r="A2865" s="211" t="str">
        <f t="shared" si="62"/>
        <v>Диагностика.TREI.BR12.No_power2</v>
      </c>
      <c r="B2865" s="212">
        <v>11150</v>
      </c>
      <c r="C2865" s="212" t="s">
        <v>0</v>
      </c>
      <c r="D2865" s="213" t="s">
        <v>1781</v>
      </c>
    </row>
    <row r="2866" spans="1:4">
      <c r="A2866" s="211" t="str">
        <f t="shared" si="62"/>
        <v>Диагностика.TREI.BR12.No_power2</v>
      </c>
      <c r="B2866" s="212">
        <v>11000</v>
      </c>
      <c r="C2866" s="212" t="s">
        <v>5</v>
      </c>
      <c r="D2866" s="213">
        <v>2147483680</v>
      </c>
    </row>
    <row r="2867" spans="1:4">
      <c r="A2867" s="19" t="str">
        <f t="shared" si="62"/>
        <v>Диагностика.TREI.BR12.No_power2</v>
      </c>
      <c r="B2867" s="11">
        <v>7999</v>
      </c>
      <c r="C2867" s="11" t="s">
        <v>0</v>
      </c>
      <c r="D2867" s="20" t="str">
        <f>"#"&amp;$S$2&amp;"#"&amp;$T$2&amp;"\"&amp;$P$2&amp;"\No_power2"</f>
        <v>#2#treiOPCDA.CoOPCserv.1\pcmaster\BR12\No_power2</v>
      </c>
    </row>
    <row r="2868" spans="1:4">
      <c r="A2868" s="19" t="str">
        <f t="shared" si="62"/>
        <v>Диагностика.TREI.BR12.No_power2</v>
      </c>
      <c r="B2868" s="11">
        <v>7998</v>
      </c>
      <c r="C2868" s="11" t="s">
        <v>6</v>
      </c>
      <c r="D2868" s="20">
        <v>1</v>
      </c>
    </row>
    <row r="2869" spans="1:4">
      <c r="A2869" s="19" t="str">
        <f t="shared" si="62"/>
        <v>Диагностика.TREI.BR12.No_power2</v>
      </c>
      <c r="B2869" s="11">
        <v>101</v>
      </c>
      <c r="C2869" s="11" t="s">
        <v>0</v>
      </c>
      <c r="D2869" s="20" t="s">
        <v>1781</v>
      </c>
    </row>
    <row r="2870" spans="1:4">
      <c r="A2870" s="19" t="str">
        <f t="shared" si="62"/>
        <v>Диагностика.TREI.BR12.No_power2</v>
      </c>
      <c r="B2870" s="11">
        <v>3</v>
      </c>
      <c r="C2870" s="11" t="s">
        <v>1</v>
      </c>
      <c r="D2870" s="20">
        <v>192</v>
      </c>
    </row>
    <row r="2871" spans="1:4">
      <c r="A2871" s="19" t="str">
        <f t="shared" si="62"/>
        <v>Диагностика.TREI.BR12.No_power2</v>
      </c>
      <c r="B2871" s="11">
        <v>2</v>
      </c>
      <c r="C2871" s="11" t="s">
        <v>2</v>
      </c>
      <c r="D2871" s="20" t="s">
        <v>3</v>
      </c>
    </row>
    <row r="2872" spans="1:4">
      <c r="A2872" s="21" t="str">
        <f t="shared" si="62"/>
        <v>Диагностика.TREI.BR12.No_power2</v>
      </c>
      <c r="B2872" s="8">
        <v>1</v>
      </c>
      <c r="C2872" s="8" t="s">
        <v>1</v>
      </c>
      <c r="D2872" s="22">
        <v>11</v>
      </c>
    </row>
    <row r="2873" spans="1:4">
      <c r="A2873" s="512" t="s">
        <v>2668</v>
      </c>
      <c r="B2873" s="512"/>
      <c r="C2873" s="512"/>
      <c r="D2873" s="512"/>
    </row>
    <row r="2874" spans="1:4">
      <c r="A2874" s="211" t="str">
        <f t="shared" ref="A2874:A2883" si="63">$R$2&amp;"."&amp;$P$2&amp;".Err_line1"</f>
        <v>Диагностика.TREI.BR12.Err_line1</v>
      </c>
      <c r="B2874" s="212">
        <v>11154</v>
      </c>
      <c r="C2874" s="212" t="s">
        <v>4</v>
      </c>
      <c r="D2874" s="221">
        <f>$Q$7</f>
        <v>12</v>
      </c>
    </row>
    <row r="2875" spans="1:4">
      <c r="A2875" s="211" t="str">
        <f t="shared" si="63"/>
        <v>Диагностика.TREI.BR12.Err_line1</v>
      </c>
      <c r="B2875" s="212">
        <v>11152</v>
      </c>
      <c r="C2875" s="212" t="s">
        <v>0</v>
      </c>
      <c r="D2875" s="220" t="str">
        <f>$R$7</f>
        <v>Неисправность</v>
      </c>
    </row>
    <row r="2876" spans="1:4">
      <c r="A2876" s="211" t="str">
        <f t="shared" si="63"/>
        <v>Диагностика.TREI.BR12.Err_line1</v>
      </c>
      <c r="B2876" s="212">
        <v>11150</v>
      </c>
      <c r="C2876" s="212" t="s">
        <v>0</v>
      </c>
      <c r="D2876" s="213" t="s">
        <v>1375</v>
      </c>
    </row>
    <row r="2877" spans="1:4">
      <c r="A2877" s="211" t="str">
        <f t="shared" si="63"/>
        <v>Диагностика.TREI.BR12.Err_line1</v>
      </c>
      <c r="B2877" s="212">
        <v>11000</v>
      </c>
      <c r="C2877" s="212" t="s">
        <v>5</v>
      </c>
      <c r="D2877" s="213">
        <v>2147483680</v>
      </c>
    </row>
    <row r="2878" spans="1:4">
      <c r="A2878" s="19" t="str">
        <f t="shared" si="63"/>
        <v>Диагностика.TREI.BR12.Err_line1</v>
      </c>
      <c r="B2878" s="11">
        <v>7999</v>
      </c>
      <c r="C2878" s="11" t="s">
        <v>0</v>
      </c>
      <c r="D2878" s="20" t="str">
        <f>"#"&amp;$S$2&amp;"#"&amp;$T$2&amp;"\"&amp;$P$2&amp;"\Err_line1"</f>
        <v>#2#treiOPCDA.CoOPCserv.1\pcmaster\BR12\Err_line1</v>
      </c>
    </row>
    <row r="2879" spans="1:4">
      <c r="A2879" s="19" t="str">
        <f t="shared" si="63"/>
        <v>Диагностика.TREI.BR12.Err_line1</v>
      </c>
      <c r="B2879" s="11">
        <v>7998</v>
      </c>
      <c r="C2879" s="11" t="s">
        <v>6</v>
      </c>
      <c r="D2879" s="20">
        <v>1</v>
      </c>
    </row>
    <row r="2880" spans="1:4">
      <c r="A2880" s="19" t="str">
        <f t="shared" si="63"/>
        <v>Диагностика.TREI.BR12.Err_line1</v>
      </c>
      <c r="B2880" s="11">
        <v>101</v>
      </c>
      <c r="C2880" s="11" t="s">
        <v>0</v>
      </c>
      <c r="D2880" s="20" t="s">
        <v>1375</v>
      </c>
    </row>
    <row r="2881" spans="1:4">
      <c r="A2881" s="19" t="str">
        <f t="shared" si="63"/>
        <v>Диагностика.TREI.BR12.Err_line1</v>
      </c>
      <c r="B2881" s="11">
        <v>3</v>
      </c>
      <c r="C2881" s="11" t="s">
        <v>1</v>
      </c>
      <c r="D2881" s="20">
        <v>192</v>
      </c>
    </row>
    <row r="2882" spans="1:4">
      <c r="A2882" s="19" t="str">
        <f t="shared" si="63"/>
        <v>Диагностика.TREI.BR12.Err_line1</v>
      </c>
      <c r="B2882" s="11">
        <v>2</v>
      </c>
      <c r="C2882" s="11" t="s">
        <v>2</v>
      </c>
      <c r="D2882" s="20" t="s">
        <v>3</v>
      </c>
    </row>
    <row r="2883" spans="1:4">
      <c r="A2883" s="21" t="str">
        <f t="shared" si="63"/>
        <v>Диагностика.TREI.BR12.Err_line1</v>
      </c>
      <c r="B2883" s="8">
        <v>1</v>
      </c>
      <c r="C2883" s="8" t="s">
        <v>1</v>
      </c>
      <c r="D2883" s="22">
        <v>11</v>
      </c>
    </row>
    <row r="2884" spans="1:4">
      <c r="A2884" s="211" t="str">
        <f t="shared" ref="A2884:A2893" si="64">$R$2&amp;"."&amp;$P$2&amp;".Err_line2"</f>
        <v>Диагностика.TREI.BR12.Err_line2</v>
      </c>
      <c r="B2884" s="212">
        <v>11154</v>
      </c>
      <c r="C2884" s="212" t="s">
        <v>4</v>
      </c>
      <c r="D2884" s="221">
        <f>$Q$7</f>
        <v>12</v>
      </c>
    </row>
    <row r="2885" spans="1:4">
      <c r="A2885" s="211" t="str">
        <f t="shared" si="64"/>
        <v>Диагностика.TREI.BR12.Err_line2</v>
      </c>
      <c r="B2885" s="212">
        <v>11152</v>
      </c>
      <c r="C2885" s="212" t="s">
        <v>0</v>
      </c>
      <c r="D2885" s="220" t="str">
        <f>$R$7</f>
        <v>Неисправность</v>
      </c>
    </row>
    <row r="2886" spans="1:4">
      <c r="A2886" s="211" t="str">
        <f t="shared" si="64"/>
        <v>Диагностика.TREI.BR12.Err_line2</v>
      </c>
      <c r="B2886" s="212">
        <v>11150</v>
      </c>
      <c r="C2886" s="212" t="s">
        <v>0</v>
      </c>
      <c r="D2886" s="213" t="s">
        <v>1376</v>
      </c>
    </row>
    <row r="2887" spans="1:4">
      <c r="A2887" s="211" t="str">
        <f t="shared" si="64"/>
        <v>Диагностика.TREI.BR12.Err_line2</v>
      </c>
      <c r="B2887" s="212">
        <v>11000</v>
      </c>
      <c r="C2887" s="212" t="s">
        <v>5</v>
      </c>
      <c r="D2887" s="213">
        <v>2147483680</v>
      </c>
    </row>
    <row r="2888" spans="1:4">
      <c r="A2888" s="19" t="str">
        <f t="shared" si="64"/>
        <v>Диагностика.TREI.BR12.Err_line2</v>
      </c>
      <c r="B2888" s="11">
        <v>7999</v>
      </c>
      <c r="C2888" s="11" t="s">
        <v>0</v>
      </c>
      <c r="D2888" s="20" t="str">
        <f>"#"&amp;$S$2&amp;"#"&amp;$T$2&amp;"\"&amp;$P$2&amp;"\Err_line2"</f>
        <v>#2#treiOPCDA.CoOPCserv.1\pcmaster\BR12\Err_line2</v>
      </c>
    </row>
    <row r="2889" spans="1:4">
      <c r="A2889" s="19" t="str">
        <f t="shared" si="64"/>
        <v>Диагностика.TREI.BR12.Err_line2</v>
      </c>
      <c r="B2889" s="11">
        <v>7998</v>
      </c>
      <c r="C2889" s="11" t="s">
        <v>6</v>
      </c>
      <c r="D2889" s="20">
        <v>1</v>
      </c>
    </row>
    <row r="2890" spans="1:4">
      <c r="A2890" s="19" t="str">
        <f t="shared" si="64"/>
        <v>Диагностика.TREI.BR12.Err_line2</v>
      </c>
      <c r="B2890" s="11">
        <v>101</v>
      </c>
      <c r="C2890" s="11" t="s">
        <v>0</v>
      </c>
      <c r="D2890" s="20" t="s">
        <v>1376</v>
      </c>
    </row>
    <row r="2891" spans="1:4">
      <c r="A2891" s="19" t="str">
        <f t="shared" si="64"/>
        <v>Диагностика.TREI.BR12.Err_line2</v>
      </c>
      <c r="B2891" s="11">
        <v>3</v>
      </c>
      <c r="C2891" s="11" t="s">
        <v>1</v>
      </c>
      <c r="D2891" s="20">
        <v>192</v>
      </c>
    </row>
    <row r="2892" spans="1:4">
      <c r="A2892" s="19" t="str">
        <f t="shared" si="64"/>
        <v>Диагностика.TREI.BR12.Err_line2</v>
      </c>
      <c r="B2892" s="11">
        <v>2</v>
      </c>
      <c r="C2892" s="11" t="s">
        <v>2</v>
      </c>
      <c r="D2892" s="20" t="s">
        <v>3</v>
      </c>
    </row>
    <row r="2893" spans="1:4">
      <c r="A2893" s="21" t="str">
        <f t="shared" si="64"/>
        <v>Диагностика.TREI.BR12.Err_line2</v>
      </c>
      <c r="B2893" s="8">
        <v>1</v>
      </c>
      <c r="C2893" s="8" t="s">
        <v>1</v>
      </c>
      <c r="D2893" s="22">
        <v>11</v>
      </c>
    </row>
    <row r="2894" spans="1:4">
      <c r="A2894" s="211" t="str">
        <f t="shared" ref="A2894:A2903" si="65">$R$2&amp;"."&amp;$P$2&amp;".No_power1"</f>
        <v>Диагностика.TREI.BR12.No_power1</v>
      </c>
      <c r="B2894" s="212">
        <v>11154</v>
      </c>
      <c r="C2894" s="212" t="s">
        <v>4</v>
      </c>
      <c r="D2894" s="221">
        <f>$Q$7</f>
        <v>12</v>
      </c>
    </row>
    <row r="2895" spans="1:4">
      <c r="A2895" s="211" t="str">
        <f t="shared" si="65"/>
        <v>Диагностика.TREI.BR12.No_power1</v>
      </c>
      <c r="B2895" s="212">
        <v>11152</v>
      </c>
      <c r="C2895" s="212" t="s">
        <v>0</v>
      </c>
      <c r="D2895" s="220" t="str">
        <f>$R$7</f>
        <v>Неисправность</v>
      </c>
    </row>
    <row r="2896" spans="1:4">
      <c r="A2896" s="211" t="str">
        <f t="shared" si="65"/>
        <v>Диагностика.TREI.BR12.No_power1</v>
      </c>
      <c r="B2896" s="212">
        <v>11150</v>
      </c>
      <c r="C2896" s="212" t="s">
        <v>0</v>
      </c>
      <c r="D2896" s="213" t="s">
        <v>1780</v>
      </c>
    </row>
    <row r="2897" spans="1:4">
      <c r="A2897" s="211" t="str">
        <f t="shared" si="65"/>
        <v>Диагностика.TREI.BR12.No_power1</v>
      </c>
      <c r="B2897" s="212">
        <v>11000</v>
      </c>
      <c r="C2897" s="212" t="s">
        <v>5</v>
      </c>
      <c r="D2897" s="213">
        <v>2147483680</v>
      </c>
    </row>
    <row r="2898" spans="1:4">
      <c r="A2898" s="19" t="str">
        <f t="shared" si="65"/>
        <v>Диагностика.TREI.BR12.No_power1</v>
      </c>
      <c r="B2898" s="11">
        <v>7999</v>
      </c>
      <c r="C2898" s="11" t="s">
        <v>0</v>
      </c>
      <c r="D2898" s="20" t="str">
        <f>"#"&amp;$S$2&amp;"#"&amp;$T$2&amp;"\"&amp;$P$2&amp;"\No_power1"</f>
        <v>#2#treiOPCDA.CoOPCserv.1\pcmaster\BR12\No_power1</v>
      </c>
    </row>
    <row r="2899" spans="1:4">
      <c r="A2899" s="19" t="str">
        <f t="shared" si="65"/>
        <v>Диагностика.TREI.BR12.No_power1</v>
      </c>
      <c r="B2899" s="11">
        <v>7998</v>
      </c>
      <c r="C2899" s="11" t="s">
        <v>6</v>
      </c>
      <c r="D2899" s="20">
        <v>1</v>
      </c>
    </row>
    <row r="2900" spans="1:4">
      <c r="A2900" s="19" t="str">
        <f t="shared" si="65"/>
        <v>Диагностика.TREI.BR12.No_power1</v>
      </c>
      <c r="B2900" s="11">
        <v>101</v>
      </c>
      <c r="C2900" s="11" t="s">
        <v>0</v>
      </c>
      <c r="D2900" s="20" t="s">
        <v>1780</v>
      </c>
    </row>
    <row r="2901" spans="1:4">
      <c r="A2901" s="19" t="str">
        <f t="shared" si="65"/>
        <v>Диагностика.TREI.BR12.No_power1</v>
      </c>
      <c r="B2901" s="11">
        <v>3</v>
      </c>
      <c r="C2901" s="11" t="s">
        <v>1</v>
      </c>
      <c r="D2901" s="20">
        <v>192</v>
      </c>
    </row>
    <row r="2902" spans="1:4">
      <c r="A2902" s="19" t="str">
        <f t="shared" si="65"/>
        <v>Диагностика.TREI.BR12.No_power1</v>
      </c>
      <c r="B2902" s="11">
        <v>2</v>
      </c>
      <c r="C2902" s="11" t="s">
        <v>2</v>
      </c>
      <c r="D2902" s="20" t="s">
        <v>3</v>
      </c>
    </row>
    <row r="2903" spans="1:4">
      <c r="A2903" s="21" t="str">
        <f t="shared" si="65"/>
        <v>Диагностика.TREI.BR12.No_power1</v>
      </c>
      <c r="B2903" s="8">
        <v>1</v>
      </c>
      <c r="C2903" s="8" t="s">
        <v>1</v>
      </c>
      <c r="D2903" s="22">
        <v>11</v>
      </c>
    </row>
    <row r="2904" spans="1:4">
      <c r="A2904" s="211" t="str">
        <f t="shared" ref="A2904:A2913" si="66">$R$2&amp;"."&amp;$P$2&amp;".No_power2"</f>
        <v>Диагностика.TREI.BR12.No_power2</v>
      </c>
      <c r="B2904" s="212">
        <v>11154</v>
      </c>
      <c r="C2904" s="212" t="s">
        <v>4</v>
      </c>
      <c r="D2904" s="221">
        <f>$Q$7</f>
        <v>12</v>
      </c>
    </row>
    <row r="2905" spans="1:4">
      <c r="A2905" s="211" t="str">
        <f t="shared" si="66"/>
        <v>Диагностика.TREI.BR12.No_power2</v>
      </c>
      <c r="B2905" s="212">
        <v>11152</v>
      </c>
      <c r="C2905" s="212" t="s">
        <v>0</v>
      </c>
      <c r="D2905" s="220" t="str">
        <f>$R$7</f>
        <v>Неисправность</v>
      </c>
    </row>
    <row r="2906" spans="1:4">
      <c r="A2906" s="211" t="str">
        <f t="shared" si="66"/>
        <v>Диагностика.TREI.BR12.No_power2</v>
      </c>
      <c r="B2906" s="212">
        <v>11150</v>
      </c>
      <c r="C2906" s="212" t="s">
        <v>0</v>
      </c>
      <c r="D2906" s="213" t="s">
        <v>1781</v>
      </c>
    </row>
    <row r="2907" spans="1:4">
      <c r="A2907" s="211" t="str">
        <f t="shared" si="66"/>
        <v>Диагностика.TREI.BR12.No_power2</v>
      </c>
      <c r="B2907" s="212">
        <v>11000</v>
      </c>
      <c r="C2907" s="212" t="s">
        <v>5</v>
      </c>
      <c r="D2907" s="213">
        <v>2147483680</v>
      </c>
    </row>
    <row r="2908" spans="1:4">
      <c r="A2908" s="19" t="str">
        <f t="shared" si="66"/>
        <v>Диагностика.TREI.BR12.No_power2</v>
      </c>
      <c r="B2908" s="11">
        <v>7999</v>
      </c>
      <c r="C2908" s="11" t="s">
        <v>0</v>
      </c>
      <c r="D2908" s="20" t="str">
        <f>"#"&amp;$S$2&amp;"#"&amp;$T$2&amp;"\"&amp;$P$2&amp;"\No_power2"</f>
        <v>#2#treiOPCDA.CoOPCserv.1\pcmaster\BR12\No_power2</v>
      </c>
    </row>
    <row r="2909" spans="1:4">
      <c r="A2909" s="19" t="str">
        <f t="shared" si="66"/>
        <v>Диагностика.TREI.BR12.No_power2</v>
      </c>
      <c r="B2909" s="11">
        <v>7998</v>
      </c>
      <c r="C2909" s="11" t="s">
        <v>6</v>
      </c>
      <c r="D2909" s="20">
        <v>1</v>
      </c>
    </row>
    <row r="2910" spans="1:4">
      <c r="A2910" s="19" t="str">
        <f t="shared" si="66"/>
        <v>Диагностика.TREI.BR12.No_power2</v>
      </c>
      <c r="B2910" s="11">
        <v>101</v>
      </c>
      <c r="C2910" s="11" t="s">
        <v>0</v>
      </c>
      <c r="D2910" s="20" t="s">
        <v>1781</v>
      </c>
    </row>
    <row r="2911" spans="1:4">
      <c r="A2911" s="19" t="str">
        <f t="shared" si="66"/>
        <v>Диагностика.TREI.BR12.No_power2</v>
      </c>
      <c r="B2911" s="11">
        <v>3</v>
      </c>
      <c r="C2911" s="11" t="s">
        <v>1</v>
      </c>
      <c r="D2911" s="20">
        <v>192</v>
      </c>
    </row>
    <row r="2912" spans="1:4">
      <c r="A2912" s="19" t="str">
        <f t="shared" si="66"/>
        <v>Диагностика.TREI.BR12.No_power2</v>
      </c>
      <c r="B2912" s="11">
        <v>2</v>
      </c>
      <c r="C2912" s="11" t="s">
        <v>2</v>
      </c>
      <c r="D2912" s="20" t="s">
        <v>3</v>
      </c>
    </row>
    <row r="2913" spans="1:4">
      <c r="A2913" s="21" t="str">
        <f t="shared" si="66"/>
        <v>Диагностика.TREI.BR12.No_power2</v>
      </c>
      <c r="B2913" s="8">
        <v>1</v>
      </c>
      <c r="C2913" s="8" t="s">
        <v>1</v>
      </c>
      <c r="D2913" s="22">
        <v>11</v>
      </c>
    </row>
    <row r="2914" spans="1:4">
      <c r="A2914" s="211" t="str">
        <f>$R$2&amp;"."&amp;$P$2&amp;".Not_ready"</f>
        <v>Диагностика.TREI.BR12.Not_ready</v>
      </c>
      <c r="B2914" s="212">
        <v>11154</v>
      </c>
      <c r="C2914" s="212" t="s">
        <v>4</v>
      </c>
      <c r="D2914" s="221">
        <f>$Q$7</f>
        <v>12</v>
      </c>
    </row>
    <row r="2915" spans="1:4">
      <c r="A2915" s="211" t="str">
        <f t="shared" ref="A2915:A2923" si="67">$R$2&amp;"."&amp;$P$2&amp;".Not_ready"</f>
        <v>Диагностика.TREI.BR12.Not_ready</v>
      </c>
      <c r="B2915" s="212">
        <v>11152</v>
      </c>
      <c r="C2915" s="212" t="s">
        <v>0</v>
      </c>
      <c r="D2915" s="220" t="str">
        <f>$R$7</f>
        <v>Неисправность</v>
      </c>
    </row>
    <row r="2916" spans="1:4">
      <c r="A2916" s="211" t="str">
        <f t="shared" si="67"/>
        <v>Диагностика.TREI.BR12.Not_ready</v>
      </c>
      <c r="B2916" s="212">
        <v>11150</v>
      </c>
      <c r="C2916" s="212" t="s">
        <v>0</v>
      </c>
      <c r="D2916" s="213" t="s">
        <v>2669</v>
      </c>
    </row>
    <row r="2917" spans="1:4">
      <c r="A2917" s="211" t="str">
        <f t="shared" si="67"/>
        <v>Диагностика.TREI.BR12.Not_ready</v>
      </c>
      <c r="B2917" s="212">
        <v>11000</v>
      </c>
      <c r="C2917" s="212" t="s">
        <v>5</v>
      </c>
      <c r="D2917" s="213">
        <v>2147483680</v>
      </c>
    </row>
    <row r="2918" spans="1:4">
      <c r="A2918" s="19" t="str">
        <f t="shared" si="67"/>
        <v>Диагностика.TREI.BR12.Not_ready</v>
      </c>
      <c r="B2918" s="11">
        <v>7999</v>
      </c>
      <c r="C2918" s="11" t="s">
        <v>0</v>
      </c>
      <c r="D2918" s="20" t="str">
        <f>"#"&amp;$S$2&amp;"#"&amp;$T$2&amp;"\"&amp;$P$2&amp;"\Not_ready"</f>
        <v>#2#treiOPCDA.CoOPCserv.1\pcmaster\BR12\Not_ready</v>
      </c>
    </row>
    <row r="2919" spans="1:4">
      <c r="A2919" s="19" t="str">
        <f t="shared" si="67"/>
        <v>Диагностика.TREI.BR12.Not_ready</v>
      </c>
      <c r="B2919" s="11">
        <v>7998</v>
      </c>
      <c r="C2919" s="11" t="s">
        <v>6</v>
      </c>
      <c r="D2919" s="20">
        <v>1</v>
      </c>
    </row>
    <row r="2920" spans="1:4">
      <c r="A2920" s="19" t="str">
        <f t="shared" si="67"/>
        <v>Диагностика.TREI.BR12.Not_ready</v>
      </c>
      <c r="B2920" s="11">
        <v>101</v>
      </c>
      <c r="C2920" s="11" t="s">
        <v>0</v>
      </c>
      <c r="D2920" s="20" t="s">
        <v>2669</v>
      </c>
    </row>
    <row r="2921" spans="1:4">
      <c r="A2921" s="19" t="str">
        <f t="shared" si="67"/>
        <v>Диагностика.TREI.BR12.Not_ready</v>
      </c>
      <c r="B2921" s="11">
        <v>3</v>
      </c>
      <c r="C2921" s="11" t="s">
        <v>1</v>
      </c>
      <c r="D2921" s="20">
        <v>192</v>
      </c>
    </row>
    <row r="2922" spans="1:4">
      <c r="A2922" s="19" t="str">
        <f t="shared" si="67"/>
        <v>Диагностика.TREI.BR12.Not_ready</v>
      </c>
      <c r="B2922" s="11">
        <v>2</v>
      </c>
      <c r="C2922" s="11" t="s">
        <v>2</v>
      </c>
      <c r="D2922" s="20" t="s">
        <v>3</v>
      </c>
    </row>
    <row r="2923" spans="1:4">
      <c r="A2923" s="21" t="str">
        <f t="shared" si="67"/>
        <v>Диагностика.TREI.BR12.Not_ready</v>
      </c>
      <c r="B2923" s="8">
        <v>1</v>
      </c>
      <c r="C2923" s="8" t="s">
        <v>1</v>
      </c>
      <c r="D2923" s="22">
        <v>11</v>
      </c>
    </row>
    <row r="2924" spans="1:4">
      <c r="A2924" s="512" t="s">
        <v>958</v>
      </c>
      <c r="B2924" s="512"/>
      <c r="C2924" s="512"/>
      <c r="D2924" s="512"/>
    </row>
    <row r="2925" spans="1:4">
      <c r="A2925" s="211" t="str">
        <f t="shared" ref="A2925:A2934" si="68">$R$2&amp;"."&amp;$P$2&amp;".Err_line1"</f>
        <v>Диагностика.TREI.BR12.Err_line1</v>
      </c>
      <c r="B2925" s="212">
        <v>11154</v>
      </c>
      <c r="C2925" s="212" t="s">
        <v>4</v>
      </c>
      <c r="D2925" s="221">
        <f>$Q$7</f>
        <v>12</v>
      </c>
    </row>
    <row r="2926" spans="1:4">
      <c r="A2926" s="211" t="str">
        <f t="shared" si="68"/>
        <v>Диагностика.TREI.BR12.Err_line1</v>
      </c>
      <c r="B2926" s="212">
        <v>11152</v>
      </c>
      <c r="C2926" s="212" t="s">
        <v>0</v>
      </c>
      <c r="D2926" s="220" t="str">
        <f>$R$7</f>
        <v>Неисправность</v>
      </c>
    </row>
    <row r="2927" spans="1:4">
      <c r="A2927" s="211" t="str">
        <f t="shared" si="68"/>
        <v>Диагностика.TREI.BR12.Err_line1</v>
      </c>
      <c r="B2927" s="212">
        <v>11150</v>
      </c>
      <c r="C2927" s="212" t="s">
        <v>0</v>
      </c>
      <c r="D2927" s="213" t="s">
        <v>1375</v>
      </c>
    </row>
    <row r="2928" spans="1:4">
      <c r="A2928" s="211" t="str">
        <f t="shared" si="68"/>
        <v>Диагностика.TREI.BR12.Err_line1</v>
      </c>
      <c r="B2928" s="212">
        <v>11000</v>
      </c>
      <c r="C2928" s="212" t="s">
        <v>5</v>
      </c>
      <c r="D2928" s="213">
        <v>2147483680</v>
      </c>
    </row>
    <row r="2929" spans="1:4">
      <c r="A2929" s="19" t="str">
        <f t="shared" si="68"/>
        <v>Диагностика.TREI.BR12.Err_line1</v>
      </c>
      <c r="B2929" s="11">
        <v>7999</v>
      </c>
      <c r="C2929" s="11" t="s">
        <v>0</v>
      </c>
      <c r="D2929" s="20" t="str">
        <f>"#"&amp;$S$2&amp;"#"&amp;$T$2&amp;"\"&amp;$P$2&amp;"\Err_line1"</f>
        <v>#2#treiOPCDA.CoOPCserv.1\pcmaster\BR12\Err_line1</v>
      </c>
    </row>
    <row r="2930" spans="1:4">
      <c r="A2930" s="19" t="str">
        <f t="shared" si="68"/>
        <v>Диагностика.TREI.BR12.Err_line1</v>
      </c>
      <c r="B2930" s="11">
        <v>7998</v>
      </c>
      <c r="C2930" s="11" t="s">
        <v>6</v>
      </c>
      <c r="D2930" s="20">
        <v>1</v>
      </c>
    </row>
    <row r="2931" spans="1:4">
      <c r="A2931" s="19" t="str">
        <f t="shared" si="68"/>
        <v>Диагностика.TREI.BR12.Err_line1</v>
      </c>
      <c r="B2931" s="11">
        <v>101</v>
      </c>
      <c r="C2931" s="11" t="s">
        <v>0</v>
      </c>
      <c r="D2931" s="20" t="s">
        <v>1375</v>
      </c>
    </row>
    <row r="2932" spans="1:4">
      <c r="A2932" s="19" t="str">
        <f t="shared" si="68"/>
        <v>Диагностика.TREI.BR12.Err_line1</v>
      </c>
      <c r="B2932" s="11">
        <v>3</v>
      </c>
      <c r="C2932" s="11" t="s">
        <v>1</v>
      </c>
      <c r="D2932" s="20">
        <v>192</v>
      </c>
    </row>
    <row r="2933" spans="1:4">
      <c r="A2933" s="19" t="str">
        <f t="shared" si="68"/>
        <v>Диагностика.TREI.BR12.Err_line1</v>
      </c>
      <c r="B2933" s="11">
        <v>2</v>
      </c>
      <c r="C2933" s="11" t="s">
        <v>2</v>
      </c>
      <c r="D2933" s="20" t="s">
        <v>3</v>
      </c>
    </row>
    <row r="2934" spans="1:4">
      <c r="A2934" s="21" t="str">
        <f t="shared" si="68"/>
        <v>Диагностика.TREI.BR12.Err_line1</v>
      </c>
      <c r="B2934" s="8">
        <v>1</v>
      </c>
      <c r="C2934" s="8" t="s">
        <v>1</v>
      </c>
      <c r="D2934" s="22">
        <v>11</v>
      </c>
    </row>
    <row r="2935" spans="1:4">
      <c r="A2935" s="211" t="str">
        <f t="shared" ref="A2935:A2944" si="69">$R$2&amp;"."&amp;$P$2&amp;".Err_line2"</f>
        <v>Диагностика.TREI.BR12.Err_line2</v>
      </c>
      <c r="B2935" s="212">
        <v>11154</v>
      </c>
      <c r="C2935" s="212" t="s">
        <v>4</v>
      </c>
      <c r="D2935" s="221">
        <f>$Q$7</f>
        <v>12</v>
      </c>
    </row>
    <row r="2936" spans="1:4">
      <c r="A2936" s="211" t="str">
        <f t="shared" si="69"/>
        <v>Диагностика.TREI.BR12.Err_line2</v>
      </c>
      <c r="B2936" s="212">
        <v>11152</v>
      </c>
      <c r="C2936" s="212" t="s">
        <v>0</v>
      </c>
      <c r="D2936" s="220" t="str">
        <f>$R$7</f>
        <v>Неисправность</v>
      </c>
    </row>
    <row r="2937" spans="1:4">
      <c r="A2937" s="211" t="str">
        <f t="shared" si="69"/>
        <v>Диагностика.TREI.BR12.Err_line2</v>
      </c>
      <c r="B2937" s="212">
        <v>11150</v>
      </c>
      <c r="C2937" s="212" t="s">
        <v>0</v>
      </c>
      <c r="D2937" s="213" t="s">
        <v>1376</v>
      </c>
    </row>
    <row r="2938" spans="1:4">
      <c r="A2938" s="211" t="str">
        <f t="shared" si="69"/>
        <v>Диагностика.TREI.BR12.Err_line2</v>
      </c>
      <c r="B2938" s="212">
        <v>11000</v>
      </c>
      <c r="C2938" s="212" t="s">
        <v>5</v>
      </c>
      <c r="D2938" s="213">
        <v>2147483680</v>
      </c>
    </row>
    <row r="2939" spans="1:4">
      <c r="A2939" s="19" t="str">
        <f t="shared" si="69"/>
        <v>Диагностика.TREI.BR12.Err_line2</v>
      </c>
      <c r="B2939" s="11">
        <v>7999</v>
      </c>
      <c r="C2939" s="11" t="s">
        <v>0</v>
      </c>
      <c r="D2939" s="20" t="str">
        <f>"#"&amp;$S$2&amp;"#"&amp;$T$2&amp;"\"&amp;$P$2&amp;"\Err_line2"</f>
        <v>#2#treiOPCDA.CoOPCserv.1\pcmaster\BR12\Err_line2</v>
      </c>
    </row>
    <row r="2940" spans="1:4">
      <c r="A2940" s="19" t="str">
        <f t="shared" si="69"/>
        <v>Диагностика.TREI.BR12.Err_line2</v>
      </c>
      <c r="B2940" s="11">
        <v>7998</v>
      </c>
      <c r="C2940" s="11" t="s">
        <v>6</v>
      </c>
      <c r="D2940" s="20">
        <v>1</v>
      </c>
    </row>
    <row r="2941" spans="1:4">
      <c r="A2941" s="19" t="str">
        <f t="shared" si="69"/>
        <v>Диагностика.TREI.BR12.Err_line2</v>
      </c>
      <c r="B2941" s="11">
        <v>101</v>
      </c>
      <c r="C2941" s="11" t="s">
        <v>0</v>
      </c>
      <c r="D2941" s="20" t="s">
        <v>1376</v>
      </c>
    </row>
    <row r="2942" spans="1:4">
      <c r="A2942" s="19" t="str">
        <f t="shared" si="69"/>
        <v>Диагностика.TREI.BR12.Err_line2</v>
      </c>
      <c r="B2942" s="11">
        <v>3</v>
      </c>
      <c r="C2942" s="11" t="s">
        <v>1</v>
      </c>
      <c r="D2942" s="20">
        <v>192</v>
      </c>
    </row>
    <row r="2943" spans="1:4">
      <c r="A2943" s="19" t="str">
        <f t="shared" si="69"/>
        <v>Диагностика.TREI.BR12.Err_line2</v>
      </c>
      <c r="B2943" s="11">
        <v>2</v>
      </c>
      <c r="C2943" s="11" t="s">
        <v>2</v>
      </c>
      <c r="D2943" s="20" t="s">
        <v>3</v>
      </c>
    </row>
    <row r="2944" spans="1:4">
      <c r="A2944" s="21" t="str">
        <f t="shared" si="69"/>
        <v>Диагностика.TREI.BR12.Err_line2</v>
      </c>
      <c r="B2944" s="8">
        <v>1</v>
      </c>
      <c r="C2944" s="8" t="s">
        <v>1</v>
      </c>
      <c r="D2944" s="22">
        <v>11</v>
      </c>
    </row>
    <row r="2945" spans="1:4">
      <c r="A2945" s="211" t="str">
        <f t="shared" ref="A2945:A2954" si="70">$R$2&amp;"."&amp;$P$2&amp;".No_power1"</f>
        <v>Диагностика.TREI.BR12.No_power1</v>
      </c>
      <c r="B2945" s="212">
        <v>11154</v>
      </c>
      <c r="C2945" s="212" t="s">
        <v>4</v>
      </c>
      <c r="D2945" s="221">
        <f>$Q$7</f>
        <v>12</v>
      </c>
    </row>
    <row r="2946" spans="1:4">
      <c r="A2946" s="211" t="str">
        <f t="shared" si="70"/>
        <v>Диагностика.TREI.BR12.No_power1</v>
      </c>
      <c r="B2946" s="212">
        <v>11152</v>
      </c>
      <c r="C2946" s="212" t="s">
        <v>0</v>
      </c>
      <c r="D2946" s="220" t="str">
        <f>$R$7</f>
        <v>Неисправность</v>
      </c>
    </row>
    <row r="2947" spans="1:4">
      <c r="A2947" s="211" t="str">
        <f t="shared" si="70"/>
        <v>Диагностика.TREI.BR12.No_power1</v>
      </c>
      <c r="B2947" s="212">
        <v>11150</v>
      </c>
      <c r="C2947" s="212" t="s">
        <v>0</v>
      </c>
      <c r="D2947" s="213" t="s">
        <v>1780</v>
      </c>
    </row>
    <row r="2948" spans="1:4">
      <c r="A2948" s="211" t="str">
        <f t="shared" si="70"/>
        <v>Диагностика.TREI.BR12.No_power1</v>
      </c>
      <c r="B2948" s="212">
        <v>11000</v>
      </c>
      <c r="C2948" s="212" t="s">
        <v>5</v>
      </c>
      <c r="D2948" s="213">
        <v>2147483680</v>
      </c>
    </row>
    <row r="2949" spans="1:4">
      <c r="A2949" s="19" t="str">
        <f t="shared" si="70"/>
        <v>Диагностика.TREI.BR12.No_power1</v>
      </c>
      <c r="B2949" s="11">
        <v>7999</v>
      </c>
      <c r="C2949" s="11" t="s">
        <v>0</v>
      </c>
      <c r="D2949" s="20" t="str">
        <f>"#"&amp;$S$2&amp;"#"&amp;$T$2&amp;"\"&amp;$P$2&amp;"\No_power1"</f>
        <v>#2#treiOPCDA.CoOPCserv.1\pcmaster\BR12\No_power1</v>
      </c>
    </row>
    <row r="2950" spans="1:4">
      <c r="A2950" s="19" t="str">
        <f t="shared" si="70"/>
        <v>Диагностика.TREI.BR12.No_power1</v>
      </c>
      <c r="B2950" s="11">
        <v>7998</v>
      </c>
      <c r="C2950" s="11" t="s">
        <v>6</v>
      </c>
      <c r="D2950" s="20">
        <v>1</v>
      </c>
    </row>
    <row r="2951" spans="1:4">
      <c r="A2951" s="19" t="str">
        <f t="shared" si="70"/>
        <v>Диагностика.TREI.BR12.No_power1</v>
      </c>
      <c r="B2951" s="11">
        <v>101</v>
      </c>
      <c r="C2951" s="11" t="s">
        <v>0</v>
      </c>
      <c r="D2951" s="20" t="s">
        <v>1780</v>
      </c>
    </row>
    <row r="2952" spans="1:4">
      <c r="A2952" s="19" t="str">
        <f t="shared" si="70"/>
        <v>Диагностика.TREI.BR12.No_power1</v>
      </c>
      <c r="B2952" s="11">
        <v>3</v>
      </c>
      <c r="C2952" s="11" t="s">
        <v>1</v>
      </c>
      <c r="D2952" s="20">
        <v>192</v>
      </c>
    </row>
    <row r="2953" spans="1:4">
      <c r="A2953" s="19" t="str">
        <f t="shared" si="70"/>
        <v>Диагностика.TREI.BR12.No_power1</v>
      </c>
      <c r="B2953" s="11">
        <v>2</v>
      </c>
      <c r="C2953" s="11" t="s">
        <v>2</v>
      </c>
      <c r="D2953" s="20" t="s">
        <v>3</v>
      </c>
    </row>
    <row r="2954" spans="1:4">
      <c r="A2954" s="21" t="str">
        <f t="shared" si="70"/>
        <v>Диагностика.TREI.BR12.No_power1</v>
      </c>
      <c r="B2954" s="8">
        <v>1</v>
      </c>
      <c r="C2954" s="8" t="s">
        <v>1</v>
      </c>
      <c r="D2954" s="22">
        <v>11</v>
      </c>
    </row>
    <row r="2955" spans="1:4">
      <c r="A2955" s="211" t="str">
        <f t="shared" ref="A2955:A2964" si="71">$R$2&amp;"."&amp;$P$2&amp;".No_power2"</f>
        <v>Диагностика.TREI.BR12.No_power2</v>
      </c>
      <c r="B2955" s="212">
        <v>11154</v>
      </c>
      <c r="C2955" s="212" t="s">
        <v>4</v>
      </c>
      <c r="D2955" s="221">
        <f>$Q$7</f>
        <v>12</v>
      </c>
    </row>
    <row r="2956" spans="1:4">
      <c r="A2956" s="211" t="str">
        <f t="shared" si="71"/>
        <v>Диагностика.TREI.BR12.No_power2</v>
      </c>
      <c r="B2956" s="212">
        <v>11152</v>
      </c>
      <c r="C2956" s="212" t="s">
        <v>0</v>
      </c>
      <c r="D2956" s="220" t="str">
        <f>$R$7</f>
        <v>Неисправность</v>
      </c>
    </row>
    <row r="2957" spans="1:4">
      <c r="A2957" s="211" t="str">
        <f t="shared" si="71"/>
        <v>Диагностика.TREI.BR12.No_power2</v>
      </c>
      <c r="B2957" s="212">
        <v>11150</v>
      </c>
      <c r="C2957" s="212" t="s">
        <v>0</v>
      </c>
      <c r="D2957" s="213" t="s">
        <v>1781</v>
      </c>
    </row>
    <row r="2958" spans="1:4">
      <c r="A2958" s="211" t="str">
        <f t="shared" si="71"/>
        <v>Диагностика.TREI.BR12.No_power2</v>
      </c>
      <c r="B2958" s="212">
        <v>11000</v>
      </c>
      <c r="C2958" s="212" t="s">
        <v>5</v>
      </c>
      <c r="D2958" s="213">
        <v>2147483680</v>
      </c>
    </row>
    <row r="2959" spans="1:4">
      <c r="A2959" s="19" t="str">
        <f t="shared" si="71"/>
        <v>Диагностика.TREI.BR12.No_power2</v>
      </c>
      <c r="B2959" s="11">
        <v>7999</v>
      </c>
      <c r="C2959" s="11" t="s">
        <v>0</v>
      </c>
      <c r="D2959" s="20" t="str">
        <f>"#"&amp;$S$2&amp;"#"&amp;$T$2&amp;"\"&amp;$P$2&amp;"\No_power2"</f>
        <v>#2#treiOPCDA.CoOPCserv.1\pcmaster\BR12\No_power2</v>
      </c>
    </row>
    <row r="2960" spans="1:4">
      <c r="A2960" s="19" t="str">
        <f t="shared" si="71"/>
        <v>Диагностика.TREI.BR12.No_power2</v>
      </c>
      <c r="B2960" s="11">
        <v>7998</v>
      </c>
      <c r="C2960" s="11" t="s">
        <v>6</v>
      </c>
      <c r="D2960" s="20">
        <v>1</v>
      </c>
    </row>
    <row r="2961" spans="1:4">
      <c r="A2961" s="19" t="str">
        <f t="shared" si="71"/>
        <v>Диагностика.TREI.BR12.No_power2</v>
      </c>
      <c r="B2961" s="11">
        <v>101</v>
      </c>
      <c r="C2961" s="11" t="s">
        <v>0</v>
      </c>
      <c r="D2961" s="20" t="s">
        <v>1781</v>
      </c>
    </row>
    <row r="2962" spans="1:4">
      <c r="A2962" s="19" t="str">
        <f t="shared" si="71"/>
        <v>Диагностика.TREI.BR12.No_power2</v>
      </c>
      <c r="B2962" s="11">
        <v>3</v>
      </c>
      <c r="C2962" s="11" t="s">
        <v>1</v>
      </c>
      <c r="D2962" s="20">
        <v>192</v>
      </c>
    </row>
    <row r="2963" spans="1:4">
      <c r="A2963" s="19" t="str">
        <f t="shared" si="71"/>
        <v>Диагностика.TREI.BR12.No_power2</v>
      </c>
      <c r="B2963" s="11">
        <v>2</v>
      </c>
      <c r="C2963" s="11" t="s">
        <v>2</v>
      </c>
      <c r="D2963" s="20" t="s">
        <v>3</v>
      </c>
    </row>
    <row r="2964" spans="1:4">
      <c r="A2964" s="21" t="str">
        <f t="shared" si="71"/>
        <v>Диагностика.TREI.BR12.No_power2</v>
      </c>
      <c r="B2964" s="8">
        <v>1</v>
      </c>
      <c r="C2964" s="8" t="s">
        <v>1</v>
      </c>
      <c r="D2964" s="22">
        <v>11</v>
      </c>
    </row>
    <row r="2965" spans="1:4">
      <c r="A2965" s="211" t="str">
        <f>$R$2&amp;"."&amp;$P$2&amp;".Peregruz"</f>
        <v>Диагностика.TREI.BR12.Peregruz</v>
      </c>
      <c r="B2965" s="212">
        <v>11154</v>
      </c>
      <c r="C2965" s="212" t="s">
        <v>4</v>
      </c>
      <c r="D2965" s="221">
        <f>$Q$7</f>
        <v>12</v>
      </c>
    </row>
    <row r="2966" spans="1:4">
      <c r="A2966" s="211" t="str">
        <f t="shared" ref="A2966:A2974" si="72">$R$2&amp;"."&amp;$P$2&amp;".Peregruz"</f>
        <v>Диагностика.TREI.BR12.Peregruz</v>
      </c>
      <c r="B2966" s="212">
        <v>11152</v>
      </c>
      <c r="C2966" s="212" t="s">
        <v>0</v>
      </c>
      <c r="D2966" s="220" t="str">
        <f>$R$7</f>
        <v>Неисправность</v>
      </c>
    </row>
    <row r="2967" spans="1:4">
      <c r="A2967" s="211" t="str">
        <f t="shared" si="72"/>
        <v>Диагностика.TREI.BR12.Peregruz</v>
      </c>
      <c r="B2967" s="212">
        <v>11150</v>
      </c>
      <c r="C2967" s="212" t="s">
        <v>0</v>
      </c>
      <c r="D2967" s="213" t="s">
        <v>1777</v>
      </c>
    </row>
    <row r="2968" spans="1:4">
      <c r="A2968" s="211" t="str">
        <f t="shared" si="72"/>
        <v>Диагностика.TREI.BR12.Peregruz</v>
      </c>
      <c r="B2968" s="212">
        <v>11000</v>
      </c>
      <c r="C2968" s="212" t="s">
        <v>5</v>
      </c>
      <c r="D2968" s="213">
        <v>2147483680</v>
      </c>
    </row>
    <row r="2969" spans="1:4">
      <c r="A2969" s="19" t="str">
        <f t="shared" si="72"/>
        <v>Диагностика.TREI.BR12.Peregruz</v>
      </c>
      <c r="B2969" s="11">
        <v>7999</v>
      </c>
      <c r="C2969" s="11" t="s">
        <v>0</v>
      </c>
      <c r="D2969" s="20" t="str">
        <f>"#"&amp;$S$2&amp;"#"&amp;$T$2&amp;"\"&amp;$P$2&amp;"\Peregruz"</f>
        <v>#2#treiOPCDA.CoOPCserv.1\pcmaster\BR12\Peregruz</v>
      </c>
    </row>
    <row r="2970" spans="1:4">
      <c r="A2970" s="19" t="str">
        <f t="shared" si="72"/>
        <v>Диагностика.TREI.BR12.Peregruz</v>
      </c>
      <c r="B2970" s="11">
        <v>7998</v>
      </c>
      <c r="C2970" s="11" t="s">
        <v>6</v>
      </c>
      <c r="D2970" s="20">
        <v>1</v>
      </c>
    </row>
    <row r="2971" spans="1:4">
      <c r="A2971" s="19" t="str">
        <f t="shared" si="72"/>
        <v>Диагностика.TREI.BR12.Peregruz</v>
      </c>
      <c r="B2971" s="11">
        <v>101</v>
      </c>
      <c r="C2971" s="11" t="s">
        <v>0</v>
      </c>
      <c r="D2971" s="20" t="s">
        <v>1777</v>
      </c>
    </row>
    <row r="2972" spans="1:4">
      <c r="A2972" s="19" t="str">
        <f t="shared" si="72"/>
        <v>Диагностика.TREI.BR12.Peregruz</v>
      </c>
      <c r="B2972" s="11">
        <v>3</v>
      </c>
      <c r="C2972" s="11" t="s">
        <v>1</v>
      </c>
      <c r="D2972" s="20">
        <v>192</v>
      </c>
    </row>
    <row r="2973" spans="1:4">
      <c r="A2973" s="19" t="str">
        <f t="shared" si="72"/>
        <v>Диагностика.TREI.BR12.Peregruz</v>
      </c>
      <c r="B2973" s="11">
        <v>2</v>
      </c>
      <c r="C2973" s="11" t="s">
        <v>2</v>
      </c>
      <c r="D2973" s="20" t="s">
        <v>3</v>
      </c>
    </row>
    <row r="2974" spans="1:4">
      <c r="A2974" s="21" t="str">
        <f t="shared" si="72"/>
        <v>Диагностика.TREI.BR12.Peregruz</v>
      </c>
      <c r="B2974" s="8">
        <v>1</v>
      </c>
      <c r="C2974" s="8" t="s">
        <v>1</v>
      </c>
      <c r="D2974" s="22">
        <v>11</v>
      </c>
    </row>
    <row r="2975" spans="1:4">
      <c r="A2975" s="211" t="str">
        <f>$R$2&amp;"."&amp;$P$2&amp;".Peregrev"</f>
        <v>Диагностика.TREI.BR12.Peregrev</v>
      </c>
      <c r="B2975" s="212">
        <v>11154</v>
      </c>
      <c r="C2975" s="212" t="s">
        <v>4</v>
      </c>
      <c r="D2975" s="221">
        <f>$Q$7</f>
        <v>12</v>
      </c>
    </row>
    <row r="2976" spans="1:4">
      <c r="A2976" s="211" t="str">
        <f t="shared" ref="A2976:A2984" si="73">$R$2&amp;"."&amp;$P$2&amp;".Peregrev"</f>
        <v>Диагностика.TREI.BR12.Peregrev</v>
      </c>
      <c r="B2976" s="212">
        <v>11152</v>
      </c>
      <c r="C2976" s="212" t="s">
        <v>0</v>
      </c>
      <c r="D2976" s="220" t="str">
        <f>$R$7</f>
        <v>Неисправность</v>
      </c>
    </row>
    <row r="2977" spans="1:4">
      <c r="A2977" s="211" t="str">
        <f t="shared" si="73"/>
        <v>Диагностика.TREI.BR12.Peregrev</v>
      </c>
      <c r="B2977" s="212">
        <v>11150</v>
      </c>
      <c r="C2977" s="212" t="s">
        <v>0</v>
      </c>
      <c r="D2977" s="213" t="s">
        <v>1778</v>
      </c>
    </row>
    <row r="2978" spans="1:4">
      <c r="A2978" s="211" t="str">
        <f t="shared" si="73"/>
        <v>Диагностика.TREI.BR12.Peregrev</v>
      </c>
      <c r="B2978" s="212">
        <v>11000</v>
      </c>
      <c r="C2978" s="212" t="s">
        <v>5</v>
      </c>
      <c r="D2978" s="213">
        <v>2147483680</v>
      </c>
    </row>
    <row r="2979" spans="1:4">
      <c r="A2979" s="19" t="str">
        <f t="shared" si="73"/>
        <v>Диагностика.TREI.BR12.Peregrev</v>
      </c>
      <c r="B2979" s="11">
        <v>7999</v>
      </c>
      <c r="C2979" s="11" t="s">
        <v>0</v>
      </c>
      <c r="D2979" s="20" t="str">
        <f>"#"&amp;$S$2&amp;"#"&amp;$T$2&amp;"\"&amp;$P$2&amp;"\Peregrev"</f>
        <v>#2#treiOPCDA.CoOPCserv.1\pcmaster\BR12\Peregrev</v>
      </c>
    </row>
    <row r="2980" spans="1:4">
      <c r="A2980" s="19" t="str">
        <f t="shared" si="73"/>
        <v>Диагностика.TREI.BR12.Peregrev</v>
      </c>
      <c r="B2980" s="11">
        <v>7998</v>
      </c>
      <c r="C2980" s="11" t="s">
        <v>6</v>
      </c>
      <c r="D2980" s="20">
        <v>1</v>
      </c>
    </row>
    <row r="2981" spans="1:4">
      <c r="A2981" s="19" t="str">
        <f t="shared" si="73"/>
        <v>Диагностика.TREI.BR12.Peregrev</v>
      </c>
      <c r="B2981" s="11">
        <v>101</v>
      </c>
      <c r="C2981" s="11" t="s">
        <v>0</v>
      </c>
      <c r="D2981" s="20" t="s">
        <v>1778</v>
      </c>
    </row>
    <row r="2982" spans="1:4">
      <c r="A2982" s="19" t="str">
        <f t="shared" si="73"/>
        <v>Диагностика.TREI.BR12.Peregrev</v>
      </c>
      <c r="B2982" s="11">
        <v>3</v>
      </c>
      <c r="C2982" s="11" t="s">
        <v>1</v>
      </c>
      <c r="D2982" s="20">
        <v>192</v>
      </c>
    </row>
    <row r="2983" spans="1:4">
      <c r="A2983" s="19" t="str">
        <f t="shared" si="73"/>
        <v>Диагностика.TREI.BR12.Peregrev</v>
      </c>
      <c r="B2983" s="11">
        <v>2</v>
      </c>
      <c r="C2983" s="11" t="s">
        <v>2</v>
      </c>
      <c r="D2983" s="20" t="s">
        <v>3</v>
      </c>
    </row>
    <row r="2984" spans="1:4">
      <c r="A2984" s="21" t="str">
        <f t="shared" si="73"/>
        <v>Диагностика.TREI.BR12.Peregrev</v>
      </c>
      <c r="B2984" s="8">
        <v>1</v>
      </c>
      <c r="C2984" s="8" t="s">
        <v>1</v>
      </c>
      <c r="D2984" s="22">
        <v>11</v>
      </c>
    </row>
    <row r="2985" spans="1:4">
      <c r="A2985" s="211" t="str">
        <f>$R$2&amp;"."&amp;$P$2&amp;".No_Canal_power"</f>
        <v>Диагностика.TREI.BR12.No_Canal_power</v>
      </c>
      <c r="B2985" s="212">
        <v>11154</v>
      </c>
      <c r="C2985" s="212" t="s">
        <v>4</v>
      </c>
      <c r="D2985" s="221">
        <f>$Q$7</f>
        <v>12</v>
      </c>
    </row>
    <row r="2986" spans="1:4">
      <c r="A2986" s="211" t="str">
        <f t="shared" ref="A2986:A2994" si="74">$R$2&amp;"."&amp;$P$2&amp;".No_Canal_power"</f>
        <v>Диагностика.TREI.BR12.No_Canal_power</v>
      </c>
      <c r="B2986" s="212">
        <v>11152</v>
      </c>
      <c r="C2986" s="212" t="s">
        <v>0</v>
      </c>
      <c r="D2986" s="220" t="str">
        <f>$R$7</f>
        <v>Неисправность</v>
      </c>
    </row>
    <row r="2987" spans="1:4">
      <c r="A2987" s="211" t="str">
        <f t="shared" si="74"/>
        <v>Диагностика.TREI.BR12.No_Canal_power</v>
      </c>
      <c r="B2987" s="212">
        <v>11150</v>
      </c>
      <c r="C2987" s="212" t="s">
        <v>0</v>
      </c>
      <c r="D2987" s="213" t="s">
        <v>1779</v>
      </c>
    </row>
    <row r="2988" spans="1:4">
      <c r="A2988" s="211" t="str">
        <f t="shared" si="74"/>
        <v>Диагностика.TREI.BR12.No_Canal_power</v>
      </c>
      <c r="B2988" s="212">
        <v>11000</v>
      </c>
      <c r="C2988" s="212" t="s">
        <v>5</v>
      </c>
      <c r="D2988" s="213">
        <v>2147483680</v>
      </c>
    </row>
    <row r="2989" spans="1:4">
      <c r="A2989" s="19" t="str">
        <f t="shared" si="74"/>
        <v>Диагностика.TREI.BR12.No_Canal_power</v>
      </c>
      <c r="B2989" s="11">
        <v>7999</v>
      </c>
      <c r="C2989" s="11" t="s">
        <v>0</v>
      </c>
      <c r="D2989" s="20" t="str">
        <f>"#"&amp;$S$2&amp;"#"&amp;$T$2&amp;"\"&amp;$P$2&amp;"\No_Canal_power"</f>
        <v>#2#treiOPCDA.CoOPCserv.1\pcmaster\BR12\No_Canal_power</v>
      </c>
    </row>
    <row r="2990" spans="1:4">
      <c r="A2990" s="19" t="str">
        <f t="shared" si="74"/>
        <v>Диагностика.TREI.BR12.No_Canal_power</v>
      </c>
      <c r="B2990" s="11">
        <v>7998</v>
      </c>
      <c r="C2990" s="11" t="s">
        <v>6</v>
      </c>
      <c r="D2990" s="20">
        <v>1</v>
      </c>
    </row>
    <row r="2991" spans="1:4">
      <c r="A2991" s="19" t="str">
        <f t="shared" si="74"/>
        <v>Диагностика.TREI.BR12.No_Canal_power</v>
      </c>
      <c r="B2991" s="11">
        <v>101</v>
      </c>
      <c r="C2991" s="11" t="s">
        <v>0</v>
      </c>
      <c r="D2991" s="20" t="s">
        <v>1779</v>
      </c>
    </row>
    <row r="2992" spans="1:4">
      <c r="A2992" s="19" t="str">
        <f t="shared" si="74"/>
        <v>Диагностика.TREI.BR12.No_Canal_power</v>
      </c>
      <c r="B2992" s="11">
        <v>3</v>
      </c>
      <c r="C2992" s="11" t="s">
        <v>1</v>
      </c>
      <c r="D2992" s="20">
        <v>192</v>
      </c>
    </row>
    <row r="2993" spans="1:4">
      <c r="A2993" s="19" t="str">
        <f t="shared" si="74"/>
        <v>Диагностика.TREI.BR12.No_Canal_power</v>
      </c>
      <c r="B2993" s="11">
        <v>2</v>
      </c>
      <c r="C2993" s="11" t="s">
        <v>2</v>
      </c>
      <c r="D2993" s="20" t="s">
        <v>3</v>
      </c>
    </row>
    <row r="2994" spans="1:4">
      <c r="A2994" s="21" t="str">
        <f t="shared" si="74"/>
        <v>Диагностика.TREI.BR12.No_Canal_power</v>
      </c>
      <c r="B2994" s="8">
        <v>1</v>
      </c>
      <c r="C2994" s="8" t="s">
        <v>1</v>
      </c>
      <c r="D2994" s="22">
        <v>11</v>
      </c>
    </row>
    <row r="2995" spans="1:4">
      <c r="A2995" s="512" t="s">
        <v>1879</v>
      </c>
      <c r="B2995" s="512"/>
      <c r="C2995" s="512"/>
      <c r="D2995" s="512"/>
    </row>
    <row r="2996" spans="1:4">
      <c r="A2996" s="211" t="str">
        <f t="shared" ref="A2996:A3005" si="75">$R$2&amp;"."&amp;$P$2&amp;".Err_line1"</f>
        <v>Диагностика.TREI.BR12.Err_line1</v>
      </c>
      <c r="B2996" s="212">
        <v>11154</v>
      </c>
      <c r="C2996" s="212" t="s">
        <v>4</v>
      </c>
      <c r="D2996" s="221">
        <f>$Q$7</f>
        <v>12</v>
      </c>
    </row>
    <row r="2997" spans="1:4">
      <c r="A2997" s="211" t="str">
        <f t="shared" si="75"/>
        <v>Диагностика.TREI.BR12.Err_line1</v>
      </c>
      <c r="B2997" s="212">
        <v>11152</v>
      </c>
      <c r="C2997" s="212" t="s">
        <v>0</v>
      </c>
      <c r="D2997" s="220" t="str">
        <f>$R$7</f>
        <v>Неисправность</v>
      </c>
    </row>
    <row r="2998" spans="1:4">
      <c r="A2998" s="211" t="str">
        <f t="shared" si="75"/>
        <v>Диагностика.TREI.BR12.Err_line1</v>
      </c>
      <c r="B2998" s="212">
        <v>11150</v>
      </c>
      <c r="C2998" s="212" t="s">
        <v>0</v>
      </c>
      <c r="D2998" s="213" t="s">
        <v>1375</v>
      </c>
    </row>
    <row r="2999" spans="1:4">
      <c r="A2999" s="211" t="str">
        <f t="shared" si="75"/>
        <v>Диагностика.TREI.BR12.Err_line1</v>
      </c>
      <c r="B2999" s="212">
        <v>11000</v>
      </c>
      <c r="C2999" s="212" t="s">
        <v>5</v>
      </c>
      <c r="D2999" s="213">
        <v>2147483680</v>
      </c>
    </row>
    <row r="3000" spans="1:4">
      <c r="A3000" s="19" t="str">
        <f t="shared" si="75"/>
        <v>Диагностика.TREI.BR12.Err_line1</v>
      </c>
      <c r="B3000" s="11">
        <v>7999</v>
      </c>
      <c r="C3000" s="11" t="s">
        <v>0</v>
      </c>
      <c r="D3000" s="20" t="str">
        <f>"#"&amp;$S$2&amp;"#"&amp;$T$2&amp;"\"&amp;$P$2&amp;"\Err_line1"</f>
        <v>#2#treiOPCDA.CoOPCserv.1\pcmaster\BR12\Err_line1</v>
      </c>
    </row>
    <row r="3001" spans="1:4">
      <c r="A3001" s="19" t="str">
        <f t="shared" si="75"/>
        <v>Диагностика.TREI.BR12.Err_line1</v>
      </c>
      <c r="B3001" s="11">
        <v>7998</v>
      </c>
      <c r="C3001" s="11" t="s">
        <v>6</v>
      </c>
      <c r="D3001" s="20">
        <v>1</v>
      </c>
    </row>
    <row r="3002" spans="1:4">
      <c r="A3002" s="19" t="str">
        <f t="shared" si="75"/>
        <v>Диагностика.TREI.BR12.Err_line1</v>
      </c>
      <c r="B3002" s="11">
        <v>101</v>
      </c>
      <c r="C3002" s="11" t="s">
        <v>0</v>
      </c>
      <c r="D3002" s="20" t="s">
        <v>1375</v>
      </c>
    </row>
    <row r="3003" spans="1:4">
      <c r="A3003" s="19" t="str">
        <f t="shared" si="75"/>
        <v>Диагностика.TREI.BR12.Err_line1</v>
      </c>
      <c r="B3003" s="11">
        <v>3</v>
      </c>
      <c r="C3003" s="11" t="s">
        <v>1</v>
      </c>
      <c r="D3003" s="20">
        <v>192</v>
      </c>
    </row>
    <row r="3004" spans="1:4">
      <c r="A3004" s="19" t="str">
        <f t="shared" si="75"/>
        <v>Диагностика.TREI.BR12.Err_line1</v>
      </c>
      <c r="B3004" s="11">
        <v>2</v>
      </c>
      <c r="C3004" s="11" t="s">
        <v>2</v>
      </c>
      <c r="D3004" s="20" t="s">
        <v>3</v>
      </c>
    </row>
    <row r="3005" spans="1:4">
      <c r="A3005" s="21" t="str">
        <f t="shared" si="75"/>
        <v>Диагностика.TREI.BR12.Err_line1</v>
      </c>
      <c r="B3005" s="8">
        <v>1</v>
      </c>
      <c r="C3005" s="8" t="s">
        <v>1</v>
      </c>
      <c r="D3005" s="22">
        <v>11</v>
      </c>
    </row>
    <row r="3006" spans="1:4">
      <c r="A3006" s="211" t="str">
        <f t="shared" ref="A3006:A3015" si="76">$R$2&amp;"."&amp;$P$2&amp;".Err_line2"</f>
        <v>Диагностика.TREI.BR12.Err_line2</v>
      </c>
      <c r="B3006" s="212">
        <v>11154</v>
      </c>
      <c r="C3006" s="212" t="s">
        <v>4</v>
      </c>
      <c r="D3006" s="221">
        <f>$Q$7</f>
        <v>12</v>
      </c>
    </row>
    <row r="3007" spans="1:4">
      <c r="A3007" s="211" t="str">
        <f t="shared" si="76"/>
        <v>Диагностика.TREI.BR12.Err_line2</v>
      </c>
      <c r="B3007" s="212">
        <v>11152</v>
      </c>
      <c r="C3007" s="212" t="s">
        <v>0</v>
      </c>
      <c r="D3007" s="220" t="str">
        <f>$R$7</f>
        <v>Неисправность</v>
      </c>
    </row>
    <row r="3008" spans="1:4">
      <c r="A3008" s="211" t="str">
        <f t="shared" si="76"/>
        <v>Диагностика.TREI.BR12.Err_line2</v>
      </c>
      <c r="B3008" s="212">
        <v>11150</v>
      </c>
      <c r="C3008" s="212" t="s">
        <v>0</v>
      </c>
      <c r="D3008" s="213" t="s">
        <v>1376</v>
      </c>
    </row>
    <row r="3009" spans="1:4">
      <c r="A3009" s="211" t="str">
        <f t="shared" si="76"/>
        <v>Диагностика.TREI.BR12.Err_line2</v>
      </c>
      <c r="B3009" s="212">
        <v>11000</v>
      </c>
      <c r="C3009" s="212" t="s">
        <v>5</v>
      </c>
      <c r="D3009" s="213">
        <v>2147483680</v>
      </c>
    </row>
    <row r="3010" spans="1:4">
      <c r="A3010" s="19" t="str">
        <f t="shared" si="76"/>
        <v>Диагностика.TREI.BR12.Err_line2</v>
      </c>
      <c r="B3010" s="11">
        <v>7999</v>
      </c>
      <c r="C3010" s="11" t="s">
        <v>0</v>
      </c>
      <c r="D3010" s="20" t="str">
        <f>"#"&amp;$S$2&amp;"#"&amp;$T$2&amp;"\"&amp;$P$2&amp;"\Err_line2"</f>
        <v>#2#treiOPCDA.CoOPCserv.1\pcmaster\BR12\Err_line2</v>
      </c>
    </row>
    <row r="3011" spans="1:4">
      <c r="A3011" s="19" t="str">
        <f t="shared" si="76"/>
        <v>Диагностика.TREI.BR12.Err_line2</v>
      </c>
      <c r="B3011" s="11">
        <v>7998</v>
      </c>
      <c r="C3011" s="11" t="s">
        <v>6</v>
      </c>
      <c r="D3011" s="20">
        <v>1</v>
      </c>
    </row>
    <row r="3012" spans="1:4">
      <c r="A3012" s="19" t="str">
        <f t="shared" si="76"/>
        <v>Диагностика.TREI.BR12.Err_line2</v>
      </c>
      <c r="B3012" s="11">
        <v>101</v>
      </c>
      <c r="C3012" s="11" t="s">
        <v>0</v>
      </c>
      <c r="D3012" s="20" t="s">
        <v>1376</v>
      </c>
    </row>
    <row r="3013" spans="1:4">
      <c r="A3013" s="19" t="str">
        <f t="shared" si="76"/>
        <v>Диагностика.TREI.BR12.Err_line2</v>
      </c>
      <c r="B3013" s="11">
        <v>3</v>
      </c>
      <c r="C3013" s="11" t="s">
        <v>1</v>
      </c>
      <c r="D3013" s="20">
        <v>192</v>
      </c>
    </row>
    <row r="3014" spans="1:4">
      <c r="A3014" s="19" t="str">
        <f t="shared" si="76"/>
        <v>Диагностика.TREI.BR12.Err_line2</v>
      </c>
      <c r="B3014" s="11">
        <v>2</v>
      </c>
      <c r="C3014" s="11" t="s">
        <v>2</v>
      </c>
      <c r="D3014" s="20" t="s">
        <v>3</v>
      </c>
    </row>
    <row r="3015" spans="1:4">
      <c r="A3015" s="21" t="str">
        <f t="shared" si="76"/>
        <v>Диагностика.TREI.BR12.Err_line2</v>
      </c>
      <c r="B3015" s="8">
        <v>1</v>
      </c>
      <c r="C3015" s="8" t="s">
        <v>1</v>
      </c>
      <c r="D3015" s="22">
        <v>11</v>
      </c>
    </row>
    <row r="3016" spans="1:4">
      <c r="A3016" s="211" t="str">
        <f t="shared" ref="A3016:A3025" si="77">$R$2&amp;"."&amp;$P$2&amp;".No_power1"</f>
        <v>Диагностика.TREI.BR12.No_power1</v>
      </c>
      <c r="B3016" s="212">
        <v>11154</v>
      </c>
      <c r="C3016" s="212" t="s">
        <v>4</v>
      </c>
      <c r="D3016" s="221">
        <f>$Q$7</f>
        <v>12</v>
      </c>
    </row>
    <row r="3017" spans="1:4">
      <c r="A3017" s="211" t="str">
        <f t="shared" si="77"/>
        <v>Диагностика.TREI.BR12.No_power1</v>
      </c>
      <c r="B3017" s="212">
        <v>11152</v>
      </c>
      <c r="C3017" s="212" t="s">
        <v>0</v>
      </c>
      <c r="D3017" s="220" t="str">
        <f>$R$7</f>
        <v>Неисправность</v>
      </c>
    </row>
    <row r="3018" spans="1:4">
      <c r="A3018" s="211" t="str">
        <f t="shared" si="77"/>
        <v>Диагностика.TREI.BR12.No_power1</v>
      </c>
      <c r="B3018" s="212">
        <v>11150</v>
      </c>
      <c r="C3018" s="212" t="s">
        <v>0</v>
      </c>
      <c r="D3018" s="213" t="s">
        <v>1780</v>
      </c>
    </row>
    <row r="3019" spans="1:4">
      <c r="A3019" s="211" t="str">
        <f t="shared" si="77"/>
        <v>Диагностика.TREI.BR12.No_power1</v>
      </c>
      <c r="B3019" s="212">
        <v>11000</v>
      </c>
      <c r="C3019" s="212" t="s">
        <v>5</v>
      </c>
      <c r="D3019" s="213">
        <v>2147483680</v>
      </c>
    </row>
    <row r="3020" spans="1:4">
      <c r="A3020" s="19" t="str">
        <f t="shared" si="77"/>
        <v>Диагностика.TREI.BR12.No_power1</v>
      </c>
      <c r="B3020" s="11">
        <v>7999</v>
      </c>
      <c r="C3020" s="11" t="s">
        <v>0</v>
      </c>
      <c r="D3020" s="20" t="str">
        <f>"#"&amp;$S$2&amp;"#"&amp;$T$2&amp;"\"&amp;$P$2&amp;"\No_power1"</f>
        <v>#2#treiOPCDA.CoOPCserv.1\pcmaster\BR12\No_power1</v>
      </c>
    </row>
    <row r="3021" spans="1:4">
      <c r="A3021" s="19" t="str">
        <f t="shared" si="77"/>
        <v>Диагностика.TREI.BR12.No_power1</v>
      </c>
      <c r="B3021" s="11">
        <v>7998</v>
      </c>
      <c r="C3021" s="11" t="s">
        <v>6</v>
      </c>
      <c r="D3021" s="20">
        <v>1</v>
      </c>
    </row>
    <row r="3022" spans="1:4">
      <c r="A3022" s="19" t="str">
        <f t="shared" si="77"/>
        <v>Диагностика.TREI.BR12.No_power1</v>
      </c>
      <c r="B3022" s="11">
        <v>101</v>
      </c>
      <c r="C3022" s="11" t="s">
        <v>0</v>
      </c>
      <c r="D3022" s="20" t="s">
        <v>1780</v>
      </c>
    </row>
    <row r="3023" spans="1:4">
      <c r="A3023" s="19" t="str">
        <f t="shared" si="77"/>
        <v>Диагностика.TREI.BR12.No_power1</v>
      </c>
      <c r="B3023" s="11">
        <v>3</v>
      </c>
      <c r="C3023" s="11" t="s">
        <v>1</v>
      </c>
      <c r="D3023" s="20">
        <v>192</v>
      </c>
    </row>
    <row r="3024" spans="1:4">
      <c r="A3024" s="19" t="str">
        <f t="shared" si="77"/>
        <v>Диагностика.TREI.BR12.No_power1</v>
      </c>
      <c r="B3024" s="11">
        <v>2</v>
      </c>
      <c r="C3024" s="11" t="s">
        <v>2</v>
      </c>
      <c r="D3024" s="20" t="s">
        <v>3</v>
      </c>
    </row>
    <row r="3025" spans="1:4">
      <c r="A3025" s="21" t="str">
        <f t="shared" si="77"/>
        <v>Диагностика.TREI.BR12.No_power1</v>
      </c>
      <c r="B3025" s="8">
        <v>1</v>
      </c>
      <c r="C3025" s="8" t="s">
        <v>1</v>
      </c>
      <c r="D3025" s="22">
        <v>11</v>
      </c>
    </row>
    <row r="3026" spans="1:4">
      <c r="A3026" s="211" t="str">
        <f t="shared" ref="A3026:A3035" si="78">$R$2&amp;"."&amp;$P$2&amp;".No_power2"</f>
        <v>Диагностика.TREI.BR12.No_power2</v>
      </c>
      <c r="B3026" s="212">
        <v>11154</v>
      </c>
      <c r="C3026" s="212" t="s">
        <v>4</v>
      </c>
      <c r="D3026" s="221">
        <f>$Q$7</f>
        <v>12</v>
      </c>
    </row>
    <row r="3027" spans="1:4">
      <c r="A3027" s="211" t="str">
        <f t="shared" si="78"/>
        <v>Диагностика.TREI.BR12.No_power2</v>
      </c>
      <c r="B3027" s="212">
        <v>11152</v>
      </c>
      <c r="C3027" s="212" t="s">
        <v>0</v>
      </c>
      <c r="D3027" s="220" t="str">
        <f>$R$7</f>
        <v>Неисправность</v>
      </c>
    </row>
    <row r="3028" spans="1:4">
      <c r="A3028" s="211" t="str">
        <f t="shared" si="78"/>
        <v>Диагностика.TREI.BR12.No_power2</v>
      </c>
      <c r="B3028" s="212">
        <v>11150</v>
      </c>
      <c r="C3028" s="212" t="s">
        <v>0</v>
      </c>
      <c r="D3028" s="213" t="s">
        <v>1781</v>
      </c>
    </row>
    <row r="3029" spans="1:4">
      <c r="A3029" s="211" t="str">
        <f t="shared" si="78"/>
        <v>Диагностика.TREI.BR12.No_power2</v>
      </c>
      <c r="B3029" s="212">
        <v>11000</v>
      </c>
      <c r="C3029" s="212" t="s">
        <v>5</v>
      </c>
      <c r="D3029" s="213">
        <v>2147483680</v>
      </c>
    </row>
    <row r="3030" spans="1:4">
      <c r="A3030" s="19" t="str">
        <f t="shared" si="78"/>
        <v>Диагностика.TREI.BR12.No_power2</v>
      </c>
      <c r="B3030" s="11">
        <v>7999</v>
      </c>
      <c r="C3030" s="11" t="s">
        <v>0</v>
      </c>
      <c r="D3030" s="20" t="str">
        <f>"#"&amp;$S$2&amp;"#"&amp;$T$2&amp;"\"&amp;$P$2&amp;"\No_power2"</f>
        <v>#2#treiOPCDA.CoOPCserv.1\pcmaster\BR12\No_power2</v>
      </c>
    </row>
    <row r="3031" spans="1:4">
      <c r="A3031" s="19" t="str">
        <f t="shared" si="78"/>
        <v>Диагностика.TREI.BR12.No_power2</v>
      </c>
      <c r="B3031" s="11">
        <v>7998</v>
      </c>
      <c r="C3031" s="11" t="s">
        <v>6</v>
      </c>
      <c r="D3031" s="20">
        <v>1</v>
      </c>
    </row>
    <row r="3032" spans="1:4">
      <c r="A3032" s="19" t="str">
        <f t="shared" si="78"/>
        <v>Диагностика.TREI.BR12.No_power2</v>
      </c>
      <c r="B3032" s="11">
        <v>101</v>
      </c>
      <c r="C3032" s="11" t="s">
        <v>0</v>
      </c>
      <c r="D3032" s="20" t="s">
        <v>1781</v>
      </c>
    </row>
    <row r="3033" spans="1:4">
      <c r="A3033" s="19" t="str">
        <f t="shared" si="78"/>
        <v>Диагностика.TREI.BR12.No_power2</v>
      </c>
      <c r="B3033" s="11">
        <v>3</v>
      </c>
      <c r="C3033" s="11" t="s">
        <v>1</v>
      </c>
      <c r="D3033" s="20">
        <v>192</v>
      </c>
    </row>
    <row r="3034" spans="1:4">
      <c r="A3034" s="19" t="str">
        <f t="shared" si="78"/>
        <v>Диагностика.TREI.BR12.No_power2</v>
      </c>
      <c r="B3034" s="11">
        <v>2</v>
      </c>
      <c r="C3034" s="11" t="s">
        <v>2</v>
      </c>
      <c r="D3034" s="20" t="s">
        <v>3</v>
      </c>
    </row>
    <row r="3035" spans="1:4">
      <c r="A3035" s="21" t="str">
        <f t="shared" si="78"/>
        <v>Диагностика.TREI.BR12.No_power2</v>
      </c>
      <c r="B3035" s="8">
        <v>1</v>
      </c>
      <c r="C3035" s="8" t="s">
        <v>1</v>
      </c>
      <c r="D3035" s="22">
        <v>11</v>
      </c>
    </row>
    <row r="3036" spans="1:4">
      <c r="A3036" s="211" t="str">
        <f>$R$2&amp;"."&amp;$P$2&amp;".Peregruz"</f>
        <v>Диагностика.TREI.BR12.Peregruz</v>
      </c>
      <c r="B3036" s="212">
        <v>11154</v>
      </c>
      <c r="C3036" s="212" t="s">
        <v>4</v>
      </c>
      <c r="D3036" s="221">
        <f>$Q$7</f>
        <v>12</v>
      </c>
    </row>
    <row r="3037" spans="1:4">
      <c r="A3037" s="211" t="str">
        <f t="shared" ref="A3037:A3045" si="79">$R$2&amp;"."&amp;$P$2&amp;".Peregruz"</f>
        <v>Диагностика.TREI.BR12.Peregruz</v>
      </c>
      <c r="B3037" s="212">
        <v>11152</v>
      </c>
      <c r="C3037" s="212" t="s">
        <v>0</v>
      </c>
      <c r="D3037" s="220" t="str">
        <f>$R$7</f>
        <v>Неисправность</v>
      </c>
    </row>
    <row r="3038" spans="1:4">
      <c r="A3038" s="211" t="str">
        <f t="shared" si="79"/>
        <v>Диагностика.TREI.BR12.Peregruz</v>
      </c>
      <c r="B3038" s="212">
        <v>11150</v>
      </c>
      <c r="C3038" s="212" t="s">
        <v>0</v>
      </c>
      <c r="D3038" s="213" t="s">
        <v>1777</v>
      </c>
    </row>
    <row r="3039" spans="1:4">
      <c r="A3039" s="211" t="str">
        <f t="shared" si="79"/>
        <v>Диагностика.TREI.BR12.Peregruz</v>
      </c>
      <c r="B3039" s="212">
        <v>11000</v>
      </c>
      <c r="C3039" s="212" t="s">
        <v>5</v>
      </c>
      <c r="D3039" s="213">
        <v>2147483680</v>
      </c>
    </row>
    <row r="3040" spans="1:4">
      <c r="A3040" s="19" t="str">
        <f t="shared" si="79"/>
        <v>Диагностика.TREI.BR12.Peregruz</v>
      </c>
      <c r="B3040" s="11">
        <v>7999</v>
      </c>
      <c r="C3040" s="11" t="s">
        <v>0</v>
      </c>
      <c r="D3040" s="20" t="str">
        <f>"#"&amp;$S$2&amp;"#"&amp;$T$2&amp;"\"&amp;$P$2&amp;"\Peregruz"</f>
        <v>#2#treiOPCDA.CoOPCserv.1\pcmaster\BR12\Peregruz</v>
      </c>
    </row>
    <row r="3041" spans="1:4">
      <c r="A3041" s="19" t="str">
        <f t="shared" si="79"/>
        <v>Диагностика.TREI.BR12.Peregruz</v>
      </c>
      <c r="B3041" s="11">
        <v>7998</v>
      </c>
      <c r="C3041" s="11" t="s">
        <v>6</v>
      </c>
      <c r="D3041" s="20">
        <v>1</v>
      </c>
    </row>
    <row r="3042" spans="1:4">
      <c r="A3042" s="19" t="str">
        <f t="shared" si="79"/>
        <v>Диагностика.TREI.BR12.Peregruz</v>
      </c>
      <c r="B3042" s="11">
        <v>101</v>
      </c>
      <c r="C3042" s="11" t="s">
        <v>0</v>
      </c>
      <c r="D3042" s="20" t="s">
        <v>1777</v>
      </c>
    </row>
    <row r="3043" spans="1:4">
      <c r="A3043" s="19" t="str">
        <f t="shared" si="79"/>
        <v>Диагностика.TREI.BR12.Peregruz</v>
      </c>
      <c r="B3043" s="11">
        <v>3</v>
      </c>
      <c r="C3043" s="11" t="s">
        <v>1</v>
      </c>
      <c r="D3043" s="20">
        <v>192</v>
      </c>
    </row>
    <row r="3044" spans="1:4">
      <c r="A3044" s="19" t="str">
        <f t="shared" si="79"/>
        <v>Диагностика.TREI.BR12.Peregruz</v>
      </c>
      <c r="B3044" s="11">
        <v>2</v>
      </c>
      <c r="C3044" s="11" t="s">
        <v>2</v>
      </c>
      <c r="D3044" s="20" t="s">
        <v>3</v>
      </c>
    </row>
    <row r="3045" spans="1:4">
      <c r="A3045" s="21" t="str">
        <f t="shared" si="79"/>
        <v>Диагностика.TREI.BR12.Peregruz</v>
      </c>
      <c r="B3045" s="8">
        <v>1</v>
      </c>
      <c r="C3045" s="8" t="s">
        <v>1</v>
      </c>
      <c r="D3045" s="22">
        <v>11</v>
      </c>
    </row>
    <row r="3046" spans="1:4">
      <c r="A3046" s="211" t="str">
        <f>$R$2&amp;"."&amp;$P$2&amp;".Peregrev"</f>
        <v>Диагностика.TREI.BR12.Peregrev</v>
      </c>
      <c r="B3046" s="212">
        <v>11154</v>
      </c>
      <c r="C3046" s="212" t="s">
        <v>4</v>
      </c>
      <c r="D3046" s="221">
        <f>$Q$7</f>
        <v>12</v>
      </c>
    </row>
    <row r="3047" spans="1:4">
      <c r="A3047" s="211" t="str">
        <f t="shared" ref="A3047:A3055" si="80">$R$2&amp;"."&amp;$P$2&amp;".Peregrev"</f>
        <v>Диагностика.TREI.BR12.Peregrev</v>
      </c>
      <c r="B3047" s="212">
        <v>11152</v>
      </c>
      <c r="C3047" s="212" t="s">
        <v>0</v>
      </c>
      <c r="D3047" s="220" t="str">
        <f>$R$7</f>
        <v>Неисправность</v>
      </c>
    </row>
    <row r="3048" spans="1:4">
      <c r="A3048" s="211" t="str">
        <f t="shared" si="80"/>
        <v>Диагностика.TREI.BR12.Peregrev</v>
      </c>
      <c r="B3048" s="212">
        <v>11150</v>
      </c>
      <c r="C3048" s="212" t="s">
        <v>0</v>
      </c>
      <c r="D3048" s="213" t="s">
        <v>1778</v>
      </c>
    </row>
    <row r="3049" spans="1:4">
      <c r="A3049" s="211" t="str">
        <f t="shared" si="80"/>
        <v>Диагностика.TREI.BR12.Peregrev</v>
      </c>
      <c r="B3049" s="212">
        <v>11000</v>
      </c>
      <c r="C3049" s="212" t="s">
        <v>5</v>
      </c>
      <c r="D3049" s="213">
        <v>2147483680</v>
      </c>
    </row>
    <row r="3050" spans="1:4">
      <c r="A3050" s="19" t="str">
        <f t="shared" si="80"/>
        <v>Диагностика.TREI.BR12.Peregrev</v>
      </c>
      <c r="B3050" s="11">
        <v>7999</v>
      </c>
      <c r="C3050" s="11" t="s">
        <v>0</v>
      </c>
      <c r="D3050" s="20" t="str">
        <f>"#"&amp;$S$2&amp;"#"&amp;$T$2&amp;"\"&amp;$P$2&amp;"\Peregrev"</f>
        <v>#2#treiOPCDA.CoOPCserv.1\pcmaster\BR12\Peregrev</v>
      </c>
    </row>
    <row r="3051" spans="1:4">
      <c r="A3051" s="19" t="str">
        <f t="shared" si="80"/>
        <v>Диагностика.TREI.BR12.Peregrev</v>
      </c>
      <c r="B3051" s="11">
        <v>7998</v>
      </c>
      <c r="C3051" s="11" t="s">
        <v>6</v>
      </c>
      <c r="D3051" s="20">
        <v>1</v>
      </c>
    </row>
    <row r="3052" spans="1:4">
      <c r="A3052" s="19" t="str">
        <f t="shared" si="80"/>
        <v>Диагностика.TREI.BR12.Peregrev</v>
      </c>
      <c r="B3052" s="11">
        <v>101</v>
      </c>
      <c r="C3052" s="11" t="s">
        <v>0</v>
      </c>
      <c r="D3052" s="20" t="s">
        <v>1778</v>
      </c>
    </row>
    <row r="3053" spans="1:4">
      <c r="A3053" s="19" t="str">
        <f t="shared" si="80"/>
        <v>Диагностика.TREI.BR12.Peregrev</v>
      </c>
      <c r="B3053" s="11">
        <v>3</v>
      </c>
      <c r="C3053" s="11" t="s">
        <v>1</v>
      </c>
      <c r="D3053" s="20">
        <v>192</v>
      </c>
    </row>
    <row r="3054" spans="1:4">
      <c r="A3054" s="19" t="str">
        <f t="shared" si="80"/>
        <v>Диагностика.TREI.BR12.Peregrev</v>
      </c>
      <c r="B3054" s="11">
        <v>2</v>
      </c>
      <c r="C3054" s="11" t="s">
        <v>2</v>
      </c>
      <c r="D3054" s="20" t="s">
        <v>3</v>
      </c>
    </row>
    <row r="3055" spans="1:4">
      <c r="A3055" s="21" t="str">
        <f t="shared" si="80"/>
        <v>Диагностика.TREI.BR12.Peregrev</v>
      </c>
      <c r="B3055" s="8">
        <v>1</v>
      </c>
      <c r="C3055" s="8" t="s">
        <v>1</v>
      </c>
      <c r="D3055" s="22">
        <v>11</v>
      </c>
    </row>
    <row r="3056" spans="1:4">
      <c r="A3056" s="211" t="str">
        <f>$R$2&amp;"."&amp;$P$2&amp;".CH_power_low1"</f>
        <v>Диагностика.TREI.BR12.CH_power_low1</v>
      </c>
      <c r="B3056" s="212">
        <v>11154</v>
      </c>
      <c r="C3056" s="212" t="s">
        <v>4</v>
      </c>
      <c r="D3056" s="221">
        <f>$Q$7</f>
        <v>12</v>
      </c>
    </row>
    <row r="3057" spans="1:4">
      <c r="A3057" s="211" t="str">
        <f t="shared" ref="A3057:A3065" si="81">$R$2&amp;"."&amp;$P$2&amp;".CH_power_low1"</f>
        <v>Диагностика.TREI.BR12.CH_power_low1</v>
      </c>
      <c r="B3057" s="212">
        <v>11152</v>
      </c>
      <c r="C3057" s="212" t="s">
        <v>0</v>
      </c>
      <c r="D3057" s="220" t="str">
        <f>$R$7</f>
        <v>Неисправность</v>
      </c>
    </row>
    <row r="3058" spans="1:4">
      <c r="A3058" s="211" t="str">
        <f t="shared" si="81"/>
        <v>Диагностика.TREI.BR12.CH_power_low1</v>
      </c>
      <c r="B3058" s="212">
        <v>11150</v>
      </c>
      <c r="C3058" s="212" t="s">
        <v>0</v>
      </c>
      <c r="D3058" s="213" t="s">
        <v>2671</v>
      </c>
    </row>
    <row r="3059" spans="1:4">
      <c r="A3059" s="211" t="str">
        <f t="shared" si="81"/>
        <v>Диагностика.TREI.BR12.CH_power_low1</v>
      </c>
      <c r="B3059" s="212">
        <v>11000</v>
      </c>
      <c r="C3059" s="212" t="s">
        <v>5</v>
      </c>
      <c r="D3059" s="213">
        <v>2147483680</v>
      </c>
    </row>
    <row r="3060" spans="1:4">
      <c r="A3060" s="19" t="str">
        <f t="shared" si="81"/>
        <v>Диагностика.TREI.BR12.CH_power_low1</v>
      </c>
      <c r="B3060" s="11">
        <v>7999</v>
      </c>
      <c r="C3060" s="11" t="s">
        <v>0</v>
      </c>
      <c r="D3060" s="20" t="str">
        <f>"#"&amp;$S$2&amp;"#"&amp;$T$2&amp;"\"&amp;$P$2&amp;"\CH_power_low1"</f>
        <v>#2#treiOPCDA.CoOPCserv.1\pcmaster\BR12\CH_power_low1</v>
      </c>
    </row>
    <row r="3061" spans="1:4">
      <c r="A3061" s="19" t="str">
        <f t="shared" si="81"/>
        <v>Диагностика.TREI.BR12.CH_power_low1</v>
      </c>
      <c r="B3061" s="11">
        <v>7998</v>
      </c>
      <c r="C3061" s="11" t="s">
        <v>6</v>
      </c>
      <c r="D3061" s="20">
        <v>1</v>
      </c>
    </row>
    <row r="3062" spans="1:4">
      <c r="A3062" s="19" t="str">
        <f t="shared" si="81"/>
        <v>Диагностика.TREI.BR12.CH_power_low1</v>
      </c>
      <c r="B3062" s="11">
        <v>101</v>
      </c>
      <c r="C3062" s="11" t="s">
        <v>0</v>
      </c>
      <c r="D3062" s="20" t="s">
        <v>2671</v>
      </c>
    </row>
    <row r="3063" spans="1:4">
      <c r="A3063" s="19" t="str">
        <f t="shared" si="81"/>
        <v>Диагностика.TREI.BR12.CH_power_low1</v>
      </c>
      <c r="B3063" s="11">
        <v>3</v>
      </c>
      <c r="C3063" s="11" t="s">
        <v>1</v>
      </c>
      <c r="D3063" s="20">
        <v>192</v>
      </c>
    </row>
    <row r="3064" spans="1:4">
      <c r="A3064" s="19" t="str">
        <f t="shared" si="81"/>
        <v>Диагностика.TREI.BR12.CH_power_low1</v>
      </c>
      <c r="B3064" s="11">
        <v>2</v>
      </c>
      <c r="C3064" s="11" t="s">
        <v>2</v>
      </c>
      <c r="D3064" s="20" t="s">
        <v>3</v>
      </c>
    </row>
    <row r="3065" spans="1:4">
      <c r="A3065" s="21" t="str">
        <f t="shared" si="81"/>
        <v>Диагностика.TREI.BR12.CH_power_low1</v>
      </c>
      <c r="B3065" s="8">
        <v>1</v>
      </c>
      <c r="C3065" s="8" t="s">
        <v>1</v>
      </c>
      <c r="D3065" s="22">
        <v>11</v>
      </c>
    </row>
    <row r="3066" spans="1:4">
      <c r="A3066" s="211" t="str">
        <f>$R$2&amp;"."&amp;$P$2&amp;".CH_power_high1"</f>
        <v>Диагностика.TREI.BR12.CH_power_high1</v>
      </c>
      <c r="B3066" s="212">
        <v>11154</v>
      </c>
      <c r="C3066" s="212" t="s">
        <v>4</v>
      </c>
      <c r="D3066" s="221">
        <f>$Q$7</f>
        <v>12</v>
      </c>
    </row>
    <row r="3067" spans="1:4">
      <c r="A3067" s="211" t="str">
        <f t="shared" ref="A3067:A3075" si="82">$R$2&amp;"."&amp;$P$2&amp;".CH_power_high1"</f>
        <v>Диагностика.TREI.BR12.CH_power_high1</v>
      </c>
      <c r="B3067" s="212">
        <v>11152</v>
      </c>
      <c r="C3067" s="212" t="s">
        <v>0</v>
      </c>
      <c r="D3067" s="220" t="str">
        <f>$R$7</f>
        <v>Неисправность</v>
      </c>
    </row>
    <row r="3068" spans="1:4">
      <c r="A3068" s="211" t="str">
        <f t="shared" si="82"/>
        <v>Диагностика.TREI.BR12.CH_power_high1</v>
      </c>
      <c r="B3068" s="212">
        <v>11150</v>
      </c>
      <c r="C3068" s="212" t="s">
        <v>0</v>
      </c>
      <c r="D3068" s="213" t="s">
        <v>2672</v>
      </c>
    </row>
    <row r="3069" spans="1:4">
      <c r="A3069" s="211" t="str">
        <f t="shared" si="82"/>
        <v>Диагностика.TREI.BR12.CH_power_high1</v>
      </c>
      <c r="B3069" s="212">
        <v>11000</v>
      </c>
      <c r="C3069" s="212" t="s">
        <v>5</v>
      </c>
      <c r="D3069" s="213">
        <v>2147483680</v>
      </c>
    </row>
    <row r="3070" spans="1:4">
      <c r="A3070" s="19" t="str">
        <f t="shared" si="82"/>
        <v>Диагностика.TREI.BR12.CH_power_high1</v>
      </c>
      <c r="B3070" s="11">
        <v>7999</v>
      </c>
      <c r="C3070" s="11" t="s">
        <v>0</v>
      </c>
      <c r="D3070" s="20" t="str">
        <f>"#"&amp;$S$2&amp;"#"&amp;$T$2&amp;"\"&amp;$P$2&amp;"\CH_power_high1"</f>
        <v>#2#treiOPCDA.CoOPCserv.1\pcmaster\BR12\CH_power_high1</v>
      </c>
    </row>
    <row r="3071" spans="1:4">
      <c r="A3071" s="19" t="str">
        <f t="shared" si="82"/>
        <v>Диагностика.TREI.BR12.CH_power_high1</v>
      </c>
      <c r="B3071" s="11">
        <v>7998</v>
      </c>
      <c r="C3071" s="11" t="s">
        <v>6</v>
      </c>
      <c r="D3071" s="20">
        <v>1</v>
      </c>
    </row>
    <row r="3072" spans="1:4">
      <c r="A3072" s="19" t="str">
        <f t="shared" si="82"/>
        <v>Диагностика.TREI.BR12.CH_power_high1</v>
      </c>
      <c r="B3072" s="11">
        <v>101</v>
      </c>
      <c r="C3072" s="11" t="s">
        <v>0</v>
      </c>
      <c r="D3072" s="20" t="s">
        <v>2672</v>
      </c>
    </row>
    <row r="3073" spans="1:4">
      <c r="A3073" s="19" t="str">
        <f t="shared" si="82"/>
        <v>Диагностика.TREI.BR12.CH_power_high1</v>
      </c>
      <c r="B3073" s="11">
        <v>3</v>
      </c>
      <c r="C3073" s="11" t="s">
        <v>1</v>
      </c>
      <c r="D3073" s="20">
        <v>192</v>
      </c>
    </row>
    <row r="3074" spans="1:4">
      <c r="A3074" s="19" t="str">
        <f t="shared" si="82"/>
        <v>Диагностика.TREI.BR12.CH_power_high1</v>
      </c>
      <c r="B3074" s="11">
        <v>2</v>
      </c>
      <c r="C3074" s="11" t="s">
        <v>2</v>
      </c>
      <c r="D3074" s="20" t="s">
        <v>3</v>
      </c>
    </row>
    <row r="3075" spans="1:4">
      <c r="A3075" s="21" t="str">
        <f t="shared" si="82"/>
        <v>Диагностика.TREI.BR12.CH_power_high1</v>
      </c>
      <c r="B3075" s="8">
        <v>1</v>
      </c>
      <c r="C3075" s="8" t="s">
        <v>1</v>
      </c>
      <c r="D3075" s="22">
        <v>11</v>
      </c>
    </row>
    <row r="3076" spans="1:4">
      <c r="A3076" s="211" t="str">
        <f>$R$2&amp;"."&amp;$P$2&amp;".CH_power_low2"</f>
        <v>Диагностика.TREI.BR12.CH_power_low2</v>
      </c>
      <c r="B3076" s="212">
        <v>11154</v>
      </c>
      <c r="C3076" s="212" t="s">
        <v>4</v>
      </c>
      <c r="D3076" s="221">
        <f>$Q$7</f>
        <v>12</v>
      </c>
    </row>
    <row r="3077" spans="1:4">
      <c r="A3077" s="211" t="str">
        <f t="shared" ref="A3077:A3085" si="83">$R$2&amp;"."&amp;$P$2&amp;".CH_power_low2"</f>
        <v>Диагностика.TREI.BR12.CH_power_low2</v>
      </c>
      <c r="B3077" s="212">
        <v>11152</v>
      </c>
      <c r="C3077" s="212" t="s">
        <v>0</v>
      </c>
      <c r="D3077" s="220" t="str">
        <f>$R$7</f>
        <v>Неисправность</v>
      </c>
    </row>
    <row r="3078" spans="1:4">
      <c r="A3078" s="211" t="str">
        <f t="shared" si="83"/>
        <v>Диагностика.TREI.BR12.CH_power_low2</v>
      </c>
      <c r="B3078" s="212">
        <v>11150</v>
      </c>
      <c r="C3078" s="212" t="s">
        <v>0</v>
      </c>
      <c r="D3078" s="213" t="s">
        <v>2671</v>
      </c>
    </row>
    <row r="3079" spans="1:4">
      <c r="A3079" s="211" t="str">
        <f t="shared" si="83"/>
        <v>Диагностика.TREI.BR12.CH_power_low2</v>
      </c>
      <c r="B3079" s="212">
        <v>11000</v>
      </c>
      <c r="C3079" s="212" t="s">
        <v>5</v>
      </c>
      <c r="D3079" s="213">
        <v>2147483680</v>
      </c>
    </row>
    <row r="3080" spans="1:4">
      <c r="A3080" s="19" t="str">
        <f t="shared" si="83"/>
        <v>Диагностика.TREI.BR12.CH_power_low2</v>
      </c>
      <c r="B3080" s="11">
        <v>7999</v>
      </c>
      <c r="C3080" s="11" t="s">
        <v>0</v>
      </c>
      <c r="D3080" s="20" t="str">
        <f>"#"&amp;$S$2&amp;"#"&amp;$T$2&amp;"\"&amp;$P$2&amp;"\CH_power_low2"</f>
        <v>#2#treiOPCDA.CoOPCserv.1\pcmaster\BR12\CH_power_low2</v>
      </c>
    </row>
    <row r="3081" spans="1:4">
      <c r="A3081" s="19" t="str">
        <f t="shared" si="83"/>
        <v>Диагностика.TREI.BR12.CH_power_low2</v>
      </c>
      <c r="B3081" s="11">
        <v>7998</v>
      </c>
      <c r="C3081" s="11" t="s">
        <v>6</v>
      </c>
      <c r="D3081" s="20">
        <v>1</v>
      </c>
    </row>
    <row r="3082" spans="1:4">
      <c r="A3082" s="19" t="str">
        <f t="shared" si="83"/>
        <v>Диагностика.TREI.BR12.CH_power_low2</v>
      </c>
      <c r="B3082" s="11">
        <v>101</v>
      </c>
      <c r="C3082" s="11" t="s">
        <v>0</v>
      </c>
      <c r="D3082" s="20" t="s">
        <v>2673</v>
      </c>
    </row>
    <row r="3083" spans="1:4">
      <c r="A3083" s="19" t="str">
        <f t="shared" si="83"/>
        <v>Диагностика.TREI.BR12.CH_power_low2</v>
      </c>
      <c r="B3083" s="11">
        <v>3</v>
      </c>
      <c r="C3083" s="11" t="s">
        <v>1</v>
      </c>
      <c r="D3083" s="20">
        <v>192</v>
      </c>
    </row>
    <row r="3084" spans="1:4">
      <c r="A3084" s="19" t="str">
        <f t="shared" si="83"/>
        <v>Диагностика.TREI.BR12.CH_power_low2</v>
      </c>
      <c r="B3084" s="11">
        <v>2</v>
      </c>
      <c r="C3084" s="11" t="s">
        <v>2</v>
      </c>
      <c r="D3084" s="20" t="s">
        <v>3</v>
      </c>
    </row>
    <row r="3085" spans="1:4">
      <c r="A3085" s="21" t="str">
        <f t="shared" si="83"/>
        <v>Диагностика.TREI.BR12.CH_power_low2</v>
      </c>
      <c r="B3085" s="8">
        <v>1</v>
      </c>
      <c r="C3085" s="8" t="s">
        <v>1</v>
      </c>
      <c r="D3085" s="22">
        <v>11</v>
      </c>
    </row>
    <row r="3086" spans="1:4">
      <c r="A3086" s="211" t="str">
        <f>$R$2&amp;"."&amp;$P$2&amp;".CH_power_high2"</f>
        <v>Диагностика.TREI.BR12.CH_power_high2</v>
      </c>
      <c r="B3086" s="212">
        <v>11154</v>
      </c>
      <c r="C3086" s="212" t="s">
        <v>4</v>
      </c>
      <c r="D3086" s="221">
        <f>$Q$7</f>
        <v>12</v>
      </c>
    </row>
    <row r="3087" spans="1:4">
      <c r="A3087" s="211" t="str">
        <f t="shared" ref="A3087:A3095" si="84">$R$2&amp;"."&amp;$P$2&amp;".CH_power_high2"</f>
        <v>Диагностика.TREI.BR12.CH_power_high2</v>
      </c>
      <c r="B3087" s="212">
        <v>11152</v>
      </c>
      <c r="C3087" s="212" t="s">
        <v>0</v>
      </c>
      <c r="D3087" s="220" t="str">
        <f>$R$7</f>
        <v>Неисправность</v>
      </c>
    </row>
    <row r="3088" spans="1:4">
      <c r="A3088" s="211" t="str">
        <f t="shared" si="84"/>
        <v>Диагностика.TREI.BR12.CH_power_high2</v>
      </c>
      <c r="B3088" s="212">
        <v>11150</v>
      </c>
      <c r="C3088" s="212" t="s">
        <v>0</v>
      </c>
      <c r="D3088" s="213" t="s">
        <v>2671</v>
      </c>
    </row>
    <row r="3089" spans="1:4">
      <c r="A3089" s="211" t="str">
        <f t="shared" si="84"/>
        <v>Диагностика.TREI.BR12.CH_power_high2</v>
      </c>
      <c r="B3089" s="212">
        <v>11000</v>
      </c>
      <c r="C3089" s="212" t="s">
        <v>5</v>
      </c>
      <c r="D3089" s="213">
        <v>2147483680</v>
      </c>
    </row>
    <row r="3090" spans="1:4">
      <c r="A3090" s="19" t="str">
        <f t="shared" si="84"/>
        <v>Диагностика.TREI.BR12.CH_power_high2</v>
      </c>
      <c r="B3090" s="11">
        <v>7999</v>
      </c>
      <c r="C3090" s="11" t="s">
        <v>0</v>
      </c>
      <c r="D3090" s="20" t="str">
        <f>"#"&amp;$S$2&amp;"#"&amp;$T$2&amp;"\"&amp;$P$2&amp;"\CH_power_high2"</f>
        <v>#2#treiOPCDA.CoOPCserv.1\pcmaster\BR12\CH_power_high2</v>
      </c>
    </row>
    <row r="3091" spans="1:4">
      <c r="A3091" s="19" t="str">
        <f t="shared" si="84"/>
        <v>Диагностика.TREI.BR12.CH_power_high2</v>
      </c>
      <c r="B3091" s="11">
        <v>7998</v>
      </c>
      <c r="C3091" s="11" t="s">
        <v>6</v>
      </c>
      <c r="D3091" s="20">
        <v>1</v>
      </c>
    </row>
    <row r="3092" spans="1:4">
      <c r="A3092" s="19" t="str">
        <f t="shared" si="84"/>
        <v>Диагностика.TREI.BR12.CH_power_high2</v>
      </c>
      <c r="B3092" s="11">
        <v>101</v>
      </c>
      <c r="C3092" s="11" t="s">
        <v>0</v>
      </c>
      <c r="D3092" s="20" t="s">
        <v>2674</v>
      </c>
    </row>
    <row r="3093" spans="1:4">
      <c r="A3093" s="19" t="str">
        <f t="shared" si="84"/>
        <v>Диагностика.TREI.BR12.CH_power_high2</v>
      </c>
      <c r="B3093" s="11">
        <v>3</v>
      </c>
      <c r="C3093" s="11" t="s">
        <v>1</v>
      </c>
      <c r="D3093" s="20">
        <v>192</v>
      </c>
    </row>
    <row r="3094" spans="1:4">
      <c r="A3094" s="19" t="str">
        <f t="shared" si="84"/>
        <v>Диагностика.TREI.BR12.CH_power_high2</v>
      </c>
      <c r="B3094" s="11">
        <v>2</v>
      </c>
      <c r="C3094" s="11" t="s">
        <v>2</v>
      </c>
      <c r="D3094" s="20" t="s">
        <v>3</v>
      </c>
    </row>
    <row r="3095" spans="1:4">
      <c r="A3095" s="21" t="str">
        <f t="shared" si="84"/>
        <v>Диагностика.TREI.BR12.CH_power_high2</v>
      </c>
      <c r="B3095" s="8">
        <v>1</v>
      </c>
      <c r="C3095" s="8" t="s">
        <v>1</v>
      </c>
      <c r="D3095" s="22">
        <v>11</v>
      </c>
    </row>
    <row r="3096" spans="1:4">
      <c r="A3096" s="512" t="s">
        <v>956</v>
      </c>
      <c r="B3096" s="512"/>
      <c r="C3096" s="512"/>
      <c r="D3096" s="512"/>
    </row>
    <row r="3097" spans="1:4">
      <c r="A3097" s="211" t="str">
        <f t="shared" ref="A3097:A3106" si="85">$R$2&amp;"."&amp;$P$2&amp;".No_power1"</f>
        <v>Диагностика.TREI.BR12.No_power1</v>
      </c>
      <c r="B3097" s="212">
        <v>11154</v>
      </c>
      <c r="C3097" s="212" t="s">
        <v>4</v>
      </c>
      <c r="D3097" s="221">
        <f>$Q$7</f>
        <v>12</v>
      </c>
    </row>
    <row r="3098" spans="1:4">
      <c r="A3098" s="211" t="str">
        <f t="shared" si="85"/>
        <v>Диагностика.TREI.BR12.No_power1</v>
      </c>
      <c r="B3098" s="212">
        <v>11152</v>
      </c>
      <c r="C3098" s="212" t="s">
        <v>0</v>
      </c>
      <c r="D3098" s="220" t="str">
        <f>$R$7</f>
        <v>Неисправность</v>
      </c>
    </row>
    <row r="3099" spans="1:4">
      <c r="A3099" s="211" t="str">
        <f t="shared" si="85"/>
        <v>Диагностика.TREI.BR12.No_power1</v>
      </c>
      <c r="B3099" s="212">
        <v>11150</v>
      </c>
      <c r="C3099" s="212" t="s">
        <v>0</v>
      </c>
      <c r="D3099" s="213" t="s">
        <v>1780</v>
      </c>
    </row>
    <row r="3100" spans="1:4">
      <c r="A3100" s="211" t="str">
        <f t="shared" si="85"/>
        <v>Диагностика.TREI.BR12.No_power1</v>
      </c>
      <c r="B3100" s="212">
        <v>11000</v>
      </c>
      <c r="C3100" s="212" t="s">
        <v>5</v>
      </c>
      <c r="D3100" s="213">
        <v>2147483680</v>
      </c>
    </row>
    <row r="3101" spans="1:4">
      <c r="A3101" s="19" t="str">
        <f t="shared" si="85"/>
        <v>Диагностика.TREI.BR12.No_power1</v>
      </c>
      <c r="B3101" s="11">
        <v>7999</v>
      </c>
      <c r="C3101" s="11" t="s">
        <v>0</v>
      </c>
      <c r="D3101" s="20" t="str">
        <f>"#"&amp;$S$2&amp;"#"&amp;$T$2&amp;"\"&amp;$P$2&amp;"\No_power1"</f>
        <v>#2#treiOPCDA.CoOPCserv.1\pcmaster\BR12\No_power1</v>
      </c>
    </row>
    <row r="3102" spans="1:4">
      <c r="A3102" s="19" t="str">
        <f t="shared" si="85"/>
        <v>Диагностика.TREI.BR12.No_power1</v>
      </c>
      <c r="B3102" s="11">
        <v>7998</v>
      </c>
      <c r="C3102" s="11" t="s">
        <v>6</v>
      </c>
      <c r="D3102" s="20">
        <v>1</v>
      </c>
    </row>
    <row r="3103" spans="1:4">
      <c r="A3103" s="19" t="str">
        <f t="shared" si="85"/>
        <v>Диагностика.TREI.BR12.No_power1</v>
      </c>
      <c r="B3103" s="11">
        <v>101</v>
      </c>
      <c r="C3103" s="11" t="s">
        <v>0</v>
      </c>
      <c r="D3103" s="20" t="s">
        <v>1780</v>
      </c>
    </row>
    <row r="3104" spans="1:4">
      <c r="A3104" s="19" t="str">
        <f t="shared" si="85"/>
        <v>Диагностика.TREI.BR12.No_power1</v>
      </c>
      <c r="B3104" s="11">
        <v>3</v>
      </c>
      <c r="C3104" s="11" t="s">
        <v>1</v>
      </c>
      <c r="D3104" s="20">
        <v>192</v>
      </c>
    </row>
    <row r="3105" spans="1:4">
      <c r="A3105" s="19" t="str">
        <f t="shared" si="85"/>
        <v>Диагностика.TREI.BR12.No_power1</v>
      </c>
      <c r="B3105" s="11">
        <v>2</v>
      </c>
      <c r="C3105" s="11" t="s">
        <v>2</v>
      </c>
      <c r="D3105" s="20" t="s">
        <v>3</v>
      </c>
    </row>
    <row r="3106" spans="1:4">
      <c r="A3106" s="21" t="str">
        <f t="shared" si="85"/>
        <v>Диагностика.TREI.BR12.No_power1</v>
      </c>
      <c r="B3106" s="8">
        <v>1</v>
      </c>
      <c r="C3106" s="8" t="s">
        <v>1</v>
      </c>
      <c r="D3106" s="22">
        <v>11</v>
      </c>
    </row>
    <row r="3107" spans="1:4">
      <c r="A3107" s="211" t="str">
        <f t="shared" ref="A3107:A3116" si="86">$R$2&amp;"."&amp;$P$2&amp;".No_power2"</f>
        <v>Диагностика.TREI.BR12.No_power2</v>
      </c>
      <c r="B3107" s="212">
        <v>11154</v>
      </c>
      <c r="C3107" s="212" t="s">
        <v>4</v>
      </c>
      <c r="D3107" s="221">
        <f>$Q$7</f>
        <v>12</v>
      </c>
    </row>
    <row r="3108" spans="1:4">
      <c r="A3108" s="211" t="str">
        <f t="shared" si="86"/>
        <v>Диагностика.TREI.BR12.No_power2</v>
      </c>
      <c r="B3108" s="212">
        <v>11152</v>
      </c>
      <c r="C3108" s="212" t="s">
        <v>0</v>
      </c>
      <c r="D3108" s="220" t="str">
        <f>$R$7</f>
        <v>Неисправность</v>
      </c>
    </row>
    <row r="3109" spans="1:4">
      <c r="A3109" s="211" t="str">
        <f t="shared" si="86"/>
        <v>Диагностика.TREI.BR12.No_power2</v>
      </c>
      <c r="B3109" s="212">
        <v>11150</v>
      </c>
      <c r="C3109" s="212" t="s">
        <v>0</v>
      </c>
      <c r="D3109" s="213" t="s">
        <v>1781</v>
      </c>
    </row>
    <row r="3110" spans="1:4">
      <c r="A3110" s="211" t="str">
        <f t="shared" si="86"/>
        <v>Диагностика.TREI.BR12.No_power2</v>
      </c>
      <c r="B3110" s="212">
        <v>11000</v>
      </c>
      <c r="C3110" s="212" t="s">
        <v>5</v>
      </c>
      <c r="D3110" s="213">
        <v>2147483680</v>
      </c>
    </row>
    <row r="3111" spans="1:4">
      <c r="A3111" s="19" t="str">
        <f t="shared" si="86"/>
        <v>Диагностика.TREI.BR12.No_power2</v>
      </c>
      <c r="B3111" s="11">
        <v>7999</v>
      </c>
      <c r="C3111" s="11" t="s">
        <v>0</v>
      </c>
      <c r="D3111" s="20" t="str">
        <f>"#"&amp;$S$2&amp;"#"&amp;$T$2&amp;"\"&amp;$P$2&amp;"\No_power2"</f>
        <v>#2#treiOPCDA.CoOPCserv.1\pcmaster\BR12\No_power2</v>
      </c>
    </row>
    <row r="3112" spans="1:4">
      <c r="A3112" s="19" t="str">
        <f t="shared" si="86"/>
        <v>Диагностика.TREI.BR12.No_power2</v>
      </c>
      <c r="B3112" s="11">
        <v>7998</v>
      </c>
      <c r="C3112" s="11" t="s">
        <v>6</v>
      </c>
      <c r="D3112" s="20">
        <v>1</v>
      </c>
    </row>
    <row r="3113" spans="1:4">
      <c r="A3113" s="19" t="str">
        <f t="shared" si="86"/>
        <v>Диагностика.TREI.BR12.No_power2</v>
      </c>
      <c r="B3113" s="11">
        <v>101</v>
      </c>
      <c r="C3113" s="11" t="s">
        <v>0</v>
      </c>
      <c r="D3113" s="20" t="s">
        <v>1781</v>
      </c>
    </row>
    <row r="3114" spans="1:4">
      <c r="A3114" s="19" t="str">
        <f t="shared" si="86"/>
        <v>Диагностика.TREI.BR12.No_power2</v>
      </c>
      <c r="B3114" s="11">
        <v>3</v>
      </c>
      <c r="C3114" s="11" t="s">
        <v>1</v>
      </c>
      <c r="D3114" s="20">
        <v>192</v>
      </c>
    </row>
    <row r="3115" spans="1:4">
      <c r="A3115" s="19" t="str">
        <f t="shared" si="86"/>
        <v>Диагностика.TREI.BR12.No_power2</v>
      </c>
      <c r="B3115" s="11">
        <v>2</v>
      </c>
      <c r="C3115" s="11" t="s">
        <v>2</v>
      </c>
      <c r="D3115" s="20" t="s">
        <v>3</v>
      </c>
    </row>
    <row r="3116" spans="1:4">
      <c r="A3116" s="21" t="str">
        <f t="shared" si="86"/>
        <v>Диагностика.TREI.BR12.No_power2</v>
      </c>
      <c r="B3116" s="8">
        <v>1</v>
      </c>
      <c r="C3116" s="8" t="s">
        <v>1</v>
      </c>
      <c r="D3116" s="22">
        <v>11</v>
      </c>
    </row>
    <row r="3117" spans="1:4">
      <c r="A3117" s="211" t="str">
        <f t="shared" ref="A3117:A3126" si="87">$R$2&amp;"."&amp;$P$2&amp;".Err_line1"</f>
        <v>Диагностика.TREI.BR12.Err_line1</v>
      </c>
      <c r="B3117" s="212">
        <v>11154</v>
      </c>
      <c r="C3117" s="212" t="s">
        <v>4</v>
      </c>
      <c r="D3117" s="221">
        <f>$Q$7</f>
        <v>12</v>
      </c>
    </row>
    <row r="3118" spans="1:4">
      <c r="A3118" s="211" t="str">
        <f t="shared" si="87"/>
        <v>Диагностика.TREI.BR12.Err_line1</v>
      </c>
      <c r="B3118" s="212">
        <v>11152</v>
      </c>
      <c r="C3118" s="212" t="s">
        <v>0</v>
      </c>
      <c r="D3118" s="220" t="str">
        <f>$R$7</f>
        <v>Неисправность</v>
      </c>
    </row>
    <row r="3119" spans="1:4">
      <c r="A3119" s="211" t="str">
        <f t="shared" si="87"/>
        <v>Диагностика.TREI.BR12.Err_line1</v>
      </c>
      <c r="B3119" s="212">
        <v>11150</v>
      </c>
      <c r="C3119" s="212" t="s">
        <v>0</v>
      </c>
      <c r="D3119" s="213" t="s">
        <v>1375</v>
      </c>
    </row>
    <row r="3120" spans="1:4">
      <c r="A3120" s="211" t="str">
        <f t="shared" si="87"/>
        <v>Диагностика.TREI.BR12.Err_line1</v>
      </c>
      <c r="B3120" s="212">
        <v>11000</v>
      </c>
      <c r="C3120" s="212" t="s">
        <v>5</v>
      </c>
      <c r="D3120" s="213">
        <v>2147483680</v>
      </c>
    </row>
    <row r="3121" spans="1:4">
      <c r="A3121" s="19" t="str">
        <f t="shared" si="87"/>
        <v>Диагностика.TREI.BR12.Err_line1</v>
      </c>
      <c r="B3121" s="11">
        <v>7999</v>
      </c>
      <c r="C3121" s="11" t="s">
        <v>0</v>
      </c>
      <c r="D3121" s="20" t="str">
        <f>"#"&amp;$S$2&amp;"#"&amp;$T$2&amp;"\"&amp;$P$2&amp;"\Err_line1"</f>
        <v>#2#treiOPCDA.CoOPCserv.1\pcmaster\BR12\Err_line1</v>
      </c>
    </row>
    <row r="3122" spans="1:4">
      <c r="A3122" s="19" t="str">
        <f t="shared" si="87"/>
        <v>Диагностика.TREI.BR12.Err_line1</v>
      </c>
      <c r="B3122" s="11">
        <v>7998</v>
      </c>
      <c r="C3122" s="11" t="s">
        <v>6</v>
      </c>
      <c r="D3122" s="20">
        <v>1</v>
      </c>
    </row>
    <row r="3123" spans="1:4">
      <c r="A3123" s="19" t="str">
        <f t="shared" si="87"/>
        <v>Диагностика.TREI.BR12.Err_line1</v>
      </c>
      <c r="B3123" s="11">
        <v>101</v>
      </c>
      <c r="C3123" s="11" t="s">
        <v>0</v>
      </c>
      <c r="D3123" s="20" t="s">
        <v>1375</v>
      </c>
    </row>
    <row r="3124" spans="1:4">
      <c r="A3124" s="19" t="str">
        <f t="shared" si="87"/>
        <v>Диагностика.TREI.BR12.Err_line1</v>
      </c>
      <c r="B3124" s="11">
        <v>3</v>
      </c>
      <c r="C3124" s="11" t="s">
        <v>1</v>
      </c>
      <c r="D3124" s="20">
        <v>192</v>
      </c>
    </row>
    <row r="3125" spans="1:4">
      <c r="A3125" s="19" t="str">
        <f t="shared" si="87"/>
        <v>Диагностика.TREI.BR12.Err_line1</v>
      </c>
      <c r="B3125" s="11">
        <v>2</v>
      </c>
      <c r="C3125" s="11" t="s">
        <v>2</v>
      </c>
      <c r="D3125" s="20" t="s">
        <v>3</v>
      </c>
    </row>
    <row r="3126" spans="1:4">
      <c r="A3126" s="21" t="str">
        <f t="shared" si="87"/>
        <v>Диагностика.TREI.BR12.Err_line1</v>
      </c>
      <c r="B3126" s="8">
        <v>1</v>
      </c>
      <c r="C3126" s="8" t="s">
        <v>1</v>
      </c>
      <c r="D3126" s="22">
        <v>11</v>
      </c>
    </row>
    <row r="3127" spans="1:4">
      <c r="A3127" s="211" t="str">
        <f t="shared" ref="A3127:A3136" si="88">$R$2&amp;"."&amp;$P$2&amp;".Err_line2"</f>
        <v>Диагностика.TREI.BR12.Err_line2</v>
      </c>
      <c r="B3127" s="212">
        <v>11154</v>
      </c>
      <c r="C3127" s="212" t="s">
        <v>4</v>
      </c>
      <c r="D3127" s="221">
        <f>$Q$7</f>
        <v>12</v>
      </c>
    </row>
    <row r="3128" spans="1:4">
      <c r="A3128" s="211" t="str">
        <f t="shared" si="88"/>
        <v>Диагностика.TREI.BR12.Err_line2</v>
      </c>
      <c r="B3128" s="212">
        <v>11152</v>
      </c>
      <c r="C3128" s="212" t="s">
        <v>0</v>
      </c>
      <c r="D3128" s="220" t="str">
        <f>$R$7</f>
        <v>Неисправность</v>
      </c>
    </row>
    <row r="3129" spans="1:4">
      <c r="A3129" s="211" t="str">
        <f t="shared" si="88"/>
        <v>Диагностика.TREI.BR12.Err_line2</v>
      </c>
      <c r="B3129" s="212">
        <v>11150</v>
      </c>
      <c r="C3129" s="212" t="s">
        <v>0</v>
      </c>
      <c r="D3129" s="213" t="s">
        <v>1376</v>
      </c>
    </row>
    <row r="3130" spans="1:4">
      <c r="A3130" s="211" t="str">
        <f t="shared" si="88"/>
        <v>Диагностика.TREI.BR12.Err_line2</v>
      </c>
      <c r="B3130" s="212">
        <v>11000</v>
      </c>
      <c r="C3130" s="212" t="s">
        <v>5</v>
      </c>
      <c r="D3130" s="213">
        <v>2147483680</v>
      </c>
    </row>
    <row r="3131" spans="1:4">
      <c r="A3131" s="19" t="str">
        <f t="shared" si="88"/>
        <v>Диагностика.TREI.BR12.Err_line2</v>
      </c>
      <c r="B3131" s="11">
        <v>7999</v>
      </c>
      <c r="C3131" s="11" t="s">
        <v>0</v>
      </c>
      <c r="D3131" s="20" t="str">
        <f>"#"&amp;$S$2&amp;"#"&amp;$T$2&amp;"\"&amp;$P$2&amp;"\Err_line2"</f>
        <v>#2#treiOPCDA.CoOPCserv.1\pcmaster\BR12\Err_line2</v>
      </c>
    </row>
    <row r="3132" spans="1:4">
      <c r="A3132" s="19" t="str">
        <f t="shared" si="88"/>
        <v>Диагностика.TREI.BR12.Err_line2</v>
      </c>
      <c r="B3132" s="11">
        <v>7998</v>
      </c>
      <c r="C3132" s="11" t="s">
        <v>6</v>
      </c>
      <c r="D3132" s="20">
        <v>1</v>
      </c>
    </row>
    <row r="3133" spans="1:4">
      <c r="A3133" s="19" t="str">
        <f t="shared" si="88"/>
        <v>Диагностика.TREI.BR12.Err_line2</v>
      </c>
      <c r="B3133" s="11">
        <v>101</v>
      </c>
      <c r="C3133" s="11" t="s">
        <v>0</v>
      </c>
      <c r="D3133" s="20" t="s">
        <v>1376</v>
      </c>
    </row>
    <row r="3134" spans="1:4">
      <c r="A3134" s="19" t="str">
        <f t="shared" si="88"/>
        <v>Диагностика.TREI.BR12.Err_line2</v>
      </c>
      <c r="B3134" s="11">
        <v>3</v>
      </c>
      <c r="C3134" s="11" t="s">
        <v>1</v>
      </c>
      <c r="D3134" s="20">
        <v>192</v>
      </c>
    </row>
    <row r="3135" spans="1:4">
      <c r="A3135" s="19" t="str">
        <f t="shared" si="88"/>
        <v>Диагностика.TREI.BR12.Err_line2</v>
      </c>
      <c r="B3135" s="11">
        <v>2</v>
      </c>
      <c r="C3135" s="11" t="s">
        <v>2</v>
      </c>
      <c r="D3135" s="20" t="s">
        <v>3</v>
      </c>
    </row>
    <row r="3136" spans="1:4">
      <c r="A3136" s="21" t="str">
        <f t="shared" si="88"/>
        <v>Диагностика.TREI.BR12.Err_line2</v>
      </c>
      <c r="B3136" s="8">
        <v>1</v>
      </c>
      <c r="C3136" s="8" t="s">
        <v>1</v>
      </c>
      <c r="D3136" s="22">
        <v>11</v>
      </c>
    </row>
    <row r="3137" spans="1:4">
      <c r="A3137" s="211" t="str">
        <f>$R$2&amp;"."&amp;$P$2&amp;".Err_CAP"</f>
        <v>Диагностика.TREI.BR12.Err_CAP</v>
      </c>
      <c r="B3137" s="212">
        <v>11154</v>
      </c>
      <c r="C3137" s="212" t="s">
        <v>4</v>
      </c>
      <c r="D3137" s="221">
        <f>$Q$7</f>
        <v>12</v>
      </c>
    </row>
    <row r="3138" spans="1:4">
      <c r="A3138" s="211" t="str">
        <f t="shared" ref="A3138:A3146" si="89">$R$2&amp;"."&amp;$P$2&amp;".Err_CAP"</f>
        <v>Диагностика.TREI.BR12.Err_CAP</v>
      </c>
      <c r="B3138" s="212">
        <v>11152</v>
      </c>
      <c r="C3138" s="212" t="s">
        <v>0</v>
      </c>
      <c r="D3138" s="220" t="str">
        <f>$R$7</f>
        <v>Неисправность</v>
      </c>
    </row>
    <row r="3139" spans="1:4">
      <c r="A3139" s="211" t="str">
        <f t="shared" si="89"/>
        <v>Диагностика.TREI.BR12.Err_CAP</v>
      </c>
      <c r="B3139" s="212">
        <v>11150</v>
      </c>
      <c r="C3139" s="212" t="s">
        <v>0</v>
      </c>
      <c r="D3139" s="213" t="s">
        <v>1458</v>
      </c>
    </row>
    <row r="3140" spans="1:4">
      <c r="A3140" s="211" t="str">
        <f t="shared" si="89"/>
        <v>Диагностика.TREI.BR12.Err_CAP</v>
      </c>
      <c r="B3140" s="212">
        <v>11000</v>
      </c>
      <c r="C3140" s="212" t="s">
        <v>5</v>
      </c>
      <c r="D3140" s="213">
        <v>2147483680</v>
      </c>
    </row>
    <row r="3141" spans="1:4">
      <c r="A3141" s="19" t="str">
        <f t="shared" si="89"/>
        <v>Диагностика.TREI.BR12.Err_CAP</v>
      </c>
      <c r="B3141" s="11">
        <v>7999</v>
      </c>
      <c r="C3141" s="11" t="s">
        <v>0</v>
      </c>
      <c r="D3141" s="20" t="str">
        <f>"#"&amp;$S$2&amp;"#"&amp;$T$2&amp;"\"&amp;$P$2&amp;"\Err_CAP"</f>
        <v>#2#treiOPCDA.CoOPCserv.1\pcmaster\BR12\Err_CAP</v>
      </c>
    </row>
    <row r="3142" spans="1:4">
      <c r="A3142" s="19" t="str">
        <f t="shared" si="89"/>
        <v>Диагностика.TREI.BR12.Err_CAP</v>
      </c>
      <c r="B3142" s="11">
        <v>7998</v>
      </c>
      <c r="C3142" s="11" t="s">
        <v>6</v>
      </c>
      <c r="D3142" s="20">
        <v>1</v>
      </c>
    </row>
    <row r="3143" spans="1:4">
      <c r="A3143" s="19" t="str">
        <f t="shared" si="89"/>
        <v>Диагностика.TREI.BR12.Err_CAP</v>
      </c>
      <c r="B3143" s="11">
        <v>101</v>
      </c>
      <c r="C3143" s="11" t="s">
        <v>0</v>
      </c>
      <c r="D3143" s="20" t="s">
        <v>1458</v>
      </c>
    </row>
    <row r="3144" spans="1:4">
      <c r="A3144" s="19" t="str">
        <f t="shared" si="89"/>
        <v>Диагностика.TREI.BR12.Err_CAP</v>
      </c>
      <c r="B3144" s="11">
        <v>3</v>
      </c>
      <c r="C3144" s="11" t="s">
        <v>1</v>
      </c>
      <c r="D3144" s="20">
        <v>192</v>
      </c>
    </row>
    <row r="3145" spans="1:4">
      <c r="A3145" s="19" t="str">
        <f t="shared" si="89"/>
        <v>Диагностика.TREI.BR12.Err_CAP</v>
      </c>
      <c r="B3145" s="11">
        <v>2</v>
      </c>
      <c r="C3145" s="11" t="s">
        <v>2</v>
      </c>
      <c r="D3145" s="20" t="s">
        <v>3</v>
      </c>
    </row>
    <row r="3146" spans="1:4">
      <c r="A3146" s="21" t="str">
        <f t="shared" si="89"/>
        <v>Диагностика.TREI.BR12.Err_CAP</v>
      </c>
      <c r="B3146" s="8">
        <v>1</v>
      </c>
      <c r="C3146" s="8" t="s">
        <v>1</v>
      </c>
      <c r="D3146" s="22">
        <v>11</v>
      </c>
    </row>
    <row r="3147" spans="1:4">
      <c r="A3147" s="266" t="str">
        <f t="shared" ref="A3147:A3152" si="90">$R$2&amp;"."&amp;$P$2&amp;".Err_Canal_01"</f>
        <v>Диагностика.TREI.BR12.Err_Canal_01</v>
      </c>
      <c r="B3147" s="267">
        <v>7999</v>
      </c>
      <c r="C3147" s="267" t="s">
        <v>0</v>
      </c>
      <c r="D3147" s="268" t="str">
        <f>"#"&amp;$S$2&amp;"#"&amp;$T$2&amp;"\"&amp;$P$2&amp;"\Err_Canal_01"</f>
        <v>#2#treiOPCDA.CoOPCserv.1\pcmaster\BR12\Err_Canal_01</v>
      </c>
    </row>
    <row r="3148" spans="1:4">
      <c r="A3148" s="269" t="str">
        <f t="shared" si="90"/>
        <v>Диагностика.TREI.BR12.Err_Canal_01</v>
      </c>
      <c r="B3148" s="270">
        <v>7998</v>
      </c>
      <c r="C3148" s="270" t="s">
        <v>6</v>
      </c>
      <c r="D3148" s="271">
        <v>1</v>
      </c>
    </row>
    <row r="3149" spans="1:4">
      <c r="A3149" s="269" t="str">
        <f t="shared" si="90"/>
        <v>Диагностика.TREI.BR12.Err_Canal_01</v>
      </c>
      <c r="B3149" s="270">
        <v>101</v>
      </c>
      <c r="C3149" s="270" t="s">
        <v>0</v>
      </c>
      <c r="D3149" s="271" t="s">
        <v>1442</v>
      </c>
    </row>
    <row r="3150" spans="1:4">
      <c r="A3150" s="269" t="str">
        <f t="shared" si="90"/>
        <v>Диагностика.TREI.BR12.Err_Canal_01</v>
      </c>
      <c r="B3150" s="270">
        <v>3</v>
      </c>
      <c r="C3150" s="270" t="s">
        <v>1</v>
      </c>
      <c r="D3150" s="271">
        <v>192</v>
      </c>
    </row>
    <row r="3151" spans="1:4">
      <c r="A3151" s="269" t="str">
        <f t="shared" si="90"/>
        <v>Диагностика.TREI.BR12.Err_Canal_01</v>
      </c>
      <c r="B3151" s="270">
        <v>2</v>
      </c>
      <c r="C3151" s="270" t="s">
        <v>6</v>
      </c>
      <c r="D3151" s="271">
        <v>0</v>
      </c>
    </row>
    <row r="3152" spans="1:4">
      <c r="A3152" s="272" t="str">
        <f t="shared" si="90"/>
        <v>Диагностика.TREI.BR12.Err_Canal_01</v>
      </c>
      <c r="B3152" s="273">
        <v>1</v>
      </c>
      <c r="C3152" s="273" t="s">
        <v>1</v>
      </c>
      <c r="D3152" s="274">
        <v>3</v>
      </c>
    </row>
    <row r="3153" spans="1:4">
      <c r="A3153" s="266" t="str">
        <f t="shared" ref="A3153:A3158" si="91">$R$2&amp;"."&amp;$P$2&amp;".Err_Canal_02"</f>
        <v>Диагностика.TREI.BR12.Err_Canal_02</v>
      </c>
      <c r="B3153" s="267">
        <v>7999</v>
      </c>
      <c r="C3153" s="267" t="s">
        <v>0</v>
      </c>
      <c r="D3153" s="268" t="str">
        <f>"#"&amp;$S$2&amp;"#"&amp;$T$2&amp;"\"&amp;$P$2&amp;"\Err_Canal_02"</f>
        <v>#2#treiOPCDA.CoOPCserv.1\pcmaster\BR12\Err_Canal_02</v>
      </c>
    </row>
    <row r="3154" spans="1:4">
      <c r="A3154" s="269" t="str">
        <f t="shared" si="91"/>
        <v>Диагностика.TREI.BR12.Err_Canal_02</v>
      </c>
      <c r="B3154" s="270">
        <v>7998</v>
      </c>
      <c r="C3154" s="270" t="s">
        <v>6</v>
      </c>
      <c r="D3154" s="271">
        <v>1</v>
      </c>
    </row>
    <row r="3155" spans="1:4">
      <c r="A3155" s="269" t="str">
        <f t="shared" si="91"/>
        <v>Диагностика.TREI.BR12.Err_Canal_02</v>
      </c>
      <c r="B3155" s="270">
        <v>101</v>
      </c>
      <c r="C3155" s="270" t="s">
        <v>0</v>
      </c>
      <c r="D3155" s="271" t="s">
        <v>1443</v>
      </c>
    </row>
    <row r="3156" spans="1:4">
      <c r="A3156" s="269" t="str">
        <f t="shared" si="91"/>
        <v>Диагностика.TREI.BR12.Err_Canal_02</v>
      </c>
      <c r="B3156" s="270">
        <v>3</v>
      </c>
      <c r="C3156" s="270" t="s">
        <v>1</v>
      </c>
      <c r="D3156" s="271">
        <v>192</v>
      </c>
    </row>
    <row r="3157" spans="1:4">
      <c r="A3157" s="269" t="str">
        <f t="shared" si="91"/>
        <v>Диагностика.TREI.BR12.Err_Canal_02</v>
      </c>
      <c r="B3157" s="270">
        <v>2</v>
      </c>
      <c r="C3157" s="270" t="s">
        <v>6</v>
      </c>
      <c r="D3157" s="271">
        <v>0</v>
      </c>
    </row>
    <row r="3158" spans="1:4">
      <c r="A3158" s="272" t="str">
        <f t="shared" si="91"/>
        <v>Диагностика.TREI.BR12.Err_Canal_02</v>
      </c>
      <c r="B3158" s="273">
        <v>1</v>
      </c>
      <c r="C3158" s="273" t="s">
        <v>1</v>
      </c>
      <c r="D3158" s="274">
        <v>3</v>
      </c>
    </row>
    <row r="3159" spans="1:4">
      <c r="A3159" s="266" t="str">
        <f t="shared" ref="A3159:A3164" si="92">$R$2&amp;"."&amp;$P$2&amp;".Err_Canal_03"</f>
        <v>Диагностика.TREI.BR12.Err_Canal_03</v>
      </c>
      <c r="B3159" s="267">
        <v>7999</v>
      </c>
      <c r="C3159" s="267" t="s">
        <v>0</v>
      </c>
      <c r="D3159" s="268" t="str">
        <f>"#"&amp;$S$2&amp;"#"&amp;$T$2&amp;"\"&amp;$P$2&amp;"\Err_Canal_03"</f>
        <v>#2#treiOPCDA.CoOPCserv.1\pcmaster\BR12\Err_Canal_03</v>
      </c>
    </row>
    <row r="3160" spans="1:4">
      <c r="A3160" s="269" t="str">
        <f t="shared" si="92"/>
        <v>Диагностика.TREI.BR12.Err_Canal_03</v>
      </c>
      <c r="B3160" s="270">
        <v>7998</v>
      </c>
      <c r="C3160" s="270" t="s">
        <v>6</v>
      </c>
      <c r="D3160" s="271">
        <v>1</v>
      </c>
    </row>
    <row r="3161" spans="1:4">
      <c r="A3161" s="269" t="str">
        <f t="shared" si="92"/>
        <v>Диагностика.TREI.BR12.Err_Canal_03</v>
      </c>
      <c r="B3161" s="270">
        <v>101</v>
      </c>
      <c r="C3161" s="270" t="s">
        <v>0</v>
      </c>
      <c r="D3161" s="271" t="s">
        <v>1444</v>
      </c>
    </row>
    <row r="3162" spans="1:4">
      <c r="A3162" s="269" t="str">
        <f t="shared" si="92"/>
        <v>Диагностика.TREI.BR12.Err_Canal_03</v>
      </c>
      <c r="B3162" s="270">
        <v>3</v>
      </c>
      <c r="C3162" s="270" t="s">
        <v>1</v>
      </c>
      <c r="D3162" s="271">
        <v>192</v>
      </c>
    </row>
    <row r="3163" spans="1:4">
      <c r="A3163" s="269" t="str">
        <f t="shared" si="92"/>
        <v>Диагностика.TREI.BR12.Err_Canal_03</v>
      </c>
      <c r="B3163" s="270">
        <v>2</v>
      </c>
      <c r="C3163" s="270" t="s">
        <v>6</v>
      </c>
      <c r="D3163" s="271">
        <v>0</v>
      </c>
    </row>
    <row r="3164" spans="1:4">
      <c r="A3164" s="272" t="str">
        <f t="shared" si="92"/>
        <v>Диагностика.TREI.BR12.Err_Canal_03</v>
      </c>
      <c r="B3164" s="273">
        <v>1</v>
      </c>
      <c r="C3164" s="273" t="s">
        <v>1</v>
      </c>
      <c r="D3164" s="274">
        <v>3</v>
      </c>
    </row>
    <row r="3165" spans="1:4">
      <c r="A3165" s="266" t="str">
        <f t="shared" ref="A3165:A3170" si="93">$R$2&amp;"."&amp;$P$2&amp;".Err_Canal_04"</f>
        <v>Диагностика.TREI.BR12.Err_Canal_04</v>
      </c>
      <c r="B3165" s="267">
        <v>7999</v>
      </c>
      <c r="C3165" s="267" t="s">
        <v>0</v>
      </c>
      <c r="D3165" s="268" t="str">
        <f>"#"&amp;$S$2&amp;"#"&amp;$T$2&amp;"\"&amp;$P$2&amp;"\Err_Canal_04"</f>
        <v>#2#treiOPCDA.CoOPCserv.1\pcmaster\BR12\Err_Canal_04</v>
      </c>
    </row>
    <row r="3166" spans="1:4">
      <c r="A3166" s="269" t="str">
        <f t="shared" si="93"/>
        <v>Диагностика.TREI.BR12.Err_Canal_04</v>
      </c>
      <c r="B3166" s="270">
        <v>7998</v>
      </c>
      <c r="C3166" s="270" t="s">
        <v>6</v>
      </c>
      <c r="D3166" s="271">
        <v>1</v>
      </c>
    </row>
    <row r="3167" spans="1:4">
      <c r="A3167" s="269" t="str">
        <f t="shared" si="93"/>
        <v>Диагностика.TREI.BR12.Err_Canal_04</v>
      </c>
      <c r="B3167" s="270">
        <v>101</v>
      </c>
      <c r="C3167" s="270" t="s">
        <v>0</v>
      </c>
      <c r="D3167" s="271" t="s">
        <v>1445</v>
      </c>
    </row>
    <row r="3168" spans="1:4">
      <c r="A3168" s="269" t="str">
        <f t="shared" si="93"/>
        <v>Диагностика.TREI.BR12.Err_Canal_04</v>
      </c>
      <c r="B3168" s="270">
        <v>3</v>
      </c>
      <c r="C3168" s="270" t="s">
        <v>1</v>
      </c>
      <c r="D3168" s="271">
        <v>192</v>
      </c>
    </row>
    <row r="3169" spans="1:4">
      <c r="A3169" s="269" t="str">
        <f t="shared" si="93"/>
        <v>Диагностика.TREI.BR12.Err_Canal_04</v>
      </c>
      <c r="B3169" s="270">
        <v>2</v>
      </c>
      <c r="C3169" s="270" t="s">
        <v>6</v>
      </c>
      <c r="D3169" s="271">
        <v>0</v>
      </c>
    </row>
    <row r="3170" spans="1:4">
      <c r="A3170" s="272" t="str">
        <f t="shared" si="93"/>
        <v>Диагностика.TREI.BR12.Err_Canal_04</v>
      </c>
      <c r="B3170" s="273">
        <v>1</v>
      </c>
      <c r="C3170" s="273" t="s">
        <v>1</v>
      </c>
      <c r="D3170" s="274">
        <v>3</v>
      </c>
    </row>
    <row r="3171" spans="1:4">
      <c r="A3171" s="266" t="str">
        <f t="shared" ref="A3171:A3176" si="94">$R$2&amp;"."&amp;$P$2&amp;".Err_Canal_05"</f>
        <v>Диагностика.TREI.BR12.Err_Canal_05</v>
      </c>
      <c r="B3171" s="267">
        <v>7999</v>
      </c>
      <c r="C3171" s="267" t="s">
        <v>0</v>
      </c>
      <c r="D3171" s="268" t="str">
        <f>"#"&amp;$S$2&amp;"#"&amp;$T$2&amp;"\"&amp;$P$2&amp;"\Err_Canal_05"</f>
        <v>#2#treiOPCDA.CoOPCserv.1\pcmaster\BR12\Err_Canal_05</v>
      </c>
    </row>
    <row r="3172" spans="1:4">
      <c r="A3172" s="269" t="str">
        <f t="shared" si="94"/>
        <v>Диагностика.TREI.BR12.Err_Canal_05</v>
      </c>
      <c r="B3172" s="270">
        <v>7998</v>
      </c>
      <c r="C3172" s="270" t="s">
        <v>6</v>
      </c>
      <c r="D3172" s="271">
        <v>1</v>
      </c>
    </row>
    <row r="3173" spans="1:4">
      <c r="A3173" s="269" t="str">
        <f t="shared" si="94"/>
        <v>Диагностика.TREI.BR12.Err_Canal_05</v>
      </c>
      <c r="B3173" s="270">
        <v>101</v>
      </c>
      <c r="C3173" s="270" t="s">
        <v>0</v>
      </c>
      <c r="D3173" s="271" t="s">
        <v>1446</v>
      </c>
    </row>
    <row r="3174" spans="1:4">
      <c r="A3174" s="269" t="str">
        <f t="shared" si="94"/>
        <v>Диагностика.TREI.BR12.Err_Canal_05</v>
      </c>
      <c r="B3174" s="270">
        <v>3</v>
      </c>
      <c r="C3174" s="270" t="s">
        <v>1</v>
      </c>
      <c r="D3174" s="271">
        <v>192</v>
      </c>
    </row>
    <row r="3175" spans="1:4">
      <c r="A3175" s="269" t="str">
        <f t="shared" si="94"/>
        <v>Диагностика.TREI.BR12.Err_Canal_05</v>
      </c>
      <c r="B3175" s="270">
        <v>2</v>
      </c>
      <c r="C3175" s="270" t="s">
        <v>6</v>
      </c>
      <c r="D3175" s="271">
        <v>0</v>
      </c>
    </row>
    <row r="3176" spans="1:4">
      <c r="A3176" s="272" t="str">
        <f t="shared" si="94"/>
        <v>Диагностика.TREI.BR12.Err_Canal_05</v>
      </c>
      <c r="B3176" s="273">
        <v>1</v>
      </c>
      <c r="C3176" s="273" t="s">
        <v>1</v>
      </c>
      <c r="D3176" s="274">
        <v>3</v>
      </c>
    </row>
    <row r="3177" spans="1:4">
      <c r="A3177" s="266" t="str">
        <f t="shared" ref="A3177:A3182" si="95">$R$2&amp;"."&amp;$P$2&amp;".Err_Canal_06"</f>
        <v>Диагностика.TREI.BR12.Err_Canal_06</v>
      </c>
      <c r="B3177" s="267">
        <v>7999</v>
      </c>
      <c r="C3177" s="267" t="s">
        <v>0</v>
      </c>
      <c r="D3177" s="268" t="str">
        <f>"#"&amp;$S$2&amp;"#"&amp;$T$2&amp;"\"&amp;$P$2&amp;"\Err_Canal_06"</f>
        <v>#2#treiOPCDA.CoOPCserv.1\pcmaster\BR12\Err_Canal_06</v>
      </c>
    </row>
    <row r="3178" spans="1:4">
      <c r="A3178" s="269" t="str">
        <f t="shared" si="95"/>
        <v>Диагностика.TREI.BR12.Err_Canal_06</v>
      </c>
      <c r="B3178" s="270">
        <v>7998</v>
      </c>
      <c r="C3178" s="270" t="s">
        <v>6</v>
      </c>
      <c r="D3178" s="271">
        <v>1</v>
      </c>
    </row>
    <row r="3179" spans="1:4">
      <c r="A3179" s="269" t="str">
        <f t="shared" si="95"/>
        <v>Диагностика.TREI.BR12.Err_Canal_06</v>
      </c>
      <c r="B3179" s="270">
        <v>101</v>
      </c>
      <c r="C3179" s="270" t="s">
        <v>0</v>
      </c>
      <c r="D3179" s="271" t="s">
        <v>1447</v>
      </c>
    </row>
    <row r="3180" spans="1:4">
      <c r="A3180" s="269" t="str">
        <f t="shared" si="95"/>
        <v>Диагностика.TREI.BR12.Err_Canal_06</v>
      </c>
      <c r="B3180" s="270">
        <v>3</v>
      </c>
      <c r="C3180" s="270" t="s">
        <v>1</v>
      </c>
      <c r="D3180" s="271">
        <v>192</v>
      </c>
    </row>
    <row r="3181" spans="1:4">
      <c r="A3181" s="269" t="str">
        <f t="shared" si="95"/>
        <v>Диагностика.TREI.BR12.Err_Canal_06</v>
      </c>
      <c r="B3181" s="270">
        <v>2</v>
      </c>
      <c r="C3181" s="270" t="s">
        <v>6</v>
      </c>
      <c r="D3181" s="271">
        <v>0</v>
      </c>
    </row>
    <row r="3182" spans="1:4">
      <c r="A3182" s="272" t="str">
        <f t="shared" si="95"/>
        <v>Диагностика.TREI.BR12.Err_Canal_06</v>
      </c>
      <c r="B3182" s="273">
        <v>1</v>
      </c>
      <c r="C3182" s="273" t="s">
        <v>1</v>
      </c>
      <c r="D3182" s="274">
        <v>3</v>
      </c>
    </row>
    <row r="3183" spans="1:4">
      <c r="A3183" s="266" t="str">
        <f t="shared" ref="A3183:A3188" si="96">$R$2&amp;"."&amp;$P$2&amp;".Err_Canal_07"</f>
        <v>Диагностика.TREI.BR12.Err_Canal_07</v>
      </c>
      <c r="B3183" s="267">
        <v>7999</v>
      </c>
      <c r="C3183" s="267" t="s">
        <v>0</v>
      </c>
      <c r="D3183" s="268" t="str">
        <f>"#"&amp;$S$2&amp;"#"&amp;$T$2&amp;"\"&amp;$P$2&amp;"\Err_Canal_07"</f>
        <v>#2#treiOPCDA.CoOPCserv.1\pcmaster\BR12\Err_Canal_07</v>
      </c>
    </row>
    <row r="3184" spans="1:4">
      <c r="A3184" s="269" t="str">
        <f t="shared" si="96"/>
        <v>Диагностика.TREI.BR12.Err_Canal_07</v>
      </c>
      <c r="B3184" s="270">
        <v>7998</v>
      </c>
      <c r="C3184" s="270" t="s">
        <v>6</v>
      </c>
      <c r="D3184" s="271">
        <v>1</v>
      </c>
    </row>
    <row r="3185" spans="1:4">
      <c r="A3185" s="269" t="str">
        <f t="shared" si="96"/>
        <v>Диагностика.TREI.BR12.Err_Canal_07</v>
      </c>
      <c r="B3185" s="270">
        <v>101</v>
      </c>
      <c r="C3185" s="270" t="s">
        <v>0</v>
      </c>
      <c r="D3185" s="271" t="s">
        <v>1448</v>
      </c>
    </row>
    <row r="3186" spans="1:4">
      <c r="A3186" s="269" t="str">
        <f t="shared" si="96"/>
        <v>Диагностика.TREI.BR12.Err_Canal_07</v>
      </c>
      <c r="B3186" s="270">
        <v>3</v>
      </c>
      <c r="C3186" s="270" t="s">
        <v>1</v>
      </c>
      <c r="D3186" s="271">
        <v>192</v>
      </c>
    </row>
    <row r="3187" spans="1:4">
      <c r="A3187" s="269" t="str">
        <f t="shared" si="96"/>
        <v>Диагностика.TREI.BR12.Err_Canal_07</v>
      </c>
      <c r="B3187" s="270">
        <v>2</v>
      </c>
      <c r="C3187" s="270" t="s">
        <v>6</v>
      </c>
      <c r="D3187" s="271">
        <v>0</v>
      </c>
    </row>
    <row r="3188" spans="1:4">
      <c r="A3188" s="272" t="str">
        <f t="shared" si="96"/>
        <v>Диагностика.TREI.BR12.Err_Canal_07</v>
      </c>
      <c r="B3188" s="273">
        <v>1</v>
      </c>
      <c r="C3188" s="273" t="s">
        <v>1</v>
      </c>
      <c r="D3188" s="274">
        <v>3</v>
      </c>
    </row>
    <row r="3189" spans="1:4">
      <c r="A3189" s="266" t="str">
        <f t="shared" ref="A3189:A3194" si="97">$R$2&amp;"."&amp;$P$2&amp;".Err_Canal_08"</f>
        <v>Диагностика.TREI.BR12.Err_Canal_08</v>
      </c>
      <c r="B3189" s="267">
        <v>7999</v>
      </c>
      <c r="C3189" s="267" t="s">
        <v>0</v>
      </c>
      <c r="D3189" s="268" t="str">
        <f>"#"&amp;$S$2&amp;"#"&amp;$T$2&amp;"\"&amp;$P$2&amp;"\Err_Canal_08"</f>
        <v>#2#treiOPCDA.CoOPCserv.1\pcmaster\BR12\Err_Canal_08</v>
      </c>
    </row>
    <row r="3190" spans="1:4">
      <c r="A3190" s="269" t="str">
        <f t="shared" si="97"/>
        <v>Диагностика.TREI.BR12.Err_Canal_08</v>
      </c>
      <c r="B3190" s="270">
        <v>7998</v>
      </c>
      <c r="C3190" s="270" t="s">
        <v>6</v>
      </c>
      <c r="D3190" s="271">
        <v>1</v>
      </c>
    </row>
    <row r="3191" spans="1:4">
      <c r="A3191" s="269" t="str">
        <f t="shared" si="97"/>
        <v>Диагностика.TREI.BR12.Err_Canal_08</v>
      </c>
      <c r="B3191" s="270">
        <v>101</v>
      </c>
      <c r="C3191" s="270" t="s">
        <v>0</v>
      </c>
      <c r="D3191" s="271" t="s">
        <v>1449</v>
      </c>
    </row>
    <row r="3192" spans="1:4">
      <c r="A3192" s="269" t="str">
        <f t="shared" si="97"/>
        <v>Диагностика.TREI.BR12.Err_Canal_08</v>
      </c>
      <c r="B3192" s="270">
        <v>3</v>
      </c>
      <c r="C3192" s="270" t="s">
        <v>1</v>
      </c>
      <c r="D3192" s="271">
        <v>192</v>
      </c>
    </row>
    <row r="3193" spans="1:4">
      <c r="A3193" s="269" t="str">
        <f t="shared" si="97"/>
        <v>Диагностика.TREI.BR12.Err_Canal_08</v>
      </c>
      <c r="B3193" s="270">
        <v>2</v>
      </c>
      <c r="C3193" s="270" t="s">
        <v>6</v>
      </c>
      <c r="D3193" s="271">
        <v>0</v>
      </c>
    </row>
    <row r="3194" spans="1:4">
      <c r="A3194" s="272" t="str">
        <f t="shared" si="97"/>
        <v>Диагностика.TREI.BR12.Err_Canal_08</v>
      </c>
      <c r="B3194" s="273">
        <v>1</v>
      </c>
      <c r="C3194" s="273" t="s">
        <v>1</v>
      </c>
      <c r="D3194" s="274">
        <v>3</v>
      </c>
    </row>
    <row r="3195" spans="1:4">
      <c r="A3195" s="512" t="s">
        <v>2670</v>
      </c>
      <c r="B3195" s="512"/>
      <c r="C3195" s="512"/>
      <c r="D3195" s="512"/>
    </row>
    <row r="3196" spans="1:4">
      <c r="A3196" s="211" t="str">
        <f t="shared" ref="A3196:A3205" si="98">$R$2&amp;"."&amp;$P$2&amp;".No_power1"</f>
        <v>Диагностика.TREI.BR12.No_power1</v>
      </c>
      <c r="B3196" s="212">
        <v>11154</v>
      </c>
      <c r="C3196" s="212" t="s">
        <v>4</v>
      </c>
      <c r="D3196" s="221">
        <f>$Q$7</f>
        <v>12</v>
      </c>
    </row>
    <row r="3197" spans="1:4">
      <c r="A3197" s="211" t="str">
        <f t="shared" si="98"/>
        <v>Диагностика.TREI.BR12.No_power1</v>
      </c>
      <c r="B3197" s="212">
        <v>11152</v>
      </c>
      <c r="C3197" s="212" t="s">
        <v>0</v>
      </c>
      <c r="D3197" s="220" t="str">
        <f>$R$7</f>
        <v>Неисправность</v>
      </c>
    </row>
    <row r="3198" spans="1:4">
      <c r="A3198" s="211" t="str">
        <f t="shared" si="98"/>
        <v>Диагностика.TREI.BR12.No_power1</v>
      </c>
      <c r="B3198" s="212">
        <v>11150</v>
      </c>
      <c r="C3198" s="212" t="s">
        <v>0</v>
      </c>
      <c r="D3198" s="213" t="s">
        <v>1780</v>
      </c>
    </row>
    <row r="3199" spans="1:4">
      <c r="A3199" s="211" t="str">
        <f t="shared" si="98"/>
        <v>Диагностика.TREI.BR12.No_power1</v>
      </c>
      <c r="B3199" s="212">
        <v>11000</v>
      </c>
      <c r="C3199" s="212" t="s">
        <v>5</v>
      </c>
      <c r="D3199" s="213">
        <v>2147483680</v>
      </c>
    </row>
    <row r="3200" spans="1:4">
      <c r="A3200" s="19" t="str">
        <f t="shared" si="98"/>
        <v>Диагностика.TREI.BR12.No_power1</v>
      </c>
      <c r="B3200" s="11">
        <v>7999</v>
      </c>
      <c r="C3200" s="11" t="s">
        <v>0</v>
      </c>
      <c r="D3200" s="20" t="str">
        <f>"#"&amp;$S$2&amp;"#"&amp;$T$2&amp;"\"&amp;$P$2&amp;"\No_power1"</f>
        <v>#2#treiOPCDA.CoOPCserv.1\pcmaster\BR12\No_power1</v>
      </c>
    </row>
    <row r="3201" spans="1:4">
      <c r="A3201" s="19" t="str">
        <f t="shared" si="98"/>
        <v>Диагностика.TREI.BR12.No_power1</v>
      </c>
      <c r="B3201" s="11">
        <v>7998</v>
      </c>
      <c r="C3201" s="11" t="s">
        <v>6</v>
      </c>
      <c r="D3201" s="20">
        <v>1</v>
      </c>
    </row>
    <row r="3202" spans="1:4">
      <c r="A3202" s="19" t="str">
        <f t="shared" si="98"/>
        <v>Диагностика.TREI.BR12.No_power1</v>
      </c>
      <c r="B3202" s="11">
        <v>101</v>
      </c>
      <c r="C3202" s="11" t="s">
        <v>0</v>
      </c>
      <c r="D3202" s="20" t="s">
        <v>1780</v>
      </c>
    </row>
    <row r="3203" spans="1:4">
      <c r="A3203" s="19" t="str">
        <f t="shared" si="98"/>
        <v>Диагностика.TREI.BR12.No_power1</v>
      </c>
      <c r="B3203" s="11">
        <v>3</v>
      </c>
      <c r="C3203" s="11" t="s">
        <v>1</v>
      </c>
      <c r="D3203" s="20">
        <v>192</v>
      </c>
    </row>
    <row r="3204" spans="1:4">
      <c r="A3204" s="19" t="str">
        <f t="shared" si="98"/>
        <v>Диагностика.TREI.BR12.No_power1</v>
      </c>
      <c r="B3204" s="11">
        <v>2</v>
      </c>
      <c r="C3204" s="11" t="s">
        <v>2</v>
      </c>
      <c r="D3204" s="20" t="s">
        <v>3</v>
      </c>
    </row>
    <row r="3205" spans="1:4">
      <c r="A3205" s="21" t="str">
        <f t="shared" si="98"/>
        <v>Диагностика.TREI.BR12.No_power1</v>
      </c>
      <c r="B3205" s="8">
        <v>1</v>
      </c>
      <c r="C3205" s="8" t="s">
        <v>1</v>
      </c>
      <c r="D3205" s="22">
        <v>11</v>
      </c>
    </row>
    <row r="3206" spans="1:4">
      <c r="A3206" s="211" t="str">
        <f t="shared" ref="A3206:A3215" si="99">$R$2&amp;"."&amp;$P$2&amp;".No_power2"</f>
        <v>Диагностика.TREI.BR12.No_power2</v>
      </c>
      <c r="B3206" s="212">
        <v>11154</v>
      </c>
      <c r="C3206" s="212" t="s">
        <v>4</v>
      </c>
      <c r="D3206" s="221">
        <f>$Q$7</f>
        <v>12</v>
      </c>
    </row>
    <row r="3207" spans="1:4">
      <c r="A3207" s="211" t="str">
        <f t="shared" si="99"/>
        <v>Диагностика.TREI.BR12.No_power2</v>
      </c>
      <c r="B3207" s="212">
        <v>11152</v>
      </c>
      <c r="C3207" s="212" t="s">
        <v>0</v>
      </c>
      <c r="D3207" s="220" t="str">
        <f>$R$7</f>
        <v>Неисправность</v>
      </c>
    </row>
    <row r="3208" spans="1:4">
      <c r="A3208" s="211" t="str">
        <f t="shared" si="99"/>
        <v>Диагностика.TREI.BR12.No_power2</v>
      </c>
      <c r="B3208" s="212">
        <v>11150</v>
      </c>
      <c r="C3208" s="212" t="s">
        <v>0</v>
      </c>
      <c r="D3208" s="213" t="s">
        <v>1781</v>
      </c>
    </row>
    <row r="3209" spans="1:4">
      <c r="A3209" s="211" t="str">
        <f t="shared" si="99"/>
        <v>Диагностика.TREI.BR12.No_power2</v>
      </c>
      <c r="B3209" s="212">
        <v>11000</v>
      </c>
      <c r="C3209" s="212" t="s">
        <v>5</v>
      </c>
      <c r="D3209" s="213">
        <v>2147483680</v>
      </c>
    </row>
    <row r="3210" spans="1:4">
      <c r="A3210" s="19" t="str">
        <f t="shared" si="99"/>
        <v>Диагностика.TREI.BR12.No_power2</v>
      </c>
      <c r="B3210" s="11">
        <v>7999</v>
      </c>
      <c r="C3210" s="11" t="s">
        <v>0</v>
      </c>
      <c r="D3210" s="20" t="str">
        <f>"#"&amp;$S$2&amp;"#"&amp;$T$2&amp;"\"&amp;$P$2&amp;"\No_power2"</f>
        <v>#2#treiOPCDA.CoOPCserv.1\pcmaster\BR12\No_power2</v>
      </c>
    </row>
    <row r="3211" spans="1:4">
      <c r="A3211" s="19" t="str">
        <f t="shared" si="99"/>
        <v>Диагностика.TREI.BR12.No_power2</v>
      </c>
      <c r="B3211" s="11">
        <v>7998</v>
      </c>
      <c r="C3211" s="11" t="s">
        <v>6</v>
      </c>
      <c r="D3211" s="20">
        <v>1</v>
      </c>
    </row>
    <row r="3212" spans="1:4">
      <c r="A3212" s="19" t="str">
        <f t="shared" si="99"/>
        <v>Диагностика.TREI.BR12.No_power2</v>
      </c>
      <c r="B3212" s="11">
        <v>101</v>
      </c>
      <c r="C3212" s="11" t="s">
        <v>0</v>
      </c>
      <c r="D3212" s="20" t="s">
        <v>1781</v>
      </c>
    </row>
    <row r="3213" spans="1:4">
      <c r="A3213" s="19" t="str">
        <f t="shared" si="99"/>
        <v>Диагностика.TREI.BR12.No_power2</v>
      </c>
      <c r="B3213" s="11">
        <v>3</v>
      </c>
      <c r="C3213" s="11" t="s">
        <v>1</v>
      </c>
      <c r="D3213" s="20">
        <v>192</v>
      </c>
    </row>
    <row r="3214" spans="1:4">
      <c r="A3214" s="19" t="str">
        <f t="shared" si="99"/>
        <v>Диагностика.TREI.BR12.No_power2</v>
      </c>
      <c r="B3214" s="11">
        <v>2</v>
      </c>
      <c r="C3214" s="11" t="s">
        <v>2</v>
      </c>
      <c r="D3214" s="20" t="s">
        <v>3</v>
      </c>
    </row>
    <row r="3215" spans="1:4">
      <c r="A3215" s="21" t="str">
        <f t="shared" si="99"/>
        <v>Диагностика.TREI.BR12.No_power2</v>
      </c>
      <c r="B3215" s="8">
        <v>1</v>
      </c>
      <c r="C3215" s="8" t="s">
        <v>1</v>
      </c>
      <c r="D3215" s="22">
        <v>11</v>
      </c>
    </row>
    <row r="3216" spans="1:4">
      <c r="A3216" s="211" t="str">
        <f t="shared" ref="A3216:A3225" si="100">$R$2&amp;"."&amp;$P$2&amp;".Err_line1"</f>
        <v>Диагностика.TREI.BR12.Err_line1</v>
      </c>
      <c r="B3216" s="212">
        <v>11154</v>
      </c>
      <c r="C3216" s="212" t="s">
        <v>4</v>
      </c>
      <c r="D3216" s="221">
        <f>$Q$7</f>
        <v>12</v>
      </c>
    </row>
    <row r="3217" spans="1:4">
      <c r="A3217" s="211" t="str">
        <f t="shared" si="100"/>
        <v>Диагностика.TREI.BR12.Err_line1</v>
      </c>
      <c r="B3217" s="212">
        <v>11152</v>
      </c>
      <c r="C3217" s="212" t="s">
        <v>0</v>
      </c>
      <c r="D3217" s="220" t="str">
        <f>$R$7</f>
        <v>Неисправность</v>
      </c>
    </row>
    <row r="3218" spans="1:4">
      <c r="A3218" s="211" t="str">
        <f t="shared" si="100"/>
        <v>Диагностика.TREI.BR12.Err_line1</v>
      </c>
      <c r="B3218" s="212">
        <v>11150</v>
      </c>
      <c r="C3218" s="212" t="s">
        <v>0</v>
      </c>
      <c r="D3218" s="213" t="s">
        <v>1375</v>
      </c>
    </row>
    <row r="3219" spans="1:4">
      <c r="A3219" s="211" t="str">
        <f t="shared" si="100"/>
        <v>Диагностика.TREI.BR12.Err_line1</v>
      </c>
      <c r="B3219" s="212">
        <v>11000</v>
      </c>
      <c r="C3219" s="212" t="s">
        <v>5</v>
      </c>
      <c r="D3219" s="213">
        <v>2147483680</v>
      </c>
    </row>
    <row r="3220" spans="1:4">
      <c r="A3220" s="19" t="str">
        <f t="shared" si="100"/>
        <v>Диагностика.TREI.BR12.Err_line1</v>
      </c>
      <c r="B3220" s="11">
        <v>7999</v>
      </c>
      <c r="C3220" s="11" t="s">
        <v>0</v>
      </c>
      <c r="D3220" s="20" t="str">
        <f>"#"&amp;$S$2&amp;"#"&amp;$T$2&amp;"\"&amp;$P$2&amp;"\Err_line1"</f>
        <v>#2#treiOPCDA.CoOPCserv.1\pcmaster\BR12\Err_line1</v>
      </c>
    </row>
    <row r="3221" spans="1:4">
      <c r="A3221" s="19" t="str">
        <f t="shared" si="100"/>
        <v>Диагностика.TREI.BR12.Err_line1</v>
      </c>
      <c r="B3221" s="11">
        <v>7998</v>
      </c>
      <c r="C3221" s="11" t="s">
        <v>6</v>
      </c>
      <c r="D3221" s="20">
        <v>1</v>
      </c>
    </row>
    <row r="3222" spans="1:4">
      <c r="A3222" s="19" t="str">
        <f t="shared" si="100"/>
        <v>Диагностика.TREI.BR12.Err_line1</v>
      </c>
      <c r="B3222" s="11">
        <v>101</v>
      </c>
      <c r="C3222" s="11" t="s">
        <v>0</v>
      </c>
      <c r="D3222" s="20" t="s">
        <v>1375</v>
      </c>
    </row>
    <row r="3223" spans="1:4">
      <c r="A3223" s="19" t="str">
        <f t="shared" si="100"/>
        <v>Диагностика.TREI.BR12.Err_line1</v>
      </c>
      <c r="B3223" s="11">
        <v>3</v>
      </c>
      <c r="C3223" s="11" t="s">
        <v>1</v>
      </c>
      <c r="D3223" s="20">
        <v>192</v>
      </c>
    </row>
    <row r="3224" spans="1:4">
      <c r="A3224" s="19" t="str">
        <f t="shared" si="100"/>
        <v>Диагностика.TREI.BR12.Err_line1</v>
      </c>
      <c r="B3224" s="11">
        <v>2</v>
      </c>
      <c r="C3224" s="11" t="s">
        <v>2</v>
      </c>
      <c r="D3224" s="20" t="s">
        <v>3</v>
      </c>
    </row>
    <row r="3225" spans="1:4">
      <c r="A3225" s="21" t="str">
        <f t="shared" si="100"/>
        <v>Диагностика.TREI.BR12.Err_line1</v>
      </c>
      <c r="B3225" s="8">
        <v>1</v>
      </c>
      <c r="C3225" s="8" t="s">
        <v>1</v>
      </c>
      <c r="D3225" s="22">
        <v>11</v>
      </c>
    </row>
    <row r="3226" spans="1:4">
      <c r="A3226" s="211" t="str">
        <f t="shared" ref="A3226:A3235" si="101">$R$2&amp;"."&amp;$P$2&amp;".Err_line2"</f>
        <v>Диагностика.TREI.BR12.Err_line2</v>
      </c>
      <c r="B3226" s="212">
        <v>11154</v>
      </c>
      <c r="C3226" s="212" t="s">
        <v>4</v>
      </c>
      <c r="D3226" s="221">
        <f>$Q$7</f>
        <v>12</v>
      </c>
    </row>
    <row r="3227" spans="1:4">
      <c r="A3227" s="211" t="str">
        <f t="shared" si="101"/>
        <v>Диагностика.TREI.BR12.Err_line2</v>
      </c>
      <c r="B3227" s="212">
        <v>11152</v>
      </c>
      <c r="C3227" s="212" t="s">
        <v>0</v>
      </c>
      <c r="D3227" s="220" t="str">
        <f>$R$7</f>
        <v>Неисправность</v>
      </c>
    </row>
    <row r="3228" spans="1:4">
      <c r="A3228" s="211" t="str">
        <f t="shared" si="101"/>
        <v>Диагностика.TREI.BR12.Err_line2</v>
      </c>
      <c r="B3228" s="212">
        <v>11150</v>
      </c>
      <c r="C3228" s="212" t="s">
        <v>0</v>
      </c>
      <c r="D3228" s="213" t="s">
        <v>1376</v>
      </c>
    </row>
    <row r="3229" spans="1:4">
      <c r="A3229" s="211" t="str">
        <f t="shared" si="101"/>
        <v>Диагностика.TREI.BR12.Err_line2</v>
      </c>
      <c r="B3229" s="212">
        <v>11000</v>
      </c>
      <c r="C3229" s="212" t="s">
        <v>5</v>
      </c>
      <c r="D3229" s="213">
        <v>2147483680</v>
      </c>
    </row>
    <row r="3230" spans="1:4">
      <c r="A3230" s="19" t="str">
        <f t="shared" si="101"/>
        <v>Диагностика.TREI.BR12.Err_line2</v>
      </c>
      <c r="B3230" s="11">
        <v>7999</v>
      </c>
      <c r="C3230" s="11" t="s">
        <v>0</v>
      </c>
      <c r="D3230" s="20" t="str">
        <f>"#"&amp;$S$2&amp;"#"&amp;$T$2&amp;"\"&amp;$P$2&amp;"\Err_line2"</f>
        <v>#2#treiOPCDA.CoOPCserv.1\pcmaster\BR12\Err_line2</v>
      </c>
    </row>
    <row r="3231" spans="1:4">
      <c r="A3231" s="19" t="str">
        <f t="shared" si="101"/>
        <v>Диагностика.TREI.BR12.Err_line2</v>
      </c>
      <c r="B3231" s="11">
        <v>7998</v>
      </c>
      <c r="C3231" s="11" t="s">
        <v>6</v>
      </c>
      <c r="D3231" s="20">
        <v>1</v>
      </c>
    </row>
    <row r="3232" spans="1:4">
      <c r="A3232" s="19" t="str">
        <f t="shared" si="101"/>
        <v>Диагностика.TREI.BR12.Err_line2</v>
      </c>
      <c r="B3232" s="11">
        <v>101</v>
      </c>
      <c r="C3232" s="11" t="s">
        <v>0</v>
      </c>
      <c r="D3232" s="20" t="s">
        <v>1376</v>
      </c>
    </row>
    <row r="3233" spans="1:4">
      <c r="A3233" s="19" t="str">
        <f t="shared" si="101"/>
        <v>Диагностика.TREI.BR12.Err_line2</v>
      </c>
      <c r="B3233" s="11">
        <v>3</v>
      </c>
      <c r="C3233" s="11" t="s">
        <v>1</v>
      </c>
      <c r="D3233" s="20">
        <v>192</v>
      </c>
    </row>
    <row r="3234" spans="1:4">
      <c r="A3234" s="19" t="str">
        <f t="shared" si="101"/>
        <v>Диагностика.TREI.BR12.Err_line2</v>
      </c>
      <c r="B3234" s="11">
        <v>2</v>
      </c>
      <c r="C3234" s="11" t="s">
        <v>2</v>
      </c>
      <c r="D3234" s="20" t="s">
        <v>3</v>
      </c>
    </row>
    <row r="3235" spans="1:4">
      <c r="A3235" s="21" t="str">
        <f t="shared" si="101"/>
        <v>Диагностика.TREI.BR12.Err_line2</v>
      </c>
      <c r="B3235" s="8">
        <v>1</v>
      </c>
      <c r="C3235" s="8" t="s">
        <v>1</v>
      </c>
      <c r="D3235" s="22">
        <v>11</v>
      </c>
    </row>
    <row r="3236" spans="1:4">
      <c r="A3236" s="211" t="str">
        <f>$R$2&amp;"."&amp;$P$2&amp;".Err_CAP"</f>
        <v>Диагностика.TREI.BR12.Err_CAP</v>
      </c>
      <c r="B3236" s="212">
        <v>11154</v>
      </c>
      <c r="C3236" s="212" t="s">
        <v>4</v>
      </c>
      <c r="D3236" s="221">
        <f>$Q$7</f>
        <v>12</v>
      </c>
    </row>
    <row r="3237" spans="1:4">
      <c r="A3237" s="211" t="str">
        <f t="shared" ref="A3237:A3245" si="102">$R$2&amp;"."&amp;$P$2&amp;".Err_CAP"</f>
        <v>Диагностика.TREI.BR12.Err_CAP</v>
      </c>
      <c r="B3237" s="212">
        <v>11152</v>
      </c>
      <c r="C3237" s="212" t="s">
        <v>0</v>
      </c>
      <c r="D3237" s="220" t="str">
        <f>$R$7</f>
        <v>Неисправность</v>
      </c>
    </row>
    <row r="3238" spans="1:4">
      <c r="A3238" s="211" t="str">
        <f t="shared" si="102"/>
        <v>Диагностика.TREI.BR12.Err_CAP</v>
      </c>
      <c r="B3238" s="212">
        <v>11150</v>
      </c>
      <c r="C3238" s="212" t="s">
        <v>0</v>
      </c>
      <c r="D3238" s="213" t="s">
        <v>1458</v>
      </c>
    </row>
    <row r="3239" spans="1:4">
      <c r="A3239" s="211" t="str">
        <f t="shared" si="102"/>
        <v>Диагностика.TREI.BR12.Err_CAP</v>
      </c>
      <c r="B3239" s="212">
        <v>11000</v>
      </c>
      <c r="C3239" s="212" t="s">
        <v>5</v>
      </c>
      <c r="D3239" s="213">
        <v>2147483680</v>
      </c>
    </row>
    <row r="3240" spans="1:4">
      <c r="A3240" s="19" t="str">
        <f t="shared" si="102"/>
        <v>Диагностика.TREI.BR12.Err_CAP</v>
      </c>
      <c r="B3240" s="11">
        <v>7999</v>
      </c>
      <c r="C3240" s="11" t="s">
        <v>0</v>
      </c>
      <c r="D3240" s="20" t="str">
        <f>"#"&amp;$S$2&amp;"#"&amp;$T$2&amp;"\"&amp;$P$2&amp;"\Err_CAP"</f>
        <v>#2#treiOPCDA.CoOPCserv.1\pcmaster\BR12\Err_CAP</v>
      </c>
    </row>
    <row r="3241" spans="1:4">
      <c r="A3241" s="19" t="str">
        <f t="shared" si="102"/>
        <v>Диагностика.TREI.BR12.Err_CAP</v>
      </c>
      <c r="B3241" s="11">
        <v>7998</v>
      </c>
      <c r="C3241" s="11" t="s">
        <v>6</v>
      </c>
      <c r="D3241" s="20">
        <v>1</v>
      </c>
    </row>
    <row r="3242" spans="1:4">
      <c r="A3242" s="19" t="str">
        <f t="shared" si="102"/>
        <v>Диагностика.TREI.BR12.Err_CAP</v>
      </c>
      <c r="B3242" s="11">
        <v>101</v>
      </c>
      <c r="C3242" s="11" t="s">
        <v>0</v>
      </c>
      <c r="D3242" s="20" t="s">
        <v>1458</v>
      </c>
    </row>
    <row r="3243" spans="1:4">
      <c r="A3243" s="19" t="str">
        <f t="shared" si="102"/>
        <v>Диагностика.TREI.BR12.Err_CAP</v>
      </c>
      <c r="B3243" s="11">
        <v>3</v>
      </c>
      <c r="C3243" s="11" t="s">
        <v>1</v>
      </c>
      <c r="D3243" s="20">
        <v>192</v>
      </c>
    </row>
    <row r="3244" spans="1:4">
      <c r="A3244" s="19" t="str">
        <f t="shared" si="102"/>
        <v>Диагностика.TREI.BR12.Err_CAP</v>
      </c>
      <c r="B3244" s="11">
        <v>2</v>
      </c>
      <c r="C3244" s="11" t="s">
        <v>2</v>
      </c>
      <c r="D3244" s="20" t="s">
        <v>3</v>
      </c>
    </row>
    <row r="3245" spans="1:4">
      <c r="A3245" s="21" t="str">
        <f t="shared" si="102"/>
        <v>Диагностика.TREI.BR12.Err_CAP</v>
      </c>
      <c r="B3245" s="8">
        <v>1</v>
      </c>
      <c r="C3245" s="8" t="s">
        <v>1</v>
      </c>
      <c r="D3245" s="22">
        <v>11</v>
      </c>
    </row>
    <row r="3246" spans="1:4">
      <c r="A3246" s="211" t="str">
        <f>$R$2&amp;"."&amp;$P$2&amp;".CH_power_low1"</f>
        <v>Диагностика.TREI.BR12.CH_power_low1</v>
      </c>
      <c r="B3246" s="212">
        <v>11154</v>
      </c>
      <c r="C3246" s="212" t="s">
        <v>4</v>
      </c>
      <c r="D3246" s="221">
        <f>$Q$7</f>
        <v>12</v>
      </c>
    </row>
    <row r="3247" spans="1:4">
      <c r="A3247" s="211" t="str">
        <f t="shared" ref="A3247:A3255" si="103">$R$2&amp;"."&amp;$P$2&amp;".CH_power_low1"</f>
        <v>Диагностика.TREI.BR12.CH_power_low1</v>
      </c>
      <c r="B3247" s="212">
        <v>11152</v>
      </c>
      <c r="C3247" s="212" t="s">
        <v>0</v>
      </c>
      <c r="D3247" s="220" t="str">
        <f>$R$7</f>
        <v>Неисправность</v>
      </c>
    </row>
    <row r="3248" spans="1:4">
      <c r="A3248" s="211" t="str">
        <f t="shared" si="103"/>
        <v>Диагностика.TREI.BR12.CH_power_low1</v>
      </c>
      <c r="B3248" s="212">
        <v>11150</v>
      </c>
      <c r="C3248" s="212" t="s">
        <v>0</v>
      </c>
      <c r="D3248" s="213" t="s">
        <v>2671</v>
      </c>
    </row>
    <row r="3249" spans="1:4">
      <c r="A3249" s="211" t="str">
        <f t="shared" si="103"/>
        <v>Диагностика.TREI.BR12.CH_power_low1</v>
      </c>
      <c r="B3249" s="212">
        <v>11000</v>
      </c>
      <c r="C3249" s="212" t="s">
        <v>5</v>
      </c>
      <c r="D3249" s="213">
        <v>2147483680</v>
      </c>
    </row>
    <row r="3250" spans="1:4">
      <c r="A3250" s="19" t="str">
        <f t="shared" si="103"/>
        <v>Диагностика.TREI.BR12.CH_power_low1</v>
      </c>
      <c r="B3250" s="11">
        <v>7999</v>
      </c>
      <c r="C3250" s="11" t="s">
        <v>0</v>
      </c>
      <c r="D3250" s="20" t="str">
        <f>"#"&amp;$S$2&amp;"#"&amp;$T$2&amp;"\"&amp;$P$2&amp;"\CH_power_low1"</f>
        <v>#2#treiOPCDA.CoOPCserv.1\pcmaster\BR12\CH_power_low1</v>
      </c>
    </row>
    <row r="3251" spans="1:4">
      <c r="A3251" s="19" t="str">
        <f t="shared" si="103"/>
        <v>Диагностика.TREI.BR12.CH_power_low1</v>
      </c>
      <c r="B3251" s="11">
        <v>7998</v>
      </c>
      <c r="C3251" s="11" t="s">
        <v>6</v>
      </c>
      <c r="D3251" s="20">
        <v>1</v>
      </c>
    </row>
    <row r="3252" spans="1:4">
      <c r="A3252" s="19" t="str">
        <f t="shared" si="103"/>
        <v>Диагностика.TREI.BR12.CH_power_low1</v>
      </c>
      <c r="B3252" s="11">
        <v>101</v>
      </c>
      <c r="C3252" s="11" t="s">
        <v>0</v>
      </c>
      <c r="D3252" s="20" t="s">
        <v>2671</v>
      </c>
    </row>
    <row r="3253" spans="1:4">
      <c r="A3253" s="19" t="str">
        <f t="shared" si="103"/>
        <v>Диагностика.TREI.BR12.CH_power_low1</v>
      </c>
      <c r="B3253" s="11">
        <v>3</v>
      </c>
      <c r="C3253" s="11" t="s">
        <v>1</v>
      </c>
      <c r="D3253" s="20">
        <v>192</v>
      </c>
    </row>
    <row r="3254" spans="1:4">
      <c r="A3254" s="19" t="str">
        <f t="shared" si="103"/>
        <v>Диагностика.TREI.BR12.CH_power_low1</v>
      </c>
      <c r="B3254" s="11">
        <v>2</v>
      </c>
      <c r="C3254" s="11" t="s">
        <v>2</v>
      </c>
      <c r="D3254" s="20" t="s">
        <v>3</v>
      </c>
    </row>
    <row r="3255" spans="1:4">
      <c r="A3255" s="21" t="str">
        <f t="shared" si="103"/>
        <v>Диагностика.TREI.BR12.CH_power_low1</v>
      </c>
      <c r="B3255" s="8">
        <v>1</v>
      </c>
      <c r="C3255" s="8" t="s">
        <v>1</v>
      </c>
      <c r="D3255" s="22">
        <v>11</v>
      </c>
    </row>
    <row r="3256" spans="1:4">
      <c r="A3256" s="211" t="str">
        <f>$R$2&amp;"."&amp;$P$2&amp;".CH_power_high1"</f>
        <v>Диагностика.TREI.BR12.CH_power_high1</v>
      </c>
      <c r="B3256" s="212">
        <v>11154</v>
      </c>
      <c r="C3256" s="212" t="s">
        <v>4</v>
      </c>
      <c r="D3256" s="221">
        <f>$Q$7</f>
        <v>12</v>
      </c>
    </row>
    <row r="3257" spans="1:4">
      <c r="A3257" s="211" t="str">
        <f t="shared" ref="A3257:A3265" si="104">$R$2&amp;"."&amp;$P$2&amp;".CH_power_high1"</f>
        <v>Диагностика.TREI.BR12.CH_power_high1</v>
      </c>
      <c r="B3257" s="212">
        <v>11152</v>
      </c>
      <c r="C3257" s="212" t="s">
        <v>0</v>
      </c>
      <c r="D3257" s="220" t="str">
        <f>$R$7</f>
        <v>Неисправность</v>
      </c>
    </row>
    <row r="3258" spans="1:4">
      <c r="A3258" s="211" t="str">
        <f t="shared" si="104"/>
        <v>Диагностика.TREI.BR12.CH_power_high1</v>
      </c>
      <c r="B3258" s="212">
        <v>11150</v>
      </c>
      <c r="C3258" s="212" t="s">
        <v>0</v>
      </c>
      <c r="D3258" s="213" t="s">
        <v>2672</v>
      </c>
    </row>
    <row r="3259" spans="1:4">
      <c r="A3259" s="211" t="str">
        <f t="shared" si="104"/>
        <v>Диагностика.TREI.BR12.CH_power_high1</v>
      </c>
      <c r="B3259" s="212">
        <v>11000</v>
      </c>
      <c r="C3259" s="212" t="s">
        <v>5</v>
      </c>
      <c r="D3259" s="213">
        <v>2147483680</v>
      </c>
    </row>
    <row r="3260" spans="1:4">
      <c r="A3260" s="19" t="str">
        <f t="shared" si="104"/>
        <v>Диагностика.TREI.BR12.CH_power_high1</v>
      </c>
      <c r="B3260" s="11">
        <v>7999</v>
      </c>
      <c r="C3260" s="11" t="s">
        <v>0</v>
      </c>
      <c r="D3260" s="20" t="str">
        <f>"#"&amp;$S$2&amp;"#"&amp;$T$2&amp;"\"&amp;$P$2&amp;"\CH_power_high1"</f>
        <v>#2#treiOPCDA.CoOPCserv.1\pcmaster\BR12\CH_power_high1</v>
      </c>
    </row>
    <row r="3261" spans="1:4">
      <c r="A3261" s="19" t="str">
        <f t="shared" si="104"/>
        <v>Диагностика.TREI.BR12.CH_power_high1</v>
      </c>
      <c r="B3261" s="11">
        <v>7998</v>
      </c>
      <c r="C3261" s="11" t="s">
        <v>6</v>
      </c>
      <c r="D3261" s="20">
        <v>1</v>
      </c>
    </row>
    <row r="3262" spans="1:4">
      <c r="A3262" s="19" t="str">
        <f t="shared" si="104"/>
        <v>Диагностика.TREI.BR12.CH_power_high1</v>
      </c>
      <c r="B3262" s="11">
        <v>101</v>
      </c>
      <c r="C3262" s="11" t="s">
        <v>0</v>
      </c>
      <c r="D3262" s="20" t="s">
        <v>2672</v>
      </c>
    </row>
    <row r="3263" spans="1:4">
      <c r="A3263" s="19" t="str">
        <f t="shared" si="104"/>
        <v>Диагностика.TREI.BR12.CH_power_high1</v>
      </c>
      <c r="B3263" s="11">
        <v>3</v>
      </c>
      <c r="C3263" s="11" t="s">
        <v>1</v>
      </c>
      <c r="D3263" s="20">
        <v>192</v>
      </c>
    </row>
    <row r="3264" spans="1:4">
      <c r="A3264" s="19" t="str">
        <f t="shared" si="104"/>
        <v>Диагностика.TREI.BR12.CH_power_high1</v>
      </c>
      <c r="B3264" s="11">
        <v>2</v>
      </c>
      <c r="C3264" s="11" t="s">
        <v>2</v>
      </c>
      <c r="D3264" s="20" t="s">
        <v>3</v>
      </c>
    </row>
    <row r="3265" spans="1:4">
      <c r="A3265" s="21" t="str">
        <f t="shared" si="104"/>
        <v>Диагностика.TREI.BR12.CH_power_high1</v>
      </c>
      <c r="B3265" s="8">
        <v>1</v>
      </c>
      <c r="C3265" s="8" t="s">
        <v>1</v>
      </c>
      <c r="D3265" s="22">
        <v>11</v>
      </c>
    </row>
    <row r="3266" spans="1:4">
      <c r="A3266" s="211" t="str">
        <f>$R$2&amp;"."&amp;$P$2&amp;".CH_power_low2"</f>
        <v>Диагностика.TREI.BR12.CH_power_low2</v>
      </c>
      <c r="B3266" s="212">
        <v>11154</v>
      </c>
      <c r="C3266" s="212" t="s">
        <v>4</v>
      </c>
      <c r="D3266" s="221">
        <f>$Q$7</f>
        <v>12</v>
      </c>
    </row>
    <row r="3267" spans="1:4">
      <c r="A3267" s="211" t="str">
        <f t="shared" ref="A3267:A3275" si="105">$R$2&amp;"."&amp;$P$2&amp;".CH_power_low2"</f>
        <v>Диагностика.TREI.BR12.CH_power_low2</v>
      </c>
      <c r="B3267" s="212">
        <v>11152</v>
      </c>
      <c r="C3267" s="212" t="s">
        <v>0</v>
      </c>
      <c r="D3267" s="220" t="str">
        <f>$R$7</f>
        <v>Неисправность</v>
      </c>
    </row>
    <row r="3268" spans="1:4">
      <c r="A3268" s="211" t="str">
        <f t="shared" si="105"/>
        <v>Диагностика.TREI.BR12.CH_power_low2</v>
      </c>
      <c r="B3268" s="212">
        <v>11150</v>
      </c>
      <c r="C3268" s="212" t="s">
        <v>0</v>
      </c>
      <c r="D3268" s="213" t="s">
        <v>2671</v>
      </c>
    </row>
    <row r="3269" spans="1:4">
      <c r="A3269" s="211" t="str">
        <f t="shared" si="105"/>
        <v>Диагностика.TREI.BR12.CH_power_low2</v>
      </c>
      <c r="B3269" s="212">
        <v>11000</v>
      </c>
      <c r="C3269" s="212" t="s">
        <v>5</v>
      </c>
      <c r="D3269" s="213">
        <v>2147483680</v>
      </c>
    </row>
    <row r="3270" spans="1:4">
      <c r="A3270" s="19" t="str">
        <f t="shared" si="105"/>
        <v>Диагностика.TREI.BR12.CH_power_low2</v>
      </c>
      <c r="B3270" s="11">
        <v>7999</v>
      </c>
      <c r="C3270" s="11" t="s">
        <v>0</v>
      </c>
      <c r="D3270" s="20" t="str">
        <f>"#"&amp;$S$2&amp;"#"&amp;$T$2&amp;"\"&amp;$P$2&amp;"\CH_power_low2"</f>
        <v>#2#treiOPCDA.CoOPCserv.1\pcmaster\BR12\CH_power_low2</v>
      </c>
    </row>
    <row r="3271" spans="1:4">
      <c r="A3271" s="19" t="str">
        <f t="shared" si="105"/>
        <v>Диагностика.TREI.BR12.CH_power_low2</v>
      </c>
      <c r="B3271" s="11">
        <v>7998</v>
      </c>
      <c r="C3271" s="11" t="s">
        <v>6</v>
      </c>
      <c r="D3271" s="20">
        <v>1</v>
      </c>
    </row>
    <row r="3272" spans="1:4">
      <c r="A3272" s="19" t="str">
        <f t="shared" si="105"/>
        <v>Диагностика.TREI.BR12.CH_power_low2</v>
      </c>
      <c r="B3272" s="11">
        <v>101</v>
      </c>
      <c r="C3272" s="11" t="s">
        <v>0</v>
      </c>
      <c r="D3272" s="20" t="s">
        <v>2673</v>
      </c>
    </row>
    <row r="3273" spans="1:4">
      <c r="A3273" s="19" t="str">
        <f t="shared" si="105"/>
        <v>Диагностика.TREI.BR12.CH_power_low2</v>
      </c>
      <c r="B3273" s="11">
        <v>3</v>
      </c>
      <c r="C3273" s="11" t="s">
        <v>1</v>
      </c>
      <c r="D3273" s="20">
        <v>192</v>
      </c>
    </row>
    <row r="3274" spans="1:4">
      <c r="A3274" s="19" t="str">
        <f t="shared" si="105"/>
        <v>Диагностика.TREI.BR12.CH_power_low2</v>
      </c>
      <c r="B3274" s="11">
        <v>2</v>
      </c>
      <c r="C3274" s="11" t="s">
        <v>2</v>
      </c>
      <c r="D3274" s="20" t="s">
        <v>3</v>
      </c>
    </row>
    <row r="3275" spans="1:4">
      <c r="A3275" s="21" t="str">
        <f t="shared" si="105"/>
        <v>Диагностика.TREI.BR12.CH_power_low2</v>
      </c>
      <c r="B3275" s="8">
        <v>1</v>
      </c>
      <c r="C3275" s="8" t="s">
        <v>1</v>
      </c>
      <c r="D3275" s="22">
        <v>11</v>
      </c>
    </row>
    <row r="3276" spans="1:4">
      <c r="A3276" s="211" t="str">
        <f>$R$2&amp;"."&amp;$P$2&amp;".CH_power_high2"</f>
        <v>Диагностика.TREI.BR12.CH_power_high2</v>
      </c>
      <c r="B3276" s="212">
        <v>11154</v>
      </c>
      <c r="C3276" s="212" t="s">
        <v>4</v>
      </c>
      <c r="D3276" s="221">
        <f>$Q$7</f>
        <v>12</v>
      </c>
    </row>
    <row r="3277" spans="1:4">
      <c r="A3277" s="211" t="str">
        <f t="shared" ref="A3277:A3285" si="106">$R$2&amp;"."&amp;$P$2&amp;".CH_power_high2"</f>
        <v>Диагностика.TREI.BR12.CH_power_high2</v>
      </c>
      <c r="B3277" s="212">
        <v>11152</v>
      </c>
      <c r="C3277" s="212" t="s">
        <v>0</v>
      </c>
      <c r="D3277" s="220" t="str">
        <f>$R$7</f>
        <v>Неисправность</v>
      </c>
    </row>
    <row r="3278" spans="1:4">
      <c r="A3278" s="211" t="str">
        <f t="shared" si="106"/>
        <v>Диагностика.TREI.BR12.CH_power_high2</v>
      </c>
      <c r="B3278" s="212">
        <v>11150</v>
      </c>
      <c r="C3278" s="212" t="s">
        <v>0</v>
      </c>
      <c r="D3278" s="213" t="s">
        <v>2671</v>
      </c>
    </row>
    <row r="3279" spans="1:4">
      <c r="A3279" s="211" t="str">
        <f t="shared" si="106"/>
        <v>Диагностика.TREI.BR12.CH_power_high2</v>
      </c>
      <c r="B3279" s="212">
        <v>11000</v>
      </c>
      <c r="C3279" s="212" t="s">
        <v>5</v>
      </c>
      <c r="D3279" s="213">
        <v>2147483680</v>
      </c>
    </row>
    <row r="3280" spans="1:4">
      <c r="A3280" s="19" t="str">
        <f t="shared" si="106"/>
        <v>Диагностика.TREI.BR12.CH_power_high2</v>
      </c>
      <c r="B3280" s="11">
        <v>7999</v>
      </c>
      <c r="C3280" s="11" t="s">
        <v>0</v>
      </c>
      <c r="D3280" s="20" t="str">
        <f>"#"&amp;$S$2&amp;"#"&amp;$T$2&amp;"\"&amp;$P$2&amp;"\CH_power_high2"</f>
        <v>#2#treiOPCDA.CoOPCserv.1\pcmaster\BR12\CH_power_high2</v>
      </c>
    </row>
    <row r="3281" spans="1:4">
      <c r="A3281" s="19" t="str">
        <f t="shared" si="106"/>
        <v>Диагностика.TREI.BR12.CH_power_high2</v>
      </c>
      <c r="B3281" s="11">
        <v>7998</v>
      </c>
      <c r="C3281" s="11" t="s">
        <v>6</v>
      </c>
      <c r="D3281" s="20">
        <v>1</v>
      </c>
    </row>
    <row r="3282" spans="1:4">
      <c r="A3282" s="19" t="str">
        <f t="shared" si="106"/>
        <v>Диагностика.TREI.BR12.CH_power_high2</v>
      </c>
      <c r="B3282" s="11">
        <v>101</v>
      </c>
      <c r="C3282" s="11" t="s">
        <v>0</v>
      </c>
      <c r="D3282" s="20" t="s">
        <v>2674</v>
      </c>
    </row>
    <row r="3283" spans="1:4">
      <c r="A3283" s="19" t="str">
        <f t="shared" si="106"/>
        <v>Диагностика.TREI.BR12.CH_power_high2</v>
      </c>
      <c r="B3283" s="11">
        <v>3</v>
      </c>
      <c r="C3283" s="11" t="s">
        <v>1</v>
      </c>
      <c r="D3283" s="20">
        <v>192</v>
      </c>
    </row>
    <row r="3284" spans="1:4">
      <c r="A3284" s="19" t="str">
        <f t="shared" si="106"/>
        <v>Диагностика.TREI.BR12.CH_power_high2</v>
      </c>
      <c r="B3284" s="11">
        <v>2</v>
      </c>
      <c r="C3284" s="11" t="s">
        <v>2</v>
      </c>
      <c r="D3284" s="20" t="s">
        <v>3</v>
      </c>
    </row>
    <row r="3285" spans="1:4">
      <c r="A3285" s="21" t="str">
        <f t="shared" si="106"/>
        <v>Диагностика.TREI.BR12.CH_power_high2</v>
      </c>
      <c r="B3285" s="8">
        <v>1</v>
      </c>
      <c r="C3285" s="8" t="s">
        <v>1</v>
      </c>
      <c r="D3285" s="22">
        <v>11</v>
      </c>
    </row>
    <row r="3286" spans="1:4">
      <c r="A3286" s="266" t="str">
        <f t="shared" ref="A3286:A3291" si="107">$R$2&amp;"."&amp;$P$2&amp;".Err_Canal_01"</f>
        <v>Диагностика.TREI.BR12.Err_Canal_01</v>
      </c>
      <c r="B3286" s="267">
        <v>7999</v>
      </c>
      <c r="C3286" s="267" t="s">
        <v>0</v>
      </c>
      <c r="D3286" s="268" t="str">
        <f>"#"&amp;$S$2&amp;"#"&amp;$T$2&amp;"\"&amp;$P$2&amp;"\Err_Canal_01"</f>
        <v>#2#treiOPCDA.CoOPCserv.1\pcmaster\BR12\Err_Canal_01</v>
      </c>
    </row>
    <row r="3287" spans="1:4">
      <c r="A3287" s="269" t="str">
        <f t="shared" si="107"/>
        <v>Диагностика.TREI.BR12.Err_Canal_01</v>
      </c>
      <c r="B3287" s="270">
        <v>7998</v>
      </c>
      <c r="C3287" s="270" t="s">
        <v>6</v>
      </c>
      <c r="D3287" s="271">
        <v>1</v>
      </c>
    </row>
    <row r="3288" spans="1:4">
      <c r="A3288" s="269" t="str">
        <f t="shared" si="107"/>
        <v>Диагностика.TREI.BR12.Err_Canal_01</v>
      </c>
      <c r="B3288" s="270">
        <v>101</v>
      </c>
      <c r="C3288" s="270" t="s">
        <v>0</v>
      </c>
      <c r="D3288" s="271" t="s">
        <v>1442</v>
      </c>
    </row>
    <row r="3289" spans="1:4">
      <c r="A3289" s="269" t="str">
        <f t="shared" si="107"/>
        <v>Диагностика.TREI.BR12.Err_Canal_01</v>
      </c>
      <c r="B3289" s="270">
        <v>3</v>
      </c>
      <c r="C3289" s="270" t="s">
        <v>1</v>
      </c>
      <c r="D3289" s="271">
        <v>192</v>
      </c>
    </row>
    <row r="3290" spans="1:4">
      <c r="A3290" s="269" t="str">
        <f t="shared" si="107"/>
        <v>Диагностика.TREI.BR12.Err_Canal_01</v>
      </c>
      <c r="B3290" s="270">
        <v>2</v>
      </c>
      <c r="C3290" s="270" t="s">
        <v>6</v>
      </c>
      <c r="D3290" s="271">
        <v>0</v>
      </c>
    </row>
    <row r="3291" spans="1:4">
      <c r="A3291" s="272" t="str">
        <f t="shared" si="107"/>
        <v>Диагностика.TREI.BR12.Err_Canal_01</v>
      </c>
      <c r="B3291" s="273">
        <v>1</v>
      </c>
      <c r="C3291" s="273" t="s">
        <v>1</v>
      </c>
      <c r="D3291" s="274">
        <v>3</v>
      </c>
    </row>
    <row r="3292" spans="1:4">
      <c r="A3292" s="266" t="str">
        <f t="shared" ref="A3292:A3297" si="108">$R$2&amp;"."&amp;$P$2&amp;".Err_Canal_02"</f>
        <v>Диагностика.TREI.BR12.Err_Canal_02</v>
      </c>
      <c r="B3292" s="267">
        <v>7999</v>
      </c>
      <c r="C3292" s="267" t="s">
        <v>0</v>
      </c>
      <c r="D3292" s="268" t="str">
        <f>"#"&amp;$S$2&amp;"#"&amp;$T$2&amp;"\"&amp;$P$2&amp;"\Err_Canal_02"</f>
        <v>#2#treiOPCDA.CoOPCserv.1\pcmaster\BR12\Err_Canal_02</v>
      </c>
    </row>
    <row r="3293" spans="1:4">
      <c r="A3293" s="269" t="str">
        <f t="shared" si="108"/>
        <v>Диагностика.TREI.BR12.Err_Canal_02</v>
      </c>
      <c r="B3293" s="270">
        <v>7998</v>
      </c>
      <c r="C3293" s="270" t="s">
        <v>6</v>
      </c>
      <c r="D3293" s="271">
        <v>1</v>
      </c>
    </row>
    <row r="3294" spans="1:4">
      <c r="A3294" s="269" t="str">
        <f t="shared" si="108"/>
        <v>Диагностика.TREI.BR12.Err_Canal_02</v>
      </c>
      <c r="B3294" s="270">
        <v>101</v>
      </c>
      <c r="C3294" s="270" t="s">
        <v>0</v>
      </c>
      <c r="D3294" s="271" t="s">
        <v>1443</v>
      </c>
    </row>
    <row r="3295" spans="1:4">
      <c r="A3295" s="269" t="str">
        <f t="shared" si="108"/>
        <v>Диагностика.TREI.BR12.Err_Canal_02</v>
      </c>
      <c r="B3295" s="270">
        <v>3</v>
      </c>
      <c r="C3295" s="270" t="s">
        <v>1</v>
      </c>
      <c r="D3295" s="271">
        <v>192</v>
      </c>
    </row>
    <row r="3296" spans="1:4">
      <c r="A3296" s="269" t="str">
        <f t="shared" si="108"/>
        <v>Диагностика.TREI.BR12.Err_Canal_02</v>
      </c>
      <c r="B3296" s="270">
        <v>2</v>
      </c>
      <c r="C3296" s="270" t="s">
        <v>6</v>
      </c>
      <c r="D3296" s="271">
        <v>0</v>
      </c>
    </row>
    <row r="3297" spans="1:4">
      <c r="A3297" s="272" t="str">
        <f t="shared" si="108"/>
        <v>Диагностика.TREI.BR12.Err_Canal_02</v>
      </c>
      <c r="B3297" s="273">
        <v>1</v>
      </c>
      <c r="C3297" s="273" t="s">
        <v>1</v>
      </c>
      <c r="D3297" s="274">
        <v>3</v>
      </c>
    </row>
    <row r="3298" spans="1:4">
      <c r="A3298" s="266" t="str">
        <f t="shared" ref="A3298:A3303" si="109">$R$2&amp;"."&amp;$P$2&amp;".Err_Canal_03"</f>
        <v>Диагностика.TREI.BR12.Err_Canal_03</v>
      </c>
      <c r="B3298" s="267">
        <v>7999</v>
      </c>
      <c r="C3298" s="267" t="s">
        <v>0</v>
      </c>
      <c r="D3298" s="268" t="str">
        <f>"#"&amp;$S$2&amp;"#"&amp;$T$2&amp;"\"&amp;$P$2&amp;"\Err_Canal_03"</f>
        <v>#2#treiOPCDA.CoOPCserv.1\pcmaster\BR12\Err_Canal_03</v>
      </c>
    </row>
    <row r="3299" spans="1:4">
      <c r="A3299" s="269" t="str">
        <f t="shared" si="109"/>
        <v>Диагностика.TREI.BR12.Err_Canal_03</v>
      </c>
      <c r="B3299" s="270">
        <v>7998</v>
      </c>
      <c r="C3299" s="270" t="s">
        <v>6</v>
      </c>
      <c r="D3299" s="271">
        <v>1</v>
      </c>
    </row>
    <row r="3300" spans="1:4">
      <c r="A3300" s="269" t="str">
        <f t="shared" si="109"/>
        <v>Диагностика.TREI.BR12.Err_Canal_03</v>
      </c>
      <c r="B3300" s="270">
        <v>101</v>
      </c>
      <c r="C3300" s="270" t="s">
        <v>0</v>
      </c>
      <c r="D3300" s="271" t="s">
        <v>1444</v>
      </c>
    </row>
    <row r="3301" spans="1:4">
      <c r="A3301" s="269" t="str">
        <f t="shared" si="109"/>
        <v>Диагностика.TREI.BR12.Err_Canal_03</v>
      </c>
      <c r="B3301" s="270">
        <v>3</v>
      </c>
      <c r="C3301" s="270" t="s">
        <v>1</v>
      </c>
      <c r="D3301" s="271">
        <v>192</v>
      </c>
    </row>
    <row r="3302" spans="1:4">
      <c r="A3302" s="269" t="str">
        <f t="shared" si="109"/>
        <v>Диагностика.TREI.BR12.Err_Canal_03</v>
      </c>
      <c r="B3302" s="270">
        <v>2</v>
      </c>
      <c r="C3302" s="270" t="s">
        <v>6</v>
      </c>
      <c r="D3302" s="271">
        <v>0</v>
      </c>
    </row>
    <row r="3303" spans="1:4">
      <c r="A3303" s="272" t="str">
        <f t="shared" si="109"/>
        <v>Диагностика.TREI.BR12.Err_Canal_03</v>
      </c>
      <c r="B3303" s="273">
        <v>1</v>
      </c>
      <c r="C3303" s="273" t="s">
        <v>1</v>
      </c>
      <c r="D3303" s="274">
        <v>3</v>
      </c>
    </row>
    <row r="3304" spans="1:4">
      <c r="A3304" s="266" t="str">
        <f t="shared" ref="A3304:A3309" si="110">$R$2&amp;"."&amp;$P$2&amp;".Err_Canal_04"</f>
        <v>Диагностика.TREI.BR12.Err_Canal_04</v>
      </c>
      <c r="B3304" s="267">
        <v>7999</v>
      </c>
      <c r="C3304" s="267" t="s">
        <v>0</v>
      </c>
      <c r="D3304" s="268" t="str">
        <f>"#"&amp;$S$2&amp;"#"&amp;$T$2&amp;"\"&amp;$P$2&amp;"\Err_Canal_04"</f>
        <v>#2#treiOPCDA.CoOPCserv.1\pcmaster\BR12\Err_Canal_04</v>
      </c>
    </row>
    <row r="3305" spans="1:4">
      <c r="A3305" s="269" t="str">
        <f t="shared" si="110"/>
        <v>Диагностика.TREI.BR12.Err_Canal_04</v>
      </c>
      <c r="B3305" s="270">
        <v>7998</v>
      </c>
      <c r="C3305" s="270" t="s">
        <v>6</v>
      </c>
      <c r="D3305" s="271">
        <v>1</v>
      </c>
    </row>
    <row r="3306" spans="1:4">
      <c r="A3306" s="269" t="str">
        <f t="shared" si="110"/>
        <v>Диагностика.TREI.BR12.Err_Canal_04</v>
      </c>
      <c r="B3306" s="270">
        <v>101</v>
      </c>
      <c r="C3306" s="270" t="s">
        <v>0</v>
      </c>
      <c r="D3306" s="271" t="s">
        <v>1445</v>
      </c>
    </row>
    <row r="3307" spans="1:4">
      <c r="A3307" s="269" t="str">
        <f t="shared" si="110"/>
        <v>Диагностика.TREI.BR12.Err_Canal_04</v>
      </c>
      <c r="B3307" s="270">
        <v>3</v>
      </c>
      <c r="C3307" s="270" t="s">
        <v>1</v>
      </c>
      <c r="D3307" s="271">
        <v>192</v>
      </c>
    </row>
    <row r="3308" spans="1:4">
      <c r="A3308" s="269" t="str">
        <f t="shared" si="110"/>
        <v>Диагностика.TREI.BR12.Err_Canal_04</v>
      </c>
      <c r="B3308" s="270">
        <v>2</v>
      </c>
      <c r="C3308" s="270" t="s">
        <v>6</v>
      </c>
      <c r="D3308" s="271">
        <v>0</v>
      </c>
    </row>
    <row r="3309" spans="1:4">
      <c r="A3309" s="272" t="str">
        <f t="shared" si="110"/>
        <v>Диагностика.TREI.BR12.Err_Canal_04</v>
      </c>
      <c r="B3309" s="273">
        <v>1</v>
      </c>
      <c r="C3309" s="273" t="s">
        <v>1</v>
      </c>
      <c r="D3309" s="274">
        <v>3</v>
      </c>
    </row>
    <row r="3310" spans="1:4">
      <c r="A3310" s="266" t="str">
        <f t="shared" ref="A3310:A3315" si="111">$R$2&amp;"."&amp;$P$2&amp;".Err_Canal_05"</f>
        <v>Диагностика.TREI.BR12.Err_Canal_05</v>
      </c>
      <c r="B3310" s="267">
        <v>7999</v>
      </c>
      <c r="C3310" s="267" t="s">
        <v>0</v>
      </c>
      <c r="D3310" s="268" t="str">
        <f>"#"&amp;$S$2&amp;"#"&amp;$T$2&amp;"\"&amp;$P$2&amp;"\Err_Canal_05"</f>
        <v>#2#treiOPCDA.CoOPCserv.1\pcmaster\BR12\Err_Canal_05</v>
      </c>
    </row>
    <row r="3311" spans="1:4">
      <c r="A3311" s="269" t="str">
        <f t="shared" si="111"/>
        <v>Диагностика.TREI.BR12.Err_Canal_05</v>
      </c>
      <c r="B3311" s="270">
        <v>7998</v>
      </c>
      <c r="C3311" s="270" t="s">
        <v>6</v>
      </c>
      <c r="D3311" s="271">
        <v>1</v>
      </c>
    </row>
    <row r="3312" spans="1:4">
      <c r="A3312" s="269" t="str">
        <f t="shared" si="111"/>
        <v>Диагностика.TREI.BR12.Err_Canal_05</v>
      </c>
      <c r="B3312" s="270">
        <v>101</v>
      </c>
      <c r="C3312" s="270" t="s">
        <v>0</v>
      </c>
      <c r="D3312" s="271" t="s">
        <v>1446</v>
      </c>
    </row>
    <row r="3313" spans="1:4">
      <c r="A3313" s="269" t="str">
        <f t="shared" si="111"/>
        <v>Диагностика.TREI.BR12.Err_Canal_05</v>
      </c>
      <c r="B3313" s="270">
        <v>3</v>
      </c>
      <c r="C3313" s="270" t="s">
        <v>1</v>
      </c>
      <c r="D3313" s="271">
        <v>192</v>
      </c>
    </row>
    <row r="3314" spans="1:4">
      <c r="A3314" s="269" t="str">
        <f t="shared" si="111"/>
        <v>Диагностика.TREI.BR12.Err_Canal_05</v>
      </c>
      <c r="B3314" s="270">
        <v>2</v>
      </c>
      <c r="C3314" s="270" t="s">
        <v>6</v>
      </c>
      <c r="D3314" s="271">
        <v>0</v>
      </c>
    </row>
    <row r="3315" spans="1:4">
      <c r="A3315" s="272" t="str">
        <f t="shared" si="111"/>
        <v>Диагностика.TREI.BR12.Err_Canal_05</v>
      </c>
      <c r="B3315" s="273">
        <v>1</v>
      </c>
      <c r="C3315" s="273" t="s">
        <v>1</v>
      </c>
      <c r="D3315" s="274">
        <v>3</v>
      </c>
    </row>
    <row r="3316" spans="1:4">
      <c r="A3316" s="266" t="str">
        <f t="shared" ref="A3316:A3321" si="112">$R$2&amp;"."&amp;$P$2&amp;".Err_Canal_06"</f>
        <v>Диагностика.TREI.BR12.Err_Canal_06</v>
      </c>
      <c r="B3316" s="267">
        <v>7999</v>
      </c>
      <c r="C3316" s="267" t="s">
        <v>0</v>
      </c>
      <c r="D3316" s="268" t="str">
        <f>"#"&amp;$S$2&amp;"#"&amp;$T$2&amp;"\"&amp;$P$2&amp;"\Err_Canal_06"</f>
        <v>#2#treiOPCDA.CoOPCserv.1\pcmaster\BR12\Err_Canal_06</v>
      </c>
    </row>
    <row r="3317" spans="1:4">
      <c r="A3317" s="269" t="str">
        <f t="shared" si="112"/>
        <v>Диагностика.TREI.BR12.Err_Canal_06</v>
      </c>
      <c r="B3317" s="270">
        <v>7998</v>
      </c>
      <c r="C3317" s="270" t="s">
        <v>6</v>
      </c>
      <c r="D3317" s="271">
        <v>1</v>
      </c>
    </row>
    <row r="3318" spans="1:4">
      <c r="A3318" s="269" t="str">
        <f t="shared" si="112"/>
        <v>Диагностика.TREI.BR12.Err_Canal_06</v>
      </c>
      <c r="B3318" s="270">
        <v>101</v>
      </c>
      <c r="C3318" s="270" t="s">
        <v>0</v>
      </c>
      <c r="D3318" s="271" t="s">
        <v>1447</v>
      </c>
    </row>
    <row r="3319" spans="1:4">
      <c r="A3319" s="269" t="str">
        <f t="shared" si="112"/>
        <v>Диагностика.TREI.BR12.Err_Canal_06</v>
      </c>
      <c r="B3319" s="270">
        <v>3</v>
      </c>
      <c r="C3319" s="270" t="s">
        <v>1</v>
      </c>
      <c r="D3319" s="271">
        <v>192</v>
      </c>
    </row>
    <row r="3320" spans="1:4">
      <c r="A3320" s="269" t="str">
        <f t="shared" si="112"/>
        <v>Диагностика.TREI.BR12.Err_Canal_06</v>
      </c>
      <c r="B3320" s="270">
        <v>2</v>
      </c>
      <c r="C3320" s="270" t="s">
        <v>6</v>
      </c>
      <c r="D3320" s="271">
        <v>0</v>
      </c>
    </row>
    <row r="3321" spans="1:4">
      <c r="A3321" s="272" t="str">
        <f t="shared" si="112"/>
        <v>Диагностика.TREI.BR12.Err_Canal_06</v>
      </c>
      <c r="B3321" s="273">
        <v>1</v>
      </c>
      <c r="C3321" s="273" t="s">
        <v>1</v>
      </c>
      <c r="D3321" s="274">
        <v>3</v>
      </c>
    </row>
    <row r="3322" spans="1:4">
      <c r="A3322" s="266" t="str">
        <f t="shared" ref="A3322:A3327" si="113">$R$2&amp;"."&amp;$P$2&amp;".Err_Canal_07"</f>
        <v>Диагностика.TREI.BR12.Err_Canal_07</v>
      </c>
      <c r="B3322" s="267">
        <v>7999</v>
      </c>
      <c r="C3322" s="267" t="s">
        <v>0</v>
      </c>
      <c r="D3322" s="268" t="str">
        <f>"#"&amp;$S$2&amp;"#"&amp;$T$2&amp;"\"&amp;$P$2&amp;"\Err_Canal_07"</f>
        <v>#2#treiOPCDA.CoOPCserv.1\pcmaster\BR12\Err_Canal_07</v>
      </c>
    </row>
    <row r="3323" spans="1:4">
      <c r="A3323" s="269" t="str">
        <f t="shared" si="113"/>
        <v>Диагностика.TREI.BR12.Err_Canal_07</v>
      </c>
      <c r="B3323" s="270">
        <v>7998</v>
      </c>
      <c r="C3323" s="270" t="s">
        <v>6</v>
      </c>
      <c r="D3323" s="271">
        <v>1</v>
      </c>
    </row>
    <row r="3324" spans="1:4">
      <c r="A3324" s="269" t="str">
        <f t="shared" si="113"/>
        <v>Диагностика.TREI.BR12.Err_Canal_07</v>
      </c>
      <c r="B3324" s="270">
        <v>101</v>
      </c>
      <c r="C3324" s="270" t="s">
        <v>0</v>
      </c>
      <c r="D3324" s="271" t="s">
        <v>1448</v>
      </c>
    </row>
    <row r="3325" spans="1:4">
      <c r="A3325" s="269" t="str">
        <f t="shared" si="113"/>
        <v>Диагностика.TREI.BR12.Err_Canal_07</v>
      </c>
      <c r="B3325" s="270">
        <v>3</v>
      </c>
      <c r="C3325" s="270" t="s">
        <v>1</v>
      </c>
      <c r="D3325" s="271">
        <v>192</v>
      </c>
    </row>
    <row r="3326" spans="1:4">
      <c r="A3326" s="269" t="str">
        <f t="shared" si="113"/>
        <v>Диагностика.TREI.BR12.Err_Canal_07</v>
      </c>
      <c r="B3326" s="270">
        <v>2</v>
      </c>
      <c r="C3326" s="270" t="s">
        <v>6</v>
      </c>
      <c r="D3326" s="271">
        <v>0</v>
      </c>
    </row>
    <row r="3327" spans="1:4">
      <c r="A3327" s="272" t="str">
        <f t="shared" si="113"/>
        <v>Диагностика.TREI.BR12.Err_Canal_07</v>
      </c>
      <c r="B3327" s="273">
        <v>1</v>
      </c>
      <c r="C3327" s="273" t="s">
        <v>1</v>
      </c>
      <c r="D3327" s="274">
        <v>3</v>
      </c>
    </row>
    <row r="3328" spans="1:4">
      <c r="A3328" s="266" t="str">
        <f t="shared" ref="A3328:A3333" si="114">$R$2&amp;"."&amp;$P$2&amp;".Err_Canal_08"</f>
        <v>Диагностика.TREI.BR12.Err_Canal_08</v>
      </c>
      <c r="B3328" s="267">
        <v>7999</v>
      </c>
      <c r="C3328" s="267" t="s">
        <v>0</v>
      </c>
      <c r="D3328" s="268" t="str">
        <f>"#"&amp;$S$2&amp;"#"&amp;$T$2&amp;"\"&amp;$P$2&amp;"\Err_Canal_08"</f>
        <v>#2#treiOPCDA.CoOPCserv.1\pcmaster\BR12\Err_Canal_08</v>
      </c>
    </row>
    <row r="3329" spans="1:4">
      <c r="A3329" s="269" t="str">
        <f t="shared" si="114"/>
        <v>Диагностика.TREI.BR12.Err_Canal_08</v>
      </c>
      <c r="B3329" s="270">
        <v>7998</v>
      </c>
      <c r="C3329" s="270" t="s">
        <v>6</v>
      </c>
      <c r="D3329" s="271">
        <v>1</v>
      </c>
    </row>
    <row r="3330" spans="1:4">
      <c r="A3330" s="269" t="str">
        <f t="shared" si="114"/>
        <v>Диагностика.TREI.BR12.Err_Canal_08</v>
      </c>
      <c r="B3330" s="270">
        <v>101</v>
      </c>
      <c r="C3330" s="270" t="s">
        <v>0</v>
      </c>
      <c r="D3330" s="271" t="s">
        <v>1449</v>
      </c>
    </row>
    <row r="3331" spans="1:4">
      <c r="A3331" s="269" t="str">
        <f t="shared" si="114"/>
        <v>Диагностика.TREI.BR12.Err_Canal_08</v>
      </c>
      <c r="B3331" s="270">
        <v>3</v>
      </c>
      <c r="C3331" s="270" t="s">
        <v>1</v>
      </c>
      <c r="D3331" s="271">
        <v>192</v>
      </c>
    </row>
    <row r="3332" spans="1:4">
      <c r="A3332" s="269" t="str">
        <f t="shared" si="114"/>
        <v>Диагностика.TREI.BR12.Err_Canal_08</v>
      </c>
      <c r="B3332" s="270">
        <v>2</v>
      </c>
      <c r="C3332" s="270" t="s">
        <v>6</v>
      </c>
      <c r="D3332" s="271">
        <v>0</v>
      </c>
    </row>
    <row r="3333" spans="1:4">
      <c r="A3333" s="272" t="str">
        <f t="shared" si="114"/>
        <v>Диагностика.TREI.BR12.Err_Canal_08</v>
      </c>
      <c r="B3333" s="273">
        <v>1</v>
      </c>
      <c r="C3333" s="273" t="s">
        <v>1</v>
      </c>
      <c r="D3333" s="274">
        <v>3</v>
      </c>
    </row>
    <row r="3334" spans="1:4">
      <c r="A3334" s="521" t="s">
        <v>1881</v>
      </c>
      <c r="B3334" s="522"/>
      <c r="C3334" s="522"/>
      <c r="D3334" s="523"/>
    </row>
    <row r="3335" spans="1:4">
      <c r="A3335" s="217" t="str">
        <f>$R$2&amp;"."&amp;$P$2&amp;".Err_timeout"</f>
        <v>Диагностика.TREI.BR12.Err_timeout</v>
      </c>
      <c r="B3335" s="218">
        <v>11154</v>
      </c>
      <c r="C3335" s="218" t="s">
        <v>4</v>
      </c>
      <c r="D3335" s="219">
        <f>$Q$7</f>
        <v>12</v>
      </c>
    </row>
    <row r="3336" spans="1:4">
      <c r="A3336" s="211" t="str">
        <f t="shared" ref="A3336:A3344" si="115">$R$2&amp;"."&amp;$P$2&amp;".Err_timeout"</f>
        <v>Диагностика.TREI.BR12.Err_timeout</v>
      </c>
      <c r="B3336" s="212">
        <v>11150</v>
      </c>
      <c r="C3336" s="212" t="s">
        <v>0</v>
      </c>
      <c r="D3336" s="213" t="s">
        <v>1882</v>
      </c>
    </row>
    <row r="3337" spans="1:4">
      <c r="A3337" s="211" t="str">
        <f t="shared" si="115"/>
        <v>Диагностика.TREI.BR12.Err_timeout</v>
      </c>
      <c r="B3337" s="212">
        <v>11152</v>
      </c>
      <c r="C3337" s="212" t="s">
        <v>0</v>
      </c>
      <c r="D3337" s="220" t="str">
        <f>$R$7</f>
        <v>Неисправность</v>
      </c>
    </row>
    <row r="3338" spans="1:4">
      <c r="A3338" s="211" t="str">
        <f t="shared" si="115"/>
        <v>Диагностика.TREI.BR12.Err_timeout</v>
      </c>
      <c r="B3338" s="212">
        <v>11000</v>
      </c>
      <c r="C3338" s="212" t="s">
        <v>5</v>
      </c>
      <c r="D3338" s="213">
        <v>2147483680</v>
      </c>
    </row>
    <row r="3339" spans="1:4">
      <c r="A3339" s="19" t="str">
        <f t="shared" si="115"/>
        <v>Диагностика.TREI.BR12.Err_timeout</v>
      </c>
      <c r="B3339" s="11">
        <v>7999</v>
      </c>
      <c r="C3339" s="11" t="s">
        <v>0</v>
      </c>
      <c r="D3339" s="20" t="str">
        <f>"#"&amp;$S$2&amp;"#"&amp;$T$2&amp;"\"&amp;$P$2&amp;"\Err_timeout"</f>
        <v>#2#treiOPCDA.CoOPCserv.1\pcmaster\BR12\Err_timeout</v>
      </c>
    </row>
    <row r="3340" spans="1:4">
      <c r="A3340" s="19" t="str">
        <f t="shared" si="115"/>
        <v>Диагностика.TREI.BR12.Err_timeout</v>
      </c>
      <c r="B3340" s="11">
        <v>7998</v>
      </c>
      <c r="C3340" s="11" t="s">
        <v>6</v>
      </c>
      <c r="D3340" s="20">
        <v>1</v>
      </c>
    </row>
    <row r="3341" spans="1:4">
      <c r="A3341" s="19" t="str">
        <f t="shared" si="115"/>
        <v>Диагностика.TREI.BR12.Err_timeout</v>
      </c>
      <c r="B3341" s="11">
        <v>101</v>
      </c>
      <c r="C3341" s="11" t="s">
        <v>0</v>
      </c>
      <c r="D3341" s="20" t="s">
        <v>1882</v>
      </c>
    </row>
    <row r="3342" spans="1:4">
      <c r="A3342" s="19" t="str">
        <f t="shared" si="115"/>
        <v>Диагностика.TREI.BR12.Err_timeout</v>
      </c>
      <c r="B3342" s="11">
        <v>3</v>
      </c>
      <c r="C3342" s="11" t="s">
        <v>1</v>
      </c>
      <c r="D3342" s="20">
        <v>192</v>
      </c>
    </row>
    <row r="3343" spans="1:4">
      <c r="A3343" s="19" t="str">
        <f t="shared" si="115"/>
        <v>Диагностика.TREI.BR12.Err_timeout</v>
      </c>
      <c r="B3343" s="11">
        <v>2</v>
      </c>
      <c r="C3343" s="11" t="s">
        <v>2</v>
      </c>
      <c r="D3343" s="20" t="s">
        <v>3</v>
      </c>
    </row>
    <row r="3344" spans="1:4">
      <c r="A3344" s="21" t="str">
        <f t="shared" si="115"/>
        <v>Диагностика.TREI.BR12.Err_timeout</v>
      </c>
      <c r="B3344" s="8">
        <v>1</v>
      </c>
      <c r="C3344" s="8" t="s">
        <v>1</v>
      </c>
      <c r="D3344" s="22">
        <v>11</v>
      </c>
    </row>
    <row r="3345" spans="1:4">
      <c r="A3345" s="217" t="str">
        <f>$R$2&amp;"."&amp;$P$2&amp;".Err_send"</f>
        <v>Диагностика.TREI.BR12.Err_send</v>
      </c>
      <c r="B3345" s="218">
        <v>11154</v>
      </c>
      <c r="C3345" s="218" t="s">
        <v>4</v>
      </c>
      <c r="D3345" s="219">
        <f>$Q$7</f>
        <v>12</v>
      </c>
    </row>
    <row r="3346" spans="1:4">
      <c r="A3346" s="211" t="str">
        <f t="shared" ref="A3346:A3354" si="116">$R$2&amp;"."&amp;$P$2&amp;".Err_send"</f>
        <v>Диагностика.TREI.BR12.Err_send</v>
      </c>
      <c r="B3346" s="212">
        <v>11150</v>
      </c>
      <c r="C3346" s="212" t="s">
        <v>0</v>
      </c>
      <c r="D3346" s="213" t="s">
        <v>1886</v>
      </c>
    </row>
    <row r="3347" spans="1:4">
      <c r="A3347" s="211" t="str">
        <f t="shared" si="116"/>
        <v>Диагностика.TREI.BR12.Err_send</v>
      </c>
      <c r="B3347" s="212">
        <v>11152</v>
      </c>
      <c r="C3347" s="212" t="s">
        <v>0</v>
      </c>
      <c r="D3347" s="220" t="str">
        <f>$R$7</f>
        <v>Неисправность</v>
      </c>
    </row>
    <row r="3348" spans="1:4">
      <c r="A3348" s="211" t="str">
        <f t="shared" si="116"/>
        <v>Диагностика.TREI.BR12.Err_send</v>
      </c>
      <c r="B3348" s="212">
        <v>11000</v>
      </c>
      <c r="C3348" s="212" t="s">
        <v>5</v>
      </c>
      <c r="D3348" s="213">
        <v>2147483680</v>
      </c>
    </row>
    <row r="3349" spans="1:4">
      <c r="A3349" s="19" t="str">
        <f t="shared" si="116"/>
        <v>Диагностика.TREI.BR12.Err_send</v>
      </c>
      <c r="B3349" s="11">
        <v>7999</v>
      </c>
      <c r="C3349" s="11" t="s">
        <v>0</v>
      </c>
      <c r="D3349" s="20" t="str">
        <f>"#"&amp;$S$2&amp;"#"&amp;$T$2&amp;"\"&amp;$P$2&amp;"\Err_send"</f>
        <v>#2#treiOPCDA.CoOPCserv.1\pcmaster\BR12\Err_send</v>
      </c>
    </row>
    <row r="3350" spans="1:4">
      <c r="A3350" s="19" t="str">
        <f t="shared" si="116"/>
        <v>Диагностика.TREI.BR12.Err_send</v>
      </c>
      <c r="B3350" s="11">
        <v>7998</v>
      </c>
      <c r="C3350" s="11" t="s">
        <v>6</v>
      </c>
      <c r="D3350" s="20">
        <v>1</v>
      </c>
    </row>
    <row r="3351" spans="1:4">
      <c r="A3351" s="19" t="str">
        <f t="shared" si="116"/>
        <v>Диагностика.TREI.BR12.Err_send</v>
      </c>
      <c r="B3351" s="11">
        <v>101</v>
      </c>
      <c r="C3351" s="11" t="s">
        <v>0</v>
      </c>
      <c r="D3351" s="20" t="s">
        <v>1886</v>
      </c>
    </row>
    <row r="3352" spans="1:4">
      <c r="A3352" s="19" t="str">
        <f t="shared" si="116"/>
        <v>Диагностика.TREI.BR12.Err_send</v>
      </c>
      <c r="B3352" s="11">
        <v>3</v>
      </c>
      <c r="C3352" s="11" t="s">
        <v>1</v>
      </c>
      <c r="D3352" s="20">
        <v>192</v>
      </c>
    </row>
    <row r="3353" spans="1:4">
      <c r="A3353" s="19" t="str">
        <f t="shared" si="116"/>
        <v>Диагностика.TREI.BR12.Err_send</v>
      </c>
      <c r="B3353" s="11">
        <v>2</v>
      </c>
      <c r="C3353" s="11" t="s">
        <v>2</v>
      </c>
      <c r="D3353" s="20" t="s">
        <v>3</v>
      </c>
    </row>
    <row r="3354" spans="1:4">
      <c r="A3354" s="21" t="str">
        <f t="shared" si="116"/>
        <v>Диагностика.TREI.BR12.Err_send</v>
      </c>
      <c r="B3354" s="8">
        <v>1</v>
      </c>
      <c r="C3354" s="8" t="s">
        <v>1</v>
      </c>
      <c r="D3354" s="22">
        <v>11</v>
      </c>
    </row>
    <row r="3355" spans="1:4">
      <c r="A3355" s="217" t="str">
        <f>$R$2&amp;"."&amp;$P$2&amp;".Err_recv"</f>
        <v>Диагностика.TREI.BR12.Err_recv</v>
      </c>
      <c r="B3355" s="218">
        <v>11154</v>
      </c>
      <c r="C3355" s="218" t="s">
        <v>4</v>
      </c>
      <c r="D3355" s="219">
        <f>$Q$7</f>
        <v>12</v>
      </c>
    </row>
    <row r="3356" spans="1:4">
      <c r="A3356" s="211" t="str">
        <f t="shared" ref="A3356:A3364" si="117">$R$2&amp;"."&amp;$P$2&amp;".Err_recv"</f>
        <v>Диагностика.TREI.BR12.Err_recv</v>
      </c>
      <c r="B3356" s="212">
        <v>11150</v>
      </c>
      <c r="C3356" s="212" t="s">
        <v>0</v>
      </c>
      <c r="D3356" s="213" t="s">
        <v>1885</v>
      </c>
    </row>
    <row r="3357" spans="1:4">
      <c r="A3357" s="211" t="str">
        <f t="shared" si="117"/>
        <v>Диагностика.TREI.BR12.Err_recv</v>
      </c>
      <c r="B3357" s="212">
        <v>11152</v>
      </c>
      <c r="C3357" s="212" t="s">
        <v>0</v>
      </c>
      <c r="D3357" s="220" t="str">
        <f>$R$7</f>
        <v>Неисправность</v>
      </c>
    </row>
    <row r="3358" spans="1:4">
      <c r="A3358" s="211" t="str">
        <f t="shared" si="117"/>
        <v>Диагностика.TREI.BR12.Err_recv</v>
      </c>
      <c r="B3358" s="212">
        <v>11000</v>
      </c>
      <c r="C3358" s="212" t="s">
        <v>5</v>
      </c>
      <c r="D3358" s="213">
        <v>2147483680</v>
      </c>
    </row>
    <row r="3359" spans="1:4">
      <c r="A3359" s="19" t="str">
        <f t="shared" si="117"/>
        <v>Диагностика.TREI.BR12.Err_recv</v>
      </c>
      <c r="B3359" s="11">
        <v>7999</v>
      </c>
      <c r="C3359" s="11" t="s">
        <v>0</v>
      </c>
      <c r="D3359" s="20" t="str">
        <f>"#"&amp;$S$2&amp;"#"&amp;$T$2&amp;"\"&amp;$P$2&amp;"\Err_recv"</f>
        <v>#2#treiOPCDA.CoOPCserv.1\pcmaster\BR12\Err_recv</v>
      </c>
    </row>
    <row r="3360" spans="1:4">
      <c r="A3360" s="19" t="str">
        <f t="shared" si="117"/>
        <v>Диагностика.TREI.BR12.Err_recv</v>
      </c>
      <c r="B3360" s="11">
        <v>7998</v>
      </c>
      <c r="C3360" s="11" t="s">
        <v>6</v>
      </c>
      <c r="D3360" s="20">
        <v>1</v>
      </c>
    </row>
    <row r="3361" spans="1:4">
      <c r="A3361" s="19" t="str">
        <f t="shared" si="117"/>
        <v>Диагностика.TREI.BR12.Err_recv</v>
      </c>
      <c r="B3361" s="11">
        <v>101</v>
      </c>
      <c r="C3361" s="11" t="s">
        <v>0</v>
      </c>
      <c r="D3361" s="20" t="s">
        <v>1885</v>
      </c>
    </row>
    <row r="3362" spans="1:4">
      <c r="A3362" s="19" t="str">
        <f t="shared" si="117"/>
        <v>Диагностика.TREI.BR12.Err_recv</v>
      </c>
      <c r="B3362" s="11">
        <v>3</v>
      </c>
      <c r="C3362" s="11" t="s">
        <v>1</v>
      </c>
      <c r="D3362" s="20">
        <v>192</v>
      </c>
    </row>
    <row r="3363" spans="1:4">
      <c r="A3363" s="19" t="str">
        <f t="shared" si="117"/>
        <v>Диагностика.TREI.BR12.Err_recv</v>
      </c>
      <c r="B3363" s="11">
        <v>2</v>
      </c>
      <c r="C3363" s="11" t="s">
        <v>2</v>
      </c>
      <c r="D3363" s="20" t="s">
        <v>3</v>
      </c>
    </row>
    <row r="3364" spans="1:4">
      <c r="A3364" s="21" t="str">
        <f t="shared" si="117"/>
        <v>Диагностика.TREI.BR12.Err_recv</v>
      </c>
      <c r="B3364" s="8">
        <v>1</v>
      </c>
      <c r="C3364" s="8" t="s">
        <v>1</v>
      </c>
      <c r="D3364" s="22">
        <v>11</v>
      </c>
    </row>
    <row r="3365" spans="1:4">
      <c r="A3365" s="217" t="str">
        <f>$R$2&amp;"."&amp;$P$2&amp;".Err_crc"</f>
        <v>Диагностика.TREI.BR12.Err_crc</v>
      </c>
      <c r="B3365" s="218">
        <v>11154</v>
      </c>
      <c r="C3365" s="218" t="s">
        <v>4</v>
      </c>
      <c r="D3365" s="219">
        <f>$Q$7</f>
        <v>12</v>
      </c>
    </row>
    <row r="3366" spans="1:4">
      <c r="A3366" s="211" t="str">
        <f t="shared" ref="A3366:A3374" si="118">$R$2&amp;"."&amp;$P$2&amp;".Err_crc"</f>
        <v>Диагностика.TREI.BR12.Err_crc</v>
      </c>
      <c r="B3366" s="212">
        <v>11150</v>
      </c>
      <c r="C3366" s="212" t="s">
        <v>0</v>
      </c>
      <c r="D3366" s="213" t="s">
        <v>1884</v>
      </c>
    </row>
    <row r="3367" spans="1:4">
      <c r="A3367" s="211" t="str">
        <f t="shared" si="118"/>
        <v>Диагностика.TREI.BR12.Err_crc</v>
      </c>
      <c r="B3367" s="212">
        <v>11152</v>
      </c>
      <c r="C3367" s="212" t="s">
        <v>0</v>
      </c>
      <c r="D3367" s="220" t="str">
        <f>$R$7</f>
        <v>Неисправность</v>
      </c>
    </row>
    <row r="3368" spans="1:4">
      <c r="A3368" s="211" t="str">
        <f t="shared" si="118"/>
        <v>Диагностика.TREI.BR12.Err_crc</v>
      </c>
      <c r="B3368" s="212">
        <v>11000</v>
      </c>
      <c r="C3368" s="212" t="s">
        <v>5</v>
      </c>
      <c r="D3368" s="213">
        <v>2147483680</v>
      </c>
    </row>
    <row r="3369" spans="1:4">
      <c r="A3369" s="19" t="str">
        <f t="shared" si="118"/>
        <v>Диагностика.TREI.BR12.Err_crc</v>
      </c>
      <c r="B3369" s="11">
        <v>7999</v>
      </c>
      <c r="C3369" s="11" t="s">
        <v>0</v>
      </c>
      <c r="D3369" s="20" t="str">
        <f>"#"&amp;$S$2&amp;"#"&amp;$T$2&amp;"\"&amp;$P$2&amp;"\Err_crc"</f>
        <v>#2#treiOPCDA.CoOPCserv.1\pcmaster\BR12\Err_crc</v>
      </c>
    </row>
    <row r="3370" spans="1:4">
      <c r="A3370" s="19" t="str">
        <f t="shared" si="118"/>
        <v>Диагностика.TREI.BR12.Err_crc</v>
      </c>
      <c r="B3370" s="11">
        <v>7998</v>
      </c>
      <c r="C3370" s="11" t="s">
        <v>6</v>
      </c>
      <c r="D3370" s="20">
        <v>1</v>
      </c>
    </row>
    <row r="3371" spans="1:4">
      <c r="A3371" s="19" t="str">
        <f t="shared" si="118"/>
        <v>Диагностика.TREI.BR12.Err_crc</v>
      </c>
      <c r="B3371" s="11">
        <v>101</v>
      </c>
      <c r="C3371" s="11" t="s">
        <v>0</v>
      </c>
      <c r="D3371" s="20" t="s">
        <v>1884</v>
      </c>
    </row>
    <row r="3372" spans="1:4">
      <c r="A3372" s="19" t="str">
        <f t="shared" si="118"/>
        <v>Диагностика.TREI.BR12.Err_crc</v>
      </c>
      <c r="B3372" s="11">
        <v>3</v>
      </c>
      <c r="C3372" s="11" t="s">
        <v>1</v>
      </c>
      <c r="D3372" s="20">
        <v>192</v>
      </c>
    </row>
    <row r="3373" spans="1:4">
      <c r="A3373" s="19" t="str">
        <f t="shared" si="118"/>
        <v>Диагностика.TREI.BR12.Err_crc</v>
      </c>
      <c r="B3373" s="11">
        <v>2</v>
      </c>
      <c r="C3373" s="11" t="s">
        <v>2</v>
      </c>
      <c r="D3373" s="20" t="s">
        <v>3</v>
      </c>
    </row>
    <row r="3374" spans="1:4">
      <c r="A3374" s="21" t="str">
        <f t="shared" si="118"/>
        <v>Диагностика.TREI.BR12.Err_crc</v>
      </c>
      <c r="B3374" s="8">
        <v>1</v>
      </c>
      <c r="C3374" s="8" t="s">
        <v>1</v>
      </c>
      <c r="D3374" s="22">
        <v>11</v>
      </c>
    </row>
    <row r="3375" spans="1:4">
      <c r="A3375" s="211" t="str">
        <f>$R$2&amp;"."&amp;$P$2&amp;".Err_uart"</f>
        <v>Диагностика.TREI.BR12.Err_uart</v>
      </c>
      <c r="B3375" s="212">
        <v>11154</v>
      </c>
      <c r="C3375" s="212" t="s">
        <v>4</v>
      </c>
      <c r="D3375" s="221">
        <f>$Q$7</f>
        <v>12</v>
      </c>
    </row>
    <row r="3376" spans="1:4">
      <c r="A3376" s="211" t="str">
        <f t="shared" ref="A3376:A3384" si="119">$R$2&amp;"."&amp;$P$2&amp;".Err_uart"</f>
        <v>Диагностика.TREI.BR12.Err_uart</v>
      </c>
      <c r="B3376" s="212">
        <v>11152</v>
      </c>
      <c r="C3376" s="212" t="s">
        <v>0</v>
      </c>
      <c r="D3376" s="220" t="str">
        <f>$R$7</f>
        <v>Неисправность</v>
      </c>
    </row>
    <row r="3377" spans="1:4">
      <c r="A3377" s="211" t="str">
        <f t="shared" si="119"/>
        <v>Диагностика.TREI.BR12.Err_uart</v>
      </c>
      <c r="B3377" s="212">
        <v>11150</v>
      </c>
      <c r="C3377" s="212" t="s">
        <v>0</v>
      </c>
      <c r="D3377" s="213" t="s">
        <v>1883</v>
      </c>
    </row>
    <row r="3378" spans="1:4">
      <c r="A3378" s="211" t="str">
        <f t="shared" si="119"/>
        <v>Диагностика.TREI.BR12.Err_uart</v>
      </c>
      <c r="B3378" s="212">
        <v>11000</v>
      </c>
      <c r="C3378" s="212" t="s">
        <v>5</v>
      </c>
      <c r="D3378" s="213">
        <v>2147483680</v>
      </c>
    </row>
    <row r="3379" spans="1:4">
      <c r="A3379" s="19" t="str">
        <f t="shared" si="119"/>
        <v>Диагностика.TREI.BR12.Err_uart</v>
      </c>
      <c r="B3379" s="11">
        <v>7999</v>
      </c>
      <c r="C3379" s="11" t="s">
        <v>0</v>
      </c>
      <c r="D3379" s="20" t="str">
        <f>"#"&amp;$S$2&amp;"#"&amp;$T$2&amp;"\"&amp;$P$2&amp;"\Err_uart"</f>
        <v>#2#treiOPCDA.CoOPCserv.1\pcmaster\BR12\Err_uart</v>
      </c>
    </row>
    <row r="3380" spans="1:4">
      <c r="A3380" s="19" t="str">
        <f t="shared" si="119"/>
        <v>Диагностика.TREI.BR12.Err_uart</v>
      </c>
      <c r="B3380" s="11">
        <v>7998</v>
      </c>
      <c r="C3380" s="11" t="s">
        <v>6</v>
      </c>
      <c r="D3380" s="20">
        <v>1</v>
      </c>
    </row>
    <row r="3381" spans="1:4">
      <c r="A3381" s="19" t="str">
        <f t="shared" si="119"/>
        <v>Диагностика.TREI.BR12.Err_uart</v>
      </c>
      <c r="B3381" s="11">
        <v>101</v>
      </c>
      <c r="C3381" s="11" t="s">
        <v>0</v>
      </c>
      <c r="D3381" s="20" t="s">
        <v>1883</v>
      </c>
    </row>
    <row r="3382" spans="1:4">
      <c r="A3382" s="19" t="str">
        <f t="shared" si="119"/>
        <v>Диагностика.TREI.BR12.Err_uart</v>
      </c>
      <c r="B3382" s="11">
        <v>3</v>
      </c>
      <c r="C3382" s="11" t="s">
        <v>1</v>
      </c>
      <c r="D3382" s="20">
        <v>192</v>
      </c>
    </row>
    <row r="3383" spans="1:4">
      <c r="A3383" s="19" t="str">
        <f t="shared" si="119"/>
        <v>Диагностика.TREI.BR12.Err_uart</v>
      </c>
      <c r="B3383" s="11">
        <v>2</v>
      </c>
      <c r="C3383" s="11" t="s">
        <v>2</v>
      </c>
      <c r="D3383" s="20" t="s">
        <v>3</v>
      </c>
    </row>
    <row r="3384" spans="1:4">
      <c r="A3384" s="21" t="str">
        <f t="shared" si="119"/>
        <v>Диагностика.TREI.BR12.Err_uart</v>
      </c>
      <c r="B3384" s="8">
        <v>1</v>
      </c>
      <c r="C3384" s="8" t="s">
        <v>1</v>
      </c>
      <c r="D3384" s="22">
        <v>11</v>
      </c>
    </row>
    <row r="3385" spans="1:4">
      <c r="A3385" s="211" t="str">
        <f t="shared" ref="A3385:A3394" si="120">$R$2&amp;"."&amp;$P$2&amp;".Err_line1"</f>
        <v>Диагностика.TREI.BR12.Err_line1</v>
      </c>
      <c r="B3385" s="212">
        <v>11154</v>
      </c>
      <c r="C3385" s="212" t="s">
        <v>4</v>
      </c>
      <c r="D3385" s="221">
        <f>$Q$7</f>
        <v>12</v>
      </c>
    </row>
    <row r="3386" spans="1:4">
      <c r="A3386" s="211" t="str">
        <f t="shared" si="120"/>
        <v>Диагностика.TREI.BR12.Err_line1</v>
      </c>
      <c r="B3386" s="212">
        <v>11152</v>
      </c>
      <c r="C3386" s="212" t="s">
        <v>0</v>
      </c>
      <c r="D3386" s="220" t="str">
        <f>$R$7</f>
        <v>Неисправность</v>
      </c>
    </row>
    <row r="3387" spans="1:4">
      <c r="A3387" s="211" t="str">
        <f t="shared" si="120"/>
        <v>Диагностика.TREI.BR12.Err_line1</v>
      </c>
      <c r="B3387" s="212">
        <v>11150</v>
      </c>
      <c r="C3387" s="212" t="s">
        <v>0</v>
      </c>
      <c r="D3387" s="213" t="s">
        <v>1375</v>
      </c>
    </row>
    <row r="3388" spans="1:4">
      <c r="A3388" s="211" t="str">
        <f t="shared" si="120"/>
        <v>Диагностика.TREI.BR12.Err_line1</v>
      </c>
      <c r="B3388" s="212">
        <v>11000</v>
      </c>
      <c r="C3388" s="212" t="s">
        <v>5</v>
      </c>
      <c r="D3388" s="213">
        <v>2147483680</v>
      </c>
    </row>
    <row r="3389" spans="1:4">
      <c r="A3389" s="19" t="str">
        <f t="shared" si="120"/>
        <v>Диагностика.TREI.BR12.Err_line1</v>
      </c>
      <c r="B3389" s="11">
        <v>7999</v>
      </c>
      <c r="C3389" s="11" t="s">
        <v>0</v>
      </c>
      <c r="D3389" s="20" t="str">
        <f>"#"&amp;$S$2&amp;"#"&amp;$T$2&amp;"\"&amp;$P$2&amp;"\Err_line1"</f>
        <v>#2#treiOPCDA.CoOPCserv.1\pcmaster\BR12\Err_line1</v>
      </c>
    </row>
    <row r="3390" spans="1:4">
      <c r="A3390" s="19" t="str">
        <f t="shared" si="120"/>
        <v>Диагностика.TREI.BR12.Err_line1</v>
      </c>
      <c r="B3390" s="11">
        <v>7998</v>
      </c>
      <c r="C3390" s="11" t="s">
        <v>6</v>
      </c>
      <c r="D3390" s="20">
        <v>1</v>
      </c>
    </row>
    <row r="3391" spans="1:4">
      <c r="A3391" s="19" t="str">
        <f t="shared" si="120"/>
        <v>Диагностика.TREI.BR12.Err_line1</v>
      </c>
      <c r="B3391" s="11">
        <v>101</v>
      </c>
      <c r="C3391" s="11" t="s">
        <v>0</v>
      </c>
      <c r="D3391" s="20" t="s">
        <v>1375</v>
      </c>
    </row>
    <row r="3392" spans="1:4">
      <c r="A3392" s="19" t="str">
        <f t="shared" si="120"/>
        <v>Диагностика.TREI.BR12.Err_line1</v>
      </c>
      <c r="B3392" s="11">
        <v>3</v>
      </c>
      <c r="C3392" s="11" t="s">
        <v>1</v>
      </c>
      <c r="D3392" s="20">
        <v>192</v>
      </c>
    </row>
    <row r="3393" spans="1:4">
      <c r="A3393" s="19" t="str">
        <f t="shared" si="120"/>
        <v>Диагностика.TREI.BR12.Err_line1</v>
      </c>
      <c r="B3393" s="11">
        <v>2</v>
      </c>
      <c r="C3393" s="11" t="s">
        <v>2</v>
      </c>
      <c r="D3393" s="20" t="s">
        <v>3</v>
      </c>
    </row>
    <row r="3394" spans="1:4">
      <c r="A3394" s="21" t="str">
        <f t="shared" si="120"/>
        <v>Диагностика.TREI.BR12.Err_line1</v>
      </c>
      <c r="B3394" s="8">
        <v>1</v>
      </c>
      <c r="C3394" s="8" t="s">
        <v>1</v>
      </c>
      <c r="D3394" s="22">
        <v>11</v>
      </c>
    </row>
    <row r="3395" spans="1:4">
      <c r="A3395" s="211" t="str">
        <f t="shared" ref="A3395:A3404" si="121">$R$2&amp;"."&amp;$P$2&amp;".Err_line2"</f>
        <v>Диагностика.TREI.BR12.Err_line2</v>
      </c>
      <c r="B3395" s="212">
        <v>11154</v>
      </c>
      <c r="C3395" s="212" t="s">
        <v>4</v>
      </c>
      <c r="D3395" s="221">
        <f>$Q$7</f>
        <v>12</v>
      </c>
    </row>
    <row r="3396" spans="1:4">
      <c r="A3396" s="211" t="str">
        <f t="shared" si="121"/>
        <v>Диагностика.TREI.BR12.Err_line2</v>
      </c>
      <c r="B3396" s="212">
        <v>11152</v>
      </c>
      <c r="C3396" s="212" t="s">
        <v>0</v>
      </c>
      <c r="D3396" s="220" t="str">
        <f>$R$7</f>
        <v>Неисправность</v>
      </c>
    </row>
    <row r="3397" spans="1:4">
      <c r="A3397" s="211" t="str">
        <f t="shared" si="121"/>
        <v>Диагностика.TREI.BR12.Err_line2</v>
      </c>
      <c r="B3397" s="212">
        <v>11150</v>
      </c>
      <c r="C3397" s="212" t="s">
        <v>0</v>
      </c>
      <c r="D3397" s="213" t="s">
        <v>1376</v>
      </c>
    </row>
    <row r="3398" spans="1:4">
      <c r="A3398" s="211" t="str">
        <f t="shared" si="121"/>
        <v>Диагностика.TREI.BR12.Err_line2</v>
      </c>
      <c r="B3398" s="212">
        <v>11000</v>
      </c>
      <c r="C3398" s="212" t="s">
        <v>5</v>
      </c>
      <c r="D3398" s="213">
        <v>2147483680</v>
      </c>
    </row>
    <row r="3399" spans="1:4">
      <c r="A3399" s="19" t="str">
        <f t="shared" si="121"/>
        <v>Диагностика.TREI.BR12.Err_line2</v>
      </c>
      <c r="B3399" s="11">
        <v>7999</v>
      </c>
      <c r="C3399" s="11" t="s">
        <v>0</v>
      </c>
      <c r="D3399" s="20" t="str">
        <f>"#"&amp;$S$2&amp;"#"&amp;$T$2&amp;"\"&amp;$P$2&amp;"\Err_line2"</f>
        <v>#2#treiOPCDA.CoOPCserv.1\pcmaster\BR12\Err_line2</v>
      </c>
    </row>
    <row r="3400" spans="1:4">
      <c r="A3400" s="19" t="str">
        <f t="shared" si="121"/>
        <v>Диагностика.TREI.BR12.Err_line2</v>
      </c>
      <c r="B3400" s="11">
        <v>7998</v>
      </c>
      <c r="C3400" s="11" t="s">
        <v>6</v>
      </c>
      <c r="D3400" s="20">
        <v>1</v>
      </c>
    </row>
    <row r="3401" spans="1:4">
      <c r="A3401" s="19" t="str">
        <f t="shared" si="121"/>
        <v>Диагностика.TREI.BR12.Err_line2</v>
      </c>
      <c r="B3401" s="11">
        <v>101</v>
      </c>
      <c r="C3401" s="11" t="s">
        <v>0</v>
      </c>
      <c r="D3401" s="20" t="s">
        <v>1376</v>
      </c>
    </row>
    <row r="3402" spans="1:4">
      <c r="A3402" s="19" t="str">
        <f t="shared" si="121"/>
        <v>Диагностика.TREI.BR12.Err_line2</v>
      </c>
      <c r="B3402" s="11">
        <v>3</v>
      </c>
      <c r="C3402" s="11" t="s">
        <v>1</v>
      </c>
      <c r="D3402" s="20">
        <v>192</v>
      </c>
    </row>
    <row r="3403" spans="1:4">
      <c r="A3403" s="19" t="str">
        <f t="shared" si="121"/>
        <v>Диагностика.TREI.BR12.Err_line2</v>
      </c>
      <c r="B3403" s="11">
        <v>2</v>
      </c>
      <c r="C3403" s="11" t="s">
        <v>2</v>
      </c>
      <c r="D3403" s="20" t="s">
        <v>3</v>
      </c>
    </row>
    <row r="3404" spans="1:4">
      <c r="A3404" s="21" t="str">
        <f t="shared" si="121"/>
        <v>Диагностика.TREI.BR12.Err_line2</v>
      </c>
      <c r="B3404" s="8">
        <v>1</v>
      </c>
      <c r="C3404" s="8" t="s">
        <v>1</v>
      </c>
      <c r="D3404" s="22">
        <v>11</v>
      </c>
    </row>
    <row r="3405" spans="1:4">
      <c r="A3405" s="211" t="str">
        <f t="shared" ref="A3405:A3414" si="122">$R$2&amp;"."&amp;$P$2&amp;".No_power1"</f>
        <v>Диагностика.TREI.BR12.No_power1</v>
      </c>
      <c r="B3405" s="212">
        <v>11154</v>
      </c>
      <c r="C3405" s="212" t="s">
        <v>4</v>
      </c>
      <c r="D3405" s="221">
        <f>$Q$7</f>
        <v>12</v>
      </c>
    </row>
    <row r="3406" spans="1:4">
      <c r="A3406" s="211" t="str">
        <f t="shared" si="122"/>
        <v>Диагностика.TREI.BR12.No_power1</v>
      </c>
      <c r="B3406" s="212">
        <v>11152</v>
      </c>
      <c r="C3406" s="212" t="s">
        <v>0</v>
      </c>
      <c r="D3406" s="220" t="str">
        <f>$R$7</f>
        <v>Неисправность</v>
      </c>
    </row>
    <row r="3407" spans="1:4">
      <c r="A3407" s="211" t="str">
        <f t="shared" si="122"/>
        <v>Диагностика.TREI.BR12.No_power1</v>
      </c>
      <c r="B3407" s="212">
        <v>11150</v>
      </c>
      <c r="C3407" s="212" t="s">
        <v>0</v>
      </c>
      <c r="D3407" s="213" t="s">
        <v>1780</v>
      </c>
    </row>
    <row r="3408" spans="1:4">
      <c r="A3408" s="211" t="str">
        <f t="shared" si="122"/>
        <v>Диагностика.TREI.BR12.No_power1</v>
      </c>
      <c r="B3408" s="212">
        <v>11000</v>
      </c>
      <c r="C3408" s="212" t="s">
        <v>5</v>
      </c>
      <c r="D3408" s="213">
        <v>2147483680</v>
      </c>
    </row>
    <row r="3409" spans="1:4">
      <c r="A3409" s="19" t="str">
        <f t="shared" si="122"/>
        <v>Диагностика.TREI.BR12.No_power1</v>
      </c>
      <c r="B3409" s="11">
        <v>7999</v>
      </c>
      <c r="C3409" s="11" t="s">
        <v>0</v>
      </c>
      <c r="D3409" s="20" t="str">
        <f>"#"&amp;$S$2&amp;"#"&amp;$T$2&amp;"\"&amp;$P$2&amp;"\No_power1"</f>
        <v>#2#treiOPCDA.CoOPCserv.1\pcmaster\BR12\No_power1</v>
      </c>
    </row>
    <row r="3410" spans="1:4">
      <c r="A3410" s="19" t="str">
        <f t="shared" si="122"/>
        <v>Диагностика.TREI.BR12.No_power1</v>
      </c>
      <c r="B3410" s="11">
        <v>7998</v>
      </c>
      <c r="C3410" s="11" t="s">
        <v>6</v>
      </c>
      <c r="D3410" s="20">
        <v>1</v>
      </c>
    </row>
    <row r="3411" spans="1:4">
      <c r="A3411" s="19" t="str">
        <f t="shared" si="122"/>
        <v>Диагностика.TREI.BR12.No_power1</v>
      </c>
      <c r="B3411" s="11">
        <v>101</v>
      </c>
      <c r="C3411" s="11" t="s">
        <v>0</v>
      </c>
      <c r="D3411" s="20" t="s">
        <v>1780</v>
      </c>
    </row>
    <row r="3412" spans="1:4">
      <c r="A3412" s="19" t="str">
        <f t="shared" si="122"/>
        <v>Диагностика.TREI.BR12.No_power1</v>
      </c>
      <c r="B3412" s="11">
        <v>3</v>
      </c>
      <c r="C3412" s="11" t="s">
        <v>1</v>
      </c>
      <c r="D3412" s="20">
        <v>192</v>
      </c>
    </row>
    <row r="3413" spans="1:4">
      <c r="A3413" s="19" t="str">
        <f t="shared" si="122"/>
        <v>Диагностика.TREI.BR12.No_power1</v>
      </c>
      <c r="B3413" s="11">
        <v>2</v>
      </c>
      <c r="C3413" s="11" t="s">
        <v>2</v>
      </c>
      <c r="D3413" s="20" t="s">
        <v>3</v>
      </c>
    </row>
    <row r="3414" spans="1:4">
      <c r="A3414" s="21" t="str">
        <f t="shared" si="122"/>
        <v>Диагностика.TREI.BR12.No_power1</v>
      </c>
      <c r="B3414" s="8">
        <v>1</v>
      </c>
      <c r="C3414" s="8" t="s">
        <v>1</v>
      </c>
      <c r="D3414" s="22">
        <v>11</v>
      </c>
    </row>
    <row r="3415" spans="1:4">
      <c r="A3415" s="211" t="str">
        <f t="shared" ref="A3415:A3424" si="123">$R$2&amp;"."&amp;$P$2&amp;".No_power2"</f>
        <v>Диагностика.TREI.BR12.No_power2</v>
      </c>
      <c r="B3415" s="212">
        <v>11154</v>
      </c>
      <c r="C3415" s="212" t="s">
        <v>4</v>
      </c>
      <c r="D3415" s="221">
        <f>$Q$7</f>
        <v>12</v>
      </c>
    </row>
    <row r="3416" spans="1:4">
      <c r="A3416" s="211" t="str">
        <f t="shared" si="123"/>
        <v>Диагностика.TREI.BR12.No_power2</v>
      </c>
      <c r="B3416" s="212">
        <v>11152</v>
      </c>
      <c r="C3416" s="212" t="s">
        <v>0</v>
      </c>
      <c r="D3416" s="220" t="str">
        <f>$R$7</f>
        <v>Неисправность</v>
      </c>
    </row>
    <row r="3417" spans="1:4">
      <c r="A3417" s="211" t="str">
        <f t="shared" si="123"/>
        <v>Диагностика.TREI.BR12.No_power2</v>
      </c>
      <c r="B3417" s="212">
        <v>11150</v>
      </c>
      <c r="C3417" s="212" t="s">
        <v>0</v>
      </c>
      <c r="D3417" s="213" t="s">
        <v>1781</v>
      </c>
    </row>
    <row r="3418" spans="1:4">
      <c r="A3418" s="211" t="str">
        <f t="shared" si="123"/>
        <v>Диагностика.TREI.BR12.No_power2</v>
      </c>
      <c r="B3418" s="212">
        <v>11000</v>
      </c>
      <c r="C3418" s="212" t="s">
        <v>5</v>
      </c>
      <c r="D3418" s="213">
        <v>2147483680</v>
      </c>
    </row>
    <row r="3419" spans="1:4">
      <c r="A3419" s="19" t="str">
        <f t="shared" si="123"/>
        <v>Диагностика.TREI.BR12.No_power2</v>
      </c>
      <c r="B3419" s="11">
        <v>7999</v>
      </c>
      <c r="C3419" s="11" t="s">
        <v>0</v>
      </c>
      <c r="D3419" s="20" t="str">
        <f>"#"&amp;$S$2&amp;"#"&amp;$T$2&amp;"\"&amp;$P$2&amp;"\No_power2"</f>
        <v>#2#treiOPCDA.CoOPCserv.1\pcmaster\BR12\No_power2</v>
      </c>
    </row>
    <row r="3420" spans="1:4">
      <c r="A3420" s="19" t="str">
        <f t="shared" si="123"/>
        <v>Диагностика.TREI.BR12.No_power2</v>
      </c>
      <c r="B3420" s="11">
        <v>7998</v>
      </c>
      <c r="C3420" s="11" t="s">
        <v>6</v>
      </c>
      <c r="D3420" s="20">
        <v>1</v>
      </c>
    </row>
    <row r="3421" spans="1:4">
      <c r="A3421" s="19" t="str">
        <f t="shared" si="123"/>
        <v>Диагностика.TREI.BR12.No_power2</v>
      </c>
      <c r="B3421" s="11">
        <v>101</v>
      </c>
      <c r="C3421" s="11" t="s">
        <v>0</v>
      </c>
      <c r="D3421" s="20" t="s">
        <v>1781</v>
      </c>
    </row>
    <row r="3422" spans="1:4">
      <c r="A3422" s="19" t="str">
        <f t="shared" si="123"/>
        <v>Диагностика.TREI.BR12.No_power2</v>
      </c>
      <c r="B3422" s="11">
        <v>3</v>
      </c>
      <c r="C3422" s="11" t="s">
        <v>1</v>
      </c>
      <c r="D3422" s="20">
        <v>192</v>
      </c>
    </row>
    <row r="3423" spans="1:4">
      <c r="A3423" s="19" t="str">
        <f t="shared" si="123"/>
        <v>Диагностика.TREI.BR12.No_power2</v>
      </c>
      <c r="B3423" s="11">
        <v>2</v>
      </c>
      <c r="C3423" s="11" t="s">
        <v>2</v>
      </c>
      <c r="D3423" s="20" t="s">
        <v>3</v>
      </c>
    </row>
    <row r="3424" spans="1:4">
      <c r="A3424" s="21" t="str">
        <f t="shared" si="123"/>
        <v>Диагностика.TREI.BR12.No_power2</v>
      </c>
      <c r="B3424" s="8">
        <v>1</v>
      </c>
      <c r="C3424" s="8" t="s">
        <v>1</v>
      </c>
      <c r="D3424" s="22">
        <v>11</v>
      </c>
    </row>
    <row r="3425" spans="1:4">
      <c r="A3425" s="159" t="str">
        <f>$R$2&amp;"."&amp;$P$2&amp;".Init"</f>
        <v>Диагностика.TREI.BR12.Init</v>
      </c>
      <c r="B3425" s="160">
        <v>11154</v>
      </c>
      <c r="C3425" s="160" t="s">
        <v>4</v>
      </c>
      <c r="D3425" s="161">
        <f>$Q$8</f>
        <v>18</v>
      </c>
    </row>
    <row r="3426" spans="1:4">
      <c r="A3426" s="100" t="str">
        <f t="shared" ref="A3426:A3434" si="124">$R$2&amp;"."&amp;$P$2&amp;".Init"</f>
        <v>Диагностика.TREI.BR12.Init</v>
      </c>
      <c r="B3426" s="101">
        <v>11152</v>
      </c>
      <c r="C3426" s="101" t="s">
        <v>0</v>
      </c>
      <c r="D3426" s="104" t="str">
        <f>$R$8</f>
        <v>Телесигнализация</v>
      </c>
    </row>
    <row r="3427" spans="1:4">
      <c r="A3427" s="100" t="str">
        <f t="shared" si="124"/>
        <v>Диагностика.TREI.BR12.Init</v>
      </c>
      <c r="B3427" s="101">
        <v>11150</v>
      </c>
      <c r="C3427" s="101" t="s">
        <v>0</v>
      </c>
      <c r="D3427" s="103" t="s">
        <v>1887</v>
      </c>
    </row>
    <row r="3428" spans="1:4">
      <c r="A3428" s="100" t="str">
        <f t="shared" si="124"/>
        <v>Диагностика.TREI.BR12.Init</v>
      </c>
      <c r="B3428" s="101">
        <v>11000</v>
      </c>
      <c r="C3428" s="101" t="s">
        <v>5</v>
      </c>
      <c r="D3428" s="103">
        <v>2147483680</v>
      </c>
    </row>
    <row r="3429" spans="1:4">
      <c r="A3429" s="19" t="str">
        <f t="shared" si="124"/>
        <v>Диагностика.TREI.BR12.Init</v>
      </c>
      <c r="B3429" s="11">
        <v>7999</v>
      </c>
      <c r="C3429" s="11" t="s">
        <v>0</v>
      </c>
      <c r="D3429" s="20" t="str">
        <f>"#"&amp;$S$2&amp;"#"&amp;$T$2&amp;"\"&amp;$P$2&amp;"\Init"</f>
        <v>#2#treiOPCDA.CoOPCserv.1\pcmaster\BR12\Init</v>
      </c>
    </row>
    <row r="3430" spans="1:4">
      <c r="A3430" s="19" t="str">
        <f t="shared" si="124"/>
        <v>Диагностика.TREI.BR12.Init</v>
      </c>
      <c r="B3430" s="11">
        <v>7998</v>
      </c>
      <c r="C3430" s="11" t="s">
        <v>6</v>
      </c>
      <c r="D3430" s="20">
        <v>1</v>
      </c>
    </row>
    <row r="3431" spans="1:4">
      <c r="A3431" s="19" t="str">
        <f t="shared" si="124"/>
        <v>Диагностика.TREI.BR12.Init</v>
      </c>
      <c r="B3431" s="11">
        <v>101</v>
      </c>
      <c r="C3431" s="11" t="s">
        <v>0</v>
      </c>
      <c r="D3431" s="20" t="s">
        <v>1887</v>
      </c>
    </row>
    <row r="3432" spans="1:4">
      <c r="A3432" s="19" t="str">
        <f t="shared" si="124"/>
        <v>Диагностика.TREI.BR12.Init</v>
      </c>
      <c r="B3432" s="11">
        <v>3</v>
      </c>
      <c r="C3432" s="11" t="s">
        <v>1</v>
      </c>
      <c r="D3432" s="20">
        <v>192</v>
      </c>
    </row>
    <row r="3433" spans="1:4">
      <c r="A3433" s="19" t="str">
        <f t="shared" si="124"/>
        <v>Диагностика.TREI.BR12.Init</v>
      </c>
      <c r="B3433" s="11">
        <v>2</v>
      </c>
      <c r="C3433" s="11" t="s">
        <v>2</v>
      </c>
      <c r="D3433" s="20" t="s">
        <v>3</v>
      </c>
    </row>
    <row r="3434" spans="1:4">
      <c r="A3434" s="21" t="str">
        <f t="shared" si="124"/>
        <v>Диагностика.TREI.BR12.Init</v>
      </c>
      <c r="B3434" s="8">
        <v>1</v>
      </c>
      <c r="C3434" s="8" t="s">
        <v>1</v>
      </c>
      <c r="D3434" s="22">
        <v>11</v>
      </c>
    </row>
    <row r="3435" spans="1:4">
      <c r="A3435" s="159" t="str">
        <f>$R$2&amp;"."&amp;$P$2&amp;".Sending"</f>
        <v>Диагностика.TREI.BR12.Sending</v>
      </c>
      <c r="B3435" s="160">
        <v>11154</v>
      </c>
      <c r="C3435" s="160" t="s">
        <v>4</v>
      </c>
      <c r="D3435" s="161">
        <f>$Q$8</f>
        <v>18</v>
      </c>
    </row>
    <row r="3436" spans="1:4">
      <c r="A3436" s="100" t="str">
        <f t="shared" ref="A3436:A3444" si="125">$R$2&amp;"."&amp;$P$2&amp;".Sending"</f>
        <v>Диагностика.TREI.BR12.Sending</v>
      </c>
      <c r="B3436" s="101">
        <v>11152</v>
      </c>
      <c r="C3436" s="101" t="s">
        <v>0</v>
      </c>
      <c r="D3436" s="104" t="str">
        <f>$R$8</f>
        <v>Телесигнализация</v>
      </c>
    </row>
    <row r="3437" spans="1:4">
      <c r="A3437" s="100" t="str">
        <f t="shared" si="125"/>
        <v>Диагностика.TREI.BR12.Sending</v>
      </c>
      <c r="B3437" s="101">
        <v>11150</v>
      </c>
      <c r="C3437" s="101" t="s">
        <v>0</v>
      </c>
      <c r="D3437" s="103" t="s">
        <v>1889</v>
      </c>
    </row>
    <row r="3438" spans="1:4">
      <c r="A3438" s="100" t="str">
        <f t="shared" si="125"/>
        <v>Диагностика.TREI.BR12.Sending</v>
      </c>
      <c r="B3438" s="101">
        <v>11000</v>
      </c>
      <c r="C3438" s="101" t="s">
        <v>5</v>
      </c>
      <c r="D3438" s="103">
        <v>2147483680</v>
      </c>
    </row>
    <row r="3439" spans="1:4">
      <c r="A3439" s="19" t="str">
        <f t="shared" si="125"/>
        <v>Диагностика.TREI.BR12.Sending</v>
      </c>
      <c r="B3439" s="11">
        <v>7999</v>
      </c>
      <c r="C3439" s="11" t="s">
        <v>0</v>
      </c>
      <c r="D3439" s="20" t="str">
        <f>"#"&amp;$S$2&amp;"#"&amp;$T$2&amp;"\"&amp;$P$2&amp;"\Sending"</f>
        <v>#2#treiOPCDA.CoOPCserv.1\pcmaster\BR12\Sending</v>
      </c>
    </row>
    <row r="3440" spans="1:4">
      <c r="A3440" s="19" t="str">
        <f t="shared" si="125"/>
        <v>Диагностика.TREI.BR12.Sending</v>
      </c>
      <c r="B3440" s="11">
        <v>7998</v>
      </c>
      <c r="C3440" s="11" t="s">
        <v>6</v>
      </c>
      <c r="D3440" s="20">
        <v>1</v>
      </c>
    </row>
    <row r="3441" spans="1:4">
      <c r="A3441" s="19" t="str">
        <f t="shared" si="125"/>
        <v>Диагностика.TREI.BR12.Sending</v>
      </c>
      <c r="B3441" s="11">
        <v>101</v>
      </c>
      <c r="C3441" s="11" t="s">
        <v>0</v>
      </c>
      <c r="D3441" s="20" t="s">
        <v>1889</v>
      </c>
    </row>
    <row r="3442" spans="1:4">
      <c r="A3442" s="19" t="str">
        <f t="shared" si="125"/>
        <v>Диагностика.TREI.BR12.Sending</v>
      </c>
      <c r="B3442" s="11">
        <v>3</v>
      </c>
      <c r="C3442" s="11" t="s">
        <v>1</v>
      </c>
      <c r="D3442" s="20">
        <v>192</v>
      </c>
    </row>
    <row r="3443" spans="1:4">
      <c r="A3443" s="19" t="str">
        <f t="shared" si="125"/>
        <v>Диагностика.TREI.BR12.Sending</v>
      </c>
      <c r="B3443" s="11">
        <v>2</v>
      </c>
      <c r="C3443" s="11" t="s">
        <v>2</v>
      </c>
      <c r="D3443" s="20" t="s">
        <v>3</v>
      </c>
    </row>
    <row r="3444" spans="1:4">
      <c r="A3444" s="21" t="str">
        <f t="shared" si="125"/>
        <v>Диагностика.TREI.BR12.Sending</v>
      </c>
      <c r="B3444" s="8">
        <v>1</v>
      </c>
      <c r="C3444" s="8" t="s">
        <v>1</v>
      </c>
      <c r="D3444" s="22">
        <v>11</v>
      </c>
    </row>
    <row r="3445" spans="1:4">
      <c r="A3445" s="159" t="str">
        <f>$R$2&amp;"."&amp;$P$2&amp;".Ready"</f>
        <v>Диагностика.TREI.BR12.Ready</v>
      </c>
      <c r="B3445" s="160">
        <v>11154</v>
      </c>
      <c r="C3445" s="160" t="s">
        <v>4</v>
      </c>
      <c r="D3445" s="161">
        <f>$Q$8</f>
        <v>18</v>
      </c>
    </row>
    <row r="3446" spans="1:4">
      <c r="A3446" s="100" t="str">
        <f t="shared" ref="A3446:A3454" si="126">$R$2&amp;"."&amp;$P$2&amp;".Ready"</f>
        <v>Диагностика.TREI.BR12.Ready</v>
      </c>
      <c r="B3446" s="101">
        <v>11152</v>
      </c>
      <c r="C3446" s="101" t="s">
        <v>0</v>
      </c>
      <c r="D3446" s="104" t="str">
        <f>$R$8</f>
        <v>Телесигнализация</v>
      </c>
    </row>
    <row r="3447" spans="1:4">
      <c r="A3447" s="100" t="str">
        <f t="shared" si="126"/>
        <v>Диагностика.TREI.BR12.Ready</v>
      </c>
      <c r="B3447" s="101">
        <v>11150</v>
      </c>
      <c r="C3447" s="101" t="s">
        <v>0</v>
      </c>
      <c r="D3447" s="103" t="s">
        <v>1888</v>
      </c>
    </row>
    <row r="3448" spans="1:4">
      <c r="A3448" s="100" t="str">
        <f t="shared" si="126"/>
        <v>Диагностика.TREI.BR12.Ready</v>
      </c>
      <c r="B3448" s="101">
        <v>11000</v>
      </c>
      <c r="C3448" s="101" t="s">
        <v>5</v>
      </c>
      <c r="D3448" s="103">
        <v>2147483680</v>
      </c>
    </row>
    <row r="3449" spans="1:4">
      <c r="A3449" s="19" t="str">
        <f t="shared" si="126"/>
        <v>Диагностика.TREI.BR12.Ready</v>
      </c>
      <c r="B3449" s="11">
        <v>7999</v>
      </c>
      <c r="C3449" s="11" t="s">
        <v>0</v>
      </c>
      <c r="D3449" s="20" t="str">
        <f>"#"&amp;$S$2&amp;"#"&amp;$T$2&amp;"\"&amp;$P$2&amp;"\Ready"</f>
        <v>#2#treiOPCDA.CoOPCserv.1\pcmaster\BR12\Ready</v>
      </c>
    </row>
    <row r="3450" spans="1:4">
      <c r="A3450" s="19" t="str">
        <f t="shared" si="126"/>
        <v>Диагностика.TREI.BR12.Ready</v>
      </c>
      <c r="B3450" s="11">
        <v>7998</v>
      </c>
      <c r="C3450" s="11" t="s">
        <v>6</v>
      </c>
      <c r="D3450" s="20">
        <v>1</v>
      </c>
    </row>
    <row r="3451" spans="1:4">
      <c r="A3451" s="19" t="str">
        <f t="shared" si="126"/>
        <v>Диагностика.TREI.BR12.Ready</v>
      </c>
      <c r="B3451" s="11">
        <v>101</v>
      </c>
      <c r="C3451" s="11" t="s">
        <v>0</v>
      </c>
      <c r="D3451" s="20" t="s">
        <v>1888</v>
      </c>
    </row>
    <row r="3452" spans="1:4">
      <c r="A3452" s="19" t="str">
        <f t="shared" si="126"/>
        <v>Диагностика.TREI.BR12.Ready</v>
      </c>
      <c r="B3452" s="11">
        <v>3</v>
      </c>
      <c r="C3452" s="11" t="s">
        <v>1</v>
      </c>
      <c r="D3452" s="20">
        <v>192</v>
      </c>
    </row>
    <row r="3453" spans="1:4">
      <c r="A3453" s="19" t="str">
        <f t="shared" si="126"/>
        <v>Диагностика.TREI.BR12.Ready</v>
      </c>
      <c r="B3453" s="11">
        <v>2</v>
      </c>
      <c r="C3453" s="11" t="s">
        <v>2</v>
      </c>
      <c r="D3453" s="20" t="s">
        <v>3</v>
      </c>
    </row>
    <row r="3454" spans="1:4">
      <c r="A3454" s="21" t="str">
        <f t="shared" si="126"/>
        <v>Диагностика.TREI.BR12.Ready</v>
      </c>
      <c r="B3454" s="8">
        <v>1</v>
      </c>
      <c r="C3454" s="8" t="s">
        <v>1</v>
      </c>
      <c r="D3454" s="22">
        <v>11</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Лист31">
    <tabColor rgb="FFFFC000"/>
  </sheetPr>
  <dimension ref="A1:BP105"/>
  <sheetViews>
    <sheetView topLeftCell="A19" zoomScale="80" zoomScaleNormal="80" workbookViewId="0">
      <selection activeCell="P2" sqref="P2:BA2"/>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22.10937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6" width="0"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6.109375" customWidth="1"/>
    <col min="55" max="55" width="12.109375" customWidth="1"/>
    <col min="56" max="56" width="7.33203125" customWidth="1"/>
    <col min="58" max="58" width="10.33203125" customWidth="1"/>
    <col min="59" max="59" width="10" customWidth="1"/>
    <col min="61" max="61" width="7.109375" customWidth="1"/>
    <col min="62" max="62" width="10.88671875" customWidth="1"/>
    <col min="64" max="64" width="65.109375" customWidth="1"/>
  </cols>
  <sheetData>
    <row r="1" spans="1:68" ht="204.6" thickBot="1">
      <c r="A1" s="9"/>
      <c r="B1" s="42" t="s">
        <v>84</v>
      </c>
      <c r="C1" s="9"/>
      <c r="D1" s="9"/>
      <c r="E1" s="9"/>
      <c r="F1" s="9"/>
      <c r="P1" s="251" t="str">
        <f>Таблица!D1</f>
        <v>Префикс для TREI
Тэг ОРС для INFINITY</v>
      </c>
      <c r="Q1" s="251" t="str">
        <f>Таблица!E1</f>
        <v>Комментарий для TREI и INFINITY</v>
      </c>
      <c r="R1" s="252" t="str">
        <f>Таблица!F1</f>
        <v>ТЭГ в дереве INFINITY Server</v>
      </c>
      <c r="S1" s="251"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53" t="str">
        <f>Таблица!H1</f>
        <v>OPC путь 
№ маршрута Modbus TCP, Modbus RTU, Modbus over TCP (1-255)
№ КП IEC104 (1-65534)</v>
      </c>
      <c r="U1" s="253" t="str">
        <f>Таблица!I1</f>
        <v>OPC путь</v>
      </c>
      <c r="V1" s="253" t="str">
        <f>Таблица!J1</f>
        <v>Мнемосхема</v>
      </c>
      <c r="W1" s="254"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54"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54" t="str">
        <f>Таблица!M1</f>
        <v>FB_IMt_MON_S, IMt_MON: Только для трансформатора. Цвет нижних обмоток(-ки) при наличии напряжения</v>
      </c>
      <c r="Z1" s="254"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54"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54" t="str">
        <f>Таблица!P1</f>
        <v xml:space="preserve">FB_DI_S, FB_DO_S, DI, DI_DIAG, FB_DO_STB_S: Тип сигнализации (Авария, предупреждение, телесигнализация и тд.)
FB_SHPS_S(SB), FB_BTF_S: Тип сигнализации XFRX
</v>
      </c>
      <c r="AC1" s="254"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54" t="str">
        <f>Таблица!R1</f>
        <v>SEPAM: Тип ячейки (OL,SV,VV,TN)
BMRZ: Тип ячейки (VV,AV)
TOR: Тип ячейки (OL,SV,VV,TN,BK)</v>
      </c>
      <c r="AE1" s="254" t="str">
        <f>Таблица!S1</f>
        <v>Формула для fNoLink.Device</v>
      </c>
      <c r="AF1" s="254">
        <f>Таблица!T1</f>
        <v>0</v>
      </c>
      <c r="AG1" s="254">
        <f>Таблица!U1</f>
        <v>0</v>
      </c>
      <c r="AH1" s="254">
        <f>Таблица!V1</f>
        <v>0</v>
      </c>
      <c r="AI1" s="254">
        <f>Таблица!W1</f>
        <v>0</v>
      </c>
      <c r="AJ1" s="254">
        <f>Таблица!X1</f>
        <v>0</v>
      </c>
      <c r="AK1" s="255" t="str">
        <f>Таблица!Y1</f>
        <v>FB_AI_S, FB_DI_S, FB_QSA_S, FB_DO_S, FB_SHPS_S, FB_SHOP_S, FB_BTF_S: IVXX
FB_KL_UPT_S: ISON
SW_S301, SW_MES3508: Подключение к порту 1
SW_MAYAK: Подключение к порту 1,2 (через "\")
DI_DIAG, DO_DIAG: XVLX</v>
      </c>
      <c r="AL1" s="255" t="str">
        <f>Таблица!Z1</f>
        <v>FB_IMstp_S, FB_IMsp_S, FB_IMs_S, FB_IMp_S, FB_IMv_S, FB_IMst_MON_S, FB_IMsp_MON_S, FB_IMs_MON_S, FB_IMp_MON_S, FB_IMv_MON_S, FB_IM_ADES_S, FB_OZK_KD_S: IONX
FB_QSA_S: IT1X
SW_S301, SW_MES3508: Подключение к порту 2
SW_MAYAK: Подключение к порту 3,4 (через "\")</v>
      </c>
      <c r="AM1" s="255" t="str">
        <f>Таблица!AA1</f>
        <v>FB_IMstp_S, FB_IMsp_S, FB_IMs_S, FB_IMp_S, FB_IMv_S, FB_IMst_MON_S, FB_IMsp_MON_S,  FB_IMs_MON_S, FB_IMp_MON_S, FB_IMv_MON_S, FB_IM_ADES_S, FB_OZK_KD_S:  IOFX
FB_REG_S: ICPX
FB_QSA_S: IT2X
SW_S301, SW_MES3508: Подключение к порту 3
SW_MAYAK: Подключение к порту 5,6 (через "\")</v>
      </c>
      <c r="AN1" s="255" t="str">
        <f>Таблица!AB1</f>
        <v>FB_IMstp_S, FB_IMsp_S, FB_IMs_S, FB_REG_S, FB_IM_ADES_S : ILCX
SW_S301: Подключение к порту 4
SW_MAYAK, SW_MES3508: Подключение к порту 7,8 (через "\")</v>
      </c>
      <c r="AO1" s="255" t="str">
        <f>Таблица!AC1</f>
        <v xml:space="preserve">FB_IMstp_S, FB_IMsp_S, FB_IMs_S, FB_IMp_S, FB_IMv_S, FB_REG_S, FB_IM_ADES_S, FB_DO_S : IRCX
SW_S301, SW_MES3508: Подключение к порту 5
SW_MAYAK: Подключение к порту 9,10 (через "\")
</v>
      </c>
      <c r="AP1" s="255" t="str">
        <f>Таблица!AD1</f>
        <v>FB_IMstp_S, FB_IMsp_S, FB_IMs_S, FB_IMp_S, FB_IMv_S, FB_IMst_MON_S, FB_IMsp_MON_S, FB_IMt_MON_S, FB_IMs_MON_S, FB_IMp_MON_S, FB_IMv_MON_S, FB_REG_S, FB_QSA_S, FB_IM_ADES_S, FB_OZK_KD_S : IFXX
FB_BTF_S: IFEX
SW_S301, SW_MES3508: Подключение к порту 6
SW_MAYAK: Подключение к порту 11,12 (через "\")</v>
      </c>
      <c r="AQ1" s="255" t="str">
        <f>Таблица!AE1</f>
        <v>FB_IMstp_S, FB_IMsp_S, FB_IMs_S, FB_IMp_S, FB_IMv_S, FB_KL_UPT_S, FB_IM_ADES_S, FB_OZK_KD_S, FB_DO_S, FB_DO_STB_S:  OXON
FB_REG_S: OCAX
SW_S301, SW_MES3508: Подключение к порту 7
SW_MAYAK: Подключение к порту 13,14 (через "\")</v>
      </c>
      <c r="AR1" s="255" t="str">
        <f>Таблица!AF1</f>
        <v xml:space="preserve">FB_IMstp_S, FB_IMsp_S, FB_IMs_S, FB_IMp_S, FB_IMv_S, FB_IM_ADES_S, FB_OZK_KD_S, FB_DO_S: OXOF
SW_S301, SW_MES3508: Подключение к порту 8
SW_MAYAK: Подключение к порту 15,16 (через "\")
</v>
      </c>
      <c r="AS1" s="255" t="str">
        <f>Таблица!AG1</f>
        <v xml:space="preserve">FB_IM_ADES_S, FB_IMp_S, FB_IMv_S: OXSP
FB_IMstp_S, FB_IMsp_S, FB_IMsp_MON_S: IPTC
SW_S301, SW_MES3508: Подключение к порту 9
SW_MAYAK: Подключение к порту 17,18 (через "\")
</v>
      </c>
      <c r="AT1" s="255" t="str">
        <f>Таблица!AH1</f>
        <v xml:space="preserve">FB_IMstp_S, FB_IMst_MON_S, FB_IMt_MON_S: ITON
FB_IM_ADES_S: IOLD
SW_S301, SW_MES3508: Подключение к порту 10
SW_MAYAK: Подключение к порту 19,20 (через "\")
</v>
      </c>
      <c r="AU1" s="255" t="str">
        <f>Таблица!AI1</f>
        <v>FB_IMstp_S, FB_IMst_MON_S, FB_IMt_MON_S: ITOF
FB_IM_ADES_S: IRAD
SW_MAYAK: Подключение к порту 21,22 (через "\")</v>
      </c>
      <c r="AV1" s="255" t="str">
        <f>Таблица!AJ1</f>
        <v xml:space="preserve">FB_IMstp_S, FB_IMsp_S, FB_IMsp_MON_S, FB_IM_ADES_S: IPTO
SW_MAYAK: Подключение к порту 23,24 (через "\")
</v>
      </c>
      <c r="AW1" s="256"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56" t="str">
        <f>Таблица!AL1</f>
        <v>Для TREI
FB_IMstp_S, FB_IMs_S, FB_IMp_S, FB_IMv_S, FB_IM_ADES_S: Настройка перехода ручной-/автоматический-(TRUE/FALSE) 
FB_DI_S: Генерировать метки времени (TRUE/FALSE)</v>
      </c>
      <c r="AY1" s="256"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56" t="str">
        <f>Таблица!AN1</f>
        <v>Для TREI
FB_AI_S, FB_QSA_S: Верхний предел датчика
FB_IMp_S, FB_IMv_S, FB_IM_ADES_S, FB_OZK_KD_S: Время перестановки</v>
      </c>
      <c r="BA1" s="256"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M1" s="4"/>
      <c r="BN1" s="4"/>
      <c r="BO1" s="4"/>
      <c r="BP1" s="4"/>
    </row>
    <row r="2" spans="1:68" ht="15" customHeight="1">
      <c r="A2" s="9"/>
      <c r="B2" s="9"/>
      <c r="C2" s="9"/>
      <c r="D2" s="9"/>
      <c r="E2" s="9"/>
      <c r="F2" s="9"/>
      <c r="P2" s="2" t="s">
        <v>620</v>
      </c>
      <c r="Q2" s="2" t="s">
        <v>499</v>
      </c>
      <c r="R2" s="2" t="s">
        <v>753</v>
      </c>
      <c r="S2" s="3">
        <v>2</v>
      </c>
      <c r="T2" s="3" t="s">
        <v>1698</v>
      </c>
      <c r="U2" s="3"/>
      <c r="V2" s="3" t="s">
        <v>569</v>
      </c>
      <c r="W2" s="12"/>
      <c r="X2" s="12"/>
      <c r="Y2" s="12"/>
      <c r="Z2" s="12">
        <v>1</v>
      </c>
      <c r="AA2" s="12"/>
      <c r="AB2" s="2"/>
      <c r="AC2" s="2"/>
      <c r="AD2" s="2"/>
      <c r="AE2" s="2" t="s">
        <v>1414</v>
      </c>
      <c r="AF2" s="2"/>
      <c r="AG2" s="2"/>
      <c r="AH2" s="2"/>
      <c r="AI2" s="2"/>
      <c r="AJ2" s="2"/>
      <c r="AK2" s="2"/>
      <c r="AL2" s="2"/>
      <c r="AM2" s="2"/>
      <c r="AN2" s="2"/>
      <c r="AO2" s="2"/>
      <c r="AP2" s="2"/>
      <c r="AQ2" s="2"/>
      <c r="AR2" s="2"/>
      <c r="AS2" s="2"/>
      <c r="AT2" s="2"/>
      <c r="AU2" s="2"/>
      <c r="AV2" s="2"/>
      <c r="AW2" s="2"/>
      <c r="AX2" s="2"/>
      <c r="AY2" s="2"/>
      <c r="AZ2" s="2"/>
      <c r="BA2" s="2"/>
      <c r="BM2" s="4"/>
      <c r="BN2" s="4"/>
      <c r="BO2" s="4"/>
      <c r="BP2" s="4"/>
    </row>
    <row r="3" spans="1:68" ht="15" customHeight="1">
      <c r="A3" s="9"/>
      <c r="B3" s="9"/>
      <c r="C3" s="9"/>
      <c r="D3" s="9"/>
      <c r="E3" s="9"/>
      <c r="F3" s="9"/>
      <c r="P3" s="10"/>
      <c r="Q3" s="10"/>
      <c r="R3" s="10"/>
      <c r="S3" s="10"/>
      <c r="T3" s="10"/>
      <c r="U3" s="10"/>
      <c r="V3" s="10"/>
      <c r="W3" s="10"/>
      <c r="X3" s="10"/>
      <c r="Y3" s="10"/>
      <c r="Z3" s="10"/>
      <c r="AA3" s="10"/>
      <c r="AB3" s="10"/>
      <c r="AC3" s="10"/>
      <c r="BM3" s="4"/>
      <c r="BN3" s="4"/>
      <c r="BO3" s="4"/>
      <c r="BP3" s="4"/>
    </row>
    <row r="4" spans="1:68" ht="15" customHeight="1">
      <c r="A4" s="9"/>
      <c r="B4" s="9"/>
      <c r="C4" s="9"/>
      <c r="D4" s="9"/>
      <c r="E4" s="9"/>
      <c r="F4" s="9"/>
      <c r="P4" s="7" t="str">
        <f>Настройки!A1</f>
        <v>Событие</v>
      </c>
      <c r="Q4" s="7" t="str">
        <f>Настройки!B1</f>
        <v>Важность</v>
      </c>
      <c r="R4" s="7" t="str">
        <f>Настройки!C1</f>
        <v>Звук</v>
      </c>
      <c r="S4" s="10"/>
      <c r="T4" s="548" t="str">
        <f>Настройки!M11</f>
        <v>№ Модуля commands</v>
      </c>
      <c r="U4" s="10"/>
      <c r="V4" s="10"/>
      <c r="W4" s="10"/>
      <c r="X4" s="10"/>
      <c r="Y4" s="10"/>
      <c r="Z4" s="10"/>
      <c r="AA4" s="10"/>
      <c r="AB4" s="10"/>
      <c r="AC4" s="10"/>
      <c r="BM4" s="4"/>
      <c r="BN4" s="4"/>
      <c r="BO4" s="4"/>
      <c r="BP4" s="4"/>
    </row>
    <row r="5" spans="1:68" ht="15" customHeight="1">
      <c r="A5" s="9"/>
      <c r="B5" s="9"/>
      <c r="C5" s="9"/>
      <c r="D5" s="9"/>
      <c r="E5" s="9"/>
      <c r="F5" s="9"/>
      <c r="P5" s="6" t="str">
        <f>Настройки!A2</f>
        <v>Авария</v>
      </c>
      <c r="Q5" s="5">
        <f>Настройки!B2</f>
        <v>4</v>
      </c>
      <c r="R5" s="5" t="str">
        <f>Настройки!C2</f>
        <v>Авария</v>
      </c>
      <c r="S5" s="10"/>
      <c r="T5" s="458">
        <f>Настройки!M12</f>
        <v>1</v>
      </c>
      <c r="U5" s="10"/>
      <c r="V5" s="10"/>
      <c r="W5" s="10"/>
      <c r="X5" s="10"/>
      <c r="Y5" s="10"/>
      <c r="Z5" s="10"/>
      <c r="AA5" s="10"/>
      <c r="AB5" s="10"/>
      <c r="AC5" s="10"/>
      <c r="BM5" s="4"/>
      <c r="BN5" s="4"/>
      <c r="BO5" s="4"/>
      <c r="BP5" s="4"/>
    </row>
    <row r="6" spans="1:68" ht="15" customHeight="1">
      <c r="A6" s="9"/>
      <c r="B6" s="9"/>
      <c r="C6" s="9"/>
      <c r="D6" s="9"/>
      <c r="E6" s="9"/>
      <c r="F6" s="9"/>
      <c r="P6" s="6" t="str">
        <f>Настройки!A3</f>
        <v>Предупреждение</v>
      </c>
      <c r="Q6" s="5">
        <f>Настройки!B3</f>
        <v>8</v>
      </c>
      <c r="R6" s="5" t="str">
        <f>Настройки!C3</f>
        <v>Предупреждение</v>
      </c>
      <c r="S6" s="10"/>
      <c r="T6" s="608" t="str">
        <f>Настройки!M7</f>
        <v>Отображение Таблицы подлючений в диаг.</v>
      </c>
      <c r="U6" s="10"/>
      <c r="V6" s="10"/>
      <c r="W6" s="10"/>
      <c r="X6" s="10"/>
      <c r="Y6" s="10"/>
      <c r="Z6" s="10"/>
      <c r="AA6" s="10"/>
      <c r="AB6" s="10"/>
      <c r="AC6" s="10"/>
      <c r="BM6" s="4"/>
      <c r="BN6" s="4"/>
      <c r="BO6" s="4"/>
      <c r="BP6" s="4"/>
    </row>
    <row r="7" spans="1:68" ht="15" customHeight="1">
      <c r="A7" s="9"/>
      <c r="B7" s="9"/>
      <c r="C7" s="9"/>
      <c r="D7" s="9"/>
      <c r="E7" s="9"/>
      <c r="F7" s="9"/>
      <c r="P7" s="6" t="str">
        <f>Настройки!A4</f>
        <v>Неисправность</v>
      </c>
      <c r="Q7" s="5">
        <f>Настройки!B4</f>
        <v>12</v>
      </c>
      <c r="R7" s="5" t="str">
        <f>Настройки!C4</f>
        <v>Неисправность</v>
      </c>
      <c r="S7" s="10"/>
      <c r="T7" s="644" t="b">
        <f>Настройки!M8</f>
        <v>0</v>
      </c>
      <c r="U7" s="10"/>
      <c r="V7" s="10"/>
      <c r="W7" s="10"/>
      <c r="X7" s="10"/>
      <c r="Y7" s="10"/>
      <c r="Z7" s="10"/>
      <c r="AA7" s="10"/>
      <c r="AB7" s="10"/>
      <c r="AC7" s="10"/>
      <c r="BM7" s="4"/>
      <c r="BN7" s="4"/>
      <c r="BO7" s="4"/>
      <c r="BP7" s="4"/>
    </row>
    <row r="8" spans="1:68" ht="15" customHeight="1">
      <c r="A8" s="9"/>
      <c r="B8" s="9"/>
      <c r="C8" s="9"/>
      <c r="D8" s="9"/>
      <c r="E8" s="9"/>
      <c r="F8" s="9"/>
      <c r="P8" s="6" t="str">
        <f>Настройки!A5</f>
        <v>Телесигнализация</v>
      </c>
      <c r="Q8" s="5">
        <f>Настройки!B5</f>
        <v>18</v>
      </c>
      <c r="R8" s="5" t="str">
        <f>Настройки!C5</f>
        <v>Телесигнализация</v>
      </c>
      <c r="S8" s="10"/>
      <c r="T8" s="674" t="s">
        <v>1824</v>
      </c>
      <c r="U8" s="10"/>
      <c r="V8" s="10"/>
      <c r="W8" s="10"/>
      <c r="X8" s="10"/>
      <c r="Y8" s="10"/>
      <c r="Z8" s="10"/>
      <c r="AA8" s="10"/>
      <c r="AB8" s="10"/>
      <c r="AC8" s="10"/>
      <c r="BM8" s="4"/>
      <c r="BN8" s="4"/>
      <c r="BO8" s="4"/>
      <c r="BP8" s="4"/>
    </row>
    <row r="9" spans="1:68" ht="15" customHeight="1">
      <c r="A9" s="9"/>
      <c r="B9" s="9"/>
      <c r="C9" s="9"/>
      <c r="D9" s="9"/>
      <c r="E9" s="9"/>
      <c r="F9" s="9"/>
      <c r="P9" s="6" t="str">
        <f>Настройки!A6</f>
        <v>Недостоверность</v>
      </c>
      <c r="Q9" s="5">
        <f>Настройки!B6</f>
        <v>10</v>
      </c>
      <c r="R9" s="5" t="str">
        <f>Настройки!C6</f>
        <v>Недостоверность</v>
      </c>
      <c r="S9" s="10"/>
      <c r="T9" s="458" t="s">
        <v>1789</v>
      </c>
      <c r="U9" s="10"/>
      <c r="V9" s="10"/>
      <c r="W9" s="10"/>
      <c r="X9" s="10"/>
      <c r="Y9" s="10"/>
      <c r="Z9" s="10"/>
      <c r="AA9" s="10"/>
      <c r="AB9" s="10"/>
      <c r="AC9" s="10"/>
      <c r="BM9" s="4"/>
      <c r="BN9" s="4"/>
      <c r="BO9" s="4"/>
      <c r="BP9" s="4"/>
    </row>
    <row r="10" spans="1:68" ht="15" customHeight="1">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AB10" s="10"/>
      <c r="AC10" s="10"/>
      <c r="BM10" s="4"/>
      <c r="BN10" s="4"/>
      <c r="BO10" s="4"/>
      <c r="BP10" s="4"/>
    </row>
    <row r="11" spans="1:68" ht="15" customHeight="1">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AB11" s="10"/>
      <c r="AC11" s="10"/>
      <c r="BM11" s="4"/>
      <c r="BN11" s="4"/>
      <c r="BO11" s="4"/>
      <c r="BP11" s="4"/>
    </row>
    <row r="12" spans="1:68"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AB12" s="10"/>
      <c r="AC12" s="10"/>
      <c r="BM12" s="4"/>
      <c r="BN12" s="4"/>
      <c r="BO12" s="4"/>
      <c r="BP12" s="4"/>
    </row>
    <row r="13" spans="1:68"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AB13" s="10"/>
      <c r="AC13" s="10"/>
      <c r="BM13" s="4"/>
      <c r="BN13" s="4"/>
      <c r="BO13" s="4"/>
      <c r="BP13" s="4"/>
    </row>
    <row r="14" spans="1:68"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AB14" s="10"/>
      <c r="AC14" s="10"/>
      <c r="BM14" s="4"/>
      <c r="BN14" s="4"/>
      <c r="BO14" s="4"/>
      <c r="BP14" s="4"/>
    </row>
    <row r="15" spans="1:68"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AB15" s="10"/>
      <c r="AC15" s="10"/>
      <c r="BM15" s="4"/>
      <c r="BN15" s="4"/>
      <c r="BO15" s="4"/>
      <c r="BP15" s="4"/>
    </row>
    <row r="16" spans="1:68"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AB16" s="10"/>
      <c r="AC16" s="10"/>
      <c r="BM16" s="4"/>
      <c r="BN16" s="4"/>
      <c r="BO16" s="4"/>
      <c r="BP16" s="4"/>
    </row>
    <row r="17" spans="1:68"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AB17" s="10"/>
      <c r="AC17" s="10"/>
      <c r="BM17" s="4"/>
      <c r="BN17" s="4"/>
      <c r="BO17" s="4"/>
      <c r="BP17" s="4"/>
    </row>
    <row r="18" spans="1:68"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AB18" s="10"/>
      <c r="AC18" s="10"/>
      <c r="BM18" s="4"/>
      <c r="BN18" s="4"/>
      <c r="BO18" s="4"/>
      <c r="BP18" s="4"/>
    </row>
    <row r="19" spans="1:68"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AB19" s="10"/>
      <c r="AC19" s="10"/>
      <c r="BM19" s="4"/>
      <c r="BN19" s="4"/>
      <c r="BO19" s="4"/>
      <c r="BP19" s="4"/>
    </row>
    <row r="20" spans="1:68">
      <c r="A20" s="217" t="str">
        <f t="shared" ref="A20:A29" si="0">$R$2&amp;".FONS"</f>
        <v>АСПС.FB_UPG_S5.FONS</v>
      </c>
      <c r="B20" s="218">
        <v>11154</v>
      </c>
      <c r="C20" s="218" t="s">
        <v>4</v>
      </c>
      <c r="D20" s="219">
        <f>$Q$7</f>
        <v>12</v>
      </c>
    </row>
    <row r="21" spans="1:68">
      <c r="A21" s="211" t="str">
        <f t="shared" si="0"/>
        <v>АСПС.FB_UPG_S5.FONS</v>
      </c>
      <c r="B21" s="212">
        <v>11150</v>
      </c>
      <c r="C21" s="212" t="s">
        <v>0</v>
      </c>
      <c r="D21" s="213" t="str">
        <f>"Неисправность цепи состояния " &amp;  IF(COUNTIF(T9,"FB_Imp*")=1,"Включен","Открыт(а)")</f>
        <v>Неисправность цепи состояния Открыт(а)</v>
      </c>
    </row>
    <row r="22" spans="1:68">
      <c r="A22" s="211" t="str">
        <f t="shared" si="0"/>
        <v>АСПС.FB_UPG_S5.FONS</v>
      </c>
      <c r="B22" s="212">
        <v>11152</v>
      </c>
      <c r="C22" s="212" t="s">
        <v>0</v>
      </c>
      <c r="D22" s="220" t="str">
        <f>$R$7</f>
        <v>Неисправность</v>
      </c>
    </row>
    <row r="23" spans="1:68">
      <c r="A23" s="211" t="str">
        <f t="shared" si="0"/>
        <v>АСПС.FB_UPG_S5.FONS</v>
      </c>
      <c r="B23" s="212">
        <v>11000</v>
      </c>
      <c r="C23" s="212" t="s">
        <v>5</v>
      </c>
      <c r="D23" s="213">
        <v>2147483680</v>
      </c>
    </row>
    <row r="24" spans="1:68">
      <c r="A24" s="19" t="str">
        <f t="shared" si="0"/>
        <v>АСПС.FB_UPG_S5.FONS</v>
      </c>
      <c r="B24" s="11">
        <v>7999</v>
      </c>
      <c r="C24" s="11" t="s">
        <v>0</v>
      </c>
      <c r="D24" s="20" t="str">
        <f>"#"&amp;$S$2&amp;"#"&amp;$T$2&amp;"\"&amp;$P$2&amp;"\FONS"</f>
        <v>#2#treiOPCDA.CoOPCserv.1\pcmaster\FB_UPG_S5\FONS</v>
      </c>
    </row>
    <row r="25" spans="1:68">
      <c r="A25" s="19" t="str">
        <f t="shared" si="0"/>
        <v>АСПС.FB_UPG_S5.FONS</v>
      </c>
      <c r="B25" s="11">
        <v>7998</v>
      </c>
      <c r="C25" s="11" t="s">
        <v>6</v>
      </c>
      <c r="D25" s="20">
        <v>1</v>
      </c>
    </row>
    <row r="26" spans="1:68">
      <c r="A26" s="19" t="str">
        <f t="shared" si="0"/>
        <v>АСПС.FB_UPG_S5.FONS</v>
      </c>
      <c r="B26" s="11">
        <v>101</v>
      </c>
      <c r="C26" s="11" t="s">
        <v>0</v>
      </c>
      <c r="D26" s="20" t="str">
        <f>"Неисправность цепи состояния " &amp;  IF(COUNTIF(T9,"FB_Imp*")=1,"Включен","Открыт(а)")</f>
        <v>Неисправность цепи состояния Открыт(а)</v>
      </c>
    </row>
    <row r="27" spans="1:68">
      <c r="A27" s="19" t="str">
        <f t="shared" si="0"/>
        <v>АСПС.FB_UPG_S5.FONS</v>
      </c>
      <c r="B27" s="11">
        <v>3</v>
      </c>
      <c r="C27" s="11" t="s">
        <v>1</v>
      </c>
      <c r="D27" s="20">
        <v>192</v>
      </c>
    </row>
    <row r="28" spans="1:68">
      <c r="A28" s="19" t="str">
        <f t="shared" si="0"/>
        <v>АСПС.FB_UPG_S5.FONS</v>
      </c>
      <c r="B28" s="11">
        <v>2</v>
      </c>
      <c r="C28" s="11" t="s">
        <v>2</v>
      </c>
      <c r="D28" s="20" t="s">
        <v>3</v>
      </c>
    </row>
    <row r="29" spans="1:68">
      <c r="A29" s="21" t="str">
        <f t="shared" si="0"/>
        <v>АСПС.FB_UPG_S5.FONS</v>
      </c>
      <c r="B29" s="8">
        <v>1</v>
      </c>
      <c r="C29" s="8" t="s">
        <v>1</v>
      </c>
      <c r="D29" s="22">
        <v>11</v>
      </c>
    </row>
    <row r="30" spans="1:68">
      <c r="A30" s="217" t="str">
        <f t="shared" ref="A30:A39" si="1">$R$2&amp;".FOFS"</f>
        <v>АСПС.FB_UPG_S5.FOFS</v>
      </c>
      <c r="B30" s="218">
        <v>11154</v>
      </c>
      <c r="C30" s="218" t="s">
        <v>4</v>
      </c>
      <c r="D30" s="219">
        <f>$Q$7</f>
        <v>12</v>
      </c>
    </row>
    <row r="31" spans="1:68">
      <c r="A31" s="211" t="str">
        <f t="shared" si="1"/>
        <v>АСПС.FB_UPG_S5.FOFS</v>
      </c>
      <c r="B31" s="212">
        <v>11150</v>
      </c>
      <c r="C31" s="212" t="s">
        <v>0</v>
      </c>
      <c r="D31" s="213" t="str">
        <f>"Неисправность цепи состояния " &amp;  IF(COUNTIF(T9,"FB_Imp*")=1,"Отключен","Закрыт(а)")</f>
        <v>Неисправность цепи состояния Закрыт(а)</v>
      </c>
    </row>
    <row r="32" spans="1:68">
      <c r="A32" s="211" t="str">
        <f t="shared" si="1"/>
        <v>АСПС.FB_UPG_S5.FOFS</v>
      </c>
      <c r="B32" s="212">
        <v>11152</v>
      </c>
      <c r="C32" s="212" t="s">
        <v>0</v>
      </c>
      <c r="D32" s="220" t="str">
        <f>$R$7</f>
        <v>Неисправность</v>
      </c>
    </row>
    <row r="33" spans="1:4">
      <c r="A33" s="211" t="str">
        <f t="shared" si="1"/>
        <v>АСПС.FB_UPG_S5.FOFS</v>
      </c>
      <c r="B33" s="212">
        <v>11000</v>
      </c>
      <c r="C33" s="212" t="s">
        <v>5</v>
      </c>
      <c r="D33" s="213">
        <v>2147483680</v>
      </c>
    </row>
    <row r="34" spans="1:4">
      <c r="A34" s="19" t="str">
        <f t="shared" si="1"/>
        <v>АСПС.FB_UPG_S5.FOFS</v>
      </c>
      <c r="B34" s="11">
        <v>7999</v>
      </c>
      <c r="C34" s="11" t="s">
        <v>0</v>
      </c>
      <c r="D34" s="20" t="str">
        <f>"#"&amp;$S$2&amp;"#"&amp;$T$2&amp;"\"&amp;$P$2&amp;"\FOFS"</f>
        <v>#2#treiOPCDA.CoOPCserv.1\pcmaster\FB_UPG_S5\FOFS</v>
      </c>
    </row>
    <row r="35" spans="1:4">
      <c r="A35" s="19" t="str">
        <f t="shared" si="1"/>
        <v>АСПС.FB_UPG_S5.FOFS</v>
      </c>
      <c r="B35" s="11">
        <v>7998</v>
      </c>
      <c r="C35" s="11" t="s">
        <v>6</v>
      </c>
      <c r="D35" s="20">
        <v>1</v>
      </c>
    </row>
    <row r="36" spans="1:4">
      <c r="A36" s="19" t="str">
        <f t="shared" si="1"/>
        <v>АСПС.FB_UPG_S5.FOFS</v>
      </c>
      <c r="B36" s="11">
        <v>101</v>
      </c>
      <c r="C36" s="11" t="s">
        <v>0</v>
      </c>
      <c r="D36" s="20" t="str">
        <f>"Неисправность цепи состояния " &amp;  IF(COUNTIF(T9,"FB_Imp*")=1,"Отключен","Закрыт(а)")</f>
        <v>Неисправность цепи состояния Закрыт(а)</v>
      </c>
    </row>
    <row r="37" spans="1:4">
      <c r="A37" s="19" t="str">
        <f t="shared" si="1"/>
        <v>АСПС.FB_UPG_S5.FOFS</v>
      </c>
      <c r="B37" s="11">
        <v>3</v>
      </c>
      <c r="C37" s="11" t="s">
        <v>1</v>
      </c>
      <c r="D37" s="20">
        <v>192</v>
      </c>
    </row>
    <row r="38" spans="1:4">
      <c r="A38" s="19" t="str">
        <f t="shared" si="1"/>
        <v>АСПС.FB_UPG_S5.FOFS</v>
      </c>
      <c r="B38" s="11">
        <v>2</v>
      </c>
      <c r="C38" s="11" t="s">
        <v>2</v>
      </c>
      <c r="D38" s="20" t="s">
        <v>3</v>
      </c>
    </row>
    <row r="39" spans="1:4">
      <c r="A39" s="21" t="str">
        <f t="shared" si="1"/>
        <v>АСПС.FB_UPG_S5.FOFS</v>
      </c>
      <c r="B39" s="8">
        <v>1</v>
      </c>
      <c r="C39" s="8" t="s">
        <v>1</v>
      </c>
      <c r="D39" s="22">
        <v>11</v>
      </c>
    </row>
    <row r="40" spans="1:4">
      <c r="A40" s="217" t="str">
        <f t="shared" ref="A40:A49" si="2">$R$2&amp;".FSON"</f>
        <v>АСПС.FB_UPG_S5.FSON</v>
      </c>
      <c r="B40" s="218">
        <v>11154</v>
      </c>
      <c r="C40" s="218" t="s">
        <v>4</v>
      </c>
      <c r="D40" s="219">
        <f>$Q$7</f>
        <v>12</v>
      </c>
    </row>
    <row r="41" spans="1:4">
      <c r="A41" s="211" t="str">
        <f t="shared" si="2"/>
        <v>АСПС.FB_UPG_S5.FSON</v>
      </c>
      <c r="B41" s="212">
        <v>11150</v>
      </c>
      <c r="C41" s="212" t="s">
        <v>0</v>
      </c>
      <c r="D41" s="213" t="str">
        <f>"Неисправность цепи управления " &amp;  IF(COUNTIF(T9,"FB_Imp*")=1,"Включить","Открыть")</f>
        <v>Неисправность цепи управления Открыть</v>
      </c>
    </row>
    <row r="42" spans="1:4">
      <c r="A42" s="211" t="str">
        <f t="shared" si="2"/>
        <v>АСПС.FB_UPG_S5.FSON</v>
      </c>
      <c r="B42" s="212">
        <v>11152</v>
      </c>
      <c r="C42" s="212" t="s">
        <v>0</v>
      </c>
      <c r="D42" s="220" t="str">
        <f>$R$7</f>
        <v>Неисправность</v>
      </c>
    </row>
    <row r="43" spans="1:4">
      <c r="A43" s="211" t="str">
        <f t="shared" si="2"/>
        <v>АСПС.FB_UPG_S5.FSON</v>
      </c>
      <c r="B43" s="212">
        <v>11000</v>
      </c>
      <c r="C43" s="212" t="s">
        <v>5</v>
      </c>
      <c r="D43" s="213">
        <v>2147483680</v>
      </c>
    </row>
    <row r="44" spans="1:4">
      <c r="A44" s="19" t="str">
        <f t="shared" si="2"/>
        <v>АСПС.FB_UPG_S5.FSON</v>
      </c>
      <c r="B44" s="11">
        <v>7999</v>
      </c>
      <c r="C44" s="11" t="s">
        <v>0</v>
      </c>
      <c r="D44" s="20" t="str">
        <f>"#"&amp;$S$2&amp;"#"&amp;$T$2&amp;"\"&amp;$P$2&amp;"\FSON"</f>
        <v>#2#treiOPCDA.CoOPCserv.1\pcmaster\FB_UPG_S5\FSON</v>
      </c>
    </row>
    <row r="45" spans="1:4">
      <c r="A45" s="19" t="str">
        <f t="shared" si="2"/>
        <v>АСПС.FB_UPG_S5.FSON</v>
      </c>
      <c r="B45" s="11">
        <v>7998</v>
      </c>
      <c r="C45" s="11" t="s">
        <v>6</v>
      </c>
      <c r="D45" s="20">
        <v>1</v>
      </c>
    </row>
    <row r="46" spans="1:4">
      <c r="A46" s="19" t="str">
        <f t="shared" si="2"/>
        <v>АСПС.FB_UPG_S5.FSON</v>
      </c>
      <c r="B46" s="11">
        <v>101</v>
      </c>
      <c r="C46" s="11" t="s">
        <v>0</v>
      </c>
      <c r="D46" s="20" t="str">
        <f>"Неисправность цепи управления " &amp;  IF(COUNTIF(T9,"FB_Imp*")=1,"Включить","Открыть")</f>
        <v>Неисправность цепи управления Открыть</v>
      </c>
    </row>
    <row r="47" spans="1:4">
      <c r="A47" s="19" t="str">
        <f t="shared" si="2"/>
        <v>АСПС.FB_UPG_S5.FSON</v>
      </c>
      <c r="B47" s="11">
        <v>3</v>
      </c>
      <c r="C47" s="11" t="s">
        <v>1</v>
      </c>
      <c r="D47" s="20">
        <v>192</v>
      </c>
    </row>
    <row r="48" spans="1:4">
      <c r="A48" s="19" t="str">
        <f t="shared" si="2"/>
        <v>АСПС.FB_UPG_S5.FSON</v>
      </c>
      <c r="B48" s="11">
        <v>2</v>
      </c>
      <c r="C48" s="11" t="s">
        <v>2</v>
      </c>
      <c r="D48" s="20" t="s">
        <v>3</v>
      </c>
    </row>
    <row r="49" spans="1:4">
      <c r="A49" s="21" t="str">
        <f t="shared" si="2"/>
        <v>АСПС.FB_UPG_S5.FSON</v>
      </c>
      <c r="B49" s="8">
        <v>1</v>
      </c>
      <c r="C49" s="8" t="s">
        <v>1</v>
      </c>
      <c r="D49" s="22">
        <v>11</v>
      </c>
    </row>
    <row r="50" spans="1:4">
      <c r="A50" s="217" t="str">
        <f t="shared" ref="A50:A59" si="3">$R$2&amp;".FSOF"</f>
        <v>АСПС.FB_UPG_S5.FSOF</v>
      </c>
      <c r="B50" s="218">
        <v>11154</v>
      </c>
      <c r="C50" s="218" t="s">
        <v>4</v>
      </c>
      <c r="D50" s="219">
        <f>$Q$7</f>
        <v>12</v>
      </c>
    </row>
    <row r="51" spans="1:4">
      <c r="A51" s="211" t="str">
        <f t="shared" si="3"/>
        <v>АСПС.FB_UPG_S5.FSOF</v>
      </c>
      <c r="B51" s="212">
        <v>11150</v>
      </c>
      <c r="C51" s="212" t="s">
        <v>0</v>
      </c>
      <c r="D51" s="213" t="str">
        <f>"Неисправность цепи управления " &amp;  IF(COUNTIF(T9,"FB_Imp*")=1,"Отключить","Закрыть")</f>
        <v>Неисправность цепи управления Закрыть</v>
      </c>
    </row>
    <row r="52" spans="1:4">
      <c r="A52" s="211" t="str">
        <f t="shared" si="3"/>
        <v>АСПС.FB_UPG_S5.FSOF</v>
      </c>
      <c r="B52" s="212">
        <v>11152</v>
      </c>
      <c r="C52" s="212" t="s">
        <v>0</v>
      </c>
      <c r="D52" s="220" t="str">
        <f>$R$7</f>
        <v>Неисправность</v>
      </c>
    </row>
    <row r="53" spans="1:4">
      <c r="A53" s="211" t="str">
        <f t="shared" si="3"/>
        <v>АСПС.FB_UPG_S5.FSOF</v>
      </c>
      <c r="B53" s="212">
        <v>11000</v>
      </c>
      <c r="C53" s="212" t="s">
        <v>5</v>
      </c>
      <c r="D53" s="213">
        <v>2147483680</v>
      </c>
    </row>
    <row r="54" spans="1:4">
      <c r="A54" s="19" t="str">
        <f t="shared" si="3"/>
        <v>АСПС.FB_UPG_S5.FSOF</v>
      </c>
      <c r="B54" s="11">
        <v>7999</v>
      </c>
      <c r="C54" s="11" t="s">
        <v>0</v>
      </c>
      <c r="D54" s="20" t="str">
        <f>"#"&amp;$S$2&amp;"#"&amp;$T$2&amp;"\"&amp;$P$2&amp;"\FSOF"</f>
        <v>#2#treiOPCDA.CoOPCserv.1\pcmaster\FB_UPG_S5\FSOF</v>
      </c>
    </row>
    <row r="55" spans="1:4">
      <c r="A55" s="19" t="str">
        <f t="shared" si="3"/>
        <v>АСПС.FB_UPG_S5.FSOF</v>
      </c>
      <c r="B55" s="11">
        <v>7998</v>
      </c>
      <c r="C55" s="11" t="s">
        <v>6</v>
      </c>
      <c r="D55" s="20">
        <v>1</v>
      </c>
    </row>
    <row r="56" spans="1:4">
      <c r="A56" s="19" t="str">
        <f t="shared" si="3"/>
        <v>АСПС.FB_UPG_S5.FSOF</v>
      </c>
      <c r="B56" s="11">
        <v>101</v>
      </c>
      <c r="C56" s="11" t="s">
        <v>0</v>
      </c>
      <c r="D56" s="20" t="str">
        <f>"Неисправность цепи управления " &amp;  IF(COUNTIF(T9,"FB_Imp*")=1,"Отключить","Закрыть")</f>
        <v>Неисправность цепи управления Закрыть</v>
      </c>
    </row>
    <row r="57" spans="1:4">
      <c r="A57" s="19" t="str">
        <f t="shared" si="3"/>
        <v>АСПС.FB_UPG_S5.FSOF</v>
      </c>
      <c r="B57" s="11">
        <v>3</v>
      </c>
      <c r="C57" s="11" t="s">
        <v>1</v>
      </c>
      <c r="D57" s="20">
        <v>192</v>
      </c>
    </row>
    <row r="58" spans="1:4">
      <c r="A58" s="19" t="str">
        <f t="shared" si="3"/>
        <v>АСПС.FB_UPG_S5.FSOF</v>
      </c>
      <c r="B58" s="11">
        <v>2</v>
      </c>
      <c r="C58" s="11" t="s">
        <v>2</v>
      </c>
      <c r="D58" s="20" t="s">
        <v>3</v>
      </c>
    </row>
    <row r="59" spans="1:4">
      <c r="A59" s="21" t="str">
        <f t="shared" si="3"/>
        <v>АСПС.FB_UPG_S5.FSOF</v>
      </c>
      <c r="B59" s="8">
        <v>1</v>
      </c>
      <c r="C59" s="8" t="s">
        <v>1</v>
      </c>
      <c r="D59" s="22">
        <v>11</v>
      </c>
    </row>
    <row r="60" spans="1:4">
      <c r="A60" s="211" t="str">
        <f t="shared" ref="A60:A69" si="4">$R$2&amp;".XNW2"</f>
        <v>АСПС.FB_UPG_S5.XNW2</v>
      </c>
      <c r="B60" s="212">
        <v>11154</v>
      </c>
      <c r="C60" s="212" t="s">
        <v>4</v>
      </c>
      <c r="D60" s="221">
        <f>$Q$7</f>
        <v>12</v>
      </c>
    </row>
    <row r="61" spans="1:4">
      <c r="A61" s="211" t="str">
        <f t="shared" si="4"/>
        <v>АСПС.FB_UPG_S5.XNW2</v>
      </c>
      <c r="B61" s="212">
        <v>11152</v>
      </c>
      <c r="C61" s="212" t="s">
        <v>0</v>
      </c>
      <c r="D61" s="220" t="str">
        <f>$R$7</f>
        <v>Неисправность</v>
      </c>
    </row>
    <row r="62" spans="1:4">
      <c r="A62" s="211" t="str">
        <f t="shared" si="4"/>
        <v>АСПС.FB_UPG_S5.XNW2</v>
      </c>
      <c r="B62" s="212">
        <v>11150</v>
      </c>
      <c r="C62" s="212" t="s">
        <v>0</v>
      </c>
      <c r="D62" s="213" t="s">
        <v>500</v>
      </c>
    </row>
    <row r="63" spans="1:4">
      <c r="A63" s="211" t="str">
        <f t="shared" si="4"/>
        <v>АСПС.FB_UPG_S5.XNW2</v>
      </c>
      <c r="B63" s="212">
        <v>11000</v>
      </c>
      <c r="C63" s="212" t="s">
        <v>5</v>
      </c>
      <c r="D63" s="213">
        <v>2147483680</v>
      </c>
    </row>
    <row r="64" spans="1:4">
      <c r="A64" s="19" t="str">
        <f t="shared" si="4"/>
        <v>АСПС.FB_UPG_S5.XNW2</v>
      </c>
      <c r="B64" s="11">
        <v>7999</v>
      </c>
      <c r="C64" s="11" t="s">
        <v>0</v>
      </c>
      <c r="D64" s="20" t="str">
        <f>"#"&amp;$S$2&amp;"#"&amp;$T$2&amp;"\"&amp;$P$2&amp;"\XNW2"</f>
        <v>#2#treiOPCDA.CoOPCserv.1\pcmaster\FB_UPG_S5\XNW2</v>
      </c>
    </row>
    <row r="65" spans="1:4">
      <c r="A65" s="19" t="str">
        <f t="shared" si="4"/>
        <v>АСПС.FB_UPG_S5.XNW2</v>
      </c>
      <c r="B65" s="11">
        <v>7998</v>
      </c>
      <c r="C65" s="11" t="s">
        <v>6</v>
      </c>
      <c r="D65" s="20">
        <v>1</v>
      </c>
    </row>
    <row r="66" spans="1:4">
      <c r="A66" s="19" t="str">
        <f t="shared" si="4"/>
        <v>АСПС.FB_UPG_S5.XNW2</v>
      </c>
      <c r="B66" s="11">
        <v>101</v>
      </c>
      <c r="C66" s="11" t="s">
        <v>0</v>
      </c>
      <c r="D66" s="20" t="s">
        <v>500</v>
      </c>
    </row>
    <row r="67" spans="1:4">
      <c r="A67" s="19" t="str">
        <f t="shared" si="4"/>
        <v>АСПС.FB_UPG_S5.XNW2</v>
      </c>
      <c r="B67" s="11">
        <v>3</v>
      </c>
      <c r="C67" s="11" t="s">
        <v>1</v>
      </c>
      <c r="D67" s="20">
        <v>192</v>
      </c>
    </row>
    <row r="68" spans="1:4">
      <c r="A68" s="19" t="str">
        <f t="shared" si="4"/>
        <v>АСПС.FB_UPG_S5.XNW2</v>
      </c>
      <c r="B68" s="11">
        <v>2</v>
      </c>
      <c r="C68" s="11" t="s">
        <v>2</v>
      </c>
      <c r="D68" s="20" t="s">
        <v>3</v>
      </c>
    </row>
    <row r="69" spans="1:4">
      <c r="A69" s="21" t="str">
        <f t="shared" si="4"/>
        <v>АСПС.FB_UPG_S5.XNW2</v>
      </c>
      <c r="B69" s="8">
        <v>1</v>
      </c>
      <c r="C69" s="8" t="s">
        <v>1</v>
      </c>
      <c r="D69" s="22">
        <v>11</v>
      </c>
    </row>
    <row r="70" spans="1:4">
      <c r="A70" s="222" t="str">
        <f t="shared" ref="A70:A79" si="5">$R$2&amp;".XW2X"</f>
        <v>АСПС.FB_UPG_S5.XW2X</v>
      </c>
      <c r="B70" s="223">
        <v>11154</v>
      </c>
      <c r="C70" s="223" t="s">
        <v>4</v>
      </c>
      <c r="D70" s="224">
        <f>$Q$14</f>
        <v>1</v>
      </c>
    </row>
    <row r="71" spans="1:4">
      <c r="A71" s="225" t="str">
        <f t="shared" si="5"/>
        <v>АСПС.FB_UPG_S5.XW2X</v>
      </c>
      <c r="B71" s="226">
        <v>11150</v>
      </c>
      <c r="C71" s="226" t="s">
        <v>0</v>
      </c>
      <c r="D71" s="227" t="s">
        <v>501</v>
      </c>
    </row>
    <row r="72" spans="1:4">
      <c r="A72" s="225" t="str">
        <f t="shared" si="5"/>
        <v>АСПС.FB_UPG_S5.XW2X</v>
      </c>
      <c r="B72" s="226">
        <v>11152</v>
      </c>
      <c r="C72" s="226" t="s">
        <v>0</v>
      </c>
      <c r="D72" s="228" t="str">
        <f>$R$14</f>
        <v>Тушение</v>
      </c>
    </row>
    <row r="73" spans="1:4">
      <c r="A73" s="225" t="str">
        <f t="shared" si="5"/>
        <v>АСПС.FB_UPG_S5.XW2X</v>
      </c>
      <c r="B73" s="226">
        <v>11000</v>
      </c>
      <c r="C73" s="226" t="s">
        <v>5</v>
      </c>
      <c r="D73" s="227">
        <v>2147483680</v>
      </c>
    </row>
    <row r="74" spans="1:4">
      <c r="A74" s="19" t="str">
        <f t="shared" si="5"/>
        <v>АСПС.FB_UPG_S5.XW2X</v>
      </c>
      <c r="B74" s="11">
        <v>7999</v>
      </c>
      <c r="C74" s="11" t="s">
        <v>0</v>
      </c>
      <c r="D74" s="20" t="str">
        <f>"#"&amp;$S$2&amp;"#"&amp;$T$2&amp;"\"&amp;$P$2&amp;"\XW2X"</f>
        <v>#2#treiOPCDA.CoOPCserv.1\pcmaster\FB_UPG_S5\XW2X</v>
      </c>
    </row>
    <row r="75" spans="1:4">
      <c r="A75" s="19" t="str">
        <f t="shared" si="5"/>
        <v>АСПС.FB_UPG_S5.XW2X</v>
      </c>
      <c r="B75" s="11">
        <v>7998</v>
      </c>
      <c r="C75" s="11" t="s">
        <v>6</v>
      </c>
      <c r="D75" s="20">
        <v>1</v>
      </c>
    </row>
    <row r="76" spans="1:4">
      <c r="A76" s="19" t="str">
        <f t="shared" si="5"/>
        <v>АСПС.FB_UPG_S5.XW2X</v>
      </c>
      <c r="B76" s="11">
        <v>101</v>
      </c>
      <c r="C76" s="11" t="s">
        <v>0</v>
      </c>
      <c r="D76" s="20" t="s">
        <v>501</v>
      </c>
    </row>
    <row r="77" spans="1:4">
      <c r="A77" s="19" t="str">
        <f t="shared" si="5"/>
        <v>АСПС.FB_UPG_S5.XW2X</v>
      </c>
      <c r="B77" s="11">
        <v>3</v>
      </c>
      <c r="C77" s="11" t="s">
        <v>1</v>
      </c>
      <c r="D77" s="20">
        <v>192</v>
      </c>
    </row>
    <row r="78" spans="1:4">
      <c r="A78" s="19" t="str">
        <f t="shared" si="5"/>
        <v>АСПС.FB_UPG_S5.XW2X</v>
      </c>
      <c r="B78" s="11">
        <v>2</v>
      </c>
      <c r="C78" s="11" t="s">
        <v>2</v>
      </c>
      <c r="D78" s="20" t="s">
        <v>3</v>
      </c>
    </row>
    <row r="79" spans="1:4">
      <c r="A79" s="21" t="str">
        <f t="shared" si="5"/>
        <v>АСПС.FB_UPG_S5.XW2X</v>
      </c>
      <c r="B79" s="8">
        <v>1</v>
      </c>
      <c r="C79" s="8" t="s">
        <v>1</v>
      </c>
      <c r="D79" s="22">
        <v>11</v>
      </c>
    </row>
    <row r="80" spans="1:4">
      <c r="A80" s="222" t="str">
        <f t="shared" ref="A80:A88" si="6">$R$2&amp;".OF2N"</f>
        <v>АСПС.FB_UPG_S5.OF2N</v>
      </c>
      <c r="B80" s="223">
        <v>11154</v>
      </c>
      <c r="C80" s="223" t="s">
        <v>4</v>
      </c>
      <c r="D80" s="224">
        <f>$Q$14</f>
        <v>1</v>
      </c>
    </row>
    <row r="81" spans="1:16">
      <c r="A81" s="225" t="str">
        <f t="shared" si="6"/>
        <v>АСПС.FB_UPG_S5.OF2N</v>
      </c>
      <c r="B81" s="226">
        <v>11150</v>
      </c>
      <c r="C81" s="226" t="s">
        <v>0</v>
      </c>
      <c r="D81" s="227" t="s">
        <v>1858</v>
      </c>
    </row>
    <row r="82" spans="1:16">
      <c r="A82" s="225" t="str">
        <f t="shared" si="6"/>
        <v>АСПС.FB_UPG_S5.OF2N</v>
      </c>
      <c r="B82" s="226">
        <v>11152</v>
      </c>
      <c r="C82" s="226" t="s">
        <v>0</v>
      </c>
      <c r="D82" s="228" t="str">
        <f>$R$14</f>
        <v>Тушение</v>
      </c>
    </row>
    <row r="83" spans="1:16">
      <c r="A83" s="225" t="str">
        <f t="shared" si="6"/>
        <v>АСПС.FB_UPG_S5.OF2N</v>
      </c>
      <c r="B83" s="226">
        <v>11000</v>
      </c>
      <c r="C83" s="226" t="s">
        <v>5</v>
      </c>
      <c r="D83" s="227">
        <v>2147483680</v>
      </c>
    </row>
    <row r="84" spans="1:16">
      <c r="A84" s="19" t="str">
        <f t="shared" si="6"/>
        <v>АСПС.FB_UPG_S5.OF2N</v>
      </c>
      <c r="B84" s="11">
        <v>7999</v>
      </c>
      <c r="C84" s="11" t="s">
        <v>0</v>
      </c>
      <c r="D84" s="20" t="str">
        <f>"#"&amp;$S$2&amp;"#"&amp;$T$2&amp;"\"&amp;$P$2&amp;"\OF2N"</f>
        <v>#2#treiOPCDA.CoOPCserv.1\pcmaster\FB_UPG_S5\OF2N</v>
      </c>
    </row>
    <row r="85" spans="1:16">
      <c r="A85" s="19" t="str">
        <f t="shared" si="6"/>
        <v>АСПС.FB_UPG_S5.OF2N</v>
      </c>
      <c r="B85" s="11">
        <v>7998</v>
      </c>
      <c r="C85" s="11" t="s">
        <v>6</v>
      </c>
      <c r="D85" s="20">
        <v>1</v>
      </c>
    </row>
    <row r="86" spans="1:16">
      <c r="A86" s="19" t="str">
        <f t="shared" si="6"/>
        <v>АСПС.FB_UPG_S5.OF2N</v>
      </c>
      <c r="B86" s="11">
        <v>101</v>
      </c>
      <c r="C86" s="11" t="s">
        <v>0</v>
      </c>
      <c r="D86" s="20" t="s">
        <v>1858</v>
      </c>
    </row>
    <row r="87" spans="1:16">
      <c r="A87" s="19" t="str">
        <f t="shared" si="6"/>
        <v>АСПС.FB_UPG_S5.OF2N</v>
      </c>
      <c r="B87" s="11">
        <v>3</v>
      </c>
      <c r="C87" s="11" t="s">
        <v>1</v>
      </c>
      <c r="D87" s="20">
        <v>192</v>
      </c>
    </row>
    <row r="88" spans="1:16">
      <c r="A88" s="19" t="str">
        <f t="shared" si="6"/>
        <v>АСПС.FB_UPG_S5.OF2N</v>
      </c>
      <c r="B88" s="11">
        <v>2</v>
      </c>
      <c r="C88" s="11" t="s">
        <v>2</v>
      </c>
      <c r="D88" s="20" t="s">
        <v>3</v>
      </c>
    </row>
    <row r="89" spans="1:16">
      <c r="A89" s="21" t="str">
        <f>$R$2&amp;".OF2N"</f>
        <v>АСПС.FB_UPG_S5.OF2N</v>
      </c>
      <c r="B89" s="8">
        <v>1</v>
      </c>
      <c r="C89" s="8" t="s">
        <v>1</v>
      </c>
      <c r="D89" s="22">
        <v>11</v>
      </c>
    </row>
    <row r="90" spans="1:16">
      <c r="A90" s="266" t="str">
        <f t="shared" ref="A90:A95" si="7">$R$2&amp;".XFT2"</f>
        <v>АСПС.FB_UPG_S5.XFT2</v>
      </c>
      <c r="B90" s="267">
        <v>7999</v>
      </c>
      <c r="C90" s="267" t="s">
        <v>0</v>
      </c>
      <c r="D90" s="268" t="str">
        <f>"#"&amp;$S$2&amp;"#"&amp;$T$2&amp;"\"&amp;$P$2&amp;"\XFT2"</f>
        <v>#2#treiOPCDA.CoOPCserv.1\pcmaster\FB_UPG_S5\XFT2</v>
      </c>
    </row>
    <row r="91" spans="1:16">
      <c r="A91" s="269" t="str">
        <f t="shared" si="7"/>
        <v>АСПС.FB_UPG_S5.XFT2</v>
      </c>
      <c r="B91" s="270">
        <v>7998</v>
      </c>
      <c r="C91" s="270" t="s">
        <v>6</v>
      </c>
      <c r="D91" s="271">
        <v>1</v>
      </c>
    </row>
    <row r="92" spans="1:16">
      <c r="A92" s="269" t="str">
        <f t="shared" si="7"/>
        <v>АСПС.FB_UPG_S5.XFT2</v>
      </c>
      <c r="B92" s="270">
        <v>101</v>
      </c>
      <c r="C92" s="270" t="s">
        <v>0</v>
      </c>
      <c r="D92" s="271" t="s">
        <v>585</v>
      </c>
    </row>
    <row r="93" spans="1:16">
      <c r="A93" s="269" t="str">
        <f t="shared" si="7"/>
        <v>АСПС.FB_UPG_S5.XFT2</v>
      </c>
      <c r="B93" s="270">
        <v>3</v>
      </c>
      <c r="C93" s="270" t="s">
        <v>1</v>
      </c>
      <c r="D93" s="271">
        <v>192</v>
      </c>
    </row>
    <row r="94" spans="1:16">
      <c r="A94" s="269" t="str">
        <f t="shared" si="7"/>
        <v>АСПС.FB_UPG_S5.XFT2</v>
      </c>
      <c r="B94" s="270">
        <v>2</v>
      </c>
      <c r="C94" s="270" t="s">
        <v>6</v>
      </c>
      <c r="D94" s="271">
        <v>0</v>
      </c>
    </row>
    <row r="95" spans="1:16">
      <c r="A95" s="272" t="str">
        <f t="shared" si="7"/>
        <v>АСПС.FB_UPG_S5.XFT2</v>
      </c>
      <c r="B95" s="273">
        <v>1</v>
      </c>
      <c r="C95" s="273" t="s">
        <v>1</v>
      </c>
      <c r="D95" s="274">
        <v>3</v>
      </c>
    </row>
    <row r="96" spans="1:16">
      <c r="A96" s="11"/>
      <c r="B96" s="11"/>
      <c r="C96" s="11"/>
      <c r="D96" s="11"/>
      <c r="E96" s="1"/>
      <c r="F96" s="1"/>
      <c r="G96" s="1"/>
      <c r="H96" s="1"/>
      <c r="I96" s="1"/>
      <c r="J96" s="1"/>
      <c r="K96" s="1"/>
      <c r="L96" s="1"/>
      <c r="M96" s="1"/>
      <c r="N96" s="1"/>
      <c r="O96" s="1"/>
      <c r="P96" s="1"/>
    </row>
    <row r="97" spans="1:16">
      <c r="A97" s="11"/>
      <c r="B97" s="11"/>
      <c r="C97" s="11"/>
      <c r="D97" s="11"/>
      <c r="E97" s="1"/>
      <c r="F97" s="1"/>
      <c r="G97" s="1"/>
      <c r="H97" s="1"/>
      <c r="I97" s="1"/>
      <c r="J97" s="1"/>
      <c r="K97" s="1"/>
      <c r="L97" s="1"/>
      <c r="M97" s="1"/>
      <c r="N97" s="1"/>
      <c r="O97" s="1"/>
      <c r="P97" s="1"/>
    </row>
    <row r="98" spans="1:16">
      <c r="A98" s="11"/>
      <c r="B98" s="11"/>
      <c r="C98" s="11"/>
      <c r="D98" s="11"/>
      <c r="E98" s="1"/>
      <c r="F98" s="1"/>
      <c r="G98" s="1"/>
      <c r="H98" s="1"/>
      <c r="I98" s="1"/>
      <c r="J98" s="1"/>
      <c r="K98" s="1"/>
      <c r="L98" s="1"/>
      <c r="M98" s="1"/>
      <c r="N98" s="1"/>
      <c r="O98" s="1"/>
      <c r="P98" s="1"/>
    </row>
    <row r="99" spans="1:16">
      <c r="A99" s="11"/>
      <c r="B99" s="11"/>
      <c r="C99" s="11"/>
      <c r="D99" s="11"/>
      <c r="E99" s="1"/>
      <c r="F99" s="1"/>
      <c r="G99" s="1"/>
      <c r="H99" s="1"/>
      <c r="I99" s="1"/>
      <c r="J99" s="1"/>
      <c r="K99" s="1"/>
      <c r="L99" s="1"/>
      <c r="M99" s="1"/>
      <c r="N99" s="1"/>
      <c r="O99" s="1"/>
      <c r="P99" s="1"/>
    </row>
    <row r="100" spans="1:16">
      <c r="A100" s="1"/>
      <c r="B100" s="1"/>
      <c r="C100" s="1"/>
      <c r="D100" s="1"/>
      <c r="E100" s="1"/>
      <c r="F100" s="1"/>
      <c r="G100" s="1"/>
      <c r="H100" s="1"/>
      <c r="I100" s="1"/>
      <c r="J100" s="1"/>
      <c r="K100" s="1"/>
      <c r="L100" s="1"/>
      <c r="M100" s="1"/>
      <c r="N100" s="1"/>
      <c r="O100" s="1"/>
      <c r="P100" s="1"/>
    </row>
    <row r="101" spans="1:16">
      <c r="A101" s="1"/>
      <c r="B101" s="1"/>
      <c r="C101" s="1"/>
      <c r="D101" s="1"/>
      <c r="E101" s="1"/>
      <c r="F101" s="1"/>
      <c r="G101" s="1"/>
      <c r="H101" s="1"/>
      <c r="I101" s="1"/>
      <c r="J101" s="1"/>
      <c r="K101" s="1"/>
      <c r="L101" s="1"/>
      <c r="M101" s="1"/>
      <c r="N101" s="1"/>
      <c r="O101" s="1"/>
      <c r="P101" s="1"/>
    </row>
    <row r="102" spans="1:16">
      <c r="A102" s="1"/>
      <c r="B102" s="1"/>
      <c r="C102" s="1"/>
      <c r="D102" s="1"/>
      <c r="E102" s="1"/>
      <c r="F102" s="1"/>
      <c r="G102" s="1"/>
      <c r="H102" s="1"/>
      <c r="I102" s="1"/>
      <c r="J102" s="1"/>
      <c r="K102" s="1"/>
      <c r="L102" s="1"/>
      <c r="M102" s="1"/>
      <c r="N102" s="1"/>
      <c r="O102" s="1"/>
      <c r="P102" s="1"/>
    </row>
    <row r="103" spans="1:16">
      <c r="A103" s="1"/>
      <c r="B103" s="1"/>
      <c r="C103" s="1"/>
      <c r="D103" s="1"/>
      <c r="E103" s="1"/>
      <c r="F103" s="1"/>
      <c r="G103" s="1"/>
      <c r="H103" s="1"/>
      <c r="I103" s="1"/>
      <c r="J103" s="1"/>
      <c r="K103" s="1"/>
      <c r="L103" s="1"/>
      <c r="M103" s="1"/>
      <c r="N103" s="1"/>
      <c r="O103" s="1"/>
      <c r="P103" s="1"/>
    </row>
    <row r="104" spans="1:16">
      <c r="A104" s="1"/>
      <c r="B104" s="1"/>
      <c r="C104" s="1"/>
      <c r="D104" s="1"/>
      <c r="E104" s="1"/>
      <c r="F104" s="1"/>
      <c r="G104" s="1"/>
      <c r="H104" s="1"/>
      <c r="I104" s="1"/>
      <c r="J104" s="1"/>
      <c r="K104" s="1"/>
      <c r="L104" s="1"/>
      <c r="M104" s="1"/>
      <c r="N104" s="1"/>
      <c r="O104" s="1"/>
      <c r="P104" s="1"/>
    </row>
    <row r="105" spans="1:16">
      <c r="A105" s="1"/>
      <c r="B105" s="1"/>
      <c r="C105" s="1"/>
      <c r="D105" s="1"/>
      <c r="E105" s="1"/>
      <c r="F105" s="1"/>
      <c r="G105" s="1"/>
      <c r="H105" s="1"/>
      <c r="I105" s="1"/>
      <c r="J105" s="1"/>
      <c r="K105" s="1"/>
      <c r="L105" s="1"/>
      <c r="M105" s="1"/>
      <c r="N105" s="1"/>
      <c r="O105" s="1"/>
      <c r="P105" s="1"/>
    </row>
  </sheetData>
  <autoFilter ref="B1:B59" xr:uid="{00000000-0009-0000-0000-00005E000000}"/>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Лист5">
    <tabColor rgb="FF92D050"/>
  </sheetPr>
  <dimension ref="A1:AC57"/>
  <sheetViews>
    <sheetView zoomScale="70" zoomScaleNormal="70" workbookViewId="0">
      <selection activeCell="V2" sqref="V2:AD2"/>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3"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14.25" customHeight="1">
      <c r="A2" s="10"/>
      <c r="B2" s="10"/>
      <c r="F2" s="10"/>
      <c r="G2" s="10"/>
      <c r="H2" s="10"/>
      <c r="I2" s="10"/>
      <c r="J2" s="10"/>
      <c r="K2" s="10"/>
      <c r="M2" s="10"/>
      <c r="N2" s="10"/>
      <c r="O2" s="10"/>
      <c r="P2" s="10"/>
      <c r="Q2" s="10"/>
      <c r="R2" s="10"/>
      <c r="U2" s="74" t="b">
        <f>Настройки!$M$34</f>
        <v>1</v>
      </c>
      <c r="V2" s="73" t="s">
        <v>4441</v>
      </c>
      <c r="W2" s="537" t="s">
        <v>4442</v>
      </c>
      <c r="X2" s="73">
        <v>0</v>
      </c>
      <c r="Y2" s="73"/>
      <c r="Z2" s="73">
        <v>-45</v>
      </c>
      <c r="AA2" s="74">
        <v>70</v>
      </c>
      <c r="AB2" s="74"/>
      <c r="AC2" s="74"/>
    </row>
    <row r="3" spans="1:29">
      <c r="A3" s="514" t="str">
        <f>SUBSTITUTE($V$2,"\","|")&amp;"|XVLX"</f>
        <v>GP315_T_01|XVLX</v>
      </c>
      <c r="B3" t="s">
        <v>69</v>
      </c>
      <c r="F3" t="s">
        <v>70</v>
      </c>
      <c r="G3" t="s">
        <v>71</v>
      </c>
      <c r="H3">
        <v>0</v>
      </c>
      <c r="I3" t="s">
        <v>72</v>
      </c>
      <c r="J3" t="s">
        <v>69</v>
      </c>
      <c r="K3" s="514">
        <v>2</v>
      </c>
      <c r="M3">
        <v>1</v>
      </c>
      <c r="R3" t="str">
        <f>IF($U$2=TRUE,$W$2&amp;". Выходное значение","Выходное значение")</f>
        <v>ГП 315. Температура T1. Выходное значение</v>
      </c>
    </row>
    <row r="4" spans="1:29">
      <c r="A4" s="514" t="str">
        <f>SUBSTITUTE($V$2,"\","|")&amp;"|XVLP"</f>
        <v>GP315_T_01|XVLP</v>
      </c>
      <c r="B4" t="s">
        <v>69</v>
      </c>
      <c r="F4" t="s">
        <v>70</v>
      </c>
      <c r="G4" t="s">
        <v>71</v>
      </c>
      <c r="H4">
        <v>0</v>
      </c>
      <c r="I4" t="s">
        <v>72</v>
      </c>
      <c r="J4" t="s">
        <v>69</v>
      </c>
      <c r="K4" s="514">
        <v>2</v>
      </c>
      <c r="M4">
        <v>1</v>
      </c>
      <c r="R4" t="str">
        <f>IF($U$2=TRUE,$W$2&amp;". Выходное значение в процентах","Выходное значение в процентах")</f>
        <v>ГП 315. Температура T1. Выходное значение в процентах</v>
      </c>
      <c r="S4" s="372"/>
      <c r="U4" s="773"/>
      <c r="V4" s="4"/>
      <c r="W4" s="773"/>
      <c r="X4" s="4"/>
    </row>
    <row r="5" spans="1:29">
      <c r="A5" s="514" t="str">
        <f>SUBSTITUTE($V$2,"\","|")&amp;"|XVXX"</f>
        <v>GP315_T_01|XVXX</v>
      </c>
      <c r="B5" t="s">
        <v>69</v>
      </c>
      <c r="F5" t="s">
        <v>70</v>
      </c>
      <c r="G5" t="s">
        <v>71</v>
      </c>
      <c r="H5">
        <v>0</v>
      </c>
      <c r="I5" t="s">
        <v>72</v>
      </c>
      <c r="J5" t="s">
        <v>69</v>
      </c>
      <c r="K5" s="514">
        <v>2</v>
      </c>
      <c r="M5">
        <v>1</v>
      </c>
      <c r="R5" t="str">
        <f>IF($U$2=TRUE,$W$2&amp;". Выходное значение без ограничений","Выходное значение без ограничений")</f>
        <v>ГП 315. Температура T1. Выходное значение без ограничений</v>
      </c>
      <c r="S5" s="372"/>
      <c r="U5" s="773"/>
      <c r="V5" s="4"/>
      <c r="W5" s="773"/>
      <c r="X5" s="4"/>
    </row>
    <row r="6" spans="1:29">
      <c r="A6" s="514" t="str">
        <f>SUBSTITUTE($V$2,"\","|")&amp;"|SLSX"</f>
        <v>GP315_T_01|SLSX</v>
      </c>
      <c r="B6" t="s">
        <v>69</v>
      </c>
      <c r="F6" s="52">
        <f>$Z$2</f>
        <v>-45</v>
      </c>
      <c r="G6" t="s">
        <v>71</v>
      </c>
      <c r="H6">
        <v>0</v>
      </c>
      <c r="I6" t="s">
        <v>76</v>
      </c>
      <c r="J6" t="s">
        <v>73</v>
      </c>
      <c r="K6" s="514">
        <v>2</v>
      </c>
      <c r="M6">
        <v>1</v>
      </c>
      <c r="R6" t="str">
        <f>IF($U$2=TRUE,$W$2&amp;". Нижняя шкала датчика","Нижняя шкала датчика")</f>
        <v>ГП 315. Температура T1. Нижняя шкала датчика</v>
      </c>
      <c r="S6" s="372"/>
      <c r="U6" s="773"/>
      <c r="V6" s="4"/>
      <c r="W6" s="773"/>
      <c r="X6" s="4"/>
    </row>
    <row r="7" spans="1:29">
      <c r="A7" s="514" t="str">
        <f>SUBSTITUTE($V$2,"\","|")&amp;"|SHSX"</f>
        <v>GP315_T_01|SHSX</v>
      </c>
      <c r="B7" t="s">
        <v>69</v>
      </c>
      <c r="F7" s="52">
        <f>$AA$2</f>
        <v>70</v>
      </c>
      <c r="G7" t="s">
        <v>71</v>
      </c>
      <c r="H7">
        <v>0</v>
      </c>
      <c r="I7" t="s">
        <v>76</v>
      </c>
      <c r="J7" t="s">
        <v>73</v>
      </c>
      <c r="K7" s="514">
        <v>2</v>
      </c>
      <c r="M7">
        <v>1</v>
      </c>
      <c r="R7" t="str">
        <f>IF($U$2=TRUE,$W$2&amp;". Верхняя шкала датчика","Верхняя шкала датчика")</f>
        <v>ГП 315. Температура T1. Верхняя шкала датчика</v>
      </c>
      <c r="S7" s="372"/>
      <c r="U7" s="773"/>
      <c r="V7" s="4"/>
      <c r="W7" s="773"/>
      <c r="X7" s="4"/>
    </row>
    <row r="8" spans="1:29">
      <c r="A8" s="514" t="str">
        <f>SUBSTITUTE($V$2,"\","|")&amp;"|SHAX"</f>
        <v>GP315_T_01|SHAX</v>
      </c>
      <c r="B8" t="s">
        <v>69</v>
      </c>
      <c r="F8" s="240">
        <f>0.05*F6+0.95*F7</f>
        <v>64.25</v>
      </c>
      <c r="G8" t="s">
        <v>71</v>
      </c>
      <c r="H8">
        <v>0</v>
      </c>
      <c r="I8" t="s">
        <v>76</v>
      </c>
      <c r="J8" t="s">
        <v>73</v>
      </c>
      <c r="K8" s="514">
        <v>2</v>
      </c>
      <c r="M8">
        <v>1</v>
      </c>
      <c r="R8" t="str">
        <f>IF($U$2=TRUE,$W$2&amp;". Уставка верхняя аварийная","Уставка верхняя аварийная")</f>
        <v>ГП 315. Температура T1. Уставка верхняя аварийная</v>
      </c>
      <c r="S8" s="372"/>
      <c r="U8" s="773"/>
      <c r="V8" s="4"/>
      <c r="W8" s="773"/>
      <c r="X8" s="4"/>
    </row>
    <row r="9" spans="1:29">
      <c r="A9" s="514" t="str">
        <f>SUBSTITUTE($V$2,"\","|")&amp;"|SHWX"</f>
        <v>GP315_T_01|SHWX</v>
      </c>
      <c r="B9" t="s">
        <v>69</v>
      </c>
      <c r="F9" s="240">
        <f>0.1*F6+0.9*F7</f>
        <v>58.5</v>
      </c>
      <c r="G9" t="s">
        <v>71</v>
      </c>
      <c r="H9">
        <v>0</v>
      </c>
      <c r="I9" t="s">
        <v>76</v>
      </c>
      <c r="J9" t="s">
        <v>73</v>
      </c>
      <c r="K9" s="514">
        <v>2</v>
      </c>
      <c r="M9">
        <v>1</v>
      </c>
      <c r="R9" t="str">
        <f>IF($U$2=TRUE,$W$2&amp;". Уставка верхняя предупредительная","Уставка верхняя предупредительная")</f>
        <v>ГП 315. Температура T1. Уставка верхняя предупредительная</v>
      </c>
      <c r="S9" s="372"/>
      <c r="U9" s="773"/>
      <c r="V9" s="4"/>
      <c r="W9" s="773"/>
      <c r="X9" s="4"/>
    </row>
    <row r="10" spans="1:29">
      <c r="A10" s="514" t="str">
        <f>SUBSTITUTE($V$2,"\","|")&amp;"|SLWX"</f>
        <v>GP315_T_01|SLWX</v>
      </c>
      <c r="B10" t="s">
        <v>69</v>
      </c>
      <c r="F10" s="240">
        <f>0.9*F6+0.1*F7</f>
        <v>-33.5</v>
      </c>
      <c r="G10" t="s">
        <v>71</v>
      </c>
      <c r="H10">
        <v>0</v>
      </c>
      <c r="I10" t="s">
        <v>76</v>
      </c>
      <c r="J10" t="s">
        <v>73</v>
      </c>
      <c r="K10" s="514">
        <v>2</v>
      </c>
      <c r="M10">
        <v>1</v>
      </c>
      <c r="R10" t="str">
        <f>IF($U$2=TRUE,$W$2&amp;". Уставка нижняя предупредительная","Уставка нижняя предупредительная")</f>
        <v>ГП 315. Температура T1. Уставка нижняя предупредительная</v>
      </c>
      <c r="S10" s="372"/>
      <c r="U10" s="773"/>
      <c r="V10" s="4"/>
      <c r="W10" s="773"/>
      <c r="X10" s="4"/>
    </row>
    <row r="11" spans="1:29">
      <c r="A11" s="514" t="str">
        <f>SUBSTITUTE($V$2,"\","|")&amp;"|SLAX"</f>
        <v>GP315_T_01|SLAX</v>
      </c>
      <c r="B11" t="s">
        <v>69</v>
      </c>
      <c r="F11" s="240">
        <f>0.95*F6+0.05*F7</f>
        <v>-39.25</v>
      </c>
      <c r="G11" t="s">
        <v>71</v>
      </c>
      <c r="H11">
        <v>0</v>
      </c>
      <c r="I11" t="s">
        <v>76</v>
      </c>
      <c r="J11" t="s">
        <v>73</v>
      </c>
      <c r="K11" s="514">
        <v>2</v>
      </c>
      <c r="M11">
        <v>1</v>
      </c>
      <c r="R11" t="str">
        <f>IF($U$2=TRUE,$W$2&amp;". Уставка нижняя аварийная","Уставка нижняя аварийная")</f>
        <v>ГП 315. Температура T1. Уставка нижняя аварийная</v>
      </c>
      <c r="S11" s="372"/>
      <c r="U11" s="773"/>
      <c r="V11" s="4"/>
      <c r="W11" s="773"/>
      <c r="X11" s="4"/>
    </row>
    <row r="12" spans="1:29">
      <c r="A12" s="514" t="str">
        <f>SUBSTITUTE($V$2,"\","|")&amp;"|SIMX"</f>
        <v>GP315_T_01|SIMX</v>
      </c>
      <c r="B12" t="s">
        <v>69</v>
      </c>
      <c r="F12" t="s">
        <v>70</v>
      </c>
      <c r="G12" t="s">
        <v>71</v>
      </c>
      <c r="H12">
        <v>0</v>
      </c>
      <c r="I12" t="s">
        <v>76</v>
      </c>
      <c r="J12" t="s">
        <v>73</v>
      </c>
      <c r="K12" s="514">
        <v>2</v>
      </c>
      <c r="M12">
        <v>1</v>
      </c>
      <c r="R12" t="str">
        <f>IF($U$2=TRUE,$W$2&amp;". Задание для имитации","Задание для имитации")</f>
        <v>ГП 315. Температура T1. Задание для имитации</v>
      </c>
      <c r="S12" s="372"/>
      <c r="U12" s="773"/>
      <c r="V12" s="4"/>
      <c r="W12" s="773"/>
      <c r="X12" s="4"/>
    </row>
    <row r="13" spans="1:29">
      <c r="A13" s="515" t="str">
        <f>SUBSTITUTE($V$2,"\","|")&amp;"|CHAX"</f>
        <v>GP315_T_01|CHAX</v>
      </c>
      <c r="B13" t="s">
        <v>74</v>
      </c>
      <c r="F13" t="s">
        <v>72</v>
      </c>
      <c r="G13" t="s">
        <v>71</v>
      </c>
      <c r="H13">
        <v>0</v>
      </c>
      <c r="I13" t="s">
        <v>76</v>
      </c>
      <c r="J13" t="s">
        <v>73</v>
      </c>
      <c r="K13" s="515" t="s">
        <v>1383</v>
      </c>
      <c r="M13">
        <v>1</v>
      </c>
      <c r="R13" t="str">
        <f>IF($U$2=TRUE,$W$2&amp;". Формировать верхнюю аварийную уставку","Формировать верхнюю аварийную уставку")</f>
        <v>ГП 315. Температура T1. Формировать верхнюю аварийную уставку</v>
      </c>
      <c r="S13" s="372"/>
      <c r="U13" s="773"/>
      <c r="V13" s="4"/>
      <c r="W13" s="773"/>
      <c r="X13" s="4"/>
    </row>
    <row r="14" spans="1:29">
      <c r="A14" s="515" t="str">
        <f>SUBSTITUTE($V$2,"\","|")&amp;"|CHWX"</f>
        <v>GP315_T_01|CHWX</v>
      </c>
      <c r="B14" t="s">
        <v>74</v>
      </c>
      <c r="F14" t="s">
        <v>72</v>
      </c>
      <c r="G14" t="s">
        <v>71</v>
      </c>
      <c r="H14">
        <v>0</v>
      </c>
      <c r="I14" t="s">
        <v>76</v>
      </c>
      <c r="J14" t="s">
        <v>73</v>
      </c>
      <c r="K14" s="515" t="s">
        <v>1383</v>
      </c>
      <c r="M14">
        <v>1</v>
      </c>
      <c r="R14" t="str">
        <f>IF($U$2=TRUE,$W$2&amp;". Формировать верхнюю предупредительную уставку","Формировать верхнюю предупредительную уставку")</f>
        <v>ГП 315. Температура T1. Формировать верхнюю предупредительную уставку</v>
      </c>
      <c r="S14" s="372"/>
      <c r="U14" s="773"/>
      <c r="V14" s="4"/>
      <c r="W14" s="773"/>
      <c r="X14" s="4"/>
    </row>
    <row r="15" spans="1:29">
      <c r="A15" s="515" t="str">
        <f>SUBSTITUTE($V$2,"\","|")&amp;"|CLWX"</f>
        <v>GP315_T_01|CLWX</v>
      </c>
      <c r="B15" t="s">
        <v>74</v>
      </c>
      <c r="F15" t="s">
        <v>72</v>
      </c>
      <c r="G15" t="s">
        <v>71</v>
      </c>
      <c r="H15">
        <v>0</v>
      </c>
      <c r="I15" t="s">
        <v>76</v>
      </c>
      <c r="J15" t="s">
        <v>73</v>
      </c>
      <c r="K15" s="515" t="s">
        <v>1383</v>
      </c>
      <c r="M15">
        <v>1</v>
      </c>
      <c r="R15" t="str">
        <f>IF($U$2=TRUE,$W$2&amp;". Формировать нижнюю предупредительную уставку","Формировать нижнюю предупредительную уставку")</f>
        <v>ГП 315. Температура T1. Формировать нижнюю предупредительную уставку</v>
      </c>
      <c r="S15" s="372"/>
      <c r="U15" s="773"/>
      <c r="V15" s="4"/>
      <c r="W15" s="773"/>
      <c r="X15" s="4"/>
    </row>
    <row r="16" spans="1:29">
      <c r="A16" s="515" t="str">
        <f>SUBSTITUTE($V$2,"\","|")&amp;"|CLAX"</f>
        <v>GP315_T_01|CLAX</v>
      </c>
      <c r="B16" t="s">
        <v>74</v>
      </c>
      <c r="F16" t="s">
        <v>72</v>
      </c>
      <c r="G16" t="s">
        <v>71</v>
      </c>
      <c r="H16">
        <v>0</v>
      </c>
      <c r="I16" t="s">
        <v>76</v>
      </c>
      <c r="J16" t="s">
        <v>73</v>
      </c>
      <c r="K16" s="515" t="s">
        <v>1383</v>
      </c>
      <c r="M16">
        <v>1</v>
      </c>
      <c r="R16" t="str">
        <f>IF($U$2=TRUE,$W$2&amp;". Формировать нижнюю аварийную уставку","Формировать нижнюю аварийную уставку")</f>
        <v>ГП 315. Температура T1. Формировать нижнюю аварийную уставку</v>
      </c>
      <c r="S16" s="372"/>
      <c r="U16" s="773"/>
      <c r="V16" s="4"/>
      <c r="W16" s="773"/>
      <c r="X16" s="4"/>
    </row>
    <row r="17" spans="1:24">
      <c r="A17" s="515" t="str">
        <f>SUBSTITUTE($V$2,"\","|")&amp;"|CIMX"</f>
        <v>GP315_T_01|CIMX</v>
      </c>
      <c r="B17" t="s">
        <v>74</v>
      </c>
      <c r="F17" t="s">
        <v>72</v>
      </c>
      <c r="G17" t="s">
        <v>71</v>
      </c>
      <c r="H17">
        <v>0</v>
      </c>
      <c r="I17" t="s">
        <v>76</v>
      </c>
      <c r="J17" t="s">
        <v>73</v>
      </c>
      <c r="K17" s="515" t="s">
        <v>1383</v>
      </c>
      <c r="M17">
        <v>1</v>
      </c>
      <c r="R17" t="str">
        <f>IF($U$2=TRUE,$W$2&amp;". Активация для имитации","Активация для имитации")</f>
        <v>ГП 315. Температура T1. Активация для имитации</v>
      </c>
      <c r="S17" s="372"/>
      <c r="U17" s="773"/>
      <c r="V17" s="4"/>
      <c r="W17" s="773"/>
      <c r="X17" s="4"/>
    </row>
    <row r="18" spans="1:24">
      <c r="A18" s="515" t="str">
        <f>SUBSTITUTE($V$2,"\","|")&amp;"|CDAX"</f>
        <v>GP315_T_01|CDAX</v>
      </c>
      <c r="B18" t="s">
        <v>74</v>
      </c>
      <c r="F18" t="s">
        <v>72</v>
      </c>
      <c r="G18" t="s">
        <v>71</v>
      </c>
      <c r="H18">
        <v>0</v>
      </c>
      <c r="I18" t="s">
        <v>76</v>
      </c>
      <c r="J18" t="s">
        <v>73</v>
      </c>
      <c r="K18" s="515" t="s">
        <v>1383</v>
      </c>
      <c r="M18">
        <v>1</v>
      </c>
      <c r="R18" t="str">
        <f>IF($U$2=TRUE,$W$2&amp;". Команда вывести из алгоритма","Команда вывести из алгоритма")</f>
        <v>ГП 315. Температура T1. Команда вывести из алгоритма</v>
      </c>
      <c r="S18" s="372"/>
      <c r="U18" s="773"/>
      <c r="V18" s="4"/>
      <c r="W18" s="773"/>
      <c r="X18" s="4"/>
    </row>
    <row r="19" spans="1:24">
      <c r="A19" s="515" t="str">
        <f>SUBSTITUTE($V$2,"\","|")&amp;"|CRPX"</f>
        <v>GP315_T_01|CRPX</v>
      </c>
      <c r="B19" t="s">
        <v>74</v>
      </c>
      <c r="F19" t="s">
        <v>72</v>
      </c>
      <c r="G19" t="s">
        <v>71</v>
      </c>
      <c r="H19">
        <v>0</v>
      </c>
      <c r="I19" t="s">
        <v>76</v>
      </c>
      <c r="J19" t="s">
        <v>73</v>
      </c>
      <c r="K19" s="515" t="s">
        <v>1383</v>
      </c>
      <c r="M19">
        <v>1</v>
      </c>
      <c r="R19" t="str">
        <f>IF($U$2=TRUE,$W$2&amp;". Команда ремонт","Команда ремонт")</f>
        <v>ГП 315. Температура T1. Команда ремонт</v>
      </c>
      <c r="S19" s="372"/>
      <c r="U19" s="773"/>
      <c r="V19" s="4"/>
      <c r="W19" s="773"/>
      <c r="X19" s="4"/>
    </row>
    <row r="20" spans="1:24">
      <c r="A20" s="515" t="str">
        <f>SUBSTITUTE($V$2,"\","|")&amp;"|CRST"</f>
        <v>GP315_T_01|CRST</v>
      </c>
      <c r="B20" t="s">
        <v>74</v>
      </c>
      <c r="F20" t="s">
        <v>72</v>
      </c>
      <c r="G20" t="s">
        <v>71</v>
      </c>
      <c r="H20">
        <v>0</v>
      </c>
      <c r="I20" t="s">
        <v>72</v>
      </c>
      <c r="J20" t="s">
        <v>73</v>
      </c>
      <c r="K20" s="515" t="s">
        <v>1383</v>
      </c>
      <c r="M20">
        <v>1</v>
      </c>
      <c r="R20" t="str">
        <f>IF($U$2=TRUE,$W$2&amp;". Команда сброс ошибок","Команда сброс ошибок")</f>
        <v>ГП 315. Температура T1. Команда сброс ошибок</v>
      </c>
      <c r="S20" s="372"/>
      <c r="U20" s="773"/>
      <c r="V20" s="4"/>
      <c r="W20" s="773"/>
      <c r="X20" s="4"/>
    </row>
    <row r="21" spans="1:24">
      <c r="A21" t="str">
        <f>SUBSTITUTE($V$2,"\","|")&amp;"|BHAX"</f>
        <v>GP315_T_01|BHAX</v>
      </c>
      <c r="B21" t="s">
        <v>74</v>
      </c>
      <c r="F21" t="s">
        <v>72</v>
      </c>
      <c r="G21" t="s">
        <v>71</v>
      </c>
      <c r="H21">
        <v>0</v>
      </c>
      <c r="I21" t="s">
        <v>72</v>
      </c>
      <c r="J21" t="s">
        <v>69</v>
      </c>
      <c r="K21">
        <v>0</v>
      </c>
      <c r="M21">
        <v>1</v>
      </c>
      <c r="R21" t="str">
        <f>IF($U$2=TRUE,$W$2&amp;". Блокировка сигнализации уставки верхней аварийной","Блокировка сигнализации уставки верхней аварийной")</f>
        <v>ГП 315. Температура T1. Блокировка сигнализации уставки верхней аварийной</v>
      </c>
      <c r="S21" s="372"/>
      <c r="U21" s="773"/>
      <c r="V21" s="4"/>
      <c r="W21" s="773"/>
      <c r="X21" s="4"/>
    </row>
    <row r="22" spans="1:24">
      <c r="A22" t="str">
        <f>SUBSTITUTE($V$2,"\","|")&amp;"|BHWX"</f>
        <v>GP315_T_01|BHWX</v>
      </c>
      <c r="B22" t="s">
        <v>74</v>
      </c>
      <c r="F22" t="s">
        <v>72</v>
      </c>
      <c r="G22" t="s">
        <v>71</v>
      </c>
      <c r="H22">
        <v>0</v>
      </c>
      <c r="I22" t="s">
        <v>72</v>
      </c>
      <c r="J22" t="s">
        <v>69</v>
      </c>
      <c r="K22">
        <v>0</v>
      </c>
      <c r="M22">
        <v>1</v>
      </c>
      <c r="R22" t="str">
        <f>IF($U$2=TRUE,$W$2&amp;". Блокировка сигнализации уставки верхней предупредительной","Блокировка сигнализации уставки верхней предупредительной")</f>
        <v>ГП 315. Температура T1. Блокировка сигнализации уставки верхней предупредительной</v>
      </c>
      <c r="S22" s="372"/>
      <c r="U22" s="773"/>
      <c r="V22" s="4"/>
      <c r="W22" s="773"/>
      <c r="X22" s="4"/>
    </row>
    <row r="23" spans="1:24">
      <c r="A23" t="str">
        <f>SUBSTITUTE($V$2,"\","|")&amp;"|BLAX"</f>
        <v>GP315_T_01|BLAX</v>
      </c>
      <c r="B23" t="s">
        <v>74</v>
      </c>
      <c r="F23" t="s">
        <v>72</v>
      </c>
      <c r="G23" t="s">
        <v>71</v>
      </c>
      <c r="H23">
        <v>0</v>
      </c>
      <c r="I23" t="s">
        <v>72</v>
      </c>
      <c r="J23" t="s">
        <v>69</v>
      </c>
      <c r="K23">
        <v>0</v>
      </c>
      <c r="M23">
        <v>1</v>
      </c>
      <c r="R23" t="str">
        <f>IF($U$2=TRUE,$W$2&amp;". Блокировка сигнализации уставки нижней аварийной","Блокировка сигнализации уставки нижней аварийной")</f>
        <v>ГП 315. Температура T1. Блокировка сигнализации уставки нижней аварийной</v>
      </c>
      <c r="S23" s="372"/>
      <c r="U23" s="773"/>
      <c r="V23" s="4"/>
      <c r="W23" s="773"/>
      <c r="X23" s="4"/>
    </row>
    <row r="24" spans="1:24">
      <c r="A24" t="str">
        <f>SUBSTITUTE($V$2,"\","|")&amp;"|BLWX"</f>
        <v>GP315_T_01|BLWX</v>
      </c>
      <c r="B24" t="s">
        <v>74</v>
      </c>
      <c r="F24" t="s">
        <v>72</v>
      </c>
      <c r="G24" t="s">
        <v>71</v>
      </c>
      <c r="H24">
        <v>0</v>
      </c>
      <c r="I24" t="s">
        <v>72</v>
      </c>
      <c r="J24" t="s">
        <v>69</v>
      </c>
      <c r="K24">
        <v>0</v>
      </c>
      <c r="M24">
        <v>1</v>
      </c>
      <c r="R24" t="str">
        <f>IF($U$2=TRUE,$W$2&amp;". Блокировка сигнализации уставки нижней предупредительной","Блокировка сигнализации уставки нижней предупредительной")</f>
        <v>ГП 315. Температура T1. Блокировка сигнализации уставки нижней предупредительной</v>
      </c>
      <c r="S24" s="372"/>
      <c r="U24" s="773"/>
      <c r="V24" s="4"/>
      <c r="W24" s="773"/>
      <c r="X24" s="4"/>
    </row>
    <row r="25" spans="1:24">
      <c r="A25" t="str">
        <f>SUBSTITUTE($V$2,"\","|")&amp;"|CZCX"</f>
        <v>GP315_T_01|CZCX</v>
      </c>
      <c r="B25" t="s">
        <v>74</v>
      </c>
      <c r="F25" t="s">
        <v>72</v>
      </c>
      <c r="G25" t="s">
        <v>71</v>
      </c>
      <c r="H25">
        <v>0</v>
      </c>
      <c r="I25" t="s">
        <v>76</v>
      </c>
      <c r="J25" t="s">
        <v>73</v>
      </c>
      <c r="K25">
        <v>0</v>
      </c>
      <c r="M25">
        <v>1</v>
      </c>
      <c r="R25" t="str">
        <f>IF($U$2=TRUE,$W$2&amp;". Учитывать отсечку ноля","Учитывать отсечку ноля")</f>
        <v>ГП 315. Температура T1. Учитывать отсечку ноля</v>
      </c>
      <c r="S25" s="372"/>
      <c r="U25" s="773"/>
      <c r="V25" s="4"/>
      <c r="W25" s="773"/>
      <c r="X25" s="4"/>
    </row>
    <row r="26" spans="1:24">
      <c r="A26" t="str">
        <f>SUBSTITUTE($V$2,"\","|")&amp;"|DVXX"</f>
        <v>GP315_T_01|DVXX</v>
      </c>
      <c r="B26" t="s">
        <v>74</v>
      </c>
      <c r="F26" t="s">
        <v>72</v>
      </c>
      <c r="G26" t="s">
        <v>71</v>
      </c>
      <c r="H26">
        <v>0</v>
      </c>
      <c r="I26" t="s">
        <v>72</v>
      </c>
      <c r="J26" t="s">
        <v>69</v>
      </c>
      <c r="K26">
        <v>0</v>
      </c>
      <c r="M26">
        <v>1</v>
      </c>
      <c r="R26" t="str">
        <f>IF($U$2=TRUE,$W$2&amp;". Недостоверное входное значение","Недостоверное входное значение")</f>
        <v>ГП 315. Температура T1. Недостоверное входное значение</v>
      </c>
      <c r="S26" s="372"/>
      <c r="U26" s="773"/>
      <c r="V26" s="4"/>
      <c r="W26" s="773"/>
      <c r="X26" s="4"/>
    </row>
    <row r="27" spans="1:24">
      <c r="A27" s="4" t="str">
        <f>SUBSTITUTE($V$2,"\","|")&amp;"|FBXX"</f>
        <v>GP315_T_01|FBXX</v>
      </c>
      <c r="B27" t="s">
        <v>74</v>
      </c>
      <c r="F27" t="s">
        <v>72</v>
      </c>
      <c r="G27" t="s">
        <v>71</v>
      </c>
      <c r="H27">
        <v>0</v>
      </c>
      <c r="I27" t="s">
        <v>72</v>
      </c>
      <c r="J27" t="s">
        <v>69</v>
      </c>
      <c r="K27">
        <v>0</v>
      </c>
      <c r="M27">
        <v>1</v>
      </c>
      <c r="R27" t="str">
        <f>IF($U$2=TRUE,$W$2&amp;". Обрыв","Обрыв")</f>
        <v>ГП 315. Температура T1. Обрыв</v>
      </c>
      <c r="S27" s="372"/>
      <c r="U27" s="773"/>
      <c r="V27" s="4"/>
      <c r="W27" s="773"/>
      <c r="X27" s="4"/>
    </row>
    <row r="28" spans="1:24">
      <c r="A28" s="4" t="str">
        <f>SUBSTITUTE($V$2,"\","|")&amp;"|FHSX"</f>
        <v>GP315_T_01|FHSX</v>
      </c>
      <c r="B28" t="s">
        <v>74</v>
      </c>
      <c r="F28" t="s">
        <v>72</v>
      </c>
      <c r="G28" t="s">
        <v>71</v>
      </c>
      <c r="H28">
        <v>0</v>
      </c>
      <c r="I28" t="s">
        <v>72</v>
      </c>
      <c r="J28" t="s">
        <v>69</v>
      </c>
      <c r="K28">
        <v>0</v>
      </c>
      <c r="M28">
        <v>1</v>
      </c>
      <c r="R28" t="str">
        <f>IF($U$2=TRUE,$W$2&amp;". Выход за верхнюю шкалу датчика","Выход за верхнюю шкалу датчика")</f>
        <v>ГП 315. Температура T1. Выход за верхнюю шкалу датчика</v>
      </c>
      <c r="S28" s="372"/>
      <c r="U28" s="773"/>
      <c r="V28" s="4"/>
      <c r="W28" s="773"/>
      <c r="X28" s="4"/>
    </row>
    <row r="29" spans="1:24">
      <c r="A29" s="4" t="str">
        <f>SUBSTITUTE($V$2,"\","|")&amp;"|FLSX"</f>
        <v>GP315_T_01|FLSX</v>
      </c>
      <c r="B29" t="s">
        <v>74</v>
      </c>
      <c r="F29" t="s">
        <v>72</v>
      </c>
      <c r="G29" t="s">
        <v>71</v>
      </c>
      <c r="H29">
        <v>0</v>
      </c>
      <c r="I29" t="s">
        <v>72</v>
      </c>
      <c r="J29" t="s">
        <v>69</v>
      </c>
      <c r="K29">
        <v>0</v>
      </c>
      <c r="M29">
        <v>1</v>
      </c>
      <c r="R29" t="str">
        <f>IF($U$2=TRUE,$W$2&amp;". Выход за нижнюю шкалу датчика","Выход за нижнюю шкалу датчика")</f>
        <v>ГП 315. Температура T1. Выход за нижнюю шкалу датчика</v>
      </c>
      <c r="S29" s="372"/>
      <c r="U29" s="773"/>
      <c r="V29" s="4"/>
      <c r="W29" s="773"/>
      <c r="X29" s="4"/>
    </row>
    <row r="30" spans="1:24">
      <c r="A30" s="4" t="str">
        <f>SUBSTITUTE($V$2,"\","|")&amp;"|FSCX"</f>
        <v>GP315_T_01|FSCX</v>
      </c>
      <c r="B30" t="s">
        <v>74</v>
      </c>
      <c r="F30" t="s">
        <v>72</v>
      </c>
      <c r="G30" t="s">
        <v>71</v>
      </c>
      <c r="H30">
        <v>0</v>
      </c>
      <c r="I30" t="s">
        <v>72</v>
      </c>
      <c r="J30" t="s">
        <v>69</v>
      </c>
      <c r="K30">
        <v>0</v>
      </c>
      <c r="M30">
        <v>1</v>
      </c>
      <c r="R30" t="str">
        <f>IF($U$2=TRUE,$W$2&amp;". КЗ ","КЗ ")</f>
        <v xml:space="preserve">ГП 315. Температура T1. КЗ </v>
      </c>
      <c r="S30" s="372"/>
      <c r="U30" s="773"/>
      <c r="V30" s="4"/>
      <c r="W30" s="773"/>
      <c r="X30" s="4"/>
    </row>
    <row r="31" spans="1:24">
      <c r="A31" s="4" t="str">
        <f>SUBSTITUTE($V$2,"\","|")&amp;"|FSLX"</f>
        <v>GP315_T_01|FSLX</v>
      </c>
      <c r="B31" t="s">
        <v>74</v>
      </c>
      <c r="F31" t="s">
        <v>72</v>
      </c>
      <c r="G31" t="s">
        <v>71</v>
      </c>
      <c r="H31">
        <v>0</v>
      </c>
      <c r="I31" t="s">
        <v>72</v>
      </c>
      <c r="J31" t="s">
        <v>69</v>
      </c>
      <c r="K31">
        <v>0</v>
      </c>
      <c r="M31">
        <v>1</v>
      </c>
      <c r="R31" t="str">
        <f>IF($U$2=TRUE,$W$2&amp;". Предельная скорость изменения параметра","Предельная скорость изменения параметра")</f>
        <v>ГП 315. Температура T1. Предельная скорость изменения параметра</v>
      </c>
      <c r="S31" s="372"/>
      <c r="U31" s="773"/>
      <c r="V31" s="4"/>
      <c r="W31" s="773"/>
      <c r="X31" s="4"/>
    </row>
    <row r="32" spans="1:24">
      <c r="A32" s="4" t="str">
        <f>SUBSTITUTE($V$2,"\","|")&amp;"|FXXX"</f>
        <v>GP315_T_01|FXXX</v>
      </c>
      <c r="B32" t="s">
        <v>74</v>
      </c>
      <c r="F32" t="s">
        <v>72</v>
      </c>
      <c r="G32" t="s">
        <v>71</v>
      </c>
      <c r="H32">
        <v>0</v>
      </c>
      <c r="I32" t="s">
        <v>72</v>
      </c>
      <c r="J32" t="s">
        <v>69</v>
      </c>
      <c r="K32">
        <v>0</v>
      </c>
      <c r="M32">
        <v>1</v>
      </c>
      <c r="R32" t="str">
        <f>IF($U$2=TRUE,$W$2&amp;". Обобщённая неисправность","Обобщённая неисправность")</f>
        <v>ГП 315. Температура T1. Обобщённая неисправность</v>
      </c>
      <c r="S32" s="372"/>
      <c r="U32" s="773"/>
      <c r="V32" s="4"/>
      <c r="W32" s="773"/>
      <c r="X32" s="4"/>
    </row>
    <row r="33" spans="1:24">
      <c r="A33" s="4" t="str">
        <f>SUBSTITUTE($V$2,"\","|")&amp;"|FZCX"</f>
        <v>GP315_T_01|FZCX</v>
      </c>
      <c r="B33" t="s">
        <v>74</v>
      </c>
      <c r="F33" t="s">
        <v>72</v>
      </c>
      <c r="G33" t="s">
        <v>71</v>
      </c>
      <c r="H33">
        <v>0</v>
      </c>
      <c r="I33" t="s">
        <v>72</v>
      </c>
      <c r="J33" t="s">
        <v>69</v>
      </c>
      <c r="K33">
        <v>0</v>
      </c>
      <c r="M33">
        <v>1</v>
      </c>
      <c r="R33" t="str">
        <f>IF($U$2=TRUE,$W$2&amp;". Сработала отсечка ноля","Сработала отсечка ноля")</f>
        <v>ГП 315. Температура T1. Сработала отсечка ноля</v>
      </c>
      <c r="S33" s="372"/>
      <c r="U33" s="773"/>
      <c r="V33" s="4"/>
      <c r="W33" s="773"/>
      <c r="X33" s="4"/>
    </row>
    <row r="34" spans="1:24">
      <c r="A34" s="4" t="str">
        <f>SUBSTITUTE($V$2,"\","|")&amp;"|IVXX"</f>
        <v>GP315_T_01|IVXX</v>
      </c>
      <c r="B34" t="s">
        <v>69</v>
      </c>
      <c r="F34" t="s">
        <v>70</v>
      </c>
      <c r="G34" t="s">
        <v>71</v>
      </c>
      <c r="H34">
        <v>0</v>
      </c>
      <c r="I34" t="s">
        <v>72</v>
      </c>
      <c r="J34" t="s">
        <v>69</v>
      </c>
      <c r="K34">
        <v>0</v>
      </c>
      <c r="M34">
        <v>1</v>
      </c>
      <c r="R34" t="str">
        <f>IF($U$2=TRUE,$W$2&amp;". Входное значение","Входное значение")</f>
        <v>ГП 315. Температура T1. Входное значение</v>
      </c>
      <c r="S34" s="372"/>
      <c r="U34" s="773"/>
      <c r="V34" s="4"/>
      <c r="W34" s="773"/>
      <c r="X34" s="4"/>
    </row>
    <row r="35" spans="1:24">
      <c r="A35" s="4" t="str">
        <f>SUBSTITUTE($V$2,"\","|")&amp;"|SDBX"</f>
        <v>GP315_T_01|SDBX</v>
      </c>
      <c r="B35" t="s">
        <v>69</v>
      </c>
      <c r="F35" t="s">
        <v>70</v>
      </c>
      <c r="G35" t="s">
        <v>71</v>
      </c>
      <c r="H35">
        <v>0</v>
      </c>
      <c r="I35" t="s">
        <v>76</v>
      </c>
      <c r="J35" t="s">
        <v>73</v>
      </c>
      <c r="K35">
        <v>0</v>
      </c>
      <c r="M35">
        <v>1</v>
      </c>
      <c r="R35" t="str">
        <f>IF($U$2=TRUE,$W$2&amp;". Мертвая зона","Мертвая зона")</f>
        <v>ГП 315. Температура T1. Мертвая зона</v>
      </c>
      <c r="S35" s="372"/>
      <c r="U35" s="773"/>
      <c r="V35" s="4"/>
      <c r="W35" s="773"/>
      <c r="X35" s="4"/>
    </row>
    <row r="36" spans="1:24">
      <c r="A36" s="4" t="str">
        <f>SUBSTITUTE($V$2,"\","|")&amp;"|SDLX"</f>
        <v>GP315_T_01|SDLX</v>
      </c>
      <c r="B36" t="s">
        <v>69</v>
      </c>
      <c r="F36" s="52">
        <f>(F7-F6)*0.015</f>
        <v>1.7249999999999999</v>
      </c>
      <c r="G36" t="s">
        <v>71</v>
      </c>
      <c r="H36">
        <v>0</v>
      </c>
      <c r="I36" t="s">
        <v>76</v>
      </c>
      <c r="J36" t="s">
        <v>73</v>
      </c>
      <c r="K36">
        <v>0</v>
      </c>
      <c r="M36">
        <v>1</v>
      </c>
      <c r="R36" t="str">
        <f>IF($U$2=TRUE,$W$2&amp;". Лимит выхода параметра за границы шкалы","Лимит выхода параметра за границы шкалы")</f>
        <v>ГП 315. Температура T1. Лимит выхода параметра за границы шкалы</v>
      </c>
      <c r="S36" s="372"/>
      <c r="U36" s="773"/>
      <c r="V36" s="4"/>
      <c r="W36" s="773"/>
      <c r="X36" s="4"/>
    </row>
    <row r="37" spans="1:24">
      <c r="A37" s="4" t="str">
        <f>SUBSTITUTE($V$2,"\","|")&amp;"|SFTX"</f>
        <v>GP315_T_01|SFTX</v>
      </c>
      <c r="B37" t="s">
        <v>78</v>
      </c>
      <c r="F37">
        <v>0</v>
      </c>
      <c r="G37" t="s">
        <v>71</v>
      </c>
      <c r="H37">
        <v>0</v>
      </c>
      <c r="I37" t="s">
        <v>76</v>
      </c>
      <c r="J37" t="s">
        <v>73</v>
      </c>
      <c r="K37">
        <v>0</v>
      </c>
      <c r="M37">
        <v>1</v>
      </c>
      <c r="R37" t="str">
        <f>IF($U$2=TRUE,$W$2&amp;". Время фильтрации","Время фильтрации")</f>
        <v>ГП 315. Температура T1. Время фильтрации</v>
      </c>
      <c r="S37" s="372"/>
      <c r="U37" s="773"/>
      <c r="V37" s="4"/>
      <c r="W37" s="773"/>
      <c r="X37" s="4"/>
    </row>
    <row r="38" spans="1:24">
      <c r="A38" s="4" t="str">
        <f>SUBSTITUTE($V$2,"\","|")&amp;"|SHVX"</f>
        <v>GP315_T_01|SHVX</v>
      </c>
      <c r="B38" t="s">
        <v>69</v>
      </c>
      <c r="F38" t="s">
        <v>75</v>
      </c>
      <c r="G38" t="s">
        <v>71</v>
      </c>
      <c r="H38">
        <v>0</v>
      </c>
      <c r="I38" t="s">
        <v>76</v>
      </c>
      <c r="J38" t="s">
        <v>73</v>
      </c>
      <c r="K38">
        <v>0</v>
      </c>
      <c r="M38">
        <v>1</v>
      </c>
      <c r="R38" t="str">
        <f>IF($U$2=TRUE,$W$2&amp;". Верхняя шкала входного значения","Верхняя шкала входного значения")</f>
        <v>ГП 315. Температура T1. Верхняя шкала входного значения</v>
      </c>
      <c r="S38" s="372"/>
      <c r="U38" s="773"/>
      <c r="V38" s="4"/>
      <c r="W38" s="773"/>
      <c r="X38" s="4"/>
    </row>
    <row r="39" spans="1:24">
      <c r="A39" s="4" t="str">
        <f>SUBSTITUTE($V$2,"\","|")&amp;"|SLVX"</f>
        <v>GP315_T_01|SLVX</v>
      </c>
      <c r="B39" t="s">
        <v>69</v>
      </c>
      <c r="F39" t="s">
        <v>77</v>
      </c>
      <c r="G39" t="s">
        <v>71</v>
      </c>
      <c r="H39">
        <v>0</v>
      </c>
      <c r="I39" t="s">
        <v>76</v>
      </c>
      <c r="J39" t="s">
        <v>73</v>
      </c>
      <c r="K39">
        <v>0</v>
      </c>
      <c r="M39">
        <v>1</v>
      </c>
      <c r="R39" t="str">
        <f>IF($U$2=TRUE,$W$2&amp;". Нижняя шкала входного значения","Нижняя шкала входного значения")</f>
        <v>ГП 315. Температура T1. Нижняя шкала входного значения</v>
      </c>
      <c r="S39" s="372"/>
      <c r="U39" s="773"/>
      <c r="V39" s="4"/>
      <c r="W39" s="773"/>
      <c r="X39" s="4"/>
    </row>
    <row r="40" spans="1:24">
      <c r="A40" s="4" t="str">
        <f>SUBSTITUTE($V$2,"\","|")&amp;"|SSLX"</f>
        <v>GP315_T_01|SSLX</v>
      </c>
      <c r="B40" t="s">
        <v>69</v>
      </c>
      <c r="F40" t="s">
        <v>70</v>
      </c>
      <c r="G40" t="s">
        <v>71</v>
      </c>
      <c r="H40">
        <v>0</v>
      </c>
      <c r="I40" t="s">
        <v>76</v>
      </c>
      <c r="J40" t="s">
        <v>73</v>
      </c>
      <c r="K40">
        <v>0</v>
      </c>
      <c r="M40">
        <v>1</v>
      </c>
      <c r="R40" t="str">
        <f>IF($U$2=TRUE,$W$2&amp;". Уставка скорости изменения параметра в ед. измерения","Уставка скорости изменения параметра в ед. измерения")</f>
        <v>ГП 315. Температура T1. Уставка скорости изменения параметра в ед. измерения</v>
      </c>
      <c r="S40" s="372"/>
      <c r="U40" s="773"/>
      <c r="V40" s="4"/>
      <c r="W40" s="773"/>
      <c r="X40" s="4"/>
    </row>
    <row r="41" spans="1:24">
      <c r="A41" s="4" t="str">
        <f>SUBSTITUTE($V$2,"\","|")&amp;"|STSX"</f>
        <v>GP315_T_01|STSX</v>
      </c>
      <c r="B41" t="s">
        <v>78</v>
      </c>
      <c r="F41">
        <v>0</v>
      </c>
      <c r="G41" t="s">
        <v>71</v>
      </c>
      <c r="H41">
        <v>0</v>
      </c>
      <c r="I41" t="s">
        <v>76</v>
      </c>
      <c r="J41" t="s">
        <v>73</v>
      </c>
      <c r="K41">
        <v>0</v>
      </c>
      <c r="M41">
        <v>1</v>
      </c>
      <c r="R41" t="str">
        <f>IF($U$2=TRUE,$W$2&amp;". Задержка срабатывания уставок","Задержка срабатывания уставок")</f>
        <v>ГП 315. Температура T1. Задержка срабатывания уставок</v>
      </c>
      <c r="S41" s="372"/>
      <c r="U41" s="773"/>
      <c r="V41" s="4"/>
      <c r="W41" s="773"/>
      <c r="X41" s="4"/>
    </row>
    <row r="42" spans="1:24">
      <c r="A42" s="4" t="str">
        <f>SUBSTITUTE($V$2,"\","|")&amp;"|STYP"</f>
        <v>GP315_T_01|STYP</v>
      </c>
      <c r="B42" s="4" t="s">
        <v>78</v>
      </c>
      <c r="F42" s="52">
        <f>$X$2</f>
        <v>0</v>
      </c>
      <c r="G42" s="4" t="s">
        <v>71</v>
      </c>
      <c r="H42" s="4">
        <v>0</v>
      </c>
      <c r="I42" s="4" t="s">
        <v>76</v>
      </c>
      <c r="J42" s="4" t="s">
        <v>73</v>
      </c>
      <c r="K42" s="4">
        <v>0</v>
      </c>
      <c r="M42">
        <v>1</v>
      </c>
      <c r="R42" t="str">
        <f>IF($U$2=TRUE,$W$2&amp;". Тип входного значения( 0-мА; 1-мВ; 2-цифровое)","Тип входного значения( 0-мА; 1-мВ; 2-цифровое)")</f>
        <v>ГП 315. Температура T1. Тип входного значения( 0-мА; 1-мВ; 2-цифровое)</v>
      </c>
      <c r="S42" s="372"/>
      <c r="U42" s="773"/>
      <c r="V42" s="4"/>
      <c r="W42" s="773"/>
      <c r="X42" s="4"/>
    </row>
    <row r="43" spans="1:24">
      <c r="A43" s="4" t="str">
        <f>SUBSTITUTE($V$2,"\","|")&amp;"|SZCX"</f>
        <v>GP315_T_01|SZCX</v>
      </c>
      <c r="B43" t="s">
        <v>69</v>
      </c>
      <c r="F43" t="s">
        <v>70</v>
      </c>
      <c r="G43" t="s">
        <v>71</v>
      </c>
      <c r="H43">
        <v>0</v>
      </c>
      <c r="I43" t="s">
        <v>76</v>
      </c>
      <c r="J43" t="s">
        <v>73</v>
      </c>
      <c r="K43">
        <v>0</v>
      </c>
      <c r="M43">
        <v>1</v>
      </c>
      <c r="R43" t="str">
        <f>IF($U$2=TRUE,$W$2&amp;". Уставка отсечки ноля в ед. измерения","Уставка отсечки ноля в ед. измерения")</f>
        <v>ГП 315. Температура T1. Уставка отсечки ноля в ед. измерения</v>
      </c>
      <c r="S43" s="372"/>
      <c r="U43" s="773"/>
      <c r="V43" s="4"/>
      <c r="W43" s="773"/>
      <c r="X43" s="4"/>
    </row>
    <row r="44" spans="1:24">
      <c r="A44" s="4" t="str">
        <f>SUBSTITUTE($V$2,"\","|")&amp;"|XDAX"</f>
        <v>GP315_T_01|XDAX</v>
      </c>
      <c r="B44" t="s">
        <v>74</v>
      </c>
      <c r="F44" t="s">
        <v>72</v>
      </c>
      <c r="G44" t="s">
        <v>71</v>
      </c>
      <c r="H44">
        <v>0</v>
      </c>
      <c r="I44" t="s">
        <v>72</v>
      </c>
      <c r="J44" t="s">
        <v>73</v>
      </c>
      <c r="K44">
        <v>0</v>
      </c>
      <c r="M44">
        <v>1</v>
      </c>
      <c r="R44" t="str">
        <f>IF($U$2=TRUE,$W$2&amp;". Выведен из алгоритма","Выведен из алгоритма")</f>
        <v>ГП 315. Температура T1. Выведен из алгоритма</v>
      </c>
      <c r="S44" s="372"/>
      <c r="U44" s="773"/>
      <c r="V44" s="4"/>
      <c r="W44" s="773"/>
      <c r="X44" s="4"/>
    </row>
    <row r="45" spans="1:24">
      <c r="A45" s="4" t="str">
        <f>SUBSTITUTE($V$2,"\","|")&amp;"|XHAS"</f>
        <v>GP315_T_01|XHAS</v>
      </c>
      <c r="B45" t="s">
        <v>74</v>
      </c>
      <c r="F45" t="s">
        <v>72</v>
      </c>
      <c r="G45" t="s">
        <v>71</v>
      </c>
      <c r="H45">
        <v>0</v>
      </c>
      <c r="I45" t="s">
        <v>72</v>
      </c>
      <c r="J45" t="s">
        <v>69</v>
      </c>
      <c r="K45">
        <v>0</v>
      </c>
      <c r="M45">
        <v>1</v>
      </c>
      <c r="R45" t="str">
        <f>IF($U$2=TRUE,$W$2&amp;". Сработка верхняя аварийная уставка","Сработка верхняя аварийная уставка")</f>
        <v>ГП 315. Температура T1. Сработка верхняя аварийная уставка</v>
      </c>
      <c r="S45" s="372"/>
      <c r="U45" s="773"/>
      <c r="V45" s="4"/>
      <c r="W45" s="773"/>
      <c r="X45" s="4"/>
    </row>
    <row r="46" spans="1:24">
      <c r="A46" s="4" t="str">
        <f>SUBSTITUTE($V$2,"\","|")&amp;"|XHWS"</f>
        <v>GP315_T_01|XHWS</v>
      </c>
      <c r="B46" t="s">
        <v>74</v>
      </c>
      <c r="F46" t="s">
        <v>72</v>
      </c>
      <c r="G46" t="s">
        <v>71</v>
      </c>
      <c r="H46">
        <v>0</v>
      </c>
      <c r="I46" t="s">
        <v>72</v>
      </c>
      <c r="J46" t="s">
        <v>69</v>
      </c>
      <c r="K46">
        <v>0</v>
      </c>
      <c r="M46">
        <v>1</v>
      </c>
      <c r="R46" t="str">
        <f>IF($U$2=TRUE,$W$2&amp;". Сработка верхняя предупредительная уставка","Сработка верхняя предупредительная уставка")</f>
        <v>ГП 315. Температура T1. Сработка верхняя предупредительная уставка</v>
      </c>
      <c r="S46" s="372"/>
      <c r="U46" s="773"/>
      <c r="V46" s="4"/>
      <c r="W46" s="773"/>
      <c r="X46" s="4"/>
    </row>
    <row r="47" spans="1:24">
      <c r="A47" s="4" t="str">
        <f>SUBSTITUTE($V$2,"\","|")&amp;"|XLAS"</f>
        <v>GP315_T_01|XLAS</v>
      </c>
      <c r="B47" t="s">
        <v>74</v>
      </c>
      <c r="F47" t="s">
        <v>72</v>
      </c>
      <c r="G47" t="s">
        <v>71</v>
      </c>
      <c r="H47">
        <v>0</v>
      </c>
      <c r="I47" t="s">
        <v>72</v>
      </c>
      <c r="J47" t="s">
        <v>69</v>
      </c>
      <c r="K47">
        <v>0</v>
      </c>
      <c r="M47">
        <v>1</v>
      </c>
      <c r="R47" t="str">
        <f>IF($U$2=TRUE,$W$2&amp;". Сработка нижняя аварийная уставка","Сработка нижняя аварийная уставка")</f>
        <v>ГП 315. Температура T1. Сработка нижняя аварийная уставка</v>
      </c>
      <c r="S47" s="372"/>
      <c r="U47" s="773"/>
      <c r="V47" s="4"/>
      <c r="W47" s="773"/>
      <c r="X47" s="4"/>
    </row>
    <row r="48" spans="1:24">
      <c r="A48" s="4" t="str">
        <f>SUBSTITUTE($V$2,"\","|")&amp;"|XLWS"</f>
        <v>GP315_T_01|XLWS</v>
      </c>
      <c r="B48" t="s">
        <v>74</v>
      </c>
      <c r="F48" t="s">
        <v>72</v>
      </c>
      <c r="G48" t="s">
        <v>71</v>
      </c>
      <c r="H48">
        <v>0</v>
      </c>
      <c r="I48" t="s">
        <v>72</v>
      </c>
      <c r="J48" t="s">
        <v>69</v>
      </c>
      <c r="K48">
        <v>0</v>
      </c>
      <c r="M48">
        <v>1</v>
      </c>
      <c r="R48" t="str">
        <f>IF($U$2=TRUE,$W$2&amp;". Сработка нижняя предупредительная уставка","Сработка нижняя предупредительная уставка")</f>
        <v>ГП 315. Температура T1. Сработка нижняя предупредительная уставка</v>
      </c>
      <c r="S48" s="372"/>
      <c r="U48" s="773"/>
      <c r="V48" s="4"/>
      <c r="W48" s="773"/>
      <c r="X48" s="4"/>
    </row>
    <row r="49" spans="1:24">
      <c r="A49" t="str">
        <f>SUBSTITUTE($V$2,"\","|")&amp;"|XRPX"</f>
        <v>GP315_T_01|XRPX</v>
      </c>
      <c r="B49" t="s">
        <v>74</v>
      </c>
      <c r="F49" t="s">
        <v>72</v>
      </c>
      <c r="G49" t="s">
        <v>71</v>
      </c>
      <c r="H49">
        <v>0</v>
      </c>
      <c r="I49" t="s">
        <v>72</v>
      </c>
      <c r="J49" t="s">
        <v>73</v>
      </c>
      <c r="K49">
        <v>0</v>
      </c>
      <c r="M49">
        <v>1</v>
      </c>
      <c r="R49" t="str">
        <f>IF($U$2=TRUE,$W$2&amp;". Ремонт","Ремонт")</f>
        <v>ГП 315. Температура T1. Ремонт</v>
      </c>
      <c r="S49" s="372"/>
      <c r="U49" s="773"/>
      <c r="V49" s="4"/>
      <c r="W49" s="773"/>
      <c r="X49" s="4"/>
    </row>
    <row r="50" spans="1:24">
      <c r="A50" t="str">
        <f>SUBSTITUTE($V$2,"\","|")&amp;"|DSTX"</f>
        <v>GP315_T_01|DSTX</v>
      </c>
      <c r="B50" t="s">
        <v>78</v>
      </c>
      <c r="F50">
        <v>0</v>
      </c>
      <c r="G50" t="s">
        <v>71</v>
      </c>
      <c r="H50">
        <v>0</v>
      </c>
      <c r="I50" t="s">
        <v>72</v>
      </c>
      <c r="J50" t="s">
        <v>73</v>
      </c>
      <c r="K50">
        <v>0</v>
      </c>
      <c r="M50">
        <v>1</v>
      </c>
      <c r="R50" t="str">
        <f>IF($U$2=TRUE,$W$2&amp;". Диагностика поканальная","Диагностика поканальная")</f>
        <v>ГП 315. Температура T1. Диагностика поканальная</v>
      </c>
      <c r="S50" s="372"/>
      <c r="U50" s="773"/>
      <c r="V50" s="4"/>
      <c r="W50" s="773"/>
      <c r="X50" s="4"/>
    </row>
    <row r="51" spans="1:24">
      <c r="A51" s="514" t="str">
        <f>"PACK_TO_INT|STATE|"&amp;SUBSTITUTE($V$2,"\","|")</f>
        <v>PACK_TO_INT|STATE|GP315_T_01</v>
      </c>
      <c r="B51" s="4" t="s">
        <v>78</v>
      </c>
      <c r="F51" s="4">
        <v>0</v>
      </c>
      <c r="G51" s="4" t="s">
        <v>71</v>
      </c>
      <c r="H51" s="4">
        <v>0</v>
      </c>
      <c r="I51" s="4" t="s">
        <v>72</v>
      </c>
      <c r="J51" s="4" t="s">
        <v>73</v>
      </c>
      <c r="K51" s="514">
        <v>1</v>
      </c>
      <c r="R51" s="4"/>
    </row>
    <row r="52" spans="1:24">
      <c r="A52" s="514" t="str">
        <f>"PACK_TO_INT|FAULT|"&amp;SUBSTITUTE($V$2,"\","|")</f>
        <v>PACK_TO_INT|FAULT|GP315_T_01</v>
      </c>
      <c r="B52" s="4" t="s">
        <v>78</v>
      </c>
      <c r="F52" s="4">
        <v>0</v>
      </c>
      <c r="G52" s="4" t="s">
        <v>71</v>
      </c>
      <c r="H52" s="4">
        <v>0</v>
      </c>
      <c r="I52" s="4" t="s">
        <v>72</v>
      </c>
      <c r="J52" s="4" t="s">
        <v>73</v>
      </c>
      <c r="K52" s="514">
        <v>1</v>
      </c>
      <c r="R52" s="4"/>
    </row>
    <row r="57" spans="1:24">
      <c r="A57" s="4"/>
      <c r="B57" s="4"/>
      <c r="F57" s="4"/>
      <c r="G57" s="4"/>
      <c r="H57" s="4"/>
      <c r="I57" s="4"/>
      <c r="J57" s="4"/>
      <c r="K57" s="4"/>
      <c r="M57" s="4"/>
    </row>
  </sheetData>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Лист16">
    <tabColor rgb="FF92D050"/>
  </sheetPr>
  <dimension ref="A1:AC49"/>
  <sheetViews>
    <sheetView zoomScale="80" zoomScaleNormal="80" workbookViewId="0">
      <selection activeCell="V2" sqref="V2:AD2"/>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43.2">
      <c r="A2" s="10"/>
      <c r="B2" s="10"/>
      <c r="F2" s="10"/>
      <c r="G2" s="10"/>
      <c r="H2" s="10"/>
      <c r="I2" s="10"/>
      <c r="J2" s="10"/>
      <c r="K2" s="10"/>
      <c r="M2" s="10"/>
      <c r="N2" s="10"/>
      <c r="O2" s="10"/>
      <c r="P2" s="10"/>
      <c r="Q2" s="10"/>
      <c r="R2" s="10"/>
      <c r="U2" s="74" t="b">
        <f>Настройки!$M$34</f>
        <v>1</v>
      </c>
      <c r="V2" s="73" t="s">
        <v>4919</v>
      </c>
      <c r="W2" s="537" t="s">
        <v>4920</v>
      </c>
      <c r="X2" s="73">
        <v>0</v>
      </c>
      <c r="Y2" s="73" t="s">
        <v>72</v>
      </c>
      <c r="Z2" s="73"/>
      <c r="AA2" s="74"/>
      <c r="AB2" s="74"/>
      <c r="AC2" s="74"/>
    </row>
    <row r="3" spans="1:29">
      <c r="A3" s="515" t="str">
        <f>SUBSTITUTE($V$2,"\","|")&amp;"|CIMX"</f>
        <v>VS_SB_PG39_STOP|CIMX</v>
      </c>
      <c r="B3" t="s">
        <v>74</v>
      </c>
      <c r="F3" t="s">
        <v>72</v>
      </c>
      <c r="G3" t="s">
        <v>71</v>
      </c>
      <c r="H3">
        <v>0</v>
      </c>
      <c r="I3" t="s">
        <v>76</v>
      </c>
      <c r="J3" t="s">
        <v>73</v>
      </c>
      <c r="K3" s="515" t="s">
        <v>1383</v>
      </c>
      <c r="M3">
        <v>1</v>
      </c>
      <c r="R3" t="str">
        <f>IF($U$2=TRUE,$W$2&amp;". Активация для имитации","Активация для имитации")</f>
        <v>ВС. Шлейф кнопок "Стоп пож.гидрантов" ПГ39-SB..ПГ40-SB. Активация для имитации</v>
      </c>
      <c r="S3" s="372"/>
      <c r="U3" s="773"/>
      <c r="V3" s="4"/>
      <c r="W3" s="773"/>
      <c r="X3" s="4"/>
    </row>
    <row r="4" spans="1:29">
      <c r="A4" s="515" t="str">
        <f>SUBSTITUTE($V$2,"\","|")&amp;"|SIMX"</f>
        <v>VS_SB_PG39_STOP|SIMX</v>
      </c>
      <c r="B4" t="s">
        <v>74</v>
      </c>
      <c r="F4" t="s">
        <v>72</v>
      </c>
      <c r="G4" t="s">
        <v>71</v>
      </c>
      <c r="H4">
        <v>0</v>
      </c>
      <c r="I4" t="s">
        <v>76</v>
      </c>
      <c r="J4" t="s">
        <v>73</v>
      </c>
      <c r="K4" s="515" t="s">
        <v>1383</v>
      </c>
      <c r="M4">
        <v>1</v>
      </c>
      <c r="R4" t="str">
        <f>IF($U$2=TRUE,$W$2&amp;". Задание для имитации","Задание для имитации")</f>
        <v>ВС. Шлейф кнопок "Стоп пож.гидрантов" ПГ39-SB..ПГ40-SB. Задание для имитации</v>
      </c>
      <c r="S4" s="372"/>
      <c r="U4" s="773"/>
      <c r="V4" s="4"/>
      <c r="W4" s="773"/>
      <c r="X4" s="4"/>
    </row>
    <row r="5" spans="1:29">
      <c r="A5" s="515" t="str">
        <f>SUBSTITUTE($V$2,"\","|")&amp;"|CDAX"</f>
        <v>VS_SB_PG39_STOP|CDAX</v>
      </c>
      <c r="B5" t="s">
        <v>74</v>
      </c>
      <c r="F5" t="s">
        <v>72</v>
      </c>
      <c r="G5" t="s">
        <v>71</v>
      </c>
      <c r="H5">
        <v>0</v>
      </c>
      <c r="I5" t="s">
        <v>76</v>
      </c>
      <c r="J5" t="s">
        <v>73</v>
      </c>
      <c r="K5" s="515" t="s">
        <v>1383</v>
      </c>
      <c r="M5">
        <v>1</v>
      </c>
      <c r="R5" t="str">
        <f>IF($U$2=TRUE,$W$2&amp;". Команда вывести из алгоритма","Команда вывести из алгоритма")</f>
        <v>ВС. Шлейф кнопок "Стоп пож.гидрантов" ПГ39-SB..ПГ40-SB. Команда вывести из алгоритма</v>
      </c>
      <c r="S5" s="372"/>
      <c r="U5" s="773"/>
      <c r="V5" s="4"/>
      <c r="W5" s="773"/>
      <c r="X5" s="4"/>
    </row>
    <row r="6" spans="1:29">
      <c r="A6" s="515" t="str">
        <f>SUBSTITUTE($V$2,"\","|")&amp;"|CRPX"</f>
        <v>VS_SB_PG39_STOP|CRPX</v>
      </c>
      <c r="B6" t="s">
        <v>74</v>
      </c>
      <c r="F6" t="s">
        <v>72</v>
      </c>
      <c r="G6" t="s">
        <v>71</v>
      </c>
      <c r="H6">
        <v>0</v>
      </c>
      <c r="I6" t="s">
        <v>76</v>
      </c>
      <c r="J6" t="s">
        <v>73</v>
      </c>
      <c r="K6" s="515" t="s">
        <v>1383</v>
      </c>
      <c r="M6">
        <v>1</v>
      </c>
      <c r="R6" t="str">
        <f>IF($U$2=TRUE,$W$2&amp;". Команда ремонт","Команда ремонт")</f>
        <v>ВС. Шлейф кнопок "Стоп пож.гидрантов" ПГ39-SB..ПГ40-SB. Команда ремонт</v>
      </c>
      <c r="S6" s="372"/>
      <c r="U6" s="773"/>
      <c r="V6" s="4"/>
      <c r="W6" s="773"/>
      <c r="X6" s="4"/>
    </row>
    <row r="7" spans="1:29">
      <c r="A7" t="str">
        <f>SUBSTITUTE($V$2,"\","|")&amp;"|BVLS"</f>
        <v>VS_SB_PG39_STOP|BVLS</v>
      </c>
      <c r="B7" t="s">
        <v>74</v>
      </c>
      <c r="F7" t="s">
        <v>72</v>
      </c>
      <c r="G7" t="s">
        <v>71</v>
      </c>
      <c r="H7">
        <v>0</v>
      </c>
      <c r="I7" t="s">
        <v>72</v>
      </c>
      <c r="J7" t="s">
        <v>73</v>
      </c>
      <c r="K7">
        <v>0</v>
      </c>
      <c r="M7">
        <v>1</v>
      </c>
      <c r="R7" t="str">
        <f>IF($U$2=TRUE,$W$2&amp;". Блокировка","Блокировка")</f>
        <v>ВС. Шлейф кнопок "Стоп пож.гидрантов" ПГ39-SB..ПГ40-SB. Блокировка</v>
      </c>
      <c r="S7" s="372"/>
      <c r="U7" s="773"/>
      <c r="V7" s="4"/>
      <c r="W7" s="773"/>
      <c r="X7" s="4"/>
    </row>
    <row r="8" spans="1:29">
      <c r="A8" t="str">
        <f>SUBSTITUTE($V$2,"\","|")&amp;"|CFTX"</f>
        <v>VS_SB_PG39_STOP|CFTX</v>
      </c>
      <c r="B8" t="s">
        <v>74</v>
      </c>
      <c r="F8" s="52" t="str">
        <f>IF($X$2&lt;&gt;0,"TRUE","FALSE")</f>
        <v>FALSE</v>
      </c>
      <c r="G8" t="s">
        <v>71</v>
      </c>
      <c r="H8">
        <v>0</v>
      </c>
      <c r="I8" t="s">
        <v>76</v>
      </c>
      <c r="J8" t="s">
        <v>73</v>
      </c>
      <c r="K8">
        <v>0</v>
      </c>
      <c r="M8">
        <v>1</v>
      </c>
      <c r="R8" t="str">
        <f>IF($U$2=TRUE,$W$2&amp;". Режим фильтрации","Режим фильтрации")</f>
        <v>ВС. Шлейф кнопок "Стоп пож.гидрантов" ПГ39-SB..ПГ40-SB. Режим фильтрации</v>
      </c>
      <c r="S8" s="372"/>
      <c r="U8" s="773"/>
      <c r="V8" s="4"/>
      <c r="W8" s="773"/>
      <c r="X8" s="4"/>
    </row>
    <row r="9" spans="1:29">
      <c r="A9" t="str">
        <f>SUBSTITUTE($V$2,"\","|")&amp;"|DVXX"</f>
        <v>VS_SB_PG39_STOP|DVXX</v>
      </c>
      <c r="B9" t="s">
        <v>74</v>
      </c>
      <c r="F9" t="s">
        <v>72</v>
      </c>
      <c r="G9" t="s">
        <v>71</v>
      </c>
      <c r="H9">
        <v>0</v>
      </c>
      <c r="I9" t="s">
        <v>72</v>
      </c>
      <c r="J9" t="s">
        <v>69</v>
      </c>
      <c r="K9">
        <v>0</v>
      </c>
      <c r="M9">
        <v>1</v>
      </c>
      <c r="R9" t="str">
        <f>IF($U$2=TRUE,$W$2&amp;". Недостоверное входное значение","Недостоверное входное значение")</f>
        <v>ВС. Шлейф кнопок "Стоп пож.гидрантов" ПГ39-SB..ПГ40-SB. Недостоверное входное значение</v>
      </c>
      <c r="S9" s="372"/>
      <c r="U9" s="773"/>
      <c r="V9" s="4"/>
      <c r="W9" s="773"/>
      <c r="X9" s="4"/>
    </row>
    <row r="10" spans="1:29">
      <c r="A10" t="str">
        <f>SUBSTITUTE($V$2,"\","|")&amp;"|FXXX"</f>
        <v>VS_SB_PG39_STOP|FXXX</v>
      </c>
      <c r="B10" t="s">
        <v>74</v>
      </c>
      <c r="F10" t="s">
        <v>72</v>
      </c>
      <c r="G10" t="s">
        <v>71</v>
      </c>
      <c r="H10">
        <v>0</v>
      </c>
      <c r="I10" t="s">
        <v>72</v>
      </c>
      <c r="J10" t="s">
        <v>69</v>
      </c>
      <c r="K10">
        <v>0</v>
      </c>
      <c r="M10">
        <v>1</v>
      </c>
      <c r="R10" t="str">
        <f>IF($U$2=TRUE,$W$2&amp;". Обобщённая неисправность","Обобщённая неисправность")</f>
        <v>ВС. Шлейф кнопок "Стоп пож.гидрантов" ПГ39-SB..ПГ40-SB. Обобщённая неисправность</v>
      </c>
      <c r="S10" s="372"/>
      <c r="U10" s="773"/>
      <c r="V10" s="4"/>
      <c r="W10" s="773"/>
      <c r="X10" s="4"/>
    </row>
    <row r="11" spans="1:29">
      <c r="A11" t="str">
        <f>SUBSTITUTE($V$2,"\","|")&amp;"|IVXX"</f>
        <v>VS_SB_PG39_STOP|IVXX</v>
      </c>
      <c r="B11" t="s">
        <v>74</v>
      </c>
      <c r="F11" t="s">
        <v>72</v>
      </c>
      <c r="G11" t="s">
        <v>71</v>
      </c>
      <c r="H11">
        <v>0</v>
      </c>
      <c r="I11" t="s">
        <v>72</v>
      </c>
      <c r="J11" t="s">
        <v>69</v>
      </c>
      <c r="K11">
        <v>0</v>
      </c>
      <c r="M11">
        <v>1</v>
      </c>
      <c r="R11" t="str">
        <f>IF($U$2=TRUE,$W$2&amp;". Входное значение","Входное значение")</f>
        <v>ВС. Шлейф кнопок "Стоп пож.гидрантов" ПГ39-SB..ПГ40-SB. Входное значение</v>
      </c>
      <c r="S11" s="372"/>
      <c r="U11" s="773"/>
      <c r="V11" s="4"/>
      <c r="W11" s="773"/>
      <c r="X11" s="4"/>
    </row>
    <row r="12" spans="1:29">
      <c r="A12" t="str">
        <f>SUBSTITUTE($V$2,"\","|")&amp;"|SFTX"</f>
        <v>VS_SB_PG39_STOP|SFTX</v>
      </c>
      <c r="B12" t="s">
        <v>78</v>
      </c>
      <c r="F12" s="52">
        <f>$X$2</f>
        <v>0</v>
      </c>
      <c r="G12" t="s">
        <v>71</v>
      </c>
      <c r="H12">
        <v>0</v>
      </c>
      <c r="I12" t="s">
        <v>76</v>
      </c>
      <c r="J12" t="s">
        <v>73</v>
      </c>
      <c r="K12">
        <v>0</v>
      </c>
      <c r="M12">
        <v>1</v>
      </c>
      <c r="R12" t="str">
        <f>IF($U$2=TRUE,$W$2&amp;". Время фильтрации","Время фильтрации")</f>
        <v>ВС. Шлейф кнопок "Стоп пож.гидрантов" ПГ39-SB..ПГ40-SB. Время фильтрации</v>
      </c>
      <c r="S12" s="372"/>
      <c r="U12" s="773"/>
      <c r="V12" s="4"/>
      <c r="W12" s="773"/>
      <c r="X12" s="4"/>
    </row>
    <row r="13" spans="1:29">
      <c r="A13" t="str">
        <f>SUBSTITUTE($V$2,"\","|")&amp;"|XDAX"</f>
        <v>VS_SB_PG39_STOP|XDAX</v>
      </c>
      <c r="B13" t="s">
        <v>74</v>
      </c>
      <c r="F13" t="s">
        <v>72</v>
      </c>
      <c r="G13" t="s">
        <v>71</v>
      </c>
      <c r="H13">
        <v>0</v>
      </c>
      <c r="I13" t="s">
        <v>72</v>
      </c>
      <c r="J13" t="s">
        <v>69</v>
      </c>
      <c r="K13">
        <v>0</v>
      </c>
      <c r="M13">
        <v>1</v>
      </c>
      <c r="R13" t="str">
        <f>IF($U$2=TRUE,$W$2&amp;". Выведен из алгоритма","Выведен из алгоритма")</f>
        <v>ВС. Шлейф кнопок "Стоп пож.гидрантов" ПГ39-SB..ПГ40-SB. Выведен из алгоритма</v>
      </c>
      <c r="S13" s="372"/>
      <c r="U13" s="773"/>
      <c r="V13" s="4"/>
      <c r="W13" s="773"/>
      <c r="X13" s="4"/>
    </row>
    <row r="14" spans="1:29">
      <c r="A14" t="str">
        <f>SUBSTITUTE($V$2,"\","|")&amp;"|XRPX"</f>
        <v>VS_SB_PG39_STOP|XRPX</v>
      </c>
      <c r="B14" t="s">
        <v>74</v>
      </c>
      <c r="F14" t="s">
        <v>72</v>
      </c>
      <c r="G14" t="s">
        <v>71</v>
      </c>
      <c r="H14">
        <v>0</v>
      </c>
      <c r="I14" t="s">
        <v>72</v>
      </c>
      <c r="J14" t="s">
        <v>69</v>
      </c>
      <c r="K14">
        <v>0</v>
      </c>
      <c r="M14">
        <v>1</v>
      </c>
      <c r="R14" t="str">
        <f>IF($U$2=TRUE,$W$2&amp;". Выведен в ремонт","Выведен в ремонт")</f>
        <v>ВС. Шлейф кнопок "Стоп пож.гидрантов" ПГ39-SB..ПГ40-SB. Выведен в ремонт</v>
      </c>
      <c r="S14" s="372"/>
      <c r="U14" s="773"/>
      <c r="V14" s="4"/>
      <c r="W14" s="773"/>
      <c r="X14" s="4"/>
    </row>
    <row r="15" spans="1:29">
      <c r="A15" t="str">
        <f>SUBSTITUTE($V$2,"\","|")&amp;"|XVLX"</f>
        <v>VS_SB_PG39_STOP|XVLX</v>
      </c>
      <c r="B15" t="s">
        <v>74</v>
      </c>
      <c r="F15" t="s">
        <v>72</v>
      </c>
      <c r="G15" t="s">
        <v>71</v>
      </c>
      <c r="H15">
        <v>0</v>
      </c>
      <c r="I15" t="s">
        <v>72</v>
      </c>
      <c r="J15" t="s">
        <v>69</v>
      </c>
      <c r="K15">
        <v>0</v>
      </c>
      <c r="M15">
        <v>1</v>
      </c>
      <c r="R15" t="str">
        <f>IF($U$2=TRUE,$W$2&amp;". Выходное значение","Выходное значение")</f>
        <v>ВС. Шлейф кнопок "Стоп пож.гидрантов" ПГ39-SB..ПГ40-SB. Выходное значение</v>
      </c>
      <c r="S15" s="372"/>
      <c r="U15" s="773"/>
      <c r="V15" s="4"/>
      <c r="W15" s="773"/>
      <c r="X15" s="4"/>
    </row>
    <row r="16" spans="1:29">
      <c r="A16" t="str">
        <f>SUBSTITUTE($V$2,"\","|")&amp;"|CRST"</f>
        <v>VS_SB_PG39_STOP|CRST</v>
      </c>
      <c r="B16" t="s">
        <v>74</v>
      </c>
      <c r="F16" t="s">
        <v>72</v>
      </c>
      <c r="G16" t="s">
        <v>71</v>
      </c>
      <c r="H16">
        <v>0</v>
      </c>
      <c r="I16" t="s">
        <v>72</v>
      </c>
      <c r="J16" t="s">
        <v>73</v>
      </c>
      <c r="K16">
        <v>0</v>
      </c>
      <c r="M16">
        <v>1</v>
      </c>
      <c r="R16" t="str">
        <f>IF($U$2=TRUE,$W$2&amp;". Команда сброс ошибок","Команда сброс ошибок")</f>
        <v>ВС. Шлейф кнопок "Стоп пож.гидрантов" ПГ39-SB..ПГ40-SB. Команда сброс ошибок</v>
      </c>
      <c r="S16" s="372"/>
      <c r="U16" s="773"/>
      <c r="V16" s="4"/>
      <c r="W16" s="773"/>
      <c r="X16" s="4"/>
    </row>
    <row r="17" spans="1:13">
      <c r="A17" s="514" t="str">
        <f>"PACK_TO_INT|STATE|"&amp;SUBSTITUTE($V$2,"\","|")</f>
        <v>PACK_TO_INT|STATE|VS_SB_PG39_STOP</v>
      </c>
      <c r="B17" s="4" t="s">
        <v>78</v>
      </c>
      <c r="F17" s="4">
        <v>0</v>
      </c>
      <c r="G17" s="4" t="s">
        <v>71</v>
      </c>
      <c r="H17" s="4">
        <v>0</v>
      </c>
      <c r="I17" s="4" t="s">
        <v>72</v>
      </c>
      <c r="J17" s="4" t="s">
        <v>73</v>
      </c>
      <c r="K17" s="514">
        <v>1</v>
      </c>
    </row>
    <row r="22" spans="1:13">
      <c r="A22" s="4"/>
      <c r="B22" s="4"/>
      <c r="F22" s="4"/>
      <c r="G22" s="4"/>
      <c r="H22" s="4"/>
      <c r="I22" s="4"/>
      <c r="J22" s="4"/>
      <c r="K22" s="4"/>
      <c r="M22" s="4"/>
    </row>
    <row r="29" spans="1:13">
      <c r="A29" s="4"/>
      <c r="B29" s="4"/>
      <c r="F29" s="4"/>
      <c r="G29" s="4"/>
      <c r="H29" s="4"/>
      <c r="I29" s="4"/>
      <c r="J29" s="4"/>
      <c r="K29" s="4"/>
      <c r="M29" s="4"/>
    </row>
    <row r="30" spans="1:13">
      <c r="A30" s="4"/>
      <c r="B30" s="4"/>
      <c r="F30" s="4"/>
      <c r="G30" s="4"/>
      <c r="H30" s="4"/>
      <c r="I30" s="4"/>
      <c r="J30" s="4"/>
      <c r="K30" s="4"/>
      <c r="M30" s="4"/>
    </row>
    <row r="31" spans="1:13">
      <c r="A31" s="4"/>
      <c r="B31" s="4"/>
      <c r="F31" s="4"/>
      <c r="G31" s="4"/>
      <c r="H31" s="4"/>
      <c r="I31" s="4"/>
      <c r="J31" s="4"/>
      <c r="K31" s="4"/>
      <c r="M31" s="4"/>
    </row>
    <row r="32" spans="1:13">
      <c r="A32" s="4"/>
      <c r="B32" s="4"/>
      <c r="F32" s="4"/>
      <c r="G32" s="4"/>
      <c r="H32" s="4"/>
      <c r="I32" s="4"/>
      <c r="J32" s="4"/>
      <c r="K32" s="4"/>
      <c r="M32" s="4"/>
    </row>
    <row r="33" spans="1:23">
      <c r="A33" s="4"/>
      <c r="B33" s="4"/>
      <c r="F33" s="4"/>
      <c r="G33" s="4"/>
      <c r="H33" s="4"/>
      <c r="I33" s="4"/>
      <c r="J33" s="4"/>
      <c r="K33" s="4"/>
      <c r="M33" s="4"/>
    </row>
    <row r="34" spans="1:23">
      <c r="A34" s="4"/>
      <c r="B34" s="4"/>
      <c r="F34" s="4"/>
      <c r="G34" s="4"/>
      <c r="H34" s="4"/>
      <c r="I34" s="4"/>
      <c r="J34" s="4"/>
      <c r="K34" s="4"/>
      <c r="M34" s="4"/>
    </row>
    <row r="35" spans="1:23">
      <c r="A35" s="4"/>
      <c r="B35" s="4"/>
      <c r="F35" s="4"/>
      <c r="G35" s="4"/>
      <c r="H35" s="4"/>
      <c r="I35" s="4"/>
      <c r="J35" s="4"/>
      <c r="K35" s="4"/>
      <c r="M35" s="4"/>
    </row>
    <row r="36" spans="1:23">
      <c r="A36" s="4"/>
      <c r="B36" s="4"/>
      <c r="F36" s="4"/>
      <c r="G36" s="4"/>
      <c r="H36" s="4"/>
      <c r="I36" s="4"/>
      <c r="J36" s="4"/>
      <c r="K36" s="4"/>
      <c r="M36" s="4"/>
    </row>
    <row r="37" spans="1:23">
      <c r="A37" s="4"/>
      <c r="B37" s="4"/>
      <c r="F37" s="4"/>
      <c r="G37" s="4"/>
      <c r="H37" s="4"/>
      <c r="I37" s="4"/>
      <c r="J37" s="4"/>
      <c r="K37" s="4"/>
      <c r="M37" s="4"/>
    </row>
    <row r="38" spans="1:23">
      <c r="A38" s="4"/>
      <c r="B38" s="4"/>
      <c r="F38" s="4"/>
      <c r="G38" s="4"/>
      <c r="H38" s="4"/>
      <c r="I38" s="4"/>
      <c r="J38" s="4"/>
      <c r="K38" s="4"/>
      <c r="M38" s="4"/>
    </row>
    <row r="39" spans="1:23">
      <c r="A39" s="4"/>
      <c r="B39" s="4"/>
      <c r="F39" s="4"/>
      <c r="G39" s="4"/>
      <c r="H39" s="4"/>
      <c r="I39" s="4"/>
      <c r="J39" s="4"/>
      <c r="K39" s="4"/>
      <c r="M39" s="4"/>
    </row>
    <row r="40" spans="1:23">
      <c r="A40" s="4"/>
      <c r="B40" s="4"/>
      <c r="F40" s="4"/>
      <c r="G40" s="4"/>
      <c r="H40" s="4"/>
      <c r="I40" s="4"/>
      <c r="J40" s="4"/>
      <c r="K40" s="4"/>
      <c r="M40" s="4"/>
      <c r="W40" s="4"/>
    </row>
    <row r="41" spans="1:23">
      <c r="A41" s="4"/>
      <c r="B41" s="4"/>
      <c r="F41" s="4"/>
      <c r="G41" s="4"/>
      <c r="H41" s="4"/>
      <c r="I41" s="4"/>
      <c r="J41" s="4"/>
      <c r="K41" s="4"/>
      <c r="M41" s="4"/>
      <c r="W41" s="4"/>
    </row>
    <row r="42" spans="1:23">
      <c r="W42" s="4"/>
    </row>
    <row r="43" spans="1:23">
      <c r="W43" s="4"/>
    </row>
    <row r="44" spans="1:23">
      <c r="W44" s="4"/>
    </row>
    <row r="45" spans="1:23">
      <c r="W45" s="4"/>
    </row>
    <row r="46" spans="1:23">
      <c r="W46" s="4"/>
    </row>
    <row r="47" spans="1:23">
      <c r="W47" s="4"/>
    </row>
    <row r="48" spans="1:23">
      <c r="W48" s="4"/>
    </row>
    <row r="49" spans="23:23">
      <c r="W49" s="4"/>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Лист87">
    <tabColor rgb="FF92D050"/>
  </sheetPr>
  <dimension ref="A1:AC49"/>
  <sheetViews>
    <sheetView zoomScale="70" zoomScaleNormal="70"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c r="A2" s="10"/>
      <c r="B2" s="10"/>
      <c r="F2" s="10"/>
      <c r="G2" s="10"/>
      <c r="H2" s="10"/>
      <c r="I2" s="10"/>
      <c r="J2" s="10"/>
      <c r="K2" s="10"/>
      <c r="M2" s="10"/>
      <c r="N2" s="10"/>
      <c r="O2" s="10"/>
      <c r="P2" s="10"/>
      <c r="Q2" s="10"/>
      <c r="R2" s="10"/>
      <c r="U2" s="74" t="b">
        <f>Настройки!$M$34</f>
        <v>1</v>
      </c>
      <c r="V2" s="73" t="s">
        <v>1400</v>
      </c>
      <c r="W2" s="537" t="s">
        <v>777</v>
      </c>
      <c r="X2" s="73"/>
      <c r="Y2" s="73"/>
      <c r="Z2" s="73"/>
      <c r="AA2" s="74"/>
      <c r="AB2" s="74"/>
      <c r="AC2" s="74"/>
    </row>
    <row r="3" spans="1:29">
      <c r="A3" s="515" t="str">
        <f>SUBSTITUTE($V$2,"\","|")&amp;"|COON"</f>
        <v>ALARM_SOUND|COON</v>
      </c>
      <c r="B3" t="s">
        <v>74</v>
      </c>
      <c r="F3" t="s">
        <v>72</v>
      </c>
      <c r="G3" t="s">
        <v>71</v>
      </c>
      <c r="H3">
        <v>0</v>
      </c>
      <c r="I3" t="s">
        <v>76</v>
      </c>
      <c r="J3" t="s">
        <v>73</v>
      </c>
      <c r="K3" s="515" t="s">
        <v>1383</v>
      </c>
      <c r="M3">
        <v>1</v>
      </c>
      <c r="R3" t="str">
        <f>IF($U$2=TRUE,$W$2&amp;". Команда оператора включить","Команда оператора включить")</f>
        <v>Дискретный выход FB. Команда оператора включить</v>
      </c>
      <c r="S3" s="372"/>
      <c r="U3" s="773"/>
      <c r="V3" s="4"/>
      <c r="W3" s="773"/>
      <c r="X3" s="4"/>
    </row>
    <row r="4" spans="1:29">
      <c r="A4" s="515" t="str">
        <f>SUBSTITUTE($V$2,"\","|")&amp;"|COOF"</f>
        <v>ALARM_SOUND|COOF</v>
      </c>
      <c r="B4" t="s">
        <v>74</v>
      </c>
      <c r="F4" t="s">
        <v>72</v>
      </c>
      <c r="G4" t="s">
        <v>71</v>
      </c>
      <c r="H4">
        <v>0</v>
      </c>
      <c r="I4" t="s">
        <v>76</v>
      </c>
      <c r="J4" t="s">
        <v>73</v>
      </c>
      <c r="K4" s="515" t="s">
        <v>1383</v>
      </c>
      <c r="M4">
        <v>1</v>
      </c>
      <c r="R4" t="str">
        <f>IF($U$2=TRUE,$W$2&amp;". Команда оператора отключить","Команда оператора отключить")</f>
        <v>Дискретный выход FB. Команда оператора отключить</v>
      </c>
      <c r="S4" s="372"/>
      <c r="U4" s="773"/>
      <c r="V4" s="4"/>
      <c r="W4" s="773"/>
      <c r="X4" s="4"/>
    </row>
    <row r="5" spans="1:29">
      <c r="A5" s="515" t="str">
        <f>SUBSTITUTE($V$2,"\","|")&amp;"|CMMX"</f>
        <v>ALARM_SOUND|CMMX</v>
      </c>
      <c r="B5" t="s">
        <v>74</v>
      </c>
      <c r="F5" t="s">
        <v>72</v>
      </c>
      <c r="G5" t="s">
        <v>71</v>
      </c>
      <c r="H5">
        <v>0</v>
      </c>
      <c r="I5" t="s">
        <v>76</v>
      </c>
      <c r="J5" t="s">
        <v>73</v>
      </c>
      <c r="K5" s="515" t="s">
        <v>1383</v>
      </c>
      <c r="M5">
        <v>1</v>
      </c>
      <c r="R5" t="str">
        <f>IF($U$2=TRUE,$W$2&amp;". Команда перевести в ручной режим управления","Команда перевести в ручной режим управления")</f>
        <v>Дискретный выход FB. Команда перевести в ручной режим управления</v>
      </c>
      <c r="S5" s="372"/>
      <c r="U5" s="773"/>
      <c r="V5" s="4"/>
      <c r="W5" s="773"/>
      <c r="X5" s="4"/>
    </row>
    <row r="6" spans="1:29">
      <c r="A6" s="515" t="str">
        <f>SUBSTITUTE($V$2,"\","|")&amp;"|CRPX"</f>
        <v>ALARM_SOUND|CRPX</v>
      </c>
      <c r="B6" t="s">
        <v>74</v>
      </c>
      <c r="F6" s="4" t="s">
        <v>72</v>
      </c>
      <c r="G6" t="s">
        <v>71</v>
      </c>
      <c r="H6">
        <v>0</v>
      </c>
      <c r="I6" t="s">
        <v>76</v>
      </c>
      <c r="J6" t="s">
        <v>73</v>
      </c>
      <c r="K6" s="515" t="s">
        <v>1383</v>
      </c>
      <c r="M6">
        <v>1</v>
      </c>
      <c r="R6" t="str">
        <f>IF($U$2=TRUE,$W$2&amp;". Команда ремонт","Команда ремонт")</f>
        <v>Дискретный выход FB. Команда ремонт</v>
      </c>
      <c r="S6" s="372"/>
      <c r="U6" s="773"/>
      <c r="V6" s="4"/>
      <c r="W6" s="773"/>
      <c r="X6" s="4"/>
    </row>
    <row r="7" spans="1:29">
      <c r="A7" t="str">
        <f>SUBSTITUTE($V$2,"\","|")&amp;"|IVXX"</f>
        <v>ALARM_SOUND|IVXX</v>
      </c>
      <c r="B7" t="s">
        <v>74</v>
      </c>
      <c r="F7" t="s">
        <v>72</v>
      </c>
      <c r="G7" t="s">
        <v>71</v>
      </c>
      <c r="H7">
        <v>0</v>
      </c>
      <c r="I7" t="s">
        <v>72</v>
      </c>
      <c r="J7" t="s">
        <v>69</v>
      </c>
      <c r="K7">
        <v>0</v>
      </c>
      <c r="M7">
        <v>1</v>
      </c>
      <c r="R7" t="str">
        <f>IF($U$2=TRUE,$W$2&amp;". Входное значение","Входное значение")</f>
        <v>Дискретный выход FB. Входное значение</v>
      </c>
      <c r="S7" s="372"/>
      <c r="U7" s="773"/>
      <c r="V7" s="4"/>
      <c r="W7" s="773"/>
      <c r="X7" s="4"/>
    </row>
    <row r="8" spans="1:29">
      <c r="A8" t="str">
        <f>SUBSTITUTE($V$2,"\","|")&amp;"|DVXX"</f>
        <v>ALARM_SOUND|DVXX</v>
      </c>
      <c r="B8" t="s">
        <v>74</v>
      </c>
      <c r="F8" t="s">
        <v>72</v>
      </c>
      <c r="G8" t="s">
        <v>71</v>
      </c>
      <c r="H8">
        <v>0</v>
      </c>
      <c r="I8" t="s">
        <v>72</v>
      </c>
      <c r="J8" t="s">
        <v>69</v>
      </c>
      <c r="K8">
        <v>0</v>
      </c>
      <c r="M8">
        <v>1</v>
      </c>
      <c r="R8" t="str">
        <f>IF($U$2=TRUE,$W$2&amp;". Недостоверное входное значение","Недостоверное входное значение")</f>
        <v>Дискретный выход FB. Недостоверное входное значение</v>
      </c>
      <c r="S8" s="372"/>
      <c r="U8" s="773"/>
      <c r="V8" s="4"/>
      <c r="W8" s="773"/>
      <c r="X8" s="4"/>
    </row>
    <row r="9" spans="1:29">
      <c r="A9" t="str">
        <f>SUBSTITUTE($V$2,"\","|")&amp;"|FXXX"</f>
        <v>ALARM_SOUND|FXXX</v>
      </c>
      <c r="B9" t="s">
        <v>74</v>
      </c>
      <c r="F9" s="4" t="s">
        <v>72</v>
      </c>
      <c r="G9" t="s">
        <v>71</v>
      </c>
      <c r="H9">
        <v>0</v>
      </c>
      <c r="I9" t="s">
        <v>72</v>
      </c>
      <c r="J9" t="s">
        <v>69</v>
      </c>
      <c r="K9">
        <v>0</v>
      </c>
      <c r="M9">
        <v>1</v>
      </c>
      <c r="R9" t="str">
        <f>IF($U$2=TRUE,$W$2&amp;". Недостоверност обобщенная","Недостоверност обобщенная")</f>
        <v>Дискретный выход FB. Недостоверност обобщенная</v>
      </c>
      <c r="S9" s="372"/>
      <c r="U9" s="773"/>
      <c r="V9" s="4"/>
      <c r="W9" s="773"/>
      <c r="X9" s="4"/>
    </row>
    <row r="10" spans="1:29">
      <c r="A10" t="str">
        <f>SUBSTITUTE($V$2,"\","|")&amp;"|XRPX"</f>
        <v>ALARM_SOUND|XRPX</v>
      </c>
      <c r="B10" t="s">
        <v>74</v>
      </c>
      <c r="F10" s="4" t="s">
        <v>72</v>
      </c>
      <c r="G10" t="s">
        <v>71</v>
      </c>
      <c r="H10">
        <v>0</v>
      </c>
      <c r="I10" t="s">
        <v>72</v>
      </c>
      <c r="J10" t="s">
        <v>69</v>
      </c>
      <c r="K10">
        <v>0</v>
      </c>
      <c r="M10">
        <v>1</v>
      </c>
      <c r="R10" t="str">
        <f>IF($U$2=TRUE,$W$2&amp;". Выведен в ремонт","Выведен в ремонт")</f>
        <v>Дискретный выход FB. Выведен в ремонт</v>
      </c>
      <c r="S10" s="372"/>
      <c r="U10" s="773"/>
      <c r="V10" s="4"/>
      <c r="W10" s="773"/>
      <c r="X10" s="4"/>
    </row>
    <row r="11" spans="1:29">
      <c r="A11" t="str">
        <f>SUBSTITUTE($V$2,"\","|")&amp;"|DRCX"</f>
        <v>ALARM_SOUND|DRCX</v>
      </c>
      <c r="B11" t="s">
        <v>74</v>
      </c>
      <c r="F11" s="4" t="s">
        <v>72</v>
      </c>
      <c r="G11" t="s">
        <v>71</v>
      </c>
      <c r="H11">
        <v>0</v>
      </c>
      <c r="I11" t="s">
        <v>72</v>
      </c>
      <c r="J11" t="s">
        <v>69</v>
      </c>
      <c r="K11">
        <v>0</v>
      </c>
      <c r="M11">
        <v>1</v>
      </c>
      <c r="R11" t="str">
        <f>IF($U$2=TRUE,$W$2&amp;". Недостоверное Входное значение Дистанционное управление","Недостоверное Входное значение Дистанционное управление")</f>
        <v>Дискретный выход FB. Недостоверное Входное значение Дистанционное управление</v>
      </c>
      <c r="S11" s="372"/>
      <c r="U11" s="773"/>
      <c r="V11" s="4"/>
      <c r="W11" s="773"/>
      <c r="X11" s="4"/>
    </row>
    <row r="12" spans="1:29">
      <c r="A12" t="str">
        <f>SUBSTITUTE($V$2,"\","|")&amp;"|DOON"</f>
        <v>ALARM_SOUND|DOON</v>
      </c>
      <c r="B12" t="s">
        <v>74</v>
      </c>
      <c r="F12" s="4" t="s">
        <v>72</v>
      </c>
      <c r="G12" t="s">
        <v>71</v>
      </c>
      <c r="H12">
        <v>0</v>
      </c>
      <c r="I12" t="s">
        <v>72</v>
      </c>
      <c r="J12" t="s">
        <v>69</v>
      </c>
      <c r="K12">
        <v>0</v>
      </c>
      <c r="M12">
        <v>1</v>
      </c>
      <c r="R12" t="str">
        <f>IF($U$2=TRUE,$W$2&amp;". Недостоверное Выходное  значение Включить","Недостоверное Выходное  значение Включить")</f>
        <v>Дискретный выход FB. Недостоверное Выходное  значение Включить</v>
      </c>
      <c r="S12" s="372"/>
      <c r="U12" s="773"/>
      <c r="V12" s="4"/>
      <c r="W12" s="773"/>
      <c r="X12" s="4"/>
    </row>
    <row r="13" spans="1:29">
      <c r="A13" t="str">
        <f>SUBSTITUTE($V$2,"\","|")&amp;"|DOOF"</f>
        <v>ALARM_SOUND|DOOF</v>
      </c>
      <c r="B13" t="s">
        <v>74</v>
      </c>
      <c r="F13" s="4" t="s">
        <v>72</v>
      </c>
      <c r="G13" t="s">
        <v>71</v>
      </c>
      <c r="H13">
        <v>0</v>
      </c>
      <c r="I13" t="s">
        <v>72</v>
      </c>
      <c r="J13" t="s">
        <v>69</v>
      </c>
      <c r="K13">
        <v>0</v>
      </c>
      <c r="M13">
        <v>1</v>
      </c>
      <c r="R13" t="str">
        <f>IF($U$2=TRUE,$W$2&amp;". Недостоверное Выходное значение Отключить","Недостоверное Выходное значение Отключить")</f>
        <v>Дискретный выход FB. Недостоверное Выходное значение Отключить</v>
      </c>
      <c r="S13" s="372"/>
      <c r="U13" s="773"/>
      <c r="V13" s="4"/>
      <c r="W13" s="773"/>
      <c r="X13" s="4"/>
    </row>
    <row r="14" spans="1:29">
      <c r="A14" t="str">
        <f>SUBSTITUTE($V$2,"\","|")&amp;"|CEON"</f>
        <v>ALARM_SOUND|CEON</v>
      </c>
      <c r="B14" t="s">
        <v>74</v>
      </c>
      <c r="F14" s="4" t="s">
        <v>72</v>
      </c>
      <c r="G14" t="s">
        <v>71</v>
      </c>
      <c r="H14">
        <v>0</v>
      </c>
      <c r="I14" t="s">
        <v>72</v>
      </c>
      <c r="J14" t="s">
        <v>69</v>
      </c>
      <c r="K14">
        <v>0</v>
      </c>
      <c r="M14">
        <v>1</v>
      </c>
      <c r="R14" t="str">
        <f>IF($U$2=TRUE,$W$2&amp;". Команда ПАЗ: Включить","Команда ПАЗ: Включить")</f>
        <v>Дискретный выход FB. Команда ПАЗ: Включить</v>
      </c>
      <c r="S14" s="372"/>
      <c r="U14" s="773"/>
      <c r="V14" s="4"/>
      <c r="W14" s="773"/>
      <c r="X14" s="4"/>
    </row>
    <row r="15" spans="1:29">
      <c r="A15" t="str">
        <f>SUBSTITUTE($V$2,"\","|")&amp;"|CEOF"</f>
        <v>ALARM_SOUND|CEOF</v>
      </c>
      <c r="B15" t="s">
        <v>74</v>
      </c>
      <c r="F15" t="s">
        <v>72</v>
      </c>
      <c r="G15" t="s">
        <v>71</v>
      </c>
      <c r="H15">
        <v>0</v>
      </c>
      <c r="I15" t="s">
        <v>72</v>
      </c>
      <c r="J15" t="s">
        <v>69</v>
      </c>
      <c r="K15">
        <v>0</v>
      </c>
      <c r="M15">
        <v>1</v>
      </c>
      <c r="R15" t="str">
        <f>IF($U$2=TRUE,$W$2&amp;". Команда ПАЗ: Отключить","Команда ПАЗ: Отключить")</f>
        <v>Дискретный выход FB. Команда ПАЗ: Отключить</v>
      </c>
      <c r="S15" s="372"/>
      <c r="U15" s="773"/>
      <c r="V15" s="4"/>
      <c r="W15" s="773"/>
      <c r="X15" s="4"/>
    </row>
    <row r="16" spans="1:29">
      <c r="A16" t="str">
        <f>SUBSTITUTE($V$2,"\","|")&amp;"|CBON"</f>
        <v>ALARM_SOUND|CBON</v>
      </c>
      <c r="B16" t="s">
        <v>74</v>
      </c>
      <c r="F16" t="s">
        <v>72</v>
      </c>
      <c r="G16" t="s">
        <v>71</v>
      </c>
      <c r="H16">
        <v>0</v>
      </c>
      <c r="I16" t="s">
        <v>72</v>
      </c>
      <c r="J16" t="s">
        <v>69</v>
      </c>
      <c r="K16">
        <v>0</v>
      </c>
      <c r="M16">
        <v>1</v>
      </c>
      <c r="R16" t="str">
        <f>IF($U$2=TRUE,$W$2&amp;". Команда блокировки: Включить","Команда блокировки: Включить")</f>
        <v>Дискретный выход FB. Команда блокировки: Включить</v>
      </c>
      <c r="S16" s="372"/>
      <c r="U16" s="773"/>
      <c r="V16" s="4"/>
      <c r="W16" s="773"/>
      <c r="X16" s="4"/>
    </row>
    <row r="17" spans="1:24">
      <c r="A17" t="str">
        <f>SUBSTITUTE($V$2,"\","|")&amp;"|CBOF"</f>
        <v>ALARM_SOUND|CBOF</v>
      </c>
      <c r="B17" t="s">
        <v>74</v>
      </c>
      <c r="F17" t="s">
        <v>72</v>
      </c>
      <c r="G17" t="s">
        <v>71</v>
      </c>
      <c r="H17">
        <v>0</v>
      </c>
      <c r="I17" t="s">
        <v>72</v>
      </c>
      <c r="J17" t="s">
        <v>69</v>
      </c>
      <c r="K17">
        <v>0</v>
      </c>
      <c r="M17">
        <v>1</v>
      </c>
      <c r="R17" t="str">
        <f>IF($U$2=TRUE,$W$2&amp;". Команда блокировки: Отключить","Команда блокировки: Отключить")</f>
        <v>Дискретный выход FB. Команда блокировки: Отключить</v>
      </c>
      <c r="S17" s="372"/>
      <c r="U17" s="773"/>
      <c r="V17" s="4"/>
      <c r="W17" s="773"/>
      <c r="X17" s="4"/>
    </row>
    <row r="18" spans="1:24">
      <c r="A18" t="str">
        <f>SUBSTITUTE($V$2,"\","|")&amp;"|CAON"</f>
        <v>ALARM_SOUND|CAON</v>
      </c>
      <c r="B18" t="s">
        <v>74</v>
      </c>
      <c r="F18" t="s">
        <v>72</v>
      </c>
      <c r="G18" t="s">
        <v>71</v>
      </c>
      <c r="H18">
        <v>0</v>
      </c>
      <c r="I18" t="s">
        <v>72</v>
      </c>
      <c r="J18" t="s">
        <v>69</v>
      </c>
      <c r="K18">
        <v>0</v>
      </c>
      <c r="M18">
        <v>1</v>
      </c>
      <c r="R18" t="str">
        <f>IF($U$2=TRUE,$W$2&amp;". Команда алгоритма: Включить","Команда алгоритма: Включить")</f>
        <v>Дискретный выход FB. Команда алгоритма: Включить</v>
      </c>
      <c r="S18" s="372"/>
      <c r="U18" s="773"/>
      <c r="V18" s="4"/>
      <c r="W18" s="773"/>
      <c r="X18" s="4"/>
    </row>
    <row r="19" spans="1:24">
      <c r="A19" t="str">
        <f>SUBSTITUTE($V$2,"\","|")&amp;"|CAOF"</f>
        <v>ALARM_SOUND|CAOF</v>
      </c>
      <c r="B19" t="s">
        <v>74</v>
      </c>
      <c r="F19" t="s">
        <v>72</v>
      </c>
      <c r="G19" t="s">
        <v>71</v>
      </c>
      <c r="H19">
        <v>0</v>
      </c>
      <c r="I19" t="s">
        <v>72</v>
      </c>
      <c r="J19" t="s">
        <v>69</v>
      </c>
      <c r="K19">
        <v>0</v>
      </c>
      <c r="M19">
        <v>1</v>
      </c>
      <c r="R19" t="str">
        <f>IF($U$2=TRUE,$W$2&amp;". Команда алгоритма: Отключить","Команда алгоритма: Отключить")</f>
        <v>Дискретный выход FB. Команда алгоритма: Отключить</v>
      </c>
      <c r="S19" s="372"/>
      <c r="U19" s="773"/>
      <c r="V19" s="4"/>
      <c r="W19" s="773"/>
      <c r="X19" s="4"/>
    </row>
    <row r="20" spans="1:24">
      <c r="A20" t="str">
        <f>SUBSTITUTE($V$2,"\","|")&amp;"|CPMM"</f>
        <v>ALARM_SOUND|CPMM</v>
      </c>
      <c r="B20" t="s">
        <v>74</v>
      </c>
      <c r="F20" t="s">
        <v>76</v>
      </c>
      <c r="G20" t="s">
        <v>71</v>
      </c>
      <c r="H20">
        <v>0</v>
      </c>
      <c r="I20" t="s">
        <v>76</v>
      </c>
      <c r="J20" t="s">
        <v>73</v>
      </c>
      <c r="K20">
        <v>0</v>
      </c>
      <c r="M20">
        <v>1</v>
      </c>
      <c r="R20" t="str">
        <f>IF($U$2=TRUE,$W$2&amp;". Разрешение на перевод в ручной режим","Разрешение на перевод в ручной режим")</f>
        <v>Дискретный выход FB. Разрешение на перевод в ручной режим</v>
      </c>
      <c r="S20" s="372"/>
      <c r="U20" s="773"/>
      <c r="V20" s="4"/>
      <c r="W20" s="773"/>
      <c r="X20" s="4"/>
    </row>
    <row r="21" spans="1:24">
      <c r="A21" t="str">
        <f>SUBSTITUTE($V$2,"\","|")&amp;"|LAON"</f>
        <v>ALARM_SOUND|LAON</v>
      </c>
      <c r="B21" t="s">
        <v>74</v>
      </c>
      <c r="F21" t="s">
        <v>72</v>
      </c>
      <c r="G21" t="s">
        <v>71</v>
      </c>
      <c r="H21">
        <v>0</v>
      </c>
      <c r="I21" t="s">
        <v>72</v>
      </c>
      <c r="J21" t="s">
        <v>69</v>
      </c>
      <c r="K21">
        <v>0</v>
      </c>
      <c r="M21">
        <v>1</v>
      </c>
      <c r="R21" t="str">
        <f>IF($U$2=TRUE,$W$2&amp;". Заблокировалась автоматическая команда включить","Заблокировалась автоматическая команда включить")</f>
        <v>Дискретный выход FB. Заблокировалась автоматическая команда включить</v>
      </c>
      <c r="S21" s="372"/>
      <c r="U21" s="773"/>
      <c r="V21" s="4"/>
      <c r="W21" s="773"/>
      <c r="X21" s="4"/>
    </row>
    <row r="22" spans="1:24">
      <c r="A22" t="str">
        <f>SUBSTITUTE($V$2,"\","|")&amp;"|LAOF"</f>
        <v>ALARM_SOUND|LAOF</v>
      </c>
      <c r="B22" t="s">
        <v>74</v>
      </c>
      <c r="F22" t="s">
        <v>72</v>
      </c>
      <c r="G22" t="s">
        <v>71</v>
      </c>
      <c r="H22">
        <v>0</v>
      </c>
      <c r="I22" t="s">
        <v>72</v>
      </c>
      <c r="J22" t="s">
        <v>69</v>
      </c>
      <c r="K22">
        <v>0</v>
      </c>
      <c r="M22">
        <v>1</v>
      </c>
      <c r="R22" t="str">
        <f>IF($U$2=TRUE,$W$2&amp;". Заблокировалась автоматическая команда отключить","Заблокировалась автоматическая команда отключить")</f>
        <v>Дискретный выход FB. Заблокировалась автоматическая команда отключить</v>
      </c>
      <c r="S22" s="372"/>
      <c r="U22" s="773"/>
      <c r="V22" s="4"/>
      <c r="W22" s="773"/>
      <c r="X22" s="4"/>
    </row>
    <row r="23" spans="1:24">
      <c r="A23" t="str">
        <f>SUBSTITUTE($V$2,"\","|")&amp;"|IRCX"</f>
        <v>ALARM_SOUND|IRCX</v>
      </c>
      <c r="B23" t="s">
        <v>74</v>
      </c>
      <c r="F23" t="s">
        <v>76</v>
      </c>
      <c r="G23" t="s">
        <v>71</v>
      </c>
      <c r="H23">
        <v>0</v>
      </c>
      <c r="I23" t="s">
        <v>76</v>
      </c>
      <c r="J23" t="s">
        <v>69</v>
      </c>
      <c r="K23">
        <v>0</v>
      </c>
      <c r="M23">
        <v>1</v>
      </c>
      <c r="R23" t="str">
        <f>IF($U$2=TRUE,$W$2&amp;". Входное значение Дистанционное управление","Входное значение Дистанционное управление")</f>
        <v>Дискретный выход FB. Входное значение Дистанционное управление</v>
      </c>
      <c r="S23" s="372"/>
      <c r="U23" s="773"/>
      <c r="V23" s="4"/>
      <c r="W23" s="773"/>
      <c r="X23" s="4"/>
    </row>
    <row r="24" spans="1:24">
      <c r="A24" t="str">
        <f>SUBSTITUTE($V$2,"\","|")&amp;"|CDON"</f>
        <v>ALARM_SOUND|CDON</v>
      </c>
      <c r="B24" t="s">
        <v>74</v>
      </c>
      <c r="F24" t="s">
        <v>72</v>
      </c>
      <c r="G24" t="s">
        <v>71</v>
      </c>
      <c r="H24">
        <v>0</v>
      </c>
      <c r="I24" t="s">
        <v>72</v>
      </c>
      <c r="J24" t="s">
        <v>73</v>
      </c>
      <c r="K24">
        <v>0</v>
      </c>
      <c r="M24">
        <v>1</v>
      </c>
      <c r="R24" t="str">
        <f>IF($U$2=TRUE,$W$2&amp;". Запрет включения выключателя","Запрет включения выключателя")</f>
        <v>Дискретный выход FB. Запрет включения выключателя</v>
      </c>
      <c r="S24" s="372"/>
      <c r="U24" s="773"/>
      <c r="V24" s="4"/>
      <c r="W24" s="773"/>
      <c r="X24" s="4"/>
    </row>
    <row r="25" spans="1:24">
      <c r="A25" t="str">
        <f>SUBSTITUTE($V$2,"\","|")&amp;"|CDOF"</f>
        <v>ALARM_SOUND|CDOF</v>
      </c>
      <c r="B25" t="s">
        <v>74</v>
      </c>
      <c r="F25" t="s">
        <v>72</v>
      </c>
      <c r="G25" t="s">
        <v>71</v>
      </c>
      <c r="H25">
        <v>0</v>
      </c>
      <c r="I25" t="s">
        <v>72</v>
      </c>
      <c r="J25" t="s">
        <v>73</v>
      </c>
      <c r="K25">
        <v>0</v>
      </c>
      <c r="M25">
        <v>1</v>
      </c>
      <c r="R25" t="str">
        <f>IF($U$2=TRUE,$W$2&amp;". Запрет отключения выключателя","Запрет отключения выключателя")</f>
        <v>Дискретный выход FB. Запрет отключения выключателя</v>
      </c>
      <c r="S25" s="372"/>
      <c r="U25" s="773"/>
      <c r="V25" s="4"/>
      <c r="W25" s="773"/>
      <c r="X25" s="4"/>
    </row>
    <row r="26" spans="1:24">
      <c r="A26" t="str">
        <f>SUBSTITUTE($V$2,"\","|")&amp;"|XRCX"</f>
        <v>ALARM_SOUND|XRCX</v>
      </c>
      <c r="B26" t="s">
        <v>74</v>
      </c>
      <c r="F26" t="s">
        <v>72</v>
      </c>
      <c r="G26" t="s">
        <v>71</v>
      </c>
      <c r="H26">
        <v>0</v>
      </c>
      <c r="I26" t="s">
        <v>72</v>
      </c>
      <c r="J26" t="s">
        <v>69</v>
      </c>
      <c r="K26">
        <v>0</v>
      </c>
      <c r="M26">
        <v>1</v>
      </c>
      <c r="R26" t="str">
        <f>IF($U$2=TRUE,$W$2&amp;". Выходное значение Дистанционное управление","Выходное значение Дистанционное управление")</f>
        <v>Дискретный выход FB. Выходное значение Дистанционное управление</v>
      </c>
      <c r="S26" s="372"/>
      <c r="U26" s="773"/>
      <c r="V26" s="4"/>
      <c r="W26" s="773"/>
      <c r="X26" s="4"/>
    </row>
    <row r="27" spans="1:24">
      <c r="A27" t="str">
        <f>SUBSTITUTE($V$2,"\","|")&amp;"|XMMX"</f>
        <v>ALARM_SOUND|XMMX</v>
      </c>
      <c r="B27" t="s">
        <v>74</v>
      </c>
      <c r="F27" t="s">
        <v>72</v>
      </c>
      <c r="G27" t="s">
        <v>71</v>
      </c>
      <c r="H27">
        <v>0</v>
      </c>
      <c r="I27" t="s">
        <v>72</v>
      </c>
      <c r="J27" t="s">
        <v>69</v>
      </c>
      <c r="K27">
        <v>0</v>
      </c>
      <c r="M27">
        <v>1</v>
      </c>
      <c r="R27" t="str">
        <f>IF($U$2=TRUE,$W$2&amp;". Выходное значение Ручное управление","Выходное значение Ручное управление")</f>
        <v>Дискретный выход FB. Выходное значение Ручное управление</v>
      </c>
      <c r="S27" s="372"/>
      <c r="U27" s="773"/>
      <c r="V27" s="4"/>
      <c r="W27" s="773"/>
      <c r="X27" s="4"/>
    </row>
    <row r="28" spans="1:24">
      <c r="A28" t="str">
        <f>SUBSTITUTE($V$2,"\","|")&amp;"|STCX"</f>
        <v>ALARM_SOUND|STCX</v>
      </c>
      <c r="B28" t="s">
        <v>78</v>
      </c>
      <c r="F28">
        <v>10</v>
      </c>
      <c r="G28" t="s">
        <v>71</v>
      </c>
      <c r="H28">
        <v>0</v>
      </c>
      <c r="I28" t="s">
        <v>76</v>
      </c>
      <c r="J28" t="s">
        <v>73</v>
      </c>
      <c r="K28">
        <v>0</v>
      </c>
      <c r="M28">
        <v>1</v>
      </c>
      <c r="R28" t="str">
        <f>IF($U$2=TRUE,$W$2&amp;". Время перестановки (с)","Время перестановки (с)")</f>
        <v>Дискретный выход FB. Время перестановки (с)</v>
      </c>
      <c r="S28" s="372"/>
      <c r="U28" s="773"/>
      <c r="V28" s="4"/>
      <c r="W28" s="773"/>
      <c r="X28" s="4"/>
    </row>
    <row r="29" spans="1:24">
      <c r="A29" s="4" t="str">
        <f>SUBSTITUTE($V$2,"\","|")&amp;"|OXON"</f>
        <v>ALARM_SOUND|OXON</v>
      </c>
      <c r="B29" s="4" t="s">
        <v>74</v>
      </c>
      <c r="F29" s="4" t="s">
        <v>72</v>
      </c>
      <c r="G29" s="4" t="s">
        <v>71</v>
      </c>
      <c r="H29" s="4">
        <v>0</v>
      </c>
      <c r="I29" s="4" t="s">
        <v>76</v>
      </c>
      <c r="J29" s="4" t="s">
        <v>69</v>
      </c>
      <c r="K29" s="4">
        <v>0</v>
      </c>
      <c r="M29">
        <v>1</v>
      </c>
      <c r="R29" t="str">
        <f>IF($U$2=TRUE,$W$2&amp;". Выходное значение Включить","Выходное значение Включить")</f>
        <v>Дискретный выход FB. Выходное значение Включить</v>
      </c>
      <c r="S29" s="372"/>
      <c r="U29" s="773"/>
      <c r="V29" s="4"/>
      <c r="W29" s="773"/>
      <c r="X29" s="4"/>
    </row>
    <row r="30" spans="1:24">
      <c r="A30" s="4" t="str">
        <f>SUBSTITUTE($V$2,"\","|")&amp;"|OXOF"</f>
        <v>ALARM_SOUND|OXOF</v>
      </c>
      <c r="B30" s="4" t="s">
        <v>74</v>
      </c>
      <c r="F30" s="4" t="s">
        <v>72</v>
      </c>
      <c r="G30" s="4" t="s">
        <v>71</v>
      </c>
      <c r="H30" s="4">
        <v>0</v>
      </c>
      <c r="I30" s="4" t="s">
        <v>76</v>
      </c>
      <c r="J30" s="4" t="s">
        <v>69</v>
      </c>
      <c r="K30" s="4">
        <v>0</v>
      </c>
      <c r="M30">
        <v>1</v>
      </c>
      <c r="R30" t="str">
        <f>IF($U$2=TRUE,$W$2&amp;". Выходное значение Отключить","Выходное значение Отключить")</f>
        <v>Дискретный выход FB. Выходное значение Отключить</v>
      </c>
      <c r="S30" s="372"/>
      <c r="U30" s="773"/>
      <c r="V30" s="4"/>
      <c r="W30" s="773"/>
      <c r="X30" s="4"/>
    </row>
    <row r="31" spans="1:24">
      <c r="A31" s="4" t="str">
        <f>SUBSTITUTE($V$2,"\","|")&amp;"|OCON"</f>
        <v>ALARM_SOUND|OCON</v>
      </c>
      <c r="B31" s="4" t="s">
        <v>74</v>
      </c>
      <c r="F31" s="4" t="s">
        <v>72</v>
      </c>
      <c r="G31" s="4" t="s">
        <v>71</v>
      </c>
      <c r="H31" s="4">
        <v>0</v>
      </c>
      <c r="I31" s="4" t="s">
        <v>76</v>
      </c>
      <c r="J31" s="4" t="s">
        <v>69</v>
      </c>
      <c r="K31" s="4">
        <v>0</v>
      </c>
      <c r="M31">
        <v>1</v>
      </c>
      <c r="R31" t="str">
        <f>IF($U$2=TRUE,$W$2&amp;". Выходное значение Включить","Выходное значение Включить")</f>
        <v>Дискретный выход FB. Выходное значение Включить</v>
      </c>
      <c r="S31" s="372"/>
      <c r="U31" s="773"/>
      <c r="V31" s="4"/>
      <c r="W31" s="773"/>
      <c r="X31" s="4"/>
    </row>
    <row r="32" spans="1:24">
      <c r="A32" s="4" t="str">
        <f>SUBSTITUTE($V$2,"\","|")&amp;"|OCOF"</f>
        <v>ALARM_SOUND|OCOF</v>
      </c>
      <c r="B32" s="4" t="s">
        <v>74</v>
      </c>
      <c r="F32" s="4" t="s">
        <v>72</v>
      </c>
      <c r="G32" s="4" t="s">
        <v>71</v>
      </c>
      <c r="H32" s="4">
        <v>0</v>
      </c>
      <c r="I32" s="4" t="s">
        <v>76</v>
      </c>
      <c r="J32" s="4" t="s">
        <v>69</v>
      </c>
      <c r="K32" s="4">
        <v>0</v>
      </c>
      <c r="M32">
        <v>1</v>
      </c>
      <c r="R32" t="str">
        <f>IF($U$2=TRUE,$W$2&amp;". Выходное значение Отключить","Выходное значение Отключить")</f>
        <v>Дискретный выход FB. Выходное значение Отключить</v>
      </c>
      <c r="S32" s="372"/>
      <c r="U32" s="773"/>
      <c r="V32" s="4"/>
      <c r="W32" s="773"/>
      <c r="X32" s="4"/>
    </row>
    <row r="33" spans="1:24">
      <c r="A33" s="4" t="str">
        <f>SUBSTITUTE($V$2,"\","|")&amp;"|FCOM"</f>
        <v>ALARM_SOUND|FCOM</v>
      </c>
      <c r="B33" s="4" t="s">
        <v>74</v>
      </c>
      <c r="F33" s="4" t="s">
        <v>72</v>
      </c>
      <c r="G33" s="4" t="s">
        <v>71</v>
      </c>
      <c r="H33" s="4">
        <v>0</v>
      </c>
      <c r="I33" s="4" t="s">
        <v>72</v>
      </c>
      <c r="J33" s="4" t="s">
        <v>69</v>
      </c>
      <c r="K33" s="4">
        <v>0</v>
      </c>
      <c r="M33">
        <v>1</v>
      </c>
      <c r="R33" t="str">
        <f>IF($U$2=TRUE,$W$2&amp;". Недостоверност обобщенная","Недостоверност обобщенная")</f>
        <v>Дискретный выход FB. Недостоверност обобщенная</v>
      </c>
      <c r="S33" s="372"/>
      <c r="U33" s="773"/>
      <c r="V33" s="4"/>
      <c r="W33" s="773"/>
      <c r="X33" s="4"/>
    </row>
    <row r="34" spans="1:24">
      <c r="A34" s="4" t="str">
        <f>SUBSTITUTE($V$2,"\","|")&amp;"|SMMX"</f>
        <v>ALARM_SOUND|SMMX</v>
      </c>
      <c r="B34" s="4" t="s">
        <v>74</v>
      </c>
      <c r="F34" s="4" t="s">
        <v>72</v>
      </c>
      <c r="G34" s="4" t="s">
        <v>237</v>
      </c>
      <c r="H34" s="4">
        <v>0</v>
      </c>
      <c r="I34" s="4" t="s">
        <v>76</v>
      </c>
      <c r="J34" t="s">
        <v>69</v>
      </c>
      <c r="K34" s="4">
        <v>0</v>
      </c>
      <c r="M34">
        <v>1</v>
      </c>
      <c r="R34" t="str">
        <f>IF($U$2=TRUE,$W$2&amp;". Настройка перехода ручной/автоматический","Настройка перехода ручной/автоматический")</f>
        <v>Дискретный выход FB. Настройка перехода ручной/автоматический</v>
      </c>
      <c r="S34" s="372"/>
      <c r="U34" s="773"/>
      <c r="V34" s="4"/>
      <c r="W34" s="773"/>
      <c r="X34" s="4"/>
    </row>
    <row r="35" spans="1:24">
      <c r="A35" s="4" t="str">
        <f>SUBSTITUTE($V$2,"\","|")&amp;"|XVLX"</f>
        <v>ALARM_SOUND|XVLX</v>
      </c>
      <c r="B35" s="4" t="s">
        <v>74</v>
      </c>
      <c r="F35" s="4" t="s">
        <v>72</v>
      </c>
      <c r="G35" s="4" t="s">
        <v>71</v>
      </c>
      <c r="H35" s="4">
        <v>0</v>
      </c>
      <c r="I35" s="4" t="s">
        <v>72</v>
      </c>
      <c r="J35" t="s">
        <v>69</v>
      </c>
      <c r="K35" s="4">
        <v>0</v>
      </c>
      <c r="M35">
        <v>1</v>
      </c>
      <c r="R35" t="str">
        <f>IF($U$2=TRUE,$W$2&amp;". Выходное значение","Выходное значение")</f>
        <v>Дискретный выход FB. Выходное значение</v>
      </c>
      <c r="S35" s="372"/>
      <c r="U35" s="773"/>
      <c r="V35" s="4"/>
      <c r="W35" s="773"/>
      <c r="X35" s="4"/>
    </row>
    <row r="36" spans="1:24">
      <c r="A36" s="514" t="str">
        <f>"PACK_TO_INT|STATE|"&amp;SUBSTITUTE($V$2,"\","|")</f>
        <v>PACK_TO_INT|STATE|ALARM_SOUND</v>
      </c>
      <c r="B36" s="4" t="s">
        <v>78</v>
      </c>
      <c r="F36" s="4">
        <v>0</v>
      </c>
      <c r="G36" s="4" t="s">
        <v>71</v>
      </c>
      <c r="H36" s="4">
        <v>0</v>
      </c>
      <c r="I36" s="4" t="s">
        <v>72</v>
      </c>
      <c r="J36" s="4" t="s">
        <v>73</v>
      </c>
      <c r="K36" s="514">
        <v>1</v>
      </c>
      <c r="M36" s="4"/>
    </row>
    <row r="37" spans="1:24">
      <c r="A37" s="4"/>
      <c r="B37" s="4"/>
      <c r="F37" s="4"/>
      <c r="G37" s="4"/>
      <c r="H37" s="4"/>
      <c r="I37" s="4"/>
      <c r="J37" s="4"/>
      <c r="K37" s="4"/>
      <c r="M37" s="4"/>
    </row>
    <row r="38" spans="1:24">
      <c r="A38" s="4"/>
      <c r="B38" s="4"/>
      <c r="F38" s="4"/>
      <c r="G38" s="4"/>
      <c r="H38" s="4"/>
      <c r="I38" s="4"/>
      <c r="J38" s="4"/>
      <c r="K38" s="4"/>
      <c r="M38" s="4"/>
    </row>
    <row r="39" spans="1:24">
      <c r="A39" s="4"/>
      <c r="B39" s="4"/>
      <c r="F39" s="4"/>
      <c r="G39" s="4"/>
      <c r="H39" s="4"/>
      <c r="I39" s="4"/>
      <c r="J39" s="4"/>
      <c r="K39" s="4"/>
      <c r="M39" s="4"/>
    </row>
    <row r="40" spans="1:24">
      <c r="A40" s="4"/>
      <c r="B40" s="4"/>
      <c r="F40" s="4"/>
      <c r="G40" s="4"/>
      <c r="H40" s="4"/>
      <c r="I40" s="4"/>
      <c r="J40" s="4"/>
      <c r="K40" s="4"/>
      <c r="M40" s="4"/>
      <c r="W40" s="4"/>
    </row>
    <row r="41" spans="1:24">
      <c r="A41" s="4"/>
      <c r="B41" s="4"/>
      <c r="F41" s="4"/>
      <c r="G41" s="4"/>
      <c r="H41" s="4"/>
      <c r="I41" s="4"/>
      <c r="J41" s="4"/>
      <c r="K41" s="4"/>
      <c r="M41" s="4"/>
      <c r="W41" s="4"/>
    </row>
    <row r="42" spans="1:24">
      <c r="W42" s="4"/>
    </row>
    <row r="43" spans="1:24">
      <c r="W43" s="4"/>
    </row>
    <row r="44" spans="1:24">
      <c r="W44" s="4"/>
    </row>
    <row r="45" spans="1:24">
      <c r="W45" s="4"/>
    </row>
    <row r="46" spans="1:24">
      <c r="W46" s="4"/>
    </row>
    <row r="47" spans="1:24">
      <c r="W47" s="4"/>
    </row>
    <row r="48" spans="1:24">
      <c r="W48" s="4"/>
    </row>
    <row r="49" spans="23:23">
      <c r="W49" s="4"/>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Лист61">
    <tabColor rgb="FF92D050"/>
  </sheetPr>
  <dimension ref="A1:AD71"/>
  <sheetViews>
    <sheetView topLeftCell="B22" zoomScale="70" zoomScaleNormal="70" workbookViewId="0">
      <selection activeCell="V2" sqref="V2:AD2"/>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style="53" customWidth="1"/>
    <col min="19" max="20" width="9.109375" style="53" customWidth="1"/>
    <col min="21" max="21" width="34" style="53" bestFit="1" customWidth="1"/>
    <col min="22" max="22" width="16.6640625" customWidth="1"/>
    <col min="23" max="23" width="30" customWidth="1"/>
    <col min="24" max="29" width="16.6640625" customWidth="1"/>
  </cols>
  <sheetData>
    <row r="1" spans="1:30">
      <c r="A1" s="10"/>
      <c r="B1" s="10"/>
      <c r="F1" s="10"/>
      <c r="G1" s="10"/>
      <c r="H1" s="10"/>
      <c r="I1" s="10"/>
      <c r="J1" s="10"/>
      <c r="K1" s="10"/>
      <c r="M1" s="10"/>
      <c r="N1" s="10"/>
      <c r="O1" s="10"/>
      <c r="P1" s="10"/>
      <c r="Q1" s="10"/>
      <c r="R1" s="616"/>
      <c r="U1" s="54" t="str">
        <f>Настройки!$M$33</f>
        <v>Комментарии блоков в гл. словаре</v>
      </c>
      <c r="V1" s="54" t="s">
        <v>79</v>
      </c>
      <c r="W1" s="54" t="s">
        <v>269</v>
      </c>
      <c r="X1" s="54" t="s">
        <v>240</v>
      </c>
      <c r="Y1" s="54" t="s">
        <v>241</v>
      </c>
      <c r="Z1" s="54" t="s">
        <v>242</v>
      </c>
      <c r="AA1" s="54" t="s">
        <v>267</v>
      </c>
      <c r="AB1" s="54" t="s">
        <v>276</v>
      </c>
      <c r="AC1" s="54" t="s">
        <v>277</v>
      </c>
      <c r="AD1" s="54" t="s">
        <v>825</v>
      </c>
    </row>
    <row r="2" spans="1:30">
      <c r="A2" s="10"/>
      <c r="B2" s="10"/>
      <c r="F2" s="10"/>
      <c r="G2" s="10"/>
      <c r="H2" s="10"/>
      <c r="I2" s="10"/>
      <c r="J2" s="10"/>
      <c r="K2" s="10"/>
      <c r="M2" s="10"/>
      <c r="N2" s="10"/>
      <c r="O2" s="10"/>
      <c r="P2" s="10"/>
      <c r="Q2" s="10"/>
      <c r="R2" s="616"/>
      <c r="U2" s="74" t="b">
        <f>Настройки!$M$34</f>
        <v>1</v>
      </c>
      <c r="V2" s="73" t="s">
        <v>3919</v>
      </c>
      <c r="W2" s="537" t="s">
        <v>3920</v>
      </c>
      <c r="X2" s="73"/>
      <c r="Y2" s="73" t="s">
        <v>76</v>
      </c>
      <c r="Z2" s="73"/>
      <c r="AA2" s="74">
        <v>60</v>
      </c>
      <c r="AB2" s="74"/>
      <c r="AC2" s="74"/>
      <c r="AD2" s="2"/>
    </row>
    <row r="3" spans="1:30">
      <c r="A3" s="515" t="str">
        <f>SUBSTITUTE($V$2,"\","|")&amp;"|COON"</f>
        <v>GP301_ZE_05|COON</v>
      </c>
      <c r="B3" t="s">
        <v>74</v>
      </c>
      <c r="F3" t="s">
        <v>72</v>
      </c>
      <c r="G3" t="s">
        <v>71</v>
      </c>
      <c r="H3">
        <v>0</v>
      </c>
      <c r="I3" t="s">
        <v>76</v>
      </c>
      <c r="J3" t="s">
        <v>73</v>
      </c>
      <c r="K3" s="515" t="s">
        <v>1383</v>
      </c>
      <c r="M3">
        <v>1</v>
      </c>
      <c r="R3" t="str">
        <f>IF($U$2=TRUE,$W$2&amp;". Команда оператора Открыть","Команда оператора Открыть")</f>
        <v>ГП 301. Задвижка ЗЭ-5. Команда оператора Открыть</v>
      </c>
      <c r="S3" s="372"/>
      <c r="T3"/>
      <c r="U3" s="773"/>
      <c r="V3" s="4"/>
      <c r="W3" s="773"/>
      <c r="X3" s="4"/>
    </row>
    <row r="4" spans="1:30">
      <c r="A4" s="515" t="str">
        <f>SUBSTITUTE($V$2,"\","|")&amp;"|COOF"</f>
        <v>GP301_ZE_05|COOF</v>
      </c>
      <c r="B4" t="s">
        <v>74</v>
      </c>
      <c r="F4" t="s">
        <v>72</v>
      </c>
      <c r="G4" t="s">
        <v>71</v>
      </c>
      <c r="H4">
        <v>0</v>
      </c>
      <c r="I4" t="s">
        <v>76</v>
      </c>
      <c r="J4" t="s">
        <v>73</v>
      </c>
      <c r="K4" s="515" t="s">
        <v>1383</v>
      </c>
      <c r="M4">
        <v>1</v>
      </c>
      <c r="R4" t="str">
        <f>IF($U$2=TRUE,$W$2&amp;". Команда оператора Закрыть","Команда оператора Закрыть")</f>
        <v>ГП 301. Задвижка ЗЭ-5. Команда оператора Закрыть</v>
      </c>
      <c r="S4" s="372"/>
      <c r="T4"/>
      <c r="U4" s="773"/>
      <c r="V4" s="4"/>
      <c r="W4" s="773"/>
      <c r="X4" s="4"/>
    </row>
    <row r="5" spans="1:30">
      <c r="A5" s="515" t="str">
        <f>SUBSTITUTE($V$2,"\","|")&amp;"|CMMX"</f>
        <v>GP301_ZE_05|CMMX</v>
      </c>
      <c r="B5" t="s">
        <v>74</v>
      </c>
      <c r="F5" t="s">
        <v>72</v>
      </c>
      <c r="G5" t="s">
        <v>71</v>
      </c>
      <c r="H5">
        <v>0</v>
      </c>
      <c r="I5" t="s">
        <v>76</v>
      </c>
      <c r="J5" t="s">
        <v>73</v>
      </c>
      <c r="K5" s="515" t="s">
        <v>1383</v>
      </c>
      <c r="M5">
        <v>1</v>
      </c>
      <c r="R5" t="str">
        <f>IF($U$2=TRUE,$W$2&amp;". Команда Перевести в ручной режим управления","Команда Перевести в ручной режим управления")</f>
        <v>ГП 301. Задвижка ЗЭ-5. Команда Перевести в ручной режим управления</v>
      </c>
      <c r="S5" s="372"/>
      <c r="T5"/>
      <c r="U5" s="773"/>
      <c r="V5" s="4"/>
      <c r="W5" s="773"/>
      <c r="X5" s="4"/>
    </row>
    <row r="6" spans="1:30">
      <c r="A6" s="515" t="str">
        <f>SUBSTITUTE($V$2,"\","|")&amp;"|CRPX"</f>
        <v>GP301_ZE_05|CRPX</v>
      </c>
      <c r="B6" t="s">
        <v>74</v>
      </c>
      <c r="F6" t="s">
        <v>72</v>
      </c>
      <c r="G6" t="s">
        <v>71</v>
      </c>
      <c r="H6">
        <v>0</v>
      </c>
      <c r="I6" t="s">
        <v>76</v>
      </c>
      <c r="J6" t="s">
        <v>73</v>
      </c>
      <c r="K6" s="515" t="s">
        <v>1383</v>
      </c>
      <c r="M6">
        <v>1</v>
      </c>
      <c r="R6" t="str">
        <f>IF($U$2=TRUE,$W$2&amp;". Команда оператора Вывести в ремонт","Команда оператора Вывести в ремонт")</f>
        <v>ГП 301. Задвижка ЗЭ-5. Команда оператора Вывести в ремонт</v>
      </c>
      <c r="S6" s="372"/>
      <c r="T6"/>
      <c r="U6" s="773"/>
      <c r="V6" s="4"/>
      <c r="W6" s="773"/>
      <c r="X6" s="4"/>
    </row>
    <row r="7" spans="1:30">
      <c r="A7" s="515" t="str">
        <f>SUBSTITUTE($V$2,"\","|")&amp;"|CRRX"</f>
        <v>GP301_ZE_05|CRRX</v>
      </c>
      <c r="B7" t="s">
        <v>74</v>
      </c>
      <c r="F7" t="s">
        <v>72</v>
      </c>
      <c r="G7" t="s">
        <v>71</v>
      </c>
      <c r="H7">
        <v>0</v>
      </c>
      <c r="I7" t="s">
        <v>76</v>
      </c>
      <c r="J7" t="s">
        <v>73</v>
      </c>
      <c r="K7" s="515" t="s">
        <v>1383</v>
      </c>
      <c r="M7">
        <v>1</v>
      </c>
      <c r="R7" t="str">
        <f>IF($U$2=TRUE,$W$2&amp;". Команда сброс наработки","Команда сброс наработки")</f>
        <v>ГП 301. Задвижка ЗЭ-5. Команда сброс наработки</v>
      </c>
      <c r="S7" s="372"/>
      <c r="T7"/>
      <c r="U7" s="773"/>
      <c r="V7" s="4"/>
      <c r="W7" s="773"/>
      <c r="X7" s="4"/>
    </row>
    <row r="8" spans="1:30">
      <c r="A8" s="515" t="str">
        <f>SUBSTITUTE($V$2,"\","|")&amp;"|CRST"</f>
        <v>GP301_ZE_05|CRST</v>
      </c>
      <c r="B8" t="s">
        <v>74</v>
      </c>
      <c r="F8" t="s">
        <v>72</v>
      </c>
      <c r="G8" t="s">
        <v>71</v>
      </c>
      <c r="H8">
        <v>0</v>
      </c>
      <c r="I8" t="s">
        <v>76</v>
      </c>
      <c r="J8" t="s">
        <v>73</v>
      </c>
      <c r="K8" s="515" t="s">
        <v>1383</v>
      </c>
      <c r="M8">
        <v>1</v>
      </c>
      <c r="R8" t="str">
        <f>IF($U$2=TRUE,$W$2&amp;". Команда Сброс ошибок","Команда Сброс ошибок")</f>
        <v>ГП 301. Задвижка ЗЭ-5. Команда Сброс ошибок</v>
      </c>
      <c r="S8" s="372"/>
      <c r="T8"/>
      <c r="U8" s="773"/>
      <c r="V8" s="4"/>
      <c r="W8" s="773"/>
      <c r="X8" s="4"/>
    </row>
    <row r="9" spans="1:30">
      <c r="A9" t="str">
        <f>SUBSTITUTE($V$2,"\","|")&amp;"|CAOF"</f>
        <v>GP301_ZE_05|CAOF</v>
      </c>
      <c r="B9" t="s">
        <v>74</v>
      </c>
      <c r="F9" t="s">
        <v>72</v>
      </c>
      <c r="G9" t="s">
        <v>71</v>
      </c>
      <c r="H9">
        <v>0</v>
      </c>
      <c r="I9" t="s">
        <v>76</v>
      </c>
      <c r="J9" t="s">
        <v>69</v>
      </c>
      <c r="K9">
        <v>0</v>
      </c>
      <c r="M9">
        <v>1</v>
      </c>
      <c r="R9" t="str">
        <f>IF($U$2=TRUE,$W$2&amp;". Команда алгоритма: Закрыть","Команда алгоритма: Закрыть")</f>
        <v>ГП 301. Задвижка ЗЭ-5. Команда алгоритма: Закрыть</v>
      </c>
      <c r="S9" s="372"/>
      <c r="T9"/>
      <c r="U9" s="773"/>
      <c r="V9" s="4"/>
      <c r="W9" s="773"/>
      <c r="X9" s="4"/>
    </row>
    <row r="10" spans="1:30">
      <c r="A10" t="str">
        <f>SUBSTITUTE($V$2,"\","|")&amp;"|CAON"</f>
        <v>GP301_ZE_05|CAON</v>
      </c>
      <c r="B10" t="s">
        <v>74</v>
      </c>
      <c r="F10" t="s">
        <v>72</v>
      </c>
      <c r="G10" t="s">
        <v>71</v>
      </c>
      <c r="H10">
        <v>0</v>
      </c>
      <c r="I10" t="s">
        <v>76</v>
      </c>
      <c r="J10" t="s">
        <v>69</v>
      </c>
      <c r="K10">
        <v>0</v>
      </c>
      <c r="M10">
        <v>1</v>
      </c>
      <c r="R10" t="str">
        <f>IF($U$2=TRUE,$W$2&amp;". Команда алгоритма: Открыть","Команда алгоритма: Открыть")</f>
        <v>ГП 301. Задвижка ЗЭ-5. Команда алгоритма: Открыть</v>
      </c>
      <c r="S10" s="372"/>
      <c r="T10"/>
      <c r="U10" s="773"/>
      <c r="V10" s="4"/>
      <c r="W10" s="773"/>
      <c r="X10" s="4"/>
    </row>
    <row r="11" spans="1:30">
      <c r="A11" t="str">
        <f>SUBSTITUTE($V$2,"\","|")&amp;"|CBOF"</f>
        <v>GP301_ZE_05|CBOF</v>
      </c>
      <c r="B11" t="s">
        <v>74</v>
      </c>
      <c r="F11" t="s">
        <v>72</v>
      </c>
      <c r="G11" t="s">
        <v>71</v>
      </c>
      <c r="H11">
        <v>0</v>
      </c>
      <c r="I11" t="s">
        <v>76</v>
      </c>
      <c r="J11" t="s">
        <v>69</v>
      </c>
      <c r="K11">
        <v>0</v>
      </c>
      <c r="M11">
        <v>1</v>
      </c>
      <c r="R11" t="str">
        <f>IF($U$2=TRUE,$W$2&amp;". Команда блокировки: Закрыть","Команда блокировки: Закрыть")</f>
        <v>ГП 301. Задвижка ЗЭ-5. Команда блокировки: Закрыть</v>
      </c>
      <c r="S11" s="372"/>
      <c r="T11"/>
      <c r="U11" s="773"/>
      <c r="V11" s="4"/>
      <c r="W11" s="773"/>
      <c r="X11" s="4"/>
    </row>
    <row r="12" spans="1:30">
      <c r="A12" t="str">
        <f>SUBSTITUTE($V$2,"\","|")&amp;"|CBON"</f>
        <v>GP301_ZE_05|CBON</v>
      </c>
      <c r="B12" t="s">
        <v>74</v>
      </c>
      <c r="F12" t="s">
        <v>72</v>
      </c>
      <c r="G12" t="s">
        <v>71</v>
      </c>
      <c r="H12">
        <v>0</v>
      </c>
      <c r="I12" t="s">
        <v>76</v>
      </c>
      <c r="J12" t="s">
        <v>69</v>
      </c>
      <c r="K12">
        <v>0</v>
      </c>
      <c r="M12">
        <v>1</v>
      </c>
      <c r="R12" t="str">
        <f>IF($U$2=TRUE,$W$2&amp;". Команда блокировки: Открыть","Команда блокировки: Открыть")</f>
        <v>ГП 301. Задвижка ЗЭ-5. Команда блокировки: Открыть</v>
      </c>
      <c r="S12" s="372"/>
      <c r="T12"/>
      <c r="U12" s="773"/>
      <c r="V12" s="4"/>
      <c r="W12" s="773"/>
      <c r="X12" s="4"/>
    </row>
    <row r="13" spans="1:30">
      <c r="A13" t="str">
        <f>SUBSTITUTE($V$2,"\","|")&amp;"|CDOF"</f>
        <v>GP301_ZE_05|CDOF</v>
      </c>
      <c r="B13" t="s">
        <v>74</v>
      </c>
      <c r="F13" t="s">
        <v>72</v>
      </c>
      <c r="G13" t="s">
        <v>71</v>
      </c>
      <c r="H13">
        <v>0</v>
      </c>
      <c r="I13" t="s">
        <v>76</v>
      </c>
      <c r="J13" t="s">
        <v>73</v>
      </c>
      <c r="K13">
        <v>0</v>
      </c>
      <c r="M13">
        <v>1</v>
      </c>
      <c r="R13" t="str">
        <f>IF($U$2=TRUE,$W$2&amp;". Запрет закрытия","Запрет закрытия")</f>
        <v>ГП 301. Задвижка ЗЭ-5. Запрет закрытия</v>
      </c>
      <c r="S13" s="372"/>
      <c r="T13"/>
      <c r="U13" s="773"/>
      <c r="V13" s="4"/>
      <c r="W13" s="773"/>
      <c r="X13" s="4"/>
    </row>
    <row r="14" spans="1:30">
      <c r="A14" t="str">
        <f>SUBSTITUTE($V$2,"\","|")&amp;"|CDON"</f>
        <v>GP301_ZE_05|CDON</v>
      </c>
      <c r="B14" t="s">
        <v>74</v>
      </c>
      <c r="F14" t="s">
        <v>72</v>
      </c>
      <c r="G14" t="s">
        <v>71</v>
      </c>
      <c r="H14">
        <v>0</v>
      </c>
      <c r="I14" t="s">
        <v>76</v>
      </c>
      <c r="J14" t="s">
        <v>73</v>
      </c>
      <c r="K14">
        <v>0</v>
      </c>
      <c r="M14">
        <v>1</v>
      </c>
      <c r="R14" t="str">
        <f>IF($U$2=TRUE,$W$2&amp;". Запрет открытия","Запрет открытия")</f>
        <v>ГП 301. Задвижка ЗЭ-5. Запрет открытия</v>
      </c>
      <c r="S14" s="372"/>
      <c r="T14"/>
      <c r="U14" s="773"/>
      <c r="V14" s="4"/>
      <c r="W14" s="773"/>
      <c r="X14" s="4"/>
    </row>
    <row r="15" spans="1:30">
      <c r="A15" t="str">
        <f>SUBSTITUTE($V$2,"\","|")&amp;"|CEOF"</f>
        <v>GP301_ZE_05|CEOF</v>
      </c>
      <c r="B15" t="s">
        <v>74</v>
      </c>
      <c r="F15" t="s">
        <v>72</v>
      </c>
      <c r="G15" t="s">
        <v>71</v>
      </c>
      <c r="H15">
        <v>0</v>
      </c>
      <c r="I15" t="s">
        <v>76</v>
      </c>
      <c r="J15" t="s">
        <v>69</v>
      </c>
      <c r="K15">
        <v>0</v>
      </c>
      <c r="M15">
        <v>1</v>
      </c>
      <c r="R15" t="str">
        <f>IF($U$2=TRUE,$W$2&amp;". Команда ПАЗ: Закрыть","Команда ПАЗ: Закрыть")</f>
        <v>ГП 301. Задвижка ЗЭ-5. Команда ПАЗ: Закрыть</v>
      </c>
      <c r="S15" s="372"/>
      <c r="T15"/>
      <c r="U15" s="773"/>
      <c r="V15" s="4"/>
      <c r="W15" s="773"/>
      <c r="X15" s="4"/>
    </row>
    <row r="16" spans="1:30">
      <c r="A16" t="str">
        <f>SUBSTITUTE($V$2,"\","|")&amp;"|CEON"</f>
        <v>GP301_ZE_05|CEON</v>
      </c>
      <c r="B16" t="s">
        <v>74</v>
      </c>
      <c r="F16" t="s">
        <v>72</v>
      </c>
      <c r="G16" t="s">
        <v>71</v>
      </c>
      <c r="H16">
        <v>0</v>
      </c>
      <c r="I16" t="s">
        <v>76</v>
      </c>
      <c r="J16" t="s">
        <v>69</v>
      </c>
      <c r="K16">
        <v>0</v>
      </c>
      <c r="M16">
        <v>1</v>
      </c>
      <c r="R16" t="str">
        <f>IF($U$2=TRUE,$W$2&amp;". Команда ПАЗ: Открыть","Команда ПАЗ: Открыть")</f>
        <v>ГП 301. Задвижка ЗЭ-5. Команда ПАЗ: Открыть</v>
      </c>
      <c r="S16" s="372"/>
      <c r="T16"/>
      <c r="U16" s="773"/>
      <c r="V16" s="4"/>
      <c r="W16" s="773"/>
      <c r="X16" s="4"/>
    </row>
    <row r="17" spans="1:24">
      <c r="A17" t="str">
        <f>SUBSTITUTE($V$2,"\","|")&amp;"|COSP"</f>
        <v>GP301_ZE_05|COSP</v>
      </c>
      <c r="B17" t="s">
        <v>74</v>
      </c>
      <c r="F17" t="s">
        <v>72</v>
      </c>
      <c r="G17" t="s">
        <v>71</v>
      </c>
      <c r="H17">
        <v>0</v>
      </c>
      <c r="I17" t="s">
        <v>76</v>
      </c>
      <c r="J17" t="s">
        <v>73</v>
      </c>
      <c r="K17">
        <v>0</v>
      </c>
      <c r="M17">
        <v>1</v>
      </c>
      <c r="R17" t="str">
        <f>IF($U$2=TRUE,$W$2&amp;". Команда оператора Стоп","Команда оператора Стоп")</f>
        <v>ГП 301. Задвижка ЗЭ-5. Команда оператора Стоп</v>
      </c>
      <c r="S17" s="372"/>
      <c r="T17"/>
      <c r="U17" s="773"/>
      <c r="V17" s="4"/>
      <c r="W17" s="773"/>
      <c r="X17" s="4"/>
    </row>
    <row r="18" spans="1:24">
      <c r="A18" t="str">
        <f>SUBSTITUTE($V$2,"\","|")&amp;"|CPMM"</f>
        <v>GP301_ZE_05|CPMM</v>
      </c>
      <c r="B18" t="s">
        <v>74</v>
      </c>
      <c r="F18" t="s">
        <v>76</v>
      </c>
      <c r="G18" t="s">
        <v>71</v>
      </c>
      <c r="H18">
        <v>0</v>
      </c>
      <c r="I18" t="s">
        <v>76</v>
      </c>
      <c r="J18" t="s">
        <v>73</v>
      </c>
      <c r="K18">
        <v>0</v>
      </c>
      <c r="M18">
        <v>1</v>
      </c>
      <c r="R18" t="str">
        <f>IF($U$2=TRUE,$W$2&amp;". Разрешение на перевод в ручной режим","Разрешение на перевод в ручной режим")</f>
        <v>ГП 301. Задвижка ЗЭ-5. Разрешение на перевод в ручной режим</v>
      </c>
      <c r="S18" s="372"/>
      <c r="T18"/>
      <c r="U18" s="773"/>
      <c r="V18" s="4"/>
      <c r="W18" s="773"/>
      <c r="X18" s="4"/>
    </row>
    <row r="19" spans="1:24">
      <c r="A19" t="str">
        <f>SUBSTITUTE($V$2,"\","|")&amp;"|DFXX"</f>
        <v>GP301_ZE_05|DFXX</v>
      </c>
      <c r="B19" t="s">
        <v>74</v>
      </c>
      <c r="F19" t="s">
        <v>72</v>
      </c>
      <c r="G19" t="s">
        <v>71</v>
      </c>
      <c r="H19">
        <v>0</v>
      </c>
      <c r="I19" t="s">
        <v>72</v>
      </c>
      <c r="J19" t="s">
        <v>69</v>
      </c>
      <c r="K19">
        <v>0</v>
      </c>
      <c r="M19">
        <v>1</v>
      </c>
      <c r="R19" t="str">
        <f>IF($U$2=TRUE,$W$2&amp;". Недостоверное Входное значение Неисправность","Недостоверное Входное значение Неисправность")</f>
        <v>ГП 301. Задвижка ЗЭ-5. Недостоверное Входное значение Неисправность</v>
      </c>
      <c r="S19" s="372"/>
      <c r="T19"/>
      <c r="U19" s="773"/>
      <c r="V19" s="4"/>
      <c r="W19" s="773"/>
      <c r="X19" s="4"/>
    </row>
    <row r="20" spans="1:24">
      <c r="A20" t="str">
        <f>SUBSTITUTE($V$2,"\","|")&amp;"|DLCX"</f>
        <v>GP301_ZE_05|DLCX</v>
      </c>
      <c r="B20" t="s">
        <v>74</v>
      </c>
      <c r="F20" t="s">
        <v>72</v>
      </c>
      <c r="G20" t="s">
        <v>71</v>
      </c>
      <c r="H20">
        <v>0</v>
      </c>
      <c r="I20" t="s">
        <v>72</v>
      </c>
      <c r="J20" t="s">
        <v>69</v>
      </c>
      <c r="K20">
        <v>0</v>
      </c>
      <c r="M20">
        <v>1</v>
      </c>
      <c r="R20" t="str">
        <f>IF($U$2=TRUE,$W$2&amp;". Недостоверное Местное управление","Недостоверное Местное управление")</f>
        <v>ГП 301. Задвижка ЗЭ-5. Недостоверное Местное управление</v>
      </c>
      <c r="S20" s="372"/>
      <c r="T20"/>
      <c r="U20" s="773"/>
      <c r="V20" s="4"/>
      <c r="W20" s="773"/>
      <c r="X20" s="4"/>
    </row>
    <row r="21" spans="1:24">
      <c r="A21" t="str">
        <f>SUBSTITUTE($V$2,"\","|")&amp;"|DOFX"</f>
        <v>GP301_ZE_05|DOFX</v>
      </c>
      <c r="B21" t="s">
        <v>74</v>
      </c>
      <c r="F21" t="s">
        <v>72</v>
      </c>
      <c r="G21" t="s">
        <v>71</v>
      </c>
      <c r="H21">
        <v>0</v>
      </c>
      <c r="I21" t="s">
        <v>72</v>
      </c>
      <c r="J21" t="s">
        <v>69</v>
      </c>
      <c r="K21">
        <v>0</v>
      </c>
      <c r="M21">
        <v>1</v>
      </c>
      <c r="R21" t="str">
        <f>IF($U$2=TRUE,$W$2&amp;". Недостоверное Входное значение Закрыта","Недостоверное Входное значение Закрыта")</f>
        <v>ГП 301. Задвижка ЗЭ-5. Недостоверное Входное значение Закрыта</v>
      </c>
      <c r="S21" s="372"/>
      <c r="T21"/>
      <c r="U21" s="773"/>
      <c r="V21" s="4"/>
      <c r="W21" s="773"/>
      <c r="X21" s="4"/>
    </row>
    <row r="22" spans="1:24">
      <c r="A22" t="str">
        <f>SUBSTITUTE($V$2,"\","|")&amp;"|DONX"</f>
        <v>GP301_ZE_05|DONX</v>
      </c>
      <c r="B22" t="s">
        <v>74</v>
      </c>
      <c r="F22" t="s">
        <v>72</v>
      </c>
      <c r="G22" t="s">
        <v>71</v>
      </c>
      <c r="H22">
        <v>0</v>
      </c>
      <c r="I22" t="s">
        <v>72</v>
      </c>
      <c r="J22" t="s">
        <v>69</v>
      </c>
      <c r="K22">
        <v>0</v>
      </c>
      <c r="M22">
        <v>1</v>
      </c>
      <c r="R22" t="str">
        <f>IF($U$2=TRUE,$W$2&amp;". Недостоверное Входное значение Открыта","Недостоверное Входное значение Открыта")</f>
        <v>ГП 301. Задвижка ЗЭ-5. Недостоверное Входное значение Открыта</v>
      </c>
      <c r="S22" s="372"/>
      <c r="T22"/>
      <c r="U22" s="773"/>
      <c r="V22" s="4"/>
      <c r="W22" s="773"/>
      <c r="X22" s="4"/>
    </row>
    <row r="23" spans="1:24">
      <c r="A23" t="str">
        <f>SUBSTITUTE($V$2,"\","|")&amp;"|DOOF"</f>
        <v>GP301_ZE_05|DOOF</v>
      </c>
      <c r="B23" t="s">
        <v>74</v>
      </c>
      <c r="F23" t="s">
        <v>72</v>
      </c>
      <c r="G23" t="s">
        <v>71</v>
      </c>
      <c r="H23">
        <v>0</v>
      </c>
      <c r="I23" t="s">
        <v>72</v>
      </c>
      <c r="J23" t="s">
        <v>69</v>
      </c>
      <c r="K23">
        <v>0</v>
      </c>
      <c r="M23">
        <v>1</v>
      </c>
      <c r="R23" t="str">
        <f>IF($U$2=TRUE,$W$2&amp;". Недостоверное Выходное значение Закрыть","Недостоверное Выходное значение Закрыть")</f>
        <v>ГП 301. Задвижка ЗЭ-5. Недостоверное Выходное значение Закрыть</v>
      </c>
      <c r="S23" s="372"/>
      <c r="T23"/>
      <c r="U23" s="773"/>
      <c r="V23" s="4"/>
      <c r="W23" s="773"/>
      <c r="X23" s="4"/>
    </row>
    <row r="24" spans="1:24">
      <c r="A24" t="str">
        <f>SUBSTITUTE($V$2,"\","|")&amp;"|DOON"</f>
        <v>GP301_ZE_05|DOON</v>
      </c>
      <c r="B24" t="s">
        <v>74</v>
      </c>
      <c r="F24" t="s">
        <v>72</v>
      </c>
      <c r="G24" t="s">
        <v>71</v>
      </c>
      <c r="H24">
        <v>0</v>
      </c>
      <c r="I24" t="s">
        <v>72</v>
      </c>
      <c r="J24" t="s">
        <v>69</v>
      </c>
      <c r="K24">
        <v>0</v>
      </c>
      <c r="M24">
        <v>1</v>
      </c>
      <c r="R24" t="str">
        <f>IF($U$2=TRUE,$W$2&amp;". Недостоверное Выходное  значение Открыть","Недостоверное Выходное  значение Открыть")</f>
        <v>ГП 301. Задвижка ЗЭ-5. Недостоверное Выходное  значение Открыть</v>
      </c>
      <c r="S24" s="372"/>
      <c r="T24"/>
      <c r="U24" s="773"/>
      <c r="V24" s="4"/>
      <c r="W24" s="773"/>
      <c r="X24" s="4"/>
    </row>
    <row r="25" spans="1:24">
      <c r="A25" t="str">
        <f>SUBSTITUTE($V$2,"\","|")&amp;"|DOSP"</f>
        <v>GP301_ZE_05|DOSP</v>
      </c>
      <c r="B25" t="s">
        <v>74</v>
      </c>
      <c r="F25" t="s">
        <v>72</v>
      </c>
      <c r="G25" t="s">
        <v>71</v>
      </c>
      <c r="H25">
        <v>0</v>
      </c>
      <c r="I25" t="s">
        <v>72</v>
      </c>
      <c r="J25" t="s">
        <v>69</v>
      </c>
      <c r="K25">
        <v>0</v>
      </c>
      <c r="M25">
        <v>1</v>
      </c>
      <c r="R25" t="str">
        <f>IF($U$2=TRUE,$W$2&amp;". Недостоверное Выходное значение Стоп","Недостоверное Выходное значение Стоп")</f>
        <v>ГП 301. Задвижка ЗЭ-5. Недостоверное Выходное значение Стоп</v>
      </c>
      <c r="S25" s="372"/>
      <c r="T25"/>
      <c r="U25" s="773"/>
      <c r="V25" s="4"/>
      <c r="W25" s="773"/>
      <c r="X25" s="4"/>
    </row>
    <row r="26" spans="1:24">
      <c r="A26" t="str">
        <f>SUBSTITUTE($V$2,"\","|")&amp;"|DRCX"</f>
        <v>GP301_ZE_05|DRCX</v>
      </c>
      <c r="B26" t="s">
        <v>74</v>
      </c>
      <c r="F26" t="s">
        <v>72</v>
      </c>
      <c r="G26" t="s">
        <v>71</v>
      </c>
      <c r="H26">
        <v>0</v>
      </c>
      <c r="I26" t="s">
        <v>72</v>
      </c>
      <c r="J26" t="s">
        <v>69</v>
      </c>
      <c r="K26">
        <v>0</v>
      </c>
      <c r="M26">
        <v>1</v>
      </c>
      <c r="R26" t="str">
        <f>IF($U$2=TRUE,$W$2&amp;". Недостоверное Входное значение Дистанционное управление","Недостоверное Входное значение Дистанционное управление")</f>
        <v>ГП 301. Задвижка ЗЭ-5. Недостоверное Входное значение Дистанционное управление</v>
      </c>
      <c r="S26" s="372"/>
      <c r="T26"/>
      <c r="U26" s="773"/>
      <c r="V26" s="4"/>
      <c r="W26" s="773"/>
      <c r="X26" s="4"/>
    </row>
    <row r="27" spans="1:24">
      <c r="A27" t="str">
        <f>SUBSTITUTE($V$2,"\","|")&amp;"|FCOM"</f>
        <v>GP301_ZE_05|FCOM</v>
      </c>
      <c r="B27" t="s">
        <v>74</v>
      </c>
      <c r="F27" t="s">
        <v>72</v>
      </c>
      <c r="G27" t="s">
        <v>71</v>
      </c>
      <c r="H27">
        <v>0</v>
      </c>
      <c r="I27" t="s">
        <v>72</v>
      </c>
      <c r="J27" t="s">
        <v>69</v>
      </c>
      <c r="K27">
        <v>0</v>
      </c>
      <c r="M27">
        <v>1</v>
      </c>
      <c r="R27" t="str">
        <f>IF($U$2=TRUE,$W$2&amp;". Противоречивость команд","Противоречивость команд")</f>
        <v>ГП 301. Задвижка ЗЭ-5. Противоречивость команд</v>
      </c>
      <c r="S27" s="372"/>
      <c r="T27"/>
      <c r="U27" s="773"/>
      <c r="V27" s="4"/>
      <c r="W27" s="773"/>
      <c r="X27" s="4"/>
    </row>
    <row r="28" spans="1:24">
      <c r="A28" t="str">
        <f>SUBSTITUTE($V$2,"\","|")&amp;"|FDCX"</f>
        <v>GP301_ZE_05|FDCX</v>
      </c>
      <c r="B28" t="s">
        <v>74</v>
      </c>
      <c r="F28" t="s">
        <v>72</v>
      </c>
      <c r="G28" t="s">
        <v>71</v>
      </c>
      <c r="H28">
        <v>0</v>
      </c>
      <c r="I28" t="s">
        <v>72</v>
      </c>
      <c r="J28" t="s">
        <v>69</v>
      </c>
      <c r="K28">
        <v>0</v>
      </c>
      <c r="M28">
        <v>1</v>
      </c>
      <c r="R28" t="str">
        <f>IF($U$2=TRUE,$W$2&amp;". Двойное положение режима управления","Двойное положение режима управления")</f>
        <v>ГП 301. Задвижка ЗЭ-5. Двойное положение режима управления</v>
      </c>
      <c r="S28" s="372"/>
      <c r="T28"/>
      <c r="U28" s="773"/>
      <c r="V28" s="4"/>
      <c r="W28" s="773"/>
      <c r="X28" s="4"/>
    </row>
    <row r="29" spans="1:24">
      <c r="A29" s="4" t="str">
        <f>SUBSTITUTE($V$2,"\","|")&amp;"|FDSX"</f>
        <v>GP301_ZE_05|FDSX</v>
      </c>
      <c r="B29" s="4" t="s">
        <v>74</v>
      </c>
      <c r="F29" s="4" t="s">
        <v>72</v>
      </c>
      <c r="G29" s="4" t="s">
        <v>71</v>
      </c>
      <c r="H29" s="4">
        <v>0</v>
      </c>
      <c r="I29" s="4" t="s">
        <v>72</v>
      </c>
      <c r="J29" s="4" t="s">
        <v>69</v>
      </c>
      <c r="K29" s="4">
        <v>0</v>
      </c>
      <c r="M29">
        <v>1</v>
      </c>
      <c r="R29" t="str">
        <f>IF($U$2=TRUE,$W$2&amp;". Двойное положение","Двойное положение")</f>
        <v>ГП 301. Задвижка ЗЭ-5. Двойное положение</v>
      </c>
      <c r="S29" s="372"/>
      <c r="T29"/>
      <c r="U29" s="773"/>
      <c r="V29" s="4"/>
      <c r="W29" s="773"/>
      <c r="X29" s="4"/>
    </row>
    <row r="30" spans="1:24">
      <c r="A30" s="4" t="str">
        <f>SUBSTITUTE($V$2,"\","|")&amp;"|FFOF"</f>
        <v>GP301_ZE_05|FFOF</v>
      </c>
      <c r="B30" s="4" t="s">
        <v>74</v>
      </c>
      <c r="F30" s="4" t="s">
        <v>72</v>
      </c>
      <c r="G30" s="4" t="s">
        <v>71</v>
      </c>
      <c r="H30" s="4">
        <v>0</v>
      </c>
      <c r="I30" s="4" t="s">
        <v>72</v>
      </c>
      <c r="J30" s="4" t="s">
        <v>69</v>
      </c>
      <c r="K30" s="4">
        <v>0</v>
      </c>
      <c r="M30">
        <v>1</v>
      </c>
      <c r="R30" t="str">
        <f>IF($U$2=TRUE,$W$2&amp;". Несанкционированное закрытие","Несанкционированное закрытие")</f>
        <v>ГП 301. Задвижка ЗЭ-5. Несанкционированное закрытие</v>
      </c>
      <c r="S30" s="372"/>
      <c r="T30"/>
      <c r="U30" s="773"/>
      <c r="V30" s="4"/>
      <c r="W30" s="773"/>
      <c r="X30" s="4"/>
    </row>
    <row r="31" spans="1:24">
      <c r="A31" s="4" t="str">
        <f>SUBSTITUTE($V$2,"\","|")&amp;"|FFON"</f>
        <v>GP301_ZE_05|FFON</v>
      </c>
      <c r="B31" s="4" t="s">
        <v>74</v>
      </c>
      <c r="F31" s="4" t="s">
        <v>72</v>
      </c>
      <c r="G31" s="4" t="s">
        <v>71</v>
      </c>
      <c r="H31" s="4">
        <v>0</v>
      </c>
      <c r="I31" s="4" t="s">
        <v>72</v>
      </c>
      <c r="J31" s="4" t="s">
        <v>69</v>
      </c>
      <c r="K31" s="4">
        <v>0</v>
      </c>
      <c r="M31">
        <v>1</v>
      </c>
      <c r="R31" t="str">
        <f>IF($U$2=TRUE,$W$2&amp;". Несанкционированное открытие","Несанкционированное открытие")</f>
        <v>ГП 301. Задвижка ЗЭ-5. Несанкционированное открытие</v>
      </c>
      <c r="S31" s="372"/>
      <c r="T31"/>
      <c r="U31" s="773"/>
      <c r="V31" s="4"/>
      <c r="W31" s="773"/>
      <c r="X31" s="4"/>
    </row>
    <row r="32" spans="1:24">
      <c r="A32" s="4" t="str">
        <f>SUBSTITUTE($V$2,"\","|")&amp;"|FOFX"</f>
        <v>GP301_ZE_05|FOFX</v>
      </c>
      <c r="B32" s="4" t="s">
        <v>74</v>
      </c>
      <c r="F32" s="4" t="s">
        <v>72</v>
      </c>
      <c r="G32" s="4" t="s">
        <v>71</v>
      </c>
      <c r="H32" s="4">
        <v>0</v>
      </c>
      <c r="I32" s="4" t="s">
        <v>72</v>
      </c>
      <c r="J32" s="4" t="s">
        <v>69</v>
      </c>
      <c r="K32" s="4">
        <v>0</v>
      </c>
      <c r="M32">
        <v>1</v>
      </c>
      <c r="R32" t="str">
        <f>IF($U$2=TRUE,$W$2&amp;". Не закрылся","Не закрылся")</f>
        <v>ГП 301. Задвижка ЗЭ-5. Не закрылся</v>
      </c>
      <c r="S32" s="372"/>
      <c r="T32"/>
      <c r="U32" s="773"/>
      <c r="V32" s="4"/>
      <c r="W32" s="773"/>
      <c r="X32" s="4"/>
    </row>
    <row r="33" spans="1:24">
      <c r="A33" s="4" t="str">
        <f>SUBSTITUTE($V$2,"\","|")&amp;"|FONX"</f>
        <v>GP301_ZE_05|FONX</v>
      </c>
      <c r="B33" s="4" t="s">
        <v>74</v>
      </c>
      <c r="F33" s="4" t="s">
        <v>72</v>
      </c>
      <c r="G33" s="4" t="s">
        <v>71</v>
      </c>
      <c r="H33" s="4">
        <v>0</v>
      </c>
      <c r="I33" s="4" t="s">
        <v>72</v>
      </c>
      <c r="J33" s="4" t="s">
        <v>69</v>
      </c>
      <c r="K33" s="4">
        <v>0</v>
      </c>
      <c r="M33">
        <v>1</v>
      </c>
      <c r="R33" t="str">
        <f>IF($U$2=TRUE,$W$2&amp;". Не открылся","Не открылся")</f>
        <v>ГП 301. Задвижка ЗЭ-5. Не открылся</v>
      </c>
      <c r="S33" s="372"/>
      <c r="T33"/>
      <c r="U33" s="773"/>
      <c r="V33" s="4"/>
      <c r="W33" s="773"/>
      <c r="X33" s="4"/>
    </row>
    <row r="34" spans="1:24">
      <c r="A34" s="4" t="str">
        <f>SUBSTITUTE($V$2,"\","|")&amp;"|FRQX"</f>
        <v>GP301_ZE_05|FRQX</v>
      </c>
      <c r="B34" s="4" t="s">
        <v>74</v>
      </c>
      <c r="F34" s="4" t="s">
        <v>72</v>
      </c>
      <c r="G34" s="4" t="s">
        <v>71</v>
      </c>
      <c r="H34" s="4">
        <v>0</v>
      </c>
      <c r="I34" s="4" t="s">
        <v>72</v>
      </c>
      <c r="J34" s="4" t="s">
        <v>69</v>
      </c>
      <c r="K34" s="4">
        <v>0</v>
      </c>
      <c r="M34">
        <v>1</v>
      </c>
      <c r="R34" t="str">
        <f>IF($U$2=TRUE,$W$2&amp;". Сработала уставка по наработке концевиков","Сработала уставка по наработке концевиков")</f>
        <v>ГП 301. Задвижка ЗЭ-5. Сработала уставка по наработке концевиков</v>
      </c>
      <c r="S34" s="372"/>
      <c r="T34"/>
      <c r="U34" s="773"/>
      <c r="V34" s="4"/>
      <c r="W34" s="773"/>
      <c r="X34" s="4"/>
    </row>
    <row r="35" spans="1:24">
      <c r="A35" s="4" t="str">
        <f>SUBSTITUTE($V$2,"\","|")&amp;"|FUCX"</f>
        <v>GP301_ZE_05|FUCX</v>
      </c>
      <c r="B35" s="4" t="s">
        <v>74</v>
      </c>
      <c r="F35" s="4" t="s">
        <v>72</v>
      </c>
      <c r="G35" s="4" t="s">
        <v>71</v>
      </c>
      <c r="H35" s="4">
        <v>0</v>
      </c>
      <c r="I35" s="4" t="s">
        <v>72</v>
      </c>
      <c r="J35" s="4" t="s">
        <v>69</v>
      </c>
      <c r="K35" s="4">
        <v>0</v>
      </c>
      <c r="M35">
        <v>1</v>
      </c>
      <c r="R35" t="str">
        <f>IF($U$2=TRUE,$W$2&amp;". Неопределенное положение режима управления","Неопределенное положение режима управления")</f>
        <v>ГП 301. Задвижка ЗЭ-5. Неопределенное положение режима управления</v>
      </c>
      <c r="S35" s="372"/>
      <c r="T35"/>
      <c r="U35" s="773"/>
      <c r="V35" s="4"/>
      <c r="W35" s="773"/>
      <c r="X35" s="4"/>
    </row>
    <row r="36" spans="1:24">
      <c r="A36" s="4" t="str">
        <f>SUBSTITUTE($V$2,"\","|")&amp;"|FUSX"</f>
        <v>GP301_ZE_05|FUSX</v>
      </c>
      <c r="B36" s="4" t="s">
        <v>74</v>
      </c>
      <c r="F36" s="4" t="s">
        <v>72</v>
      </c>
      <c r="G36" s="4" t="s">
        <v>71</v>
      </c>
      <c r="H36" s="4">
        <v>0</v>
      </c>
      <c r="I36" s="4" t="s">
        <v>72</v>
      </c>
      <c r="J36" s="4" t="s">
        <v>69</v>
      </c>
      <c r="K36" s="4">
        <v>0</v>
      </c>
      <c r="M36">
        <v>1</v>
      </c>
      <c r="R36" t="str">
        <f>IF($U$2=TRUE,$W$2&amp;". Неопределенно положение","Неопределенно положение")</f>
        <v>ГП 301. Задвижка ЗЭ-5. Неопределенно положение</v>
      </c>
      <c r="S36" s="372"/>
      <c r="T36"/>
      <c r="U36" s="773"/>
      <c r="V36" s="4"/>
      <c r="W36" s="773"/>
      <c r="X36" s="4"/>
    </row>
    <row r="37" spans="1:24">
      <c r="A37" s="4" t="str">
        <f>SUBSTITUTE($V$2,"\","|")&amp;"|FXXX"</f>
        <v>GP301_ZE_05|FXXX</v>
      </c>
      <c r="B37" s="4" t="s">
        <v>74</v>
      </c>
      <c r="F37" s="4" t="s">
        <v>72</v>
      </c>
      <c r="G37" s="4" t="s">
        <v>71</v>
      </c>
      <c r="H37" s="4">
        <v>0</v>
      </c>
      <c r="I37" s="4" t="s">
        <v>72</v>
      </c>
      <c r="J37" s="4" t="s">
        <v>69</v>
      </c>
      <c r="K37" s="4">
        <v>0</v>
      </c>
      <c r="M37">
        <v>1</v>
      </c>
      <c r="R37" t="str">
        <f>IF($U$2=TRUE,$W$2&amp;". Обобщенная неисправность","Обобщенная неисправность")</f>
        <v>ГП 301. Задвижка ЗЭ-5. Обобщенная неисправность</v>
      </c>
      <c r="S37" s="372"/>
      <c r="T37"/>
      <c r="U37" s="773"/>
      <c r="V37" s="4"/>
      <c r="W37" s="773"/>
      <c r="X37" s="4"/>
    </row>
    <row r="38" spans="1:24">
      <c r="A38" s="4" t="str">
        <f>SUBSTITUTE($V$2,"\","|")&amp;"|IFXX"</f>
        <v>GP301_ZE_05|IFXX</v>
      </c>
      <c r="B38" s="4" t="s">
        <v>74</v>
      </c>
      <c r="F38" s="4" t="s">
        <v>72</v>
      </c>
      <c r="G38" s="4" t="s">
        <v>71</v>
      </c>
      <c r="H38" s="4">
        <v>0</v>
      </c>
      <c r="I38" s="4" t="s">
        <v>72</v>
      </c>
      <c r="J38" s="4" t="s">
        <v>69</v>
      </c>
      <c r="K38" s="4">
        <v>0</v>
      </c>
      <c r="M38">
        <v>1</v>
      </c>
      <c r="R38" t="str">
        <f>IF($U$2=TRUE,$W$2&amp;". Входное значение Неисправность","Входное значение Неисправность")</f>
        <v>ГП 301. Задвижка ЗЭ-5. Входное значение Неисправность</v>
      </c>
      <c r="S38" s="372"/>
      <c r="T38"/>
      <c r="U38" s="773"/>
      <c r="V38" s="4"/>
      <c r="W38" s="773"/>
      <c r="X38" s="4"/>
    </row>
    <row r="39" spans="1:24">
      <c r="A39" s="4" t="str">
        <f>SUBSTITUTE($V$2,"\","|")&amp;"|ILCX"</f>
        <v>GP301_ZE_05|ILCX</v>
      </c>
      <c r="B39" s="4" t="s">
        <v>74</v>
      </c>
      <c r="F39" s="4" t="s">
        <v>72</v>
      </c>
      <c r="G39" s="4" t="s">
        <v>71</v>
      </c>
      <c r="H39" s="4">
        <v>0</v>
      </c>
      <c r="I39" s="4" t="s">
        <v>76</v>
      </c>
      <c r="J39" s="4" t="s">
        <v>69</v>
      </c>
      <c r="K39" s="4">
        <v>0</v>
      </c>
      <c r="M39">
        <v>1</v>
      </c>
      <c r="R39" t="str">
        <f>IF($U$2=TRUE,$W$2&amp;". Входное значение Местное управление","Входное значение Местное управление")</f>
        <v>ГП 301. Задвижка ЗЭ-5. Входное значение Местное управление</v>
      </c>
      <c r="S39" s="372"/>
      <c r="T39"/>
      <c r="U39" s="773"/>
      <c r="V39" s="4"/>
      <c r="W39" s="773"/>
      <c r="X39" s="4"/>
    </row>
    <row r="40" spans="1:24">
      <c r="A40" s="4" t="str">
        <f>SUBSTITUTE($V$2,"\","|")&amp;"|IOFX"</f>
        <v>GP301_ZE_05|IOFX</v>
      </c>
      <c r="B40" s="4" t="s">
        <v>74</v>
      </c>
      <c r="F40" s="4" t="s">
        <v>72</v>
      </c>
      <c r="G40" s="4" t="s">
        <v>71</v>
      </c>
      <c r="H40" s="4">
        <v>0</v>
      </c>
      <c r="I40" s="4" t="s">
        <v>72</v>
      </c>
      <c r="J40" s="4" t="s">
        <v>69</v>
      </c>
      <c r="K40" s="4">
        <v>0</v>
      </c>
      <c r="M40">
        <v>1</v>
      </c>
      <c r="R40" t="str">
        <f>IF($U$2=TRUE,$W$2&amp;". Входное значение Закрыта","Входное значение Закрыта")</f>
        <v>ГП 301. Задвижка ЗЭ-5. Входное значение Закрыта</v>
      </c>
      <c r="S40" s="372"/>
      <c r="T40"/>
      <c r="U40" s="773"/>
      <c r="V40" s="4"/>
      <c r="W40" s="773"/>
      <c r="X40" s="4"/>
    </row>
    <row r="41" spans="1:24">
      <c r="A41" t="str">
        <f>SUBSTITUTE($V$2,"\","|")&amp;"|IONX"</f>
        <v>GP301_ZE_05|IONX</v>
      </c>
      <c r="B41" t="s">
        <v>74</v>
      </c>
      <c r="F41" t="s">
        <v>72</v>
      </c>
      <c r="G41" t="s">
        <v>71</v>
      </c>
      <c r="H41">
        <v>0</v>
      </c>
      <c r="I41" t="s">
        <v>72</v>
      </c>
      <c r="J41" t="s">
        <v>69</v>
      </c>
      <c r="K41">
        <v>0</v>
      </c>
      <c r="M41">
        <v>1</v>
      </c>
      <c r="R41" t="str">
        <f>IF($U$2=TRUE,$W$2&amp;". Входное значение Открыта","Входное значение Открыта")</f>
        <v>ГП 301. Задвижка ЗЭ-5. Входное значение Открыта</v>
      </c>
      <c r="S41" s="372"/>
      <c r="T41"/>
      <c r="U41" s="773"/>
      <c r="V41" s="4"/>
      <c r="W41" s="773"/>
      <c r="X41" s="4"/>
    </row>
    <row r="42" spans="1:24">
      <c r="A42" t="str">
        <f>SUBSTITUTE($V$2,"\","|")&amp;"|IRCX"</f>
        <v>GP301_ZE_05|IRCX</v>
      </c>
      <c r="B42" t="s">
        <v>74</v>
      </c>
      <c r="F42" s="4" t="s">
        <v>76</v>
      </c>
      <c r="G42" t="s">
        <v>71</v>
      </c>
      <c r="H42">
        <v>0</v>
      </c>
      <c r="I42" s="4" t="s">
        <v>76</v>
      </c>
      <c r="J42" t="s">
        <v>69</v>
      </c>
      <c r="K42">
        <v>0</v>
      </c>
      <c r="M42">
        <v>1</v>
      </c>
      <c r="R42" t="str">
        <f>IF($U$2=TRUE,$W$2&amp;". Входное значение Дистанционное управление","Входное значение Дистанционное управление")</f>
        <v>ГП 301. Задвижка ЗЭ-5. Входное значение Дистанционное управление</v>
      </c>
      <c r="S42" s="372"/>
      <c r="T42"/>
      <c r="U42" s="773"/>
      <c r="V42" s="4"/>
      <c r="W42" s="773"/>
      <c r="X42" s="4"/>
    </row>
    <row r="43" spans="1:24">
      <c r="A43" t="str">
        <f>SUBSTITUTE($V$2,"\","|")&amp;"|LAOF"</f>
        <v>GP301_ZE_05|LAOF</v>
      </c>
      <c r="B43" t="s">
        <v>74</v>
      </c>
      <c r="F43" t="s">
        <v>72</v>
      </c>
      <c r="G43" t="s">
        <v>71</v>
      </c>
      <c r="H43">
        <v>0</v>
      </c>
      <c r="I43" t="s">
        <v>72</v>
      </c>
      <c r="J43" t="s">
        <v>69</v>
      </c>
      <c r="K43">
        <v>0</v>
      </c>
      <c r="M43">
        <v>1</v>
      </c>
      <c r="R43" t="str">
        <f>IF($U$2=TRUE,$W$2&amp;". Команда алгоритма Закрыть блокирована","Команда алгоритма Закрыть блокирована")</f>
        <v>ГП 301. Задвижка ЗЭ-5. Команда алгоритма Закрыть блокирована</v>
      </c>
      <c r="S43" s="372"/>
      <c r="T43"/>
      <c r="U43" s="773"/>
      <c r="V43" s="4"/>
      <c r="W43" s="773"/>
      <c r="X43" s="4"/>
    </row>
    <row r="44" spans="1:24">
      <c r="A44" t="str">
        <f>SUBSTITUTE($V$2,"\","|")&amp;"|LAON"</f>
        <v>GP301_ZE_05|LAON</v>
      </c>
      <c r="B44" t="s">
        <v>74</v>
      </c>
      <c r="F44" t="s">
        <v>72</v>
      </c>
      <c r="G44" t="s">
        <v>71</v>
      </c>
      <c r="H44">
        <v>0</v>
      </c>
      <c r="I44" t="s">
        <v>72</v>
      </c>
      <c r="J44" t="s">
        <v>69</v>
      </c>
      <c r="K44">
        <v>0</v>
      </c>
      <c r="M44">
        <v>1</v>
      </c>
      <c r="R44" t="str">
        <f>IF($U$2=TRUE,$W$2&amp;". Команда алгоритма Открыть блокирована","Команда алгоритма Открыть блокирована")</f>
        <v>ГП 301. Задвижка ЗЭ-5. Команда алгоритма Открыть блокирована</v>
      </c>
      <c r="S44" s="372"/>
      <c r="T44"/>
      <c r="U44" s="773"/>
      <c r="V44" s="4"/>
      <c r="W44" s="773"/>
      <c r="X44" s="4"/>
    </row>
    <row r="45" spans="1:24">
      <c r="A45" t="str">
        <f>SUBSTITUTE($V$2,"\","|")&amp;"|OCOF"</f>
        <v>GP301_ZE_05|OCOF</v>
      </c>
      <c r="B45" t="s">
        <v>74</v>
      </c>
      <c r="F45" t="s">
        <v>72</v>
      </c>
      <c r="G45" t="s">
        <v>71</v>
      </c>
      <c r="H45">
        <v>0</v>
      </c>
      <c r="I45" t="s">
        <v>72</v>
      </c>
      <c r="J45" t="s">
        <v>69</v>
      </c>
      <c r="K45">
        <v>0</v>
      </c>
      <c r="M45">
        <v>1</v>
      </c>
      <c r="R45" t="str">
        <f>IF($U$2=TRUE,$W$2&amp;". Постоянный выход Закрыть","Постоянный выход Закрыть")</f>
        <v>ГП 301. Задвижка ЗЭ-5. Постоянный выход Закрыть</v>
      </c>
      <c r="S45" s="372"/>
      <c r="T45"/>
      <c r="U45" s="773"/>
      <c r="V45" s="4"/>
      <c r="W45" s="773"/>
      <c r="X45" s="4"/>
    </row>
    <row r="46" spans="1:24">
      <c r="A46" t="str">
        <f>SUBSTITUTE($V$2,"\","|")&amp;"|OCON"</f>
        <v>GP301_ZE_05|OCON</v>
      </c>
      <c r="B46" t="s">
        <v>74</v>
      </c>
      <c r="F46" t="s">
        <v>72</v>
      </c>
      <c r="G46" t="s">
        <v>71</v>
      </c>
      <c r="H46">
        <v>0</v>
      </c>
      <c r="I46" t="s">
        <v>72</v>
      </c>
      <c r="J46" t="s">
        <v>69</v>
      </c>
      <c r="K46">
        <v>0</v>
      </c>
      <c r="M46">
        <v>1</v>
      </c>
      <c r="R46" t="str">
        <f>IF($U$2=TRUE,$W$2&amp;". Постоянный выход Открыть","Постоянный выход Открыть")</f>
        <v>ГП 301. Задвижка ЗЭ-5. Постоянный выход Открыть</v>
      </c>
      <c r="S46" s="372"/>
      <c r="T46"/>
      <c r="U46" s="773"/>
      <c r="V46" s="4"/>
      <c r="W46" s="773"/>
      <c r="X46" s="4"/>
    </row>
    <row r="47" spans="1:24">
      <c r="A47" t="str">
        <f>SUBSTITUTE($V$2,"\","|")&amp;"|OXOF"</f>
        <v>GP301_ZE_05|OXOF</v>
      </c>
      <c r="B47" t="s">
        <v>74</v>
      </c>
      <c r="F47" t="s">
        <v>72</v>
      </c>
      <c r="G47" t="s">
        <v>71</v>
      </c>
      <c r="H47">
        <v>0</v>
      </c>
      <c r="I47" t="s">
        <v>72</v>
      </c>
      <c r="J47" t="s">
        <v>69</v>
      </c>
      <c r="K47">
        <v>0</v>
      </c>
      <c r="M47">
        <v>1</v>
      </c>
      <c r="R47" t="str">
        <f>IF($U$2=TRUE,$W$2&amp;". Выходное значение Закрыть","Выходное значение Закрыть")</f>
        <v>ГП 301. Задвижка ЗЭ-5. Выходное значение Закрыть</v>
      </c>
      <c r="S47" s="372"/>
      <c r="T47"/>
      <c r="U47" s="773"/>
      <c r="V47" s="4"/>
      <c r="W47" s="773"/>
      <c r="X47" s="4"/>
    </row>
    <row r="48" spans="1:24">
      <c r="A48" t="str">
        <f>SUBSTITUTE($V$2,"\","|")&amp;"|OXON"</f>
        <v>GP301_ZE_05|OXON</v>
      </c>
      <c r="B48" t="s">
        <v>74</v>
      </c>
      <c r="F48" t="s">
        <v>72</v>
      </c>
      <c r="G48" t="s">
        <v>71</v>
      </c>
      <c r="H48">
        <v>0</v>
      </c>
      <c r="I48" t="s">
        <v>72</v>
      </c>
      <c r="J48" t="s">
        <v>69</v>
      </c>
      <c r="K48">
        <v>0</v>
      </c>
      <c r="M48">
        <v>1</v>
      </c>
      <c r="R48" t="str">
        <f>IF($U$2=TRUE,$W$2&amp;". Выходное значение Открыть","Выходное значение Открыть")</f>
        <v>ГП 301. Задвижка ЗЭ-5. Выходное значение Открыть</v>
      </c>
      <c r="S48" s="372"/>
      <c r="T48"/>
      <c r="U48" s="773"/>
      <c r="V48" s="4"/>
      <c r="W48" s="773"/>
      <c r="X48" s="4"/>
    </row>
    <row r="49" spans="1:24">
      <c r="A49" t="str">
        <f>SUBSTITUTE($V$2,"\","|")&amp;"|OXSP"</f>
        <v>GP301_ZE_05|OXSP</v>
      </c>
      <c r="B49" t="s">
        <v>74</v>
      </c>
      <c r="F49" t="s">
        <v>72</v>
      </c>
      <c r="G49" t="s">
        <v>71</v>
      </c>
      <c r="H49">
        <v>0</v>
      </c>
      <c r="I49" t="s">
        <v>72</v>
      </c>
      <c r="J49" t="s">
        <v>69</v>
      </c>
      <c r="K49">
        <v>0</v>
      </c>
      <c r="M49">
        <v>1</v>
      </c>
      <c r="R49" t="str">
        <f>IF($U$2=TRUE,$W$2&amp;". Выходное значение Стоп","Выходное значение Стоп")</f>
        <v>ГП 301. Задвижка ЗЭ-5. Выходное значение Стоп</v>
      </c>
      <c r="S49" s="372"/>
      <c r="T49"/>
      <c r="U49" s="773"/>
      <c r="V49" s="4"/>
      <c r="W49" s="773"/>
      <c r="X49" s="4"/>
    </row>
    <row r="50" spans="1:24">
      <c r="A50" t="str">
        <f>SUBSTITUTE($V$2,"\","|")&amp;"|SMMX"</f>
        <v>GP301_ZE_05|SMMX</v>
      </c>
      <c r="B50" t="s">
        <v>74</v>
      </c>
      <c r="F50" s="52" t="str">
        <f>$Y$2</f>
        <v>TRUE</v>
      </c>
      <c r="G50" t="s">
        <v>237</v>
      </c>
      <c r="H50">
        <v>0</v>
      </c>
      <c r="I50" t="s">
        <v>76</v>
      </c>
      <c r="J50" t="s">
        <v>69</v>
      </c>
      <c r="K50">
        <v>0</v>
      </c>
      <c r="M50">
        <v>1</v>
      </c>
      <c r="R50" t="str">
        <f>IF($U$2=TRUE,$W$2&amp;". Настройка перехода ручной/автоматический","Настройка перехода ручной/автоматический")</f>
        <v>ГП 301. Задвижка ЗЭ-5. Настройка перехода ручной/автоматический</v>
      </c>
      <c r="S50" s="372"/>
      <c r="T50"/>
      <c r="U50" s="773"/>
      <c r="V50" s="4"/>
      <c r="W50" s="773"/>
      <c r="X50" s="4"/>
    </row>
    <row r="51" spans="1:24">
      <c r="A51" t="str">
        <f>SUBSTITUTE($V$2,"\","|")&amp;"|SRQX"</f>
        <v>GP301_ZE_05|SRQX</v>
      </c>
      <c r="B51" t="s">
        <v>78</v>
      </c>
      <c r="F51">
        <v>1000</v>
      </c>
      <c r="G51" t="s">
        <v>71</v>
      </c>
      <c r="H51">
        <v>0</v>
      </c>
      <c r="I51" t="s">
        <v>76</v>
      </c>
      <c r="J51" t="s">
        <v>73</v>
      </c>
      <c r="K51">
        <v>0</v>
      </c>
      <c r="M51">
        <v>1</v>
      </c>
      <c r="R51" t="str">
        <f>IF($U$2=TRUE,$W$2&amp;". Уставка по наработке концевиков","Уставка по наработке концевиков")</f>
        <v>ГП 301. Задвижка ЗЭ-5. Уставка по наработке концевиков</v>
      </c>
      <c r="S51" s="372"/>
      <c r="T51"/>
      <c r="U51" s="773"/>
      <c r="V51" s="4"/>
      <c r="W51" s="773"/>
      <c r="X51" s="4"/>
    </row>
    <row r="52" spans="1:24">
      <c r="A52" t="str">
        <f>SUBSTITUTE($V$2,"\","|")&amp;"|STCX"</f>
        <v>GP301_ZE_05|STCX</v>
      </c>
      <c r="B52" t="s">
        <v>78</v>
      </c>
      <c r="F52" s="52">
        <f>$X$2</f>
        <v>0</v>
      </c>
      <c r="G52" t="s">
        <v>71</v>
      </c>
      <c r="H52">
        <v>0</v>
      </c>
      <c r="I52" t="s">
        <v>76</v>
      </c>
      <c r="J52" t="s">
        <v>73</v>
      </c>
      <c r="K52">
        <v>0</v>
      </c>
      <c r="M52">
        <v>1</v>
      </c>
      <c r="R52" t="str">
        <f>IF($U$2=TRUE,$W$2&amp;". Время подачи команды (с)","Время подачи команды (с)")</f>
        <v>ГП 301. Задвижка ЗЭ-5. Время подачи команды (с)</v>
      </c>
      <c r="S52" s="372"/>
      <c r="T52"/>
      <c r="U52" s="773"/>
      <c r="V52" s="4"/>
      <c r="W52" s="773"/>
      <c r="X52" s="4"/>
    </row>
    <row r="53" spans="1:24">
      <c r="A53" t="str">
        <f>SUBSTITUTE($V$2,"\","|")&amp;"|STPR"</f>
        <v>GP301_ZE_05|STPR</v>
      </c>
      <c r="B53" t="s">
        <v>78</v>
      </c>
      <c r="F53">
        <v>0</v>
      </c>
      <c r="G53" t="s">
        <v>71</v>
      </c>
      <c r="H53">
        <v>0</v>
      </c>
      <c r="I53" t="s">
        <v>76</v>
      </c>
      <c r="J53" t="s">
        <v>73</v>
      </c>
      <c r="K53">
        <v>0</v>
      </c>
      <c r="M53">
        <v>1</v>
      </c>
      <c r="R53" t="str">
        <f>IF($U$2=TRUE,$W$2&amp;". Время дожима (с)","Время дожима (с)")</f>
        <v>ГП 301. Задвижка ЗЭ-5. Время дожима (с)</v>
      </c>
      <c r="S53" s="372"/>
      <c r="T53"/>
      <c r="U53" s="773"/>
      <c r="V53" s="4"/>
      <c r="W53" s="773"/>
      <c r="X53" s="4"/>
    </row>
    <row r="54" spans="1:24">
      <c r="A54" t="str">
        <f>SUBSTITUTE($V$2,"\","|")&amp;"|STSX"</f>
        <v>GP301_ZE_05|STSX</v>
      </c>
      <c r="B54" t="s">
        <v>78</v>
      </c>
      <c r="F54" s="52">
        <f>$AA$2</f>
        <v>60</v>
      </c>
      <c r="G54" t="s">
        <v>71</v>
      </c>
      <c r="H54">
        <v>0</v>
      </c>
      <c r="I54" t="s">
        <v>76</v>
      </c>
      <c r="J54" t="s">
        <v>73</v>
      </c>
      <c r="K54">
        <v>0</v>
      </c>
      <c r="M54">
        <v>1</v>
      </c>
      <c r="R54" t="str">
        <f>IF($U$2=TRUE,$W$2&amp;". Время перестановки (с)","Время перестановки (с)")</f>
        <v>ГП 301. Задвижка ЗЭ-5. Время перестановки (с)</v>
      </c>
      <c r="S54" s="372"/>
      <c r="T54"/>
      <c r="U54" s="773"/>
      <c r="V54" s="4"/>
      <c r="W54" s="773"/>
      <c r="X54" s="4"/>
    </row>
    <row r="55" spans="1:24">
      <c r="A55" t="str">
        <f>SUBSTITUTE($V$2,"\","|")&amp;"|XMMX"</f>
        <v>GP301_ZE_05|XMMX</v>
      </c>
      <c r="B55" t="s">
        <v>74</v>
      </c>
      <c r="F55" t="s">
        <v>72</v>
      </c>
      <c r="G55" t="s">
        <v>71</v>
      </c>
      <c r="H55">
        <v>0</v>
      </c>
      <c r="I55" t="s">
        <v>72</v>
      </c>
      <c r="J55" t="s">
        <v>69</v>
      </c>
      <c r="K55">
        <v>0</v>
      </c>
      <c r="M55">
        <v>1</v>
      </c>
      <c r="R55" t="str">
        <f>IF($U$2=TRUE,$W$2&amp;". Выходное значение Ручное управление","Выходное значение Ручное управление")</f>
        <v>ГП 301. Задвижка ЗЭ-5. Выходное значение Ручное управление</v>
      </c>
      <c r="S55" s="372"/>
      <c r="T55"/>
      <c r="U55" s="773"/>
      <c r="V55" s="4"/>
      <c r="W55" s="773"/>
      <c r="X55" s="4"/>
    </row>
    <row r="56" spans="1:24">
      <c r="A56" t="str">
        <f>SUBSTITUTE($V$2,"\","|")&amp;"|XOFP"</f>
        <v>GP301_ZE_05|XOFP</v>
      </c>
      <c r="B56" t="s">
        <v>74</v>
      </c>
      <c r="F56" t="s">
        <v>72</v>
      </c>
      <c r="G56" t="s">
        <v>71</v>
      </c>
      <c r="H56">
        <v>0</v>
      </c>
      <c r="I56" t="s">
        <v>72</v>
      </c>
      <c r="J56" t="s">
        <v>69</v>
      </c>
      <c r="K56">
        <v>0</v>
      </c>
      <c r="M56">
        <v>1</v>
      </c>
      <c r="R56" t="str">
        <f>IF($U$2=TRUE,$W$2&amp;". Выходное значение Закрывается","Выходное значение Закрывается")</f>
        <v>ГП 301. Задвижка ЗЭ-5. Выходное значение Закрывается</v>
      </c>
      <c r="S56" s="372"/>
      <c r="T56"/>
      <c r="U56" s="773"/>
      <c r="V56" s="4"/>
      <c r="W56" s="773"/>
      <c r="X56" s="4"/>
    </row>
    <row r="57" spans="1:24">
      <c r="A57" t="str">
        <f>SUBSTITUTE($V$2,"\","|")&amp;"|XOFX"</f>
        <v>GP301_ZE_05|XOFX</v>
      </c>
      <c r="B57" t="s">
        <v>74</v>
      </c>
      <c r="F57" t="s">
        <v>72</v>
      </c>
      <c r="G57" t="s">
        <v>71</v>
      </c>
      <c r="H57">
        <v>0</v>
      </c>
      <c r="I57" t="s">
        <v>72</v>
      </c>
      <c r="J57" t="s">
        <v>69</v>
      </c>
      <c r="K57">
        <v>0</v>
      </c>
      <c r="M57">
        <v>1</v>
      </c>
      <c r="R57" t="str">
        <f>IF($U$2=TRUE,$W$2&amp;". Закрыта","Закрыта")</f>
        <v>ГП 301. Задвижка ЗЭ-5. Закрыта</v>
      </c>
      <c r="S57" s="372"/>
      <c r="T57"/>
      <c r="U57" s="773"/>
      <c r="V57" s="4"/>
      <c r="W57" s="773"/>
      <c r="X57" s="4"/>
    </row>
    <row r="58" spans="1:24">
      <c r="A58" t="str">
        <f>SUBSTITUTE($V$2,"\","|")&amp;"|XONP"</f>
        <v>GP301_ZE_05|XONP</v>
      </c>
      <c r="B58" t="s">
        <v>74</v>
      </c>
      <c r="F58" t="s">
        <v>72</v>
      </c>
      <c r="G58" t="s">
        <v>71</v>
      </c>
      <c r="H58">
        <v>0</v>
      </c>
      <c r="I58" t="s">
        <v>72</v>
      </c>
      <c r="J58" t="s">
        <v>69</v>
      </c>
      <c r="K58">
        <v>0</v>
      </c>
      <c r="M58">
        <v>1</v>
      </c>
      <c r="R58" t="str">
        <f>IF($U$2=TRUE,$W$2&amp;". Выходное значение Открывается","Выходное значение Открывается")</f>
        <v>ГП 301. Задвижка ЗЭ-5. Выходное значение Открывается</v>
      </c>
      <c r="S58" s="372"/>
      <c r="T58"/>
      <c r="U58" s="773"/>
      <c r="V58" s="4"/>
      <c r="W58" s="773"/>
      <c r="X58" s="4"/>
    </row>
    <row r="59" spans="1:24">
      <c r="A59" t="str">
        <f>SUBSTITUTE($V$2,"\","|")&amp;"|XONX"</f>
        <v>GP301_ZE_05|XONX</v>
      </c>
      <c r="B59" t="s">
        <v>74</v>
      </c>
      <c r="F59" t="s">
        <v>72</v>
      </c>
      <c r="G59" t="s">
        <v>71</v>
      </c>
      <c r="H59">
        <v>0</v>
      </c>
      <c r="I59" t="s">
        <v>72</v>
      </c>
      <c r="J59" t="s">
        <v>69</v>
      </c>
      <c r="K59">
        <v>0</v>
      </c>
      <c r="M59">
        <v>1</v>
      </c>
      <c r="R59" t="str">
        <f>IF($U$2=TRUE,$W$2&amp;". Открыта","Открыта")</f>
        <v>ГП 301. Задвижка ЗЭ-5. Открыта</v>
      </c>
      <c r="S59" s="372"/>
      <c r="T59"/>
      <c r="U59" s="773"/>
      <c r="V59" s="4"/>
      <c r="W59" s="773"/>
      <c r="X59" s="4"/>
    </row>
    <row r="60" spans="1:24">
      <c r="A60" t="str">
        <f>SUBSTITUTE($V$2,"\","|")&amp;"|XPRP"</f>
        <v>GP301_ZE_05|XPRP</v>
      </c>
      <c r="B60" t="s">
        <v>74</v>
      </c>
      <c r="F60" t="s">
        <v>72</v>
      </c>
      <c r="G60" t="s">
        <v>71</v>
      </c>
      <c r="H60">
        <v>0</v>
      </c>
      <c r="I60" t="s">
        <v>72</v>
      </c>
      <c r="J60" t="s">
        <v>69</v>
      </c>
      <c r="K60">
        <v>0</v>
      </c>
      <c r="M60">
        <v>1</v>
      </c>
      <c r="R60" t="str">
        <f>IF($U$2=TRUE,$W$2&amp;". Выходное значение процесс дожима","Выходное значение процесс дожима")</f>
        <v>ГП 301. Задвижка ЗЭ-5. Выходное значение процесс дожима</v>
      </c>
      <c r="S60" s="372"/>
      <c r="T60"/>
      <c r="U60" s="773"/>
      <c r="V60" s="4"/>
      <c r="W60" s="773"/>
      <c r="X60" s="4"/>
    </row>
    <row r="61" spans="1:24">
      <c r="A61" t="str">
        <f>SUBSTITUTE($V$2,"\","|")&amp;"|XRCX"</f>
        <v>GP301_ZE_05|XRCX</v>
      </c>
      <c r="B61" t="s">
        <v>74</v>
      </c>
      <c r="F61" t="s">
        <v>72</v>
      </c>
      <c r="G61" t="s">
        <v>71</v>
      </c>
      <c r="H61">
        <v>0</v>
      </c>
      <c r="I61" t="s">
        <v>72</v>
      </c>
      <c r="J61" t="s">
        <v>69</v>
      </c>
      <c r="K61">
        <v>0</v>
      </c>
      <c r="M61">
        <v>1</v>
      </c>
      <c r="R61" t="str">
        <f>IF($U$2=TRUE,$W$2&amp;". Выходное значение Дистанционное управление","Выходное значение Дистанционное управление")</f>
        <v>ГП 301. Задвижка ЗЭ-5. Выходное значение Дистанционное управление</v>
      </c>
      <c r="S61" s="372"/>
      <c r="T61"/>
      <c r="U61" s="773"/>
      <c r="V61" s="4"/>
      <c r="W61" s="773"/>
      <c r="X61" s="4"/>
    </row>
    <row r="62" spans="1:24">
      <c r="A62" t="str">
        <f>SUBSTITUTE($V$2,"\","|")&amp;"|XROF"</f>
        <v>GP301_ZE_05|XROF</v>
      </c>
      <c r="B62" t="s">
        <v>78</v>
      </c>
      <c r="F62">
        <v>0</v>
      </c>
      <c r="G62" t="s">
        <v>71</v>
      </c>
      <c r="H62">
        <v>0</v>
      </c>
      <c r="I62" t="s">
        <v>76</v>
      </c>
      <c r="J62" t="s">
        <v>73</v>
      </c>
      <c r="K62">
        <v>0</v>
      </c>
      <c r="M62">
        <v>1</v>
      </c>
      <c r="R62" t="str">
        <f>IF($U$2=TRUE,$W$2&amp;". Наработка концевика закрыт","Наработка концевика закрыт")</f>
        <v>ГП 301. Задвижка ЗЭ-5. Наработка концевика закрыт</v>
      </c>
      <c r="S62" s="372"/>
      <c r="T62"/>
      <c r="U62" s="773"/>
      <c r="V62" s="4"/>
      <c r="W62" s="773"/>
      <c r="X62" s="4"/>
    </row>
    <row r="63" spans="1:24">
      <c r="A63" t="str">
        <f>SUBSTITUTE($V$2,"\","|")&amp;"|XRON"</f>
        <v>GP301_ZE_05|XRON</v>
      </c>
      <c r="B63" t="s">
        <v>78</v>
      </c>
      <c r="F63">
        <v>0</v>
      </c>
      <c r="G63" t="s">
        <v>71</v>
      </c>
      <c r="H63">
        <v>0</v>
      </c>
      <c r="I63" t="s">
        <v>76</v>
      </c>
      <c r="J63" t="s">
        <v>73</v>
      </c>
      <c r="K63">
        <v>0</v>
      </c>
      <c r="M63">
        <v>1</v>
      </c>
      <c r="R63" t="str">
        <f>IF($U$2=TRUE,$W$2&amp;". Наработка концевика открыт","Наработка концевика открыт")</f>
        <v>ГП 301. Задвижка ЗЭ-5. Наработка концевика открыт</v>
      </c>
      <c r="S63" s="372"/>
      <c r="T63"/>
      <c r="U63" s="773"/>
      <c r="V63" s="4"/>
      <c r="W63" s="773"/>
      <c r="X63" s="4"/>
    </row>
    <row r="64" spans="1:24">
      <c r="A64" t="str">
        <f>SUBSTITUTE($V$2,"\","|")&amp;"|XRPX"</f>
        <v>GP301_ZE_05|XRPX</v>
      </c>
      <c r="B64" t="s">
        <v>74</v>
      </c>
      <c r="F64" t="s">
        <v>72</v>
      </c>
      <c r="G64" t="s">
        <v>71</v>
      </c>
      <c r="H64">
        <v>0</v>
      </c>
      <c r="I64" t="s">
        <v>72</v>
      </c>
      <c r="J64" t="s">
        <v>69</v>
      </c>
      <c r="K64">
        <v>0</v>
      </c>
      <c r="M64">
        <v>1</v>
      </c>
      <c r="R64" t="str">
        <f>IF($U$2=TRUE,$W$2&amp;". Выходное значение Выведен в ремонт","Выходное значение Выведен в ремонт")</f>
        <v>ГП 301. Задвижка ЗЭ-5. Выходное значение Выведен в ремонт</v>
      </c>
      <c r="S64" s="372"/>
      <c r="T64"/>
      <c r="U64" s="773"/>
      <c r="V64" s="4"/>
      <c r="W64" s="773"/>
      <c r="X64" s="4"/>
    </row>
    <row r="65" spans="1:24">
      <c r="A65" t="str">
        <f>SUBSTITUTE($V$2,"\","|")&amp;"|XSPP"</f>
        <v>GP301_ZE_05|XSPP</v>
      </c>
      <c r="B65" t="s">
        <v>74</v>
      </c>
      <c r="F65" t="s">
        <v>72</v>
      </c>
      <c r="G65" t="s">
        <v>71</v>
      </c>
      <c r="H65">
        <v>0</v>
      </c>
      <c r="I65" t="s">
        <v>72</v>
      </c>
      <c r="J65" t="s">
        <v>69</v>
      </c>
      <c r="K65">
        <v>0</v>
      </c>
      <c r="M65">
        <v>1</v>
      </c>
      <c r="R65" t="str">
        <f>IF($U$2=TRUE,$W$2&amp;". Выходное значение Останавливается","Выходное значение Останавливается")</f>
        <v>ГП 301. Задвижка ЗЭ-5. Выходное значение Останавливается</v>
      </c>
      <c r="S65" s="372"/>
      <c r="T65"/>
      <c r="U65" s="773"/>
      <c r="V65" s="4"/>
      <c r="W65" s="773"/>
      <c r="X65" s="4"/>
    </row>
    <row r="66" spans="1:24">
      <c r="A66" s="514" t="str">
        <f>"PACK_TO_INT|STATE|"&amp;SUBSTITUTE($V$2,"\","|")</f>
        <v>PACK_TO_INT|STATE|GP301_ZE_05</v>
      </c>
      <c r="B66" s="4" t="s">
        <v>78</v>
      </c>
      <c r="F66" s="4">
        <v>0</v>
      </c>
      <c r="G66" s="4" t="s">
        <v>71</v>
      </c>
      <c r="H66" s="4">
        <v>0</v>
      </c>
      <c r="I66" s="4" t="s">
        <v>72</v>
      </c>
      <c r="J66" s="4" t="s">
        <v>73</v>
      </c>
      <c r="K66" s="514">
        <v>1</v>
      </c>
    </row>
    <row r="67" spans="1:24">
      <c r="A67" s="514" t="str">
        <f>"PACK_TO_INT|FAULT|"&amp;SUBSTITUTE($V$2,"\","|")</f>
        <v>PACK_TO_INT|FAULT|GP301_ZE_05</v>
      </c>
      <c r="B67" s="4" t="s">
        <v>78</v>
      </c>
      <c r="F67" s="4">
        <v>0</v>
      </c>
      <c r="G67" s="4" t="s">
        <v>71</v>
      </c>
      <c r="H67" s="4">
        <v>0</v>
      </c>
      <c r="I67" s="4" t="s">
        <v>72</v>
      </c>
      <c r="J67" s="4" t="s">
        <v>73</v>
      </c>
      <c r="K67" s="514">
        <v>1</v>
      </c>
    </row>
    <row r="71" spans="1:24">
      <c r="A71" s="4"/>
      <c r="B71" s="4"/>
      <c r="F71" s="4"/>
      <c r="G71" s="4"/>
      <c r="H71" s="4"/>
      <c r="I71" s="4"/>
      <c r="J71" s="4"/>
      <c r="K71" s="4"/>
      <c r="M71" s="4"/>
      <c r="R71"/>
      <c r="S71"/>
      <c r="T71"/>
      <c r="U71"/>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Лист62">
    <tabColor rgb="FF92D050"/>
  </sheetPr>
  <dimension ref="A1:AD78"/>
  <sheetViews>
    <sheetView topLeftCell="A31" zoomScale="70" zoomScaleNormal="70" workbookViewId="0">
      <selection activeCell="V2" sqref="V2:AD2"/>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style="53" customWidth="1"/>
    <col min="19" max="20" width="9.109375" style="53" customWidth="1"/>
    <col min="21" max="21" width="34" style="53" bestFit="1" customWidth="1"/>
    <col min="22" max="22" width="16.6640625" customWidth="1"/>
    <col min="23" max="23" width="30" customWidth="1"/>
    <col min="24" max="29" width="16.6640625" customWidth="1"/>
  </cols>
  <sheetData>
    <row r="1" spans="1:30">
      <c r="A1" s="10"/>
      <c r="B1" s="10"/>
      <c r="F1" s="10"/>
      <c r="G1" s="10"/>
      <c r="H1" s="10"/>
      <c r="I1" s="10"/>
      <c r="J1" s="10"/>
      <c r="K1" s="10"/>
      <c r="M1" s="10"/>
      <c r="N1" s="10"/>
      <c r="O1" s="10"/>
      <c r="P1" s="10"/>
      <c r="Q1" s="10"/>
      <c r="R1" s="616"/>
      <c r="U1" s="54" t="str">
        <f>Настройки!$M$33</f>
        <v>Комментарии блоков в гл. словаре</v>
      </c>
      <c r="V1" s="54" t="s">
        <v>79</v>
      </c>
      <c r="W1" s="54" t="s">
        <v>269</v>
      </c>
      <c r="X1" s="54" t="s">
        <v>240</v>
      </c>
      <c r="Y1" s="54" t="s">
        <v>241</v>
      </c>
      <c r="Z1" s="54" t="s">
        <v>242</v>
      </c>
      <c r="AA1" s="54" t="s">
        <v>267</v>
      </c>
      <c r="AB1" s="54" t="s">
        <v>276</v>
      </c>
      <c r="AC1" s="54" t="s">
        <v>277</v>
      </c>
      <c r="AD1" s="54" t="s">
        <v>825</v>
      </c>
    </row>
    <row r="2" spans="1:30">
      <c r="A2" s="10"/>
      <c r="B2" s="10"/>
      <c r="F2" s="10"/>
      <c r="G2" s="10"/>
      <c r="H2" s="10"/>
      <c r="I2" s="10"/>
      <c r="J2" s="10"/>
      <c r="K2" s="10"/>
      <c r="M2" s="10"/>
      <c r="N2" s="10"/>
      <c r="O2" s="10"/>
      <c r="P2" s="10"/>
      <c r="Q2" s="10"/>
      <c r="R2" s="616"/>
      <c r="U2" s="74" t="b">
        <f>Настройки!$M$34</f>
        <v>1</v>
      </c>
      <c r="V2" s="73" t="s">
        <v>4862</v>
      </c>
      <c r="W2" s="537" t="s">
        <v>4863</v>
      </c>
      <c r="X2" s="73">
        <v>2</v>
      </c>
      <c r="Y2" s="73" t="s">
        <v>76</v>
      </c>
      <c r="Z2" s="73"/>
      <c r="AA2" s="74">
        <v>2</v>
      </c>
      <c r="AB2" s="74">
        <v>2</v>
      </c>
      <c r="AC2" s="74"/>
      <c r="AD2" s="2"/>
    </row>
    <row r="3" spans="1:30">
      <c r="A3" s="515" t="str">
        <f>SUBSTITUTE($V$2,"\","|")&amp;"|COON"</f>
        <v>GP050_V_02_02|COON</v>
      </c>
      <c r="B3" t="s">
        <v>74</v>
      </c>
      <c r="F3" t="s">
        <v>72</v>
      </c>
      <c r="G3" t="s">
        <v>71</v>
      </c>
      <c r="H3">
        <v>0</v>
      </c>
      <c r="I3" t="s">
        <v>76</v>
      </c>
      <c r="J3" t="s">
        <v>73</v>
      </c>
      <c r="K3" s="515" t="s">
        <v>1383</v>
      </c>
      <c r="M3">
        <v>1</v>
      </c>
      <c r="R3" t="str">
        <f>IF($U$2=TRUE,$W$2&amp;". Команда оператора Включить","Команда оператора Включить")</f>
        <v>ГП 50. Вентилятор B2.2. Команда оператора Включить</v>
      </c>
      <c r="S3" s="372"/>
      <c r="T3"/>
      <c r="U3" s="773"/>
      <c r="V3" s="4"/>
      <c r="W3" s="773"/>
      <c r="X3" s="4"/>
    </row>
    <row r="4" spans="1:30">
      <c r="A4" s="515" t="str">
        <f>SUBSTITUTE($V$2,"\","|")&amp;"|COOF"</f>
        <v>GP050_V_02_02|COOF</v>
      </c>
      <c r="B4" t="s">
        <v>74</v>
      </c>
      <c r="F4" t="s">
        <v>72</v>
      </c>
      <c r="G4" t="s">
        <v>71</v>
      </c>
      <c r="H4">
        <v>0</v>
      </c>
      <c r="I4" t="s">
        <v>76</v>
      </c>
      <c r="J4" t="s">
        <v>73</v>
      </c>
      <c r="K4" s="515" t="s">
        <v>1383</v>
      </c>
      <c r="M4">
        <v>1</v>
      </c>
      <c r="R4" t="str">
        <f>IF($U$2=TRUE,$W$2&amp;". Команда оператора Отключить","Команда оператора Отключить")</f>
        <v>ГП 50. Вентилятор B2.2. Команда оператора Отключить</v>
      </c>
      <c r="S4" s="372"/>
      <c r="T4"/>
      <c r="U4" s="773"/>
      <c r="V4" s="4"/>
      <c r="W4" s="773"/>
      <c r="X4" s="4"/>
    </row>
    <row r="5" spans="1:30">
      <c r="A5" s="515" t="str">
        <f>SUBSTITUTE($V$2,"\","|")&amp;"|CMMX"</f>
        <v>GP050_V_02_02|CMMX</v>
      </c>
      <c r="B5" t="s">
        <v>74</v>
      </c>
      <c r="F5" t="s">
        <v>72</v>
      </c>
      <c r="G5" t="s">
        <v>71</v>
      </c>
      <c r="H5">
        <v>0</v>
      </c>
      <c r="I5" t="s">
        <v>76</v>
      </c>
      <c r="J5" t="s">
        <v>73</v>
      </c>
      <c r="K5" s="515" t="s">
        <v>1383</v>
      </c>
      <c r="M5">
        <v>1</v>
      </c>
      <c r="R5" t="str">
        <f>IF($U$2=TRUE,$W$2&amp;". Команда Перевести в ручной режим управления","Команда Перевести в ручной режим управления")</f>
        <v>ГП 50. Вентилятор B2.2. Команда Перевести в ручной режим управления</v>
      </c>
      <c r="S5" s="372"/>
      <c r="T5"/>
      <c r="U5" s="773"/>
      <c r="V5" s="4"/>
      <c r="W5" s="773"/>
      <c r="X5" s="4"/>
    </row>
    <row r="6" spans="1:30">
      <c r="A6" s="515" t="str">
        <f>SUBSTITUTE($V$2,"\","|")&amp;"|CRPX"</f>
        <v>GP050_V_02_02|CRPX</v>
      </c>
      <c r="B6" t="s">
        <v>74</v>
      </c>
      <c r="F6" t="s">
        <v>72</v>
      </c>
      <c r="G6" t="s">
        <v>71</v>
      </c>
      <c r="H6">
        <v>0</v>
      </c>
      <c r="I6" t="s">
        <v>76</v>
      </c>
      <c r="J6" t="s">
        <v>73</v>
      </c>
      <c r="K6" s="515" t="s">
        <v>1383</v>
      </c>
      <c r="M6">
        <v>1</v>
      </c>
      <c r="R6" t="str">
        <f>IF($U$2=TRUE,$W$2&amp;". Команда оператора Вывести в ремонт","Команда оператора Вывести в ремонт")</f>
        <v>ГП 50. Вентилятор B2.2. Команда оператора Вывести в ремонт</v>
      </c>
      <c r="S6" s="372"/>
      <c r="T6"/>
      <c r="U6" s="773"/>
      <c r="V6" s="4"/>
      <c r="W6" s="773"/>
      <c r="X6" s="4"/>
    </row>
    <row r="7" spans="1:30">
      <c r="A7" s="515" t="str">
        <f>SUBSTITUTE($V$2,"\","|")&amp;"|CRRX"</f>
        <v>GP050_V_02_02|CRRX</v>
      </c>
      <c r="B7" t="s">
        <v>74</v>
      </c>
      <c r="F7" t="s">
        <v>72</v>
      </c>
      <c r="G7" t="s">
        <v>71</v>
      </c>
      <c r="H7">
        <v>0</v>
      </c>
      <c r="I7" t="s">
        <v>76</v>
      </c>
      <c r="J7" t="s">
        <v>73</v>
      </c>
      <c r="K7" s="515" t="s">
        <v>1383</v>
      </c>
      <c r="M7">
        <v>1</v>
      </c>
      <c r="R7" t="str">
        <f>IF($U$2=TRUE,$W$2&amp;". Команда сброс наработки","Команда сброс наработки")</f>
        <v>ГП 50. Вентилятор B2.2. Команда сброс наработки</v>
      </c>
      <c r="S7" s="372"/>
      <c r="T7"/>
      <c r="U7" s="773"/>
      <c r="V7" s="4"/>
      <c r="W7" s="773"/>
      <c r="X7" s="4"/>
    </row>
    <row r="8" spans="1:30">
      <c r="A8" s="515" t="str">
        <f>SUBSTITUTE($V$2,"\","|")&amp;"|CRST"</f>
        <v>GP050_V_02_02|CRST</v>
      </c>
      <c r="B8" t="s">
        <v>74</v>
      </c>
      <c r="F8" t="s">
        <v>72</v>
      </c>
      <c r="G8" t="s">
        <v>71</v>
      </c>
      <c r="H8">
        <v>0</v>
      </c>
      <c r="I8" t="s">
        <v>76</v>
      </c>
      <c r="J8" t="s">
        <v>73</v>
      </c>
      <c r="K8" s="515" t="s">
        <v>1383</v>
      </c>
      <c r="M8">
        <v>1</v>
      </c>
      <c r="R8" t="str">
        <f>IF($U$2=TRUE,$W$2&amp;". Команда Сброс ошибок","Команда Сброс ошибок")</f>
        <v>ГП 50. Вентилятор B2.2. Команда Сброс ошибок</v>
      </c>
      <c r="S8" s="372"/>
      <c r="T8"/>
      <c r="U8" s="773"/>
      <c r="V8" s="4"/>
      <c r="W8" s="773"/>
      <c r="X8" s="4"/>
    </row>
    <row r="9" spans="1:30">
      <c r="A9" t="str">
        <f>SUBSTITUTE($V$2,"\","|")&amp;"|CAOF"</f>
        <v>GP050_V_02_02|CAOF</v>
      </c>
      <c r="B9" t="s">
        <v>74</v>
      </c>
      <c r="F9" t="s">
        <v>72</v>
      </c>
      <c r="G9" t="s">
        <v>71</v>
      </c>
      <c r="H9">
        <v>0</v>
      </c>
      <c r="I9" t="s">
        <v>76</v>
      </c>
      <c r="J9" t="s">
        <v>69</v>
      </c>
      <c r="K9">
        <v>0</v>
      </c>
      <c r="M9">
        <v>1</v>
      </c>
      <c r="R9" t="str">
        <f>IF($U$2=TRUE,$W$2&amp;". Команда алгоритма: Отключить","Команда алгоритма: Отключить")</f>
        <v>ГП 50. Вентилятор B2.2. Команда алгоритма: Отключить</v>
      </c>
      <c r="S9" s="372"/>
      <c r="T9"/>
      <c r="U9" s="773"/>
      <c r="V9" s="4"/>
      <c r="W9" s="773"/>
      <c r="X9" s="4"/>
    </row>
    <row r="10" spans="1:30">
      <c r="A10" t="str">
        <f>SUBSTITUTE($V$2,"\","|")&amp;"|CAON"</f>
        <v>GP050_V_02_02|CAON</v>
      </c>
      <c r="B10" t="s">
        <v>74</v>
      </c>
      <c r="F10" t="s">
        <v>72</v>
      </c>
      <c r="G10" t="s">
        <v>71</v>
      </c>
      <c r="H10">
        <v>0</v>
      </c>
      <c r="I10" t="s">
        <v>76</v>
      </c>
      <c r="J10" t="s">
        <v>69</v>
      </c>
      <c r="K10">
        <v>0</v>
      </c>
      <c r="M10">
        <v>1</v>
      </c>
      <c r="R10" t="str">
        <f>IF($U$2=TRUE,$W$2&amp;". Команда алгоритма: Включить","Команда алгоритма: Включить")</f>
        <v>ГП 50. Вентилятор B2.2. Команда алгоритма: Включить</v>
      </c>
      <c r="S10" s="372"/>
      <c r="T10"/>
      <c r="U10" s="773"/>
      <c r="V10" s="4"/>
      <c r="W10" s="773"/>
      <c r="X10" s="4"/>
    </row>
    <row r="11" spans="1:30">
      <c r="A11" t="str">
        <f>SUBSTITUTE($V$2,"\","|")&amp;"|CBOF"</f>
        <v>GP050_V_02_02|CBOF</v>
      </c>
      <c r="B11" t="s">
        <v>74</v>
      </c>
      <c r="F11" t="s">
        <v>72</v>
      </c>
      <c r="G11" t="s">
        <v>71</v>
      </c>
      <c r="H11">
        <v>0</v>
      </c>
      <c r="I11" t="s">
        <v>76</v>
      </c>
      <c r="J11" t="s">
        <v>69</v>
      </c>
      <c r="K11">
        <v>0</v>
      </c>
      <c r="M11">
        <v>1</v>
      </c>
      <c r="R11" t="str">
        <f>IF($U$2=TRUE,$W$2&amp;". Команда блокировки: Отключить","Команда блокировки: Отключить")</f>
        <v>ГП 50. Вентилятор B2.2. Команда блокировки: Отключить</v>
      </c>
      <c r="S11" s="372"/>
      <c r="T11"/>
      <c r="U11" s="773"/>
      <c r="V11" s="4"/>
      <c r="W11" s="773"/>
      <c r="X11" s="4"/>
    </row>
    <row r="12" spans="1:30">
      <c r="A12" t="str">
        <f>SUBSTITUTE($V$2,"\","|")&amp;"|CBON"</f>
        <v>GP050_V_02_02|CBON</v>
      </c>
      <c r="B12" t="s">
        <v>74</v>
      </c>
      <c r="F12" t="s">
        <v>72</v>
      </c>
      <c r="G12" t="s">
        <v>71</v>
      </c>
      <c r="H12">
        <v>0</v>
      </c>
      <c r="I12" t="s">
        <v>76</v>
      </c>
      <c r="J12" t="s">
        <v>69</v>
      </c>
      <c r="K12">
        <v>0</v>
      </c>
      <c r="M12">
        <v>1</v>
      </c>
      <c r="R12" t="str">
        <f>IF($U$2=TRUE,$W$2&amp;". Команда блокировки: Включить","Команда блокировки: Включить")</f>
        <v>ГП 50. Вентилятор B2.2. Команда блокировки: Включить</v>
      </c>
      <c r="S12" s="372"/>
      <c r="T12"/>
      <c r="U12" s="773"/>
      <c r="V12" s="4"/>
      <c r="W12" s="773"/>
      <c r="X12" s="4"/>
    </row>
    <row r="13" spans="1:30">
      <c r="A13" t="str">
        <f>SUBSTITUTE($V$2,"\","|")&amp;"|CDOF"</f>
        <v>GP050_V_02_02|CDOF</v>
      </c>
      <c r="B13" t="s">
        <v>74</v>
      </c>
      <c r="F13" t="s">
        <v>72</v>
      </c>
      <c r="G13" t="s">
        <v>71</v>
      </c>
      <c r="H13">
        <v>0</v>
      </c>
      <c r="I13" t="s">
        <v>76</v>
      </c>
      <c r="J13" t="s">
        <v>73</v>
      </c>
      <c r="K13">
        <v>0</v>
      </c>
      <c r="M13">
        <v>1</v>
      </c>
      <c r="R13" t="str">
        <f>IF($U$2=TRUE,$W$2&amp;". Запрет отключения","Запрет отключения")</f>
        <v>ГП 50. Вентилятор B2.2. Запрет отключения</v>
      </c>
      <c r="S13" s="372"/>
      <c r="T13"/>
      <c r="U13" s="773"/>
      <c r="V13" s="4"/>
      <c r="W13" s="773"/>
      <c r="X13" s="4"/>
    </row>
    <row r="14" spans="1:30">
      <c r="A14" t="str">
        <f>SUBSTITUTE($V$2,"\","|")&amp;"|CDON"</f>
        <v>GP050_V_02_02|CDON</v>
      </c>
      <c r="B14" t="s">
        <v>74</v>
      </c>
      <c r="F14" t="s">
        <v>72</v>
      </c>
      <c r="G14" t="s">
        <v>71</v>
      </c>
      <c r="H14">
        <v>0</v>
      </c>
      <c r="I14" t="s">
        <v>76</v>
      </c>
      <c r="J14" t="s">
        <v>73</v>
      </c>
      <c r="K14">
        <v>0</v>
      </c>
      <c r="M14">
        <v>1</v>
      </c>
      <c r="R14" t="str">
        <f>IF($U$2=TRUE,$W$2&amp;". Запрет включения","Запрет включения")</f>
        <v>ГП 50. Вентилятор B2.2. Запрет включения</v>
      </c>
      <c r="S14" s="372"/>
      <c r="T14"/>
      <c r="U14" s="773"/>
      <c r="V14" s="4"/>
      <c r="W14" s="773"/>
      <c r="X14" s="4"/>
    </row>
    <row r="15" spans="1:30">
      <c r="A15" t="str">
        <f>SUBSTITUTE($V$2,"\","|")&amp;"|CEOF"</f>
        <v>GP050_V_02_02|CEOF</v>
      </c>
      <c r="B15" t="s">
        <v>74</v>
      </c>
      <c r="F15" t="s">
        <v>72</v>
      </c>
      <c r="G15" t="s">
        <v>71</v>
      </c>
      <c r="H15">
        <v>0</v>
      </c>
      <c r="I15" t="s">
        <v>76</v>
      </c>
      <c r="J15" t="s">
        <v>69</v>
      </c>
      <c r="K15">
        <v>0</v>
      </c>
      <c r="M15">
        <v>1</v>
      </c>
      <c r="R15" t="str">
        <f>IF($U$2=TRUE,$W$2&amp;". Команда ПАЗ: Отключить","Команда ПАЗ: Отключить")</f>
        <v>ГП 50. Вентилятор B2.2. Команда ПАЗ: Отключить</v>
      </c>
      <c r="S15" s="372"/>
      <c r="T15"/>
      <c r="U15" s="773"/>
      <c r="V15" s="4"/>
      <c r="W15" s="773"/>
      <c r="X15" s="4"/>
    </row>
    <row r="16" spans="1:30">
      <c r="A16" t="str">
        <f>SUBSTITUTE($V$2,"\","|")&amp;"|CEON"</f>
        <v>GP050_V_02_02|CEON</v>
      </c>
      <c r="B16" t="s">
        <v>74</v>
      </c>
      <c r="F16" t="s">
        <v>72</v>
      </c>
      <c r="G16" t="s">
        <v>71</v>
      </c>
      <c r="H16">
        <v>0</v>
      </c>
      <c r="I16" t="s">
        <v>76</v>
      </c>
      <c r="J16" t="s">
        <v>69</v>
      </c>
      <c r="K16">
        <v>0</v>
      </c>
      <c r="M16">
        <v>1</v>
      </c>
      <c r="R16" t="str">
        <f>IF($U$2=TRUE,$W$2&amp;". Команда ПАЗ: Включить","Команда ПАЗ: Включить")</f>
        <v>ГП 50. Вентилятор B2.2. Команда ПАЗ: Включить</v>
      </c>
      <c r="S16" s="372"/>
      <c r="T16"/>
      <c r="U16" s="773"/>
      <c r="V16" s="4"/>
      <c r="W16" s="773"/>
      <c r="X16" s="4"/>
    </row>
    <row r="17" spans="1:24">
      <c r="A17" t="str">
        <f>SUBSTITUTE($V$2,"\","|")&amp;"|COSP"</f>
        <v>GP050_V_02_02|COSP</v>
      </c>
      <c r="B17" t="s">
        <v>74</v>
      </c>
      <c r="F17" t="s">
        <v>72</v>
      </c>
      <c r="G17" t="s">
        <v>71</v>
      </c>
      <c r="H17">
        <v>0</v>
      </c>
      <c r="I17" t="s">
        <v>76</v>
      </c>
      <c r="J17" t="s">
        <v>73</v>
      </c>
      <c r="K17">
        <v>0</v>
      </c>
      <c r="M17">
        <v>1</v>
      </c>
      <c r="R17" t="str">
        <f>IF($U$2=TRUE,$W$2&amp;". Команда оператора Стоп","Команда оператора Стоп")</f>
        <v>ГП 50. Вентилятор B2.2. Команда оператора Стоп</v>
      </c>
      <c r="S17" s="372"/>
      <c r="T17"/>
      <c r="U17" s="773"/>
      <c r="V17" s="4"/>
      <c r="W17" s="773"/>
      <c r="X17" s="4"/>
    </row>
    <row r="18" spans="1:24">
      <c r="A18" t="str">
        <f>SUBSTITUTE($V$2,"\","|")&amp;"|CPMM"</f>
        <v>GP050_V_02_02|CPMM</v>
      </c>
      <c r="B18" t="s">
        <v>74</v>
      </c>
      <c r="F18" t="s">
        <v>76</v>
      </c>
      <c r="G18" t="s">
        <v>71</v>
      </c>
      <c r="H18">
        <v>0</v>
      </c>
      <c r="I18" t="s">
        <v>76</v>
      </c>
      <c r="J18" t="s">
        <v>73</v>
      </c>
      <c r="K18">
        <v>0</v>
      </c>
      <c r="M18">
        <v>1</v>
      </c>
      <c r="R18" t="str">
        <f>IF($U$2=TRUE,$W$2&amp;". Разрешение на перевод в ручной режим","Разрешение на перевод в ручной режим")</f>
        <v>ГП 50. Вентилятор B2.2. Разрешение на перевод в ручной режим</v>
      </c>
      <c r="S18" s="372"/>
      <c r="T18"/>
      <c r="U18" s="773"/>
      <c r="V18" s="4"/>
      <c r="W18" s="773"/>
      <c r="X18" s="4"/>
    </row>
    <row r="19" spans="1:24">
      <c r="A19" t="str">
        <f>SUBSTITUTE($V$2,"\","|")&amp;"|DFXX"</f>
        <v>GP050_V_02_02|DFXX</v>
      </c>
      <c r="B19" t="s">
        <v>74</v>
      </c>
      <c r="F19" t="s">
        <v>72</v>
      </c>
      <c r="G19" t="s">
        <v>71</v>
      </c>
      <c r="H19">
        <v>0</v>
      </c>
      <c r="I19" t="s">
        <v>72</v>
      </c>
      <c r="J19" t="s">
        <v>69</v>
      </c>
      <c r="K19">
        <v>0</v>
      </c>
      <c r="M19">
        <v>1</v>
      </c>
      <c r="R19" t="str">
        <f>IF($U$2=TRUE,$W$2&amp;". Недостоверное Входное значение Неисправность","Недостоверное Входное значение Неисправность")</f>
        <v>ГП 50. Вентилятор B2.2. Недостоверное Входное значение Неисправность</v>
      </c>
      <c r="S19" s="372"/>
      <c r="T19"/>
      <c r="U19" s="773"/>
      <c r="V19" s="4"/>
      <c r="W19" s="773"/>
      <c r="X19" s="4"/>
    </row>
    <row r="20" spans="1:24">
      <c r="A20" t="str">
        <f>SUBSTITUTE($V$2,"\","|")&amp;"|DLCX"</f>
        <v>GP050_V_02_02|DLCX</v>
      </c>
      <c r="B20" t="s">
        <v>74</v>
      </c>
      <c r="F20" t="s">
        <v>72</v>
      </c>
      <c r="G20" t="s">
        <v>71</v>
      </c>
      <c r="H20">
        <v>0</v>
      </c>
      <c r="I20" t="s">
        <v>72</v>
      </c>
      <c r="J20" t="s">
        <v>69</v>
      </c>
      <c r="K20">
        <v>0</v>
      </c>
      <c r="M20">
        <v>1</v>
      </c>
      <c r="R20" t="str">
        <f>IF($U$2=TRUE,$W$2&amp;". Недостоверное Местное управление","Недостоверное Местное управление")</f>
        <v>ГП 50. Вентилятор B2.2. Недостоверное Местное управление</v>
      </c>
      <c r="S20" s="372"/>
      <c r="T20"/>
      <c r="U20" s="773"/>
      <c r="V20" s="4"/>
      <c r="W20" s="773"/>
      <c r="X20" s="4"/>
    </row>
    <row r="21" spans="1:24">
      <c r="A21" t="str">
        <f>SUBSTITUTE($V$2,"\","|")&amp;"|DOFX"</f>
        <v>GP050_V_02_02|DOFX</v>
      </c>
      <c r="B21" t="s">
        <v>74</v>
      </c>
      <c r="F21" t="s">
        <v>72</v>
      </c>
      <c r="G21" t="s">
        <v>71</v>
      </c>
      <c r="H21">
        <v>0</v>
      </c>
      <c r="I21" t="s">
        <v>72</v>
      </c>
      <c r="J21" t="s">
        <v>69</v>
      </c>
      <c r="K21">
        <v>0</v>
      </c>
      <c r="M21">
        <v>1</v>
      </c>
      <c r="R21" t="str">
        <f>IF($U$2=TRUE,$W$2&amp;". Недостоверное Входное значение Отключен","Недостоверное Входное значение Отключен")</f>
        <v>ГП 50. Вентилятор B2.2. Недостоверное Входное значение Отключен</v>
      </c>
      <c r="S21" s="372"/>
      <c r="T21"/>
      <c r="U21" s="773"/>
      <c r="V21" s="4"/>
      <c r="W21" s="773"/>
      <c r="X21" s="4"/>
    </row>
    <row r="22" spans="1:24">
      <c r="A22" t="str">
        <f>SUBSTITUTE($V$2,"\","|")&amp;"|DONX"</f>
        <v>GP050_V_02_02|DONX</v>
      </c>
      <c r="B22" t="s">
        <v>74</v>
      </c>
      <c r="F22" t="s">
        <v>72</v>
      </c>
      <c r="G22" t="s">
        <v>71</v>
      </c>
      <c r="H22">
        <v>0</v>
      </c>
      <c r="I22" t="s">
        <v>72</v>
      </c>
      <c r="J22" t="s">
        <v>69</v>
      </c>
      <c r="K22">
        <v>0</v>
      </c>
      <c r="M22">
        <v>1</v>
      </c>
      <c r="R22" t="str">
        <f>IF($U$2=TRUE,$W$2&amp;". Недостоверное Входное значение Включен","Недостоверное Входное значение Включен")</f>
        <v>ГП 50. Вентилятор B2.2. Недостоверное Входное значение Включен</v>
      </c>
      <c r="S22" s="372"/>
      <c r="T22"/>
      <c r="U22" s="773"/>
      <c r="V22" s="4"/>
      <c r="W22" s="773"/>
      <c r="X22" s="4"/>
    </row>
    <row r="23" spans="1:24">
      <c r="A23" t="str">
        <f>SUBSTITUTE($V$2,"\","|")&amp;"|DOOF"</f>
        <v>GP050_V_02_02|DOOF</v>
      </c>
      <c r="B23" t="s">
        <v>74</v>
      </c>
      <c r="F23" t="s">
        <v>72</v>
      </c>
      <c r="G23" t="s">
        <v>71</v>
      </c>
      <c r="H23">
        <v>0</v>
      </c>
      <c r="I23" t="s">
        <v>72</v>
      </c>
      <c r="J23" t="s">
        <v>69</v>
      </c>
      <c r="K23">
        <v>0</v>
      </c>
      <c r="M23">
        <v>1</v>
      </c>
      <c r="R23" t="str">
        <f>IF($U$2=TRUE,$W$2&amp;". Недостоверное Выходное значение Отключить","Недостоверное Выходное значение Отключить")</f>
        <v>ГП 50. Вентилятор B2.2. Недостоверное Выходное значение Отключить</v>
      </c>
      <c r="S23" s="372"/>
      <c r="T23"/>
      <c r="U23" s="773"/>
      <c r="V23" s="4"/>
      <c r="W23" s="773"/>
      <c r="X23" s="4"/>
    </row>
    <row r="24" spans="1:24">
      <c r="A24" t="str">
        <f>SUBSTITUTE($V$2,"\","|")&amp;"|DOON"</f>
        <v>GP050_V_02_02|DOON</v>
      </c>
      <c r="B24" t="s">
        <v>74</v>
      </c>
      <c r="F24" t="s">
        <v>72</v>
      </c>
      <c r="G24" t="s">
        <v>71</v>
      </c>
      <c r="H24">
        <v>0</v>
      </c>
      <c r="I24" t="s">
        <v>72</v>
      </c>
      <c r="J24" t="s">
        <v>69</v>
      </c>
      <c r="K24">
        <v>0</v>
      </c>
      <c r="M24">
        <v>1</v>
      </c>
      <c r="R24" t="str">
        <f>IF($U$2=TRUE,$W$2&amp;". Недостоверное Выходное  значение Включить","Недостоверное Выходное  значение Включить")</f>
        <v>ГП 50. Вентилятор B2.2. Недостоверное Выходное  значение Включить</v>
      </c>
      <c r="S24" s="372"/>
      <c r="T24"/>
      <c r="U24" s="773"/>
      <c r="V24" s="4"/>
      <c r="W24" s="773"/>
      <c r="X24" s="4"/>
    </row>
    <row r="25" spans="1:24">
      <c r="A25" t="str">
        <f>SUBSTITUTE($V$2,"\","|")&amp;"|DOSP"</f>
        <v>GP050_V_02_02|DOSP</v>
      </c>
      <c r="B25" t="s">
        <v>74</v>
      </c>
      <c r="F25" t="s">
        <v>72</v>
      </c>
      <c r="G25" t="s">
        <v>71</v>
      </c>
      <c r="H25">
        <v>0</v>
      </c>
      <c r="I25" t="s">
        <v>72</v>
      </c>
      <c r="J25" t="s">
        <v>69</v>
      </c>
      <c r="K25">
        <v>0</v>
      </c>
      <c r="M25">
        <v>1</v>
      </c>
      <c r="R25" t="str">
        <f>IF($U$2=TRUE,$W$2&amp;". Недостоверное Выходное значение Стоп","Недостоверное Выходное значение Стоп")</f>
        <v>ГП 50. Вентилятор B2.2. Недостоверное Выходное значение Стоп</v>
      </c>
      <c r="S25" s="372"/>
      <c r="T25"/>
      <c r="U25" s="773"/>
      <c r="V25" s="4"/>
      <c r="W25" s="773"/>
      <c r="X25" s="4"/>
    </row>
    <row r="26" spans="1:24">
      <c r="A26" t="str">
        <f>SUBSTITUTE($V$2,"\","|")&amp;"|DRCX"</f>
        <v>GP050_V_02_02|DRCX</v>
      </c>
      <c r="B26" t="s">
        <v>74</v>
      </c>
      <c r="F26" t="s">
        <v>72</v>
      </c>
      <c r="G26" t="s">
        <v>71</v>
      </c>
      <c r="H26">
        <v>0</v>
      </c>
      <c r="I26" t="s">
        <v>72</v>
      </c>
      <c r="J26" t="s">
        <v>69</v>
      </c>
      <c r="K26">
        <v>0</v>
      </c>
      <c r="M26">
        <v>1</v>
      </c>
      <c r="R26" t="str">
        <f>IF($U$2=TRUE,$W$2&amp;". Недостоверное Входное значение Дистанционное управление","Недостоверное Входное значение Дистанционное управление")</f>
        <v>ГП 50. Вентилятор B2.2. Недостоверное Входное значение Дистанционное управление</v>
      </c>
      <c r="S26" s="372"/>
      <c r="T26"/>
      <c r="U26" s="773"/>
      <c r="V26" s="4"/>
      <c r="W26" s="773"/>
      <c r="X26" s="4"/>
    </row>
    <row r="27" spans="1:24">
      <c r="A27" t="str">
        <f>SUBSTITUTE($V$2,"\","|")&amp;"|FCOM"</f>
        <v>GP050_V_02_02|FCOM</v>
      </c>
      <c r="B27" t="s">
        <v>74</v>
      </c>
      <c r="F27" t="s">
        <v>72</v>
      </c>
      <c r="G27" t="s">
        <v>71</v>
      </c>
      <c r="H27">
        <v>0</v>
      </c>
      <c r="I27" t="s">
        <v>72</v>
      </c>
      <c r="J27" t="s">
        <v>69</v>
      </c>
      <c r="K27">
        <v>0</v>
      </c>
      <c r="M27">
        <v>1</v>
      </c>
      <c r="R27" t="str">
        <f>IF($U$2=TRUE,$W$2&amp;". Противоречивость команд","Противоречивость команд")</f>
        <v>ГП 50. Вентилятор B2.2. Противоречивость команд</v>
      </c>
      <c r="S27" s="372"/>
      <c r="T27"/>
      <c r="U27" s="773"/>
      <c r="V27" s="4"/>
      <c r="W27" s="773"/>
      <c r="X27" s="4"/>
    </row>
    <row r="28" spans="1:24">
      <c r="A28" t="str">
        <f>SUBSTITUTE($V$2,"\","|")&amp;"|FDCX"</f>
        <v>GP050_V_02_02|FDCX</v>
      </c>
      <c r="B28" t="s">
        <v>74</v>
      </c>
      <c r="F28" t="s">
        <v>72</v>
      </c>
      <c r="G28" t="s">
        <v>71</v>
      </c>
      <c r="H28">
        <v>0</v>
      </c>
      <c r="I28" t="s">
        <v>72</v>
      </c>
      <c r="J28" t="s">
        <v>69</v>
      </c>
      <c r="K28">
        <v>0</v>
      </c>
      <c r="M28">
        <v>1</v>
      </c>
      <c r="R28" t="str">
        <f>IF($U$2=TRUE,$W$2&amp;". Двойное положение режима управления","Двойное положение режима управления")</f>
        <v>ГП 50. Вентилятор B2.2. Двойное положение режима управления</v>
      </c>
      <c r="S28" s="372"/>
      <c r="T28"/>
      <c r="U28" s="773"/>
      <c r="V28" s="4"/>
      <c r="W28" s="773"/>
      <c r="X28" s="4"/>
    </row>
    <row r="29" spans="1:24">
      <c r="A29" s="4" t="str">
        <f>SUBSTITUTE($V$2,"\","|")&amp;"|FDSX"</f>
        <v>GP050_V_02_02|FDSX</v>
      </c>
      <c r="B29" s="4" t="s">
        <v>74</v>
      </c>
      <c r="F29" s="4" t="s">
        <v>72</v>
      </c>
      <c r="G29" s="4" t="s">
        <v>71</v>
      </c>
      <c r="H29" s="4">
        <v>0</v>
      </c>
      <c r="I29" s="4" t="s">
        <v>72</v>
      </c>
      <c r="J29" s="4" t="s">
        <v>69</v>
      </c>
      <c r="K29" s="4">
        <v>0</v>
      </c>
      <c r="M29">
        <v>1</v>
      </c>
      <c r="R29" t="str">
        <f>IF($U$2=TRUE,$W$2&amp;". Двойное положение","Двойное положение")</f>
        <v>ГП 50. Вентилятор B2.2. Двойное положение</v>
      </c>
      <c r="S29" s="372"/>
      <c r="T29"/>
      <c r="U29" s="773"/>
      <c r="V29" s="4"/>
      <c r="W29" s="773"/>
      <c r="X29" s="4"/>
    </row>
    <row r="30" spans="1:24">
      <c r="A30" s="4" t="str">
        <f>SUBSTITUTE($V$2,"\","|")&amp;"|FFOF"</f>
        <v>GP050_V_02_02|FFOF</v>
      </c>
      <c r="B30" s="4" t="s">
        <v>74</v>
      </c>
      <c r="F30" s="4" t="s">
        <v>72</v>
      </c>
      <c r="G30" s="4" t="s">
        <v>71</v>
      </c>
      <c r="H30" s="4">
        <v>0</v>
      </c>
      <c r="I30" s="4" t="s">
        <v>72</v>
      </c>
      <c r="J30" s="4" t="s">
        <v>69</v>
      </c>
      <c r="K30" s="4">
        <v>0</v>
      </c>
      <c r="M30">
        <v>1</v>
      </c>
      <c r="R30" t="str">
        <f>IF($U$2=TRUE,$W$2&amp;". Несануционированное отключение","Несануционированное отключение")</f>
        <v>ГП 50. Вентилятор B2.2. Несануционированное отключение</v>
      </c>
      <c r="S30" s="372"/>
      <c r="T30"/>
      <c r="U30" s="773"/>
      <c r="V30" s="4"/>
      <c r="W30" s="773"/>
      <c r="X30" s="4"/>
    </row>
    <row r="31" spans="1:24">
      <c r="A31" s="4" t="str">
        <f>SUBSTITUTE($V$2,"\","|")&amp;"|FFON"</f>
        <v>GP050_V_02_02|FFON</v>
      </c>
      <c r="B31" s="4" t="s">
        <v>74</v>
      </c>
      <c r="F31" s="4" t="s">
        <v>72</v>
      </c>
      <c r="G31" s="4" t="s">
        <v>71</v>
      </c>
      <c r="H31" s="4">
        <v>0</v>
      </c>
      <c r="I31" s="4" t="s">
        <v>72</v>
      </c>
      <c r="J31" s="4" t="s">
        <v>69</v>
      </c>
      <c r="K31" s="4">
        <v>0</v>
      </c>
      <c r="M31">
        <v>1</v>
      </c>
      <c r="R31" t="str">
        <f>IF($U$2=TRUE,$W$2&amp;". Несанкционированное включение","Несанкционированное включение")</f>
        <v>ГП 50. Вентилятор B2.2. Несанкционированное включение</v>
      </c>
      <c r="S31" s="372"/>
      <c r="T31"/>
      <c r="U31" s="773"/>
      <c r="V31" s="4"/>
      <c r="W31" s="773"/>
      <c r="X31" s="4"/>
    </row>
    <row r="32" spans="1:24">
      <c r="A32" s="4" t="str">
        <f>SUBSTITUTE($V$2,"\","|")&amp;"|FOFX"</f>
        <v>GP050_V_02_02|FOFX</v>
      </c>
      <c r="B32" s="4" t="s">
        <v>74</v>
      </c>
      <c r="F32" s="4" t="s">
        <v>72</v>
      </c>
      <c r="G32" s="4" t="s">
        <v>71</v>
      </c>
      <c r="H32" s="4">
        <v>0</v>
      </c>
      <c r="I32" s="4" t="s">
        <v>72</v>
      </c>
      <c r="J32" s="4" t="s">
        <v>69</v>
      </c>
      <c r="K32" s="4">
        <v>0</v>
      </c>
      <c r="M32">
        <v>1</v>
      </c>
      <c r="R32" t="str">
        <f>IF($U$2=TRUE,$W$2&amp;". Не отключился","Не отключился")</f>
        <v>ГП 50. Вентилятор B2.2. Не отключился</v>
      </c>
      <c r="S32" s="372"/>
      <c r="T32"/>
      <c r="U32" s="773"/>
      <c r="V32" s="4"/>
      <c r="W32" s="773"/>
      <c r="X32" s="4"/>
    </row>
    <row r="33" spans="1:24">
      <c r="A33" s="4" t="str">
        <f>SUBSTITUTE($V$2,"\","|")&amp;"|FONX"</f>
        <v>GP050_V_02_02|FONX</v>
      </c>
      <c r="B33" s="4" t="s">
        <v>74</v>
      </c>
      <c r="F33" s="4" t="s">
        <v>72</v>
      </c>
      <c r="G33" s="4" t="s">
        <v>71</v>
      </c>
      <c r="H33" s="4">
        <v>0</v>
      </c>
      <c r="I33" s="4" t="s">
        <v>72</v>
      </c>
      <c r="J33" s="4" t="s">
        <v>69</v>
      </c>
      <c r="K33" s="4">
        <v>0</v>
      </c>
      <c r="M33">
        <v>1</v>
      </c>
      <c r="R33" t="str">
        <f>IF($U$2=TRUE,$W$2&amp;". Не включился","Не включился")</f>
        <v>ГП 50. Вентилятор B2.2. Не включился</v>
      </c>
      <c r="S33" s="372"/>
      <c r="T33"/>
      <c r="U33" s="773"/>
      <c r="V33" s="4"/>
      <c r="W33" s="773"/>
      <c r="X33" s="4"/>
    </row>
    <row r="34" spans="1:24">
      <c r="A34" s="4" t="str">
        <f>SUBSTITUTE($V$2,"\","|")&amp;"|FRTX"</f>
        <v>GP050_V_02_02|FRTX</v>
      </c>
      <c r="B34" s="4" t="s">
        <v>74</v>
      </c>
      <c r="F34" s="4" t="s">
        <v>72</v>
      </c>
      <c r="G34" s="4" t="s">
        <v>71</v>
      </c>
      <c r="H34" s="4">
        <v>0</v>
      </c>
      <c r="I34" s="4" t="s">
        <v>72</v>
      </c>
      <c r="J34" s="4" t="s">
        <v>69</v>
      </c>
      <c r="K34" s="4">
        <v>0</v>
      </c>
      <c r="M34">
        <v>1</v>
      </c>
      <c r="R34" t="str">
        <f>IF($U$2=TRUE,$W$2&amp;". Сработала уставка по наработке в часах","Сработала уставка по наработке в часах")</f>
        <v>ГП 50. Вентилятор B2.2. Сработала уставка по наработке в часах</v>
      </c>
      <c r="S34" s="372"/>
      <c r="T34"/>
      <c r="U34" s="773"/>
      <c r="V34" s="4"/>
      <c r="W34" s="773"/>
      <c r="X34" s="4"/>
    </row>
    <row r="35" spans="1:24">
      <c r="A35" s="4" t="str">
        <f>SUBSTITUTE($V$2,"\","|")&amp;"|FUCX"</f>
        <v>GP050_V_02_02|FUCX</v>
      </c>
      <c r="B35" s="4" t="s">
        <v>74</v>
      </c>
      <c r="F35" s="4" t="s">
        <v>72</v>
      </c>
      <c r="G35" s="4" t="s">
        <v>71</v>
      </c>
      <c r="H35" s="4">
        <v>0</v>
      </c>
      <c r="I35" s="4" t="s">
        <v>72</v>
      </c>
      <c r="J35" s="4" t="s">
        <v>69</v>
      </c>
      <c r="K35" s="4">
        <v>0</v>
      </c>
      <c r="M35">
        <v>1</v>
      </c>
      <c r="R35" t="str">
        <f>IF($U$2=TRUE,$W$2&amp;". Неопределенное положение режима управления","Неопределенное положение режима управления")</f>
        <v>ГП 50. Вентилятор B2.2. Неопределенное положение режима управления</v>
      </c>
      <c r="S35" s="372"/>
      <c r="T35"/>
      <c r="U35" s="773"/>
      <c r="V35" s="4"/>
      <c r="W35" s="773"/>
      <c r="X35" s="4"/>
    </row>
    <row r="36" spans="1:24">
      <c r="A36" s="4" t="str">
        <f>SUBSTITUTE($V$2,"\","|")&amp;"|FUSX"</f>
        <v>GP050_V_02_02|FUSX</v>
      </c>
      <c r="B36" s="4" t="s">
        <v>74</v>
      </c>
      <c r="F36" s="4" t="s">
        <v>72</v>
      </c>
      <c r="G36" s="4" t="s">
        <v>71</v>
      </c>
      <c r="H36" s="4">
        <v>0</v>
      </c>
      <c r="I36" s="4" t="s">
        <v>72</v>
      </c>
      <c r="J36" s="4" t="s">
        <v>69</v>
      </c>
      <c r="K36" s="4">
        <v>0</v>
      </c>
      <c r="M36">
        <v>1</v>
      </c>
      <c r="R36" t="str">
        <f>IF($U$2=TRUE,$W$2&amp;". Неопределенно положение","Неопределенно положение")</f>
        <v>ГП 50. Вентилятор B2.2. Неопределенно положение</v>
      </c>
      <c r="S36" s="372"/>
      <c r="T36"/>
      <c r="U36" s="773"/>
      <c r="V36" s="4"/>
      <c r="W36" s="773"/>
      <c r="X36" s="4"/>
    </row>
    <row r="37" spans="1:24">
      <c r="A37" s="4" t="str">
        <f>SUBSTITUTE($V$2,"\","|")&amp;"|FXXX"</f>
        <v>GP050_V_02_02|FXXX</v>
      </c>
      <c r="B37" s="4" t="s">
        <v>74</v>
      </c>
      <c r="F37" s="4" t="s">
        <v>72</v>
      </c>
      <c r="G37" s="4" t="s">
        <v>71</v>
      </c>
      <c r="H37" s="4">
        <v>0</v>
      </c>
      <c r="I37" s="4" t="s">
        <v>72</v>
      </c>
      <c r="J37" s="4" t="s">
        <v>69</v>
      </c>
      <c r="K37" s="4">
        <v>0</v>
      </c>
      <c r="M37">
        <v>1</v>
      </c>
      <c r="R37" t="str">
        <f>IF($U$2=TRUE,$W$2&amp;". Обобщенная неисправность","Обобщенная неисправность")</f>
        <v>ГП 50. Вентилятор B2.2. Обобщенная неисправность</v>
      </c>
      <c r="S37" s="372"/>
      <c r="T37"/>
      <c r="U37" s="773"/>
      <c r="V37" s="4"/>
      <c r="W37" s="773"/>
      <c r="X37" s="4"/>
    </row>
    <row r="38" spans="1:24">
      <c r="A38" s="4" t="str">
        <f>SUBSTITUTE($V$2,"\","|")&amp;"|IFXX"</f>
        <v>GP050_V_02_02|IFXX</v>
      </c>
      <c r="B38" s="4" t="s">
        <v>74</v>
      </c>
      <c r="F38" s="4" t="s">
        <v>72</v>
      </c>
      <c r="G38" s="4" t="s">
        <v>71</v>
      </c>
      <c r="H38" s="4">
        <v>0</v>
      </c>
      <c r="I38" s="4" t="s">
        <v>72</v>
      </c>
      <c r="J38" s="4" t="s">
        <v>69</v>
      </c>
      <c r="K38" s="4">
        <v>0</v>
      </c>
      <c r="M38">
        <v>1</v>
      </c>
      <c r="R38" t="str">
        <f>IF($U$2=TRUE,$W$2&amp;". Входное значение Неисправность","Входное значение Неисправность")</f>
        <v>ГП 50. Вентилятор B2.2. Входное значение Неисправность</v>
      </c>
      <c r="S38" s="372"/>
      <c r="T38"/>
      <c r="U38" s="773"/>
      <c r="V38" s="4"/>
      <c r="W38" s="773"/>
      <c r="X38" s="4"/>
    </row>
    <row r="39" spans="1:24">
      <c r="A39" s="4" t="str">
        <f>SUBSTITUTE($V$2,"\","|")&amp;"|ILCX"</f>
        <v>GP050_V_02_02|ILCX</v>
      </c>
      <c r="B39" s="4" t="s">
        <v>74</v>
      </c>
      <c r="F39" s="4" t="s">
        <v>72</v>
      </c>
      <c r="G39" s="4" t="s">
        <v>71</v>
      </c>
      <c r="H39" s="4">
        <v>0</v>
      </c>
      <c r="I39" s="4" t="s">
        <v>76</v>
      </c>
      <c r="J39" s="4" t="s">
        <v>69</v>
      </c>
      <c r="K39" s="4">
        <v>0</v>
      </c>
      <c r="M39">
        <v>1</v>
      </c>
      <c r="R39" t="str">
        <f>IF($U$2=TRUE,$W$2&amp;". Входное значение Местное управление","Входное значение Местное управление")</f>
        <v>ГП 50. Вентилятор B2.2. Входное значение Местное управление</v>
      </c>
      <c r="S39" s="372"/>
      <c r="T39"/>
      <c r="U39" s="773"/>
      <c r="V39" s="4"/>
      <c r="W39" s="773"/>
      <c r="X39" s="4"/>
    </row>
    <row r="40" spans="1:24">
      <c r="A40" s="4" t="str">
        <f>SUBSTITUTE($V$2,"\","|")&amp;"|IOFX"</f>
        <v>GP050_V_02_02|IOFX</v>
      </c>
      <c r="B40" s="4" t="s">
        <v>74</v>
      </c>
      <c r="F40" s="4" t="s">
        <v>72</v>
      </c>
      <c r="G40" s="4" t="s">
        <v>71</v>
      </c>
      <c r="H40" s="4">
        <v>0</v>
      </c>
      <c r="I40" s="4" t="s">
        <v>72</v>
      </c>
      <c r="J40" s="4" t="s">
        <v>69</v>
      </c>
      <c r="K40" s="4">
        <v>0</v>
      </c>
      <c r="M40">
        <v>1</v>
      </c>
      <c r="R40" t="str">
        <f>IF($U$2=TRUE,$W$2&amp;". Входное значение Отключен","Входное значение Отключен")</f>
        <v>ГП 50. Вентилятор B2.2. Входное значение Отключен</v>
      </c>
      <c r="S40" s="372"/>
      <c r="T40"/>
      <c r="U40" s="773"/>
      <c r="V40" s="4"/>
      <c r="W40" s="773"/>
      <c r="X40" s="4"/>
    </row>
    <row r="41" spans="1:24">
      <c r="A41" t="str">
        <f>SUBSTITUTE($V$2,"\","|")&amp;"|IONX"</f>
        <v>GP050_V_02_02|IONX</v>
      </c>
      <c r="B41" t="s">
        <v>74</v>
      </c>
      <c r="F41" t="s">
        <v>72</v>
      </c>
      <c r="G41" t="s">
        <v>71</v>
      </c>
      <c r="H41">
        <v>0</v>
      </c>
      <c r="I41" t="s">
        <v>72</v>
      </c>
      <c r="J41" t="s">
        <v>69</v>
      </c>
      <c r="K41">
        <v>0</v>
      </c>
      <c r="M41">
        <v>1</v>
      </c>
      <c r="R41" t="str">
        <f>IF($U$2=TRUE,$W$2&amp;". Входное значение Включен","Входное значение Включен")</f>
        <v>ГП 50. Вентилятор B2.2. Входное значение Включен</v>
      </c>
      <c r="S41" s="372"/>
      <c r="T41"/>
      <c r="U41" s="773"/>
      <c r="V41" s="4"/>
      <c r="W41" s="773"/>
      <c r="X41" s="4"/>
    </row>
    <row r="42" spans="1:24">
      <c r="A42" t="str">
        <f>SUBSTITUTE($V$2,"\","|")&amp;"|IPMX"</f>
        <v>GP050_V_02_02|IPMX</v>
      </c>
      <c r="B42" t="s">
        <v>74</v>
      </c>
      <c r="F42" t="s">
        <v>72</v>
      </c>
      <c r="G42" t="s">
        <v>71</v>
      </c>
      <c r="H42">
        <v>0</v>
      </c>
      <c r="I42" t="s">
        <v>72</v>
      </c>
      <c r="J42" t="s">
        <v>69</v>
      </c>
      <c r="K42">
        <v>0</v>
      </c>
      <c r="M42">
        <v>1</v>
      </c>
      <c r="R42" t="str">
        <f>IF($U$2=TRUE,$W$2&amp;". Входное значение нет питания","Входное значение нет питания")</f>
        <v>ГП 50. Вентилятор B2.2. Входное значение нет питания</v>
      </c>
      <c r="S42" s="372"/>
      <c r="T42"/>
      <c r="U42" s="773"/>
      <c r="V42" s="4"/>
      <c r="W42" s="773"/>
      <c r="X42" s="4"/>
    </row>
    <row r="43" spans="1:24">
      <c r="A43" t="str">
        <f>SUBSTITUTE($V$2,"\","|")&amp;"|DPMX"</f>
        <v>GP050_V_02_02|DPMX</v>
      </c>
      <c r="B43" t="s">
        <v>74</v>
      </c>
      <c r="F43" t="s">
        <v>72</v>
      </c>
      <c r="G43" t="s">
        <v>71</v>
      </c>
      <c r="H43">
        <v>0</v>
      </c>
      <c r="I43" t="s">
        <v>72</v>
      </c>
      <c r="J43" t="s">
        <v>69</v>
      </c>
      <c r="K43">
        <v>0</v>
      </c>
      <c r="M43">
        <v>1</v>
      </c>
      <c r="R43" t="str">
        <f>IF($U$2=TRUE,$W$2&amp;". Недостоверное Входное значение нет питания","Недостоверное Входное значение нет питания")</f>
        <v>ГП 50. Вентилятор B2.2. Недостоверное Входное значение нет питания</v>
      </c>
      <c r="S43" s="372"/>
      <c r="T43"/>
      <c r="U43" s="773"/>
      <c r="V43" s="4"/>
      <c r="W43" s="773"/>
      <c r="X43" s="4"/>
    </row>
    <row r="44" spans="1:24">
      <c r="A44" t="str">
        <f>SUBSTITUTE($V$2,"\","|")&amp;"|DSON"</f>
        <v>GP050_V_02_02|DSON</v>
      </c>
      <c r="B44" t="s">
        <v>74</v>
      </c>
      <c r="F44" t="s">
        <v>72</v>
      </c>
      <c r="G44" t="s">
        <v>71</v>
      </c>
      <c r="H44">
        <v>0</v>
      </c>
      <c r="I44" t="s">
        <v>72</v>
      </c>
      <c r="J44" t="s">
        <v>69</v>
      </c>
      <c r="K44">
        <v>0</v>
      </c>
      <c r="M44">
        <v>1</v>
      </c>
      <c r="R44" t="str">
        <f>IF($U$2=TRUE,$W$2&amp;". Недостоверное Входное значение КЦУ включить","Недостоверное Входное значение КЦУ включить")</f>
        <v>ГП 50. Вентилятор B2.2. Недостоверное Входное значение КЦУ включить</v>
      </c>
      <c r="S44" s="372"/>
      <c r="T44"/>
      <c r="U44" s="773"/>
      <c r="V44" s="4"/>
      <c r="W44" s="773"/>
      <c r="X44" s="4"/>
    </row>
    <row r="45" spans="1:24">
      <c r="A45" t="str">
        <f>SUBSTITUTE($V$2,"\","|")&amp;"|IRCX"</f>
        <v>GP050_V_02_02|IRCX</v>
      </c>
      <c r="B45" t="s">
        <v>74</v>
      </c>
      <c r="F45" s="4" t="s">
        <v>76</v>
      </c>
      <c r="G45" t="s">
        <v>71</v>
      </c>
      <c r="H45">
        <v>0</v>
      </c>
      <c r="I45" s="4" t="s">
        <v>76</v>
      </c>
      <c r="J45" t="s">
        <v>69</v>
      </c>
      <c r="K45">
        <v>0</v>
      </c>
      <c r="M45">
        <v>1</v>
      </c>
      <c r="R45" t="str">
        <f>IF($U$2=TRUE,$W$2&amp;". Входное значение Дистанционное управление","Входное значение Дистанционное управление")</f>
        <v>ГП 50. Вентилятор B2.2. Входное значение Дистанционное управление</v>
      </c>
      <c r="S45" s="372"/>
      <c r="T45"/>
      <c r="U45" s="773"/>
      <c r="V45" s="4"/>
      <c r="W45" s="773"/>
      <c r="X45" s="4"/>
    </row>
    <row r="46" spans="1:24">
      <c r="A46" t="str">
        <f>SUBSTITUTE($V$2,"\","|")&amp;"|LAOF"</f>
        <v>GP050_V_02_02|LAOF</v>
      </c>
      <c r="B46" t="s">
        <v>74</v>
      </c>
      <c r="F46" t="s">
        <v>72</v>
      </c>
      <c r="G46" t="s">
        <v>71</v>
      </c>
      <c r="H46">
        <v>0</v>
      </c>
      <c r="I46" t="s">
        <v>72</v>
      </c>
      <c r="J46" t="s">
        <v>69</v>
      </c>
      <c r="K46">
        <v>0</v>
      </c>
      <c r="M46">
        <v>1</v>
      </c>
      <c r="R46" t="str">
        <f>IF($U$2=TRUE,$W$2&amp;". Команда алгоритма Отключить блокирована","Команда алгоритма Отключить блокирована")</f>
        <v>ГП 50. Вентилятор B2.2. Команда алгоритма Отключить блокирована</v>
      </c>
      <c r="S46" s="372"/>
      <c r="T46"/>
      <c r="U46" s="773"/>
      <c r="V46" s="4"/>
      <c r="W46" s="773"/>
      <c r="X46" s="4"/>
    </row>
    <row r="47" spans="1:24">
      <c r="A47" t="str">
        <f>SUBSTITUTE($V$2,"\","|")&amp;"|LAON"</f>
        <v>GP050_V_02_02|LAON</v>
      </c>
      <c r="B47" t="s">
        <v>74</v>
      </c>
      <c r="F47" t="s">
        <v>72</v>
      </c>
      <c r="G47" t="s">
        <v>71</v>
      </c>
      <c r="H47">
        <v>0</v>
      </c>
      <c r="I47" t="s">
        <v>72</v>
      </c>
      <c r="J47" t="s">
        <v>69</v>
      </c>
      <c r="K47">
        <v>0</v>
      </c>
      <c r="M47">
        <v>1</v>
      </c>
      <c r="R47" t="str">
        <f>IF($U$2=TRUE,$W$2&amp;". Команда алгоритма Включить блокирована","Команда алгоритма Включить блокирована")</f>
        <v>ГП 50. Вентилятор B2.2. Команда алгоритма Включить блокирована</v>
      </c>
      <c r="S47" s="372"/>
      <c r="T47"/>
      <c r="U47" s="773"/>
      <c r="V47" s="4"/>
      <c r="W47" s="773"/>
      <c r="X47" s="4"/>
    </row>
    <row r="48" spans="1:24">
      <c r="A48" t="str">
        <f>SUBSTITUTE($V$2,"\","|")&amp;"|OCOF"</f>
        <v>GP050_V_02_02|OCOF</v>
      </c>
      <c r="B48" t="s">
        <v>74</v>
      </c>
      <c r="F48" t="s">
        <v>72</v>
      </c>
      <c r="G48" t="s">
        <v>71</v>
      </c>
      <c r="H48">
        <v>0</v>
      </c>
      <c r="I48" t="s">
        <v>72</v>
      </c>
      <c r="J48" t="s">
        <v>69</v>
      </c>
      <c r="K48">
        <v>0</v>
      </c>
      <c r="M48">
        <v>1</v>
      </c>
      <c r="R48" t="str">
        <f>IF($U$2=TRUE,$W$2&amp;". Постоянный выход Отключить","Постоянный выход Отключить")</f>
        <v>ГП 50. Вентилятор B2.2. Постоянный выход Отключить</v>
      </c>
      <c r="S48" s="372"/>
      <c r="T48"/>
      <c r="U48" s="773"/>
      <c r="V48" s="4"/>
      <c r="W48" s="773"/>
      <c r="X48" s="4"/>
    </row>
    <row r="49" spans="1:24">
      <c r="A49" t="str">
        <f>SUBSTITUTE($V$2,"\","|")&amp;"|OCON"</f>
        <v>GP050_V_02_02|OCON</v>
      </c>
      <c r="B49" t="s">
        <v>74</v>
      </c>
      <c r="F49" t="s">
        <v>72</v>
      </c>
      <c r="G49" t="s">
        <v>71</v>
      </c>
      <c r="H49">
        <v>0</v>
      </c>
      <c r="I49" t="s">
        <v>72</v>
      </c>
      <c r="J49" t="s">
        <v>69</v>
      </c>
      <c r="K49">
        <v>0</v>
      </c>
      <c r="M49">
        <v>1</v>
      </c>
      <c r="R49" t="str">
        <f>IF($U$2=TRUE,$W$2&amp;". Постоянный выход Включить","Постоянный выход Включить")</f>
        <v>ГП 50. Вентилятор B2.2. Постоянный выход Включить</v>
      </c>
      <c r="S49" s="372"/>
      <c r="T49"/>
      <c r="U49" s="773"/>
      <c r="V49" s="4"/>
      <c r="W49" s="773"/>
      <c r="X49" s="4"/>
    </row>
    <row r="50" spans="1:24">
      <c r="A50" t="str">
        <f>SUBSTITUTE($V$2,"\","|")&amp;"|OXOF"</f>
        <v>GP050_V_02_02|OXOF</v>
      </c>
      <c r="B50" t="s">
        <v>74</v>
      </c>
      <c r="F50" t="s">
        <v>72</v>
      </c>
      <c r="G50" t="s">
        <v>71</v>
      </c>
      <c r="H50">
        <v>0</v>
      </c>
      <c r="I50" t="s">
        <v>72</v>
      </c>
      <c r="J50" t="s">
        <v>69</v>
      </c>
      <c r="K50">
        <v>0</v>
      </c>
      <c r="M50">
        <v>1</v>
      </c>
      <c r="R50" t="str">
        <f>IF($U$2=TRUE,$W$2&amp;". Выходное значение Отключить","Выходное значение Отключить")</f>
        <v>ГП 50. Вентилятор B2.2. Выходное значение Отключить</v>
      </c>
      <c r="S50" s="372"/>
      <c r="T50"/>
      <c r="U50" s="773"/>
      <c r="V50" s="4"/>
      <c r="W50" s="773"/>
      <c r="X50" s="4"/>
    </row>
    <row r="51" spans="1:24">
      <c r="A51" t="str">
        <f>SUBSTITUTE($V$2,"\","|")&amp;"|OXON"</f>
        <v>GP050_V_02_02|OXON</v>
      </c>
      <c r="B51" t="s">
        <v>74</v>
      </c>
      <c r="F51" t="s">
        <v>72</v>
      </c>
      <c r="G51" t="s">
        <v>71</v>
      </c>
      <c r="H51">
        <v>0</v>
      </c>
      <c r="I51" t="s">
        <v>72</v>
      </c>
      <c r="J51" t="s">
        <v>69</v>
      </c>
      <c r="K51">
        <v>0</v>
      </c>
      <c r="M51">
        <v>1</v>
      </c>
      <c r="R51" t="str">
        <f>IF($U$2=TRUE,$W$2&amp;". Выходное значение Включить","Выходное значение Включить")</f>
        <v>ГП 50. Вентилятор B2.2. Выходное значение Включить</v>
      </c>
      <c r="S51" s="372"/>
      <c r="T51"/>
      <c r="U51" s="773"/>
      <c r="V51" s="4"/>
      <c r="W51" s="773"/>
      <c r="X51" s="4"/>
    </row>
    <row r="52" spans="1:24">
      <c r="A52" t="str">
        <f>SUBSTITUTE($V$2,"\","|")&amp;"|OXSP"</f>
        <v>GP050_V_02_02|OXSP</v>
      </c>
      <c r="B52" t="s">
        <v>74</v>
      </c>
      <c r="F52" t="s">
        <v>72</v>
      </c>
      <c r="G52" t="s">
        <v>71</v>
      </c>
      <c r="H52">
        <v>0</v>
      </c>
      <c r="I52" t="s">
        <v>72</v>
      </c>
      <c r="J52" t="s">
        <v>69</v>
      </c>
      <c r="K52">
        <v>0</v>
      </c>
      <c r="M52">
        <v>1</v>
      </c>
      <c r="R52" t="str">
        <f>IF($U$2=TRUE,$W$2&amp;". Выходное значение Стоп","Выходное значение Стоп")</f>
        <v>ГП 50. Вентилятор B2.2. Выходное значение Стоп</v>
      </c>
      <c r="S52" s="372"/>
      <c r="T52"/>
      <c r="U52" s="773"/>
      <c r="V52" s="4"/>
      <c r="W52" s="773"/>
      <c r="X52" s="4"/>
    </row>
    <row r="53" spans="1:24">
      <c r="A53" t="str">
        <f>SUBSTITUTE($V$2,"\","|")&amp;"|SMMX"</f>
        <v>GP050_V_02_02|SMMX</v>
      </c>
      <c r="B53" t="s">
        <v>74</v>
      </c>
      <c r="F53" s="52" t="str">
        <f>$Y$2</f>
        <v>TRUE</v>
      </c>
      <c r="G53" t="s">
        <v>237</v>
      </c>
      <c r="H53">
        <v>0</v>
      </c>
      <c r="I53" t="s">
        <v>76</v>
      </c>
      <c r="J53" t="s">
        <v>69</v>
      </c>
      <c r="K53">
        <v>0</v>
      </c>
      <c r="M53">
        <v>1</v>
      </c>
      <c r="R53" t="str">
        <f>IF($U$2=TRUE,$W$2&amp;". Настройка перехода ручной/автоматический","Настройка перехода ручной/автоматический")</f>
        <v>ГП 50. Вентилятор B2.2. Настройка перехода ручной/автоматический</v>
      </c>
      <c r="S53" s="372"/>
      <c r="T53"/>
      <c r="U53" s="773"/>
      <c r="V53" s="4"/>
      <c r="W53" s="773"/>
      <c r="X53" s="4"/>
    </row>
    <row r="54" spans="1:24">
      <c r="A54" t="str">
        <f>SUBSTITUTE($V$2,"\","|")&amp;"|SRTX"</f>
        <v>GP050_V_02_02|SRTX</v>
      </c>
      <c r="B54" t="s">
        <v>78</v>
      </c>
      <c r="F54">
        <v>1000</v>
      </c>
      <c r="G54" t="s">
        <v>71</v>
      </c>
      <c r="H54">
        <v>0</v>
      </c>
      <c r="I54" t="s">
        <v>76</v>
      </c>
      <c r="J54" t="s">
        <v>73</v>
      </c>
      <c r="K54">
        <v>0</v>
      </c>
      <c r="M54">
        <v>1</v>
      </c>
      <c r="R54" t="str">
        <f>IF($U$2=TRUE,$W$2&amp;". Уставка по наработке в часах","Уставка по наработке в часах")</f>
        <v>ГП 50. Вентилятор B2.2. Уставка по наработке в часах</v>
      </c>
      <c r="S54" s="372"/>
      <c r="T54"/>
      <c r="U54" s="773"/>
      <c r="V54" s="4"/>
      <c r="W54" s="773"/>
      <c r="X54" s="4"/>
    </row>
    <row r="55" spans="1:24">
      <c r="A55" t="str">
        <f>SUBSTITUTE($V$2,"\","|")&amp;"|STCX"</f>
        <v>GP050_V_02_02|STCX</v>
      </c>
      <c r="B55" t="s">
        <v>78</v>
      </c>
      <c r="F55" s="52">
        <f>$X$2</f>
        <v>2</v>
      </c>
      <c r="G55" t="s">
        <v>71</v>
      </c>
      <c r="H55">
        <v>0</v>
      </c>
      <c r="I55" t="s">
        <v>76</v>
      </c>
      <c r="J55" t="s">
        <v>73</v>
      </c>
      <c r="K55">
        <v>0</v>
      </c>
      <c r="M55">
        <v>1</v>
      </c>
      <c r="R55" t="str">
        <f>IF($U$2=TRUE,$W$2&amp;". Время подачи команды (с)","Время подачи команды (с)")</f>
        <v>ГП 50. Вентилятор B2.2. Время подачи команды (с)</v>
      </c>
      <c r="S55" s="372"/>
      <c r="T55"/>
      <c r="U55" s="773"/>
      <c r="V55" s="4"/>
      <c r="W55" s="773"/>
      <c r="X55" s="4"/>
    </row>
    <row r="56" spans="1:24">
      <c r="A56" t="str">
        <f>SUBSTITUTE($V$2,"\","|")&amp;"|STSX"</f>
        <v>GP050_V_02_02|STSX</v>
      </c>
      <c r="B56" t="s">
        <v>78</v>
      </c>
      <c r="F56" s="52">
        <f>$AA$2</f>
        <v>2</v>
      </c>
      <c r="G56" t="s">
        <v>71</v>
      </c>
      <c r="H56">
        <v>0</v>
      </c>
      <c r="I56" t="s">
        <v>76</v>
      </c>
      <c r="J56" t="s">
        <v>73</v>
      </c>
      <c r="K56">
        <v>0</v>
      </c>
      <c r="M56">
        <v>1</v>
      </c>
      <c r="R56" t="str">
        <f>IF($U$2=TRUE,$W$2&amp;". Время перестановки (с)","Время перестановки (с)")</f>
        <v>ГП 50. Вентилятор B2.2. Время перестановки (с)</v>
      </c>
      <c r="S56" s="372"/>
      <c r="T56"/>
      <c r="U56" s="773"/>
      <c r="V56" s="4"/>
      <c r="W56" s="773"/>
      <c r="X56" s="4"/>
    </row>
    <row r="57" spans="1:24">
      <c r="A57" t="str">
        <f>SUBSTITUTE($V$2,"\","|")&amp;"|XMMX"</f>
        <v>GP050_V_02_02|XMMX</v>
      </c>
      <c r="B57" t="s">
        <v>74</v>
      </c>
      <c r="F57" t="s">
        <v>72</v>
      </c>
      <c r="G57" t="s">
        <v>71</v>
      </c>
      <c r="H57">
        <v>0</v>
      </c>
      <c r="I57" t="s">
        <v>72</v>
      </c>
      <c r="J57" t="s">
        <v>69</v>
      </c>
      <c r="K57">
        <v>0</v>
      </c>
      <c r="M57">
        <v>1</v>
      </c>
      <c r="R57" t="str">
        <f>IF($U$2=TRUE,$W$2&amp;". Выходное значение Ручное управление","Выходное значение Ручное управление")</f>
        <v>ГП 50. Вентилятор B2.2. Выходное значение Ручное управление</v>
      </c>
      <c r="S57" s="372"/>
      <c r="T57"/>
      <c r="U57" s="773"/>
      <c r="V57" s="4"/>
      <c r="W57" s="773"/>
      <c r="X57" s="4"/>
    </row>
    <row r="58" spans="1:24">
      <c r="A58" t="str">
        <f>SUBSTITUTE($V$2,"\","|")&amp;"|XOFP"</f>
        <v>GP050_V_02_02|XOFP</v>
      </c>
      <c r="B58" t="s">
        <v>74</v>
      </c>
      <c r="F58" t="s">
        <v>72</v>
      </c>
      <c r="G58" t="s">
        <v>71</v>
      </c>
      <c r="H58">
        <v>0</v>
      </c>
      <c r="I58" t="s">
        <v>72</v>
      </c>
      <c r="J58" t="s">
        <v>69</v>
      </c>
      <c r="K58">
        <v>0</v>
      </c>
      <c r="M58">
        <v>1</v>
      </c>
      <c r="R58" t="str">
        <f>IF($U$2=TRUE,$W$2&amp;". Выходное значение Отключается","Выходное значение Отключается")</f>
        <v>ГП 50. Вентилятор B2.2. Выходное значение Отключается</v>
      </c>
      <c r="S58" s="372"/>
      <c r="T58"/>
      <c r="U58" s="773"/>
      <c r="V58" s="4"/>
      <c r="W58" s="773"/>
      <c r="X58" s="4"/>
    </row>
    <row r="59" spans="1:24">
      <c r="A59" t="str">
        <f>SUBSTITUTE($V$2,"\","|")&amp;"|XOFX"</f>
        <v>GP050_V_02_02|XOFX</v>
      </c>
      <c r="B59" t="s">
        <v>74</v>
      </c>
      <c r="F59" t="s">
        <v>72</v>
      </c>
      <c r="G59" t="s">
        <v>71</v>
      </c>
      <c r="H59">
        <v>0</v>
      </c>
      <c r="I59" t="s">
        <v>72</v>
      </c>
      <c r="J59" t="s">
        <v>69</v>
      </c>
      <c r="K59">
        <v>0</v>
      </c>
      <c r="M59">
        <v>1</v>
      </c>
      <c r="R59" t="str">
        <f>IF($U$2=TRUE,$W$2&amp;". Отключен","Отключен")</f>
        <v>ГП 50. Вентилятор B2.2. Отключен</v>
      </c>
      <c r="S59" s="372"/>
      <c r="T59"/>
      <c r="U59" s="773"/>
      <c r="V59" s="4"/>
      <c r="W59" s="773"/>
      <c r="X59" s="4"/>
    </row>
    <row r="60" spans="1:24">
      <c r="A60" t="str">
        <f>SUBSTITUTE($V$2,"\","|")&amp;"|XONP"</f>
        <v>GP050_V_02_02|XONP</v>
      </c>
      <c r="B60" t="s">
        <v>74</v>
      </c>
      <c r="F60" t="s">
        <v>72</v>
      </c>
      <c r="G60" t="s">
        <v>71</v>
      </c>
      <c r="H60">
        <v>0</v>
      </c>
      <c r="I60" t="s">
        <v>72</v>
      </c>
      <c r="J60" t="s">
        <v>69</v>
      </c>
      <c r="K60">
        <v>0</v>
      </c>
      <c r="M60">
        <v>1</v>
      </c>
      <c r="R60" t="str">
        <f>IF($U$2=TRUE,$W$2&amp;". Выходное значение Включается","Выходное значение Включается")</f>
        <v>ГП 50. Вентилятор B2.2. Выходное значение Включается</v>
      </c>
      <c r="S60" s="372"/>
      <c r="T60"/>
      <c r="U60" s="773"/>
      <c r="V60" s="4"/>
      <c r="W60" s="773"/>
      <c r="X60" s="4"/>
    </row>
    <row r="61" spans="1:24">
      <c r="A61" t="str">
        <f>SUBSTITUTE($V$2,"\","|")&amp;"|XONX"</f>
        <v>GP050_V_02_02|XONX</v>
      </c>
      <c r="B61" t="s">
        <v>74</v>
      </c>
      <c r="F61" t="s">
        <v>72</v>
      </c>
      <c r="G61" t="s">
        <v>71</v>
      </c>
      <c r="H61">
        <v>0</v>
      </c>
      <c r="I61" t="s">
        <v>72</v>
      </c>
      <c r="J61" t="s">
        <v>69</v>
      </c>
      <c r="K61">
        <v>0</v>
      </c>
      <c r="M61">
        <v>1</v>
      </c>
      <c r="R61" t="str">
        <f>IF($U$2=TRUE,$W$2&amp;". Включен","Включен")</f>
        <v>ГП 50. Вентилятор B2.2. Включен</v>
      </c>
      <c r="S61" s="372"/>
      <c r="T61"/>
      <c r="U61" s="773"/>
      <c r="V61" s="4"/>
      <c r="W61" s="773"/>
      <c r="X61" s="4"/>
    </row>
    <row r="62" spans="1:24">
      <c r="A62" t="str">
        <f>SUBSTITUTE($V$2,"\","|")&amp;"|XRCX"</f>
        <v>GP050_V_02_02|XRCX</v>
      </c>
      <c r="B62" t="s">
        <v>74</v>
      </c>
      <c r="F62" t="s">
        <v>72</v>
      </c>
      <c r="G62" t="s">
        <v>71</v>
      </c>
      <c r="H62">
        <v>0</v>
      </c>
      <c r="I62" t="s">
        <v>72</v>
      </c>
      <c r="J62" t="s">
        <v>69</v>
      </c>
      <c r="K62">
        <v>0</v>
      </c>
      <c r="M62">
        <v>1</v>
      </c>
      <c r="R62" t="str">
        <f>IF($U$2=TRUE,$W$2&amp;". Выходное значение Дистанционное управление","Выходное значение Дистанционное управление")</f>
        <v>ГП 50. Вентилятор B2.2. Выходное значение Дистанционное управление</v>
      </c>
      <c r="S62" s="372"/>
      <c r="T62"/>
      <c r="U62" s="773"/>
      <c r="V62" s="4"/>
      <c r="W62" s="773"/>
      <c r="X62" s="4"/>
    </row>
    <row r="63" spans="1:24">
      <c r="A63" t="str">
        <f>SUBSTITUTE($V$2,"\","|")&amp;"|XRHX"</f>
        <v>GP050_V_02_02|XRHX</v>
      </c>
      <c r="B63" t="s">
        <v>78</v>
      </c>
      <c r="F63">
        <v>0</v>
      </c>
      <c r="G63" t="s">
        <v>71</v>
      </c>
      <c r="H63">
        <v>0</v>
      </c>
      <c r="I63" t="s">
        <v>76</v>
      </c>
      <c r="J63" t="s">
        <v>73</v>
      </c>
      <c r="K63">
        <v>0</v>
      </c>
      <c r="M63">
        <v>1</v>
      </c>
      <c r="R63" t="str">
        <f>IF($U$2=TRUE,$W$2&amp;". Наработка в часах","Наработка в часах")</f>
        <v>ГП 50. Вентилятор B2.2. Наработка в часах</v>
      </c>
      <c r="S63" s="372"/>
      <c r="T63"/>
      <c r="U63" s="773"/>
      <c r="V63" s="4"/>
      <c r="W63" s="773"/>
      <c r="X63" s="4"/>
    </row>
    <row r="64" spans="1:24">
      <c r="A64" t="str">
        <f>SUBSTITUTE($V$2,"\","|")&amp;"|XRMX"</f>
        <v>GP050_V_02_02|XRMX</v>
      </c>
      <c r="B64" t="s">
        <v>78</v>
      </c>
      <c r="F64">
        <v>0</v>
      </c>
      <c r="G64" t="s">
        <v>71</v>
      </c>
      <c r="H64">
        <v>0</v>
      </c>
      <c r="I64" t="s">
        <v>76</v>
      </c>
      <c r="J64" t="s">
        <v>73</v>
      </c>
      <c r="K64">
        <v>0</v>
      </c>
      <c r="M64">
        <v>1</v>
      </c>
      <c r="R64" t="str">
        <f>IF($U$2=TRUE,$W$2&amp;". Наработка в минутах","Наработка в минутах")</f>
        <v>ГП 50. Вентилятор B2.2. Наработка в минутах</v>
      </c>
      <c r="S64" s="372"/>
      <c r="T64"/>
      <c r="U64" s="773"/>
      <c r="V64" s="4"/>
      <c r="W64" s="773"/>
      <c r="X64" s="4"/>
    </row>
    <row r="65" spans="1:24">
      <c r="A65" t="str">
        <f>SUBSTITUTE($V$2,"\","|")&amp;"|XROF"</f>
        <v>GP050_V_02_02|XROF</v>
      </c>
      <c r="B65" t="s">
        <v>78</v>
      </c>
      <c r="F65">
        <v>0</v>
      </c>
      <c r="G65" t="s">
        <v>71</v>
      </c>
      <c r="H65">
        <v>0</v>
      </c>
      <c r="I65" t="s">
        <v>76</v>
      </c>
      <c r="J65" t="s">
        <v>73</v>
      </c>
      <c r="K65">
        <v>0</v>
      </c>
      <c r="M65">
        <v>1</v>
      </c>
      <c r="R65" t="str">
        <f>IF($U$2=TRUE,$W$2&amp;". Наработка концевика отключен","Наработка концевика отключен")</f>
        <v>ГП 50. Вентилятор B2.2. Наработка концевика отключен</v>
      </c>
      <c r="S65" s="372"/>
      <c r="T65"/>
      <c r="U65" s="773"/>
      <c r="V65" s="4"/>
      <c r="W65" s="773"/>
      <c r="X65" s="4"/>
    </row>
    <row r="66" spans="1:24">
      <c r="A66" t="str">
        <f>SUBSTITUTE($V$2,"\","|")&amp;"|XRPX"</f>
        <v>GP050_V_02_02|XRPX</v>
      </c>
      <c r="B66" t="s">
        <v>74</v>
      </c>
      <c r="F66" t="s">
        <v>72</v>
      </c>
      <c r="G66" t="s">
        <v>71</v>
      </c>
      <c r="H66">
        <v>0</v>
      </c>
      <c r="I66" t="s">
        <v>72</v>
      </c>
      <c r="J66" t="s">
        <v>69</v>
      </c>
      <c r="K66">
        <v>0</v>
      </c>
      <c r="M66">
        <v>1</v>
      </c>
      <c r="R66" t="str">
        <f>IF($U$2=TRUE,$W$2&amp;". Выходное значение Выведен в ремонт","Выходное значение Выведен в ремонт")</f>
        <v>ГП 50. Вентилятор B2.2. Выходное значение Выведен в ремонт</v>
      </c>
      <c r="S66" s="372"/>
      <c r="T66"/>
      <c r="U66" s="773"/>
      <c r="V66" s="4"/>
      <c r="W66" s="773"/>
      <c r="X66" s="4"/>
    </row>
    <row r="67" spans="1:24">
      <c r="A67" t="str">
        <f>SUBSTITUTE($V$2,"\","|")&amp;"|XSPP"</f>
        <v>GP050_V_02_02|XSPP</v>
      </c>
      <c r="B67" t="s">
        <v>74</v>
      </c>
      <c r="F67" t="s">
        <v>72</v>
      </c>
      <c r="G67" t="s">
        <v>71</v>
      </c>
      <c r="H67">
        <v>0</v>
      </c>
      <c r="I67" t="s">
        <v>72</v>
      </c>
      <c r="J67" t="s">
        <v>69</v>
      </c>
      <c r="K67">
        <v>0</v>
      </c>
      <c r="M67">
        <v>1</v>
      </c>
      <c r="R67" t="str">
        <f>IF($U$2=TRUE,$W$2&amp;". Выходное значение Останавливается","Выходное значение Останавливается")</f>
        <v>ГП 50. Вентилятор B2.2. Выходное значение Останавливается</v>
      </c>
      <c r="S67" s="372"/>
      <c r="T67"/>
      <c r="U67" s="773"/>
      <c r="V67" s="4"/>
      <c r="W67" s="773"/>
      <c r="X67" s="4"/>
    </row>
    <row r="68" spans="1:24">
      <c r="A68" s="4" t="str">
        <f>SUBSTITUTE($V$2,"\","|")&amp;"|FONB"</f>
        <v>GP050_V_02_02|FONB</v>
      </c>
      <c r="B68" s="4" t="s">
        <v>74</v>
      </c>
      <c r="F68" s="4" t="s">
        <v>72</v>
      </c>
      <c r="G68" s="4" t="s">
        <v>71</v>
      </c>
      <c r="H68" s="4">
        <v>0</v>
      </c>
      <c r="I68" s="4" t="s">
        <v>72</v>
      </c>
      <c r="J68" s="4" t="s">
        <v>69</v>
      </c>
      <c r="K68" s="4">
        <v>0</v>
      </c>
      <c r="M68">
        <v>1</v>
      </c>
      <c r="R68" t="str">
        <f>IF($U$2=TRUE,$W$2&amp;". Обрыв цепи Включен","Обрыв цепи Включен")</f>
        <v>ГП 50. Вентилятор B2.2. Обрыв цепи Включен</v>
      </c>
      <c r="S68" s="372"/>
      <c r="T68"/>
      <c r="U68" s="773"/>
      <c r="V68" s="4"/>
      <c r="W68" s="773"/>
      <c r="X68" s="4"/>
    </row>
    <row r="69" spans="1:24">
      <c r="A69" s="4" t="str">
        <f>SUBSTITUTE($V$2,"\","|")&amp;"|FONC"</f>
        <v>GP050_V_02_02|FONC</v>
      </c>
      <c r="B69" s="4" t="s">
        <v>74</v>
      </c>
      <c r="F69" s="4" t="s">
        <v>72</v>
      </c>
      <c r="G69" s="4" t="s">
        <v>71</v>
      </c>
      <c r="H69" s="4">
        <v>0</v>
      </c>
      <c r="I69" s="4" t="s">
        <v>72</v>
      </c>
      <c r="J69" s="4" t="s">
        <v>69</v>
      </c>
      <c r="K69" s="4">
        <v>0</v>
      </c>
      <c r="M69">
        <v>1</v>
      </c>
      <c r="R69" t="str">
        <f>IF($U$2=TRUE,$W$2&amp;". КЗ цепи Включен","КЗ цепи Включен")</f>
        <v>ГП 50. Вентилятор B2.2. КЗ цепи Включен</v>
      </c>
      <c r="S69" s="372"/>
      <c r="T69"/>
      <c r="U69" s="773"/>
      <c r="V69" s="4"/>
      <c r="W69" s="773"/>
      <c r="X69" s="4"/>
    </row>
    <row r="70" spans="1:24">
      <c r="A70" s="514" t="str">
        <f>"PACK_TO_INT|STATE|"&amp;SUBSTITUTE($V$2,"\","|")</f>
        <v>PACK_TO_INT|STATE|GP050_V_02_02</v>
      </c>
      <c r="B70" s="4" t="s">
        <v>78</v>
      </c>
      <c r="F70" s="4">
        <v>0</v>
      </c>
      <c r="G70" s="4" t="s">
        <v>71</v>
      </c>
      <c r="H70" s="4">
        <v>0</v>
      </c>
      <c r="I70" s="4" t="s">
        <v>72</v>
      </c>
      <c r="J70" s="4" t="s">
        <v>73</v>
      </c>
      <c r="K70" s="514">
        <v>1</v>
      </c>
    </row>
    <row r="71" spans="1:24">
      <c r="A71" s="514" t="str">
        <f>"PACK_TO_INT|FAULT|"&amp;SUBSTITUTE($V$2,"\","|")</f>
        <v>PACK_TO_INT|FAULT|GP050_V_02_02</v>
      </c>
      <c r="B71" s="4" t="s">
        <v>78</v>
      </c>
      <c r="F71" s="4">
        <v>0</v>
      </c>
      <c r="G71" s="4" t="s">
        <v>71</v>
      </c>
      <c r="H71" s="4">
        <v>0</v>
      </c>
      <c r="I71" s="4" t="s">
        <v>72</v>
      </c>
      <c r="J71" s="4" t="s">
        <v>73</v>
      </c>
      <c r="K71" s="514">
        <v>1</v>
      </c>
    </row>
    <row r="78" spans="1:24">
      <c r="A78" s="4"/>
      <c r="B78" s="4"/>
      <c r="F78" s="4"/>
      <c r="G78" s="4"/>
      <c r="H78" s="4"/>
      <c r="I78" s="4"/>
      <c r="J78" s="4"/>
      <c r="K78" s="4"/>
      <c r="M78" s="4"/>
      <c r="R78"/>
      <c r="S78"/>
      <c r="T78"/>
      <c r="U78"/>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Лист20">
    <tabColor rgb="FF92D050"/>
  </sheetPr>
  <dimension ref="A1:AC61"/>
  <sheetViews>
    <sheetView zoomScale="60" zoomScaleNormal="60"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5.109375"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c r="A2" s="10"/>
      <c r="B2" s="10"/>
      <c r="F2" s="10"/>
      <c r="G2" s="10"/>
      <c r="H2" s="10"/>
      <c r="I2" s="10"/>
      <c r="J2" s="10"/>
      <c r="K2" s="10"/>
      <c r="M2" s="10"/>
      <c r="N2" s="10"/>
      <c r="O2" s="10"/>
      <c r="P2" s="10"/>
      <c r="Q2" s="10"/>
      <c r="R2" s="10"/>
      <c r="U2" s="74" t="b">
        <f>Настройки!$M$34</f>
        <v>1</v>
      </c>
      <c r="V2" s="73" t="s">
        <v>715</v>
      </c>
      <c r="W2" s="537" t="s">
        <v>767</v>
      </c>
      <c r="X2" s="73"/>
      <c r="Y2" s="73"/>
      <c r="Z2" s="73"/>
      <c r="AA2" s="74"/>
      <c r="AB2" s="74"/>
      <c r="AC2" s="74"/>
    </row>
    <row r="3" spans="1:29">
      <c r="A3" t="str">
        <f>SUBSTITUTE($V$2,"\","|")&amp;"|DLCX"</f>
        <v>REG_test|DLCX</v>
      </c>
      <c r="B3" t="s">
        <v>74</v>
      </c>
      <c r="F3" t="s">
        <v>72</v>
      </c>
      <c r="G3" t="s">
        <v>71</v>
      </c>
      <c r="H3">
        <v>0</v>
      </c>
      <c r="I3" t="s">
        <v>72</v>
      </c>
      <c r="J3" t="s">
        <v>69</v>
      </c>
      <c r="K3">
        <v>0</v>
      </c>
      <c r="M3">
        <v>1</v>
      </c>
      <c r="N3" s="4"/>
      <c r="O3" s="4"/>
      <c r="P3" s="4"/>
      <c r="Q3" s="4"/>
      <c r="R3" t="str">
        <f>IF($U$2=TRUE,$W$2&amp;". Недостоверное входное значение Местное управление","Недостоверное входное значение Местное управление")</f>
        <v>Регулятор FB. Недостоверное входное значение Местное управление</v>
      </c>
      <c r="S3" s="372"/>
      <c r="U3" s="773"/>
      <c r="V3" s="4"/>
      <c r="W3" s="773"/>
      <c r="X3" s="4"/>
    </row>
    <row r="4" spans="1:29">
      <c r="A4" t="str">
        <f>SUBSTITUTE($V$2,"\","|")&amp;"|DRCX"</f>
        <v>REG_test|DRCX</v>
      </c>
      <c r="B4" t="s">
        <v>74</v>
      </c>
      <c r="F4" t="s">
        <v>72</v>
      </c>
      <c r="G4" t="s">
        <v>71</v>
      </c>
      <c r="H4">
        <v>0</v>
      </c>
      <c r="I4" t="s">
        <v>72</v>
      </c>
      <c r="J4" t="s">
        <v>69</v>
      </c>
      <c r="K4">
        <v>0</v>
      </c>
      <c r="M4">
        <v>1</v>
      </c>
      <c r="N4" s="4"/>
      <c r="O4" s="4"/>
      <c r="P4" s="4"/>
      <c r="Q4" s="4"/>
      <c r="R4" t="str">
        <f>IF($U$2=TRUE,$W$2&amp;". Недостоверное входное значение Дистанционное управление","Недостоверное входное значение Дистанционное управление")</f>
        <v>Регулятор FB. Недостоверное входное значение Дистанционное управление</v>
      </c>
      <c r="S4" s="372"/>
      <c r="U4" s="773"/>
      <c r="V4" s="4"/>
      <c r="W4" s="773"/>
      <c r="X4" s="4"/>
    </row>
    <row r="5" spans="1:29">
      <c r="A5" t="str">
        <f>SUBSTITUTE($V$2,"\","|")&amp;"|DFXX"</f>
        <v>REG_test|DFXX</v>
      </c>
      <c r="B5" t="s">
        <v>74</v>
      </c>
      <c r="F5" t="s">
        <v>72</v>
      </c>
      <c r="G5" t="s">
        <v>71</v>
      </c>
      <c r="H5">
        <v>0</v>
      </c>
      <c r="I5" t="s">
        <v>72</v>
      </c>
      <c r="J5" t="s">
        <v>69</v>
      </c>
      <c r="K5">
        <v>0</v>
      </c>
      <c r="M5">
        <v>1</v>
      </c>
      <c r="N5" s="4"/>
      <c r="O5" s="4"/>
      <c r="P5" s="4"/>
      <c r="Q5" s="4"/>
      <c r="R5" t="str">
        <f>IF($U$2=TRUE,$W$2&amp;". Недостоверное входное значение Неисправность","Недостоверное входное значение Неисправность")</f>
        <v>Регулятор FB. Недостоверное входное значение Неисправность</v>
      </c>
      <c r="S5" s="372"/>
      <c r="U5" s="773"/>
      <c r="V5" s="4"/>
      <c r="W5" s="773"/>
      <c r="X5" s="4"/>
    </row>
    <row r="6" spans="1:29">
      <c r="A6" t="str">
        <f>SUBSTITUTE($V$2,"\","|")&amp;"|DCPX"</f>
        <v>REG_test|DCPX</v>
      </c>
      <c r="B6" t="s">
        <v>74</v>
      </c>
      <c r="F6" t="s">
        <v>72</v>
      </c>
      <c r="G6" t="s">
        <v>71</v>
      </c>
      <c r="H6">
        <v>0</v>
      </c>
      <c r="I6" t="s">
        <v>72</v>
      </c>
      <c r="J6" t="s">
        <v>69</v>
      </c>
      <c r="K6">
        <v>0</v>
      </c>
      <c r="M6">
        <v>1</v>
      </c>
      <c r="N6" s="4"/>
      <c r="O6" s="4"/>
      <c r="P6" s="4"/>
      <c r="Q6" s="4"/>
      <c r="R6" t="str">
        <f>IF($U$2=TRUE,$W$2&amp;". Недостоверное входное значение Текущее положение","Недостоверное входное значение Текущее положение")</f>
        <v>Регулятор FB. Недостоверное входное значение Текущее положение</v>
      </c>
      <c r="S6" s="372"/>
      <c r="U6" s="773"/>
      <c r="V6" s="4"/>
      <c r="W6" s="773"/>
      <c r="X6" s="4"/>
    </row>
    <row r="7" spans="1:29">
      <c r="A7" t="str">
        <f>SUBSTITUTE($V$2,"\","|")&amp;"|DCAX"</f>
        <v>REG_test|DCAX</v>
      </c>
      <c r="B7" t="s">
        <v>74</v>
      </c>
      <c r="F7" t="s">
        <v>72</v>
      </c>
      <c r="G7" t="s">
        <v>71</v>
      </c>
      <c r="H7">
        <v>0</v>
      </c>
      <c r="I7" t="s">
        <v>72</v>
      </c>
      <c r="J7" t="s">
        <v>69</v>
      </c>
      <c r="K7">
        <v>0</v>
      </c>
      <c r="M7">
        <v>1</v>
      </c>
      <c r="N7" s="4"/>
      <c r="O7" s="4"/>
      <c r="P7" s="4"/>
      <c r="Q7" s="4"/>
      <c r="R7" t="str">
        <f>IF($U$2=TRUE,$W$2&amp;". Недостоверное выходное значение Управялющее воздействие","Недостоверное выходное значение Управялющее воздействие")</f>
        <v>Регулятор FB. Недостоверное выходное значение Управялющее воздействие</v>
      </c>
      <c r="S7" s="372"/>
      <c r="U7" s="773"/>
      <c r="V7" s="4"/>
      <c r="W7" s="773"/>
      <c r="X7" s="4"/>
    </row>
    <row r="8" spans="1:29">
      <c r="A8" t="str">
        <f>SUBSTITUTE($V$2,"\","|")&amp;"|CEXX"</f>
        <v>REG_test|CEXX</v>
      </c>
      <c r="B8" t="s">
        <v>74</v>
      </c>
      <c r="F8" t="s">
        <v>72</v>
      </c>
      <c r="G8" t="s">
        <v>71</v>
      </c>
      <c r="H8">
        <v>0</v>
      </c>
      <c r="I8" t="s">
        <v>76</v>
      </c>
      <c r="J8" t="s">
        <v>73</v>
      </c>
      <c r="K8">
        <v>0</v>
      </c>
      <c r="M8">
        <v>1</v>
      </c>
      <c r="N8" s="4"/>
      <c r="O8" s="4"/>
      <c r="P8" s="4"/>
      <c r="Q8" s="4"/>
      <c r="R8" t="str">
        <f>IF($U$2=TRUE,$W$2&amp;". Команда ПАЗ: перейти в заданное состояние","Команда ПАЗ: перейти в заданное состояние")</f>
        <v>Регулятор FB. Команда ПАЗ: перейти в заданное состояние</v>
      </c>
      <c r="S8" s="372"/>
      <c r="U8" s="773"/>
      <c r="V8" s="4"/>
      <c r="W8" s="773"/>
      <c r="X8" s="4"/>
    </row>
    <row r="9" spans="1:29">
      <c r="A9" t="str">
        <f>SUBSTITUTE($V$2,"\","|")&amp;"|XMMX"</f>
        <v>REG_test|XMMX</v>
      </c>
      <c r="B9" t="s">
        <v>74</v>
      </c>
      <c r="F9" t="s">
        <v>72</v>
      </c>
      <c r="G9" t="s">
        <v>71</v>
      </c>
      <c r="H9">
        <v>0</v>
      </c>
      <c r="I9" t="s">
        <v>72</v>
      </c>
      <c r="J9" t="s">
        <v>69</v>
      </c>
      <c r="K9">
        <v>0</v>
      </c>
      <c r="M9">
        <v>1</v>
      </c>
      <c r="N9" s="4"/>
      <c r="O9" s="4"/>
      <c r="P9" s="4"/>
      <c r="Q9" s="4"/>
      <c r="R9" t="str">
        <f>IF($U$2=TRUE,$W$2&amp;". Выходное заначение Ручное управление","Выходное заначение Ручное управление")</f>
        <v>Регулятор FB. Выходное заначение Ручное управление</v>
      </c>
      <c r="S9" s="372"/>
      <c r="U9" s="773"/>
      <c r="V9" s="4"/>
      <c r="W9" s="773"/>
      <c r="X9" s="4"/>
    </row>
    <row r="10" spans="1:29">
      <c r="A10" t="str">
        <f>SUBSTITUTE($V$2,"\","|")&amp;"|XRCX"</f>
        <v>REG_test|XRCX</v>
      </c>
      <c r="B10" t="s">
        <v>74</v>
      </c>
      <c r="F10" t="s">
        <v>72</v>
      </c>
      <c r="G10" t="s">
        <v>71</v>
      </c>
      <c r="H10">
        <v>0</v>
      </c>
      <c r="I10" t="s">
        <v>72</v>
      </c>
      <c r="J10" t="s">
        <v>69</v>
      </c>
      <c r="K10">
        <v>0</v>
      </c>
      <c r="M10">
        <v>1</v>
      </c>
      <c r="N10" s="4"/>
      <c r="O10" s="4"/>
      <c r="P10" s="4"/>
      <c r="Q10" s="4"/>
      <c r="R10" t="str">
        <f>IF($U$2=TRUE,$W$2&amp;". Выходное значение Дистанционное управление","Выходное значение Дистанционное управление")</f>
        <v>Регулятор FB. Выходное значение Дистанционное управление</v>
      </c>
      <c r="S10" s="372"/>
      <c r="U10" s="773"/>
      <c r="V10" s="4"/>
      <c r="W10" s="773"/>
      <c r="X10" s="4"/>
    </row>
    <row r="11" spans="1:29">
      <c r="A11" t="str">
        <f>SUBSTITUTE($V$2,"\","|")&amp;"|FSCX"</f>
        <v>REG_test|FSCX</v>
      </c>
      <c r="B11" t="s">
        <v>74</v>
      </c>
      <c r="F11" t="s">
        <v>72</v>
      </c>
      <c r="G11" t="s">
        <v>71</v>
      </c>
      <c r="H11">
        <v>0</v>
      </c>
      <c r="I11" t="s">
        <v>72</v>
      </c>
      <c r="J11" t="s">
        <v>69</v>
      </c>
      <c r="K11">
        <v>0</v>
      </c>
      <c r="M11">
        <v>1</v>
      </c>
      <c r="N11" s="4"/>
      <c r="O11" s="4"/>
      <c r="P11" s="4"/>
      <c r="Q11" s="4"/>
      <c r="R11" t="str">
        <f>IF($U$2=TRUE,$W$2&amp;". КЗ цепи текущего положения","КЗ цепи текущего положения")</f>
        <v>Регулятор FB. КЗ цепи текущего положения</v>
      </c>
      <c r="S11" s="372"/>
      <c r="U11" s="773"/>
      <c r="V11" s="4"/>
      <c r="W11" s="773"/>
      <c r="X11" s="4"/>
    </row>
    <row r="12" spans="1:29">
      <c r="A12" t="str">
        <f>SUBSTITUTE($V$2,"\","|")&amp;"|FBXX"</f>
        <v>REG_test|FBXX</v>
      </c>
      <c r="B12" t="s">
        <v>74</v>
      </c>
      <c r="F12" t="s">
        <v>72</v>
      </c>
      <c r="G12" t="s">
        <v>71</v>
      </c>
      <c r="H12">
        <v>0</v>
      </c>
      <c r="I12" t="s">
        <v>72</v>
      </c>
      <c r="J12" t="s">
        <v>69</v>
      </c>
      <c r="K12">
        <v>0</v>
      </c>
      <c r="M12">
        <v>1</v>
      </c>
      <c r="N12" s="4"/>
      <c r="O12" s="4"/>
      <c r="P12" s="4"/>
      <c r="Q12" s="4"/>
      <c r="R12" t="str">
        <f>IF($U$2=TRUE,$W$2&amp;". Обрыв цепи текущего положения","Обрыв цепи текущего положения")</f>
        <v>Регулятор FB. Обрыв цепи текущего положения</v>
      </c>
      <c r="S12" s="372"/>
      <c r="U12" s="773"/>
      <c r="V12" s="4"/>
      <c r="W12" s="773"/>
      <c r="X12" s="4"/>
    </row>
    <row r="13" spans="1:29">
      <c r="A13" t="str">
        <f>SUBSTITUTE($V$2,"\","|")&amp;"|FMVX"</f>
        <v>REG_test|FMVX</v>
      </c>
      <c r="B13" t="s">
        <v>74</v>
      </c>
      <c r="F13" t="s">
        <v>72</v>
      </c>
      <c r="G13" t="s">
        <v>71</v>
      </c>
      <c r="H13">
        <v>0</v>
      </c>
      <c r="I13" t="s">
        <v>72</v>
      </c>
      <c r="J13" t="s">
        <v>69</v>
      </c>
      <c r="K13">
        <v>0</v>
      </c>
      <c r="M13">
        <v>1</v>
      </c>
      <c r="N13" s="4"/>
      <c r="O13" s="4"/>
      <c r="P13" s="4"/>
      <c r="Q13" s="4"/>
      <c r="R13" t="str">
        <f>IF($U$2=TRUE,$W$2&amp;". Ошибка рассогласования","Ошибка рассогласования")</f>
        <v>Регулятор FB. Ошибка рассогласования</v>
      </c>
      <c r="S13" s="372"/>
      <c r="U13" s="773"/>
      <c r="V13" s="4"/>
      <c r="W13" s="773"/>
      <c r="X13" s="4"/>
    </row>
    <row r="14" spans="1:29">
      <c r="A14" t="str">
        <f>SUBSTITUTE($V$2,"\","|")&amp;"|FUCM"</f>
        <v>REG_test|FUCM</v>
      </c>
      <c r="B14" t="s">
        <v>74</v>
      </c>
      <c r="F14" t="s">
        <v>72</v>
      </c>
      <c r="G14" t="s">
        <v>71</v>
      </c>
      <c r="H14">
        <v>0</v>
      </c>
      <c r="I14" t="s">
        <v>72</v>
      </c>
      <c r="J14" t="s">
        <v>69</v>
      </c>
      <c r="K14">
        <v>0</v>
      </c>
      <c r="M14">
        <v>1</v>
      </c>
      <c r="N14" s="4"/>
      <c r="O14" s="4"/>
      <c r="P14" s="4"/>
      <c r="Q14" s="4"/>
      <c r="R14" t="str">
        <f>IF($U$2=TRUE,$W$2&amp;". Неопределенный режим управления","Неопределенный режим управления")</f>
        <v>Регулятор FB. Неопределенный режим управления</v>
      </c>
      <c r="S14" s="372"/>
      <c r="U14" s="773"/>
      <c r="V14" s="4"/>
      <c r="W14" s="773"/>
      <c r="X14" s="4"/>
    </row>
    <row r="15" spans="1:29">
      <c r="A15" t="str">
        <f>SUBSTITUTE($V$2,"\","|")&amp;"|FDCM"</f>
        <v>REG_test|FDCM</v>
      </c>
      <c r="B15" t="s">
        <v>74</v>
      </c>
      <c r="F15" t="s">
        <v>72</v>
      </c>
      <c r="G15" t="s">
        <v>71</v>
      </c>
      <c r="H15">
        <v>0</v>
      </c>
      <c r="I15" t="s">
        <v>72</v>
      </c>
      <c r="J15" t="s">
        <v>69</v>
      </c>
      <c r="K15">
        <v>0</v>
      </c>
      <c r="M15">
        <v>1</v>
      </c>
      <c r="N15" s="4"/>
      <c r="O15" s="4"/>
      <c r="P15" s="4"/>
      <c r="Q15" s="4"/>
      <c r="R15" t="str">
        <f>IF($U$2=TRUE,$W$2&amp;". Двойной режим управления","Двойной режим управления")</f>
        <v>Регулятор FB. Двойной режим управления</v>
      </c>
      <c r="S15" s="372"/>
      <c r="U15" s="773"/>
      <c r="V15" s="4"/>
      <c r="W15" s="773"/>
      <c r="X15" s="4"/>
    </row>
    <row r="16" spans="1:29">
      <c r="A16" t="str">
        <f>SUBSTITUTE($V$2,"\","|")&amp;"|IFXX"</f>
        <v>REG_test|IFXX</v>
      </c>
      <c r="B16" t="s">
        <v>74</v>
      </c>
      <c r="F16" t="s">
        <v>72</v>
      </c>
      <c r="G16" t="s">
        <v>71</v>
      </c>
      <c r="H16">
        <v>0</v>
      </c>
      <c r="I16" t="s">
        <v>72</v>
      </c>
      <c r="J16" t="s">
        <v>69</v>
      </c>
      <c r="K16">
        <v>0</v>
      </c>
      <c r="M16">
        <v>1</v>
      </c>
      <c r="N16" s="4"/>
      <c r="O16" s="4"/>
      <c r="P16" s="4"/>
      <c r="Q16" s="4"/>
      <c r="R16" t="str">
        <f>IF($U$2=TRUE,$W$2&amp;". Неисправность (вход)","Неисправность (вход)")</f>
        <v>Регулятор FB. Неисправность (вход)</v>
      </c>
      <c r="S16" s="372"/>
      <c r="U16" s="773"/>
      <c r="V16" s="4"/>
      <c r="W16" s="773"/>
      <c r="X16" s="4"/>
    </row>
    <row r="17" spans="1:24">
      <c r="A17" t="str">
        <f>SUBSTITUTE($V$2,"\","|")&amp;"|FCPX"</f>
        <v>REG_test|FCPX</v>
      </c>
      <c r="B17" t="s">
        <v>74</v>
      </c>
      <c r="F17" t="s">
        <v>72</v>
      </c>
      <c r="G17" t="s">
        <v>71</v>
      </c>
      <c r="H17">
        <v>0</v>
      </c>
      <c r="I17" t="s">
        <v>72</v>
      </c>
      <c r="J17" t="s">
        <v>69</v>
      </c>
      <c r="K17">
        <v>0</v>
      </c>
      <c r="M17">
        <v>1</v>
      </c>
      <c r="N17" s="4"/>
      <c r="O17" s="4"/>
      <c r="P17" s="4"/>
      <c r="Q17" s="4"/>
      <c r="R17" t="str">
        <f>IF($U$2=TRUE,$W$2&amp;". Неисправность цепи текущего положения","Неисправность цепи текущего положения")</f>
        <v>Регулятор FB. Неисправность цепи текущего положения</v>
      </c>
      <c r="S17" s="372"/>
      <c r="U17" s="773"/>
      <c r="V17" s="4"/>
      <c r="W17" s="773"/>
      <c r="X17" s="4"/>
    </row>
    <row r="18" spans="1:24">
      <c r="A18" s="4" t="str">
        <f>SUBSTITUTE($V$2,"\","|")&amp;"|SEPX"</f>
        <v>REG_test|SEPX</v>
      </c>
      <c r="B18" s="4" t="s">
        <v>69</v>
      </c>
      <c r="F18" s="4">
        <v>0</v>
      </c>
      <c r="G18" s="4" t="s">
        <v>71</v>
      </c>
      <c r="H18" s="4">
        <v>0</v>
      </c>
      <c r="I18" s="4" t="s">
        <v>76</v>
      </c>
      <c r="J18" s="4" t="s">
        <v>73</v>
      </c>
      <c r="K18" s="4">
        <v>0</v>
      </c>
      <c r="M18">
        <v>1</v>
      </c>
      <c r="N18" s="4"/>
      <c r="O18" s="4"/>
      <c r="P18" s="4"/>
      <c r="Q18" s="4"/>
      <c r="R18" t="str">
        <f>IF($U$2=TRUE,$W$2&amp;". Уставка процента открытия в режиме ПАЗ","Уставка процента открытия в режиме ПАЗ")</f>
        <v>Регулятор FB. Уставка процента открытия в режиме ПАЗ</v>
      </c>
      <c r="S18" s="372"/>
      <c r="U18" s="773"/>
      <c r="V18" s="4"/>
      <c r="W18" s="773"/>
      <c r="X18" s="4"/>
    </row>
    <row r="19" spans="1:24">
      <c r="A19" t="str">
        <f>SUBSTITUTE($V$2,"\","|")&amp;"|SBPX"</f>
        <v>REG_test|SBPX</v>
      </c>
      <c r="B19" t="s">
        <v>69</v>
      </c>
      <c r="F19">
        <v>0</v>
      </c>
      <c r="G19" t="s">
        <v>71</v>
      </c>
      <c r="H19">
        <v>0</v>
      </c>
      <c r="I19" t="s">
        <v>72</v>
      </c>
      <c r="J19" s="4" t="s">
        <v>73</v>
      </c>
      <c r="K19">
        <v>0</v>
      </c>
      <c r="M19">
        <v>1</v>
      </c>
      <c r="N19" s="4"/>
      <c r="O19" s="4"/>
      <c r="P19" s="4"/>
      <c r="Q19" s="4"/>
      <c r="R19" t="str">
        <f>IF($U$2=TRUE,$W$2&amp;". Уставка процента открытия в режиме Блокировка","Уставка процента открытия в режиме Блокировка")</f>
        <v>Регулятор FB. Уставка процента открытия в режиме Блокировка</v>
      </c>
      <c r="S19" s="372"/>
      <c r="U19" s="773"/>
      <c r="V19" s="4"/>
      <c r="W19" s="773"/>
      <c r="X19" s="4"/>
    </row>
    <row r="20" spans="1:24">
      <c r="A20" s="514" t="str">
        <f>SUBSTITUTE($V$2,"\","|")&amp;"|OCAX"</f>
        <v>REG_test|OCAX</v>
      </c>
      <c r="B20" t="s">
        <v>69</v>
      </c>
      <c r="F20">
        <v>0</v>
      </c>
      <c r="G20" t="s">
        <v>71</v>
      </c>
      <c r="H20">
        <v>0</v>
      </c>
      <c r="I20" t="s">
        <v>76</v>
      </c>
      <c r="J20" t="s">
        <v>69</v>
      </c>
      <c r="K20" s="514">
        <v>2</v>
      </c>
      <c r="M20">
        <v>1</v>
      </c>
      <c r="N20" s="4"/>
      <c r="O20" s="4"/>
      <c r="P20" s="4"/>
      <c r="Q20" s="4"/>
      <c r="R20" t="str">
        <f>IF($U$2=TRUE,$W$2&amp;". Выходное значение - управяющее воздействие в мА","Выходное значение - управяющее воздействие в мА")</f>
        <v>Регулятор FB. Выходное значение - управяющее воздействие в мА</v>
      </c>
      <c r="S20" s="372"/>
      <c r="U20" s="773"/>
      <c r="V20" s="4"/>
      <c r="W20" s="773"/>
      <c r="X20" s="4"/>
    </row>
    <row r="21" spans="1:24">
      <c r="A21" s="514" t="str">
        <f>SUBSTITUTE($V$2,"\","|")&amp;"|XCAP"</f>
        <v>REG_test|XCAP</v>
      </c>
      <c r="B21" t="s">
        <v>69</v>
      </c>
      <c r="F21">
        <v>0</v>
      </c>
      <c r="G21" t="s">
        <v>71</v>
      </c>
      <c r="H21">
        <v>0</v>
      </c>
      <c r="I21" t="s">
        <v>72</v>
      </c>
      <c r="J21" t="s">
        <v>69</v>
      </c>
      <c r="K21" s="514">
        <v>2</v>
      </c>
      <c r="M21">
        <v>1</v>
      </c>
      <c r="N21" s="4"/>
      <c r="O21" s="4"/>
      <c r="P21" s="4"/>
      <c r="Q21" s="4"/>
      <c r="R21" t="str">
        <f>IF($U$2=TRUE,$W$2&amp;". Выходное значение - управяющее воздействие в процентах","Выходное значение - управяющее воздействие в процентах")</f>
        <v>Регулятор FB. Выходное значение - управяющее воздействие в процентах</v>
      </c>
      <c r="S21" s="372"/>
      <c r="U21" s="773"/>
      <c r="V21" s="4"/>
      <c r="W21" s="773"/>
      <c r="X21" s="4"/>
    </row>
    <row r="22" spans="1:24">
      <c r="A22" s="514" t="str">
        <f>SUBSTITUTE($V$2,"\","|")&amp;"|XCPP"</f>
        <v>REG_test|XCPP</v>
      </c>
      <c r="B22" t="s">
        <v>69</v>
      </c>
      <c r="F22">
        <v>0</v>
      </c>
      <c r="G22" t="s">
        <v>71</v>
      </c>
      <c r="H22">
        <v>0</v>
      </c>
      <c r="I22" t="s">
        <v>72</v>
      </c>
      <c r="J22" t="s">
        <v>69</v>
      </c>
      <c r="K22" s="514">
        <v>2</v>
      </c>
      <c r="M22">
        <v>1</v>
      </c>
      <c r="N22" s="4"/>
      <c r="O22" s="4"/>
      <c r="P22" s="4"/>
      <c r="Q22" s="4"/>
      <c r="R22" t="str">
        <f>IF($U$2=TRUE,$W$2&amp;". Входное значение - текущее положение %","Входное значение - текущее положение %")</f>
        <v>Регулятор FB. Входное значение - текущее положение %</v>
      </c>
      <c r="S22" s="372"/>
      <c r="U22" s="773"/>
      <c r="V22" s="4"/>
      <c r="W22" s="773"/>
      <c r="X22" s="4"/>
    </row>
    <row r="23" spans="1:24">
      <c r="A23" s="514" t="str">
        <f>SUBSTITUTE($V$2,"\","|")&amp;"|XPVX"</f>
        <v>REG_test|XPVX</v>
      </c>
      <c r="B23" t="s">
        <v>69</v>
      </c>
      <c r="F23">
        <v>0</v>
      </c>
      <c r="G23" t="s">
        <v>71</v>
      </c>
      <c r="H23">
        <v>0</v>
      </c>
      <c r="I23" t="s">
        <v>76</v>
      </c>
      <c r="J23" t="s">
        <v>69</v>
      </c>
      <c r="K23" s="514">
        <v>2</v>
      </c>
      <c r="M23">
        <v>1</v>
      </c>
      <c r="N23" s="4"/>
      <c r="O23" s="4"/>
      <c r="P23" s="4"/>
      <c r="Q23" s="4"/>
      <c r="R23" t="str">
        <f>IF($U$2=TRUE,$W$2&amp;". Регулируемый параметр (параметрическое)","Регулируемый параметр (параметрическое)")</f>
        <v>Регулятор FB. Регулируемый параметр (параметрическое)</v>
      </c>
      <c r="S23" s="372"/>
      <c r="U23" s="773"/>
      <c r="V23" s="4"/>
      <c r="W23" s="773"/>
      <c r="X23" s="4"/>
    </row>
    <row r="24" spans="1:24">
      <c r="A24" s="514" t="str">
        <f>SUBSTITUTE($V$2,"\","|")&amp;"|SSPX"</f>
        <v>REG_test|SSPX</v>
      </c>
      <c r="B24" t="s">
        <v>69</v>
      </c>
      <c r="F24" s="4">
        <v>0</v>
      </c>
      <c r="G24" s="4" t="s">
        <v>71</v>
      </c>
      <c r="H24" s="4">
        <v>0</v>
      </c>
      <c r="I24" s="4" t="s">
        <v>76</v>
      </c>
      <c r="J24" s="4" t="s">
        <v>73</v>
      </c>
      <c r="K24" s="514">
        <v>2</v>
      </c>
      <c r="M24">
        <v>1</v>
      </c>
      <c r="N24" s="4"/>
      <c r="O24" s="4"/>
      <c r="P24" s="4"/>
      <c r="Q24" s="4"/>
      <c r="R24" t="str">
        <f>IF($U$2=TRUE,$W$2&amp;". Уставка регулирования","Уставка регулирования")</f>
        <v>Регулятор FB. Уставка регулирования</v>
      </c>
      <c r="S24" s="372"/>
      <c r="U24" s="773"/>
      <c r="V24" s="4"/>
      <c r="W24" s="773"/>
      <c r="X24" s="4"/>
    </row>
    <row r="25" spans="1:24">
      <c r="A25" s="514" t="str">
        <f>SUBSTITUTE($V$2,"\","|")&amp;"|SSPL"</f>
        <v>REG_test|SSPL</v>
      </c>
      <c r="B25" s="4" t="s">
        <v>69</v>
      </c>
      <c r="F25" s="4">
        <v>0</v>
      </c>
      <c r="G25" s="4" t="s">
        <v>71</v>
      </c>
      <c r="H25" s="4">
        <v>0</v>
      </c>
      <c r="I25" s="4" t="s">
        <v>76</v>
      </c>
      <c r="J25" s="4" t="s">
        <v>73</v>
      </c>
      <c r="K25" s="514">
        <v>2</v>
      </c>
      <c r="M25">
        <v>1</v>
      </c>
      <c r="N25" s="4"/>
      <c r="O25" s="4"/>
      <c r="P25" s="4"/>
      <c r="Q25" s="4"/>
      <c r="R25" t="str">
        <f>IF($U$2=TRUE,$W$2&amp;". Нижняя шкала регулируемого параметра","Нижняя шкала регулируемого параметра")</f>
        <v>Регулятор FB. Нижняя шкала регулируемого параметра</v>
      </c>
      <c r="S25" s="372"/>
      <c r="U25" s="773"/>
      <c r="V25" s="4"/>
      <c r="W25" s="773"/>
      <c r="X25" s="4"/>
    </row>
    <row r="26" spans="1:24">
      <c r="A26" s="514" t="str">
        <f>SUBSTITUTE($V$2,"\","|")&amp;"|SSPH"</f>
        <v>REG_test|SSPH</v>
      </c>
      <c r="B26" t="s">
        <v>69</v>
      </c>
      <c r="F26">
        <v>100</v>
      </c>
      <c r="G26" t="s">
        <v>71</v>
      </c>
      <c r="H26">
        <v>0</v>
      </c>
      <c r="I26" t="s">
        <v>76</v>
      </c>
      <c r="J26" t="s">
        <v>73</v>
      </c>
      <c r="K26" s="514">
        <v>2</v>
      </c>
      <c r="M26">
        <v>1</v>
      </c>
      <c r="N26" s="4"/>
      <c r="O26" s="4"/>
      <c r="P26" s="4"/>
      <c r="Q26" s="4"/>
      <c r="R26" t="str">
        <f>IF($U$2=TRUE,$W$2&amp;". Верхняя шкала регулируемого параметра","Верхняя шкала регулируемого параметра")</f>
        <v>Регулятор FB. Верхняя шкала регулируемого параметра</v>
      </c>
      <c r="S26" s="372"/>
      <c r="U26" s="773"/>
      <c r="V26" s="4"/>
      <c r="W26" s="773"/>
      <c r="X26" s="4"/>
    </row>
    <row r="27" spans="1:24">
      <c r="A27" s="514" t="str">
        <f>SUBSTITUTE($V$2,"\","|")&amp;"|SOPX"</f>
        <v>REG_test|SOPX</v>
      </c>
      <c r="B27" s="4" t="s">
        <v>69</v>
      </c>
      <c r="F27" s="4">
        <v>0</v>
      </c>
      <c r="G27" s="4" t="s">
        <v>71</v>
      </c>
      <c r="H27" s="4">
        <v>0</v>
      </c>
      <c r="I27" s="4" t="s">
        <v>76</v>
      </c>
      <c r="J27" s="4" t="s">
        <v>73</v>
      </c>
      <c r="K27" s="514">
        <v>2</v>
      </c>
      <c r="M27">
        <v>1</v>
      </c>
      <c r="N27" s="4"/>
      <c r="O27" s="4"/>
      <c r="P27" s="4"/>
      <c r="Q27" s="4"/>
      <c r="R27" t="str">
        <f>IF($U$2=TRUE,$W$2&amp;". Задание процента открытия от оператора","Задание процента открытия от оператора")</f>
        <v>Регулятор FB. Задание процента открытия от оператора</v>
      </c>
      <c r="S27" s="372"/>
      <c r="U27" s="773"/>
      <c r="V27" s="4"/>
      <c r="W27" s="773"/>
      <c r="X27" s="4"/>
    </row>
    <row r="28" spans="1:24">
      <c r="A28" s="514" t="str">
        <f>SUBSTITUTE($V$2,"\","|")&amp;"|SCAL"</f>
        <v>REG_test|SCAL</v>
      </c>
      <c r="B28" s="4" t="s">
        <v>69</v>
      </c>
      <c r="F28" s="4">
        <v>0</v>
      </c>
      <c r="G28" s="4" t="s">
        <v>71</v>
      </c>
      <c r="H28" s="4">
        <v>0</v>
      </c>
      <c r="I28" s="4" t="s">
        <v>76</v>
      </c>
      <c r="J28" s="4" t="s">
        <v>73</v>
      </c>
      <c r="K28" s="514">
        <v>2</v>
      </c>
      <c r="M28">
        <v>1</v>
      </c>
      <c r="N28" s="4"/>
      <c r="O28" s="4"/>
      <c r="P28" s="4"/>
      <c r="Q28" s="4"/>
      <c r="R28" t="str">
        <f>IF($U$2=TRUE,$W$2&amp;". Нижняя шакала управления в %","Нижняя шакала управления в %")</f>
        <v>Регулятор FB. Нижняя шакала управления в %</v>
      </c>
      <c r="S28" s="372"/>
      <c r="U28" s="773"/>
      <c r="V28" s="4"/>
      <c r="W28" s="773"/>
      <c r="X28" s="4"/>
    </row>
    <row r="29" spans="1:24">
      <c r="A29" s="514" t="str">
        <f>SUBSTITUTE($V$2,"\","|")&amp;"|SCAH"</f>
        <v>REG_test|SCAH</v>
      </c>
      <c r="B29" s="4" t="s">
        <v>69</v>
      </c>
      <c r="F29" s="4">
        <v>100</v>
      </c>
      <c r="G29" s="4" t="s">
        <v>71</v>
      </c>
      <c r="H29" s="4">
        <v>0</v>
      </c>
      <c r="I29" s="4" t="s">
        <v>76</v>
      </c>
      <c r="J29" s="4" t="s">
        <v>73</v>
      </c>
      <c r="K29" s="514">
        <v>2</v>
      </c>
      <c r="M29">
        <v>1</v>
      </c>
      <c r="N29" s="4"/>
      <c r="O29" s="4"/>
      <c r="P29" s="4"/>
      <c r="Q29" s="4"/>
      <c r="R29" t="str">
        <f>IF($U$2=TRUE,$W$2&amp;". Верхняя шакала управления в %","Верхняя шакала управления в %")</f>
        <v>Регулятор FB. Верхняя шакала управления в %</v>
      </c>
      <c r="S29" s="372"/>
      <c r="U29" s="773"/>
      <c r="V29" s="4"/>
      <c r="W29" s="773"/>
      <c r="X29" s="4"/>
    </row>
    <row r="30" spans="1:24">
      <c r="A30" s="514" t="str">
        <f>SUBSTITUTE($V$2,"\","|")&amp;"|SDTX"</f>
        <v>REG_test|SDTX</v>
      </c>
      <c r="B30" s="4" t="s">
        <v>78</v>
      </c>
      <c r="F30">
        <v>0</v>
      </c>
      <c r="G30" t="s">
        <v>71</v>
      </c>
      <c r="H30">
        <v>0</v>
      </c>
      <c r="I30" t="s">
        <v>72</v>
      </c>
      <c r="J30" s="4" t="s">
        <v>73</v>
      </c>
      <c r="K30" s="514">
        <v>1</v>
      </c>
      <c r="M30">
        <v>1</v>
      </c>
      <c r="N30" s="4"/>
      <c r="O30" s="4"/>
      <c r="P30" s="4"/>
      <c r="Q30" s="4"/>
      <c r="R30" t="str">
        <f>IF($U$2=TRUE,$W$2&amp;". Период расчета отклонения","Период расчета отклонения")</f>
        <v>Регулятор FB. Период расчета отклонения</v>
      </c>
      <c r="S30" s="372"/>
      <c r="U30" s="773"/>
      <c r="V30" s="4"/>
      <c r="W30" s="773"/>
      <c r="X30" s="4"/>
    </row>
    <row r="31" spans="1:24">
      <c r="A31" s="515" t="str">
        <f>SUBSTITUTE($V$2,"\","|")&amp;"|CBXX"</f>
        <v>REG_test|CBXX</v>
      </c>
      <c r="B31" t="s">
        <v>74</v>
      </c>
      <c r="F31" t="s">
        <v>72</v>
      </c>
      <c r="G31" t="s">
        <v>71</v>
      </c>
      <c r="H31">
        <v>0</v>
      </c>
      <c r="I31" t="s">
        <v>72</v>
      </c>
      <c r="J31" t="s">
        <v>73</v>
      </c>
      <c r="K31" s="515" t="s">
        <v>1383</v>
      </c>
      <c r="M31">
        <v>1</v>
      </c>
      <c r="N31" s="4"/>
      <c r="O31" s="4"/>
      <c r="P31" s="4"/>
      <c r="Q31" s="4"/>
      <c r="R31" t="str">
        <f>IF($U$2=TRUE,$W$2&amp;". Команда блокировки: перейти в заданное состояние","Команда блокировки: перейти в заданное состояние")</f>
        <v>Регулятор FB. Команда блокировки: перейти в заданное состояние</v>
      </c>
      <c r="S31" s="372"/>
      <c r="U31" s="773"/>
      <c r="V31" s="4"/>
      <c r="W31" s="773"/>
      <c r="X31" s="4"/>
    </row>
    <row r="32" spans="1:24">
      <c r="A32" s="515" t="str">
        <f>SUBSTITUTE($V$2,"\","|")&amp;"|CCRM"</f>
        <v>REG_test|CCRM</v>
      </c>
      <c r="B32" t="s">
        <v>74</v>
      </c>
      <c r="F32" t="s">
        <v>72</v>
      </c>
      <c r="G32" t="s">
        <v>71</v>
      </c>
      <c r="H32">
        <v>0</v>
      </c>
      <c r="I32" t="s">
        <v>76</v>
      </c>
      <c r="J32" t="s">
        <v>73</v>
      </c>
      <c r="K32" s="515" t="s">
        <v>1383</v>
      </c>
      <c r="M32">
        <v>1</v>
      </c>
      <c r="R32" t="str">
        <f>IF($U$2=TRUE,$W$2&amp;". Команда активации обратного режима","Команда активации обратного режима")</f>
        <v>Регулятор FB. Команда активации обратного режима</v>
      </c>
      <c r="S32" s="372"/>
      <c r="U32" s="773"/>
      <c r="V32" s="4"/>
      <c r="W32" s="773"/>
      <c r="X32" s="4"/>
    </row>
    <row r="33" spans="1:24">
      <c r="A33" s="515" t="str">
        <f>SUBSTITUTE($V$2,"\","|")&amp;"|CMMX"</f>
        <v>REG_test|CMMX</v>
      </c>
      <c r="B33" t="s">
        <v>74</v>
      </c>
      <c r="F33" t="s">
        <v>72</v>
      </c>
      <c r="G33" t="s">
        <v>71</v>
      </c>
      <c r="H33">
        <v>0</v>
      </c>
      <c r="I33" t="s">
        <v>76</v>
      </c>
      <c r="J33" t="s">
        <v>73</v>
      </c>
      <c r="K33" s="515" t="s">
        <v>1383</v>
      </c>
      <c r="M33">
        <v>1</v>
      </c>
      <c r="R33" t="str">
        <f>IF($U$2=TRUE,$W$2&amp;". Ручной режим (команда)","Ручной режим (команда)")</f>
        <v>Регулятор FB. Ручной режим (команда)</v>
      </c>
      <c r="S33" s="372"/>
      <c r="U33" s="773"/>
      <c r="V33" s="4"/>
      <c r="W33" s="773"/>
      <c r="X33" s="4"/>
    </row>
    <row r="34" spans="1:24" ht="15" customHeight="1">
      <c r="A34" s="515" t="str">
        <f>SUBSTITUTE($V$2,"\","|")&amp;"|CRPX"</f>
        <v>REG_test|CRPX</v>
      </c>
      <c r="B34" t="s">
        <v>74</v>
      </c>
      <c r="F34" t="s">
        <v>72</v>
      </c>
      <c r="G34" t="s">
        <v>71</v>
      </c>
      <c r="H34">
        <v>0</v>
      </c>
      <c r="I34" t="s">
        <v>76</v>
      </c>
      <c r="J34" t="s">
        <v>73</v>
      </c>
      <c r="K34" s="515" t="s">
        <v>1383</v>
      </c>
      <c r="M34">
        <v>1</v>
      </c>
      <c r="R34" t="str">
        <f>IF($U$2=TRUE,$W$2&amp;". Ремонт (команда)","Ремонт (команда)")</f>
        <v>Регулятор FB. Ремонт (команда)</v>
      </c>
      <c r="S34" s="372"/>
      <c r="U34" s="773"/>
      <c r="V34" s="4"/>
      <c r="W34" s="773"/>
      <c r="X34" s="4"/>
    </row>
    <row r="35" spans="1:24">
      <c r="A35" t="str">
        <f>SUBSTITUTE($V$2,"\","|")&amp;"|CIXX"</f>
        <v>REG_test|CIXX</v>
      </c>
      <c r="B35" t="s">
        <v>74</v>
      </c>
      <c r="F35" t="s">
        <v>72</v>
      </c>
      <c r="G35" t="s">
        <v>71</v>
      </c>
      <c r="H35">
        <v>0</v>
      </c>
      <c r="I35" t="s">
        <v>76</v>
      </c>
      <c r="J35" t="s">
        <v>73</v>
      </c>
      <c r="K35">
        <v>0</v>
      </c>
      <c r="M35">
        <v>1</v>
      </c>
      <c r="R35" t="str">
        <f>IF($U$2=TRUE,$W$2&amp;". Инициализация с АРМ","Инициализация с АРМ")</f>
        <v>Регулятор FB. Инициализация с АРМ</v>
      </c>
      <c r="S35" s="372"/>
      <c r="U35" s="773"/>
      <c r="V35" s="4"/>
      <c r="W35" s="773"/>
      <c r="X35" s="4"/>
    </row>
    <row r="36" spans="1:24">
      <c r="A36" t="str">
        <f>SUBSTITUTE($V$2,"\","|")&amp;"|FXXX"</f>
        <v>REG_test|FXXX</v>
      </c>
      <c r="B36" t="s">
        <v>74</v>
      </c>
      <c r="F36" t="s">
        <v>72</v>
      </c>
      <c r="G36" t="s">
        <v>71</v>
      </c>
      <c r="H36">
        <v>0</v>
      </c>
      <c r="I36" t="s">
        <v>72</v>
      </c>
      <c r="J36" t="s">
        <v>69</v>
      </c>
      <c r="K36">
        <v>0</v>
      </c>
      <c r="M36">
        <v>1</v>
      </c>
      <c r="R36" t="str">
        <f>IF($U$2=TRUE,$W$2&amp;". Обобщенная неисправность","Обобщенная неисправность")</f>
        <v>Регулятор FB. Обобщенная неисправность</v>
      </c>
      <c r="S36" s="372"/>
      <c r="U36" s="773"/>
      <c r="V36" s="4"/>
      <c r="W36" s="773"/>
      <c r="X36" s="4"/>
    </row>
    <row r="37" spans="1:24">
      <c r="A37" t="str">
        <f>SUBSTITUTE($V$2,"\","|")&amp;"|ICPX"</f>
        <v>REG_test|ICPX</v>
      </c>
      <c r="B37" t="s">
        <v>69</v>
      </c>
      <c r="F37">
        <v>0</v>
      </c>
      <c r="G37" t="s">
        <v>71</v>
      </c>
      <c r="H37">
        <v>0</v>
      </c>
      <c r="I37" t="s">
        <v>76</v>
      </c>
      <c r="J37" t="s">
        <v>69</v>
      </c>
      <c r="K37">
        <v>0</v>
      </c>
      <c r="M37">
        <v>1</v>
      </c>
      <c r="R37" t="str">
        <f>IF($U$2=TRUE,$W$2&amp;". Входное значение Текущее положение (физ сигнал)","Входное значение Текущее положение (физ сигнал)")</f>
        <v>Регулятор FB. Входное значение Текущее положение (физ сигнал)</v>
      </c>
      <c r="S37" s="372"/>
      <c r="U37" s="773"/>
      <c r="V37" s="4"/>
      <c r="W37" s="773"/>
      <c r="X37" s="4"/>
    </row>
    <row r="38" spans="1:24">
      <c r="A38" t="str">
        <f>SUBSTITUTE($V$2,"\","|")&amp;"|ILCX"</f>
        <v>REG_test|ILCX</v>
      </c>
      <c r="B38" t="s">
        <v>74</v>
      </c>
      <c r="F38" t="s">
        <v>72</v>
      </c>
      <c r="G38" t="s">
        <v>71</v>
      </c>
      <c r="H38">
        <v>0</v>
      </c>
      <c r="I38" t="s">
        <v>76</v>
      </c>
      <c r="J38" t="s">
        <v>69</v>
      </c>
      <c r="K38">
        <v>0</v>
      </c>
      <c r="M38">
        <v>1</v>
      </c>
      <c r="R38" t="str">
        <f>IF($U$2=TRUE,$W$2&amp;". Входное значение Местное управление (физ сигнал)","Входное значение Местное управление (физ сигнал)")</f>
        <v>Регулятор FB. Входное значение Местное управление (физ сигнал)</v>
      </c>
      <c r="S38" s="372"/>
      <c r="U38" s="773"/>
      <c r="V38" s="4"/>
      <c r="W38" s="773"/>
      <c r="X38" s="4"/>
    </row>
    <row r="39" spans="1:24">
      <c r="A39" t="str">
        <f>SUBSTITUTE($V$2,"\","|")&amp;"|IRCX"</f>
        <v>REG_test|IRCX</v>
      </c>
      <c r="B39" t="s">
        <v>74</v>
      </c>
      <c r="F39" t="s">
        <v>76</v>
      </c>
      <c r="G39" t="s">
        <v>71</v>
      </c>
      <c r="H39">
        <v>0</v>
      </c>
      <c r="I39" t="s">
        <v>76</v>
      </c>
      <c r="J39" t="s">
        <v>73</v>
      </c>
      <c r="K39">
        <v>0</v>
      </c>
      <c r="M39">
        <v>1</v>
      </c>
      <c r="R39" t="str">
        <f>IF($U$2=TRUE,$W$2&amp;". Входное значение Дистанционное управление (физ сигнал)","Входное значение Дистанционное управление (физ сигнал)")</f>
        <v>Регулятор FB. Входное значение Дистанционное управление (физ сигнал)</v>
      </c>
      <c r="S39" s="372"/>
      <c r="U39" s="773"/>
      <c r="V39" s="4"/>
      <c r="W39" s="773"/>
      <c r="X39" s="4"/>
    </row>
    <row r="40" spans="1:24">
      <c r="A40" s="4" t="str">
        <f>SUBSTITUTE($V$2,"\","|")&amp;"|SBSX"</f>
        <v>REG_test|SBSX</v>
      </c>
      <c r="B40" s="4" t="s">
        <v>69</v>
      </c>
      <c r="F40" s="4">
        <v>100</v>
      </c>
      <c r="G40" s="4" t="s">
        <v>71</v>
      </c>
      <c r="H40" s="4">
        <v>0</v>
      </c>
      <c r="I40" s="4" t="s">
        <v>76</v>
      </c>
      <c r="J40" s="4" t="s">
        <v>73</v>
      </c>
      <c r="K40" s="4">
        <v>0</v>
      </c>
      <c r="M40">
        <v>1</v>
      </c>
      <c r="R40" t="str">
        <f>IF($U$2=TRUE,$W$2&amp;". Скорость балансировки","Скорость балансировки")</f>
        <v>Регулятор FB. Скорость балансировки</v>
      </c>
      <c r="S40" s="372"/>
      <c r="U40" s="773"/>
      <c r="V40" s="4"/>
      <c r="W40" s="773"/>
      <c r="X40" s="4"/>
    </row>
    <row r="41" spans="1:24">
      <c r="A41" s="4" t="str">
        <f>SUBSTITUTE($V$2,"\","|")&amp;"|SDBX"</f>
        <v>REG_test|SDBX</v>
      </c>
      <c r="B41" s="4" t="s">
        <v>69</v>
      </c>
      <c r="F41" s="4" t="s">
        <v>296</v>
      </c>
      <c r="G41" s="4" t="s">
        <v>71</v>
      </c>
      <c r="H41" s="4">
        <v>0</v>
      </c>
      <c r="I41" s="4" t="s">
        <v>76</v>
      </c>
      <c r="J41" s="4" t="s">
        <v>73</v>
      </c>
      <c r="K41" s="4">
        <v>0</v>
      </c>
      <c r="M41">
        <v>1</v>
      </c>
      <c r="R41" t="str">
        <f>IF($U$2=TRUE,$W$2&amp;". Мертвая зона","Мертвая зона")</f>
        <v>Регулятор FB. Мертвая зона</v>
      </c>
      <c r="S41" s="372"/>
      <c r="U41" s="773"/>
      <c r="V41" s="4"/>
      <c r="W41" s="773"/>
      <c r="X41" s="4"/>
    </row>
    <row r="42" spans="1:24">
      <c r="A42" s="4" t="str">
        <f>SUBSTITUTE($V$2,"\","|")&amp;"|SDCX"</f>
        <v>REG_test|SDCX</v>
      </c>
      <c r="B42" s="4" t="s">
        <v>69</v>
      </c>
      <c r="F42" s="4">
        <v>0</v>
      </c>
      <c r="G42" s="4" t="s">
        <v>71</v>
      </c>
      <c r="H42" s="4">
        <v>0</v>
      </c>
      <c r="I42" s="4" t="s">
        <v>76</v>
      </c>
      <c r="J42" s="4" t="s">
        <v>73</v>
      </c>
      <c r="K42" s="4">
        <v>0</v>
      </c>
      <c r="M42">
        <v>1</v>
      </c>
      <c r="R42" t="str">
        <f>IF($U$2=TRUE,$W$2&amp;". Дифференциальный  коэффициент","Дифференциальный  коэффициент")</f>
        <v>Регулятор FB. Дифференциальный  коэффициент</v>
      </c>
      <c r="S42" s="372"/>
      <c r="U42" s="773"/>
      <c r="V42" s="4"/>
      <c r="W42" s="773"/>
      <c r="X42" s="4"/>
    </row>
    <row r="43" spans="1:24">
      <c r="A43" s="4" t="str">
        <f>SUBSTITUTE($V$2,"\","|")&amp;"|SICX"</f>
        <v>REG_test|SICX</v>
      </c>
      <c r="B43" s="4" t="s">
        <v>69</v>
      </c>
      <c r="F43" s="4">
        <v>10</v>
      </c>
      <c r="G43" s="4" t="s">
        <v>71</v>
      </c>
      <c r="H43" s="4">
        <v>0</v>
      </c>
      <c r="I43" s="4" t="s">
        <v>76</v>
      </c>
      <c r="J43" s="4" t="s">
        <v>73</v>
      </c>
      <c r="K43" s="4">
        <v>0</v>
      </c>
      <c r="M43">
        <v>1</v>
      </c>
      <c r="R43" t="str">
        <f>IF($U$2=TRUE,$W$2&amp;". Интегральный коэффициент","Интегральный коэффициент")</f>
        <v>Регулятор FB. Интегральный коэффициент</v>
      </c>
      <c r="S43" s="372"/>
      <c r="U43" s="773"/>
      <c r="V43" s="4"/>
      <c r="W43" s="773"/>
      <c r="X43" s="4"/>
    </row>
    <row r="44" spans="1:24">
      <c r="A44" s="4" t="str">
        <f>SUBSTITUTE($V$2,"\","|")&amp;"|SMVT"</f>
        <v>REG_test|SMVT</v>
      </c>
      <c r="B44" s="4" t="s">
        <v>78</v>
      </c>
      <c r="F44" s="4">
        <v>0</v>
      </c>
      <c r="G44" s="4" t="s">
        <v>71</v>
      </c>
      <c r="H44" s="4">
        <v>0</v>
      </c>
      <c r="I44" s="4" t="s">
        <v>76</v>
      </c>
      <c r="J44" s="4" t="s">
        <v>73</v>
      </c>
      <c r="K44" s="4">
        <v>0</v>
      </c>
      <c r="M44">
        <v>1</v>
      </c>
      <c r="R44" t="str">
        <f>IF($U$2=TRUE,$W$2&amp;". Уставка времени рассогласования","Уставка времени рассогласования")</f>
        <v>Регулятор FB. Уставка времени рассогласования</v>
      </c>
      <c r="S44" s="372"/>
      <c r="U44" s="773"/>
      <c r="V44" s="4"/>
      <c r="W44" s="773"/>
      <c r="X44" s="4"/>
    </row>
    <row r="45" spans="1:24">
      <c r="A45" s="4" t="str">
        <f>SUBSTITUTE($V$2,"\","|")&amp;"|SMVX"</f>
        <v>REG_test|SMVX</v>
      </c>
      <c r="B45" s="4" t="s">
        <v>69</v>
      </c>
      <c r="F45" s="4">
        <v>10</v>
      </c>
      <c r="G45" s="4" t="s">
        <v>71</v>
      </c>
      <c r="H45" s="4">
        <v>0</v>
      </c>
      <c r="I45" s="4" t="s">
        <v>76</v>
      </c>
      <c r="J45" s="4" t="s">
        <v>73</v>
      </c>
      <c r="K45" s="4">
        <v>0</v>
      </c>
      <c r="M45">
        <v>1</v>
      </c>
      <c r="R45" t="str">
        <f>IF($U$2=TRUE,$W$2&amp;". Уставка рассогласования","Уставка рассогласования")</f>
        <v>Регулятор FB. Уставка рассогласования</v>
      </c>
      <c r="S45" s="372"/>
      <c r="U45" s="773"/>
      <c r="V45" s="4"/>
      <c r="W45" s="773"/>
      <c r="X45" s="4"/>
    </row>
    <row r="46" spans="1:24">
      <c r="A46" s="4" t="str">
        <f>SUBSTITUTE($V$2,"\","|")&amp;"|SPCX"</f>
        <v>REG_test|SPCX</v>
      </c>
      <c r="B46" s="4" t="s">
        <v>69</v>
      </c>
      <c r="F46" s="4" t="s">
        <v>297</v>
      </c>
      <c r="G46" s="4" t="s">
        <v>71</v>
      </c>
      <c r="H46" s="4">
        <v>0</v>
      </c>
      <c r="I46" s="4" t="s">
        <v>76</v>
      </c>
      <c r="J46" s="4" t="s">
        <v>73</v>
      </c>
      <c r="K46" s="4">
        <v>0</v>
      </c>
      <c r="M46">
        <v>1</v>
      </c>
      <c r="R46" t="str">
        <f>IF($U$2=TRUE,$W$2&amp;". Пропорциональный коэффициент","Пропорциональный коэффициент")</f>
        <v>Регулятор FB. Пропорциональный коэффициент</v>
      </c>
      <c r="S46" s="372"/>
      <c r="U46" s="773"/>
      <c r="V46" s="4"/>
      <c r="W46" s="773"/>
      <c r="X46" s="4"/>
    </row>
    <row r="47" spans="1:24">
      <c r="A47" s="4" t="str">
        <f>SUBSTITUTE($V$2,"\","|")&amp;"|SOPX"</f>
        <v>REG_test|SOPX</v>
      </c>
      <c r="B47" s="4" t="s">
        <v>69</v>
      </c>
      <c r="F47" s="4">
        <v>0</v>
      </c>
      <c r="G47" s="4" t="s">
        <v>71</v>
      </c>
      <c r="H47" s="4">
        <v>0</v>
      </c>
      <c r="I47" s="4" t="s">
        <v>76</v>
      </c>
      <c r="J47" s="4" t="s">
        <v>73</v>
      </c>
      <c r="K47" s="4">
        <v>0</v>
      </c>
      <c r="M47">
        <v>1</v>
      </c>
      <c r="R47" t="str">
        <f>IF($U$2=TRUE,$W$2&amp;". Задание процента открытия от оператора","Задание процента открытия от оператора")</f>
        <v>Регулятор FB. Задание процента открытия от оператора</v>
      </c>
      <c r="S47" s="372"/>
      <c r="U47" s="773"/>
      <c r="V47" s="4"/>
      <c r="W47" s="773"/>
      <c r="X47" s="4"/>
    </row>
    <row r="48" spans="1:24">
      <c r="A48" t="str">
        <f>SUBSTITUTE($V$2,"\","|")&amp;"|SWSX"</f>
        <v>REG_test|SWSX</v>
      </c>
      <c r="B48" t="s">
        <v>78</v>
      </c>
      <c r="F48">
        <v>0</v>
      </c>
      <c r="G48" t="s">
        <v>71</v>
      </c>
      <c r="H48">
        <v>0</v>
      </c>
      <c r="I48" t="s">
        <v>76</v>
      </c>
      <c r="J48" t="s">
        <v>73</v>
      </c>
      <c r="K48">
        <v>0</v>
      </c>
      <c r="M48">
        <v>1</v>
      </c>
      <c r="R48" t="str">
        <f>IF($U$2=TRUE,$W$2&amp;". Скорость работы блока","Скорость работы блока")</f>
        <v>Регулятор FB. Скорость работы блока</v>
      </c>
      <c r="S48" s="372"/>
      <c r="U48" s="773"/>
      <c r="V48" s="4"/>
      <c r="W48" s="773"/>
      <c r="X48" s="4"/>
    </row>
    <row r="49" spans="1:24">
      <c r="A49" t="str">
        <f>SUBSTITUTE($V$2,"\","|")&amp;"|XOFX"</f>
        <v>REG_test|XOFX</v>
      </c>
      <c r="B49" t="s">
        <v>74</v>
      </c>
      <c r="F49" t="s">
        <v>72</v>
      </c>
      <c r="G49" t="s">
        <v>71</v>
      </c>
      <c r="H49">
        <v>0</v>
      </c>
      <c r="I49" t="s">
        <v>72</v>
      </c>
      <c r="J49" t="s">
        <v>69</v>
      </c>
      <c r="K49">
        <v>0</v>
      </c>
      <c r="M49">
        <v>1</v>
      </c>
      <c r="R49" t="str">
        <f>IF($U$2=TRUE,$W$2&amp;". Закрыт","Закрыт")</f>
        <v>Регулятор FB. Закрыт</v>
      </c>
      <c r="S49" s="372"/>
      <c r="U49" s="773"/>
      <c r="V49" s="4"/>
      <c r="W49" s="773"/>
      <c r="X49" s="4"/>
    </row>
    <row r="50" spans="1:24">
      <c r="A50" t="str">
        <f>SUBSTITUTE($V$2,"\","|")&amp;"|XONX"</f>
        <v>REG_test|XONX</v>
      </c>
      <c r="B50" t="s">
        <v>74</v>
      </c>
      <c r="F50" t="s">
        <v>72</v>
      </c>
      <c r="G50" t="s">
        <v>71</v>
      </c>
      <c r="H50">
        <v>0</v>
      </c>
      <c r="I50" t="s">
        <v>72</v>
      </c>
      <c r="J50" t="s">
        <v>69</v>
      </c>
      <c r="K50">
        <v>0</v>
      </c>
      <c r="M50">
        <v>1</v>
      </c>
      <c r="R50" t="str">
        <f>IF($U$2=TRUE,$W$2&amp;". Открыт","Открыт")</f>
        <v>Регулятор FB. Открыт</v>
      </c>
      <c r="S50" s="372"/>
      <c r="U50" s="773"/>
      <c r="V50" s="4"/>
      <c r="W50" s="773"/>
      <c r="X50" s="4"/>
    </row>
    <row r="51" spans="1:24">
      <c r="A51" t="str">
        <f>SUBSTITUTE($V$2,"\","|")&amp;"|XRPX"</f>
        <v>REG_test|XRPX</v>
      </c>
      <c r="B51" t="s">
        <v>74</v>
      </c>
      <c r="F51" t="s">
        <v>72</v>
      </c>
      <c r="G51" t="s">
        <v>71</v>
      </c>
      <c r="H51">
        <v>0</v>
      </c>
      <c r="I51" t="s">
        <v>72</v>
      </c>
      <c r="J51" t="s">
        <v>69</v>
      </c>
      <c r="K51">
        <v>0</v>
      </c>
      <c r="M51">
        <v>1</v>
      </c>
      <c r="R51" t="str">
        <f>IF($U$2=TRUE,$W$2&amp;". Выходное значение Выведен в ремонт","Выходное значение Выведен в ремонт")</f>
        <v>Регулятор FB. Выходное значение Выведен в ремонт</v>
      </c>
      <c r="S51" s="372"/>
      <c r="U51" s="773"/>
      <c r="V51" s="4"/>
      <c r="W51" s="773"/>
      <c r="X51" s="4"/>
    </row>
    <row r="52" spans="1:24">
      <c r="A52" t="str">
        <f>SUBSTITUTE($V$2,"\","|")&amp;"|CPMM"</f>
        <v>REG_test|CPMM</v>
      </c>
      <c r="B52" t="s">
        <v>74</v>
      </c>
      <c r="F52" t="s">
        <v>76</v>
      </c>
      <c r="G52" t="s">
        <v>71</v>
      </c>
      <c r="H52">
        <v>0</v>
      </c>
      <c r="I52" t="s">
        <v>76</v>
      </c>
      <c r="J52" t="s">
        <v>73</v>
      </c>
      <c r="K52">
        <v>0</v>
      </c>
      <c r="M52">
        <v>1</v>
      </c>
      <c r="R52" t="str">
        <f>IF($U$2=TRUE,$W$2&amp;". Разрешение на перевод в ручной режим","Разрешение на перевод в ручной режим")</f>
        <v>Регулятор FB. Разрешение на перевод в ручной режим</v>
      </c>
      <c r="S52" s="372"/>
      <c r="U52" s="773"/>
      <c r="V52" s="4"/>
      <c r="W52" s="773"/>
      <c r="X52" s="4"/>
    </row>
    <row r="53" spans="1:24">
      <c r="A53" t="str">
        <f>SUBSTITUTE($V$2,"\","|")&amp;"|SFTX"</f>
        <v>REG_test|SFTX</v>
      </c>
      <c r="B53" t="s">
        <v>69</v>
      </c>
      <c r="F53">
        <v>0</v>
      </c>
      <c r="G53" t="s">
        <v>71</v>
      </c>
      <c r="H53">
        <v>0</v>
      </c>
      <c r="I53" t="s">
        <v>72</v>
      </c>
      <c r="J53" s="4" t="s">
        <v>73</v>
      </c>
      <c r="K53">
        <v>0</v>
      </c>
      <c r="M53">
        <v>1</v>
      </c>
      <c r="R53" t="str">
        <f>IF($U$2=TRUE,$W$2&amp;". Постоянная времени фильтра (сек)","Постоянная времени фильтра (сек)")</f>
        <v>Регулятор FB. Постоянная времени фильтра (сек)</v>
      </c>
      <c r="S53" s="372"/>
      <c r="U53" s="773"/>
      <c r="V53" s="4"/>
      <c r="W53" s="773"/>
      <c r="X53" s="4"/>
    </row>
    <row r="54" spans="1:24">
      <c r="A54" t="str">
        <f>SUBSTITUTE($V$2,"\","|")&amp;"|XDAX"</f>
        <v>REG_test|XDAX</v>
      </c>
      <c r="B54" t="s">
        <v>74</v>
      </c>
      <c r="F54" t="s">
        <v>72</v>
      </c>
      <c r="G54" t="s">
        <v>71</v>
      </c>
      <c r="H54">
        <v>0</v>
      </c>
      <c r="I54" t="s">
        <v>72</v>
      </c>
      <c r="J54" t="s">
        <v>73</v>
      </c>
      <c r="K54">
        <v>0</v>
      </c>
      <c r="M54">
        <v>1</v>
      </c>
      <c r="R54" t="str">
        <f>IF($U$2=TRUE,$W$2&amp;". Регулируемый параметр выведен из алгоритма (вход)","Регулируемый параметр выведен из алгоритма (вход)")</f>
        <v>Регулятор FB. Регулируемый параметр выведен из алгоритма (вход)</v>
      </c>
      <c r="S54" s="372"/>
      <c r="U54" s="773"/>
      <c r="V54" s="4"/>
      <c r="W54" s="773"/>
      <c r="X54" s="4"/>
    </row>
    <row r="55" spans="1:24">
      <c r="A55" t="str">
        <f>SUBSTITUTE($V$2,"\","|")&amp;"|CIOX"</f>
        <v>REG_test|CIOX</v>
      </c>
      <c r="B55" t="s">
        <v>74</v>
      </c>
      <c r="F55" t="s">
        <v>72</v>
      </c>
      <c r="G55" t="s">
        <v>71</v>
      </c>
      <c r="H55">
        <v>0</v>
      </c>
      <c r="I55" t="s">
        <v>72</v>
      </c>
      <c r="J55" t="s">
        <v>69</v>
      </c>
      <c r="K55">
        <v>0</v>
      </c>
      <c r="M55">
        <v>1</v>
      </c>
      <c r="R55" t="str">
        <f>IF($U$2=TRUE,$W$2&amp;". Инверсия выходного значения","Инверсия выходного значения")</f>
        <v>Регулятор FB. Инверсия выходного значения</v>
      </c>
      <c r="S55" s="372"/>
      <c r="U55" s="773"/>
      <c r="V55" s="4"/>
      <c r="W55" s="773"/>
      <c r="X55" s="4"/>
    </row>
    <row r="56" spans="1:24">
      <c r="A56" t="str">
        <f>SUBSTITUTE($V$2,"\","|")&amp;"|XNWX"</f>
        <v>REG_test|XNWX</v>
      </c>
      <c r="B56" t="s">
        <v>74</v>
      </c>
      <c r="F56" t="s">
        <v>72</v>
      </c>
      <c r="G56" t="s">
        <v>71</v>
      </c>
      <c r="H56">
        <v>0</v>
      </c>
      <c r="I56" t="s">
        <v>72</v>
      </c>
      <c r="J56" t="s">
        <v>69</v>
      </c>
      <c r="K56">
        <v>0</v>
      </c>
      <c r="M56">
        <v>1</v>
      </c>
      <c r="R56" t="str">
        <f>IF($U$2=TRUE,$W$2&amp;". Регулятор не в работе","Регулятор не в работе")</f>
        <v>Регулятор FB. Регулятор не в работе</v>
      </c>
      <c r="S56" s="372"/>
      <c r="U56" s="773"/>
      <c r="V56" s="4"/>
      <c r="W56" s="773"/>
      <c r="X56" s="4"/>
    </row>
    <row r="57" spans="1:24">
      <c r="A57" t="str">
        <f>SUBSTITUTE($V$2,"\","|")&amp;"|CNWX"</f>
        <v>REG_test|CNWX</v>
      </c>
      <c r="B57" t="s">
        <v>74</v>
      </c>
      <c r="F57" t="s">
        <v>72</v>
      </c>
      <c r="G57" t="s">
        <v>71</v>
      </c>
      <c r="H57">
        <v>0</v>
      </c>
      <c r="I57" t="s">
        <v>72</v>
      </c>
      <c r="J57" t="s">
        <v>69</v>
      </c>
      <c r="K57">
        <v>0</v>
      </c>
      <c r="M57">
        <v>1</v>
      </c>
      <c r="R57" t="str">
        <f>IF($U$2=TRUE,$W$2&amp;". Вывод регулятора из работы (команда)","Вывод регулятора из работы (команда)")</f>
        <v>Регулятор FB. Вывод регулятора из работы (команда)</v>
      </c>
      <c r="S57" s="372"/>
      <c r="U57" s="773"/>
      <c r="V57" s="4"/>
      <c r="W57" s="773"/>
      <c r="X57" s="4"/>
    </row>
    <row r="58" spans="1:24">
      <c r="A58" s="514" t="str">
        <f>"PACK_TO_INT|STATE|"&amp;SUBSTITUTE($V$2,"\","|")</f>
        <v>PACK_TO_INT|STATE|REG_test</v>
      </c>
      <c r="B58" s="4" t="s">
        <v>78</v>
      </c>
      <c r="F58" s="4">
        <v>0</v>
      </c>
      <c r="G58" s="4" t="s">
        <v>71</v>
      </c>
      <c r="H58" s="4">
        <v>0</v>
      </c>
      <c r="I58" s="4" t="s">
        <v>72</v>
      </c>
      <c r="J58" s="4" t="s">
        <v>73</v>
      </c>
      <c r="K58" s="514">
        <v>1</v>
      </c>
      <c r="R58" s="4"/>
    </row>
    <row r="59" spans="1:24">
      <c r="A59" s="514" t="str">
        <f>"PACK_TO_INT|FAULT|"&amp;SUBSTITUTE($V$2,"\","|")</f>
        <v>PACK_TO_INT|FAULT|REG_test</v>
      </c>
      <c r="B59" s="4" t="s">
        <v>78</v>
      </c>
      <c r="F59" s="4">
        <v>0</v>
      </c>
      <c r="G59" s="4" t="s">
        <v>71</v>
      </c>
      <c r="H59" s="4">
        <v>0</v>
      </c>
      <c r="I59" s="4" t="s">
        <v>72</v>
      </c>
      <c r="J59" s="4" t="s">
        <v>73</v>
      </c>
      <c r="K59" s="514">
        <v>1</v>
      </c>
      <c r="R59" s="4"/>
    </row>
    <row r="61" spans="1:24">
      <c r="A61" s="4"/>
      <c r="B61" s="4"/>
      <c r="F61" s="4"/>
      <c r="G61" s="4"/>
      <c r="H61" s="4"/>
      <c r="I61" s="4"/>
      <c r="J61" s="4"/>
      <c r="K61" s="4"/>
      <c r="M61" s="4"/>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Лист14">
    <tabColor rgb="FF92D050"/>
  </sheetPr>
  <dimension ref="A1:AC89"/>
  <sheetViews>
    <sheetView topLeftCell="A49" zoomScale="70" zoomScaleNormal="70"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93.5546875" customWidth="1"/>
    <col min="19" max="20" width="9.10937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c r="A2" s="10"/>
      <c r="B2" s="10"/>
      <c r="F2" s="10"/>
      <c r="G2" s="10"/>
      <c r="H2" s="10"/>
      <c r="I2" s="10"/>
      <c r="J2" s="10"/>
      <c r="K2" s="10"/>
      <c r="M2" s="10"/>
      <c r="N2" s="10"/>
      <c r="O2" s="10"/>
      <c r="P2" s="10"/>
      <c r="Q2" s="10"/>
      <c r="R2" s="10"/>
      <c r="U2" s="74" t="b">
        <f>Настройки!$M$34</f>
        <v>1</v>
      </c>
      <c r="V2" s="73" t="s">
        <v>246</v>
      </c>
      <c r="W2" s="537" t="s">
        <v>768</v>
      </c>
      <c r="X2" s="73"/>
      <c r="Y2" s="73"/>
      <c r="Z2" s="73"/>
      <c r="AA2" s="74"/>
      <c r="AB2" s="74"/>
      <c r="AC2" s="74"/>
    </row>
    <row r="3" spans="1:29">
      <c r="A3" t="str">
        <f>SUBSTITUTE($V$2,"\","|")&amp; "|XTON"</f>
        <v>ZRU_OL1|XTON</v>
      </c>
      <c r="B3" t="s">
        <v>74</v>
      </c>
      <c r="F3" t="s">
        <v>72</v>
      </c>
      <c r="G3" t="s">
        <v>71</v>
      </c>
      <c r="H3">
        <v>0</v>
      </c>
      <c r="I3" t="s">
        <v>72</v>
      </c>
      <c r="J3" t="s">
        <v>69</v>
      </c>
      <c r="K3">
        <v>0</v>
      </c>
      <c r="M3">
        <v>1</v>
      </c>
      <c r="R3" t="str">
        <f>IF($U$2=TRUE,$W$2&amp;". Выключатель Вкачен","Выключатель Вкачен")</f>
        <v>Выключатель электрический. Выключатель Вкачен</v>
      </c>
      <c r="S3" s="372"/>
      <c r="U3" s="773"/>
      <c r="V3" s="4"/>
      <c r="W3" s="773"/>
      <c r="X3" s="4"/>
    </row>
    <row r="4" spans="1:29">
      <c r="A4" t="str">
        <f>SUBSTITUTE($V$2,"\","|")&amp; "|XTOF"</f>
        <v>ZRU_OL1|XTOF</v>
      </c>
      <c r="B4" t="s">
        <v>74</v>
      </c>
      <c r="F4" t="s">
        <v>72</v>
      </c>
      <c r="G4" t="s">
        <v>71</v>
      </c>
      <c r="H4">
        <v>0</v>
      </c>
      <c r="I4" t="s">
        <v>72</v>
      </c>
      <c r="J4" t="s">
        <v>69</v>
      </c>
      <c r="K4">
        <v>0</v>
      </c>
      <c r="M4">
        <v>1</v>
      </c>
      <c r="R4" t="str">
        <f>IF($U$2=TRUE,$W$2&amp;". Выключатель Выкачен","Выключатель Выкачен")</f>
        <v>Выключатель электрический. Выключатель Выкачен</v>
      </c>
      <c r="S4" s="372"/>
      <c r="U4" s="773"/>
      <c r="V4" s="4"/>
      <c r="W4" s="773"/>
      <c r="X4" s="4"/>
    </row>
    <row r="5" spans="1:29">
      <c r="A5" t="str">
        <f>SUBSTITUTE($V$2,"\","|")&amp; "|XSPP"</f>
        <v>ZRU_OL1|XSPP</v>
      </c>
      <c r="B5" t="s">
        <v>74</v>
      </c>
      <c r="F5" t="s">
        <v>72</v>
      </c>
      <c r="G5" t="s">
        <v>71</v>
      </c>
      <c r="H5">
        <v>0</v>
      </c>
      <c r="I5" t="s">
        <v>72</v>
      </c>
      <c r="J5" t="s">
        <v>69</v>
      </c>
      <c r="K5">
        <v>0</v>
      </c>
      <c r="M5">
        <v>1</v>
      </c>
      <c r="R5" t="str">
        <f>IF($U$2=TRUE,$W$2&amp;". Выходное значение останавливается","Выходное значение останавливается")</f>
        <v>Выключатель электрический. Выходное значение останавливается</v>
      </c>
      <c r="S5" s="372"/>
      <c r="U5" s="773"/>
      <c r="V5" s="4"/>
      <c r="W5" s="773"/>
      <c r="X5" s="4"/>
    </row>
    <row r="6" spans="1:29">
      <c r="A6" t="str">
        <f>SUBSTITUTE($V$2,"\","|")&amp; "|XRPX"</f>
        <v>ZRU_OL1|XRPX</v>
      </c>
      <c r="B6" t="s">
        <v>74</v>
      </c>
      <c r="F6" t="s">
        <v>72</v>
      </c>
      <c r="G6" t="s">
        <v>71</v>
      </c>
      <c r="H6">
        <v>0</v>
      </c>
      <c r="I6" t="s">
        <v>72</v>
      </c>
      <c r="J6" t="s">
        <v>69</v>
      </c>
      <c r="K6">
        <v>0</v>
      </c>
      <c r="M6">
        <v>1</v>
      </c>
      <c r="R6" t="str">
        <f>IF($U$2=TRUE,$W$2&amp;". Выходное значение Выведен в ремонт","Выходное значение Выведен в ремонт")</f>
        <v>Выключатель электрический. Выходное значение Выведен в ремонт</v>
      </c>
      <c r="S6" s="372"/>
      <c r="U6" s="773"/>
      <c r="V6" s="4"/>
      <c r="W6" s="773"/>
      <c r="X6" s="4"/>
    </row>
    <row r="7" spans="1:29">
      <c r="A7" t="str">
        <f>SUBSTITUTE($V$2,"\","|")&amp; "|XRPT"</f>
        <v>ZRU_OL1|XRPT</v>
      </c>
      <c r="B7" t="s">
        <v>78</v>
      </c>
      <c r="F7">
        <v>0</v>
      </c>
      <c r="G7" t="s">
        <v>71</v>
      </c>
      <c r="H7">
        <v>0</v>
      </c>
      <c r="I7" t="s">
        <v>76</v>
      </c>
      <c r="J7" t="s">
        <v>73</v>
      </c>
      <c r="K7">
        <v>0</v>
      </c>
      <c r="M7">
        <v>1</v>
      </c>
      <c r="R7" t="str">
        <f>IF($U$2=TRUE,$W$2&amp;". Наработка аварийного отключения","Наработка аварийного отключения")</f>
        <v>Выключатель электрический. Наработка аварийного отключения</v>
      </c>
      <c r="S7" s="372"/>
      <c r="U7" s="773"/>
      <c r="V7" s="4"/>
      <c r="W7" s="773"/>
      <c r="X7" s="4"/>
    </row>
    <row r="8" spans="1:29">
      <c r="A8" t="str">
        <f>SUBSTITUTE($V$2,"\","|")&amp; "|XRON"</f>
        <v>ZRU_OL1|XRON</v>
      </c>
      <c r="B8" t="s">
        <v>78</v>
      </c>
      <c r="F8">
        <v>0</v>
      </c>
      <c r="G8" t="s">
        <v>71</v>
      </c>
      <c r="H8">
        <v>0</v>
      </c>
      <c r="I8" t="s">
        <v>76</v>
      </c>
      <c r="J8" t="s">
        <v>73</v>
      </c>
      <c r="K8">
        <v>0</v>
      </c>
      <c r="M8">
        <v>1</v>
      </c>
      <c r="R8" t="str">
        <f>IF($U$2=TRUE,$W$2&amp;". Наработка концевика Включен","Наработка концевика Включен")</f>
        <v>Выключатель электрический. Наработка концевика Включен</v>
      </c>
      <c r="S8" s="372"/>
      <c r="U8" s="773"/>
      <c r="V8" s="4"/>
      <c r="W8" s="773"/>
      <c r="X8" s="4"/>
    </row>
    <row r="9" spans="1:29">
      <c r="A9" t="str">
        <f>SUBSTITUTE($V$2,"\","|")&amp; "|XROF"</f>
        <v>ZRU_OL1|XROF</v>
      </c>
      <c r="B9" t="s">
        <v>78</v>
      </c>
      <c r="F9">
        <v>0</v>
      </c>
      <c r="G9" t="s">
        <v>71</v>
      </c>
      <c r="H9">
        <v>0</v>
      </c>
      <c r="I9" t="s">
        <v>76</v>
      </c>
      <c r="J9" t="s">
        <v>73</v>
      </c>
      <c r="K9">
        <v>0</v>
      </c>
      <c r="M9">
        <v>1</v>
      </c>
      <c r="R9" t="str">
        <f>IF($U$2=TRUE,$W$2&amp;". Наработка концевика Отключен","Наработка концевика Отключен")</f>
        <v>Выключатель электрический. Наработка концевика Отключен</v>
      </c>
      <c r="S9" s="372"/>
      <c r="U9" s="773"/>
      <c r="V9" s="4"/>
      <c r="W9" s="773"/>
      <c r="X9" s="4"/>
    </row>
    <row r="10" spans="1:29">
      <c r="A10" t="str">
        <f>SUBSTITUTE($V$2,"\","|")&amp; "|XRCX"</f>
        <v>ZRU_OL1|XRCX</v>
      </c>
      <c r="B10" t="s">
        <v>74</v>
      </c>
      <c r="F10" t="s">
        <v>72</v>
      </c>
      <c r="G10" t="s">
        <v>71</v>
      </c>
      <c r="H10">
        <v>0</v>
      </c>
      <c r="I10" t="s">
        <v>72</v>
      </c>
      <c r="J10" t="s">
        <v>69</v>
      </c>
      <c r="K10">
        <v>0</v>
      </c>
      <c r="M10">
        <v>1</v>
      </c>
      <c r="R10" t="str">
        <f>IF($U$2=TRUE,$W$2&amp;". Выходное значение Дистанционное управление","Выходное значение Дистанционное управление")</f>
        <v>Выключатель электрический. Выходное значение Дистанционное управление</v>
      </c>
      <c r="S10" s="372"/>
      <c r="U10" s="773"/>
      <c r="V10" s="4"/>
      <c r="W10" s="773"/>
      <c r="X10" s="4"/>
    </row>
    <row r="11" spans="1:29">
      <c r="A11" t="str">
        <f>SUBSTITUTE($V$2,"\","|")&amp; "|XONX"</f>
        <v>ZRU_OL1|XONX</v>
      </c>
      <c r="B11" t="s">
        <v>74</v>
      </c>
      <c r="F11" t="s">
        <v>72</v>
      </c>
      <c r="G11" t="s">
        <v>71</v>
      </c>
      <c r="H11">
        <v>0</v>
      </c>
      <c r="I11" t="s">
        <v>72</v>
      </c>
      <c r="J11" t="s">
        <v>69</v>
      </c>
      <c r="K11">
        <v>0</v>
      </c>
      <c r="M11">
        <v>1</v>
      </c>
      <c r="R11" t="str">
        <f>IF($U$2=TRUE,$W$2&amp;". Включен","Включен")</f>
        <v>Выключатель электрический. Включен</v>
      </c>
      <c r="S11" s="372"/>
      <c r="U11" s="773"/>
      <c r="V11" s="4"/>
      <c r="W11" s="773"/>
      <c r="X11" s="4"/>
    </row>
    <row r="12" spans="1:29">
      <c r="A12" t="str">
        <f>SUBSTITUTE($V$2,"\","|")&amp; "|XONP"</f>
        <v>ZRU_OL1|XONP</v>
      </c>
      <c r="B12" t="s">
        <v>74</v>
      </c>
      <c r="F12" t="s">
        <v>72</v>
      </c>
      <c r="G12" t="s">
        <v>71</v>
      </c>
      <c r="H12">
        <v>0</v>
      </c>
      <c r="I12" t="s">
        <v>72</v>
      </c>
      <c r="J12" t="s">
        <v>69</v>
      </c>
      <c r="K12">
        <v>0</v>
      </c>
      <c r="M12">
        <v>1</v>
      </c>
      <c r="R12" t="str">
        <f>IF($U$2=TRUE,$W$2&amp;". Выходное значение Включается","Выходное значение Включается")</f>
        <v>Выключатель электрический. Выходное значение Включается</v>
      </c>
      <c r="S12" s="372"/>
      <c r="U12" s="773"/>
      <c r="V12" s="4"/>
      <c r="W12" s="773"/>
      <c r="X12" s="4"/>
    </row>
    <row r="13" spans="1:29">
      <c r="A13" t="str">
        <f>SUBSTITUTE($V$2,"\","|")&amp; "|XOFX"</f>
        <v>ZRU_OL1|XOFX</v>
      </c>
      <c r="B13" t="s">
        <v>74</v>
      </c>
      <c r="F13" t="s">
        <v>72</v>
      </c>
      <c r="G13" t="s">
        <v>71</v>
      </c>
      <c r="H13">
        <v>0</v>
      </c>
      <c r="I13" t="s">
        <v>72</v>
      </c>
      <c r="J13" t="s">
        <v>69</v>
      </c>
      <c r="K13">
        <v>0</v>
      </c>
      <c r="M13">
        <v>1</v>
      </c>
      <c r="R13" t="str">
        <f>IF($U$2=TRUE,$W$2&amp;". Отключен","Отключен")</f>
        <v>Выключатель электрический. Отключен</v>
      </c>
      <c r="S13" s="372"/>
      <c r="U13" s="773"/>
      <c r="V13" s="4"/>
      <c r="W13" s="773"/>
      <c r="X13" s="4"/>
    </row>
    <row r="14" spans="1:29">
      <c r="A14" t="str">
        <f>SUBSTITUTE($V$2,"\","|")&amp; "|XOFP"</f>
        <v>ZRU_OL1|XOFP</v>
      </c>
      <c r="B14" t="s">
        <v>74</v>
      </c>
      <c r="F14" t="s">
        <v>72</v>
      </c>
      <c r="G14" t="s">
        <v>71</v>
      </c>
      <c r="H14">
        <v>0</v>
      </c>
      <c r="I14" t="s">
        <v>72</v>
      </c>
      <c r="J14" t="s">
        <v>69</v>
      </c>
      <c r="K14">
        <v>0</v>
      </c>
      <c r="M14">
        <v>1</v>
      </c>
      <c r="R14" t="str">
        <f>IF($U$2=TRUE,$W$2&amp;". Выходное значение Отключается","Выходное значение Отключается")</f>
        <v>Выключатель электрический. Выходное значение Отключается</v>
      </c>
      <c r="S14" s="372"/>
      <c r="U14" s="773"/>
      <c r="V14" s="4"/>
      <c r="W14" s="773"/>
      <c r="X14" s="4"/>
    </row>
    <row r="15" spans="1:29">
      <c r="A15" t="str">
        <f>SUBSTITUTE($V$2,"\","|")&amp; "|XMMX"</f>
        <v>ZRU_OL1|XMMX</v>
      </c>
      <c r="B15" t="s">
        <v>74</v>
      </c>
      <c r="F15" t="s">
        <v>72</v>
      </c>
      <c r="G15" t="s">
        <v>71</v>
      </c>
      <c r="H15">
        <v>0</v>
      </c>
      <c r="I15" t="s">
        <v>72</v>
      </c>
      <c r="J15" t="s">
        <v>69</v>
      </c>
      <c r="K15">
        <v>0</v>
      </c>
      <c r="M15">
        <v>1</v>
      </c>
      <c r="R15" t="str">
        <f>IF($U$2=TRUE,$W$2&amp;". Выходное значение Ручное управление","Выходное значение Ручное управление")</f>
        <v>Выключатель электрический. Выходное значение Ручное управление</v>
      </c>
      <c r="S15" s="372"/>
      <c r="U15" s="773"/>
      <c r="V15" s="4"/>
      <c r="W15" s="773"/>
      <c r="X15" s="4"/>
    </row>
    <row r="16" spans="1:29">
      <c r="A16" t="str">
        <f>SUBSTITUTE($V$2,"\","|")&amp; "|TCON"</f>
        <v>ZRU_OL1|TCON</v>
      </c>
      <c r="B16" t="s">
        <v>78</v>
      </c>
      <c r="F16">
        <v>2</v>
      </c>
      <c r="G16" t="s">
        <v>71</v>
      </c>
      <c r="H16">
        <v>0</v>
      </c>
      <c r="I16" t="s">
        <v>76</v>
      </c>
      <c r="J16" t="s">
        <v>73</v>
      </c>
      <c r="K16">
        <v>0</v>
      </c>
      <c r="M16">
        <v>1</v>
      </c>
      <c r="R16" t="str">
        <f>IF($U$2=TRUE,$W$2&amp;". Время подачи команды Включить (с)","Время подачи команды Включить (с)")</f>
        <v>Выключатель электрический. Время подачи команды Включить (с)</v>
      </c>
      <c r="S16" s="372"/>
      <c r="U16" s="773"/>
      <c r="V16" s="4"/>
      <c r="W16" s="773"/>
      <c r="X16" s="4"/>
    </row>
    <row r="17" spans="1:24">
      <c r="A17" t="str">
        <f>SUBSTITUTE($V$2,"\","|")&amp; "|TCOF"</f>
        <v>ZRU_OL1|TCOF</v>
      </c>
      <c r="B17" t="s">
        <v>78</v>
      </c>
      <c r="F17">
        <v>2</v>
      </c>
      <c r="G17" t="s">
        <v>71</v>
      </c>
      <c r="H17">
        <v>0</v>
      </c>
      <c r="I17" t="s">
        <v>76</v>
      </c>
      <c r="J17" t="s">
        <v>73</v>
      </c>
      <c r="K17">
        <v>0</v>
      </c>
      <c r="M17">
        <v>1</v>
      </c>
      <c r="R17" t="str">
        <f>IF($U$2=TRUE,$W$2&amp;". Время подачи команды Отключить (с)","Время подачи команды Отключить (с)")</f>
        <v>Выключатель электрический. Время подачи команды Отключить (с)</v>
      </c>
      <c r="S17" s="372"/>
      <c r="U17" s="773"/>
      <c r="V17" s="4"/>
      <c r="W17" s="773"/>
      <c r="X17" s="4"/>
    </row>
    <row r="18" spans="1:24">
      <c r="A18" t="str">
        <f>SUBSTITUTE($V$2,"\","|")&amp; "|STSX"</f>
        <v>ZRU_OL1|STSX</v>
      </c>
      <c r="B18" t="s">
        <v>78</v>
      </c>
      <c r="F18">
        <v>10</v>
      </c>
      <c r="G18" t="s">
        <v>71</v>
      </c>
      <c r="H18">
        <v>0</v>
      </c>
      <c r="I18" t="s">
        <v>76</v>
      </c>
      <c r="J18" t="s">
        <v>73</v>
      </c>
      <c r="K18">
        <v>0</v>
      </c>
      <c r="M18">
        <v>1</v>
      </c>
      <c r="R18" t="str">
        <f>IF($U$2=TRUE,$W$2&amp;". Время перестановки (с)","Время перестановки (с)")</f>
        <v>Выключатель электрический. Время перестановки (с)</v>
      </c>
      <c r="S18" s="372"/>
      <c r="U18" s="773"/>
      <c r="V18" s="4"/>
      <c r="W18" s="773"/>
      <c r="X18" s="4"/>
    </row>
    <row r="19" spans="1:24">
      <c r="A19" t="str">
        <f>SUBSTITUTE($V$2,"\","|")&amp; "|SRQX"</f>
        <v>ZRU_OL1|SRQX</v>
      </c>
      <c r="B19" t="s">
        <v>78</v>
      </c>
      <c r="F19">
        <v>1000</v>
      </c>
      <c r="G19" t="s">
        <v>71</v>
      </c>
      <c r="H19">
        <v>0</v>
      </c>
      <c r="I19" t="s">
        <v>76</v>
      </c>
      <c r="J19" t="s">
        <v>73</v>
      </c>
      <c r="K19">
        <v>0</v>
      </c>
      <c r="M19">
        <v>1</v>
      </c>
      <c r="R19" t="str">
        <f>IF($U$2=TRUE,$W$2&amp;". Уставка наработки по концевикам","Уставка наработки по концевикам")</f>
        <v>Выключатель электрический. Уставка наработки по концевикам</v>
      </c>
      <c r="S19" s="372"/>
      <c r="U19" s="773"/>
      <c r="V19" s="4"/>
      <c r="W19" s="773"/>
      <c r="X19" s="4"/>
    </row>
    <row r="20" spans="1:24">
      <c r="A20" t="str">
        <f>SUBSTITUTE($V$2,"\","|")&amp; "|SRPT"</f>
        <v>ZRU_OL1|SRPT</v>
      </c>
      <c r="B20" t="s">
        <v>78</v>
      </c>
      <c r="F20">
        <v>100</v>
      </c>
      <c r="G20" t="s">
        <v>71</v>
      </c>
      <c r="H20">
        <v>0</v>
      </c>
      <c r="I20" t="s">
        <v>76</v>
      </c>
      <c r="J20" t="s">
        <v>73</v>
      </c>
      <c r="K20">
        <v>0</v>
      </c>
      <c r="M20">
        <v>1</v>
      </c>
      <c r="R20" t="str">
        <f>IF($U$2=TRUE,$W$2&amp;". Уставка наработки по аварийным отключениям","Уставка наработки по аварийным отключениям")</f>
        <v>Выключатель электрический. Уставка наработки по аварийным отключениям</v>
      </c>
      <c r="S20" s="372"/>
      <c r="U20" s="773"/>
      <c r="V20" s="4"/>
      <c r="W20" s="773"/>
      <c r="X20" s="4"/>
    </row>
    <row r="21" spans="1:24">
      <c r="A21" s="52" t="str">
        <f>SUBSTITUTE($V$2,"\","|")&amp; "|SMMX"</f>
        <v>ZRU_OL1|SMMX</v>
      </c>
      <c r="B21" s="52" t="s">
        <v>74</v>
      </c>
      <c r="C21" s="52"/>
      <c r="D21" s="52"/>
      <c r="E21" s="52"/>
      <c r="F21" s="52" t="s">
        <v>72</v>
      </c>
      <c r="G21" s="52" t="s">
        <v>71</v>
      </c>
      <c r="H21" s="52">
        <v>0</v>
      </c>
      <c r="I21" s="52" t="s">
        <v>76</v>
      </c>
      <c r="J21" s="52" t="s">
        <v>69</v>
      </c>
      <c r="K21" s="52">
        <v>0</v>
      </c>
      <c r="L21" s="52"/>
      <c r="M21" s="52">
        <v>1</v>
      </c>
      <c r="N21" s="52"/>
      <c r="O21" s="52"/>
      <c r="P21" s="52"/>
      <c r="Q21" s="52"/>
      <c r="R21" t="str">
        <f>IF($U$2=TRUE,$W$2&amp;". Настройка перехода в ручной режим","Настройка перехода в ручной режим")</f>
        <v>Выключатель электрический. Настройка перехода в ручной режим</v>
      </c>
      <c r="S21" s="372"/>
      <c r="U21" s="773"/>
      <c r="V21" s="4"/>
      <c r="W21" s="773"/>
      <c r="X21" s="4"/>
    </row>
    <row r="22" spans="1:24">
      <c r="A22" t="str">
        <f>SUBSTITUTE($V$2,"\","|")&amp; "|OXSP"</f>
        <v>ZRU_OL1|OXSP</v>
      </c>
      <c r="B22" t="s">
        <v>74</v>
      </c>
      <c r="F22" t="s">
        <v>72</v>
      </c>
      <c r="G22" t="s">
        <v>71</v>
      </c>
      <c r="H22">
        <v>0</v>
      </c>
      <c r="I22" t="s">
        <v>72</v>
      </c>
      <c r="J22" t="s">
        <v>69</v>
      </c>
      <c r="K22">
        <v>0</v>
      </c>
      <c r="M22">
        <v>1</v>
      </c>
      <c r="R22" t="str">
        <f>IF($U$2=TRUE,$W$2&amp;". Выходное значение Стоп","Выходное значение Стоп")</f>
        <v>Выключатель электрический. Выходное значение Стоп</v>
      </c>
      <c r="S22" s="372"/>
      <c r="U22" s="773"/>
      <c r="V22" s="4"/>
      <c r="W22" s="773"/>
      <c r="X22" s="4"/>
    </row>
    <row r="23" spans="1:24">
      <c r="A23" t="str">
        <f>SUBSTITUTE($V$2,"\","|")&amp; "|OXON"</f>
        <v>ZRU_OL1|OXON</v>
      </c>
      <c r="B23" t="s">
        <v>74</v>
      </c>
      <c r="F23" t="s">
        <v>72</v>
      </c>
      <c r="G23" t="s">
        <v>71</v>
      </c>
      <c r="H23">
        <v>0</v>
      </c>
      <c r="I23" t="s">
        <v>76</v>
      </c>
      <c r="J23" t="s">
        <v>69</v>
      </c>
      <c r="K23">
        <v>0</v>
      </c>
      <c r="M23">
        <v>1</v>
      </c>
      <c r="R23" t="str">
        <f>IF($U$2=TRUE,$W$2&amp;". Выходное значение Включить","Выходное значение Включить")</f>
        <v>Выключатель электрический. Выходное значение Включить</v>
      </c>
      <c r="S23" s="372"/>
      <c r="U23" s="773"/>
      <c r="V23" s="4"/>
      <c r="W23" s="773"/>
      <c r="X23" s="4"/>
    </row>
    <row r="24" spans="1:24">
      <c r="A24" t="str">
        <f>SUBSTITUTE($V$2,"\","|")&amp; "|OXOF"</f>
        <v>ZRU_OL1|OXOF</v>
      </c>
      <c r="B24" t="s">
        <v>74</v>
      </c>
      <c r="F24" t="s">
        <v>72</v>
      </c>
      <c r="G24" t="s">
        <v>71</v>
      </c>
      <c r="H24">
        <v>0</v>
      </c>
      <c r="I24" t="s">
        <v>76</v>
      </c>
      <c r="J24" t="s">
        <v>69</v>
      </c>
      <c r="K24">
        <v>0</v>
      </c>
      <c r="M24">
        <v>1</v>
      </c>
      <c r="R24" t="str">
        <f>IF($U$2=TRUE,$W$2&amp;". Выходное значение Отключить","Выходное значение Отключить")</f>
        <v>Выключатель электрический. Выходное значение Отключить</v>
      </c>
      <c r="S24" s="372"/>
      <c r="U24" s="773"/>
      <c r="V24" s="4"/>
      <c r="W24" s="773"/>
      <c r="X24" s="4"/>
    </row>
    <row r="25" spans="1:24">
      <c r="A25" t="str">
        <f>SUBSTITUTE($V$2,"\","|")&amp; "|OCON"</f>
        <v>ZRU_OL1|OCON</v>
      </c>
      <c r="B25" t="s">
        <v>74</v>
      </c>
      <c r="F25" t="s">
        <v>72</v>
      </c>
      <c r="G25" t="s">
        <v>71</v>
      </c>
      <c r="H25">
        <v>0</v>
      </c>
      <c r="I25" t="s">
        <v>72</v>
      </c>
      <c r="J25" t="s">
        <v>69</v>
      </c>
      <c r="K25">
        <v>0</v>
      </c>
      <c r="M25">
        <v>1</v>
      </c>
      <c r="R25" t="str">
        <f>IF($U$2=TRUE,$W$2&amp;". Постоянная команда включить","Постоянная команда включить")</f>
        <v>Выключатель электрический. Постоянная команда включить</v>
      </c>
      <c r="S25" s="372"/>
      <c r="U25" s="773"/>
      <c r="V25" s="4"/>
      <c r="W25" s="773"/>
      <c r="X25" s="4"/>
    </row>
    <row r="26" spans="1:24">
      <c r="A26" t="str">
        <f>SUBSTITUTE($V$2,"\","|")&amp; "|OCOF"</f>
        <v>ZRU_OL1|OCOF</v>
      </c>
      <c r="B26" t="s">
        <v>74</v>
      </c>
      <c r="F26" t="s">
        <v>72</v>
      </c>
      <c r="G26" t="s">
        <v>71</v>
      </c>
      <c r="H26">
        <v>0</v>
      </c>
      <c r="I26" t="s">
        <v>72</v>
      </c>
      <c r="J26" t="s">
        <v>69</v>
      </c>
      <c r="K26">
        <v>0</v>
      </c>
      <c r="M26">
        <v>1</v>
      </c>
      <c r="R26" t="str">
        <f>IF($U$2=TRUE,$W$2&amp;". Постоянная команда отключить","Постоянная команда отключить")</f>
        <v>Выключатель электрический. Постоянная команда отключить</v>
      </c>
      <c r="S26" s="372"/>
      <c r="U26" s="773"/>
      <c r="V26" s="4"/>
      <c r="W26" s="773"/>
      <c r="X26" s="4"/>
    </row>
    <row r="27" spans="1:24">
      <c r="A27" s="4" t="str">
        <f>SUBSTITUTE($V$2,"\","|")&amp; "|LAON"</f>
        <v>ZRU_OL1|LAON</v>
      </c>
      <c r="B27" s="4" t="s">
        <v>74</v>
      </c>
      <c r="F27" s="4" t="s">
        <v>72</v>
      </c>
      <c r="G27" s="4" t="s">
        <v>71</v>
      </c>
      <c r="H27" s="4">
        <v>0</v>
      </c>
      <c r="I27" s="4" t="s">
        <v>72</v>
      </c>
      <c r="J27" s="4" t="s">
        <v>69</v>
      </c>
      <c r="K27" s="4">
        <v>0</v>
      </c>
      <c r="M27">
        <v>1</v>
      </c>
      <c r="R27" t="str">
        <f>IF($U$2=TRUE,$W$2&amp;". Команда алгоритма Включить блокирована","Команда алгоритма Включить блокирована")</f>
        <v>Выключатель электрический. Команда алгоритма Включить блокирована</v>
      </c>
      <c r="S27" s="372"/>
      <c r="U27" s="773"/>
      <c r="V27" s="4"/>
      <c r="W27" s="773"/>
      <c r="X27" s="4"/>
    </row>
    <row r="28" spans="1:24">
      <c r="A28" s="4" t="str">
        <f>SUBSTITUTE($V$2,"\","|")&amp; "|LAOF"</f>
        <v>ZRU_OL1|LAOF</v>
      </c>
      <c r="B28" s="4" t="s">
        <v>74</v>
      </c>
      <c r="F28" s="4" t="s">
        <v>72</v>
      </c>
      <c r="G28" s="4" t="s">
        <v>71</v>
      </c>
      <c r="H28" s="4">
        <v>0</v>
      </c>
      <c r="I28" s="4" t="s">
        <v>72</v>
      </c>
      <c r="J28" s="4" t="s">
        <v>69</v>
      </c>
      <c r="K28" s="4">
        <v>0</v>
      </c>
      <c r="M28">
        <v>1</v>
      </c>
      <c r="R28" t="str">
        <f>IF($U$2=TRUE,$W$2&amp;". Команда алгоритма Отключить блокирована","Команда алгоритма Отключить блокирована")</f>
        <v>Выключатель электрический. Команда алгоритма Отключить блокирована</v>
      </c>
      <c r="S28" s="372"/>
      <c r="U28" s="773"/>
      <c r="V28" s="4"/>
      <c r="W28" s="773"/>
      <c r="X28" s="4"/>
    </row>
    <row r="29" spans="1:24">
      <c r="A29" s="4" t="str">
        <f>SUBSTITUTE($V$2,"\","|")&amp; "|ITON"</f>
        <v>ZRU_OL1|ITON</v>
      </c>
      <c r="B29" s="4" t="s">
        <v>74</v>
      </c>
      <c r="F29" s="4" t="s">
        <v>72</v>
      </c>
      <c r="G29" s="4" t="s">
        <v>71</v>
      </c>
      <c r="H29" s="4">
        <v>0</v>
      </c>
      <c r="I29" s="4" t="s">
        <v>72</v>
      </c>
      <c r="J29" s="4" t="s">
        <v>69</v>
      </c>
      <c r="K29" s="4">
        <v>0</v>
      </c>
      <c r="M29">
        <v>1</v>
      </c>
      <c r="R29" t="str">
        <f>IF($U$2=TRUE,$W$2&amp;". Входное значение тележка вкачена","Входное значение тележка вкачена")</f>
        <v>Выключатель электрический. Входное значение тележка вкачена</v>
      </c>
      <c r="S29" s="372"/>
      <c r="U29" s="773"/>
      <c r="V29" s="4"/>
      <c r="W29" s="773"/>
      <c r="X29" s="4"/>
    </row>
    <row r="30" spans="1:24">
      <c r="A30" s="4" t="str">
        <f>SUBSTITUTE($V$2,"\","|")&amp; "|ITOF"</f>
        <v>ZRU_OL1|ITOF</v>
      </c>
      <c r="B30" s="4" t="s">
        <v>74</v>
      </c>
      <c r="F30" s="4" t="s">
        <v>72</v>
      </c>
      <c r="G30" s="4" t="s">
        <v>71</v>
      </c>
      <c r="H30" s="4">
        <v>0</v>
      </c>
      <c r="I30" s="4" t="s">
        <v>72</v>
      </c>
      <c r="J30" s="4" t="s">
        <v>69</v>
      </c>
      <c r="K30" s="4">
        <v>0</v>
      </c>
      <c r="M30">
        <v>1</v>
      </c>
      <c r="R30" t="str">
        <f>IF($U$2=TRUE,$W$2&amp;". Входное значение тележка выкачена","Входное значение тележка выкачена")</f>
        <v>Выключатель электрический. Входное значение тележка выкачена</v>
      </c>
      <c r="S30" s="372"/>
      <c r="U30" s="773"/>
      <c r="V30" s="4"/>
      <c r="W30" s="773"/>
      <c r="X30" s="4"/>
    </row>
    <row r="31" spans="1:24">
      <c r="A31" s="4" t="str">
        <f>SUBSTITUTE($V$2,"\","|")&amp; "|IRCX"</f>
        <v>ZRU_OL1|IRCX</v>
      </c>
      <c r="B31" s="4" t="s">
        <v>74</v>
      </c>
      <c r="F31" s="4" t="s">
        <v>76</v>
      </c>
      <c r="G31" s="4" t="s">
        <v>71</v>
      </c>
      <c r="H31" s="4">
        <v>0</v>
      </c>
      <c r="I31" s="4" t="s">
        <v>76</v>
      </c>
      <c r="J31" s="4" t="s">
        <v>69</v>
      </c>
      <c r="K31" s="4">
        <v>0</v>
      </c>
      <c r="M31">
        <v>1</v>
      </c>
      <c r="R31" t="str">
        <f>IF($U$2=TRUE,$W$2&amp;". Входное значение Дистанционное управление","Входное значение Дистанционное управление")</f>
        <v>Выключатель электрический. Входное значение Дистанционное управление</v>
      </c>
      <c r="S31" s="372"/>
      <c r="U31" s="773"/>
      <c r="V31" s="4"/>
      <c r="W31" s="773"/>
      <c r="X31" s="4"/>
    </row>
    <row r="32" spans="1:24">
      <c r="A32" s="4" t="str">
        <f>SUBSTITUTE($V$2,"\","|")&amp; "|IPTO"</f>
        <v>ZRU_OL1|IPTO</v>
      </c>
      <c r="B32" s="4" t="s">
        <v>74</v>
      </c>
      <c r="F32" s="4" t="s">
        <v>72</v>
      </c>
      <c r="G32" s="4" t="s">
        <v>71</v>
      </c>
      <c r="H32" s="4">
        <v>0</v>
      </c>
      <c r="I32" s="4" t="s">
        <v>72</v>
      </c>
      <c r="J32" s="4" t="s">
        <v>69</v>
      </c>
      <c r="K32" s="4">
        <v>0</v>
      </c>
      <c r="M32">
        <v>1</v>
      </c>
      <c r="R32" t="str">
        <f>IF($U$2=TRUE,$W$2&amp;". Входное значение аварийное отключение (НО)","Входное значение аварийное отключение (НО)")</f>
        <v>Выключатель электрический. Входное значение аварийное отключение (НО)</v>
      </c>
      <c r="S32" s="372"/>
      <c r="U32" s="773"/>
      <c r="V32" s="4"/>
      <c r="W32" s="773"/>
      <c r="X32" s="4"/>
    </row>
    <row r="33" spans="1:24">
      <c r="A33" s="4" t="str">
        <f>SUBSTITUTE($V$2,"\","|")&amp; "|IPTC"</f>
        <v>ZRU_OL1|IPTC</v>
      </c>
      <c r="B33" s="4" t="s">
        <v>74</v>
      </c>
      <c r="F33" s="4" t="s">
        <v>76</v>
      </c>
      <c r="G33" s="4" t="s">
        <v>71</v>
      </c>
      <c r="H33" s="4">
        <v>0</v>
      </c>
      <c r="I33" s="4" t="s">
        <v>72</v>
      </c>
      <c r="J33" s="4" t="s">
        <v>69</v>
      </c>
      <c r="K33" s="4">
        <v>0</v>
      </c>
      <c r="M33">
        <v>1</v>
      </c>
      <c r="R33" t="str">
        <f>IF($U$2=TRUE,$W$2&amp;". Входное значение аварийное отключение (НЗ)","Входное значение аварийное отключение (НЗ)")</f>
        <v>Выключатель электрический. Входное значение аварийное отключение (НЗ)</v>
      </c>
      <c r="S33" s="372"/>
      <c r="U33" s="773"/>
      <c r="V33" s="4"/>
      <c r="W33" s="773"/>
      <c r="X33" s="4"/>
    </row>
    <row r="34" spans="1:24">
      <c r="A34" s="4" t="str">
        <f>SUBSTITUTE($V$2,"\","|")&amp; "|IONX"</f>
        <v>ZRU_OL1|IONX</v>
      </c>
      <c r="B34" s="4" t="s">
        <v>74</v>
      </c>
      <c r="F34" s="4" t="s">
        <v>72</v>
      </c>
      <c r="G34" s="4" t="s">
        <v>71</v>
      </c>
      <c r="H34" s="4">
        <v>0</v>
      </c>
      <c r="I34" s="4" t="s">
        <v>76</v>
      </c>
      <c r="J34" s="4" t="s">
        <v>69</v>
      </c>
      <c r="K34" s="4">
        <v>0</v>
      </c>
      <c r="M34">
        <v>1</v>
      </c>
      <c r="R34" t="str">
        <f>IF($U$2=TRUE,$W$2&amp;". Входное значение Включен","Входное значение Включен")</f>
        <v>Выключатель электрический. Входное значение Включен</v>
      </c>
      <c r="S34" s="372"/>
      <c r="U34" s="773"/>
      <c r="V34" s="4"/>
      <c r="W34" s="773"/>
      <c r="X34" s="4"/>
    </row>
    <row r="35" spans="1:24">
      <c r="A35" s="4" t="str">
        <f>SUBSTITUTE($V$2,"\","|")&amp; "|IOFX"</f>
        <v>ZRU_OL1|IOFX</v>
      </c>
      <c r="B35" s="4" t="s">
        <v>74</v>
      </c>
      <c r="F35" s="4" t="s">
        <v>72</v>
      </c>
      <c r="G35" s="4" t="s">
        <v>71</v>
      </c>
      <c r="H35" s="4">
        <v>0</v>
      </c>
      <c r="I35" s="4" t="s">
        <v>76</v>
      </c>
      <c r="J35" s="4" t="s">
        <v>69</v>
      </c>
      <c r="K35" s="4">
        <v>0</v>
      </c>
      <c r="M35">
        <v>1</v>
      </c>
      <c r="R35" t="str">
        <f>IF($U$2=TRUE,$W$2&amp;". Входное значение Отключен","Входное значение Отключен")</f>
        <v>Выключатель электрический. Входное значение Отключен</v>
      </c>
      <c r="S35" s="372"/>
      <c r="U35" s="773"/>
      <c r="V35" s="4"/>
      <c r="W35" s="773"/>
      <c r="X35" s="4"/>
    </row>
    <row r="36" spans="1:24">
      <c r="A36" s="4" t="str">
        <f>SUBSTITUTE($V$2,"\","|")&amp; "|ILCX"</f>
        <v>ZRU_OL1|ILCX</v>
      </c>
      <c r="B36" s="4" t="s">
        <v>74</v>
      </c>
      <c r="F36" s="4" t="s">
        <v>72</v>
      </c>
      <c r="G36" s="4" t="s">
        <v>71</v>
      </c>
      <c r="H36" s="4">
        <v>0</v>
      </c>
      <c r="I36" s="4" t="s">
        <v>76</v>
      </c>
      <c r="J36" s="4" t="s">
        <v>69</v>
      </c>
      <c r="K36" s="4">
        <v>0</v>
      </c>
      <c r="M36">
        <v>1</v>
      </c>
      <c r="R36" t="str">
        <f>IF($U$2=TRUE,$W$2&amp;". Входное значение Местное управление","Входное значение Местное управление")</f>
        <v>Выключатель электрический. Входное значение Местное управление</v>
      </c>
      <c r="S36" s="372"/>
      <c r="U36" s="773"/>
      <c r="V36" s="4"/>
      <c r="W36" s="773"/>
      <c r="X36" s="4"/>
    </row>
    <row r="37" spans="1:24">
      <c r="A37" s="4" t="str">
        <f>SUBSTITUTE($V$2,"\","|")&amp; "|IFXX"</f>
        <v>ZRU_OL1|IFXX</v>
      </c>
      <c r="B37" s="4" t="s">
        <v>74</v>
      </c>
      <c r="F37" s="4" t="s">
        <v>72</v>
      </c>
      <c r="G37" s="4" t="s">
        <v>71</v>
      </c>
      <c r="H37" s="4">
        <v>0</v>
      </c>
      <c r="I37" s="4" t="s">
        <v>72</v>
      </c>
      <c r="J37" s="4" t="s">
        <v>69</v>
      </c>
      <c r="K37" s="4">
        <v>0</v>
      </c>
      <c r="M37">
        <v>1</v>
      </c>
      <c r="R37" t="str">
        <f>IF($U$2=TRUE,$W$2&amp;". Входное значение Неисправность","Входное значение Неисправность")</f>
        <v>Выключатель электрический. Входное значение Неисправность</v>
      </c>
      <c r="S37" s="372"/>
      <c r="U37" s="773"/>
      <c r="V37" s="4"/>
      <c r="W37" s="773"/>
      <c r="X37" s="4"/>
    </row>
    <row r="38" spans="1:24">
      <c r="A38" s="4" t="str">
        <f>SUBSTITUTE($V$2,"\","|")&amp; "|FXXX"</f>
        <v>ZRU_OL1|FXXX</v>
      </c>
      <c r="B38" s="4" t="s">
        <v>74</v>
      </c>
      <c r="F38" s="4" t="s">
        <v>72</v>
      </c>
      <c r="G38" s="4" t="s">
        <v>71</v>
      </c>
      <c r="H38" s="4">
        <v>0</v>
      </c>
      <c r="I38" s="4" t="s">
        <v>72</v>
      </c>
      <c r="J38" s="4" t="s">
        <v>69</v>
      </c>
      <c r="K38" s="4">
        <v>0</v>
      </c>
      <c r="M38">
        <v>1</v>
      </c>
      <c r="R38" t="str">
        <f>IF($U$2=TRUE,$W$2&amp;". Обобщенная неисправность","Обобщенная неисправность")</f>
        <v>Выключатель электрический. Обобщенная неисправность</v>
      </c>
      <c r="S38" s="372"/>
      <c r="U38" s="773"/>
      <c r="V38" s="4"/>
      <c r="W38" s="773"/>
      <c r="X38" s="4"/>
    </row>
    <row r="39" spans="1:24">
      <c r="A39" s="4" t="str">
        <f>SUBSTITUTE($V$2,"\","|")&amp; "|FUTX"</f>
        <v>ZRU_OL1|FUTX</v>
      </c>
      <c r="B39" s="4" t="s">
        <v>74</v>
      </c>
      <c r="F39" s="4" t="s">
        <v>72</v>
      </c>
      <c r="G39" s="4" t="s">
        <v>71</v>
      </c>
      <c r="H39" s="4">
        <v>0</v>
      </c>
      <c r="I39" s="4" t="s">
        <v>72</v>
      </c>
      <c r="J39" s="4" t="s">
        <v>69</v>
      </c>
      <c r="K39" s="4">
        <v>0</v>
      </c>
      <c r="M39">
        <v>1</v>
      </c>
      <c r="R39" t="str">
        <f>IF($U$2=TRUE,$W$2&amp;". Неопределенно положение тележки","Неопределенно положение тележки")</f>
        <v>Выключатель электрический. Неопределенно положение тележки</v>
      </c>
      <c r="S39" s="372"/>
      <c r="U39" s="773"/>
      <c r="V39" s="4"/>
      <c r="W39" s="773"/>
      <c r="X39" s="4"/>
    </row>
    <row r="40" spans="1:24">
      <c r="A40" t="str">
        <f>SUBSTITUTE($V$2,"\","|")&amp; "|FUSX"</f>
        <v>ZRU_OL1|FUSX</v>
      </c>
      <c r="B40" t="s">
        <v>74</v>
      </c>
      <c r="F40" t="s">
        <v>72</v>
      </c>
      <c r="G40" t="s">
        <v>71</v>
      </c>
      <c r="H40">
        <v>0</v>
      </c>
      <c r="I40" t="s">
        <v>72</v>
      </c>
      <c r="J40" t="s">
        <v>69</v>
      </c>
      <c r="K40">
        <v>0</v>
      </c>
      <c r="M40">
        <v>1</v>
      </c>
      <c r="R40" t="str">
        <f>IF($U$2=TRUE,$W$2&amp;". Неопределенное положение выключателя","Неопределенное положение выключателя")</f>
        <v>Выключатель электрический. Неопределенное положение выключателя</v>
      </c>
      <c r="S40" s="372"/>
      <c r="U40" s="773"/>
      <c r="V40" s="4"/>
      <c r="W40" s="773"/>
      <c r="X40" s="4"/>
    </row>
    <row r="41" spans="1:24">
      <c r="A41" t="str">
        <f>SUBSTITUTE($V$2,"\","|")&amp; "|FUPT"</f>
        <v>ZRU_OL1|FUPT</v>
      </c>
      <c r="B41" t="s">
        <v>74</v>
      </c>
      <c r="F41" t="s">
        <v>72</v>
      </c>
      <c r="G41" t="s">
        <v>71</v>
      </c>
      <c r="H41">
        <v>0</v>
      </c>
      <c r="I41" t="s">
        <v>72</v>
      </c>
      <c r="J41" t="s">
        <v>69</v>
      </c>
      <c r="K41">
        <v>0</v>
      </c>
      <c r="M41">
        <v>1</v>
      </c>
      <c r="R41" t="str">
        <f>IF($U$2=TRUE,$W$2&amp;". Неопределенно положение аварийного отключения","Неопределенно положение аварийного отключения")</f>
        <v>Выключатель электрический. Неопределенно положение аварийного отключения</v>
      </c>
      <c r="S41" s="372"/>
      <c r="U41" s="773"/>
      <c r="V41" s="4"/>
      <c r="W41" s="773"/>
      <c r="X41" s="4"/>
    </row>
    <row r="42" spans="1:24">
      <c r="A42" t="str">
        <f>SUBSTITUTE($V$2,"\","|")&amp; "|FUCX"</f>
        <v>ZRU_OL1|FUCX</v>
      </c>
      <c r="B42" t="s">
        <v>74</v>
      </c>
      <c r="F42" t="s">
        <v>72</v>
      </c>
      <c r="G42" t="s">
        <v>71</v>
      </c>
      <c r="H42">
        <v>0</v>
      </c>
      <c r="I42" t="s">
        <v>72</v>
      </c>
      <c r="J42" t="s">
        <v>69</v>
      </c>
      <c r="K42">
        <v>0</v>
      </c>
      <c r="M42">
        <v>1</v>
      </c>
      <c r="R42" t="str">
        <f>IF($U$2=TRUE,$W$2&amp;". Неопределенное положение режима управления","Неопределенное положение режима управления")</f>
        <v>Выключатель электрический. Неопределенное положение режима управления</v>
      </c>
      <c r="S42" s="372"/>
      <c r="U42" s="773"/>
      <c r="V42" s="4"/>
      <c r="W42" s="773"/>
      <c r="X42" s="4"/>
    </row>
    <row r="43" spans="1:24">
      <c r="A43" t="str">
        <f>SUBSTITUTE($V$2,"\","|")&amp; "|FRQX"</f>
        <v>ZRU_OL1|FRQX</v>
      </c>
      <c r="B43" t="s">
        <v>74</v>
      </c>
      <c r="F43" t="s">
        <v>72</v>
      </c>
      <c r="G43" t="s">
        <v>71</v>
      </c>
      <c r="H43">
        <v>0</v>
      </c>
      <c r="I43" t="s">
        <v>72</v>
      </c>
      <c r="J43" t="s">
        <v>69</v>
      </c>
      <c r="K43">
        <v>0</v>
      </c>
      <c r="M43">
        <v>1</v>
      </c>
      <c r="R43" t="str">
        <f>IF($U$2=TRUE,$W$2&amp;". Сработала уставка по наработке концевиков","Сработала уставка по наработке концевиков")</f>
        <v>Выключатель электрический. Сработала уставка по наработке концевиков</v>
      </c>
      <c r="S43" s="372"/>
      <c r="U43" s="773"/>
      <c r="V43" s="4"/>
      <c r="W43" s="773"/>
      <c r="X43" s="4"/>
    </row>
    <row r="44" spans="1:24">
      <c r="A44" t="str">
        <f>SUBSTITUTE($V$2,"\","|")&amp; "|FRPT"</f>
        <v>ZRU_OL1|FRPT</v>
      </c>
      <c r="B44" t="s">
        <v>74</v>
      </c>
      <c r="F44" t="s">
        <v>72</v>
      </c>
      <c r="G44" t="s">
        <v>71</v>
      </c>
      <c r="H44">
        <v>0</v>
      </c>
      <c r="I44" t="s">
        <v>72</v>
      </c>
      <c r="J44" t="s">
        <v>69</v>
      </c>
      <c r="K44">
        <v>0</v>
      </c>
      <c r="M44">
        <v>1</v>
      </c>
      <c r="R44" t="str">
        <f>IF($U$2=TRUE,$W$2&amp;". Предельная наработка по аварийному отключению","Предельная наработка по аварийному отключению")</f>
        <v>Выключатель электрический. Предельная наработка по аварийному отключению</v>
      </c>
      <c r="S44" s="372"/>
      <c r="U44" s="773"/>
      <c r="V44" s="4"/>
      <c r="W44" s="773"/>
      <c r="X44" s="4"/>
    </row>
    <row r="45" spans="1:24">
      <c r="A45" t="str">
        <f>SUBSTITUTE($V$2,"\","|")&amp; "|FPTX"</f>
        <v>ZRU_OL1|FPTX</v>
      </c>
      <c r="B45" t="s">
        <v>74</v>
      </c>
      <c r="F45" t="s">
        <v>72</v>
      </c>
      <c r="G45" t="s">
        <v>71</v>
      </c>
      <c r="H45">
        <v>0</v>
      </c>
      <c r="I45" t="s">
        <v>72</v>
      </c>
      <c r="J45" t="s">
        <v>69</v>
      </c>
      <c r="K45">
        <v>0</v>
      </c>
      <c r="M45">
        <v>1</v>
      </c>
      <c r="R45" t="str">
        <f>IF($U$2=TRUE,$W$2&amp;". Аварийно отключен","Аварийно отключен")</f>
        <v>Выключатель электрический. Аварийно отключен</v>
      </c>
      <c r="S45" s="372"/>
      <c r="U45" s="773"/>
      <c r="V45" s="4"/>
      <c r="W45" s="773"/>
      <c r="X45" s="4"/>
    </row>
    <row r="46" spans="1:24">
      <c r="A46" t="str">
        <f>SUBSTITUTE($V$2,"\","|")&amp; "|FONX"</f>
        <v>ZRU_OL1|FONX</v>
      </c>
      <c r="B46" t="s">
        <v>74</v>
      </c>
      <c r="F46" t="s">
        <v>72</v>
      </c>
      <c r="G46" t="s">
        <v>71</v>
      </c>
      <c r="H46">
        <v>0</v>
      </c>
      <c r="I46" t="s">
        <v>72</v>
      </c>
      <c r="J46" t="s">
        <v>69</v>
      </c>
      <c r="K46">
        <v>0</v>
      </c>
      <c r="M46">
        <v>1</v>
      </c>
      <c r="R46" t="str">
        <f>IF($U$2=TRUE,$W$2&amp;". Не включился/ Не открылся","Не включился/ Не открылся")</f>
        <v>Выключатель электрический. Не включился/ Не открылся</v>
      </c>
      <c r="S46" s="372"/>
      <c r="U46" s="773"/>
      <c r="V46" s="4"/>
      <c r="W46" s="773"/>
      <c r="X46" s="4"/>
    </row>
    <row r="47" spans="1:24">
      <c r="A47" t="str">
        <f>SUBSTITUTE($V$2,"\","|")&amp; "|FOFX"</f>
        <v>ZRU_OL1|FOFX</v>
      </c>
      <c r="B47" t="s">
        <v>74</v>
      </c>
      <c r="F47" t="s">
        <v>72</v>
      </c>
      <c r="G47" t="s">
        <v>71</v>
      </c>
      <c r="H47">
        <v>0</v>
      </c>
      <c r="I47" t="s">
        <v>72</v>
      </c>
      <c r="J47" t="s">
        <v>69</v>
      </c>
      <c r="K47">
        <v>0</v>
      </c>
      <c r="M47">
        <v>1</v>
      </c>
      <c r="R47" t="str">
        <f>IF($U$2=TRUE,$W$2&amp;". Не отключился/ Не закрылся","Не отключился/ Не закрылся")</f>
        <v>Выключатель электрический. Не отключился/ Не закрылся</v>
      </c>
      <c r="S47" s="372"/>
      <c r="U47" s="773"/>
      <c r="V47" s="4"/>
      <c r="W47" s="773"/>
      <c r="X47" s="4"/>
    </row>
    <row r="48" spans="1:24">
      <c r="A48" t="str">
        <f>SUBSTITUTE($V$2,"\","|")&amp; "|FFON"</f>
        <v>ZRU_OL1|FFON</v>
      </c>
      <c r="B48" t="s">
        <v>74</v>
      </c>
      <c r="F48" t="s">
        <v>72</v>
      </c>
      <c r="G48" t="s">
        <v>71</v>
      </c>
      <c r="H48">
        <v>0</v>
      </c>
      <c r="I48" t="s">
        <v>72</v>
      </c>
      <c r="J48" t="s">
        <v>69</v>
      </c>
      <c r="K48">
        <v>0</v>
      </c>
      <c r="M48">
        <v>1</v>
      </c>
      <c r="R48" t="str">
        <f>IF($U$2=TRUE,$W$2&amp;". Несанкционированное включение","Несанкционированное включение")</f>
        <v>Выключатель электрический. Несанкционированное включение</v>
      </c>
      <c r="S48" s="372"/>
      <c r="U48" s="773"/>
      <c r="V48" s="4"/>
      <c r="W48" s="773"/>
      <c r="X48" s="4"/>
    </row>
    <row r="49" spans="1:24">
      <c r="A49" t="str">
        <f>SUBSTITUTE($V$2,"\","|")&amp; "|FFOF"</f>
        <v>ZRU_OL1|FFOF</v>
      </c>
      <c r="B49" t="s">
        <v>74</v>
      </c>
      <c r="F49" t="s">
        <v>72</v>
      </c>
      <c r="G49" t="s">
        <v>71</v>
      </c>
      <c r="H49">
        <v>0</v>
      </c>
      <c r="I49" t="s">
        <v>72</v>
      </c>
      <c r="J49" t="s">
        <v>69</v>
      </c>
      <c r="K49">
        <v>0</v>
      </c>
      <c r="M49">
        <v>1</v>
      </c>
      <c r="R49" t="str">
        <f>IF($U$2=TRUE,$W$2&amp;". Несануционированное отключение","Несануционированное отключение")</f>
        <v>Выключатель электрический. Несануционированное отключение</v>
      </c>
      <c r="S49" s="372"/>
      <c r="U49" s="773"/>
      <c r="V49" s="4"/>
      <c r="W49" s="773"/>
      <c r="X49" s="4"/>
    </row>
    <row r="50" spans="1:24">
      <c r="A50" t="str">
        <f>SUBSTITUTE($V$2,"\","|")&amp; "|FDTX"</f>
        <v>ZRU_OL1|FDTX</v>
      </c>
      <c r="B50" t="s">
        <v>74</v>
      </c>
      <c r="F50" t="s">
        <v>72</v>
      </c>
      <c r="G50" t="s">
        <v>71</v>
      </c>
      <c r="H50">
        <v>0</v>
      </c>
      <c r="I50" t="s">
        <v>72</v>
      </c>
      <c r="J50" t="s">
        <v>69</v>
      </c>
      <c r="K50">
        <v>0</v>
      </c>
      <c r="M50">
        <v>1</v>
      </c>
      <c r="R50" t="str">
        <f>IF($U$2=TRUE,$W$2&amp;". Двойное положение тележки","Двойное положение тележки")</f>
        <v>Выключатель электрический. Двойное положение тележки</v>
      </c>
      <c r="S50" s="372"/>
      <c r="U50" s="773"/>
      <c r="V50" s="4"/>
      <c r="W50" s="773"/>
      <c r="X50" s="4"/>
    </row>
    <row r="51" spans="1:24">
      <c r="A51" t="str">
        <f>SUBSTITUTE($V$2,"\","|")&amp; "|FDSX"</f>
        <v>ZRU_OL1|FDSX</v>
      </c>
      <c r="B51" t="s">
        <v>74</v>
      </c>
      <c r="F51" t="s">
        <v>72</v>
      </c>
      <c r="G51" t="s">
        <v>71</v>
      </c>
      <c r="H51">
        <v>0</v>
      </c>
      <c r="I51" t="s">
        <v>72</v>
      </c>
      <c r="J51" t="s">
        <v>69</v>
      </c>
      <c r="K51">
        <v>0</v>
      </c>
      <c r="M51">
        <v>1</v>
      </c>
      <c r="R51" t="str">
        <f>IF($U$2=TRUE,$W$2&amp;". Двойное положение выключателя","Двойное положение выключателя")</f>
        <v>Выключатель электрический. Двойное положение выключателя</v>
      </c>
      <c r="S51" s="372"/>
      <c r="U51" s="773"/>
      <c r="V51" s="4"/>
      <c r="W51" s="773"/>
      <c r="X51" s="4"/>
    </row>
    <row r="52" spans="1:24">
      <c r="A52" t="str">
        <f>SUBSTITUTE($V$2,"\","|")&amp; "|FDPT"</f>
        <v>ZRU_OL1|FDPT</v>
      </c>
      <c r="B52" t="s">
        <v>74</v>
      </c>
      <c r="F52" t="s">
        <v>72</v>
      </c>
      <c r="G52" t="s">
        <v>71</v>
      </c>
      <c r="H52">
        <v>0</v>
      </c>
      <c r="I52" t="s">
        <v>72</v>
      </c>
      <c r="J52" t="s">
        <v>69</v>
      </c>
      <c r="K52">
        <v>0</v>
      </c>
      <c r="M52">
        <v>1</v>
      </c>
      <c r="R52" t="str">
        <f>IF($U$2=TRUE,$W$2&amp;". Двойное положение аварийного отключения","Двойное положение аварийного отключения")</f>
        <v>Выключатель электрический. Двойное положение аварийного отключения</v>
      </c>
      <c r="S52" s="372"/>
      <c r="U52" s="773"/>
      <c r="V52" s="4"/>
      <c r="W52" s="773"/>
      <c r="X52" s="4"/>
    </row>
    <row r="53" spans="1:24">
      <c r="A53" t="str">
        <f>SUBSTITUTE($V$2,"\","|")&amp; "|FDCX"</f>
        <v>ZRU_OL1|FDCX</v>
      </c>
      <c r="B53" t="s">
        <v>74</v>
      </c>
      <c r="F53" t="s">
        <v>72</v>
      </c>
      <c r="G53" t="s">
        <v>71</v>
      </c>
      <c r="H53">
        <v>0</v>
      </c>
      <c r="I53" t="s">
        <v>72</v>
      </c>
      <c r="J53" t="s">
        <v>69</v>
      </c>
      <c r="K53">
        <v>0</v>
      </c>
      <c r="M53">
        <v>1</v>
      </c>
      <c r="R53" t="str">
        <f>IF($U$2=TRUE,$W$2&amp;". Двойное положение режима управления","Двойное положение режима управления")</f>
        <v>Выключатель электрический. Двойное положение режима управления</v>
      </c>
      <c r="S53" s="372"/>
      <c r="U53" s="773"/>
      <c r="V53" s="4"/>
      <c r="W53" s="773"/>
      <c r="X53" s="4"/>
    </row>
    <row r="54" spans="1:24">
      <c r="A54" t="str">
        <f>SUBSTITUTE($V$2,"\","|")&amp; "|FCOM"</f>
        <v>ZRU_OL1|FCOM</v>
      </c>
      <c r="B54" t="s">
        <v>74</v>
      </c>
      <c r="F54" t="s">
        <v>72</v>
      </c>
      <c r="G54" t="s">
        <v>71</v>
      </c>
      <c r="H54">
        <v>0</v>
      </c>
      <c r="I54" t="s">
        <v>72</v>
      </c>
      <c r="J54" t="s">
        <v>69</v>
      </c>
      <c r="K54">
        <v>0</v>
      </c>
      <c r="M54">
        <v>1</v>
      </c>
      <c r="R54" t="str">
        <f>IF($U$2=TRUE,$W$2&amp;". Противоречивость команд","Противоречивость команд")</f>
        <v>Выключатель электрический. Противоречивость команд</v>
      </c>
      <c r="S54" s="372"/>
      <c r="U54" s="773"/>
      <c r="V54" s="4"/>
      <c r="W54" s="773"/>
      <c r="X54" s="4"/>
    </row>
    <row r="55" spans="1:24">
      <c r="A55" t="str">
        <f>SUBSTITUTE($V$2,"\","|")&amp; "|DTON"</f>
        <v>ZRU_OL1|DTON</v>
      </c>
      <c r="B55" t="s">
        <v>74</v>
      </c>
      <c r="F55" t="s">
        <v>72</v>
      </c>
      <c r="G55" t="s">
        <v>71</v>
      </c>
      <c r="H55">
        <v>0</v>
      </c>
      <c r="I55" t="s">
        <v>72</v>
      </c>
      <c r="J55" t="s">
        <v>69</v>
      </c>
      <c r="K55">
        <v>0</v>
      </c>
      <c r="M55">
        <v>1</v>
      </c>
      <c r="R55" t="str">
        <f>IF($U$2=TRUE,$W$2&amp;". Недостоверное Входное значение тележка вкачена","Недостоверное Входное значение тележка вкачена")</f>
        <v>Выключатель электрический. Недостоверное Входное значение тележка вкачена</v>
      </c>
      <c r="S55" s="372"/>
      <c r="U55" s="773"/>
      <c r="V55" s="4"/>
      <c r="W55" s="773"/>
      <c r="X55" s="4"/>
    </row>
    <row r="56" spans="1:24">
      <c r="A56" t="str">
        <f>SUBSTITUTE($V$2,"\","|")&amp; "|DTOF"</f>
        <v>ZRU_OL1|DTOF</v>
      </c>
      <c r="B56" t="s">
        <v>74</v>
      </c>
      <c r="F56" t="s">
        <v>72</v>
      </c>
      <c r="G56" t="s">
        <v>71</v>
      </c>
      <c r="H56">
        <v>0</v>
      </c>
      <c r="I56" t="s">
        <v>72</v>
      </c>
      <c r="J56" t="s">
        <v>69</v>
      </c>
      <c r="K56">
        <v>0</v>
      </c>
      <c r="M56">
        <v>1</v>
      </c>
      <c r="R56" t="str">
        <f>IF($U$2=TRUE,$W$2&amp;". Недостоверное Входное значение тележка выкачена","Недостоверное Входное значение тележка выкачена")</f>
        <v>Выключатель электрический. Недостоверное Входное значение тележка выкачена</v>
      </c>
      <c r="S56" s="372"/>
      <c r="U56" s="773"/>
      <c r="V56" s="4"/>
      <c r="W56" s="773"/>
      <c r="X56" s="4"/>
    </row>
    <row r="57" spans="1:24">
      <c r="A57" t="str">
        <f>SUBSTITUTE($V$2,"\","|")&amp; "|DRCX"</f>
        <v>ZRU_OL1|DRCX</v>
      </c>
      <c r="B57" t="s">
        <v>74</v>
      </c>
      <c r="F57" t="s">
        <v>72</v>
      </c>
      <c r="G57" t="s">
        <v>71</v>
      </c>
      <c r="H57">
        <v>0</v>
      </c>
      <c r="I57" t="s">
        <v>72</v>
      </c>
      <c r="J57" t="s">
        <v>69</v>
      </c>
      <c r="K57">
        <v>0</v>
      </c>
      <c r="M57">
        <v>1</v>
      </c>
      <c r="R57" t="str">
        <f>IF($U$2=TRUE,$W$2&amp;". Недостоверное Входное значение Дистанционное управление","Недостоверное Входное значение Дистанционное управление")</f>
        <v>Выключатель электрический. Недостоверное Входное значение Дистанционное управление</v>
      </c>
      <c r="S57" s="372"/>
      <c r="U57" s="773"/>
      <c r="V57" s="4"/>
      <c r="W57" s="773"/>
      <c r="X57" s="4"/>
    </row>
    <row r="58" spans="1:24">
      <c r="A58" t="str">
        <f>SUBSTITUTE($V$2,"\","|")&amp; "|DPTO"</f>
        <v>ZRU_OL1|DPTO</v>
      </c>
      <c r="B58" t="s">
        <v>74</v>
      </c>
      <c r="F58" t="s">
        <v>72</v>
      </c>
      <c r="G58" t="s">
        <v>71</v>
      </c>
      <c r="H58">
        <v>0</v>
      </c>
      <c r="I58" t="s">
        <v>72</v>
      </c>
      <c r="J58" t="s">
        <v>69</v>
      </c>
      <c r="K58">
        <v>0</v>
      </c>
      <c r="M58">
        <v>1</v>
      </c>
      <c r="R58" t="str">
        <f>IF($U$2=TRUE,$W$2&amp;". Недостоверное Входное значение аварийное отключение (НО)","Недостоверное Входное значение аварийное отключение (НО)")</f>
        <v>Выключатель электрический. Недостоверное Входное значение аварийное отключение (НО)</v>
      </c>
      <c r="S58" s="372"/>
      <c r="U58" s="773"/>
      <c r="V58" s="4"/>
      <c r="W58" s="773"/>
      <c r="X58" s="4"/>
    </row>
    <row r="59" spans="1:24">
      <c r="A59" t="str">
        <f>SUBSTITUTE($V$2,"\","|")&amp; "|DPTC"</f>
        <v>ZRU_OL1|DPTC</v>
      </c>
      <c r="B59" t="s">
        <v>74</v>
      </c>
      <c r="F59" t="s">
        <v>72</v>
      </c>
      <c r="G59" t="s">
        <v>71</v>
      </c>
      <c r="H59">
        <v>0</v>
      </c>
      <c r="I59" t="s">
        <v>72</v>
      </c>
      <c r="J59" t="s">
        <v>69</v>
      </c>
      <c r="K59">
        <v>0</v>
      </c>
      <c r="M59">
        <v>1</v>
      </c>
      <c r="R59" t="str">
        <f>IF($U$2=TRUE,$W$2&amp;". Недостоверное Входное значение аварийное отключение (НЗ)","Недостоверное Входное значение аварийное отключение (НЗ)")</f>
        <v>Выключатель электрический. Недостоверное Входное значение аварийное отключение (НЗ)</v>
      </c>
      <c r="S59" s="372"/>
      <c r="U59" s="773"/>
      <c r="V59" s="4"/>
      <c r="W59" s="773"/>
      <c r="X59" s="4"/>
    </row>
    <row r="60" spans="1:24">
      <c r="A60" t="str">
        <f>SUBSTITUTE($V$2,"\","|")&amp; "|DOSP"</f>
        <v>ZRU_OL1|DOSP</v>
      </c>
      <c r="B60" t="s">
        <v>74</v>
      </c>
      <c r="F60" t="s">
        <v>72</v>
      </c>
      <c r="G60" t="s">
        <v>71</v>
      </c>
      <c r="H60">
        <v>0</v>
      </c>
      <c r="I60" t="s">
        <v>72</v>
      </c>
      <c r="J60" t="s">
        <v>69</v>
      </c>
      <c r="K60">
        <v>0</v>
      </c>
      <c r="M60">
        <v>1</v>
      </c>
      <c r="R60" t="str">
        <f>IF($U$2=TRUE,$W$2&amp;". Недостоверное Выходное значение Стоп","Недостоверное Выходное значение Стоп")</f>
        <v>Выключатель электрический. Недостоверное Выходное значение Стоп</v>
      </c>
      <c r="S60" s="372"/>
      <c r="U60" s="773"/>
      <c r="V60" s="4"/>
      <c r="W60" s="773"/>
      <c r="X60" s="4"/>
    </row>
    <row r="61" spans="1:24">
      <c r="A61" t="str">
        <f>SUBSTITUTE($V$2,"\","|")&amp; "|DOON"</f>
        <v>ZRU_OL1|DOON</v>
      </c>
      <c r="B61" t="s">
        <v>74</v>
      </c>
      <c r="F61" t="s">
        <v>72</v>
      </c>
      <c r="G61" t="s">
        <v>71</v>
      </c>
      <c r="H61">
        <v>0</v>
      </c>
      <c r="I61" t="s">
        <v>72</v>
      </c>
      <c r="J61" t="s">
        <v>69</v>
      </c>
      <c r="K61">
        <v>0</v>
      </c>
      <c r="M61">
        <v>1</v>
      </c>
      <c r="R61" t="str">
        <f>IF($U$2=TRUE,$W$2&amp;". Недостоверное Выходное  значение Включить","Недостоверное Выходное  значение Включить")</f>
        <v>Выключатель электрический. Недостоверное Выходное  значение Включить</v>
      </c>
      <c r="S61" s="372"/>
      <c r="U61" s="773"/>
      <c r="V61" s="4"/>
      <c r="W61" s="773"/>
      <c r="X61" s="4"/>
    </row>
    <row r="62" spans="1:24">
      <c r="A62" t="str">
        <f>SUBSTITUTE($V$2,"\","|")&amp; "|DOOF"</f>
        <v>ZRU_OL1|DOOF</v>
      </c>
      <c r="B62" t="s">
        <v>74</v>
      </c>
      <c r="F62" t="s">
        <v>72</v>
      </c>
      <c r="G62" t="s">
        <v>71</v>
      </c>
      <c r="H62">
        <v>0</v>
      </c>
      <c r="I62" t="s">
        <v>72</v>
      </c>
      <c r="J62" t="s">
        <v>69</v>
      </c>
      <c r="K62">
        <v>0</v>
      </c>
      <c r="M62">
        <v>1</v>
      </c>
      <c r="R62" t="str">
        <f>IF($U$2=TRUE,$W$2&amp;". Недостоверное Выходное значение Отключить","Недостоверное Выходное значение Отключить")</f>
        <v>Выключатель электрический. Недостоверное Выходное значение Отключить</v>
      </c>
      <c r="S62" s="372"/>
      <c r="U62" s="773"/>
      <c r="V62" s="4"/>
      <c r="W62" s="773"/>
      <c r="X62" s="4"/>
    </row>
    <row r="63" spans="1:24">
      <c r="A63" t="str">
        <f>SUBSTITUTE($V$2,"\","|")&amp; "|DONX"</f>
        <v>ZRU_OL1|DONX</v>
      </c>
      <c r="B63" t="s">
        <v>74</v>
      </c>
      <c r="F63" t="s">
        <v>72</v>
      </c>
      <c r="G63" t="s">
        <v>71</v>
      </c>
      <c r="H63">
        <v>0</v>
      </c>
      <c r="I63" t="s">
        <v>72</v>
      </c>
      <c r="J63" t="s">
        <v>69</v>
      </c>
      <c r="K63">
        <v>0</v>
      </c>
      <c r="M63">
        <v>1</v>
      </c>
      <c r="R63" t="str">
        <f>IF($U$2=TRUE,$W$2&amp;". Недостоверное Входное значение Включен","Недостоверное Входное значение Включен")</f>
        <v>Выключатель электрический. Недостоверное Входное значение Включен</v>
      </c>
      <c r="S63" s="372"/>
      <c r="U63" s="773"/>
      <c r="V63" s="4"/>
      <c r="W63" s="773"/>
      <c r="X63" s="4"/>
    </row>
    <row r="64" spans="1:24">
      <c r="A64" t="str">
        <f>SUBSTITUTE($V$2,"\","|")&amp; "|DOFX"</f>
        <v>ZRU_OL1|DOFX</v>
      </c>
      <c r="B64" t="s">
        <v>74</v>
      </c>
      <c r="F64" t="s">
        <v>72</v>
      </c>
      <c r="G64" t="s">
        <v>71</v>
      </c>
      <c r="H64">
        <v>0</v>
      </c>
      <c r="I64" t="s">
        <v>72</v>
      </c>
      <c r="J64" t="s">
        <v>69</v>
      </c>
      <c r="K64">
        <v>0</v>
      </c>
      <c r="M64">
        <v>1</v>
      </c>
      <c r="R64" t="str">
        <f>IF($U$2=TRUE,$W$2&amp;". Недостоверное Входное значение Отключен","Недостоверное Входное значение Отключен")</f>
        <v>Выключатель электрический. Недостоверное Входное значение Отключен</v>
      </c>
      <c r="S64" s="372"/>
      <c r="U64" s="773"/>
      <c r="V64" s="4"/>
      <c r="W64" s="773"/>
      <c r="X64" s="4"/>
    </row>
    <row r="65" spans="1:24">
      <c r="A65" t="str">
        <f>SUBSTITUTE($V$2,"\","|")&amp; "|DLCX"</f>
        <v>ZRU_OL1|DLCX</v>
      </c>
      <c r="B65" t="s">
        <v>74</v>
      </c>
      <c r="F65" t="s">
        <v>72</v>
      </c>
      <c r="G65" t="s">
        <v>71</v>
      </c>
      <c r="H65">
        <v>0</v>
      </c>
      <c r="I65" t="s">
        <v>72</v>
      </c>
      <c r="J65" t="s">
        <v>69</v>
      </c>
      <c r="K65">
        <v>0</v>
      </c>
      <c r="M65">
        <v>1</v>
      </c>
      <c r="R65" t="str">
        <f>IF($U$2=TRUE,$W$2&amp;". Недостоверное Входное значение Местное управление","Недостоверное Входное значение Местное управление")</f>
        <v>Выключатель электрический. Недостоверное Входное значение Местное управление</v>
      </c>
      <c r="S65" s="372"/>
      <c r="U65" s="773"/>
      <c r="V65" s="4"/>
      <c r="W65" s="773"/>
      <c r="X65" s="4"/>
    </row>
    <row r="66" spans="1:24">
      <c r="A66" t="str">
        <f>SUBSTITUTE($V$2,"\","|")&amp; "|DFXX"</f>
        <v>ZRU_OL1|DFXX</v>
      </c>
      <c r="B66" t="s">
        <v>74</v>
      </c>
      <c r="F66" t="s">
        <v>72</v>
      </c>
      <c r="G66" t="s">
        <v>71</v>
      </c>
      <c r="H66">
        <v>0</v>
      </c>
      <c r="I66" t="s">
        <v>72</v>
      </c>
      <c r="J66" t="s">
        <v>69</v>
      </c>
      <c r="K66">
        <v>0</v>
      </c>
      <c r="M66">
        <v>1</v>
      </c>
      <c r="R66" t="str">
        <f>IF($U$2=TRUE,$W$2&amp;". Недостоверное Входное значение Неисправность","Недостоверное Входное значение Неисправность")</f>
        <v>Выключатель электрический. Недостоверное Входное значение Неисправность</v>
      </c>
      <c r="S66" s="372"/>
      <c r="U66" s="773"/>
      <c r="V66" s="4"/>
      <c r="W66" s="773"/>
      <c r="X66" s="4"/>
    </row>
    <row r="67" spans="1:24">
      <c r="A67" t="str">
        <f>SUBSTITUTE($V$2,"\","|")&amp; "|CRST"</f>
        <v>ZRU_OL1|CRST</v>
      </c>
      <c r="B67" t="s">
        <v>74</v>
      </c>
      <c r="F67" t="s">
        <v>72</v>
      </c>
      <c r="G67" t="s">
        <v>71</v>
      </c>
      <c r="H67">
        <v>0</v>
      </c>
      <c r="I67" t="s">
        <v>76</v>
      </c>
      <c r="J67" t="s">
        <v>73</v>
      </c>
      <c r="K67">
        <v>0</v>
      </c>
      <c r="M67">
        <v>1</v>
      </c>
      <c r="R67" t="str">
        <f>IF($U$2=TRUE,$W$2&amp;". Команда сброс ошибок","Команда сброс ошибок")</f>
        <v>Выключатель электрический. Команда сброс ошибок</v>
      </c>
      <c r="S67" s="372"/>
      <c r="U67" s="773"/>
      <c r="V67" s="4"/>
      <c r="W67" s="773"/>
      <c r="X67" s="4"/>
    </row>
    <row r="68" spans="1:24">
      <c r="A68" t="str">
        <f>SUBSTITUTE($V$2,"\","|")&amp; "|CRRX"</f>
        <v>ZRU_OL1|CRRX</v>
      </c>
      <c r="B68" t="s">
        <v>74</v>
      </c>
      <c r="F68" t="s">
        <v>72</v>
      </c>
      <c r="G68" t="s">
        <v>71</v>
      </c>
      <c r="H68">
        <v>0</v>
      </c>
      <c r="I68" t="s">
        <v>76</v>
      </c>
      <c r="J68" t="s">
        <v>73</v>
      </c>
      <c r="K68">
        <v>0</v>
      </c>
      <c r="M68">
        <v>1</v>
      </c>
      <c r="R68" t="str">
        <f>IF($U$2=TRUE,$W$2&amp;". Команда сброс наработки","Команда сброс наработки")</f>
        <v>Выключатель электрический. Команда сброс наработки</v>
      </c>
      <c r="S68" s="372"/>
      <c r="U68" s="773"/>
      <c r="V68" s="4"/>
      <c r="W68" s="773"/>
      <c r="X68" s="4"/>
    </row>
    <row r="69" spans="1:24">
      <c r="A69" t="str">
        <f>SUBSTITUTE($V$2,"\","|")&amp; "|CRPX"</f>
        <v>ZRU_OL1|CRPX</v>
      </c>
      <c r="B69" t="s">
        <v>74</v>
      </c>
      <c r="F69" t="s">
        <v>72</v>
      </c>
      <c r="G69" t="s">
        <v>71</v>
      </c>
      <c r="H69">
        <v>0</v>
      </c>
      <c r="I69" t="s">
        <v>76</v>
      </c>
      <c r="J69" t="s">
        <v>73</v>
      </c>
      <c r="K69">
        <v>0</v>
      </c>
      <c r="M69">
        <v>1</v>
      </c>
      <c r="R69" t="str">
        <f>IF($U$2=TRUE,$W$2&amp;". Команда оператора вывести в ремонт","Команда оператора вывести в ремонт")</f>
        <v>Выключатель электрический. Команда оператора вывести в ремонт</v>
      </c>
      <c r="S69" s="372"/>
      <c r="U69" s="773"/>
      <c r="V69" s="4"/>
      <c r="W69" s="773"/>
      <c r="X69" s="4"/>
    </row>
    <row r="70" spans="1:24">
      <c r="A70" t="str">
        <f>SUBSTITUTE($V$2,"\","|")&amp; "|CPSV"</f>
        <v>ZRU_OL1|CPSV</v>
      </c>
      <c r="B70" t="s">
        <v>74</v>
      </c>
      <c r="F70" t="s">
        <v>72</v>
      </c>
      <c r="G70" t="s">
        <v>71</v>
      </c>
      <c r="H70">
        <v>0</v>
      </c>
      <c r="I70" t="s">
        <v>76</v>
      </c>
      <c r="J70" t="s">
        <v>73</v>
      </c>
      <c r="K70">
        <v>0</v>
      </c>
      <c r="M70">
        <v>1</v>
      </c>
      <c r="R70" t="str">
        <f>IF($U$2=TRUE,$W$2&amp;". Установлен плакат ''Под напряжением'' ","Установлен плакат ''Под напряжением'' ")</f>
        <v xml:space="preserve">Выключатель электрический. Установлен плакат ''Под напряжением'' </v>
      </c>
      <c r="S70" s="372"/>
      <c r="U70" s="773"/>
      <c r="V70" s="4"/>
      <c r="W70" s="773"/>
      <c r="X70" s="4"/>
    </row>
    <row r="71" spans="1:24">
      <c r="A71" t="str">
        <f>SUBSTITUTE($V$2,"\","|")&amp; "|CPSP"</f>
        <v>ZRU_OL1|CPSP</v>
      </c>
      <c r="B71" t="s">
        <v>74</v>
      </c>
      <c r="F71" t="s">
        <v>72</v>
      </c>
      <c r="G71" t="s">
        <v>71</v>
      </c>
      <c r="H71">
        <v>0</v>
      </c>
      <c r="I71" t="s">
        <v>76</v>
      </c>
      <c r="J71" t="s">
        <v>73</v>
      </c>
      <c r="K71">
        <v>0</v>
      </c>
      <c r="M71">
        <v>1</v>
      </c>
      <c r="R71" t="str">
        <f>IF($U$2=TRUE,$W$2&amp;". Установлен плакат ''Работают люди'' ","Установлен плакат ''Работают люди'' ")</f>
        <v xml:space="preserve">Выключатель электрический. Установлен плакат ''Работают люди'' </v>
      </c>
      <c r="S71" s="372"/>
      <c r="U71" s="773"/>
      <c r="V71" s="4"/>
      <c r="W71" s="773"/>
      <c r="X71" s="4"/>
    </row>
    <row r="72" spans="1:24">
      <c r="A72" t="str">
        <f>SUBSTITUTE($V$2,"\","|")&amp; "|CPSL"</f>
        <v>ZRU_OL1|CPSL</v>
      </c>
      <c r="B72" t="s">
        <v>74</v>
      </c>
      <c r="F72" t="s">
        <v>72</v>
      </c>
      <c r="G72" t="s">
        <v>71</v>
      </c>
      <c r="H72">
        <v>0</v>
      </c>
      <c r="I72" t="s">
        <v>76</v>
      </c>
      <c r="J72" t="s">
        <v>73</v>
      </c>
      <c r="K72">
        <v>0</v>
      </c>
      <c r="M72">
        <v>1</v>
      </c>
      <c r="R72" t="str">
        <f>IF($U$2=TRUE,$W$2&amp;". Установлен плакат ''Работа на линии'' ","Установлен плакат ''Работа на линии'' ")</f>
        <v xml:space="preserve">Выключатель электрический. Установлен плакат ''Работа на линии'' </v>
      </c>
      <c r="S72" s="372"/>
      <c r="U72" s="773"/>
      <c r="V72" s="4"/>
      <c r="W72" s="773"/>
      <c r="X72" s="4"/>
    </row>
    <row r="73" spans="1:24">
      <c r="A73" t="str">
        <f>SUBSTITUTE($V$2,"\","|")&amp; "|CPSG"</f>
        <v>ZRU_OL1|CPSG</v>
      </c>
      <c r="B73" t="s">
        <v>74</v>
      </c>
      <c r="F73" t="s">
        <v>72</v>
      </c>
      <c r="G73" t="s">
        <v>71</v>
      </c>
      <c r="H73">
        <v>0</v>
      </c>
      <c r="I73" t="s">
        <v>76</v>
      </c>
      <c r="J73" t="s">
        <v>73</v>
      </c>
      <c r="K73">
        <v>0</v>
      </c>
      <c r="M73">
        <v>1</v>
      </c>
      <c r="R73" t="str">
        <f>IF($U$2=TRUE,$W$2&amp;". Установлен плакат ''Заземлено'' ","Установлен плакат ''Заземлено'' ")</f>
        <v xml:space="preserve">Выключатель электрический. Установлен плакат ''Заземлено'' </v>
      </c>
      <c r="S73" s="372"/>
      <c r="U73" s="773"/>
      <c r="V73" s="4"/>
      <c r="W73" s="773"/>
      <c r="X73" s="4"/>
    </row>
    <row r="74" spans="1:24">
      <c r="A74" t="str">
        <f>SUBSTITUTE($V$2,"\","|")&amp; "|CPMM"</f>
        <v>ZRU_OL1|CPMM</v>
      </c>
      <c r="B74" t="s">
        <v>74</v>
      </c>
      <c r="F74" t="s">
        <v>76</v>
      </c>
      <c r="G74" t="s">
        <v>71</v>
      </c>
      <c r="H74">
        <v>0</v>
      </c>
      <c r="I74" t="s">
        <v>76</v>
      </c>
      <c r="J74" t="s">
        <v>73</v>
      </c>
      <c r="K74">
        <v>0</v>
      </c>
      <c r="M74">
        <v>1</v>
      </c>
      <c r="R74" t="str">
        <f>IF($U$2=TRUE,$W$2&amp;". Разрешение на перевод в ручной режим","Разрешение на перевод в ручной режим")</f>
        <v>Выключатель электрический. Разрешение на перевод в ручной режим</v>
      </c>
      <c r="S74" s="372"/>
      <c r="U74" s="773"/>
      <c r="V74" s="4"/>
      <c r="W74" s="773"/>
      <c r="X74" s="4"/>
    </row>
    <row r="75" spans="1:24">
      <c r="A75" t="str">
        <f>SUBSTITUTE($V$2,"\","|")&amp; "|COSP"</f>
        <v>ZRU_OL1|COSP</v>
      </c>
      <c r="B75" t="s">
        <v>74</v>
      </c>
      <c r="F75" t="s">
        <v>72</v>
      </c>
      <c r="G75" t="s">
        <v>71</v>
      </c>
      <c r="H75">
        <v>0</v>
      </c>
      <c r="I75" t="s">
        <v>76</v>
      </c>
      <c r="J75" t="s">
        <v>73</v>
      </c>
      <c r="K75">
        <v>0</v>
      </c>
      <c r="M75">
        <v>1</v>
      </c>
      <c r="R75" t="str">
        <f>IF($U$2=TRUE,$W$2&amp;". Команда оператора стоп","Команда оператора стоп")</f>
        <v>Выключатель электрический. Команда оператора стоп</v>
      </c>
      <c r="S75" s="372"/>
      <c r="U75" s="773"/>
      <c r="V75" s="4"/>
      <c r="W75" s="773"/>
      <c r="X75" s="4"/>
    </row>
    <row r="76" spans="1:24">
      <c r="A76" t="str">
        <f>SUBSTITUTE($V$2,"\","|")&amp; "|COON"</f>
        <v>ZRU_OL1|COON</v>
      </c>
      <c r="B76" t="s">
        <v>74</v>
      </c>
      <c r="F76" t="s">
        <v>72</v>
      </c>
      <c r="G76" t="s">
        <v>71</v>
      </c>
      <c r="H76">
        <v>0</v>
      </c>
      <c r="I76" t="s">
        <v>76</v>
      </c>
      <c r="J76" t="s">
        <v>73</v>
      </c>
      <c r="K76">
        <v>0</v>
      </c>
      <c r="M76">
        <v>1</v>
      </c>
      <c r="R76" t="str">
        <f>IF($U$2=TRUE,$W$2&amp;". Команда оператора включить","Команда оператора включить")</f>
        <v>Выключатель электрический. Команда оператора включить</v>
      </c>
      <c r="S76" s="372"/>
      <c r="U76" s="773"/>
      <c r="V76" s="4"/>
      <c r="W76" s="773"/>
      <c r="X76" s="4"/>
    </row>
    <row r="77" spans="1:24">
      <c r="A77" t="str">
        <f>SUBSTITUTE($V$2,"\","|")&amp; "|COOF"</f>
        <v>ZRU_OL1|COOF</v>
      </c>
      <c r="B77" t="s">
        <v>74</v>
      </c>
      <c r="F77" t="s">
        <v>72</v>
      </c>
      <c r="G77" t="s">
        <v>71</v>
      </c>
      <c r="H77">
        <v>0</v>
      </c>
      <c r="I77" t="s">
        <v>76</v>
      </c>
      <c r="J77" t="s">
        <v>73</v>
      </c>
      <c r="K77">
        <v>0</v>
      </c>
      <c r="M77">
        <v>1</v>
      </c>
      <c r="R77" t="str">
        <f>IF($U$2=TRUE,$W$2&amp;". Команда оператора отключить","Команда оператора отключить")</f>
        <v>Выключатель электрический. Команда оператора отключить</v>
      </c>
      <c r="S77" s="372"/>
      <c r="U77" s="773"/>
      <c r="V77" s="4"/>
      <c r="W77" s="773"/>
      <c r="X77" s="4"/>
    </row>
    <row r="78" spans="1:24">
      <c r="A78" t="str">
        <f>SUBSTITUTE($V$2,"\","|")&amp; "|CMMX"</f>
        <v>ZRU_OL1|CMMX</v>
      </c>
      <c r="B78" t="s">
        <v>74</v>
      </c>
      <c r="F78" t="s">
        <v>72</v>
      </c>
      <c r="G78" t="s">
        <v>71</v>
      </c>
      <c r="H78">
        <v>0</v>
      </c>
      <c r="I78" t="s">
        <v>76</v>
      </c>
      <c r="J78" t="s">
        <v>73</v>
      </c>
      <c r="K78">
        <v>0</v>
      </c>
      <c r="M78">
        <v>1</v>
      </c>
      <c r="R78" t="str">
        <f>IF($U$2=TRUE,$W$2&amp;". Команда перевести в ручной режим управления","Команда перевести в ручной режим управления")</f>
        <v>Выключатель электрический. Команда перевести в ручной режим управления</v>
      </c>
      <c r="S78" s="372"/>
      <c r="U78" s="773"/>
      <c r="V78" s="4"/>
      <c r="W78" s="773"/>
      <c r="X78" s="4"/>
    </row>
    <row r="79" spans="1:24">
      <c r="A79" t="str">
        <f>SUBSTITUTE($V$2,"\","|")&amp; "|CEON"</f>
        <v>ZRU_OL1|CEON</v>
      </c>
      <c r="B79" t="s">
        <v>74</v>
      </c>
      <c r="F79" t="s">
        <v>72</v>
      </c>
      <c r="G79" t="s">
        <v>71</v>
      </c>
      <c r="H79">
        <v>0</v>
      </c>
      <c r="I79" t="s">
        <v>76</v>
      </c>
      <c r="J79" t="s">
        <v>69</v>
      </c>
      <c r="K79">
        <v>0</v>
      </c>
      <c r="M79">
        <v>1</v>
      </c>
      <c r="R79" t="str">
        <f>IF($U$2=TRUE,$W$2&amp;". Команда ПАЗ: Включить","Команда ПАЗ: Включить")</f>
        <v>Выключатель электрический. Команда ПАЗ: Включить</v>
      </c>
      <c r="S79" s="372"/>
      <c r="U79" s="773"/>
      <c r="V79" s="4"/>
      <c r="W79" s="773"/>
      <c r="X79" s="4"/>
    </row>
    <row r="80" spans="1:24">
      <c r="A80" t="str">
        <f>SUBSTITUTE($V$2,"\","|")&amp; "|CEOF"</f>
        <v>ZRU_OL1|CEOF</v>
      </c>
      <c r="B80" t="s">
        <v>74</v>
      </c>
      <c r="F80" t="s">
        <v>72</v>
      </c>
      <c r="G80" t="s">
        <v>71</v>
      </c>
      <c r="H80">
        <v>0</v>
      </c>
      <c r="I80" t="s">
        <v>76</v>
      </c>
      <c r="J80" t="s">
        <v>69</v>
      </c>
      <c r="K80">
        <v>0</v>
      </c>
      <c r="M80">
        <v>1</v>
      </c>
      <c r="R80" t="str">
        <f>IF($U$2=TRUE,$W$2&amp;". Команда ПАЗ: Отключить","Команда ПАЗ: Отключить")</f>
        <v>Выключатель электрический. Команда ПАЗ: Отключить</v>
      </c>
      <c r="S80" s="372"/>
      <c r="U80" s="773"/>
      <c r="V80" s="4"/>
      <c r="W80" s="773"/>
      <c r="X80" s="4"/>
    </row>
    <row r="81" spans="1:24">
      <c r="A81" t="str">
        <f>SUBSTITUTE($V$2,"\","|")&amp; "|CDON"</f>
        <v>ZRU_OL1|CDON</v>
      </c>
      <c r="B81" t="s">
        <v>74</v>
      </c>
      <c r="F81" t="s">
        <v>72</v>
      </c>
      <c r="G81" t="s">
        <v>71</v>
      </c>
      <c r="H81">
        <v>0</v>
      </c>
      <c r="I81" t="s">
        <v>76</v>
      </c>
      <c r="J81" t="s">
        <v>73</v>
      </c>
      <c r="K81">
        <v>0</v>
      </c>
      <c r="M81">
        <v>1</v>
      </c>
      <c r="R81" t="str">
        <f>IF($U$2=TRUE,$W$2&amp;". Запрет включения выключателя","Запрет включения выключателя")</f>
        <v>Выключатель электрический. Запрет включения выключателя</v>
      </c>
      <c r="S81" s="372"/>
      <c r="U81" s="773"/>
      <c r="V81" s="4"/>
      <c r="W81" s="773"/>
      <c r="X81" s="4"/>
    </row>
    <row r="82" spans="1:24">
      <c r="A82" t="str">
        <f>SUBSTITUTE($V$2,"\","|")&amp; "|CDOF"</f>
        <v>ZRU_OL1|CDOF</v>
      </c>
      <c r="B82" t="s">
        <v>74</v>
      </c>
      <c r="F82" t="s">
        <v>72</v>
      </c>
      <c r="G82" t="s">
        <v>71</v>
      </c>
      <c r="H82">
        <v>0</v>
      </c>
      <c r="I82" t="s">
        <v>76</v>
      </c>
      <c r="J82" t="s">
        <v>73</v>
      </c>
      <c r="K82">
        <v>0</v>
      </c>
      <c r="M82">
        <v>1</v>
      </c>
      <c r="R82" t="str">
        <f>IF($U$2=TRUE,$W$2&amp;". Запрет отключения выключателя","Запрет отключения выключателя")</f>
        <v>Выключатель электрический. Запрет отключения выключателя</v>
      </c>
      <c r="S82" s="372"/>
      <c r="U82" s="773"/>
      <c r="V82" s="4"/>
      <c r="W82" s="773"/>
      <c r="X82" s="4"/>
    </row>
    <row r="83" spans="1:24">
      <c r="A83" t="str">
        <f>SUBSTITUTE($V$2,"\","|")&amp; "|CBON"</f>
        <v>ZRU_OL1|CBON</v>
      </c>
      <c r="B83" t="s">
        <v>74</v>
      </c>
      <c r="F83" t="s">
        <v>72</v>
      </c>
      <c r="G83" t="s">
        <v>71</v>
      </c>
      <c r="H83">
        <v>0</v>
      </c>
      <c r="I83" t="s">
        <v>76</v>
      </c>
      <c r="J83" t="s">
        <v>69</v>
      </c>
      <c r="K83">
        <v>0</v>
      </c>
      <c r="M83">
        <v>1</v>
      </c>
      <c r="R83" t="str">
        <f>IF($U$2=TRUE,$W$2&amp;". Команда блокировки: Включить","Команда блокировки: Включить")</f>
        <v>Выключатель электрический. Команда блокировки: Включить</v>
      </c>
      <c r="S83" s="372"/>
      <c r="U83" s="773"/>
      <c r="V83" s="4"/>
      <c r="W83" s="773"/>
      <c r="X83" s="4"/>
    </row>
    <row r="84" spans="1:24">
      <c r="A84" t="str">
        <f>SUBSTITUTE($V$2,"\","|")&amp; "|CBOF"</f>
        <v>ZRU_OL1|CBOF</v>
      </c>
      <c r="B84" t="s">
        <v>74</v>
      </c>
      <c r="F84" t="s">
        <v>72</v>
      </c>
      <c r="G84" t="s">
        <v>71</v>
      </c>
      <c r="H84">
        <v>0</v>
      </c>
      <c r="I84" t="s">
        <v>76</v>
      </c>
      <c r="J84" t="s">
        <v>69</v>
      </c>
      <c r="K84">
        <v>0</v>
      </c>
      <c r="M84">
        <v>1</v>
      </c>
      <c r="R84" t="str">
        <f>IF($U$2=TRUE,$W$2&amp;". Команда блокировки: Отключить","Команда блокировки: Отключить")</f>
        <v>Выключатель электрический. Команда блокировки: Отключить</v>
      </c>
      <c r="S84" s="372"/>
      <c r="U84" s="773"/>
      <c r="V84" s="4"/>
      <c r="W84" s="773"/>
      <c r="X84" s="4"/>
    </row>
    <row r="85" spans="1:24">
      <c r="A85" t="str">
        <f>SUBSTITUTE($V$2,"\","|")&amp; "|CAON"</f>
        <v>ZRU_OL1|CAON</v>
      </c>
      <c r="B85" t="s">
        <v>74</v>
      </c>
      <c r="F85" t="s">
        <v>72</v>
      </c>
      <c r="G85" t="s">
        <v>71</v>
      </c>
      <c r="H85">
        <v>0</v>
      </c>
      <c r="I85" t="s">
        <v>76</v>
      </c>
      <c r="J85" t="s">
        <v>69</v>
      </c>
      <c r="K85">
        <v>0</v>
      </c>
      <c r="M85">
        <v>1</v>
      </c>
      <c r="R85" t="str">
        <f>IF($U$2=TRUE,$W$2&amp;". Команда алгоритма: Включить","Команда алгоритма: Включить")</f>
        <v>Выключатель электрический. Команда алгоритма: Включить</v>
      </c>
      <c r="S85" s="372"/>
      <c r="U85" s="773"/>
      <c r="V85" s="4"/>
      <c r="W85" s="773"/>
      <c r="X85" s="4"/>
    </row>
    <row r="86" spans="1:24">
      <c r="A86" t="str">
        <f>SUBSTITUTE($V$2,"\","|")&amp; "|CAOF"</f>
        <v>ZRU_OL1|CAOF</v>
      </c>
      <c r="B86" t="s">
        <v>74</v>
      </c>
      <c r="F86" t="s">
        <v>72</v>
      </c>
      <c r="G86" t="s">
        <v>71</v>
      </c>
      <c r="H86">
        <v>0</v>
      </c>
      <c r="I86" t="s">
        <v>76</v>
      </c>
      <c r="J86" t="s">
        <v>69</v>
      </c>
      <c r="K86">
        <v>0</v>
      </c>
      <c r="M86">
        <v>1</v>
      </c>
      <c r="R86" t="str">
        <f>IF($U$2=TRUE,$W$2&amp;". Команда алгоритма: Отключить","Команда алгоритма: Отключить")</f>
        <v>Выключатель электрический. Команда алгоритма: Отключить</v>
      </c>
      <c r="S86" s="372"/>
      <c r="U86" s="773"/>
      <c r="V86" s="4"/>
      <c r="W86" s="773"/>
      <c r="X86" s="4"/>
    </row>
    <row r="89" spans="1:24">
      <c r="A89" s="4"/>
      <c r="B89" s="4"/>
      <c r="F89" s="4"/>
      <c r="G89" s="4"/>
      <c r="H89" s="4"/>
      <c r="I89" s="4"/>
      <c r="J89" s="4"/>
      <c r="K89" s="4"/>
      <c r="M89" s="4"/>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Лист48">
    <tabColor rgb="FF92D050"/>
  </sheetPr>
  <dimension ref="A1:AC83"/>
  <sheetViews>
    <sheetView topLeftCell="A46" zoomScale="80" zoomScaleNormal="80"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28.8">
      <c r="A2" s="10"/>
      <c r="B2" s="10"/>
      <c r="F2" s="10"/>
      <c r="G2" s="10"/>
      <c r="H2" s="10"/>
      <c r="I2" s="10"/>
      <c r="J2" s="10"/>
      <c r="K2" s="10"/>
      <c r="M2" s="10"/>
      <c r="N2" s="10"/>
      <c r="O2" s="10"/>
      <c r="P2" s="10"/>
      <c r="Q2" s="10"/>
      <c r="R2" s="10"/>
      <c r="U2" s="74" t="b">
        <f>Настройки!$M$34</f>
        <v>1</v>
      </c>
      <c r="V2" s="73" t="s">
        <v>246</v>
      </c>
      <c r="W2" s="537" t="s">
        <v>769</v>
      </c>
      <c r="X2" s="73"/>
      <c r="Y2" s="73"/>
      <c r="Z2" s="73"/>
      <c r="AA2" s="74"/>
      <c r="AB2" s="74"/>
      <c r="AC2" s="74"/>
    </row>
    <row r="3" spans="1:29">
      <c r="A3" t="str">
        <f>SUBSTITUTE($V$2,"\","|")&amp; "|XSPP"</f>
        <v>ZRU_OL1|XSPP</v>
      </c>
      <c r="B3" t="s">
        <v>74</v>
      </c>
      <c r="F3" t="s">
        <v>72</v>
      </c>
      <c r="G3" t="s">
        <v>71</v>
      </c>
      <c r="H3">
        <v>0</v>
      </c>
      <c r="I3" t="s">
        <v>72</v>
      </c>
      <c r="J3" t="s">
        <v>69</v>
      </c>
      <c r="K3">
        <v>0</v>
      </c>
      <c r="M3">
        <v>1</v>
      </c>
      <c r="R3" t="str">
        <f>IF($U$2=TRUE,$W$2&amp;". Выходное значение останавливается","Выходное значение останавливается")</f>
        <v>Выключатель электрический без тележки. Выходное значение останавливается</v>
      </c>
      <c r="S3" s="372"/>
      <c r="U3" s="773"/>
      <c r="V3" s="4"/>
      <c r="W3" s="773"/>
      <c r="X3" s="4"/>
    </row>
    <row r="4" spans="1:29">
      <c r="A4" t="str">
        <f>SUBSTITUTE($V$2,"\","|")&amp; "|XRPX"</f>
        <v>ZRU_OL1|XRPX</v>
      </c>
      <c r="B4" t="s">
        <v>74</v>
      </c>
      <c r="F4" t="s">
        <v>72</v>
      </c>
      <c r="G4" t="s">
        <v>71</v>
      </c>
      <c r="H4">
        <v>0</v>
      </c>
      <c r="I4" t="s">
        <v>72</v>
      </c>
      <c r="J4" t="s">
        <v>69</v>
      </c>
      <c r="K4">
        <v>0</v>
      </c>
      <c r="M4">
        <v>1</v>
      </c>
      <c r="R4" t="str">
        <f>IF($U$2=TRUE,$W$2&amp;". Выходное значение Выведен в ремонт","Выходное значение Выведен в ремонт")</f>
        <v>Выключатель электрический без тележки. Выходное значение Выведен в ремонт</v>
      </c>
      <c r="S4" s="372"/>
      <c r="U4" s="773"/>
      <c r="V4" s="4"/>
      <c r="W4" s="773"/>
      <c r="X4" s="4"/>
    </row>
    <row r="5" spans="1:29">
      <c r="A5" t="str">
        <f>SUBSTITUTE($V$2,"\","|")&amp; "|XRPT"</f>
        <v>ZRU_OL1|XRPT</v>
      </c>
      <c r="B5" t="s">
        <v>78</v>
      </c>
      <c r="F5">
        <v>0</v>
      </c>
      <c r="G5" t="s">
        <v>71</v>
      </c>
      <c r="H5">
        <v>0</v>
      </c>
      <c r="I5" t="s">
        <v>76</v>
      </c>
      <c r="J5" t="s">
        <v>73</v>
      </c>
      <c r="K5">
        <v>0</v>
      </c>
      <c r="M5">
        <v>1</v>
      </c>
      <c r="R5" t="str">
        <f>IF($U$2=TRUE,$W$2&amp;". Наработка аварийного отключения","Наработка аварийного отключения")</f>
        <v>Выключатель электрический без тележки. Наработка аварийного отключения</v>
      </c>
      <c r="S5" s="372"/>
      <c r="U5" s="773"/>
      <c r="V5" s="4"/>
      <c r="W5" s="773"/>
      <c r="X5" s="4"/>
    </row>
    <row r="6" spans="1:29">
      <c r="A6" t="str">
        <f>SUBSTITUTE($V$2,"\","|")&amp; "|XRON"</f>
        <v>ZRU_OL1|XRON</v>
      </c>
      <c r="B6" t="s">
        <v>78</v>
      </c>
      <c r="F6">
        <v>0</v>
      </c>
      <c r="G6" t="s">
        <v>71</v>
      </c>
      <c r="H6">
        <v>0</v>
      </c>
      <c r="I6" t="s">
        <v>76</v>
      </c>
      <c r="J6" t="s">
        <v>73</v>
      </c>
      <c r="K6">
        <v>0</v>
      </c>
      <c r="M6">
        <v>1</v>
      </c>
      <c r="R6" t="str">
        <f>IF($U$2=TRUE,$W$2&amp;". Наработка концевика Включен","Наработка концевика Включен")</f>
        <v>Выключатель электрический без тележки. Наработка концевика Включен</v>
      </c>
      <c r="S6" s="372"/>
      <c r="U6" s="773"/>
      <c r="V6" s="4"/>
      <c r="W6" s="773"/>
      <c r="X6" s="4"/>
    </row>
    <row r="7" spans="1:29">
      <c r="A7" t="str">
        <f>SUBSTITUTE($V$2,"\","|")&amp; "|XROF"</f>
        <v>ZRU_OL1|XROF</v>
      </c>
      <c r="B7" t="s">
        <v>78</v>
      </c>
      <c r="F7">
        <v>0</v>
      </c>
      <c r="G7" t="s">
        <v>71</v>
      </c>
      <c r="H7">
        <v>0</v>
      </c>
      <c r="I7" t="s">
        <v>76</v>
      </c>
      <c r="J7" t="s">
        <v>73</v>
      </c>
      <c r="K7">
        <v>0</v>
      </c>
      <c r="M7">
        <v>1</v>
      </c>
      <c r="R7" t="str">
        <f>IF($U$2=TRUE,$W$2&amp;". Наработка концевика Отключен","Наработка концевика Отключен")</f>
        <v>Выключатель электрический без тележки. Наработка концевика Отключен</v>
      </c>
      <c r="S7" s="372"/>
      <c r="U7" s="773"/>
      <c r="V7" s="4"/>
      <c r="W7" s="773"/>
      <c r="X7" s="4"/>
    </row>
    <row r="8" spans="1:29">
      <c r="A8" t="str">
        <f>SUBSTITUTE($V$2,"\","|")&amp; "|XRCX"</f>
        <v>ZRU_OL1|XRCX</v>
      </c>
      <c r="B8" t="s">
        <v>74</v>
      </c>
      <c r="F8" t="s">
        <v>72</v>
      </c>
      <c r="G8" t="s">
        <v>71</v>
      </c>
      <c r="H8">
        <v>0</v>
      </c>
      <c r="I8" t="s">
        <v>72</v>
      </c>
      <c r="J8" t="s">
        <v>69</v>
      </c>
      <c r="K8">
        <v>0</v>
      </c>
      <c r="M8">
        <v>1</v>
      </c>
      <c r="R8" t="str">
        <f>IF($U$2=TRUE,$W$2&amp;". Выходное значение Дистанционное управление","Выходное значение Дистанционное управление")</f>
        <v>Выключатель электрический без тележки. Выходное значение Дистанционное управление</v>
      </c>
      <c r="S8" s="372"/>
      <c r="U8" s="773"/>
      <c r="V8" s="4"/>
      <c r="W8" s="773"/>
      <c r="X8" s="4"/>
    </row>
    <row r="9" spans="1:29">
      <c r="A9" t="str">
        <f>SUBSTITUTE($V$2,"\","|")&amp; "|XONX"</f>
        <v>ZRU_OL1|XONX</v>
      </c>
      <c r="B9" t="s">
        <v>74</v>
      </c>
      <c r="F9" t="s">
        <v>72</v>
      </c>
      <c r="G9" t="s">
        <v>71</v>
      </c>
      <c r="H9">
        <v>0</v>
      </c>
      <c r="I9" t="s">
        <v>72</v>
      </c>
      <c r="J9" t="s">
        <v>69</v>
      </c>
      <c r="K9">
        <v>0</v>
      </c>
      <c r="M9">
        <v>1</v>
      </c>
      <c r="R9" t="str">
        <f>IF($U$2=TRUE,$W$2&amp;". Выходное значение Включен","Выходное значение Включен")</f>
        <v>Выключатель электрический без тележки. Выходное значение Включен</v>
      </c>
      <c r="S9" s="372"/>
      <c r="U9" s="773"/>
      <c r="V9" s="4"/>
      <c r="W9" s="773"/>
      <c r="X9" s="4"/>
    </row>
    <row r="10" spans="1:29">
      <c r="A10" t="str">
        <f>SUBSTITUTE($V$2,"\","|")&amp; "|XONP"</f>
        <v>ZRU_OL1|XONP</v>
      </c>
      <c r="B10" t="s">
        <v>74</v>
      </c>
      <c r="F10" t="s">
        <v>72</v>
      </c>
      <c r="G10" t="s">
        <v>71</v>
      </c>
      <c r="H10">
        <v>0</v>
      </c>
      <c r="I10" t="s">
        <v>72</v>
      </c>
      <c r="J10" t="s">
        <v>69</v>
      </c>
      <c r="K10">
        <v>0</v>
      </c>
      <c r="M10">
        <v>1</v>
      </c>
      <c r="R10" t="str">
        <f>IF($U$2=TRUE,$W$2&amp;". Выходное значение Включается","Выходное значение Включается")</f>
        <v>Выключатель электрический без тележки. Выходное значение Включается</v>
      </c>
      <c r="S10" s="372"/>
      <c r="U10" s="773"/>
      <c r="V10" s="4"/>
      <c r="W10" s="773"/>
      <c r="X10" s="4"/>
    </row>
    <row r="11" spans="1:29">
      <c r="A11" t="str">
        <f>SUBSTITUTE($V$2,"\","|")&amp; "|XOFX"</f>
        <v>ZRU_OL1|XOFX</v>
      </c>
      <c r="B11" t="s">
        <v>74</v>
      </c>
      <c r="F11" t="s">
        <v>72</v>
      </c>
      <c r="G11" t="s">
        <v>71</v>
      </c>
      <c r="H11">
        <v>0</v>
      </c>
      <c r="I11" t="s">
        <v>72</v>
      </c>
      <c r="J11" t="s">
        <v>69</v>
      </c>
      <c r="K11">
        <v>0</v>
      </c>
      <c r="M11">
        <v>1</v>
      </c>
      <c r="R11" t="str">
        <f>IF($U$2=TRUE,$W$2&amp;". Выходное значение Отключен","Выходное значение Отключен")</f>
        <v>Выключатель электрический без тележки. Выходное значение Отключен</v>
      </c>
      <c r="S11" s="372"/>
      <c r="U11" s="773"/>
      <c r="V11" s="4"/>
      <c r="W11" s="773"/>
      <c r="X11" s="4"/>
    </row>
    <row r="12" spans="1:29">
      <c r="A12" t="str">
        <f>SUBSTITUTE($V$2,"\","|")&amp; "|XOFP"</f>
        <v>ZRU_OL1|XOFP</v>
      </c>
      <c r="B12" t="s">
        <v>74</v>
      </c>
      <c r="F12" t="s">
        <v>72</v>
      </c>
      <c r="G12" t="s">
        <v>71</v>
      </c>
      <c r="H12">
        <v>0</v>
      </c>
      <c r="I12" t="s">
        <v>72</v>
      </c>
      <c r="J12" t="s">
        <v>69</v>
      </c>
      <c r="K12">
        <v>0</v>
      </c>
      <c r="M12">
        <v>1</v>
      </c>
      <c r="R12" t="str">
        <f>IF($U$2=TRUE,$W$2&amp;". Выходное значение Отключается","Выходное значение Отключается")</f>
        <v>Выключатель электрический без тележки. Выходное значение Отключается</v>
      </c>
      <c r="S12" s="372"/>
      <c r="U12" s="773"/>
      <c r="V12" s="4"/>
      <c r="W12" s="773"/>
      <c r="X12" s="4"/>
    </row>
    <row r="13" spans="1:29">
      <c r="A13" t="str">
        <f>SUBSTITUTE($V$2,"\","|")&amp; "|XMMX"</f>
        <v>ZRU_OL1|XMMX</v>
      </c>
      <c r="B13" t="s">
        <v>74</v>
      </c>
      <c r="F13" t="s">
        <v>72</v>
      </c>
      <c r="G13" t="s">
        <v>71</v>
      </c>
      <c r="H13">
        <v>0</v>
      </c>
      <c r="I13" t="s">
        <v>72</v>
      </c>
      <c r="J13" t="s">
        <v>69</v>
      </c>
      <c r="K13">
        <v>0</v>
      </c>
      <c r="M13">
        <v>1</v>
      </c>
      <c r="R13" t="str">
        <f>IF($U$2=TRUE,$W$2&amp;". Выходное значение Ручное управление","Выходное значение Ручное управление")</f>
        <v>Выключатель электрический без тележки. Выходное значение Ручное управление</v>
      </c>
      <c r="S13" s="372"/>
      <c r="U13" s="773"/>
      <c r="V13" s="4"/>
      <c r="W13" s="773"/>
      <c r="X13" s="4"/>
    </row>
    <row r="14" spans="1:29">
      <c r="A14" t="str">
        <f>SUBSTITUTE($V$2,"\","|")&amp; "|TCON"</f>
        <v>ZRU_OL1|TCON</v>
      </c>
      <c r="B14" t="s">
        <v>78</v>
      </c>
      <c r="F14">
        <v>2</v>
      </c>
      <c r="G14" t="s">
        <v>71</v>
      </c>
      <c r="H14">
        <v>0</v>
      </c>
      <c r="I14" t="s">
        <v>76</v>
      </c>
      <c r="J14" t="s">
        <v>73</v>
      </c>
      <c r="K14">
        <v>0</v>
      </c>
      <c r="M14">
        <v>1</v>
      </c>
      <c r="R14" t="str">
        <f>IF($U$2=TRUE,$W$2&amp;". Время подачи команды Включить (с)","Время подачи команды Включить (с)")</f>
        <v>Выключатель электрический без тележки. Время подачи команды Включить (с)</v>
      </c>
      <c r="S14" s="372"/>
      <c r="U14" s="773"/>
      <c r="V14" s="4"/>
      <c r="W14" s="773"/>
      <c r="X14" s="4"/>
    </row>
    <row r="15" spans="1:29">
      <c r="A15" t="str">
        <f>SUBSTITUTE($V$2,"\","|")&amp; "|TCOF"</f>
        <v>ZRU_OL1|TCOF</v>
      </c>
      <c r="B15" t="s">
        <v>78</v>
      </c>
      <c r="F15">
        <v>2</v>
      </c>
      <c r="G15" t="s">
        <v>71</v>
      </c>
      <c r="H15">
        <v>0</v>
      </c>
      <c r="I15" t="s">
        <v>76</v>
      </c>
      <c r="J15" t="s">
        <v>73</v>
      </c>
      <c r="K15">
        <v>0</v>
      </c>
      <c r="M15">
        <v>1</v>
      </c>
      <c r="R15" t="str">
        <f>IF($U$2=TRUE,$W$2&amp;". Время подачи команды Отключить (с)","Время подачи команды Отключить (с)")</f>
        <v>Выключатель электрический без тележки. Время подачи команды Отключить (с)</v>
      </c>
      <c r="S15" s="372"/>
      <c r="U15" s="773"/>
      <c r="V15" s="4"/>
      <c r="W15" s="773"/>
      <c r="X15" s="4"/>
    </row>
    <row r="16" spans="1:29">
      <c r="A16" t="str">
        <f>SUBSTITUTE($V$2,"\","|")&amp; "|STSX"</f>
        <v>ZRU_OL1|STSX</v>
      </c>
      <c r="B16" t="s">
        <v>78</v>
      </c>
      <c r="F16">
        <v>10</v>
      </c>
      <c r="G16" t="s">
        <v>71</v>
      </c>
      <c r="H16">
        <v>0</v>
      </c>
      <c r="I16" t="s">
        <v>76</v>
      </c>
      <c r="J16" t="s">
        <v>73</v>
      </c>
      <c r="K16">
        <v>0</v>
      </c>
      <c r="M16">
        <v>1</v>
      </c>
      <c r="R16" t="str">
        <f>IF($U$2=TRUE,$W$2&amp;". Время перестановки (с)","Время перестановки (с)")</f>
        <v>Выключатель электрический без тележки. Время перестановки (с)</v>
      </c>
      <c r="S16" s="372"/>
      <c r="U16" s="773"/>
      <c r="V16" s="4"/>
      <c r="W16" s="773"/>
      <c r="X16" s="4"/>
    </row>
    <row r="17" spans="1:24">
      <c r="A17" t="str">
        <f>SUBSTITUTE($V$2,"\","|")&amp; "|SRQX"</f>
        <v>ZRU_OL1|SRQX</v>
      </c>
      <c r="B17" t="s">
        <v>78</v>
      </c>
      <c r="F17">
        <v>1000</v>
      </c>
      <c r="G17" t="s">
        <v>71</v>
      </c>
      <c r="H17">
        <v>0</v>
      </c>
      <c r="I17" t="s">
        <v>76</v>
      </c>
      <c r="J17" t="s">
        <v>73</v>
      </c>
      <c r="K17">
        <v>0</v>
      </c>
      <c r="M17">
        <v>1</v>
      </c>
      <c r="R17" t="str">
        <f>IF($U$2=TRUE,$W$2&amp;". Уставка наработки по концевикам","Уставка наработки по концевикам")</f>
        <v>Выключатель электрический без тележки. Уставка наработки по концевикам</v>
      </c>
      <c r="S17" s="372"/>
      <c r="U17" s="773"/>
      <c r="V17" s="4"/>
      <c r="W17" s="773"/>
      <c r="X17" s="4"/>
    </row>
    <row r="18" spans="1:24">
      <c r="A18" t="str">
        <f>SUBSTITUTE($V$2,"\","|")&amp; "|SRPT"</f>
        <v>ZRU_OL1|SRPT</v>
      </c>
      <c r="B18" t="s">
        <v>78</v>
      </c>
      <c r="F18">
        <v>100</v>
      </c>
      <c r="G18" t="s">
        <v>71</v>
      </c>
      <c r="H18">
        <v>0</v>
      </c>
      <c r="I18" t="s">
        <v>76</v>
      </c>
      <c r="J18" t="s">
        <v>73</v>
      </c>
      <c r="K18">
        <v>0</v>
      </c>
      <c r="M18">
        <v>1</v>
      </c>
      <c r="R18" t="str">
        <f>IF($U$2=TRUE,$W$2&amp;". Уставка наработки по аварийным отключениям","Уставка наработки по аварийным отключениям")</f>
        <v>Выключатель электрический без тележки. Уставка наработки по аварийным отключениям</v>
      </c>
      <c r="S18" s="372"/>
      <c r="U18" s="773"/>
      <c r="V18" s="4"/>
      <c r="W18" s="773"/>
      <c r="X18" s="4"/>
    </row>
    <row r="19" spans="1:24">
      <c r="A19" s="52" t="str">
        <f>SUBSTITUTE($V$2,"\","|")&amp; "|SMMX"</f>
        <v>ZRU_OL1|SMMX</v>
      </c>
      <c r="B19" s="52" t="s">
        <v>74</v>
      </c>
      <c r="C19" s="52"/>
      <c r="D19" s="52"/>
      <c r="E19" s="52"/>
      <c r="F19" s="52" t="s">
        <v>72</v>
      </c>
      <c r="G19" s="52" t="s">
        <v>71</v>
      </c>
      <c r="H19" s="52">
        <v>0</v>
      </c>
      <c r="I19" s="52" t="s">
        <v>76</v>
      </c>
      <c r="J19" s="52" t="s">
        <v>69</v>
      </c>
      <c r="K19" s="52">
        <v>0</v>
      </c>
      <c r="L19" s="52"/>
      <c r="M19" s="52">
        <v>1</v>
      </c>
      <c r="N19" s="52"/>
      <c r="O19" s="52"/>
      <c r="P19" s="52"/>
      <c r="Q19" s="52"/>
      <c r="R19" t="str">
        <f>IF($U$2=TRUE,$W$2&amp;". Настройка перехода в ручной режим","Настройка перехода в ручной режим")</f>
        <v>Выключатель электрический без тележки. Настройка перехода в ручной режим</v>
      </c>
      <c r="S19" s="372"/>
      <c r="U19" s="773"/>
      <c r="V19" s="4"/>
      <c r="W19" s="773"/>
      <c r="X19" s="4"/>
    </row>
    <row r="20" spans="1:24">
      <c r="A20" t="str">
        <f>SUBSTITUTE($V$2,"\","|")&amp; "|OXSP"</f>
        <v>ZRU_OL1|OXSP</v>
      </c>
      <c r="B20" t="s">
        <v>74</v>
      </c>
      <c r="F20" t="s">
        <v>72</v>
      </c>
      <c r="G20" t="s">
        <v>71</v>
      </c>
      <c r="H20">
        <v>0</v>
      </c>
      <c r="I20" t="s">
        <v>72</v>
      </c>
      <c r="J20" t="s">
        <v>69</v>
      </c>
      <c r="K20">
        <v>0</v>
      </c>
      <c r="M20">
        <v>1</v>
      </c>
      <c r="R20" t="str">
        <f>IF($U$2=TRUE,$W$2&amp;". Выходное значение Стоп","Выходное значение Стоп")</f>
        <v>Выключатель электрический без тележки. Выходное значение Стоп</v>
      </c>
      <c r="S20" s="372"/>
      <c r="U20" s="773"/>
      <c r="V20" s="4"/>
      <c r="W20" s="773"/>
      <c r="X20" s="4"/>
    </row>
    <row r="21" spans="1:24">
      <c r="A21" t="str">
        <f>SUBSTITUTE($V$2,"\","|")&amp; "|OXON"</f>
        <v>ZRU_OL1|OXON</v>
      </c>
      <c r="B21" t="s">
        <v>74</v>
      </c>
      <c r="F21" t="s">
        <v>72</v>
      </c>
      <c r="G21" t="s">
        <v>71</v>
      </c>
      <c r="H21">
        <v>0</v>
      </c>
      <c r="I21" t="s">
        <v>76</v>
      </c>
      <c r="J21" t="s">
        <v>69</v>
      </c>
      <c r="K21">
        <v>0</v>
      </c>
      <c r="M21">
        <v>1</v>
      </c>
      <c r="R21" t="str">
        <f>IF($U$2=TRUE,$W$2&amp;". Выходное значение Включить","Выходное значение Включить")</f>
        <v>Выключатель электрический без тележки. Выходное значение Включить</v>
      </c>
      <c r="S21" s="372"/>
      <c r="U21" s="773"/>
      <c r="V21" s="4"/>
      <c r="W21" s="773"/>
      <c r="X21" s="4"/>
    </row>
    <row r="22" spans="1:24">
      <c r="A22" t="str">
        <f>SUBSTITUTE($V$2,"\","|")&amp; "|OXOF"</f>
        <v>ZRU_OL1|OXOF</v>
      </c>
      <c r="B22" t="s">
        <v>74</v>
      </c>
      <c r="F22" t="s">
        <v>72</v>
      </c>
      <c r="G22" t="s">
        <v>71</v>
      </c>
      <c r="H22">
        <v>0</v>
      </c>
      <c r="I22" t="s">
        <v>76</v>
      </c>
      <c r="J22" t="s">
        <v>69</v>
      </c>
      <c r="K22">
        <v>0</v>
      </c>
      <c r="M22">
        <v>1</v>
      </c>
      <c r="R22" t="str">
        <f>IF($U$2=TRUE,$W$2&amp;". Выходное значение Отключить","Выходное значение Отключить")</f>
        <v>Выключатель электрический без тележки. Выходное значение Отключить</v>
      </c>
      <c r="S22" s="372"/>
      <c r="U22" s="773"/>
      <c r="V22" s="4"/>
      <c r="W22" s="773"/>
      <c r="X22" s="4"/>
    </row>
    <row r="23" spans="1:24">
      <c r="A23" t="str">
        <f>SUBSTITUTE($V$2,"\","|")&amp; "|OCON"</f>
        <v>ZRU_OL1|OCON</v>
      </c>
      <c r="B23" t="s">
        <v>74</v>
      </c>
      <c r="F23" t="s">
        <v>72</v>
      </c>
      <c r="G23" t="s">
        <v>71</v>
      </c>
      <c r="H23">
        <v>0</v>
      </c>
      <c r="I23" t="s">
        <v>72</v>
      </c>
      <c r="J23" t="s">
        <v>69</v>
      </c>
      <c r="K23">
        <v>0</v>
      </c>
      <c r="M23">
        <v>1</v>
      </c>
      <c r="R23" t="str">
        <f>IF($U$2=TRUE,$W$2&amp;". Постоянная команда включить","Постоянная команда включить")</f>
        <v>Выключатель электрический без тележки. Постоянная команда включить</v>
      </c>
      <c r="S23" s="372"/>
      <c r="U23" s="773"/>
      <c r="V23" s="4"/>
      <c r="W23" s="773"/>
      <c r="X23" s="4"/>
    </row>
    <row r="24" spans="1:24">
      <c r="A24" t="str">
        <f>SUBSTITUTE($V$2,"\","|")&amp; "|OCOF"</f>
        <v>ZRU_OL1|OCOF</v>
      </c>
      <c r="B24" t="s">
        <v>74</v>
      </c>
      <c r="F24" t="s">
        <v>72</v>
      </c>
      <c r="G24" t="s">
        <v>71</v>
      </c>
      <c r="H24">
        <v>0</v>
      </c>
      <c r="I24" t="s">
        <v>72</v>
      </c>
      <c r="J24" t="s">
        <v>69</v>
      </c>
      <c r="K24">
        <v>0</v>
      </c>
      <c r="M24">
        <v>1</v>
      </c>
      <c r="R24" t="str">
        <f>IF($U$2=TRUE,$W$2&amp;". Постоянная команда отключить","Постоянная команда отключить")</f>
        <v>Выключатель электрический без тележки. Постоянная команда отключить</v>
      </c>
      <c r="S24" s="372"/>
      <c r="U24" s="773"/>
      <c r="V24" s="4"/>
      <c r="W24" s="773"/>
      <c r="X24" s="4"/>
    </row>
    <row r="25" spans="1:24">
      <c r="A25" s="4" t="str">
        <f>SUBSTITUTE($V$2,"\","|")&amp; "|LAON"</f>
        <v>ZRU_OL1|LAON</v>
      </c>
      <c r="B25" s="4" t="s">
        <v>74</v>
      </c>
      <c r="F25" s="4" t="s">
        <v>72</v>
      </c>
      <c r="G25" s="4" t="s">
        <v>71</v>
      </c>
      <c r="H25" s="4">
        <v>0</v>
      </c>
      <c r="I25" s="4" t="s">
        <v>72</v>
      </c>
      <c r="J25" s="4" t="s">
        <v>69</v>
      </c>
      <c r="K25" s="4">
        <v>0</v>
      </c>
      <c r="M25">
        <v>1</v>
      </c>
      <c r="R25" t="str">
        <f>IF($U$2=TRUE,$W$2&amp;". Заблокировалась автоматическая команда включить","Заблокировалась автоматическая команда включить")</f>
        <v>Выключатель электрический без тележки. Заблокировалась автоматическая команда включить</v>
      </c>
      <c r="S25" s="372"/>
      <c r="U25" s="773"/>
      <c r="V25" s="4"/>
      <c r="W25" s="773"/>
      <c r="X25" s="4"/>
    </row>
    <row r="26" spans="1:24">
      <c r="A26" s="4" t="str">
        <f>SUBSTITUTE($V$2,"\","|")&amp; "|LAOF"</f>
        <v>ZRU_OL1|LAOF</v>
      </c>
      <c r="B26" s="4" t="s">
        <v>74</v>
      </c>
      <c r="F26" s="4" t="s">
        <v>72</v>
      </c>
      <c r="G26" s="4" t="s">
        <v>71</v>
      </c>
      <c r="H26" s="4">
        <v>0</v>
      </c>
      <c r="I26" s="4" t="s">
        <v>72</v>
      </c>
      <c r="J26" s="4" t="s">
        <v>69</v>
      </c>
      <c r="K26" s="4">
        <v>0</v>
      </c>
      <c r="M26">
        <v>1</v>
      </c>
      <c r="R26" t="str">
        <f>IF($U$2=TRUE,$W$2&amp;". Заблокировалась автоматическая команда отключить","Заблокировалась автоматическая команда отключить")</f>
        <v>Выключатель электрический без тележки. Заблокировалась автоматическая команда отключить</v>
      </c>
      <c r="S26" s="372"/>
      <c r="U26" s="773"/>
      <c r="V26" s="4"/>
      <c r="W26" s="773"/>
      <c r="X26" s="4"/>
    </row>
    <row r="27" spans="1:24">
      <c r="A27" s="4" t="str">
        <f>SUBSTITUTE($V$2,"\","|")&amp; "|IRCX"</f>
        <v>ZRU_OL1|IRCX</v>
      </c>
      <c r="B27" s="4" t="s">
        <v>74</v>
      </c>
      <c r="F27" s="4" t="s">
        <v>76</v>
      </c>
      <c r="G27" s="4" t="s">
        <v>71</v>
      </c>
      <c r="H27" s="4">
        <v>0</v>
      </c>
      <c r="I27" s="4" t="s">
        <v>76</v>
      </c>
      <c r="J27" s="4" t="s">
        <v>69</v>
      </c>
      <c r="K27" s="4">
        <v>0</v>
      </c>
      <c r="M27">
        <v>1</v>
      </c>
      <c r="R27" t="str">
        <f>IF($U$2=TRUE,$W$2&amp;". Входное значение Дистанционное управление","Входное значение Дистанционное управление")</f>
        <v>Выключатель электрический без тележки. Входное значение Дистанционное управление</v>
      </c>
      <c r="S27" s="372"/>
      <c r="U27" s="773"/>
      <c r="V27" s="4"/>
      <c r="W27" s="773"/>
      <c r="X27" s="4"/>
    </row>
    <row r="28" spans="1:24">
      <c r="A28" s="4" t="str">
        <f>SUBSTITUTE($V$2,"\","|")&amp; "|IPTO"</f>
        <v>ZRU_OL1|IPTO</v>
      </c>
      <c r="B28" s="4" t="s">
        <v>74</v>
      </c>
      <c r="F28" s="4" t="s">
        <v>72</v>
      </c>
      <c r="G28" s="4" t="s">
        <v>71</v>
      </c>
      <c r="H28" s="4">
        <v>0</v>
      </c>
      <c r="I28" s="4" t="s">
        <v>72</v>
      </c>
      <c r="J28" s="4" t="s">
        <v>69</v>
      </c>
      <c r="K28" s="4">
        <v>0</v>
      </c>
      <c r="M28">
        <v>1</v>
      </c>
      <c r="R28" t="str">
        <f>IF($U$2=TRUE,$W$2&amp;". Входное значение аварийное отключение (НО)","Входное значение аварийное отключение (НО)")</f>
        <v>Выключатель электрический без тележки. Входное значение аварийное отключение (НО)</v>
      </c>
      <c r="S28" s="372"/>
      <c r="U28" s="773"/>
      <c r="V28" s="4"/>
      <c r="W28" s="773"/>
      <c r="X28" s="4"/>
    </row>
    <row r="29" spans="1:24">
      <c r="A29" s="4" t="str">
        <f>SUBSTITUTE($V$2,"\","|")&amp; "|IPTC"</f>
        <v>ZRU_OL1|IPTC</v>
      </c>
      <c r="B29" s="4" t="s">
        <v>74</v>
      </c>
      <c r="F29" s="4" t="s">
        <v>72</v>
      </c>
      <c r="G29" s="4" t="s">
        <v>71</v>
      </c>
      <c r="H29" s="4">
        <v>0</v>
      </c>
      <c r="I29" s="4" t="s">
        <v>72</v>
      </c>
      <c r="J29" s="4" t="s">
        <v>69</v>
      </c>
      <c r="K29" s="4">
        <v>0</v>
      </c>
      <c r="M29">
        <v>1</v>
      </c>
      <c r="R29" t="str">
        <f>IF($U$2=TRUE,$W$2&amp;". Входное значение аварийное отключение (НЗ)","Входное значение аварийное отключение (НЗ)")</f>
        <v>Выключатель электрический без тележки. Входное значение аварийное отключение (НЗ)</v>
      </c>
      <c r="S29" s="372"/>
      <c r="U29" s="773"/>
      <c r="V29" s="4"/>
      <c r="W29" s="773"/>
      <c r="X29" s="4"/>
    </row>
    <row r="30" spans="1:24">
      <c r="A30" s="4" t="str">
        <f>SUBSTITUTE($V$2,"\","|")&amp; "|IONX"</f>
        <v>ZRU_OL1|IONX</v>
      </c>
      <c r="B30" s="4" t="s">
        <v>74</v>
      </c>
      <c r="F30" s="4" t="s">
        <v>72</v>
      </c>
      <c r="G30" s="4" t="s">
        <v>71</v>
      </c>
      <c r="H30" s="4">
        <v>0</v>
      </c>
      <c r="I30" s="4" t="s">
        <v>76</v>
      </c>
      <c r="J30" s="4" t="s">
        <v>69</v>
      </c>
      <c r="K30" s="4">
        <v>0</v>
      </c>
      <c r="M30">
        <v>1</v>
      </c>
      <c r="R30" t="str">
        <f>IF($U$2=TRUE,$W$2&amp;". Входное значение Включен","Входное значение Включен")</f>
        <v>Выключатель электрический без тележки. Входное значение Включен</v>
      </c>
      <c r="S30" s="372"/>
      <c r="U30" s="773"/>
      <c r="V30" s="4"/>
      <c r="W30" s="773"/>
      <c r="X30" s="4"/>
    </row>
    <row r="31" spans="1:24">
      <c r="A31" s="4" t="str">
        <f>SUBSTITUTE($V$2,"\","|")&amp; "|IOFX"</f>
        <v>ZRU_OL1|IOFX</v>
      </c>
      <c r="B31" s="4" t="s">
        <v>74</v>
      </c>
      <c r="F31" s="4" t="s">
        <v>72</v>
      </c>
      <c r="G31" s="4" t="s">
        <v>71</v>
      </c>
      <c r="H31" s="4">
        <v>0</v>
      </c>
      <c r="I31" s="4" t="s">
        <v>76</v>
      </c>
      <c r="J31" s="4" t="s">
        <v>69</v>
      </c>
      <c r="K31" s="4">
        <v>0</v>
      </c>
      <c r="M31">
        <v>1</v>
      </c>
      <c r="R31" t="str">
        <f>IF($U$2=TRUE,$W$2&amp;". Входное значение Отключен","Входное значение Отключен")</f>
        <v>Выключатель электрический без тележки. Входное значение Отключен</v>
      </c>
      <c r="S31" s="372"/>
      <c r="U31" s="773"/>
      <c r="V31" s="4"/>
      <c r="W31" s="773"/>
      <c r="X31" s="4"/>
    </row>
    <row r="32" spans="1:24">
      <c r="A32" s="4" t="str">
        <f>SUBSTITUTE($V$2,"\","|")&amp; "|ILCX"</f>
        <v>ZRU_OL1|ILCX</v>
      </c>
      <c r="B32" s="4" t="s">
        <v>74</v>
      </c>
      <c r="F32" s="4" t="s">
        <v>72</v>
      </c>
      <c r="G32" s="4" t="s">
        <v>71</v>
      </c>
      <c r="H32" s="4">
        <v>0</v>
      </c>
      <c r="I32" s="4" t="s">
        <v>76</v>
      </c>
      <c r="J32" s="4" t="s">
        <v>69</v>
      </c>
      <c r="K32" s="4">
        <v>0</v>
      </c>
      <c r="M32">
        <v>1</v>
      </c>
      <c r="R32" t="str">
        <f>IF($U$2=TRUE,$W$2&amp;". Входное значение Местное управление","Входное значение Местное управление")</f>
        <v>Выключатель электрический без тележки. Входное значение Местное управление</v>
      </c>
      <c r="S32" s="372"/>
      <c r="U32" s="773"/>
      <c r="V32" s="4"/>
      <c r="W32" s="773"/>
      <c r="X32" s="4"/>
    </row>
    <row r="33" spans="1:24">
      <c r="A33" s="4" t="str">
        <f>SUBSTITUTE($V$2,"\","|")&amp; "|IFXX"</f>
        <v>ZRU_OL1|IFXX</v>
      </c>
      <c r="B33" s="4" t="s">
        <v>74</v>
      </c>
      <c r="F33" s="4" t="s">
        <v>72</v>
      </c>
      <c r="G33" s="4" t="s">
        <v>71</v>
      </c>
      <c r="H33" s="4">
        <v>0</v>
      </c>
      <c r="I33" s="4" t="s">
        <v>72</v>
      </c>
      <c r="J33" s="4" t="s">
        <v>69</v>
      </c>
      <c r="K33" s="4">
        <v>0</v>
      </c>
      <c r="M33">
        <v>1</v>
      </c>
      <c r="R33" t="str">
        <f>IF($U$2=TRUE,$W$2&amp;". Входное значение Неисправность","Входное значение Неисправность")</f>
        <v>Выключатель электрический без тележки. Входное значение Неисправность</v>
      </c>
      <c r="S33" s="372"/>
      <c r="U33" s="773"/>
      <c r="V33" s="4"/>
      <c r="W33" s="773"/>
      <c r="X33" s="4"/>
    </row>
    <row r="34" spans="1:24">
      <c r="A34" s="4" t="str">
        <f>SUBSTITUTE($V$2,"\","|")&amp; "|FXXX"</f>
        <v>ZRU_OL1|FXXX</v>
      </c>
      <c r="B34" s="4" t="s">
        <v>74</v>
      </c>
      <c r="F34" s="4" t="s">
        <v>72</v>
      </c>
      <c r="G34" s="4" t="s">
        <v>71</v>
      </c>
      <c r="H34" s="4">
        <v>0</v>
      </c>
      <c r="I34" s="4" t="s">
        <v>72</v>
      </c>
      <c r="J34" s="4" t="s">
        <v>69</v>
      </c>
      <c r="K34" s="4">
        <v>0</v>
      </c>
      <c r="M34">
        <v>1</v>
      </c>
      <c r="R34" t="str">
        <f>IF($U$2=TRUE,$W$2&amp;". Обобщенная неисправность","Обобщенная неисправность")</f>
        <v>Выключатель электрический без тележки. Обобщенная неисправность</v>
      </c>
      <c r="S34" s="372"/>
      <c r="U34" s="773"/>
      <c r="V34" s="4"/>
      <c r="W34" s="773"/>
      <c r="X34" s="4"/>
    </row>
    <row r="35" spans="1:24">
      <c r="A35" t="str">
        <f>SUBSTITUTE($V$2,"\","|")&amp; "|FUSX"</f>
        <v>ZRU_OL1|FUSX</v>
      </c>
      <c r="B35" t="s">
        <v>74</v>
      </c>
      <c r="F35" t="s">
        <v>72</v>
      </c>
      <c r="G35" t="s">
        <v>71</v>
      </c>
      <c r="H35">
        <v>0</v>
      </c>
      <c r="I35" t="s">
        <v>72</v>
      </c>
      <c r="J35" t="s">
        <v>69</v>
      </c>
      <c r="K35">
        <v>0</v>
      </c>
      <c r="M35">
        <v>1</v>
      </c>
      <c r="R35" t="str">
        <f>IF($U$2=TRUE,$W$2&amp;". Неопределенно положение","Неопределенно положение")</f>
        <v>Выключатель электрический без тележки. Неопределенно положение</v>
      </c>
      <c r="S35" s="372"/>
      <c r="U35" s="773"/>
      <c r="V35" s="4"/>
      <c r="W35" s="773"/>
      <c r="X35" s="4"/>
    </row>
    <row r="36" spans="1:24">
      <c r="A36" t="str">
        <f>SUBSTITUTE($V$2,"\","|")&amp; "|FUPT"</f>
        <v>ZRU_OL1|FUPT</v>
      </c>
      <c r="B36" t="s">
        <v>74</v>
      </c>
      <c r="F36" t="s">
        <v>72</v>
      </c>
      <c r="G36" t="s">
        <v>71</v>
      </c>
      <c r="H36">
        <v>0</v>
      </c>
      <c r="I36" t="s">
        <v>72</v>
      </c>
      <c r="J36" t="s">
        <v>69</v>
      </c>
      <c r="K36">
        <v>0</v>
      </c>
      <c r="M36">
        <v>1</v>
      </c>
      <c r="R36" t="str">
        <f>IF($U$2=TRUE,$W$2&amp;". Неопределенно положение аварийного отключения","Неопределенно положение аварийного отключения")</f>
        <v>Выключатель электрический без тележки. Неопределенно положение аварийного отключения</v>
      </c>
      <c r="S36" s="372"/>
      <c r="U36" s="773"/>
      <c r="V36" s="4"/>
      <c r="W36" s="773"/>
      <c r="X36" s="4"/>
    </row>
    <row r="37" spans="1:24">
      <c r="A37" t="str">
        <f>SUBSTITUTE($V$2,"\","|")&amp; "|FUCX"</f>
        <v>ZRU_OL1|FUCX</v>
      </c>
      <c r="B37" t="s">
        <v>74</v>
      </c>
      <c r="F37" t="s">
        <v>72</v>
      </c>
      <c r="G37" t="s">
        <v>71</v>
      </c>
      <c r="H37">
        <v>0</v>
      </c>
      <c r="I37" t="s">
        <v>72</v>
      </c>
      <c r="J37" t="s">
        <v>69</v>
      </c>
      <c r="K37">
        <v>0</v>
      </c>
      <c r="M37">
        <v>1</v>
      </c>
      <c r="R37" t="str">
        <f>IF($U$2=TRUE,$W$2&amp;". Неопределенное положение режима управления","Неопределенное положение режима управления")</f>
        <v>Выключатель электрический без тележки. Неопределенное положение режима управления</v>
      </c>
      <c r="S37" s="372"/>
      <c r="U37" s="773"/>
      <c r="V37" s="4"/>
      <c r="W37" s="773"/>
      <c r="X37" s="4"/>
    </row>
    <row r="38" spans="1:24">
      <c r="A38" t="str">
        <f>SUBSTITUTE($V$2,"\","|")&amp; "|FRQX"</f>
        <v>ZRU_OL1|FRQX</v>
      </c>
      <c r="B38" t="s">
        <v>74</v>
      </c>
      <c r="F38" t="s">
        <v>72</v>
      </c>
      <c r="G38" t="s">
        <v>71</v>
      </c>
      <c r="H38">
        <v>0</v>
      </c>
      <c r="I38" t="s">
        <v>72</v>
      </c>
      <c r="J38" t="s">
        <v>69</v>
      </c>
      <c r="K38">
        <v>0</v>
      </c>
      <c r="M38">
        <v>1</v>
      </c>
      <c r="R38" t="str">
        <f>IF($U$2=TRUE,$W$2&amp;". Сработала уставка по наработке концевиков","Сработала уставка по наработке концевиков")</f>
        <v>Выключатель электрический без тележки. Сработала уставка по наработке концевиков</v>
      </c>
      <c r="S38" s="372"/>
      <c r="U38" s="773"/>
      <c r="V38" s="4"/>
      <c r="W38" s="773"/>
      <c r="X38" s="4"/>
    </row>
    <row r="39" spans="1:24">
      <c r="A39" t="str">
        <f>SUBSTITUTE($V$2,"\","|")&amp; "|FRPT"</f>
        <v>ZRU_OL1|FRPT</v>
      </c>
      <c r="B39" t="s">
        <v>74</v>
      </c>
      <c r="F39" t="s">
        <v>72</v>
      </c>
      <c r="G39" t="s">
        <v>71</v>
      </c>
      <c r="H39">
        <v>0</v>
      </c>
      <c r="I39" t="s">
        <v>72</v>
      </c>
      <c r="J39" t="s">
        <v>69</v>
      </c>
      <c r="K39">
        <v>0</v>
      </c>
      <c r="M39">
        <v>1</v>
      </c>
      <c r="R39" t="str">
        <f>IF($U$2=TRUE,$W$2&amp;". Сработала уставка по наработке аварийного отключения","Сработала уставка по наработке аварийного отключения")</f>
        <v>Выключатель электрический без тележки. Сработала уставка по наработке аварийного отключения</v>
      </c>
      <c r="S39" s="372"/>
      <c r="U39" s="773"/>
      <c r="V39" s="4"/>
      <c r="W39" s="773"/>
      <c r="X39" s="4"/>
    </row>
    <row r="40" spans="1:24">
      <c r="A40" t="str">
        <f>SUBSTITUTE($V$2,"\","|")&amp; "|FPTX"</f>
        <v>ZRU_OL1|FPTX</v>
      </c>
      <c r="B40" t="s">
        <v>74</v>
      </c>
      <c r="F40" t="s">
        <v>72</v>
      </c>
      <c r="G40" t="s">
        <v>71</v>
      </c>
      <c r="H40">
        <v>0</v>
      </c>
      <c r="I40" t="s">
        <v>72</v>
      </c>
      <c r="J40" t="s">
        <v>69</v>
      </c>
      <c r="K40">
        <v>0</v>
      </c>
      <c r="M40">
        <v>1</v>
      </c>
      <c r="R40" t="str">
        <f>IF($U$2=TRUE,$W$2&amp;". Аварийно отключен","Аварийно отключен")</f>
        <v>Выключатель электрический без тележки. Аварийно отключен</v>
      </c>
      <c r="S40" s="372"/>
      <c r="U40" s="773"/>
      <c r="V40" s="4"/>
      <c r="W40" s="773"/>
      <c r="X40" s="4"/>
    </row>
    <row r="41" spans="1:24">
      <c r="A41" t="str">
        <f>SUBSTITUTE($V$2,"\","|")&amp; "|FONX"</f>
        <v>ZRU_OL1|FONX</v>
      </c>
      <c r="B41" t="s">
        <v>74</v>
      </c>
      <c r="F41" t="s">
        <v>72</v>
      </c>
      <c r="G41" t="s">
        <v>71</v>
      </c>
      <c r="H41">
        <v>0</v>
      </c>
      <c r="I41" t="s">
        <v>72</v>
      </c>
      <c r="J41" t="s">
        <v>69</v>
      </c>
      <c r="K41">
        <v>0</v>
      </c>
      <c r="M41">
        <v>1</v>
      </c>
      <c r="R41" t="str">
        <f>IF($U$2=TRUE,$W$2&amp;". Не включился/ Не открылся","Не включился/ Не открылся")</f>
        <v>Выключатель электрический без тележки. Не включился/ Не открылся</v>
      </c>
      <c r="S41" s="372"/>
      <c r="U41" s="773"/>
      <c r="V41" s="4"/>
      <c r="W41" s="773"/>
      <c r="X41" s="4"/>
    </row>
    <row r="42" spans="1:24">
      <c r="A42" t="str">
        <f>SUBSTITUTE($V$2,"\","|")&amp; "|FOFX"</f>
        <v>ZRU_OL1|FOFX</v>
      </c>
      <c r="B42" t="s">
        <v>74</v>
      </c>
      <c r="F42" t="s">
        <v>72</v>
      </c>
      <c r="G42" t="s">
        <v>71</v>
      </c>
      <c r="H42">
        <v>0</v>
      </c>
      <c r="I42" t="s">
        <v>72</v>
      </c>
      <c r="J42" t="s">
        <v>69</v>
      </c>
      <c r="K42">
        <v>0</v>
      </c>
      <c r="M42">
        <v>1</v>
      </c>
      <c r="R42" t="str">
        <f>IF($U$2=TRUE,$W$2&amp;". Не отключился/ Не закрылся","Не отключился/ Не закрылся")</f>
        <v>Выключатель электрический без тележки. Не отключился/ Не закрылся</v>
      </c>
      <c r="S42" s="372"/>
      <c r="U42" s="773"/>
      <c r="V42" s="4"/>
      <c r="W42" s="773"/>
      <c r="X42" s="4"/>
    </row>
    <row r="43" spans="1:24">
      <c r="A43" t="str">
        <f>SUBSTITUTE($V$2,"\","|")&amp; "|FFON"</f>
        <v>ZRU_OL1|FFON</v>
      </c>
      <c r="B43" t="s">
        <v>74</v>
      </c>
      <c r="F43" t="s">
        <v>72</v>
      </c>
      <c r="G43" t="s">
        <v>71</v>
      </c>
      <c r="H43">
        <v>0</v>
      </c>
      <c r="I43" t="s">
        <v>72</v>
      </c>
      <c r="J43" t="s">
        <v>69</v>
      </c>
      <c r="K43">
        <v>0</v>
      </c>
      <c r="M43">
        <v>1</v>
      </c>
      <c r="R43" t="str">
        <f>IF($U$2=TRUE,$W$2&amp;". Несанкционированное включение","Несанкционированное включение")</f>
        <v>Выключатель электрический без тележки. Несанкционированное включение</v>
      </c>
      <c r="S43" s="372"/>
      <c r="U43" s="773"/>
      <c r="V43" s="4"/>
      <c r="W43" s="773"/>
      <c r="X43" s="4"/>
    </row>
    <row r="44" spans="1:24">
      <c r="A44" t="str">
        <f>SUBSTITUTE($V$2,"\","|")&amp; "|FFOF"</f>
        <v>ZRU_OL1|FFOF</v>
      </c>
      <c r="B44" t="s">
        <v>74</v>
      </c>
      <c r="F44" t="s">
        <v>72</v>
      </c>
      <c r="G44" t="s">
        <v>71</v>
      </c>
      <c r="H44">
        <v>0</v>
      </c>
      <c r="I44" t="s">
        <v>72</v>
      </c>
      <c r="J44" t="s">
        <v>69</v>
      </c>
      <c r="K44">
        <v>0</v>
      </c>
      <c r="M44">
        <v>1</v>
      </c>
      <c r="R44" t="str">
        <f>IF($U$2=TRUE,$W$2&amp;". Несануционированное отключение","Несануционированное отключение")</f>
        <v>Выключатель электрический без тележки. Несануционированное отключение</v>
      </c>
      <c r="S44" s="372"/>
      <c r="U44" s="773"/>
      <c r="V44" s="4"/>
      <c r="W44" s="773"/>
      <c r="X44" s="4"/>
    </row>
    <row r="45" spans="1:24">
      <c r="A45" t="str">
        <f>SUBSTITUTE($V$2,"\","|")&amp; "|FDSX"</f>
        <v>ZRU_OL1|FDSX</v>
      </c>
      <c r="B45" t="s">
        <v>74</v>
      </c>
      <c r="F45" t="s">
        <v>72</v>
      </c>
      <c r="G45" t="s">
        <v>71</v>
      </c>
      <c r="H45">
        <v>0</v>
      </c>
      <c r="I45" t="s">
        <v>72</v>
      </c>
      <c r="J45" t="s">
        <v>69</v>
      </c>
      <c r="K45">
        <v>0</v>
      </c>
      <c r="M45">
        <v>1</v>
      </c>
      <c r="R45" t="str">
        <f>IF($U$2=TRUE,$W$2&amp;". Двойное положение","Двойное положение")</f>
        <v>Выключатель электрический без тележки. Двойное положение</v>
      </c>
      <c r="S45" s="372"/>
      <c r="U45" s="773"/>
      <c r="V45" s="4"/>
      <c r="W45" s="773"/>
      <c r="X45" s="4"/>
    </row>
    <row r="46" spans="1:24">
      <c r="A46" t="str">
        <f>SUBSTITUTE($V$2,"\","|")&amp; "|FDPT"</f>
        <v>ZRU_OL1|FDPT</v>
      </c>
      <c r="B46" t="s">
        <v>74</v>
      </c>
      <c r="F46" t="s">
        <v>72</v>
      </c>
      <c r="G46" t="s">
        <v>71</v>
      </c>
      <c r="H46">
        <v>0</v>
      </c>
      <c r="I46" t="s">
        <v>72</v>
      </c>
      <c r="J46" t="s">
        <v>69</v>
      </c>
      <c r="K46">
        <v>0</v>
      </c>
      <c r="M46">
        <v>1</v>
      </c>
      <c r="R46" t="str">
        <f>IF($U$2=TRUE,$W$2&amp;". Двойное положение аварийного отключения","Двойное положение аварийного отключения")</f>
        <v>Выключатель электрический без тележки. Двойное положение аварийного отключения</v>
      </c>
      <c r="S46" s="372"/>
      <c r="U46" s="773"/>
      <c r="V46" s="4"/>
      <c r="W46" s="773"/>
      <c r="X46" s="4"/>
    </row>
    <row r="47" spans="1:24">
      <c r="A47" t="str">
        <f>SUBSTITUTE($V$2,"\","|")&amp; "|FDCX"</f>
        <v>ZRU_OL1|FDCX</v>
      </c>
      <c r="B47" t="s">
        <v>74</v>
      </c>
      <c r="F47" t="s">
        <v>72</v>
      </c>
      <c r="G47" t="s">
        <v>71</v>
      </c>
      <c r="H47">
        <v>0</v>
      </c>
      <c r="I47" t="s">
        <v>72</v>
      </c>
      <c r="J47" t="s">
        <v>69</v>
      </c>
      <c r="K47">
        <v>0</v>
      </c>
      <c r="M47">
        <v>1</v>
      </c>
      <c r="R47" t="str">
        <f>IF($U$2=TRUE,$W$2&amp;". Двойное положение режима управления","Двойное положение режима управления")</f>
        <v>Выключатель электрический без тележки. Двойное положение режима управления</v>
      </c>
      <c r="S47" s="372"/>
      <c r="U47" s="773"/>
      <c r="V47" s="4"/>
      <c r="W47" s="773"/>
      <c r="X47" s="4"/>
    </row>
    <row r="48" spans="1:24">
      <c r="A48" t="str">
        <f>SUBSTITUTE($V$2,"\","|")&amp; "|FCOM"</f>
        <v>ZRU_OL1|FCOM</v>
      </c>
      <c r="B48" t="s">
        <v>74</v>
      </c>
      <c r="F48" t="s">
        <v>72</v>
      </c>
      <c r="G48" t="s">
        <v>71</v>
      </c>
      <c r="H48">
        <v>0</v>
      </c>
      <c r="I48" t="s">
        <v>72</v>
      </c>
      <c r="J48" t="s">
        <v>69</v>
      </c>
      <c r="K48">
        <v>0</v>
      </c>
      <c r="M48">
        <v>1</v>
      </c>
      <c r="R48" t="str">
        <f>IF($U$2=TRUE,$W$2&amp;". Противоречивость команд","Противоречивость команд")</f>
        <v>Выключатель электрический без тележки. Противоречивость команд</v>
      </c>
      <c r="S48" s="372"/>
      <c r="U48" s="773"/>
      <c r="V48" s="4"/>
      <c r="W48" s="773"/>
      <c r="X48" s="4"/>
    </row>
    <row r="49" spans="1:24">
      <c r="A49" t="str">
        <f>SUBSTITUTE($V$2,"\","|")&amp; "|DRCX"</f>
        <v>ZRU_OL1|DRCX</v>
      </c>
      <c r="B49" t="s">
        <v>74</v>
      </c>
      <c r="F49" t="s">
        <v>72</v>
      </c>
      <c r="G49" t="s">
        <v>71</v>
      </c>
      <c r="H49">
        <v>0</v>
      </c>
      <c r="I49" t="s">
        <v>72</v>
      </c>
      <c r="J49" t="s">
        <v>69</v>
      </c>
      <c r="K49">
        <v>0</v>
      </c>
      <c r="M49">
        <v>1</v>
      </c>
      <c r="R49" t="str">
        <f>IF($U$2=TRUE,$W$2&amp;". Недостоверное Входное значение Дистанционное управление","Недостоверное Входное значение Дистанционное управление")</f>
        <v>Выключатель электрический без тележки. Недостоверное Входное значение Дистанционное управление</v>
      </c>
      <c r="S49" s="372"/>
      <c r="U49" s="773"/>
      <c r="V49" s="4"/>
      <c r="W49" s="773"/>
      <c r="X49" s="4"/>
    </row>
    <row r="50" spans="1:24">
      <c r="A50" t="str">
        <f>SUBSTITUTE($V$2,"\","|")&amp; "|DPTO"</f>
        <v>ZRU_OL1|DPTO</v>
      </c>
      <c r="B50" t="s">
        <v>74</v>
      </c>
      <c r="F50" t="s">
        <v>72</v>
      </c>
      <c r="G50" t="s">
        <v>71</v>
      </c>
      <c r="H50">
        <v>0</v>
      </c>
      <c r="I50" t="s">
        <v>72</v>
      </c>
      <c r="J50" t="s">
        <v>69</v>
      </c>
      <c r="K50">
        <v>0</v>
      </c>
      <c r="M50">
        <v>1</v>
      </c>
      <c r="R50" t="str">
        <f>IF($U$2=TRUE,$W$2&amp;". Недостоверное Входное значение аварийное отключение (НО)","Недостоверное Входное значение аварийное отключение (НО)")</f>
        <v>Выключатель электрический без тележки. Недостоверное Входное значение аварийное отключение (НО)</v>
      </c>
      <c r="S50" s="372"/>
      <c r="U50" s="773"/>
      <c r="V50" s="4"/>
      <c r="W50" s="773"/>
      <c r="X50" s="4"/>
    </row>
    <row r="51" spans="1:24">
      <c r="A51" t="str">
        <f>SUBSTITUTE($V$2,"\","|")&amp; "|DPTC"</f>
        <v>ZRU_OL1|DPTC</v>
      </c>
      <c r="B51" t="s">
        <v>74</v>
      </c>
      <c r="F51" t="s">
        <v>72</v>
      </c>
      <c r="G51" t="s">
        <v>71</v>
      </c>
      <c r="H51">
        <v>0</v>
      </c>
      <c r="I51" t="s">
        <v>72</v>
      </c>
      <c r="J51" t="s">
        <v>69</v>
      </c>
      <c r="K51">
        <v>0</v>
      </c>
      <c r="M51">
        <v>1</v>
      </c>
      <c r="R51" t="str">
        <f>IF($U$2=TRUE,$W$2&amp;". Недостоверное Входное значение аварийное отключение (НЗ)","Недостоверное Входное значение аварийное отключение (НЗ)")</f>
        <v>Выключатель электрический без тележки. Недостоверное Входное значение аварийное отключение (НЗ)</v>
      </c>
      <c r="S51" s="372"/>
      <c r="U51" s="773"/>
      <c r="V51" s="4"/>
      <c r="W51" s="773"/>
      <c r="X51" s="4"/>
    </row>
    <row r="52" spans="1:24">
      <c r="A52" t="str">
        <f>SUBSTITUTE($V$2,"\","|")&amp; "|DOSP"</f>
        <v>ZRU_OL1|DOSP</v>
      </c>
      <c r="B52" t="s">
        <v>74</v>
      </c>
      <c r="F52" t="s">
        <v>72</v>
      </c>
      <c r="G52" t="s">
        <v>71</v>
      </c>
      <c r="H52">
        <v>0</v>
      </c>
      <c r="I52" t="s">
        <v>72</v>
      </c>
      <c r="J52" t="s">
        <v>69</v>
      </c>
      <c r="K52">
        <v>0</v>
      </c>
      <c r="M52">
        <v>1</v>
      </c>
      <c r="R52" t="str">
        <f>IF($U$2=TRUE,$W$2&amp;". Недостоверное Выходное значение Стоп","Недостоверное Выходное значение Стоп")</f>
        <v>Выключатель электрический без тележки. Недостоверное Выходное значение Стоп</v>
      </c>
      <c r="S52" s="372"/>
      <c r="U52" s="773"/>
      <c r="V52" s="4"/>
      <c r="W52" s="773"/>
      <c r="X52" s="4"/>
    </row>
    <row r="53" spans="1:24">
      <c r="A53" t="str">
        <f>SUBSTITUTE($V$2,"\","|")&amp; "|DOON"</f>
        <v>ZRU_OL1|DOON</v>
      </c>
      <c r="B53" t="s">
        <v>74</v>
      </c>
      <c r="F53" t="s">
        <v>72</v>
      </c>
      <c r="G53" t="s">
        <v>71</v>
      </c>
      <c r="H53">
        <v>0</v>
      </c>
      <c r="I53" t="s">
        <v>72</v>
      </c>
      <c r="J53" t="s">
        <v>69</v>
      </c>
      <c r="K53">
        <v>0</v>
      </c>
      <c r="M53">
        <v>1</v>
      </c>
      <c r="R53" t="str">
        <f>IF($U$2=TRUE,$W$2&amp;". Недостоверное Выходное  значение Включить","Недостоверное Выходное  значение Включить")</f>
        <v>Выключатель электрический без тележки. Недостоверное Выходное  значение Включить</v>
      </c>
      <c r="S53" s="372"/>
      <c r="U53" s="773"/>
      <c r="V53" s="4"/>
      <c r="W53" s="773"/>
      <c r="X53" s="4"/>
    </row>
    <row r="54" spans="1:24">
      <c r="A54" t="str">
        <f>SUBSTITUTE($V$2,"\","|")&amp; "|DOOF"</f>
        <v>ZRU_OL1|DOOF</v>
      </c>
      <c r="B54" t="s">
        <v>74</v>
      </c>
      <c r="F54" t="s">
        <v>72</v>
      </c>
      <c r="G54" t="s">
        <v>71</v>
      </c>
      <c r="H54">
        <v>0</v>
      </c>
      <c r="I54" t="s">
        <v>72</v>
      </c>
      <c r="J54" t="s">
        <v>69</v>
      </c>
      <c r="K54">
        <v>0</v>
      </c>
      <c r="M54">
        <v>1</v>
      </c>
      <c r="R54" t="str">
        <f>IF($U$2=TRUE,$W$2&amp;". Недостоверное Выходное значение Отключить","Недостоверное Выходное значение Отключить")</f>
        <v>Выключатель электрический без тележки. Недостоверное Выходное значение Отключить</v>
      </c>
      <c r="S54" s="372"/>
      <c r="U54" s="773"/>
      <c r="V54" s="4"/>
      <c r="W54" s="773"/>
      <c r="X54" s="4"/>
    </row>
    <row r="55" spans="1:24">
      <c r="A55" t="str">
        <f>SUBSTITUTE($V$2,"\","|")&amp; "|DONX"</f>
        <v>ZRU_OL1|DONX</v>
      </c>
      <c r="B55" t="s">
        <v>74</v>
      </c>
      <c r="F55" t="s">
        <v>72</v>
      </c>
      <c r="G55" t="s">
        <v>71</v>
      </c>
      <c r="H55">
        <v>0</v>
      </c>
      <c r="I55" t="s">
        <v>72</v>
      </c>
      <c r="J55" t="s">
        <v>69</v>
      </c>
      <c r="K55">
        <v>0</v>
      </c>
      <c r="M55">
        <v>1</v>
      </c>
      <c r="R55" t="str">
        <f>IF($U$2=TRUE,$W$2&amp;". Недостоверное Входное значение Включен","Недостоверное Входное значение Включен")</f>
        <v>Выключатель электрический без тележки. Недостоверное Входное значение Включен</v>
      </c>
      <c r="S55" s="372"/>
      <c r="U55" s="773"/>
      <c r="V55" s="4"/>
      <c r="W55" s="773"/>
      <c r="X55" s="4"/>
    </row>
    <row r="56" spans="1:24">
      <c r="A56" t="str">
        <f>SUBSTITUTE($V$2,"\","|")&amp; "|DOFX"</f>
        <v>ZRU_OL1|DOFX</v>
      </c>
      <c r="B56" t="s">
        <v>74</v>
      </c>
      <c r="F56" t="s">
        <v>72</v>
      </c>
      <c r="G56" t="s">
        <v>71</v>
      </c>
      <c r="H56">
        <v>0</v>
      </c>
      <c r="I56" t="s">
        <v>72</v>
      </c>
      <c r="J56" t="s">
        <v>69</v>
      </c>
      <c r="K56">
        <v>0</v>
      </c>
      <c r="M56">
        <v>1</v>
      </c>
      <c r="R56" t="str">
        <f>IF($U$2=TRUE,$W$2&amp;". Недостоверное Входное значение Отключен","Недостоверное Входное значение Отключен")</f>
        <v>Выключатель электрический без тележки. Недостоверное Входное значение Отключен</v>
      </c>
      <c r="S56" s="372"/>
      <c r="U56" s="773"/>
      <c r="V56" s="4"/>
      <c r="W56" s="773"/>
      <c r="X56" s="4"/>
    </row>
    <row r="57" spans="1:24">
      <c r="A57" t="str">
        <f>SUBSTITUTE($V$2,"\","|")&amp; "|DLCX"</f>
        <v>ZRU_OL1|DLCX</v>
      </c>
      <c r="B57" t="s">
        <v>74</v>
      </c>
      <c r="F57" t="s">
        <v>72</v>
      </c>
      <c r="G57" t="s">
        <v>71</v>
      </c>
      <c r="H57">
        <v>0</v>
      </c>
      <c r="I57" t="s">
        <v>72</v>
      </c>
      <c r="J57" t="s">
        <v>69</v>
      </c>
      <c r="K57">
        <v>0</v>
      </c>
      <c r="M57">
        <v>1</v>
      </c>
      <c r="R57" t="str">
        <f>IF($U$2=TRUE,$W$2&amp;". Недостоверное Входное значение Местное управление","Недостоверное Входное значение Местное управление")</f>
        <v>Выключатель электрический без тележки. Недостоверное Входное значение Местное управление</v>
      </c>
      <c r="S57" s="372"/>
      <c r="U57" s="773"/>
      <c r="V57" s="4"/>
      <c r="W57" s="773"/>
      <c r="X57" s="4"/>
    </row>
    <row r="58" spans="1:24">
      <c r="A58" t="str">
        <f>SUBSTITUTE($V$2,"\","|")&amp; "|DFXX"</f>
        <v>ZRU_OL1|DFXX</v>
      </c>
      <c r="B58" t="s">
        <v>74</v>
      </c>
      <c r="F58" t="s">
        <v>72</v>
      </c>
      <c r="G58" t="s">
        <v>71</v>
      </c>
      <c r="H58">
        <v>0</v>
      </c>
      <c r="I58" t="s">
        <v>72</v>
      </c>
      <c r="J58" t="s">
        <v>69</v>
      </c>
      <c r="K58">
        <v>0</v>
      </c>
      <c r="M58">
        <v>1</v>
      </c>
      <c r="R58" t="str">
        <f>IF($U$2=TRUE,$W$2&amp;". Недостоверное Входное значение Неисправность","Недостоверное Входное значение Неисправность")</f>
        <v>Выключатель электрический без тележки. Недостоверное Входное значение Неисправность</v>
      </c>
      <c r="S58" s="372"/>
      <c r="U58" s="773"/>
      <c r="V58" s="4"/>
      <c r="W58" s="773"/>
      <c r="X58" s="4"/>
    </row>
    <row r="59" spans="1:24">
      <c r="A59" t="str">
        <f>SUBSTITUTE($V$2,"\","|")&amp; "|CRST"</f>
        <v>ZRU_OL1|CRST</v>
      </c>
      <c r="B59" t="s">
        <v>74</v>
      </c>
      <c r="F59" t="s">
        <v>72</v>
      </c>
      <c r="G59" t="s">
        <v>71</v>
      </c>
      <c r="H59">
        <v>0</v>
      </c>
      <c r="I59" t="s">
        <v>76</v>
      </c>
      <c r="J59" t="s">
        <v>73</v>
      </c>
      <c r="K59">
        <v>0</v>
      </c>
      <c r="M59">
        <v>1</v>
      </c>
      <c r="R59" t="str">
        <f>IF($U$2=TRUE,$W$2&amp;". Команда сброс ошибок","Команда сброс ошибок")</f>
        <v>Выключатель электрический без тележки. Команда сброс ошибок</v>
      </c>
      <c r="S59" s="372"/>
      <c r="U59" s="773"/>
      <c r="V59" s="4"/>
      <c r="W59" s="773"/>
      <c r="X59" s="4"/>
    </row>
    <row r="60" spans="1:24">
      <c r="A60" t="str">
        <f>SUBSTITUTE($V$2,"\","|")&amp; "|CRRX"</f>
        <v>ZRU_OL1|CRRX</v>
      </c>
      <c r="B60" t="s">
        <v>74</v>
      </c>
      <c r="F60" t="s">
        <v>72</v>
      </c>
      <c r="G60" t="s">
        <v>71</v>
      </c>
      <c r="H60">
        <v>0</v>
      </c>
      <c r="I60" t="s">
        <v>76</v>
      </c>
      <c r="J60" t="s">
        <v>73</v>
      </c>
      <c r="K60">
        <v>0</v>
      </c>
      <c r="M60">
        <v>1</v>
      </c>
      <c r="R60" t="str">
        <f>IF($U$2=TRUE,$W$2&amp;". Команда сброс наработки","Команда сброс наработки")</f>
        <v>Выключатель электрический без тележки. Команда сброс наработки</v>
      </c>
      <c r="S60" s="372"/>
      <c r="U60" s="773"/>
      <c r="V60" s="4"/>
      <c r="W60" s="773"/>
      <c r="X60" s="4"/>
    </row>
    <row r="61" spans="1:24">
      <c r="A61" t="str">
        <f>SUBSTITUTE($V$2,"\","|")&amp; "|CRPX"</f>
        <v>ZRU_OL1|CRPX</v>
      </c>
      <c r="B61" t="s">
        <v>74</v>
      </c>
      <c r="F61" t="s">
        <v>72</v>
      </c>
      <c r="G61" t="s">
        <v>71</v>
      </c>
      <c r="H61">
        <v>0</v>
      </c>
      <c r="I61" t="s">
        <v>76</v>
      </c>
      <c r="J61" t="s">
        <v>73</v>
      </c>
      <c r="K61">
        <v>0</v>
      </c>
      <c r="M61">
        <v>1</v>
      </c>
      <c r="R61" t="str">
        <f>IF($U$2=TRUE,$W$2&amp;". Команда оператора вывести в ремонт","Команда оператора вывести в ремонт")</f>
        <v>Выключатель электрический без тележки. Команда оператора вывести в ремонт</v>
      </c>
      <c r="S61" s="372"/>
      <c r="U61" s="773"/>
      <c r="V61" s="4"/>
      <c r="W61" s="773"/>
      <c r="X61" s="4"/>
    </row>
    <row r="62" spans="1:24">
      <c r="A62" t="str">
        <f>SUBSTITUTE($V$2,"\","|")&amp; "|CPSV"</f>
        <v>ZRU_OL1|CPSV</v>
      </c>
      <c r="B62" t="s">
        <v>74</v>
      </c>
      <c r="F62" t="s">
        <v>72</v>
      </c>
      <c r="G62" t="s">
        <v>71</v>
      </c>
      <c r="H62">
        <v>0</v>
      </c>
      <c r="I62" t="s">
        <v>76</v>
      </c>
      <c r="J62" t="s">
        <v>73</v>
      </c>
      <c r="K62">
        <v>0</v>
      </c>
      <c r="M62">
        <v>1</v>
      </c>
      <c r="R62" t="str">
        <f>IF($U$2=TRUE,$W$2&amp;". Установлен плакат ''Под напряжением'' ","Установлен плакат ''Под напряжением'' ")</f>
        <v xml:space="preserve">Выключатель электрический без тележки. Установлен плакат ''Под напряжением'' </v>
      </c>
      <c r="S62" s="372"/>
      <c r="U62" s="773"/>
      <c r="V62" s="4"/>
      <c r="W62" s="773"/>
      <c r="X62" s="4"/>
    </row>
    <row r="63" spans="1:24">
      <c r="A63" t="str">
        <f>SUBSTITUTE($V$2,"\","|")&amp; "|CPSP"</f>
        <v>ZRU_OL1|CPSP</v>
      </c>
      <c r="B63" t="s">
        <v>74</v>
      </c>
      <c r="F63" t="s">
        <v>72</v>
      </c>
      <c r="G63" t="s">
        <v>71</v>
      </c>
      <c r="H63">
        <v>0</v>
      </c>
      <c r="I63" t="s">
        <v>76</v>
      </c>
      <c r="J63" t="s">
        <v>73</v>
      </c>
      <c r="K63">
        <v>0</v>
      </c>
      <c r="M63">
        <v>1</v>
      </c>
      <c r="R63" t="str">
        <f>IF($U$2=TRUE,$W$2&amp;". Установлен плакат ''Работают люди'' ","Установлен плакат ''Работают люди'' ")</f>
        <v xml:space="preserve">Выключатель электрический без тележки. Установлен плакат ''Работают люди'' </v>
      </c>
      <c r="S63" s="372"/>
      <c r="U63" s="773"/>
      <c r="V63" s="4"/>
      <c r="W63" s="773"/>
      <c r="X63" s="4"/>
    </row>
    <row r="64" spans="1:24">
      <c r="A64" t="str">
        <f>SUBSTITUTE($V$2,"\","|")&amp; "|CPSL"</f>
        <v>ZRU_OL1|CPSL</v>
      </c>
      <c r="B64" t="s">
        <v>74</v>
      </c>
      <c r="F64" t="s">
        <v>72</v>
      </c>
      <c r="G64" t="s">
        <v>71</v>
      </c>
      <c r="H64">
        <v>0</v>
      </c>
      <c r="I64" t="s">
        <v>76</v>
      </c>
      <c r="J64" t="s">
        <v>73</v>
      </c>
      <c r="K64">
        <v>0</v>
      </c>
      <c r="M64">
        <v>1</v>
      </c>
      <c r="R64" t="str">
        <f>IF($U$2=TRUE,$W$2&amp;". Установлен плакат ''Работа на линии'' ","Установлен плакат ''Работа на линии'' ")</f>
        <v xml:space="preserve">Выключатель электрический без тележки. Установлен плакат ''Работа на линии'' </v>
      </c>
      <c r="S64" s="372"/>
      <c r="U64" s="773"/>
      <c r="V64" s="4"/>
      <c r="W64" s="773"/>
      <c r="X64" s="4"/>
    </row>
    <row r="65" spans="1:24">
      <c r="A65" t="str">
        <f>SUBSTITUTE($V$2,"\","|")&amp; "|CPSG"</f>
        <v>ZRU_OL1|CPSG</v>
      </c>
      <c r="B65" t="s">
        <v>74</v>
      </c>
      <c r="F65" t="s">
        <v>72</v>
      </c>
      <c r="G65" t="s">
        <v>71</v>
      </c>
      <c r="H65">
        <v>0</v>
      </c>
      <c r="I65" t="s">
        <v>76</v>
      </c>
      <c r="J65" t="s">
        <v>73</v>
      </c>
      <c r="K65">
        <v>0</v>
      </c>
      <c r="M65">
        <v>1</v>
      </c>
      <c r="R65" t="str">
        <f>IF($U$2=TRUE,$W$2&amp;". Установлен плакат ''Заземлено'' ","Установлен плакат ''Заземлено'' ")</f>
        <v xml:space="preserve">Выключатель электрический без тележки. Установлен плакат ''Заземлено'' </v>
      </c>
      <c r="S65" s="372"/>
      <c r="U65" s="773"/>
      <c r="V65" s="4"/>
      <c r="W65" s="773"/>
      <c r="X65" s="4"/>
    </row>
    <row r="66" spans="1:24">
      <c r="A66" t="str">
        <f>SUBSTITUTE($V$2,"\","|")&amp; "|CPMM"</f>
        <v>ZRU_OL1|CPMM</v>
      </c>
      <c r="B66" t="s">
        <v>74</v>
      </c>
      <c r="F66" t="s">
        <v>76</v>
      </c>
      <c r="G66" t="s">
        <v>71</v>
      </c>
      <c r="H66">
        <v>0</v>
      </c>
      <c r="I66" t="s">
        <v>76</v>
      </c>
      <c r="J66" t="s">
        <v>73</v>
      </c>
      <c r="K66">
        <v>0</v>
      </c>
      <c r="M66">
        <v>1</v>
      </c>
      <c r="R66" t="str">
        <f>IF($U$2=TRUE,$W$2&amp;". Разрешение на перевод в ручной режим","Разрешение на перевод в ручной режим")</f>
        <v>Выключатель электрический без тележки. Разрешение на перевод в ручной режим</v>
      </c>
      <c r="S66" s="372"/>
      <c r="U66" s="773"/>
      <c r="V66" s="4"/>
      <c r="W66" s="773"/>
      <c r="X66" s="4"/>
    </row>
    <row r="67" spans="1:24">
      <c r="A67" t="str">
        <f>SUBSTITUTE($V$2,"\","|")&amp; "|COSP"</f>
        <v>ZRU_OL1|COSP</v>
      </c>
      <c r="B67" t="s">
        <v>74</v>
      </c>
      <c r="F67" t="s">
        <v>72</v>
      </c>
      <c r="G67" t="s">
        <v>71</v>
      </c>
      <c r="H67">
        <v>0</v>
      </c>
      <c r="I67" t="s">
        <v>76</v>
      </c>
      <c r="J67" t="s">
        <v>73</v>
      </c>
      <c r="K67">
        <v>0</v>
      </c>
      <c r="M67">
        <v>1</v>
      </c>
      <c r="R67" t="str">
        <f>IF($U$2=TRUE,$W$2&amp;". Команда оператора стоп","Команда оператора стоп")</f>
        <v>Выключатель электрический без тележки. Команда оператора стоп</v>
      </c>
      <c r="S67" s="372"/>
      <c r="U67" s="773"/>
      <c r="V67" s="4"/>
      <c r="W67" s="773"/>
      <c r="X67" s="4"/>
    </row>
    <row r="68" spans="1:24">
      <c r="A68" t="str">
        <f>SUBSTITUTE($V$2,"\","|")&amp; "|COON"</f>
        <v>ZRU_OL1|COON</v>
      </c>
      <c r="B68" t="s">
        <v>74</v>
      </c>
      <c r="F68" t="s">
        <v>72</v>
      </c>
      <c r="G68" t="s">
        <v>71</v>
      </c>
      <c r="H68">
        <v>0</v>
      </c>
      <c r="I68" t="s">
        <v>76</v>
      </c>
      <c r="J68" t="s">
        <v>73</v>
      </c>
      <c r="K68">
        <v>0</v>
      </c>
      <c r="M68">
        <v>1</v>
      </c>
      <c r="R68" t="str">
        <f>IF($U$2=TRUE,$W$2&amp;". Команда оператора включить","Команда оператора включить")</f>
        <v>Выключатель электрический без тележки. Команда оператора включить</v>
      </c>
      <c r="S68" s="372"/>
      <c r="U68" s="773"/>
      <c r="V68" s="4"/>
      <c r="W68" s="773"/>
      <c r="X68" s="4"/>
    </row>
    <row r="69" spans="1:24">
      <c r="A69" t="str">
        <f>SUBSTITUTE($V$2,"\","|")&amp; "|COOF"</f>
        <v>ZRU_OL1|COOF</v>
      </c>
      <c r="B69" t="s">
        <v>74</v>
      </c>
      <c r="F69" t="s">
        <v>72</v>
      </c>
      <c r="G69" t="s">
        <v>71</v>
      </c>
      <c r="H69">
        <v>0</v>
      </c>
      <c r="I69" t="s">
        <v>76</v>
      </c>
      <c r="J69" t="s">
        <v>73</v>
      </c>
      <c r="K69">
        <v>0</v>
      </c>
      <c r="M69">
        <v>1</v>
      </c>
      <c r="R69" t="str">
        <f>IF($U$2=TRUE,$W$2&amp;". Команда оператора отключить","Команда оператора отключить")</f>
        <v>Выключатель электрический без тележки. Команда оператора отключить</v>
      </c>
      <c r="S69" s="372"/>
      <c r="U69" s="773"/>
      <c r="V69" s="4"/>
      <c r="W69" s="773"/>
      <c r="X69" s="4"/>
    </row>
    <row r="70" spans="1:24">
      <c r="A70" t="str">
        <f>SUBSTITUTE($V$2,"\","|")&amp; "|CMMX"</f>
        <v>ZRU_OL1|CMMX</v>
      </c>
      <c r="B70" t="s">
        <v>74</v>
      </c>
      <c r="F70" t="s">
        <v>72</v>
      </c>
      <c r="G70" t="s">
        <v>71</v>
      </c>
      <c r="H70">
        <v>0</v>
      </c>
      <c r="I70" t="s">
        <v>76</v>
      </c>
      <c r="J70" t="s">
        <v>73</v>
      </c>
      <c r="K70">
        <v>0</v>
      </c>
      <c r="M70">
        <v>1</v>
      </c>
      <c r="R70" t="str">
        <f>IF($U$2=TRUE,$W$2&amp;". Команда перевести в ручной режим управления","Команда перевести в ручной режим управления")</f>
        <v>Выключатель электрический без тележки. Команда перевести в ручной режим управления</v>
      </c>
      <c r="S70" s="372"/>
      <c r="U70" s="773"/>
      <c r="V70" s="4"/>
      <c r="W70" s="773"/>
      <c r="X70" s="4"/>
    </row>
    <row r="71" spans="1:24">
      <c r="A71" t="str">
        <f>SUBSTITUTE($V$2,"\","|")&amp; "|CEON"</f>
        <v>ZRU_OL1|CEON</v>
      </c>
      <c r="B71" t="s">
        <v>74</v>
      </c>
      <c r="F71" t="s">
        <v>72</v>
      </c>
      <c r="G71" t="s">
        <v>71</v>
      </c>
      <c r="H71">
        <v>0</v>
      </c>
      <c r="I71" t="s">
        <v>76</v>
      </c>
      <c r="J71" t="s">
        <v>69</v>
      </c>
      <c r="K71">
        <v>0</v>
      </c>
      <c r="M71">
        <v>1</v>
      </c>
      <c r="R71" t="str">
        <f>IF($U$2=TRUE,$W$2&amp;". Команда алгоритма включить","Команда алгоритма включить")</f>
        <v>Выключатель электрический без тележки. Команда алгоритма включить</v>
      </c>
      <c r="S71" s="372"/>
      <c r="U71" s="773"/>
      <c r="V71" s="4"/>
      <c r="W71" s="773"/>
      <c r="X71" s="4"/>
    </row>
    <row r="72" spans="1:24">
      <c r="A72" t="str">
        <f>SUBSTITUTE($V$2,"\","|")&amp; "|CEOF"</f>
        <v>ZRU_OL1|CEOF</v>
      </c>
      <c r="B72" t="s">
        <v>74</v>
      </c>
      <c r="F72" t="s">
        <v>72</v>
      </c>
      <c r="G72" t="s">
        <v>71</v>
      </c>
      <c r="H72">
        <v>0</v>
      </c>
      <c r="I72" t="s">
        <v>76</v>
      </c>
      <c r="J72" t="s">
        <v>69</v>
      </c>
      <c r="K72">
        <v>0</v>
      </c>
      <c r="M72">
        <v>1</v>
      </c>
      <c r="R72" t="str">
        <f>IF($U$2=TRUE,$W$2&amp;". Команда алгоритма отключить","Команда алгоритма отключить")</f>
        <v>Выключатель электрический без тележки. Команда алгоритма отключить</v>
      </c>
      <c r="S72" s="372"/>
      <c r="U72" s="773"/>
      <c r="V72" s="4"/>
      <c r="W72" s="773"/>
      <c r="X72" s="4"/>
    </row>
    <row r="73" spans="1:24">
      <c r="A73" t="str">
        <f>SUBSTITUTE($V$2,"\","|")&amp; "|CDON"</f>
        <v>ZRU_OL1|CDON</v>
      </c>
      <c r="B73" t="s">
        <v>74</v>
      </c>
      <c r="F73" t="s">
        <v>72</v>
      </c>
      <c r="G73" t="s">
        <v>71</v>
      </c>
      <c r="H73">
        <v>0</v>
      </c>
      <c r="I73" t="s">
        <v>76</v>
      </c>
      <c r="J73" t="s">
        <v>73</v>
      </c>
      <c r="K73">
        <v>0</v>
      </c>
      <c r="M73">
        <v>1</v>
      </c>
      <c r="R73" t="str">
        <f>IF($U$2=TRUE,$W$2&amp;". Запрет включения выключателя","Запрет включения выключателя")</f>
        <v>Выключатель электрический без тележки. Запрет включения выключателя</v>
      </c>
      <c r="S73" s="372"/>
      <c r="U73" s="773"/>
      <c r="V73" s="4"/>
      <c r="W73" s="773"/>
      <c r="X73" s="4"/>
    </row>
    <row r="74" spans="1:24">
      <c r="A74" t="str">
        <f>SUBSTITUTE($V$2,"\","|")&amp; "|CDOF"</f>
        <v>ZRU_OL1|CDOF</v>
      </c>
      <c r="B74" t="s">
        <v>74</v>
      </c>
      <c r="F74" t="s">
        <v>72</v>
      </c>
      <c r="G74" t="s">
        <v>71</v>
      </c>
      <c r="H74">
        <v>0</v>
      </c>
      <c r="I74" t="s">
        <v>76</v>
      </c>
      <c r="J74" t="s">
        <v>73</v>
      </c>
      <c r="K74">
        <v>0</v>
      </c>
      <c r="M74">
        <v>1</v>
      </c>
      <c r="R74" t="str">
        <f>IF($U$2=TRUE,$W$2&amp;". Запрет отключения выключателя","Запрет отключения выключателя")</f>
        <v>Выключатель электрический без тележки. Запрет отключения выключателя</v>
      </c>
      <c r="S74" s="372"/>
      <c r="U74" s="773"/>
      <c r="V74" s="4"/>
      <c r="W74" s="773"/>
      <c r="X74" s="4"/>
    </row>
    <row r="75" spans="1:24">
      <c r="A75" t="str">
        <f>SUBSTITUTE($V$2,"\","|")&amp; "|CBON"</f>
        <v>ZRU_OL1|CBON</v>
      </c>
      <c r="B75" t="s">
        <v>74</v>
      </c>
      <c r="F75" t="s">
        <v>72</v>
      </c>
      <c r="G75" t="s">
        <v>71</v>
      </c>
      <c r="H75">
        <v>0</v>
      </c>
      <c r="I75" t="s">
        <v>76</v>
      </c>
      <c r="J75" t="s">
        <v>69</v>
      </c>
      <c r="K75">
        <v>0</v>
      </c>
      <c r="M75">
        <v>1</v>
      </c>
      <c r="R75" t="str">
        <f>IF($U$2=TRUE,$W$2&amp;". Команда блокировки Включить","Команда блокировки Включить")</f>
        <v>Выключатель электрический без тележки. Команда блокировки Включить</v>
      </c>
      <c r="S75" s="372"/>
      <c r="U75" s="773"/>
      <c r="V75" s="4"/>
      <c r="W75" s="773"/>
      <c r="X75" s="4"/>
    </row>
    <row r="76" spans="1:24">
      <c r="A76" t="str">
        <f>SUBSTITUTE($V$2,"\","|")&amp; "|CBOF"</f>
        <v>ZRU_OL1|CBOF</v>
      </c>
      <c r="B76" t="s">
        <v>74</v>
      </c>
      <c r="F76" t="s">
        <v>72</v>
      </c>
      <c r="G76" t="s">
        <v>71</v>
      </c>
      <c r="H76">
        <v>0</v>
      </c>
      <c r="I76" t="s">
        <v>76</v>
      </c>
      <c r="J76" t="s">
        <v>69</v>
      </c>
      <c r="K76">
        <v>0</v>
      </c>
      <c r="M76">
        <v>1</v>
      </c>
      <c r="R76" t="str">
        <f>IF($U$2=TRUE,$W$2&amp;". Команда блокировки Отключить","Команда блокировки Отключить")</f>
        <v>Выключатель электрический без тележки. Команда блокировки Отключить</v>
      </c>
      <c r="S76" s="372"/>
      <c r="U76" s="773"/>
      <c r="V76" s="4"/>
      <c r="W76" s="773"/>
      <c r="X76" s="4"/>
    </row>
    <row r="77" spans="1:24">
      <c r="A77" t="str">
        <f>SUBSTITUTE($V$2,"\","|")&amp; "|CAON"</f>
        <v>ZRU_OL1|CAON</v>
      </c>
      <c r="B77" t="s">
        <v>74</v>
      </c>
      <c r="F77" t="s">
        <v>72</v>
      </c>
      <c r="G77" t="s">
        <v>71</v>
      </c>
      <c r="H77">
        <v>0</v>
      </c>
      <c r="I77" t="s">
        <v>76</v>
      </c>
      <c r="J77" t="s">
        <v>69</v>
      </c>
      <c r="K77">
        <v>0</v>
      </c>
      <c r="M77">
        <v>1</v>
      </c>
      <c r="R77" t="str">
        <f>IF($U$2=TRUE,$W$2&amp;". Команда алгоритма включить","Команда алгоритма включить")</f>
        <v>Выключатель электрический без тележки. Команда алгоритма включить</v>
      </c>
      <c r="S77" s="372"/>
      <c r="U77" s="773"/>
      <c r="V77" s="4"/>
      <c r="W77" s="773"/>
      <c r="X77" s="4"/>
    </row>
    <row r="78" spans="1:24">
      <c r="A78" t="str">
        <f>SUBSTITUTE($V$2,"\","|")&amp; "|CAOF"</f>
        <v>ZRU_OL1|CAOF</v>
      </c>
      <c r="B78" t="s">
        <v>74</v>
      </c>
      <c r="F78" t="s">
        <v>72</v>
      </c>
      <c r="G78" t="s">
        <v>71</v>
      </c>
      <c r="H78">
        <v>0</v>
      </c>
      <c r="I78" t="s">
        <v>76</v>
      </c>
      <c r="J78" t="s">
        <v>69</v>
      </c>
      <c r="K78">
        <v>0</v>
      </c>
      <c r="M78">
        <v>1</v>
      </c>
      <c r="R78" t="str">
        <f>IF($U$2=TRUE,$W$2&amp;". Команда алгоритма отключить","Команда алгоритма отключить")</f>
        <v>Выключатель электрический без тележки. Команда алгоритма отключить</v>
      </c>
      <c r="S78" s="372"/>
      <c r="U78" s="773"/>
      <c r="V78" s="4"/>
      <c r="W78" s="773"/>
      <c r="X78" s="4"/>
    </row>
    <row r="79" spans="1:24">
      <c r="R79" t="str">
        <f>IF($U$2=TRUE,$W$2&amp;". 0","0")</f>
        <v>Выключатель электрический без тележки. 0</v>
      </c>
      <c r="S79" s="372"/>
      <c r="U79" s="773"/>
      <c r="V79" s="4"/>
      <c r="W79" s="773"/>
      <c r="X79" s="4"/>
    </row>
    <row r="83" spans="1:13">
      <c r="A83" s="4"/>
      <c r="B83" s="4"/>
      <c r="F83" s="4"/>
      <c r="G83" s="4"/>
      <c r="H83" s="4"/>
      <c r="I83" s="4"/>
      <c r="J83" s="4"/>
      <c r="K83" s="4"/>
      <c r="M83" s="4"/>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Лист30">
    <tabColor rgb="FF92D050"/>
  </sheetPr>
  <dimension ref="A1:AC74"/>
  <sheetViews>
    <sheetView topLeftCell="G1"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28.8">
      <c r="A2" s="10"/>
      <c r="B2" s="10"/>
      <c r="F2" s="10"/>
      <c r="G2" s="10"/>
      <c r="H2" s="10"/>
      <c r="I2" s="10"/>
      <c r="J2" s="10"/>
      <c r="K2" s="10"/>
      <c r="M2" s="10"/>
      <c r="N2" s="10"/>
      <c r="O2" s="10"/>
      <c r="P2" s="10"/>
      <c r="Q2" s="10"/>
      <c r="R2" s="10"/>
      <c r="U2" s="74" t="b">
        <f>Настройки!$M$34</f>
        <v>1</v>
      </c>
      <c r="V2" s="73" t="s">
        <v>324</v>
      </c>
      <c r="W2" s="537" t="s">
        <v>770</v>
      </c>
      <c r="X2" s="73"/>
      <c r="Y2" s="73"/>
      <c r="Z2" s="73"/>
      <c r="AA2" s="74"/>
      <c r="AB2" s="74"/>
      <c r="AC2" s="74"/>
    </row>
    <row r="3" spans="1:29">
      <c r="A3" t="str">
        <f>SUBSTITUTE($V$2,"\","|")&amp;"|XSPP"</f>
        <v>ZRU_OL1_s|XSPP</v>
      </c>
      <c r="B3" t="s">
        <v>74</v>
      </c>
      <c r="F3" t="s">
        <v>72</v>
      </c>
      <c r="G3" t="s">
        <v>71</v>
      </c>
      <c r="H3">
        <v>0</v>
      </c>
      <c r="I3" t="s">
        <v>72</v>
      </c>
      <c r="J3" t="s">
        <v>69</v>
      </c>
      <c r="K3">
        <v>0</v>
      </c>
      <c r="M3">
        <v>1</v>
      </c>
      <c r="R3" t="str">
        <f>IF($U$2=TRUE,$W$2&amp;". Выходное значение останавливается","Выходное значение останавливается")</f>
        <v>Выключатель электрический без тележки и защит. Выходное значение останавливается</v>
      </c>
      <c r="S3" s="372"/>
      <c r="U3" s="773"/>
      <c r="V3" s="4"/>
      <c r="W3" s="773"/>
      <c r="X3" s="4"/>
    </row>
    <row r="4" spans="1:29">
      <c r="A4" t="str">
        <f>SUBSTITUTE($V$2,"\","|")&amp;"|XRPX"</f>
        <v>ZRU_OL1_s|XRPX</v>
      </c>
      <c r="B4" t="s">
        <v>74</v>
      </c>
      <c r="F4" t="s">
        <v>72</v>
      </c>
      <c r="G4" t="s">
        <v>71</v>
      </c>
      <c r="H4">
        <v>0</v>
      </c>
      <c r="I4" t="s">
        <v>72</v>
      </c>
      <c r="J4" t="s">
        <v>69</v>
      </c>
      <c r="K4">
        <v>0</v>
      </c>
      <c r="M4">
        <v>1</v>
      </c>
      <c r="R4" t="str">
        <f>IF($U$2=TRUE,$W$2&amp;". Выходное значение Выведен в ремонт","Выходное значение Выведен в ремонт")</f>
        <v>Выключатель электрический без тележки и защит. Выходное значение Выведен в ремонт</v>
      </c>
      <c r="S4" s="372"/>
      <c r="U4" s="773"/>
      <c r="V4" s="4"/>
      <c r="W4" s="773"/>
      <c r="X4" s="4"/>
    </row>
    <row r="5" spans="1:29">
      <c r="A5" t="str">
        <f>SUBSTITUTE($V$2,"\","|")&amp;"|XRON"</f>
        <v>ZRU_OL1_s|XRON</v>
      </c>
      <c r="B5" t="s">
        <v>78</v>
      </c>
      <c r="F5">
        <v>0</v>
      </c>
      <c r="G5" t="s">
        <v>71</v>
      </c>
      <c r="H5">
        <v>0</v>
      </c>
      <c r="I5" t="s">
        <v>76</v>
      </c>
      <c r="J5" t="s">
        <v>73</v>
      </c>
      <c r="K5">
        <v>0</v>
      </c>
      <c r="M5">
        <v>1</v>
      </c>
      <c r="R5" t="str">
        <f>IF($U$2=TRUE,$W$2&amp;". Наработка концевика Включен","Наработка концевика Включен")</f>
        <v>Выключатель электрический без тележки и защит. Наработка концевика Включен</v>
      </c>
      <c r="S5" s="372"/>
      <c r="U5" s="773"/>
      <c r="V5" s="4"/>
      <c r="W5" s="773"/>
      <c r="X5" s="4"/>
    </row>
    <row r="6" spans="1:29">
      <c r="A6" t="str">
        <f>SUBSTITUTE($V$2,"\","|")&amp;"|XROF"</f>
        <v>ZRU_OL1_s|XROF</v>
      </c>
      <c r="B6" t="s">
        <v>78</v>
      </c>
      <c r="F6">
        <v>0</v>
      </c>
      <c r="G6" t="s">
        <v>71</v>
      </c>
      <c r="H6">
        <v>0</v>
      </c>
      <c r="I6" t="s">
        <v>76</v>
      </c>
      <c r="J6" t="s">
        <v>73</v>
      </c>
      <c r="K6">
        <v>0</v>
      </c>
      <c r="M6">
        <v>1</v>
      </c>
      <c r="R6" t="str">
        <f>IF($U$2=TRUE,$W$2&amp;". Наработка концевика Отключен","Наработка концевика Отключен")</f>
        <v>Выключатель электрический без тележки и защит. Наработка концевика Отключен</v>
      </c>
      <c r="S6" s="372"/>
      <c r="U6" s="773"/>
      <c r="V6" s="4"/>
      <c r="W6" s="773"/>
      <c r="X6" s="4"/>
    </row>
    <row r="7" spans="1:29">
      <c r="A7" t="str">
        <f>SUBSTITUTE($V$2,"\","|")&amp;"|XRCX"</f>
        <v>ZRU_OL1_s|XRCX</v>
      </c>
      <c r="B7" t="s">
        <v>74</v>
      </c>
      <c r="F7" t="s">
        <v>72</v>
      </c>
      <c r="G7" t="s">
        <v>71</v>
      </c>
      <c r="H7">
        <v>0</v>
      </c>
      <c r="I7" t="s">
        <v>72</v>
      </c>
      <c r="J7" t="s">
        <v>69</v>
      </c>
      <c r="K7">
        <v>0</v>
      </c>
      <c r="M7">
        <v>1</v>
      </c>
      <c r="R7" t="str">
        <f>IF($U$2=TRUE,$W$2&amp;". Выходное значение Дистанционное управление","Выходное значение Дистанционное управление")</f>
        <v>Выключатель электрический без тележки и защит. Выходное значение Дистанционное управление</v>
      </c>
      <c r="S7" s="372"/>
      <c r="U7" s="773"/>
      <c r="V7" s="4"/>
      <c r="W7" s="773"/>
      <c r="X7" s="4"/>
    </row>
    <row r="8" spans="1:29">
      <c r="A8" t="str">
        <f>SUBSTITUTE($V$2,"\","|")&amp;"|XONX"</f>
        <v>ZRU_OL1_s|XONX</v>
      </c>
      <c r="B8" t="s">
        <v>74</v>
      </c>
      <c r="F8" t="s">
        <v>72</v>
      </c>
      <c r="G8" t="s">
        <v>71</v>
      </c>
      <c r="H8">
        <v>0</v>
      </c>
      <c r="I8" t="s">
        <v>72</v>
      </c>
      <c r="J8" t="s">
        <v>69</v>
      </c>
      <c r="K8">
        <v>0</v>
      </c>
      <c r="M8">
        <v>1</v>
      </c>
      <c r="R8" t="str">
        <f>IF($U$2=TRUE,$W$2&amp;". Выходное значение Включен","Выходное значение Включен")</f>
        <v>Выключатель электрический без тележки и защит. Выходное значение Включен</v>
      </c>
      <c r="S8" s="372"/>
      <c r="U8" s="773"/>
      <c r="V8" s="4"/>
      <c r="W8" s="773"/>
      <c r="X8" s="4"/>
    </row>
    <row r="9" spans="1:29">
      <c r="A9" t="str">
        <f>SUBSTITUTE($V$2,"\","|")&amp;"|XONP"</f>
        <v>ZRU_OL1_s|XONP</v>
      </c>
      <c r="B9" t="s">
        <v>74</v>
      </c>
      <c r="F9" t="s">
        <v>72</v>
      </c>
      <c r="G9" t="s">
        <v>71</v>
      </c>
      <c r="H9">
        <v>0</v>
      </c>
      <c r="I9" t="s">
        <v>72</v>
      </c>
      <c r="J9" t="s">
        <v>69</v>
      </c>
      <c r="K9">
        <v>0</v>
      </c>
      <c r="M9">
        <v>1</v>
      </c>
      <c r="R9" t="str">
        <f>IF($U$2=TRUE,$W$2&amp;". Выходное значение Включается","Выходное значение Включается")</f>
        <v>Выключатель электрический без тележки и защит. Выходное значение Включается</v>
      </c>
      <c r="S9" s="372"/>
      <c r="U9" s="773"/>
      <c r="V9" s="4"/>
      <c r="W9" s="773"/>
      <c r="X9" s="4"/>
    </row>
    <row r="10" spans="1:29">
      <c r="A10" t="str">
        <f>SUBSTITUTE($V$2,"\","|")&amp;"|XOFX"</f>
        <v>ZRU_OL1_s|XOFX</v>
      </c>
      <c r="B10" t="s">
        <v>74</v>
      </c>
      <c r="F10" t="s">
        <v>72</v>
      </c>
      <c r="G10" t="s">
        <v>71</v>
      </c>
      <c r="H10">
        <v>0</v>
      </c>
      <c r="I10" t="s">
        <v>72</v>
      </c>
      <c r="J10" t="s">
        <v>69</v>
      </c>
      <c r="K10">
        <v>0</v>
      </c>
      <c r="M10">
        <v>1</v>
      </c>
      <c r="R10" t="str">
        <f>IF($U$2=TRUE,$W$2&amp;". Выходное значение Отключен","Выходное значение Отключен")</f>
        <v>Выключатель электрический без тележки и защит. Выходное значение Отключен</v>
      </c>
      <c r="S10" s="372"/>
      <c r="U10" s="773"/>
      <c r="V10" s="4"/>
      <c r="W10" s="773"/>
      <c r="X10" s="4"/>
    </row>
    <row r="11" spans="1:29">
      <c r="A11" t="str">
        <f>SUBSTITUTE($V$2,"\","|")&amp;"|XOFP"</f>
        <v>ZRU_OL1_s|XOFP</v>
      </c>
      <c r="B11" t="s">
        <v>74</v>
      </c>
      <c r="F11" t="s">
        <v>72</v>
      </c>
      <c r="G11" t="s">
        <v>71</v>
      </c>
      <c r="H11">
        <v>0</v>
      </c>
      <c r="I11" t="s">
        <v>72</v>
      </c>
      <c r="J11" t="s">
        <v>69</v>
      </c>
      <c r="K11">
        <v>0</v>
      </c>
      <c r="M11">
        <v>1</v>
      </c>
      <c r="R11" t="str">
        <f>IF($U$2=TRUE,$W$2&amp;". Выходное значение Отключается","Выходное значение Отключается")</f>
        <v>Выключатель электрический без тележки и защит. Выходное значение Отключается</v>
      </c>
      <c r="S11" s="372"/>
      <c r="U11" s="773"/>
      <c r="V11" s="4"/>
      <c r="W11" s="773"/>
      <c r="X11" s="4"/>
    </row>
    <row r="12" spans="1:29">
      <c r="A12" t="str">
        <f>SUBSTITUTE($V$2,"\","|")&amp;"|XMMX"</f>
        <v>ZRU_OL1_s|XMMX</v>
      </c>
      <c r="B12" t="s">
        <v>74</v>
      </c>
      <c r="F12" t="s">
        <v>72</v>
      </c>
      <c r="G12" t="s">
        <v>71</v>
      </c>
      <c r="H12">
        <v>0</v>
      </c>
      <c r="I12" t="s">
        <v>72</v>
      </c>
      <c r="J12" t="s">
        <v>69</v>
      </c>
      <c r="K12">
        <v>0</v>
      </c>
      <c r="M12">
        <v>1</v>
      </c>
      <c r="R12" t="str">
        <f>IF($U$2=TRUE,$W$2&amp;". Выходное значение Ручное управление","Выходное значение Ручное управление")</f>
        <v>Выключатель электрический без тележки и защит. Выходное значение Ручное управление</v>
      </c>
      <c r="S12" s="372"/>
      <c r="U12" s="773"/>
      <c r="V12" s="4"/>
      <c r="W12" s="773"/>
      <c r="X12" s="4"/>
    </row>
    <row r="13" spans="1:29">
      <c r="A13" t="str">
        <f>SUBSTITUTE($V$2,"\","|")&amp;"|TCON"</f>
        <v>ZRU_OL1_s|TCON</v>
      </c>
      <c r="B13" t="s">
        <v>78</v>
      </c>
      <c r="F13">
        <v>2</v>
      </c>
      <c r="G13" t="s">
        <v>71</v>
      </c>
      <c r="H13">
        <v>0</v>
      </c>
      <c r="I13" t="s">
        <v>76</v>
      </c>
      <c r="J13" t="s">
        <v>73</v>
      </c>
      <c r="K13">
        <v>0</v>
      </c>
      <c r="M13">
        <v>1</v>
      </c>
      <c r="R13" t="str">
        <f>IF($U$2=TRUE,$W$2&amp;". Время подачи команды Включить (с)","Время подачи команды Включить (с)")</f>
        <v>Выключатель электрический без тележки и защит. Время подачи команды Включить (с)</v>
      </c>
      <c r="S13" s="372"/>
      <c r="U13" s="773"/>
      <c r="V13" s="4"/>
      <c r="W13" s="773"/>
      <c r="X13" s="4"/>
    </row>
    <row r="14" spans="1:29">
      <c r="A14" t="str">
        <f>SUBSTITUTE($V$2,"\","|")&amp;"|TCOF"</f>
        <v>ZRU_OL1_s|TCOF</v>
      </c>
      <c r="B14" t="s">
        <v>78</v>
      </c>
      <c r="F14">
        <v>2</v>
      </c>
      <c r="G14" t="s">
        <v>71</v>
      </c>
      <c r="H14">
        <v>0</v>
      </c>
      <c r="I14" t="s">
        <v>76</v>
      </c>
      <c r="J14" t="s">
        <v>73</v>
      </c>
      <c r="K14">
        <v>0</v>
      </c>
      <c r="M14">
        <v>1</v>
      </c>
      <c r="R14" t="str">
        <f>IF($U$2=TRUE,$W$2&amp;". Время подачи команды Отключить (с)","Время подачи команды Отключить (с)")</f>
        <v>Выключатель электрический без тележки и защит. Время подачи команды Отключить (с)</v>
      </c>
      <c r="S14" s="372"/>
      <c r="U14" s="773"/>
      <c r="V14" s="4"/>
      <c r="W14" s="773"/>
      <c r="X14" s="4"/>
    </row>
    <row r="15" spans="1:29">
      <c r="A15" t="str">
        <f>SUBSTITUTE($V$2,"\","|")&amp;"|STSX"</f>
        <v>ZRU_OL1_s|STSX</v>
      </c>
      <c r="B15" t="s">
        <v>78</v>
      </c>
      <c r="F15">
        <v>10</v>
      </c>
      <c r="G15" t="s">
        <v>71</v>
      </c>
      <c r="H15">
        <v>0</v>
      </c>
      <c r="I15" t="s">
        <v>76</v>
      </c>
      <c r="J15" t="s">
        <v>73</v>
      </c>
      <c r="K15">
        <v>0</v>
      </c>
      <c r="M15">
        <v>1</v>
      </c>
      <c r="R15" t="str">
        <f>IF($U$2=TRUE,$W$2&amp;". Время перестановки (с)","Время перестановки (с)")</f>
        <v>Выключатель электрический без тележки и защит. Время перестановки (с)</v>
      </c>
      <c r="S15" s="372"/>
      <c r="U15" s="773"/>
      <c r="V15" s="4"/>
      <c r="W15" s="773"/>
      <c r="X15" s="4"/>
    </row>
    <row r="16" spans="1:29">
      <c r="A16" t="str">
        <f>SUBSTITUTE($V$2,"\","|")&amp;"|SRQX"</f>
        <v>ZRU_OL1_s|SRQX</v>
      </c>
      <c r="B16" t="s">
        <v>78</v>
      </c>
      <c r="F16">
        <v>1000</v>
      </c>
      <c r="G16" t="s">
        <v>71</v>
      </c>
      <c r="H16">
        <v>0</v>
      </c>
      <c r="I16" t="s">
        <v>76</v>
      </c>
      <c r="J16" t="s">
        <v>73</v>
      </c>
      <c r="K16">
        <v>0</v>
      </c>
      <c r="M16">
        <v>1</v>
      </c>
      <c r="R16" t="str">
        <f>IF($U$2=TRUE,$W$2&amp;". Уставка наработки по концевикам","Уставка наработки по концевикам")</f>
        <v>Выключатель электрический без тележки и защит. Уставка наработки по концевикам</v>
      </c>
      <c r="S16" s="372"/>
      <c r="U16" s="773"/>
      <c r="V16" s="4"/>
      <c r="W16" s="773"/>
      <c r="X16" s="4"/>
    </row>
    <row r="17" spans="1:24">
      <c r="A17" s="52" t="str">
        <f>SUBSTITUTE($V$2,"\","|")&amp;"|SMMX"</f>
        <v>ZRU_OL1_s|SMMX</v>
      </c>
      <c r="B17" s="52" t="s">
        <v>74</v>
      </c>
      <c r="C17" s="52"/>
      <c r="D17" s="52"/>
      <c r="E17" s="52"/>
      <c r="F17" s="52" t="s">
        <v>72</v>
      </c>
      <c r="G17" s="52" t="s">
        <v>71</v>
      </c>
      <c r="H17" s="52">
        <v>0</v>
      </c>
      <c r="I17" s="52" t="s">
        <v>76</v>
      </c>
      <c r="J17" s="52" t="s">
        <v>69</v>
      </c>
      <c r="K17" s="52">
        <v>0</v>
      </c>
      <c r="L17" s="52"/>
      <c r="M17" s="52">
        <v>1</v>
      </c>
      <c r="N17" s="52"/>
      <c r="O17" s="52"/>
      <c r="P17" s="52"/>
      <c r="Q17" s="52"/>
      <c r="R17" t="str">
        <f>IF($U$2=TRUE,$W$2&amp;". Настройка перехода в ручной режим","Настройка перехода в ручной режим")</f>
        <v>Выключатель электрический без тележки и защит. Настройка перехода в ручной режим</v>
      </c>
      <c r="S17" s="372"/>
      <c r="U17" s="773"/>
      <c r="V17" s="4"/>
      <c r="W17" s="773"/>
      <c r="X17" s="4"/>
    </row>
    <row r="18" spans="1:24">
      <c r="A18" t="str">
        <f>SUBSTITUTE($V$2,"\","|")&amp;"|OXSP"</f>
        <v>ZRU_OL1_s|OXSP</v>
      </c>
      <c r="B18" t="s">
        <v>74</v>
      </c>
      <c r="F18" t="s">
        <v>72</v>
      </c>
      <c r="G18" t="s">
        <v>71</v>
      </c>
      <c r="H18">
        <v>0</v>
      </c>
      <c r="I18" t="s">
        <v>72</v>
      </c>
      <c r="J18" t="s">
        <v>69</v>
      </c>
      <c r="K18">
        <v>0</v>
      </c>
      <c r="M18">
        <v>1</v>
      </c>
      <c r="R18" t="str">
        <f>IF($U$2=TRUE,$W$2&amp;". Выходное значение Стоп","Выходное значение Стоп")</f>
        <v>Выключатель электрический без тележки и защит. Выходное значение Стоп</v>
      </c>
      <c r="S18" s="372"/>
      <c r="U18" s="773"/>
      <c r="V18" s="4"/>
      <c r="W18" s="773"/>
      <c r="X18" s="4"/>
    </row>
    <row r="19" spans="1:24">
      <c r="A19" t="str">
        <f>SUBSTITUTE($V$2,"\","|")&amp;"|OXON"</f>
        <v>ZRU_OL1_s|OXON</v>
      </c>
      <c r="B19" t="s">
        <v>74</v>
      </c>
      <c r="F19" t="s">
        <v>72</v>
      </c>
      <c r="G19" t="s">
        <v>71</v>
      </c>
      <c r="H19">
        <v>0</v>
      </c>
      <c r="I19" t="s">
        <v>76</v>
      </c>
      <c r="J19" t="s">
        <v>69</v>
      </c>
      <c r="K19">
        <v>0</v>
      </c>
      <c r="M19">
        <v>1</v>
      </c>
      <c r="R19" t="str">
        <f>IF($U$2=TRUE,$W$2&amp;". Выходное значение Включить","Выходное значение Включить")</f>
        <v>Выключатель электрический без тележки и защит. Выходное значение Включить</v>
      </c>
      <c r="S19" s="372"/>
      <c r="U19" s="773"/>
      <c r="V19" s="4"/>
      <c r="W19" s="773"/>
      <c r="X19" s="4"/>
    </row>
    <row r="20" spans="1:24">
      <c r="A20" t="str">
        <f>SUBSTITUTE($V$2,"\","|")&amp;"|OXOF"</f>
        <v>ZRU_OL1_s|OXOF</v>
      </c>
      <c r="B20" t="s">
        <v>74</v>
      </c>
      <c r="F20" t="s">
        <v>72</v>
      </c>
      <c r="G20" t="s">
        <v>71</v>
      </c>
      <c r="H20">
        <v>0</v>
      </c>
      <c r="I20" t="s">
        <v>76</v>
      </c>
      <c r="J20" t="s">
        <v>69</v>
      </c>
      <c r="K20">
        <v>0</v>
      </c>
      <c r="M20">
        <v>1</v>
      </c>
      <c r="R20" t="str">
        <f>IF($U$2=TRUE,$W$2&amp;". Выходное значение Отключить","Выходное значение Отключить")</f>
        <v>Выключатель электрический без тележки и защит. Выходное значение Отключить</v>
      </c>
      <c r="S20" s="372"/>
      <c r="U20" s="773"/>
      <c r="V20" s="4"/>
      <c r="W20" s="773"/>
      <c r="X20" s="4"/>
    </row>
    <row r="21" spans="1:24">
      <c r="A21" t="str">
        <f>SUBSTITUTE($V$2,"\","|")&amp;"|OCON"</f>
        <v>ZRU_OL1_s|OCON</v>
      </c>
      <c r="B21" t="s">
        <v>74</v>
      </c>
      <c r="F21" t="s">
        <v>72</v>
      </c>
      <c r="G21" t="s">
        <v>71</v>
      </c>
      <c r="H21">
        <v>0</v>
      </c>
      <c r="I21" t="s">
        <v>72</v>
      </c>
      <c r="J21" t="s">
        <v>69</v>
      </c>
      <c r="K21">
        <v>0</v>
      </c>
      <c r="M21">
        <v>1</v>
      </c>
      <c r="R21" t="str">
        <f>IF($U$2=TRUE,$W$2&amp;". Постоянная команда включить","Постоянная команда включить")</f>
        <v>Выключатель электрический без тележки и защит. Постоянная команда включить</v>
      </c>
      <c r="S21" s="372"/>
      <c r="U21" s="773"/>
      <c r="V21" s="4"/>
      <c r="W21" s="773"/>
      <c r="X21" s="4"/>
    </row>
    <row r="22" spans="1:24">
      <c r="A22" t="str">
        <f>SUBSTITUTE($V$2,"\","|")&amp;"|OCOF"</f>
        <v>ZRU_OL1_s|OCOF</v>
      </c>
      <c r="B22" t="s">
        <v>74</v>
      </c>
      <c r="F22" t="s">
        <v>72</v>
      </c>
      <c r="G22" t="s">
        <v>71</v>
      </c>
      <c r="H22">
        <v>0</v>
      </c>
      <c r="I22" t="s">
        <v>72</v>
      </c>
      <c r="J22" t="s">
        <v>69</v>
      </c>
      <c r="K22">
        <v>0</v>
      </c>
      <c r="M22">
        <v>1</v>
      </c>
      <c r="R22" t="str">
        <f>IF($U$2=TRUE,$W$2&amp;". Постоянная команда отключить","Постоянная команда отключить")</f>
        <v>Выключатель электрический без тележки и защит. Постоянная команда отключить</v>
      </c>
      <c r="S22" s="372"/>
      <c r="U22" s="773"/>
      <c r="V22" s="4"/>
      <c r="W22" s="773"/>
      <c r="X22" s="4"/>
    </row>
    <row r="23" spans="1:24">
      <c r="A23" t="str">
        <f>SUBSTITUTE($V$2,"\","|")&amp;"|LAON"</f>
        <v>ZRU_OL1_s|LAON</v>
      </c>
      <c r="B23" t="s">
        <v>74</v>
      </c>
      <c r="F23" t="s">
        <v>72</v>
      </c>
      <c r="G23" t="s">
        <v>71</v>
      </c>
      <c r="H23">
        <v>0</v>
      </c>
      <c r="I23" t="s">
        <v>72</v>
      </c>
      <c r="J23" t="s">
        <v>69</v>
      </c>
      <c r="K23">
        <v>0</v>
      </c>
      <c r="M23">
        <v>1</v>
      </c>
      <c r="R23" t="str">
        <f>IF($U$2=TRUE,$W$2&amp;". Заблокировалась автоматическая команда включить","Заблокировалась автоматическая команда включить")</f>
        <v>Выключатель электрический без тележки и защит. Заблокировалась автоматическая команда включить</v>
      </c>
      <c r="S23" s="372"/>
      <c r="U23" s="773"/>
      <c r="V23" s="4"/>
      <c r="W23" s="773"/>
      <c r="X23" s="4"/>
    </row>
    <row r="24" spans="1:24">
      <c r="A24" t="str">
        <f>SUBSTITUTE($V$2,"\","|")&amp;"|LAOF"</f>
        <v>ZRU_OL1_s|LAOF</v>
      </c>
      <c r="B24" t="s">
        <v>74</v>
      </c>
      <c r="F24" t="s">
        <v>72</v>
      </c>
      <c r="G24" t="s">
        <v>71</v>
      </c>
      <c r="H24">
        <v>0</v>
      </c>
      <c r="I24" t="s">
        <v>72</v>
      </c>
      <c r="J24" t="s">
        <v>69</v>
      </c>
      <c r="K24">
        <v>0</v>
      </c>
      <c r="M24">
        <v>1</v>
      </c>
      <c r="R24" t="str">
        <f>IF($U$2=TRUE,$W$2&amp;". Заблокировалась автоматическая команда отключить","Заблокировалась автоматическая команда отключить")</f>
        <v>Выключатель электрический без тележки и защит. Заблокировалась автоматическая команда отключить</v>
      </c>
      <c r="S24" s="372"/>
      <c r="U24" s="773"/>
      <c r="V24" s="4"/>
      <c r="W24" s="773"/>
      <c r="X24" s="4"/>
    </row>
    <row r="25" spans="1:24">
      <c r="A25" t="str">
        <f>SUBSTITUTE($V$2,"\","|")&amp;"|IRCX"</f>
        <v>ZRU_OL1_s|IRCX</v>
      </c>
      <c r="B25" t="s">
        <v>74</v>
      </c>
      <c r="F25" s="4" t="s">
        <v>76</v>
      </c>
      <c r="G25" t="s">
        <v>71</v>
      </c>
      <c r="H25">
        <v>0</v>
      </c>
      <c r="I25" t="s">
        <v>76</v>
      </c>
      <c r="J25" t="s">
        <v>69</v>
      </c>
      <c r="K25">
        <v>0</v>
      </c>
      <c r="M25">
        <v>1</v>
      </c>
      <c r="R25" t="str">
        <f>IF($U$2=TRUE,$W$2&amp;". Входное значение Дистанционное управление","Входное значение Дистанционное управление")</f>
        <v>Выключатель электрический без тележки и защит. Входное значение Дистанционное управление</v>
      </c>
      <c r="S25" s="372"/>
      <c r="U25" s="773"/>
      <c r="V25" s="4"/>
      <c r="W25" s="773"/>
      <c r="X25" s="4"/>
    </row>
    <row r="26" spans="1:24">
      <c r="A26" t="str">
        <f>SUBSTITUTE($V$2,"\","|")&amp;"|IONX"</f>
        <v>ZRU_OL1_s|IONX</v>
      </c>
      <c r="B26" t="s">
        <v>74</v>
      </c>
      <c r="F26" t="s">
        <v>72</v>
      </c>
      <c r="G26" t="s">
        <v>71</v>
      </c>
      <c r="H26">
        <v>0</v>
      </c>
      <c r="I26" t="s">
        <v>76</v>
      </c>
      <c r="J26" t="s">
        <v>69</v>
      </c>
      <c r="K26">
        <v>0</v>
      </c>
      <c r="M26">
        <v>1</v>
      </c>
      <c r="R26" t="str">
        <f>IF($U$2=TRUE,$W$2&amp;". Входное значение Включен","Входное значение Включен")</f>
        <v>Выключатель электрический без тележки и защит. Входное значение Включен</v>
      </c>
      <c r="S26" s="372"/>
      <c r="U26" s="773"/>
      <c r="V26" s="4"/>
      <c r="W26" s="773"/>
      <c r="X26" s="4"/>
    </row>
    <row r="27" spans="1:24">
      <c r="A27" s="4" t="str">
        <f>SUBSTITUTE($V$2,"\","|")&amp;"|IOFX"</f>
        <v>ZRU_OL1_s|IOFX</v>
      </c>
      <c r="B27" s="4" t="s">
        <v>74</v>
      </c>
      <c r="F27" s="4" t="s">
        <v>72</v>
      </c>
      <c r="G27" s="4" t="s">
        <v>71</v>
      </c>
      <c r="H27" s="4">
        <v>0</v>
      </c>
      <c r="I27" s="4" t="s">
        <v>76</v>
      </c>
      <c r="J27" s="4" t="s">
        <v>69</v>
      </c>
      <c r="K27" s="4">
        <v>0</v>
      </c>
      <c r="M27">
        <v>1</v>
      </c>
      <c r="R27" t="str">
        <f>IF($U$2=TRUE,$W$2&amp;". Входное значение Отключен","Входное значение Отключен")</f>
        <v>Выключатель электрический без тележки и защит. Входное значение Отключен</v>
      </c>
      <c r="S27" s="372"/>
      <c r="U27" s="773"/>
      <c r="V27" s="4"/>
      <c r="W27" s="773"/>
      <c r="X27" s="4"/>
    </row>
    <row r="28" spans="1:24">
      <c r="A28" s="4" t="str">
        <f>SUBSTITUTE($V$2,"\","|")&amp;"|ILCX"</f>
        <v>ZRU_OL1_s|ILCX</v>
      </c>
      <c r="B28" s="4" t="s">
        <v>74</v>
      </c>
      <c r="F28" s="4" t="s">
        <v>72</v>
      </c>
      <c r="G28" s="4" t="s">
        <v>71</v>
      </c>
      <c r="H28" s="4">
        <v>0</v>
      </c>
      <c r="I28" s="4" t="s">
        <v>76</v>
      </c>
      <c r="J28" s="4" t="s">
        <v>69</v>
      </c>
      <c r="K28" s="4">
        <v>0</v>
      </c>
      <c r="M28">
        <v>1</v>
      </c>
      <c r="R28" t="str">
        <f>IF($U$2=TRUE,$W$2&amp;". Входное значение Местное управление","Входное значение Местное управление")</f>
        <v>Выключатель электрический без тележки и защит. Входное значение Местное управление</v>
      </c>
      <c r="S28" s="372"/>
      <c r="U28" s="773"/>
      <c r="V28" s="4"/>
      <c r="W28" s="773"/>
      <c r="X28" s="4"/>
    </row>
    <row r="29" spans="1:24">
      <c r="A29" s="4" t="str">
        <f>SUBSTITUTE($V$2,"\","|")&amp;"|IFXX"</f>
        <v>ZRU_OL1_s|IFXX</v>
      </c>
      <c r="B29" s="4" t="s">
        <v>74</v>
      </c>
      <c r="F29" s="4" t="s">
        <v>72</v>
      </c>
      <c r="G29" s="4" t="s">
        <v>71</v>
      </c>
      <c r="H29" s="4">
        <v>0</v>
      </c>
      <c r="I29" s="4" t="s">
        <v>72</v>
      </c>
      <c r="J29" s="4" t="s">
        <v>69</v>
      </c>
      <c r="K29" s="4">
        <v>0</v>
      </c>
      <c r="M29">
        <v>1</v>
      </c>
      <c r="R29" t="str">
        <f>IF($U$2=TRUE,$W$2&amp;". Входное значение Неисправность","Входное значение Неисправность")</f>
        <v>Выключатель электрический без тележки и защит. Входное значение Неисправность</v>
      </c>
      <c r="S29" s="372"/>
      <c r="U29" s="773"/>
      <c r="V29" s="4"/>
      <c r="W29" s="773"/>
      <c r="X29" s="4"/>
    </row>
    <row r="30" spans="1:24">
      <c r="A30" s="4" t="str">
        <f>SUBSTITUTE($V$2,"\","|")&amp;"|FXXX"</f>
        <v>ZRU_OL1_s|FXXX</v>
      </c>
      <c r="B30" s="4" t="s">
        <v>74</v>
      </c>
      <c r="F30" s="4" t="s">
        <v>72</v>
      </c>
      <c r="G30" s="4" t="s">
        <v>71</v>
      </c>
      <c r="H30" s="4">
        <v>0</v>
      </c>
      <c r="I30" s="4" t="s">
        <v>72</v>
      </c>
      <c r="J30" s="4" t="s">
        <v>69</v>
      </c>
      <c r="K30" s="4">
        <v>0</v>
      </c>
      <c r="M30">
        <v>1</v>
      </c>
      <c r="R30" t="str">
        <f>IF($U$2=TRUE,$W$2&amp;". Обобщенная неисправность","Обобщенная неисправность")</f>
        <v>Выключатель электрический без тележки и защит. Обобщенная неисправность</v>
      </c>
      <c r="S30" s="372"/>
      <c r="U30" s="773"/>
      <c r="V30" s="4"/>
      <c r="W30" s="773"/>
      <c r="X30" s="4"/>
    </row>
    <row r="31" spans="1:24">
      <c r="A31" s="4" t="str">
        <f>SUBSTITUTE($V$2,"\","|")&amp;"|FUSX"</f>
        <v>ZRU_OL1_s|FUSX</v>
      </c>
      <c r="B31" s="4" t="s">
        <v>74</v>
      </c>
      <c r="F31" s="4" t="s">
        <v>72</v>
      </c>
      <c r="G31" s="4" t="s">
        <v>71</v>
      </c>
      <c r="H31" s="4">
        <v>0</v>
      </c>
      <c r="I31" s="4" t="s">
        <v>72</v>
      </c>
      <c r="J31" s="4" t="s">
        <v>69</v>
      </c>
      <c r="K31" s="4">
        <v>0</v>
      </c>
      <c r="M31">
        <v>1</v>
      </c>
      <c r="R31" t="str">
        <f>IF($U$2=TRUE,$W$2&amp;". Неопределенно положение","Неопределенно положение")</f>
        <v>Выключатель электрический без тележки и защит. Неопределенно положение</v>
      </c>
      <c r="S31" s="372"/>
      <c r="U31" s="773"/>
      <c r="V31" s="4"/>
      <c r="W31" s="773"/>
      <c r="X31" s="4"/>
    </row>
    <row r="32" spans="1:24">
      <c r="A32" s="4" t="str">
        <f>SUBSTITUTE($V$2,"\","|")&amp;"|FUCX"</f>
        <v>ZRU_OL1_s|FUCX</v>
      </c>
      <c r="B32" s="4" t="s">
        <v>74</v>
      </c>
      <c r="F32" s="4" t="s">
        <v>72</v>
      </c>
      <c r="G32" s="4" t="s">
        <v>71</v>
      </c>
      <c r="H32" s="4">
        <v>0</v>
      </c>
      <c r="I32" s="4" t="s">
        <v>72</v>
      </c>
      <c r="J32" s="4" t="s">
        <v>69</v>
      </c>
      <c r="K32" s="4">
        <v>0</v>
      </c>
      <c r="M32">
        <v>1</v>
      </c>
      <c r="R32" t="str">
        <f>IF($U$2=TRUE,$W$2&amp;". Неопределенное положение режима управления","Неопределенное положение режима управления")</f>
        <v>Выключатель электрический без тележки и защит. Неопределенное положение режима управления</v>
      </c>
      <c r="S32" s="372"/>
      <c r="U32" s="773"/>
      <c r="V32" s="4"/>
      <c r="W32" s="773"/>
      <c r="X32" s="4"/>
    </row>
    <row r="33" spans="1:24">
      <c r="A33" s="4" t="str">
        <f>SUBSTITUTE($V$2,"\","|")&amp;"|FRQX"</f>
        <v>ZRU_OL1_s|FRQX</v>
      </c>
      <c r="B33" s="4" t="s">
        <v>74</v>
      </c>
      <c r="F33" s="4" t="s">
        <v>72</v>
      </c>
      <c r="G33" s="4" t="s">
        <v>71</v>
      </c>
      <c r="H33" s="4">
        <v>0</v>
      </c>
      <c r="I33" s="4" t="s">
        <v>72</v>
      </c>
      <c r="J33" s="4" t="s">
        <v>69</v>
      </c>
      <c r="K33" s="4">
        <v>0</v>
      </c>
      <c r="M33">
        <v>1</v>
      </c>
      <c r="R33" t="str">
        <f>IF($U$2=TRUE,$W$2&amp;". Сработала уставка по наработке концевиков","Сработала уставка по наработке концевиков")</f>
        <v>Выключатель электрический без тележки и защит. Сработала уставка по наработке концевиков</v>
      </c>
      <c r="S33" s="372"/>
      <c r="U33" s="773"/>
      <c r="V33" s="4"/>
      <c r="W33" s="773"/>
      <c r="X33" s="4"/>
    </row>
    <row r="34" spans="1:24">
      <c r="A34" s="4" t="str">
        <f>SUBSTITUTE($V$2,"\","|")&amp;"|FONX"</f>
        <v>ZRU_OL1_s|FONX</v>
      </c>
      <c r="B34" s="4" t="s">
        <v>74</v>
      </c>
      <c r="F34" s="4" t="s">
        <v>72</v>
      </c>
      <c r="G34" s="4" t="s">
        <v>71</v>
      </c>
      <c r="H34" s="4">
        <v>0</v>
      </c>
      <c r="I34" s="4" t="s">
        <v>72</v>
      </c>
      <c r="J34" s="4" t="s">
        <v>69</v>
      </c>
      <c r="K34" s="4">
        <v>0</v>
      </c>
      <c r="M34">
        <v>1</v>
      </c>
      <c r="R34" t="str">
        <f>IF($U$2=TRUE,$W$2&amp;". Не включился/ Не открылся","Не включился/ Не открылся")</f>
        <v>Выключатель электрический без тележки и защит. Не включился/ Не открылся</v>
      </c>
      <c r="S34" s="372"/>
      <c r="U34" s="773"/>
      <c r="V34" s="4"/>
      <c r="W34" s="773"/>
      <c r="X34" s="4"/>
    </row>
    <row r="35" spans="1:24">
      <c r="A35" s="4" t="str">
        <f>SUBSTITUTE($V$2,"\","|")&amp;"|FOFX"</f>
        <v>ZRU_OL1_s|FOFX</v>
      </c>
      <c r="B35" s="4" t="s">
        <v>74</v>
      </c>
      <c r="F35" s="4" t="s">
        <v>72</v>
      </c>
      <c r="G35" s="4" t="s">
        <v>71</v>
      </c>
      <c r="H35" s="4">
        <v>0</v>
      </c>
      <c r="I35" s="4" t="s">
        <v>72</v>
      </c>
      <c r="J35" s="4" t="s">
        <v>69</v>
      </c>
      <c r="K35" s="4">
        <v>0</v>
      </c>
      <c r="M35">
        <v>1</v>
      </c>
      <c r="R35" t="str">
        <f>IF($U$2=TRUE,$W$2&amp;". Не отключился/ Не закрылся","Не отключился/ Не закрылся")</f>
        <v>Выключатель электрический без тележки и защит. Не отключился/ Не закрылся</v>
      </c>
      <c r="S35" s="372"/>
      <c r="U35" s="773"/>
      <c r="V35" s="4"/>
      <c r="W35" s="773"/>
      <c r="X35" s="4"/>
    </row>
    <row r="36" spans="1:24">
      <c r="A36" s="4" t="str">
        <f>SUBSTITUTE($V$2,"\","|")&amp;"|FFON"</f>
        <v>ZRU_OL1_s|FFON</v>
      </c>
      <c r="B36" s="4" t="s">
        <v>74</v>
      </c>
      <c r="F36" s="4" t="s">
        <v>72</v>
      </c>
      <c r="G36" s="4" t="s">
        <v>71</v>
      </c>
      <c r="H36" s="4">
        <v>0</v>
      </c>
      <c r="I36" s="4" t="s">
        <v>72</v>
      </c>
      <c r="J36" s="4" t="s">
        <v>69</v>
      </c>
      <c r="K36" s="4">
        <v>0</v>
      </c>
      <c r="M36">
        <v>1</v>
      </c>
      <c r="R36" t="str">
        <f>IF($U$2=TRUE,$W$2&amp;". Несанкционированное включение","Несанкционированное включение")</f>
        <v>Выключатель электрический без тележки и защит. Несанкционированное включение</v>
      </c>
      <c r="S36" s="372"/>
      <c r="U36" s="773"/>
      <c r="V36" s="4"/>
      <c r="W36" s="773"/>
      <c r="X36" s="4"/>
    </row>
    <row r="37" spans="1:24">
      <c r="A37" s="4" t="str">
        <f>SUBSTITUTE($V$2,"\","|")&amp;"|FFOF"</f>
        <v>ZRU_OL1_s|FFOF</v>
      </c>
      <c r="B37" s="4" t="s">
        <v>74</v>
      </c>
      <c r="F37" s="4" t="s">
        <v>72</v>
      </c>
      <c r="G37" s="4" t="s">
        <v>71</v>
      </c>
      <c r="H37" s="4">
        <v>0</v>
      </c>
      <c r="I37" s="4" t="s">
        <v>72</v>
      </c>
      <c r="J37" s="4" t="s">
        <v>69</v>
      </c>
      <c r="K37" s="4">
        <v>0</v>
      </c>
      <c r="M37">
        <v>1</v>
      </c>
      <c r="R37" t="str">
        <f>IF($U$2=TRUE,$W$2&amp;". Несануционированное отключение","Несануционированное отключение")</f>
        <v>Выключатель электрический без тележки и защит. Несануционированное отключение</v>
      </c>
      <c r="S37" s="372"/>
      <c r="U37" s="773"/>
      <c r="V37" s="4"/>
      <c r="W37" s="773"/>
      <c r="X37" s="4"/>
    </row>
    <row r="38" spans="1:24">
      <c r="A38" s="4" t="str">
        <f>SUBSTITUTE($V$2,"\","|")&amp;"|FDSX"</f>
        <v>ZRU_OL1_s|FDSX</v>
      </c>
      <c r="B38" s="4" t="s">
        <v>74</v>
      </c>
      <c r="F38" s="4" t="s">
        <v>72</v>
      </c>
      <c r="G38" s="4" t="s">
        <v>71</v>
      </c>
      <c r="H38" s="4">
        <v>0</v>
      </c>
      <c r="I38" s="4" t="s">
        <v>72</v>
      </c>
      <c r="J38" s="4" t="s">
        <v>69</v>
      </c>
      <c r="K38" s="4">
        <v>0</v>
      </c>
      <c r="M38">
        <v>1</v>
      </c>
      <c r="R38" t="str">
        <f>IF($U$2=TRUE,$W$2&amp;". Двойное положение","Двойное положение")</f>
        <v>Выключатель электрический без тележки и защит. Двойное положение</v>
      </c>
      <c r="S38" s="372"/>
      <c r="U38" s="773"/>
      <c r="V38" s="4"/>
      <c r="W38" s="773"/>
      <c r="X38" s="4"/>
    </row>
    <row r="39" spans="1:24">
      <c r="A39" s="4" t="str">
        <f>SUBSTITUTE($V$2,"\","|")&amp;"|FDCX"</f>
        <v>ZRU_OL1_s|FDCX</v>
      </c>
      <c r="B39" s="4" t="s">
        <v>74</v>
      </c>
      <c r="F39" s="4" t="s">
        <v>72</v>
      </c>
      <c r="G39" s="4" t="s">
        <v>71</v>
      </c>
      <c r="H39" s="4">
        <v>0</v>
      </c>
      <c r="I39" s="4" t="s">
        <v>72</v>
      </c>
      <c r="J39" s="4" t="s">
        <v>69</v>
      </c>
      <c r="K39" s="4">
        <v>0</v>
      </c>
      <c r="M39">
        <v>1</v>
      </c>
      <c r="R39" t="str">
        <f>IF($U$2=TRUE,$W$2&amp;". Двойное положение режима управления","Двойное положение режима управления")</f>
        <v>Выключатель электрический без тележки и защит. Двойное положение режима управления</v>
      </c>
      <c r="S39" s="372"/>
      <c r="U39" s="773"/>
      <c r="V39" s="4"/>
      <c r="W39" s="773"/>
      <c r="X39" s="4"/>
    </row>
    <row r="40" spans="1:24">
      <c r="A40" t="str">
        <f>SUBSTITUTE($V$2,"\","|")&amp;"|FCOM"</f>
        <v>ZRU_OL1_s|FCOM</v>
      </c>
      <c r="B40" t="s">
        <v>74</v>
      </c>
      <c r="F40" t="s">
        <v>72</v>
      </c>
      <c r="G40" t="s">
        <v>71</v>
      </c>
      <c r="H40">
        <v>0</v>
      </c>
      <c r="I40" s="4" t="s">
        <v>72</v>
      </c>
      <c r="J40" t="s">
        <v>69</v>
      </c>
      <c r="K40">
        <v>0</v>
      </c>
      <c r="M40">
        <v>1</v>
      </c>
      <c r="R40" t="str">
        <f>IF($U$2=TRUE,$W$2&amp;". Противоречивость команд","Противоречивость команд")</f>
        <v>Выключатель электрический без тележки и защит. Противоречивость команд</v>
      </c>
      <c r="S40" s="372"/>
      <c r="U40" s="773"/>
      <c r="V40" s="4"/>
      <c r="W40" s="773"/>
      <c r="X40" s="4"/>
    </row>
    <row r="41" spans="1:24">
      <c r="A41" t="str">
        <f>SUBSTITUTE($V$2,"\","|")&amp;"|DRCX"</f>
        <v>ZRU_OL1_s|DRCX</v>
      </c>
      <c r="B41" t="s">
        <v>74</v>
      </c>
      <c r="F41" t="s">
        <v>72</v>
      </c>
      <c r="G41" t="s">
        <v>71</v>
      </c>
      <c r="H41">
        <v>0</v>
      </c>
      <c r="I41" t="s">
        <v>72</v>
      </c>
      <c r="J41" t="s">
        <v>69</v>
      </c>
      <c r="K41">
        <v>0</v>
      </c>
      <c r="M41">
        <v>1</v>
      </c>
      <c r="R41" t="str">
        <f>IF($U$2=TRUE,$W$2&amp;". Недостоверное Входное значение Дистанционное управление","Недостоверное Входное значение Дистанционное управление")</f>
        <v>Выключатель электрический без тележки и защит. Недостоверное Входное значение Дистанционное управление</v>
      </c>
      <c r="S41" s="372"/>
      <c r="U41" s="773"/>
      <c r="V41" s="4"/>
      <c r="W41" s="773"/>
      <c r="X41" s="4"/>
    </row>
    <row r="42" spans="1:24">
      <c r="A42" t="str">
        <f>SUBSTITUTE($V$2,"\","|")&amp;"|DOSP"</f>
        <v>ZRU_OL1_s|DOSP</v>
      </c>
      <c r="B42" t="s">
        <v>74</v>
      </c>
      <c r="F42" t="s">
        <v>72</v>
      </c>
      <c r="G42" t="s">
        <v>71</v>
      </c>
      <c r="H42">
        <v>0</v>
      </c>
      <c r="I42" t="s">
        <v>72</v>
      </c>
      <c r="J42" t="s">
        <v>69</v>
      </c>
      <c r="K42">
        <v>0</v>
      </c>
      <c r="M42">
        <v>1</v>
      </c>
      <c r="R42" t="str">
        <f>IF($U$2=TRUE,$W$2&amp;". Недостоверное Выходное значение Стоп","Недостоверное Выходное значение Стоп")</f>
        <v>Выключатель электрический без тележки и защит. Недостоверное Выходное значение Стоп</v>
      </c>
      <c r="S42" s="372"/>
      <c r="U42" s="773"/>
      <c r="V42" s="4"/>
      <c r="W42" s="773"/>
      <c r="X42" s="4"/>
    </row>
    <row r="43" spans="1:24">
      <c r="A43" t="str">
        <f>SUBSTITUTE($V$2,"\","|")&amp;"|DOON"</f>
        <v>ZRU_OL1_s|DOON</v>
      </c>
      <c r="B43" t="s">
        <v>74</v>
      </c>
      <c r="F43" t="s">
        <v>72</v>
      </c>
      <c r="G43" t="s">
        <v>71</v>
      </c>
      <c r="H43">
        <v>0</v>
      </c>
      <c r="I43" t="s">
        <v>72</v>
      </c>
      <c r="J43" t="s">
        <v>69</v>
      </c>
      <c r="K43">
        <v>0</v>
      </c>
      <c r="M43">
        <v>1</v>
      </c>
      <c r="R43" t="str">
        <f>IF($U$2=TRUE,$W$2&amp;". Недостоверное Выходное  значение Включить","Недостоверное Выходное  значение Включить")</f>
        <v>Выключатель электрический без тележки и защит. Недостоверное Выходное  значение Включить</v>
      </c>
      <c r="S43" s="372"/>
      <c r="U43" s="773"/>
      <c r="V43" s="4"/>
      <c r="W43" s="773"/>
      <c r="X43" s="4"/>
    </row>
    <row r="44" spans="1:24">
      <c r="A44" t="str">
        <f>SUBSTITUTE($V$2,"\","|")&amp;"|DOOF"</f>
        <v>ZRU_OL1_s|DOOF</v>
      </c>
      <c r="B44" t="s">
        <v>74</v>
      </c>
      <c r="F44" t="s">
        <v>72</v>
      </c>
      <c r="G44" t="s">
        <v>71</v>
      </c>
      <c r="H44">
        <v>0</v>
      </c>
      <c r="I44" t="s">
        <v>72</v>
      </c>
      <c r="J44" t="s">
        <v>69</v>
      </c>
      <c r="K44">
        <v>0</v>
      </c>
      <c r="M44">
        <v>1</v>
      </c>
      <c r="R44" t="str">
        <f>IF($U$2=TRUE,$W$2&amp;". Недостоверное Выходное значение Отключить","Недостоверное Выходное значение Отключить")</f>
        <v>Выключатель электрический без тележки и защит. Недостоверное Выходное значение Отключить</v>
      </c>
      <c r="S44" s="372"/>
      <c r="U44" s="773"/>
      <c r="V44" s="4"/>
      <c r="W44" s="773"/>
      <c r="X44" s="4"/>
    </row>
    <row r="45" spans="1:24">
      <c r="A45" t="str">
        <f>SUBSTITUTE($V$2,"\","|")&amp;"|DONX"</f>
        <v>ZRU_OL1_s|DONX</v>
      </c>
      <c r="B45" t="s">
        <v>74</v>
      </c>
      <c r="F45" t="s">
        <v>72</v>
      </c>
      <c r="G45" t="s">
        <v>71</v>
      </c>
      <c r="H45">
        <v>0</v>
      </c>
      <c r="I45" t="s">
        <v>72</v>
      </c>
      <c r="J45" t="s">
        <v>69</v>
      </c>
      <c r="K45">
        <v>0</v>
      </c>
      <c r="M45">
        <v>1</v>
      </c>
      <c r="R45" t="str">
        <f>IF($U$2=TRUE,$W$2&amp;". Недостоверное Входное значение Включен","Недостоверное Входное значение Включен")</f>
        <v>Выключатель электрический без тележки и защит. Недостоверное Входное значение Включен</v>
      </c>
      <c r="S45" s="372"/>
      <c r="U45" s="773"/>
      <c r="V45" s="4"/>
      <c r="W45" s="773"/>
      <c r="X45" s="4"/>
    </row>
    <row r="46" spans="1:24">
      <c r="A46" t="str">
        <f>SUBSTITUTE($V$2,"\","|")&amp;"|DOFX"</f>
        <v>ZRU_OL1_s|DOFX</v>
      </c>
      <c r="B46" t="s">
        <v>74</v>
      </c>
      <c r="F46" t="s">
        <v>72</v>
      </c>
      <c r="G46" t="s">
        <v>71</v>
      </c>
      <c r="H46">
        <v>0</v>
      </c>
      <c r="I46" t="s">
        <v>72</v>
      </c>
      <c r="J46" t="s">
        <v>69</v>
      </c>
      <c r="K46">
        <v>0</v>
      </c>
      <c r="M46">
        <v>1</v>
      </c>
      <c r="R46" t="str">
        <f>IF($U$2=TRUE,$W$2&amp;". Недостоверное Входное значение Отключен","Недостоверное Входное значение Отключен")</f>
        <v>Выключатель электрический без тележки и защит. Недостоверное Входное значение Отключен</v>
      </c>
      <c r="S46" s="372"/>
      <c r="U46" s="773"/>
      <c r="V46" s="4"/>
      <c r="W46" s="773"/>
      <c r="X46" s="4"/>
    </row>
    <row r="47" spans="1:24">
      <c r="A47" t="str">
        <f>SUBSTITUTE($V$2,"\","|")&amp;"|DLCX"</f>
        <v>ZRU_OL1_s|DLCX</v>
      </c>
      <c r="B47" t="s">
        <v>74</v>
      </c>
      <c r="F47" t="s">
        <v>72</v>
      </c>
      <c r="G47" t="s">
        <v>71</v>
      </c>
      <c r="H47">
        <v>0</v>
      </c>
      <c r="I47" t="s">
        <v>72</v>
      </c>
      <c r="J47" t="s">
        <v>69</v>
      </c>
      <c r="K47">
        <v>0</v>
      </c>
      <c r="M47">
        <v>1</v>
      </c>
      <c r="R47" t="str">
        <f>IF($U$2=TRUE,$W$2&amp;". Недостоверное Входное значение Местное управление","Недостоверное Входное значение Местное управление")</f>
        <v>Выключатель электрический без тележки и защит. Недостоверное Входное значение Местное управление</v>
      </c>
      <c r="S47" s="372"/>
      <c r="U47" s="773"/>
      <c r="V47" s="4"/>
      <c r="W47" s="773"/>
      <c r="X47" s="4"/>
    </row>
    <row r="48" spans="1:24">
      <c r="A48" t="str">
        <f>SUBSTITUTE($V$2,"\","|")&amp;"|DFXX"</f>
        <v>ZRU_OL1_s|DFXX</v>
      </c>
      <c r="B48" t="s">
        <v>74</v>
      </c>
      <c r="F48" t="s">
        <v>72</v>
      </c>
      <c r="G48" t="s">
        <v>71</v>
      </c>
      <c r="H48">
        <v>0</v>
      </c>
      <c r="I48" t="s">
        <v>72</v>
      </c>
      <c r="J48" t="s">
        <v>69</v>
      </c>
      <c r="K48">
        <v>0</v>
      </c>
      <c r="M48">
        <v>1</v>
      </c>
      <c r="R48" t="str">
        <f>IF($U$2=TRUE,$W$2&amp;". Недостоверное Входное значение Неисправность","Недостоверное Входное значение Неисправность")</f>
        <v>Выключатель электрический без тележки и защит. Недостоверное Входное значение Неисправность</v>
      </c>
      <c r="S48" s="372"/>
      <c r="U48" s="773"/>
      <c r="V48" s="4"/>
      <c r="W48" s="773"/>
      <c r="X48" s="4"/>
    </row>
    <row r="49" spans="1:24">
      <c r="A49" t="str">
        <f>SUBSTITUTE($V$2,"\","|")&amp;"|CRST"</f>
        <v>ZRU_OL1_s|CRST</v>
      </c>
      <c r="B49" t="s">
        <v>74</v>
      </c>
      <c r="F49" t="s">
        <v>72</v>
      </c>
      <c r="G49" t="s">
        <v>71</v>
      </c>
      <c r="H49">
        <v>0</v>
      </c>
      <c r="I49" s="4" t="s">
        <v>76</v>
      </c>
      <c r="J49" t="s">
        <v>73</v>
      </c>
      <c r="K49">
        <v>0</v>
      </c>
      <c r="M49">
        <v>1</v>
      </c>
      <c r="R49" t="str">
        <f>IF($U$2=TRUE,$W$2&amp;". Команда сброс ошибок","Команда сброс ошибок")</f>
        <v>Выключатель электрический без тележки и защит. Команда сброс ошибок</v>
      </c>
      <c r="S49" s="372"/>
      <c r="U49" s="773"/>
      <c r="V49" s="4"/>
      <c r="W49" s="773"/>
      <c r="X49" s="4"/>
    </row>
    <row r="50" spans="1:24">
      <c r="A50" t="str">
        <f>SUBSTITUTE($V$2,"\","|")&amp;"|CRRX"</f>
        <v>ZRU_OL1_s|CRRX</v>
      </c>
      <c r="B50" t="s">
        <v>74</v>
      </c>
      <c r="F50" t="s">
        <v>72</v>
      </c>
      <c r="G50" t="s">
        <v>71</v>
      </c>
      <c r="H50">
        <v>0</v>
      </c>
      <c r="I50" s="4" t="s">
        <v>76</v>
      </c>
      <c r="J50" t="s">
        <v>73</v>
      </c>
      <c r="K50">
        <v>0</v>
      </c>
      <c r="M50">
        <v>1</v>
      </c>
      <c r="R50" t="str">
        <f>IF($U$2=TRUE,$W$2&amp;". Команда сброс наработки","Команда сброс наработки")</f>
        <v>Выключатель электрический без тележки и защит. Команда сброс наработки</v>
      </c>
      <c r="S50" s="372"/>
      <c r="U50" s="773"/>
      <c r="V50" s="4"/>
      <c r="W50" s="773"/>
      <c r="X50" s="4"/>
    </row>
    <row r="51" spans="1:24">
      <c r="A51" t="str">
        <f>SUBSTITUTE($V$2,"\","|")&amp;"|CRPX"</f>
        <v>ZRU_OL1_s|CRPX</v>
      </c>
      <c r="B51" t="s">
        <v>74</v>
      </c>
      <c r="F51" t="s">
        <v>72</v>
      </c>
      <c r="G51" t="s">
        <v>71</v>
      </c>
      <c r="H51">
        <v>0</v>
      </c>
      <c r="I51" t="s">
        <v>76</v>
      </c>
      <c r="J51" t="s">
        <v>73</v>
      </c>
      <c r="K51">
        <v>0</v>
      </c>
      <c r="M51">
        <v>1</v>
      </c>
      <c r="R51" t="str">
        <f>IF($U$2=TRUE,$W$2&amp;". Команда оператора вывести в ремонт","Команда оператора вывести в ремонт")</f>
        <v>Выключатель электрический без тележки и защит. Команда оператора вывести в ремонт</v>
      </c>
      <c r="S51" s="372"/>
      <c r="U51" s="773"/>
      <c r="V51" s="4"/>
      <c r="W51" s="773"/>
      <c r="X51" s="4"/>
    </row>
    <row r="52" spans="1:24">
      <c r="A52" t="str">
        <f>SUBSTITUTE($V$2,"\","|")&amp;"|CPSV"</f>
        <v>ZRU_OL1_s|CPSV</v>
      </c>
      <c r="B52" t="s">
        <v>74</v>
      </c>
      <c r="F52" t="s">
        <v>72</v>
      </c>
      <c r="G52" t="s">
        <v>71</v>
      </c>
      <c r="H52">
        <v>0</v>
      </c>
      <c r="I52" t="s">
        <v>76</v>
      </c>
      <c r="J52" t="s">
        <v>73</v>
      </c>
      <c r="K52">
        <v>0</v>
      </c>
      <c r="M52">
        <v>1</v>
      </c>
      <c r="R52" t="str">
        <f>IF($U$2=TRUE,$W$2&amp;". Установлен плакат ''Под напряжением'' ","Установлен плакат ''Под напряжением'' ")</f>
        <v xml:space="preserve">Выключатель электрический без тележки и защит. Установлен плакат ''Под напряжением'' </v>
      </c>
      <c r="S52" s="372"/>
      <c r="U52" s="773"/>
      <c r="V52" s="4"/>
      <c r="W52" s="773"/>
      <c r="X52" s="4"/>
    </row>
    <row r="53" spans="1:24">
      <c r="A53" t="str">
        <f>SUBSTITUTE($V$2,"\","|")&amp;"|CPSP"</f>
        <v>ZRU_OL1_s|CPSP</v>
      </c>
      <c r="B53" t="s">
        <v>74</v>
      </c>
      <c r="F53" t="s">
        <v>72</v>
      </c>
      <c r="G53" t="s">
        <v>71</v>
      </c>
      <c r="H53">
        <v>0</v>
      </c>
      <c r="I53" t="s">
        <v>76</v>
      </c>
      <c r="J53" t="s">
        <v>73</v>
      </c>
      <c r="K53">
        <v>0</v>
      </c>
      <c r="M53">
        <v>1</v>
      </c>
      <c r="R53" t="str">
        <f>IF($U$2=TRUE,$W$2&amp;". Установлен плакат ''Работают люди'' ","Установлен плакат ''Работают люди'' ")</f>
        <v xml:space="preserve">Выключатель электрический без тележки и защит. Установлен плакат ''Работают люди'' </v>
      </c>
      <c r="S53" s="372"/>
      <c r="U53" s="773"/>
      <c r="V53" s="4"/>
      <c r="W53" s="773"/>
      <c r="X53" s="4"/>
    </row>
    <row r="54" spans="1:24">
      <c r="A54" t="str">
        <f>SUBSTITUTE($V$2,"\","|")&amp;"|CPSL"</f>
        <v>ZRU_OL1_s|CPSL</v>
      </c>
      <c r="B54" t="s">
        <v>74</v>
      </c>
      <c r="F54" t="s">
        <v>72</v>
      </c>
      <c r="G54" t="s">
        <v>71</v>
      </c>
      <c r="H54">
        <v>0</v>
      </c>
      <c r="I54" t="s">
        <v>76</v>
      </c>
      <c r="J54" t="s">
        <v>73</v>
      </c>
      <c r="K54">
        <v>0</v>
      </c>
      <c r="M54">
        <v>1</v>
      </c>
      <c r="R54" t="str">
        <f>IF($U$2=TRUE,$W$2&amp;". Установлен плакат ''Работа на линии'' ","Установлен плакат ''Работа на линии'' ")</f>
        <v xml:space="preserve">Выключатель электрический без тележки и защит. Установлен плакат ''Работа на линии'' </v>
      </c>
      <c r="S54" s="372"/>
      <c r="U54" s="773"/>
      <c r="V54" s="4"/>
      <c r="W54" s="773"/>
      <c r="X54" s="4"/>
    </row>
    <row r="55" spans="1:24">
      <c r="A55" t="str">
        <f>SUBSTITUTE($V$2,"\","|")&amp;"|CPSG"</f>
        <v>ZRU_OL1_s|CPSG</v>
      </c>
      <c r="B55" t="s">
        <v>74</v>
      </c>
      <c r="F55" t="s">
        <v>72</v>
      </c>
      <c r="G55" t="s">
        <v>71</v>
      </c>
      <c r="H55">
        <v>0</v>
      </c>
      <c r="I55" t="s">
        <v>76</v>
      </c>
      <c r="J55" t="s">
        <v>73</v>
      </c>
      <c r="K55">
        <v>0</v>
      </c>
      <c r="M55">
        <v>1</v>
      </c>
      <c r="R55" t="str">
        <f>IF($U$2=TRUE,$W$2&amp;". Установлен плакат ''Заземлено'' ","Установлен плакат ''Заземлено'' ")</f>
        <v xml:space="preserve">Выключатель электрический без тележки и защит. Установлен плакат ''Заземлено'' </v>
      </c>
      <c r="S55" s="372"/>
      <c r="U55" s="773"/>
      <c r="V55" s="4"/>
      <c r="W55" s="773"/>
      <c r="X55" s="4"/>
    </row>
    <row r="56" spans="1:24">
      <c r="A56" t="str">
        <f>SUBSTITUTE($V$2,"\","|")&amp;"|CPMM"</f>
        <v>ZRU_OL1_s|CPMM</v>
      </c>
      <c r="B56" t="s">
        <v>74</v>
      </c>
      <c r="F56" t="s">
        <v>76</v>
      </c>
      <c r="G56" t="s">
        <v>71</v>
      </c>
      <c r="H56">
        <v>0</v>
      </c>
      <c r="I56" t="s">
        <v>76</v>
      </c>
      <c r="J56" t="s">
        <v>73</v>
      </c>
      <c r="K56">
        <v>0</v>
      </c>
      <c r="M56">
        <v>1</v>
      </c>
      <c r="R56" t="str">
        <f>IF($U$2=TRUE,$W$2&amp;". Разрешение на перевод в ручной режим","Разрешение на перевод в ручной режим")</f>
        <v>Выключатель электрический без тележки и защит. Разрешение на перевод в ручной режим</v>
      </c>
      <c r="S56" s="372"/>
      <c r="U56" s="773"/>
      <c r="V56" s="4"/>
      <c r="W56" s="773"/>
      <c r="X56" s="4"/>
    </row>
    <row r="57" spans="1:24">
      <c r="A57" t="str">
        <f>SUBSTITUTE($V$2,"\","|")&amp;"|COSP"</f>
        <v>ZRU_OL1_s|COSP</v>
      </c>
      <c r="B57" t="s">
        <v>74</v>
      </c>
      <c r="F57" t="s">
        <v>72</v>
      </c>
      <c r="G57" t="s">
        <v>71</v>
      </c>
      <c r="H57">
        <v>0</v>
      </c>
      <c r="I57" s="4" t="s">
        <v>76</v>
      </c>
      <c r="J57" t="s">
        <v>73</v>
      </c>
      <c r="K57">
        <v>0</v>
      </c>
      <c r="M57">
        <v>1</v>
      </c>
      <c r="R57" t="str">
        <f>IF($U$2=TRUE,$W$2&amp;". Команда оператора стоп","Команда оператора стоп")</f>
        <v>Выключатель электрический без тележки и защит. Команда оператора стоп</v>
      </c>
      <c r="S57" s="372"/>
      <c r="U57" s="773"/>
      <c r="V57" s="4"/>
      <c r="W57" s="773"/>
      <c r="X57" s="4"/>
    </row>
    <row r="58" spans="1:24">
      <c r="A58" t="str">
        <f>SUBSTITUTE($V$2,"\","|")&amp;"|COON"</f>
        <v>ZRU_OL1_s|COON</v>
      </c>
      <c r="B58" t="s">
        <v>74</v>
      </c>
      <c r="F58" t="s">
        <v>72</v>
      </c>
      <c r="G58" t="s">
        <v>71</v>
      </c>
      <c r="H58">
        <v>0</v>
      </c>
      <c r="I58" s="4" t="s">
        <v>76</v>
      </c>
      <c r="J58" t="s">
        <v>73</v>
      </c>
      <c r="K58">
        <v>0</v>
      </c>
      <c r="M58">
        <v>1</v>
      </c>
      <c r="R58" t="str">
        <f>IF($U$2=TRUE,$W$2&amp;". Команда оператора включить","Команда оператора включить")</f>
        <v>Выключатель электрический без тележки и защит. Команда оператора включить</v>
      </c>
      <c r="S58" s="372"/>
      <c r="U58" s="773"/>
      <c r="V58" s="4"/>
      <c r="W58" s="773"/>
      <c r="X58" s="4"/>
    </row>
    <row r="59" spans="1:24">
      <c r="A59" t="str">
        <f>SUBSTITUTE($V$2,"\","|")&amp;"|COOF"</f>
        <v>ZRU_OL1_s|COOF</v>
      </c>
      <c r="B59" t="s">
        <v>74</v>
      </c>
      <c r="F59" t="s">
        <v>72</v>
      </c>
      <c r="G59" t="s">
        <v>71</v>
      </c>
      <c r="H59">
        <v>0</v>
      </c>
      <c r="I59" s="4" t="s">
        <v>76</v>
      </c>
      <c r="J59" t="s">
        <v>73</v>
      </c>
      <c r="K59">
        <v>0</v>
      </c>
      <c r="M59">
        <v>1</v>
      </c>
      <c r="R59" t="str">
        <f>IF($U$2=TRUE,$W$2&amp;". Команда оператора отключить","Команда оператора отключить")</f>
        <v>Выключатель электрический без тележки и защит. Команда оператора отключить</v>
      </c>
      <c r="S59" s="372"/>
      <c r="U59" s="773"/>
      <c r="V59" s="4"/>
      <c r="W59" s="773"/>
      <c r="X59" s="4"/>
    </row>
    <row r="60" spans="1:24">
      <c r="A60" t="str">
        <f>SUBSTITUTE($V$2,"\","|")&amp;"|CMMX"</f>
        <v>ZRU_OL1_s|CMMX</v>
      </c>
      <c r="B60" t="s">
        <v>74</v>
      </c>
      <c r="F60" t="s">
        <v>72</v>
      </c>
      <c r="G60" t="s">
        <v>71</v>
      </c>
      <c r="H60">
        <v>0</v>
      </c>
      <c r="I60" t="s">
        <v>76</v>
      </c>
      <c r="J60" t="s">
        <v>73</v>
      </c>
      <c r="K60">
        <v>0</v>
      </c>
      <c r="M60">
        <v>1</v>
      </c>
      <c r="R60" t="str">
        <f>IF($U$2=TRUE,$W$2&amp;". Команда перевести в ручной режим управления","Команда перевести в ручной режим управления")</f>
        <v>Выключатель электрический без тележки и защит. Команда перевести в ручной режим управления</v>
      </c>
      <c r="S60" s="372"/>
      <c r="U60" s="773"/>
      <c r="V60" s="4"/>
      <c r="W60" s="773"/>
      <c r="X60" s="4"/>
    </row>
    <row r="61" spans="1:24">
      <c r="A61" t="str">
        <f>SUBSTITUTE($V$2,"\","|")&amp;"|CEON"</f>
        <v>ZRU_OL1_s|CEON</v>
      </c>
      <c r="B61" t="s">
        <v>74</v>
      </c>
      <c r="F61" t="s">
        <v>72</v>
      </c>
      <c r="G61" t="s">
        <v>71</v>
      </c>
      <c r="H61">
        <v>0</v>
      </c>
      <c r="I61" s="4" t="s">
        <v>76</v>
      </c>
      <c r="J61" t="s">
        <v>69</v>
      </c>
      <c r="K61">
        <v>0</v>
      </c>
      <c r="M61">
        <v>1</v>
      </c>
      <c r="R61" t="str">
        <f>IF($U$2=TRUE,$W$2&amp;". Команда алгоритма включить","Команда алгоритма включить")</f>
        <v>Выключатель электрический без тележки и защит. Команда алгоритма включить</v>
      </c>
      <c r="S61" s="372"/>
      <c r="U61" s="773"/>
      <c r="V61" s="4"/>
      <c r="W61" s="773"/>
      <c r="X61" s="4"/>
    </row>
    <row r="62" spans="1:24">
      <c r="A62" t="str">
        <f>SUBSTITUTE($V$2,"\","|")&amp;"|CEOF"</f>
        <v>ZRU_OL1_s|CEOF</v>
      </c>
      <c r="B62" t="s">
        <v>74</v>
      </c>
      <c r="F62" t="s">
        <v>72</v>
      </c>
      <c r="G62" t="s">
        <v>71</v>
      </c>
      <c r="H62">
        <v>0</v>
      </c>
      <c r="I62" s="4" t="s">
        <v>76</v>
      </c>
      <c r="J62" t="s">
        <v>69</v>
      </c>
      <c r="K62">
        <v>0</v>
      </c>
      <c r="M62">
        <v>1</v>
      </c>
      <c r="R62" t="str">
        <f>IF($U$2=TRUE,$W$2&amp;". Команда алгоритма отключить","Команда алгоритма отключить")</f>
        <v>Выключатель электрический без тележки и защит. Команда алгоритма отключить</v>
      </c>
      <c r="S62" s="372"/>
      <c r="U62" s="773"/>
      <c r="V62" s="4"/>
      <c r="W62" s="773"/>
      <c r="X62" s="4"/>
    </row>
    <row r="63" spans="1:24">
      <c r="A63" t="str">
        <f>SUBSTITUTE($V$2,"\","|")&amp;"|CDON"</f>
        <v>ZRU_OL1_s|CDON</v>
      </c>
      <c r="B63" t="s">
        <v>74</v>
      </c>
      <c r="F63" t="s">
        <v>72</v>
      </c>
      <c r="G63" t="s">
        <v>71</v>
      </c>
      <c r="H63">
        <v>0</v>
      </c>
      <c r="I63" s="4" t="s">
        <v>76</v>
      </c>
      <c r="J63" t="s">
        <v>73</v>
      </c>
      <c r="K63">
        <v>0</v>
      </c>
      <c r="M63">
        <v>1</v>
      </c>
      <c r="R63" t="str">
        <f>IF($U$2=TRUE,$W$2&amp;". Запрет включения выключателя","Запрет включения выключателя")</f>
        <v>Выключатель электрический без тележки и защит. Запрет включения выключателя</v>
      </c>
      <c r="S63" s="372"/>
      <c r="U63" s="773"/>
      <c r="V63" s="4"/>
      <c r="W63" s="773"/>
      <c r="X63" s="4"/>
    </row>
    <row r="64" spans="1:24">
      <c r="A64" t="str">
        <f>SUBSTITUTE($V$2,"\","|")&amp;"|CDOF"</f>
        <v>ZRU_OL1_s|CDOF</v>
      </c>
      <c r="B64" t="s">
        <v>74</v>
      </c>
      <c r="F64" t="s">
        <v>72</v>
      </c>
      <c r="G64" t="s">
        <v>71</v>
      </c>
      <c r="H64">
        <v>0</v>
      </c>
      <c r="I64" s="4" t="s">
        <v>76</v>
      </c>
      <c r="J64" t="s">
        <v>73</v>
      </c>
      <c r="K64">
        <v>0</v>
      </c>
      <c r="M64">
        <v>1</v>
      </c>
      <c r="R64" t="str">
        <f>IF($U$2=TRUE,$W$2&amp;". Запрет отключения выключателя","Запрет отключения выключателя")</f>
        <v>Выключатель электрический без тележки и защит. Запрет отключения выключателя</v>
      </c>
      <c r="S64" s="372"/>
      <c r="U64" s="773"/>
      <c r="V64" s="4"/>
      <c r="W64" s="773"/>
      <c r="X64" s="4"/>
    </row>
    <row r="65" spans="1:24">
      <c r="A65" t="str">
        <f>SUBSTITUTE($V$2,"\","|")&amp;"|CBON"</f>
        <v>ZRU_OL1_s|CBON</v>
      </c>
      <c r="B65" t="s">
        <v>74</v>
      </c>
      <c r="F65" t="s">
        <v>72</v>
      </c>
      <c r="G65" t="s">
        <v>71</v>
      </c>
      <c r="H65">
        <v>0</v>
      </c>
      <c r="I65" s="4" t="s">
        <v>76</v>
      </c>
      <c r="J65" t="s">
        <v>69</v>
      </c>
      <c r="K65">
        <v>0</v>
      </c>
      <c r="M65">
        <v>1</v>
      </c>
      <c r="R65" t="str">
        <f>IF($U$2=TRUE,$W$2&amp;". Команда блокировки Включить","Команда блокировки Включить")</f>
        <v>Выключатель электрический без тележки и защит. Команда блокировки Включить</v>
      </c>
      <c r="S65" s="372"/>
      <c r="U65" s="773"/>
      <c r="V65" s="4"/>
      <c r="W65" s="773"/>
      <c r="X65" s="4"/>
    </row>
    <row r="66" spans="1:24">
      <c r="A66" t="str">
        <f>SUBSTITUTE($V$2,"\","|")&amp;"|CBOF"</f>
        <v>ZRU_OL1_s|CBOF</v>
      </c>
      <c r="B66" t="s">
        <v>74</v>
      </c>
      <c r="F66" t="s">
        <v>72</v>
      </c>
      <c r="G66" t="s">
        <v>71</v>
      </c>
      <c r="H66">
        <v>0</v>
      </c>
      <c r="I66" s="4" t="s">
        <v>76</v>
      </c>
      <c r="J66" t="s">
        <v>69</v>
      </c>
      <c r="K66">
        <v>0</v>
      </c>
      <c r="M66">
        <v>1</v>
      </c>
      <c r="R66" t="str">
        <f>IF($U$2=TRUE,$W$2&amp;". Команда блокировки Отключить","Команда блокировки Отключить")</f>
        <v>Выключатель электрический без тележки и защит. Команда блокировки Отключить</v>
      </c>
      <c r="S66" s="372"/>
      <c r="U66" s="773"/>
      <c r="V66" s="4"/>
      <c r="W66" s="773"/>
      <c r="X66" s="4"/>
    </row>
    <row r="67" spans="1:24">
      <c r="A67" t="str">
        <f>SUBSTITUTE($V$2,"\","|")&amp;"|CAON"</f>
        <v>ZRU_OL1_s|CAON</v>
      </c>
      <c r="B67" t="s">
        <v>74</v>
      </c>
      <c r="F67" t="s">
        <v>72</v>
      </c>
      <c r="G67" t="s">
        <v>71</v>
      </c>
      <c r="H67">
        <v>0</v>
      </c>
      <c r="I67" s="4" t="s">
        <v>76</v>
      </c>
      <c r="J67" t="s">
        <v>69</v>
      </c>
      <c r="K67">
        <v>0</v>
      </c>
      <c r="M67">
        <v>1</v>
      </c>
      <c r="R67" t="str">
        <f>IF($U$2=TRUE,$W$2&amp;". Команда алгоритма включить","Команда алгоритма включить")</f>
        <v>Выключатель электрический без тележки и защит. Команда алгоритма включить</v>
      </c>
      <c r="S67" s="372"/>
      <c r="U67" s="773"/>
      <c r="V67" s="4"/>
      <c r="W67" s="773"/>
      <c r="X67" s="4"/>
    </row>
    <row r="68" spans="1:24">
      <c r="A68" t="str">
        <f>SUBSTITUTE($V$2,"\","|")&amp;"|CAOF"</f>
        <v>ZRU_OL1_s|CAOF</v>
      </c>
      <c r="B68" t="s">
        <v>74</v>
      </c>
      <c r="F68" t="s">
        <v>72</v>
      </c>
      <c r="G68" t="s">
        <v>71</v>
      </c>
      <c r="H68">
        <v>0</v>
      </c>
      <c r="I68" s="4" t="s">
        <v>76</v>
      </c>
      <c r="J68" t="s">
        <v>69</v>
      </c>
      <c r="K68">
        <v>0</v>
      </c>
      <c r="M68">
        <v>1</v>
      </c>
      <c r="R68" t="str">
        <f>IF($U$2=TRUE,$W$2&amp;". Команда алгоритма отключить","Команда алгоритма отключить")</f>
        <v>Выключатель электрический без тележки и защит. Команда алгоритма отключить</v>
      </c>
      <c r="S68" s="372"/>
      <c r="U68" s="773"/>
      <c r="V68" s="4"/>
      <c r="W68" s="773"/>
      <c r="X68" s="4"/>
    </row>
    <row r="74" spans="1:24">
      <c r="A74" s="4"/>
      <c r="B74" s="4"/>
      <c r="F74" s="4"/>
      <c r="G74" s="4"/>
      <c r="H74" s="4"/>
      <c r="I74" s="4"/>
      <c r="J74" s="4"/>
      <c r="K74" s="4"/>
      <c r="M74" s="4"/>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Лист15">
    <tabColor rgb="FF92D050"/>
  </sheetPr>
  <dimension ref="A1:AC49"/>
  <sheetViews>
    <sheetView topLeftCell="B1"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28.8">
      <c r="A2" s="10"/>
      <c r="B2" s="10"/>
      <c r="F2" s="10"/>
      <c r="G2" s="10"/>
      <c r="H2" s="10"/>
      <c r="I2" s="10"/>
      <c r="J2" s="10"/>
      <c r="K2" s="10"/>
      <c r="M2" s="10"/>
      <c r="N2" s="10"/>
      <c r="O2" s="10"/>
      <c r="P2" s="10"/>
      <c r="Q2" s="10"/>
      <c r="R2" s="10"/>
      <c r="U2" s="74" t="b">
        <f>Настройки!$M$34</f>
        <v>1</v>
      </c>
      <c r="V2" s="73" t="s">
        <v>300</v>
      </c>
      <c r="W2" s="537" t="s">
        <v>771</v>
      </c>
      <c r="X2" s="73"/>
      <c r="Y2" s="73"/>
      <c r="Z2" s="73"/>
      <c r="AA2" s="74"/>
      <c r="AB2" s="74"/>
      <c r="AC2" s="74"/>
    </row>
    <row r="3" spans="1:29">
      <c r="A3" t="str">
        <f>SUBSTITUTE($V$2,"\","|")&amp; "|ITON"</f>
        <v>ZRU_OL1_st|ITON</v>
      </c>
      <c r="B3" t="s">
        <v>74</v>
      </c>
      <c r="F3" t="s">
        <v>72</v>
      </c>
      <c r="G3" t="s">
        <v>71</v>
      </c>
      <c r="H3">
        <v>0</v>
      </c>
      <c r="I3" t="s">
        <v>72</v>
      </c>
      <c r="J3" t="s">
        <v>69</v>
      </c>
      <c r="K3">
        <v>0</v>
      </c>
      <c r="M3">
        <v>1</v>
      </c>
      <c r="R3" t="str">
        <f>IF($U$2=TRUE,$W$2&amp;". Входное значение тележка вкачена","Входное значение тележка вкачена")</f>
        <v>Выключатель электрический без защит. Входное значение тележка вкачена</v>
      </c>
      <c r="S3" s="372"/>
      <c r="U3" s="773"/>
      <c r="V3" s="4"/>
      <c r="W3" s="773"/>
      <c r="X3" s="4"/>
    </row>
    <row r="4" spans="1:29">
      <c r="A4" t="str">
        <f>SUBSTITUTE($V$2,"\","|")&amp; "|ITOF"</f>
        <v>ZRU_OL1_st|ITOF</v>
      </c>
      <c r="B4" t="s">
        <v>74</v>
      </c>
      <c r="F4" t="s">
        <v>72</v>
      </c>
      <c r="G4" t="s">
        <v>71</v>
      </c>
      <c r="H4">
        <v>0</v>
      </c>
      <c r="I4" t="s">
        <v>72</v>
      </c>
      <c r="J4" t="s">
        <v>69</v>
      </c>
      <c r="K4">
        <v>0</v>
      </c>
      <c r="M4">
        <v>1</v>
      </c>
      <c r="R4" t="str">
        <f>IF($U$2=TRUE,$W$2&amp;". Входное значение тележка выкачена","Входное значение тележка выкачена")</f>
        <v>Выключатель электрический без защит. Входное значение тележка выкачена</v>
      </c>
      <c r="S4" s="372"/>
      <c r="U4" s="773"/>
      <c r="V4" s="4"/>
      <c r="W4" s="773"/>
      <c r="X4" s="4"/>
    </row>
    <row r="5" spans="1:29">
      <c r="A5" t="str">
        <f>SUBSTITUTE($V$2,"\","|")&amp; "|IONX"</f>
        <v>ZRU_OL1_st|IONX</v>
      </c>
      <c r="B5" t="s">
        <v>74</v>
      </c>
      <c r="F5" t="s">
        <v>72</v>
      </c>
      <c r="G5" t="s">
        <v>71</v>
      </c>
      <c r="H5">
        <v>0</v>
      </c>
      <c r="I5" t="s">
        <v>72</v>
      </c>
      <c r="J5" t="s">
        <v>69</v>
      </c>
      <c r="K5">
        <v>0</v>
      </c>
      <c r="M5">
        <v>1</v>
      </c>
      <c r="R5" t="str">
        <f>IF($U$2=TRUE,$W$2&amp;". Входное значение Включен","Входное значение Включен")</f>
        <v>Выключатель электрический без защит. Входное значение Включен</v>
      </c>
      <c r="S5" s="372"/>
      <c r="U5" s="773"/>
      <c r="V5" s="4"/>
      <c r="W5" s="773"/>
      <c r="X5" s="4"/>
    </row>
    <row r="6" spans="1:29">
      <c r="A6" t="str">
        <f>SUBSTITUTE($V$2,"\","|")&amp; "|IOFX"</f>
        <v>ZRU_OL1_st|IOFX</v>
      </c>
      <c r="B6" t="s">
        <v>74</v>
      </c>
      <c r="F6" t="s">
        <v>72</v>
      </c>
      <c r="G6" t="s">
        <v>71</v>
      </c>
      <c r="H6">
        <v>0</v>
      </c>
      <c r="I6" t="s">
        <v>72</v>
      </c>
      <c r="J6" t="s">
        <v>69</v>
      </c>
      <c r="K6">
        <v>0</v>
      </c>
      <c r="M6">
        <v>1</v>
      </c>
      <c r="R6" t="str">
        <f>IF($U$2=TRUE,$W$2&amp;". Входное значение Отключен","Входное значение Отключен")</f>
        <v>Выключатель электрический без защит. Входное значение Отключен</v>
      </c>
      <c r="S6" s="372"/>
      <c r="U6" s="773"/>
      <c r="V6" s="4"/>
      <c r="W6" s="773"/>
      <c r="X6" s="4"/>
    </row>
    <row r="7" spans="1:29">
      <c r="A7" t="str">
        <f>SUBSTITUTE($V$2,"\","|")&amp; "|IFXX"</f>
        <v>ZRU_OL1_st|IFXX</v>
      </c>
      <c r="B7" t="s">
        <v>74</v>
      </c>
      <c r="F7" t="s">
        <v>72</v>
      </c>
      <c r="G7" t="s">
        <v>71</v>
      </c>
      <c r="H7">
        <v>0</v>
      </c>
      <c r="I7" t="s">
        <v>72</v>
      </c>
      <c r="J7" t="s">
        <v>69</v>
      </c>
      <c r="K7">
        <v>0</v>
      </c>
      <c r="M7">
        <v>1</v>
      </c>
      <c r="R7" t="str">
        <f>IF($U$2=TRUE,$W$2&amp;". Входное значение Неисправность","Входное значение Неисправность")</f>
        <v>Выключатель электрический без защит. Входное значение Неисправность</v>
      </c>
      <c r="S7" s="372"/>
      <c r="U7" s="773"/>
      <c r="V7" s="4"/>
      <c r="W7" s="773"/>
      <c r="X7" s="4"/>
    </row>
    <row r="8" spans="1:29">
      <c r="A8" t="str">
        <f>SUBSTITUTE($V$2,"\","|")&amp; "|DONX"</f>
        <v>ZRU_OL1_st|DONX</v>
      </c>
      <c r="B8" t="s">
        <v>74</v>
      </c>
      <c r="F8" t="s">
        <v>72</v>
      </c>
      <c r="G8" t="s">
        <v>71</v>
      </c>
      <c r="H8">
        <v>0</v>
      </c>
      <c r="I8" t="s">
        <v>72</v>
      </c>
      <c r="J8" t="s">
        <v>69</v>
      </c>
      <c r="K8">
        <v>0</v>
      </c>
      <c r="M8">
        <v>1</v>
      </c>
      <c r="R8" t="str">
        <f>IF($U$2=TRUE,$W$2&amp;". Недостоверное Входное значение Включен","Недостоверное Входное значение Включен")</f>
        <v>Выключатель электрический без защит. Недостоверное Входное значение Включен</v>
      </c>
      <c r="S8" s="372"/>
      <c r="U8" s="773"/>
      <c r="V8" s="4"/>
      <c r="W8" s="773"/>
      <c r="X8" s="4"/>
    </row>
    <row r="9" spans="1:29">
      <c r="A9" t="str">
        <f>SUBSTITUTE($V$2,"\","|")&amp; "|DOFX"</f>
        <v>ZRU_OL1_st|DOFX</v>
      </c>
      <c r="B9" t="s">
        <v>74</v>
      </c>
      <c r="F9" t="s">
        <v>72</v>
      </c>
      <c r="G9" t="s">
        <v>71</v>
      </c>
      <c r="H9">
        <v>0</v>
      </c>
      <c r="I9" t="s">
        <v>72</v>
      </c>
      <c r="J9" t="s">
        <v>69</v>
      </c>
      <c r="K9">
        <v>0</v>
      </c>
      <c r="M9">
        <v>1</v>
      </c>
      <c r="R9" t="str">
        <f>IF($U$2=TRUE,$W$2&amp;". Недостоверное Входное значение Отключен","Недостоверное Входное значение Отключен")</f>
        <v>Выключатель электрический без защит. Недостоверное Входное значение Отключен</v>
      </c>
      <c r="S9" s="372"/>
      <c r="U9" s="773"/>
      <c r="V9" s="4"/>
      <c r="W9" s="773"/>
      <c r="X9" s="4"/>
    </row>
    <row r="10" spans="1:29">
      <c r="A10" t="str">
        <f>SUBSTITUTE($V$2,"\","|")&amp; "|DFXX"</f>
        <v>ZRU_OL1_st|DFXX</v>
      </c>
      <c r="B10" t="s">
        <v>74</v>
      </c>
      <c r="F10" t="s">
        <v>72</v>
      </c>
      <c r="G10" t="s">
        <v>71</v>
      </c>
      <c r="H10">
        <v>0</v>
      </c>
      <c r="I10" t="s">
        <v>72</v>
      </c>
      <c r="J10" t="s">
        <v>69</v>
      </c>
      <c r="K10">
        <v>0</v>
      </c>
      <c r="M10">
        <v>1</v>
      </c>
      <c r="R10" t="str">
        <f>IF($U$2=TRUE,$W$2&amp;". Недостоверное Входное значение Неисправность","Недостоверное Входное значение Неисправность")</f>
        <v>Выключатель электрический без защит. Недостоверное Входное значение Неисправность</v>
      </c>
      <c r="S10" s="372"/>
      <c r="U10" s="773"/>
      <c r="V10" s="4"/>
      <c r="W10" s="773"/>
      <c r="X10" s="4"/>
    </row>
    <row r="11" spans="1:29">
      <c r="A11" t="str">
        <f>SUBSTITUTE($V$2,"\","|")&amp; "|XONX"</f>
        <v>ZRU_OL1_st|XONX</v>
      </c>
      <c r="B11" t="s">
        <v>74</v>
      </c>
      <c r="F11" t="s">
        <v>72</v>
      </c>
      <c r="G11" t="s">
        <v>71</v>
      </c>
      <c r="H11">
        <v>0</v>
      </c>
      <c r="I11" t="s">
        <v>72</v>
      </c>
      <c r="J11" t="s">
        <v>69</v>
      </c>
      <c r="K11">
        <v>0</v>
      </c>
      <c r="M11">
        <v>1</v>
      </c>
      <c r="R11" t="str">
        <f>IF($U$2=TRUE,$W$2&amp;". Выходное значение Включен","Выходное значение Включен")</f>
        <v>Выключатель электрический без защит. Выходное значение Включен</v>
      </c>
      <c r="S11" s="372"/>
      <c r="U11" s="773"/>
      <c r="V11" s="4"/>
      <c r="W11" s="773"/>
      <c r="X11" s="4"/>
    </row>
    <row r="12" spans="1:29">
      <c r="A12" t="str">
        <f>SUBSTITUTE($V$2,"\","|")&amp; "|XOFX"</f>
        <v>ZRU_OL1_st|XOFX</v>
      </c>
      <c r="B12" t="s">
        <v>74</v>
      </c>
      <c r="F12" t="s">
        <v>72</v>
      </c>
      <c r="G12" t="s">
        <v>71</v>
      </c>
      <c r="H12">
        <v>0</v>
      </c>
      <c r="I12" t="s">
        <v>72</v>
      </c>
      <c r="J12" t="s">
        <v>69</v>
      </c>
      <c r="K12">
        <v>0</v>
      </c>
      <c r="M12">
        <v>1</v>
      </c>
      <c r="R12" t="str">
        <f>IF($U$2=TRUE,$W$2&amp;". Выходное значение Отключен","Выходное значение Отключен")</f>
        <v>Выключатель электрический без защит. Выходное значение Отключен</v>
      </c>
      <c r="S12" s="372"/>
      <c r="U12" s="773"/>
      <c r="V12" s="4"/>
      <c r="W12" s="773"/>
      <c r="X12" s="4"/>
    </row>
    <row r="13" spans="1:29">
      <c r="A13" t="str">
        <f>SUBSTITUTE($V$2,"\","|")&amp; "|FXXX"</f>
        <v>ZRU_OL1_st|FXXX</v>
      </c>
      <c r="B13" t="s">
        <v>74</v>
      </c>
      <c r="F13" t="s">
        <v>72</v>
      </c>
      <c r="G13" t="s">
        <v>71</v>
      </c>
      <c r="H13">
        <v>0</v>
      </c>
      <c r="I13" t="s">
        <v>72</v>
      </c>
      <c r="J13" t="s">
        <v>69</v>
      </c>
      <c r="K13">
        <v>0</v>
      </c>
      <c r="M13">
        <v>1</v>
      </c>
      <c r="R13" t="str">
        <f>IF($U$2=TRUE,$W$2&amp;". Обобщенная неисправность","Обобщенная неисправность")</f>
        <v>Выключатель электрический без защит. Обобщенная неисправность</v>
      </c>
      <c r="S13" s="372"/>
      <c r="U13" s="773"/>
      <c r="V13" s="4"/>
      <c r="W13" s="773"/>
      <c r="X13" s="4"/>
    </row>
    <row r="14" spans="1:29">
      <c r="A14" t="str">
        <f>SUBSTITUTE($V$2,"\","|")&amp; "|FUSX"</f>
        <v>ZRU_OL1_st|FUSX</v>
      </c>
      <c r="B14" t="s">
        <v>74</v>
      </c>
      <c r="F14" t="s">
        <v>72</v>
      </c>
      <c r="G14" t="s">
        <v>71</v>
      </c>
      <c r="H14">
        <v>0</v>
      </c>
      <c r="I14" t="s">
        <v>72</v>
      </c>
      <c r="J14" t="s">
        <v>69</v>
      </c>
      <c r="K14">
        <v>0</v>
      </c>
      <c r="M14">
        <v>1</v>
      </c>
      <c r="R14" t="str">
        <f>IF($U$2=TRUE,$W$2&amp;". Неопределенно положение","Неопределенно положение")</f>
        <v>Выключатель электрический без защит. Неопределенно положение</v>
      </c>
      <c r="S14" s="372"/>
      <c r="U14" s="773"/>
      <c r="V14" s="4"/>
      <c r="W14" s="773"/>
      <c r="X14" s="4"/>
    </row>
    <row r="15" spans="1:29">
      <c r="A15" t="str">
        <f>SUBSTITUTE($V$2,"\","|")&amp; "|FDSX"</f>
        <v>ZRU_OL1_st|FDSX</v>
      </c>
      <c r="B15" t="s">
        <v>74</v>
      </c>
      <c r="F15" t="s">
        <v>72</v>
      </c>
      <c r="G15" t="s">
        <v>71</v>
      </c>
      <c r="H15">
        <v>0</v>
      </c>
      <c r="I15" t="s">
        <v>72</v>
      </c>
      <c r="J15" t="s">
        <v>69</v>
      </c>
      <c r="K15">
        <v>0</v>
      </c>
      <c r="M15">
        <v>1</v>
      </c>
      <c r="R15" t="str">
        <f>IF($U$2=TRUE,$W$2&amp;". Двойное положение","Двойное положение")</f>
        <v>Выключатель электрический без защит. Двойное положение</v>
      </c>
      <c r="S15" s="372"/>
      <c r="U15" s="773"/>
      <c r="V15" s="4"/>
      <c r="W15" s="773"/>
      <c r="X15" s="4"/>
    </row>
    <row r="16" spans="1:29">
      <c r="A16" t="str">
        <f>SUBSTITUTE($V$2,"\","|")&amp; "|DTON"</f>
        <v>ZRU_OL1_st|DTON</v>
      </c>
      <c r="B16" t="s">
        <v>74</v>
      </c>
      <c r="F16" t="s">
        <v>72</v>
      </c>
      <c r="G16" t="s">
        <v>71</v>
      </c>
      <c r="H16">
        <v>0</v>
      </c>
      <c r="I16" t="s">
        <v>72</v>
      </c>
      <c r="J16" t="s">
        <v>69</v>
      </c>
      <c r="K16">
        <v>0</v>
      </c>
      <c r="M16">
        <v>1</v>
      </c>
      <c r="R16" t="str">
        <f>IF($U$2=TRUE,$W$2&amp;". Недостоверное Входное значение тележка вкачена","Недостоверное Входное значение тележка вкачена")</f>
        <v>Выключатель электрический без защит. Недостоверное Входное значение тележка вкачена</v>
      </c>
      <c r="S16" s="372"/>
      <c r="U16" s="773"/>
      <c r="V16" s="4"/>
      <c r="W16" s="773"/>
      <c r="X16" s="4"/>
    </row>
    <row r="17" spans="1:24">
      <c r="A17" t="str">
        <f>SUBSTITUTE($V$2,"\","|")&amp; "|DTOF"</f>
        <v>ZRU_OL1_st|DTOF</v>
      </c>
      <c r="B17" t="s">
        <v>74</v>
      </c>
      <c r="F17" t="s">
        <v>72</v>
      </c>
      <c r="G17" t="s">
        <v>71</v>
      </c>
      <c r="H17">
        <v>0</v>
      </c>
      <c r="I17" t="s">
        <v>72</v>
      </c>
      <c r="J17" t="s">
        <v>69</v>
      </c>
      <c r="K17">
        <v>0</v>
      </c>
      <c r="M17">
        <v>1</v>
      </c>
      <c r="R17" t="str">
        <f>IF($U$2=TRUE,$W$2&amp;". Недостоверное Входное значение тележка выкачена","Недостоверное Входное значение тележка выкачена")</f>
        <v>Выключатель электрический без защит. Недостоверное Входное значение тележка выкачена</v>
      </c>
      <c r="S17" s="372"/>
      <c r="U17" s="773"/>
      <c r="V17" s="4"/>
      <c r="W17" s="773"/>
      <c r="X17" s="4"/>
    </row>
    <row r="18" spans="1:24">
      <c r="A18" t="str">
        <f>SUBSTITUTE($V$2,"\","|")&amp; "|XTON"</f>
        <v>ZRU_OL1_st|XTON</v>
      </c>
      <c r="B18" t="s">
        <v>74</v>
      </c>
      <c r="F18" t="s">
        <v>72</v>
      </c>
      <c r="G18" t="s">
        <v>71</v>
      </c>
      <c r="H18">
        <v>0</v>
      </c>
      <c r="I18" t="s">
        <v>72</v>
      </c>
      <c r="J18" t="s">
        <v>69</v>
      </c>
      <c r="K18">
        <v>0</v>
      </c>
      <c r="M18">
        <v>1</v>
      </c>
      <c r="R18" t="str">
        <f>IF($U$2=TRUE,$W$2&amp;". Выходное тележка вкачена","Выходное тележка вкачена")</f>
        <v>Выключатель электрический без защит. Выходное тележка вкачена</v>
      </c>
      <c r="S18" s="372"/>
      <c r="U18" s="773"/>
      <c r="V18" s="4"/>
      <c r="W18" s="773"/>
      <c r="X18" s="4"/>
    </row>
    <row r="19" spans="1:24">
      <c r="A19" t="str">
        <f>SUBSTITUTE($V$2,"\","|")&amp; "|XTOF"</f>
        <v>ZRU_OL1_st|XTOF</v>
      </c>
      <c r="B19" t="s">
        <v>74</v>
      </c>
      <c r="F19" t="s">
        <v>72</v>
      </c>
      <c r="G19" t="s">
        <v>71</v>
      </c>
      <c r="H19">
        <v>0</v>
      </c>
      <c r="I19" t="s">
        <v>72</v>
      </c>
      <c r="J19" t="s">
        <v>69</v>
      </c>
      <c r="K19">
        <v>0</v>
      </c>
      <c r="M19">
        <v>1</v>
      </c>
      <c r="R19" t="str">
        <f>IF($U$2=TRUE,$W$2&amp;". Выходное тележка выкачена","Выходное тележка выкачена")</f>
        <v>Выключатель электрический без защит. Выходное тележка выкачена</v>
      </c>
      <c r="S19" s="372"/>
      <c r="U19" s="773"/>
      <c r="V19" s="4"/>
      <c r="W19" s="773"/>
      <c r="X19" s="4"/>
    </row>
    <row r="20" spans="1:24">
      <c r="A20" t="str">
        <f>SUBSTITUTE($V$2,"\","|")&amp; "|FUTX"</f>
        <v>ZRU_OL1_st|FUTX</v>
      </c>
      <c r="B20" t="s">
        <v>74</v>
      </c>
      <c r="F20" t="s">
        <v>72</v>
      </c>
      <c r="G20" t="s">
        <v>71</v>
      </c>
      <c r="H20">
        <v>0</v>
      </c>
      <c r="I20" t="s">
        <v>72</v>
      </c>
      <c r="J20" t="s">
        <v>69</v>
      </c>
      <c r="K20">
        <v>0</v>
      </c>
      <c r="M20">
        <v>1</v>
      </c>
      <c r="R20" t="str">
        <f>IF($U$2=TRUE,$W$2&amp;". Неопределенно положение тележки","Неопределенно положение тележки")</f>
        <v>Выключатель электрический без защит. Неопределенно положение тележки</v>
      </c>
      <c r="S20" s="372"/>
      <c r="U20" s="773"/>
      <c r="V20" s="4"/>
      <c r="W20" s="773"/>
      <c r="X20" s="4"/>
    </row>
    <row r="21" spans="1:24">
      <c r="A21" t="str">
        <f>SUBSTITUTE($V$2,"\","|")&amp; "|FDTX"</f>
        <v>ZRU_OL1_st|FDTX</v>
      </c>
      <c r="B21" t="s">
        <v>74</v>
      </c>
      <c r="F21" t="s">
        <v>72</v>
      </c>
      <c r="G21" t="s">
        <v>71</v>
      </c>
      <c r="H21">
        <v>0</v>
      </c>
      <c r="I21" t="s">
        <v>72</v>
      </c>
      <c r="J21" t="s">
        <v>69</v>
      </c>
      <c r="K21">
        <v>0</v>
      </c>
      <c r="M21">
        <v>1</v>
      </c>
      <c r="R21" t="str">
        <f>IF($U$2=TRUE,$W$2&amp;". Двойное положение тележки","Двойное положение тележки")</f>
        <v>Выключатель электрический без защит. Двойное положение тележки</v>
      </c>
      <c r="S21" s="372"/>
      <c r="U21" s="773"/>
      <c r="V21" s="4"/>
      <c r="W21" s="773"/>
      <c r="X21" s="4"/>
    </row>
    <row r="22" spans="1:24">
      <c r="A22" t="str">
        <f>SUBSTITUTE($V$2,"\","|")&amp; "|CRPX"</f>
        <v>ZRU_OL1_st|CRPX</v>
      </c>
      <c r="B22" t="s">
        <v>74</v>
      </c>
      <c r="F22" t="s">
        <v>72</v>
      </c>
      <c r="G22" t="s">
        <v>71</v>
      </c>
      <c r="H22">
        <v>0</v>
      </c>
      <c r="I22" t="s">
        <v>76</v>
      </c>
      <c r="J22" t="s">
        <v>73</v>
      </c>
      <c r="K22">
        <v>0</v>
      </c>
      <c r="M22">
        <v>1</v>
      </c>
      <c r="R22" t="str">
        <f>IF($U$2=TRUE,$W$2&amp;". Команда ремонт","Команда ремонт")</f>
        <v>Выключатель электрический без защит. Команда ремонт</v>
      </c>
      <c r="S22" s="372"/>
      <c r="U22" s="773"/>
      <c r="V22" s="4"/>
      <c r="W22" s="773"/>
      <c r="X22" s="4"/>
    </row>
    <row r="23" spans="1:24">
      <c r="A23" t="str">
        <f>SUBSTITUTE($V$2,"\","|")&amp; "|CRRX"</f>
        <v>ZRU_OL1_st|CRRX</v>
      </c>
      <c r="B23" t="s">
        <v>74</v>
      </c>
      <c r="F23" t="s">
        <v>72</v>
      </c>
      <c r="G23" t="s">
        <v>71</v>
      </c>
      <c r="H23">
        <v>0</v>
      </c>
      <c r="I23" t="s">
        <v>76</v>
      </c>
      <c r="J23" t="s">
        <v>73</v>
      </c>
      <c r="K23">
        <v>0</v>
      </c>
      <c r="M23">
        <v>1</v>
      </c>
      <c r="R23" t="str">
        <f>IF($U$2=TRUE,$W$2&amp;". Команда сброс наработки","Команда сброс наработки")</f>
        <v>Выключатель электрический без защит. Команда сброс наработки</v>
      </c>
      <c r="S23" s="372"/>
      <c r="U23" s="773"/>
      <c r="V23" s="4"/>
      <c r="W23" s="773"/>
      <c r="X23" s="4"/>
    </row>
    <row r="24" spans="1:24">
      <c r="A24" t="str">
        <f>SUBSTITUTE($V$2,"\","|")&amp; "|SRQX"</f>
        <v>ZRU_OL1_st|SRQX</v>
      </c>
      <c r="B24" t="s">
        <v>78</v>
      </c>
      <c r="F24">
        <v>1000</v>
      </c>
      <c r="G24" t="s">
        <v>71</v>
      </c>
      <c r="H24">
        <v>0</v>
      </c>
      <c r="I24" t="s">
        <v>76</v>
      </c>
      <c r="J24" t="s">
        <v>73</v>
      </c>
      <c r="K24">
        <v>0</v>
      </c>
      <c r="M24">
        <v>1</v>
      </c>
      <c r="R24" t="str">
        <f>IF($U$2=TRUE,$W$2&amp;". Уставка наработки по концевикам","Уставка наработки по концевикам")</f>
        <v>Выключатель электрический без защит. Уставка наработки по концевикам</v>
      </c>
      <c r="S24" s="372"/>
      <c r="U24" s="773"/>
      <c r="V24" s="4"/>
      <c r="W24" s="773"/>
      <c r="X24" s="4"/>
    </row>
    <row r="25" spans="1:24">
      <c r="A25" t="str">
        <f>SUBSTITUTE($V$2,"\","|")&amp; "|XRON"</f>
        <v>ZRU_OL1_st|XRON</v>
      </c>
      <c r="B25" t="s">
        <v>78</v>
      </c>
      <c r="F25">
        <v>0</v>
      </c>
      <c r="G25" t="s">
        <v>71</v>
      </c>
      <c r="H25">
        <v>0</v>
      </c>
      <c r="I25" t="s">
        <v>76</v>
      </c>
      <c r="J25" t="s">
        <v>73</v>
      </c>
      <c r="K25">
        <v>0</v>
      </c>
      <c r="M25">
        <v>1</v>
      </c>
      <c r="R25" t="str">
        <f>IF($U$2=TRUE,$W$2&amp;". Наработка концевика Включен","Наработка концевика Включен")</f>
        <v>Выключатель электрический без защит. Наработка концевика Включен</v>
      </c>
      <c r="S25" s="372"/>
      <c r="U25" s="773"/>
      <c r="V25" s="4"/>
      <c r="W25" s="773"/>
      <c r="X25" s="4"/>
    </row>
    <row r="26" spans="1:24">
      <c r="A26" t="str">
        <f>SUBSTITUTE($V$2,"\","|")&amp; "|XROF"</f>
        <v>ZRU_OL1_st|XROF</v>
      </c>
      <c r="B26" t="s">
        <v>78</v>
      </c>
      <c r="F26">
        <v>0</v>
      </c>
      <c r="G26" t="s">
        <v>71</v>
      </c>
      <c r="H26">
        <v>0</v>
      </c>
      <c r="I26" t="s">
        <v>76</v>
      </c>
      <c r="J26" t="s">
        <v>73</v>
      </c>
      <c r="K26">
        <v>0</v>
      </c>
      <c r="M26">
        <v>1</v>
      </c>
      <c r="R26" t="str">
        <f>IF($U$2=TRUE,$W$2&amp;". Наработка концевика Отключен","Наработка концевика Отключен")</f>
        <v>Выключатель электрический без защит. Наработка концевика Отключен</v>
      </c>
      <c r="S26" s="372"/>
      <c r="U26" s="773"/>
      <c r="V26" s="4"/>
      <c r="W26" s="773"/>
      <c r="X26" s="4"/>
    </row>
    <row r="27" spans="1:24">
      <c r="A27" t="str">
        <f>SUBSTITUTE($V$2,"\","|")&amp; "|XRPX"</f>
        <v>ZRU_OL1_st|XRPX</v>
      </c>
      <c r="B27" t="s">
        <v>74</v>
      </c>
      <c r="F27" t="s">
        <v>72</v>
      </c>
      <c r="G27" t="s">
        <v>71</v>
      </c>
      <c r="H27">
        <v>0</v>
      </c>
      <c r="I27" t="s">
        <v>72</v>
      </c>
      <c r="J27" t="s">
        <v>69</v>
      </c>
      <c r="K27">
        <v>0</v>
      </c>
      <c r="M27">
        <v>1</v>
      </c>
      <c r="R27" t="str">
        <f>IF($U$2=TRUE,$W$2&amp;". Выходное значение Выведен в ремонт","Выходное значение Выведен в ремонт")</f>
        <v>Выключатель электрический без защит. Выходное значение Выведен в ремонт</v>
      </c>
      <c r="S27" s="372"/>
      <c r="U27" s="773"/>
      <c r="V27" s="4"/>
      <c r="W27" s="773"/>
      <c r="X27" s="4"/>
    </row>
    <row r="28" spans="1:24">
      <c r="A28" t="str">
        <f>SUBSTITUTE($V$2,"\","|")&amp; "|FRQX"</f>
        <v>ZRU_OL1_st|FRQX</v>
      </c>
      <c r="B28" t="s">
        <v>74</v>
      </c>
      <c r="F28" t="s">
        <v>72</v>
      </c>
      <c r="G28" t="s">
        <v>71</v>
      </c>
      <c r="H28">
        <v>0</v>
      </c>
      <c r="I28" t="s">
        <v>72</v>
      </c>
      <c r="J28" t="s">
        <v>69</v>
      </c>
      <c r="K28">
        <v>0</v>
      </c>
      <c r="M28">
        <v>1</v>
      </c>
      <c r="R28" t="str">
        <f>IF($U$2=TRUE,$W$2&amp;". Сработала уставка по наработке концевиков","Сработала уставка по наработке концевиков")</f>
        <v>Выключатель электрический без защит. Сработала уставка по наработке концевиков</v>
      </c>
      <c r="S28" s="372"/>
      <c r="U28" s="773"/>
      <c r="V28" s="4"/>
      <c r="W28" s="773"/>
      <c r="X28" s="4"/>
    </row>
    <row r="29" spans="1:24">
      <c r="A29" s="4"/>
      <c r="B29" s="4"/>
      <c r="F29" s="4"/>
      <c r="G29" s="4"/>
      <c r="H29" s="4"/>
      <c r="I29" s="4"/>
      <c r="J29" s="4"/>
      <c r="K29" s="4"/>
      <c r="M29" s="4"/>
    </row>
    <row r="30" spans="1:24">
      <c r="A30" s="4"/>
      <c r="B30" s="4"/>
      <c r="F30" s="4"/>
      <c r="G30" s="4"/>
      <c r="H30" s="4"/>
      <c r="I30" s="4"/>
      <c r="J30" s="4"/>
      <c r="K30" s="4"/>
      <c r="M30" s="4"/>
    </row>
    <row r="31" spans="1:24">
      <c r="A31" s="4"/>
      <c r="B31" s="4"/>
      <c r="F31" s="4"/>
      <c r="G31" s="4"/>
      <c r="H31" s="4"/>
      <c r="I31" s="4"/>
      <c r="J31" s="4"/>
      <c r="K31" s="4"/>
      <c r="M31" s="4"/>
      <c r="N31" s="456"/>
    </row>
    <row r="32" spans="1:24">
      <c r="A32" s="4"/>
      <c r="B32" s="4"/>
      <c r="F32" s="4"/>
      <c r="G32" s="4"/>
      <c r="H32" s="4"/>
      <c r="I32" s="4"/>
      <c r="J32" s="4"/>
      <c r="K32" s="4"/>
      <c r="M32" s="4"/>
    </row>
    <row r="33" spans="1:23">
      <c r="A33" s="4"/>
      <c r="B33" s="4"/>
      <c r="F33" s="4"/>
      <c r="G33" s="4"/>
      <c r="H33" s="4"/>
      <c r="I33" s="4"/>
      <c r="J33" s="4"/>
      <c r="K33" s="4"/>
      <c r="M33" s="4"/>
    </row>
    <row r="34" spans="1:23">
      <c r="A34" s="4"/>
      <c r="B34" s="4"/>
      <c r="F34" s="4"/>
      <c r="G34" s="4"/>
      <c r="H34" s="4"/>
      <c r="I34" s="4"/>
      <c r="J34" s="4"/>
      <c r="K34" s="4"/>
      <c r="M34" s="4"/>
    </row>
    <row r="35" spans="1:23">
      <c r="A35" s="4"/>
      <c r="B35" s="4"/>
      <c r="F35" s="4"/>
      <c r="G35" s="4"/>
      <c r="H35" s="4"/>
      <c r="I35" s="4"/>
      <c r="J35" s="4"/>
      <c r="K35" s="4"/>
      <c r="M35" s="4"/>
    </row>
    <row r="36" spans="1:23">
      <c r="A36" s="4"/>
      <c r="B36" s="4"/>
      <c r="F36" s="4"/>
      <c r="G36" s="4"/>
      <c r="H36" s="4"/>
      <c r="I36" s="4"/>
      <c r="J36" s="4"/>
      <c r="K36" s="4"/>
      <c r="M36" s="4"/>
    </row>
    <row r="37" spans="1:23">
      <c r="A37" s="4"/>
      <c r="B37" s="4"/>
      <c r="F37" s="4"/>
      <c r="G37" s="4"/>
      <c r="H37" s="4"/>
      <c r="I37" s="4"/>
      <c r="J37" s="4"/>
      <c r="K37" s="4"/>
      <c r="M37" s="4"/>
    </row>
    <row r="38" spans="1:23">
      <c r="A38" s="4"/>
      <c r="B38" s="4"/>
      <c r="F38" s="4"/>
      <c r="G38" s="4"/>
      <c r="H38" s="4"/>
      <c r="I38" s="4"/>
      <c r="J38" s="4"/>
      <c r="K38" s="4"/>
      <c r="M38" s="4"/>
    </row>
    <row r="39" spans="1:23">
      <c r="A39" s="4"/>
      <c r="B39" s="4"/>
      <c r="F39" s="4"/>
      <c r="G39" s="4"/>
      <c r="H39" s="4"/>
      <c r="I39" s="4"/>
      <c r="J39" s="4"/>
      <c r="K39" s="4"/>
      <c r="M39" s="4"/>
    </row>
    <row r="40" spans="1:23">
      <c r="A40" s="4"/>
      <c r="B40" s="4"/>
      <c r="F40" s="4"/>
      <c r="G40" s="4"/>
      <c r="H40" s="4"/>
      <c r="I40" s="4"/>
      <c r="J40" s="4"/>
      <c r="K40" s="4"/>
      <c r="M40" s="4"/>
      <c r="W40" s="4"/>
    </row>
    <row r="41" spans="1:23">
      <c r="A41" s="4"/>
      <c r="B41" s="4"/>
      <c r="F41" s="4"/>
      <c r="G41" s="4"/>
      <c r="H41" s="4"/>
      <c r="I41" s="4"/>
      <c r="J41" s="4"/>
      <c r="K41" s="4"/>
      <c r="M41" s="4"/>
      <c r="W41" s="4"/>
    </row>
    <row r="42" spans="1:23">
      <c r="W42" s="4"/>
    </row>
    <row r="43" spans="1:23">
      <c r="W43" s="4"/>
    </row>
    <row r="44" spans="1:23">
      <c r="W44" s="4"/>
    </row>
    <row r="45" spans="1:23">
      <c r="W45" s="4"/>
    </row>
    <row r="46" spans="1:23">
      <c r="W46" s="4"/>
    </row>
    <row r="47" spans="1:23">
      <c r="W47" s="4"/>
    </row>
    <row r="48" spans="1:23">
      <c r="W48" s="4"/>
    </row>
    <row r="49" spans="23:23">
      <c r="W49" s="4"/>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Лист21">
    <tabColor rgb="FF92D050"/>
  </sheetPr>
  <dimension ref="A1:AC49"/>
  <sheetViews>
    <sheetView topLeftCell="J1"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style="456" customWidth="1"/>
    <col min="15" max="15" width="5.44140625" customWidth="1"/>
    <col min="16" max="16" width="4.6640625" customWidth="1"/>
    <col min="17" max="17" width="4.88671875" customWidth="1"/>
    <col min="18" max="18" width="65.44140625" customWidth="1"/>
    <col min="19" max="20" width="16.664062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6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28.8">
      <c r="A2" s="10"/>
      <c r="B2" s="10"/>
      <c r="F2" s="10"/>
      <c r="G2" s="10"/>
      <c r="H2" s="10"/>
      <c r="I2" s="10"/>
      <c r="J2" s="10"/>
      <c r="K2" s="10"/>
      <c r="M2" s="10"/>
      <c r="N2" s="610"/>
      <c r="O2" s="10"/>
      <c r="P2" s="10"/>
      <c r="Q2" s="10"/>
      <c r="R2" s="10"/>
      <c r="U2" s="74" t="b">
        <f>Настройки!$M$34</f>
        <v>1</v>
      </c>
      <c r="V2" s="73" t="s">
        <v>298</v>
      </c>
      <c r="W2" s="537" t="s">
        <v>772</v>
      </c>
      <c r="X2" s="73"/>
      <c r="Y2" s="73"/>
      <c r="Z2" s="73"/>
      <c r="AA2" s="74"/>
      <c r="AB2" s="74"/>
      <c r="AC2" s="74"/>
    </row>
    <row r="3" spans="1:29">
      <c r="A3" t="str">
        <f>SUBSTITUTE($V$2,"\","|")&amp; "|IONX"</f>
        <v>ZRU_OL1_sp|IONX</v>
      </c>
      <c r="B3" t="s">
        <v>74</v>
      </c>
      <c r="F3" t="s">
        <v>72</v>
      </c>
      <c r="G3" t="s">
        <v>71</v>
      </c>
      <c r="H3">
        <v>0</v>
      </c>
      <c r="I3" t="s">
        <v>72</v>
      </c>
      <c r="J3" t="s">
        <v>69</v>
      </c>
      <c r="K3">
        <v>0</v>
      </c>
      <c r="M3" s="456">
        <v>1</v>
      </c>
      <c r="R3" t="str">
        <f>IF($U$2=TRUE,$W$2&amp;". Входное значение Включен","Входное значение Включен")</f>
        <v>Выключатель с защитой без управления и без тележки. Входное значение Включен</v>
      </c>
      <c r="S3" s="372"/>
      <c r="U3" s="773"/>
      <c r="V3" s="4"/>
      <c r="W3" s="773"/>
      <c r="X3" s="4"/>
    </row>
    <row r="4" spans="1:29">
      <c r="A4" t="str">
        <f>SUBSTITUTE($V$2,"\","|")&amp; "|IOFX"</f>
        <v>ZRU_OL1_sp|IOFX</v>
      </c>
      <c r="B4" t="s">
        <v>74</v>
      </c>
      <c r="F4" t="s">
        <v>72</v>
      </c>
      <c r="G4" t="s">
        <v>71</v>
      </c>
      <c r="H4">
        <v>0</v>
      </c>
      <c r="I4" t="s">
        <v>72</v>
      </c>
      <c r="J4" t="s">
        <v>69</v>
      </c>
      <c r="K4">
        <v>0</v>
      </c>
      <c r="M4" s="456">
        <v>1</v>
      </c>
      <c r="R4" t="str">
        <f>IF($U$2=TRUE,$W$2&amp;". Входное значение Отключен","Входное значение Отключен")</f>
        <v>Выключатель с защитой без управления и без тележки. Входное значение Отключен</v>
      </c>
      <c r="S4" s="372"/>
      <c r="U4" s="773"/>
      <c r="V4" s="4"/>
      <c r="W4" s="773"/>
      <c r="X4" s="4"/>
    </row>
    <row r="5" spans="1:29">
      <c r="A5" t="str">
        <f>SUBSTITUTE($V$2,"\","|")&amp; "|IFXX"</f>
        <v>ZRU_OL1_sp|IFXX</v>
      </c>
      <c r="B5" t="s">
        <v>74</v>
      </c>
      <c r="F5" t="s">
        <v>72</v>
      </c>
      <c r="G5" t="s">
        <v>71</v>
      </c>
      <c r="H5">
        <v>0</v>
      </c>
      <c r="I5" t="s">
        <v>72</v>
      </c>
      <c r="J5" t="s">
        <v>69</v>
      </c>
      <c r="K5">
        <v>0</v>
      </c>
      <c r="M5" s="456">
        <v>1</v>
      </c>
      <c r="R5" t="str">
        <f>IF($U$2=TRUE,$W$2&amp;". Входное значение Неисправность","Входное значение Неисправность")</f>
        <v>Выключатель с защитой без управления и без тележки. Входное значение Неисправность</v>
      </c>
      <c r="S5" s="372"/>
      <c r="U5" s="773"/>
      <c r="V5" s="4"/>
      <c r="W5" s="773"/>
      <c r="X5" s="4"/>
    </row>
    <row r="6" spans="1:29">
      <c r="A6" t="str">
        <f>SUBSTITUTE($V$2,"\","|")&amp; "|DONX"</f>
        <v>ZRU_OL1_sp|DONX</v>
      </c>
      <c r="B6" t="s">
        <v>74</v>
      </c>
      <c r="F6" t="s">
        <v>72</v>
      </c>
      <c r="G6" t="s">
        <v>71</v>
      </c>
      <c r="H6">
        <v>0</v>
      </c>
      <c r="I6" t="s">
        <v>72</v>
      </c>
      <c r="J6" t="s">
        <v>69</v>
      </c>
      <c r="K6">
        <v>0</v>
      </c>
      <c r="M6" s="456">
        <v>1</v>
      </c>
      <c r="R6" t="str">
        <f>IF($U$2=TRUE,$W$2&amp;". Недостоверное Входное значение Включен","Недостоверное Входное значение Включен")</f>
        <v>Выключатель с защитой без управления и без тележки. Недостоверное Входное значение Включен</v>
      </c>
      <c r="S6" s="372"/>
      <c r="U6" s="773"/>
      <c r="V6" s="4"/>
      <c r="W6" s="773"/>
      <c r="X6" s="4"/>
    </row>
    <row r="7" spans="1:29">
      <c r="A7" t="str">
        <f>SUBSTITUTE($V$2,"\","|")&amp; "|DOFX"</f>
        <v>ZRU_OL1_sp|DOFX</v>
      </c>
      <c r="B7" t="s">
        <v>74</v>
      </c>
      <c r="F7" t="s">
        <v>72</v>
      </c>
      <c r="G7" t="s">
        <v>71</v>
      </c>
      <c r="H7">
        <v>0</v>
      </c>
      <c r="I7" t="s">
        <v>72</v>
      </c>
      <c r="J7" t="s">
        <v>69</v>
      </c>
      <c r="K7">
        <v>0</v>
      </c>
      <c r="M7" s="456">
        <v>1</v>
      </c>
      <c r="R7" t="str">
        <f>IF($U$2=TRUE,$W$2&amp;". Недостоверное Входное значение Отключен","Недостоверное Входное значение Отключен")</f>
        <v>Выключатель с защитой без управления и без тележки. Недостоверное Входное значение Отключен</v>
      </c>
      <c r="S7" s="372"/>
      <c r="U7" s="773"/>
      <c r="V7" s="4"/>
      <c r="W7" s="773"/>
      <c r="X7" s="4"/>
    </row>
    <row r="8" spans="1:29">
      <c r="A8" t="str">
        <f>SUBSTITUTE($V$2,"\","|")&amp; "|DFXX"</f>
        <v>ZRU_OL1_sp|DFXX</v>
      </c>
      <c r="B8" t="s">
        <v>74</v>
      </c>
      <c r="F8" t="s">
        <v>72</v>
      </c>
      <c r="G8" t="s">
        <v>71</v>
      </c>
      <c r="H8">
        <v>0</v>
      </c>
      <c r="I8" t="s">
        <v>72</v>
      </c>
      <c r="J8" t="s">
        <v>69</v>
      </c>
      <c r="K8">
        <v>0</v>
      </c>
      <c r="M8" s="456">
        <v>1</v>
      </c>
      <c r="R8" t="str">
        <f>IF($U$2=TRUE,$W$2&amp;". Недостоверное Входное значение Неисправность","Недостоверное Входное значение Неисправность")</f>
        <v>Выключатель с защитой без управления и без тележки. Недостоверное Входное значение Неисправность</v>
      </c>
      <c r="S8" s="372"/>
      <c r="U8" s="773"/>
      <c r="V8" s="4"/>
      <c r="W8" s="773"/>
      <c r="X8" s="4"/>
    </row>
    <row r="9" spans="1:29">
      <c r="A9" t="str">
        <f>SUBSTITUTE($V$2,"\","|")&amp; "|XONX"</f>
        <v>ZRU_OL1_sp|XONX</v>
      </c>
      <c r="B9" t="s">
        <v>74</v>
      </c>
      <c r="F9" t="s">
        <v>72</v>
      </c>
      <c r="G9" t="s">
        <v>71</v>
      </c>
      <c r="H9">
        <v>0</v>
      </c>
      <c r="I9" t="s">
        <v>72</v>
      </c>
      <c r="J9" t="s">
        <v>69</v>
      </c>
      <c r="K9">
        <v>0</v>
      </c>
      <c r="M9" s="456">
        <v>1</v>
      </c>
      <c r="R9" t="str">
        <f>IF($U$2=TRUE,$W$2&amp;". Выходное значение Включен","Выходное значение Включен")</f>
        <v>Выключатель с защитой без управления и без тележки. Выходное значение Включен</v>
      </c>
      <c r="S9" s="372"/>
      <c r="U9" s="773"/>
      <c r="V9" s="4"/>
      <c r="W9" s="773"/>
      <c r="X9" s="4"/>
    </row>
    <row r="10" spans="1:29">
      <c r="A10" t="str">
        <f>SUBSTITUTE($V$2,"\","|")&amp; "|XOFX"</f>
        <v>ZRU_OL1_sp|XOFX</v>
      </c>
      <c r="B10" t="s">
        <v>74</v>
      </c>
      <c r="F10" t="s">
        <v>72</v>
      </c>
      <c r="G10" t="s">
        <v>71</v>
      </c>
      <c r="H10">
        <v>0</v>
      </c>
      <c r="I10" t="s">
        <v>72</v>
      </c>
      <c r="J10" t="s">
        <v>69</v>
      </c>
      <c r="K10">
        <v>0</v>
      </c>
      <c r="M10" s="456">
        <v>1</v>
      </c>
      <c r="R10" t="str">
        <f>IF($U$2=TRUE,$W$2&amp;". Выходное значение Отключен","Выходное значение Отключен")</f>
        <v>Выключатель с защитой без управления и без тележки. Выходное значение Отключен</v>
      </c>
      <c r="S10" s="372"/>
      <c r="U10" s="773"/>
      <c r="V10" s="4"/>
      <c r="W10" s="773"/>
      <c r="X10" s="4"/>
    </row>
    <row r="11" spans="1:29">
      <c r="A11" t="str">
        <f>SUBSTITUTE($V$2,"\","|")&amp; "|FXXX"</f>
        <v>ZRU_OL1_sp|FXXX</v>
      </c>
      <c r="B11" t="s">
        <v>74</v>
      </c>
      <c r="F11" t="s">
        <v>72</v>
      </c>
      <c r="G11" t="s">
        <v>71</v>
      </c>
      <c r="H11">
        <v>0</v>
      </c>
      <c r="I11" t="s">
        <v>72</v>
      </c>
      <c r="J11" t="s">
        <v>69</v>
      </c>
      <c r="K11">
        <v>0</v>
      </c>
      <c r="M11" s="456">
        <v>1</v>
      </c>
      <c r="R11" t="str">
        <f>IF($U$2=TRUE,$W$2&amp;". Обобщенная неисправность","Обобщенная неисправность")</f>
        <v>Выключатель с защитой без управления и без тележки. Обобщенная неисправность</v>
      </c>
      <c r="S11" s="372"/>
      <c r="U11" s="773"/>
      <c r="V11" s="4"/>
      <c r="W11" s="773"/>
      <c r="X11" s="4"/>
    </row>
    <row r="12" spans="1:29">
      <c r="A12" t="str">
        <f>SUBSTITUTE($V$2,"\","|")&amp; "|FUSX"</f>
        <v>ZRU_OL1_sp|FUSX</v>
      </c>
      <c r="B12" t="s">
        <v>74</v>
      </c>
      <c r="F12" t="s">
        <v>72</v>
      </c>
      <c r="G12" t="s">
        <v>71</v>
      </c>
      <c r="H12">
        <v>0</v>
      </c>
      <c r="I12" t="s">
        <v>72</v>
      </c>
      <c r="J12" t="s">
        <v>69</v>
      </c>
      <c r="K12">
        <v>0</v>
      </c>
      <c r="M12" s="456">
        <v>1</v>
      </c>
      <c r="R12" t="str">
        <f>IF($U$2=TRUE,$W$2&amp;". Неопределенно положение","Неопределенно положение")</f>
        <v>Выключатель с защитой без управления и без тележки. Неопределенно положение</v>
      </c>
      <c r="S12" s="372"/>
      <c r="U12" s="773"/>
      <c r="V12" s="4"/>
      <c r="W12" s="773"/>
      <c r="X12" s="4"/>
    </row>
    <row r="13" spans="1:29">
      <c r="A13" t="str">
        <f>SUBSTITUTE($V$2,"\","|")&amp; "|FDSX"</f>
        <v>ZRU_OL1_sp|FDSX</v>
      </c>
      <c r="B13" t="s">
        <v>74</v>
      </c>
      <c r="F13" t="s">
        <v>72</v>
      </c>
      <c r="G13" t="s">
        <v>71</v>
      </c>
      <c r="H13">
        <v>0</v>
      </c>
      <c r="I13" t="s">
        <v>72</v>
      </c>
      <c r="J13" t="s">
        <v>69</v>
      </c>
      <c r="K13">
        <v>0</v>
      </c>
      <c r="M13" s="456">
        <v>1</v>
      </c>
      <c r="R13" t="str">
        <f>IF($U$2=TRUE,$W$2&amp;". Двойное положение","Двойное положение")</f>
        <v>Выключатель с защитой без управления и без тележки. Двойное положение</v>
      </c>
      <c r="S13" s="372"/>
      <c r="U13" s="773"/>
      <c r="V13" s="4"/>
      <c r="W13" s="773"/>
      <c r="X13" s="4"/>
    </row>
    <row r="14" spans="1:29">
      <c r="A14" t="str">
        <f>SUBSTITUTE($V$2,"\","|")&amp; "|CRPX"</f>
        <v>ZRU_OL1_sp|CRPX</v>
      </c>
      <c r="B14" t="s">
        <v>74</v>
      </c>
      <c r="F14" t="s">
        <v>72</v>
      </c>
      <c r="G14" t="s">
        <v>71</v>
      </c>
      <c r="H14">
        <v>0</v>
      </c>
      <c r="I14" t="s">
        <v>76</v>
      </c>
      <c r="J14" t="s">
        <v>73</v>
      </c>
      <c r="K14">
        <v>0</v>
      </c>
      <c r="M14" s="456">
        <v>1</v>
      </c>
      <c r="R14" t="str">
        <f>IF($U$2=TRUE,$W$2&amp;". Команда ремонт","Команда ремонт")</f>
        <v>Выключатель с защитой без управления и без тележки. Команда ремонт</v>
      </c>
      <c r="S14" s="372"/>
      <c r="U14" s="773"/>
      <c r="V14" s="4"/>
      <c r="W14" s="773"/>
      <c r="X14" s="4"/>
    </row>
    <row r="15" spans="1:29">
      <c r="A15" t="str">
        <f>SUBSTITUTE($V$2,"\","|")&amp; "|CRRX"</f>
        <v>ZRU_OL1_sp|CRRX</v>
      </c>
      <c r="B15" t="s">
        <v>74</v>
      </c>
      <c r="F15" t="s">
        <v>72</v>
      </c>
      <c r="G15" t="s">
        <v>71</v>
      </c>
      <c r="H15">
        <v>0</v>
      </c>
      <c r="I15" t="s">
        <v>76</v>
      </c>
      <c r="J15" t="s">
        <v>73</v>
      </c>
      <c r="K15">
        <v>0</v>
      </c>
      <c r="M15" s="456">
        <v>1</v>
      </c>
      <c r="R15" t="str">
        <f>IF($U$2=TRUE,$W$2&amp;". Команда сброс наработки","Команда сброс наработки")</f>
        <v>Выключатель с защитой без управления и без тележки. Команда сброс наработки</v>
      </c>
      <c r="S15" s="372"/>
      <c r="U15" s="773"/>
      <c r="V15" s="4"/>
      <c r="W15" s="773"/>
      <c r="X15" s="4"/>
    </row>
    <row r="16" spans="1:29">
      <c r="A16" t="str">
        <f>SUBSTITUTE($V$2,"\","|")&amp; "|SRQX"</f>
        <v>ZRU_OL1_sp|SRQX</v>
      </c>
      <c r="B16" t="s">
        <v>78</v>
      </c>
      <c r="F16">
        <v>1000</v>
      </c>
      <c r="G16" t="s">
        <v>71</v>
      </c>
      <c r="H16">
        <v>0</v>
      </c>
      <c r="I16" t="s">
        <v>76</v>
      </c>
      <c r="J16" t="s">
        <v>73</v>
      </c>
      <c r="K16">
        <v>0</v>
      </c>
      <c r="M16" s="456">
        <v>1</v>
      </c>
      <c r="R16" t="str">
        <f>IF($U$2=TRUE,$W$2&amp;". Уставка наработки по концевикам","Уставка наработки по концевикам")</f>
        <v>Выключатель с защитой без управления и без тележки. Уставка наработки по концевикам</v>
      </c>
      <c r="S16" s="372"/>
      <c r="U16" s="773"/>
      <c r="V16" s="4"/>
      <c r="W16" s="773"/>
      <c r="X16" s="4"/>
    </row>
    <row r="17" spans="1:24">
      <c r="A17" t="str">
        <f>SUBSTITUTE($V$2,"\","|")&amp; "|XRON"</f>
        <v>ZRU_OL1_sp|XRON</v>
      </c>
      <c r="B17" t="s">
        <v>78</v>
      </c>
      <c r="F17">
        <v>0</v>
      </c>
      <c r="G17" t="s">
        <v>71</v>
      </c>
      <c r="H17">
        <v>0</v>
      </c>
      <c r="I17" t="s">
        <v>76</v>
      </c>
      <c r="J17" t="s">
        <v>73</v>
      </c>
      <c r="K17">
        <v>0</v>
      </c>
      <c r="M17" s="456">
        <v>1</v>
      </c>
      <c r="R17" t="str">
        <f>IF($U$2=TRUE,$W$2&amp;". Наработка концевика Включен","Наработка концевика Включен")</f>
        <v>Выключатель с защитой без управления и без тележки. Наработка концевика Включен</v>
      </c>
      <c r="S17" s="372"/>
      <c r="U17" s="773"/>
      <c r="V17" s="4"/>
      <c r="W17" s="773"/>
      <c r="X17" s="4"/>
    </row>
    <row r="18" spans="1:24">
      <c r="A18" t="str">
        <f>SUBSTITUTE($V$2,"\","|")&amp; "|XROF"</f>
        <v>ZRU_OL1_sp|XROF</v>
      </c>
      <c r="B18" t="s">
        <v>78</v>
      </c>
      <c r="F18">
        <v>0</v>
      </c>
      <c r="G18" t="s">
        <v>71</v>
      </c>
      <c r="H18">
        <v>0</v>
      </c>
      <c r="I18" t="s">
        <v>76</v>
      </c>
      <c r="J18" t="s">
        <v>73</v>
      </c>
      <c r="K18">
        <v>0</v>
      </c>
      <c r="M18" s="456">
        <v>1</v>
      </c>
      <c r="R18" t="str">
        <f>IF($U$2=TRUE,$W$2&amp;". Наработка концевика Отключен","Наработка концевика Отключен")</f>
        <v>Выключатель с защитой без управления и без тележки. Наработка концевика Отключен</v>
      </c>
      <c r="S18" s="372"/>
      <c r="U18" s="773"/>
      <c r="V18" s="4"/>
      <c r="W18" s="773"/>
      <c r="X18" s="4"/>
    </row>
    <row r="19" spans="1:24">
      <c r="A19" t="str">
        <f>SUBSTITUTE($V$2,"\","|")&amp; "|XRPX"</f>
        <v>ZRU_OL1_sp|XRPX</v>
      </c>
      <c r="B19" t="s">
        <v>74</v>
      </c>
      <c r="F19" t="s">
        <v>72</v>
      </c>
      <c r="G19" t="s">
        <v>71</v>
      </c>
      <c r="H19">
        <v>0</v>
      </c>
      <c r="I19" t="s">
        <v>72</v>
      </c>
      <c r="J19" t="s">
        <v>69</v>
      </c>
      <c r="K19">
        <v>0</v>
      </c>
      <c r="M19" s="456">
        <v>1</v>
      </c>
      <c r="R19" t="str">
        <f>IF($U$2=TRUE,$W$2&amp;". Выходное значение Выведен в ремонт","Выходное значение Выведен в ремонт")</f>
        <v>Выключатель с защитой без управления и без тележки. Выходное значение Выведен в ремонт</v>
      </c>
      <c r="S19" s="372"/>
      <c r="U19" s="773"/>
      <c r="V19" s="4"/>
      <c r="W19" s="773"/>
      <c r="X19" s="4"/>
    </row>
    <row r="20" spans="1:24">
      <c r="A20" t="str">
        <f>SUBSTITUTE($V$2,"\","|")&amp; "|FRQX"</f>
        <v>ZRU_OL1_sp|FRQX</v>
      </c>
      <c r="B20" t="s">
        <v>74</v>
      </c>
      <c r="F20" t="s">
        <v>72</v>
      </c>
      <c r="G20" t="s">
        <v>71</v>
      </c>
      <c r="H20">
        <v>0</v>
      </c>
      <c r="I20" t="s">
        <v>72</v>
      </c>
      <c r="J20" t="s">
        <v>69</v>
      </c>
      <c r="K20">
        <v>0</v>
      </c>
      <c r="M20" s="456">
        <v>1</v>
      </c>
      <c r="R20" t="str">
        <f>IF($U$2=TRUE,$W$2&amp;". Сработала уставка по наработке концевиков","Сработала уставка по наработке концевиков")</f>
        <v>Выключатель с защитой без управления и без тележки. Сработала уставка по наработке концевиков</v>
      </c>
      <c r="S20" s="372"/>
      <c r="U20" s="773"/>
      <c r="V20" s="4"/>
      <c r="W20" s="773"/>
      <c r="X20" s="4"/>
    </row>
    <row r="21" spans="1:24">
      <c r="A21" t="str">
        <f>SUBSTITUTE($V$2,"\","|")&amp; "|IPTC"</f>
        <v>ZRU_OL1_sp|IPTC</v>
      </c>
      <c r="B21" t="s">
        <v>74</v>
      </c>
      <c r="F21" t="s">
        <v>72</v>
      </c>
      <c r="G21" t="s">
        <v>71</v>
      </c>
      <c r="H21">
        <v>0</v>
      </c>
      <c r="I21" t="s">
        <v>72</v>
      </c>
      <c r="J21" t="s">
        <v>69</v>
      </c>
      <c r="K21">
        <v>0</v>
      </c>
      <c r="M21" s="456">
        <v>1</v>
      </c>
      <c r="R21" t="str">
        <f>IF($U$2=TRUE,$W$2&amp;". Входное значение аварийное отключение (НЗ)","Входное значение аварийное отключение (НЗ)")</f>
        <v>Выключатель с защитой без управления и без тележки. Входное значение аварийное отключение (НЗ)</v>
      </c>
      <c r="S21" s="372"/>
      <c r="U21" s="773"/>
      <c r="V21" s="4"/>
      <c r="W21" s="773"/>
      <c r="X21" s="4"/>
    </row>
    <row r="22" spans="1:24">
      <c r="A22" t="str">
        <f>SUBSTITUTE($V$2,"\","|")&amp; "|IPTO"</f>
        <v>ZRU_OL1_sp|IPTO</v>
      </c>
      <c r="B22" t="s">
        <v>74</v>
      </c>
      <c r="F22" t="s">
        <v>72</v>
      </c>
      <c r="G22" t="s">
        <v>71</v>
      </c>
      <c r="H22">
        <v>0</v>
      </c>
      <c r="I22" t="s">
        <v>72</v>
      </c>
      <c r="J22" t="s">
        <v>69</v>
      </c>
      <c r="K22">
        <v>0</v>
      </c>
      <c r="M22" s="456">
        <v>1</v>
      </c>
      <c r="R22" t="str">
        <f>IF($U$2=TRUE,$W$2&amp;". Входное значение аварийное отключение (НО)","Входное значение аварийное отключение (НО)")</f>
        <v>Выключатель с защитой без управления и без тележки. Входное значение аварийное отключение (НО)</v>
      </c>
      <c r="S22" s="372"/>
      <c r="U22" s="773"/>
      <c r="V22" s="4"/>
      <c r="W22" s="773"/>
      <c r="X22" s="4"/>
    </row>
    <row r="23" spans="1:24">
      <c r="A23" t="str">
        <f>SUBSTITUTE($V$2,"\","|")&amp; "|DPTO"</f>
        <v>ZRU_OL1_sp|DPTO</v>
      </c>
      <c r="B23" t="s">
        <v>74</v>
      </c>
      <c r="F23" t="s">
        <v>72</v>
      </c>
      <c r="G23" t="s">
        <v>71</v>
      </c>
      <c r="H23">
        <v>0</v>
      </c>
      <c r="I23" t="s">
        <v>72</v>
      </c>
      <c r="J23" t="s">
        <v>69</v>
      </c>
      <c r="K23">
        <v>0</v>
      </c>
      <c r="M23" s="456">
        <v>1</v>
      </c>
      <c r="R23" t="str">
        <f>IF($U$2=TRUE,$W$2&amp;". Недостоверное Входное значение аварийное отключение (НО)","Недостоверное Входное значение аварийное отключение (НО)")</f>
        <v>Выключатель с защитой без управления и без тележки. Недостоверное Входное значение аварийное отключение (НО)</v>
      </c>
      <c r="S23" s="372"/>
      <c r="U23" s="773"/>
      <c r="V23" s="4"/>
      <c r="W23" s="773"/>
      <c r="X23" s="4"/>
    </row>
    <row r="24" spans="1:24">
      <c r="A24" t="str">
        <f>SUBSTITUTE($V$2,"\","|")&amp; "|DPTC"</f>
        <v>ZRU_OL1_sp|DPTC</v>
      </c>
      <c r="B24" t="s">
        <v>74</v>
      </c>
      <c r="F24" t="s">
        <v>72</v>
      </c>
      <c r="G24" t="s">
        <v>71</v>
      </c>
      <c r="H24">
        <v>0</v>
      </c>
      <c r="I24" t="s">
        <v>72</v>
      </c>
      <c r="J24" t="s">
        <v>69</v>
      </c>
      <c r="K24">
        <v>0</v>
      </c>
      <c r="M24" s="456">
        <v>1</v>
      </c>
      <c r="R24" t="str">
        <f>IF($U$2=TRUE,$W$2&amp;". Недостоверное Входное значение аварийное отключение (НЗ)","Недостоверное Входное значение аварийное отключение (НЗ)")</f>
        <v>Выключатель с защитой без управления и без тележки. Недостоверное Входное значение аварийное отключение (НЗ)</v>
      </c>
      <c r="S24" s="372"/>
      <c r="U24" s="773"/>
      <c r="V24" s="4"/>
      <c r="W24" s="773"/>
      <c r="X24" s="4"/>
    </row>
    <row r="25" spans="1:24">
      <c r="A25" t="str">
        <f>SUBSTITUTE($V$2,"\","|")&amp; "|XRPT"</f>
        <v>ZRU_OL1_sp|XRPT</v>
      </c>
      <c r="B25" t="s">
        <v>78</v>
      </c>
      <c r="F25">
        <v>0</v>
      </c>
      <c r="G25" t="s">
        <v>71</v>
      </c>
      <c r="H25">
        <v>0</v>
      </c>
      <c r="I25" t="s">
        <v>76</v>
      </c>
      <c r="J25" t="s">
        <v>73</v>
      </c>
      <c r="K25">
        <v>0</v>
      </c>
      <c r="M25" s="456">
        <v>1</v>
      </c>
      <c r="R25" t="str">
        <f>IF($U$2=TRUE,$W$2&amp;". Наработка аварийного отключения","Наработка аварийного отключения")</f>
        <v>Выключатель с защитой без управления и без тележки. Наработка аварийного отключения</v>
      </c>
      <c r="S25" s="372"/>
      <c r="U25" s="773"/>
      <c r="V25" s="4"/>
      <c r="W25" s="773"/>
      <c r="X25" s="4"/>
    </row>
    <row r="26" spans="1:24">
      <c r="A26" t="str">
        <f>SUBSTITUTE($V$2,"\","|")&amp; "|SRPT"</f>
        <v>ZRU_OL1_sp|SRPT</v>
      </c>
      <c r="B26" t="s">
        <v>78</v>
      </c>
      <c r="F26">
        <v>100</v>
      </c>
      <c r="G26" t="s">
        <v>71</v>
      </c>
      <c r="H26">
        <v>0</v>
      </c>
      <c r="I26" t="s">
        <v>76</v>
      </c>
      <c r="J26" t="s">
        <v>73</v>
      </c>
      <c r="K26">
        <v>0</v>
      </c>
      <c r="M26" s="456">
        <v>1</v>
      </c>
      <c r="R26" t="str">
        <f>IF($U$2=TRUE,$W$2&amp;". Уставка наработки по аварийным отключениям","Уставка наработки по аварийным отключениям")</f>
        <v>Выключатель с защитой без управления и без тележки. Уставка наработки по аварийным отключениям</v>
      </c>
      <c r="S26" s="372"/>
      <c r="U26" s="773"/>
      <c r="V26" s="4"/>
      <c r="W26" s="773"/>
      <c r="X26" s="4"/>
    </row>
    <row r="27" spans="1:24">
      <c r="A27" t="str">
        <f>SUBSTITUTE($V$2,"\","|")&amp; "|FRPT"</f>
        <v>ZRU_OL1_sp|FRPT</v>
      </c>
      <c r="B27" t="s">
        <v>74</v>
      </c>
      <c r="F27" t="s">
        <v>72</v>
      </c>
      <c r="G27" t="s">
        <v>71</v>
      </c>
      <c r="H27">
        <v>0</v>
      </c>
      <c r="I27" t="s">
        <v>72</v>
      </c>
      <c r="J27" t="s">
        <v>69</v>
      </c>
      <c r="K27">
        <v>0</v>
      </c>
      <c r="M27" s="456">
        <v>1</v>
      </c>
      <c r="R27" t="str">
        <f>IF($U$2=TRUE,$W$2&amp;". Сработала уставка по наработке аварийного отключения","Сработала уставка по наработке аварийного отключения")</f>
        <v>Выключатель с защитой без управления и без тележки. Сработала уставка по наработке аварийного отключения</v>
      </c>
      <c r="S27" s="372"/>
      <c r="U27" s="773"/>
      <c r="V27" s="4"/>
      <c r="W27" s="773"/>
      <c r="X27" s="4"/>
    </row>
    <row r="28" spans="1:24">
      <c r="A28" t="str">
        <f>SUBSTITUTE($V$2,"\","|")&amp; "|FPTX"</f>
        <v>ZRU_OL1_sp|FPTX</v>
      </c>
      <c r="B28" t="s">
        <v>74</v>
      </c>
      <c r="F28" t="s">
        <v>72</v>
      </c>
      <c r="G28" t="s">
        <v>71</v>
      </c>
      <c r="H28">
        <v>0</v>
      </c>
      <c r="I28" t="s">
        <v>72</v>
      </c>
      <c r="J28" t="s">
        <v>69</v>
      </c>
      <c r="K28">
        <v>0</v>
      </c>
      <c r="M28" s="456">
        <v>1</v>
      </c>
      <c r="R28" t="str">
        <f>IF($U$2=TRUE,$W$2&amp;". Аварийно отключен","Аварийно отключен")</f>
        <v>Выключатель с защитой без управления и без тележки. Аварийно отключен</v>
      </c>
      <c r="S28" s="372"/>
      <c r="U28" s="773"/>
      <c r="V28" s="4"/>
      <c r="W28" s="773"/>
      <c r="X28" s="4"/>
    </row>
    <row r="29" spans="1:24">
      <c r="A29" s="4" t="str">
        <f>SUBSTITUTE($V$2,"\","|")&amp; "|FUPT"</f>
        <v>ZRU_OL1_sp|FUPT</v>
      </c>
      <c r="B29" s="4" t="s">
        <v>74</v>
      </c>
      <c r="F29" s="4" t="s">
        <v>72</v>
      </c>
      <c r="G29" s="4" t="s">
        <v>71</v>
      </c>
      <c r="H29" s="4">
        <v>0</v>
      </c>
      <c r="I29" s="4" t="s">
        <v>72</v>
      </c>
      <c r="J29" s="4" t="s">
        <v>69</v>
      </c>
      <c r="K29" s="4">
        <v>0</v>
      </c>
      <c r="M29" s="456">
        <v>1</v>
      </c>
      <c r="R29" t="str">
        <f>IF($U$2=TRUE,$W$2&amp;". Неопределенно положение аварийного отключения","Неопределенно положение аварийного отключения")</f>
        <v>Выключатель с защитой без управления и без тележки. Неопределенно положение аварийного отключения</v>
      </c>
      <c r="S29" s="372"/>
      <c r="U29" s="773"/>
      <c r="V29" s="4"/>
      <c r="W29" s="773"/>
      <c r="X29" s="4"/>
    </row>
    <row r="30" spans="1:24">
      <c r="A30" s="4" t="str">
        <f>SUBSTITUTE($V$2,"\","|")&amp; "|FDPT"</f>
        <v>ZRU_OL1_sp|FDPT</v>
      </c>
      <c r="B30" s="4" t="s">
        <v>74</v>
      </c>
      <c r="F30" s="4" t="s">
        <v>72</v>
      </c>
      <c r="G30" s="4" t="s">
        <v>71</v>
      </c>
      <c r="H30" s="4">
        <v>0</v>
      </c>
      <c r="I30" s="4" t="s">
        <v>72</v>
      </c>
      <c r="J30" s="4" t="s">
        <v>69</v>
      </c>
      <c r="K30" s="4">
        <v>0</v>
      </c>
      <c r="M30" s="456">
        <v>1</v>
      </c>
      <c r="R30" t="str">
        <f>IF($U$2=TRUE,$W$2&amp;". Двойное положение аварийного отключения","Двойное положение аварийного отключения")</f>
        <v>Выключатель с защитой без управления и без тележки. Двойное положение аварийного отключения</v>
      </c>
      <c r="S30" s="372"/>
      <c r="U30" s="773"/>
      <c r="V30" s="4"/>
      <c r="W30" s="773"/>
      <c r="X30" s="4"/>
    </row>
    <row r="31" spans="1:24">
      <c r="A31" s="4"/>
      <c r="B31" s="4"/>
      <c r="F31" s="4"/>
      <c r="G31" s="4"/>
      <c r="H31" s="4"/>
      <c r="I31" s="4"/>
      <c r="J31" s="4"/>
      <c r="K31" s="4"/>
      <c r="M31" s="4"/>
    </row>
    <row r="32" spans="1:24">
      <c r="A32" s="4"/>
      <c r="B32" s="4"/>
      <c r="F32" s="4"/>
      <c r="G32" s="4"/>
      <c r="H32" s="4"/>
      <c r="I32" s="4"/>
      <c r="J32" s="4"/>
      <c r="K32" s="4"/>
      <c r="M32" s="4"/>
    </row>
    <row r="33" spans="1:23">
      <c r="A33" s="4"/>
      <c r="B33" s="4"/>
      <c r="F33" s="4"/>
      <c r="G33" s="4"/>
      <c r="H33" s="4"/>
      <c r="I33" s="4"/>
      <c r="J33" s="4"/>
      <c r="K33" s="4"/>
      <c r="M33" s="4"/>
    </row>
    <row r="34" spans="1:23">
      <c r="A34" s="4"/>
      <c r="B34" s="4"/>
      <c r="F34" s="4"/>
      <c r="G34" s="4"/>
      <c r="H34" s="4"/>
      <c r="I34" s="4"/>
      <c r="J34" s="4"/>
      <c r="K34" s="4"/>
      <c r="M34" s="4"/>
    </row>
    <row r="35" spans="1:23">
      <c r="A35" s="4"/>
      <c r="B35" s="4"/>
      <c r="F35" s="4"/>
      <c r="G35" s="4"/>
      <c r="H35" s="4"/>
      <c r="I35" s="4"/>
      <c r="J35" s="4"/>
      <c r="K35" s="4"/>
      <c r="M35" s="4"/>
    </row>
    <row r="36" spans="1:23">
      <c r="A36" s="4"/>
      <c r="B36" s="4"/>
      <c r="F36" s="4"/>
      <c r="G36" s="4"/>
      <c r="H36" s="4"/>
      <c r="I36" s="4"/>
      <c r="J36" s="4"/>
      <c r="K36" s="4"/>
      <c r="M36" s="4"/>
    </row>
    <row r="37" spans="1:23">
      <c r="A37" s="4"/>
      <c r="B37" s="4"/>
      <c r="F37" s="4"/>
      <c r="G37" s="4"/>
      <c r="H37" s="4"/>
      <c r="I37" s="4"/>
      <c r="J37" s="4"/>
      <c r="K37" s="4"/>
      <c r="M37" s="4"/>
    </row>
    <row r="38" spans="1:23">
      <c r="A38" s="4"/>
      <c r="B38" s="4"/>
      <c r="F38" s="4"/>
      <c r="G38" s="4"/>
      <c r="H38" s="4"/>
      <c r="I38" s="4"/>
      <c r="J38" s="4"/>
      <c r="K38" s="4"/>
      <c r="M38" s="4"/>
    </row>
    <row r="39" spans="1:23">
      <c r="A39" s="4"/>
      <c r="B39" s="4"/>
      <c r="F39" s="4"/>
      <c r="G39" s="4"/>
      <c r="H39" s="4"/>
      <c r="I39" s="4"/>
      <c r="J39" s="4"/>
      <c r="K39" s="4"/>
      <c r="M39" s="4"/>
    </row>
    <row r="40" spans="1:23">
      <c r="A40" s="4"/>
      <c r="B40" s="4"/>
      <c r="F40" s="4"/>
      <c r="G40" s="4"/>
      <c r="H40" s="4"/>
      <c r="I40" s="4"/>
      <c r="J40" s="4"/>
      <c r="K40" s="4"/>
      <c r="M40" s="4"/>
      <c r="W40" s="4"/>
    </row>
    <row r="41" spans="1:23">
      <c r="A41" s="4"/>
      <c r="B41" s="4"/>
      <c r="F41" s="4"/>
      <c r="G41" s="4"/>
      <c r="H41" s="4"/>
      <c r="I41" s="4"/>
      <c r="J41" s="4"/>
      <c r="K41" s="4"/>
      <c r="M41" s="4"/>
      <c r="W41" s="4"/>
    </row>
    <row r="42" spans="1:23">
      <c r="W42" s="4"/>
    </row>
    <row r="43" spans="1:23">
      <c r="W43" s="4"/>
    </row>
    <row r="44" spans="1:23">
      <c r="W44" s="4"/>
    </row>
    <row r="45" spans="1:23">
      <c r="W45" s="4"/>
    </row>
    <row r="46" spans="1:23">
      <c r="W46" s="4"/>
    </row>
    <row r="47" spans="1:23">
      <c r="W47" s="4"/>
    </row>
    <row r="48" spans="1:23">
      <c r="W48" s="4"/>
    </row>
    <row r="49" spans="23:23">
      <c r="W49" s="4"/>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Лист22">
    <tabColor rgb="FF92D050"/>
  </sheetPr>
  <dimension ref="A1:AC49"/>
  <sheetViews>
    <sheetView topLeftCell="G1"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c r="A2" s="10"/>
      <c r="B2" s="10"/>
      <c r="F2" s="10"/>
      <c r="G2" s="10"/>
      <c r="H2" s="10"/>
      <c r="I2" s="10"/>
      <c r="J2" s="10"/>
      <c r="K2" s="10"/>
      <c r="M2" s="10"/>
      <c r="N2" s="10"/>
      <c r="O2" s="10"/>
      <c r="P2" s="10"/>
      <c r="Q2" s="10"/>
      <c r="R2" s="10"/>
      <c r="U2" s="74" t="b">
        <f>Настройки!$M$34</f>
        <v>1</v>
      </c>
      <c r="V2" s="73" t="s">
        <v>792</v>
      </c>
      <c r="W2" s="537" t="s">
        <v>332</v>
      </c>
      <c r="X2" s="73"/>
      <c r="Y2" s="73"/>
      <c r="Z2" s="73"/>
      <c r="AA2" s="74"/>
      <c r="AB2" s="74"/>
      <c r="AC2" s="74"/>
    </row>
    <row r="3" spans="1:29">
      <c r="A3" t="str">
        <f>SUBSTITUTE($V$2,"\","|")&amp; "|ITON"</f>
        <v>ZRU_SR_TEL4|ITON</v>
      </c>
      <c r="B3" t="s">
        <v>74</v>
      </c>
      <c r="F3" t="s">
        <v>72</v>
      </c>
      <c r="G3" t="s">
        <v>71</v>
      </c>
      <c r="H3">
        <v>0</v>
      </c>
      <c r="I3" t="s">
        <v>72</v>
      </c>
      <c r="J3" t="s">
        <v>69</v>
      </c>
      <c r="K3">
        <v>0</v>
      </c>
      <c r="M3">
        <v>1</v>
      </c>
      <c r="R3" t="str">
        <f>IF($U$2=TRUE,$W$2&amp;". Входное значение Вкачен","Входное значение Вкачен")</f>
        <v>BMRZ. Входное значение Вкачен</v>
      </c>
      <c r="S3" s="372"/>
      <c r="U3" s="773"/>
      <c r="V3" s="4"/>
      <c r="W3" s="773"/>
      <c r="X3" s="4"/>
    </row>
    <row r="4" spans="1:29">
      <c r="A4" t="str">
        <f>SUBSTITUTE($V$2,"\","|")&amp; "|ITOF"</f>
        <v>ZRU_SR_TEL4|ITOF</v>
      </c>
      <c r="B4" t="s">
        <v>74</v>
      </c>
      <c r="F4" t="s">
        <v>72</v>
      </c>
      <c r="G4" t="s">
        <v>71</v>
      </c>
      <c r="H4">
        <v>0</v>
      </c>
      <c r="I4" t="s">
        <v>72</v>
      </c>
      <c r="J4" t="s">
        <v>69</v>
      </c>
      <c r="K4">
        <v>0</v>
      </c>
      <c r="M4">
        <v>1</v>
      </c>
      <c r="R4" t="str">
        <f>IF($U$2=TRUE,$W$2&amp;". Входное значение Выкачен","Входное значение Выкачен")</f>
        <v>BMRZ. Входное значение Выкачен</v>
      </c>
      <c r="S4" s="372"/>
      <c r="U4" s="773"/>
      <c r="V4" s="4"/>
      <c r="W4" s="773"/>
      <c r="X4" s="4"/>
    </row>
    <row r="5" spans="1:29">
      <c r="A5" t="str">
        <f>SUBSTITUTE($V$2,"\","|")&amp; "|IFXX"</f>
        <v>ZRU_SR_TEL4|IFXX</v>
      </c>
      <c r="B5" t="s">
        <v>74</v>
      </c>
      <c r="F5" t="s">
        <v>72</v>
      </c>
      <c r="G5" t="s">
        <v>71</v>
      </c>
      <c r="H5">
        <v>0</v>
      </c>
      <c r="I5" t="s">
        <v>72</v>
      </c>
      <c r="J5" t="s">
        <v>69</v>
      </c>
      <c r="K5">
        <v>0</v>
      </c>
      <c r="M5">
        <v>1</v>
      </c>
      <c r="R5" t="str">
        <f>IF($U$2=TRUE,$W$2&amp;". Входное значение Неисправность","Входное значение Неисправность")</f>
        <v>BMRZ. Входное значение Неисправность</v>
      </c>
      <c r="S5" s="372"/>
      <c r="U5" s="773"/>
      <c r="V5" s="4"/>
      <c r="W5" s="773"/>
      <c r="X5" s="4"/>
    </row>
    <row r="6" spans="1:29">
      <c r="A6" t="str">
        <f>SUBSTITUTE($V$2,"\","|")&amp; "|DTON"</f>
        <v>ZRU_SR_TEL4|DTON</v>
      </c>
      <c r="B6" t="s">
        <v>74</v>
      </c>
      <c r="F6" t="s">
        <v>72</v>
      </c>
      <c r="G6" t="s">
        <v>71</v>
      </c>
      <c r="H6">
        <v>0</v>
      </c>
      <c r="I6" t="s">
        <v>72</v>
      </c>
      <c r="J6" t="s">
        <v>69</v>
      </c>
      <c r="K6">
        <v>0</v>
      </c>
      <c r="M6">
        <v>1</v>
      </c>
      <c r="R6" t="str">
        <f>IF($U$2=TRUE,$W$2&amp;". Недостоверное Входное значение Вкачен","Недостоверное Входное значение Вкачен")</f>
        <v>BMRZ. Недостоверное Входное значение Вкачен</v>
      </c>
      <c r="S6" s="372"/>
      <c r="U6" s="773"/>
      <c r="V6" s="4"/>
      <c r="W6" s="773"/>
      <c r="X6" s="4"/>
    </row>
    <row r="7" spans="1:29">
      <c r="A7" t="str">
        <f>SUBSTITUTE($V$2,"\","|")&amp; "|DTOF"</f>
        <v>ZRU_SR_TEL4|DTOF</v>
      </c>
      <c r="B7" t="s">
        <v>74</v>
      </c>
      <c r="F7" t="s">
        <v>72</v>
      </c>
      <c r="G7" t="s">
        <v>71</v>
      </c>
      <c r="H7">
        <v>0</v>
      </c>
      <c r="I7" t="s">
        <v>72</v>
      </c>
      <c r="J7" t="s">
        <v>69</v>
      </c>
      <c r="K7">
        <v>0</v>
      </c>
      <c r="M7">
        <v>1</v>
      </c>
      <c r="R7" t="str">
        <f>IF($U$2=TRUE,$W$2&amp;". Недостоверное Входное значение Выкачен","Недостоверное Входное значение Выкачен")</f>
        <v>BMRZ. Недостоверное Входное значение Выкачен</v>
      </c>
      <c r="S7" s="372"/>
      <c r="U7" s="773"/>
      <c r="V7" s="4"/>
      <c r="W7" s="773"/>
      <c r="X7" s="4"/>
    </row>
    <row r="8" spans="1:29">
      <c r="A8" t="str">
        <f>SUBSTITUTE($V$2,"\","|")&amp; "|DFXX"</f>
        <v>ZRU_SR_TEL4|DFXX</v>
      </c>
      <c r="B8" t="s">
        <v>74</v>
      </c>
      <c r="F8" t="s">
        <v>72</v>
      </c>
      <c r="G8" t="s">
        <v>71</v>
      </c>
      <c r="H8">
        <v>0</v>
      </c>
      <c r="I8" t="s">
        <v>72</v>
      </c>
      <c r="J8" t="s">
        <v>69</v>
      </c>
      <c r="K8">
        <v>0</v>
      </c>
      <c r="M8">
        <v>1</v>
      </c>
      <c r="R8" t="str">
        <f>IF($U$2=TRUE,$W$2&amp;". Недостоверное Входное значение Неисправность","Недостоверное Входное значение Неисправность")</f>
        <v>BMRZ. Недостоверное Входное значение Неисправность</v>
      </c>
      <c r="S8" s="372"/>
      <c r="U8" s="773"/>
      <c r="V8" s="4"/>
      <c r="W8" s="773"/>
      <c r="X8" s="4"/>
    </row>
    <row r="9" spans="1:29">
      <c r="A9" t="str">
        <f>SUBSTITUTE($V$2,"\","|")&amp; "|XTON"</f>
        <v>ZRU_SR_TEL4|XTON</v>
      </c>
      <c r="B9" t="s">
        <v>74</v>
      </c>
      <c r="F9" t="s">
        <v>72</v>
      </c>
      <c r="G9" t="s">
        <v>71</v>
      </c>
      <c r="H9">
        <v>0</v>
      </c>
      <c r="I9" t="s">
        <v>72</v>
      </c>
      <c r="J9" t="s">
        <v>69</v>
      </c>
      <c r="K9">
        <v>0</v>
      </c>
      <c r="M9">
        <v>1</v>
      </c>
      <c r="R9" t="str">
        <f>IF($U$2=TRUE,$W$2&amp;". Выходное значение Вкачен","Выходное значение Вкачен")</f>
        <v>BMRZ. Выходное значение Вкачен</v>
      </c>
      <c r="S9" s="372"/>
      <c r="U9" s="773"/>
      <c r="V9" s="4"/>
      <c r="W9" s="773"/>
      <c r="X9" s="4"/>
    </row>
    <row r="10" spans="1:29">
      <c r="A10" t="str">
        <f>SUBSTITUTE($V$2,"\","|")&amp; "|XTOF"</f>
        <v>ZRU_SR_TEL4|XTOF</v>
      </c>
      <c r="B10" t="s">
        <v>74</v>
      </c>
      <c r="F10" t="s">
        <v>72</v>
      </c>
      <c r="G10" t="s">
        <v>71</v>
      </c>
      <c r="H10">
        <v>0</v>
      </c>
      <c r="I10" t="s">
        <v>72</v>
      </c>
      <c r="J10" t="s">
        <v>69</v>
      </c>
      <c r="K10">
        <v>0</v>
      </c>
      <c r="M10">
        <v>1</v>
      </c>
      <c r="R10" t="str">
        <f>IF($U$2=TRUE,$W$2&amp;". Выходное значение Выкачен","Выходное значение Выкачен")</f>
        <v>BMRZ. Выходное значение Выкачен</v>
      </c>
      <c r="S10" s="372"/>
      <c r="U10" s="773"/>
      <c r="V10" s="4"/>
      <c r="W10" s="773"/>
      <c r="X10" s="4"/>
    </row>
    <row r="11" spans="1:29">
      <c r="A11" t="str">
        <f>SUBSTITUTE($V$2,"\","|")&amp; "|XRPX"</f>
        <v>ZRU_SR_TEL4|XRPX</v>
      </c>
      <c r="B11" t="s">
        <v>74</v>
      </c>
      <c r="F11" t="s">
        <v>72</v>
      </c>
      <c r="G11" t="s">
        <v>71</v>
      </c>
      <c r="H11">
        <v>0</v>
      </c>
      <c r="I11" t="s">
        <v>72</v>
      </c>
      <c r="J11" t="s">
        <v>69</v>
      </c>
      <c r="K11">
        <v>0</v>
      </c>
      <c r="M11">
        <v>1</v>
      </c>
      <c r="R11" t="str">
        <f>IF($U$2=TRUE,$W$2&amp;". Выходное значение Выведен в ремонт","Выходное значение Выведен в ремонт")</f>
        <v>BMRZ. Выходное значение Выведен в ремонт</v>
      </c>
      <c r="S11" s="372"/>
      <c r="U11" s="773"/>
      <c r="V11" s="4"/>
      <c r="W11" s="773"/>
      <c r="X11" s="4"/>
    </row>
    <row r="12" spans="1:29">
      <c r="A12" t="str">
        <f>SUBSTITUTE($V$2,"\","|")&amp; "|CRPX"</f>
        <v>ZRU_SR_TEL4|CRPX</v>
      </c>
      <c r="B12" t="s">
        <v>74</v>
      </c>
      <c r="F12" t="s">
        <v>72</v>
      </c>
      <c r="G12" t="s">
        <v>71</v>
      </c>
      <c r="H12">
        <v>0</v>
      </c>
      <c r="I12" t="s">
        <v>76</v>
      </c>
      <c r="J12" t="s">
        <v>73</v>
      </c>
      <c r="K12">
        <v>0</v>
      </c>
      <c r="M12">
        <v>1</v>
      </c>
      <c r="R12" t="str">
        <f>IF($U$2=TRUE,$W$2&amp;". Команда оператора Вывести в ремонт","Команда оператора Вывести в ремонт")</f>
        <v>BMRZ. Команда оператора Вывести в ремонт</v>
      </c>
      <c r="S12" s="372"/>
      <c r="U12" s="773"/>
      <c r="V12" s="4"/>
      <c r="W12" s="773"/>
      <c r="X12" s="4"/>
    </row>
    <row r="13" spans="1:29">
      <c r="A13" t="str">
        <f>SUBSTITUTE($V$2,"\","|")&amp; "|FXXX"</f>
        <v>ZRU_SR_TEL4|FXXX</v>
      </c>
      <c r="B13" t="s">
        <v>74</v>
      </c>
      <c r="F13" t="s">
        <v>72</v>
      </c>
      <c r="G13" t="s">
        <v>71</v>
      </c>
      <c r="H13">
        <v>0</v>
      </c>
      <c r="I13" t="s">
        <v>72</v>
      </c>
      <c r="J13" t="s">
        <v>69</v>
      </c>
      <c r="K13">
        <v>0</v>
      </c>
      <c r="M13">
        <v>1</v>
      </c>
      <c r="R13" t="str">
        <f>IF($U$2=TRUE,$W$2&amp;". Обобщенная неисправность","Обобщенная неисправность")</f>
        <v>BMRZ. Обобщенная неисправность</v>
      </c>
      <c r="S13" s="372"/>
      <c r="U13" s="773"/>
      <c r="V13" s="4"/>
      <c r="W13" s="773"/>
      <c r="X13" s="4"/>
    </row>
    <row r="14" spans="1:29">
      <c r="A14" t="str">
        <f>SUBSTITUTE($V$2,"\","|")&amp; "|FUTX"</f>
        <v>ZRU_SR_TEL4|FUTX</v>
      </c>
      <c r="B14" t="s">
        <v>74</v>
      </c>
      <c r="F14" t="s">
        <v>72</v>
      </c>
      <c r="G14" t="s">
        <v>71</v>
      </c>
      <c r="H14">
        <v>0</v>
      </c>
      <c r="I14" t="s">
        <v>72</v>
      </c>
      <c r="J14" t="s">
        <v>69</v>
      </c>
      <c r="K14">
        <v>0</v>
      </c>
      <c r="M14">
        <v>1</v>
      </c>
      <c r="R14" t="str">
        <f>IF($U$2=TRUE,$W$2&amp;". Неопределенно положение ","Неопределенно положение ")</f>
        <v xml:space="preserve">BMRZ. Неопределенно положение </v>
      </c>
      <c r="S14" s="372"/>
      <c r="U14" s="773"/>
      <c r="V14" s="4"/>
      <c r="W14" s="773"/>
      <c r="X14" s="4"/>
    </row>
    <row r="15" spans="1:29">
      <c r="A15" t="str">
        <f>SUBSTITUTE($V$2,"\","|")&amp; "|FDTX"</f>
        <v>ZRU_SR_TEL4|FDTX</v>
      </c>
      <c r="B15" t="s">
        <v>74</v>
      </c>
      <c r="F15" t="s">
        <v>72</v>
      </c>
      <c r="G15" t="s">
        <v>71</v>
      </c>
      <c r="H15">
        <v>0</v>
      </c>
      <c r="I15" t="s">
        <v>72</v>
      </c>
      <c r="J15" t="s">
        <v>69</v>
      </c>
      <c r="K15">
        <v>0</v>
      </c>
      <c r="M15">
        <v>1</v>
      </c>
      <c r="R15" t="str">
        <f>IF($U$2=TRUE,$W$2&amp;". Двойное положение","Двойное положение")</f>
        <v>BMRZ. Двойное положение</v>
      </c>
      <c r="S15" s="372"/>
      <c r="U15" s="773"/>
      <c r="V15" s="4"/>
      <c r="W15" s="773"/>
      <c r="X15" s="4"/>
    </row>
    <row r="16" spans="1:29">
      <c r="A16" t="str">
        <f>SUBSTITUTE($V$2,"\","|")&amp; "|XRON"</f>
        <v>ZRU_SR_TEL4|XRON</v>
      </c>
      <c r="B16" t="s">
        <v>78</v>
      </c>
      <c r="F16">
        <v>0</v>
      </c>
      <c r="G16" t="s">
        <v>71</v>
      </c>
      <c r="H16">
        <v>0</v>
      </c>
      <c r="I16" t="s">
        <v>76</v>
      </c>
      <c r="J16" t="s">
        <v>73</v>
      </c>
      <c r="K16">
        <v>0</v>
      </c>
      <c r="M16">
        <v>1</v>
      </c>
      <c r="R16" t="str">
        <f>IF($U$2=TRUE,$W$2&amp;". Наработка концевика Вкачен","Наработка концевика Вкачен")</f>
        <v>BMRZ. Наработка концевика Вкачен</v>
      </c>
      <c r="S16" s="372"/>
      <c r="U16" s="773"/>
      <c r="V16" s="4"/>
      <c r="W16" s="773"/>
      <c r="X16" s="4"/>
    </row>
    <row r="17" spans="1:24">
      <c r="A17" t="str">
        <f>SUBSTITUTE($V$2,"\","|")&amp; "|XROF"</f>
        <v>ZRU_SR_TEL4|XROF</v>
      </c>
      <c r="B17" t="s">
        <v>78</v>
      </c>
      <c r="F17">
        <v>0</v>
      </c>
      <c r="G17" t="s">
        <v>71</v>
      </c>
      <c r="H17">
        <v>0</v>
      </c>
      <c r="I17" t="s">
        <v>76</v>
      </c>
      <c r="J17" t="s">
        <v>73</v>
      </c>
      <c r="K17">
        <v>0</v>
      </c>
      <c r="M17">
        <v>1</v>
      </c>
      <c r="R17" t="str">
        <f>IF($U$2=TRUE,$W$2&amp;". Наработка концевика Выкачен","Наработка концевика Выкачен")</f>
        <v>BMRZ. Наработка концевика Выкачен</v>
      </c>
      <c r="S17" s="372"/>
      <c r="U17" s="773"/>
      <c r="V17" s="4"/>
      <c r="W17" s="773"/>
      <c r="X17" s="4"/>
    </row>
    <row r="18" spans="1:24">
      <c r="A18" t="str">
        <f>SUBSTITUTE($V$2,"\","|")&amp; "|CRRX"</f>
        <v>ZRU_SR_TEL4|CRRX</v>
      </c>
      <c r="B18" t="s">
        <v>74</v>
      </c>
      <c r="F18" t="s">
        <v>72</v>
      </c>
      <c r="G18" t="s">
        <v>71</v>
      </c>
      <c r="H18">
        <v>0</v>
      </c>
      <c r="I18" t="s">
        <v>76</v>
      </c>
      <c r="J18" t="s">
        <v>73</v>
      </c>
      <c r="K18">
        <v>0</v>
      </c>
      <c r="M18">
        <v>1</v>
      </c>
      <c r="R18" t="str">
        <f>IF($U$2=TRUE,$W$2&amp;". Команда сброс наработки","Команда сброс наработки")</f>
        <v>BMRZ. Команда сброс наработки</v>
      </c>
      <c r="S18" s="372"/>
      <c r="U18" s="773"/>
      <c r="V18" s="4"/>
      <c r="W18" s="773"/>
      <c r="X18" s="4"/>
    </row>
    <row r="19" spans="1:24">
      <c r="A19" t="str">
        <f>SUBSTITUTE($V$2,"\","|")&amp; "|SRQX"</f>
        <v>ZRU_SR_TEL4|SRQX</v>
      </c>
      <c r="B19" t="s">
        <v>78</v>
      </c>
      <c r="F19">
        <v>1500</v>
      </c>
      <c r="G19" t="s">
        <v>71</v>
      </c>
      <c r="H19">
        <v>0</v>
      </c>
      <c r="I19" t="s">
        <v>76</v>
      </c>
      <c r="J19" t="s">
        <v>73</v>
      </c>
      <c r="K19">
        <v>0</v>
      </c>
      <c r="M19">
        <v>1</v>
      </c>
      <c r="R19" t="str">
        <f>IF($U$2=TRUE,$W$2&amp;". Уставка по наработке концевиков","Уставка по наработке концевиков")</f>
        <v>BMRZ. Уставка по наработке концевиков</v>
      </c>
      <c r="S19" s="372"/>
      <c r="U19" s="773"/>
      <c r="V19" s="4"/>
      <c r="W19" s="773"/>
      <c r="X19" s="4"/>
    </row>
    <row r="20" spans="1:24">
      <c r="A20" t="str">
        <f>SUBSTITUTE($V$2,"\","|")&amp; "|FRQX"</f>
        <v>ZRU_SR_TEL4|FRQX</v>
      </c>
      <c r="B20" t="s">
        <v>74</v>
      </c>
      <c r="F20" t="s">
        <v>72</v>
      </c>
      <c r="G20" t="s">
        <v>71</v>
      </c>
      <c r="H20">
        <v>0</v>
      </c>
      <c r="I20" t="s">
        <v>72</v>
      </c>
      <c r="J20" t="s">
        <v>69</v>
      </c>
      <c r="K20">
        <v>0</v>
      </c>
      <c r="M20">
        <v>1</v>
      </c>
      <c r="R20" t="str">
        <f>IF($U$2=TRUE,$W$2&amp;". Сработала уставка по наработке концевиков","Сработала уставка по наработке концевиков")</f>
        <v>BMRZ. Сработала уставка по наработке концевиков</v>
      </c>
      <c r="S20" s="372"/>
      <c r="U20" s="773"/>
      <c r="V20" s="4"/>
      <c r="W20" s="773"/>
      <c r="X20" s="4"/>
    </row>
    <row r="23" spans="1:24">
      <c r="A23" s="4"/>
      <c r="B23" s="4"/>
      <c r="F23" s="4"/>
      <c r="G23" s="4"/>
      <c r="H23" s="4"/>
      <c r="I23" s="4"/>
      <c r="J23" s="4"/>
      <c r="K23" s="4"/>
      <c r="M23" s="4"/>
    </row>
    <row r="29" spans="1:24">
      <c r="A29" s="4"/>
      <c r="B29" s="4"/>
      <c r="F29" s="4"/>
      <c r="G29" s="4"/>
      <c r="H29" s="4"/>
      <c r="I29" s="4"/>
      <c r="J29" s="4"/>
      <c r="K29" s="4"/>
      <c r="M29" s="4"/>
    </row>
    <row r="30" spans="1:24">
      <c r="A30" s="4"/>
      <c r="B30" s="4"/>
      <c r="F30" s="4"/>
      <c r="G30" s="4"/>
      <c r="H30" s="4"/>
      <c r="I30" s="4"/>
      <c r="J30" s="4"/>
      <c r="K30" s="4"/>
      <c r="M30" s="4"/>
    </row>
    <row r="31" spans="1:24">
      <c r="A31" s="4"/>
      <c r="B31" s="4"/>
      <c r="F31" s="4"/>
      <c r="G31" s="4"/>
      <c r="H31" s="4"/>
      <c r="I31" s="4"/>
      <c r="J31" s="4"/>
      <c r="K31" s="4"/>
      <c r="M31" s="4"/>
    </row>
    <row r="32" spans="1:24">
      <c r="A32" s="4"/>
      <c r="B32" s="4"/>
      <c r="F32" s="4"/>
      <c r="G32" s="4"/>
      <c r="H32" s="4"/>
      <c r="I32" s="4"/>
      <c r="J32" s="4"/>
      <c r="K32" s="4"/>
      <c r="M32" s="4"/>
    </row>
    <row r="33" spans="1:23">
      <c r="A33" s="4"/>
      <c r="B33" s="4"/>
      <c r="F33" s="4"/>
      <c r="G33" s="4"/>
      <c r="H33" s="4"/>
      <c r="I33" s="4"/>
      <c r="J33" s="4"/>
      <c r="K33" s="4"/>
      <c r="M33" s="4"/>
    </row>
    <row r="34" spans="1:23">
      <c r="A34" s="4"/>
      <c r="B34" s="4"/>
      <c r="F34" s="4"/>
      <c r="G34" s="4"/>
      <c r="H34" s="4"/>
      <c r="I34" s="4"/>
      <c r="J34" s="4"/>
      <c r="K34" s="4"/>
      <c r="M34" s="4"/>
    </row>
    <row r="35" spans="1:23">
      <c r="A35" s="4"/>
      <c r="B35" s="4"/>
      <c r="F35" s="4"/>
      <c r="G35" s="4"/>
      <c r="H35" s="4"/>
      <c r="I35" s="4"/>
      <c r="J35" s="4"/>
      <c r="K35" s="4"/>
      <c r="M35" s="4"/>
    </row>
    <row r="36" spans="1:23">
      <c r="A36" s="4"/>
      <c r="B36" s="4"/>
      <c r="F36" s="4"/>
      <c r="G36" s="4"/>
      <c r="H36" s="4"/>
      <c r="I36" s="4"/>
      <c r="J36" s="4"/>
      <c r="K36" s="4"/>
      <c r="M36" s="4"/>
    </row>
    <row r="37" spans="1:23">
      <c r="A37" s="4"/>
      <c r="B37" s="4"/>
      <c r="F37" s="4"/>
      <c r="G37" s="4"/>
      <c r="H37" s="4"/>
      <c r="I37" s="4"/>
      <c r="J37" s="4"/>
      <c r="K37" s="4"/>
      <c r="M37" s="4"/>
    </row>
    <row r="38" spans="1:23">
      <c r="A38" s="4"/>
      <c r="B38" s="4"/>
      <c r="F38" s="4"/>
      <c r="G38" s="4"/>
      <c r="H38" s="4"/>
      <c r="I38" s="4"/>
      <c r="J38" s="4"/>
      <c r="K38" s="4"/>
      <c r="M38" s="4"/>
    </row>
    <row r="39" spans="1:23">
      <c r="A39" s="4"/>
      <c r="B39" s="4"/>
      <c r="F39" s="4"/>
      <c r="G39" s="4"/>
      <c r="H39" s="4"/>
      <c r="I39" s="4"/>
      <c r="J39" s="4"/>
      <c r="K39" s="4"/>
      <c r="M39" s="4"/>
    </row>
    <row r="40" spans="1:23">
      <c r="A40" s="4"/>
      <c r="B40" s="4"/>
      <c r="F40" s="4"/>
      <c r="G40" s="4"/>
      <c r="H40" s="4"/>
      <c r="I40" s="4"/>
      <c r="J40" s="4"/>
      <c r="K40" s="4"/>
      <c r="M40" s="4"/>
      <c r="W40" s="4"/>
    </row>
    <row r="41" spans="1:23">
      <c r="A41" s="4"/>
      <c r="B41" s="4"/>
      <c r="F41" s="4"/>
      <c r="G41" s="4"/>
      <c r="H41" s="4"/>
      <c r="I41" s="4"/>
      <c r="J41" s="4"/>
      <c r="K41" s="4"/>
      <c r="M41" s="4"/>
      <c r="W41" s="4"/>
    </row>
    <row r="42" spans="1:23">
      <c r="W42" s="4"/>
    </row>
    <row r="43" spans="1:23">
      <c r="W43" s="4"/>
    </row>
    <row r="44" spans="1:23">
      <c r="W44" s="4"/>
    </row>
    <row r="45" spans="1:23">
      <c r="W45" s="4"/>
    </row>
    <row r="46" spans="1:23">
      <c r="W46" s="4"/>
    </row>
    <row r="47" spans="1:23">
      <c r="W47" s="4"/>
    </row>
    <row r="48" spans="1:23">
      <c r="W48" s="4"/>
    </row>
    <row r="49" spans="23:23">
      <c r="W49" s="4"/>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Лист23">
    <tabColor rgb="FF92D050"/>
  </sheetPr>
  <dimension ref="A1:AC49"/>
  <sheetViews>
    <sheetView topLeftCell="I1"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c r="A2" s="10"/>
      <c r="B2" s="10"/>
      <c r="F2" s="10"/>
      <c r="G2" s="10"/>
      <c r="H2" s="10"/>
      <c r="I2" s="10"/>
      <c r="J2" s="10"/>
      <c r="K2" s="10"/>
      <c r="M2" s="10"/>
      <c r="N2" s="10"/>
      <c r="O2" s="10"/>
      <c r="P2" s="10"/>
      <c r="Q2" s="10"/>
      <c r="R2" s="10"/>
      <c r="U2" s="74" t="b">
        <f>Настройки!$M$34</f>
        <v>1</v>
      </c>
      <c r="V2" s="73" t="s">
        <v>244</v>
      </c>
      <c r="W2" s="537" t="s">
        <v>762</v>
      </c>
      <c r="X2" s="73">
        <v>0</v>
      </c>
      <c r="Y2" s="73"/>
      <c r="Z2" s="73">
        <v>5</v>
      </c>
      <c r="AA2" s="74">
        <v>20</v>
      </c>
      <c r="AB2" s="74"/>
      <c r="AC2" s="74"/>
    </row>
    <row r="3" spans="1:29">
      <c r="A3" t="str">
        <f>SUBSTITUTE($V$2,"\","|")&amp;"|BVLS"</f>
        <v>KTP_T_v_KTP|BVLS</v>
      </c>
      <c r="B3" t="s">
        <v>74</v>
      </c>
      <c r="F3" t="s">
        <v>72</v>
      </c>
      <c r="G3" t="s">
        <v>71</v>
      </c>
      <c r="H3">
        <v>0</v>
      </c>
      <c r="I3" t="s">
        <v>72</v>
      </c>
      <c r="J3" t="s">
        <v>73</v>
      </c>
      <c r="K3">
        <v>0</v>
      </c>
      <c r="M3">
        <v>1</v>
      </c>
      <c r="R3" t="str">
        <f>IF($U$2=TRUE,$W$2&amp;". Блокировка","Блокировка")</f>
        <v>Аналоговый датчик FB. Блокировка</v>
      </c>
      <c r="S3" s="372"/>
      <c r="U3" s="773"/>
      <c r="V3" s="4"/>
      <c r="W3" s="773"/>
      <c r="X3" s="4"/>
    </row>
    <row r="4" spans="1:29">
      <c r="A4" t="str">
        <f>SUBSTITUTE($V$2,"\","|")&amp;"|CDAX"</f>
        <v>KTP_T_v_KTP|CDAX</v>
      </c>
      <c r="B4" t="s">
        <v>74</v>
      </c>
      <c r="F4" t="s">
        <v>72</v>
      </c>
      <c r="G4" t="s">
        <v>71</v>
      </c>
      <c r="H4">
        <v>0</v>
      </c>
      <c r="I4" t="s">
        <v>76</v>
      </c>
      <c r="J4" t="s">
        <v>73</v>
      </c>
      <c r="K4">
        <v>0</v>
      </c>
      <c r="M4">
        <v>1</v>
      </c>
      <c r="R4" t="str">
        <f>IF($U$2=TRUE,$W$2&amp;". Команда вывести из алгоритма","Команда вывести из алгоритма")</f>
        <v>Аналоговый датчик FB. Команда вывести из алгоритма</v>
      </c>
      <c r="S4" s="372"/>
      <c r="U4" s="773"/>
      <c r="V4" s="4"/>
      <c r="W4" s="773"/>
      <c r="X4" s="4"/>
    </row>
    <row r="5" spans="1:29">
      <c r="A5" t="str">
        <f>SUBSTITUTE($V$2,"\","|")&amp;"|CFTX"</f>
        <v>KTP_T_v_KTP|CFTX</v>
      </c>
      <c r="B5" t="s">
        <v>74</v>
      </c>
      <c r="F5" t="s">
        <v>72</v>
      </c>
      <c r="G5" t="s">
        <v>71</v>
      </c>
      <c r="H5">
        <v>0</v>
      </c>
      <c r="I5" t="s">
        <v>76</v>
      </c>
      <c r="J5" t="s">
        <v>73</v>
      </c>
      <c r="K5">
        <v>0</v>
      </c>
      <c r="M5">
        <v>1</v>
      </c>
      <c r="R5" t="str">
        <f>IF($U$2=TRUE,$W$2&amp;". Режим фильтрации","Режим фильтрации")</f>
        <v>Аналоговый датчик FB. Режим фильтрации</v>
      </c>
      <c r="S5" s="372"/>
      <c r="U5" s="773"/>
      <c r="V5" s="4"/>
      <c r="W5" s="773"/>
      <c r="X5" s="4"/>
    </row>
    <row r="6" spans="1:29">
      <c r="A6" t="str">
        <f>SUBSTITUTE($V$2,"\","|")&amp;"|CIMX"</f>
        <v>KTP_T_v_KTP|CIMX</v>
      </c>
      <c r="B6" t="s">
        <v>74</v>
      </c>
      <c r="F6" t="s">
        <v>72</v>
      </c>
      <c r="G6" t="s">
        <v>71</v>
      </c>
      <c r="H6">
        <v>0</v>
      </c>
      <c r="I6" t="s">
        <v>76</v>
      </c>
      <c r="J6" t="s">
        <v>73</v>
      </c>
      <c r="K6">
        <v>0</v>
      </c>
      <c r="M6">
        <v>1</v>
      </c>
      <c r="R6" t="str">
        <f>IF($U$2=TRUE,$W$2&amp;". Команда имитация","Команда имитация")</f>
        <v>Аналоговый датчик FB. Команда имитация</v>
      </c>
      <c r="S6" s="372"/>
      <c r="U6" s="773"/>
      <c r="V6" s="4"/>
      <c r="W6" s="773"/>
      <c r="X6" s="4"/>
    </row>
    <row r="7" spans="1:29">
      <c r="A7" t="str">
        <f>SUBSTITUTE($V$2,"\","|")&amp;"|CRPX"</f>
        <v>KTP_T_v_KTP|CRPX</v>
      </c>
      <c r="B7" t="s">
        <v>74</v>
      </c>
      <c r="F7" t="s">
        <v>72</v>
      </c>
      <c r="G7" t="s">
        <v>71</v>
      </c>
      <c r="H7">
        <v>0</v>
      </c>
      <c r="I7" t="s">
        <v>76</v>
      </c>
      <c r="J7" t="s">
        <v>73</v>
      </c>
      <c r="K7">
        <v>0</v>
      </c>
      <c r="M7">
        <v>1</v>
      </c>
      <c r="R7" t="str">
        <f>IF($U$2=TRUE,$W$2&amp;". Команда ремонт","Команда ремонт")</f>
        <v>Аналоговый датчик FB. Команда ремонт</v>
      </c>
      <c r="S7" s="372"/>
      <c r="U7" s="773"/>
      <c r="V7" s="4"/>
      <c r="W7" s="773"/>
      <c r="X7" s="4"/>
    </row>
    <row r="8" spans="1:29">
      <c r="A8" t="str">
        <f>SUBSTITUTE($V$2,"\","|")&amp;"|DVXX"</f>
        <v>KTP_T_v_KTP|DVXX</v>
      </c>
      <c r="B8" t="s">
        <v>74</v>
      </c>
      <c r="F8" t="s">
        <v>72</v>
      </c>
      <c r="G8" t="s">
        <v>71</v>
      </c>
      <c r="H8">
        <v>0</v>
      </c>
      <c r="I8" t="s">
        <v>72</v>
      </c>
      <c r="J8" t="s">
        <v>69</v>
      </c>
      <c r="K8">
        <v>0</v>
      </c>
      <c r="M8">
        <v>1</v>
      </c>
      <c r="R8" t="str">
        <f>IF($U$2=TRUE,$W$2&amp;". Недостоверное входное значение","Недостоверное входное значение")</f>
        <v>Аналоговый датчик FB. Недостоверное входное значение</v>
      </c>
      <c r="S8" s="372"/>
      <c r="U8" s="773"/>
      <c r="V8" s="4"/>
      <c r="W8" s="773"/>
      <c r="X8" s="4"/>
    </row>
    <row r="9" spans="1:29">
      <c r="A9" t="str">
        <f>SUBSTITUTE($V$2,"\","|")&amp;"|FXXX"</f>
        <v>KTP_T_v_KTP|FXXX</v>
      </c>
      <c r="B9" t="s">
        <v>74</v>
      </c>
      <c r="F9" t="s">
        <v>72</v>
      </c>
      <c r="G9" t="s">
        <v>71</v>
      </c>
      <c r="H9">
        <v>0</v>
      </c>
      <c r="I9" t="s">
        <v>72</v>
      </c>
      <c r="J9" t="s">
        <v>69</v>
      </c>
      <c r="K9">
        <v>0</v>
      </c>
      <c r="M9">
        <v>1</v>
      </c>
      <c r="R9" t="str">
        <f>IF($U$2=TRUE,$W$2&amp;". Недостоверност обобщенная","Недостоверност обобщенная")</f>
        <v>Аналоговый датчик FB. Недостоверност обобщенная</v>
      </c>
      <c r="S9" s="372"/>
      <c r="U9" s="773"/>
      <c r="V9" s="4"/>
      <c r="W9" s="773"/>
      <c r="X9" s="4"/>
    </row>
    <row r="10" spans="1:29">
      <c r="A10" t="str">
        <f>SUBSTITUTE($V$2,"\","|")&amp;"|IVXX"</f>
        <v>KTP_T_v_KTP|IVXX</v>
      </c>
      <c r="B10" t="s">
        <v>74</v>
      </c>
      <c r="F10" t="s">
        <v>72</v>
      </c>
      <c r="G10" t="s">
        <v>71</v>
      </c>
      <c r="H10">
        <v>0</v>
      </c>
      <c r="I10" t="s">
        <v>72</v>
      </c>
      <c r="J10" t="s">
        <v>69</v>
      </c>
      <c r="K10">
        <v>0</v>
      </c>
      <c r="M10">
        <v>1</v>
      </c>
      <c r="R10" t="str">
        <f>IF($U$2=TRUE,$W$2&amp;". Входное значение","Входное значение")</f>
        <v>Аналоговый датчик FB. Входное значение</v>
      </c>
      <c r="S10" s="372"/>
      <c r="U10" s="773"/>
      <c r="V10" s="4"/>
      <c r="W10" s="773"/>
      <c r="X10" s="4"/>
    </row>
    <row r="11" spans="1:29">
      <c r="A11" t="str">
        <f>SUBSTITUTE($V$2,"\","|")&amp;"|SFTX"</f>
        <v>KTP_T_v_KTP|SFTX</v>
      </c>
      <c r="B11" t="s">
        <v>78</v>
      </c>
      <c r="F11">
        <v>0</v>
      </c>
      <c r="G11" t="s">
        <v>71</v>
      </c>
      <c r="H11">
        <v>0</v>
      </c>
      <c r="I11" t="s">
        <v>76</v>
      </c>
      <c r="J11" t="s">
        <v>73</v>
      </c>
      <c r="K11">
        <v>0</v>
      </c>
      <c r="M11">
        <v>1</v>
      </c>
      <c r="R11" t="str">
        <f>IF($U$2=TRUE,$W$2&amp;". Время фильтрации","Время фильтрации")</f>
        <v>Аналоговый датчик FB. Время фильтрации</v>
      </c>
      <c r="S11" s="372"/>
      <c r="U11" s="773"/>
      <c r="V11" s="4"/>
      <c r="W11" s="773"/>
      <c r="X11" s="4"/>
    </row>
    <row r="12" spans="1:29">
      <c r="A12" t="str">
        <f>SUBSTITUTE($V$2,"\","|")&amp;"|SIMX"</f>
        <v>KTP_T_v_KTP|SIMX</v>
      </c>
      <c r="B12" t="s">
        <v>74</v>
      </c>
      <c r="F12" t="s">
        <v>72</v>
      </c>
      <c r="G12" t="s">
        <v>71</v>
      </c>
      <c r="H12">
        <v>0</v>
      </c>
      <c r="I12" t="s">
        <v>76</v>
      </c>
      <c r="J12" t="s">
        <v>73</v>
      </c>
      <c r="K12">
        <v>0</v>
      </c>
      <c r="M12">
        <v>1</v>
      </c>
      <c r="R12" t="str">
        <f>IF($U$2=TRUE,$W$2&amp;". Задача имитации","Задача имитации")</f>
        <v>Аналоговый датчик FB. Задача имитации</v>
      </c>
      <c r="S12" s="372"/>
      <c r="U12" s="773"/>
      <c r="V12" s="4"/>
      <c r="W12" s="773"/>
      <c r="X12" s="4"/>
    </row>
    <row r="13" spans="1:29">
      <c r="A13" t="str">
        <f>SUBSTITUTE($V$2,"\","|")&amp;"|XDAX"</f>
        <v>KTP_T_v_KTP|XDAX</v>
      </c>
      <c r="B13" t="s">
        <v>74</v>
      </c>
      <c r="F13" t="s">
        <v>72</v>
      </c>
      <c r="G13" t="s">
        <v>71</v>
      </c>
      <c r="H13">
        <v>0</v>
      </c>
      <c r="I13" t="s">
        <v>72</v>
      </c>
      <c r="J13" t="s">
        <v>69</v>
      </c>
      <c r="K13">
        <v>0</v>
      </c>
      <c r="M13">
        <v>1</v>
      </c>
      <c r="R13" t="str">
        <f>IF($U$2=TRUE,$W$2&amp;". Выведен из алгоритма","Выведен из алгоритма")</f>
        <v>Аналоговый датчик FB. Выведен из алгоритма</v>
      </c>
      <c r="S13" s="372"/>
      <c r="U13" s="773"/>
      <c r="V13" s="4"/>
      <c r="W13" s="773"/>
      <c r="X13" s="4"/>
    </row>
    <row r="14" spans="1:29">
      <c r="A14" t="str">
        <f>SUBSTITUTE($V$2,"\","|")&amp;"|XRPX"</f>
        <v>KTP_T_v_KTP|XRPX</v>
      </c>
      <c r="B14" t="s">
        <v>74</v>
      </c>
      <c r="F14" t="s">
        <v>72</v>
      </c>
      <c r="G14" t="s">
        <v>71</v>
      </c>
      <c r="H14">
        <v>0</v>
      </c>
      <c r="I14" t="s">
        <v>72</v>
      </c>
      <c r="J14" t="s">
        <v>69</v>
      </c>
      <c r="K14">
        <v>0</v>
      </c>
      <c r="M14">
        <v>1</v>
      </c>
      <c r="R14" t="str">
        <f>IF($U$2=TRUE,$W$2&amp;". Выведен в ремонт","Выведен в ремонт")</f>
        <v>Аналоговый датчик FB. Выведен в ремонт</v>
      </c>
      <c r="S14" s="372"/>
      <c r="U14" s="773"/>
      <c r="V14" s="4"/>
      <c r="W14" s="773"/>
      <c r="X14" s="4"/>
    </row>
    <row r="15" spans="1:29">
      <c r="A15" t="str">
        <f>SUBSTITUTE($V$2,"\","|")&amp;"|XVLX"</f>
        <v>KTP_T_v_KTP|XVLX</v>
      </c>
      <c r="B15" t="s">
        <v>74</v>
      </c>
      <c r="F15" t="s">
        <v>72</v>
      </c>
      <c r="G15" t="s">
        <v>71</v>
      </c>
      <c r="H15">
        <v>0</v>
      </c>
      <c r="I15" t="s">
        <v>72</v>
      </c>
      <c r="J15" t="s">
        <v>69</v>
      </c>
      <c r="K15">
        <v>0</v>
      </c>
      <c r="M15">
        <v>1</v>
      </c>
      <c r="R15" t="str">
        <f>IF($U$2=TRUE,$W$2&amp;". Выходное значение","Выходное значение")</f>
        <v>Аналоговый датчик FB. Выходное значение</v>
      </c>
      <c r="S15" s="372"/>
      <c r="U15" s="773"/>
      <c r="V15" s="4"/>
      <c r="W15" s="773"/>
      <c r="X15" s="4"/>
    </row>
    <row r="17" spans="1:13">
      <c r="A17" s="4"/>
      <c r="B17" s="4"/>
      <c r="F17" s="4"/>
      <c r="G17" s="4"/>
      <c r="H17" s="4"/>
      <c r="I17" s="4"/>
      <c r="J17" s="4"/>
      <c r="K17" s="4"/>
      <c r="M17" s="4"/>
    </row>
    <row r="29" spans="1:13">
      <c r="A29" s="4"/>
      <c r="B29" s="4"/>
      <c r="F29" s="4"/>
      <c r="G29" s="4"/>
      <c r="H29" s="4"/>
      <c r="I29" s="4"/>
      <c r="J29" s="4"/>
      <c r="K29" s="4"/>
      <c r="M29" s="4"/>
    </row>
    <row r="30" spans="1:13">
      <c r="A30" s="4"/>
      <c r="B30" s="4"/>
      <c r="F30" s="4"/>
      <c r="G30" s="4"/>
      <c r="H30" s="4"/>
      <c r="I30" s="4"/>
      <c r="J30" s="4"/>
      <c r="K30" s="4"/>
      <c r="M30" s="4"/>
    </row>
    <row r="31" spans="1:13">
      <c r="A31" s="4"/>
      <c r="B31" s="4"/>
      <c r="F31" s="4"/>
      <c r="G31" s="4"/>
      <c r="H31" s="4"/>
      <c r="I31" s="4"/>
      <c r="J31" s="4"/>
      <c r="K31" s="4"/>
      <c r="M31" s="4"/>
    </row>
    <row r="32" spans="1:13">
      <c r="A32" s="4"/>
      <c r="B32" s="4"/>
      <c r="F32" s="4"/>
      <c r="G32" s="4"/>
      <c r="H32" s="4"/>
      <c r="I32" s="4"/>
      <c r="J32" s="4"/>
      <c r="K32" s="4"/>
      <c r="M32" s="4"/>
    </row>
    <row r="33" spans="1:23">
      <c r="A33" s="4"/>
      <c r="B33" s="4"/>
      <c r="F33" s="4"/>
      <c r="G33" s="4"/>
      <c r="H33" s="4"/>
      <c r="I33" s="4"/>
      <c r="J33" s="4"/>
      <c r="K33" s="4"/>
      <c r="M33" s="4"/>
    </row>
    <row r="34" spans="1:23">
      <c r="A34" s="4"/>
      <c r="B34" s="4"/>
      <c r="F34" s="4"/>
      <c r="G34" s="4"/>
      <c r="H34" s="4"/>
      <c r="I34" s="4"/>
      <c r="J34" s="4"/>
      <c r="K34" s="4"/>
      <c r="M34" s="4"/>
    </row>
    <row r="35" spans="1:23">
      <c r="A35" s="4"/>
      <c r="B35" s="4"/>
      <c r="F35" s="4"/>
      <c r="G35" s="4"/>
      <c r="H35" s="4"/>
      <c r="I35" s="4"/>
      <c r="J35" s="4"/>
      <c r="K35" s="4"/>
      <c r="M35" s="4"/>
    </row>
    <row r="36" spans="1:23">
      <c r="A36" s="4"/>
      <c r="B36" s="4"/>
      <c r="F36" s="4"/>
      <c r="G36" s="4"/>
      <c r="H36" s="4"/>
      <c r="I36" s="4"/>
      <c r="J36" s="4"/>
      <c r="K36" s="4"/>
      <c r="M36" s="4"/>
    </row>
    <row r="37" spans="1:23">
      <c r="A37" s="4"/>
      <c r="B37" s="4"/>
      <c r="F37" s="4"/>
      <c r="G37" s="4"/>
      <c r="H37" s="4"/>
      <c r="I37" s="4"/>
      <c r="J37" s="4"/>
      <c r="K37" s="4"/>
      <c r="M37" s="4"/>
    </row>
    <row r="38" spans="1:23">
      <c r="A38" s="4"/>
      <c r="B38" s="4"/>
      <c r="F38" s="4"/>
      <c r="G38" s="4"/>
      <c r="H38" s="4"/>
      <c r="I38" s="4"/>
      <c r="J38" s="4"/>
      <c r="K38" s="4"/>
      <c r="M38" s="4"/>
    </row>
    <row r="39" spans="1:23">
      <c r="A39" s="4"/>
      <c r="B39" s="4"/>
      <c r="F39" s="4"/>
      <c r="G39" s="4"/>
      <c r="H39" s="4"/>
      <c r="I39" s="4"/>
      <c r="J39" s="4"/>
      <c r="K39" s="4"/>
      <c r="M39" s="4"/>
    </row>
    <row r="40" spans="1:23">
      <c r="A40" s="4"/>
      <c r="B40" s="4"/>
      <c r="F40" s="4"/>
      <c r="G40" s="4"/>
      <c r="H40" s="4"/>
      <c r="I40" s="4"/>
      <c r="J40" s="4"/>
      <c r="K40" s="4"/>
      <c r="M40" s="4"/>
      <c r="W40" s="4"/>
    </row>
    <row r="41" spans="1:23">
      <c r="A41" s="4"/>
      <c r="B41" s="4"/>
      <c r="F41" s="4"/>
      <c r="G41" s="4"/>
      <c r="H41" s="4"/>
      <c r="I41" s="4"/>
      <c r="J41" s="4"/>
      <c r="K41" s="4"/>
      <c r="M41" s="4"/>
      <c r="W41" s="4"/>
    </row>
    <row r="42" spans="1:23">
      <c r="W42" s="4"/>
    </row>
    <row r="43" spans="1:23">
      <c r="W43" s="4"/>
    </row>
    <row r="44" spans="1:23">
      <c r="W44" s="4"/>
    </row>
    <row r="45" spans="1:23">
      <c r="W45" s="4"/>
    </row>
    <row r="46" spans="1:23">
      <c r="W46" s="4"/>
    </row>
    <row r="47" spans="1:23">
      <c r="W47" s="4"/>
    </row>
    <row r="48" spans="1:23">
      <c r="W48" s="4"/>
    </row>
    <row r="49" spans="23:23">
      <c r="W49" s="4"/>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Лист63">
    <tabColor rgb="FF92D050"/>
  </sheetPr>
  <dimension ref="A1:AC49"/>
  <sheetViews>
    <sheetView topLeftCell="G1"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43.2">
      <c r="A2" s="10"/>
      <c r="B2" s="10"/>
      <c r="F2" s="10"/>
      <c r="G2" s="10"/>
      <c r="H2" s="10"/>
      <c r="I2" s="10"/>
      <c r="J2" s="10"/>
      <c r="K2" s="10"/>
      <c r="M2" s="10"/>
      <c r="N2" s="10"/>
      <c r="O2" s="10"/>
      <c r="P2" s="10"/>
      <c r="Q2" s="10"/>
      <c r="R2" s="10"/>
      <c r="U2" s="74" t="b">
        <f>Настройки!$M$34</f>
        <v>1</v>
      </c>
      <c r="V2" s="73" t="s">
        <v>299</v>
      </c>
      <c r="W2" s="537" t="s">
        <v>773</v>
      </c>
      <c r="X2" s="73"/>
      <c r="Y2" s="73"/>
      <c r="Z2" s="73"/>
      <c r="AA2" s="74"/>
      <c r="AB2" s="74"/>
      <c r="AC2" s="74"/>
    </row>
    <row r="3" spans="1:29">
      <c r="A3" t="str">
        <f>SUBSTITUTE($V$2,"\","|")&amp;"|IONX"</f>
        <v>ZRU_OL1_ZEM|IONX</v>
      </c>
      <c r="B3" t="s">
        <v>74</v>
      </c>
      <c r="F3" t="s">
        <v>72</v>
      </c>
      <c r="G3" t="s">
        <v>71</v>
      </c>
      <c r="H3">
        <v>0</v>
      </c>
      <c r="I3" t="s">
        <v>72</v>
      </c>
      <c r="J3" t="s">
        <v>69</v>
      </c>
      <c r="K3">
        <v>0</v>
      </c>
      <c r="M3">
        <v>1</v>
      </c>
      <c r="R3" t="str">
        <f>IF($U$2=TRUE,$W$2&amp;". Входное значение Включен","Входное значение Включен")</f>
        <v>Выключатель с защитой без управления, без тележки и без защит. Входное значение Включен</v>
      </c>
      <c r="S3" s="372"/>
      <c r="U3" s="773"/>
      <c r="V3" s="4"/>
      <c r="W3" s="773"/>
      <c r="X3" s="4"/>
    </row>
    <row r="4" spans="1:29">
      <c r="A4" t="str">
        <f>SUBSTITUTE($V$2,"\","|")&amp;"|IOFX"</f>
        <v>ZRU_OL1_ZEM|IOFX</v>
      </c>
      <c r="B4" t="s">
        <v>74</v>
      </c>
      <c r="F4" t="s">
        <v>72</v>
      </c>
      <c r="G4" t="s">
        <v>71</v>
      </c>
      <c r="H4">
        <v>0</v>
      </c>
      <c r="I4" t="s">
        <v>72</v>
      </c>
      <c r="J4" t="s">
        <v>69</v>
      </c>
      <c r="K4">
        <v>0</v>
      </c>
      <c r="M4">
        <v>1</v>
      </c>
      <c r="R4" t="str">
        <f>IF($U$2=TRUE,$W$2&amp;". Входное значение Отключен","Входное значение Отключен")</f>
        <v>Выключатель с защитой без управления, без тележки и без защит. Входное значение Отключен</v>
      </c>
      <c r="S4" s="372"/>
      <c r="U4" s="773"/>
      <c r="V4" s="4"/>
      <c r="W4" s="773"/>
      <c r="X4" s="4"/>
    </row>
    <row r="5" spans="1:29">
      <c r="A5" t="str">
        <f>SUBSTITUTE($V$2,"\","|")&amp;"|IFXX"</f>
        <v>ZRU_OL1_ZEM|IFXX</v>
      </c>
      <c r="B5" t="s">
        <v>74</v>
      </c>
      <c r="F5" t="s">
        <v>72</v>
      </c>
      <c r="G5" t="s">
        <v>71</v>
      </c>
      <c r="H5">
        <v>0</v>
      </c>
      <c r="I5" t="s">
        <v>72</v>
      </c>
      <c r="J5" t="s">
        <v>69</v>
      </c>
      <c r="K5">
        <v>0</v>
      </c>
      <c r="M5">
        <v>1</v>
      </c>
      <c r="R5" t="str">
        <f>IF($U$2=TRUE,$W$2&amp;". Входное значение Неисправность","Входное значение Неисправность")</f>
        <v>Выключатель с защитой без управления, без тележки и без защит. Входное значение Неисправность</v>
      </c>
      <c r="S5" s="372"/>
      <c r="U5" s="773"/>
      <c r="V5" s="4"/>
      <c r="W5" s="773"/>
      <c r="X5" s="4"/>
    </row>
    <row r="6" spans="1:29">
      <c r="A6" t="str">
        <f>SUBSTITUTE($V$2,"\","|")&amp;"|DONX"</f>
        <v>ZRU_OL1_ZEM|DONX</v>
      </c>
      <c r="B6" t="s">
        <v>74</v>
      </c>
      <c r="F6" t="s">
        <v>72</v>
      </c>
      <c r="G6" t="s">
        <v>71</v>
      </c>
      <c r="H6">
        <v>0</v>
      </c>
      <c r="I6" t="s">
        <v>72</v>
      </c>
      <c r="J6" t="s">
        <v>69</v>
      </c>
      <c r="K6">
        <v>0</v>
      </c>
      <c r="M6">
        <v>1</v>
      </c>
      <c r="R6" t="str">
        <f>IF($U$2=TRUE,$W$2&amp;". Недостоверное Входное значение Включен","Недостоверное Входное значение Включен")</f>
        <v>Выключатель с защитой без управления, без тележки и без защит. Недостоверное Входное значение Включен</v>
      </c>
      <c r="S6" s="372"/>
      <c r="U6" s="773"/>
      <c r="V6" s="4"/>
      <c r="W6" s="773"/>
      <c r="X6" s="4"/>
    </row>
    <row r="7" spans="1:29">
      <c r="A7" t="str">
        <f>SUBSTITUTE($V$2,"\","|")&amp;"|DOFX"</f>
        <v>ZRU_OL1_ZEM|DOFX</v>
      </c>
      <c r="B7" t="s">
        <v>74</v>
      </c>
      <c r="F7" t="s">
        <v>72</v>
      </c>
      <c r="G7" t="s">
        <v>71</v>
      </c>
      <c r="H7">
        <v>0</v>
      </c>
      <c r="I7" t="s">
        <v>72</v>
      </c>
      <c r="J7" t="s">
        <v>69</v>
      </c>
      <c r="K7">
        <v>0</v>
      </c>
      <c r="M7">
        <v>1</v>
      </c>
      <c r="R7" t="str">
        <f>IF($U$2=TRUE,$W$2&amp;". Недостоверное Входное значение Отключен","Недостоверное Входное значение Отключен")</f>
        <v>Выключатель с защитой без управления, без тележки и без защит. Недостоверное Входное значение Отключен</v>
      </c>
      <c r="S7" s="372"/>
      <c r="U7" s="773"/>
      <c r="V7" s="4"/>
      <c r="W7" s="773"/>
      <c r="X7" s="4"/>
    </row>
    <row r="8" spans="1:29">
      <c r="A8" t="str">
        <f>SUBSTITUTE($V$2,"\","|")&amp;"|DFXX"</f>
        <v>ZRU_OL1_ZEM|DFXX</v>
      </c>
      <c r="B8" t="s">
        <v>74</v>
      </c>
      <c r="F8" t="s">
        <v>72</v>
      </c>
      <c r="G8" t="s">
        <v>71</v>
      </c>
      <c r="H8">
        <v>0</v>
      </c>
      <c r="I8" t="s">
        <v>72</v>
      </c>
      <c r="J8" t="s">
        <v>69</v>
      </c>
      <c r="K8">
        <v>0</v>
      </c>
      <c r="M8">
        <v>1</v>
      </c>
      <c r="R8" t="str">
        <f>IF($U$2=TRUE,$W$2&amp;". Недостоверное Входное значение Неисправность","Недостоверное Входное значение Неисправность")</f>
        <v>Выключатель с защитой без управления, без тележки и без защит. Недостоверное Входное значение Неисправность</v>
      </c>
      <c r="S8" s="372"/>
      <c r="U8" s="773"/>
      <c r="V8" s="4"/>
      <c r="W8" s="773"/>
      <c r="X8" s="4"/>
    </row>
    <row r="9" spans="1:29">
      <c r="A9" t="str">
        <f>SUBSTITUTE($V$2,"\","|")&amp;"|XONX"</f>
        <v>ZRU_OL1_ZEM|XONX</v>
      </c>
      <c r="B9" t="s">
        <v>74</v>
      </c>
      <c r="F9" t="s">
        <v>72</v>
      </c>
      <c r="G9" t="s">
        <v>71</v>
      </c>
      <c r="H9">
        <v>0</v>
      </c>
      <c r="I9" t="s">
        <v>72</v>
      </c>
      <c r="J9" t="s">
        <v>69</v>
      </c>
      <c r="K9">
        <v>0</v>
      </c>
      <c r="M9">
        <v>1</v>
      </c>
      <c r="R9" t="str">
        <f>IF($U$2=TRUE,$W$2&amp;". Выходное значение Включен","Выходное значение Включен")</f>
        <v>Выключатель с защитой без управления, без тележки и без защит. Выходное значение Включен</v>
      </c>
      <c r="S9" s="372"/>
      <c r="U9" s="773"/>
      <c r="V9" s="4"/>
      <c r="W9" s="773"/>
      <c r="X9" s="4"/>
    </row>
    <row r="10" spans="1:29">
      <c r="A10" t="str">
        <f>SUBSTITUTE($V$2,"\","|")&amp;"|XOFX"</f>
        <v>ZRU_OL1_ZEM|XOFX</v>
      </c>
      <c r="B10" t="s">
        <v>74</v>
      </c>
      <c r="F10" t="s">
        <v>72</v>
      </c>
      <c r="G10" t="s">
        <v>71</v>
      </c>
      <c r="H10">
        <v>0</v>
      </c>
      <c r="I10" t="s">
        <v>72</v>
      </c>
      <c r="J10" t="s">
        <v>69</v>
      </c>
      <c r="K10">
        <v>0</v>
      </c>
      <c r="M10">
        <v>1</v>
      </c>
      <c r="R10" t="str">
        <f>IF($U$2=TRUE,$W$2&amp;". Выходное значение Отключен","Выходное значение Отключен")</f>
        <v>Выключатель с защитой без управления, без тележки и без защит. Выходное значение Отключен</v>
      </c>
      <c r="S10" s="372"/>
      <c r="U10" s="773"/>
      <c r="V10" s="4"/>
      <c r="W10" s="773"/>
      <c r="X10" s="4"/>
    </row>
    <row r="11" spans="1:29">
      <c r="A11" t="str">
        <f>SUBSTITUTE($V$2,"\","|")&amp;"|XRPX"</f>
        <v>ZRU_OL1_ZEM|XRPX</v>
      </c>
      <c r="B11" t="s">
        <v>74</v>
      </c>
      <c r="F11" t="s">
        <v>72</v>
      </c>
      <c r="G11" t="s">
        <v>71</v>
      </c>
      <c r="H11">
        <v>0</v>
      </c>
      <c r="I11" t="s">
        <v>72</v>
      </c>
      <c r="J11" t="s">
        <v>69</v>
      </c>
      <c r="K11">
        <v>0</v>
      </c>
      <c r="M11">
        <v>1</v>
      </c>
      <c r="R11" t="str">
        <f>IF($U$2=TRUE,$W$2&amp;". Выходное значение Выведен в ремонт","Выходное значение Выведен в ремонт")</f>
        <v>Выключатель с защитой без управления, без тележки и без защит. Выходное значение Выведен в ремонт</v>
      </c>
      <c r="S11" s="372"/>
      <c r="U11" s="773"/>
      <c r="V11" s="4"/>
      <c r="W11" s="773"/>
      <c r="X11" s="4"/>
    </row>
    <row r="12" spans="1:29">
      <c r="A12" t="str">
        <f>SUBSTITUTE($V$2,"\","|")&amp;"|CRPX"</f>
        <v>ZRU_OL1_ZEM|CRPX</v>
      </c>
      <c r="B12" t="s">
        <v>74</v>
      </c>
      <c r="F12" t="s">
        <v>72</v>
      </c>
      <c r="G12" t="s">
        <v>71</v>
      </c>
      <c r="H12">
        <v>0</v>
      </c>
      <c r="I12" t="s">
        <v>76</v>
      </c>
      <c r="J12" t="s">
        <v>73</v>
      </c>
      <c r="K12">
        <v>0</v>
      </c>
      <c r="M12">
        <v>1</v>
      </c>
      <c r="R12" t="str">
        <f>IF($U$2=TRUE,$W$2&amp;". Команда оператора Вывести в ремонт","Команда оператора Вывести в ремонт")</f>
        <v>Выключатель с защитой без управления, без тележки и без защит. Команда оператора Вывести в ремонт</v>
      </c>
      <c r="S12" s="372"/>
      <c r="U12" s="773"/>
      <c r="V12" s="4"/>
      <c r="W12" s="773"/>
      <c r="X12" s="4"/>
    </row>
    <row r="13" spans="1:29">
      <c r="A13" t="str">
        <f>SUBSTITUTE($V$2,"\","|")&amp;"|FXXX"</f>
        <v>ZRU_OL1_ZEM|FXXX</v>
      </c>
      <c r="B13" t="s">
        <v>74</v>
      </c>
      <c r="F13" t="s">
        <v>72</v>
      </c>
      <c r="G13" t="s">
        <v>71</v>
      </c>
      <c r="H13">
        <v>0</v>
      </c>
      <c r="I13" t="s">
        <v>72</v>
      </c>
      <c r="J13" t="s">
        <v>69</v>
      </c>
      <c r="K13">
        <v>0</v>
      </c>
      <c r="M13">
        <v>1</v>
      </c>
      <c r="R13" t="str">
        <f>IF($U$2=TRUE,$W$2&amp;". Обобщенная неисправность","Обобщенная неисправность")</f>
        <v>Выключатель с защитой без управления, без тележки и без защит. Обобщенная неисправность</v>
      </c>
      <c r="S13" s="372"/>
      <c r="U13" s="773"/>
      <c r="V13" s="4"/>
      <c r="W13" s="773"/>
      <c r="X13" s="4"/>
    </row>
    <row r="14" spans="1:29">
      <c r="A14" t="str">
        <f>SUBSTITUTE($V$2,"\","|")&amp;"|FUSX"</f>
        <v>ZRU_OL1_ZEM|FUSX</v>
      </c>
      <c r="B14" t="s">
        <v>74</v>
      </c>
      <c r="F14" t="s">
        <v>72</v>
      </c>
      <c r="G14" t="s">
        <v>71</v>
      </c>
      <c r="H14">
        <v>0</v>
      </c>
      <c r="I14" t="s">
        <v>72</v>
      </c>
      <c r="J14" t="s">
        <v>69</v>
      </c>
      <c r="K14">
        <v>0</v>
      </c>
      <c r="M14">
        <v>1</v>
      </c>
      <c r="R14" t="str">
        <f>IF($U$2=TRUE,$W$2&amp;". Неопределенно положение","Неопределенно положение")</f>
        <v>Выключатель с защитой без управления, без тележки и без защит. Неопределенно положение</v>
      </c>
      <c r="S14" s="372"/>
      <c r="U14" s="773"/>
      <c r="V14" s="4"/>
      <c r="W14" s="773"/>
      <c r="X14" s="4"/>
    </row>
    <row r="15" spans="1:29">
      <c r="A15" t="str">
        <f>SUBSTITUTE($V$2,"\","|")&amp;"|FDSX"</f>
        <v>ZRU_OL1_ZEM|FDSX</v>
      </c>
      <c r="B15" t="s">
        <v>74</v>
      </c>
      <c r="F15" t="s">
        <v>72</v>
      </c>
      <c r="G15" t="s">
        <v>71</v>
      </c>
      <c r="H15">
        <v>0</v>
      </c>
      <c r="I15" t="s">
        <v>72</v>
      </c>
      <c r="J15" t="s">
        <v>69</v>
      </c>
      <c r="K15">
        <v>0</v>
      </c>
      <c r="M15">
        <v>1</v>
      </c>
      <c r="R15" t="str">
        <f>IF($U$2=TRUE,$W$2&amp;". Двойное положение","Двойное положение")</f>
        <v>Выключатель с защитой без управления, без тележки и без защит. Двойное положение</v>
      </c>
      <c r="S15" s="372"/>
      <c r="U15" s="773"/>
      <c r="V15" s="4"/>
      <c r="W15" s="773"/>
      <c r="X15" s="4"/>
    </row>
    <row r="16" spans="1:29">
      <c r="A16" t="str">
        <f>SUBSTITUTE($V$2,"\","|")&amp;"|XRON"</f>
        <v>ZRU_OL1_ZEM|XRON</v>
      </c>
      <c r="B16" t="s">
        <v>78</v>
      </c>
      <c r="F16">
        <v>0</v>
      </c>
      <c r="G16" t="s">
        <v>71</v>
      </c>
      <c r="H16">
        <v>0</v>
      </c>
      <c r="I16" t="s">
        <v>76</v>
      </c>
      <c r="J16" t="s">
        <v>73</v>
      </c>
      <c r="K16">
        <v>0</v>
      </c>
      <c r="M16">
        <v>1</v>
      </c>
      <c r="R16" t="str">
        <f>IF($U$2=TRUE,$W$2&amp;". Наработка концевика включен","Наработка концевика включен")</f>
        <v>Выключатель с защитой без управления, без тележки и без защит. Наработка концевика включен</v>
      </c>
      <c r="S16" s="372"/>
      <c r="U16" s="773"/>
      <c r="V16" s="4"/>
      <c r="W16" s="773"/>
      <c r="X16" s="4"/>
    </row>
    <row r="17" spans="1:24">
      <c r="A17" t="str">
        <f>SUBSTITUTE($V$2,"\","|")&amp;"|XROF"</f>
        <v>ZRU_OL1_ZEM|XROF</v>
      </c>
      <c r="B17" t="s">
        <v>78</v>
      </c>
      <c r="F17">
        <v>0</v>
      </c>
      <c r="G17" t="s">
        <v>71</v>
      </c>
      <c r="H17">
        <v>0</v>
      </c>
      <c r="I17" t="s">
        <v>76</v>
      </c>
      <c r="J17" t="s">
        <v>73</v>
      </c>
      <c r="K17">
        <v>0</v>
      </c>
      <c r="M17">
        <v>1</v>
      </c>
      <c r="R17" t="str">
        <f>IF($U$2=TRUE,$W$2&amp;". Наработка концевика отключен","Наработка концевика отключен")</f>
        <v>Выключатель с защитой без управления, без тележки и без защит. Наработка концевика отключен</v>
      </c>
      <c r="S17" s="372"/>
      <c r="U17" s="773"/>
      <c r="V17" s="4"/>
      <c r="W17" s="773"/>
      <c r="X17" s="4"/>
    </row>
    <row r="18" spans="1:24">
      <c r="A18" t="str">
        <f>SUBSTITUTE($V$2,"\","|")&amp;"|CRRX"</f>
        <v>ZRU_OL1_ZEM|CRRX</v>
      </c>
      <c r="B18" t="s">
        <v>74</v>
      </c>
      <c r="F18" t="s">
        <v>72</v>
      </c>
      <c r="G18" t="s">
        <v>71</v>
      </c>
      <c r="H18">
        <v>0</v>
      </c>
      <c r="I18" t="s">
        <v>76</v>
      </c>
      <c r="J18" t="s">
        <v>73</v>
      </c>
      <c r="K18">
        <v>0</v>
      </c>
      <c r="M18">
        <v>1</v>
      </c>
      <c r="R18" t="str">
        <f>IF($U$2=TRUE,$W$2&amp;". Команда сброс наработки","Команда сброс наработки")</f>
        <v>Выключатель с защитой без управления, без тележки и без защит. Команда сброс наработки</v>
      </c>
      <c r="S18" s="372"/>
      <c r="U18" s="773"/>
      <c r="V18" s="4"/>
      <c r="W18" s="773"/>
      <c r="X18" s="4"/>
    </row>
    <row r="19" spans="1:24">
      <c r="A19" t="str">
        <f>SUBSTITUTE($V$2,"\","|")&amp;"|SRQX"</f>
        <v>ZRU_OL1_ZEM|SRQX</v>
      </c>
      <c r="B19" t="s">
        <v>78</v>
      </c>
      <c r="F19">
        <v>1500</v>
      </c>
      <c r="G19" t="s">
        <v>71</v>
      </c>
      <c r="H19">
        <v>0</v>
      </c>
      <c r="I19" t="s">
        <v>76</v>
      </c>
      <c r="J19" t="s">
        <v>73</v>
      </c>
      <c r="K19">
        <v>0</v>
      </c>
      <c r="M19">
        <v>1</v>
      </c>
      <c r="R19" t="str">
        <f>IF($U$2=TRUE,$W$2&amp;". Уставка по наработке концевиков","Уставка по наработке концевиков")</f>
        <v>Выключатель с защитой без управления, без тележки и без защит. Уставка по наработке концевиков</v>
      </c>
      <c r="S19" s="372"/>
      <c r="U19" s="773"/>
      <c r="V19" s="4"/>
      <c r="W19" s="773"/>
      <c r="X19" s="4"/>
    </row>
    <row r="20" spans="1:24">
      <c r="A20" t="str">
        <f>SUBSTITUTE($V$2,"\","|")&amp;"|FRQX"</f>
        <v>ZRU_OL1_ZEM|FRQX</v>
      </c>
      <c r="B20" t="s">
        <v>74</v>
      </c>
      <c r="F20" t="s">
        <v>72</v>
      </c>
      <c r="G20" t="s">
        <v>71</v>
      </c>
      <c r="H20">
        <v>0</v>
      </c>
      <c r="I20" t="s">
        <v>72</v>
      </c>
      <c r="J20" t="s">
        <v>69</v>
      </c>
      <c r="K20">
        <v>0</v>
      </c>
      <c r="M20">
        <v>1</v>
      </c>
      <c r="R20" t="str">
        <f>IF($U$2=TRUE,$W$2&amp;". Сработала уставка по наработке концевиков","Сработала уставка по наработке концевиков")</f>
        <v>Выключатель с защитой без управления, без тележки и без защит. Сработала уставка по наработке концевиков</v>
      </c>
      <c r="S20" s="372"/>
      <c r="U20" s="773"/>
      <c r="V20" s="4"/>
      <c r="W20" s="773"/>
      <c r="X20" s="4"/>
    </row>
    <row r="22" spans="1:24">
      <c r="A22" s="4"/>
      <c r="B22" s="4"/>
      <c r="F22" s="4"/>
      <c r="G22" s="4"/>
      <c r="H22" s="4"/>
      <c r="I22" s="4"/>
      <c r="J22" s="4"/>
      <c r="K22" s="4"/>
      <c r="M22" s="4"/>
    </row>
    <row r="29" spans="1:24">
      <c r="A29" s="4"/>
      <c r="B29" s="4"/>
      <c r="F29" s="4"/>
      <c r="G29" s="4"/>
      <c r="H29" s="4"/>
      <c r="I29" s="4"/>
      <c r="J29" s="4"/>
      <c r="K29" s="4"/>
      <c r="M29" s="4"/>
    </row>
    <row r="30" spans="1:24">
      <c r="A30" s="4"/>
      <c r="B30" s="4"/>
      <c r="F30" s="4"/>
      <c r="G30" s="4"/>
      <c r="H30" s="4"/>
      <c r="I30" s="4"/>
      <c r="J30" s="4"/>
      <c r="K30" s="4"/>
      <c r="M30" s="4"/>
    </row>
    <row r="31" spans="1:24">
      <c r="A31" s="4"/>
      <c r="B31" s="4"/>
      <c r="F31" s="4"/>
      <c r="G31" s="4"/>
      <c r="H31" s="4"/>
      <c r="I31" s="4"/>
      <c r="J31" s="4"/>
      <c r="K31" s="4"/>
      <c r="M31" s="4"/>
    </row>
    <row r="32" spans="1:24">
      <c r="A32" s="4"/>
      <c r="B32" s="4"/>
      <c r="F32" s="4"/>
      <c r="G32" s="4"/>
      <c r="H32" s="4"/>
      <c r="I32" s="4"/>
      <c r="J32" s="4"/>
      <c r="K32" s="4"/>
      <c r="M32" s="4"/>
    </row>
    <row r="33" spans="1:23">
      <c r="A33" s="4"/>
      <c r="B33" s="4"/>
      <c r="F33" s="4"/>
      <c r="G33" s="4"/>
      <c r="H33" s="4"/>
      <c r="I33" s="4"/>
      <c r="J33" s="4"/>
      <c r="K33" s="4"/>
      <c r="M33" s="4"/>
    </row>
    <row r="34" spans="1:23">
      <c r="A34" s="4"/>
      <c r="B34" s="4"/>
      <c r="F34" s="4"/>
      <c r="G34" s="4"/>
      <c r="H34" s="4"/>
      <c r="I34" s="4"/>
      <c r="J34" s="4"/>
      <c r="K34" s="4"/>
      <c r="M34" s="4"/>
    </row>
    <row r="35" spans="1:23">
      <c r="A35" s="4"/>
      <c r="B35" s="4"/>
      <c r="F35" s="4"/>
      <c r="G35" s="4"/>
      <c r="H35" s="4"/>
      <c r="I35" s="4"/>
      <c r="J35" s="4"/>
      <c r="K35" s="4"/>
      <c r="M35" s="4"/>
    </row>
    <row r="36" spans="1:23">
      <c r="A36" s="4"/>
      <c r="B36" s="4"/>
      <c r="F36" s="4"/>
      <c r="G36" s="4"/>
      <c r="H36" s="4"/>
      <c r="I36" s="4"/>
      <c r="J36" s="4"/>
      <c r="K36" s="4"/>
      <c r="M36" s="4"/>
    </row>
    <row r="37" spans="1:23">
      <c r="A37" s="4"/>
      <c r="B37" s="4"/>
      <c r="F37" s="4"/>
      <c r="G37" s="4"/>
      <c r="H37" s="4"/>
      <c r="I37" s="4"/>
      <c r="J37" s="4"/>
      <c r="K37" s="4"/>
      <c r="M37" s="4"/>
    </row>
    <row r="38" spans="1:23">
      <c r="A38" s="4"/>
      <c r="B38" s="4"/>
      <c r="F38" s="4"/>
      <c r="G38" s="4"/>
      <c r="H38" s="4"/>
      <c r="I38" s="4"/>
      <c r="J38" s="4"/>
      <c r="K38" s="4"/>
      <c r="M38" s="4"/>
    </row>
    <row r="39" spans="1:23">
      <c r="A39" s="4"/>
      <c r="B39" s="4"/>
      <c r="F39" s="4"/>
      <c r="G39" s="4"/>
      <c r="H39" s="4"/>
      <c r="I39" s="4"/>
      <c r="J39" s="4"/>
      <c r="K39" s="4"/>
      <c r="M39" s="4"/>
    </row>
    <row r="40" spans="1:23">
      <c r="A40" s="4"/>
      <c r="B40" s="4"/>
      <c r="F40" s="4"/>
      <c r="G40" s="4"/>
      <c r="H40" s="4"/>
      <c r="I40" s="4"/>
      <c r="J40" s="4"/>
      <c r="K40" s="4"/>
      <c r="M40" s="4"/>
      <c r="W40" s="4"/>
    </row>
    <row r="41" spans="1:23">
      <c r="A41" s="4"/>
      <c r="B41" s="4"/>
      <c r="F41" s="4"/>
      <c r="G41" s="4"/>
      <c r="H41" s="4"/>
      <c r="I41" s="4"/>
      <c r="J41" s="4"/>
      <c r="K41" s="4"/>
      <c r="M41" s="4"/>
      <c r="W41" s="4"/>
    </row>
    <row r="42" spans="1:23">
      <c r="W42" s="4"/>
    </row>
    <row r="43" spans="1:23">
      <c r="W43" s="4"/>
    </row>
    <row r="44" spans="1:23">
      <c r="W44" s="4"/>
    </row>
    <row r="45" spans="1:23">
      <c r="W45" s="4"/>
    </row>
    <row r="46" spans="1:23">
      <c r="W46" s="4"/>
    </row>
    <row r="47" spans="1:23">
      <c r="W47" s="4"/>
    </row>
    <row r="48" spans="1:23">
      <c r="W48" s="4"/>
    </row>
    <row r="49" spans="23:23">
      <c r="W49" s="4"/>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Лист64">
    <tabColor rgb="FF92D050"/>
  </sheetPr>
  <dimension ref="A1:AC49"/>
  <sheetViews>
    <sheetView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c r="A2" s="10"/>
      <c r="B2" s="10"/>
      <c r="F2" s="10"/>
      <c r="G2" s="10"/>
      <c r="H2" s="10"/>
      <c r="I2" s="10"/>
      <c r="J2" s="10"/>
      <c r="K2" s="10"/>
      <c r="M2" s="10"/>
      <c r="N2" s="10"/>
      <c r="O2" s="10"/>
      <c r="P2" s="10"/>
      <c r="Q2" s="10"/>
      <c r="R2" s="10"/>
      <c r="U2" s="74" t="b">
        <f>Настройки!$M$34</f>
        <v>1</v>
      </c>
      <c r="V2" s="73" t="s">
        <v>2943</v>
      </c>
      <c r="W2" s="537" t="s">
        <v>774</v>
      </c>
      <c r="X2" s="73"/>
      <c r="Y2" s="73"/>
      <c r="Z2" s="73"/>
      <c r="AA2" s="74"/>
      <c r="AB2" s="74"/>
      <c r="AC2" s="74"/>
    </row>
    <row r="3" spans="1:29">
      <c r="A3" s="515" t="str">
        <f>SUBSTITUTE($V$2,"\","|")&amp;"|CRPX"</f>
        <v>IM_V1|CRPX</v>
      </c>
      <c r="B3" t="s">
        <v>74</v>
      </c>
      <c r="F3" t="s">
        <v>72</v>
      </c>
      <c r="G3" t="s">
        <v>71</v>
      </c>
      <c r="H3">
        <v>0</v>
      </c>
      <c r="I3" t="s">
        <v>76</v>
      </c>
      <c r="J3" t="s">
        <v>73</v>
      </c>
      <c r="K3" s="515" t="s">
        <v>1383</v>
      </c>
      <c r="M3">
        <v>1</v>
      </c>
      <c r="R3" t="str">
        <f>IF($U$2=TRUE,$W$2&amp;". Команда оператора Вывести в ремонт","Команда оператора Вывести в ремонт")</f>
        <v>Насос без управления. Команда оператора Вывести в ремонт</v>
      </c>
      <c r="S3" s="372"/>
      <c r="U3" s="773"/>
      <c r="V3" s="4"/>
      <c r="W3" s="773"/>
      <c r="X3" s="4"/>
    </row>
    <row r="4" spans="1:29">
      <c r="A4" s="515" t="str">
        <f>SUBSTITUTE($V$2,"\","|")&amp;"|CRRX"</f>
        <v>IM_V1|CRRX</v>
      </c>
      <c r="B4" t="s">
        <v>74</v>
      </c>
      <c r="F4" t="s">
        <v>72</v>
      </c>
      <c r="G4" t="s">
        <v>71</v>
      </c>
      <c r="H4">
        <v>0</v>
      </c>
      <c r="I4" t="s">
        <v>76</v>
      </c>
      <c r="J4" t="s">
        <v>73</v>
      </c>
      <c r="K4" s="515" t="s">
        <v>1383</v>
      </c>
      <c r="M4">
        <v>1</v>
      </c>
      <c r="R4" t="str">
        <f>IF($U$2=TRUE,$W$2&amp;". Команда сброс наработки","Команда сброс наработки")</f>
        <v>Насос без управления. Команда сброс наработки</v>
      </c>
      <c r="S4" s="372"/>
      <c r="U4" s="773"/>
      <c r="V4" s="4"/>
      <c r="W4" s="773"/>
      <c r="X4" s="4"/>
    </row>
    <row r="5" spans="1:29">
      <c r="A5" t="str">
        <f>SUBSTITUTE($V$2,"\","|")&amp;"|IONX"</f>
        <v>IM_V1|IONX</v>
      </c>
      <c r="B5" t="s">
        <v>74</v>
      </c>
      <c r="F5" t="s">
        <v>72</v>
      </c>
      <c r="G5" t="s">
        <v>71</v>
      </c>
      <c r="H5">
        <v>0</v>
      </c>
      <c r="I5" t="s">
        <v>72</v>
      </c>
      <c r="J5" t="s">
        <v>69</v>
      </c>
      <c r="K5">
        <v>0</v>
      </c>
      <c r="M5">
        <v>1</v>
      </c>
      <c r="R5" t="str">
        <f>IF($U$2=TRUE,$W$2&amp;". Входное значение Включен","Входное значение Включен")</f>
        <v>Насос без управления. Входное значение Включен</v>
      </c>
      <c r="S5" s="372"/>
      <c r="U5" s="773"/>
      <c r="V5" s="4"/>
      <c r="W5" s="773"/>
      <c r="X5" s="4"/>
    </row>
    <row r="6" spans="1:29">
      <c r="A6" t="str">
        <f>SUBSTITUTE($V$2,"\","|")&amp;"|IOFX"</f>
        <v>IM_V1|IOFX</v>
      </c>
      <c r="B6" t="s">
        <v>74</v>
      </c>
      <c r="F6" t="s">
        <v>72</v>
      </c>
      <c r="G6" t="s">
        <v>71</v>
      </c>
      <c r="H6">
        <v>0</v>
      </c>
      <c r="I6" t="s">
        <v>72</v>
      </c>
      <c r="J6" t="s">
        <v>69</v>
      </c>
      <c r="K6">
        <v>0</v>
      </c>
      <c r="M6">
        <v>1</v>
      </c>
      <c r="R6" t="str">
        <f>IF($U$2=TRUE,$W$2&amp;". Входное значение Отключен","Входное значение Отключен")</f>
        <v>Насос без управления. Входное значение Отключен</v>
      </c>
      <c r="S6" s="372"/>
      <c r="U6" s="773"/>
      <c r="V6" s="4"/>
      <c r="W6" s="773"/>
      <c r="X6" s="4"/>
    </row>
    <row r="7" spans="1:29">
      <c r="A7" t="str">
        <f>SUBSTITUTE($V$2,"\","|")&amp;"|IFXX"</f>
        <v>IM_V1|IFXX</v>
      </c>
      <c r="B7" t="s">
        <v>74</v>
      </c>
      <c r="F7" t="s">
        <v>72</v>
      </c>
      <c r="G7" t="s">
        <v>71</v>
      </c>
      <c r="H7">
        <v>0</v>
      </c>
      <c r="I7" t="s">
        <v>72</v>
      </c>
      <c r="J7" t="s">
        <v>69</v>
      </c>
      <c r="K7">
        <v>0</v>
      </c>
      <c r="M7">
        <v>1</v>
      </c>
      <c r="R7" t="str">
        <f>IF($U$2=TRUE,$W$2&amp;". Входное значение Неисправность","Входное значение Неисправность")</f>
        <v>Насос без управления. Входное значение Неисправность</v>
      </c>
      <c r="S7" s="372"/>
      <c r="U7" s="773"/>
      <c r="V7" s="4"/>
      <c r="W7" s="773"/>
      <c r="X7" s="4"/>
    </row>
    <row r="8" spans="1:29">
      <c r="A8" t="str">
        <f>SUBSTITUTE($V$2,"\","|")&amp;"|DONX"</f>
        <v>IM_V1|DONX</v>
      </c>
      <c r="B8" t="s">
        <v>74</v>
      </c>
      <c r="F8" t="s">
        <v>72</v>
      </c>
      <c r="G8" t="s">
        <v>71</v>
      </c>
      <c r="H8">
        <v>0</v>
      </c>
      <c r="I8" t="s">
        <v>72</v>
      </c>
      <c r="J8" t="s">
        <v>69</v>
      </c>
      <c r="K8">
        <v>0</v>
      </c>
      <c r="M8">
        <v>1</v>
      </c>
      <c r="R8" t="str">
        <f>IF($U$2=TRUE,$W$2&amp;". Недостоверное Входное значение Включен","Недостоверное Входное значение Включен")</f>
        <v>Насос без управления. Недостоверное Входное значение Включен</v>
      </c>
      <c r="S8" s="372"/>
      <c r="U8" s="773"/>
      <c r="V8" s="4"/>
      <c r="W8" s="773"/>
      <c r="X8" s="4"/>
    </row>
    <row r="9" spans="1:29">
      <c r="A9" t="str">
        <f>SUBSTITUTE($V$2,"\","|")&amp;"|DOFX"</f>
        <v>IM_V1|DOFX</v>
      </c>
      <c r="B9" t="s">
        <v>74</v>
      </c>
      <c r="F9" t="s">
        <v>72</v>
      </c>
      <c r="G9" t="s">
        <v>71</v>
      </c>
      <c r="H9">
        <v>0</v>
      </c>
      <c r="I9" t="s">
        <v>72</v>
      </c>
      <c r="J9" t="s">
        <v>69</v>
      </c>
      <c r="K9">
        <v>0</v>
      </c>
      <c r="M9">
        <v>1</v>
      </c>
      <c r="R9" t="str">
        <f>IF($U$2=TRUE,$W$2&amp;". Недостоверное Входное значение Отключен","Недостоверное Входное значение Отключен")</f>
        <v>Насос без управления. Недостоверное Входное значение Отключен</v>
      </c>
      <c r="S9" s="372"/>
      <c r="U9" s="773"/>
      <c r="V9" s="4"/>
      <c r="W9" s="773"/>
      <c r="X9" s="4"/>
    </row>
    <row r="10" spans="1:29">
      <c r="A10" t="str">
        <f>SUBSTITUTE($V$2,"\","|")&amp;"|DFXX"</f>
        <v>IM_V1|DFXX</v>
      </c>
      <c r="B10" t="s">
        <v>74</v>
      </c>
      <c r="F10" t="s">
        <v>72</v>
      </c>
      <c r="G10" t="s">
        <v>71</v>
      </c>
      <c r="H10">
        <v>0</v>
      </c>
      <c r="I10" t="s">
        <v>72</v>
      </c>
      <c r="J10" t="s">
        <v>69</v>
      </c>
      <c r="K10">
        <v>0</v>
      </c>
      <c r="M10">
        <v>1</v>
      </c>
      <c r="R10" t="str">
        <f>IF($U$2=TRUE,$W$2&amp;". Недостоверное Входное значение Неисправность","Недостоверное Входное значение Неисправность")</f>
        <v>Насос без управления. Недостоверное Входное значение Неисправность</v>
      </c>
      <c r="S10" s="372"/>
      <c r="U10" s="773"/>
      <c r="V10" s="4"/>
      <c r="W10" s="773"/>
      <c r="X10" s="4"/>
    </row>
    <row r="11" spans="1:29">
      <c r="A11" t="str">
        <f>SUBSTITUTE($V$2,"\","|")&amp;"|XONX"</f>
        <v>IM_V1|XONX</v>
      </c>
      <c r="B11" t="s">
        <v>74</v>
      </c>
      <c r="F11" t="s">
        <v>72</v>
      </c>
      <c r="G11" t="s">
        <v>71</v>
      </c>
      <c r="H11">
        <v>0</v>
      </c>
      <c r="I11" t="s">
        <v>72</v>
      </c>
      <c r="J11" t="s">
        <v>69</v>
      </c>
      <c r="K11">
        <v>0</v>
      </c>
      <c r="M11">
        <v>1</v>
      </c>
      <c r="R11" t="str">
        <f>IF($U$2=TRUE,$W$2&amp;". Выходное значение Включен","Выходное значение Включен")</f>
        <v>Насос без управления. Выходное значение Включен</v>
      </c>
      <c r="S11" s="372"/>
      <c r="U11" s="773"/>
      <c r="V11" s="4"/>
      <c r="W11" s="773"/>
      <c r="X11" s="4"/>
    </row>
    <row r="12" spans="1:29">
      <c r="A12" t="str">
        <f>SUBSTITUTE($V$2,"\","|")&amp;"|XOFX"</f>
        <v>IM_V1|XOFX</v>
      </c>
      <c r="B12" t="s">
        <v>74</v>
      </c>
      <c r="F12" t="s">
        <v>72</v>
      </c>
      <c r="G12" t="s">
        <v>71</v>
      </c>
      <c r="H12">
        <v>0</v>
      </c>
      <c r="I12" t="s">
        <v>72</v>
      </c>
      <c r="J12" t="s">
        <v>69</v>
      </c>
      <c r="K12">
        <v>0</v>
      </c>
      <c r="M12">
        <v>1</v>
      </c>
      <c r="R12" t="str">
        <f>IF($U$2=TRUE,$W$2&amp;". Выходное значение Отключен","Выходное значение Отключен")</f>
        <v>Насос без управления. Выходное значение Отключен</v>
      </c>
      <c r="S12" s="372"/>
      <c r="U12" s="773"/>
      <c r="V12" s="4"/>
      <c r="W12" s="773"/>
      <c r="X12" s="4"/>
    </row>
    <row r="13" spans="1:29">
      <c r="A13" t="str">
        <f>SUBSTITUTE($V$2,"\","|")&amp;"|XRPX"</f>
        <v>IM_V1|XRPX</v>
      </c>
      <c r="B13" t="s">
        <v>74</v>
      </c>
      <c r="F13" t="s">
        <v>72</v>
      </c>
      <c r="G13" t="s">
        <v>71</v>
      </c>
      <c r="H13">
        <v>0</v>
      </c>
      <c r="I13" t="s">
        <v>72</v>
      </c>
      <c r="J13" t="s">
        <v>69</v>
      </c>
      <c r="K13">
        <v>0</v>
      </c>
      <c r="M13">
        <v>1</v>
      </c>
      <c r="R13" t="str">
        <f>IF($U$2=TRUE,$W$2&amp;". Выходное значение Выведен в ремонт","Выходное значение Выведен в ремонт")</f>
        <v>Насос без управления. Выходное значение Выведен в ремонт</v>
      </c>
      <c r="S13" s="372"/>
      <c r="U13" s="773"/>
      <c r="V13" s="4"/>
      <c r="W13" s="773"/>
      <c r="X13" s="4"/>
    </row>
    <row r="14" spans="1:29">
      <c r="A14" t="str">
        <f>SUBSTITUTE($V$2,"\","|")&amp;"|FXXX"</f>
        <v>IM_V1|FXXX</v>
      </c>
      <c r="B14" t="s">
        <v>74</v>
      </c>
      <c r="F14" t="s">
        <v>72</v>
      </c>
      <c r="G14" t="s">
        <v>71</v>
      </c>
      <c r="H14">
        <v>0</v>
      </c>
      <c r="I14" t="s">
        <v>72</v>
      </c>
      <c r="J14" t="s">
        <v>69</v>
      </c>
      <c r="K14">
        <v>0</v>
      </c>
      <c r="M14">
        <v>1</v>
      </c>
      <c r="R14" t="str">
        <f>IF($U$2=TRUE,$W$2&amp;". Обобщенная неисправность","Обобщенная неисправность")</f>
        <v>Насос без управления. Обобщенная неисправность</v>
      </c>
      <c r="S14" s="372"/>
      <c r="U14" s="773"/>
      <c r="V14" s="4"/>
      <c r="W14" s="773"/>
      <c r="X14" s="4"/>
    </row>
    <row r="15" spans="1:29">
      <c r="A15" t="str">
        <f>SUBSTITUTE($V$2,"\","|")&amp;"|FUSX"</f>
        <v>IM_V1|FUSX</v>
      </c>
      <c r="B15" t="s">
        <v>74</v>
      </c>
      <c r="F15" t="s">
        <v>72</v>
      </c>
      <c r="G15" t="s">
        <v>71</v>
      </c>
      <c r="H15">
        <v>0</v>
      </c>
      <c r="I15" t="s">
        <v>72</v>
      </c>
      <c r="J15" t="s">
        <v>69</v>
      </c>
      <c r="K15">
        <v>0</v>
      </c>
      <c r="M15">
        <v>1</v>
      </c>
      <c r="R15" t="str">
        <f>IF($U$2=TRUE,$W$2&amp;". Неопределенно положение","Неопределенно положение")</f>
        <v>Насос без управления. Неопределенно положение</v>
      </c>
      <c r="S15" s="372"/>
      <c r="U15" s="773"/>
      <c r="V15" s="4"/>
      <c r="W15" s="773"/>
      <c r="X15" s="4"/>
    </row>
    <row r="16" spans="1:29">
      <c r="A16" t="str">
        <f>SUBSTITUTE($V$2,"\","|")&amp;"|FDSX"</f>
        <v>IM_V1|FDSX</v>
      </c>
      <c r="B16" t="s">
        <v>74</v>
      </c>
      <c r="F16" t="s">
        <v>72</v>
      </c>
      <c r="G16" t="s">
        <v>71</v>
      </c>
      <c r="H16">
        <v>0</v>
      </c>
      <c r="I16" t="s">
        <v>72</v>
      </c>
      <c r="J16" t="s">
        <v>69</v>
      </c>
      <c r="K16">
        <v>0</v>
      </c>
      <c r="M16">
        <v>1</v>
      </c>
      <c r="R16" t="str">
        <f>IF($U$2=TRUE,$W$2&amp;". Двойное положение","Двойное положение")</f>
        <v>Насос без управления. Двойное положение</v>
      </c>
      <c r="S16" s="372"/>
      <c r="U16" s="773"/>
      <c r="V16" s="4"/>
      <c r="W16" s="773"/>
      <c r="X16" s="4"/>
    </row>
    <row r="17" spans="1:24">
      <c r="A17" s="4" t="str">
        <f>SUBSTITUTE($V$2,"\","|")&amp;"|FRTX"</f>
        <v>IM_V1|FRTX</v>
      </c>
      <c r="B17" s="4" t="s">
        <v>74</v>
      </c>
      <c r="F17" s="4" t="s">
        <v>72</v>
      </c>
      <c r="G17" s="4" t="s">
        <v>71</v>
      </c>
      <c r="H17" s="4">
        <v>0</v>
      </c>
      <c r="I17" s="4" t="s">
        <v>72</v>
      </c>
      <c r="J17" s="4" t="s">
        <v>69</v>
      </c>
      <c r="K17" s="4">
        <v>0</v>
      </c>
      <c r="M17">
        <v>1</v>
      </c>
      <c r="R17" t="str">
        <f>IF($U$2=TRUE,$W$2&amp;". Сработала уставка по наработке в часах","Сработала уставка по наработке в часах")</f>
        <v>Насос без управления. Сработала уставка по наработке в часах</v>
      </c>
      <c r="S17" s="372"/>
      <c r="U17" s="773"/>
      <c r="V17" s="4"/>
      <c r="W17" s="773"/>
      <c r="X17" s="4"/>
    </row>
    <row r="18" spans="1:24">
      <c r="A18" t="str">
        <f>SUBSTITUTE($V$2,"\","|")&amp;"|XRMX"</f>
        <v>IM_V1|XRMX</v>
      </c>
      <c r="B18" t="s">
        <v>78</v>
      </c>
      <c r="F18">
        <v>0</v>
      </c>
      <c r="G18" t="s">
        <v>71</v>
      </c>
      <c r="H18">
        <v>0</v>
      </c>
      <c r="I18" t="s">
        <v>76</v>
      </c>
      <c r="J18" t="s">
        <v>73</v>
      </c>
      <c r="K18">
        <v>0</v>
      </c>
      <c r="M18">
        <v>1</v>
      </c>
      <c r="R18" t="str">
        <f>IF($U$2=TRUE,$W$2&amp;". Наработка в минутах","Наработка в минутах")</f>
        <v>Насос без управления. Наработка в минутах</v>
      </c>
      <c r="S18" s="372"/>
      <c r="U18" s="773"/>
      <c r="V18" s="4"/>
      <c r="W18" s="773"/>
      <c r="X18" s="4"/>
    </row>
    <row r="19" spans="1:24">
      <c r="A19" t="str">
        <f>SUBSTITUTE($V$2,"\","|")&amp;"|XRHX"</f>
        <v>IM_V1|XRHX</v>
      </c>
      <c r="B19" t="s">
        <v>78</v>
      </c>
      <c r="F19">
        <v>0</v>
      </c>
      <c r="G19" t="s">
        <v>71</v>
      </c>
      <c r="H19">
        <v>0</v>
      </c>
      <c r="I19" t="s">
        <v>76</v>
      </c>
      <c r="J19" t="s">
        <v>73</v>
      </c>
      <c r="K19">
        <v>0</v>
      </c>
      <c r="M19">
        <v>1</v>
      </c>
      <c r="R19" t="str">
        <f>IF($U$2=TRUE,$W$2&amp;". Наработка в часах","Наработка в часах")</f>
        <v>Насос без управления. Наработка в часах</v>
      </c>
      <c r="S19" s="372"/>
      <c r="U19" s="773"/>
      <c r="V19" s="4"/>
      <c r="W19" s="773"/>
      <c r="X19" s="4"/>
    </row>
    <row r="20" spans="1:24">
      <c r="A20" t="str">
        <f>SUBSTITUTE($V$2,"\","|")&amp;"|SRTX"</f>
        <v>IM_V1|SRTX</v>
      </c>
      <c r="B20" t="s">
        <v>78</v>
      </c>
      <c r="F20">
        <v>1000</v>
      </c>
      <c r="G20" t="s">
        <v>71</v>
      </c>
      <c r="H20">
        <v>0</v>
      </c>
      <c r="I20" t="s">
        <v>76</v>
      </c>
      <c r="J20" t="s">
        <v>73</v>
      </c>
      <c r="K20">
        <v>0</v>
      </c>
      <c r="M20">
        <v>1</v>
      </c>
      <c r="R20" t="str">
        <f>IF($U$2=TRUE,$W$2&amp;". Уставка по наработке в часах","Уставка по наработке в часах")</f>
        <v>Насос без управления. Уставка по наработке в часах</v>
      </c>
      <c r="S20" s="372"/>
      <c r="U20" s="773"/>
      <c r="V20" s="4"/>
      <c r="W20" s="773"/>
      <c r="X20" s="4"/>
    </row>
    <row r="21" spans="1:24">
      <c r="A21" s="514" t="str">
        <f>"PACK_TO_INT|STATE|"&amp;SUBSTITUTE($V$2,"\","|")</f>
        <v>PACK_TO_INT|STATE|IM_V1</v>
      </c>
      <c r="B21" s="4" t="s">
        <v>78</v>
      </c>
      <c r="F21" s="4">
        <v>0</v>
      </c>
      <c r="G21" s="4" t="s">
        <v>71</v>
      </c>
      <c r="H21" s="4">
        <v>0</v>
      </c>
      <c r="I21" s="4" t="s">
        <v>72</v>
      </c>
      <c r="J21" s="4" t="s">
        <v>73</v>
      </c>
      <c r="K21" s="514">
        <v>1</v>
      </c>
    </row>
    <row r="22" spans="1:24">
      <c r="A22" s="514" t="str">
        <f>"PACK_TO_INT|FAULT|"&amp;SUBSTITUTE($V$2,"\","|")</f>
        <v>PACK_TO_INT|FAULT|IM_V1</v>
      </c>
      <c r="B22" s="4" t="s">
        <v>78</v>
      </c>
      <c r="F22" s="4">
        <v>0</v>
      </c>
      <c r="G22" s="4" t="s">
        <v>71</v>
      </c>
      <c r="H22" s="4">
        <v>0</v>
      </c>
      <c r="I22" s="4" t="s">
        <v>72</v>
      </c>
      <c r="J22" s="4" t="s">
        <v>73</v>
      </c>
      <c r="K22" s="514">
        <v>1</v>
      </c>
    </row>
    <row r="25" spans="1:24">
      <c r="A25" s="4"/>
      <c r="B25" s="4"/>
      <c r="F25" s="4"/>
      <c r="G25" s="4"/>
      <c r="H25" s="4"/>
      <c r="I25" s="4"/>
      <c r="J25" s="4"/>
      <c r="K25" s="4"/>
      <c r="M25" s="4"/>
    </row>
    <row r="26" spans="1:24">
      <c r="A26" s="4"/>
      <c r="B26" s="4"/>
      <c r="F26" s="4"/>
      <c r="G26" s="4"/>
      <c r="H26" s="4"/>
      <c r="I26" s="4"/>
      <c r="J26" s="4"/>
      <c r="K26" s="4"/>
      <c r="M26" s="4"/>
    </row>
    <row r="27" spans="1:24">
      <c r="A27" s="4"/>
      <c r="B27" s="4"/>
      <c r="F27" s="4"/>
      <c r="G27" s="4"/>
      <c r="H27" s="4"/>
      <c r="I27" s="4"/>
      <c r="J27" s="4"/>
      <c r="K27" s="4"/>
      <c r="M27" s="4"/>
    </row>
    <row r="28" spans="1:24">
      <c r="A28" s="4"/>
      <c r="B28" s="4"/>
      <c r="F28" s="4"/>
      <c r="G28" s="4"/>
      <c r="H28" s="4"/>
      <c r="I28" s="4"/>
      <c r="J28" s="4"/>
      <c r="K28" s="4"/>
      <c r="M28" s="4"/>
    </row>
    <row r="29" spans="1:24">
      <c r="A29" s="4"/>
      <c r="B29" s="4"/>
      <c r="F29" s="4"/>
      <c r="G29" s="4"/>
      <c r="H29" s="4"/>
      <c r="I29" s="4"/>
      <c r="J29" s="4"/>
      <c r="K29" s="4"/>
      <c r="M29" s="4"/>
    </row>
    <row r="30" spans="1:24">
      <c r="A30" s="4"/>
      <c r="B30" s="4"/>
      <c r="F30" s="4"/>
      <c r="G30" s="4"/>
      <c r="H30" s="4"/>
      <c r="I30" s="4"/>
      <c r="J30" s="4"/>
      <c r="K30" s="4"/>
      <c r="M30" s="4"/>
    </row>
    <row r="31" spans="1:24">
      <c r="A31" s="4"/>
      <c r="B31" s="4"/>
      <c r="F31" s="4"/>
      <c r="G31" s="4"/>
      <c r="H31" s="4"/>
      <c r="I31" s="4"/>
      <c r="J31" s="4"/>
      <c r="K31" s="4"/>
      <c r="M31" s="4"/>
    </row>
    <row r="32" spans="1:24">
      <c r="A32" s="4"/>
      <c r="B32" s="4"/>
      <c r="F32" s="4"/>
      <c r="G32" s="4"/>
      <c r="H32" s="4"/>
      <c r="I32" s="4"/>
      <c r="J32" s="4"/>
      <c r="K32" s="4"/>
      <c r="M32" s="4"/>
    </row>
    <row r="33" spans="1:23">
      <c r="A33" s="4"/>
      <c r="B33" s="4"/>
      <c r="F33" s="4"/>
      <c r="G33" s="4"/>
      <c r="H33" s="4"/>
      <c r="I33" s="4"/>
      <c r="J33" s="4"/>
      <c r="K33" s="4"/>
      <c r="M33" s="4"/>
    </row>
    <row r="34" spans="1:23">
      <c r="A34" s="4"/>
      <c r="B34" s="4"/>
      <c r="F34" s="4"/>
      <c r="G34" s="4"/>
      <c r="H34" s="4"/>
      <c r="I34" s="4"/>
      <c r="J34" s="4"/>
      <c r="K34" s="4"/>
      <c r="M34" s="4"/>
    </row>
    <row r="35" spans="1:23">
      <c r="A35" s="4"/>
      <c r="B35" s="4"/>
      <c r="F35" s="4"/>
      <c r="G35" s="4"/>
      <c r="H35" s="4"/>
      <c r="I35" s="4"/>
      <c r="J35" s="4"/>
      <c r="K35" s="4"/>
      <c r="M35" s="4"/>
    </row>
    <row r="36" spans="1:23">
      <c r="A36" s="4"/>
      <c r="B36" s="4"/>
      <c r="F36" s="4"/>
      <c r="G36" s="4"/>
      <c r="H36" s="4"/>
      <c r="I36" s="4"/>
      <c r="J36" s="4"/>
      <c r="K36" s="4"/>
      <c r="M36" s="4"/>
    </row>
    <row r="37" spans="1:23">
      <c r="A37" s="4"/>
      <c r="B37" s="4"/>
      <c r="F37" s="4"/>
      <c r="G37" s="4"/>
      <c r="H37" s="4"/>
      <c r="I37" s="4"/>
      <c r="J37" s="4"/>
      <c r="K37" s="4"/>
      <c r="M37" s="4"/>
    </row>
    <row r="40" spans="1:23">
      <c r="W40" s="4"/>
    </row>
    <row r="41" spans="1:23">
      <c r="W41" s="4"/>
    </row>
    <row r="42" spans="1:23">
      <c r="W42" s="4"/>
    </row>
    <row r="43" spans="1:23">
      <c r="W43" s="4"/>
    </row>
    <row r="44" spans="1:23">
      <c r="W44" s="4"/>
    </row>
    <row r="45" spans="1:23">
      <c r="W45" s="4"/>
    </row>
    <row r="46" spans="1:23">
      <c r="W46" s="4"/>
    </row>
    <row r="47" spans="1:23">
      <c r="W47" s="4"/>
    </row>
    <row r="48" spans="1:23">
      <c r="W48" s="4"/>
    </row>
    <row r="49" spans="23:23">
      <c r="W49" s="4"/>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Лист80">
    <tabColor rgb="FF92D050"/>
  </sheetPr>
  <dimension ref="A1:AC76"/>
  <sheetViews>
    <sheetView topLeftCell="G52"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c r="A2" s="10"/>
      <c r="B2" s="10"/>
      <c r="F2" s="10"/>
      <c r="G2" s="10"/>
      <c r="H2" s="10"/>
      <c r="I2" s="10"/>
      <c r="J2" s="10"/>
      <c r="K2" s="10"/>
      <c r="M2" s="10"/>
      <c r="N2" s="10"/>
      <c r="O2" s="10"/>
      <c r="P2" s="10"/>
      <c r="Q2" s="10"/>
      <c r="R2" s="10"/>
      <c r="U2" s="74" t="b">
        <f>Настройки!$M$34</f>
        <v>1</v>
      </c>
      <c r="V2" s="73" t="s">
        <v>505</v>
      </c>
      <c r="W2" s="537" t="s">
        <v>766</v>
      </c>
      <c r="X2" s="73">
        <v>5</v>
      </c>
      <c r="Y2" s="73" t="s">
        <v>72</v>
      </c>
      <c r="Z2" s="73"/>
      <c r="AA2" s="74">
        <v>6</v>
      </c>
      <c r="AB2" s="74">
        <v>0</v>
      </c>
      <c r="AC2" s="74"/>
    </row>
    <row r="3" spans="1:29">
      <c r="A3" t="str">
        <f>SUBSTITUTE($V$2,"\","|")&amp;"|IONX"</f>
        <v>S_IM_ADES|IONX</v>
      </c>
      <c r="B3" t="s">
        <v>74</v>
      </c>
      <c r="F3" t="s">
        <v>72</v>
      </c>
      <c r="G3" t="s">
        <v>71</v>
      </c>
      <c r="H3">
        <v>0</v>
      </c>
      <c r="I3" t="s">
        <v>72</v>
      </c>
      <c r="J3" t="s">
        <v>69</v>
      </c>
      <c r="K3">
        <v>0</v>
      </c>
      <c r="M3">
        <v>1</v>
      </c>
      <c r="R3" t="str">
        <f>IF($U$2=TRUE,$W$2&amp;". Входное значение Включена","Входное значение Включена")</f>
        <v>АДЭС FB. Входное значение Включена</v>
      </c>
      <c r="S3" s="372"/>
      <c r="U3" s="773"/>
      <c r="V3" s="4"/>
      <c r="W3" s="773"/>
      <c r="X3" s="4"/>
    </row>
    <row r="4" spans="1:29">
      <c r="A4" t="str">
        <f>SUBSTITUTE($V$2,"\","|")&amp;"|IOFX"</f>
        <v>S_IM_ADES|IOFX</v>
      </c>
      <c r="B4" t="s">
        <v>74</v>
      </c>
      <c r="F4" t="s">
        <v>72</v>
      </c>
      <c r="G4" t="s">
        <v>71</v>
      </c>
      <c r="H4">
        <v>0</v>
      </c>
      <c r="I4" t="s">
        <v>72</v>
      </c>
      <c r="J4" t="s">
        <v>69</v>
      </c>
      <c r="K4">
        <v>0</v>
      </c>
      <c r="M4">
        <v>1</v>
      </c>
      <c r="R4" t="str">
        <f>IF($U$2=TRUE,$W$2&amp;". Входное значение Отключеа","Входное значение Отключеа")</f>
        <v>АДЭС FB. Входное значение Отключеа</v>
      </c>
      <c r="S4" s="372"/>
      <c r="U4" s="773"/>
      <c r="V4" s="4"/>
      <c r="W4" s="773"/>
      <c r="X4" s="4"/>
    </row>
    <row r="5" spans="1:29">
      <c r="A5" t="str">
        <f>SUBSTITUTE($V$2,"\","|")&amp;"|IRCX"</f>
        <v>S_IM_ADES|IRCX</v>
      </c>
      <c r="B5" t="s">
        <v>74</v>
      </c>
      <c r="F5" t="s">
        <v>76</v>
      </c>
      <c r="G5" t="s">
        <v>71</v>
      </c>
      <c r="H5">
        <v>0</v>
      </c>
      <c r="I5" t="s">
        <v>72</v>
      </c>
      <c r="J5" t="s">
        <v>69</v>
      </c>
      <c r="K5">
        <v>0</v>
      </c>
      <c r="M5">
        <v>1</v>
      </c>
      <c r="R5" t="str">
        <f>IF($U$2=TRUE,$W$2&amp;". Входное значение Дистанционное управление","Входное значение Дистанционное управление")</f>
        <v>АДЭС FB. Входное значение Дистанционное управление</v>
      </c>
      <c r="S5" s="372"/>
      <c r="U5" s="773"/>
      <c r="V5" s="4"/>
      <c r="W5" s="773"/>
      <c r="X5" s="4"/>
    </row>
    <row r="6" spans="1:29">
      <c r="A6" t="str">
        <f>SUBSTITUTE($V$2,"\","|")&amp;"|IFXX"</f>
        <v>S_IM_ADES|IFXX</v>
      </c>
      <c r="B6" t="s">
        <v>74</v>
      </c>
      <c r="F6" t="s">
        <v>72</v>
      </c>
      <c r="G6" t="s">
        <v>71</v>
      </c>
      <c r="H6">
        <v>0</v>
      </c>
      <c r="I6" t="s">
        <v>72</v>
      </c>
      <c r="J6" t="s">
        <v>69</v>
      </c>
      <c r="K6">
        <v>0</v>
      </c>
      <c r="M6">
        <v>1</v>
      </c>
      <c r="R6" t="str">
        <f>IF($U$2=TRUE,$W$2&amp;". Входное значение Неисправность","Входное значение Неисправность")</f>
        <v>АДЭС FB. Входное значение Неисправность</v>
      </c>
      <c r="S6" s="372"/>
      <c r="U6" s="773"/>
      <c r="V6" s="4"/>
      <c r="W6" s="773"/>
      <c r="X6" s="4"/>
    </row>
    <row r="7" spans="1:29">
      <c r="A7" t="str">
        <f>SUBSTITUTE($V$2,"\","|")&amp;"|DONX"</f>
        <v>S_IM_ADES|DONX</v>
      </c>
      <c r="B7" t="s">
        <v>74</v>
      </c>
      <c r="F7" t="s">
        <v>72</v>
      </c>
      <c r="G7" t="s">
        <v>71</v>
      </c>
      <c r="H7">
        <v>0</v>
      </c>
      <c r="I7" t="s">
        <v>72</v>
      </c>
      <c r="J7" t="s">
        <v>69</v>
      </c>
      <c r="K7">
        <v>0</v>
      </c>
      <c r="M7">
        <v>1</v>
      </c>
      <c r="R7" t="str">
        <f>IF($U$2=TRUE,$W$2&amp;". Недостоверное Входное значение Включена","Недостоверное Входное значение Включена")</f>
        <v>АДЭС FB. Недостоверное Входное значение Включена</v>
      </c>
      <c r="S7" s="372"/>
      <c r="U7" s="773"/>
      <c r="V7" s="4"/>
      <c r="W7" s="773"/>
      <c r="X7" s="4"/>
    </row>
    <row r="8" spans="1:29">
      <c r="A8" t="str">
        <f>SUBSTITUTE($V$2,"\","|")&amp;"|DOFX"</f>
        <v>S_IM_ADES|DOFX</v>
      </c>
      <c r="B8" t="s">
        <v>74</v>
      </c>
      <c r="F8" t="s">
        <v>72</v>
      </c>
      <c r="G8" t="s">
        <v>71</v>
      </c>
      <c r="H8">
        <v>0</v>
      </c>
      <c r="I8" t="s">
        <v>72</v>
      </c>
      <c r="J8" t="s">
        <v>69</v>
      </c>
      <c r="K8">
        <v>0</v>
      </c>
      <c r="M8">
        <v>1</v>
      </c>
      <c r="R8" t="str">
        <f>IF($U$2=TRUE,$W$2&amp;". Недостоверное Входное значение Отключена","Недостоверное Входное значение Отключена")</f>
        <v>АДЭС FB. Недостоверное Входное значение Отключена</v>
      </c>
      <c r="S8" s="372"/>
      <c r="U8" s="773"/>
      <c r="V8" s="4"/>
      <c r="W8" s="773"/>
      <c r="X8" s="4"/>
    </row>
    <row r="9" spans="1:29">
      <c r="A9" t="str">
        <f>SUBSTITUTE($V$2,"\","|")&amp;"|DRCX"</f>
        <v>S_IM_ADES|DRCX</v>
      </c>
      <c r="B9" t="s">
        <v>74</v>
      </c>
      <c r="F9" t="s">
        <v>72</v>
      </c>
      <c r="G9" t="s">
        <v>71</v>
      </c>
      <c r="H9">
        <v>0</v>
      </c>
      <c r="I9" t="s">
        <v>72</v>
      </c>
      <c r="J9" t="s">
        <v>69</v>
      </c>
      <c r="K9">
        <v>0</v>
      </c>
      <c r="M9">
        <v>1</v>
      </c>
      <c r="R9" t="str">
        <f>IF($U$2=TRUE,$W$2&amp;". Недостоверное Входное значение Дистанционное управление","Недостоверное Входное значение Дистанционное управление")</f>
        <v>АДЭС FB. Недостоверное Входное значение Дистанционное управление</v>
      </c>
      <c r="S9" s="372"/>
      <c r="U9" s="773"/>
      <c r="V9" s="4"/>
      <c r="W9" s="773"/>
      <c r="X9" s="4"/>
    </row>
    <row r="10" spans="1:29">
      <c r="A10" t="str">
        <f>SUBSTITUTE($V$2,"\","|")&amp;"|DFXX"</f>
        <v>S_IM_ADES|DFXX</v>
      </c>
      <c r="B10" t="s">
        <v>74</v>
      </c>
      <c r="F10" t="s">
        <v>72</v>
      </c>
      <c r="G10" t="s">
        <v>71</v>
      </c>
      <c r="H10">
        <v>0</v>
      </c>
      <c r="I10" t="s">
        <v>72</v>
      </c>
      <c r="J10" t="s">
        <v>69</v>
      </c>
      <c r="K10">
        <v>0</v>
      </c>
      <c r="M10">
        <v>1</v>
      </c>
      <c r="R10" t="str">
        <f>IF($U$2=TRUE,$W$2&amp;". Недостоверное Входное значение Неисправность","Недостоверное Входное значение Неисправность")</f>
        <v>АДЭС FB. Недостоверное Входное значение Неисправность</v>
      </c>
      <c r="S10" s="372"/>
      <c r="U10" s="773"/>
      <c r="V10" s="4"/>
      <c r="W10" s="773"/>
      <c r="X10" s="4"/>
    </row>
    <row r="11" spans="1:29">
      <c r="A11" t="str">
        <f>SUBSTITUTE($V$2,"\","|")&amp;"|DOON"</f>
        <v>S_IM_ADES|DOON</v>
      </c>
      <c r="B11" t="s">
        <v>74</v>
      </c>
      <c r="F11" t="s">
        <v>72</v>
      </c>
      <c r="G11" t="s">
        <v>71</v>
      </c>
      <c r="H11">
        <v>0</v>
      </c>
      <c r="I11" t="s">
        <v>72</v>
      </c>
      <c r="J11" t="s">
        <v>69</v>
      </c>
      <c r="K11">
        <v>0</v>
      </c>
      <c r="M11">
        <v>1</v>
      </c>
      <c r="R11" t="str">
        <f>IF($U$2=TRUE,$W$2&amp;". Недостоверное Выходное  значение Включить","Недостоверное Выходное  значение Включить")</f>
        <v>АДЭС FB. Недостоверное Выходное  значение Включить</v>
      </c>
      <c r="S11" s="372"/>
      <c r="U11" s="773"/>
      <c r="V11" s="4"/>
      <c r="W11" s="773"/>
      <c r="X11" s="4"/>
    </row>
    <row r="12" spans="1:29">
      <c r="A12" t="str">
        <f>SUBSTITUTE($V$2,"\","|")&amp;"|DOOF"</f>
        <v>S_IM_ADES|DOOF</v>
      </c>
      <c r="B12" t="s">
        <v>74</v>
      </c>
      <c r="F12" t="s">
        <v>72</v>
      </c>
      <c r="G12" t="s">
        <v>71</v>
      </c>
      <c r="H12">
        <v>0</v>
      </c>
      <c r="I12" t="s">
        <v>72</v>
      </c>
      <c r="J12" t="s">
        <v>69</v>
      </c>
      <c r="K12">
        <v>0</v>
      </c>
      <c r="M12">
        <v>1</v>
      </c>
      <c r="R12" t="str">
        <f>IF($U$2=TRUE,$W$2&amp;". Недостоверное Выходное значение Отключить","Недостоверное Выходное значение Отключить")</f>
        <v>АДЭС FB. Недостоверное Выходное значение Отключить</v>
      </c>
      <c r="S12" s="372"/>
      <c r="U12" s="773"/>
      <c r="V12" s="4"/>
      <c r="W12" s="773"/>
      <c r="X12" s="4"/>
    </row>
    <row r="13" spans="1:29">
      <c r="A13" t="str">
        <f>SUBSTITUTE($V$2,"\","|")&amp;"|DOSP"</f>
        <v>S_IM_ADES|DOSP</v>
      </c>
      <c r="B13" t="s">
        <v>74</v>
      </c>
      <c r="F13" t="s">
        <v>72</v>
      </c>
      <c r="G13" t="s">
        <v>71</v>
      </c>
      <c r="H13">
        <v>0</v>
      </c>
      <c r="I13" t="s">
        <v>72</v>
      </c>
      <c r="J13" t="s">
        <v>69</v>
      </c>
      <c r="K13">
        <v>0</v>
      </c>
      <c r="M13">
        <v>1</v>
      </c>
      <c r="R13" t="str">
        <f>IF($U$2=TRUE,$W$2&amp;". Недостоверное Выходное значение Стоп","Недостоверное Выходное значение Стоп")</f>
        <v>АДЭС FB. Недостоверное Выходное значение Стоп</v>
      </c>
      <c r="S13" s="372"/>
      <c r="U13" s="773"/>
      <c r="V13" s="4"/>
      <c r="W13" s="773"/>
      <c r="X13" s="4"/>
    </row>
    <row r="14" spans="1:29">
      <c r="A14" t="str">
        <f>SUBSTITUTE($V$2,"\","|")&amp;"|XONX"</f>
        <v>S_IM_ADES|XONX</v>
      </c>
      <c r="B14" t="s">
        <v>74</v>
      </c>
      <c r="F14" t="s">
        <v>72</v>
      </c>
      <c r="G14" t="s">
        <v>71</v>
      </c>
      <c r="H14">
        <v>0</v>
      </c>
      <c r="I14" t="s">
        <v>72</v>
      </c>
      <c r="J14" t="s">
        <v>69</v>
      </c>
      <c r="K14">
        <v>0</v>
      </c>
      <c r="M14">
        <v>1</v>
      </c>
      <c r="R14" t="str">
        <f>IF($U$2=TRUE,$W$2&amp;". Выходное значение Включена","Выходное значение Включена")</f>
        <v>АДЭС FB. Выходное значение Включена</v>
      </c>
      <c r="S14" s="372"/>
      <c r="U14" s="773"/>
      <c r="V14" s="4"/>
      <c r="W14" s="773"/>
      <c r="X14" s="4"/>
    </row>
    <row r="15" spans="1:29">
      <c r="A15" t="str">
        <f>SUBSTITUTE($V$2,"\","|")&amp;"|XOFX"</f>
        <v>S_IM_ADES|XOFX</v>
      </c>
      <c r="B15" t="s">
        <v>74</v>
      </c>
      <c r="F15" t="s">
        <v>72</v>
      </c>
      <c r="G15" t="s">
        <v>71</v>
      </c>
      <c r="H15">
        <v>0</v>
      </c>
      <c r="I15" t="s">
        <v>72</v>
      </c>
      <c r="J15" t="s">
        <v>69</v>
      </c>
      <c r="K15">
        <v>0</v>
      </c>
      <c r="M15">
        <v>1</v>
      </c>
      <c r="R15" t="str">
        <f>IF($U$2=TRUE,$W$2&amp;". Выходное значение Отключена","Выходное значение Отключена")</f>
        <v>АДЭС FB. Выходное значение Отключена</v>
      </c>
      <c r="S15" s="372"/>
      <c r="U15" s="773"/>
      <c r="V15" s="4"/>
      <c r="W15" s="773"/>
      <c r="X15" s="4"/>
    </row>
    <row r="16" spans="1:29">
      <c r="A16" t="str">
        <f>SUBSTITUTE($V$2,"\","|")&amp;"|XRCX"</f>
        <v>S_IM_ADES|XRCX</v>
      </c>
      <c r="B16" t="s">
        <v>74</v>
      </c>
      <c r="F16" t="s">
        <v>72</v>
      </c>
      <c r="G16" t="s">
        <v>71</v>
      </c>
      <c r="H16">
        <v>0</v>
      </c>
      <c r="I16" t="s">
        <v>72</v>
      </c>
      <c r="J16" t="s">
        <v>69</v>
      </c>
      <c r="K16">
        <v>0</v>
      </c>
      <c r="M16">
        <v>1</v>
      </c>
      <c r="R16" t="str">
        <f>IF($U$2=TRUE,$W$2&amp;". Выходное значение Дистанционное управление","Выходное значение Дистанционное управление")</f>
        <v>АДЭС FB. Выходное значение Дистанционное управление</v>
      </c>
      <c r="S16" s="372"/>
      <c r="U16" s="773"/>
      <c r="V16" s="4"/>
      <c r="W16" s="773"/>
      <c r="X16" s="4"/>
    </row>
    <row r="17" spans="1:24">
      <c r="A17" s="4" t="str">
        <f>SUBSTITUTE($V$2,"\","|")&amp;"|XMMX"</f>
        <v>S_IM_ADES|XMMX</v>
      </c>
      <c r="B17" s="4" t="s">
        <v>74</v>
      </c>
      <c r="F17" s="4" t="s">
        <v>72</v>
      </c>
      <c r="G17" s="4" t="s">
        <v>71</v>
      </c>
      <c r="H17" s="4">
        <v>0</v>
      </c>
      <c r="I17" s="4" t="s">
        <v>72</v>
      </c>
      <c r="J17" s="4" t="s">
        <v>69</v>
      </c>
      <c r="K17" s="4">
        <v>0</v>
      </c>
      <c r="M17">
        <v>1</v>
      </c>
      <c r="R17" t="str">
        <f>IF($U$2=TRUE,$W$2&amp;". Выходное значение Ручное управление","Выходное значение Ручное управление")</f>
        <v>АДЭС FB. Выходное значение Ручное управление</v>
      </c>
      <c r="S17" s="372"/>
      <c r="U17" s="773"/>
      <c r="V17" s="4"/>
      <c r="W17" s="773"/>
      <c r="X17" s="4"/>
    </row>
    <row r="18" spans="1:24">
      <c r="A18" t="str">
        <f>SUBSTITUTE($V$2,"\","|")&amp;"|XRPX"</f>
        <v>S_IM_ADES|XRPX</v>
      </c>
      <c r="B18" t="s">
        <v>74</v>
      </c>
      <c r="F18" t="s">
        <v>72</v>
      </c>
      <c r="G18" t="s">
        <v>71</v>
      </c>
      <c r="H18">
        <v>0</v>
      </c>
      <c r="I18" t="s">
        <v>72</v>
      </c>
      <c r="J18" t="s">
        <v>69</v>
      </c>
      <c r="K18">
        <v>0</v>
      </c>
      <c r="M18">
        <v>1</v>
      </c>
      <c r="R18" t="str">
        <f>IF($U$2=TRUE,$W$2&amp;". Выходное значение Выведен в ремонт","Выходное значение Выведен в ремонт")</f>
        <v>АДЭС FB. Выходное значение Выведен в ремонт</v>
      </c>
      <c r="S18" s="372"/>
      <c r="U18" s="773"/>
      <c r="V18" s="4"/>
      <c r="W18" s="773"/>
      <c r="X18" s="4"/>
    </row>
    <row r="19" spans="1:24">
      <c r="A19" t="str">
        <f>SUBSTITUTE($V$2,"\","|")&amp;"|OXON"</f>
        <v>S_IM_ADES|OXON</v>
      </c>
      <c r="B19" t="s">
        <v>74</v>
      </c>
      <c r="F19" t="s">
        <v>72</v>
      </c>
      <c r="G19" t="s">
        <v>71</v>
      </c>
      <c r="H19">
        <v>0</v>
      </c>
      <c r="I19" t="s">
        <v>72</v>
      </c>
      <c r="J19" t="s">
        <v>69</v>
      </c>
      <c r="K19">
        <v>0</v>
      </c>
      <c r="M19">
        <v>1</v>
      </c>
      <c r="R19" t="str">
        <f>IF($U$2=TRUE,$W$2&amp;". Выходное значение Включить","Выходное значение Включить")</f>
        <v>АДЭС FB. Выходное значение Включить</v>
      </c>
      <c r="S19" s="372"/>
      <c r="U19" s="773"/>
      <c r="V19" s="4"/>
      <c r="W19" s="773"/>
      <c r="X19" s="4"/>
    </row>
    <row r="20" spans="1:24">
      <c r="A20" t="str">
        <f>SUBSTITUTE($V$2,"\","|")&amp;"|OXOF"</f>
        <v>S_IM_ADES|OXOF</v>
      </c>
      <c r="B20" t="s">
        <v>74</v>
      </c>
      <c r="F20" t="s">
        <v>72</v>
      </c>
      <c r="G20" t="s">
        <v>71</v>
      </c>
      <c r="H20">
        <v>0</v>
      </c>
      <c r="I20" t="s">
        <v>72</v>
      </c>
      <c r="J20" t="s">
        <v>69</v>
      </c>
      <c r="K20">
        <v>0</v>
      </c>
      <c r="M20">
        <v>1</v>
      </c>
      <c r="R20" t="str">
        <f>IF($U$2=TRUE,$W$2&amp;". Выходное значение Отключить","Выходное значение Отключить")</f>
        <v>АДЭС FB. Выходное значение Отключить</v>
      </c>
      <c r="S20" s="372"/>
      <c r="U20" s="773"/>
      <c r="V20" s="4"/>
      <c r="W20" s="773"/>
      <c r="X20" s="4"/>
    </row>
    <row r="21" spans="1:24">
      <c r="A21" t="str">
        <f>SUBSTITUTE($V$2,"\","|")&amp;"|OXSP"</f>
        <v>S_IM_ADES|OXSP</v>
      </c>
      <c r="B21" t="s">
        <v>74</v>
      </c>
      <c r="F21" t="s">
        <v>72</v>
      </c>
      <c r="G21" t="s">
        <v>71</v>
      </c>
      <c r="H21">
        <v>0</v>
      </c>
      <c r="I21" t="s">
        <v>72</v>
      </c>
      <c r="J21" t="s">
        <v>69</v>
      </c>
      <c r="K21">
        <v>0</v>
      </c>
      <c r="M21">
        <v>1</v>
      </c>
      <c r="R21" t="str">
        <f>IF($U$2=TRUE,$W$2&amp;". Выходное значение Стоп","Выходное значение Стоп")</f>
        <v>АДЭС FB. Выходное значение Стоп</v>
      </c>
      <c r="S21" s="372"/>
      <c r="U21" s="773"/>
      <c r="V21" s="4"/>
      <c r="W21" s="773"/>
      <c r="X21" s="4"/>
    </row>
    <row r="22" spans="1:24">
      <c r="A22" t="str">
        <f>SUBSTITUTE($V$2,"\","|")&amp;"|XONP"</f>
        <v>S_IM_ADES|XONP</v>
      </c>
      <c r="B22" t="s">
        <v>74</v>
      </c>
      <c r="F22" t="s">
        <v>72</v>
      </c>
      <c r="G22" t="s">
        <v>71</v>
      </c>
      <c r="H22">
        <v>0</v>
      </c>
      <c r="I22" t="s">
        <v>72</v>
      </c>
      <c r="J22" t="s">
        <v>69</v>
      </c>
      <c r="K22">
        <v>0</v>
      </c>
      <c r="M22">
        <v>1</v>
      </c>
      <c r="R22" t="str">
        <f>IF($U$2=TRUE,$W$2&amp;". Выходное значение Включается","Выходное значение Включается")</f>
        <v>АДЭС FB. Выходное значение Включается</v>
      </c>
      <c r="S22" s="372"/>
      <c r="U22" s="773"/>
      <c r="V22" s="4"/>
      <c r="W22" s="773"/>
      <c r="X22" s="4"/>
    </row>
    <row r="23" spans="1:24">
      <c r="A23" t="str">
        <f>SUBSTITUTE($V$2,"\","|")&amp;"|XOFP"</f>
        <v>S_IM_ADES|XOFP</v>
      </c>
      <c r="B23" t="s">
        <v>74</v>
      </c>
      <c r="F23" t="s">
        <v>72</v>
      </c>
      <c r="G23" t="s">
        <v>71</v>
      </c>
      <c r="H23">
        <v>0</v>
      </c>
      <c r="I23" t="s">
        <v>72</v>
      </c>
      <c r="J23" t="s">
        <v>69</v>
      </c>
      <c r="K23">
        <v>0</v>
      </c>
      <c r="M23">
        <v>1</v>
      </c>
      <c r="R23" t="str">
        <f>IF($U$2=TRUE,$W$2&amp;". Выходное значение Отключается","Выходное значение Отключается")</f>
        <v>АДЭС FB. Выходное значение Отключается</v>
      </c>
      <c r="S23" s="372"/>
      <c r="U23" s="773"/>
      <c r="V23" s="4"/>
      <c r="W23" s="773"/>
      <c r="X23" s="4"/>
    </row>
    <row r="24" spans="1:24">
      <c r="A24" t="str">
        <f>SUBSTITUTE($V$2,"\","|")&amp;"|COON"</f>
        <v>S_IM_ADES|COON</v>
      </c>
      <c r="B24" t="s">
        <v>74</v>
      </c>
      <c r="F24" t="s">
        <v>72</v>
      </c>
      <c r="G24" t="s">
        <v>71</v>
      </c>
      <c r="H24">
        <v>0</v>
      </c>
      <c r="I24" t="s">
        <v>72</v>
      </c>
      <c r="J24" t="s">
        <v>73</v>
      </c>
      <c r="K24">
        <v>0</v>
      </c>
      <c r="M24">
        <v>1</v>
      </c>
      <c r="R24" t="str">
        <f>IF($U$2=TRUE,$W$2&amp;". Команда оператора Включить","Команда оператора Включить")</f>
        <v>АДЭС FB. Команда оператора Включить</v>
      </c>
      <c r="S24" s="372"/>
      <c r="U24" s="773"/>
      <c r="V24" s="4"/>
      <c r="W24" s="773"/>
      <c r="X24" s="4"/>
    </row>
    <row r="25" spans="1:24">
      <c r="A25" s="4" t="str">
        <f>SUBSTITUTE($V$2,"\","|")&amp;"|COOF"</f>
        <v>S_IM_ADES|COOF</v>
      </c>
      <c r="B25" s="4" t="s">
        <v>74</v>
      </c>
      <c r="F25" s="4" t="s">
        <v>72</v>
      </c>
      <c r="G25" s="4" t="s">
        <v>71</v>
      </c>
      <c r="H25" s="4">
        <v>0</v>
      </c>
      <c r="I25" s="4" t="s">
        <v>72</v>
      </c>
      <c r="J25" s="4" t="s">
        <v>73</v>
      </c>
      <c r="K25" s="4">
        <v>0</v>
      </c>
      <c r="M25">
        <v>1</v>
      </c>
      <c r="R25" t="str">
        <f>IF($U$2=TRUE,$W$2&amp;". Команда оператора Отключить","Команда оператора Отключить")</f>
        <v>АДЭС FB. Команда оператора Отключить</v>
      </c>
      <c r="S25" s="372"/>
      <c r="U25" s="773"/>
      <c r="V25" s="4"/>
      <c r="W25" s="773"/>
      <c r="X25" s="4"/>
    </row>
    <row r="26" spans="1:24">
      <c r="A26" s="4" t="str">
        <f>SUBSTITUTE($V$2,"\","|")&amp;"|COSP"</f>
        <v>S_IM_ADES|COSP</v>
      </c>
      <c r="B26" s="4" t="s">
        <v>74</v>
      </c>
      <c r="F26" s="4" t="s">
        <v>72</v>
      </c>
      <c r="G26" s="4" t="s">
        <v>71</v>
      </c>
      <c r="H26" s="4">
        <v>0</v>
      </c>
      <c r="I26" s="4" t="s">
        <v>72</v>
      </c>
      <c r="J26" s="4" t="s">
        <v>73</v>
      </c>
      <c r="K26" s="4">
        <v>0</v>
      </c>
      <c r="M26">
        <v>1</v>
      </c>
      <c r="R26" t="str">
        <f>IF($U$2=TRUE,$W$2&amp;". Команда оператора Стоп","Команда оператора Стоп")</f>
        <v>АДЭС FB. Команда оператора Стоп</v>
      </c>
      <c r="S26" s="372"/>
      <c r="U26" s="773"/>
      <c r="V26" s="4"/>
      <c r="W26" s="773"/>
      <c r="X26" s="4"/>
    </row>
    <row r="27" spans="1:24">
      <c r="A27" s="4" t="str">
        <f>SUBSTITUTE($V$2,"\","|")&amp;"|CAON"</f>
        <v>S_IM_ADES|CAON</v>
      </c>
      <c r="B27" s="4" t="s">
        <v>74</v>
      </c>
      <c r="F27" s="4" t="s">
        <v>72</v>
      </c>
      <c r="G27" s="4" t="s">
        <v>71</v>
      </c>
      <c r="H27" s="4">
        <v>0</v>
      </c>
      <c r="I27" s="4" t="s">
        <v>72</v>
      </c>
      <c r="J27" s="4" t="s">
        <v>69</v>
      </c>
      <c r="K27" s="4">
        <v>0</v>
      </c>
      <c r="M27">
        <v>1</v>
      </c>
      <c r="R27" t="str">
        <f>IF($U$2=TRUE,$W$2&amp;". Команда алгоритма Включить","Команда алгоритма Включить")</f>
        <v>АДЭС FB. Команда алгоритма Включить</v>
      </c>
      <c r="S27" s="372"/>
      <c r="U27" s="773"/>
      <c r="V27" s="4"/>
      <c r="W27" s="773"/>
      <c r="X27" s="4"/>
    </row>
    <row r="28" spans="1:24">
      <c r="A28" s="4" t="str">
        <f>SUBSTITUTE($V$2,"\","|")&amp;"|CAOF"</f>
        <v>S_IM_ADES|CAOF</v>
      </c>
      <c r="B28" s="4" t="s">
        <v>74</v>
      </c>
      <c r="F28" s="4" t="s">
        <v>72</v>
      </c>
      <c r="G28" s="4" t="s">
        <v>71</v>
      </c>
      <c r="H28" s="4">
        <v>0</v>
      </c>
      <c r="I28" s="4" t="s">
        <v>72</v>
      </c>
      <c r="J28" s="4" t="s">
        <v>69</v>
      </c>
      <c r="K28" s="4">
        <v>0</v>
      </c>
      <c r="M28">
        <v>1</v>
      </c>
      <c r="R28" t="str">
        <f>IF($U$2=TRUE,$W$2&amp;". Команда алгоритма Отключить","Команда алгоритма Отключить")</f>
        <v>АДЭС FB. Команда алгоритма Отключить</v>
      </c>
      <c r="S28" s="372"/>
      <c r="U28" s="773"/>
      <c r="V28" s="4"/>
      <c r="W28" s="773"/>
      <c r="X28" s="4"/>
    </row>
    <row r="29" spans="1:24">
      <c r="A29" s="4" t="str">
        <f>SUBSTITUTE($V$2,"\","|")&amp;"|CEON"</f>
        <v>S_IM_ADES|CEON</v>
      </c>
      <c r="B29" s="4" t="s">
        <v>74</v>
      </c>
      <c r="F29" s="4" t="s">
        <v>72</v>
      </c>
      <c r="G29" s="4" t="s">
        <v>71</v>
      </c>
      <c r="H29" s="4">
        <v>0</v>
      </c>
      <c r="I29" s="4" t="s">
        <v>72</v>
      </c>
      <c r="J29" s="4" t="s">
        <v>69</v>
      </c>
      <c r="K29" s="4">
        <v>0</v>
      </c>
      <c r="M29">
        <v>1</v>
      </c>
      <c r="R29" t="str">
        <f>IF($U$2=TRUE,$W$2&amp;". Команда алгоритма Включить","Команда алгоритма Включить")</f>
        <v>АДЭС FB. Команда алгоритма Включить</v>
      </c>
      <c r="S29" s="372"/>
      <c r="U29" s="773"/>
      <c r="V29" s="4"/>
      <c r="W29" s="773"/>
      <c r="X29" s="4"/>
    </row>
    <row r="30" spans="1:24">
      <c r="A30" s="4" t="str">
        <f>SUBSTITUTE($V$2,"\","|")&amp;"|CEOF"</f>
        <v>S_IM_ADES|CEOF</v>
      </c>
      <c r="B30" s="4" t="s">
        <v>74</v>
      </c>
      <c r="F30" s="4" t="s">
        <v>72</v>
      </c>
      <c r="G30" s="4" t="s">
        <v>71</v>
      </c>
      <c r="H30" s="4">
        <v>0</v>
      </c>
      <c r="I30" s="4" t="s">
        <v>72</v>
      </c>
      <c r="J30" s="4" t="s">
        <v>69</v>
      </c>
      <c r="K30" s="4">
        <v>0</v>
      </c>
      <c r="M30">
        <v>1</v>
      </c>
      <c r="R30" t="str">
        <f>IF($U$2=TRUE,$W$2&amp;". Команда алгоритма Отключить","Команда алгоритма Отключить")</f>
        <v>АДЭС FB. Команда алгоритма Отключить</v>
      </c>
      <c r="S30" s="372"/>
      <c r="U30" s="773"/>
      <c r="V30" s="4"/>
      <c r="W30" s="773"/>
      <c r="X30" s="4"/>
    </row>
    <row r="31" spans="1:24">
      <c r="A31" s="4" t="str">
        <f>SUBSTITUTE($V$2,"\","|")&amp;"|CRPX"</f>
        <v>S_IM_ADES|CRPX</v>
      </c>
      <c r="B31" s="4" t="s">
        <v>74</v>
      </c>
      <c r="F31" s="4" t="s">
        <v>72</v>
      </c>
      <c r="G31" s="4" t="s">
        <v>71</v>
      </c>
      <c r="H31" s="4">
        <v>0</v>
      </c>
      <c r="I31" s="4" t="s">
        <v>72</v>
      </c>
      <c r="J31" s="4" t="s">
        <v>73</v>
      </c>
      <c r="K31" s="4">
        <v>0</v>
      </c>
      <c r="M31">
        <v>1</v>
      </c>
      <c r="R31" t="str">
        <f>IF($U$2=TRUE,$W$2&amp;". Команда оператора Вывести в ремонт","Команда оператора Вывести в ремонт")</f>
        <v>АДЭС FB. Команда оператора Вывести в ремонт</v>
      </c>
      <c r="S31" s="372"/>
      <c r="U31" s="773"/>
      <c r="V31" s="4"/>
      <c r="W31" s="773"/>
      <c r="X31" s="4"/>
    </row>
    <row r="32" spans="1:24">
      <c r="A32" s="4" t="str">
        <f>SUBSTITUTE($V$2,"\","|")&amp;"|CRST"</f>
        <v>S_IM_ADES|CRST</v>
      </c>
      <c r="B32" s="4" t="s">
        <v>74</v>
      </c>
      <c r="F32" s="4" t="s">
        <v>72</v>
      </c>
      <c r="G32" s="4" t="s">
        <v>71</v>
      </c>
      <c r="H32" s="4">
        <v>0</v>
      </c>
      <c r="I32" s="4" t="s">
        <v>72</v>
      </c>
      <c r="J32" s="4" t="s">
        <v>73</v>
      </c>
      <c r="K32" s="4">
        <v>0</v>
      </c>
      <c r="M32">
        <v>1</v>
      </c>
      <c r="R32" t="str">
        <f>IF($U$2=TRUE,$W$2&amp;". Команда Сброс ошибок","Команда Сброс ошибок")</f>
        <v>АДЭС FB. Команда Сброс ошибок</v>
      </c>
      <c r="S32" s="372"/>
      <c r="U32" s="773"/>
      <c r="V32" s="4"/>
      <c r="W32" s="773"/>
      <c r="X32" s="4"/>
    </row>
    <row r="33" spans="1:24">
      <c r="A33" s="4" t="str">
        <f>SUBSTITUTE($V$2,"\","|")&amp;"|CMMX"</f>
        <v>S_IM_ADES|CMMX</v>
      </c>
      <c r="B33" s="4" t="s">
        <v>74</v>
      </c>
      <c r="F33" s="4" t="s">
        <v>72</v>
      </c>
      <c r="G33" s="4" t="s">
        <v>71</v>
      </c>
      <c r="H33" s="4">
        <v>0</v>
      </c>
      <c r="I33" s="4" t="s">
        <v>76</v>
      </c>
      <c r="J33" s="4" t="s">
        <v>73</v>
      </c>
      <c r="K33" s="4">
        <v>0</v>
      </c>
      <c r="M33">
        <v>1</v>
      </c>
      <c r="R33" t="str">
        <f>IF($U$2=TRUE,$W$2&amp;". Команда Перевести в ручной режим управления","Команда Перевести в ручной режим управления")</f>
        <v>АДЭС FB. Команда Перевести в ручной режим управления</v>
      </c>
      <c r="S33" s="372"/>
      <c r="U33" s="773"/>
      <c r="V33" s="4"/>
      <c r="W33" s="773"/>
      <c r="X33" s="4"/>
    </row>
    <row r="34" spans="1:24">
      <c r="A34" s="4" t="str">
        <f>SUBSTITUTE($V$2,"\","|")&amp;"|FXXX"</f>
        <v>S_IM_ADES|FXXX</v>
      </c>
      <c r="B34" s="4" t="s">
        <v>74</v>
      </c>
      <c r="F34" s="4" t="s">
        <v>72</v>
      </c>
      <c r="G34" s="4" t="s">
        <v>71</v>
      </c>
      <c r="H34" s="4">
        <v>0</v>
      </c>
      <c r="I34" s="4" t="s">
        <v>72</v>
      </c>
      <c r="J34" s="4" t="s">
        <v>69</v>
      </c>
      <c r="K34" s="4">
        <v>0</v>
      </c>
      <c r="M34">
        <v>1</v>
      </c>
      <c r="R34" t="str">
        <f>IF($U$2=TRUE,$W$2&amp;". Обобщенная неисправность","Обобщенная неисправность")</f>
        <v>АДЭС FB. Обобщенная неисправность</v>
      </c>
      <c r="S34" s="372"/>
      <c r="U34" s="773"/>
      <c r="V34" s="4"/>
      <c r="W34" s="773"/>
      <c r="X34" s="4"/>
    </row>
    <row r="35" spans="1:24">
      <c r="A35" s="4" t="str">
        <f>SUBSTITUTE($V$2,"\","|")&amp;"|FONX"</f>
        <v>S_IM_ADES|FONX</v>
      </c>
      <c r="B35" s="4" t="s">
        <v>74</v>
      </c>
      <c r="F35" s="4" t="s">
        <v>72</v>
      </c>
      <c r="G35" s="4" t="s">
        <v>71</v>
      </c>
      <c r="H35" s="4">
        <v>0</v>
      </c>
      <c r="I35" s="4" t="s">
        <v>72</v>
      </c>
      <c r="J35" s="4" t="s">
        <v>69</v>
      </c>
      <c r="K35" s="4">
        <v>0</v>
      </c>
      <c r="M35">
        <v>1</v>
      </c>
      <c r="R35" t="str">
        <f>IF($U$2=TRUE,$W$2&amp;". Не включилась","Не включилась")</f>
        <v>АДЭС FB. Не включилась</v>
      </c>
      <c r="S35" s="372"/>
      <c r="U35" s="773"/>
      <c r="V35" s="4"/>
      <c r="W35" s="773"/>
      <c r="X35" s="4"/>
    </row>
    <row r="36" spans="1:24">
      <c r="A36" s="4" t="str">
        <f>SUBSTITUTE($V$2,"\","|")&amp;"|FOFX"</f>
        <v>S_IM_ADES|FOFX</v>
      </c>
      <c r="B36" s="4" t="s">
        <v>74</v>
      </c>
      <c r="F36" s="4" t="s">
        <v>72</v>
      </c>
      <c r="G36" s="4" t="s">
        <v>71</v>
      </c>
      <c r="H36" s="4">
        <v>0</v>
      </c>
      <c r="I36" s="4" t="s">
        <v>72</v>
      </c>
      <c r="J36" s="4" t="s">
        <v>69</v>
      </c>
      <c r="K36" s="4">
        <v>0</v>
      </c>
      <c r="M36">
        <v>1</v>
      </c>
      <c r="R36" t="str">
        <f>IF($U$2=TRUE,$W$2&amp;". Не отключилась","Не отключилась")</f>
        <v>АДЭС FB. Не отключилась</v>
      </c>
      <c r="S36" s="372"/>
      <c r="U36" s="773"/>
      <c r="V36" s="4"/>
      <c r="W36" s="773"/>
      <c r="X36" s="4"/>
    </row>
    <row r="37" spans="1:24">
      <c r="A37" s="4" t="str">
        <f>SUBSTITUTE($V$2,"\","|")&amp;"|FUSX"</f>
        <v>S_IM_ADES|FUSX</v>
      </c>
      <c r="B37" s="4" t="s">
        <v>74</v>
      </c>
      <c r="F37" s="4" t="s">
        <v>72</v>
      </c>
      <c r="G37" s="4" t="s">
        <v>71</v>
      </c>
      <c r="H37" s="4">
        <v>0</v>
      </c>
      <c r="I37" s="4" t="s">
        <v>72</v>
      </c>
      <c r="J37" s="4" t="s">
        <v>69</v>
      </c>
      <c r="K37" s="4">
        <v>0</v>
      </c>
      <c r="M37">
        <v>1</v>
      </c>
      <c r="R37" t="str">
        <f>IF($U$2=TRUE,$W$2&amp;". Неопределенно положение","Неопределенно положение")</f>
        <v>АДЭС FB. Неопределенно положение</v>
      </c>
      <c r="S37" s="372"/>
      <c r="U37" s="773"/>
      <c r="V37" s="4"/>
      <c r="W37" s="773"/>
      <c r="X37" s="4"/>
    </row>
    <row r="38" spans="1:24">
      <c r="A38" t="str">
        <f>SUBSTITUTE($V$2,"\","|")&amp;"|FDSX"</f>
        <v>S_IM_ADES|FDSX</v>
      </c>
      <c r="B38" t="s">
        <v>74</v>
      </c>
      <c r="F38" t="s">
        <v>72</v>
      </c>
      <c r="G38" t="s">
        <v>71</v>
      </c>
      <c r="H38">
        <v>0</v>
      </c>
      <c r="I38" t="s">
        <v>72</v>
      </c>
      <c r="J38" t="s">
        <v>69</v>
      </c>
      <c r="K38">
        <v>0</v>
      </c>
      <c r="M38">
        <v>1</v>
      </c>
      <c r="R38" t="str">
        <f>IF($U$2=TRUE,$W$2&amp;". Двойное положение","Двойное положение")</f>
        <v>АДЭС FB. Двойное положение</v>
      </c>
      <c r="S38" s="372"/>
      <c r="U38" s="773"/>
      <c r="V38" s="4"/>
      <c r="W38" s="773"/>
      <c r="X38" s="4"/>
    </row>
    <row r="39" spans="1:24">
      <c r="A39" t="str">
        <f>SUBSTITUTE($V$2,"\","|")&amp;"|FCOM"</f>
        <v>S_IM_ADES|FCOM</v>
      </c>
      <c r="B39" t="s">
        <v>74</v>
      </c>
      <c r="F39" t="s">
        <v>72</v>
      </c>
      <c r="G39" t="s">
        <v>71</v>
      </c>
      <c r="H39">
        <v>0</v>
      </c>
      <c r="I39" t="s">
        <v>72</v>
      </c>
      <c r="J39" t="s">
        <v>69</v>
      </c>
      <c r="K39">
        <v>0</v>
      </c>
      <c r="M39">
        <v>1</v>
      </c>
      <c r="R39" t="str">
        <f>IF($U$2=TRUE,$W$2&amp;". Противоречивость команд","Противоречивость команд")</f>
        <v>АДЭС FB. Противоречивость команд</v>
      </c>
      <c r="S39" s="372"/>
      <c r="U39" s="773"/>
      <c r="V39" s="4"/>
      <c r="W39" s="773"/>
      <c r="X39" s="4"/>
    </row>
    <row r="40" spans="1:24">
      <c r="A40" t="str">
        <f>SUBSTITUTE($V$2,"\","|")&amp;"|STCX"</f>
        <v>S_IM_ADES|STCX</v>
      </c>
      <c r="B40" t="s">
        <v>78</v>
      </c>
      <c r="F40">
        <v>2</v>
      </c>
      <c r="G40" t="s">
        <v>71</v>
      </c>
      <c r="H40">
        <v>0</v>
      </c>
      <c r="I40" t="s">
        <v>76</v>
      </c>
      <c r="J40" t="s">
        <v>73</v>
      </c>
      <c r="K40">
        <v>0</v>
      </c>
      <c r="M40">
        <v>1</v>
      </c>
      <c r="R40" t="str">
        <f>IF($U$2=TRUE,$W$2&amp;". Время подачи команды (с)","Время подачи команды (с)")</f>
        <v>АДЭС FB. Время подачи команды (с)</v>
      </c>
      <c r="S40" s="372"/>
      <c r="U40" s="773"/>
      <c r="V40" s="4"/>
      <c r="W40" s="773"/>
      <c r="X40" s="4"/>
    </row>
    <row r="41" spans="1:24">
      <c r="A41" t="str">
        <f>SUBSTITUTE($V$2,"\","|")&amp;"|STSX"</f>
        <v>S_IM_ADES|STSX</v>
      </c>
      <c r="B41" t="s">
        <v>78</v>
      </c>
      <c r="F41">
        <v>5</v>
      </c>
      <c r="G41" t="s">
        <v>71</v>
      </c>
      <c r="H41">
        <v>0</v>
      </c>
      <c r="I41" t="s">
        <v>76</v>
      </c>
      <c r="J41" t="s">
        <v>73</v>
      </c>
      <c r="K41">
        <v>0</v>
      </c>
      <c r="M41">
        <v>1</v>
      </c>
      <c r="R41" t="str">
        <f>IF($U$2=TRUE,$W$2&amp;". Время перестановки (с)","Время перестановки (с)")</f>
        <v>АДЭС FB. Время перестановки (с)</v>
      </c>
      <c r="S41" s="372"/>
      <c r="U41" s="773"/>
      <c r="V41" s="4"/>
      <c r="W41" s="773"/>
      <c r="X41" s="4"/>
    </row>
    <row r="42" spans="1:24">
      <c r="A42" t="str">
        <f>SUBSTITUTE($V$2,"\","|")&amp;"|STPR"</f>
        <v>S_IM_ADES|STPR</v>
      </c>
      <c r="B42" t="s">
        <v>78</v>
      </c>
      <c r="F42">
        <v>0</v>
      </c>
      <c r="G42" t="s">
        <v>71</v>
      </c>
      <c r="H42">
        <v>0</v>
      </c>
      <c r="I42" t="s">
        <v>76</v>
      </c>
      <c r="J42" t="s">
        <v>73</v>
      </c>
      <c r="K42">
        <v>0</v>
      </c>
      <c r="M42">
        <v>1</v>
      </c>
      <c r="R42" t="str">
        <f>IF($U$2=TRUE,$W$2&amp;". Время дожима (с)","Время дожима (с)")</f>
        <v>АДЭС FB. Время дожима (с)</v>
      </c>
      <c r="S42" s="372"/>
      <c r="U42" s="773"/>
      <c r="V42" s="4"/>
      <c r="W42" s="773"/>
      <c r="X42" s="4"/>
    </row>
    <row r="43" spans="1:24">
      <c r="A43" t="str">
        <f>SUBSTITUTE($V$2,"\","|")&amp;"|XSPP"</f>
        <v>S_IM_ADES|XSPP</v>
      </c>
      <c r="B43" t="s">
        <v>74</v>
      </c>
      <c r="F43" t="s">
        <v>72</v>
      </c>
      <c r="G43" t="s">
        <v>71</v>
      </c>
      <c r="H43">
        <v>0</v>
      </c>
      <c r="I43" t="s">
        <v>72</v>
      </c>
      <c r="J43" t="s">
        <v>69</v>
      </c>
      <c r="K43">
        <v>0</v>
      </c>
      <c r="M43">
        <v>1</v>
      </c>
      <c r="R43" t="str">
        <f>IF($U$2=TRUE,$W$2&amp;". Выходное значение останавливается","Выходное значение останавливается")</f>
        <v>АДЭС FB. Выходное значение останавливается</v>
      </c>
      <c r="S43" s="372"/>
      <c r="U43" s="773"/>
      <c r="V43" s="4"/>
      <c r="W43" s="773"/>
      <c r="X43" s="4"/>
    </row>
    <row r="44" spans="1:24">
      <c r="A44" t="str">
        <f>SUBSTITUTE($V$2,"\","|")&amp;"|XPRP"</f>
        <v>S_IM_ADES|XPRP</v>
      </c>
      <c r="B44" t="s">
        <v>74</v>
      </c>
      <c r="F44" t="s">
        <v>72</v>
      </c>
      <c r="G44" t="s">
        <v>71</v>
      </c>
      <c r="H44">
        <v>0</v>
      </c>
      <c r="I44" t="s">
        <v>72</v>
      </c>
      <c r="J44" t="s">
        <v>69</v>
      </c>
      <c r="K44">
        <v>0</v>
      </c>
      <c r="M44">
        <v>1</v>
      </c>
      <c r="R44" t="str">
        <f>IF($U$2=TRUE,$W$2&amp;". Выходное значение процесс дожима","Выходное значение процесс дожима")</f>
        <v>АДЭС FB. Выходное значение процесс дожима</v>
      </c>
      <c r="S44" s="372"/>
      <c r="U44" s="773"/>
      <c r="V44" s="4"/>
      <c r="W44" s="773"/>
      <c r="X44" s="4"/>
    </row>
    <row r="45" spans="1:24">
      <c r="A45" t="str">
        <f>SUBSTITUTE($V$2,"\","|")&amp;"|LAON"</f>
        <v>S_IM_ADES|LAON</v>
      </c>
      <c r="B45" t="s">
        <v>74</v>
      </c>
      <c r="F45" t="s">
        <v>72</v>
      </c>
      <c r="G45" t="s">
        <v>71</v>
      </c>
      <c r="H45">
        <v>0</v>
      </c>
      <c r="I45" t="s">
        <v>72</v>
      </c>
      <c r="J45" t="s">
        <v>69</v>
      </c>
      <c r="K45">
        <v>0</v>
      </c>
      <c r="M45">
        <v>1</v>
      </c>
      <c r="R45" t="str">
        <f>IF($U$2=TRUE,$W$2&amp;". Заблокировалась автоматическая команда Включить","Заблокировалась автоматическая команда Включить")</f>
        <v>АДЭС FB. Заблокировалась автоматическая команда Включить</v>
      </c>
      <c r="S45" s="372"/>
      <c r="U45" s="773"/>
      <c r="V45" s="4"/>
      <c r="W45" s="773"/>
      <c r="X45" s="4"/>
    </row>
    <row r="46" spans="1:24">
      <c r="A46" t="str">
        <f>SUBSTITUTE($V$2,"\","|")&amp;"|LAOF"</f>
        <v>S_IM_ADES|LAOF</v>
      </c>
      <c r="B46" t="s">
        <v>74</v>
      </c>
      <c r="F46" t="s">
        <v>72</v>
      </c>
      <c r="G46" t="s">
        <v>71</v>
      </c>
      <c r="H46">
        <v>0</v>
      </c>
      <c r="I46" t="s">
        <v>72</v>
      </c>
      <c r="J46" t="s">
        <v>69</v>
      </c>
      <c r="K46">
        <v>0</v>
      </c>
      <c r="M46">
        <v>1</v>
      </c>
      <c r="R46" t="str">
        <f>IF($U$2=TRUE,$W$2&amp;". Заблокировалась автоматическая команда Отключить","Заблокировалась автоматическая команда Отключить")</f>
        <v>АДЭС FB. Заблокировалась автоматическая команда Отключить</v>
      </c>
      <c r="S46" s="372"/>
      <c r="U46" s="773"/>
      <c r="V46" s="4"/>
      <c r="W46" s="773"/>
      <c r="X46" s="4"/>
    </row>
    <row r="47" spans="1:24">
      <c r="A47" t="str">
        <f>SUBSTITUTE($V$2,"\","|")&amp;"|CBON"</f>
        <v>S_IM_ADES|CBON</v>
      </c>
      <c r="B47" t="s">
        <v>74</v>
      </c>
      <c r="F47" t="s">
        <v>72</v>
      </c>
      <c r="G47" t="s">
        <v>71</v>
      </c>
      <c r="H47">
        <v>0</v>
      </c>
      <c r="I47" t="s">
        <v>72</v>
      </c>
      <c r="J47" t="s">
        <v>69</v>
      </c>
      <c r="K47">
        <v>0</v>
      </c>
      <c r="M47">
        <v>1</v>
      </c>
      <c r="R47" t="str">
        <f>IF($U$2=TRUE,$W$2&amp;". Команда блокировки Включить","Команда блокировки Включить")</f>
        <v>АДЭС FB. Команда блокировки Включить</v>
      </c>
      <c r="S47" s="372"/>
      <c r="U47" s="773"/>
      <c r="V47" s="4"/>
      <c r="W47" s="773"/>
      <c r="X47" s="4"/>
    </row>
    <row r="48" spans="1:24">
      <c r="A48" t="str">
        <f>SUBSTITUTE($V$2,"\","|")&amp;"|CBOF"</f>
        <v>S_IM_ADES|CBOF</v>
      </c>
      <c r="B48" t="s">
        <v>74</v>
      </c>
      <c r="F48" t="s">
        <v>72</v>
      </c>
      <c r="G48" t="s">
        <v>71</v>
      </c>
      <c r="H48">
        <v>0</v>
      </c>
      <c r="I48" t="s">
        <v>72</v>
      </c>
      <c r="J48" t="s">
        <v>69</v>
      </c>
      <c r="K48">
        <v>0</v>
      </c>
      <c r="M48">
        <v>1</v>
      </c>
      <c r="R48" t="str">
        <f>IF($U$2=TRUE,$W$2&amp;". Команда блокировки Отключить","Команда блокировки Отключить")</f>
        <v>АДЭС FB. Команда блокировки Отключить</v>
      </c>
      <c r="S48" s="372"/>
      <c r="U48" s="773"/>
      <c r="V48" s="4"/>
      <c r="W48" s="773"/>
      <c r="X48" s="4"/>
    </row>
    <row r="49" spans="1:24">
      <c r="A49" t="str">
        <f>SUBSTITUTE($V$2,"\","|")&amp;"|OCON"</f>
        <v>S_IM_ADES|OCON</v>
      </c>
      <c r="B49" t="s">
        <v>74</v>
      </c>
      <c r="F49" t="s">
        <v>72</v>
      </c>
      <c r="G49" t="s">
        <v>71</v>
      </c>
      <c r="H49">
        <v>0</v>
      </c>
      <c r="I49" t="s">
        <v>72</v>
      </c>
      <c r="J49" t="s">
        <v>69</v>
      </c>
      <c r="K49">
        <v>0</v>
      </c>
      <c r="M49">
        <v>1</v>
      </c>
      <c r="R49" t="str">
        <f>IF($U$2=TRUE,$W$2&amp;". Постоянный выход Включить","Постоянный выход Включить")</f>
        <v>АДЭС FB. Постоянный выход Включить</v>
      </c>
      <c r="S49" s="372"/>
      <c r="U49" s="773"/>
      <c r="V49" s="4"/>
      <c r="W49" s="773"/>
      <c r="X49" s="4"/>
    </row>
    <row r="50" spans="1:24">
      <c r="A50" t="str">
        <f>SUBSTITUTE($V$2,"\","|")&amp;"|OCOF"</f>
        <v>S_IM_ADES|OCOF</v>
      </c>
      <c r="B50" t="s">
        <v>74</v>
      </c>
      <c r="F50" t="s">
        <v>72</v>
      </c>
      <c r="G50" t="s">
        <v>71</v>
      </c>
      <c r="H50">
        <v>0</v>
      </c>
      <c r="I50" t="s">
        <v>72</v>
      </c>
      <c r="J50" t="s">
        <v>69</v>
      </c>
      <c r="K50">
        <v>0</v>
      </c>
      <c r="M50">
        <v>1</v>
      </c>
      <c r="R50" t="str">
        <f>IF($U$2=TRUE,$W$2&amp;". Постоянный выход Отключить","Постоянный выход Отключить")</f>
        <v>АДЭС FB. Постоянный выход Отключить</v>
      </c>
      <c r="S50" s="372"/>
      <c r="U50" s="773"/>
      <c r="V50" s="4"/>
      <c r="W50" s="773"/>
      <c r="X50" s="4"/>
    </row>
    <row r="51" spans="1:24">
      <c r="A51" t="str">
        <f>SUBSTITUTE($V$2,"\","|")&amp;"|FFON"</f>
        <v>S_IM_ADES|FFON</v>
      </c>
      <c r="B51" t="s">
        <v>74</v>
      </c>
      <c r="F51" t="s">
        <v>72</v>
      </c>
      <c r="G51" t="s">
        <v>71</v>
      </c>
      <c r="H51">
        <v>0</v>
      </c>
      <c r="I51" t="s">
        <v>72</v>
      </c>
      <c r="J51" t="s">
        <v>69</v>
      </c>
      <c r="K51">
        <v>0</v>
      </c>
      <c r="M51">
        <v>1</v>
      </c>
      <c r="R51" t="str">
        <f>IF($U$2=TRUE,$W$2&amp;". Несануционированный сход с концевика Отключена","Несануционированный сход с концевика Отключена")</f>
        <v>АДЭС FB. Несануционированный сход с концевика Отключена</v>
      </c>
      <c r="S51" s="372"/>
      <c r="U51" s="773"/>
      <c r="V51" s="4"/>
      <c r="W51" s="773"/>
      <c r="X51" s="4"/>
    </row>
    <row r="52" spans="1:24">
      <c r="A52" t="str">
        <f>SUBSTITUTE($V$2,"\","|")&amp;"|FFOF"</f>
        <v>S_IM_ADES|FFOF</v>
      </c>
      <c r="B52" t="s">
        <v>74</v>
      </c>
      <c r="F52" t="s">
        <v>72</v>
      </c>
      <c r="G52" t="s">
        <v>71</v>
      </c>
      <c r="H52">
        <v>0</v>
      </c>
      <c r="I52" t="s">
        <v>72</v>
      </c>
      <c r="J52" t="s">
        <v>69</v>
      </c>
      <c r="K52">
        <v>0</v>
      </c>
      <c r="M52">
        <v>1</v>
      </c>
      <c r="R52" t="str">
        <f>IF($U$2=TRUE,$W$2&amp;". Несануционированный сход с концевика Включена","Несануционированный сход с концевика Включена")</f>
        <v>АДЭС FB. Несануционированный сход с концевика Включена</v>
      </c>
      <c r="S52" s="372"/>
      <c r="U52" s="773"/>
      <c r="V52" s="4"/>
      <c r="W52" s="773"/>
      <c r="X52" s="4"/>
    </row>
    <row r="53" spans="1:24">
      <c r="A53" t="str">
        <f>SUBSTITUTE($V$2,"\","|")&amp;"|XRMX"</f>
        <v>S_IM_ADES|XRMX</v>
      </c>
      <c r="B53" t="s">
        <v>78</v>
      </c>
      <c r="F53">
        <v>0</v>
      </c>
      <c r="G53" t="s">
        <v>71</v>
      </c>
      <c r="H53">
        <v>0</v>
      </c>
      <c r="I53" t="s">
        <v>76</v>
      </c>
      <c r="J53" t="s">
        <v>73</v>
      </c>
      <c r="K53">
        <v>0</v>
      </c>
      <c r="M53">
        <v>1</v>
      </c>
      <c r="R53" t="str">
        <f>IF($U$2=TRUE,$W$2&amp;". Наработка в минутах","Наработка в минутах")</f>
        <v>АДЭС FB. Наработка в минутах</v>
      </c>
      <c r="S53" s="372"/>
      <c r="U53" s="773"/>
      <c r="V53" s="4"/>
      <c r="W53" s="773"/>
      <c r="X53" s="4"/>
    </row>
    <row r="54" spans="1:24">
      <c r="A54" t="str">
        <f>SUBSTITUTE($V$2,"\","|")&amp;"|XRHX"</f>
        <v>S_IM_ADES|XRHX</v>
      </c>
      <c r="B54" t="s">
        <v>78</v>
      </c>
      <c r="F54">
        <v>0</v>
      </c>
      <c r="G54" t="s">
        <v>71</v>
      </c>
      <c r="H54">
        <v>0</v>
      </c>
      <c r="I54" t="s">
        <v>76</v>
      </c>
      <c r="J54" t="s">
        <v>73</v>
      </c>
      <c r="K54">
        <v>0</v>
      </c>
      <c r="M54">
        <v>1</v>
      </c>
      <c r="R54" t="str">
        <f>IF($U$2=TRUE,$W$2&amp;". Наработка в часах","Наработка в часах")</f>
        <v>АДЭС FB. Наработка в часах</v>
      </c>
      <c r="S54" s="372"/>
      <c r="U54" s="773"/>
      <c r="V54" s="4"/>
      <c r="W54" s="773"/>
      <c r="X54" s="4"/>
    </row>
    <row r="55" spans="1:24">
      <c r="A55" t="str">
        <f>SUBSTITUTE($V$2,"\","|")&amp;"|CRRX"</f>
        <v>S_IM_ADES|CRRX</v>
      </c>
      <c r="B55" t="s">
        <v>74</v>
      </c>
      <c r="F55" t="s">
        <v>72</v>
      </c>
      <c r="G55" t="s">
        <v>71</v>
      </c>
      <c r="H55">
        <v>0</v>
      </c>
      <c r="I55" t="s">
        <v>72</v>
      </c>
      <c r="J55" t="s">
        <v>73</v>
      </c>
      <c r="K55">
        <v>0</v>
      </c>
      <c r="M55">
        <v>1</v>
      </c>
      <c r="R55" t="str">
        <f>IF($U$2=TRUE,$W$2&amp;". Команда сброс наработки","Команда сброс наработки")</f>
        <v>АДЭС FB. Команда сброс наработки</v>
      </c>
      <c r="S55" s="372"/>
      <c r="U55" s="773"/>
      <c r="V55" s="4"/>
      <c r="W55" s="773"/>
      <c r="X55" s="4"/>
    </row>
    <row r="56" spans="1:24">
      <c r="A56" t="str">
        <f>SUBSTITUTE($V$2,"\","|")&amp;"|SRTX"</f>
        <v>S_IM_ADES|SRTX</v>
      </c>
      <c r="B56" t="s">
        <v>78</v>
      </c>
      <c r="F56">
        <v>10000</v>
      </c>
      <c r="G56" t="s">
        <v>71</v>
      </c>
      <c r="H56">
        <v>0</v>
      </c>
      <c r="I56" t="s">
        <v>76</v>
      </c>
      <c r="J56" t="s">
        <v>73</v>
      </c>
      <c r="K56">
        <v>0</v>
      </c>
      <c r="M56">
        <v>1</v>
      </c>
      <c r="R56" t="str">
        <f>IF($U$2=TRUE,$W$2&amp;". Уставка по наработке в часах","Уставка по наработке в часах")</f>
        <v>АДЭС FB. Уставка по наработке в часах</v>
      </c>
      <c r="S56" s="372"/>
      <c r="U56" s="773"/>
      <c r="V56" s="4"/>
      <c r="W56" s="773"/>
      <c r="X56" s="4"/>
    </row>
    <row r="57" spans="1:24">
      <c r="A57" t="str">
        <f>SUBSTITUTE($V$2,"\","|")&amp;"|FRTX"</f>
        <v>S_IM_ADES|FRTX</v>
      </c>
      <c r="B57" t="s">
        <v>74</v>
      </c>
      <c r="F57" t="s">
        <v>72</v>
      </c>
      <c r="G57" t="s">
        <v>71</v>
      </c>
      <c r="H57">
        <v>0</v>
      </c>
      <c r="I57" t="s">
        <v>72</v>
      </c>
      <c r="J57" t="s">
        <v>69</v>
      </c>
      <c r="K57">
        <v>0</v>
      </c>
      <c r="M57">
        <v>1</v>
      </c>
      <c r="R57" t="str">
        <f>IF($U$2=TRUE,$W$2&amp;". Сработала уставка по наработке в часах","Сработала уставка по наработке в часах")</f>
        <v>АДЭС FB. Сработала уставка по наработке в часах</v>
      </c>
      <c r="S57" s="372"/>
      <c r="U57" s="773"/>
      <c r="V57" s="4"/>
      <c r="W57" s="773"/>
      <c r="X57" s="4"/>
    </row>
    <row r="58" spans="1:24">
      <c r="A58" t="str">
        <f>SUBSTITUTE($V$2,"\","|")&amp;"|ILCX"</f>
        <v>S_IM_ADES|ILCX</v>
      </c>
      <c r="B58" t="s">
        <v>74</v>
      </c>
      <c r="F58" t="s">
        <v>72</v>
      </c>
      <c r="G58" t="s">
        <v>71</v>
      </c>
      <c r="H58">
        <v>0</v>
      </c>
      <c r="I58" t="s">
        <v>72</v>
      </c>
      <c r="J58" t="s">
        <v>69</v>
      </c>
      <c r="K58">
        <v>0</v>
      </c>
      <c r="M58">
        <v>1</v>
      </c>
      <c r="R58" t="str">
        <f>IF($U$2=TRUE,$W$2&amp;". Входное значение Местное управление","Входное значение Местное управление")</f>
        <v>АДЭС FB. Входное значение Местное управление</v>
      </c>
      <c r="S58" s="372"/>
      <c r="U58" s="773"/>
      <c r="V58" s="4"/>
      <c r="W58" s="773"/>
      <c r="X58" s="4"/>
    </row>
    <row r="59" spans="1:24">
      <c r="A59" t="str">
        <f>SUBSTITUTE($V$2,"\","|")&amp;"|DLCX"</f>
        <v>S_IM_ADES|DLCX</v>
      </c>
      <c r="B59" t="s">
        <v>74</v>
      </c>
      <c r="F59" t="s">
        <v>72</v>
      </c>
      <c r="G59" t="s">
        <v>71</v>
      </c>
      <c r="H59">
        <v>0</v>
      </c>
      <c r="I59" t="s">
        <v>72</v>
      </c>
      <c r="J59" t="s">
        <v>69</v>
      </c>
      <c r="K59">
        <v>0</v>
      </c>
      <c r="M59">
        <v>1</v>
      </c>
      <c r="R59" t="str">
        <f>IF($U$2=TRUE,$W$2&amp;". Недостоверное Местное управление","Недостоверное Местное управление")</f>
        <v>АДЭС FB. Недостоверное Местное управление</v>
      </c>
      <c r="S59" s="372"/>
      <c r="U59" s="773"/>
      <c r="V59" s="4"/>
      <c r="W59" s="773"/>
      <c r="X59" s="4"/>
    </row>
    <row r="60" spans="1:24">
      <c r="A60" t="str">
        <f>SUBSTITUTE($V$2,"\","|")&amp;"|CPMM"</f>
        <v>S_IM_ADES|CPMM</v>
      </c>
      <c r="B60" t="s">
        <v>74</v>
      </c>
      <c r="F60" t="s">
        <v>76</v>
      </c>
      <c r="G60" t="s">
        <v>71</v>
      </c>
      <c r="H60">
        <v>0</v>
      </c>
      <c r="I60" t="s">
        <v>76</v>
      </c>
      <c r="J60" t="s">
        <v>73</v>
      </c>
      <c r="K60">
        <v>0</v>
      </c>
      <c r="M60">
        <v>1</v>
      </c>
      <c r="R60" t="str">
        <f>IF($U$2=TRUE,$W$2&amp;". Разрешение на перевод в ручной режим","Разрешение на перевод в ручной режим")</f>
        <v>АДЭС FB. Разрешение на перевод в ручной режим</v>
      </c>
      <c r="S60" s="372"/>
      <c r="U60" s="773"/>
      <c r="V60" s="4"/>
      <c r="W60" s="773"/>
      <c r="X60" s="4"/>
    </row>
    <row r="61" spans="1:24">
      <c r="A61" t="str">
        <f>SUBSTITUTE($V$2,"\","|")&amp;"|FDCX"</f>
        <v>S_IM_ADES|FDCX</v>
      </c>
      <c r="B61" t="s">
        <v>74</v>
      </c>
      <c r="F61" t="s">
        <v>72</v>
      </c>
      <c r="G61" t="s">
        <v>71</v>
      </c>
      <c r="H61">
        <v>0</v>
      </c>
      <c r="I61" t="s">
        <v>72</v>
      </c>
      <c r="J61" t="s">
        <v>69</v>
      </c>
      <c r="K61">
        <v>0</v>
      </c>
      <c r="M61">
        <v>1</v>
      </c>
      <c r="R61" t="str">
        <f>IF($U$2=TRUE,$W$2&amp;". Двойное положение режима управления","Двойное положение режима управления")</f>
        <v>АДЭС FB. Двойное положение режима управления</v>
      </c>
      <c r="S61" s="372"/>
      <c r="U61" s="773"/>
      <c r="V61" s="4"/>
      <c r="W61" s="773"/>
      <c r="X61" s="4"/>
    </row>
    <row r="62" spans="1:24">
      <c r="A62" t="str">
        <f>SUBSTITUTE($V$2,"\","|")&amp;"|FUCX"</f>
        <v>S_IM_ADES|FUCX</v>
      </c>
      <c r="B62" t="s">
        <v>74</v>
      </c>
      <c r="F62" t="s">
        <v>72</v>
      </c>
      <c r="G62" t="s">
        <v>71</v>
      </c>
      <c r="H62">
        <v>0</v>
      </c>
      <c r="I62" t="s">
        <v>72</v>
      </c>
      <c r="J62" t="s">
        <v>69</v>
      </c>
      <c r="K62">
        <v>0</v>
      </c>
      <c r="M62">
        <v>1</v>
      </c>
      <c r="R62" t="str">
        <f>IF($U$2=TRUE,$W$2&amp;". Неопределенное положение режима управления","Неопределенное положение режима управления")</f>
        <v>АДЭС FB. Неопределенное положение режима управления</v>
      </c>
      <c r="S62" s="372"/>
      <c r="U62" s="773"/>
      <c r="V62" s="4"/>
      <c r="W62" s="773"/>
      <c r="X62" s="4"/>
    </row>
    <row r="63" spans="1:24">
      <c r="A63" t="str">
        <f>SUBSTITUTE($V$2,"\","|")&amp;"|CDON"</f>
        <v>S_IM_ADES|CDON</v>
      </c>
      <c r="B63" t="s">
        <v>74</v>
      </c>
      <c r="F63" t="s">
        <v>72</v>
      </c>
      <c r="G63" t="s">
        <v>71</v>
      </c>
      <c r="H63">
        <v>0</v>
      </c>
      <c r="I63" t="s">
        <v>72</v>
      </c>
      <c r="J63" t="s">
        <v>73</v>
      </c>
      <c r="K63">
        <v>0</v>
      </c>
      <c r="M63">
        <v>1</v>
      </c>
      <c r="R63" t="str">
        <f>IF($U$2=TRUE,$W$2&amp;". Запрет включения","Запрет включения")</f>
        <v>АДЭС FB. Запрет включения</v>
      </c>
      <c r="S63" s="372"/>
      <c r="U63" s="773"/>
      <c r="V63" s="4"/>
      <c r="W63" s="773"/>
      <c r="X63" s="4"/>
    </row>
    <row r="64" spans="1:24">
      <c r="A64" t="str">
        <f>SUBSTITUTE($V$2,"\","|")&amp;"|CDOF"</f>
        <v>S_IM_ADES|CDOF</v>
      </c>
      <c r="B64" t="s">
        <v>74</v>
      </c>
      <c r="F64" t="s">
        <v>72</v>
      </c>
      <c r="G64" t="s">
        <v>71</v>
      </c>
      <c r="H64">
        <v>0</v>
      </c>
      <c r="I64" t="s">
        <v>72</v>
      </c>
      <c r="J64" t="s">
        <v>73</v>
      </c>
      <c r="K64">
        <v>0</v>
      </c>
      <c r="M64">
        <v>1</v>
      </c>
      <c r="R64" t="str">
        <f>IF($U$2=TRUE,$W$2&amp;". Запрет отключения","Запрет отключения")</f>
        <v>АДЭС FB. Запрет отключения</v>
      </c>
      <c r="S64" s="372"/>
      <c r="U64" s="773"/>
      <c r="V64" s="4"/>
      <c r="W64" s="773"/>
      <c r="X64" s="4"/>
    </row>
    <row r="65" spans="1:24">
      <c r="A65" t="str">
        <f>SUBSTITUTE($V$2,"\","|")&amp;"|SMMX"</f>
        <v>S_IM_ADES|SMMX</v>
      </c>
      <c r="B65" t="s">
        <v>74</v>
      </c>
      <c r="F65" s="52" t="str">
        <f>$Y$2</f>
        <v>FALSE</v>
      </c>
      <c r="G65" t="s">
        <v>237</v>
      </c>
      <c r="H65">
        <v>0</v>
      </c>
      <c r="I65" t="s">
        <v>72</v>
      </c>
      <c r="J65" t="s">
        <v>69</v>
      </c>
      <c r="K65">
        <v>0</v>
      </c>
      <c r="M65">
        <v>1</v>
      </c>
      <c r="R65" t="str">
        <f>IF($U$2=TRUE,$W$2&amp;". Настройка перехода ручной/автоматический","Настройка перехода ручной/автоматический")</f>
        <v>АДЭС FB. Настройка перехода ручной/автоматический</v>
      </c>
      <c r="S65" s="372"/>
      <c r="U65" s="773"/>
      <c r="V65" s="4"/>
      <c r="W65" s="773"/>
      <c r="X65" s="4"/>
    </row>
    <row r="66" spans="1:24">
      <c r="A66" t="str">
        <f>SUBSTITUTE($V$2,"\","|")&amp;"|IOLD"</f>
        <v>S_IM_ADES|IOLD</v>
      </c>
      <c r="B66" t="s">
        <v>74</v>
      </c>
      <c r="F66" t="s">
        <v>72</v>
      </c>
      <c r="G66" t="s">
        <v>71</v>
      </c>
      <c r="H66">
        <v>0</v>
      </c>
      <c r="I66" t="s">
        <v>72</v>
      </c>
      <c r="J66" t="s">
        <v>69</v>
      </c>
      <c r="K66">
        <v>0</v>
      </c>
      <c r="M66">
        <v>1</v>
      </c>
      <c r="R66" t="str">
        <f>IF($U$2=TRUE,$W$2&amp;". Входное значение Перегрузка","Входное значение Перегрузка")</f>
        <v>АДЭС FB. Входное значение Перегрузка</v>
      </c>
      <c r="S66" s="372"/>
      <c r="U66" s="773"/>
      <c r="V66" s="4"/>
      <c r="W66" s="773"/>
      <c r="X66" s="4"/>
    </row>
    <row r="67" spans="1:24">
      <c r="A67" t="str">
        <f>SUBSTITUTE($V$2,"\","|")&amp;"|IRAD"</f>
        <v>S_IM_ADES|IRAD</v>
      </c>
      <c r="B67" t="s">
        <v>74</v>
      </c>
      <c r="F67" t="s">
        <v>72</v>
      </c>
      <c r="G67" t="s">
        <v>71</v>
      </c>
      <c r="H67">
        <v>0</v>
      </c>
      <c r="I67" t="s">
        <v>72</v>
      </c>
      <c r="J67" t="s">
        <v>69</v>
      </c>
      <c r="K67">
        <v>0</v>
      </c>
      <c r="M67">
        <v>1</v>
      </c>
      <c r="R67" t="str">
        <f>IF($U$2=TRUE,$W$2&amp;". Входное значение Готовность","Входное значение Готовность")</f>
        <v>АДЭС FB. Входное значение Готовность</v>
      </c>
      <c r="S67" s="372"/>
      <c r="U67" s="773"/>
      <c r="V67" s="4"/>
      <c r="W67" s="773"/>
      <c r="X67" s="4"/>
    </row>
    <row r="68" spans="1:24">
      <c r="A68" t="str">
        <f>SUBSTITUTE($V$2,"\","|")&amp;"|IPTO"</f>
        <v>S_IM_ADES|IPTO</v>
      </c>
      <c r="B68" t="s">
        <v>74</v>
      </c>
      <c r="F68" t="s">
        <v>72</v>
      </c>
      <c r="G68" t="s">
        <v>71</v>
      </c>
      <c r="H68">
        <v>0</v>
      </c>
      <c r="I68" t="s">
        <v>72</v>
      </c>
      <c r="J68" t="s">
        <v>69</v>
      </c>
      <c r="K68">
        <v>0</v>
      </c>
      <c r="M68">
        <v>1</v>
      </c>
      <c r="R68" t="str">
        <f>IF($U$2=TRUE,$W$2&amp;". Входное значение Сработала защита","Входное значение Сработала защита")</f>
        <v>АДЭС FB. Входное значение Сработала защита</v>
      </c>
      <c r="S68" s="372"/>
      <c r="U68" s="773"/>
      <c r="V68" s="4"/>
      <c r="W68" s="773"/>
      <c r="X68" s="4"/>
    </row>
    <row r="69" spans="1:24">
      <c r="A69" t="str">
        <f>SUBSTITUTE($V$2,"\","|")&amp;"|DOLD"</f>
        <v>S_IM_ADES|DOLD</v>
      </c>
      <c r="B69" t="s">
        <v>74</v>
      </c>
      <c r="F69" t="s">
        <v>72</v>
      </c>
      <c r="G69" t="s">
        <v>71</v>
      </c>
      <c r="H69">
        <v>0</v>
      </c>
      <c r="I69" t="s">
        <v>72</v>
      </c>
      <c r="J69" t="s">
        <v>69</v>
      </c>
      <c r="K69">
        <v>0</v>
      </c>
      <c r="M69">
        <v>1</v>
      </c>
      <c r="R69" t="str">
        <f>IF($U$2=TRUE,$W$2&amp;". Недостоверное Входное значение Перегрузка","Недостоверное Входное значение Перегрузка")</f>
        <v>АДЭС FB. Недостоверное Входное значение Перегрузка</v>
      </c>
      <c r="S69" s="372"/>
      <c r="U69" s="773"/>
      <c r="V69" s="4"/>
      <c r="W69" s="773"/>
      <c r="X69" s="4"/>
    </row>
    <row r="70" spans="1:24">
      <c r="A70" t="str">
        <f>SUBSTITUTE($V$2,"\","|")&amp;"|DRAD"</f>
        <v>S_IM_ADES|DRAD</v>
      </c>
      <c r="B70" t="s">
        <v>74</v>
      </c>
      <c r="F70" t="s">
        <v>72</v>
      </c>
      <c r="G70" t="s">
        <v>71</v>
      </c>
      <c r="H70">
        <v>0</v>
      </c>
      <c r="I70" t="s">
        <v>72</v>
      </c>
      <c r="J70" t="s">
        <v>69</v>
      </c>
      <c r="K70">
        <v>0</v>
      </c>
      <c r="M70">
        <v>1</v>
      </c>
      <c r="R70" t="str">
        <f>IF($U$2=TRUE,$W$2&amp;". Недостоверное Входное значение Готовность","Недостоверное Входное значение Готовность")</f>
        <v>АДЭС FB. Недостоверное Входное значение Готовность</v>
      </c>
      <c r="S70" s="372"/>
      <c r="U70" s="773"/>
      <c r="V70" s="4"/>
      <c r="W70" s="773"/>
      <c r="X70" s="4"/>
    </row>
    <row r="71" spans="1:24">
      <c r="A71" t="str">
        <f>SUBSTITUTE($V$2,"\","|")&amp;"|DPTO"</f>
        <v>S_IM_ADES|DPTO</v>
      </c>
      <c r="B71" t="s">
        <v>74</v>
      </c>
      <c r="F71" t="s">
        <v>72</v>
      </c>
      <c r="G71" t="s">
        <v>71</v>
      </c>
      <c r="H71">
        <v>0</v>
      </c>
      <c r="I71" t="s">
        <v>72</v>
      </c>
      <c r="J71" t="s">
        <v>69</v>
      </c>
      <c r="K71">
        <v>0</v>
      </c>
      <c r="M71">
        <v>1</v>
      </c>
      <c r="R71" t="str">
        <f>IF($U$2=TRUE,$W$2&amp;". Недостоверное Входное значение Сработала защита","Недостоверное Входное значение Сработала защита")</f>
        <v>АДЭС FB. Недостоверное Входное значение Сработала защита</v>
      </c>
      <c r="S71" s="372"/>
      <c r="U71" s="773"/>
      <c r="V71" s="4"/>
      <c r="W71" s="773"/>
      <c r="X71" s="4"/>
    </row>
    <row r="76" spans="1:24">
      <c r="A76" s="4"/>
      <c r="B76" s="4"/>
      <c r="F76" s="4"/>
      <c r="G76" s="4"/>
      <c r="H76" s="4"/>
      <c r="I76" s="4"/>
      <c r="J76" s="4"/>
      <c r="K76" s="4"/>
      <c r="M76" s="4"/>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Лист65">
    <tabColor rgb="FF92D050"/>
  </sheetPr>
  <dimension ref="A1:AC49"/>
  <sheetViews>
    <sheetView workbookViewId="0">
      <selection activeCell="V2" sqref="V2:AD2"/>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c r="A2" s="10"/>
      <c r="B2" s="10"/>
      <c r="F2" s="10"/>
      <c r="G2" s="10"/>
      <c r="H2" s="10"/>
      <c r="I2" s="10"/>
      <c r="J2" s="10"/>
      <c r="K2" s="10"/>
      <c r="M2" s="10"/>
      <c r="N2" s="10"/>
      <c r="O2" s="10"/>
      <c r="P2" s="10"/>
      <c r="Q2" s="10"/>
      <c r="R2" s="10"/>
      <c r="U2" s="74" t="b">
        <f>Настройки!$M$34</f>
        <v>1</v>
      </c>
      <c r="V2" s="73" t="s">
        <v>3294</v>
      </c>
      <c r="W2" s="537" t="s">
        <v>3295</v>
      </c>
      <c r="X2" s="73"/>
      <c r="Y2" s="73"/>
      <c r="Z2" s="73"/>
      <c r="AA2" s="74"/>
      <c r="AB2" s="74"/>
      <c r="AC2" s="74"/>
    </row>
    <row r="3" spans="1:29">
      <c r="A3" s="515" t="str">
        <f>SUBSTITUTE($V$2,"\","|")&amp;"|CRPX"</f>
        <v>GP001_Z_06_02|CRPX</v>
      </c>
      <c r="B3" t="s">
        <v>74</v>
      </c>
      <c r="F3" t="s">
        <v>72</v>
      </c>
      <c r="G3" t="s">
        <v>71</v>
      </c>
      <c r="H3">
        <v>0</v>
      </c>
      <c r="I3" t="s">
        <v>76</v>
      </c>
      <c r="J3" t="s">
        <v>73</v>
      </c>
      <c r="K3" s="515" t="s">
        <v>1383</v>
      </c>
      <c r="M3">
        <v>1</v>
      </c>
      <c r="R3" t="str">
        <f>IF($U$2=TRUE,$W$2&amp;". Команда оператора Вывести в ремонт","Команда оператора Вывести в ремонт")</f>
        <v>ГП 1. Затвор З.6.2. Команда оператора Вывести в ремонт</v>
      </c>
      <c r="S3" s="372"/>
      <c r="U3" s="773"/>
      <c r="V3" s="4"/>
      <c r="W3" s="773"/>
      <c r="X3" s="4"/>
    </row>
    <row r="4" spans="1:29">
      <c r="A4" s="515" t="str">
        <f>SUBSTITUTE($V$2,"\","|")&amp;"|CRRX"</f>
        <v>GP001_Z_06_02|CRRX</v>
      </c>
      <c r="B4" t="s">
        <v>74</v>
      </c>
      <c r="F4" t="s">
        <v>72</v>
      </c>
      <c r="G4" t="s">
        <v>71</v>
      </c>
      <c r="H4">
        <v>0</v>
      </c>
      <c r="I4" t="s">
        <v>76</v>
      </c>
      <c r="J4" t="s">
        <v>73</v>
      </c>
      <c r="K4" s="515" t="s">
        <v>1383</v>
      </c>
      <c r="M4">
        <v>1</v>
      </c>
      <c r="R4" t="str">
        <f>IF($U$2=TRUE,$W$2&amp;". Команда сброс наработки","Команда сброс наработки")</f>
        <v>ГП 1. Затвор З.6.2. Команда сброс наработки</v>
      </c>
      <c r="S4" s="372"/>
      <c r="U4" s="773"/>
      <c r="V4" s="4"/>
      <c r="W4" s="773"/>
      <c r="X4" s="4"/>
    </row>
    <row r="5" spans="1:29">
      <c r="A5" t="str">
        <f>SUBSTITUTE($V$2,"\","|")&amp;"|IONX"</f>
        <v>GP001_Z_06_02|IONX</v>
      </c>
      <c r="B5" t="s">
        <v>74</v>
      </c>
      <c r="F5" t="s">
        <v>72</v>
      </c>
      <c r="G5" t="s">
        <v>71</v>
      </c>
      <c r="H5">
        <v>0</v>
      </c>
      <c r="I5" t="s">
        <v>72</v>
      </c>
      <c r="J5" t="s">
        <v>69</v>
      </c>
      <c r="K5">
        <v>0</v>
      </c>
      <c r="M5">
        <v>1</v>
      </c>
      <c r="R5" t="str">
        <f>IF($U$2=TRUE,$W$2&amp;". Входное значение Открыта","Входное значение Открыта")</f>
        <v>ГП 1. Затвор З.6.2. Входное значение Открыта</v>
      </c>
      <c r="S5" s="372"/>
      <c r="U5" s="773"/>
      <c r="V5" s="4"/>
      <c r="W5" s="773"/>
      <c r="X5" s="4"/>
    </row>
    <row r="6" spans="1:29">
      <c r="A6" t="str">
        <f>SUBSTITUTE($V$2,"\","|")&amp;"|IOFX"</f>
        <v>GP001_Z_06_02|IOFX</v>
      </c>
      <c r="B6" t="s">
        <v>74</v>
      </c>
      <c r="F6" t="s">
        <v>72</v>
      </c>
      <c r="G6" t="s">
        <v>71</v>
      </c>
      <c r="H6">
        <v>0</v>
      </c>
      <c r="I6" t="s">
        <v>72</v>
      </c>
      <c r="J6" t="s">
        <v>69</v>
      </c>
      <c r="K6">
        <v>0</v>
      </c>
      <c r="M6">
        <v>1</v>
      </c>
      <c r="R6" t="str">
        <f>IF($U$2=TRUE,$W$2&amp;". Входное значение Закрыта","Входное значение Закрыта")</f>
        <v>ГП 1. Затвор З.6.2. Входное значение Закрыта</v>
      </c>
      <c r="S6" s="372"/>
      <c r="U6" s="773"/>
      <c r="V6" s="4"/>
      <c r="W6" s="773"/>
      <c r="X6" s="4"/>
    </row>
    <row r="7" spans="1:29">
      <c r="A7" t="str">
        <f>SUBSTITUTE($V$2,"\","|")&amp;"|IFXX"</f>
        <v>GP001_Z_06_02|IFXX</v>
      </c>
      <c r="B7" t="s">
        <v>74</v>
      </c>
      <c r="F7" t="s">
        <v>72</v>
      </c>
      <c r="G7" t="s">
        <v>71</v>
      </c>
      <c r="H7">
        <v>0</v>
      </c>
      <c r="I7" t="s">
        <v>72</v>
      </c>
      <c r="J7" t="s">
        <v>69</v>
      </c>
      <c r="K7">
        <v>0</v>
      </c>
      <c r="M7">
        <v>1</v>
      </c>
      <c r="R7" t="str">
        <f>IF($U$2=TRUE,$W$2&amp;". Входное значение Неисправность","Входное значение Неисправность")</f>
        <v>ГП 1. Затвор З.6.2. Входное значение Неисправность</v>
      </c>
      <c r="S7" s="372"/>
      <c r="U7" s="773"/>
      <c r="V7" s="4"/>
      <c r="W7" s="773"/>
      <c r="X7" s="4"/>
    </row>
    <row r="8" spans="1:29">
      <c r="A8" t="str">
        <f>SUBSTITUTE($V$2,"\","|")&amp;"|DONX"</f>
        <v>GP001_Z_06_02|DONX</v>
      </c>
      <c r="B8" t="s">
        <v>74</v>
      </c>
      <c r="F8" t="s">
        <v>72</v>
      </c>
      <c r="G8" t="s">
        <v>71</v>
      </c>
      <c r="H8">
        <v>0</v>
      </c>
      <c r="I8" t="s">
        <v>72</v>
      </c>
      <c r="J8" t="s">
        <v>69</v>
      </c>
      <c r="K8">
        <v>0</v>
      </c>
      <c r="M8">
        <v>1</v>
      </c>
      <c r="R8" t="str">
        <f>IF($U$2=TRUE,$W$2&amp;". Недостоверное Входное значение Открыта","Недостоверное Входное значение Открыта")</f>
        <v>ГП 1. Затвор З.6.2. Недостоверное Входное значение Открыта</v>
      </c>
      <c r="S8" s="372"/>
      <c r="U8" s="773"/>
      <c r="V8" s="4"/>
      <c r="W8" s="773"/>
      <c r="X8" s="4"/>
    </row>
    <row r="9" spans="1:29">
      <c r="A9" t="str">
        <f>SUBSTITUTE($V$2,"\","|")&amp;"|DOFX"</f>
        <v>GP001_Z_06_02|DOFX</v>
      </c>
      <c r="B9" t="s">
        <v>74</v>
      </c>
      <c r="F9" t="s">
        <v>72</v>
      </c>
      <c r="G9" t="s">
        <v>71</v>
      </c>
      <c r="H9">
        <v>0</v>
      </c>
      <c r="I9" t="s">
        <v>72</v>
      </c>
      <c r="J9" t="s">
        <v>69</v>
      </c>
      <c r="K9">
        <v>0</v>
      </c>
      <c r="M9">
        <v>1</v>
      </c>
      <c r="R9" t="str">
        <f>IF($U$2=TRUE,$W$2&amp;". Недостоверное Входное значение Закрыта","Недостоверное Входное значение Закрыта")</f>
        <v>ГП 1. Затвор З.6.2. Недостоверное Входное значение Закрыта</v>
      </c>
      <c r="S9" s="372"/>
      <c r="U9" s="773"/>
      <c r="V9" s="4"/>
      <c r="W9" s="773"/>
      <c r="X9" s="4"/>
    </row>
    <row r="10" spans="1:29">
      <c r="A10" t="str">
        <f>SUBSTITUTE($V$2,"\","|")&amp;"|DFXX"</f>
        <v>GP001_Z_06_02|DFXX</v>
      </c>
      <c r="B10" t="s">
        <v>74</v>
      </c>
      <c r="F10" t="s">
        <v>72</v>
      </c>
      <c r="G10" t="s">
        <v>71</v>
      </c>
      <c r="H10">
        <v>0</v>
      </c>
      <c r="I10" t="s">
        <v>72</v>
      </c>
      <c r="J10" t="s">
        <v>69</v>
      </c>
      <c r="K10">
        <v>0</v>
      </c>
      <c r="M10">
        <v>1</v>
      </c>
      <c r="R10" t="str">
        <f>IF($U$2=TRUE,$W$2&amp;". Недостоверное Входное значение Неисправность","Недостоверное Входное значение Неисправность")</f>
        <v>ГП 1. Затвор З.6.2. Недостоверное Входное значение Неисправность</v>
      </c>
      <c r="S10" s="372"/>
      <c r="U10" s="773"/>
      <c r="V10" s="4"/>
      <c r="W10" s="773"/>
      <c r="X10" s="4"/>
    </row>
    <row r="11" spans="1:29">
      <c r="A11" t="str">
        <f>SUBSTITUTE($V$2,"\","|")&amp;"|XONX"</f>
        <v>GP001_Z_06_02|XONX</v>
      </c>
      <c r="B11" t="s">
        <v>74</v>
      </c>
      <c r="F11" t="s">
        <v>72</v>
      </c>
      <c r="G11" t="s">
        <v>71</v>
      </c>
      <c r="H11">
        <v>0</v>
      </c>
      <c r="I11" t="s">
        <v>72</v>
      </c>
      <c r="J11" t="s">
        <v>69</v>
      </c>
      <c r="K11">
        <v>0</v>
      </c>
      <c r="M11">
        <v>1</v>
      </c>
      <c r="R11" t="str">
        <f>IF($U$2=TRUE,$W$2&amp;". Выходное значение Открыта","Выходное значение Открыта")</f>
        <v>ГП 1. Затвор З.6.2. Выходное значение Открыта</v>
      </c>
      <c r="S11" s="372"/>
      <c r="U11" s="773"/>
      <c r="V11" s="4"/>
      <c r="W11" s="773"/>
      <c r="X11" s="4"/>
    </row>
    <row r="12" spans="1:29">
      <c r="A12" t="str">
        <f>SUBSTITUTE($V$2,"\","|")&amp;"|XOFX"</f>
        <v>GP001_Z_06_02|XOFX</v>
      </c>
      <c r="B12" t="s">
        <v>74</v>
      </c>
      <c r="F12" t="s">
        <v>72</v>
      </c>
      <c r="G12" t="s">
        <v>71</v>
      </c>
      <c r="H12">
        <v>0</v>
      </c>
      <c r="I12" t="s">
        <v>72</v>
      </c>
      <c r="J12" t="s">
        <v>69</v>
      </c>
      <c r="K12">
        <v>0</v>
      </c>
      <c r="M12">
        <v>1</v>
      </c>
      <c r="R12" t="str">
        <f>IF($U$2=TRUE,$W$2&amp;". Выходное значение Закрыта","Выходное значение Закрыта")</f>
        <v>ГП 1. Затвор З.6.2. Выходное значение Закрыта</v>
      </c>
      <c r="S12" s="372"/>
      <c r="U12" s="773"/>
      <c r="V12" s="4"/>
      <c r="W12" s="773"/>
      <c r="X12" s="4"/>
    </row>
    <row r="13" spans="1:29">
      <c r="A13" t="str">
        <f>SUBSTITUTE($V$2,"\","|")&amp;"|XRPX"</f>
        <v>GP001_Z_06_02|XRPX</v>
      </c>
      <c r="B13" t="s">
        <v>74</v>
      </c>
      <c r="F13" t="s">
        <v>72</v>
      </c>
      <c r="G13" t="s">
        <v>71</v>
      </c>
      <c r="H13">
        <v>0</v>
      </c>
      <c r="I13" t="s">
        <v>72</v>
      </c>
      <c r="J13" t="s">
        <v>69</v>
      </c>
      <c r="K13">
        <v>0</v>
      </c>
      <c r="M13">
        <v>1</v>
      </c>
      <c r="R13" t="str">
        <f>IF($U$2=TRUE,$W$2&amp;". Выходное значение Выведен в ремонт","Выходное значение Выведен в ремонт")</f>
        <v>ГП 1. Затвор З.6.2. Выходное значение Выведен в ремонт</v>
      </c>
      <c r="S13" s="372"/>
      <c r="U13" s="773"/>
      <c r="V13" s="4"/>
      <c r="W13" s="773"/>
      <c r="X13" s="4"/>
    </row>
    <row r="14" spans="1:29">
      <c r="A14" t="str">
        <f>SUBSTITUTE($V$2,"\","|")&amp;"|FXXX"</f>
        <v>GP001_Z_06_02|FXXX</v>
      </c>
      <c r="B14" t="s">
        <v>74</v>
      </c>
      <c r="F14" t="s">
        <v>72</v>
      </c>
      <c r="G14" t="s">
        <v>71</v>
      </c>
      <c r="H14">
        <v>0</v>
      </c>
      <c r="I14" t="s">
        <v>72</v>
      </c>
      <c r="J14" t="s">
        <v>69</v>
      </c>
      <c r="K14">
        <v>0</v>
      </c>
      <c r="M14">
        <v>1</v>
      </c>
      <c r="R14" t="str">
        <f>IF($U$2=TRUE,$W$2&amp;". Обобщенная неисправность","Обобщенная неисправность")</f>
        <v>ГП 1. Затвор З.6.2. Обобщенная неисправность</v>
      </c>
      <c r="S14" s="372"/>
      <c r="U14" s="773"/>
      <c r="V14" s="4"/>
      <c r="W14" s="773"/>
      <c r="X14" s="4"/>
    </row>
    <row r="15" spans="1:29">
      <c r="A15" t="str">
        <f>SUBSTITUTE($V$2,"\","|")&amp;"|FUSX"</f>
        <v>GP001_Z_06_02|FUSX</v>
      </c>
      <c r="B15" t="s">
        <v>74</v>
      </c>
      <c r="F15" t="s">
        <v>72</v>
      </c>
      <c r="G15" t="s">
        <v>71</v>
      </c>
      <c r="H15">
        <v>0</v>
      </c>
      <c r="I15" t="s">
        <v>72</v>
      </c>
      <c r="J15" t="s">
        <v>69</v>
      </c>
      <c r="K15">
        <v>0</v>
      </c>
      <c r="M15">
        <v>1</v>
      </c>
      <c r="R15" t="str">
        <f>IF($U$2=TRUE,$W$2&amp;". Неопределенно положение","Неопределенно положение")</f>
        <v>ГП 1. Затвор З.6.2. Неопределенно положение</v>
      </c>
      <c r="S15" s="372"/>
      <c r="U15" s="773"/>
      <c r="V15" s="4"/>
      <c r="W15" s="773"/>
      <c r="X15" s="4"/>
    </row>
    <row r="16" spans="1:29">
      <c r="A16" t="str">
        <f>SUBSTITUTE($V$2,"\","|")&amp;"|FDSX"</f>
        <v>GP001_Z_06_02|FDSX</v>
      </c>
      <c r="B16" t="s">
        <v>74</v>
      </c>
      <c r="F16" t="s">
        <v>72</v>
      </c>
      <c r="G16" t="s">
        <v>71</v>
      </c>
      <c r="H16">
        <v>0</v>
      </c>
      <c r="I16" t="s">
        <v>72</v>
      </c>
      <c r="J16" t="s">
        <v>69</v>
      </c>
      <c r="K16">
        <v>0</v>
      </c>
      <c r="M16">
        <v>1</v>
      </c>
      <c r="R16" t="str">
        <f>IF($U$2=TRUE,$W$2&amp;". Двойное положение","Двойное положение")</f>
        <v>ГП 1. Затвор З.6.2. Двойное положение</v>
      </c>
      <c r="S16" s="372"/>
      <c r="U16" s="773"/>
      <c r="V16" s="4"/>
      <c r="W16" s="773"/>
      <c r="X16" s="4"/>
    </row>
    <row r="17" spans="1:24">
      <c r="A17" t="str">
        <f>SUBSTITUTE($V$2,"\","|")&amp;"|XRON"</f>
        <v>GP001_Z_06_02|XRON</v>
      </c>
      <c r="B17" t="s">
        <v>78</v>
      </c>
      <c r="F17">
        <v>0</v>
      </c>
      <c r="G17" t="s">
        <v>71</v>
      </c>
      <c r="H17">
        <v>0</v>
      </c>
      <c r="I17" t="s">
        <v>76</v>
      </c>
      <c r="J17" t="s">
        <v>73</v>
      </c>
      <c r="K17">
        <v>0</v>
      </c>
      <c r="M17">
        <v>1</v>
      </c>
      <c r="R17" t="str">
        <f>IF($U$2=TRUE,$W$2&amp;". Наработка концевика открыт","Наработка концевика открыт")</f>
        <v>ГП 1. Затвор З.6.2. Наработка концевика открыт</v>
      </c>
      <c r="S17" s="372"/>
      <c r="U17" s="773"/>
      <c r="V17" s="4"/>
      <c r="W17" s="773"/>
      <c r="X17" s="4"/>
    </row>
    <row r="18" spans="1:24">
      <c r="A18" t="str">
        <f>SUBSTITUTE($V$2,"\","|")&amp;"|XROF"</f>
        <v>GP001_Z_06_02|XROF</v>
      </c>
      <c r="B18" t="s">
        <v>78</v>
      </c>
      <c r="F18">
        <v>0</v>
      </c>
      <c r="G18" t="s">
        <v>71</v>
      </c>
      <c r="H18">
        <v>0</v>
      </c>
      <c r="I18" t="s">
        <v>76</v>
      </c>
      <c r="J18" t="s">
        <v>73</v>
      </c>
      <c r="K18">
        <v>0</v>
      </c>
      <c r="M18">
        <v>1</v>
      </c>
      <c r="R18" t="str">
        <f>IF($U$2=TRUE,$W$2&amp;". Наработка концевика закрыт","Наработка концевика закрыт")</f>
        <v>ГП 1. Затвор З.6.2. Наработка концевика закрыт</v>
      </c>
      <c r="S18" s="372"/>
      <c r="U18" s="773"/>
      <c r="V18" s="4"/>
      <c r="W18" s="773"/>
      <c r="X18" s="4"/>
    </row>
    <row r="19" spans="1:24">
      <c r="A19" t="str">
        <f>SUBSTITUTE($V$2,"\","|")&amp;"|SRQX"</f>
        <v>GP001_Z_06_02|SRQX</v>
      </c>
      <c r="B19" t="s">
        <v>78</v>
      </c>
      <c r="F19">
        <v>1500</v>
      </c>
      <c r="G19" t="s">
        <v>71</v>
      </c>
      <c r="H19">
        <v>0</v>
      </c>
      <c r="I19" t="s">
        <v>76</v>
      </c>
      <c r="J19" t="s">
        <v>73</v>
      </c>
      <c r="K19">
        <v>0</v>
      </c>
      <c r="M19">
        <v>1</v>
      </c>
      <c r="R19" t="str">
        <f>IF($U$2=TRUE,$W$2&amp;". Уставка по наработке концевиков","Уставка по наработке концевиков")</f>
        <v>ГП 1. Затвор З.6.2. Уставка по наработке концевиков</v>
      </c>
      <c r="S19" s="372"/>
      <c r="U19" s="773"/>
      <c r="V19" s="4"/>
      <c r="W19" s="773"/>
      <c r="X19" s="4"/>
    </row>
    <row r="20" spans="1:24">
      <c r="A20" t="str">
        <f>SUBSTITUTE($V$2,"\","|")&amp;"|FRQX"</f>
        <v>GP001_Z_06_02|FRQX</v>
      </c>
      <c r="B20" t="s">
        <v>74</v>
      </c>
      <c r="F20" t="s">
        <v>72</v>
      </c>
      <c r="G20" t="s">
        <v>71</v>
      </c>
      <c r="H20">
        <v>0</v>
      </c>
      <c r="I20" t="s">
        <v>72</v>
      </c>
      <c r="J20" t="s">
        <v>69</v>
      </c>
      <c r="K20">
        <v>0</v>
      </c>
      <c r="M20">
        <v>1</v>
      </c>
      <c r="R20" t="str">
        <f>IF($U$2=TRUE,$W$2&amp;". Сработала уставка по наработке концевиков","Сработала уставка по наработке концевиков")</f>
        <v>ГП 1. Затвор З.6.2. Сработала уставка по наработке концевиков</v>
      </c>
      <c r="S20" s="372"/>
      <c r="U20" s="773"/>
      <c r="V20" s="4"/>
      <c r="W20" s="773"/>
      <c r="X20" s="4"/>
    </row>
    <row r="21" spans="1:24">
      <c r="A21" s="514" t="str">
        <f>"PACK_TO_INT|STATE|"&amp;SUBSTITUTE($V$2,"\","|")</f>
        <v>PACK_TO_INT|STATE|GP001_Z_06_02</v>
      </c>
      <c r="B21" s="4" t="s">
        <v>78</v>
      </c>
      <c r="F21" s="4">
        <v>0</v>
      </c>
      <c r="G21" s="4" t="s">
        <v>71</v>
      </c>
      <c r="H21" s="4">
        <v>0</v>
      </c>
      <c r="I21" s="4" t="s">
        <v>72</v>
      </c>
      <c r="J21" s="4" t="s">
        <v>73</v>
      </c>
      <c r="K21" s="514">
        <v>1</v>
      </c>
    </row>
    <row r="22" spans="1:24">
      <c r="A22" s="514" t="str">
        <f>"PACK_TO_INT|FAULT|"&amp;SUBSTITUTE($V$2,"\","|")</f>
        <v>PACK_TO_INT|FAULT|GP001_Z_06_02</v>
      </c>
      <c r="B22" s="4" t="s">
        <v>78</v>
      </c>
      <c r="F22" s="4">
        <v>0</v>
      </c>
      <c r="G22" s="4" t="s">
        <v>71</v>
      </c>
      <c r="H22" s="4">
        <v>0</v>
      </c>
      <c r="I22" s="4" t="s">
        <v>72</v>
      </c>
      <c r="J22" s="4" t="s">
        <v>73</v>
      </c>
      <c r="K22" s="514">
        <v>1</v>
      </c>
    </row>
    <row r="25" spans="1:24">
      <c r="A25" s="4"/>
      <c r="B25" s="4"/>
      <c r="F25" s="4"/>
      <c r="G25" s="4"/>
      <c r="H25" s="4"/>
      <c r="I25" s="4"/>
      <c r="J25" s="4"/>
      <c r="K25" s="4"/>
      <c r="M25" s="4"/>
    </row>
    <row r="29" spans="1:24">
      <c r="A29" s="4"/>
      <c r="B29" s="4"/>
      <c r="F29" s="4"/>
      <c r="G29" s="4"/>
      <c r="H29" s="4"/>
      <c r="I29" s="4"/>
      <c r="J29" s="4"/>
      <c r="K29" s="4"/>
      <c r="M29" s="4"/>
    </row>
    <row r="30" spans="1:24">
      <c r="A30" s="4"/>
      <c r="B30" s="4"/>
      <c r="F30" s="4"/>
      <c r="G30" s="4"/>
      <c r="H30" s="4"/>
      <c r="I30" s="4"/>
      <c r="J30" s="4"/>
      <c r="K30" s="4"/>
      <c r="M30" s="4"/>
    </row>
    <row r="31" spans="1:24">
      <c r="A31" s="4"/>
      <c r="B31" s="4"/>
      <c r="F31" s="4"/>
      <c r="G31" s="4"/>
      <c r="H31" s="4"/>
      <c r="I31" s="4"/>
      <c r="J31" s="4"/>
      <c r="K31" s="4"/>
      <c r="M31" s="4"/>
    </row>
    <row r="32" spans="1:24">
      <c r="A32" s="4"/>
      <c r="B32" s="4"/>
      <c r="F32" s="4"/>
      <c r="G32" s="4"/>
      <c r="H32" s="4"/>
      <c r="I32" s="4"/>
      <c r="J32" s="4"/>
      <c r="K32" s="4"/>
      <c r="M32" s="4"/>
    </row>
    <row r="33" spans="1:23">
      <c r="A33" s="4"/>
      <c r="B33" s="4"/>
      <c r="F33" s="4"/>
      <c r="G33" s="4"/>
      <c r="H33" s="4"/>
      <c r="I33" s="4"/>
      <c r="J33" s="4"/>
      <c r="K33" s="4"/>
      <c r="M33" s="4"/>
    </row>
    <row r="34" spans="1:23">
      <c r="A34" s="4"/>
      <c r="B34" s="4"/>
      <c r="F34" s="4"/>
      <c r="G34" s="4"/>
      <c r="H34" s="4"/>
      <c r="I34" s="4"/>
      <c r="J34" s="4"/>
      <c r="K34" s="4"/>
      <c r="M34" s="4"/>
    </row>
    <row r="35" spans="1:23">
      <c r="A35" s="4"/>
      <c r="B35" s="4"/>
      <c r="F35" s="4"/>
      <c r="G35" s="4"/>
      <c r="H35" s="4"/>
      <c r="I35" s="4"/>
      <c r="J35" s="4"/>
      <c r="K35" s="4"/>
      <c r="M35" s="4"/>
    </row>
    <row r="36" spans="1:23">
      <c r="A36" s="4"/>
      <c r="B36" s="4"/>
      <c r="F36" s="4"/>
      <c r="G36" s="4"/>
      <c r="H36" s="4"/>
      <c r="I36" s="4"/>
      <c r="J36" s="4"/>
      <c r="K36" s="4"/>
      <c r="M36" s="4"/>
    </row>
    <row r="37" spans="1:23">
      <c r="A37" s="4"/>
      <c r="B37" s="4"/>
      <c r="F37" s="4"/>
      <c r="G37" s="4"/>
      <c r="H37" s="4"/>
      <c r="I37" s="4"/>
      <c r="J37" s="4"/>
      <c r="K37" s="4"/>
      <c r="M37" s="4"/>
    </row>
    <row r="38" spans="1:23">
      <c r="A38" s="4"/>
      <c r="B38" s="4"/>
      <c r="F38" s="4"/>
      <c r="G38" s="4"/>
      <c r="H38" s="4"/>
      <c r="I38" s="4"/>
      <c r="J38" s="4"/>
      <c r="K38" s="4"/>
      <c r="M38" s="4"/>
    </row>
    <row r="39" spans="1:23">
      <c r="A39" s="4"/>
      <c r="B39" s="4"/>
      <c r="F39" s="4"/>
      <c r="G39" s="4"/>
      <c r="H39" s="4"/>
      <c r="I39" s="4"/>
      <c r="J39" s="4"/>
      <c r="K39" s="4"/>
      <c r="M39" s="4"/>
    </row>
    <row r="40" spans="1:23">
      <c r="A40" s="4"/>
      <c r="B40" s="4"/>
      <c r="F40" s="4"/>
      <c r="G40" s="4"/>
      <c r="H40" s="4"/>
      <c r="I40" s="4"/>
      <c r="J40" s="4"/>
      <c r="K40" s="4"/>
      <c r="M40" s="4"/>
      <c r="W40" s="4"/>
    </row>
    <row r="41" spans="1:23">
      <c r="A41" s="4"/>
      <c r="B41" s="4"/>
      <c r="F41" s="4"/>
      <c r="G41" s="4"/>
      <c r="H41" s="4"/>
      <c r="I41" s="4"/>
      <c r="J41" s="4"/>
      <c r="K41" s="4"/>
      <c r="M41" s="4"/>
      <c r="W41" s="4"/>
    </row>
    <row r="42" spans="1:23">
      <c r="W42" s="4"/>
    </row>
    <row r="43" spans="1:23">
      <c r="W43" s="4"/>
    </row>
    <row r="44" spans="1:23">
      <c r="W44" s="4"/>
    </row>
    <row r="45" spans="1:23">
      <c r="W45" s="4"/>
    </row>
    <row r="46" spans="1:23">
      <c r="W46" s="4"/>
    </row>
    <row r="47" spans="1:23">
      <c r="W47" s="4"/>
    </row>
    <row r="48" spans="1:23">
      <c r="W48" s="4"/>
    </row>
    <row r="49" spans="23:23">
      <c r="W49" s="4"/>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Лист34">
    <tabColor rgb="FF92D050"/>
  </sheetPr>
  <dimension ref="A1:AC49"/>
  <sheetViews>
    <sheetView topLeftCell="M1"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14.25" customHeight="1">
      <c r="A2" s="10"/>
      <c r="B2" s="10"/>
      <c r="F2" s="10"/>
      <c r="G2" s="10"/>
      <c r="H2" s="10"/>
      <c r="I2" s="10"/>
      <c r="J2" s="10"/>
      <c r="K2" s="10"/>
      <c r="M2" s="10"/>
      <c r="N2" s="10"/>
      <c r="O2" s="10"/>
      <c r="P2" s="10"/>
      <c r="Q2" s="10"/>
      <c r="R2" s="10"/>
      <c r="U2" s="74" t="b">
        <f>Настройки!$M$34</f>
        <v>1</v>
      </c>
      <c r="V2" s="73" t="s">
        <v>245</v>
      </c>
      <c r="W2" s="537" t="s">
        <v>1756</v>
      </c>
      <c r="X2" s="73"/>
      <c r="Y2" s="73"/>
      <c r="Z2" s="73"/>
      <c r="AA2" s="74"/>
      <c r="AB2" s="74"/>
      <c r="AC2" s="74"/>
    </row>
    <row r="3" spans="1:29">
      <c r="A3" s="515" t="str">
        <f>SUBSTITUTE($V$2,"\","|")</f>
        <v>KTP_SEC1_NOT_U</v>
      </c>
      <c r="B3" t="s">
        <v>74</v>
      </c>
      <c r="F3" t="s">
        <v>72</v>
      </c>
      <c r="G3" t="s">
        <v>71</v>
      </c>
      <c r="H3">
        <v>0</v>
      </c>
      <c r="I3" t="s">
        <v>72</v>
      </c>
      <c r="J3" t="s">
        <v>69</v>
      </c>
      <c r="K3" s="515" t="s">
        <v>1383</v>
      </c>
      <c r="M3">
        <v>1</v>
      </c>
      <c r="R3" t="str">
        <f>IF($U$2=TRUE,$W$2&amp;". Выходное значение","Выходное значение")</f>
        <v>Дискретный вход (только один сигнал). Выходное значение</v>
      </c>
      <c r="S3" s="372"/>
      <c r="U3" s="773"/>
      <c r="V3" s="4"/>
      <c r="W3" s="773"/>
      <c r="X3" s="4"/>
    </row>
    <row r="4" spans="1:29">
      <c r="W4" s="4"/>
    </row>
    <row r="10" spans="1:29">
      <c r="W10" s="4"/>
    </row>
    <row r="12" spans="1:29">
      <c r="A12" s="4"/>
      <c r="B12" s="4"/>
      <c r="F12" s="4"/>
      <c r="G12" s="4"/>
      <c r="H12" s="4"/>
      <c r="I12" s="4"/>
      <c r="J12" s="4"/>
      <c r="K12" s="4"/>
      <c r="M12" s="4"/>
    </row>
    <row r="17" spans="1:13">
      <c r="A17" s="4"/>
      <c r="B17" s="4"/>
      <c r="F17" s="4"/>
      <c r="G17" s="4"/>
      <c r="H17" s="4"/>
      <c r="I17" s="4"/>
      <c r="J17" s="4"/>
      <c r="K17" s="4"/>
      <c r="M17" s="4"/>
    </row>
    <row r="18" spans="1:13">
      <c r="A18" s="4"/>
      <c r="B18" s="4"/>
      <c r="F18" s="4"/>
      <c r="G18" s="4"/>
      <c r="H18" s="4"/>
      <c r="I18" s="4"/>
      <c r="J18" s="4"/>
      <c r="K18" s="4"/>
      <c r="M18" s="4"/>
    </row>
    <row r="19" spans="1:13">
      <c r="A19" s="4"/>
      <c r="B19" s="4"/>
      <c r="F19" s="4"/>
      <c r="G19" s="4"/>
      <c r="H19" s="4"/>
      <c r="I19" s="4"/>
      <c r="J19" s="4"/>
      <c r="K19" s="4"/>
      <c r="M19" s="4"/>
    </row>
    <row r="20" spans="1:13">
      <c r="A20" s="4"/>
      <c r="B20" s="4"/>
      <c r="F20" s="4"/>
      <c r="G20" s="4"/>
      <c r="H20" s="4"/>
      <c r="I20" s="4"/>
      <c r="J20" s="4"/>
      <c r="K20" s="4"/>
      <c r="M20" s="4"/>
    </row>
    <row r="21" spans="1:13">
      <c r="A21" s="4"/>
      <c r="B21" s="4"/>
      <c r="F21" s="4"/>
      <c r="G21" s="4"/>
      <c r="H21" s="4"/>
      <c r="I21" s="4"/>
      <c r="J21" s="4"/>
      <c r="K21" s="4"/>
      <c r="M21" s="4"/>
    </row>
    <row r="22" spans="1:13">
      <c r="A22" s="4"/>
      <c r="B22" s="4"/>
      <c r="F22" s="4"/>
      <c r="G22" s="4"/>
      <c r="H22" s="4"/>
      <c r="I22" s="4"/>
      <c r="J22" s="4"/>
      <c r="K22" s="4"/>
      <c r="M22" s="4"/>
    </row>
    <row r="23" spans="1:13">
      <c r="A23" s="4"/>
      <c r="B23" s="4"/>
      <c r="F23" s="4"/>
      <c r="G23" s="4"/>
      <c r="H23" s="4"/>
      <c r="I23" s="4"/>
      <c r="J23" s="4"/>
      <c r="K23" s="4"/>
      <c r="M23" s="4"/>
    </row>
    <row r="24" spans="1:13">
      <c r="A24" s="4"/>
      <c r="B24" s="4"/>
      <c r="F24" s="4"/>
      <c r="G24" s="4"/>
      <c r="H24" s="4"/>
      <c r="I24" s="4"/>
      <c r="J24" s="4"/>
      <c r="K24" s="4"/>
      <c r="M24" s="4"/>
    </row>
    <row r="25" spans="1:13">
      <c r="A25" s="4"/>
      <c r="B25" s="4"/>
      <c r="F25" s="4"/>
      <c r="G25" s="4"/>
      <c r="H25" s="4"/>
      <c r="I25" s="4"/>
      <c r="J25" s="4"/>
      <c r="K25" s="4"/>
      <c r="M25" s="4"/>
    </row>
    <row r="26" spans="1:13">
      <c r="A26" s="4"/>
      <c r="B26" s="4"/>
      <c r="F26" s="4"/>
      <c r="G26" s="4"/>
      <c r="H26" s="4"/>
      <c r="I26" s="4"/>
      <c r="J26" s="4"/>
      <c r="K26" s="4"/>
      <c r="M26" s="4"/>
    </row>
    <row r="27" spans="1:13">
      <c r="A27" s="4"/>
      <c r="B27" s="4"/>
      <c r="F27" s="4"/>
      <c r="G27" s="4"/>
      <c r="H27" s="4"/>
      <c r="I27" s="4"/>
      <c r="J27" s="4"/>
      <c r="K27" s="4"/>
      <c r="M27" s="4"/>
    </row>
    <row r="28" spans="1:13">
      <c r="A28" s="4"/>
      <c r="B28" s="4"/>
      <c r="F28" s="4"/>
      <c r="G28" s="4"/>
      <c r="H28" s="4"/>
      <c r="I28" s="4"/>
      <c r="J28" s="4"/>
      <c r="K28" s="4"/>
      <c r="M28" s="4"/>
    </row>
    <row r="29" spans="1:13">
      <c r="A29" s="4"/>
      <c r="B29" s="4"/>
      <c r="F29" s="4"/>
      <c r="G29" s="4"/>
      <c r="H29" s="4"/>
      <c r="I29" s="4"/>
      <c r="J29" s="4"/>
      <c r="K29" s="4"/>
      <c r="M29" s="4"/>
    </row>
    <row r="40" spans="23:23">
      <c r="W40" s="4"/>
    </row>
    <row r="41" spans="23:23">
      <c r="W41" s="4"/>
    </row>
    <row r="42" spans="23:23">
      <c r="W42" s="4"/>
    </row>
    <row r="43" spans="23:23">
      <c r="W43" s="4"/>
    </row>
    <row r="44" spans="23:23">
      <c r="W44" s="4"/>
    </row>
    <row r="45" spans="23:23">
      <c r="W45" s="4"/>
    </row>
    <row r="46" spans="23:23">
      <c r="W46" s="4"/>
    </row>
    <row r="47" spans="23:23">
      <c r="W47" s="4"/>
    </row>
    <row r="48" spans="23:23">
      <c r="W48" s="4"/>
    </row>
    <row r="49" spans="23:23">
      <c r="W49" s="4"/>
    </row>
  </sheetData>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Лист66">
    <tabColor rgb="FF92D050"/>
  </sheetPr>
  <dimension ref="A1:AC49"/>
  <sheetViews>
    <sheetView topLeftCell="G1"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c r="A2" s="10"/>
      <c r="B2" s="10"/>
      <c r="F2" s="10"/>
      <c r="G2" s="10"/>
      <c r="H2" s="10"/>
      <c r="I2" s="10"/>
      <c r="J2" s="10"/>
      <c r="K2" s="10"/>
      <c r="M2" s="10"/>
      <c r="N2" s="10"/>
      <c r="O2" s="10"/>
      <c r="P2" s="10"/>
      <c r="Q2" s="10"/>
      <c r="R2" s="10"/>
      <c r="U2" s="74" t="b">
        <f>Настройки!$M$34</f>
        <v>1</v>
      </c>
      <c r="V2" s="73" t="s">
        <v>435</v>
      </c>
      <c r="W2" s="537" t="s">
        <v>1757</v>
      </c>
      <c r="X2" s="73"/>
      <c r="Y2" s="73"/>
      <c r="Z2" s="73"/>
      <c r="AA2" s="74"/>
      <c r="AB2" s="74"/>
      <c r="AC2" s="74"/>
    </row>
    <row r="3" spans="1:29">
      <c r="A3" s="515" t="str">
        <f>SUBSTITUTE($V$2,"\","|")&amp;"|DVXX"</f>
        <v>DI_DIAG|DVXX</v>
      </c>
      <c r="B3" t="s">
        <v>74</v>
      </c>
      <c r="F3" t="s">
        <v>72</v>
      </c>
      <c r="G3" t="s">
        <v>71</v>
      </c>
      <c r="H3">
        <v>0</v>
      </c>
      <c r="I3" t="s">
        <v>72</v>
      </c>
      <c r="J3" t="s">
        <v>69</v>
      </c>
      <c r="K3" s="515" t="s">
        <v>1383</v>
      </c>
      <c r="M3">
        <v>1</v>
      </c>
      <c r="R3" t="str">
        <f>IF($U$2=TRUE,$W$2&amp;". Недостоверное значение дискретного входа","Недостоверное значение дискретного входа")</f>
        <v>Дискретный вход (XVLX+DVXX). Недостоверное значение дискретного входа</v>
      </c>
      <c r="S3" s="372"/>
      <c r="U3" s="773"/>
      <c r="V3" s="4"/>
      <c r="W3" s="773"/>
      <c r="X3" s="4"/>
    </row>
    <row r="4" spans="1:29">
      <c r="A4" s="515" t="str">
        <f>SUBSTITUTE($V$2,"\","|")&amp;"|XVLX"</f>
        <v>DI_DIAG|XVLX</v>
      </c>
      <c r="B4" t="s">
        <v>74</v>
      </c>
      <c r="F4" t="s">
        <v>72</v>
      </c>
      <c r="G4" t="s">
        <v>71</v>
      </c>
      <c r="H4">
        <v>0</v>
      </c>
      <c r="I4" t="s">
        <v>72</v>
      </c>
      <c r="J4" t="s">
        <v>69</v>
      </c>
      <c r="K4" s="515" t="s">
        <v>1383</v>
      </c>
      <c r="M4">
        <v>1</v>
      </c>
      <c r="R4" t="str">
        <f>IF($U$2=TRUE,$W$2&amp;". Дискретный вход","Дискретный вход")</f>
        <v>Дискретный вход (XVLX+DVXX). Дискретный вход</v>
      </c>
      <c r="S4" s="372"/>
      <c r="U4" s="773"/>
      <c r="V4" s="4"/>
      <c r="W4" s="773"/>
      <c r="X4" s="4"/>
    </row>
    <row r="10" spans="1:29">
      <c r="A10" s="4"/>
      <c r="B10" s="4"/>
      <c r="F10" s="4"/>
      <c r="G10" s="4"/>
      <c r="H10" s="4"/>
      <c r="I10" s="4"/>
      <c r="J10" s="4"/>
      <c r="K10" s="4"/>
      <c r="M10" s="4"/>
      <c r="W10" s="4"/>
    </row>
    <row r="18" spans="1:13">
      <c r="A18" s="4"/>
      <c r="B18" s="4"/>
      <c r="F18" s="4"/>
      <c r="G18" s="4"/>
      <c r="H18" s="4"/>
      <c r="I18" s="4"/>
      <c r="J18" s="4"/>
      <c r="K18" s="4"/>
      <c r="M18" s="4"/>
    </row>
    <row r="19" spans="1:13">
      <c r="A19" s="4"/>
      <c r="B19" s="4"/>
      <c r="F19" s="4"/>
      <c r="G19" s="4"/>
      <c r="H19" s="4"/>
      <c r="I19" s="4"/>
      <c r="J19" s="4"/>
      <c r="K19" s="4"/>
      <c r="M19" s="4"/>
    </row>
    <row r="20" spans="1:13">
      <c r="A20" s="4"/>
      <c r="B20" s="4"/>
      <c r="F20" s="4"/>
      <c r="G20" s="4"/>
      <c r="H20" s="4"/>
      <c r="I20" s="4"/>
      <c r="J20" s="4"/>
      <c r="K20" s="4"/>
      <c r="M20" s="4"/>
    </row>
    <row r="21" spans="1:13">
      <c r="A21" s="4"/>
      <c r="B21" s="4"/>
      <c r="F21" s="4"/>
      <c r="G21" s="4"/>
      <c r="H21" s="4"/>
      <c r="I21" s="4"/>
      <c r="J21" s="4"/>
      <c r="K21" s="4"/>
      <c r="M21" s="4"/>
    </row>
    <row r="22" spans="1:13">
      <c r="A22" s="4"/>
      <c r="B22" s="4"/>
      <c r="F22" s="4"/>
      <c r="G22" s="4"/>
      <c r="H22" s="4"/>
      <c r="I22" s="4"/>
      <c r="J22" s="4"/>
      <c r="K22" s="4"/>
      <c r="M22" s="4"/>
    </row>
    <row r="23" spans="1:13">
      <c r="A23" s="4"/>
      <c r="B23" s="4"/>
      <c r="F23" s="4"/>
      <c r="G23" s="4"/>
      <c r="H23" s="4"/>
      <c r="I23" s="4"/>
      <c r="J23" s="4"/>
      <c r="K23" s="4"/>
      <c r="M23" s="4"/>
    </row>
    <row r="24" spans="1:13">
      <c r="A24" s="4"/>
      <c r="B24" s="4"/>
      <c r="F24" s="4"/>
      <c r="G24" s="4"/>
      <c r="H24" s="4"/>
      <c r="I24" s="4"/>
      <c r="J24" s="4"/>
      <c r="K24" s="4"/>
      <c r="M24" s="4"/>
    </row>
    <row r="25" spans="1:13">
      <c r="A25" s="4"/>
      <c r="B25" s="4"/>
      <c r="F25" s="4"/>
      <c r="G25" s="4"/>
      <c r="H25" s="4"/>
      <c r="I25" s="4"/>
      <c r="J25" s="4"/>
      <c r="K25" s="4"/>
      <c r="M25" s="4"/>
    </row>
    <row r="26" spans="1:13">
      <c r="A26" s="4"/>
      <c r="B26" s="4"/>
      <c r="F26" s="4"/>
      <c r="G26" s="4"/>
      <c r="H26" s="4"/>
      <c r="I26" s="4"/>
      <c r="J26" s="4"/>
      <c r="K26" s="4"/>
      <c r="M26" s="4"/>
    </row>
    <row r="27" spans="1:13">
      <c r="A27" s="4"/>
      <c r="B27" s="4"/>
      <c r="F27" s="4"/>
      <c r="G27" s="4"/>
      <c r="H27" s="4"/>
      <c r="I27" s="4"/>
      <c r="J27" s="4"/>
      <c r="K27" s="4"/>
      <c r="M27" s="4"/>
    </row>
    <row r="28" spans="1:13">
      <c r="A28" s="4"/>
      <c r="B28" s="4"/>
      <c r="F28" s="4"/>
      <c r="G28" s="4"/>
      <c r="H28" s="4"/>
      <c r="I28" s="4"/>
      <c r="J28" s="4"/>
      <c r="K28" s="4"/>
      <c r="M28" s="4"/>
    </row>
    <row r="29" spans="1:13">
      <c r="A29" s="4"/>
      <c r="B29" s="4"/>
      <c r="F29" s="4"/>
      <c r="G29" s="4"/>
      <c r="H29" s="4"/>
      <c r="I29" s="4"/>
      <c r="J29" s="4"/>
      <c r="K29" s="4"/>
      <c r="M29" s="4"/>
    </row>
    <row r="30" spans="1:13">
      <c r="A30" s="4"/>
      <c r="B30" s="4"/>
      <c r="F30" s="4"/>
      <c r="G30" s="4"/>
      <c r="H30" s="4"/>
      <c r="I30" s="4"/>
      <c r="J30" s="4"/>
      <c r="K30" s="4"/>
      <c r="M30" s="4"/>
    </row>
    <row r="40" spans="23:23">
      <c r="W40" s="4"/>
    </row>
    <row r="41" spans="23:23">
      <c r="W41" s="4"/>
    </row>
    <row r="42" spans="23:23">
      <c r="W42" s="4"/>
    </row>
    <row r="43" spans="23:23">
      <c r="W43" s="4"/>
    </row>
    <row r="44" spans="23:23">
      <c r="W44" s="4"/>
    </row>
    <row r="45" spans="23:23">
      <c r="W45" s="4"/>
    </row>
    <row r="46" spans="23:23">
      <c r="W46" s="4"/>
    </row>
    <row r="47" spans="23:23">
      <c r="W47" s="4"/>
    </row>
    <row r="48" spans="23:23">
      <c r="W48" s="4"/>
    </row>
    <row r="49" spans="23:23">
      <c r="W49" s="4"/>
    </row>
  </sheetData>
  <conditionalFormatting sqref="V1:AC2">
    <cfRule type="duplicateValues" dxfId="1" priority="1"/>
  </conditionalFormatting>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Лист123">
    <tabColor rgb="FF92D050"/>
  </sheetPr>
  <dimension ref="A1:AC49"/>
  <sheetViews>
    <sheetView topLeftCell="G1"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c r="A2" s="10"/>
      <c r="B2" s="10"/>
      <c r="F2" s="10"/>
      <c r="G2" s="10"/>
      <c r="H2" s="10"/>
      <c r="I2" s="10"/>
      <c r="J2" s="10"/>
      <c r="K2" s="10"/>
      <c r="M2" s="10"/>
      <c r="N2" s="10"/>
      <c r="O2" s="10"/>
      <c r="P2" s="10"/>
      <c r="Q2" s="10"/>
      <c r="R2" s="10"/>
      <c r="U2" s="74" t="b">
        <f>Настройки!$M$34</f>
        <v>1</v>
      </c>
      <c r="V2" s="73" t="s">
        <v>1210</v>
      </c>
      <c r="W2" s="537" t="s">
        <v>1758</v>
      </c>
      <c r="X2" s="73"/>
      <c r="Y2" s="73"/>
      <c r="Z2" s="73"/>
      <c r="AA2" s="74"/>
      <c r="AB2" s="74"/>
      <c r="AC2" s="74"/>
    </row>
    <row r="3" spans="1:29">
      <c r="A3" s="515" t="str">
        <f>SUBSTITUTE($V$2,"\","|")&amp;"|DVXX"</f>
        <v>DO_DIAG|DVXX</v>
      </c>
      <c r="B3" t="s">
        <v>74</v>
      </c>
      <c r="F3" t="s">
        <v>72</v>
      </c>
      <c r="G3" t="s">
        <v>71</v>
      </c>
      <c r="H3">
        <v>0</v>
      </c>
      <c r="I3" t="s">
        <v>72</v>
      </c>
      <c r="J3" t="s">
        <v>69</v>
      </c>
      <c r="K3" s="515" t="s">
        <v>1383</v>
      </c>
      <c r="M3">
        <v>1</v>
      </c>
      <c r="R3" t="str">
        <f>IF($U$2=TRUE,$W$2&amp;". Недостоверное  значение дискретного выхода","Недостоверное  значение дискретного выхода")</f>
        <v>Дискретный выход (XVLX+DVXX). Недостоверное  значение дискретного выхода</v>
      </c>
      <c r="S3" s="372"/>
      <c r="U3" s="773"/>
      <c r="V3" s="4"/>
      <c r="W3" s="773"/>
      <c r="X3" s="4"/>
    </row>
    <row r="4" spans="1:29">
      <c r="A4" s="515" t="str">
        <f>SUBSTITUTE($V$2,"\","|")&amp;"|XVLX"</f>
        <v>DO_DIAG|XVLX</v>
      </c>
      <c r="B4" t="s">
        <v>74</v>
      </c>
      <c r="F4" t="s">
        <v>72</v>
      </c>
      <c r="G4" t="s">
        <v>71</v>
      </c>
      <c r="H4">
        <v>0</v>
      </c>
      <c r="I4" t="s">
        <v>72</v>
      </c>
      <c r="J4" t="s">
        <v>69</v>
      </c>
      <c r="K4" s="515" t="s">
        <v>1383</v>
      </c>
      <c r="M4">
        <v>1</v>
      </c>
      <c r="R4" t="str">
        <f>IF($U$2=TRUE,$W$2&amp;". Дискретный выход","Дискретный выход")</f>
        <v>Дискретный выход (XVLX+DVXX). Дискретный выход</v>
      </c>
      <c r="S4" s="372"/>
      <c r="U4" s="773"/>
      <c r="V4" s="4"/>
      <c r="W4" s="773"/>
      <c r="X4" s="4"/>
    </row>
    <row r="10" spans="1:29">
      <c r="W10" s="4"/>
    </row>
    <row r="11" spans="1:29">
      <c r="A11" s="4"/>
      <c r="B11" s="4"/>
      <c r="F11" s="4"/>
      <c r="G11" s="4"/>
      <c r="H11" s="4"/>
      <c r="I11" s="4"/>
      <c r="J11" s="4"/>
      <c r="K11" s="4"/>
      <c r="M11" s="4"/>
    </row>
    <row r="18" spans="1:13">
      <c r="A18" s="4"/>
      <c r="B18" s="4"/>
      <c r="F18" s="4"/>
      <c r="G18" s="4"/>
      <c r="H18" s="4"/>
      <c r="I18" s="4"/>
      <c r="J18" s="4"/>
      <c r="K18" s="4"/>
      <c r="M18" s="4"/>
    </row>
    <row r="19" spans="1:13">
      <c r="A19" s="4"/>
      <c r="B19" s="4"/>
      <c r="F19" s="4"/>
      <c r="G19" s="4"/>
      <c r="H19" s="4"/>
      <c r="I19" s="4"/>
      <c r="J19" s="4"/>
      <c r="K19" s="4"/>
      <c r="M19" s="4"/>
    </row>
    <row r="20" spans="1:13">
      <c r="A20" s="4"/>
      <c r="B20" s="4"/>
      <c r="F20" s="4"/>
      <c r="G20" s="4"/>
      <c r="H20" s="4"/>
      <c r="I20" s="4"/>
      <c r="J20" s="4"/>
      <c r="K20" s="4"/>
      <c r="M20" s="4"/>
    </row>
    <row r="21" spans="1:13">
      <c r="A21" s="4"/>
      <c r="B21" s="4"/>
      <c r="F21" s="4"/>
      <c r="G21" s="4"/>
      <c r="H21" s="4"/>
      <c r="I21" s="4"/>
      <c r="J21" s="4"/>
      <c r="K21" s="4"/>
      <c r="M21" s="4"/>
    </row>
    <row r="22" spans="1:13">
      <c r="A22" s="4"/>
      <c r="B22" s="4"/>
      <c r="F22" s="4"/>
      <c r="G22" s="4"/>
      <c r="H22" s="4"/>
      <c r="I22" s="4"/>
      <c r="J22" s="4"/>
      <c r="K22" s="4"/>
      <c r="M22" s="4"/>
    </row>
    <row r="23" spans="1:13">
      <c r="A23" s="4"/>
      <c r="B23" s="4"/>
      <c r="F23" s="4"/>
      <c r="G23" s="4"/>
      <c r="H23" s="4"/>
      <c r="I23" s="4"/>
      <c r="J23" s="4"/>
      <c r="K23" s="4"/>
      <c r="M23" s="4"/>
    </row>
    <row r="24" spans="1:13">
      <c r="A24" s="4"/>
      <c r="B24" s="4"/>
      <c r="F24" s="4"/>
      <c r="G24" s="4"/>
      <c r="H24" s="4"/>
      <c r="I24" s="4"/>
      <c r="J24" s="4"/>
      <c r="K24" s="4"/>
      <c r="M24" s="4"/>
    </row>
    <row r="25" spans="1:13">
      <c r="A25" s="4"/>
      <c r="B25" s="4"/>
      <c r="F25" s="4"/>
      <c r="G25" s="4"/>
      <c r="H25" s="4"/>
      <c r="I25" s="4"/>
      <c r="J25" s="4"/>
      <c r="K25" s="4"/>
      <c r="M25" s="4"/>
    </row>
    <row r="26" spans="1:13">
      <c r="A26" s="4"/>
      <c r="B26" s="4"/>
      <c r="F26" s="4"/>
      <c r="G26" s="4"/>
      <c r="H26" s="4"/>
      <c r="I26" s="4"/>
      <c r="J26" s="4"/>
      <c r="K26" s="4"/>
      <c r="M26" s="4"/>
    </row>
    <row r="27" spans="1:13">
      <c r="A27" s="4"/>
      <c r="B27" s="4"/>
      <c r="F27" s="4"/>
      <c r="G27" s="4"/>
      <c r="H27" s="4"/>
      <c r="I27" s="4"/>
      <c r="J27" s="4"/>
      <c r="K27" s="4"/>
      <c r="M27" s="4"/>
    </row>
    <row r="28" spans="1:13">
      <c r="A28" s="4"/>
      <c r="B28" s="4"/>
      <c r="F28" s="4"/>
      <c r="G28" s="4"/>
      <c r="H28" s="4"/>
      <c r="I28" s="4"/>
      <c r="J28" s="4"/>
      <c r="K28" s="4"/>
      <c r="M28" s="4"/>
    </row>
    <row r="29" spans="1:13">
      <c r="A29" s="4"/>
      <c r="B29" s="4"/>
      <c r="F29" s="4"/>
      <c r="G29" s="4"/>
      <c r="H29" s="4"/>
      <c r="I29" s="4"/>
      <c r="J29" s="4"/>
      <c r="K29" s="4"/>
      <c r="M29" s="4"/>
    </row>
    <row r="30" spans="1:13">
      <c r="A30" s="4"/>
      <c r="B30" s="4"/>
      <c r="F30" s="4"/>
      <c r="G30" s="4"/>
      <c r="H30" s="4"/>
      <c r="I30" s="4"/>
      <c r="J30" s="4"/>
      <c r="K30" s="4"/>
      <c r="M30" s="4"/>
    </row>
    <row r="40" spans="23:23">
      <c r="W40" s="4"/>
    </row>
    <row r="41" spans="23:23">
      <c r="W41" s="4"/>
    </row>
    <row r="42" spans="23:23">
      <c r="W42" s="4"/>
    </row>
    <row r="43" spans="23:23">
      <c r="W43" s="4"/>
    </row>
    <row r="44" spans="23:23">
      <c r="W44" s="4"/>
    </row>
    <row r="45" spans="23:23">
      <c r="W45" s="4"/>
    </row>
    <row r="46" spans="23:23">
      <c r="W46" s="4"/>
    </row>
    <row r="47" spans="23:23">
      <c r="W47" s="4"/>
    </row>
    <row r="48" spans="23:23">
      <c r="W48" s="4"/>
    </row>
    <row r="49" spans="23:23">
      <c r="W49" s="4"/>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Лист67">
    <tabColor rgb="FF92D050"/>
  </sheetPr>
  <dimension ref="A1:AC49"/>
  <sheetViews>
    <sheetView topLeftCell="E1"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14.25" customHeight="1">
      <c r="A2" s="10"/>
      <c r="B2" s="10"/>
      <c r="F2" s="10"/>
      <c r="G2" s="10"/>
      <c r="H2" s="10"/>
      <c r="I2" s="10"/>
      <c r="J2" s="10"/>
      <c r="K2" s="10"/>
      <c r="M2" s="10"/>
      <c r="N2" s="10"/>
      <c r="O2" s="10"/>
      <c r="P2" s="10"/>
      <c r="Q2" s="10"/>
      <c r="R2" s="10"/>
      <c r="U2" s="74" t="b">
        <f>Настройки!$M$34</f>
        <v>1</v>
      </c>
      <c r="V2" s="73" t="s">
        <v>1477</v>
      </c>
      <c r="W2" s="537" t="s">
        <v>1760</v>
      </c>
      <c r="X2" s="73"/>
      <c r="Y2" s="73"/>
      <c r="Z2" s="73"/>
      <c r="AA2" s="74"/>
      <c r="AB2" s="74"/>
      <c r="AC2" s="74"/>
    </row>
    <row r="3" spans="1:29">
      <c r="A3" s="515" t="str">
        <f>SUBSTITUTE($V$2,"\","|")</f>
        <v>DO</v>
      </c>
      <c r="B3" t="s">
        <v>74</v>
      </c>
      <c r="F3" t="s">
        <v>72</v>
      </c>
      <c r="G3" t="s">
        <v>71</v>
      </c>
      <c r="H3">
        <v>0</v>
      </c>
      <c r="I3" t="s">
        <v>72</v>
      </c>
      <c r="J3" t="s">
        <v>73</v>
      </c>
      <c r="K3" s="515" t="s">
        <v>1383</v>
      </c>
      <c r="M3">
        <v>1</v>
      </c>
      <c r="R3" t="str">
        <f>IF($U$2=TRUE,$W$2&amp;". Команда","Команда")</f>
        <v>Дискретный выход (для кнопок). Команда</v>
      </c>
      <c r="S3" s="372"/>
      <c r="U3" s="773"/>
      <c r="V3" s="4"/>
      <c r="W3" s="773"/>
      <c r="X3" s="4"/>
    </row>
    <row r="4" spans="1:29">
      <c r="W4" s="4"/>
    </row>
    <row r="8" spans="1:29">
      <c r="A8" s="4"/>
      <c r="B8" s="4"/>
      <c r="F8" s="4"/>
      <c r="G8" s="4"/>
      <c r="H8" s="4"/>
      <c r="I8" s="4"/>
      <c r="J8" s="4"/>
      <c r="K8" s="4"/>
      <c r="M8" s="4"/>
    </row>
    <row r="10" spans="1:29">
      <c r="W10" s="4"/>
    </row>
    <row r="29" spans="1:13">
      <c r="A29" s="4"/>
      <c r="B29" s="4"/>
      <c r="F29" s="4"/>
      <c r="G29" s="4"/>
      <c r="H29" s="4"/>
      <c r="I29" s="4"/>
      <c r="J29" s="4"/>
      <c r="K29" s="4"/>
      <c r="M29" s="4"/>
    </row>
    <row r="30" spans="1:13">
      <c r="A30" s="4"/>
      <c r="B30" s="4"/>
      <c r="F30" s="4"/>
      <c r="G30" s="4"/>
      <c r="H30" s="4"/>
      <c r="I30" s="4"/>
      <c r="J30" s="4"/>
      <c r="K30" s="4"/>
      <c r="M30" s="4"/>
    </row>
    <row r="31" spans="1:13">
      <c r="A31" s="4"/>
      <c r="B31" s="4"/>
      <c r="F31" s="4"/>
      <c r="G31" s="4"/>
      <c r="H31" s="4"/>
      <c r="I31" s="4"/>
      <c r="J31" s="4"/>
      <c r="K31" s="4"/>
      <c r="M31" s="4"/>
    </row>
    <row r="32" spans="1:13">
      <c r="A32" s="4"/>
      <c r="B32" s="4"/>
      <c r="F32" s="4"/>
      <c r="G32" s="4"/>
      <c r="H32" s="4"/>
      <c r="I32" s="4"/>
      <c r="J32" s="4"/>
      <c r="K32" s="4"/>
      <c r="M32" s="4"/>
    </row>
    <row r="33" spans="1:23">
      <c r="A33" s="4"/>
      <c r="B33" s="4"/>
      <c r="F33" s="4"/>
      <c r="G33" s="4"/>
      <c r="H33" s="4"/>
      <c r="I33" s="4"/>
      <c r="J33" s="4"/>
      <c r="K33" s="4"/>
      <c r="M33" s="4"/>
    </row>
    <row r="34" spans="1:23">
      <c r="A34" s="4"/>
      <c r="B34" s="4"/>
      <c r="F34" s="4"/>
      <c r="G34" s="4"/>
      <c r="H34" s="4"/>
      <c r="I34" s="4"/>
      <c r="J34" s="4"/>
      <c r="K34" s="4"/>
      <c r="M34" s="4"/>
    </row>
    <row r="35" spans="1:23">
      <c r="A35" s="4"/>
      <c r="B35" s="4"/>
      <c r="F35" s="4"/>
      <c r="G35" s="4"/>
      <c r="H35" s="4"/>
      <c r="I35" s="4"/>
      <c r="J35" s="4"/>
      <c r="K35" s="4"/>
      <c r="M35" s="4"/>
    </row>
    <row r="36" spans="1:23">
      <c r="A36" s="4"/>
      <c r="B36" s="4"/>
      <c r="F36" s="4"/>
      <c r="G36" s="4"/>
      <c r="H36" s="4"/>
      <c r="I36" s="4"/>
      <c r="J36" s="4"/>
      <c r="K36" s="4"/>
      <c r="M36" s="4"/>
    </row>
    <row r="37" spans="1:23">
      <c r="A37" s="4"/>
      <c r="B37" s="4"/>
      <c r="F37" s="4"/>
      <c r="G37" s="4"/>
      <c r="H37" s="4"/>
      <c r="I37" s="4"/>
      <c r="J37" s="4"/>
      <c r="K37" s="4"/>
      <c r="M37" s="4"/>
    </row>
    <row r="38" spans="1:23">
      <c r="A38" s="4"/>
      <c r="B38" s="4"/>
      <c r="F38" s="4"/>
      <c r="G38" s="4"/>
      <c r="H38" s="4"/>
      <c r="I38" s="4"/>
      <c r="J38" s="4"/>
      <c r="K38" s="4"/>
      <c r="M38" s="4"/>
    </row>
    <row r="39" spans="1:23">
      <c r="A39" s="4"/>
      <c r="B39" s="4"/>
      <c r="F39" s="4"/>
      <c r="G39" s="4"/>
      <c r="H39" s="4"/>
      <c r="I39" s="4"/>
      <c r="J39" s="4"/>
      <c r="K39" s="4"/>
      <c r="M39" s="4"/>
    </row>
    <row r="40" spans="1:23">
      <c r="A40" s="4"/>
      <c r="B40" s="4"/>
      <c r="F40" s="4"/>
      <c r="G40" s="4"/>
      <c r="H40" s="4"/>
      <c r="I40" s="4"/>
      <c r="J40" s="4"/>
      <c r="K40" s="4"/>
      <c r="M40" s="4"/>
      <c r="W40" s="4"/>
    </row>
    <row r="41" spans="1:23">
      <c r="A41" s="4"/>
      <c r="B41" s="4"/>
      <c r="F41" s="4"/>
      <c r="G41" s="4"/>
      <c r="H41" s="4"/>
      <c r="I41" s="4"/>
      <c r="J41" s="4"/>
      <c r="K41" s="4"/>
      <c r="M41" s="4"/>
      <c r="W41" s="4"/>
    </row>
    <row r="42" spans="1:23">
      <c r="W42" s="4"/>
    </row>
    <row r="43" spans="1:23">
      <c r="W43" s="4"/>
    </row>
    <row r="44" spans="1:23">
      <c r="W44" s="4"/>
    </row>
    <row r="45" spans="1:23">
      <c r="W45" s="4"/>
    </row>
    <row r="46" spans="1:23">
      <c r="W46" s="4"/>
    </row>
    <row r="47" spans="1:23">
      <c r="W47" s="4"/>
    </row>
    <row r="48" spans="1:23">
      <c r="W48" s="4"/>
    </row>
    <row r="49" spans="23:23">
      <c r="W49" s="4"/>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Лист133">
    <tabColor rgb="FF92D050"/>
  </sheetPr>
  <dimension ref="A1:AC49"/>
  <sheetViews>
    <sheetView topLeftCell="H1"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51.88671875" customWidth="1"/>
    <col min="19" max="20" width="9.10937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28.8">
      <c r="A2" s="10"/>
      <c r="B2" s="10"/>
      <c r="F2" s="10"/>
      <c r="G2" s="10"/>
      <c r="H2" s="10"/>
      <c r="I2" s="10"/>
      <c r="J2" s="10"/>
      <c r="K2" s="10"/>
      <c r="M2" s="10"/>
      <c r="N2" s="10"/>
      <c r="O2" s="10"/>
      <c r="P2" s="10"/>
      <c r="Q2" s="10"/>
      <c r="R2" s="10"/>
      <c r="U2" s="74" t="b">
        <f>Настройки!$M$34</f>
        <v>1</v>
      </c>
      <c r="V2" s="73" t="s">
        <v>1379</v>
      </c>
      <c r="W2" s="537" t="s">
        <v>1759</v>
      </c>
      <c r="X2" s="73" t="s">
        <v>1822</v>
      </c>
      <c r="Y2" s="73"/>
      <c r="Z2" s="73">
        <v>5</v>
      </c>
      <c r="AA2" s="74"/>
      <c r="AB2" s="74"/>
      <c r="AC2" s="74"/>
    </row>
    <row r="3" spans="1:29">
      <c r="A3" s="514" t="str">
        <f>SUBSTITUTE($V$2,"\","|")</f>
        <v>AO</v>
      </c>
      <c r="B3" s="513" t="str">
        <f>IF(OR($X$2="INT",$X$2="DINT"),"I","R")</f>
        <v>I</v>
      </c>
      <c r="F3" s="52">
        <f>$Z$2</f>
        <v>5</v>
      </c>
      <c r="G3" t="s">
        <v>71</v>
      </c>
      <c r="H3">
        <v>0</v>
      </c>
      <c r="I3" t="s">
        <v>76</v>
      </c>
      <c r="J3" t="s">
        <v>73</v>
      </c>
      <c r="K3" s="514" t="str">
        <f>IF($X$2="INT","1","2")</f>
        <v>2</v>
      </c>
      <c r="M3">
        <v>1</v>
      </c>
      <c r="R3" t="str">
        <f>IF($U$2=TRUE,$W$2&amp;". Выходное значение","Выходное значение")</f>
        <v>Аналоговый выход (задание уставок). Выходное значение</v>
      </c>
      <c r="S3" s="372"/>
      <c r="U3" s="773"/>
      <c r="V3" s="4"/>
      <c r="W3" s="773"/>
      <c r="X3" s="4"/>
    </row>
    <row r="4" spans="1:29">
      <c r="B4" s="372"/>
      <c r="W4" s="4"/>
    </row>
    <row r="5" spans="1:29">
      <c r="B5" s="372"/>
    </row>
    <row r="10" spans="1:29">
      <c r="W10" s="4"/>
    </row>
    <row r="11" spans="1:29">
      <c r="A11" s="4"/>
      <c r="B11" s="4"/>
      <c r="F11" s="4"/>
      <c r="G11" s="4"/>
      <c r="H11" s="4"/>
      <c r="I11" s="4"/>
      <c r="J11" s="4"/>
      <c r="K11" s="4"/>
      <c r="M11" s="4"/>
    </row>
    <row r="29" spans="1:13">
      <c r="A29" s="4"/>
      <c r="B29" s="4"/>
      <c r="F29" s="4"/>
      <c r="G29" s="4"/>
      <c r="H29" s="4"/>
      <c r="I29" s="4"/>
      <c r="J29" s="4"/>
      <c r="K29" s="4"/>
      <c r="M29" s="4"/>
    </row>
    <row r="30" spans="1:13">
      <c r="A30" s="4"/>
      <c r="B30" s="4"/>
      <c r="F30" s="4"/>
      <c r="G30" s="4"/>
      <c r="H30" s="4"/>
      <c r="I30" s="4"/>
      <c r="J30" s="4"/>
      <c r="K30" s="4"/>
      <c r="M30" s="4"/>
    </row>
    <row r="31" spans="1:13">
      <c r="A31" s="4"/>
      <c r="B31" s="4"/>
      <c r="F31" s="4"/>
      <c r="G31" s="4"/>
      <c r="H31" s="4"/>
      <c r="I31" s="4"/>
      <c r="J31" s="4"/>
      <c r="K31" s="4"/>
      <c r="M31" s="4"/>
    </row>
    <row r="32" spans="1:13">
      <c r="A32" s="4"/>
      <c r="B32" s="4"/>
      <c r="F32" s="4"/>
      <c r="G32" s="4"/>
      <c r="H32" s="4"/>
      <c r="I32" s="4"/>
      <c r="J32" s="4"/>
      <c r="K32" s="4"/>
      <c r="M32" s="4"/>
    </row>
    <row r="33" spans="1:23">
      <c r="A33" s="4"/>
      <c r="B33" s="4"/>
      <c r="F33" s="4"/>
      <c r="G33" s="4"/>
      <c r="H33" s="4"/>
      <c r="I33" s="4"/>
      <c r="J33" s="4"/>
      <c r="K33" s="4"/>
      <c r="M33" s="4"/>
    </row>
    <row r="34" spans="1:23">
      <c r="A34" s="4"/>
      <c r="B34" s="4"/>
      <c r="F34" s="4"/>
      <c r="G34" s="4"/>
      <c r="H34" s="4"/>
      <c r="I34" s="4"/>
      <c r="J34" s="4"/>
      <c r="K34" s="4"/>
      <c r="M34" s="4"/>
    </row>
    <row r="35" spans="1:23">
      <c r="A35" s="4"/>
      <c r="B35" s="4"/>
      <c r="F35" s="4"/>
      <c r="G35" s="4"/>
      <c r="H35" s="4"/>
      <c r="I35" s="4"/>
      <c r="J35" s="4"/>
      <c r="K35" s="4"/>
      <c r="M35" s="4"/>
    </row>
    <row r="36" spans="1:23">
      <c r="A36" s="4"/>
      <c r="B36" s="4"/>
      <c r="F36" s="4"/>
      <c r="G36" s="4"/>
      <c r="H36" s="4"/>
      <c r="I36" s="4"/>
      <c r="J36" s="4"/>
      <c r="K36" s="4"/>
      <c r="M36" s="4"/>
    </row>
    <row r="37" spans="1:23">
      <c r="A37" s="4"/>
      <c r="B37" s="4"/>
      <c r="F37" s="4"/>
      <c r="G37" s="4"/>
      <c r="H37" s="4"/>
      <c r="I37" s="4"/>
      <c r="J37" s="4"/>
      <c r="K37" s="4"/>
      <c r="M37" s="4"/>
    </row>
    <row r="38" spans="1:23">
      <c r="A38" s="4"/>
      <c r="B38" s="4"/>
      <c r="F38" s="4"/>
      <c r="G38" s="4"/>
      <c r="H38" s="4"/>
      <c r="I38" s="4"/>
      <c r="J38" s="4"/>
      <c r="K38" s="4"/>
      <c r="M38" s="4"/>
    </row>
    <row r="39" spans="1:23">
      <c r="A39" s="4"/>
      <c r="B39" s="4"/>
      <c r="F39" s="4"/>
      <c r="G39" s="4"/>
      <c r="H39" s="4"/>
      <c r="I39" s="4"/>
      <c r="J39" s="4"/>
      <c r="K39" s="4"/>
      <c r="M39" s="4"/>
    </row>
    <row r="40" spans="1:23">
      <c r="A40" s="4"/>
      <c r="B40" s="4"/>
      <c r="F40" s="4"/>
      <c r="G40" s="4"/>
      <c r="H40" s="4"/>
      <c r="I40" s="4"/>
      <c r="J40" s="4"/>
      <c r="K40" s="4"/>
      <c r="M40" s="4"/>
      <c r="W40" s="4"/>
    </row>
    <row r="41" spans="1:23">
      <c r="A41" s="4"/>
      <c r="B41" s="4"/>
      <c r="F41" s="4"/>
      <c r="G41" s="4"/>
      <c r="H41" s="4"/>
      <c r="I41" s="4"/>
      <c r="J41" s="4"/>
      <c r="K41" s="4"/>
      <c r="M41" s="4"/>
      <c r="W41" s="4"/>
    </row>
    <row r="42" spans="1:23">
      <c r="W42" s="4"/>
    </row>
    <row r="43" spans="1:23">
      <c r="W43" s="4"/>
    </row>
    <row r="44" spans="1:23">
      <c r="W44" s="4"/>
    </row>
    <row r="45" spans="1:23">
      <c r="W45" s="4"/>
    </row>
    <row r="46" spans="1:23">
      <c r="W46" s="4"/>
    </row>
    <row r="47" spans="1:23">
      <c r="W47" s="4"/>
    </row>
    <row r="48" spans="1:23">
      <c r="W48" s="4"/>
    </row>
    <row r="49" spans="23:23">
      <c r="W49" s="4"/>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Лист39">
    <tabColor rgb="FF92D050"/>
  </sheetPr>
  <dimension ref="A1:AC49"/>
  <sheetViews>
    <sheetView zoomScale="80" zoomScaleNormal="80"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28.8">
      <c r="A2" s="10"/>
      <c r="B2" s="10"/>
      <c r="F2" s="10"/>
      <c r="G2" s="10"/>
      <c r="H2" s="10"/>
      <c r="I2" s="10"/>
      <c r="J2" s="10"/>
      <c r="K2" s="10"/>
      <c r="M2" s="10"/>
      <c r="N2" s="10"/>
      <c r="O2" s="10"/>
      <c r="P2" s="10"/>
      <c r="Q2" s="10"/>
      <c r="R2" s="10"/>
      <c r="U2" s="74" t="b">
        <f>Настройки!$M$34</f>
        <v>1</v>
      </c>
      <c r="V2" s="73" t="s">
        <v>244</v>
      </c>
      <c r="W2" s="537" t="s">
        <v>1754</v>
      </c>
      <c r="X2" s="73" t="s">
        <v>708</v>
      </c>
      <c r="Y2" s="73"/>
      <c r="Z2" s="73"/>
      <c r="AA2" s="74"/>
      <c r="AB2" s="74"/>
      <c r="AC2" s="74"/>
    </row>
    <row r="3" spans="1:29">
      <c r="A3" s="514" t="str">
        <f>SUBSTITUTE($V$2,"\","|")</f>
        <v>KTP_T_v_KTP</v>
      </c>
      <c r="B3" s="513" t="str">
        <f>IF(OR($X$2="INT",$X$2="DINT"),"I","R")</f>
        <v>R</v>
      </c>
      <c r="F3" s="52" t="str">
        <f>IF(OR($X$2="INT",$X$2="DINT"),"0","0.000000")</f>
        <v>0.000000</v>
      </c>
      <c r="G3" t="s">
        <v>71</v>
      </c>
      <c r="H3">
        <v>0</v>
      </c>
      <c r="I3" t="s">
        <v>72</v>
      </c>
      <c r="J3" t="s">
        <v>73</v>
      </c>
      <c r="K3" s="514" t="str">
        <f>IF($X$2="INT","1","2")</f>
        <v>2</v>
      </c>
      <c r="M3">
        <v>1</v>
      </c>
      <c r="R3" t="str">
        <f>IF($U$2=TRUE,$W$2&amp;". Выходное значение","Выходное значение")</f>
        <v>Аналоговый сигнал (уставки и ремонт в INFINITY). Выходное значение</v>
      </c>
      <c r="S3" s="372"/>
      <c r="U3" s="773"/>
      <c r="V3" s="4"/>
      <c r="W3" s="773"/>
      <c r="X3" s="4"/>
    </row>
    <row r="4" spans="1:29">
      <c r="B4" s="372"/>
      <c r="W4" s="4"/>
    </row>
    <row r="5" spans="1:29">
      <c r="B5" s="372"/>
    </row>
    <row r="10" spans="1:29">
      <c r="A10" s="4"/>
      <c r="B10" s="4"/>
      <c r="F10" s="4"/>
      <c r="G10" s="4"/>
      <c r="H10" s="4"/>
      <c r="I10" s="4"/>
      <c r="J10" s="4"/>
      <c r="K10" s="4"/>
      <c r="M10" s="4"/>
      <c r="W10" s="4"/>
    </row>
    <row r="29" spans="1:13">
      <c r="A29" s="4"/>
      <c r="B29" s="4"/>
      <c r="F29" s="4"/>
      <c r="G29" s="4"/>
      <c r="H29" s="4"/>
      <c r="I29" s="4"/>
      <c r="J29" s="4"/>
      <c r="K29" s="4"/>
      <c r="M29" s="4"/>
    </row>
    <row r="30" spans="1:13">
      <c r="A30" s="4"/>
      <c r="B30" s="4"/>
      <c r="F30" s="4"/>
      <c r="G30" s="4"/>
      <c r="H30" s="4"/>
      <c r="I30" s="4"/>
      <c r="J30" s="4"/>
      <c r="K30" s="4"/>
      <c r="M30" s="4"/>
    </row>
    <row r="31" spans="1:13">
      <c r="A31" s="4"/>
      <c r="B31" s="4"/>
      <c r="F31" s="4"/>
      <c r="G31" s="4"/>
      <c r="H31" s="4"/>
      <c r="I31" s="4"/>
      <c r="J31" s="4"/>
      <c r="K31" s="4"/>
      <c r="M31" s="4"/>
    </row>
    <row r="32" spans="1:13">
      <c r="A32" s="4"/>
      <c r="B32" s="4"/>
      <c r="F32" s="4"/>
      <c r="G32" s="4"/>
      <c r="H32" s="4"/>
      <c r="I32" s="4"/>
      <c r="J32" s="4"/>
      <c r="K32" s="4"/>
      <c r="M32" s="4"/>
    </row>
    <row r="33" spans="1:23">
      <c r="A33" s="4"/>
      <c r="B33" s="4"/>
      <c r="F33" s="4"/>
      <c r="G33" s="4"/>
      <c r="H33" s="4"/>
      <c r="I33" s="4"/>
      <c r="J33" s="4"/>
      <c r="K33" s="4"/>
      <c r="M33" s="4"/>
    </row>
    <row r="34" spans="1:23">
      <c r="A34" s="4"/>
      <c r="B34" s="4"/>
      <c r="F34" s="4"/>
      <c r="G34" s="4"/>
      <c r="H34" s="4"/>
      <c r="I34" s="4"/>
      <c r="J34" s="4"/>
      <c r="K34" s="4"/>
      <c r="M34" s="4"/>
    </row>
    <row r="35" spans="1:23">
      <c r="A35" s="4"/>
      <c r="B35" s="4"/>
      <c r="F35" s="4"/>
      <c r="G35" s="4"/>
      <c r="H35" s="4"/>
      <c r="I35" s="4"/>
      <c r="J35" s="4"/>
      <c r="K35" s="4"/>
      <c r="M35" s="4"/>
    </row>
    <row r="36" spans="1:23">
      <c r="A36" s="4"/>
      <c r="B36" s="4"/>
      <c r="F36" s="4"/>
      <c r="G36" s="4"/>
      <c r="H36" s="4"/>
      <c r="I36" s="4"/>
      <c r="J36" s="4"/>
      <c r="K36" s="4"/>
      <c r="M36" s="4"/>
    </row>
    <row r="37" spans="1:23">
      <c r="A37" s="4"/>
      <c r="B37" s="4"/>
      <c r="F37" s="4"/>
      <c r="G37" s="4"/>
      <c r="H37" s="4"/>
      <c r="I37" s="4"/>
      <c r="J37" s="4"/>
      <c r="K37" s="4"/>
      <c r="M37" s="4"/>
    </row>
    <row r="38" spans="1:23">
      <c r="A38" s="4"/>
      <c r="B38" s="4"/>
      <c r="F38" s="4"/>
      <c r="G38" s="4"/>
      <c r="H38" s="4"/>
      <c r="I38" s="4"/>
      <c r="J38" s="4"/>
      <c r="K38" s="4"/>
      <c r="M38" s="4"/>
    </row>
    <row r="39" spans="1:23">
      <c r="A39" s="4"/>
      <c r="B39" s="4"/>
      <c r="F39" s="4"/>
      <c r="G39" s="4"/>
      <c r="H39" s="4"/>
      <c r="I39" s="4"/>
      <c r="J39" s="4"/>
      <c r="K39" s="4"/>
      <c r="M39" s="4"/>
    </row>
    <row r="40" spans="1:23">
      <c r="A40" s="4"/>
      <c r="B40" s="4"/>
      <c r="F40" s="4"/>
      <c r="G40" s="4"/>
      <c r="H40" s="4"/>
      <c r="I40" s="4"/>
      <c r="J40" s="4"/>
      <c r="K40" s="4"/>
      <c r="M40" s="4"/>
      <c r="W40" s="4"/>
    </row>
    <row r="41" spans="1:23">
      <c r="A41" s="4"/>
      <c r="B41" s="4"/>
      <c r="F41" s="4"/>
      <c r="G41" s="4"/>
      <c r="H41" s="4"/>
      <c r="I41" s="4"/>
      <c r="J41" s="4"/>
      <c r="K41" s="4"/>
      <c r="M41" s="4"/>
      <c r="W41" s="4"/>
    </row>
    <row r="42" spans="1:23">
      <c r="W42" s="4"/>
    </row>
    <row r="43" spans="1:23">
      <c r="W43" s="4"/>
    </row>
    <row r="44" spans="1:23">
      <c r="W44" s="4"/>
    </row>
    <row r="45" spans="1:23">
      <c r="W45" s="4"/>
    </row>
    <row r="46" spans="1:23">
      <c r="W46" s="4"/>
    </row>
    <row r="47" spans="1:23">
      <c r="W47" s="4"/>
    </row>
    <row r="48" spans="1:23">
      <c r="W48" s="4"/>
    </row>
    <row r="49" spans="23:23">
      <c r="W49" s="4"/>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Лист89">
    <tabColor rgb="FF92D050"/>
  </sheetPr>
  <dimension ref="A1:AC49"/>
  <sheetViews>
    <sheetView topLeftCell="F1"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43.2">
      <c r="A2" s="10"/>
      <c r="B2" s="10"/>
      <c r="F2" s="10"/>
      <c r="G2" s="10"/>
      <c r="H2" s="10"/>
      <c r="I2" s="10"/>
      <c r="J2" s="10"/>
      <c r="K2" s="10"/>
      <c r="M2" s="10"/>
      <c r="N2" s="10"/>
      <c r="O2" s="10"/>
      <c r="P2" s="10"/>
      <c r="Q2" s="10"/>
      <c r="R2" s="10"/>
      <c r="U2" s="74" t="b">
        <f>Настройки!$M$34</f>
        <v>1</v>
      </c>
      <c r="V2" s="73" t="s">
        <v>1744</v>
      </c>
      <c r="W2" s="537" t="s">
        <v>1755</v>
      </c>
      <c r="X2" s="73" t="s">
        <v>618</v>
      </c>
      <c r="Y2" s="73"/>
      <c r="Z2" s="73"/>
      <c r="AA2" s="74"/>
      <c r="AB2" s="74"/>
      <c r="AC2" s="74"/>
    </row>
    <row r="3" spans="1:29">
      <c r="A3" s="514" t="str">
        <f>SUBSTITUTE($V$2,"\","|")</f>
        <v>AI_SLIM</v>
      </c>
      <c r="B3" s="513" t="str">
        <f>IF(OR($X$2="INT",$X$2="DINT"),"I","R")</f>
        <v>I</v>
      </c>
      <c r="F3" s="52" t="str">
        <f>IF(OR($X$2="INT",$X$2="DINT"),"0","0.000000")</f>
        <v>0</v>
      </c>
      <c r="G3" t="s">
        <v>71</v>
      </c>
      <c r="H3">
        <v>0</v>
      </c>
      <c r="I3" t="s">
        <v>72</v>
      </c>
      <c r="J3" t="s">
        <v>73</v>
      </c>
      <c r="K3" s="514" t="str">
        <f>IF($X$2="INT","1","2")</f>
        <v>1</v>
      </c>
      <c r="M3">
        <v>1</v>
      </c>
      <c r="R3" t="str">
        <f>IF($U$2=TRUE,$W$2&amp;". Выходное значение","Выходное значение")</f>
        <v>Аналоговый сигнал облегченный (только один сигнал). Выходное значение</v>
      </c>
      <c r="S3" s="372"/>
      <c r="U3" s="773"/>
      <c r="V3" s="4"/>
      <c r="W3" s="773"/>
      <c r="X3" s="4"/>
    </row>
    <row r="4" spans="1:29">
      <c r="B4" s="372"/>
      <c r="W4" s="4"/>
    </row>
    <row r="5" spans="1:29">
      <c r="B5" s="372"/>
    </row>
    <row r="10" spans="1:29">
      <c r="A10" s="4"/>
      <c r="B10" s="4"/>
      <c r="F10" s="4"/>
      <c r="G10" s="4"/>
      <c r="H10" s="4"/>
      <c r="I10" s="4"/>
      <c r="J10" s="4"/>
      <c r="K10" s="4"/>
      <c r="M10" s="4"/>
      <c r="W10" s="4"/>
    </row>
    <row r="29" spans="1:13">
      <c r="A29" s="4"/>
      <c r="B29" s="4"/>
      <c r="F29" s="4"/>
      <c r="G29" s="4"/>
      <c r="H29" s="4"/>
      <c r="I29" s="4"/>
      <c r="J29" s="4"/>
      <c r="K29" s="4"/>
      <c r="M29" s="4"/>
    </row>
    <row r="30" spans="1:13">
      <c r="A30" s="4"/>
      <c r="B30" s="4"/>
      <c r="F30" s="4"/>
      <c r="G30" s="4"/>
      <c r="H30" s="4"/>
      <c r="I30" s="4"/>
      <c r="J30" s="4"/>
      <c r="K30" s="4"/>
      <c r="M30" s="4"/>
    </row>
    <row r="31" spans="1:13">
      <c r="A31" s="4"/>
      <c r="B31" s="4"/>
      <c r="F31" s="4"/>
      <c r="G31" s="4"/>
      <c r="H31" s="4"/>
      <c r="I31" s="4"/>
      <c r="J31" s="4"/>
      <c r="K31" s="4"/>
      <c r="M31" s="4"/>
    </row>
    <row r="32" spans="1:13">
      <c r="A32" s="4"/>
      <c r="B32" s="4"/>
      <c r="F32" s="4"/>
      <c r="G32" s="4"/>
      <c r="H32" s="4"/>
      <c r="I32" s="4"/>
      <c r="J32" s="4"/>
      <c r="K32" s="4"/>
      <c r="M32" s="4"/>
    </row>
    <row r="33" spans="1:23">
      <c r="A33" s="4"/>
      <c r="B33" s="4"/>
      <c r="F33" s="4"/>
      <c r="G33" s="4"/>
      <c r="H33" s="4"/>
      <c r="I33" s="4"/>
      <c r="J33" s="4"/>
      <c r="K33" s="4"/>
      <c r="M33" s="4"/>
    </row>
    <row r="34" spans="1:23">
      <c r="A34" s="4"/>
      <c r="B34" s="4"/>
      <c r="F34" s="4"/>
      <c r="G34" s="4"/>
      <c r="H34" s="4"/>
      <c r="I34" s="4"/>
      <c r="J34" s="4"/>
      <c r="K34" s="4"/>
      <c r="M34" s="4"/>
    </row>
    <row r="35" spans="1:23">
      <c r="A35" s="4"/>
      <c r="B35" s="4"/>
      <c r="F35" s="4"/>
      <c r="G35" s="4"/>
      <c r="H35" s="4"/>
      <c r="I35" s="4"/>
      <c r="J35" s="4"/>
      <c r="K35" s="4"/>
      <c r="M35" s="4"/>
    </row>
    <row r="36" spans="1:23">
      <c r="A36" s="4"/>
      <c r="B36" s="4"/>
      <c r="F36" s="4"/>
      <c r="G36" s="4"/>
      <c r="H36" s="4"/>
      <c r="I36" s="4"/>
      <c r="J36" s="4"/>
      <c r="K36" s="4"/>
      <c r="M36" s="4"/>
    </row>
    <row r="37" spans="1:23">
      <c r="A37" s="4"/>
      <c r="B37" s="4"/>
      <c r="F37" s="4"/>
      <c r="G37" s="4"/>
      <c r="H37" s="4"/>
      <c r="I37" s="4"/>
      <c r="J37" s="4"/>
      <c r="K37" s="4"/>
      <c r="M37" s="4"/>
    </row>
    <row r="38" spans="1:23">
      <c r="A38" s="4"/>
      <c r="B38" s="4"/>
      <c r="F38" s="4"/>
      <c r="G38" s="4"/>
      <c r="H38" s="4"/>
      <c r="I38" s="4"/>
      <c r="J38" s="4"/>
      <c r="K38" s="4"/>
      <c r="M38" s="4"/>
    </row>
    <row r="39" spans="1:23">
      <c r="A39" s="4"/>
      <c r="B39" s="4"/>
      <c r="F39" s="4"/>
      <c r="G39" s="4"/>
      <c r="H39" s="4"/>
      <c r="I39" s="4"/>
      <c r="J39" s="4"/>
      <c r="K39" s="4"/>
      <c r="M39" s="4"/>
    </row>
    <row r="40" spans="1:23">
      <c r="A40" s="4"/>
      <c r="B40" s="4"/>
      <c r="F40" s="4"/>
      <c r="G40" s="4"/>
      <c r="H40" s="4"/>
      <c r="I40" s="4"/>
      <c r="J40" s="4"/>
      <c r="K40" s="4"/>
      <c r="M40" s="4"/>
      <c r="W40" s="4"/>
    </row>
    <row r="41" spans="1:23">
      <c r="A41" s="4"/>
      <c r="B41" s="4"/>
      <c r="F41" s="4"/>
      <c r="G41" s="4"/>
      <c r="H41" s="4"/>
      <c r="I41" s="4"/>
      <c r="J41" s="4"/>
      <c r="K41" s="4"/>
      <c r="M41" s="4"/>
      <c r="W41" s="4"/>
    </row>
    <row r="42" spans="1:23">
      <c r="W42" s="4"/>
    </row>
    <row r="43" spans="1:23">
      <c r="W43" s="4"/>
    </row>
    <row r="44" spans="1:23">
      <c r="W44" s="4"/>
    </row>
    <row r="45" spans="1:23">
      <c r="W45" s="4"/>
    </row>
    <row r="46" spans="1:23">
      <c r="W46" s="4"/>
    </row>
    <row r="47" spans="1:23">
      <c r="W47" s="4"/>
    </row>
    <row r="48" spans="1:23">
      <c r="W48" s="4"/>
    </row>
    <row r="49" spans="23:23">
      <c r="W49" s="4"/>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Лист126">
    <tabColor rgb="FF92D050"/>
  </sheetPr>
  <dimension ref="A1:AC57"/>
  <sheetViews>
    <sheetView topLeftCell="J1"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c r="A2" s="10"/>
      <c r="B2" s="10"/>
      <c r="F2" s="10"/>
      <c r="G2" s="10"/>
      <c r="H2" s="10"/>
      <c r="I2" s="10"/>
      <c r="J2" s="10"/>
      <c r="K2" s="10"/>
      <c r="M2" s="10"/>
      <c r="N2" s="10"/>
      <c r="O2" s="10"/>
      <c r="P2" s="10"/>
      <c r="Q2" s="10"/>
      <c r="R2" s="10"/>
      <c r="U2" s="74" t="b">
        <f>Настройки!$M$34</f>
        <v>1</v>
      </c>
      <c r="V2" s="73" t="s">
        <v>1334</v>
      </c>
      <c r="W2" s="537" t="s">
        <v>1607</v>
      </c>
      <c r="X2" s="73"/>
      <c r="Y2" s="73"/>
      <c r="Z2" s="73"/>
      <c r="AA2" s="74"/>
      <c r="AB2" s="74"/>
      <c r="AC2" s="74">
        <v>2</v>
      </c>
    </row>
    <row r="3" spans="1:29">
      <c r="A3" t="str">
        <f>SUBSTITUTE($V$2,"\","|")&amp;"|XAON"</f>
        <v>H1_H2_RIM|XAON</v>
      </c>
      <c r="B3" t="s">
        <v>78</v>
      </c>
      <c r="F3">
        <v>0</v>
      </c>
      <c r="G3" t="s">
        <v>71</v>
      </c>
      <c r="H3">
        <v>0</v>
      </c>
      <c r="I3" t="s">
        <v>72</v>
      </c>
      <c r="J3" t="s">
        <v>69</v>
      </c>
      <c r="K3">
        <v>0</v>
      </c>
      <c r="M3">
        <v>1</v>
      </c>
      <c r="R3" t="str">
        <f>IF($U$2=TRUE,$W$2&amp;". Количество включеных по команде ИМ","Количество включеных по команде ИМ")</f>
        <v>Блок резервирования насосов. Количество включеных по команде ИМ</v>
      </c>
      <c r="S3" s="372"/>
      <c r="U3" s="773"/>
      <c r="V3" s="4"/>
      <c r="W3" s="773"/>
      <c r="X3" s="4"/>
    </row>
    <row r="4" spans="1:29">
      <c r="A4" t="str">
        <f>SUBSTITUTE($V$2,"\","|")&amp;"|XXON"</f>
        <v>H1_H2_RIM|XXON</v>
      </c>
      <c r="B4" t="s">
        <v>78</v>
      </c>
      <c r="F4">
        <v>0</v>
      </c>
      <c r="G4" t="s">
        <v>71</v>
      </c>
      <c r="H4">
        <v>0</v>
      </c>
      <c r="I4" t="s">
        <v>72</v>
      </c>
      <c r="J4" t="s">
        <v>69</v>
      </c>
      <c r="K4">
        <v>0</v>
      </c>
      <c r="M4">
        <v>1</v>
      </c>
      <c r="R4" t="str">
        <f>IF($U$2=TRUE,$W$2&amp;". Количество включеных по факту ИМ","Количество включеных по факту ИМ")</f>
        <v>Блок резервирования насосов. Количество включеных по факту ИМ</v>
      </c>
      <c r="S4" s="372"/>
      <c r="U4" s="773"/>
      <c r="V4" s="4"/>
      <c r="W4" s="773"/>
      <c r="X4" s="4"/>
    </row>
    <row r="5" spans="1:29">
      <c r="A5" t="str">
        <f>SUBSTITUTE($V$2,"\","|")&amp;"|OAOF6"</f>
        <v>H1_H2_RIM|OAOF6</v>
      </c>
      <c r="B5" t="s">
        <v>74</v>
      </c>
      <c r="F5" t="s">
        <v>72</v>
      </c>
      <c r="G5" t="s">
        <v>71</v>
      </c>
      <c r="H5">
        <v>0</v>
      </c>
      <c r="I5" t="s">
        <v>72</v>
      </c>
      <c r="J5" t="s">
        <v>69</v>
      </c>
      <c r="K5">
        <v>0</v>
      </c>
      <c r="M5">
        <v>1</v>
      </c>
      <c r="R5" t="str">
        <f>IF($U$2=TRUE,$W$2&amp;". Выход. Команда отключить ИМ №6","Выход. Команда отключить ИМ №6")</f>
        <v>Блок резервирования насосов. Выход. Команда отключить ИМ №6</v>
      </c>
      <c r="S5" s="372"/>
      <c r="U5" s="773"/>
      <c r="V5" s="4"/>
      <c r="W5" s="773"/>
      <c r="X5" s="4"/>
    </row>
    <row r="6" spans="1:29">
      <c r="A6" t="str">
        <f>SUBSTITUTE($V$2,"\","|")&amp;"|OAOF5"</f>
        <v>H1_H2_RIM|OAOF5</v>
      </c>
      <c r="B6" t="s">
        <v>74</v>
      </c>
      <c r="F6" t="s">
        <v>72</v>
      </c>
      <c r="G6" t="s">
        <v>71</v>
      </c>
      <c r="H6">
        <v>0</v>
      </c>
      <c r="I6" t="s">
        <v>72</v>
      </c>
      <c r="J6" t="s">
        <v>69</v>
      </c>
      <c r="K6">
        <v>0</v>
      </c>
      <c r="M6">
        <v>1</v>
      </c>
      <c r="R6" t="str">
        <f>IF($U$2=TRUE,$W$2&amp;". Выход. Команда отключить ИМ №5","Выход. Команда отключить ИМ №5")</f>
        <v>Блок резервирования насосов. Выход. Команда отключить ИМ №5</v>
      </c>
      <c r="S6" s="372"/>
      <c r="U6" s="773"/>
      <c r="V6" s="4"/>
      <c r="W6" s="773"/>
      <c r="X6" s="4"/>
    </row>
    <row r="7" spans="1:29">
      <c r="A7" t="str">
        <f>SUBSTITUTE($V$2,"\","|")&amp;"|OAOF4"</f>
        <v>H1_H2_RIM|OAOF4</v>
      </c>
      <c r="B7" t="s">
        <v>74</v>
      </c>
      <c r="F7" t="s">
        <v>72</v>
      </c>
      <c r="G7" t="s">
        <v>71</v>
      </c>
      <c r="H7">
        <v>0</v>
      </c>
      <c r="I7" t="s">
        <v>72</v>
      </c>
      <c r="J7" t="s">
        <v>69</v>
      </c>
      <c r="K7">
        <v>0</v>
      </c>
      <c r="M7">
        <v>1</v>
      </c>
      <c r="R7" t="str">
        <f>IF($U$2=TRUE,$W$2&amp;". Выход. Команда отключить ИМ №4","Выход. Команда отключить ИМ №4")</f>
        <v>Блок резервирования насосов. Выход. Команда отключить ИМ №4</v>
      </c>
      <c r="S7" s="372"/>
      <c r="U7" s="773"/>
      <c r="V7" s="4"/>
      <c r="W7" s="773"/>
      <c r="X7" s="4"/>
    </row>
    <row r="8" spans="1:29">
      <c r="A8" t="str">
        <f>SUBSTITUTE($V$2,"\","|")&amp;"|OAOF3"</f>
        <v>H1_H2_RIM|OAOF3</v>
      </c>
      <c r="B8" t="s">
        <v>74</v>
      </c>
      <c r="F8" t="s">
        <v>72</v>
      </c>
      <c r="G8" t="s">
        <v>71</v>
      </c>
      <c r="H8">
        <v>0</v>
      </c>
      <c r="I8" t="s">
        <v>72</v>
      </c>
      <c r="J8" t="s">
        <v>69</v>
      </c>
      <c r="K8">
        <v>0</v>
      </c>
      <c r="M8">
        <v>1</v>
      </c>
      <c r="R8" t="str">
        <f>IF($U$2=TRUE,$W$2&amp;". Выход. Команда отключить ИМ №3","Выход. Команда отключить ИМ №3")</f>
        <v>Блок резервирования насосов. Выход. Команда отключить ИМ №3</v>
      </c>
      <c r="S8" s="372"/>
      <c r="U8" s="773"/>
      <c r="V8" s="4"/>
      <c r="W8" s="773"/>
      <c r="X8" s="4"/>
    </row>
    <row r="9" spans="1:29">
      <c r="A9" t="str">
        <f>SUBSTITUTE($V$2,"\","|")&amp;"|OAOF2"</f>
        <v>H1_H2_RIM|OAOF2</v>
      </c>
      <c r="B9" t="s">
        <v>74</v>
      </c>
      <c r="F9" t="s">
        <v>72</v>
      </c>
      <c r="G9" t="s">
        <v>71</v>
      </c>
      <c r="H9">
        <v>0</v>
      </c>
      <c r="I9" t="s">
        <v>72</v>
      </c>
      <c r="J9" t="s">
        <v>69</v>
      </c>
      <c r="K9">
        <v>0</v>
      </c>
      <c r="M9">
        <v>1</v>
      </c>
      <c r="R9" t="str">
        <f>IF($U$2=TRUE,$W$2&amp;". Выход. Команда отключить ИМ №2","Выход. Команда отключить ИМ №2")</f>
        <v>Блок резервирования насосов. Выход. Команда отключить ИМ №2</v>
      </c>
      <c r="S9" s="372"/>
      <c r="U9" s="773"/>
      <c r="V9" s="4"/>
      <c r="W9" s="773"/>
      <c r="X9" s="4"/>
    </row>
    <row r="10" spans="1:29">
      <c r="A10" t="str">
        <f>SUBSTITUTE($V$2,"\","|")&amp;"|OAOF1"</f>
        <v>H1_H2_RIM|OAOF1</v>
      </c>
      <c r="B10" t="s">
        <v>74</v>
      </c>
      <c r="F10" t="s">
        <v>72</v>
      </c>
      <c r="G10" t="s">
        <v>71</v>
      </c>
      <c r="H10">
        <v>0</v>
      </c>
      <c r="I10" t="s">
        <v>72</v>
      </c>
      <c r="J10" t="s">
        <v>69</v>
      </c>
      <c r="K10">
        <v>0</v>
      </c>
      <c r="M10">
        <v>1</v>
      </c>
      <c r="R10" t="str">
        <f>IF($U$2=TRUE,$W$2&amp;". Выход. Команда отключить ИМ №1","Выход. Команда отключить ИМ №1")</f>
        <v>Блок резервирования насосов. Выход. Команда отключить ИМ №1</v>
      </c>
      <c r="S10" s="372"/>
      <c r="U10" s="773"/>
      <c r="V10" s="4"/>
      <c r="W10" s="773"/>
      <c r="X10" s="4"/>
    </row>
    <row r="11" spans="1:29">
      <c r="A11" t="str">
        <f>SUBSTITUTE($V$2,"\","|")&amp;"|OAON6"</f>
        <v>H1_H2_RIM|OAON6</v>
      </c>
      <c r="B11" t="s">
        <v>74</v>
      </c>
      <c r="F11" t="s">
        <v>72</v>
      </c>
      <c r="G11" t="s">
        <v>71</v>
      </c>
      <c r="H11">
        <v>0</v>
      </c>
      <c r="I11" t="s">
        <v>72</v>
      </c>
      <c r="J11" t="s">
        <v>69</v>
      </c>
      <c r="K11">
        <v>0</v>
      </c>
      <c r="M11">
        <v>1</v>
      </c>
      <c r="R11" t="str">
        <f>IF($U$2=TRUE,$W$2&amp;". Выход. Команда включить ИМ №6","Выход. Команда включить ИМ №6")</f>
        <v>Блок резервирования насосов. Выход. Команда включить ИМ №6</v>
      </c>
      <c r="S11" s="372"/>
      <c r="U11" s="773"/>
      <c r="V11" s="4"/>
      <c r="W11" s="773"/>
      <c r="X11" s="4"/>
    </row>
    <row r="12" spans="1:29">
      <c r="A12" t="str">
        <f>SUBSTITUTE($V$2,"\","|")&amp;"|OAON5"</f>
        <v>H1_H2_RIM|OAON5</v>
      </c>
      <c r="B12" t="s">
        <v>74</v>
      </c>
      <c r="F12" t="s">
        <v>72</v>
      </c>
      <c r="G12" t="s">
        <v>71</v>
      </c>
      <c r="H12">
        <v>0</v>
      </c>
      <c r="I12" t="s">
        <v>72</v>
      </c>
      <c r="J12" t="s">
        <v>69</v>
      </c>
      <c r="K12">
        <v>0</v>
      </c>
      <c r="M12">
        <v>1</v>
      </c>
      <c r="R12" t="str">
        <f>IF($U$2=TRUE,$W$2&amp;". Выход. Команда включить ИМ №5","Выход. Команда включить ИМ №5")</f>
        <v>Блок резервирования насосов. Выход. Команда включить ИМ №5</v>
      </c>
      <c r="S12" s="372"/>
      <c r="U12" s="773"/>
      <c r="V12" s="4"/>
      <c r="W12" s="773"/>
      <c r="X12" s="4"/>
    </row>
    <row r="13" spans="1:29">
      <c r="A13" t="str">
        <f>SUBSTITUTE($V$2,"\","|")&amp;"|OAON4"</f>
        <v>H1_H2_RIM|OAON4</v>
      </c>
      <c r="B13" t="s">
        <v>74</v>
      </c>
      <c r="F13" t="s">
        <v>72</v>
      </c>
      <c r="G13" t="s">
        <v>71</v>
      </c>
      <c r="H13">
        <v>0</v>
      </c>
      <c r="I13" t="s">
        <v>72</v>
      </c>
      <c r="J13" t="s">
        <v>69</v>
      </c>
      <c r="K13">
        <v>0</v>
      </c>
      <c r="M13">
        <v>1</v>
      </c>
      <c r="R13" t="str">
        <f>IF($U$2=TRUE,$W$2&amp;". Выход. Команда включить ИМ №4","Выход. Команда включить ИМ №4")</f>
        <v>Блок резервирования насосов. Выход. Команда включить ИМ №4</v>
      </c>
      <c r="S13" s="372"/>
      <c r="U13" s="773"/>
      <c r="V13" s="4"/>
      <c r="W13" s="773"/>
      <c r="X13" s="4"/>
    </row>
    <row r="14" spans="1:29">
      <c r="A14" t="str">
        <f>SUBSTITUTE($V$2,"\","|")&amp;"|OAON3"</f>
        <v>H1_H2_RIM|OAON3</v>
      </c>
      <c r="B14" t="s">
        <v>74</v>
      </c>
      <c r="F14" t="s">
        <v>72</v>
      </c>
      <c r="G14" t="s">
        <v>71</v>
      </c>
      <c r="H14">
        <v>0</v>
      </c>
      <c r="I14" t="s">
        <v>72</v>
      </c>
      <c r="J14" t="s">
        <v>69</v>
      </c>
      <c r="K14">
        <v>0</v>
      </c>
      <c r="M14">
        <v>1</v>
      </c>
      <c r="R14" t="str">
        <f>IF($U$2=TRUE,$W$2&amp;". Выход. Команда включить ИМ №3","Выход. Команда включить ИМ №3")</f>
        <v>Блок резервирования насосов. Выход. Команда включить ИМ №3</v>
      </c>
      <c r="S14" s="372"/>
      <c r="U14" s="773"/>
      <c r="V14" s="4"/>
      <c r="W14" s="773"/>
      <c r="X14" s="4"/>
    </row>
    <row r="15" spans="1:29">
      <c r="A15" t="str">
        <f>SUBSTITUTE($V$2,"\","|")&amp;"|OAON2"</f>
        <v>H1_H2_RIM|OAON2</v>
      </c>
      <c r="B15" t="s">
        <v>74</v>
      </c>
      <c r="F15" t="s">
        <v>72</v>
      </c>
      <c r="G15" t="s">
        <v>71</v>
      </c>
      <c r="H15">
        <v>0</v>
      </c>
      <c r="I15" t="s">
        <v>72</v>
      </c>
      <c r="J15" t="s">
        <v>69</v>
      </c>
      <c r="K15">
        <v>0</v>
      </c>
      <c r="M15">
        <v>1</v>
      </c>
      <c r="R15" t="str">
        <f>IF($U$2=TRUE,$W$2&amp;". Выход. Команда включить ИМ №2","Выход. Команда включить ИМ №2")</f>
        <v>Блок резервирования насосов. Выход. Команда включить ИМ №2</v>
      </c>
      <c r="S15" s="372"/>
      <c r="U15" s="773"/>
      <c r="V15" s="4"/>
      <c r="W15" s="773"/>
      <c r="X15" s="4"/>
    </row>
    <row r="16" spans="1:29">
      <c r="A16" t="str">
        <f>SUBSTITUTE($V$2,"\","|")&amp;"|OAON1"</f>
        <v>H1_H2_RIM|OAON1</v>
      </c>
      <c r="B16" t="s">
        <v>74</v>
      </c>
      <c r="F16" t="s">
        <v>72</v>
      </c>
      <c r="G16" t="s">
        <v>71</v>
      </c>
      <c r="H16">
        <v>0</v>
      </c>
      <c r="I16" t="s">
        <v>72</v>
      </c>
      <c r="J16" t="s">
        <v>69</v>
      </c>
      <c r="K16">
        <v>0</v>
      </c>
      <c r="M16">
        <v>1</v>
      </c>
      <c r="R16" t="str">
        <f>IF($U$2=TRUE,$W$2&amp;". Выход. Команда включить ИМ №1","Выход. Команда включить ИМ №1")</f>
        <v>Блок резервирования насосов. Выход. Команда включить ИМ №1</v>
      </c>
      <c r="S16" s="372"/>
      <c r="U16" s="773"/>
      <c r="V16" s="4"/>
      <c r="W16" s="773"/>
      <c r="X16" s="4"/>
    </row>
    <row r="17" spans="1:24">
      <c r="A17" s="4" t="str">
        <f>SUBSTITUTE($V$2,"\","|")&amp;"|SXXX"</f>
        <v>H1_H2_RIM|SXXX</v>
      </c>
      <c r="B17" s="4" t="s">
        <v>78</v>
      </c>
      <c r="F17" s="4">
        <v>0</v>
      </c>
      <c r="G17" s="4" t="s">
        <v>71</v>
      </c>
      <c r="H17" s="4">
        <v>0</v>
      </c>
      <c r="I17" s="4" t="s">
        <v>72</v>
      </c>
      <c r="J17" s="4" t="s">
        <v>74</v>
      </c>
      <c r="K17" s="4">
        <v>0</v>
      </c>
      <c r="M17">
        <v>1</v>
      </c>
      <c r="R17" t="str">
        <f>IF($U$2=TRUE,$W$2&amp;". Настройка","Настройка")</f>
        <v>Блок резервирования насосов. Настройка</v>
      </c>
      <c r="S17" s="372"/>
      <c r="U17" s="773"/>
      <c r="V17" s="4"/>
      <c r="W17" s="773"/>
      <c r="X17" s="4"/>
    </row>
    <row r="18" spans="1:24">
      <c r="A18" t="str">
        <f>SUBSTITUTE($V$2,"\","|")&amp;"|STDX"</f>
        <v>H1_H2_RIM|STDX</v>
      </c>
      <c r="B18" t="s">
        <v>69</v>
      </c>
      <c r="F18" t="s">
        <v>70</v>
      </c>
      <c r="G18" t="s">
        <v>71</v>
      </c>
      <c r="H18">
        <v>0</v>
      </c>
      <c r="I18" t="s">
        <v>72</v>
      </c>
      <c r="J18" t="s">
        <v>73</v>
      </c>
      <c r="K18">
        <v>0</v>
      </c>
      <c r="M18">
        <v>1</v>
      </c>
      <c r="R18" t="str">
        <f>IF($U$2=TRUE,$W$2&amp;". Настройка. Минимальная доработка ИМ по календарных дней","Настройка. Минимальная доработка ИМ по календарных дней")</f>
        <v>Блок резервирования насосов. Настройка. Минимальная доработка ИМ по календарных дней</v>
      </c>
      <c r="S18" s="372"/>
      <c r="U18" s="773"/>
      <c r="V18" s="4"/>
      <c r="W18" s="773"/>
      <c r="X18" s="4"/>
    </row>
    <row r="19" spans="1:24">
      <c r="A19" t="str">
        <f>SUBSTITUTE($V$2,"\","|")&amp;"|STTX"</f>
        <v>H1_H2_RIM|STTX</v>
      </c>
      <c r="B19" t="s">
        <v>69</v>
      </c>
      <c r="F19" t="s">
        <v>70</v>
      </c>
      <c r="G19" t="s">
        <v>71</v>
      </c>
      <c r="H19">
        <v>0</v>
      </c>
      <c r="I19" t="s">
        <v>72</v>
      </c>
      <c r="J19" t="s">
        <v>73</v>
      </c>
      <c r="K19">
        <v>0</v>
      </c>
      <c r="M19">
        <v>1</v>
      </c>
      <c r="R19" t="str">
        <f>IF($U$2=TRUE,$W$2&amp;". Настройка. Минимальная доработка ИМ. Фильтр сортировки (час)","Настройка. Минимальная доработка ИМ. Фильтр сортировки (час)")</f>
        <v>Блок резервирования насосов. Настройка. Минимальная доработка ИМ. Фильтр сортировки (час)</v>
      </c>
      <c r="S19" s="372"/>
      <c r="U19" s="773"/>
      <c r="V19" s="4"/>
      <c r="W19" s="773"/>
      <c r="X19" s="4"/>
    </row>
    <row r="20" spans="1:24">
      <c r="A20" t="str">
        <f>SUBSTITUTE($V$2,"\","|")&amp;"|SXNM"</f>
        <v>H1_H2_RIM|SXNM</v>
      </c>
      <c r="B20" t="s">
        <v>78</v>
      </c>
      <c r="F20" s="52">
        <f>IF(OR($AC$2&lt;2,$AC$2&gt;6),2,$AC$2)</f>
        <v>2</v>
      </c>
      <c r="G20" t="s">
        <v>71</v>
      </c>
      <c r="H20">
        <v>0</v>
      </c>
      <c r="I20" t="s">
        <v>72</v>
      </c>
      <c r="J20" t="s">
        <v>73</v>
      </c>
      <c r="K20">
        <v>0</v>
      </c>
      <c r="M20">
        <v>1</v>
      </c>
      <c r="R20" t="str">
        <f>IF($U$2=TRUE,$W$2&amp;". Настройка. Доступное количество ИМ","Настройка. Доступное количество ИМ")</f>
        <v>Блок резервирования насосов. Настройка. Доступное количество ИМ</v>
      </c>
      <c r="S20" s="372"/>
      <c r="U20" s="773"/>
      <c r="V20" s="4"/>
      <c r="W20" s="773"/>
      <c r="X20" s="4"/>
    </row>
    <row r="21" spans="1:24">
      <c r="A21" t="str">
        <f>SUBSTITUTE($V$2,"\","|")&amp;"|SXMD"</f>
        <v>H1_H2_RIM|SXMD</v>
      </c>
      <c r="B21" t="s">
        <v>78</v>
      </c>
      <c r="F21">
        <v>1</v>
      </c>
      <c r="G21" t="s">
        <v>71</v>
      </c>
      <c r="H21">
        <v>0</v>
      </c>
      <c r="I21" t="s">
        <v>72</v>
      </c>
      <c r="J21" t="s">
        <v>73</v>
      </c>
      <c r="K21">
        <v>0</v>
      </c>
      <c r="M21">
        <v>1</v>
      </c>
      <c r="R21" t="str">
        <f>IF($U$2=TRUE,$W$2&amp;". Настройка. Режим работы блока(0..3)","Настройка. Режим работы блока(0..3)")</f>
        <v>Блок резервирования насосов. Настройка. Режим работы блока(0..3)</v>
      </c>
      <c r="S21" s="372"/>
      <c r="U21" s="773"/>
      <c r="V21" s="4"/>
      <c r="W21" s="773"/>
      <c r="X21" s="4"/>
    </row>
    <row r="22" spans="1:24">
      <c r="A22" t="str">
        <f>SUBSTITUTE($V$2,"\","|")&amp;"|SXRN"</f>
        <v>H1_H2_RIM|SXRN</v>
      </c>
      <c r="B22" t="s">
        <v>74</v>
      </c>
      <c r="F22" t="s">
        <v>76</v>
      </c>
      <c r="G22" t="s">
        <v>71</v>
      </c>
      <c r="H22">
        <v>0</v>
      </c>
      <c r="I22" t="s">
        <v>72</v>
      </c>
      <c r="J22" t="s">
        <v>73</v>
      </c>
      <c r="K22">
        <v>0</v>
      </c>
      <c r="M22">
        <v>1</v>
      </c>
      <c r="R22" t="str">
        <f>IF($U$2=TRUE,$W$2&amp;". Настройка. Блок включен в работу","Настройка. Блок включен в работу")</f>
        <v>Блок резервирования насосов. Настройка. Блок включен в работу</v>
      </c>
      <c r="S22" s="372"/>
      <c r="U22" s="773"/>
      <c r="V22" s="4"/>
      <c r="W22" s="773"/>
      <c r="X22" s="4"/>
    </row>
    <row r="23" spans="1:24">
      <c r="A23" t="str">
        <f>SUBSTITUTE($V$2,"\","|")&amp;"|CXON"</f>
        <v>H1_H2_RIM|CXON</v>
      </c>
      <c r="B23" t="s">
        <v>78</v>
      </c>
      <c r="F23">
        <v>0</v>
      </c>
      <c r="G23" t="s">
        <v>71</v>
      </c>
      <c r="H23">
        <v>0</v>
      </c>
      <c r="I23" t="s">
        <v>72</v>
      </c>
      <c r="J23" t="s">
        <v>73</v>
      </c>
      <c r="K23">
        <v>0</v>
      </c>
      <c r="M23">
        <v>1</v>
      </c>
      <c r="R23" t="str">
        <f>IF($U$2=TRUE,$W$2&amp;". Команда включить количество ИМ","Команда включить количество ИМ")</f>
        <v>Блок резервирования насосов. Команда включить количество ИМ</v>
      </c>
      <c r="S23" s="372"/>
      <c r="U23" s="773"/>
      <c r="V23" s="4"/>
      <c r="W23" s="773"/>
      <c r="X23" s="4"/>
    </row>
    <row r="24" spans="1:24">
      <c r="A24" t="str">
        <f>SUBSTITUTE($V$2,"\","|")&amp;"|SXSQ6"</f>
        <v>H1_H2_RIM|SXSQ6</v>
      </c>
      <c r="B24" t="s">
        <v>78</v>
      </c>
      <c r="F24">
        <v>0</v>
      </c>
      <c r="G24" t="s">
        <v>71</v>
      </c>
      <c r="H24">
        <v>0</v>
      </c>
      <c r="I24" t="s">
        <v>72</v>
      </c>
      <c r="J24" t="s">
        <v>73</v>
      </c>
      <c r="K24">
        <v>0</v>
      </c>
      <c r="M24">
        <v>1</v>
      </c>
      <c r="R24" t="str">
        <f>IF($U$2=TRUE,$W$2&amp;". Порядковый номер ИМ №6","Порядковый номер ИМ №6")</f>
        <v>Блок резервирования насосов. Порядковый номер ИМ №6</v>
      </c>
      <c r="S24" s="372"/>
      <c r="U24" s="773"/>
      <c r="V24" s="4"/>
      <c r="W24" s="773"/>
      <c r="X24" s="4"/>
    </row>
    <row r="25" spans="1:24">
      <c r="A25" s="4" t="str">
        <f>SUBSTITUTE($V$2,"\","|")&amp;"|SXSQ5"</f>
        <v>H1_H2_RIM|SXSQ5</v>
      </c>
      <c r="B25" s="4" t="s">
        <v>78</v>
      </c>
      <c r="F25" s="4">
        <v>0</v>
      </c>
      <c r="G25" s="4" t="s">
        <v>71</v>
      </c>
      <c r="H25" s="4">
        <v>0</v>
      </c>
      <c r="I25" s="4" t="s">
        <v>72</v>
      </c>
      <c r="J25" s="4" t="s">
        <v>73</v>
      </c>
      <c r="K25" s="4">
        <v>0</v>
      </c>
      <c r="M25">
        <v>1</v>
      </c>
      <c r="R25" t="str">
        <f>IF($U$2=TRUE,$W$2&amp;". Порядковый номер ИМ №5","Порядковый номер ИМ №5")</f>
        <v>Блок резервирования насосов. Порядковый номер ИМ №5</v>
      </c>
      <c r="S25" s="372"/>
      <c r="U25" s="773"/>
      <c r="V25" s="4"/>
      <c r="W25" s="773"/>
      <c r="X25" s="4"/>
    </row>
    <row r="26" spans="1:24">
      <c r="A26" s="4" t="str">
        <f>SUBSTITUTE($V$2,"\","|")&amp;"|SXSQ4"</f>
        <v>H1_H2_RIM|SXSQ4</v>
      </c>
      <c r="B26" s="4" t="s">
        <v>78</v>
      </c>
      <c r="F26" s="4">
        <v>0</v>
      </c>
      <c r="G26" s="4" t="s">
        <v>71</v>
      </c>
      <c r="H26" s="4">
        <v>0</v>
      </c>
      <c r="I26" s="4" t="s">
        <v>72</v>
      </c>
      <c r="J26" s="4" t="s">
        <v>73</v>
      </c>
      <c r="K26" s="4">
        <v>0</v>
      </c>
      <c r="M26">
        <v>1</v>
      </c>
      <c r="R26" t="str">
        <f>IF($U$2=TRUE,$W$2&amp;". Порядковый номер ИМ №4","Порядковый номер ИМ №4")</f>
        <v>Блок резервирования насосов. Порядковый номер ИМ №4</v>
      </c>
      <c r="S26" s="372"/>
      <c r="U26" s="773"/>
      <c r="V26" s="4"/>
      <c r="W26" s="773"/>
      <c r="X26" s="4"/>
    </row>
    <row r="27" spans="1:24">
      <c r="A27" s="4" t="str">
        <f>SUBSTITUTE($V$2,"\","|")&amp;"|SXSQ3"</f>
        <v>H1_H2_RIM|SXSQ3</v>
      </c>
      <c r="B27" s="4" t="s">
        <v>78</v>
      </c>
      <c r="F27" s="4">
        <v>0</v>
      </c>
      <c r="G27" s="4" t="s">
        <v>71</v>
      </c>
      <c r="H27" s="4">
        <v>0</v>
      </c>
      <c r="I27" s="4" t="s">
        <v>72</v>
      </c>
      <c r="J27" s="4" t="s">
        <v>73</v>
      </c>
      <c r="K27" s="4">
        <v>0</v>
      </c>
      <c r="M27">
        <v>1</v>
      </c>
      <c r="R27" t="str">
        <f>IF($U$2=TRUE,$W$2&amp;". Порядковый номер ИМ №3","Порядковый номер ИМ №3")</f>
        <v>Блок резервирования насосов. Порядковый номер ИМ №3</v>
      </c>
      <c r="S27" s="372"/>
      <c r="U27" s="773"/>
      <c r="V27" s="4"/>
      <c r="W27" s="773"/>
      <c r="X27" s="4"/>
    </row>
    <row r="28" spans="1:24">
      <c r="A28" s="4" t="str">
        <f>SUBSTITUTE($V$2,"\","|")&amp;"|SXSQ2"</f>
        <v>H1_H2_RIM|SXSQ2</v>
      </c>
      <c r="B28" s="4" t="s">
        <v>78</v>
      </c>
      <c r="F28" s="4">
        <v>0</v>
      </c>
      <c r="G28" s="4" t="s">
        <v>71</v>
      </c>
      <c r="H28" s="4">
        <v>0</v>
      </c>
      <c r="I28" s="4" t="s">
        <v>72</v>
      </c>
      <c r="J28" s="4" t="s">
        <v>73</v>
      </c>
      <c r="K28" s="4">
        <v>0</v>
      </c>
      <c r="M28">
        <v>1</v>
      </c>
      <c r="R28" t="str">
        <f>IF($U$2=TRUE,$W$2&amp;". Порядковый номер ИМ №2","Порядковый номер ИМ №2")</f>
        <v>Блок резервирования насосов. Порядковый номер ИМ №2</v>
      </c>
      <c r="S28" s="372"/>
      <c r="U28" s="773"/>
      <c r="V28" s="4"/>
      <c r="W28" s="773"/>
      <c r="X28" s="4"/>
    </row>
    <row r="29" spans="1:24">
      <c r="A29" s="4" t="str">
        <f>SUBSTITUTE($V$2,"\","|")&amp;"|SXSQ1"</f>
        <v>H1_H2_RIM|SXSQ1</v>
      </c>
      <c r="B29" s="4" t="s">
        <v>78</v>
      </c>
      <c r="F29" s="4">
        <v>0</v>
      </c>
      <c r="G29" s="4" t="s">
        <v>71</v>
      </c>
      <c r="H29" s="4">
        <v>0</v>
      </c>
      <c r="I29" s="4" t="s">
        <v>72</v>
      </c>
      <c r="J29" s="4" t="s">
        <v>73</v>
      </c>
      <c r="K29" s="4">
        <v>0</v>
      </c>
      <c r="M29">
        <v>1</v>
      </c>
      <c r="R29" t="str">
        <f>IF($U$2=TRUE,$W$2&amp;". Порядковый номер ИМ №1","Порядковый номер ИМ №1")</f>
        <v>Блок резервирования насосов. Порядковый номер ИМ №1</v>
      </c>
      <c r="S29" s="372"/>
      <c r="U29" s="773"/>
      <c r="V29" s="4"/>
      <c r="W29" s="773"/>
      <c r="X29" s="4"/>
    </row>
    <row r="30" spans="1:24">
      <c r="A30" s="4" t="str">
        <f>SUBSTITUTE($V$2,"\","|")&amp;"|XTON6"</f>
        <v>H1_H2_RIM|XTON6</v>
      </c>
      <c r="B30" s="4" t="s">
        <v>69</v>
      </c>
      <c r="F30" s="4" t="s">
        <v>70</v>
      </c>
      <c r="G30" s="4" t="s">
        <v>71</v>
      </c>
      <c r="H30" s="4">
        <v>0</v>
      </c>
      <c r="I30" s="4" t="s">
        <v>72</v>
      </c>
      <c r="J30" s="4" t="s">
        <v>69</v>
      </c>
      <c r="K30" s="4">
        <v>0</v>
      </c>
      <c r="M30">
        <v>1</v>
      </c>
      <c r="R30" t="str">
        <f>IF($U$2=TRUE,$W$2&amp;". Наработка ИМ №6","Наработка ИМ №6")</f>
        <v>Блок резервирования насосов. Наработка ИМ №6</v>
      </c>
      <c r="S30" s="372"/>
      <c r="U30" s="773"/>
      <c r="V30" s="4"/>
      <c r="W30" s="773"/>
      <c r="X30" s="4"/>
    </row>
    <row r="31" spans="1:24">
      <c r="A31" s="4" t="str">
        <f>SUBSTITUTE($V$2,"\","|")&amp;"|XTON5"</f>
        <v>H1_H2_RIM|XTON5</v>
      </c>
      <c r="B31" s="4" t="s">
        <v>69</v>
      </c>
      <c r="F31" s="4" t="s">
        <v>70</v>
      </c>
      <c r="G31" s="4" t="s">
        <v>71</v>
      </c>
      <c r="H31" s="4">
        <v>0</v>
      </c>
      <c r="I31" s="4" t="s">
        <v>72</v>
      </c>
      <c r="J31" s="4" t="s">
        <v>69</v>
      </c>
      <c r="K31" s="4">
        <v>0</v>
      </c>
      <c r="M31">
        <v>1</v>
      </c>
      <c r="R31" t="str">
        <f>IF($U$2=TRUE,$W$2&amp;". Наработка ИМ №5","Наработка ИМ №5")</f>
        <v>Блок резервирования насосов. Наработка ИМ №5</v>
      </c>
      <c r="S31" s="372"/>
      <c r="U31" s="773"/>
      <c r="V31" s="4"/>
      <c r="W31" s="773"/>
      <c r="X31" s="4"/>
    </row>
    <row r="32" spans="1:24">
      <c r="A32" s="4" t="str">
        <f>SUBSTITUTE($V$2,"\","|")&amp;"|XTON4"</f>
        <v>H1_H2_RIM|XTON4</v>
      </c>
      <c r="B32" s="4" t="s">
        <v>69</v>
      </c>
      <c r="F32" s="4" t="s">
        <v>70</v>
      </c>
      <c r="G32" s="4" t="s">
        <v>71</v>
      </c>
      <c r="H32" s="4">
        <v>0</v>
      </c>
      <c r="I32" s="4" t="s">
        <v>72</v>
      </c>
      <c r="J32" s="4" t="s">
        <v>69</v>
      </c>
      <c r="K32" s="4">
        <v>0</v>
      </c>
      <c r="M32">
        <v>1</v>
      </c>
      <c r="R32" t="str">
        <f>IF($U$2=TRUE,$W$2&amp;". Наработка ИМ №4","Наработка ИМ №4")</f>
        <v>Блок резервирования насосов. Наработка ИМ №4</v>
      </c>
      <c r="S32" s="372"/>
      <c r="U32" s="773"/>
      <c r="V32" s="4"/>
      <c r="W32" s="773"/>
      <c r="X32" s="4"/>
    </row>
    <row r="33" spans="1:24">
      <c r="A33" s="4" t="str">
        <f>SUBSTITUTE($V$2,"\","|")&amp;"|XTON3"</f>
        <v>H1_H2_RIM|XTON3</v>
      </c>
      <c r="B33" s="4" t="s">
        <v>69</v>
      </c>
      <c r="F33" s="4" t="s">
        <v>70</v>
      </c>
      <c r="G33" s="4" t="s">
        <v>71</v>
      </c>
      <c r="H33" s="4">
        <v>0</v>
      </c>
      <c r="I33" s="4" t="s">
        <v>72</v>
      </c>
      <c r="J33" s="4" t="s">
        <v>69</v>
      </c>
      <c r="K33" s="4">
        <v>0</v>
      </c>
      <c r="M33">
        <v>1</v>
      </c>
      <c r="R33" t="str">
        <f>IF($U$2=TRUE,$W$2&amp;". Наработка ИМ №3","Наработка ИМ №3")</f>
        <v>Блок резервирования насосов. Наработка ИМ №3</v>
      </c>
      <c r="S33" s="372"/>
      <c r="U33" s="773"/>
      <c r="V33" s="4"/>
      <c r="W33" s="773"/>
      <c r="X33" s="4"/>
    </row>
    <row r="34" spans="1:24">
      <c r="A34" s="4" t="str">
        <f>SUBSTITUTE($V$2,"\","|")&amp;"|XTON2"</f>
        <v>H1_H2_RIM|XTON2</v>
      </c>
      <c r="B34" s="4" t="s">
        <v>69</v>
      </c>
      <c r="F34" s="4" t="s">
        <v>70</v>
      </c>
      <c r="G34" s="4" t="s">
        <v>71</v>
      </c>
      <c r="H34" s="4">
        <v>0</v>
      </c>
      <c r="I34" s="4" t="s">
        <v>72</v>
      </c>
      <c r="J34" s="4" t="s">
        <v>69</v>
      </c>
      <c r="K34" s="4">
        <v>0</v>
      </c>
      <c r="M34">
        <v>1</v>
      </c>
      <c r="R34" t="str">
        <f>IF($U$2=TRUE,$W$2&amp;". Наработка ИМ №2","Наработка ИМ №2")</f>
        <v>Блок резервирования насосов. Наработка ИМ №2</v>
      </c>
      <c r="S34" s="372"/>
      <c r="U34" s="773"/>
      <c r="V34" s="4"/>
      <c r="W34" s="773"/>
      <c r="X34" s="4"/>
    </row>
    <row r="35" spans="1:24">
      <c r="A35" s="4" t="str">
        <f>SUBSTITUTE($V$2,"\","|")&amp;"|XTON1"</f>
        <v>H1_H2_RIM|XTON1</v>
      </c>
      <c r="B35" s="4" t="s">
        <v>69</v>
      </c>
      <c r="F35" s="4" t="s">
        <v>70</v>
      </c>
      <c r="G35" s="4" t="s">
        <v>71</v>
      </c>
      <c r="H35" s="4">
        <v>0</v>
      </c>
      <c r="I35" s="4" t="s">
        <v>72</v>
      </c>
      <c r="J35" s="4" t="s">
        <v>69</v>
      </c>
      <c r="K35" s="4">
        <v>0</v>
      </c>
      <c r="M35">
        <v>1</v>
      </c>
      <c r="R35" t="str">
        <f>IF($U$2=TRUE,$W$2&amp;". Наработка ИМ №1","Наработка ИМ №1")</f>
        <v>Блок резервирования насосов. Наработка ИМ №1</v>
      </c>
      <c r="S35" s="372"/>
      <c r="U35" s="773"/>
      <c r="V35" s="4"/>
      <c r="W35" s="773"/>
      <c r="X35" s="4"/>
    </row>
    <row r="36" spans="1:24">
      <c r="A36" s="4" t="str">
        <f>SUBSTITUTE($V$2,"\","|")&amp;"|CACW6"</f>
        <v>H1_H2_RIM|CACW6</v>
      </c>
      <c r="B36" s="4" t="s">
        <v>74</v>
      </c>
      <c r="F36" s="4" t="s">
        <v>72</v>
      </c>
      <c r="G36" s="4" t="s">
        <v>71</v>
      </c>
      <c r="H36" s="4">
        <v>0</v>
      </c>
      <c r="I36" s="4" t="s">
        <v>72</v>
      </c>
      <c r="J36" s="4" t="s">
        <v>73</v>
      </c>
      <c r="K36" s="4">
        <v>0</v>
      </c>
      <c r="M36">
        <v>1</v>
      </c>
      <c r="R36" t="str">
        <f>IF($U$2=TRUE,$W$2&amp;". Авария требующая переключения ИМ №6","Авария требующая переключения ИМ №6")</f>
        <v>Блок резервирования насосов. Авария требующая переключения ИМ №6</v>
      </c>
      <c r="S36" s="372"/>
      <c r="U36" s="773"/>
      <c r="V36" s="4"/>
      <c r="W36" s="773"/>
      <c r="X36" s="4"/>
    </row>
    <row r="37" spans="1:24">
      <c r="A37" s="4" t="str">
        <f>SUBSTITUTE($V$2,"\","|")&amp;"|CACW5"</f>
        <v>H1_H2_RIM|CACW5</v>
      </c>
      <c r="B37" s="4" t="s">
        <v>74</v>
      </c>
      <c r="F37" s="4" t="s">
        <v>72</v>
      </c>
      <c r="G37" s="4" t="s">
        <v>71</v>
      </c>
      <c r="H37" s="4">
        <v>0</v>
      </c>
      <c r="I37" s="4" t="s">
        <v>72</v>
      </c>
      <c r="J37" s="4" t="s">
        <v>73</v>
      </c>
      <c r="K37" s="4">
        <v>0</v>
      </c>
      <c r="M37">
        <v>1</v>
      </c>
      <c r="R37" t="str">
        <f>IF($U$2=TRUE,$W$2&amp;". Авария требующая переключения ИМ №5","Авария требующая переключения ИМ №5")</f>
        <v>Блок резервирования насосов. Авария требующая переключения ИМ №5</v>
      </c>
      <c r="S37" s="372"/>
      <c r="U37" s="773"/>
      <c r="V37" s="4"/>
      <c r="W37" s="773"/>
      <c r="X37" s="4"/>
    </row>
    <row r="38" spans="1:24">
      <c r="A38" t="str">
        <f>SUBSTITUTE($V$2,"\","|")&amp;"|CACW4"</f>
        <v>H1_H2_RIM|CACW4</v>
      </c>
      <c r="B38" t="s">
        <v>74</v>
      </c>
      <c r="F38" t="s">
        <v>72</v>
      </c>
      <c r="G38" t="s">
        <v>71</v>
      </c>
      <c r="H38">
        <v>0</v>
      </c>
      <c r="I38" t="s">
        <v>72</v>
      </c>
      <c r="J38" t="s">
        <v>73</v>
      </c>
      <c r="K38">
        <v>0</v>
      </c>
      <c r="M38">
        <v>1</v>
      </c>
      <c r="R38" t="str">
        <f>IF($U$2=TRUE,$W$2&amp;". Авария требующая переключения ИМ №4","Авария требующая переключения ИМ №4")</f>
        <v>Блок резервирования насосов. Авария требующая переключения ИМ №4</v>
      </c>
      <c r="S38" s="372"/>
      <c r="U38" s="773"/>
      <c r="V38" s="4"/>
      <c r="W38" s="773"/>
      <c r="X38" s="4"/>
    </row>
    <row r="39" spans="1:24">
      <c r="A39" t="str">
        <f>SUBSTITUTE($V$2,"\","|")&amp;"|CACW3"</f>
        <v>H1_H2_RIM|CACW3</v>
      </c>
      <c r="B39" t="s">
        <v>74</v>
      </c>
      <c r="F39" t="s">
        <v>72</v>
      </c>
      <c r="G39" t="s">
        <v>71</v>
      </c>
      <c r="H39">
        <v>0</v>
      </c>
      <c r="I39" t="s">
        <v>72</v>
      </c>
      <c r="J39" t="s">
        <v>73</v>
      </c>
      <c r="K39">
        <v>0</v>
      </c>
      <c r="M39">
        <v>1</v>
      </c>
      <c r="R39" t="str">
        <f>IF($U$2=TRUE,$W$2&amp;". Авария требующая переключения ИМ №3","Авария требующая переключения ИМ №3")</f>
        <v>Блок резервирования насосов. Авария требующая переключения ИМ №3</v>
      </c>
      <c r="S39" s="372"/>
      <c r="U39" s="773"/>
      <c r="V39" s="4"/>
      <c r="W39" s="773"/>
      <c r="X39" s="4"/>
    </row>
    <row r="40" spans="1:24">
      <c r="A40" t="str">
        <f>SUBSTITUTE($V$2,"\","|")&amp;"|CACW2"</f>
        <v>H1_H2_RIM|CACW2</v>
      </c>
      <c r="B40" t="s">
        <v>74</v>
      </c>
      <c r="F40" t="s">
        <v>72</v>
      </c>
      <c r="G40" t="s">
        <v>71</v>
      </c>
      <c r="H40">
        <v>0</v>
      </c>
      <c r="I40" t="s">
        <v>72</v>
      </c>
      <c r="J40" t="s">
        <v>73</v>
      </c>
      <c r="K40">
        <v>0</v>
      </c>
      <c r="M40">
        <v>1</v>
      </c>
      <c r="R40" t="str">
        <f>IF($U$2=TRUE,$W$2&amp;". Авария требующая переключения ИМ №2","Авария требующая переключения ИМ №2")</f>
        <v>Блок резервирования насосов. Авария требующая переключения ИМ №2</v>
      </c>
      <c r="S40" s="372"/>
      <c r="U40" s="773"/>
      <c r="V40" s="4"/>
      <c r="W40" s="773"/>
      <c r="X40" s="4"/>
    </row>
    <row r="41" spans="1:24">
      <c r="A41" t="str">
        <f>SUBSTITUTE($V$2,"\","|")&amp;"|CACW1"</f>
        <v>H1_H2_RIM|CACW1</v>
      </c>
      <c r="B41" t="s">
        <v>74</v>
      </c>
      <c r="F41" t="s">
        <v>72</v>
      </c>
      <c r="G41" t="s">
        <v>71</v>
      </c>
      <c r="H41">
        <v>0</v>
      </c>
      <c r="I41" t="s">
        <v>72</v>
      </c>
      <c r="J41" t="s">
        <v>73</v>
      </c>
      <c r="K41">
        <v>0</v>
      </c>
      <c r="M41">
        <v>1</v>
      </c>
      <c r="R41" t="str">
        <f>IF($U$2=TRUE,$W$2&amp;". Авария требующая переключения ИМ №1","Авария требующая переключения ИМ №1")</f>
        <v>Блок резервирования насосов. Авария требующая переключения ИМ №1</v>
      </c>
      <c r="S41" s="372"/>
      <c r="U41" s="773"/>
      <c r="V41" s="4"/>
      <c r="W41" s="773"/>
      <c r="X41" s="4"/>
    </row>
    <row r="42" spans="1:24">
      <c r="A42" t="str">
        <f>SUBSTITUTE($V$2,"\","|")&amp;"|BAON6"</f>
        <v>H1_H2_RIM|BAON6</v>
      </c>
      <c r="B42" t="s">
        <v>74</v>
      </c>
      <c r="F42" t="s">
        <v>72</v>
      </c>
      <c r="G42" t="s">
        <v>71</v>
      </c>
      <c r="H42">
        <v>0</v>
      </c>
      <c r="I42" t="s">
        <v>72</v>
      </c>
      <c r="J42" t="s">
        <v>73</v>
      </c>
      <c r="K42">
        <v>0</v>
      </c>
      <c r="M42">
        <v>1</v>
      </c>
      <c r="R42" t="str">
        <f>IF($U$2=TRUE,$W$2&amp;". Блокировка запуска ИМ 6","Блокировка запуска ИМ 6")</f>
        <v>Блок резервирования насосов. Блокировка запуска ИМ 6</v>
      </c>
      <c r="S42" s="372"/>
      <c r="U42" s="773"/>
      <c r="V42" s="4"/>
      <c r="W42" s="773"/>
      <c r="X42" s="4"/>
    </row>
    <row r="43" spans="1:24">
      <c r="A43" t="str">
        <f>SUBSTITUTE($V$2,"\","|")&amp;"|BAON5"</f>
        <v>H1_H2_RIM|BAON5</v>
      </c>
      <c r="B43" t="s">
        <v>74</v>
      </c>
      <c r="F43" t="s">
        <v>72</v>
      </c>
      <c r="G43" t="s">
        <v>71</v>
      </c>
      <c r="H43">
        <v>0</v>
      </c>
      <c r="I43" t="s">
        <v>72</v>
      </c>
      <c r="J43" t="s">
        <v>73</v>
      </c>
      <c r="K43">
        <v>0</v>
      </c>
      <c r="M43">
        <v>1</v>
      </c>
      <c r="R43" t="str">
        <f>IF($U$2=TRUE,$W$2&amp;". Блокировка запуска ИМ 5","Блокировка запуска ИМ 5")</f>
        <v>Блок резервирования насосов. Блокировка запуска ИМ 5</v>
      </c>
      <c r="S43" s="372"/>
      <c r="U43" s="773"/>
      <c r="V43" s="4"/>
      <c r="W43" s="773"/>
      <c r="X43" s="4"/>
    </row>
    <row r="44" spans="1:24">
      <c r="A44" t="str">
        <f>SUBSTITUTE($V$2,"\","|")&amp;"|BAON4"</f>
        <v>H1_H2_RIM|BAON4</v>
      </c>
      <c r="B44" t="s">
        <v>74</v>
      </c>
      <c r="F44" t="s">
        <v>72</v>
      </c>
      <c r="G44" t="s">
        <v>71</v>
      </c>
      <c r="H44">
        <v>0</v>
      </c>
      <c r="I44" t="s">
        <v>72</v>
      </c>
      <c r="J44" t="s">
        <v>73</v>
      </c>
      <c r="K44">
        <v>0</v>
      </c>
      <c r="M44">
        <v>1</v>
      </c>
      <c r="R44" t="str">
        <f>IF($U$2=TRUE,$W$2&amp;". Блокировка запуска ИМ 4","Блокировка запуска ИМ 4")</f>
        <v>Блок резервирования насосов. Блокировка запуска ИМ 4</v>
      </c>
      <c r="S44" s="372"/>
      <c r="U44" s="773"/>
      <c r="V44" s="4"/>
      <c r="W44" s="773"/>
      <c r="X44" s="4"/>
    </row>
    <row r="45" spans="1:24">
      <c r="A45" t="str">
        <f>SUBSTITUTE($V$2,"\","|")&amp;"|BAON3"</f>
        <v>H1_H2_RIM|BAON3</v>
      </c>
      <c r="B45" t="s">
        <v>74</v>
      </c>
      <c r="F45" t="s">
        <v>72</v>
      </c>
      <c r="G45" t="s">
        <v>71</v>
      </c>
      <c r="H45">
        <v>0</v>
      </c>
      <c r="I45" t="s">
        <v>72</v>
      </c>
      <c r="J45" t="s">
        <v>73</v>
      </c>
      <c r="K45">
        <v>0</v>
      </c>
      <c r="M45">
        <v>1</v>
      </c>
      <c r="R45" t="str">
        <f>IF($U$2=TRUE,$W$2&amp;". Блокировка запуска ИМ 3","Блокировка запуска ИМ 3")</f>
        <v>Блок резервирования насосов. Блокировка запуска ИМ 3</v>
      </c>
      <c r="S45" s="372"/>
      <c r="U45" s="773"/>
      <c r="V45" s="4"/>
      <c r="W45" s="773"/>
      <c r="X45" s="4"/>
    </row>
    <row r="46" spans="1:24">
      <c r="A46" t="str">
        <f>SUBSTITUTE($V$2,"\","|")&amp;"|BAON2"</f>
        <v>H1_H2_RIM|BAON2</v>
      </c>
      <c r="B46" t="s">
        <v>74</v>
      </c>
      <c r="F46" t="s">
        <v>72</v>
      </c>
      <c r="G46" t="s">
        <v>71</v>
      </c>
      <c r="H46">
        <v>0</v>
      </c>
      <c r="I46" t="s">
        <v>72</v>
      </c>
      <c r="J46" t="s">
        <v>73</v>
      </c>
      <c r="K46">
        <v>0</v>
      </c>
      <c r="M46">
        <v>1</v>
      </c>
      <c r="R46" t="str">
        <f>IF($U$2=TRUE,$W$2&amp;". Блокировка запуска ИМ 2","Блокировка запуска ИМ 2")</f>
        <v>Блок резервирования насосов. Блокировка запуска ИМ 2</v>
      </c>
      <c r="S46" s="372"/>
      <c r="U46" s="773"/>
      <c r="V46" s="4"/>
      <c r="W46" s="773"/>
      <c r="X46" s="4"/>
    </row>
    <row r="47" spans="1:24">
      <c r="A47" t="str">
        <f>SUBSTITUTE($V$2,"\","|")&amp;"|BAON1"</f>
        <v>H1_H2_RIM|BAON1</v>
      </c>
      <c r="B47" t="s">
        <v>74</v>
      </c>
      <c r="F47" t="s">
        <v>72</v>
      </c>
      <c r="G47" t="s">
        <v>71</v>
      </c>
      <c r="H47">
        <v>0</v>
      </c>
      <c r="I47" t="s">
        <v>72</v>
      </c>
      <c r="J47" t="s">
        <v>73</v>
      </c>
      <c r="K47">
        <v>0</v>
      </c>
      <c r="M47">
        <v>1</v>
      </c>
      <c r="R47" t="str">
        <f>IF($U$2=TRUE,$W$2&amp;". Блокировка запуска ИМ 1","Блокировка запуска ИМ 1")</f>
        <v>Блок резервирования насосов. Блокировка запуска ИМ 1</v>
      </c>
      <c r="S47" s="372"/>
      <c r="U47" s="773"/>
      <c r="V47" s="4"/>
      <c r="W47" s="773"/>
      <c r="X47" s="4"/>
    </row>
    <row r="48" spans="1:24">
      <c r="A48" t="str">
        <f>SUBSTITUTE($V$2,"\","|")&amp;"|XONW6"</f>
        <v>H1_H2_RIM|XONW6</v>
      </c>
      <c r="B48" t="s">
        <v>74</v>
      </c>
      <c r="F48" t="s">
        <v>72</v>
      </c>
      <c r="G48" t="s">
        <v>71</v>
      </c>
      <c r="H48">
        <v>0</v>
      </c>
      <c r="I48" t="s">
        <v>72</v>
      </c>
      <c r="J48" t="s">
        <v>73</v>
      </c>
      <c r="K48">
        <v>0</v>
      </c>
      <c r="M48">
        <v>1</v>
      </c>
      <c r="R48" t="str">
        <f>IF($U$2=TRUE,$W$2&amp;". ИМ 6 включен/открыт","ИМ 6 включен/открыт")</f>
        <v>Блок резервирования насосов. ИМ 6 включен/открыт</v>
      </c>
      <c r="S48" s="372"/>
      <c r="U48" s="773"/>
      <c r="V48" s="4"/>
      <c r="W48" s="773"/>
      <c r="X48" s="4"/>
    </row>
    <row r="49" spans="1:24">
      <c r="A49" t="str">
        <f>SUBSTITUTE($V$2,"\","|")&amp;"|XONW5"</f>
        <v>H1_H2_RIM|XONW5</v>
      </c>
      <c r="B49" t="s">
        <v>74</v>
      </c>
      <c r="F49" t="s">
        <v>72</v>
      </c>
      <c r="G49" t="s">
        <v>71</v>
      </c>
      <c r="H49">
        <v>0</v>
      </c>
      <c r="I49" t="s">
        <v>72</v>
      </c>
      <c r="J49" t="s">
        <v>73</v>
      </c>
      <c r="K49">
        <v>0</v>
      </c>
      <c r="M49">
        <v>1</v>
      </c>
      <c r="R49" t="str">
        <f>IF($U$2=TRUE,$W$2&amp;". ИМ 5 включен/открыт","ИМ 5 включен/открыт")</f>
        <v>Блок резервирования насосов. ИМ 5 включен/открыт</v>
      </c>
      <c r="S49" s="372"/>
      <c r="U49" s="773"/>
      <c r="V49" s="4"/>
      <c r="W49" s="773"/>
      <c r="X49" s="4"/>
    </row>
    <row r="50" spans="1:24">
      <c r="A50" t="str">
        <f>SUBSTITUTE($V$2,"\","|")&amp;"|XONW4"</f>
        <v>H1_H2_RIM|XONW4</v>
      </c>
      <c r="B50" t="s">
        <v>74</v>
      </c>
      <c r="F50" t="s">
        <v>72</v>
      </c>
      <c r="G50" t="s">
        <v>71</v>
      </c>
      <c r="H50">
        <v>0</v>
      </c>
      <c r="I50" t="s">
        <v>72</v>
      </c>
      <c r="J50" t="s">
        <v>73</v>
      </c>
      <c r="K50">
        <v>0</v>
      </c>
      <c r="M50">
        <v>1</v>
      </c>
      <c r="R50" t="str">
        <f>IF($U$2=TRUE,$W$2&amp;". ИМ 4 включен/открыт","ИМ 4 включен/открыт")</f>
        <v>Блок резервирования насосов. ИМ 4 включен/открыт</v>
      </c>
      <c r="S50" s="372"/>
      <c r="U50" s="773"/>
      <c r="V50" s="4"/>
      <c r="W50" s="773"/>
      <c r="X50" s="4"/>
    </row>
    <row r="51" spans="1:24">
      <c r="A51" t="str">
        <f>SUBSTITUTE($V$2,"\","|")&amp;"|XONW3"</f>
        <v>H1_H2_RIM|XONW3</v>
      </c>
      <c r="B51" t="s">
        <v>74</v>
      </c>
      <c r="F51" t="s">
        <v>72</v>
      </c>
      <c r="G51" t="s">
        <v>71</v>
      </c>
      <c r="H51">
        <v>0</v>
      </c>
      <c r="I51" t="s">
        <v>72</v>
      </c>
      <c r="J51" t="s">
        <v>73</v>
      </c>
      <c r="K51">
        <v>0</v>
      </c>
      <c r="M51">
        <v>1</v>
      </c>
      <c r="R51" t="str">
        <f>IF($U$2=TRUE,$W$2&amp;". ИМ 3 включен/открыт","ИМ 3 включен/открыт")</f>
        <v>Блок резервирования насосов. ИМ 3 включен/открыт</v>
      </c>
      <c r="S51" s="372"/>
      <c r="U51" s="773"/>
      <c r="V51" s="4"/>
      <c r="W51" s="773"/>
      <c r="X51" s="4"/>
    </row>
    <row r="52" spans="1:24">
      <c r="A52" t="str">
        <f>SUBSTITUTE($V$2,"\","|")&amp;"|XONW2"</f>
        <v>H1_H2_RIM|XONW2</v>
      </c>
      <c r="B52" t="s">
        <v>74</v>
      </c>
      <c r="F52" t="s">
        <v>72</v>
      </c>
      <c r="G52" t="s">
        <v>71</v>
      </c>
      <c r="H52">
        <v>0</v>
      </c>
      <c r="I52" t="s">
        <v>72</v>
      </c>
      <c r="J52" t="s">
        <v>73</v>
      </c>
      <c r="K52">
        <v>0</v>
      </c>
      <c r="M52">
        <v>1</v>
      </c>
      <c r="R52" t="str">
        <f>IF($U$2=TRUE,$W$2&amp;". ИМ 2 включен/открыт","ИМ 2 включен/открыт")</f>
        <v>Блок резервирования насосов. ИМ 2 включен/открыт</v>
      </c>
      <c r="S52" s="372"/>
      <c r="U52" s="773"/>
      <c r="V52" s="4"/>
      <c r="W52" s="773"/>
      <c r="X52" s="4"/>
    </row>
    <row r="53" spans="1:24">
      <c r="A53" t="str">
        <f>SUBSTITUTE($V$2,"\","|")&amp;"|XONW1"</f>
        <v>H1_H2_RIM|XONW1</v>
      </c>
      <c r="B53" t="s">
        <v>74</v>
      </c>
      <c r="F53" t="s">
        <v>72</v>
      </c>
      <c r="G53" t="s">
        <v>71</v>
      </c>
      <c r="H53">
        <v>0</v>
      </c>
      <c r="I53" t="s">
        <v>72</v>
      </c>
      <c r="J53" t="s">
        <v>73</v>
      </c>
      <c r="K53">
        <v>0</v>
      </c>
      <c r="M53">
        <v>1</v>
      </c>
      <c r="R53" t="str">
        <f>IF($U$2=TRUE,$W$2&amp;". ИМ 1 включен/открыт","ИМ 1 включен/открыт")</f>
        <v>Блок резервирования насосов. ИМ 1 включен/открыт</v>
      </c>
      <c r="S53" s="372"/>
      <c r="U53" s="773"/>
      <c r="V53" s="4"/>
      <c r="W53" s="773"/>
      <c r="X53" s="4"/>
    </row>
    <row r="57" spans="1:24">
      <c r="A57" s="4"/>
      <c r="B57" s="4"/>
      <c r="F57" s="4"/>
      <c r="G57" s="4"/>
      <c r="H57" s="4"/>
      <c r="I57" s="4"/>
      <c r="J57" s="4"/>
      <c r="K57" s="4"/>
      <c r="M57" s="4"/>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Лист155">
    <tabColor rgb="FF92D050"/>
  </sheetPr>
  <dimension ref="A1:AC57"/>
  <sheetViews>
    <sheetView topLeftCell="B16" zoomScale="85" zoomScaleNormal="85"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6640625" customWidth="1"/>
    <col min="15" max="15" width="7.5546875" customWidth="1"/>
    <col min="16" max="16" width="4.6640625" customWidth="1"/>
    <col min="17" max="17" width="4.88671875" customWidth="1"/>
    <col min="18" max="18" width="65.44140625" customWidth="1"/>
    <col min="19" max="19" width="18.44140625" customWidth="1"/>
    <col min="20" max="20" width="8.88671875" customWidth="1"/>
    <col min="21" max="21" width="34" bestFit="1" customWidth="1"/>
    <col min="22" max="22" width="16.6640625" customWidth="1"/>
    <col min="23" max="23" width="30" customWidth="1"/>
    <col min="24" max="29" width="16.6640625" customWidth="1"/>
    <col min="30" max="30" width="18.33203125" customWidth="1"/>
  </cols>
  <sheetData>
    <row r="1" spans="1:29">
      <c r="A1" s="10"/>
      <c r="B1" s="10"/>
      <c r="F1" s="10"/>
      <c r="G1" s="10"/>
      <c r="H1" s="10"/>
      <c r="I1" s="10"/>
      <c r="J1" s="10"/>
      <c r="K1" s="10"/>
      <c r="M1" s="10"/>
      <c r="N1" s="10"/>
      <c r="O1" s="10"/>
      <c r="P1" s="10"/>
      <c r="Q1" s="10"/>
      <c r="R1" s="10"/>
      <c r="S1" s="54" t="s">
        <v>1471</v>
      </c>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14.25" customHeight="1">
      <c r="A2" s="10"/>
      <c r="B2" s="10"/>
      <c r="F2" s="10"/>
      <c r="G2" s="10"/>
      <c r="H2" s="10"/>
      <c r="I2" s="10"/>
      <c r="J2" s="10"/>
      <c r="K2" s="10"/>
      <c r="M2" s="10"/>
      <c r="N2" s="10"/>
      <c r="O2" s="10"/>
      <c r="P2" s="10"/>
      <c r="Q2" s="10"/>
      <c r="R2" s="10"/>
      <c r="S2" s="3">
        <f>Настройки!$M$32</f>
        <v>65500</v>
      </c>
      <c r="U2" s="74" t="b">
        <f>Настройки!$M$34</f>
        <v>1</v>
      </c>
      <c r="V2" s="73" t="s">
        <v>1388</v>
      </c>
      <c r="W2" s="537" t="s">
        <v>1784</v>
      </c>
      <c r="X2" s="73">
        <v>0</v>
      </c>
      <c r="Y2" s="73"/>
      <c r="Z2" s="73">
        <v>5</v>
      </c>
      <c r="AA2" s="74">
        <v>20</v>
      </c>
      <c r="AB2" s="74"/>
      <c r="AC2" s="74"/>
    </row>
    <row r="3" spans="1:29">
      <c r="A3" s="4" t="str">
        <f>SUBSTITUTE($V$2,"\","|")&amp;"|XHAS"</f>
        <v>TT_VOS|XHAS</v>
      </c>
      <c r="B3" t="s">
        <v>74</v>
      </c>
      <c r="F3" t="s">
        <v>72</v>
      </c>
      <c r="G3" t="s">
        <v>71</v>
      </c>
      <c r="H3">
        <v>0</v>
      </c>
      <c r="I3" t="s">
        <v>72</v>
      </c>
      <c r="J3" t="s">
        <v>69</v>
      </c>
      <c r="K3">
        <v>0</v>
      </c>
      <c r="M3">
        <v>1</v>
      </c>
      <c r="N3" t="s">
        <v>1697</v>
      </c>
      <c r="O3" s="52">
        <f t="shared" ref="O3:O18" si="0">$S$2</f>
        <v>65500</v>
      </c>
      <c r="P3" s="4"/>
      <c r="Q3" s="4"/>
      <c r="R3" t="str">
        <f>IF($U$2=TRUE,$W$2&amp;". Сработка верхняя аварийная уставка","Сработка верхняя аварийная уставка")</f>
        <v>Аналоговый датчик FB с буферизацией. Сработка верхняя аварийная уставка</v>
      </c>
      <c r="S3" s="372"/>
      <c r="U3" s="773"/>
      <c r="V3" s="4"/>
      <c r="W3" s="773"/>
      <c r="X3" s="4"/>
    </row>
    <row r="4" spans="1:29">
      <c r="A4" s="4" t="str">
        <f>SUBSTITUTE($V$2,"\","|")&amp;"|XLAS"</f>
        <v>TT_VOS|XLAS</v>
      </c>
      <c r="B4" t="s">
        <v>74</v>
      </c>
      <c r="F4" t="s">
        <v>72</v>
      </c>
      <c r="G4" t="s">
        <v>71</v>
      </c>
      <c r="H4">
        <v>0</v>
      </c>
      <c r="I4" t="s">
        <v>72</v>
      </c>
      <c r="J4" t="s">
        <v>69</v>
      </c>
      <c r="K4">
        <v>0</v>
      </c>
      <c r="M4">
        <v>1</v>
      </c>
      <c r="N4" t="s">
        <v>1697</v>
      </c>
      <c r="O4" s="52">
        <f t="shared" si="0"/>
        <v>65500</v>
      </c>
      <c r="P4" s="4"/>
      <c r="Q4" s="4"/>
      <c r="R4" t="str">
        <f>IF($U$2=TRUE,$W$2&amp;". Сработка нижняя аварийная уставка","Сработка нижняя аварийная уставка")</f>
        <v>Аналоговый датчик FB с буферизацией. Сработка нижняя аварийная уставка</v>
      </c>
      <c r="S4" s="372"/>
      <c r="U4" s="773"/>
      <c r="V4" s="4"/>
      <c r="W4" s="773"/>
      <c r="X4" s="4"/>
    </row>
    <row r="5" spans="1:29">
      <c r="A5" s="4" t="str">
        <f>SUBSTITUTE($V$2,"\","|")&amp;"|XDAX"</f>
        <v>TT_VOS|XDAX</v>
      </c>
      <c r="B5" t="s">
        <v>74</v>
      </c>
      <c r="F5" t="s">
        <v>72</v>
      </c>
      <c r="G5" t="s">
        <v>71</v>
      </c>
      <c r="H5">
        <v>0</v>
      </c>
      <c r="I5" t="s">
        <v>72</v>
      </c>
      <c r="J5" t="s">
        <v>73</v>
      </c>
      <c r="K5">
        <v>0</v>
      </c>
      <c r="M5">
        <v>1</v>
      </c>
      <c r="N5" t="s">
        <v>1697</v>
      </c>
      <c r="O5" s="52">
        <f t="shared" si="0"/>
        <v>65500</v>
      </c>
      <c r="P5" s="4"/>
      <c r="Q5" s="4"/>
      <c r="R5" t="str">
        <f>IF($U$2=TRUE,$W$2&amp;". Выведен из алгоритма","Выведен из алгоритма")</f>
        <v>Аналоговый датчик FB с буферизацией. Выведен из алгоритма</v>
      </c>
      <c r="S5" s="372"/>
      <c r="U5" s="773"/>
      <c r="V5" s="4"/>
      <c r="W5" s="773"/>
      <c r="X5" s="4"/>
    </row>
    <row r="6" spans="1:29">
      <c r="A6" s="4" t="str">
        <f>SUBSTITUTE($V$2,"\","|")&amp;"|XHWS"</f>
        <v>TT_VOS|XHWS</v>
      </c>
      <c r="B6" t="s">
        <v>74</v>
      </c>
      <c r="F6" t="s">
        <v>72</v>
      </c>
      <c r="G6" t="s">
        <v>71</v>
      </c>
      <c r="H6">
        <v>0</v>
      </c>
      <c r="I6" t="s">
        <v>72</v>
      </c>
      <c r="J6" t="s">
        <v>69</v>
      </c>
      <c r="K6">
        <v>0</v>
      </c>
      <c r="M6">
        <v>1</v>
      </c>
      <c r="N6" t="s">
        <v>1697</v>
      </c>
      <c r="O6" s="52">
        <f t="shared" si="0"/>
        <v>65500</v>
      </c>
      <c r="P6" s="4"/>
      <c r="Q6" s="4"/>
      <c r="R6" t="str">
        <f>IF($U$2=TRUE,$W$2&amp;". Сработка верхняя предупредительная уставка","Сработка верхняя предупредительная уставка")</f>
        <v>Аналоговый датчик FB с буферизацией. Сработка верхняя предупредительная уставка</v>
      </c>
      <c r="S6" s="372"/>
      <c r="U6" s="773"/>
      <c r="V6" s="4"/>
      <c r="W6" s="773"/>
      <c r="X6" s="4"/>
    </row>
    <row r="7" spans="1:29">
      <c r="A7" s="4" t="str">
        <f>SUBSTITUTE($V$2,"\","|")&amp;"|XLWS"</f>
        <v>TT_VOS|XLWS</v>
      </c>
      <c r="B7" t="s">
        <v>74</v>
      </c>
      <c r="F7" t="s">
        <v>72</v>
      </c>
      <c r="G7" t="s">
        <v>71</v>
      </c>
      <c r="H7">
        <v>0</v>
      </c>
      <c r="I7" t="s">
        <v>72</v>
      </c>
      <c r="J7" t="s">
        <v>69</v>
      </c>
      <c r="K7">
        <v>0</v>
      </c>
      <c r="M7">
        <v>1</v>
      </c>
      <c r="N7" t="s">
        <v>1697</v>
      </c>
      <c r="O7" s="52">
        <f t="shared" si="0"/>
        <v>65500</v>
      </c>
      <c r="P7" s="4"/>
      <c r="Q7" s="4"/>
      <c r="R7" t="str">
        <f>IF($U$2=TRUE,$W$2&amp;". Сработка нижняя предупредительная уставка","Сработка нижняя предупредительная уставка")</f>
        <v>Аналоговый датчик FB с буферизацией. Сработка нижняя предупредительная уставка</v>
      </c>
      <c r="S7" s="372"/>
      <c r="U7" s="773"/>
      <c r="V7" s="4"/>
      <c r="W7" s="773"/>
      <c r="X7" s="4"/>
    </row>
    <row r="8" spans="1:29">
      <c r="A8" s="4" t="str">
        <f>SUBSTITUTE($V$2,"\","|")&amp;"|FSLX"</f>
        <v>TT_VOS|FSLX</v>
      </c>
      <c r="B8" t="s">
        <v>74</v>
      </c>
      <c r="F8" t="s">
        <v>72</v>
      </c>
      <c r="G8" t="s">
        <v>71</v>
      </c>
      <c r="H8">
        <v>0</v>
      </c>
      <c r="I8" t="s">
        <v>72</v>
      </c>
      <c r="J8" t="s">
        <v>69</v>
      </c>
      <c r="K8">
        <v>0</v>
      </c>
      <c r="M8">
        <v>1</v>
      </c>
      <c r="N8" t="s">
        <v>1697</v>
      </c>
      <c r="O8" s="52">
        <f t="shared" si="0"/>
        <v>65500</v>
      </c>
      <c r="P8" s="4"/>
      <c r="Q8" s="4"/>
      <c r="R8" t="str">
        <f>IF($U$2=TRUE,$W$2&amp;". Предельная скорость изменения параметра","Предельная скорость изменения параметра")</f>
        <v>Аналоговый датчик FB с буферизацией. Предельная скорость изменения параметра</v>
      </c>
      <c r="S8" s="372"/>
      <c r="U8" s="773"/>
      <c r="V8" s="4"/>
      <c r="W8" s="773"/>
      <c r="X8" s="4"/>
    </row>
    <row r="9" spans="1:29">
      <c r="A9" s="4" t="str">
        <f>SUBSTITUTE($V$2,"\","|")&amp;"|FBXX"</f>
        <v>TT_VOS|FBXX</v>
      </c>
      <c r="B9" t="s">
        <v>74</v>
      </c>
      <c r="F9" t="s">
        <v>72</v>
      </c>
      <c r="G9" t="s">
        <v>71</v>
      </c>
      <c r="H9">
        <v>0</v>
      </c>
      <c r="I9" t="s">
        <v>72</v>
      </c>
      <c r="J9" t="s">
        <v>69</v>
      </c>
      <c r="K9">
        <v>0</v>
      </c>
      <c r="M9">
        <v>1</v>
      </c>
      <c r="N9" t="s">
        <v>1697</v>
      </c>
      <c r="O9" s="52">
        <f t="shared" si="0"/>
        <v>65500</v>
      </c>
      <c r="P9" s="4"/>
      <c r="Q9" s="4"/>
      <c r="R9" t="str">
        <f>IF($U$2=TRUE,$W$2&amp;". Обрыв","Обрыв")</f>
        <v>Аналоговый датчик FB с буферизацией. Обрыв</v>
      </c>
      <c r="S9" s="372"/>
      <c r="U9" s="773"/>
      <c r="V9" s="4"/>
      <c r="W9" s="773"/>
      <c r="X9" s="4"/>
    </row>
    <row r="10" spans="1:29">
      <c r="A10" s="4" t="str">
        <f>SUBSTITUTE($V$2,"\","|")&amp;"|FSCX"</f>
        <v>TT_VOS|FSCX</v>
      </c>
      <c r="B10" t="s">
        <v>74</v>
      </c>
      <c r="F10" t="s">
        <v>72</v>
      </c>
      <c r="G10" t="s">
        <v>71</v>
      </c>
      <c r="H10">
        <v>0</v>
      </c>
      <c r="I10" t="s">
        <v>72</v>
      </c>
      <c r="J10" t="s">
        <v>69</v>
      </c>
      <c r="K10">
        <v>0</v>
      </c>
      <c r="M10">
        <v>1</v>
      </c>
      <c r="N10" t="s">
        <v>1697</v>
      </c>
      <c r="O10" s="52">
        <f t="shared" si="0"/>
        <v>65500</v>
      </c>
      <c r="P10" s="4"/>
      <c r="Q10" s="4"/>
      <c r="R10" t="str">
        <f>IF($U$2=TRUE,$W$2&amp;". КЗ ","КЗ ")</f>
        <v xml:space="preserve">Аналоговый датчик FB с буферизацией. КЗ </v>
      </c>
      <c r="S10" s="372"/>
      <c r="U10" s="773"/>
      <c r="V10" s="4"/>
      <c r="W10" s="773"/>
      <c r="X10" s="4"/>
    </row>
    <row r="11" spans="1:29">
      <c r="A11" s="4" t="str">
        <f>SUBSTITUTE($V$2,"\","|")&amp;"|FHSX"</f>
        <v>TT_VOS|FHSX</v>
      </c>
      <c r="B11" t="s">
        <v>74</v>
      </c>
      <c r="F11" t="s">
        <v>72</v>
      </c>
      <c r="G11" t="s">
        <v>71</v>
      </c>
      <c r="H11">
        <v>0</v>
      </c>
      <c r="I11" t="s">
        <v>72</v>
      </c>
      <c r="J11" t="s">
        <v>69</v>
      </c>
      <c r="K11">
        <v>0</v>
      </c>
      <c r="M11">
        <v>1</v>
      </c>
      <c r="N11" t="s">
        <v>1697</v>
      </c>
      <c r="O11" s="52">
        <f t="shared" si="0"/>
        <v>65500</v>
      </c>
      <c r="P11" s="4"/>
      <c r="Q11" s="4"/>
      <c r="R11" t="str">
        <f>IF($U$2=TRUE,$W$2&amp;". Выход за верхнюю шкалу датчика","Выход за верхнюю шкалу датчика")</f>
        <v>Аналоговый датчик FB с буферизацией. Выход за верхнюю шкалу датчика</v>
      </c>
      <c r="S11" s="372"/>
      <c r="U11" s="773"/>
      <c r="V11" s="4"/>
      <c r="W11" s="773"/>
      <c r="X11" s="4"/>
    </row>
    <row r="12" spans="1:29">
      <c r="A12" s="4" t="str">
        <f>SUBSTITUTE($V$2,"\","|")&amp;"|FLSX"</f>
        <v>TT_VOS|FLSX</v>
      </c>
      <c r="B12" t="s">
        <v>74</v>
      </c>
      <c r="F12" t="s">
        <v>72</v>
      </c>
      <c r="G12" t="s">
        <v>71</v>
      </c>
      <c r="H12">
        <v>0</v>
      </c>
      <c r="I12" t="s">
        <v>72</v>
      </c>
      <c r="J12" t="s">
        <v>69</v>
      </c>
      <c r="K12">
        <v>0</v>
      </c>
      <c r="M12">
        <v>1</v>
      </c>
      <c r="N12" t="s">
        <v>1697</v>
      </c>
      <c r="O12" s="52">
        <f t="shared" si="0"/>
        <v>65500</v>
      </c>
      <c r="P12" s="4"/>
      <c r="Q12" s="4"/>
      <c r="R12" t="str">
        <f>IF($U$2=TRUE,$W$2&amp;". Выход за нижнюю шкалу датчика","Выход за нижнюю шкалу датчика")</f>
        <v>Аналоговый датчик FB с буферизацией. Выход за нижнюю шкалу датчика</v>
      </c>
      <c r="S12" s="372"/>
      <c r="U12" s="773"/>
      <c r="V12" s="4"/>
      <c r="W12" s="773"/>
      <c r="X12" s="4"/>
    </row>
    <row r="13" spans="1:29">
      <c r="A13" s="4" t="str">
        <f>SUBSTITUTE($V$2,"\","|")&amp;"|BHAX"</f>
        <v>TT_VOS|BHAX</v>
      </c>
      <c r="B13" t="s">
        <v>74</v>
      </c>
      <c r="F13" t="s">
        <v>72</v>
      </c>
      <c r="G13" t="s">
        <v>71</v>
      </c>
      <c r="H13">
        <v>0</v>
      </c>
      <c r="I13" t="s">
        <v>72</v>
      </c>
      <c r="J13" t="s">
        <v>69</v>
      </c>
      <c r="K13">
        <v>0</v>
      </c>
      <c r="M13">
        <v>1</v>
      </c>
      <c r="N13" t="s">
        <v>1697</v>
      </c>
      <c r="O13" s="52">
        <f t="shared" si="0"/>
        <v>65500</v>
      </c>
      <c r="R13" t="str">
        <f>IF($U$2=TRUE,$W$2&amp;". Блокировка сигнализации уставки верхней аварийной","Блокировка сигнализации уставки верхней аварийной")</f>
        <v>Аналоговый датчик FB с буферизацией. Блокировка сигнализации уставки верхней аварийной</v>
      </c>
      <c r="S13" s="372"/>
      <c r="U13" s="773"/>
      <c r="V13" s="4"/>
      <c r="W13" s="773"/>
      <c r="X13" s="4"/>
    </row>
    <row r="14" spans="1:29">
      <c r="A14" s="4" t="str">
        <f>SUBSTITUTE($V$2,"\","|")&amp;"|BHWX"</f>
        <v>TT_VOS|BHWX</v>
      </c>
      <c r="B14" t="s">
        <v>74</v>
      </c>
      <c r="F14" t="s">
        <v>72</v>
      </c>
      <c r="G14" t="s">
        <v>71</v>
      </c>
      <c r="H14">
        <v>0</v>
      </c>
      <c r="I14" t="s">
        <v>72</v>
      </c>
      <c r="J14" t="s">
        <v>69</v>
      </c>
      <c r="K14">
        <v>0</v>
      </c>
      <c r="M14">
        <v>1</v>
      </c>
      <c r="N14" t="s">
        <v>1697</v>
      </c>
      <c r="O14" s="52">
        <f t="shared" si="0"/>
        <v>65500</v>
      </c>
      <c r="R14" t="str">
        <f>IF($U$2=TRUE,$W$2&amp;". Блокировка сигнализации уставки верхней предупредительной","Блокировка сигнализации уставки верхней предупредительной")</f>
        <v>Аналоговый датчик FB с буферизацией. Блокировка сигнализации уставки верхней предупредительной</v>
      </c>
      <c r="S14" s="372"/>
      <c r="U14" s="773"/>
      <c r="V14" s="4"/>
      <c r="W14" s="773"/>
      <c r="X14" s="4"/>
    </row>
    <row r="15" spans="1:29">
      <c r="A15" s="4" t="str">
        <f>SUBSTITUTE($V$2,"\","|")&amp;"|BLAX"</f>
        <v>TT_VOS|BLAX</v>
      </c>
      <c r="B15" t="s">
        <v>74</v>
      </c>
      <c r="F15" t="s">
        <v>72</v>
      </c>
      <c r="G15" t="s">
        <v>71</v>
      </c>
      <c r="H15">
        <v>0</v>
      </c>
      <c r="I15" t="s">
        <v>72</v>
      </c>
      <c r="J15" t="s">
        <v>69</v>
      </c>
      <c r="K15">
        <v>0</v>
      </c>
      <c r="M15">
        <v>1</v>
      </c>
      <c r="N15" t="s">
        <v>1697</v>
      </c>
      <c r="O15" s="52">
        <f t="shared" si="0"/>
        <v>65500</v>
      </c>
      <c r="R15" t="str">
        <f>IF($U$2=TRUE,$W$2&amp;". Блокировка сигнализации уставки нижней аварийной","Блокировка сигнализации уставки нижней аварийной")</f>
        <v>Аналоговый датчик FB с буферизацией. Блокировка сигнализации уставки нижней аварийной</v>
      </c>
      <c r="S15" s="372"/>
      <c r="U15" s="773"/>
      <c r="V15" s="4"/>
      <c r="W15" s="773"/>
      <c r="X15" s="4"/>
    </row>
    <row r="16" spans="1:29">
      <c r="A16" s="4" t="str">
        <f>SUBSTITUTE($V$2,"\","|")&amp;"|BLWX"</f>
        <v>TT_VOS|BLWX</v>
      </c>
      <c r="B16" t="s">
        <v>74</v>
      </c>
      <c r="F16" t="s">
        <v>72</v>
      </c>
      <c r="G16" t="s">
        <v>71</v>
      </c>
      <c r="H16">
        <v>0</v>
      </c>
      <c r="I16" t="s">
        <v>72</v>
      </c>
      <c r="J16" t="s">
        <v>69</v>
      </c>
      <c r="K16">
        <v>0</v>
      </c>
      <c r="M16">
        <v>1</v>
      </c>
      <c r="N16" t="s">
        <v>1697</v>
      </c>
      <c r="O16" s="52">
        <f t="shared" si="0"/>
        <v>65500</v>
      </c>
      <c r="R16" t="str">
        <f>IF($U$2=TRUE,$W$2&amp;". Блокировка сигнализации уставки нижней предупредительной","Блокировка сигнализации уставки нижней предупредительной")</f>
        <v>Аналоговый датчик FB с буферизацией. Блокировка сигнализации уставки нижней предупредительной</v>
      </c>
      <c r="S16" s="372"/>
      <c r="U16" s="773"/>
      <c r="V16" s="4"/>
      <c r="W16" s="773"/>
      <c r="X16" s="4"/>
    </row>
    <row r="17" spans="1:24">
      <c r="A17" s="4" t="str">
        <f>SUBSTITUTE($V$2,"\","|")&amp;"|DVXX"</f>
        <v>TT_VOS|DVXX</v>
      </c>
      <c r="B17" t="s">
        <v>74</v>
      </c>
      <c r="F17" t="s">
        <v>72</v>
      </c>
      <c r="G17" t="s">
        <v>71</v>
      </c>
      <c r="H17">
        <v>0</v>
      </c>
      <c r="I17" t="s">
        <v>72</v>
      </c>
      <c r="J17" t="s">
        <v>69</v>
      </c>
      <c r="K17">
        <v>0</v>
      </c>
      <c r="M17">
        <v>1</v>
      </c>
      <c r="N17" t="s">
        <v>1697</v>
      </c>
      <c r="O17" s="52">
        <f t="shared" si="0"/>
        <v>65500</v>
      </c>
      <c r="R17" t="str">
        <f>IF($U$2=TRUE,$W$2&amp;". Недостоверное входное значение","Недостоверное входное значение")</f>
        <v>Аналоговый датчик FB с буферизацией. Недостоверное входное значение</v>
      </c>
      <c r="S17" s="372"/>
      <c r="U17" s="773"/>
      <c r="V17" s="4"/>
      <c r="W17" s="773"/>
      <c r="X17" s="4"/>
    </row>
    <row r="18" spans="1:24">
      <c r="A18" s="514" t="str">
        <f>SUBSTITUTE($V$2,"\","|")&amp;"|XVLX"</f>
        <v>TT_VOS|XVLX</v>
      </c>
      <c r="B18" t="s">
        <v>69</v>
      </c>
      <c r="F18" t="s">
        <v>70</v>
      </c>
      <c r="G18" t="s">
        <v>71</v>
      </c>
      <c r="H18">
        <v>0</v>
      </c>
      <c r="I18" t="s">
        <v>72</v>
      </c>
      <c r="J18" t="s">
        <v>69</v>
      </c>
      <c r="K18" s="514">
        <v>2</v>
      </c>
      <c r="M18">
        <v>1</v>
      </c>
      <c r="N18" t="s">
        <v>1697</v>
      </c>
      <c r="O18" s="52">
        <f t="shared" si="0"/>
        <v>65500</v>
      </c>
      <c r="P18">
        <v>1</v>
      </c>
      <c r="Q18" s="52">
        <f>($F$22-$F$21)*0.01</f>
        <v>0.15</v>
      </c>
      <c r="R18" t="str">
        <f>IF($U$2=TRUE,$W$2&amp;". Выходное значение ","Выходное значение ")</f>
        <v xml:space="preserve">Аналоговый датчик FB с буферизацией. Выходное значение </v>
      </c>
      <c r="S18" s="372"/>
      <c r="U18" s="773"/>
      <c r="V18" s="4"/>
      <c r="W18" s="773"/>
      <c r="X18" s="4"/>
    </row>
    <row r="19" spans="1:24">
      <c r="A19" s="514" t="str">
        <f>SUBSTITUTE($V$2,"\","|")&amp;"|XVLP"</f>
        <v>TT_VOS|XVLP</v>
      </c>
      <c r="B19" t="s">
        <v>69</v>
      </c>
      <c r="F19" t="s">
        <v>70</v>
      </c>
      <c r="G19" t="s">
        <v>71</v>
      </c>
      <c r="H19">
        <v>0</v>
      </c>
      <c r="I19" t="s">
        <v>72</v>
      </c>
      <c r="J19" t="s">
        <v>69</v>
      </c>
      <c r="K19" s="514">
        <v>2</v>
      </c>
      <c r="M19">
        <v>1</v>
      </c>
      <c r="Q19" s="4"/>
      <c r="R19" t="str">
        <f>IF($U$2=TRUE,$W$2&amp;". Выходное значение в процентах","Выходное значение в процентах")</f>
        <v>Аналоговый датчик FB с буферизацией. Выходное значение в процентах</v>
      </c>
      <c r="S19" s="372"/>
      <c r="U19" s="773"/>
      <c r="V19" s="4"/>
      <c r="W19" s="773"/>
      <c r="X19" s="4"/>
    </row>
    <row r="20" spans="1:24">
      <c r="A20" s="514" t="str">
        <f>SUBSTITUTE($V$2,"\","|")&amp;"|XVXX"</f>
        <v>TT_VOS|XVXX</v>
      </c>
      <c r="B20" t="s">
        <v>69</v>
      </c>
      <c r="F20" t="s">
        <v>70</v>
      </c>
      <c r="G20" t="s">
        <v>71</v>
      </c>
      <c r="H20">
        <v>0</v>
      </c>
      <c r="I20" t="s">
        <v>72</v>
      </c>
      <c r="J20" t="s">
        <v>69</v>
      </c>
      <c r="K20" s="514">
        <v>2</v>
      </c>
      <c r="M20">
        <v>1</v>
      </c>
      <c r="R20" t="str">
        <f>IF($U$2=TRUE,$W$2&amp;". Выходное значение без ограничений","Выходное значение без ограничений")</f>
        <v>Аналоговый датчик FB с буферизацией. Выходное значение без ограничений</v>
      </c>
      <c r="S20" s="372"/>
      <c r="U20" s="773"/>
      <c r="V20" s="4"/>
      <c r="W20" s="773"/>
      <c r="X20" s="4"/>
    </row>
    <row r="21" spans="1:24">
      <c r="A21" s="514" t="str">
        <f>SUBSTITUTE($V$2,"\","|")&amp;"|SLSX"</f>
        <v>TT_VOS|SLSX</v>
      </c>
      <c r="B21" t="s">
        <v>69</v>
      </c>
      <c r="F21" s="52">
        <f>$Z$2</f>
        <v>5</v>
      </c>
      <c r="G21" t="s">
        <v>71</v>
      </c>
      <c r="H21">
        <v>0</v>
      </c>
      <c r="I21" t="s">
        <v>76</v>
      </c>
      <c r="J21" t="s">
        <v>73</v>
      </c>
      <c r="K21" s="514">
        <v>2</v>
      </c>
      <c r="M21">
        <v>1</v>
      </c>
      <c r="R21" t="str">
        <f>IF($U$2=TRUE,$W$2&amp;". Нижняя шкала датчика","Нижняя шкала датчика")</f>
        <v>Аналоговый датчик FB с буферизацией. Нижняя шкала датчика</v>
      </c>
      <c r="S21" s="372"/>
      <c r="U21" s="773"/>
      <c r="V21" s="4"/>
      <c r="W21" s="773"/>
      <c r="X21" s="4"/>
    </row>
    <row r="22" spans="1:24">
      <c r="A22" s="514" t="str">
        <f>SUBSTITUTE($V$2,"\","|")&amp;"|SHSX"</f>
        <v>TT_VOS|SHSX</v>
      </c>
      <c r="B22" t="s">
        <v>69</v>
      </c>
      <c r="F22" s="52">
        <f>$AA$2</f>
        <v>20</v>
      </c>
      <c r="G22" t="s">
        <v>71</v>
      </c>
      <c r="H22">
        <v>0</v>
      </c>
      <c r="I22" t="s">
        <v>76</v>
      </c>
      <c r="J22" t="s">
        <v>73</v>
      </c>
      <c r="K22" s="514">
        <v>2</v>
      </c>
      <c r="M22">
        <v>1</v>
      </c>
      <c r="R22" t="str">
        <f>IF($U$2=TRUE,$W$2&amp;". Верхняя шкала датчика","Верхняя шкала датчика")</f>
        <v>Аналоговый датчик FB с буферизацией. Верхняя шкала датчика</v>
      </c>
      <c r="S22" s="372"/>
      <c r="U22" s="773"/>
      <c r="V22" s="4"/>
      <c r="W22" s="773"/>
      <c r="X22" s="4"/>
    </row>
    <row r="23" spans="1:24">
      <c r="A23" s="514" t="str">
        <f>SUBSTITUTE($V$2,"\","|")&amp;"|SHAX"</f>
        <v>TT_VOS|SHAX</v>
      </c>
      <c r="B23" t="s">
        <v>69</v>
      </c>
      <c r="F23" s="240">
        <f>0.05*F21+0.95*F22</f>
        <v>19.25</v>
      </c>
      <c r="G23" t="s">
        <v>71</v>
      </c>
      <c r="H23">
        <v>0</v>
      </c>
      <c r="I23" t="s">
        <v>76</v>
      </c>
      <c r="J23" t="s">
        <v>73</v>
      </c>
      <c r="K23" s="514">
        <v>2</v>
      </c>
      <c r="M23">
        <v>1</v>
      </c>
      <c r="R23" t="str">
        <f>IF($U$2=TRUE,$W$2&amp;". Уставка верхняя аварийная","Уставка верхняя аварийная")</f>
        <v>Аналоговый датчик FB с буферизацией. Уставка верхняя аварийная</v>
      </c>
      <c r="S23" s="372"/>
      <c r="U23" s="773"/>
      <c r="V23" s="4"/>
      <c r="W23" s="773"/>
      <c r="X23" s="4"/>
    </row>
    <row r="24" spans="1:24">
      <c r="A24" s="514" t="str">
        <f>SUBSTITUTE($V$2,"\","|")&amp;"|SHWX"</f>
        <v>TT_VOS|SHWX</v>
      </c>
      <c r="B24" t="s">
        <v>69</v>
      </c>
      <c r="F24" s="240">
        <f>0.1*F21+0.9*F22</f>
        <v>18.5</v>
      </c>
      <c r="G24" t="s">
        <v>71</v>
      </c>
      <c r="H24">
        <v>0</v>
      </c>
      <c r="I24" t="s">
        <v>76</v>
      </c>
      <c r="J24" t="s">
        <v>73</v>
      </c>
      <c r="K24" s="514">
        <v>2</v>
      </c>
      <c r="M24">
        <v>1</v>
      </c>
      <c r="R24" t="str">
        <f>IF($U$2=TRUE,$W$2&amp;". Уставка верхняя предупредительная","Уставка верхняя предупредительная")</f>
        <v>Аналоговый датчик FB с буферизацией. Уставка верхняя предупредительная</v>
      </c>
      <c r="S24" s="372"/>
      <c r="U24" s="773"/>
      <c r="V24" s="4"/>
      <c r="W24" s="773"/>
      <c r="X24" s="4"/>
    </row>
    <row r="25" spans="1:24">
      <c r="A25" s="514" t="str">
        <f>SUBSTITUTE($V$2,"\","|")&amp;"|SLWX"</f>
        <v>TT_VOS|SLWX</v>
      </c>
      <c r="B25" t="s">
        <v>69</v>
      </c>
      <c r="F25" s="240">
        <f>0.9*F21+0.1*F22</f>
        <v>6.5</v>
      </c>
      <c r="G25" t="s">
        <v>71</v>
      </c>
      <c r="H25">
        <v>0</v>
      </c>
      <c r="I25" t="s">
        <v>76</v>
      </c>
      <c r="J25" t="s">
        <v>73</v>
      </c>
      <c r="K25" s="514">
        <v>2</v>
      </c>
      <c r="M25">
        <v>1</v>
      </c>
      <c r="R25" t="str">
        <f>IF($U$2=TRUE,$W$2&amp;". Уставка нижняя предупредительная","Уставка нижняя предупредительная")</f>
        <v>Аналоговый датчик FB с буферизацией. Уставка нижняя предупредительная</v>
      </c>
      <c r="S25" s="372"/>
      <c r="U25" s="773"/>
      <c r="V25" s="4"/>
      <c r="W25" s="773"/>
      <c r="X25" s="4"/>
    </row>
    <row r="26" spans="1:24">
      <c r="A26" s="514" t="str">
        <f>SUBSTITUTE($V$2,"\","|")&amp;"|SLAX"</f>
        <v>TT_VOS|SLAX</v>
      </c>
      <c r="B26" t="s">
        <v>69</v>
      </c>
      <c r="F26" s="240">
        <f>0.95*F21+0.05*F22</f>
        <v>5.75</v>
      </c>
      <c r="G26" t="s">
        <v>71</v>
      </c>
      <c r="H26">
        <v>0</v>
      </c>
      <c r="I26" t="s">
        <v>76</v>
      </c>
      <c r="J26" t="s">
        <v>73</v>
      </c>
      <c r="K26" s="514">
        <v>2</v>
      </c>
      <c r="M26">
        <v>1</v>
      </c>
      <c r="R26" t="str">
        <f>IF($U$2=TRUE,$W$2&amp;". Уставка нижняя аварийная","Уставка нижняя аварийная")</f>
        <v>Аналоговый датчик FB с буферизацией. Уставка нижняя аварийная</v>
      </c>
      <c r="S26" s="372"/>
      <c r="U26" s="773"/>
      <c r="V26" s="4"/>
      <c r="W26" s="773"/>
      <c r="X26" s="4"/>
    </row>
    <row r="27" spans="1:24">
      <c r="A27" s="514" t="str">
        <f>SUBSTITUTE($V$2,"\","|")&amp;"|SIMX"</f>
        <v>TT_VOS|SIMX</v>
      </c>
      <c r="B27" t="s">
        <v>69</v>
      </c>
      <c r="F27" t="s">
        <v>70</v>
      </c>
      <c r="G27" t="s">
        <v>71</v>
      </c>
      <c r="H27">
        <v>0</v>
      </c>
      <c r="I27" t="s">
        <v>76</v>
      </c>
      <c r="J27" t="s">
        <v>73</v>
      </c>
      <c r="K27" s="514">
        <v>2</v>
      </c>
      <c r="M27">
        <v>1</v>
      </c>
      <c r="R27" t="str">
        <f>IF($U$2=TRUE,$W$2&amp;". Задание для имитации","Задание для имитации")</f>
        <v>Аналоговый датчик FB с буферизацией. Задание для имитации</v>
      </c>
      <c r="S27" s="372"/>
      <c r="U27" s="773"/>
      <c r="V27" s="4"/>
      <c r="W27" s="773"/>
      <c r="X27" s="4"/>
    </row>
    <row r="28" spans="1:24">
      <c r="A28" s="515" t="str">
        <f>SUBSTITUTE($V$2,"\","|")&amp;"|CHAX"</f>
        <v>TT_VOS|CHAX</v>
      </c>
      <c r="B28" t="s">
        <v>74</v>
      </c>
      <c r="F28" t="s">
        <v>72</v>
      </c>
      <c r="G28" t="s">
        <v>71</v>
      </c>
      <c r="H28">
        <v>0</v>
      </c>
      <c r="I28" t="s">
        <v>76</v>
      </c>
      <c r="J28" t="s">
        <v>73</v>
      </c>
      <c r="K28" s="515" t="s">
        <v>1383</v>
      </c>
      <c r="M28">
        <v>1</v>
      </c>
      <c r="R28" t="str">
        <f>IF($U$2=TRUE,$W$2&amp;". Формировать верхнюю аварийную уставку","Формировать верхнюю аварийную уставку")</f>
        <v>Аналоговый датчик FB с буферизацией. Формировать верхнюю аварийную уставку</v>
      </c>
      <c r="S28" s="372"/>
      <c r="U28" s="773"/>
      <c r="V28" s="4"/>
      <c r="W28" s="773"/>
      <c r="X28" s="4"/>
    </row>
    <row r="29" spans="1:24">
      <c r="A29" s="515" t="str">
        <f>SUBSTITUTE($V$2,"\","|")&amp;"|CHWX"</f>
        <v>TT_VOS|CHWX</v>
      </c>
      <c r="B29" t="s">
        <v>74</v>
      </c>
      <c r="F29" t="s">
        <v>72</v>
      </c>
      <c r="G29" t="s">
        <v>71</v>
      </c>
      <c r="H29">
        <v>0</v>
      </c>
      <c r="I29" t="s">
        <v>76</v>
      </c>
      <c r="J29" t="s">
        <v>73</v>
      </c>
      <c r="K29" s="515" t="s">
        <v>1383</v>
      </c>
      <c r="M29">
        <v>1</v>
      </c>
      <c r="R29" t="str">
        <f>IF($U$2=TRUE,$W$2&amp;". Формировать верхнюю предупредительную уставку","Формировать верхнюю предупредительную уставку")</f>
        <v>Аналоговый датчик FB с буферизацией. Формировать верхнюю предупредительную уставку</v>
      </c>
      <c r="S29" s="372"/>
      <c r="U29" s="773"/>
      <c r="V29" s="4"/>
      <c r="W29" s="773"/>
      <c r="X29" s="4"/>
    </row>
    <row r="30" spans="1:24">
      <c r="A30" s="515" t="str">
        <f>SUBSTITUTE($V$2,"\","|")&amp;"|CLWX"</f>
        <v>TT_VOS|CLWX</v>
      </c>
      <c r="B30" t="s">
        <v>74</v>
      </c>
      <c r="F30" t="s">
        <v>72</v>
      </c>
      <c r="G30" t="s">
        <v>71</v>
      </c>
      <c r="H30">
        <v>0</v>
      </c>
      <c r="I30" t="s">
        <v>76</v>
      </c>
      <c r="J30" t="s">
        <v>73</v>
      </c>
      <c r="K30" s="515" t="s">
        <v>1383</v>
      </c>
      <c r="M30">
        <v>1</v>
      </c>
      <c r="R30" t="str">
        <f>IF($U$2=TRUE,$W$2&amp;". Формировать нижнюю предупредительную уставку","Формировать нижнюю предупредительную уставку")</f>
        <v>Аналоговый датчик FB с буферизацией. Формировать нижнюю предупредительную уставку</v>
      </c>
      <c r="S30" s="372"/>
      <c r="U30" s="773"/>
      <c r="V30" s="4"/>
      <c r="W30" s="773"/>
      <c r="X30" s="4"/>
    </row>
    <row r="31" spans="1:24">
      <c r="A31" s="515" t="str">
        <f>SUBSTITUTE($V$2,"\","|")&amp;"|CLAX"</f>
        <v>TT_VOS|CLAX</v>
      </c>
      <c r="B31" t="s">
        <v>74</v>
      </c>
      <c r="F31" t="s">
        <v>72</v>
      </c>
      <c r="G31" t="s">
        <v>71</v>
      </c>
      <c r="H31">
        <v>0</v>
      </c>
      <c r="I31" t="s">
        <v>76</v>
      </c>
      <c r="J31" t="s">
        <v>73</v>
      </c>
      <c r="K31" s="515" t="s">
        <v>1383</v>
      </c>
      <c r="M31">
        <v>1</v>
      </c>
      <c r="R31" t="str">
        <f>IF($U$2=TRUE,$W$2&amp;". Формировать нижнюю аварийную уставку","Формировать нижнюю аварийную уставку")</f>
        <v>Аналоговый датчик FB с буферизацией. Формировать нижнюю аварийную уставку</v>
      </c>
      <c r="S31" s="372"/>
      <c r="U31" s="773"/>
      <c r="V31" s="4"/>
      <c r="W31" s="773"/>
      <c r="X31" s="4"/>
    </row>
    <row r="32" spans="1:24">
      <c r="A32" s="515" t="str">
        <f>SUBSTITUTE($V$2,"\","|")&amp;"|CIMX"</f>
        <v>TT_VOS|CIMX</v>
      </c>
      <c r="B32" t="s">
        <v>74</v>
      </c>
      <c r="F32" t="s">
        <v>72</v>
      </c>
      <c r="G32" t="s">
        <v>71</v>
      </c>
      <c r="H32">
        <v>0</v>
      </c>
      <c r="I32" t="s">
        <v>76</v>
      </c>
      <c r="J32" t="s">
        <v>73</v>
      </c>
      <c r="K32" s="515" t="s">
        <v>1383</v>
      </c>
      <c r="M32">
        <v>1</v>
      </c>
      <c r="R32" t="str">
        <f>IF($U$2=TRUE,$W$2&amp;". Активация для имитации","Активация для имитации")</f>
        <v>Аналоговый датчик FB с буферизацией. Активация для имитации</v>
      </c>
      <c r="S32" s="372"/>
      <c r="U32" s="773"/>
      <c r="V32" s="4"/>
      <c r="W32" s="773"/>
      <c r="X32" s="4"/>
    </row>
    <row r="33" spans="1:24">
      <c r="A33" s="515" t="str">
        <f>SUBSTITUTE($V$2,"\","|")&amp;"|CDAX"</f>
        <v>TT_VOS|CDAX</v>
      </c>
      <c r="B33" t="s">
        <v>74</v>
      </c>
      <c r="F33" t="s">
        <v>72</v>
      </c>
      <c r="G33" t="s">
        <v>71</v>
      </c>
      <c r="H33">
        <v>0</v>
      </c>
      <c r="I33" t="s">
        <v>76</v>
      </c>
      <c r="J33" t="s">
        <v>73</v>
      </c>
      <c r="K33" s="515" t="s">
        <v>1383</v>
      </c>
      <c r="M33">
        <v>1</v>
      </c>
      <c r="R33" t="str">
        <f>IF($U$2=TRUE,$W$2&amp;". Команда вывести из алгоритма","Команда вывести из алгоритма")</f>
        <v>Аналоговый датчик FB с буферизацией. Команда вывести из алгоритма</v>
      </c>
      <c r="S33" s="372"/>
      <c r="U33" s="773"/>
      <c r="V33" s="4"/>
      <c r="W33" s="773"/>
      <c r="X33" s="4"/>
    </row>
    <row r="34" spans="1:24">
      <c r="A34" s="515" t="str">
        <f>SUBSTITUTE($V$2,"\","|")&amp;"|CRPX"</f>
        <v>TT_VOS|CRPX</v>
      </c>
      <c r="B34" t="s">
        <v>74</v>
      </c>
      <c r="F34" t="s">
        <v>72</v>
      </c>
      <c r="G34" t="s">
        <v>71</v>
      </c>
      <c r="H34">
        <v>0</v>
      </c>
      <c r="I34" t="s">
        <v>76</v>
      </c>
      <c r="J34" t="s">
        <v>73</v>
      </c>
      <c r="K34" s="515" t="s">
        <v>1383</v>
      </c>
      <c r="M34">
        <v>1</v>
      </c>
      <c r="R34" t="str">
        <f>IF($U$2=TRUE,$W$2&amp;". Команда ремонт","Команда ремонт")</f>
        <v>Аналоговый датчик FB с буферизацией. Команда ремонт</v>
      </c>
      <c r="S34" s="372"/>
      <c r="U34" s="773"/>
      <c r="V34" s="4"/>
      <c r="W34" s="773"/>
      <c r="X34" s="4"/>
    </row>
    <row r="35" spans="1:24">
      <c r="A35" s="515" t="str">
        <f>SUBSTITUTE($V$2,"\","|")&amp;"|CRST"</f>
        <v>TT_VOS|CRST</v>
      </c>
      <c r="B35" t="s">
        <v>74</v>
      </c>
      <c r="F35" t="s">
        <v>72</v>
      </c>
      <c r="G35" t="s">
        <v>71</v>
      </c>
      <c r="H35">
        <v>0</v>
      </c>
      <c r="I35" t="s">
        <v>72</v>
      </c>
      <c r="J35" t="s">
        <v>73</v>
      </c>
      <c r="K35" s="515" t="s">
        <v>1383</v>
      </c>
      <c r="M35">
        <v>1</v>
      </c>
      <c r="R35" t="str">
        <f>IF($U$2=TRUE,$W$2&amp;". Команда сброс ошибок","Команда сброс ошибок")</f>
        <v>Аналоговый датчик FB с буферизацией. Команда сброс ошибок</v>
      </c>
      <c r="S35" s="372"/>
      <c r="U35" s="773"/>
      <c r="V35" s="4"/>
      <c r="W35" s="773"/>
      <c r="X35" s="4"/>
    </row>
    <row r="36" spans="1:24">
      <c r="A36" t="str">
        <f>SUBSTITUTE($V$2,"\","|")&amp;"|CZCX"</f>
        <v>TT_VOS|CZCX</v>
      </c>
      <c r="B36" t="s">
        <v>74</v>
      </c>
      <c r="F36" t="s">
        <v>72</v>
      </c>
      <c r="G36" t="s">
        <v>71</v>
      </c>
      <c r="H36">
        <v>0</v>
      </c>
      <c r="I36" t="s">
        <v>76</v>
      </c>
      <c r="J36" t="s">
        <v>73</v>
      </c>
      <c r="K36">
        <v>0</v>
      </c>
      <c r="M36">
        <v>1</v>
      </c>
      <c r="R36" t="str">
        <f>IF($U$2=TRUE,$W$2&amp;". Учитывать отсечку ноля","Учитывать отсечку ноля")</f>
        <v>Аналоговый датчик FB с буферизацией. Учитывать отсечку ноля</v>
      </c>
      <c r="S36" s="372"/>
      <c r="U36" s="773"/>
      <c r="V36" s="4"/>
      <c r="W36" s="773"/>
      <c r="X36" s="4"/>
    </row>
    <row r="37" spans="1:24">
      <c r="A37" s="4" t="str">
        <f>SUBSTITUTE($V$2,"\","|")&amp;"|FXXX"</f>
        <v>TT_VOS|FXXX</v>
      </c>
      <c r="B37" t="s">
        <v>74</v>
      </c>
      <c r="F37" t="s">
        <v>72</v>
      </c>
      <c r="G37" t="s">
        <v>71</v>
      </c>
      <c r="H37">
        <v>0</v>
      </c>
      <c r="I37" t="s">
        <v>72</v>
      </c>
      <c r="J37" t="s">
        <v>69</v>
      </c>
      <c r="K37">
        <v>0</v>
      </c>
      <c r="M37">
        <v>1</v>
      </c>
      <c r="P37" s="4"/>
      <c r="Q37" s="4"/>
      <c r="R37" t="str">
        <f>IF($U$2=TRUE,$W$2&amp;". Обобщённая неисправность","Обобщённая неисправность")</f>
        <v>Аналоговый датчик FB с буферизацией. Обобщённая неисправность</v>
      </c>
      <c r="S37" s="372"/>
      <c r="U37" s="773"/>
      <c r="V37" s="4"/>
      <c r="W37" s="773"/>
      <c r="X37" s="4"/>
    </row>
    <row r="38" spans="1:24">
      <c r="A38" s="4" t="str">
        <f>SUBSTITUTE($V$2,"\","|")&amp;"|FZCX"</f>
        <v>TT_VOS|FZCX</v>
      </c>
      <c r="B38" t="s">
        <v>74</v>
      </c>
      <c r="F38" t="s">
        <v>72</v>
      </c>
      <c r="G38" t="s">
        <v>71</v>
      </c>
      <c r="H38">
        <v>0</v>
      </c>
      <c r="I38" t="s">
        <v>72</v>
      </c>
      <c r="J38" t="s">
        <v>69</v>
      </c>
      <c r="K38">
        <v>0</v>
      </c>
      <c r="M38">
        <v>1</v>
      </c>
      <c r="P38" s="4"/>
      <c r="Q38" s="4"/>
      <c r="R38" t="str">
        <f>IF($U$2=TRUE,$W$2&amp;". Сработала отсечка ноля","Сработала отсечка ноля")</f>
        <v>Аналоговый датчик FB с буферизацией. Сработала отсечка ноля</v>
      </c>
      <c r="S38" s="372"/>
      <c r="U38" s="773"/>
      <c r="V38" s="4"/>
      <c r="W38" s="773"/>
      <c r="X38" s="4"/>
    </row>
    <row r="39" spans="1:24">
      <c r="A39" s="4" t="str">
        <f>SUBSTITUTE($V$2,"\","|")&amp;"|IVXX"</f>
        <v>TT_VOS|IVXX</v>
      </c>
      <c r="B39" t="s">
        <v>69</v>
      </c>
      <c r="F39" t="s">
        <v>70</v>
      </c>
      <c r="G39" t="s">
        <v>71</v>
      </c>
      <c r="H39">
        <v>0</v>
      </c>
      <c r="I39" t="s">
        <v>72</v>
      </c>
      <c r="J39" t="s">
        <v>69</v>
      </c>
      <c r="K39">
        <v>0</v>
      </c>
      <c r="M39">
        <v>1</v>
      </c>
      <c r="P39" s="4"/>
      <c r="Q39" s="4"/>
      <c r="R39" t="str">
        <f>IF($U$2=TRUE,$W$2&amp;". Входное значение","Входное значение")</f>
        <v>Аналоговый датчик FB с буферизацией. Входное значение</v>
      </c>
      <c r="S39" s="372"/>
      <c r="U39" s="773"/>
      <c r="V39" s="4"/>
      <c r="W39" s="773"/>
      <c r="X39" s="4"/>
    </row>
    <row r="40" spans="1:24">
      <c r="A40" s="4" t="str">
        <f>SUBSTITUTE($V$2,"\","|")&amp;"|SDBX"</f>
        <v>TT_VOS|SDBX</v>
      </c>
      <c r="B40" t="s">
        <v>69</v>
      </c>
      <c r="F40" t="s">
        <v>70</v>
      </c>
      <c r="G40" t="s">
        <v>71</v>
      </c>
      <c r="H40">
        <v>0</v>
      </c>
      <c r="I40" t="s">
        <v>76</v>
      </c>
      <c r="J40" t="s">
        <v>73</v>
      </c>
      <c r="K40">
        <v>0</v>
      </c>
      <c r="M40">
        <v>1</v>
      </c>
      <c r="P40" s="4"/>
      <c r="Q40" s="4"/>
      <c r="R40" t="str">
        <f>IF($U$2=TRUE,$W$2&amp;". Мертвая зона","Мертвая зона")</f>
        <v>Аналоговый датчик FB с буферизацией. Мертвая зона</v>
      </c>
      <c r="S40" s="372"/>
      <c r="U40" s="773"/>
      <c r="V40" s="4"/>
      <c r="W40" s="773"/>
      <c r="X40" s="4"/>
    </row>
    <row r="41" spans="1:24">
      <c r="A41" s="4" t="str">
        <f>SUBSTITUTE($V$2,"\","|")&amp;"|SDLX"</f>
        <v>TT_VOS|SDLX</v>
      </c>
      <c r="B41" t="s">
        <v>69</v>
      </c>
      <c r="F41" s="52">
        <f>(F22-F21)*0.015</f>
        <v>0.22499999999999998</v>
      </c>
      <c r="G41" t="s">
        <v>71</v>
      </c>
      <c r="H41">
        <v>0</v>
      </c>
      <c r="I41" t="s">
        <v>76</v>
      </c>
      <c r="J41" t="s">
        <v>73</v>
      </c>
      <c r="K41">
        <v>0</v>
      </c>
      <c r="M41">
        <v>1</v>
      </c>
      <c r="P41" s="4"/>
      <c r="Q41" s="4"/>
      <c r="R41" t="str">
        <f>IF($U$2=TRUE,$W$2&amp;". Лимит выхода параметра за границы шкалы","Лимит выхода параметра за границы шкалы")</f>
        <v>Аналоговый датчик FB с буферизацией. Лимит выхода параметра за границы шкалы</v>
      </c>
      <c r="S41" s="372"/>
      <c r="U41" s="773"/>
      <c r="V41" s="4"/>
      <c r="W41" s="773"/>
      <c r="X41" s="4"/>
    </row>
    <row r="42" spans="1:24">
      <c r="A42" s="4" t="str">
        <f>SUBSTITUTE($V$2,"\","|")&amp;"|SFTX"</f>
        <v>TT_VOS|SFTX</v>
      </c>
      <c r="B42" t="s">
        <v>78</v>
      </c>
      <c r="F42">
        <v>0</v>
      </c>
      <c r="G42" t="s">
        <v>71</v>
      </c>
      <c r="H42">
        <v>0</v>
      </c>
      <c r="I42" t="s">
        <v>76</v>
      </c>
      <c r="J42" t="s">
        <v>73</v>
      </c>
      <c r="K42">
        <v>0</v>
      </c>
      <c r="M42">
        <v>1</v>
      </c>
      <c r="P42" s="4"/>
      <c r="Q42" s="4"/>
      <c r="R42" t="str">
        <f>IF($U$2=TRUE,$W$2&amp;". Время фильтрации","Время фильтрации")</f>
        <v>Аналоговый датчик FB с буферизацией. Время фильтрации</v>
      </c>
      <c r="S42" s="372"/>
      <c r="U42" s="773"/>
      <c r="V42" s="4"/>
      <c r="W42" s="773"/>
      <c r="X42" s="4"/>
    </row>
    <row r="43" spans="1:24">
      <c r="A43" s="4" t="str">
        <f>SUBSTITUTE($V$2,"\","|")&amp;"|SHVX"</f>
        <v>TT_VOS|SHVX</v>
      </c>
      <c r="B43" t="s">
        <v>69</v>
      </c>
      <c r="F43" t="s">
        <v>75</v>
      </c>
      <c r="G43" t="s">
        <v>71</v>
      </c>
      <c r="H43">
        <v>0</v>
      </c>
      <c r="I43" t="s">
        <v>76</v>
      </c>
      <c r="J43" t="s">
        <v>73</v>
      </c>
      <c r="K43">
        <v>0</v>
      </c>
      <c r="M43">
        <v>1</v>
      </c>
      <c r="P43" s="4"/>
      <c r="Q43" s="4"/>
      <c r="R43" t="str">
        <f>IF($U$2=TRUE,$W$2&amp;". Верхняя шкала входного значения","Верхняя шкала входного значения")</f>
        <v>Аналоговый датчик FB с буферизацией. Верхняя шкала входного значения</v>
      </c>
      <c r="S43" s="372"/>
      <c r="U43" s="773"/>
      <c r="V43" s="4"/>
      <c r="W43" s="773"/>
      <c r="X43" s="4"/>
    </row>
    <row r="44" spans="1:24">
      <c r="A44" s="4" t="str">
        <f>SUBSTITUTE($V$2,"\","|")&amp;"|SLVX"</f>
        <v>TT_VOS|SLVX</v>
      </c>
      <c r="B44" t="s">
        <v>69</v>
      </c>
      <c r="F44" t="s">
        <v>77</v>
      </c>
      <c r="G44" t="s">
        <v>71</v>
      </c>
      <c r="H44">
        <v>0</v>
      </c>
      <c r="I44" t="s">
        <v>76</v>
      </c>
      <c r="J44" t="s">
        <v>73</v>
      </c>
      <c r="K44">
        <v>0</v>
      </c>
      <c r="M44">
        <v>1</v>
      </c>
      <c r="P44" s="4"/>
      <c r="Q44" s="4"/>
      <c r="R44" t="str">
        <f>IF($U$2=TRUE,$W$2&amp;". Нижняя шкала входного значения","Нижняя шкала входного значения")</f>
        <v>Аналоговый датчик FB с буферизацией. Нижняя шкала входного значения</v>
      </c>
      <c r="S44" s="372"/>
      <c r="U44" s="773"/>
      <c r="V44" s="4"/>
      <c r="W44" s="773"/>
      <c r="X44" s="4"/>
    </row>
    <row r="45" spans="1:24">
      <c r="A45" s="4" t="str">
        <f>SUBSTITUTE($V$2,"\","|")&amp;"|SSLX"</f>
        <v>TT_VOS|SSLX</v>
      </c>
      <c r="B45" t="s">
        <v>69</v>
      </c>
      <c r="F45" t="s">
        <v>70</v>
      </c>
      <c r="G45" t="s">
        <v>71</v>
      </c>
      <c r="H45">
        <v>0</v>
      </c>
      <c r="I45" t="s">
        <v>76</v>
      </c>
      <c r="J45" t="s">
        <v>73</v>
      </c>
      <c r="K45">
        <v>0</v>
      </c>
      <c r="M45">
        <v>1</v>
      </c>
      <c r="P45" s="4"/>
      <c r="Q45" s="4"/>
      <c r="R45" t="str">
        <f>IF($U$2=TRUE,$W$2&amp;". Уставка скорости изменения параметра в ед. измерения","Уставка скорости изменения параметра в ед. измерения")</f>
        <v>Аналоговый датчик FB с буферизацией. Уставка скорости изменения параметра в ед. измерения</v>
      </c>
      <c r="S45" s="372"/>
      <c r="U45" s="773"/>
      <c r="V45" s="4"/>
      <c r="W45" s="773"/>
      <c r="X45" s="4"/>
    </row>
    <row r="46" spans="1:24">
      <c r="A46" s="4" t="str">
        <f>SUBSTITUTE($V$2,"\","|")&amp;"|STSX"</f>
        <v>TT_VOS|STSX</v>
      </c>
      <c r="B46" t="s">
        <v>78</v>
      </c>
      <c r="F46">
        <v>0</v>
      </c>
      <c r="G46" t="s">
        <v>71</v>
      </c>
      <c r="H46">
        <v>0</v>
      </c>
      <c r="I46" t="s">
        <v>76</v>
      </c>
      <c r="J46" t="s">
        <v>73</v>
      </c>
      <c r="K46">
        <v>0</v>
      </c>
      <c r="M46">
        <v>1</v>
      </c>
      <c r="P46" s="4"/>
      <c r="Q46" s="4"/>
      <c r="R46" t="str">
        <f>IF($U$2=TRUE,$W$2&amp;". Задержка срабатывания уставок","Задержка срабатывания уставок")</f>
        <v>Аналоговый датчик FB с буферизацией. Задержка срабатывания уставок</v>
      </c>
      <c r="S46" s="372"/>
      <c r="U46" s="773"/>
      <c r="V46" s="4"/>
      <c r="W46" s="773"/>
      <c r="X46" s="4"/>
    </row>
    <row r="47" spans="1:24">
      <c r="A47" s="4" t="str">
        <f>SUBSTITUTE($V$2,"\","|")&amp;"|STYP"</f>
        <v>TT_VOS|STYP</v>
      </c>
      <c r="B47" s="4" t="s">
        <v>78</v>
      </c>
      <c r="F47" s="52">
        <f>$X$2</f>
        <v>0</v>
      </c>
      <c r="G47" s="4" t="s">
        <v>71</v>
      </c>
      <c r="H47" s="4">
        <v>0</v>
      </c>
      <c r="I47" s="4" t="s">
        <v>76</v>
      </c>
      <c r="J47" s="4" t="s">
        <v>73</v>
      </c>
      <c r="K47" s="4">
        <v>0</v>
      </c>
      <c r="M47">
        <v>1</v>
      </c>
      <c r="P47" s="4"/>
      <c r="Q47" s="4"/>
      <c r="R47" t="str">
        <f>IF($U$2=TRUE,$W$2&amp;". Тип входного значения( 0-мА; 1-мВ; 2-цифровое)","Тип входного значения( 0-мА; 1-мВ; 2-цифровое)")</f>
        <v>Аналоговый датчик FB с буферизацией. Тип входного значения( 0-мА; 1-мВ; 2-цифровое)</v>
      </c>
      <c r="S47" s="372"/>
      <c r="U47" s="773"/>
      <c r="V47" s="4"/>
      <c r="W47" s="773"/>
      <c r="X47" s="4"/>
    </row>
    <row r="48" spans="1:24">
      <c r="A48" s="4" t="str">
        <f>SUBSTITUTE($V$2,"\","|")&amp;"|SZCX"</f>
        <v>TT_VOS|SZCX</v>
      </c>
      <c r="B48" t="s">
        <v>69</v>
      </c>
      <c r="F48" t="s">
        <v>70</v>
      </c>
      <c r="G48" t="s">
        <v>71</v>
      </c>
      <c r="H48">
        <v>0</v>
      </c>
      <c r="I48" t="s">
        <v>76</v>
      </c>
      <c r="J48" t="s">
        <v>73</v>
      </c>
      <c r="K48">
        <v>0</v>
      </c>
      <c r="M48">
        <v>1</v>
      </c>
      <c r="P48" s="4"/>
      <c r="Q48" s="4"/>
      <c r="R48" t="str">
        <f>IF($U$2=TRUE,$W$2&amp;". Уставка отсечки ноля в ед. измерения","Уставка отсечки ноля в ед. измерения")</f>
        <v>Аналоговый датчик FB с буферизацией. Уставка отсечки ноля в ед. измерения</v>
      </c>
      <c r="S48" s="372"/>
      <c r="U48" s="773"/>
      <c r="V48" s="4"/>
      <c r="W48" s="773"/>
      <c r="X48" s="4"/>
    </row>
    <row r="49" spans="1:24">
      <c r="A49" t="str">
        <f>SUBSTITUTE($V$2,"\","|")&amp;"|XRPX"</f>
        <v>TT_VOS|XRPX</v>
      </c>
      <c r="B49" t="s">
        <v>74</v>
      </c>
      <c r="F49" t="s">
        <v>72</v>
      </c>
      <c r="G49" t="s">
        <v>71</v>
      </c>
      <c r="H49">
        <v>0</v>
      </c>
      <c r="I49" t="s">
        <v>72</v>
      </c>
      <c r="J49" t="s">
        <v>73</v>
      </c>
      <c r="K49">
        <v>0</v>
      </c>
      <c r="M49">
        <v>1</v>
      </c>
      <c r="R49" t="str">
        <f>IF($U$2=TRUE,$W$2&amp;". Ремонт","Ремонт")</f>
        <v>Аналоговый датчик FB с буферизацией. Ремонт</v>
      </c>
      <c r="S49" s="372"/>
      <c r="U49" s="773"/>
      <c r="V49" s="4"/>
      <c r="W49" s="773"/>
      <c r="X49" s="4"/>
    </row>
    <row r="50" spans="1:24">
      <c r="A50" t="str">
        <f>SUBSTITUTE($V$2,"\","|")&amp;"|DSTX"</f>
        <v>TT_VOS|DSTX</v>
      </c>
      <c r="B50" t="s">
        <v>78</v>
      </c>
      <c r="F50">
        <v>0</v>
      </c>
      <c r="G50" t="s">
        <v>71</v>
      </c>
      <c r="H50">
        <v>0</v>
      </c>
      <c r="I50" t="s">
        <v>72</v>
      </c>
      <c r="J50" t="s">
        <v>73</v>
      </c>
      <c r="K50">
        <v>0</v>
      </c>
      <c r="M50">
        <v>1</v>
      </c>
      <c r="R50" t="str">
        <f>IF($U$2=TRUE,$W$2&amp;". Диагностика поканальная","Диагностика поканальная")</f>
        <v>Аналоговый датчик FB с буферизацией. Диагностика поканальная</v>
      </c>
      <c r="S50" s="372"/>
      <c r="U50" s="773"/>
      <c r="V50" s="4"/>
      <c r="W50" s="773"/>
      <c r="X50" s="4"/>
    </row>
    <row r="51" spans="1:24">
      <c r="A51" s="514" t="str">
        <f>"PACK_TO_INT|STATE|"&amp;SUBSTITUTE($V$2,"\","|")</f>
        <v>PACK_TO_INT|STATE|TT_VOS</v>
      </c>
      <c r="B51" s="4" t="s">
        <v>78</v>
      </c>
      <c r="F51" s="4">
        <v>0</v>
      </c>
      <c r="G51" s="4" t="s">
        <v>71</v>
      </c>
      <c r="H51" s="4">
        <v>0</v>
      </c>
      <c r="I51" s="4" t="s">
        <v>72</v>
      </c>
      <c r="J51" s="4" t="s">
        <v>73</v>
      </c>
      <c r="K51" s="514">
        <v>1</v>
      </c>
      <c r="R51" s="4"/>
    </row>
    <row r="52" spans="1:24">
      <c r="A52" s="514" t="str">
        <f>"PACK_TO_INT|FAULT|"&amp;SUBSTITUTE($V$2,"\","|")</f>
        <v>PACK_TO_INT|FAULT|TT_VOS</v>
      </c>
      <c r="B52" s="4" t="s">
        <v>78</v>
      </c>
      <c r="F52" s="4">
        <v>0</v>
      </c>
      <c r="G52" s="4" t="s">
        <v>71</v>
      </c>
      <c r="H52" s="4">
        <v>0</v>
      </c>
      <c r="I52" s="4" t="s">
        <v>72</v>
      </c>
      <c r="J52" s="4" t="s">
        <v>73</v>
      </c>
      <c r="K52" s="514">
        <v>1</v>
      </c>
      <c r="R52" s="4"/>
    </row>
    <row r="57" spans="1:24">
      <c r="A57" s="4"/>
      <c r="B57" s="4"/>
      <c r="F57" s="4"/>
      <c r="G57" s="4"/>
      <c r="H57" s="4"/>
      <c r="I57" s="4"/>
      <c r="J57" s="4"/>
      <c r="K57" s="4"/>
      <c r="M57" s="4"/>
    </row>
  </sheetData>
  <phoneticPr fontId="78" type="noConversion"/>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Лист174">
    <tabColor rgb="FF92D050"/>
  </sheetPr>
  <dimension ref="A1:AC49"/>
  <sheetViews>
    <sheetView topLeftCell="N1"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8.44140625" customWidth="1"/>
    <col min="16" max="16" width="4.6640625" customWidth="1"/>
    <col min="17" max="17" width="4.88671875" customWidth="1"/>
    <col min="18" max="18" width="65.44140625" customWidth="1"/>
    <col min="19" max="19" width="17.6640625" bestFit="1" customWidth="1"/>
    <col min="20" max="20" width="8.88671875" customWidth="1"/>
    <col min="21" max="21" width="34" bestFit="1" customWidth="1"/>
    <col min="22" max="22" width="16.6640625" customWidth="1"/>
    <col min="23" max="23" width="30" customWidth="1"/>
    <col min="24" max="29" width="16.6640625" customWidth="1"/>
    <col min="30" max="30" width="18.44140625" customWidth="1"/>
  </cols>
  <sheetData>
    <row r="1" spans="1:29">
      <c r="A1" s="10"/>
      <c r="B1" s="10"/>
      <c r="F1" s="10"/>
      <c r="G1" s="10"/>
      <c r="H1" s="10"/>
      <c r="I1" s="10"/>
      <c r="J1" s="10"/>
      <c r="K1" s="10"/>
      <c r="M1" s="10"/>
      <c r="N1" s="10"/>
      <c r="O1" s="10"/>
      <c r="P1" s="10"/>
      <c r="Q1" s="10"/>
      <c r="R1" s="10"/>
      <c r="S1" s="54" t="s">
        <v>1471</v>
      </c>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43.2">
      <c r="A2" s="10"/>
      <c r="B2" s="10"/>
      <c r="F2" s="10"/>
      <c r="G2" s="10"/>
      <c r="H2" s="10"/>
      <c r="I2" s="10"/>
      <c r="J2" s="10"/>
      <c r="K2" s="10"/>
      <c r="M2" s="10"/>
      <c r="N2" s="10"/>
      <c r="O2" s="10"/>
      <c r="P2" s="10"/>
      <c r="Q2" s="10"/>
      <c r="R2" s="10"/>
      <c r="S2" s="3">
        <f>Настройки!$M$32</f>
        <v>65500</v>
      </c>
      <c r="U2" s="74" t="b">
        <f>Настройки!$M$34</f>
        <v>1</v>
      </c>
      <c r="V2" s="73" t="s">
        <v>244</v>
      </c>
      <c r="W2" s="537" t="s">
        <v>1812</v>
      </c>
      <c r="X2" s="73" t="s">
        <v>618</v>
      </c>
      <c r="Y2" s="73"/>
      <c r="Z2" s="73"/>
      <c r="AA2" s="74"/>
      <c r="AB2" s="74"/>
      <c r="AC2" s="74"/>
    </row>
    <row r="3" spans="1:29">
      <c r="A3" s="514" t="str">
        <f>SUBSTITUTE($V$2,"\","|")</f>
        <v>KTP_T_v_KTP</v>
      </c>
      <c r="B3" s="513" t="str">
        <f>IF($X$2="INT","I","R")</f>
        <v>I</v>
      </c>
      <c r="F3" s="52" t="str">
        <f>IF($X$2="INT","0","0.000000")</f>
        <v>0</v>
      </c>
      <c r="G3" t="s">
        <v>71</v>
      </c>
      <c r="H3">
        <v>0</v>
      </c>
      <c r="I3" t="s">
        <v>72</v>
      </c>
      <c r="J3" t="s">
        <v>73</v>
      </c>
      <c r="K3" s="514" t="str">
        <f>IF($X$2="INT","1","2")</f>
        <v>1</v>
      </c>
      <c r="M3">
        <v>1</v>
      </c>
      <c r="N3" t="s">
        <v>1697</v>
      </c>
      <c r="O3" s="52">
        <f>$S$2</f>
        <v>65500</v>
      </c>
      <c r="P3">
        <v>1</v>
      </c>
      <c r="Q3">
        <v>1</v>
      </c>
      <c r="R3" t="str">
        <f>IF($U$2=TRUE,$W$2&amp;". Выходное значение","Выходное значение")</f>
        <v>Аналоговый сигнал (уставки и ремонт в INFINITY) с буферизацией. Выходное значение</v>
      </c>
      <c r="S3" s="372"/>
      <c r="U3" s="773"/>
      <c r="V3" s="4"/>
      <c r="W3" s="773"/>
      <c r="X3" s="4"/>
    </row>
    <row r="4" spans="1:29">
      <c r="B4" s="372"/>
      <c r="W4" s="4"/>
    </row>
    <row r="5" spans="1:29">
      <c r="B5" s="372"/>
    </row>
    <row r="10" spans="1:29">
      <c r="A10" s="4"/>
      <c r="B10" s="4"/>
      <c r="F10" s="4"/>
      <c r="G10" s="4"/>
      <c r="H10" s="4"/>
      <c r="I10" s="4"/>
      <c r="J10" s="4"/>
      <c r="K10" s="4"/>
      <c r="M10" s="4"/>
      <c r="W10" s="4"/>
    </row>
    <row r="29" spans="1:13">
      <c r="A29" s="4"/>
      <c r="B29" s="4"/>
      <c r="F29" s="4"/>
      <c r="G29" s="4"/>
      <c r="H29" s="4"/>
      <c r="I29" s="4"/>
      <c r="J29" s="4"/>
      <c r="K29" s="4"/>
      <c r="M29" s="4"/>
    </row>
    <row r="30" spans="1:13">
      <c r="A30" s="4"/>
      <c r="B30" s="4"/>
      <c r="F30" s="4"/>
      <c r="G30" s="4"/>
      <c r="H30" s="4"/>
      <c r="I30" s="4"/>
      <c r="J30" s="4"/>
      <c r="K30" s="4"/>
      <c r="M30" s="4"/>
    </row>
    <row r="31" spans="1:13">
      <c r="A31" s="4"/>
      <c r="B31" s="4"/>
      <c r="F31" s="4"/>
      <c r="G31" s="4"/>
      <c r="H31" s="4"/>
      <c r="I31" s="4"/>
      <c r="J31" s="4"/>
      <c r="K31" s="4"/>
      <c r="M31" s="4"/>
    </row>
    <row r="32" spans="1:13">
      <c r="A32" s="4"/>
      <c r="B32" s="4"/>
      <c r="F32" s="4"/>
      <c r="G32" s="4"/>
      <c r="H32" s="4"/>
      <c r="I32" s="4"/>
      <c r="J32" s="4"/>
      <c r="K32" s="4"/>
      <c r="M32" s="4"/>
    </row>
    <row r="33" spans="1:23">
      <c r="A33" s="4"/>
      <c r="B33" s="4"/>
      <c r="F33" s="4"/>
      <c r="G33" s="4"/>
      <c r="H33" s="4"/>
      <c r="I33" s="4"/>
      <c r="J33" s="4"/>
      <c r="K33" s="4"/>
      <c r="M33" s="4"/>
    </row>
    <row r="34" spans="1:23">
      <c r="A34" s="4"/>
      <c r="B34" s="4"/>
      <c r="F34" s="4"/>
      <c r="G34" s="4"/>
      <c r="H34" s="4"/>
      <c r="I34" s="4"/>
      <c r="J34" s="4"/>
      <c r="K34" s="4"/>
      <c r="M34" s="4"/>
    </row>
    <row r="35" spans="1:23">
      <c r="A35" s="4"/>
      <c r="B35" s="4"/>
      <c r="F35" s="4"/>
      <c r="G35" s="4"/>
      <c r="H35" s="4"/>
      <c r="I35" s="4"/>
      <c r="J35" s="4"/>
      <c r="K35" s="4"/>
      <c r="M35" s="4"/>
    </row>
    <row r="36" spans="1:23">
      <c r="A36" s="4"/>
      <c r="B36" s="4"/>
      <c r="F36" s="4"/>
      <c r="G36" s="4"/>
      <c r="H36" s="4"/>
      <c r="I36" s="4"/>
      <c r="J36" s="4"/>
      <c r="K36" s="4"/>
      <c r="M36" s="4"/>
    </row>
    <row r="37" spans="1:23">
      <c r="A37" s="4"/>
      <c r="B37" s="4"/>
      <c r="F37" s="4"/>
      <c r="G37" s="4"/>
      <c r="H37" s="4"/>
      <c r="I37" s="4"/>
      <c r="J37" s="4"/>
      <c r="K37" s="4"/>
      <c r="M37" s="4"/>
    </row>
    <row r="38" spans="1:23">
      <c r="A38" s="4"/>
      <c r="B38" s="4"/>
      <c r="F38" s="4"/>
      <c r="G38" s="4"/>
      <c r="H38" s="4"/>
      <c r="I38" s="4"/>
      <c r="J38" s="4"/>
      <c r="K38" s="4"/>
      <c r="M38" s="4"/>
    </row>
    <row r="39" spans="1:23">
      <c r="A39" s="4"/>
      <c r="B39" s="4"/>
      <c r="F39" s="4"/>
      <c r="G39" s="4"/>
      <c r="H39" s="4"/>
      <c r="I39" s="4"/>
      <c r="J39" s="4"/>
      <c r="K39" s="4"/>
      <c r="M39" s="4"/>
    </row>
    <row r="40" spans="1:23">
      <c r="A40" s="4"/>
      <c r="B40" s="4"/>
      <c r="F40" s="4"/>
      <c r="G40" s="4"/>
      <c r="H40" s="4"/>
      <c r="I40" s="4"/>
      <c r="J40" s="4"/>
      <c r="K40" s="4"/>
      <c r="M40" s="4"/>
      <c r="W40" s="4"/>
    </row>
    <row r="41" spans="1:23">
      <c r="A41" s="4"/>
      <c r="B41" s="4"/>
      <c r="F41" s="4"/>
      <c r="G41" s="4"/>
      <c r="H41" s="4"/>
      <c r="I41" s="4"/>
      <c r="J41" s="4"/>
      <c r="K41" s="4"/>
      <c r="M41" s="4"/>
      <c r="W41" s="4"/>
    </row>
    <row r="42" spans="1:23">
      <c r="W42" s="4"/>
    </row>
    <row r="43" spans="1:23">
      <c r="W43" s="4"/>
    </row>
    <row r="44" spans="1:23">
      <c r="W44" s="4"/>
    </row>
    <row r="45" spans="1:23">
      <c r="W45" s="4"/>
    </row>
    <row r="46" spans="1:23">
      <c r="W46" s="4"/>
    </row>
    <row r="47" spans="1:23">
      <c r="W47" s="4"/>
    </row>
    <row r="48" spans="1:23">
      <c r="W48" s="4"/>
    </row>
    <row r="49" spans="23:23">
      <c r="W49" s="4"/>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Лист177">
    <tabColor rgb="FF92D050"/>
  </sheetPr>
  <dimension ref="A1:AC49"/>
  <sheetViews>
    <sheetView topLeftCell="F1"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7.88671875" customWidth="1"/>
    <col min="16" max="16" width="4.6640625" customWidth="1"/>
    <col min="17" max="17" width="4.88671875" customWidth="1"/>
    <col min="18" max="18" width="65.44140625" customWidth="1"/>
    <col min="19" max="19" width="17.6640625" bestFit="1" customWidth="1"/>
    <col min="20" max="20" width="8.88671875" customWidth="1"/>
    <col min="21" max="21" width="34" bestFit="1" customWidth="1"/>
    <col min="22" max="22" width="16.6640625" customWidth="1"/>
    <col min="23" max="23" width="30" customWidth="1"/>
    <col min="24" max="29" width="16.6640625" customWidth="1"/>
    <col min="30" max="30" width="18.88671875" customWidth="1"/>
  </cols>
  <sheetData>
    <row r="1" spans="1:29">
      <c r="A1" s="10"/>
      <c r="B1" s="10"/>
      <c r="F1" s="10"/>
      <c r="G1" s="10"/>
      <c r="H1" s="10"/>
      <c r="I1" s="10"/>
      <c r="J1" s="10"/>
      <c r="K1" s="10"/>
      <c r="M1" s="10"/>
      <c r="N1" s="10"/>
      <c r="O1" s="10"/>
      <c r="P1" s="10"/>
      <c r="Q1" s="10"/>
      <c r="R1" s="10"/>
      <c r="S1" s="54" t="s">
        <v>1471</v>
      </c>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43.2">
      <c r="A2" s="10"/>
      <c r="B2" s="10"/>
      <c r="F2" s="10"/>
      <c r="G2" s="10"/>
      <c r="H2" s="10"/>
      <c r="I2" s="10"/>
      <c r="J2" s="10"/>
      <c r="K2" s="10"/>
      <c r="M2" s="10"/>
      <c r="N2" s="10"/>
      <c r="O2" s="10"/>
      <c r="P2" s="10"/>
      <c r="Q2" s="10"/>
      <c r="R2" s="10"/>
      <c r="S2" s="3">
        <f>Настройки!$M$32</f>
        <v>65500</v>
      </c>
      <c r="U2" s="74" t="b">
        <f>Настройки!$M$34</f>
        <v>1</v>
      </c>
      <c r="V2" s="73" t="s">
        <v>1744</v>
      </c>
      <c r="W2" s="537" t="s">
        <v>1816</v>
      </c>
      <c r="X2" s="73" t="s">
        <v>618</v>
      </c>
      <c r="Y2" s="73"/>
      <c r="Z2" s="73"/>
      <c r="AA2" s="74"/>
      <c r="AB2" s="74"/>
      <c r="AC2" s="74"/>
    </row>
    <row r="3" spans="1:29">
      <c r="A3" s="514" t="str">
        <f>SUBSTITUTE($V$2,"\","|")</f>
        <v>AI_SLIM</v>
      </c>
      <c r="B3" s="513" t="str">
        <f>IF($X$2="INT","I","R")</f>
        <v>I</v>
      </c>
      <c r="F3" s="52" t="str">
        <f>IF($X$2="INT","0","0.000000")</f>
        <v>0</v>
      </c>
      <c r="G3" t="s">
        <v>71</v>
      </c>
      <c r="H3">
        <v>0</v>
      </c>
      <c r="I3" t="s">
        <v>72</v>
      </c>
      <c r="J3" t="s">
        <v>73</v>
      </c>
      <c r="K3" s="514" t="str">
        <f>IF($X$2="INT","1","2")</f>
        <v>1</v>
      </c>
      <c r="M3">
        <v>1</v>
      </c>
      <c r="N3" t="s">
        <v>1697</v>
      </c>
      <c r="O3" s="52">
        <f>$S$2</f>
        <v>65500</v>
      </c>
      <c r="P3">
        <v>1</v>
      </c>
      <c r="Q3">
        <v>1</v>
      </c>
      <c r="R3" t="str">
        <f>IF($U$2=TRUE,$W$2&amp;". Выходное значение","Выходное значение")</f>
        <v>Аналоговый сигнал облегченный (только один сигнал) с буферизацией. Выходное значение</v>
      </c>
      <c r="S3" s="372"/>
      <c r="U3" s="773"/>
      <c r="V3" s="4"/>
      <c r="W3" s="773"/>
      <c r="X3" s="4"/>
    </row>
    <row r="4" spans="1:29">
      <c r="B4" s="372"/>
      <c r="W4" s="4"/>
    </row>
    <row r="5" spans="1:29">
      <c r="B5" s="372"/>
    </row>
    <row r="10" spans="1:29">
      <c r="A10" s="4"/>
      <c r="B10" s="4"/>
      <c r="F10" s="4"/>
      <c r="G10" s="4"/>
      <c r="H10" s="4"/>
      <c r="I10" s="4"/>
      <c r="J10" s="4"/>
      <c r="K10" s="4"/>
      <c r="M10" s="4"/>
      <c r="W10" s="4"/>
    </row>
    <row r="29" spans="1:13">
      <c r="A29" s="4"/>
      <c r="B29" s="4"/>
      <c r="F29" s="4"/>
      <c r="G29" s="4"/>
      <c r="H29" s="4"/>
      <c r="I29" s="4"/>
      <c r="J29" s="4"/>
      <c r="K29" s="4"/>
      <c r="M29" s="4"/>
    </row>
    <row r="30" spans="1:13">
      <c r="A30" s="4"/>
      <c r="B30" s="4"/>
      <c r="F30" s="4"/>
      <c r="G30" s="4"/>
      <c r="H30" s="4"/>
      <c r="I30" s="4"/>
      <c r="J30" s="4"/>
      <c r="K30" s="4"/>
      <c r="M30" s="4"/>
    </row>
    <row r="31" spans="1:13">
      <c r="A31" s="4"/>
      <c r="B31" s="4"/>
      <c r="F31" s="4"/>
      <c r="G31" s="4"/>
      <c r="H31" s="4"/>
      <c r="I31" s="4"/>
      <c r="J31" s="4"/>
      <c r="K31" s="4"/>
      <c r="M31" s="4"/>
    </row>
    <row r="32" spans="1:13">
      <c r="A32" s="4"/>
      <c r="B32" s="4"/>
      <c r="F32" s="4"/>
      <c r="G32" s="4"/>
      <c r="H32" s="4"/>
      <c r="I32" s="4"/>
      <c r="J32" s="4"/>
      <c r="K32" s="4"/>
      <c r="M32" s="4"/>
    </row>
    <row r="33" spans="1:23">
      <c r="A33" s="4"/>
      <c r="B33" s="4"/>
      <c r="F33" s="4"/>
      <c r="G33" s="4"/>
      <c r="H33" s="4"/>
      <c r="I33" s="4"/>
      <c r="J33" s="4"/>
      <c r="K33" s="4"/>
      <c r="M33" s="4"/>
    </row>
    <row r="34" spans="1:23">
      <c r="A34" s="4"/>
      <c r="B34" s="4"/>
      <c r="F34" s="4"/>
      <c r="G34" s="4"/>
      <c r="H34" s="4"/>
      <c r="I34" s="4"/>
      <c r="J34" s="4"/>
      <c r="K34" s="4"/>
      <c r="M34" s="4"/>
    </row>
    <row r="35" spans="1:23">
      <c r="A35" s="4"/>
      <c r="B35" s="4"/>
      <c r="F35" s="4"/>
      <c r="G35" s="4"/>
      <c r="H35" s="4"/>
      <c r="I35" s="4"/>
      <c r="J35" s="4"/>
      <c r="K35" s="4"/>
      <c r="M35" s="4"/>
    </row>
    <row r="36" spans="1:23">
      <c r="A36" s="4"/>
      <c r="B36" s="4"/>
      <c r="F36" s="4"/>
      <c r="G36" s="4"/>
      <c r="H36" s="4"/>
      <c r="I36" s="4"/>
      <c r="J36" s="4"/>
      <c r="K36" s="4"/>
      <c r="M36" s="4"/>
    </row>
    <row r="37" spans="1:23">
      <c r="A37" s="4"/>
      <c r="B37" s="4"/>
      <c r="F37" s="4"/>
      <c r="G37" s="4"/>
      <c r="H37" s="4"/>
      <c r="I37" s="4"/>
      <c r="J37" s="4"/>
      <c r="K37" s="4"/>
      <c r="M37" s="4"/>
    </row>
    <row r="38" spans="1:23">
      <c r="A38" s="4"/>
      <c r="B38" s="4"/>
      <c r="F38" s="4"/>
      <c r="G38" s="4"/>
      <c r="H38" s="4"/>
      <c r="I38" s="4"/>
      <c r="J38" s="4"/>
      <c r="K38" s="4"/>
      <c r="M38" s="4"/>
    </row>
    <row r="39" spans="1:23">
      <c r="A39" s="4"/>
      <c r="B39" s="4"/>
      <c r="F39" s="4"/>
      <c r="G39" s="4"/>
      <c r="H39" s="4"/>
      <c r="I39" s="4"/>
      <c r="J39" s="4"/>
      <c r="K39" s="4"/>
      <c r="M39" s="4"/>
    </row>
    <row r="40" spans="1:23">
      <c r="A40" s="4"/>
      <c r="B40" s="4"/>
      <c r="F40" s="4"/>
      <c r="G40" s="4"/>
      <c r="H40" s="4"/>
      <c r="I40" s="4"/>
      <c r="J40" s="4"/>
      <c r="K40" s="4"/>
      <c r="M40" s="4"/>
      <c r="W40" s="4"/>
    </row>
    <row r="41" spans="1:23">
      <c r="A41" s="4"/>
      <c r="B41" s="4"/>
      <c r="F41" s="4"/>
      <c r="G41" s="4"/>
      <c r="H41" s="4"/>
      <c r="I41" s="4"/>
      <c r="J41" s="4"/>
      <c r="K41" s="4"/>
      <c r="M41" s="4"/>
      <c r="W41" s="4"/>
    </row>
    <row r="42" spans="1:23">
      <c r="W42" s="4"/>
    </row>
    <row r="43" spans="1:23">
      <c r="W43" s="4"/>
    </row>
    <row r="44" spans="1:23">
      <c r="W44" s="4"/>
    </row>
    <row r="45" spans="1:23">
      <c r="W45" s="4"/>
    </row>
    <row r="46" spans="1:23">
      <c r="W46" s="4"/>
    </row>
    <row r="47" spans="1:23">
      <c r="W47" s="4"/>
    </row>
    <row r="48" spans="1:23">
      <c r="W48" s="4"/>
    </row>
    <row r="49" spans="23:23">
      <c r="W49" s="4"/>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codeName="Лист160">
    <tabColor rgb="FF92D050"/>
  </sheetPr>
  <dimension ref="A1:AC49"/>
  <sheetViews>
    <sheetView topLeftCell="I1"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6" bestFit="1" customWidth="1"/>
    <col min="16" max="16" width="4.6640625" customWidth="1"/>
    <col min="17" max="17" width="4.88671875" customWidth="1"/>
    <col min="18" max="18" width="65.44140625" customWidth="1"/>
    <col min="19" max="19" width="17.6640625" bestFit="1" customWidth="1"/>
    <col min="20" max="20" width="8.88671875" customWidth="1"/>
    <col min="21" max="21" width="34" bestFit="1" customWidth="1"/>
    <col min="22" max="22" width="16.6640625" customWidth="1"/>
    <col min="23" max="23" width="30" customWidth="1"/>
    <col min="24" max="29" width="16.6640625" customWidth="1"/>
    <col min="30" max="30" width="18" customWidth="1"/>
  </cols>
  <sheetData>
    <row r="1" spans="1:29">
      <c r="A1" s="10"/>
      <c r="B1" s="10"/>
      <c r="F1" s="10"/>
      <c r="G1" s="10"/>
      <c r="H1" s="10"/>
      <c r="I1" s="10"/>
      <c r="J1" s="10"/>
      <c r="K1" s="10"/>
      <c r="M1" s="10"/>
      <c r="N1" s="10"/>
      <c r="O1" s="10"/>
      <c r="P1" s="10"/>
      <c r="Q1" s="10"/>
      <c r="R1" s="10"/>
      <c r="S1" s="54" t="s">
        <v>1471</v>
      </c>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15" customHeight="1">
      <c r="A2" s="10"/>
      <c r="B2" s="10"/>
      <c r="F2" s="10"/>
      <c r="G2" s="10"/>
      <c r="H2" s="10"/>
      <c r="I2" s="10"/>
      <c r="J2" s="10"/>
      <c r="K2" s="10"/>
      <c r="M2" s="10"/>
      <c r="N2" s="10"/>
      <c r="O2" s="10"/>
      <c r="P2" s="10"/>
      <c r="Q2" s="10"/>
      <c r="R2" s="10"/>
      <c r="S2" s="3">
        <f>Настройки!$M$32</f>
        <v>65500</v>
      </c>
      <c r="U2" s="74" t="b">
        <f>Настройки!$M$34</f>
        <v>1</v>
      </c>
      <c r="V2" s="73" t="s">
        <v>1397</v>
      </c>
      <c r="W2" s="537" t="s">
        <v>1790</v>
      </c>
      <c r="X2" s="73">
        <v>2</v>
      </c>
      <c r="Y2" s="73" t="s">
        <v>72</v>
      </c>
      <c r="Z2" s="73"/>
      <c r="AA2" s="74"/>
      <c r="AB2" s="74"/>
      <c r="AC2" s="74"/>
    </row>
    <row r="3" spans="1:29">
      <c r="A3" t="str">
        <f>SUBSTITUTE($V$2,"\","|")&amp;"|XVLX"</f>
        <v>AVR_OK|XVLX</v>
      </c>
      <c r="B3" t="s">
        <v>74</v>
      </c>
      <c r="F3" t="s">
        <v>72</v>
      </c>
      <c r="G3" t="s">
        <v>71</v>
      </c>
      <c r="H3">
        <v>0</v>
      </c>
      <c r="I3" t="s">
        <v>72</v>
      </c>
      <c r="J3" t="s">
        <v>69</v>
      </c>
      <c r="K3">
        <v>0</v>
      </c>
      <c r="M3">
        <v>1</v>
      </c>
      <c r="N3" t="s">
        <v>1697</v>
      </c>
      <c r="O3" s="52">
        <f>$S$2</f>
        <v>65500</v>
      </c>
      <c r="R3" t="str">
        <f>IF($U$2=TRUE,$W$2&amp;". Выходное значение","Выходное значение")</f>
        <v>Дискретный датчик FB с буферизацией. Выходное значение</v>
      </c>
      <c r="S3" s="372"/>
      <c r="U3" s="773"/>
      <c r="V3" s="4"/>
      <c r="W3" s="773"/>
      <c r="X3" s="4"/>
    </row>
    <row r="4" spans="1:29">
      <c r="A4" t="str">
        <f>SUBSTITUTE($V$2,"\","|")&amp;"|DVXX"</f>
        <v>AVR_OK|DVXX</v>
      </c>
      <c r="B4" t="s">
        <v>74</v>
      </c>
      <c r="F4" t="s">
        <v>72</v>
      </c>
      <c r="G4" t="s">
        <v>71</v>
      </c>
      <c r="H4">
        <v>0</v>
      </c>
      <c r="I4" t="s">
        <v>72</v>
      </c>
      <c r="J4" t="s">
        <v>69</v>
      </c>
      <c r="K4">
        <v>0</v>
      </c>
      <c r="M4">
        <v>1</v>
      </c>
      <c r="N4" t="s">
        <v>1697</v>
      </c>
      <c r="O4" s="52">
        <f>$S$2</f>
        <v>65500</v>
      </c>
      <c r="R4" t="str">
        <f>IF($U$2=TRUE,$W$2&amp;". Недостоверное входное значение","Недостоверное входное значение")</f>
        <v>Дискретный датчик FB с буферизацией. Недостоверное входное значение</v>
      </c>
      <c r="S4" s="372"/>
      <c r="U4" s="773"/>
      <c r="V4" s="4"/>
      <c r="W4" s="773"/>
      <c r="X4" s="4"/>
    </row>
    <row r="5" spans="1:29">
      <c r="A5" t="str">
        <f>SUBSTITUTE($V$2,"\","|")&amp;"|XDAX"</f>
        <v>AVR_OK|XDAX</v>
      </c>
      <c r="B5" t="s">
        <v>74</v>
      </c>
      <c r="F5" t="s">
        <v>72</v>
      </c>
      <c r="G5" t="s">
        <v>71</v>
      </c>
      <c r="H5">
        <v>0</v>
      </c>
      <c r="I5" t="s">
        <v>72</v>
      </c>
      <c r="J5" t="s">
        <v>69</v>
      </c>
      <c r="K5">
        <v>0</v>
      </c>
      <c r="M5">
        <v>1</v>
      </c>
      <c r="N5" t="s">
        <v>1697</v>
      </c>
      <c r="O5" s="52">
        <f>$S$2</f>
        <v>65500</v>
      </c>
      <c r="R5" t="str">
        <f>IF($U$2=TRUE,$W$2&amp;". Выведен из алгоритма","Выведен из алгоритма")</f>
        <v>Дискретный датчик FB с буферизацией. Выведен из алгоритма</v>
      </c>
      <c r="S5" s="372"/>
      <c r="U5" s="773"/>
      <c r="V5" s="4"/>
      <c r="W5" s="773"/>
      <c r="X5" s="4"/>
    </row>
    <row r="6" spans="1:29">
      <c r="A6" t="str">
        <f>SUBSTITUTE($V$2,"\","|")&amp;"|BVLS"</f>
        <v>AVR_OK|BVLS</v>
      </c>
      <c r="B6" t="s">
        <v>74</v>
      </c>
      <c r="F6" t="s">
        <v>72</v>
      </c>
      <c r="G6" t="s">
        <v>71</v>
      </c>
      <c r="H6">
        <v>0</v>
      </c>
      <c r="I6" t="s">
        <v>72</v>
      </c>
      <c r="J6" t="s">
        <v>73</v>
      </c>
      <c r="K6">
        <v>0</v>
      </c>
      <c r="M6">
        <v>1</v>
      </c>
      <c r="N6" t="s">
        <v>1697</v>
      </c>
      <c r="O6" s="52">
        <f>$S$2</f>
        <v>65500</v>
      </c>
      <c r="R6" t="str">
        <f>IF($U$2=TRUE,$W$2&amp;". Блокировка","Блокировка")</f>
        <v>Дискретный датчик FB с буферизацией. Блокировка</v>
      </c>
      <c r="S6" s="372"/>
      <c r="U6" s="773"/>
      <c r="V6" s="4"/>
      <c r="W6" s="773"/>
      <c r="X6" s="4"/>
    </row>
    <row r="7" spans="1:29">
      <c r="A7" s="515" t="str">
        <f>SUBSTITUTE($V$2,"\","|")&amp;"|CIMX"</f>
        <v>AVR_OK|CIMX</v>
      </c>
      <c r="B7" t="s">
        <v>74</v>
      </c>
      <c r="F7" t="s">
        <v>72</v>
      </c>
      <c r="G7" t="s">
        <v>71</v>
      </c>
      <c r="H7">
        <v>0</v>
      </c>
      <c r="I7" t="s">
        <v>76</v>
      </c>
      <c r="J7" t="s">
        <v>73</v>
      </c>
      <c r="K7" s="515" t="s">
        <v>1383</v>
      </c>
      <c r="M7">
        <v>1</v>
      </c>
      <c r="R7" t="str">
        <f>IF($U$2=TRUE,$W$2&amp;". Активация для имитации","Активация для имитации")</f>
        <v>Дискретный датчик FB с буферизацией. Активация для имитации</v>
      </c>
      <c r="S7" s="372"/>
      <c r="U7" s="773"/>
      <c r="V7" s="4"/>
      <c r="W7" s="773"/>
      <c r="X7" s="4"/>
    </row>
    <row r="8" spans="1:29">
      <c r="A8" s="515" t="str">
        <f>SUBSTITUTE($V$2,"\","|")&amp;"|SIMX"</f>
        <v>AVR_OK|SIMX</v>
      </c>
      <c r="B8" t="s">
        <v>74</v>
      </c>
      <c r="F8" t="s">
        <v>72</v>
      </c>
      <c r="G8" t="s">
        <v>71</v>
      </c>
      <c r="H8">
        <v>0</v>
      </c>
      <c r="I8" t="s">
        <v>76</v>
      </c>
      <c r="J8" t="s">
        <v>73</v>
      </c>
      <c r="K8" s="515" t="s">
        <v>1383</v>
      </c>
      <c r="M8">
        <v>1</v>
      </c>
      <c r="R8" t="str">
        <f>IF($U$2=TRUE,$W$2&amp;". Задание для имитации","Задание для имитации")</f>
        <v>Дискретный датчик FB с буферизацией. Задание для имитации</v>
      </c>
      <c r="S8" s="372"/>
      <c r="U8" s="773"/>
      <c r="V8" s="4"/>
      <c r="W8" s="773"/>
      <c r="X8" s="4"/>
    </row>
    <row r="9" spans="1:29">
      <c r="A9" s="515" t="str">
        <f>SUBSTITUTE($V$2,"\","|")&amp;"|CDAX"</f>
        <v>AVR_OK|CDAX</v>
      </c>
      <c r="B9" t="s">
        <v>74</v>
      </c>
      <c r="F9" t="s">
        <v>72</v>
      </c>
      <c r="G9" t="s">
        <v>71</v>
      </c>
      <c r="H9">
        <v>0</v>
      </c>
      <c r="I9" t="s">
        <v>76</v>
      </c>
      <c r="J9" t="s">
        <v>73</v>
      </c>
      <c r="K9" s="515" t="s">
        <v>1383</v>
      </c>
      <c r="M9">
        <v>1</v>
      </c>
      <c r="R9" t="str">
        <f>IF($U$2=TRUE,$W$2&amp;". Команда вывести из алгоритма","Команда вывести из алгоритма")</f>
        <v>Дискретный датчик FB с буферизацией. Команда вывести из алгоритма</v>
      </c>
      <c r="S9" s="372"/>
      <c r="U9" s="773"/>
      <c r="V9" s="4"/>
      <c r="W9" s="773"/>
      <c r="X9" s="4"/>
    </row>
    <row r="10" spans="1:29">
      <c r="A10" s="515" t="str">
        <f>SUBSTITUTE($V$2,"\","|")&amp;"|CRPX"</f>
        <v>AVR_OK|CRPX</v>
      </c>
      <c r="B10" t="s">
        <v>74</v>
      </c>
      <c r="F10" t="s">
        <v>72</v>
      </c>
      <c r="G10" t="s">
        <v>71</v>
      </c>
      <c r="H10">
        <v>0</v>
      </c>
      <c r="I10" t="s">
        <v>76</v>
      </c>
      <c r="J10" t="s">
        <v>73</v>
      </c>
      <c r="K10" s="515" t="s">
        <v>1383</v>
      </c>
      <c r="M10">
        <v>1</v>
      </c>
      <c r="R10" t="str">
        <f>IF($U$2=TRUE,$W$2&amp;". Команда ремонт","Команда ремонт")</f>
        <v>Дискретный датчик FB с буферизацией. Команда ремонт</v>
      </c>
      <c r="S10" s="372"/>
      <c r="U10" s="773"/>
      <c r="V10" s="4"/>
      <c r="W10" s="773"/>
      <c r="X10" s="4"/>
    </row>
    <row r="11" spans="1:29">
      <c r="A11" t="str">
        <f>SUBSTITUTE($V$2,"\","|")&amp;"|CFTX"</f>
        <v>AVR_OK|CFTX</v>
      </c>
      <c r="B11" t="s">
        <v>74</v>
      </c>
      <c r="F11" s="52" t="str">
        <f>IF($X$2&lt;&gt;0,"TRUE","FALSE")</f>
        <v>TRUE</v>
      </c>
      <c r="G11" t="s">
        <v>71</v>
      </c>
      <c r="H11">
        <v>0</v>
      </c>
      <c r="I11" t="s">
        <v>76</v>
      </c>
      <c r="J11" t="s">
        <v>73</v>
      </c>
      <c r="K11">
        <v>0</v>
      </c>
      <c r="M11">
        <v>1</v>
      </c>
      <c r="R11" t="str">
        <f>IF($U$2=TRUE,$W$2&amp;". Режим фильтрации","Режим фильтрации")</f>
        <v>Дискретный датчик FB с буферизацией. Режим фильтрации</v>
      </c>
      <c r="S11" s="372"/>
      <c r="U11" s="773"/>
      <c r="V11" s="4"/>
      <c r="W11" s="773"/>
      <c r="X11" s="4"/>
    </row>
    <row r="12" spans="1:29">
      <c r="A12" t="str">
        <f>SUBSTITUTE($V$2,"\","|")&amp;"|FXXX"</f>
        <v>AVR_OK|FXXX</v>
      </c>
      <c r="B12" t="s">
        <v>74</v>
      </c>
      <c r="F12" t="s">
        <v>72</v>
      </c>
      <c r="G12" t="s">
        <v>71</v>
      </c>
      <c r="H12">
        <v>0</v>
      </c>
      <c r="I12" t="s">
        <v>72</v>
      </c>
      <c r="J12" t="s">
        <v>69</v>
      </c>
      <c r="K12">
        <v>0</v>
      </c>
      <c r="M12">
        <v>1</v>
      </c>
      <c r="R12" t="str">
        <f>IF($U$2=TRUE,$W$2&amp;". Обобщённая неисправность","Обобщённая неисправность")</f>
        <v>Дискретный датчик FB с буферизацией. Обобщённая неисправность</v>
      </c>
      <c r="S12" s="372"/>
      <c r="U12" s="773"/>
      <c r="V12" s="4"/>
      <c r="W12" s="773"/>
      <c r="X12" s="4"/>
    </row>
    <row r="13" spans="1:29">
      <c r="A13" t="str">
        <f>SUBSTITUTE($V$2,"\","|")&amp;"|IVXX"</f>
        <v>AVR_OK|IVXX</v>
      </c>
      <c r="B13" t="s">
        <v>74</v>
      </c>
      <c r="F13" t="s">
        <v>72</v>
      </c>
      <c r="G13" t="s">
        <v>71</v>
      </c>
      <c r="H13">
        <v>0</v>
      </c>
      <c r="I13" t="s">
        <v>72</v>
      </c>
      <c r="J13" t="s">
        <v>69</v>
      </c>
      <c r="K13">
        <v>0</v>
      </c>
      <c r="M13">
        <v>1</v>
      </c>
      <c r="R13" t="str">
        <f>IF($U$2=TRUE,$W$2&amp;". Входное значение","Входное значение")</f>
        <v>Дискретный датчик FB с буферизацией. Входное значение</v>
      </c>
      <c r="S13" s="372"/>
      <c r="U13" s="773"/>
      <c r="V13" s="4"/>
      <c r="W13" s="773"/>
      <c r="X13" s="4"/>
    </row>
    <row r="14" spans="1:29">
      <c r="A14" t="str">
        <f>SUBSTITUTE($V$2,"\","|")&amp;"|SFTX"</f>
        <v>AVR_OK|SFTX</v>
      </c>
      <c r="B14" t="s">
        <v>78</v>
      </c>
      <c r="F14" s="52">
        <f>$X$2</f>
        <v>2</v>
      </c>
      <c r="G14" t="s">
        <v>71</v>
      </c>
      <c r="H14">
        <v>0</v>
      </c>
      <c r="I14" t="s">
        <v>76</v>
      </c>
      <c r="J14" t="s">
        <v>73</v>
      </c>
      <c r="K14">
        <v>0</v>
      </c>
      <c r="M14">
        <v>1</v>
      </c>
      <c r="R14" t="str">
        <f>IF($U$2=TRUE,$W$2&amp;". Время фильтрации","Время фильтрации")</f>
        <v>Дискретный датчик FB с буферизацией. Время фильтрации</v>
      </c>
      <c r="S14" s="372"/>
      <c r="U14" s="773"/>
      <c r="V14" s="4"/>
      <c r="W14" s="773"/>
      <c r="X14" s="4"/>
    </row>
    <row r="15" spans="1:29">
      <c r="A15" t="str">
        <f>SUBSTITUTE($V$2,"\","|")&amp;"|XRPX"</f>
        <v>AVR_OK|XRPX</v>
      </c>
      <c r="B15" t="s">
        <v>74</v>
      </c>
      <c r="F15" t="s">
        <v>72</v>
      </c>
      <c r="G15" t="s">
        <v>71</v>
      </c>
      <c r="H15">
        <v>0</v>
      </c>
      <c r="I15" t="s">
        <v>72</v>
      </c>
      <c r="J15" t="s">
        <v>69</v>
      </c>
      <c r="K15">
        <v>0</v>
      </c>
      <c r="M15">
        <v>1</v>
      </c>
      <c r="R15" t="str">
        <f>IF($U$2=TRUE,$W$2&amp;". Выведен в ремонт","Выведен в ремонт")</f>
        <v>Дискретный датчик FB с буферизацией. Выведен в ремонт</v>
      </c>
      <c r="S15" s="372"/>
      <c r="U15" s="773"/>
      <c r="V15" s="4"/>
      <c r="W15" s="773"/>
      <c r="X15" s="4"/>
    </row>
    <row r="16" spans="1:29">
      <c r="A16" t="str">
        <f>SUBSTITUTE($V$2,"\","|")&amp;"|CRST"</f>
        <v>AVR_OK|CRST</v>
      </c>
      <c r="B16" t="s">
        <v>74</v>
      </c>
      <c r="F16" t="s">
        <v>72</v>
      </c>
      <c r="G16" t="s">
        <v>71</v>
      </c>
      <c r="H16">
        <v>0</v>
      </c>
      <c r="I16" t="s">
        <v>72</v>
      </c>
      <c r="J16" t="s">
        <v>73</v>
      </c>
      <c r="K16">
        <v>0</v>
      </c>
      <c r="M16">
        <v>1</v>
      </c>
      <c r="R16" t="str">
        <f>IF($U$2=TRUE,$W$2&amp;". Команда сброс ошибок","Команда сброс ошибок")</f>
        <v>Дискретный датчик FB с буферизацией. Команда сброс ошибок</v>
      </c>
      <c r="S16" s="372"/>
      <c r="U16" s="773"/>
      <c r="V16" s="4"/>
      <c r="W16" s="773"/>
      <c r="X16" s="4"/>
    </row>
    <row r="17" spans="1:13">
      <c r="A17" s="514" t="str">
        <f>"PACK_TO_INT|STATE|"&amp;SUBSTITUTE($V$2,"\","|")</f>
        <v>PACK_TO_INT|STATE|AVR_OK</v>
      </c>
      <c r="B17" s="4" t="s">
        <v>78</v>
      </c>
      <c r="F17" s="4">
        <v>0</v>
      </c>
      <c r="G17" s="4" t="s">
        <v>71</v>
      </c>
      <c r="H17" s="4">
        <v>0</v>
      </c>
      <c r="I17" s="4" t="s">
        <v>72</v>
      </c>
      <c r="J17" s="4" t="s">
        <v>73</v>
      </c>
      <c r="K17" s="514">
        <v>1</v>
      </c>
    </row>
    <row r="22" spans="1:13">
      <c r="A22" s="4"/>
      <c r="B22" s="4"/>
      <c r="F22" s="4"/>
      <c r="G22" s="4"/>
      <c r="H22" s="4"/>
      <c r="I22" s="4"/>
      <c r="J22" s="4"/>
      <c r="K22" s="4"/>
      <c r="M22" s="4"/>
    </row>
    <row r="29" spans="1:13">
      <c r="A29" s="4"/>
      <c r="B29" s="4"/>
      <c r="F29" s="4"/>
      <c r="G29" s="4"/>
      <c r="H29" s="4"/>
      <c r="I29" s="4"/>
      <c r="J29" s="4"/>
      <c r="K29" s="4"/>
      <c r="M29" s="4"/>
    </row>
    <row r="30" spans="1:13">
      <c r="A30" s="4"/>
      <c r="B30" s="4"/>
      <c r="F30" s="4"/>
      <c r="G30" s="4"/>
      <c r="H30" s="4"/>
      <c r="I30" s="4"/>
      <c r="J30" s="4"/>
      <c r="K30" s="4"/>
      <c r="M30" s="4"/>
    </row>
    <row r="31" spans="1:13">
      <c r="A31" s="4"/>
      <c r="B31" s="4"/>
      <c r="F31" s="4"/>
      <c r="G31" s="4"/>
      <c r="H31" s="4"/>
      <c r="I31" s="4"/>
      <c r="J31" s="4"/>
      <c r="K31" s="4"/>
      <c r="M31" s="4"/>
    </row>
    <row r="32" spans="1:13">
      <c r="A32" s="4"/>
      <c r="B32" s="4"/>
      <c r="F32" s="4"/>
      <c r="G32" s="4"/>
      <c r="H32" s="4"/>
      <c r="I32" s="4"/>
      <c r="J32" s="4"/>
      <c r="K32" s="4"/>
      <c r="M32" s="4"/>
    </row>
    <row r="33" spans="1:23">
      <c r="A33" s="4"/>
      <c r="B33" s="4"/>
      <c r="F33" s="4"/>
      <c r="G33" s="4"/>
      <c r="H33" s="4"/>
      <c r="I33" s="4"/>
      <c r="J33" s="4"/>
      <c r="K33" s="4"/>
      <c r="M33" s="4"/>
    </row>
    <row r="34" spans="1:23">
      <c r="A34" s="4"/>
      <c r="B34" s="4"/>
      <c r="F34" s="4"/>
      <c r="G34" s="4"/>
      <c r="H34" s="4"/>
      <c r="I34" s="4"/>
      <c r="J34" s="4"/>
      <c r="K34" s="4"/>
      <c r="M34" s="4"/>
    </row>
    <row r="35" spans="1:23">
      <c r="A35" s="4"/>
      <c r="B35" s="4"/>
      <c r="F35" s="4"/>
      <c r="G35" s="4"/>
      <c r="H35" s="4"/>
      <c r="I35" s="4"/>
      <c r="J35" s="4"/>
      <c r="K35" s="4"/>
      <c r="M35" s="4"/>
    </row>
    <row r="36" spans="1:23">
      <c r="A36" s="4"/>
      <c r="B36" s="4"/>
      <c r="F36" s="4"/>
      <c r="G36" s="4"/>
      <c r="H36" s="4"/>
      <c r="I36" s="4"/>
      <c r="J36" s="4"/>
      <c r="K36" s="4"/>
      <c r="M36" s="4"/>
    </row>
    <row r="37" spans="1:23">
      <c r="A37" s="4"/>
      <c r="B37" s="4"/>
      <c r="F37" s="4"/>
      <c r="G37" s="4"/>
      <c r="H37" s="4"/>
      <c r="I37" s="4"/>
      <c r="J37" s="4"/>
      <c r="K37" s="4"/>
      <c r="M37" s="4"/>
    </row>
    <row r="38" spans="1:23">
      <c r="A38" s="4"/>
      <c r="B38" s="4"/>
      <c r="F38" s="4"/>
      <c r="G38" s="4"/>
      <c r="H38" s="4"/>
      <c r="I38" s="4"/>
      <c r="J38" s="4"/>
      <c r="K38" s="4"/>
      <c r="M38" s="4"/>
    </row>
    <row r="39" spans="1:23">
      <c r="A39" s="4"/>
      <c r="B39" s="4"/>
      <c r="F39" s="4"/>
      <c r="G39" s="4"/>
      <c r="H39" s="4"/>
      <c r="I39" s="4"/>
      <c r="J39" s="4"/>
      <c r="K39" s="4"/>
      <c r="M39" s="4"/>
    </row>
    <row r="40" spans="1:23">
      <c r="A40" s="4"/>
      <c r="B40" s="4"/>
      <c r="F40" s="4"/>
      <c r="G40" s="4"/>
      <c r="H40" s="4"/>
      <c r="I40" s="4"/>
      <c r="J40" s="4"/>
      <c r="K40" s="4"/>
      <c r="M40" s="4"/>
      <c r="W40" s="4"/>
    </row>
    <row r="41" spans="1:23">
      <c r="A41" s="4"/>
      <c r="B41" s="4"/>
      <c r="F41" s="4"/>
      <c r="G41" s="4"/>
      <c r="H41" s="4"/>
      <c r="I41" s="4"/>
      <c r="J41" s="4"/>
      <c r="K41" s="4"/>
      <c r="M41" s="4"/>
      <c r="W41" s="4"/>
    </row>
    <row r="42" spans="1:23">
      <c r="W42" s="4"/>
    </row>
    <row r="43" spans="1:23">
      <c r="W43" s="4"/>
    </row>
    <row r="44" spans="1:23">
      <c r="W44" s="4"/>
    </row>
    <row r="45" spans="1:23">
      <c r="W45" s="4"/>
    </row>
    <row r="46" spans="1:23">
      <c r="W46" s="4"/>
    </row>
    <row r="47" spans="1:23">
      <c r="W47" s="4"/>
    </row>
    <row r="48" spans="1:23">
      <c r="W48" s="4"/>
    </row>
    <row r="49" spans="23:23">
      <c r="W49" s="4"/>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Лист172">
    <tabColor rgb="FF92D050"/>
  </sheetPr>
  <dimension ref="A1:AC49"/>
  <sheetViews>
    <sheetView topLeftCell="I1"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9.109375" customWidth="1"/>
    <col min="16" max="16" width="4.6640625" customWidth="1"/>
    <col min="17" max="17" width="4.88671875" customWidth="1"/>
    <col min="18" max="18" width="65.44140625" customWidth="1"/>
    <col min="19" max="19" width="17.6640625" bestFit="1" customWidth="1"/>
    <col min="20" max="20" width="8.88671875" customWidth="1"/>
    <col min="21" max="21" width="34" bestFit="1" customWidth="1"/>
    <col min="22" max="22" width="16.6640625" customWidth="1"/>
    <col min="23" max="23" width="30" customWidth="1"/>
    <col min="24" max="29" width="16.6640625" customWidth="1"/>
    <col min="30" max="30" width="19.33203125" customWidth="1"/>
  </cols>
  <sheetData>
    <row r="1" spans="1:29">
      <c r="A1" s="10"/>
      <c r="B1" s="10"/>
      <c r="F1" s="10"/>
      <c r="G1" s="10"/>
      <c r="H1" s="10"/>
      <c r="I1" s="10"/>
      <c r="J1" s="10"/>
      <c r="K1" s="10"/>
      <c r="M1" s="10"/>
      <c r="N1" s="10"/>
      <c r="O1" s="10"/>
      <c r="P1" s="10"/>
      <c r="Q1" s="10"/>
      <c r="R1" s="10"/>
      <c r="S1" s="54" t="s">
        <v>1471</v>
      </c>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28.8">
      <c r="A2" s="10"/>
      <c r="B2" s="10"/>
      <c r="F2" s="10"/>
      <c r="G2" s="10"/>
      <c r="H2" s="10"/>
      <c r="I2" s="10"/>
      <c r="J2" s="10"/>
      <c r="K2" s="10"/>
      <c r="M2" s="10"/>
      <c r="N2" s="10"/>
      <c r="O2" s="10"/>
      <c r="P2" s="10"/>
      <c r="Q2" s="10"/>
      <c r="R2" s="10"/>
      <c r="S2" s="3">
        <f>Настройки!$M$32</f>
        <v>65500</v>
      </c>
      <c r="U2" s="74" t="b">
        <f>Настройки!$M$34</f>
        <v>1</v>
      </c>
      <c r="V2" s="73" t="s">
        <v>435</v>
      </c>
      <c r="W2" s="537" t="s">
        <v>1815</v>
      </c>
      <c r="X2" s="73"/>
      <c r="Y2" s="73"/>
      <c r="Z2" s="73"/>
      <c r="AA2" s="74"/>
      <c r="AB2" s="74"/>
      <c r="AC2" s="74"/>
    </row>
    <row r="3" spans="1:29">
      <c r="A3" s="515" t="str">
        <f>SUBSTITUTE($V$2,"\","|")&amp;"|DVXX"</f>
        <v>DI_DIAG|DVXX</v>
      </c>
      <c r="B3" t="s">
        <v>74</v>
      </c>
      <c r="F3" t="s">
        <v>72</v>
      </c>
      <c r="G3" t="s">
        <v>71</v>
      </c>
      <c r="H3">
        <v>0</v>
      </c>
      <c r="I3" t="s">
        <v>72</v>
      </c>
      <c r="J3" t="s">
        <v>69</v>
      </c>
      <c r="K3" s="515" t="s">
        <v>1383</v>
      </c>
      <c r="M3">
        <v>1</v>
      </c>
      <c r="N3" t="s">
        <v>1697</v>
      </c>
      <c r="O3" s="52">
        <f>$S$2</f>
        <v>65500</v>
      </c>
      <c r="R3" t="str">
        <f>IF($U$2=TRUE,$W$2&amp;". Недостоверное значение дискретного входа","Недостоверное значение дискретного входа")</f>
        <v>Дискретный вход (XVLX+DVXX) с буферизацией. Недостоверное значение дискретного входа</v>
      </c>
      <c r="S3" s="372"/>
      <c r="U3" s="773"/>
      <c r="V3" s="4"/>
      <c r="W3" s="773"/>
      <c r="X3" s="4"/>
    </row>
    <row r="4" spans="1:29">
      <c r="A4" s="515" t="str">
        <f>SUBSTITUTE($V$2,"\","|")&amp;"|XVLX"</f>
        <v>DI_DIAG|XVLX</v>
      </c>
      <c r="B4" t="s">
        <v>74</v>
      </c>
      <c r="F4" t="s">
        <v>72</v>
      </c>
      <c r="G4" t="s">
        <v>71</v>
      </c>
      <c r="H4">
        <v>0</v>
      </c>
      <c r="I4" t="s">
        <v>72</v>
      </c>
      <c r="J4" t="s">
        <v>69</v>
      </c>
      <c r="K4" s="515" t="s">
        <v>1383</v>
      </c>
      <c r="M4">
        <v>1</v>
      </c>
      <c r="N4" t="s">
        <v>1697</v>
      </c>
      <c r="O4" s="52">
        <f>$S$2</f>
        <v>65500</v>
      </c>
      <c r="R4" t="str">
        <f>IF($U$2=TRUE,$W$2&amp;". Дискретный вход","Дискретный вход")</f>
        <v>Дискретный вход (XVLX+DVXX) с буферизацией. Дискретный вход</v>
      </c>
      <c r="S4" s="372"/>
      <c r="U4" s="773"/>
      <c r="V4" s="4"/>
      <c r="W4" s="773"/>
      <c r="X4" s="4"/>
    </row>
    <row r="10" spans="1:29">
      <c r="A10" s="4"/>
      <c r="B10" s="4"/>
      <c r="F10" s="4"/>
      <c r="G10" s="4"/>
      <c r="H10" s="4"/>
      <c r="I10" s="4"/>
      <c r="J10" s="4"/>
      <c r="K10" s="4"/>
      <c r="M10" s="4"/>
      <c r="W10" s="4"/>
    </row>
    <row r="18" spans="1:13">
      <c r="A18" s="4"/>
      <c r="B18" s="4"/>
      <c r="F18" s="4"/>
      <c r="G18" s="4"/>
      <c r="H18" s="4"/>
      <c r="I18" s="4"/>
      <c r="J18" s="4"/>
      <c r="K18" s="4"/>
      <c r="M18" s="4"/>
    </row>
    <row r="19" spans="1:13">
      <c r="A19" s="4"/>
      <c r="B19" s="4"/>
      <c r="F19" s="4"/>
      <c r="G19" s="4"/>
      <c r="H19" s="4"/>
      <c r="I19" s="4"/>
      <c r="J19" s="4"/>
      <c r="K19" s="4"/>
      <c r="M19" s="4"/>
    </row>
    <row r="20" spans="1:13">
      <c r="A20" s="4"/>
      <c r="B20" s="4"/>
      <c r="F20" s="4"/>
      <c r="G20" s="4"/>
      <c r="H20" s="4"/>
      <c r="I20" s="4"/>
      <c r="J20" s="4"/>
      <c r="K20" s="4"/>
      <c r="M20" s="4"/>
    </row>
    <row r="21" spans="1:13">
      <c r="A21" s="4"/>
      <c r="B21" s="4"/>
      <c r="F21" s="4"/>
      <c r="G21" s="4"/>
      <c r="H21" s="4"/>
      <c r="I21" s="4"/>
      <c r="J21" s="4"/>
      <c r="K21" s="4"/>
      <c r="M21" s="4"/>
    </row>
    <row r="22" spans="1:13">
      <c r="A22" s="4"/>
      <c r="B22" s="4"/>
      <c r="F22" s="4"/>
      <c r="G22" s="4"/>
      <c r="H22" s="4"/>
      <c r="I22" s="4"/>
      <c r="J22" s="4"/>
      <c r="K22" s="4"/>
      <c r="M22" s="4"/>
    </row>
    <row r="23" spans="1:13">
      <c r="A23" s="4"/>
      <c r="B23" s="4"/>
      <c r="F23" s="4"/>
      <c r="G23" s="4"/>
      <c r="H23" s="4"/>
      <c r="I23" s="4"/>
      <c r="J23" s="4"/>
      <c r="K23" s="4"/>
      <c r="M23" s="4"/>
    </row>
    <row r="24" spans="1:13">
      <c r="A24" s="4"/>
      <c r="B24" s="4"/>
      <c r="F24" s="4"/>
      <c r="G24" s="4"/>
      <c r="H24" s="4"/>
      <c r="I24" s="4"/>
      <c r="J24" s="4"/>
      <c r="K24" s="4"/>
      <c r="M24" s="4"/>
    </row>
    <row r="25" spans="1:13">
      <c r="A25" s="4"/>
      <c r="B25" s="4"/>
      <c r="F25" s="4"/>
      <c r="G25" s="4"/>
      <c r="H25" s="4"/>
      <c r="I25" s="4"/>
      <c r="J25" s="4"/>
      <c r="K25" s="4"/>
      <c r="M25" s="4"/>
    </row>
    <row r="26" spans="1:13">
      <c r="A26" s="4"/>
      <c r="B26" s="4"/>
      <c r="F26" s="4"/>
      <c r="G26" s="4"/>
      <c r="H26" s="4"/>
      <c r="I26" s="4"/>
      <c r="J26" s="4"/>
      <c r="K26" s="4"/>
      <c r="M26" s="4"/>
    </row>
    <row r="27" spans="1:13">
      <c r="A27" s="4"/>
      <c r="B27" s="4"/>
      <c r="F27" s="4"/>
      <c r="G27" s="4"/>
      <c r="H27" s="4"/>
      <c r="I27" s="4"/>
      <c r="J27" s="4"/>
      <c r="K27" s="4"/>
      <c r="M27" s="4"/>
    </row>
    <row r="28" spans="1:13">
      <c r="A28" s="4"/>
      <c r="B28" s="4"/>
      <c r="F28" s="4"/>
      <c r="G28" s="4"/>
      <c r="H28" s="4"/>
      <c r="I28" s="4"/>
      <c r="J28" s="4"/>
      <c r="K28" s="4"/>
      <c r="M28" s="4"/>
    </row>
    <row r="29" spans="1:13">
      <c r="A29" s="4"/>
      <c r="B29" s="4"/>
      <c r="F29" s="4"/>
      <c r="G29" s="4"/>
      <c r="H29" s="4"/>
      <c r="I29" s="4"/>
      <c r="J29" s="4"/>
      <c r="K29" s="4"/>
      <c r="M29" s="4"/>
    </row>
    <row r="30" spans="1:13">
      <c r="A30" s="4"/>
      <c r="B30" s="4"/>
      <c r="F30" s="4"/>
      <c r="G30" s="4"/>
      <c r="H30" s="4"/>
      <c r="I30" s="4"/>
      <c r="J30" s="4"/>
      <c r="K30" s="4"/>
      <c r="M30" s="4"/>
    </row>
    <row r="40" spans="23:23">
      <c r="W40" s="4"/>
    </row>
    <row r="41" spans="23:23">
      <c r="W41" s="4"/>
    </row>
    <row r="42" spans="23:23">
      <c r="W42" s="4"/>
    </row>
    <row r="43" spans="23:23">
      <c r="W43" s="4"/>
    </row>
    <row r="44" spans="23:23">
      <c r="W44" s="4"/>
    </row>
    <row r="45" spans="23:23">
      <c r="W45" s="4"/>
    </row>
    <row r="46" spans="23:23">
      <c r="W46" s="4"/>
    </row>
    <row r="47" spans="23:23">
      <c r="W47" s="4"/>
    </row>
    <row r="48" spans="23:23">
      <c r="W48" s="4"/>
    </row>
    <row r="49" spans="23:23">
      <c r="W49" s="4"/>
    </row>
  </sheetData>
  <conditionalFormatting sqref="V1:AC2">
    <cfRule type="duplicateValues" dxfId="0" priority="1"/>
  </conditionalFormatting>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codeName="Лист171">
    <tabColor rgb="FF92D050"/>
  </sheetPr>
  <dimension ref="A1:AC49"/>
  <sheetViews>
    <sheetView topLeftCell="H1"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9.44140625" customWidth="1"/>
    <col min="16" max="16" width="4.6640625" customWidth="1"/>
    <col min="17" max="17" width="4.88671875" customWidth="1"/>
    <col min="18" max="18" width="65.44140625" customWidth="1"/>
    <col min="19" max="19" width="17.6640625" bestFit="1" customWidth="1"/>
    <col min="20" max="20" width="8.88671875" customWidth="1"/>
    <col min="21" max="21" width="34" bestFit="1" customWidth="1"/>
    <col min="22" max="22" width="16.6640625" customWidth="1"/>
    <col min="23" max="23" width="30" customWidth="1"/>
    <col min="24" max="29" width="16.6640625" customWidth="1"/>
    <col min="30" max="30" width="17.6640625" customWidth="1"/>
  </cols>
  <sheetData>
    <row r="1" spans="1:29">
      <c r="A1" s="10"/>
      <c r="B1" s="10"/>
      <c r="F1" s="10"/>
      <c r="G1" s="10"/>
      <c r="H1" s="10"/>
      <c r="I1" s="10"/>
      <c r="J1" s="10"/>
      <c r="K1" s="10"/>
      <c r="M1" s="10"/>
      <c r="N1" s="10"/>
      <c r="O1" s="10"/>
      <c r="P1" s="10"/>
      <c r="Q1" s="10"/>
      <c r="R1" s="10"/>
      <c r="S1" s="54" t="s">
        <v>1471</v>
      </c>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14.25" customHeight="1">
      <c r="A2" s="10"/>
      <c r="B2" s="10"/>
      <c r="F2" s="10"/>
      <c r="G2" s="10"/>
      <c r="H2" s="10"/>
      <c r="I2" s="10"/>
      <c r="J2" s="10"/>
      <c r="K2" s="10"/>
      <c r="M2" s="10"/>
      <c r="N2" s="10"/>
      <c r="O2" s="10"/>
      <c r="P2" s="10"/>
      <c r="Q2" s="10"/>
      <c r="R2" s="10"/>
      <c r="S2" s="3">
        <f>Настройки!$M$32</f>
        <v>65500</v>
      </c>
      <c r="U2" s="74" t="b">
        <f>Настройки!$M$34</f>
        <v>1</v>
      </c>
      <c r="V2" s="73" t="s">
        <v>245</v>
      </c>
      <c r="W2" s="537" t="s">
        <v>1814</v>
      </c>
      <c r="X2" s="73"/>
      <c r="Y2" s="73"/>
      <c r="Z2" s="73"/>
      <c r="AA2" s="74"/>
      <c r="AB2" s="74"/>
      <c r="AC2" s="74"/>
    </row>
    <row r="3" spans="1:29">
      <c r="A3" s="515" t="str">
        <f>SUBSTITUTE($V$2,"\","|")</f>
        <v>KTP_SEC1_NOT_U</v>
      </c>
      <c r="B3" t="s">
        <v>74</v>
      </c>
      <c r="F3" t="s">
        <v>72</v>
      </c>
      <c r="G3" t="s">
        <v>71</v>
      </c>
      <c r="H3">
        <v>0</v>
      </c>
      <c r="I3" t="s">
        <v>72</v>
      </c>
      <c r="J3" t="s">
        <v>69</v>
      </c>
      <c r="K3" s="515" t="s">
        <v>1383</v>
      </c>
      <c r="M3">
        <v>1</v>
      </c>
      <c r="N3" t="s">
        <v>1697</v>
      </c>
      <c r="O3" s="52">
        <f>$S$2</f>
        <v>65500</v>
      </c>
      <c r="R3" t="str">
        <f>IF($U$2=TRUE,$W$2&amp;". Выходное значение","Выходное значение")</f>
        <v>Дискретный вход (только один сигнал) с буферизацией. Выходное значение</v>
      </c>
      <c r="S3" s="372"/>
      <c r="U3" s="773"/>
      <c r="V3" s="4"/>
      <c r="W3" s="773"/>
      <c r="X3" s="4"/>
    </row>
    <row r="4" spans="1:29">
      <c r="W4" s="4"/>
    </row>
    <row r="10" spans="1:29">
      <c r="W10" s="4"/>
    </row>
    <row r="12" spans="1:29">
      <c r="A12" s="4"/>
      <c r="B12" s="4"/>
      <c r="F12" s="4"/>
      <c r="G12" s="4"/>
      <c r="H12" s="4"/>
      <c r="I12" s="4"/>
      <c r="J12" s="4"/>
      <c r="K12" s="4"/>
      <c r="M12" s="4"/>
    </row>
    <row r="17" spans="1:13">
      <c r="A17" s="4"/>
      <c r="B17" s="4"/>
      <c r="F17" s="4"/>
      <c r="G17" s="4"/>
      <c r="H17" s="4"/>
      <c r="I17" s="4"/>
      <c r="J17" s="4"/>
      <c r="K17" s="4"/>
      <c r="M17" s="4"/>
    </row>
    <row r="18" spans="1:13">
      <c r="A18" s="4"/>
      <c r="B18" s="4"/>
      <c r="F18" s="4"/>
      <c r="G18" s="4"/>
      <c r="H18" s="4"/>
      <c r="I18" s="4"/>
      <c r="J18" s="4"/>
      <c r="K18" s="4"/>
      <c r="M18" s="4"/>
    </row>
    <row r="19" spans="1:13">
      <c r="A19" s="4"/>
      <c r="B19" s="4"/>
      <c r="F19" s="4"/>
      <c r="G19" s="4"/>
      <c r="H19" s="4"/>
      <c r="I19" s="4"/>
      <c r="J19" s="4"/>
      <c r="K19" s="4"/>
      <c r="M19" s="4"/>
    </row>
    <row r="20" spans="1:13">
      <c r="A20" s="4"/>
      <c r="B20" s="4"/>
      <c r="F20" s="4"/>
      <c r="G20" s="4"/>
      <c r="H20" s="4"/>
      <c r="I20" s="4"/>
      <c r="J20" s="4"/>
      <c r="K20" s="4"/>
      <c r="M20" s="4"/>
    </row>
    <row r="21" spans="1:13">
      <c r="A21" s="4"/>
      <c r="B21" s="4"/>
      <c r="F21" s="4"/>
      <c r="G21" s="4"/>
      <c r="H21" s="4"/>
      <c r="I21" s="4"/>
      <c r="J21" s="4"/>
      <c r="K21" s="4"/>
      <c r="M21" s="4"/>
    </row>
    <row r="22" spans="1:13">
      <c r="A22" s="4"/>
      <c r="B22" s="4"/>
      <c r="F22" s="4"/>
      <c r="G22" s="4"/>
      <c r="H22" s="4"/>
      <c r="I22" s="4"/>
      <c r="J22" s="4"/>
      <c r="K22" s="4"/>
      <c r="M22" s="4"/>
    </row>
    <row r="23" spans="1:13">
      <c r="A23" s="4"/>
      <c r="B23" s="4"/>
      <c r="F23" s="4"/>
      <c r="G23" s="4"/>
      <c r="H23" s="4"/>
      <c r="I23" s="4"/>
      <c r="J23" s="4"/>
      <c r="K23" s="4"/>
      <c r="M23" s="4"/>
    </row>
    <row r="24" spans="1:13">
      <c r="A24" s="4"/>
      <c r="B24" s="4"/>
      <c r="F24" s="4"/>
      <c r="G24" s="4"/>
      <c r="H24" s="4"/>
      <c r="I24" s="4"/>
      <c r="J24" s="4"/>
      <c r="K24" s="4"/>
      <c r="M24" s="4"/>
    </row>
    <row r="25" spans="1:13">
      <c r="A25" s="4"/>
      <c r="B25" s="4"/>
      <c r="F25" s="4"/>
      <c r="G25" s="4"/>
      <c r="H25" s="4"/>
      <c r="I25" s="4"/>
      <c r="J25" s="4"/>
      <c r="K25" s="4"/>
      <c r="M25" s="4"/>
    </row>
    <row r="26" spans="1:13">
      <c r="A26" s="4"/>
      <c r="B26" s="4"/>
      <c r="F26" s="4"/>
      <c r="G26" s="4"/>
      <c r="H26" s="4"/>
      <c r="I26" s="4"/>
      <c r="J26" s="4"/>
      <c r="K26" s="4"/>
      <c r="M26" s="4"/>
    </row>
    <row r="27" spans="1:13">
      <c r="A27" s="4"/>
      <c r="B27" s="4"/>
      <c r="F27" s="4"/>
      <c r="G27" s="4"/>
      <c r="H27" s="4"/>
      <c r="I27" s="4"/>
      <c r="J27" s="4"/>
      <c r="K27" s="4"/>
      <c r="M27" s="4"/>
    </row>
    <row r="28" spans="1:13">
      <c r="A28" s="4"/>
      <c r="B28" s="4"/>
      <c r="F28" s="4"/>
      <c r="G28" s="4"/>
      <c r="H28" s="4"/>
      <c r="I28" s="4"/>
      <c r="J28" s="4"/>
      <c r="K28" s="4"/>
      <c r="M28" s="4"/>
    </row>
    <row r="29" spans="1:13">
      <c r="A29" s="4"/>
      <c r="B29" s="4"/>
      <c r="F29" s="4"/>
      <c r="G29" s="4"/>
      <c r="H29" s="4"/>
      <c r="I29" s="4"/>
      <c r="J29" s="4"/>
      <c r="K29" s="4"/>
      <c r="M29" s="4"/>
    </row>
    <row r="40" spans="23:23">
      <c r="W40" s="4"/>
    </row>
    <row r="41" spans="23:23">
      <c r="W41" s="4"/>
    </row>
    <row r="42" spans="23:23">
      <c r="W42" s="4"/>
    </row>
    <row r="43" spans="23:23">
      <c r="W43" s="4"/>
    </row>
    <row r="44" spans="23:23">
      <c r="W44" s="4"/>
    </row>
    <row r="45" spans="23:23">
      <c r="W45" s="4"/>
    </row>
    <row r="46" spans="23:23">
      <c r="W46" s="4"/>
    </row>
    <row r="47" spans="23:23">
      <c r="W47" s="4"/>
    </row>
    <row r="48" spans="23:23">
      <c r="W48" s="4"/>
    </row>
    <row r="49" spans="23:23">
      <c r="W49" s="4"/>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codeName="Лист164">
    <tabColor rgb="FF92D050"/>
  </sheetPr>
  <dimension ref="A1:AC49"/>
  <sheetViews>
    <sheetView topLeftCell="S1" zoomScale="90" zoomScaleNormal="90"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6.6640625" customWidth="1"/>
    <col min="16" max="16" width="4.6640625" customWidth="1"/>
    <col min="17" max="17" width="4.88671875" customWidth="1"/>
    <col min="18" max="18" width="65.44140625" customWidth="1"/>
    <col min="19" max="19" width="17.6640625" bestFit="1" customWidth="1"/>
    <col min="20" max="20" width="8.88671875" customWidth="1"/>
    <col min="21" max="21" width="34" bestFit="1" customWidth="1"/>
    <col min="22" max="22" width="16.6640625" customWidth="1"/>
    <col min="23" max="23" width="30" customWidth="1"/>
    <col min="24" max="29" width="16.6640625" customWidth="1"/>
    <col min="30" max="30" width="18.33203125" customWidth="1"/>
  </cols>
  <sheetData>
    <row r="1" spans="1:29">
      <c r="A1" s="10"/>
      <c r="B1" s="10"/>
      <c r="F1" s="10"/>
      <c r="G1" s="10"/>
      <c r="H1" s="10"/>
      <c r="I1" s="10"/>
      <c r="J1" s="10"/>
      <c r="K1" s="10"/>
      <c r="M1" s="10"/>
      <c r="N1" s="10"/>
      <c r="O1" s="10"/>
      <c r="P1" s="10"/>
      <c r="Q1" s="10"/>
      <c r="R1" s="10"/>
      <c r="S1" s="54" t="s">
        <v>1471</v>
      </c>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28.8">
      <c r="A2" s="10"/>
      <c r="B2" s="10"/>
      <c r="F2" s="10"/>
      <c r="G2" s="10"/>
      <c r="H2" s="10"/>
      <c r="I2" s="10"/>
      <c r="J2" s="10"/>
      <c r="K2" s="10"/>
      <c r="M2" s="10"/>
      <c r="N2" s="10"/>
      <c r="O2" s="10"/>
      <c r="P2" s="10"/>
      <c r="Q2" s="10"/>
      <c r="R2" s="10"/>
      <c r="S2" s="3">
        <f>Настройки!$M$32</f>
        <v>65500</v>
      </c>
      <c r="U2" s="74" t="b">
        <f>Настройки!$M$34</f>
        <v>1</v>
      </c>
      <c r="V2" s="73" t="s">
        <v>1400</v>
      </c>
      <c r="W2" s="537" t="s">
        <v>1811</v>
      </c>
      <c r="X2" s="73"/>
      <c r="Y2" s="73"/>
      <c r="Z2" s="73"/>
      <c r="AA2" s="74"/>
      <c r="AB2" s="74"/>
      <c r="AC2" s="74"/>
    </row>
    <row r="3" spans="1:29">
      <c r="A3" s="4" t="str">
        <f>SUBSTITUTE($V$2,"\","|")&amp;"|XVLX"</f>
        <v>ALARM_SOUND|XVLX</v>
      </c>
      <c r="B3" s="4" t="s">
        <v>74</v>
      </c>
      <c r="F3" s="4" t="s">
        <v>72</v>
      </c>
      <c r="G3" s="4" t="s">
        <v>71</v>
      </c>
      <c r="H3" s="4">
        <v>0</v>
      </c>
      <c r="I3" s="4" t="s">
        <v>72</v>
      </c>
      <c r="J3" t="s">
        <v>69</v>
      </c>
      <c r="K3" s="4">
        <v>0</v>
      </c>
      <c r="M3">
        <v>1</v>
      </c>
      <c r="N3" t="s">
        <v>1697</v>
      </c>
      <c r="O3" s="52">
        <f t="shared" ref="O3" si="0">$S$2</f>
        <v>65500</v>
      </c>
      <c r="R3" t="str">
        <f>IF($U$2=TRUE,$W$2&amp;". Выходное значение","Выходное значение")</f>
        <v>Дискретный выход FB с буферизацией. Выходное значение</v>
      </c>
      <c r="S3" s="372"/>
      <c r="U3" s="773"/>
      <c r="V3" s="4"/>
      <c r="W3" s="773"/>
      <c r="X3" s="4"/>
    </row>
    <row r="4" spans="1:29">
      <c r="A4" t="str">
        <f>SUBSTITUTE($V$2,"\","|")&amp;"|DVXX"</f>
        <v>ALARM_SOUND|DVXX</v>
      </c>
      <c r="B4" t="s">
        <v>74</v>
      </c>
      <c r="F4" t="s">
        <v>72</v>
      </c>
      <c r="G4" t="s">
        <v>71</v>
      </c>
      <c r="H4">
        <v>0</v>
      </c>
      <c r="I4" t="s">
        <v>72</v>
      </c>
      <c r="J4" t="s">
        <v>69</v>
      </c>
      <c r="K4">
        <v>0</v>
      </c>
      <c r="M4">
        <v>1</v>
      </c>
      <c r="N4" t="s">
        <v>1697</v>
      </c>
      <c r="O4" s="52">
        <f>$S$2</f>
        <v>65500</v>
      </c>
      <c r="R4" t="str">
        <f>IF($U$2=TRUE,$W$2&amp;". Недостоверное входное значение","Недостоверное входное значение")</f>
        <v>Дискретный выход FB с буферизацией. Недостоверное входное значение</v>
      </c>
      <c r="S4" s="372"/>
      <c r="U4" s="773"/>
      <c r="V4" s="4"/>
      <c r="W4" s="773"/>
      <c r="X4" s="4"/>
    </row>
    <row r="5" spans="1:29">
      <c r="A5" t="str">
        <f>SUBSTITUTE($V$2,"\","|")&amp;"|DRCX"</f>
        <v>ALARM_SOUND|DRCX</v>
      </c>
      <c r="B5" t="s">
        <v>74</v>
      </c>
      <c r="F5" s="4" t="s">
        <v>72</v>
      </c>
      <c r="G5" t="s">
        <v>71</v>
      </c>
      <c r="H5">
        <v>0</v>
      </c>
      <c r="I5" t="s">
        <v>72</v>
      </c>
      <c r="J5" t="s">
        <v>69</v>
      </c>
      <c r="K5">
        <v>0</v>
      </c>
      <c r="M5">
        <v>1</v>
      </c>
      <c r="N5" t="s">
        <v>1697</v>
      </c>
      <c r="O5" s="52">
        <f t="shared" ref="O5:O18" si="1">$S$2</f>
        <v>65500</v>
      </c>
      <c r="R5" t="str">
        <f>IF($U$2=TRUE,$W$2&amp;". Недостоверное Входное значение Дистанционное управление","Недостоверное Входное значение Дистанционное управление")</f>
        <v>Дискретный выход FB с буферизацией. Недостоверное Входное значение Дистанционное управление</v>
      </c>
      <c r="S5" s="372"/>
      <c r="U5" s="773"/>
      <c r="V5" s="4"/>
      <c r="W5" s="773"/>
      <c r="X5" s="4"/>
    </row>
    <row r="6" spans="1:29">
      <c r="A6" t="str">
        <f>SUBSTITUTE($V$2,"\","|")&amp;"|DOON"</f>
        <v>ALARM_SOUND|DOON</v>
      </c>
      <c r="B6" t="s">
        <v>74</v>
      </c>
      <c r="F6" s="4" t="s">
        <v>72</v>
      </c>
      <c r="G6" t="s">
        <v>71</v>
      </c>
      <c r="H6">
        <v>0</v>
      </c>
      <c r="I6" t="s">
        <v>72</v>
      </c>
      <c r="J6" t="s">
        <v>69</v>
      </c>
      <c r="K6">
        <v>0</v>
      </c>
      <c r="M6">
        <v>1</v>
      </c>
      <c r="N6" t="s">
        <v>1697</v>
      </c>
      <c r="O6" s="52">
        <f t="shared" si="1"/>
        <v>65500</v>
      </c>
      <c r="R6" t="str">
        <f>IF($U$2=TRUE,$W$2&amp;". Недостоверное Выходное  значение Включить","Недостоверное Выходное  значение Включить")</f>
        <v>Дискретный выход FB с буферизацией. Недостоверное Выходное  значение Включить</v>
      </c>
      <c r="S6" s="372"/>
      <c r="U6" s="773"/>
      <c r="V6" s="4"/>
      <c r="W6" s="773"/>
      <c r="X6" s="4"/>
    </row>
    <row r="7" spans="1:29">
      <c r="A7" t="str">
        <f>SUBSTITUTE($V$2,"\","|")&amp;"|DOOF"</f>
        <v>ALARM_SOUND|DOOF</v>
      </c>
      <c r="B7" t="s">
        <v>74</v>
      </c>
      <c r="F7" s="4" t="s">
        <v>72</v>
      </c>
      <c r="G7" t="s">
        <v>71</v>
      </c>
      <c r="H7">
        <v>0</v>
      </c>
      <c r="I7" t="s">
        <v>72</v>
      </c>
      <c r="J7" t="s">
        <v>69</v>
      </c>
      <c r="K7">
        <v>0</v>
      </c>
      <c r="M7">
        <v>1</v>
      </c>
      <c r="N7" t="s">
        <v>1697</v>
      </c>
      <c r="O7" s="52">
        <f t="shared" si="1"/>
        <v>65500</v>
      </c>
      <c r="R7" t="str">
        <f>IF($U$2=TRUE,$W$2&amp;". Недостоверное Выходное значение Отключить","Недостоверное Выходное значение Отключить")</f>
        <v>Дискретный выход FB с буферизацией. Недостоверное Выходное значение Отключить</v>
      </c>
      <c r="S7" s="372"/>
      <c r="U7" s="773"/>
      <c r="V7" s="4"/>
      <c r="W7" s="773"/>
      <c r="X7" s="4"/>
    </row>
    <row r="8" spans="1:29">
      <c r="A8" t="str">
        <f>SUBSTITUTE($V$2,"\","|")&amp;"|XRCX"</f>
        <v>ALARM_SOUND|XRCX</v>
      </c>
      <c r="B8" t="s">
        <v>74</v>
      </c>
      <c r="F8" t="s">
        <v>72</v>
      </c>
      <c r="G8" t="s">
        <v>71</v>
      </c>
      <c r="H8">
        <v>0</v>
      </c>
      <c r="I8" t="s">
        <v>72</v>
      </c>
      <c r="J8" t="s">
        <v>69</v>
      </c>
      <c r="K8">
        <v>0</v>
      </c>
      <c r="M8">
        <v>1</v>
      </c>
      <c r="N8" t="s">
        <v>1697</v>
      </c>
      <c r="O8" s="52">
        <f t="shared" si="1"/>
        <v>65500</v>
      </c>
      <c r="R8" t="str">
        <f>IF($U$2=TRUE,$W$2&amp;". Выходное значение Дистанционное управление","Выходное значение Дистанционное управление")</f>
        <v>Дискретный выход FB с буферизацией. Выходное значение Дистанционное управление</v>
      </c>
      <c r="S8" s="372"/>
      <c r="U8" s="773"/>
      <c r="V8" s="4"/>
      <c r="W8" s="773"/>
      <c r="X8" s="4"/>
    </row>
    <row r="9" spans="1:29">
      <c r="A9" t="str">
        <f>SUBSTITUTE($V$2,"\","|")&amp;"|XMMX"</f>
        <v>ALARM_SOUND|XMMX</v>
      </c>
      <c r="B9" t="s">
        <v>74</v>
      </c>
      <c r="F9" t="s">
        <v>72</v>
      </c>
      <c r="G9" t="s">
        <v>71</v>
      </c>
      <c r="H9">
        <v>0</v>
      </c>
      <c r="I9" t="s">
        <v>72</v>
      </c>
      <c r="J9" t="s">
        <v>69</v>
      </c>
      <c r="K9">
        <v>0</v>
      </c>
      <c r="M9">
        <v>1</v>
      </c>
      <c r="N9" t="s">
        <v>1697</v>
      </c>
      <c r="O9" s="52">
        <f t="shared" si="1"/>
        <v>65500</v>
      </c>
      <c r="R9" t="str">
        <f>IF($U$2=TRUE,$W$2&amp;". Выходное значение Ручное управление","Выходное значение Ручное управление")</f>
        <v>Дискретный выход FB с буферизацией. Выходное значение Ручное управление</v>
      </c>
      <c r="S9" s="372"/>
      <c r="U9" s="773"/>
      <c r="V9" s="4"/>
      <c r="W9" s="773"/>
      <c r="X9" s="4"/>
    </row>
    <row r="10" spans="1:29">
      <c r="A10" t="str">
        <f>SUBSTITUTE($V$2,"\","|")&amp;"|CAON"</f>
        <v>ALARM_SOUND|CAON</v>
      </c>
      <c r="B10" t="s">
        <v>74</v>
      </c>
      <c r="F10" t="s">
        <v>72</v>
      </c>
      <c r="G10" t="s">
        <v>71</v>
      </c>
      <c r="H10">
        <v>0</v>
      </c>
      <c r="I10" t="s">
        <v>72</v>
      </c>
      <c r="J10" t="s">
        <v>69</v>
      </c>
      <c r="K10">
        <v>0</v>
      </c>
      <c r="M10">
        <v>1</v>
      </c>
      <c r="N10" t="s">
        <v>1697</v>
      </c>
      <c r="O10" s="52">
        <f t="shared" si="1"/>
        <v>65500</v>
      </c>
      <c r="R10" t="str">
        <f>IF($U$2=TRUE,$W$2&amp;". Команда алгоритма: Включить","Команда алгоритма: Включить")</f>
        <v>Дискретный выход FB с буферизацией. Команда алгоритма: Включить</v>
      </c>
      <c r="S10" s="372"/>
      <c r="U10" s="773"/>
      <c r="V10" s="4"/>
      <c r="W10" s="773"/>
      <c r="X10" s="4"/>
    </row>
    <row r="11" spans="1:29">
      <c r="A11" t="str">
        <f>SUBSTITUTE($V$2,"\","|")&amp;"|CAOF"</f>
        <v>ALARM_SOUND|CAOF</v>
      </c>
      <c r="B11" t="s">
        <v>74</v>
      </c>
      <c r="F11" t="s">
        <v>72</v>
      </c>
      <c r="G11" t="s">
        <v>71</v>
      </c>
      <c r="H11">
        <v>0</v>
      </c>
      <c r="I11" t="s">
        <v>72</v>
      </c>
      <c r="J11" t="s">
        <v>69</v>
      </c>
      <c r="K11">
        <v>0</v>
      </c>
      <c r="M11">
        <v>1</v>
      </c>
      <c r="N11" t="s">
        <v>1697</v>
      </c>
      <c r="O11" s="52">
        <f t="shared" si="1"/>
        <v>65500</v>
      </c>
      <c r="R11" t="str">
        <f>IF($U$2=TRUE,$W$2&amp;". Команда алгоритма: Отключить","Команда алгоритма: Отключить")</f>
        <v>Дискретный выход FB с буферизацией. Команда алгоритма: Отключить</v>
      </c>
      <c r="S11" s="372"/>
      <c r="U11" s="773"/>
      <c r="V11" s="4"/>
      <c r="W11" s="773"/>
      <c r="X11" s="4"/>
    </row>
    <row r="12" spans="1:29">
      <c r="A12" t="str">
        <f>SUBSTITUTE($V$2,"\","|")&amp;"|LAON"</f>
        <v>ALARM_SOUND|LAON</v>
      </c>
      <c r="B12" t="s">
        <v>74</v>
      </c>
      <c r="F12" t="s">
        <v>72</v>
      </c>
      <c r="G12" t="s">
        <v>71</v>
      </c>
      <c r="H12">
        <v>0</v>
      </c>
      <c r="I12" t="s">
        <v>72</v>
      </c>
      <c r="J12" t="s">
        <v>69</v>
      </c>
      <c r="K12">
        <v>0</v>
      </c>
      <c r="M12">
        <v>1</v>
      </c>
      <c r="N12" t="s">
        <v>1697</v>
      </c>
      <c r="O12" s="52">
        <f t="shared" si="1"/>
        <v>65500</v>
      </c>
      <c r="R12" t="str">
        <f>IF($U$2=TRUE,$W$2&amp;". Заблокировалась автоматическая команда включить","Заблокировалась автоматическая команда включить")</f>
        <v>Дискретный выход FB с буферизацией. Заблокировалась автоматическая команда включить</v>
      </c>
      <c r="S12" s="372"/>
      <c r="U12" s="773"/>
      <c r="V12" s="4"/>
      <c r="W12" s="773"/>
      <c r="X12" s="4"/>
    </row>
    <row r="13" spans="1:29">
      <c r="A13" t="str">
        <f>SUBSTITUTE($V$2,"\","|")&amp;"|LAOF"</f>
        <v>ALARM_SOUND|LAOF</v>
      </c>
      <c r="B13" t="s">
        <v>74</v>
      </c>
      <c r="F13" t="s">
        <v>72</v>
      </c>
      <c r="G13" t="s">
        <v>71</v>
      </c>
      <c r="H13">
        <v>0</v>
      </c>
      <c r="I13" t="s">
        <v>72</v>
      </c>
      <c r="J13" t="s">
        <v>69</v>
      </c>
      <c r="K13">
        <v>0</v>
      </c>
      <c r="M13">
        <v>1</v>
      </c>
      <c r="N13" t="s">
        <v>1697</v>
      </c>
      <c r="O13" s="52">
        <f t="shared" si="1"/>
        <v>65500</v>
      </c>
      <c r="R13" t="str">
        <f>IF($U$2=TRUE,$W$2&amp;". Заблокировалась автоматическая команда отключить","Заблокировалась автоматическая команда отключить")</f>
        <v>Дискретный выход FB с буферизацией. Заблокировалась автоматическая команда отключить</v>
      </c>
      <c r="S13" s="372"/>
      <c r="U13" s="773"/>
      <c r="V13" s="4"/>
      <c r="W13" s="773"/>
      <c r="X13" s="4"/>
    </row>
    <row r="14" spans="1:29">
      <c r="A14" t="str">
        <f>SUBSTITUTE($V$2,"\","|")&amp;"|CEON"</f>
        <v>ALARM_SOUND|CEON</v>
      </c>
      <c r="B14" t="s">
        <v>74</v>
      </c>
      <c r="F14" s="4" t="s">
        <v>72</v>
      </c>
      <c r="G14" t="s">
        <v>71</v>
      </c>
      <c r="H14">
        <v>0</v>
      </c>
      <c r="I14" t="s">
        <v>72</v>
      </c>
      <c r="J14" t="s">
        <v>69</v>
      </c>
      <c r="K14">
        <v>0</v>
      </c>
      <c r="M14">
        <v>1</v>
      </c>
      <c r="N14" t="s">
        <v>1697</v>
      </c>
      <c r="O14" s="52">
        <f t="shared" si="1"/>
        <v>65500</v>
      </c>
      <c r="R14" t="str">
        <f>IF($U$2=TRUE,$W$2&amp;". Команда ПАЗ: Включить","Команда ПАЗ: Включить")</f>
        <v>Дискретный выход FB с буферизацией. Команда ПАЗ: Включить</v>
      </c>
      <c r="S14" s="372"/>
      <c r="U14" s="773"/>
      <c r="V14" s="4"/>
      <c r="W14" s="773"/>
      <c r="X14" s="4"/>
    </row>
    <row r="15" spans="1:29">
      <c r="A15" t="str">
        <f>SUBSTITUTE($V$2,"\","|")&amp;"|CEOF"</f>
        <v>ALARM_SOUND|CEOF</v>
      </c>
      <c r="B15" t="s">
        <v>74</v>
      </c>
      <c r="F15" t="s">
        <v>72</v>
      </c>
      <c r="G15" t="s">
        <v>71</v>
      </c>
      <c r="H15">
        <v>0</v>
      </c>
      <c r="I15" t="s">
        <v>72</v>
      </c>
      <c r="J15" t="s">
        <v>69</v>
      </c>
      <c r="K15">
        <v>0</v>
      </c>
      <c r="M15">
        <v>1</v>
      </c>
      <c r="N15" t="s">
        <v>1697</v>
      </c>
      <c r="O15" s="52">
        <f t="shared" si="1"/>
        <v>65500</v>
      </c>
      <c r="R15" t="str">
        <f>IF($U$2=TRUE,$W$2&amp;". Команда ПАЗ: Отключить","Команда ПАЗ: Отключить")</f>
        <v>Дискретный выход FB с буферизацией. Команда ПАЗ: Отключить</v>
      </c>
      <c r="S15" s="372"/>
      <c r="U15" s="773"/>
      <c r="V15" s="4"/>
      <c r="W15" s="773"/>
      <c r="X15" s="4"/>
    </row>
    <row r="16" spans="1:29">
      <c r="A16" t="str">
        <f>SUBSTITUTE($V$2,"\","|")&amp;"|CBON"</f>
        <v>ALARM_SOUND|CBON</v>
      </c>
      <c r="B16" t="s">
        <v>74</v>
      </c>
      <c r="F16" t="s">
        <v>72</v>
      </c>
      <c r="G16" t="s">
        <v>71</v>
      </c>
      <c r="H16">
        <v>0</v>
      </c>
      <c r="I16" t="s">
        <v>72</v>
      </c>
      <c r="J16" t="s">
        <v>69</v>
      </c>
      <c r="K16">
        <v>0</v>
      </c>
      <c r="M16">
        <v>1</v>
      </c>
      <c r="N16" t="s">
        <v>1697</v>
      </c>
      <c r="O16" s="52">
        <f t="shared" si="1"/>
        <v>65500</v>
      </c>
      <c r="R16" t="str">
        <f>IF($U$2=TRUE,$W$2&amp;". Команда блокировки: Включить","Команда блокировки: Включить")</f>
        <v>Дискретный выход FB с буферизацией. Команда блокировки: Включить</v>
      </c>
      <c r="S16" s="372"/>
      <c r="U16" s="773"/>
      <c r="V16" s="4"/>
      <c r="W16" s="773"/>
      <c r="X16" s="4"/>
    </row>
    <row r="17" spans="1:24">
      <c r="A17" t="str">
        <f>SUBSTITUTE($V$2,"\","|")&amp;"|CBOF"</f>
        <v>ALARM_SOUND|CBOF</v>
      </c>
      <c r="B17" t="s">
        <v>74</v>
      </c>
      <c r="F17" t="s">
        <v>72</v>
      </c>
      <c r="G17" t="s">
        <v>71</v>
      </c>
      <c r="H17">
        <v>0</v>
      </c>
      <c r="I17" t="s">
        <v>72</v>
      </c>
      <c r="J17" t="s">
        <v>69</v>
      </c>
      <c r="K17">
        <v>0</v>
      </c>
      <c r="M17">
        <v>1</v>
      </c>
      <c r="N17" t="s">
        <v>1697</v>
      </c>
      <c r="O17" s="52">
        <f t="shared" si="1"/>
        <v>65500</v>
      </c>
      <c r="R17" t="str">
        <f>IF($U$2=TRUE,$W$2&amp;". Команда блокировки: Отключить","Команда блокировки: Отключить")</f>
        <v>Дискретный выход FB с буферизацией. Команда блокировки: Отключить</v>
      </c>
      <c r="S17" s="372"/>
      <c r="U17" s="773"/>
      <c r="V17" s="4"/>
      <c r="W17" s="773"/>
      <c r="X17" s="4"/>
    </row>
    <row r="18" spans="1:24">
      <c r="A18" s="4" t="str">
        <f>SUBSTITUTE($V$2,"\","|")&amp;"|FCOM"</f>
        <v>ALARM_SOUND|FCOM</v>
      </c>
      <c r="B18" s="4" t="s">
        <v>74</v>
      </c>
      <c r="F18" s="4" t="s">
        <v>72</v>
      </c>
      <c r="G18" s="4" t="s">
        <v>71</v>
      </c>
      <c r="H18" s="4">
        <v>0</v>
      </c>
      <c r="I18" s="4" t="s">
        <v>72</v>
      </c>
      <c r="J18" s="4" t="s">
        <v>69</v>
      </c>
      <c r="K18" s="4">
        <v>0</v>
      </c>
      <c r="M18">
        <v>1</v>
      </c>
      <c r="N18" t="s">
        <v>1697</v>
      </c>
      <c r="O18" s="52">
        <f t="shared" si="1"/>
        <v>65500</v>
      </c>
      <c r="R18" t="str">
        <f>IF($U$2=TRUE,$W$2&amp;". Недостоверност обобщенная","Недостоверност обобщенная")</f>
        <v>Дискретный выход FB с буферизацией. Недостоверност обобщенная</v>
      </c>
      <c r="S18" s="372"/>
      <c r="U18" s="773"/>
      <c r="V18" s="4"/>
      <c r="W18" s="773"/>
      <c r="X18" s="4"/>
    </row>
    <row r="19" spans="1:24">
      <c r="A19" s="515" t="str">
        <f>SUBSTITUTE($V$2,"\","|")&amp;"|COON"</f>
        <v>ALARM_SOUND|COON</v>
      </c>
      <c r="B19" t="s">
        <v>74</v>
      </c>
      <c r="F19" t="s">
        <v>72</v>
      </c>
      <c r="G19" t="s">
        <v>71</v>
      </c>
      <c r="H19">
        <v>0</v>
      </c>
      <c r="I19" t="s">
        <v>76</v>
      </c>
      <c r="J19" t="s">
        <v>73</v>
      </c>
      <c r="K19" s="515" t="s">
        <v>1383</v>
      </c>
      <c r="M19">
        <v>1</v>
      </c>
      <c r="R19" t="str">
        <f>IF($U$2=TRUE,$W$2&amp;". Команда оператора включить","Команда оператора включить")</f>
        <v>Дискретный выход FB с буферизацией. Команда оператора включить</v>
      </c>
      <c r="S19" s="372"/>
      <c r="U19" s="773"/>
      <c r="V19" s="4"/>
      <c r="W19" s="773"/>
      <c r="X19" s="4"/>
    </row>
    <row r="20" spans="1:24">
      <c r="A20" s="515" t="str">
        <f>SUBSTITUTE($V$2,"\","|")&amp;"|COOF"</f>
        <v>ALARM_SOUND|COOF</v>
      </c>
      <c r="B20" t="s">
        <v>74</v>
      </c>
      <c r="F20" t="s">
        <v>72</v>
      </c>
      <c r="G20" t="s">
        <v>71</v>
      </c>
      <c r="H20">
        <v>0</v>
      </c>
      <c r="I20" t="s">
        <v>76</v>
      </c>
      <c r="J20" t="s">
        <v>73</v>
      </c>
      <c r="K20" s="515" t="s">
        <v>1383</v>
      </c>
      <c r="M20">
        <v>1</v>
      </c>
      <c r="R20" t="str">
        <f>IF($U$2=TRUE,$W$2&amp;". Команда оператора отключить","Команда оператора отключить")</f>
        <v>Дискретный выход FB с буферизацией. Команда оператора отключить</v>
      </c>
      <c r="S20" s="372"/>
      <c r="U20" s="773"/>
      <c r="V20" s="4"/>
      <c r="W20" s="773"/>
      <c r="X20" s="4"/>
    </row>
    <row r="21" spans="1:24">
      <c r="A21" s="515" t="str">
        <f>SUBSTITUTE($V$2,"\","|")&amp;"|CMMX"</f>
        <v>ALARM_SOUND|CMMX</v>
      </c>
      <c r="B21" t="s">
        <v>74</v>
      </c>
      <c r="F21" t="s">
        <v>72</v>
      </c>
      <c r="G21" t="s">
        <v>71</v>
      </c>
      <c r="H21">
        <v>0</v>
      </c>
      <c r="I21" t="s">
        <v>76</v>
      </c>
      <c r="J21" t="s">
        <v>73</v>
      </c>
      <c r="K21" s="515" t="s">
        <v>1383</v>
      </c>
      <c r="M21">
        <v>1</v>
      </c>
      <c r="R21" t="str">
        <f>IF($U$2=TRUE,$W$2&amp;". Команда перевести в ручной режим управления","Команда перевести в ручной режим управления")</f>
        <v>Дискретный выход FB с буферизацией. Команда перевести в ручной режим управления</v>
      </c>
      <c r="S21" s="372"/>
      <c r="U21" s="773"/>
      <c r="V21" s="4"/>
      <c r="W21" s="773"/>
      <c r="X21" s="4"/>
    </row>
    <row r="22" spans="1:24">
      <c r="A22" s="515" t="str">
        <f>SUBSTITUTE($V$2,"\","|")&amp;"|CRPX"</f>
        <v>ALARM_SOUND|CRPX</v>
      </c>
      <c r="B22" t="s">
        <v>74</v>
      </c>
      <c r="F22" s="4" t="s">
        <v>72</v>
      </c>
      <c r="G22" t="s">
        <v>71</v>
      </c>
      <c r="H22">
        <v>0</v>
      </c>
      <c r="I22" t="s">
        <v>76</v>
      </c>
      <c r="J22" t="s">
        <v>73</v>
      </c>
      <c r="K22" s="515" t="s">
        <v>1383</v>
      </c>
      <c r="M22">
        <v>1</v>
      </c>
      <c r="R22" t="str">
        <f>IF($U$2=TRUE,$W$2&amp;". Команда ремонт","Команда ремонт")</f>
        <v>Дискретный выход FB с буферизацией. Команда ремонт</v>
      </c>
      <c r="S22" s="372"/>
      <c r="U22" s="773"/>
      <c r="V22" s="4"/>
      <c r="W22" s="773"/>
      <c r="X22" s="4"/>
    </row>
    <row r="23" spans="1:24">
      <c r="A23" t="str">
        <f>SUBSTITUTE($V$2,"\","|")&amp;"|IVXX"</f>
        <v>ALARM_SOUND|IVXX</v>
      </c>
      <c r="B23" t="s">
        <v>74</v>
      </c>
      <c r="F23" t="s">
        <v>72</v>
      </c>
      <c r="G23" t="s">
        <v>71</v>
      </c>
      <c r="H23">
        <v>0</v>
      </c>
      <c r="I23" t="s">
        <v>72</v>
      </c>
      <c r="J23" t="s">
        <v>69</v>
      </c>
      <c r="K23">
        <v>0</v>
      </c>
      <c r="M23">
        <v>1</v>
      </c>
      <c r="R23" t="str">
        <f>IF($U$2=TRUE,$W$2&amp;". Входное значение","Входное значение")</f>
        <v>Дискретный выход FB с буферизацией. Входное значение</v>
      </c>
      <c r="S23" s="372"/>
      <c r="U23" s="773"/>
      <c r="V23" s="4"/>
      <c r="W23" s="773"/>
      <c r="X23" s="4"/>
    </row>
    <row r="24" spans="1:24">
      <c r="A24" t="str">
        <f>SUBSTITUTE($V$2,"\","|")&amp;"|FXXX"</f>
        <v>ALARM_SOUND|FXXX</v>
      </c>
      <c r="B24" t="s">
        <v>74</v>
      </c>
      <c r="F24" s="4" t="s">
        <v>72</v>
      </c>
      <c r="G24" t="s">
        <v>71</v>
      </c>
      <c r="H24">
        <v>0</v>
      </c>
      <c r="I24" t="s">
        <v>72</v>
      </c>
      <c r="J24" t="s">
        <v>69</v>
      </c>
      <c r="K24">
        <v>0</v>
      </c>
      <c r="M24">
        <v>1</v>
      </c>
      <c r="R24" t="str">
        <f>IF($U$2=TRUE,$W$2&amp;". Недостоверност обобщенная","Недостоверност обобщенная")</f>
        <v>Дискретный выход FB с буферизацией. Недостоверност обобщенная</v>
      </c>
      <c r="S24" s="372"/>
      <c r="U24" s="773"/>
      <c r="V24" s="4"/>
      <c r="W24" s="773"/>
      <c r="X24" s="4"/>
    </row>
    <row r="25" spans="1:24">
      <c r="A25" t="str">
        <f>SUBSTITUTE($V$2,"\","|")&amp;"|XRPX"</f>
        <v>ALARM_SOUND|XRPX</v>
      </c>
      <c r="B25" t="s">
        <v>74</v>
      </c>
      <c r="F25" s="4" t="s">
        <v>72</v>
      </c>
      <c r="G25" t="s">
        <v>71</v>
      </c>
      <c r="H25">
        <v>0</v>
      </c>
      <c r="I25" t="s">
        <v>72</v>
      </c>
      <c r="J25" t="s">
        <v>69</v>
      </c>
      <c r="K25">
        <v>0</v>
      </c>
      <c r="M25">
        <v>1</v>
      </c>
      <c r="R25" t="str">
        <f>IF($U$2=TRUE,$W$2&amp;". Выведен в ремонт","Выведен в ремонт")</f>
        <v>Дискретный выход FB с буферизацией. Выведен в ремонт</v>
      </c>
      <c r="S25" s="372"/>
      <c r="U25" s="773"/>
      <c r="V25" s="4"/>
      <c r="W25" s="773"/>
      <c r="X25" s="4"/>
    </row>
    <row r="26" spans="1:24">
      <c r="A26" t="str">
        <f>SUBSTITUTE($V$2,"\","|")&amp;"|CPMM"</f>
        <v>ALARM_SOUND|CPMM</v>
      </c>
      <c r="B26" t="s">
        <v>74</v>
      </c>
      <c r="F26" t="s">
        <v>76</v>
      </c>
      <c r="G26" t="s">
        <v>71</v>
      </c>
      <c r="H26">
        <v>0</v>
      </c>
      <c r="I26" t="s">
        <v>76</v>
      </c>
      <c r="J26" t="s">
        <v>73</v>
      </c>
      <c r="K26">
        <v>0</v>
      </c>
      <c r="M26">
        <v>1</v>
      </c>
      <c r="R26" t="str">
        <f>IF($U$2=TRUE,$W$2&amp;". Разрешение на перевод в ручной режим","Разрешение на перевод в ручной режим")</f>
        <v>Дискретный выход FB с буферизацией. Разрешение на перевод в ручной режим</v>
      </c>
      <c r="S26" s="372"/>
      <c r="U26" s="773"/>
      <c r="V26" s="4"/>
      <c r="W26" s="773"/>
      <c r="X26" s="4"/>
    </row>
    <row r="27" spans="1:24">
      <c r="A27" t="str">
        <f>SUBSTITUTE($V$2,"\","|")&amp;"|IRCX"</f>
        <v>ALARM_SOUND|IRCX</v>
      </c>
      <c r="B27" t="s">
        <v>74</v>
      </c>
      <c r="F27" t="s">
        <v>76</v>
      </c>
      <c r="G27" t="s">
        <v>71</v>
      </c>
      <c r="H27">
        <v>0</v>
      </c>
      <c r="I27" t="s">
        <v>76</v>
      </c>
      <c r="J27" t="s">
        <v>69</v>
      </c>
      <c r="K27">
        <v>0</v>
      </c>
      <c r="M27">
        <v>1</v>
      </c>
      <c r="R27" t="str">
        <f>IF($U$2=TRUE,$W$2&amp;". Входное значение Дистанционное управление","Входное значение Дистанционное управление")</f>
        <v>Дискретный выход FB с буферизацией. Входное значение Дистанционное управление</v>
      </c>
      <c r="S27" s="372"/>
      <c r="U27" s="773"/>
      <c r="V27" s="4"/>
      <c r="W27" s="773"/>
      <c r="X27" s="4"/>
    </row>
    <row r="28" spans="1:24">
      <c r="A28" t="str">
        <f>SUBSTITUTE($V$2,"\","|")&amp;"|CDON"</f>
        <v>ALARM_SOUND|CDON</v>
      </c>
      <c r="B28" t="s">
        <v>74</v>
      </c>
      <c r="F28" t="s">
        <v>72</v>
      </c>
      <c r="G28" t="s">
        <v>71</v>
      </c>
      <c r="H28">
        <v>0</v>
      </c>
      <c r="I28" t="s">
        <v>72</v>
      </c>
      <c r="J28" t="s">
        <v>73</v>
      </c>
      <c r="K28">
        <v>0</v>
      </c>
      <c r="M28">
        <v>1</v>
      </c>
      <c r="R28" t="str">
        <f>IF($U$2=TRUE,$W$2&amp;". Запрет включения выключателя","Запрет включения выключателя")</f>
        <v>Дискретный выход FB с буферизацией. Запрет включения выключателя</v>
      </c>
      <c r="S28" s="372"/>
      <c r="U28" s="773"/>
      <c r="V28" s="4"/>
      <c r="W28" s="773"/>
      <c r="X28" s="4"/>
    </row>
    <row r="29" spans="1:24">
      <c r="A29" t="str">
        <f>SUBSTITUTE($V$2,"\","|")&amp;"|CDOF"</f>
        <v>ALARM_SOUND|CDOF</v>
      </c>
      <c r="B29" t="s">
        <v>74</v>
      </c>
      <c r="F29" t="s">
        <v>72</v>
      </c>
      <c r="G29" t="s">
        <v>71</v>
      </c>
      <c r="H29">
        <v>0</v>
      </c>
      <c r="I29" t="s">
        <v>72</v>
      </c>
      <c r="J29" t="s">
        <v>73</v>
      </c>
      <c r="K29">
        <v>0</v>
      </c>
      <c r="M29">
        <v>1</v>
      </c>
      <c r="R29" t="str">
        <f>IF($U$2=TRUE,$W$2&amp;". Запрет отключения выключателя","Запрет отключения выключателя")</f>
        <v>Дискретный выход FB с буферизацией. Запрет отключения выключателя</v>
      </c>
      <c r="S29" s="372"/>
      <c r="U29" s="773"/>
      <c r="V29" s="4"/>
      <c r="W29" s="773"/>
      <c r="X29" s="4"/>
    </row>
    <row r="30" spans="1:24">
      <c r="A30" t="str">
        <f>SUBSTITUTE($V$2,"\","|")&amp;"|STCX"</f>
        <v>ALARM_SOUND|STCX</v>
      </c>
      <c r="B30" t="s">
        <v>78</v>
      </c>
      <c r="F30">
        <v>10</v>
      </c>
      <c r="G30" t="s">
        <v>71</v>
      </c>
      <c r="H30">
        <v>0</v>
      </c>
      <c r="I30" t="s">
        <v>76</v>
      </c>
      <c r="J30" t="s">
        <v>73</v>
      </c>
      <c r="K30">
        <v>0</v>
      </c>
      <c r="M30">
        <v>1</v>
      </c>
      <c r="R30" t="str">
        <f>IF($U$2=TRUE,$W$2&amp;". Время перестановки (с)","Время перестановки (с)")</f>
        <v>Дискретный выход FB с буферизацией. Время перестановки (с)</v>
      </c>
      <c r="S30" s="372"/>
      <c r="U30" s="773"/>
      <c r="V30" s="4"/>
      <c r="W30" s="773"/>
      <c r="X30" s="4"/>
    </row>
    <row r="31" spans="1:24">
      <c r="A31" s="4" t="str">
        <f>SUBSTITUTE($V$2,"\","|")&amp;"|OXON"</f>
        <v>ALARM_SOUND|OXON</v>
      </c>
      <c r="B31" s="4" t="s">
        <v>74</v>
      </c>
      <c r="F31" s="4" t="s">
        <v>72</v>
      </c>
      <c r="G31" s="4" t="s">
        <v>71</v>
      </c>
      <c r="H31" s="4">
        <v>0</v>
      </c>
      <c r="I31" s="4" t="s">
        <v>76</v>
      </c>
      <c r="J31" s="4" t="s">
        <v>69</v>
      </c>
      <c r="K31" s="4">
        <v>0</v>
      </c>
      <c r="M31">
        <v>1</v>
      </c>
      <c r="R31" t="str">
        <f>IF($U$2=TRUE,$W$2&amp;". Выходное значение Включить","Выходное значение Включить")</f>
        <v>Дискретный выход FB с буферизацией. Выходное значение Включить</v>
      </c>
      <c r="S31" s="372"/>
      <c r="U31" s="773"/>
      <c r="V31" s="4"/>
      <c r="W31" s="773"/>
      <c r="X31" s="4"/>
    </row>
    <row r="32" spans="1:24">
      <c r="A32" s="4" t="str">
        <f>SUBSTITUTE($V$2,"\","|")&amp;"|OXOF"</f>
        <v>ALARM_SOUND|OXOF</v>
      </c>
      <c r="B32" s="4" t="s">
        <v>74</v>
      </c>
      <c r="F32" s="4" t="s">
        <v>72</v>
      </c>
      <c r="G32" s="4" t="s">
        <v>71</v>
      </c>
      <c r="H32" s="4">
        <v>0</v>
      </c>
      <c r="I32" s="4" t="s">
        <v>76</v>
      </c>
      <c r="J32" s="4" t="s">
        <v>69</v>
      </c>
      <c r="K32" s="4">
        <v>0</v>
      </c>
      <c r="M32">
        <v>1</v>
      </c>
      <c r="R32" t="str">
        <f>IF($U$2=TRUE,$W$2&amp;". Выходное значение Отключить","Выходное значение Отключить")</f>
        <v>Дискретный выход FB с буферизацией. Выходное значение Отключить</v>
      </c>
      <c r="S32" s="372"/>
      <c r="U32" s="773"/>
      <c r="V32" s="4"/>
      <c r="W32" s="773"/>
      <c r="X32" s="4"/>
    </row>
    <row r="33" spans="1:24">
      <c r="A33" s="4" t="str">
        <f>SUBSTITUTE($V$2,"\","|")&amp;"|OCON"</f>
        <v>ALARM_SOUND|OCON</v>
      </c>
      <c r="B33" s="4" t="s">
        <v>74</v>
      </c>
      <c r="F33" s="4" t="s">
        <v>72</v>
      </c>
      <c r="G33" s="4" t="s">
        <v>71</v>
      </c>
      <c r="H33" s="4">
        <v>0</v>
      </c>
      <c r="I33" s="4" t="s">
        <v>76</v>
      </c>
      <c r="J33" s="4" t="s">
        <v>69</v>
      </c>
      <c r="K33" s="4">
        <v>0</v>
      </c>
      <c r="M33">
        <v>1</v>
      </c>
      <c r="R33" t="str">
        <f>IF($U$2=TRUE,$W$2&amp;". Выходное значение Включить","Выходное значение Включить")</f>
        <v>Дискретный выход FB с буферизацией. Выходное значение Включить</v>
      </c>
      <c r="S33" s="372"/>
      <c r="U33" s="773"/>
      <c r="V33" s="4"/>
      <c r="W33" s="773"/>
      <c r="X33" s="4"/>
    </row>
    <row r="34" spans="1:24">
      <c r="A34" s="4" t="str">
        <f>SUBSTITUTE($V$2,"\","|")&amp;"|OCOF"</f>
        <v>ALARM_SOUND|OCOF</v>
      </c>
      <c r="B34" s="4" t="s">
        <v>74</v>
      </c>
      <c r="F34" s="4" t="s">
        <v>72</v>
      </c>
      <c r="G34" s="4" t="s">
        <v>71</v>
      </c>
      <c r="H34" s="4">
        <v>0</v>
      </c>
      <c r="I34" s="4" t="s">
        <v>76</v>
      </c>
      <c r="J34" s="4" t="s">
        <v>69</v>
      </c>
      <c r="K34" s="4">
        <v>0</v>
      </c>
      <c r="M34">
        <v>1</v>
      </c>
      <c r="R34" t="str">
        <f>IF($U$2=TRUE,$W$2&amp;". Выходное значение Отключить","Выходное значение Отключить")</f>
        <v>Дискретный выход FB с буферизацией. Выходное значение Отключить</v>
      </c>
      <c r="S34" s="372"/>
      <c r="U34" s="773"/>
      <c r="V34" s="4"/>
      <c r="W34" s="773"/>
      <c r="X34" s="4"/>
    </row>
    <row r="35" spans="1:24">
      <c r="A35" s="4" t="str">
        <f>SUBSTITUTE($V$2,"\","|")&amp;"|SMMX"</f>
        <v>ALARM_SOUND|SMMX</v>
      </c>
      <c r="B35" s="4" t="s">
        <v>74</v>
      </c>
      <c r="F35" s="4" t="s">
        <v>72</v>
      </c>
      <c r="G35" s="4" t="s">
        <v>237</v>
      </c>
      <c r="H35" s="4">
        <v>0</v>
      </c>
      <c r="I35" s="4" t="s">
        <v>76</v>
      </c>
      <c r="J35" t="s">
        <v>69</v>
      </c>
      <c r="K35" s="4">
        <v>0</v>
      </c>
      <c r="M35">
        <v>1</v>
      </c>
      <c r="R35" t="str">
        <f>IF($U$2=TRUE,$W$2&amp;". Настройка перехода ручной/автоматический","Настройка перехода ручной/автоматический")</f>
        <v>Дискретный выход FB с буферизацией. Настройка перехода ручной/автоматический</v>
      </c>
      <c r="S35" s="372"/>
      <c r="U35" s="773"/>
      <c r="V35" s="4"/>
      <c r="W35" s="773"/>
      <c r="X35" s="4"/>
    </row>
    <row r="36" spans="1:24">
      <c r="A36" s="514" t="str">
        <f>"PACK_TO_INT|STATE|"&amp;SUBSTITUTE($V$2,"\","|")</f>
        <v>PACK_TO_INT|STATE|ALARM_SOUND</v>
      </c>
      <c r="B36" s="4" t="s">
        <v>78</v>
      </c>
      <c r="F36" s="4">
        <v>0</v>
      </c>
      <c r="G36" s="4" t="s">
        <v>71</v>
      </c>
      <c r="H36" s="4">
        <v>0</v>
      </c>
      <c r="I36" s="4" t="s">
        <v>72</v>
      </c>
      <c r="J36" s="4" t="s">
        <v>73</v>
      </c>
      <c r="K36" s="514">
        <v>1</v>
      </c>
      <c r="M36" s="4"/>
    </row>
    <row r="37" spans="1:24">
      <c r="A37" s="4"/>
      <c r="B37" s="4"/>
      <c r="F37" s="4"/>
      <c r="G37" s="4"/>
      <c r="H37" s="4"/>
      <c r="I37" s="4"/>
      <c r="J37" s="4"/>
      <c r="K37" s="4"/>
      <c r="M37" s="4"/>
    </row>
    <row r="38" spans="1:24">
      <c r="A38" s="4"/>
      <c r="B38" s="4"/>
      <c r="F38" s="4"/>
      <c r="G38" s="4"/>
      <c r="H38" s="4"/>
      <c r="I38" s="4"/>
      <c r="J38" s="4"/>
      <c r="K38" s="4"/>
      <c r="M38" s="4"/>
    </row>
    <row r="39" spans="1:24">
      <c r="A39" s="4"/>
      <c r="B39" s="4"/>
      <c r="F39" s="4"/>
      <c r="G39" s="4"/>
      <c r="H39" s="4"/>
      <c r="I39" s="4"/>
      <c r="J39" s="4"/>
      <c r="K39" s="4"/>
      <c r="M39" s="4"/>
    </row>
    <row r="40" spans="1:24">
      <c r="A40" s="4"/>
      <c r="B40" s="4"/>
      <c r="F40" s="4"/>
      <c r="G40" s="4"/>
      <c r="H40" s="4"/>
      <c r="I40" s="4"/>
      <c r="J40" s="4"/>
      <c r="K40" s="4"/>
      <c r="M40" s="4"/>
      <c r="W40" s="4"/>
    </row>
    <row r="41" spans="1:24">
      <c r="A41" s="4"/>
      <c r="B41" s="4"/>
      <c r="F41" s="4"/>
      <c r="G41" s="4"/>
      <c r="H41" s="4"/>
      <c r="I41" s="4"/>
      <c r="J41" s="4"/>
      <c r="K41" s="4"/>
      <c r="M41" s="4"/>
      <c r="W41" s="4"/>
    </row>
    <row r="42" spans="1:24">
      <c r="W42" s="4"/>
    </row>
    <row r="43" spans="1:24">
      <c r="W43" s="4"/>
    </row>
    <row r="44" spans="1:24">
      <c r="W44" s="4"/>
    </row>
    <row r="45" spans="1:24">
      <c r="W45" s="4"/>
    </row>
    <row r="46" spans="1:24">
      <c r="W46" s="4"/>
    </row>
    <row r="47" spans="1:24">
      <c r="W47" s="4"/>
    </row>
    <row r="48" spans="1:24">
      <c r="W48" s="4"/>
    </row>
    <row r="49" spans="23:23">
      <c r="W49" s="4"/>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codeName="Лист173">
    <tabColor rgb="FF92D050"/>
  </sheetPr>
  <dimension ref="A1:AC49"/>
  <sheetViews>
    <sheetView topLeftCell="G1"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8.33203125" customWidth="1"/>
    <col min="16" max="16" width="4.6640625" customWidth="1"/>
    <col min="17" max="17" width="4.88671875" customWidth="1"/>
    <col min="18" max="18" width="65.44140625" customWidth="1"/>
    <col min="19" max="19" width="17.6640625" bestFit="1" customWidth="1"/>
    <col min="20" max="20" width="8.88671875" customWidth="1"/>
    <col min="21" max="21" width="34" bestFit="1" customWidth="1"/>
    <col min="22" max="22" width="16.6640625" customWidth="1"/>
    <col min="23" max="23" width="30" customWidth="1"/>
    <col min="24" max="29" width="16.6640625" customWidth="1"/>
    <col min="30" max="30" width="18.88671875" customWidth="1"/>
  </cols>
  <sheetData>
    <row r="1" spans="1:29">
      <c r="A1" s="10"/>
      <c r="B1" s="10"/>
      <c r="F1" s="10"/>
      <c r="G1" s="10"/>
      <c r="H1" s="10"/>
      <c r="I1" s="10"/>
      <c r="J1" s="10"/>
      <c r="K1" s="10"/>
      <c r="M1" s="10"/>
      <c r="N1" s="10"/>
      <c r="O1" s="10"/>
      <c r="P1" s="10"/>
      <c r="Q1" s="10"/>
      <c r="R1" s="10"/>
      <c r="S1" s="54" t="s">
        <v>1471</v>
      </c>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14.25" customHeight="1">
      <c r="A2" s="10"/>
      <c r="B2" s="10"/>
      <c r="F2" s="10"/>
      <c r="G2" s="10"/>
      <c r="H2" s="10"/>
      <c r="I2" s="10"/>
      <c r="J2" s="10"/>
      <c r="K2" s="10"/>
      <c r="M2" s="10"/>
      <c r="N2" s="10"/>
      <c r="O2" s="10"/>
      <c r="P2" s="10"/>
      <c r="Q2" s="10"/>
      <c r="R2" s="10"/>
      <c r="S2" s="3">
        <f>Настройки!$M$32</f>
        <v>65500</v>
      </c>
      <c r="U2" s="74" t="b">
        <f>Настройки!$M$34</f>
        <v>1</v>
      </c>
      <c r="V2" s="73" t="s">
        <v>524</v>
      </c>
      <c r="W2" s="537" t="s">
        <v>1813</v>
      </c>
      <c r="X2" s="73"/>
      <c r="Y2" s="73"/>
      <c r="Z2" s="73"/>
      <c r="AA2" s="74"/>
      <c r="AB2" s="74"/>
      <c r="AC2" s="74"/>
    </row>
    <row r="3" spans="1:29">
      <c r="A3" s="515" t="str">
        <f>SUBSTITUTE($V$2,"\","|")</f>
        <v>DO_OPC</v>
      </c>
      <c r="B3" t="s">
        <v>74</v>
      </c>
      <c r="F3" t="s">
        <v>72</v>
      </c>
      <c r="G3" t="s">
        <v>71</v>
      </c>
      <c r="H3">
        <v>0</v>
      </c>
      <c r="I3" t="s">
        <v>72</v>
      </c>
      <c r="J3" t="s">
        <v>73</v>
      </c>
      <c r="K3" s="515" t="s">
        <v>1383</v>
      </c>
      <c r="M3">
        <v>1</v>
      </c>
      <c r="N3" t="s">
        <v>1697</v>
      </c>
      <c r="O3" s="52">
        <f>$S$2</f>
        <v>65500</v>
      </c>
      <c r="R3" t="str">
        <f>IF($U$2=TRUE,$W$2&amp;". Команда","Команда")</f>
        <v>Дискретный выход (для кнопок) с буферизацией. Команда</v>
      </c>
      <c r="S3" s="372"/>
      <c r="U3" s="773"/>
      <c r="V3" s="4"/>
      <c r="W3" s="773"/>
      <c r="X3" s="4"/>
    </row>
    <row r="4" spans="1:29">
      <c r="W4" s="4"/>
    </row>
    <row r="8" spans="1:29">
      <c r="A8" s="4"/>
      <c r="B8" s="4"/>
      <c r="F8" s="4"/>
      <c r="G8" s="4"/>
      <c r="H8" s="4"/>
      <c r="I8" s="4"/>
      <c r="J8" s="4"/>
      <c r="K8" s="4"/>
      <c r="M8" s="4"/>
    </row>
    <row r="10" spans="1:29">
      <c r="W10" s="4"/>
    </row>
    <row r="29" spans="1:13">
      <c r="A29" s="4"/>
      <c r="B29" s="4"/>
      <c r="F29" s="4"/>
      <c r="G29" s="4"/>
      <c r="H29" s="4"/>
      <c r="I29" s="4"/>
      <c r="J29" s="4"/>
      <c r="K29" s="4"/>
      <c r="M29" s="4"/>
    </row>
    <row r="30" spans="1:13">
      <c r="A30" s="4"/>
      <c r="B30" s="4"/>
      <c r="F30" s="4"/>
      <c r="G30" s="4"/>
      <c r="H30" s="4"/>
      <c r="I30" s="4"/>
      <c r="J30" s="4"/>
      <c r="K30" s="4"/>
      <c r="M30" s="4"/>
    </row>
    <row r="31" spans="1:13">
      <c r="A31" s="4"/>
      <c r="B31" s="4"/>
      <c r="F31" s="4"/>
      <c r="G31" s="4"/>
      <c r="H31" s="4"/>
      <c r="I31" s="4"/>
      <c r="J31" s="4"/>
      <c r="K31" s="4"/>
      <c r="M31" s="4"/>
    </row>
    <row r="32" spans="1:13">
      <c r="A32" s="4"/>
      <c r="B32" s="4"/>
      <c r="F32" s="4"/>
      <c r="G32" s="4"/>
      <c r="H32" s="4"/>
      <c r="I32" s="4"/>
      <c r="J32" s="4"/>
      <c r="K32" s="4"/>
      <c r="M32" s="4"/>
    </row>
    <row r="33" spans="1:23">
      <c r="A33" s="4"/>
      <c r="B33" s="4"/>
      <c r="F33" s="4"/>
      <c r="G33" s="4"/>
      <c r="H33" s="4"/>
      <c r="I33" s="4"/>
      <c r="J33" s="4"/>
      <c r="K33" s="4"/>
      <c r="M33" s="4"/>
    </row>
    <row r="34" spans="1:23">
      <c r="A34" s="4"/>
      <c r="B34" s="4"/>
      <c r="F34" s="4"/>
      <c r="G34" s="4"/>
      <c r="H34" s="4"/>
      <c r="I34" s="4"/>
      <c r="J34" s="4"/>
      <c r="K34" s="4"/>
      <c r="M34" s="4"/>
    </row>
    <row r="35" spans="1:23">
      <c r="A35" s="4"/>
      <c r="B35" s="4"/>
      <c r="F35" s="4"/>
      <c r="G35" s="4"/>
      <c r="H35" s="4"/>
      <c r="I35" s="4"/>
      <c r="J35" s="4"/>
      <c r="K35" s="4"/>
      <c r="M35" s="4"/>
    </row>
    <row r="36" spans="1:23">
      <c r="A36" s="4"/>
      <c r="B36" s="4"/>
      <c r="F36" s="4"/>
      <c r="G36" s="4"/>
      <c r="H36" s="4"/>
      <c r="I36" s="4"/>
      <c r="J36" s="4"/>
      <c r="K36" s="4"/>
      <c r="M36" s="4"/>
    </row>
    <row r="37" spans="1:23">
      <c r="A37" s="4"/>
      <c r="B37" s="4"/>
      <c r="F37" s="4"/>
      <c r="G37" s="4"/>
      <c r="H37" s="4"/>
      <c r="I37" s="4"/>
      <c r="J37" s="4"/>
      <c r="K37" s="4"/>
      <c r="M37" s="4"/>
    </row>
    <row r="38" spans="1:23">
      <c r="A38" s="4"/>
      <c r="B38" s="4"/>
      <c r="F38" s="4"/>
      <c r="G38" s="4"/>
      <c r="H38" s="4"/>
      <c r="I38" s="4"/>
      <c r="J38" s="4"/>
      <c r="K38" s="4"/>
      <c r="M38" s="4"/>
    </row>
    <row r="39" spans="1:23">
      <c r="A39" s="4"/>
      <c r="B39" s="4"/>
      <c r="F39" s="4"/>
      <c r="G39" s="4"/>
      <c r="H39" s="4"/>
      <c r="I39" s="4"/>
      <c r="J39" s="4"/>
      <c r="K39" s="4"/>
      <c r="M39" s="4"/>
    </row>
    <row r="40" spans="1:23">
      <c r="A40" s="4"/>
      <c r="B40" s="4"/>
      <c r="F40" s="4"/>
      <c r="G40" s="4"/>
      <c r="H40" s="4"/>
      <c r="I40" s="4"/>
      <c r="J40" s="4"/>
      <c r="K40" s="4"/>
      <c r="M40" s="4"/>
      <c r="W40" s="4"/>
    </row>
    <row r="41" spans="1:23">
      <c r="A41" s="4"/>
      <c r="B41" s="4"/>
      <c r="F41" s="4"/>
      <c r="G41" s="4"/>
      <c r="H41" s="4"/>
      <c r="I41" s="4"/>
      <c r="J41" s="4"/>
      <c r="K41" s="4"/>
      <c r="M41" s="4"/>
      <c r="W41" s="4"/>
    </row>
    <row r="42" spans="1:23">
      <c r="W42" s="4"/>
    </row>
    <row r="43" spans="1:23">
      <c r="W43" s="4"/>
    </row>
    <row r="44" spans="1:23">
      <c r="W44" s="4"/>
    </row>
    <row r="45" spans="1:23">
      <c r="W45" s="4"/>
    </row>
    <row r="46" spans="1:23">
      <c r="W46" s="4"/>
    </row>
    <row r="47" spans="1:23">
      <c r="W47" s="4"/>
    </row>
    <row r="48" spans="1:23">
      <c r="W48" s="4"/>
    </row>
    <row r="49" spans="23:23">
      <c r="W49" s="4"/>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codeName="Лист165">
    <tabColor rgb="FF92D050"/>
  </sheetPr>
  <dimension ref="A1:AC61"/>
  <sheetViews>
    <sheetView zoomScale="60" zoomScaleNormal="60"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6.33203125" bestFit="1" customWidth="1"/>
    <col min="15" max="15" width="5.44140625" customWidth="1"/>
    <col min="16" max="16" width="4.6640625" customWidth="1"/>
    <col min="17" max="17" width="4.88671875" customWidth="1"/>
    <col min="18" max="18" width="65.44140625" customWidth="1"/>
    <col min="19" max="20" width="9.109375" customWidth="1"/>
    <col min="21" max="21" width="35.109375"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c r="A2" s="10"/>
      <c r="B2" s="10"/>
      <c r="F2" s="10"/>
      <c r="G2" s="10"/>
      <c r="H2" s="10"/>
      <c r="I2" s="10"/>
      <c r="J2" s="10"/>
      <c r="K2" s="10"/>
      <c r="M2" s="10"/>
      <c r="N2" s="10"/>
      <c r="O2" s="10"/>
      <c r="P2" s="10"/>
      <c r="Q2" s="10"/>
      <c r="R2" s="10"/>
      <c r="U2" s="74" t="b">
        <f>Настройки!$M$34</f>
        <v>1</v>
      </c>
      <c r="V2" s="73" t="s">
        <v>715</v>
      </c>
      <c r="W2" s="537" t="s">
        <v>2921</v>
      </c>
      <c r="X2" s="73"/>
      <c r="Y2" s="73"/>
      <c r="Z2" s="73"/>
      <c r="AA2" s="74"/>
      <c r="AB2" s="74"/>
      <c r="AC2" s="74"/>
    </row>
    <row r="3" spans="1:29">
      <c r="A3" t="str">
        <f>SUBSTITUTE($V$2,"\","|")&amp;"|DLCX"</f>
        <v>REG_test|DLCX</v>
      </c>
      <c r="B3" t="s">
        <v>74</v>
      </c>
      <c r="F3" t="s">
        <v>72</v>
      </c>
      <c r="G3" t="s">
        <v>71</v>
      </c>
      <c r="H3">
        <v>0</v>
      </c>
      <c r="I3" t="s">
        <v>72</v>
      </c>
      <c r="J3" t="s">
        <v>69</v>
      </c>
      <c r="K3">
        <v>0</v>
      </c>
      <c r="M3">
        <v>1</v>
      </c>
      <c r="N3" t="s">
        <v>1697</v>
      </c>
      <c r="O3" s="52">
        <f t="shared" ref="O3:O31" si="0">$S$2</f>
        <v>0</v>
      </c>
      <c r="R3" t="str">
        <f>IF($U$2=TRUE,$W$2&amp;". Недостоверное входное значение Местное управление","Недостоверное входное значение Местное управление")</f>
        <v>Регулятор FB с буферизацией. Недостоверное входное значение Местное управление</v>
      </c>
      <c r="S3" s="372"/>
      <c r="U3" s="773"/>
      <c r="V3" s="4"/>
      <c r="W3" s="773"/>
      <c r="X3" s="4"/>
    </row>
    <row r="4" spans="1:29">
      <c r="A4" t="str">
        <f>SUBSTITUTE($V$2,"\","|")&amp;"|DRCX"</f>
        <v>REG_test|DRCX</v>
      </c>
      <c r="B4" t="s">
        <v>74</v>
      </c>
      <c r="F4" t="s">
        <v>72</v>
      </c>
      <c r="G4" t="s">
        <v>71</v>
      </c>
      <c r="H4">
        <v>0</v>
      </c>
      <c r="I4" t="s">
        <v>72</v>
      </c>
      <c r="J4" t="s">
        <v>69</v>
      </c>
      <c r="K4">
        <v>0</v>
      </c>
      <c r="M4">
        <v>1</v>
      </c>
      <c r="N4" t="s">
        <v>1697</v>
      </c>
      <c r="O4" s="52">
        <f t="shared" si="0"/>
        <v>0</v>
      </c>
      <c r="R4" t="str">
        <f>IF($U$2=TRUE,$W$2&amp;". Недостоверное входное значение Дистанционное управление","Недостоверное входное значение Дистанционное управление")</f>
        <v>Регулятор FB с буферизацией. Недостоверное входное значение Дистанционное управление</v>
      </c>
      <c r="S4" s="372"/>
      <c r="U4" s="773"/>
      <c r="V4" s="4"/>
      <c r="W4" s="773"/>
      <c r="X4" s="4"/>
    </row>
    <row r="5" spans="1:29">
      <c r="A5" t="str">
        <f>SUBSTITUTE($V$2,"\","|")&amp;"|DFXX"</f>
        <v>REG_test|DFXX</v>
      </c>
      <c r="B5" t="s">
        <v>74</v>
      </c>
      <c r="F5" t="s">
        <v>72</v>
      </c>
      <c r="G5" t="s">
        <v>71</v>
      </c>
      <c r="H5">
        <v>0</v>
      </c>
      <c r="I5" t="s">
        <v>72</v>
      </c>
      <c r="J5" t="s">
        <v>69</v>
      </c>
      <c r="K5">
        <v>0</v>
      </c>
      <c r="M5">
        <v>1</v>
      </c>
      <c r="N5" t="s">
        <v>1697</v>
      </c>
      <c r="O5" s="52">
        <f t="shared" si="0"/>
        <v>0</v>
      </c>
      <c r="R5" t="str">
        <f>IF($U$2=TRUE,$W$2&amp;". Недостоверное входное значение Неисправность","Недостоверное входное значение Неисправность")</f>
        <v>Регулятор FB с буферизацией. Недостоверное входное значение Неисправность</v>
      </c>
      <c r="S5" s="372"/>
      <c r="U5" s="773"/>
      <c r="V5" s="4"/>
      <c r="W5" s="773"/>
      <c r="X5" s="4"/>
    </row>
    <row r="6" spans="1:29">
      <c r="A6" t="str">
        <f>SUBSTITUTE($V$2,"\","|")&amp;"|DCPX"</f>
        <v>REG_test|DCPX</v>
      </c>
      <c r="B6" t="s">
        <v>74</v>
      </c>
      <c r="F6" t="s">
        <v>72</v>
      </c>
      <c r="G6" t="s">
        <v>71</v>
      </c>
      <c r="H6">
        <v>0</v>
      </c>
      <c r="I6" t="s">
        <v>72</v>
      </c>
      <c r="J6" t="s">
        <v>69</v>
      </c>
      <c r="K6">
        <v>0</v>
      </c>
      <c r="M6">
        <v>1</v>
      </c>
      <c r="N6" t="s">
        <v>1697</v>
      </c>
      <c r="O6" s="52">
        <f t="shared" si="0"/>
        <v>0</v>
      </c>
      <c r="R6" t="str">
        <f>IF($U$2=TRUE,$W$2&amp;". Недостоверное входное значение Текущее положение","Недостоверное входное значение Текущее положение")</f>
        <v>Регулятор FB с буферизацией. Недостоверное входное значение Текущее положение</v>
      </c>
      <c r="S6" s="372"/>
      <c r="U6" s="773"/>
      <c r="V6" s="4"/>
      <c r="W6" s="773"/>
      <c r="X6" s="4"/>
    </row>
    <row r="7" spans="1:29">
      <c r="A7" t="str">
        <f>SUBSTITUTE($V$2,"\","|")&amp;"|DCAX"</f>
        <v>REG_test|DCAX</v>
      </c>
      <c r="B7" t="s">
        <v>74</v>
      </c>
      <c r="F7" t="s">
        <v>72</v>
      </c>
      <c r="G7" t="s">
        <v>71</v>
      </c>
      <c r="H7">
        <v>0</v>
      </c>
      <c r="I7" t="s">
        <v>72</v>
      </c>
      <c r="J7" t="s">
        <v>69</v>
      </c>
      <c r="K7">
        <v>0</v>
      </c>
      <c r="M7">
        <v>1</v>
      </c>
      <c r="N7" t="s">
        <v>1697</v>
      </c>
      <c r="O7" s="52">
        <f t="shared" si="0"/>
        <v>0</v>
      </c>
      <c r="R7" t="str">
        <f>IF($U$2=TRUE,$W$2&amp;". Недостоверное выходное значение Управялющее воздействие","Недостоверное выходное значение Управялющее воздействие")</f>
        <v>Регулятор FB с буферизацией. Недостоверное выходное значение Управялющее воздействие</v>
      </c>
      <c r="S7" s="372"/>
      <c r="U7" s="773"/>
      <c r="V7" s="4"/>
      <c r="W7" s="773"/>
      <c r="X7" s="4"/>
    </row>
    <row r="8" spans="1:29">
      <c r="A8" t="str">
        <f>SUBSTITUTE($V$2,"\","|")&amp;"|CEXX"</f>
        <v>REG_test|CEXX</v>
      </c>
      <c r="B8" t="s">
        <v>74</v>
      </c>
      <c r="F8" t="s">
        <v>72</v>
      </c>
      <c r="G8" t="s">
        <v>71</v>
      </c>
      <c r="H8">
        <v>0</v>
      </c>
      <c r="I8" t="s">
        <v>76</v>
      </c>
      <c r="J8" t="s">
        <v>73</v>
      </c>
      <c r="K8">
        <v>0</v>
      </c>
      <c r="M8">
        <v>1</v>
      </c>
      <c r="N8" t="s">
        <v>1697</v>
      </c>
      <c r="O8" s="52">
        <f t="shared" si="0"/>
        <v>0</v>
      </c>
      <c r="R8" t="str">
        <f>IF($U$2=TRUE,$W$2&amp;". Команда ПАЗ: перейти в заданное состояние","Команда ПАЗ: перейти в заданное состояние")</f>
        <v>Регулятор FB с буферизацией. Команда ПАЗ: перейти в заданное состояние</v>
      </c>
      <c r="S8" s="372"/>
      <c r="U8" s="773"/>
      <c r="V8" s="4"/>
      <c r="W8" s="773"/>
      <c r="X8" s="4"/>
    </row>
    <row r="9" spans="1:29">
      <c r="A9" t="str">
        <f>SUBSTITUTE($V$2,"\","|")&amp;"|XMMX"</f>
        <v>REG_test|XMMX</v>
      </c>
      <c r="B9" t="s">
        <v>74</v>
      </c>
      <c r="F9" t="s">
        <v>72</v>
      </c>
      <c r="G9" t="s">
        <v>71</v>
      </c>
      <c r="H9">
        <v>0</v>
      </c>
      <c r="I9" t="s">
        <v>72</v>
      </c>
      <c r="J9" t="s">
        <v>69</v>
      </c>
      <c r="K9">
        <v>0</v>
      </c>
      <c r="M9">
        <v>1</v>
      </c>
      <c r="N9" t="s">
        <v>1697</v>
      </c>
      <c r="O9" s="52">
        <f t="shared" si="0"/>
        <v>0</v>
      </c>
      <c r="R9" t="str">
        <f>IF($U$2=TRUE,$W$2&amp;". Выходное заначение Ручное управление","Выходное заначение Ручное управление")</f>
        <v>Регулятор FB с буферизацией. Выходное заначение Ручное управление</v>
      </c>
      <c r="S9" s="372"/>
      <c r="U9" s="773"/>
      <c r="V9" s="4"/>
      <c r="W9" s="773"/>
      <c r="X9" s="4"/>
    </row>
    <row r="10" spans="1:29">
      <c r="A10" t="str">
        <f>SUBSTITUTE($V$2,"\","|")&amp;"|XRCX"</f>
        <v>REG_test|XRCX</v>
      </c>
      <c r="B10" t="s">
        <v>74</v>
      </c>
      <c r="F10" t="s">
        <v>72</v>
      </c>
      <c r="G10" t="s">
        <v>71</v>
      </c>
      <c r="H10">
        <v>0</v>
      </c>
      <c r="I10" t="s">
        <v>72</v>
      </c>
      <c r="J10" t="s">
        <v>69</v>
      </c>
      <c r="K10">
        <v>0</v>
      </c>
      <c r="M10">
        <v>1</v>
      </c>
      <c r="N10" t="s">
        <v>1697</v>
      </c>
      <c r="O10" s="52">
        <f t="shared" si="0"/>
        <v>0</v>
      </c>
      <c r="R10" t="str">
        <f>IF($U$2=TRUE,$W$2&amp;". Выходное значение Дистанционное управление","Выходное значение Дистанционное управление")</f>
        <v>Регулятор FB с буферизацией. Выходное значение Дистанционное управление</v>
      </c>
      <c r="S10" s="372"/>
      <c r="U10" s="773"/>
      <c r="V10" s="4"/>
      <c r="W10" s="773"/>
      <c r="X10" s="4"/>
    </row>
    <row r="11" spans="1:29">
      <c r="A11" t="str">
        <f>SUBSTITUTE($V$2,"\","|")&amp;"|FSCX"</f>
        <v>REG_test|FSCX</v>
      </c>
      <c r="B11" t="s">
        <v>74</v>
      </c>
      <c r="F11" t="s">
        <v>72</v>
      </c>
      <c r="G11" t="s">
        <v>71</v>
      </c>
      <c r="H11">
        <v>0</v>
      </c>
      <c r="I11" t="s">
        <v>72</v>
      </c>
      <c r="J11" t="s">
        <v>69</v>
      </c>
      <c r="K11">
        <v>0</v>
      </c>
      <c r="M11">
        <v>1</v>
      </c>
      <c r="N11" t="s">
        <v>1697</v>
      </c>
      <c r="O11" s="52">
        <f t="shared" si="0"/>
        <v>0</v>
      </c>
      <c r="R11" t="str">
        <f>IF($U$2=TRUE,$W$2&amp;". КЗ цепи текущего положения","КЗ цепи текущего положения")</f>
        <v>Регулятор FB с буферизацией. КЗ цепи текущего положения</v>
      </c>
      <c r="S11" s="372"/>
      <c r="U11" s="773"/>
      <c r="V11" s="4"/>
      <c r="W11" s="773"/>
      <c r="X11" s="4"/>
    </row>
    <row r="12" spans="1:29">
      <c r="A12" t="str">
        <f>SUBSTITUTE($V$2,"\","|")&amp;"|FBXX"</f>
        <v>REG_test|FBXX</v>
      </c>
      <c r="B12" t="s">
        <v>74</v>
      </c>
      <c r="F12" t="s">
        <v>72</v>
      </c>
      <c r="G12" t="s">
        <v>71</v>
      </c>
      <c r="H12">
        <v>0</v>
      </c>
      <c r="I12" t="s">
        <v>72</v>
      </c>
      <c r="J12" t="s">
        <v>69</v>
      </c>
      <c r="K12">
        <v>0</v>
      </c>
      <c r="M12">
        <v>1</v>
      </c>
      <c r="N12" t="s">
        <v>1697</v>
      </c>
      <c r="O12" s="52">
        <f t="shared" si="0"/>
        <v>0</v>
      </c>
      <c r="R12" t="str">
        <f>IF($U$2=TRUE,$W$2&amp;". Обрыв цепи текущего положения","Обрыв цепи текущего положения")</f>
        <v>Регулятор FB с буферизацией. Обрыв цепи текущего положения</v>
      </c>
      <c r="S12" s="372"/>
      <c r="U12" s="773"/>
      <c r="V12" s="4"/>
      <c r="W12" s="773"/>
      <c r="X12" s="4"/>
    </row>
    <row r="13" spans="1:29">
      <c r="A13" t="str">
        <f>SUBSTITUTE($V$2,"\","|")&amp;"|FMVX"</f>
        <v>REG_test|FMVX</v>
      </c>
      <c r="B13" t="s">
        <v>74</v>
      </c>
      <c r="F13" t="s">
        <v>72</v>
      </c>
      <c r="G13" t="s">
        <v>71</v>
      </c>
      <c r="H13">
        <v>0</v>
      </c>
      <c r="I13" t="s">
        <v>72</v>
      </c>
      <c r="J13" t="s">
        <v>69</v>
      </c>
      <c r="K13">
        <v>0</v>
      </c>
      <c r="M13">
        <v>1</v>
      </c>
      <c r="N13" t="s">
        <v>1697</v>
      </c>
      <c r="O13" s="52">
        <f t="shared" si="0"/>
        <v>0</v>
      </c>
      <c r="R13" t="str">
        <f>IF($U$2=TRUE,$W$2&amp;". Ошибка рассогласования","Ошибка рассогласования")</f>
        <v>Регулятор FB с буферизацией. Ошибка рассогласования</v>
      </c>
      <c r="S13" s="372"/>
      <c r="U13" s="773"/>
      <c r="V13" s="4"/>
      <c r="W13" s="773"/>
      <c r="X13" s="4"/>
    </row>
    <row r="14" spans="1:29">
      <c r="A14" t="str">
        <f>SUBSTITUTE($V$2,"\","|")&amp;"|FUCM"</f>
        <v>REG_test|FUCM</v>
      </c>
      <c r="B14" t="s">
        <v>74</v>
      </c>
      <c r="F14" t="s">
        <v>72</v>
      </c>
      <c r="G14" t="s">
        <v>71</v>
      </c>
      <c r="H14">
        <v>0</v>
      </c>
      <c r="I14" t="s">
        <v>72</v>
      </c>
      <c r="J14" t="s">
        <v>69</v>
      </c>
      <c r="K14">
        <v>0</v>
      </c>
      <c r="M14">
        <v>1</v>
      </c>
      <c r="N14" t="s">
        <v>1697</v>
      </c>
      <c r="O14" s="52">
        <f t="shared" si="0"/>
        <v>0</v>
      </c>
      <c r="R14" t="str">
        <f>IF($U$2=TRUE,$W$2&amp;". Неопределенный режим управления","Неопределенный режим управления")</f>
        <v>Регулятор FB с буферизацией. Неопределенный режим управления</v>
      </c>
      <c r="S14" s="372"/>
      <c r="U14" s="773"/>
      <c r="V14" s="4"/>
      <c r="W14" s="773"/>
      <c r="X14" s="4"/>
    </row>
    <row r="15" spans="1:29">
      <c r="A15" t="str">
        <f>SUBSTITUTE($V$2,"\","|")&amp;"|FDCM"</f>
        <v>REG_test|FDCM</v>
      </c>
      <c r="B15" t="s">
        <v>74</v>
      </c>
      <c r="F15" t="s">
        <v>72</v>
      </c>
      <c r="G15" t="s">
        <v>71</v>
      </c>
      <c r="H15">
        <v>0</v>
      </c>
      <c r="I15" t="s">
        <v>72</v>
      </c>
      <c r="J15" t="s">
        <v>69</v>
      </c>
      <c r="K15">
        <v>0</v>
      </c>
      <c r="M15">
        <v>1</v>
      </c>
      <c r="N15" t="s">
        <v>1697</v>
      </c>
      <c r="O15" s="52">
        <f t="shared" si="0"/>
        <v>0</v>
      </c>
      <c r="R15" t="str">
        <f>IF($U$2=TRUE,$W$2&amp;". Двойной режим управления","Двойной режим управления")</f>
        <v>Регулятор FB с буферизацией. Двойной режим управления</v>
      </c>
      <c r="S15" s="372"/>
      <c r="U15" s="773"/>
      <c r="V15" s="4"/>
      <c r="W15" s="773"/>
      <c r="X15" s="4"/>
    </row>
    <row r="16" spans="1:29">
      <c r="A16" t="str">
        <f>SUBSTITUTE($V$2,"\","|")&amp;"|IFXX"</f>
        <v>REG_test|IFXX</v>
      </c>
      <c r="B16" t="s">
        <v>74</v>
      </c>
      <c r="F16" t="s">
        <v>72</v>
      </c>
      <c r="G16" t="s">
        <v>71</v>
      </c>
      <c r="H16">
        <v>0</v>
      </c>
      <c r="I16" t="s">
        <v>72</v>
      </c>
      <c r="J16" t="s">
        <v>69</v>
      </c>
      <c r="K16">
        <v>0</v>
      </c>
      <c r="M16">
        <v>1</v>
      </c>
      <c r="N16" t="s">
        <v>1697</v>
      </c>
      <c r="O16" s="52">
        <f t="shared" si="0"/>
        <v>0</v>
      </c>
      <c r="R16" t="str">
        <f>IF($U$2=TRUE,$W$2&amp;". Неисправность (вход)","Неисправность (вход)")</f>
        <v>Регулятор FB с буферизацией. Неисправность (вход)</v>
      </c>
      <c r="S16" s="372"/>
      <c r="U16" s="773"/>
      <c r="V16" s="4"/>
      <c r="W16" s="773"/>
      <c r="X16" s="4"/>
    </row>
    <row r="17" spans="1:24">
      <c r="A17" t="str">
        <f>SUBSTITUTE($V$2,"\","|")&amp;"|FCPX"</f>
        <v>REG_test|FCPX</v>
      </c>
      <c r="B17" t="s">
        <v>74</v>
      </c>
      <c r="F17" t="s">
        <v>72</v>
      </c>
      <c r="G17" t="s">
        <v>71</v>
      </c>
      <c r="H17">
        <v>0</v>
      </c>
      <c r="I17" t="s">
        <v>72</v>
      </c>
      <c r="J17" t="s">
        <v>69</v>
      </c>
      <c r="K17">
        <v>0</v>
      </c>
      <c r="M17">
        <v>1</v>
      </c>
      <c r="N17" t="s">
        <v>1697</v>
      </c>
      <c r="O17" s="52">
        <f t="shared" si="0"/>
        <v>0</v>
      </c>
      <c r="R17" t="str">
        <f>IF($U$2=TRUE,$W$2&amp;". Неисправность цепи текущего положения","Неисправность цепи текущего положения")</f>
        <v>Регулятор FB с буферизацией. Неисправность цепи текущего положения</v>
      </c>
      <c r="S17" s="372"/>
      <c r="U17" s="773"/>
      <c r="V17" s="4"/>
      <c r="W17" s="773"/>
      <c r="X17" s="4"/>
    </row>
    <row r="18" spans="1:24">
      <c r="A18" s="4" t="str">
        <f>SUBSTITUTE($V$2,"\","|")&amp;"|SEPX"</f>
        <v>REG_test|SEPX</v>
      </c>
      <c r="B18" s="4" t="s">
        <v>69</v>
      </c>
      <c r="F18" s="4">
        <v>0</v>
      </c>
      <c r="G18" s="4" t="s">
        <v>71</v>
      </c>
      <c r="H18" s="4">
        <v>0</v>
      </c>
      <c r="I18" s="4" t="s">
        <v>76</v>
      </c>
      <c r="J18" s="4" t="s">
        <v>73</v>
      </c>
      <c r="K18" s="4">
        <v>0</v>
      </c>
      <c r="M18">
        <v>1</v>
      </c>
      <c r="N18" t="s">
        <v>1697</v>
      </c>
      <c r="O18" s="52">
        <f t="shared" si="0"/>
        <v>0</v>
      </c>
      <c r="P18">
        <v>1</v>
      </c>
      <c r="Q18">
        <v>1</v>
      </c>
      <c r="R18" t="str">
        <f>IF($U$2=TRUE,$W$2&amp;". Уставка процента открытия в режиме ПАЗ","Уставка процента открытия в режиме ПАЗ")</f>
        <v>Регулятор FB с буферизацией. Уставка процента открытия в режиме ПАЗ</v>
      </c>
      <c r="S18" s="372"/>
      <c r="U18" s="773"/>
      <c r="V18" s="4"/>
      <c r="W18" s="773"/>
      <c r="X18" s="4"/>
    </row>
    <row r="19" spans="1:24">
      <c r="A19" t="str">
        <f>SUBSTITUTE($V$2,"\","|")&amp;"|SBPX"</f>
        <v>REG_test|SBPX</v>
      </c>
      <c r="B19" t="s">
        <v>69</v>
      </c>
      <c r="F19">
        <v>0</v>
      </c>
      <c r="G19" t="s">
        <v>71</v>
      </c>
      <c r="H19">
        <v>0</v>
      </c>
      <c r="I19" t="s">
        <v>72</v>
      </c>
      <c r="J19" s="4" t="s">
        <v>73</v>
      </c>
      <c r="K19">
        <v>0</v>
      </c>
      <c r="M19">
        <v>1</v>
      </c>
      <c r="N19" t="s">
        <v>1697</v>
      </c>
      <c r="O19" s="52">
        <f t="shared" si="0"/>
        <v>0</v>
      </c>
      <c r="P19">
        <v>1</v>
      </c>
      <c r="Q19">
        <v>1</v>
      </c>
      <c r="R19" t="str">
        <f>IF($U$2=TRUE,$W$2&amp;". Уставка процента открытия в режиме Блокировка","Уставка процента открытия в режиме Блокировка")</f>
        <v>Регулятор FB с буферизацией. Уставка процента открытия в режиме Блокировка</v>
      </c>
      <c r="S19" s="372"/>
      <c r="U19" s="773"/>
      <c r="V19" s="4"/>
      <c r="W19" s="773"/>
      <c r="X19" s="4"/>
    </row>
    <row r="20" spans="1:24">
      <c r="A20" s="514" t="str">
        <f>SUBSTITUTE($V$2,"\","|")&amp;"|OCAX"</f>
        <v>REG_test|OCAX</v>
      </c>
      <c r="B20" t="s">
        <v>69</v>
      </c>
      <c r="F20">
        <v>0</v>
      </c>
      <c r="G20" t="s">
        <v>71</v>
      </c>
      <c r="H20">
        <v>0</v>
      </c>
      <c r="I20" t="s">
        <v>76</v>
      </c>
      <c r="J20" t="s">
        <v>69</v>
      </c>
      <c r="K20" s="514">
        <v>2</v>
      </c>
      <c r="M20">
        <v>1</v>
      </c>
      <c r="R20" t="str">
        <f>IF($U$2=TRUE,$W$2&amp;". Выходное значение - управяющее воздействие в мА","Выходное значение - управяющее воздействие в мА")</f>
        <v>Регулятор FB с буферизацией. Выходное значение - управяющее воздействие в мА</v>
      </c>
      <c r="S20" s="372"/>
      <c r="U20" s="773"/>
      <c r="V20" s="4"/>
      <c r="W20" s="773"/>
      <c r="X20" s="4"/>
    </row>
    <row r="21" spans="1:24">
      <c r="A21" s="514" t="str">
        <f>SUBSTITUTE($V$2,"\","|")&amp;"|XCAP"</f>
        <v>REG_test|XCAP</v>
      </c>
      <c r="B21" t="s">
        <v>69</v>
      </c>
      <c r="F21">
        <v>0</v>
      </c>
      <c r="G21" t="s">
        <v>71</v>
      </c>
      <c r="H21">
        <v>0</v>
      </c>
      <c r="I21" t="s">
        <v>72</v>
      </c>
      <c r="J21" t="s">
        <v>69</v>
      </c>
      <c r="K21" s="514">
        <v>2</v>
      </c>
      <c r="M21">
        <v>1</v>
      </c>
      <c r="N21" t="s">
        <v>1697</v>
      </c>
      <c r="O21" s="52">
        <f t="shared" si="0"/>
        <v>0</v>
      </c>
      <c r="P21">
        <v>1</v>
      </c>
      <c r="Q21">
        <v>1</v>
      </c>
      <c r="R21" t="str">
        <f>IF($U$2=TRUE,$W$2&amp;". Выходное значение - управяющее воздействие в процентах","Выходное значение - управяющее воздействие в процентах")</f>
        <v>Регулятор FB с буферизацией. Выходное значение - управяющее воздействие в процентах</v>
      </c>
      <c r="S21" s="372"/>
      <c r="U21" s="773"/>
      <c r="V21" s="4"/>
      <c r="W21" s="773"/>
      <c r="X21" s="4"/>
    </row>
    <row r="22" spans="1:24">
      <c r="A22" s="514" t="str">
        <f>SUBSTITUTE($V$2,"\","|")&amp;"|XCPP"</f>
        <v>REG_test|XCPP</v>
      </c>
      <c r="B22" t="s">
        <v>69</v>
      </c>
      <c r="F22">
        <v>0</v>
      </c>
      <c r="G22" t="s">
        <v>71</v>
      </c>
      <c r="H22">
        <v>0</v>
      </c>
      <c r="I22" t="s">
        <v>72</v>
      </c>
      <c r="J22" t="s">
        <v>69</v>
      </c>
      <c r="K22" s="514">
        <v>2</v>
      </c>
      <c r="M22">
        <v>1</v>
      </c>
      <c r="N22" t="s">
        <v>1697</v>
      </c>
      <c r="O22" s="52">
        <f t="shared" si="0"/>
        <v>0</v>
      </c>
      <c r="P22">
        <v>1</v>
      </c>
      <c r="Q22">
        <v>1</v>
      </c>
      <c r="R22" t="str">
        <f>IF($U$2=TRUE,$W$2&amp;". Входное значение - текущее положение %","Входное значение - текущее положение %")</f>
        <v>Регулятор FB с буферизацией. Входное значение - текущее положение %</v>
      </c>
      <c r="S22" s="372"/>
      <c r="U22" s="773"/>
      <c r="V22" s="4"/>
      <c r="W22" s="773"/>
      <c r="X22" s="4"/>
    </row>
    <row r="23" spans="1:24">
      <c r="A23" s="514" t="str">
        <f>SUBSTITUTE($V$2,"\","|")&amp;"|XPVX"</f>
        <v>REG_test|XPVX</v>
      </c>
      <c r="B23" t="s">
        <v>69</v>
      </c>
      <c r="F23">
        <v>0</v>
      </c>
      <c r="G23" t="s">
        <v>71</v>
      </c>
      <c r="H23">
        <v>0</v>
      </c>
      <c r="I23" t="s">
        <v>76</v>
      </c>
      <c r="J23" t="s">
        <v>69</v>
      </c>
      <c r="K23" s="514">
        <v>2</v>
      </c>
      <c r="M23">
        <v>1</v>
      </c>
      <c r="N23" t="s">
        <v>1697</v>
      </c>
      <c r="O23" s="52">
        <f t="shared" si="0"/>
        <v>0</v>
      </c>
      <c r="P23">
        <v>1</v>
      </c>
      <c r="Q23">
        <v>1</v>
      </c>
      <c r="R23" t="str">
        <f>IF($U$2=TRUE,$W$2&amp;". Регулируемый параметр (параметрическое)","Регулируемый параметр (параметрическое)")</f>
        <v>Регулятор FB с буферизацией. Регулируемый параметр (параметрическое)</v>
      </c>
      <c r="S23" s="372"/>
      <c r="U23" s="773"/>
      <c r="V23" s="4"/>
      <c r="W23" s="773"/>
      <c r="X23" s="4"/>
    </row>
    <row r="24" spans="1:24">
      <c r="A24" s="514" t="str">
        <f>SUBSTITUTE($V$2,"\","|")&amp;"|SSPX"</f>
        <v>REG_test|SSPX</v>
      </c>
      <c r="B24" t="s">
        <v>69</v>
      </c>
      <c r="F24" s="4">
        <v>0</v>
      </c>
      <c r="G24" s="4" t="s">
        <v>71</v>
      </c>
      <c r="H24" s="4">
        <v>0</v>
      </c>
      <c r="I24" s="4" t="s">
        <v>76</v>
      </c>
      <c r="J24" s="4" t="s">
        <v>73</v>
      </c>
      <c r="K24" s="514">
        <v>2</v>
      </c>
      <c r="M24">
        <v>1</v>
      </c>
      <c r="N24" t="s">
        <v>1697</v>
      </c>
      <c r="O24" s="52">
        <f t="shared" si="0"/>
        <v>0</v>
      </c>
      <c r="P24">
        <v>1</v>
      </c>
      <c r="Q24">
        <v>1</v>
      </c>
      <c r="R24" t="str">
        <f>IF($U$2=TRUE,$W$2&amp;". Уставка регулирования","Уставка регулирования")</f>
        <v>Регулятор FB с буферизацией. Уставка регулирования</v>
      </c>
      <c r="S24" s="372"/>
      <c r="U24" s="773"/>
      <c r="V24" s="4"/>
      <c r="W24" s="773"/>
      <c r="X24" s="4"/>
    </row>
    <row r="25" spans="1:24">
      <c r="A25" s="514" t="str">
        <f>SUBSTITUTE($V$2,"\","|")&amp;"|SSPL"</f>
        <v>REG_test|SSPL</v>
      </c>
      <c r="B25" s="4" t="s">
        <v>69</v>
      </c>
      <c r="F25" s="4">
        <v>0</v>
      </c>
      <c r="G25" s="4" t="s">
        <v>71</v>
      </c>
      <c r="H25" s="4">
        <v>0</v>
      </c>
      <c r="I25" s="4" t="s">
        <v>76</v>
      </c>
      <c r="J25" s="4" t="s">
        <v>73</v>
      </c>
      <c r="K25" s="514">
        <v>2</v>
      </c>
      <c r="M25">
        <v>1</v>
      </c>
      <c r="R25" t="str">
        <f>IF($U$2=TRUE,$W$2&amp;". Нижняя шкала регулируемого параметра","Нижняя шкала регулируемого параметра")</f>
        <v>Регулятор FB с буферизацией. Нижняя шкала регулируемого параметра</v>
      </c>
      <c r="S25" s="372"/>
      <c r="U25" s="773"/>
      <c r="V25" s="4"/>
      <c r="W25" s="773"/>
      <c r="X25" s="4"/>
    </row>
    <row r="26" spans="1:24">
      <c r="A26" s="514" t="str">
        <f>SUBSTITUTE($V$2,"\","|")&amp;"|SSPH"</f>
        <v>REG_test|SSPH</v>
      </c>
      <c r="B26" t="s">
        <v>69</v>
      </c>
      <c r="F26">
        <v>100</v>
      </c>
      <c r="G26" t="s">
        <v>71</v>
      </c>
      <c r="H26">
        <v>0</v>
      </c>
      <c r="I26" t="s">
        <v>76</v>
      </c>
      <c r="J26" t="s">
        <v>73</v>
      </c>
      <c r="K26" s="514">
        <v>2</v>
      </c>
      <c r="M26">
        <v>1</v>
      </c>
      <c r="R26" t="str">
        <f>IF($U$2=TRUE,$W$2&amp;". Верхняя шкала регулируемого параметра","Верхняя шкала регулируемого параметра")</f>
        <v>Регулятор FB с буферизацией. Верхняя шкала регулируемого параметра</v>
      </c>
      <c r="S26" s="372"/>
      <c r="U26" s="773"/>
      <c r="V26" s="4"/>
      <c r="W26" s="773"/>
      <c r="X26" s="4"/>
    </row>
    <row r="27" spans="1:24">
      <c r="A27" s="514" t="str">
        <f>SUBSTITUTE($V$2,"\","|")&amp;"|SOPX"</f>
        <v>REG_test|SOPX</v>
      </c>
      <c r="B27" s="4" t="s">
        <v>69</v>
      </c>
      <c r="F27" s="4">
        <v>0</v>
      </c>
      <c r="G27" s="4" t="s">
        <v>71</v>
      </c>
      <c r="H27" s="4">
        <v>0</v>
      </c>
      <c r="I27" s="4" t="s">
        <v>76</v>
      </c>
      <c r="J27" s="4" t="s">
        <v>73</v>
      </c>
      <c r="K27" s="514">
        <v>2</v>
      </c>
      <c r="M27">
        <v>1</v>
      </c>
      <c r="R27" t="str">
        <f>IF($U$2=TRUE,$W$2&amp;". Задание процента открытия от оператора","Задание процента открытия от оператора")</f>
        <v>Регулятор FB с буферизацией. Задание процента открытия от оператора</v>
      </c>
      <c r="S27" s="372"/>
      <c r="U27" s="773"/>
      <c r="V27" s="4"/>
      <c r="W27" s="773"/>
      <c r="X27" s="4"/>
    </row>
    <row r="28" spans="1:24">
      <c r="A28" s="514" t="str">
        <f>SUBSTITUTE($V$2,"\","|")&amp;"|SCAL"</f>
        <v>REG_test|SCAL</v>
      </c>
      <c r="B28" s="4" t="s">
        <v>69</v>
      </c>
      <c r="F28" s="4">
        <v>0</v>
      </c>
      <c r="G28" s="4" t="s">
        <v>71</v>
      </c>
      <c r="H28" s="4">
        <v>0</v>
      </c>
      <c r="I28" s="4" t="s">
        <v>76</v>
      </c>
      <c r="J28" s="4" t="s">
        <v>73</v>
      </c>
      <c r="K28" s="514">
        <v>2</v>
      </c>
      <c r="M28">
        <v>1</v>
      </c>
      <c r="R28" t="str">
        <f>IF($U$2=TRUE,$W$2&amp;". Нижняя шакала управления в %","Нижняя шакала управления в %")</f>
        <v>Регулятор FB с буферизацией. Нижняя шакала управления в %</v>
      </c>
      <c r="S28" s="372"/>
      <c r="U28" s="773"/>
      <c r="V28" s="4"/>
      <c r="W28" s="773"/>
      <c r="X28" s="4"/>
    </row>
    <row r="29" spans="1:24">
      <c r="A29" s="514" t="str">
        <f>SUBSTITUTE($V$2,"\","|")&amp;"|SCAH"</f>
        <v>REG_test|SCAH</v>
      </c>
      <c r="B29" s="4" t="s">
        <v>69</v>
      </c>
      <c r="F29" s="4">
        <v>100</v>
      </c>
      <c r="G29" s="4" t="s">
        <v>71</v>
      </c>
      <c r="H29" s="4">
        <v>0</v>
      </c>
      <c r="I29" s="4" t="s">
        <v>76</v>
      </c>
      <c r="J29" s="4" t="s">
        <v>73</v>
      </c>
      <c r="K29" s="514">
        <v>2</v>
      </c>
      <c r="M29">
        <v>1</v>
      </c>
      <c r="R29" t="str">
        <f>IF($U$2=TRUE,$W$2&amp;". Верхняя шакала управления в %","Верхняя шакала управления в %")</f>
        <v>Регулятор FB с буферизацией. Верхняя шакала управления в %</v>
      </c>
      <c r="S29" s="372"/>
      <c r="U29" s="773"/>
      <c r="V29" s="4"/>
      <c r="W29" s="773"/>
      <c r="X29" s="4"/>
    </row>
    <row r="30" spans="1:24">
      <c r="A30" s="514" t="str">
        <f>SUBSTITUTE($V$2,"\","|")&amp;"|SDTX"</f>
        <v>REG_test|SDTX</v>
      </c>
      <c r="B30" s="4" t="s">
        <v>78</v>
      </c>
      <c r="F30">
        <v>0</v>
      </c>
      <c r="G30" t="s">
        <v>71</v>
      </c>
      <c r="H30">
        <v>0</v>
      </c>
      <c r="I30" t="s">
        <v>72</v>
      </c>
      <c r="J30" s="4" t="s">
        <v>73</v>
      </c>
      <c r="K30" s="514">
        <v>1</v>
      </c>
      <c r="M30">
        <v>1</v>
      </c>
      <c r="R30" t="str">
        <f>IF($U$2=TRUE,$W$2&amp;". Период расчета отклонения","Период расчета отклонения")</f>
        <v>Регулятор FB с буферизацией. Период расчета отклонения</v>
      </c>
      <c r="S30" s="372"/>
      <c r="U30" s="773"/>
      <c r="V30" s="4"/>
      <c r="W30" s="773"/>
      <c r="X30" s="4"/>
    </row>
    <row r="31" spans="1:24">
      <c r="A31" s="515" t="str">
        <f>SUBSTITUTE($V$2,"\","|")&amp;"|CBXX"</f>
        <v>REG_test|CBXX</v>
      </c>
      <c r="B31" t="s">
        <v>74</v>
      </c>
      <c r="F31" t="s">
        <v>72</v>
      </c>
      <c r="G31" t="s">
        <v>71</v>
      </c>
      <c r="H31">
        <v>0</v>
      </c>
      <c r="I31" t="s">
        <v>72</v>
      </c>
      <c r="J31" t="s">
        <v>73</v>
      </c>
      <c r="K31" s="515" t="s">
        <v>1383</v>
      </c>
      <c r="M31">
        <v>1</v>
      </c>
      <c r="N31" t="s">
        <v>1697</v>
      </c>
      <c r="O31" s="52">
        <f t="shared" si="0"/>
        <v>0</v>
      </c>
      <c r="R31" t="str">
        <f>IF($U$2=TRUE,$W$2&amp;". Команда блокировки: перейти в заданное состояние","Команда блокировки: перейти в заданное состояние")</f>
        <v>Регулятор FB с буферизацией. Команда блокировки: перейти в заданное состояние</v>
      </c>
      <c r="S31" s="372"/>
      <c r="U31" s="773"/>
      <c r="V31" s="4"/>
      <c r="W31" s="773"/>
      <c r="X31" s="4"/>
    </row>
    <row r="32" spans="1:24">
      <c r="A32" s="515" t="str">
        <f>SUBSTITUTE($V$2,"\","|")&amp;"|CCRM"</f>
        <v>REG_test|CCRM</v>
      </c>
      <c r="B32" t="s">
        <v>74</v>
      </c>
      <c r="F32" t="s">
        <v>72</v>
      </c>
      <c r="G32" t="s">
        <v>71</v>
      </c>
      <c r="H32">
        <v>0</v>
      </c>
      <c r="I32" t="s">
        <v>76</v>
      </c>
      <c r="J32" t="s">
        <v>73</v>
      </c>
      <c r="K32" s="515" t="s">
        <v>1383</v>
      </c>
      <c r="M32">
        <v>1</v>
      </c>
      <c r="R32" t="str">
        <f>IF($U$2=TRUE,$W$2&amp;". Команда активации обратного режима","Команда активации обратного режима")</f>
        <v>Регулятор FB с буферизацией. Команда активации обратного режима</v>
      </c>
      <c r="S32" s="372"/>
      <c r="U32" s="773"/>
      <c r="V32" s="4"/>
      <c r="W32" s="773"/>
      <c r="X32" s="4"/>
    </row>
    <row r="33" spans="1:24">
      <c r="A33" s="515" t="str">
        <f>SUBSTITUTE($V$2,"\","|")&amp;"|CMMX"</f>
        <v>REG_test|CMMX</v>
      </c>
      <c r="B33" t="s">
        <v>74</v>
      </c>
      <c r="F33" t="s">
        <v>72</v>
      </c>
      <c r="G33" t="s">
        <v>71</v>
      </c>
      <c r="H33">
        <v>0</v>
      </c>
      <c r="I33" t="s">
        <v>76</v>
      </c>
      <c r="J33" t="s">
        <v>73</v>
      </c>
      <c r="K33" s="515" t="s">
        <v>1383</v>
      </c>
      <c r="M33">
        <v>1</v>
      </c>
      <c r="R33" t="str">
        <f>IF($U$2=TRUE,$W$2&amp;". Ручной режим (команда)","Ручной режим (команда)")</f>
        <v>Регулятор FB с буферизацией. Ручной режим (команда)</v>
      </c>
      <c r="S33" s="372"/>
      <c r="U33" s="773"/>
      <c r="V33" s="4"/>
      <c r="W33" s="773"/>
      <c r="X33" s="4"/>
    </row>
    <row r="34" spans="1:24" ht="15" customHeight="1">
      <c r="A34" s="515" t="str">
        <f>SUBSTITUTE($V$2,"\","|")&amp;"|CRPX"</f>
        <v>REG_test|CRPX</v>
      </c>
      <c r="B34" t="s">
        <v>74</v>
      </c>
      <c r="F34" t="s">
        <v>72</v>
      </c>
      <c r="G34" t="s">
        <v>71</v>
      </c>
      <c r="H34">
        <v>0</v>
      </c>
      <c r="I34" t="s">
        <v>76</v>
      </c>
      <c r="J34" t="s">
        <v>73</v>
      </c>
      <c r="K34" s="515" t="s">
        <v>1383</v>
      </c>
      <c r="M34">
        <v>1</v>
      </c>
      <c r="R34" t="str">
        <f>IF($U$2=TRUE,$W$2&amp;". Ремонт (команда)","Ремонт (команда)")</f>
        <v>Регулятор FB с буферизацией. Ремонт (команда)</v>
      </c>
      <c r="S34" s="372"/>
      <c r="U34" s="773"/>
      <c r="V34" s="4"/>
      <c r="W34" s="773"/>
      <c r="X34" s="4"/>
    </row>
    <row r="35" spans="1:24">
      <c r="A35" t="str">
        <f>SUBSTITUTE($V$2,"\","|")&amp;"|CIXX"</f>
        <v>REG_test|CIXX</v>
      </c>
      <c r="B35" t="s">
        <v>74</v>
      </c>
      <c r="F35" t="s">
        <v>72</v>
      </c>
      <c r="G35" t="s">
        <v>71</v>
      </c>
      <c r="H35">
        <v>0</v>
      </c>
      <c r="I35" t="s">
        <v>76</v>
      </c>
      <c r="J35" t="s">
        <v>73</v>
      </c>
      <c r="K35">
        <v>0</v>
      </c>
      <c r="M35">
        <v>1</v>
      </c>
      <c r="R35" t="str">
        <f>IF($U$2=TRUE,$W$2&amp;". Инициализация с АРМ","Инициализация с АРМ")</f>
        <v>Регулятор FB с буферизацией. Инициализация с АРМ</v>
      </c>
      <c r="S35" s="372"/>
      <c r="U35" s="773"/>
      <c r="V35" s="4"/>
      <c r="W35" s="773"/>
      <c r="X35" s="4"/>
    </row>
    <row r="36" spans="1:24">
      <c r="A36" t="str">
        <f>SUBSTITUTE($V$2,"\","|")&amp;"|FXXX"</f>
        <v>REG_test|FXXX</v>
      </c>
      <c r="B36" t="s">
        <v>74</v>
      </c>
      <c r="F36" t="s">
        <v>72</v>
      </c>
      <c r="G36" t="s">
        <v>71</v>
      </c>
      <c r="H36">
        <v>0</v>
      </c>
      <c r="I36" t="s">
        <v>72</v>
      </c>
      <c r="J36" t="s">
        <v>69</v>
      </c>
      <c r="K36">
        <v>0</v>
      </c>
      <c r="M36">
        <v>1</v>
      </c>
      <c r="R36" t="str">
        <f>IF($U$2=TRUE,$W$2&amp;". Обобщенная неисправность","Обобщенная неисправность")</f>
        <v>Регулятор FB с буферизацией. Обобщенная неисправность</v>
      </c>
      <c r="S36" s="372"/>
      <c r="U36" s="773"/>
      <c r="V36" s="4"/>
      <c r="W36" s="773"/>
      <c r="X36" s="4"/>
    </row>
    <row r="37" spans="1:24">
      <c r="A37" t="str">
        <f>SUBSTITUTE($V$2,"\","|")&amp;"|ICPX"</f>
        <v>REG_test|ICPX</v>
      </c>
      <c r="B37" t="s">
        <v>69</v>
      </c>
      <c r="F37">
        <v>0</v>
      </c>
      <c r="G37" t="s">
        <v>71</v>
      </c>
      <c r="H37">
        <v>0</v>
      </c>
      <c r="I37" t="s">
        <v>76</v>
      </c>
      <c r="J37" t="s">
        <v>69</v>
      </c>
      <c r="K37">
        <v>0</v>
      </c>
      <c r="M37">
        <v>1</v>
      </c>
      <c r="R37" t="str">
        <f>IF($U$2=TRUE,$W$2&amp;". Входное значение Текущее положение (физ сигнал)","Входное значение Текущее положение (физ сигнал)")</f>
        <v>Регулятор FB с буферизацией. Входное значение Текущее положение (физ сигнал)</v>
      </c>
      <c r="S37" s="372"/>
      <c r="U37" s="773"/>
      <c r="V37" s="4"/>
      <c r="W37" s="773"/>
      <c r="X37" s="4"/>
    </row>
    <row r="38" spans="1:24">
      <c r="A38" t="str">
        <f>SUBSTITUTE($V$2,"\","|")&amp;"|ILCX"</f>
        <v>REG_test|ILCX</v>
      </c>
      <c r="B38" t="s">
        <v>74</v>
      </c>
      <c r="F38" t="s">
        <v>72</v>
      </c>
      <c r="G38" t="s">
        <v>71</v>
      </c>
      <c r="H38">
        <v>0</v>
      </c>
      <c r="I38" t="s">
        <v>76</v>
      </c>
      <c r="J38" t="s">
        <v>69</v>
      </c>
      <c r="K38">
        <v>0</v>
      </c>
      <c r="M38">
        <v>1</v>
      </c>
      <c r="R38" t="str">
        <f>IF($U$2=TRUE,$W$2&amp;". Входное значение Местное управление (физ сигнал)","Входное значение Местное управление (физ сигнал)")</f>
        <v>Регулятор FB с буферизацией. Входное значение Местное управление (физ сигнал)</v>
      </c>
      <c r="S38" s="372"/>
      <c r="U38" s="773"/>
      <c r="V38" s="4"/>
      <c r="W38" s="773"/>
      <c r="X38" s="4"/>
    </row>
    <row r="39" spans="1:24">
      <c r="A39" t="str">
        <f>SUBSTITUTE($V$2,"\","|")&amp;"|IRCX"</f>
        <v>REG_test|IRCX</v>
      </c>
      <c r="B39" t="s">
        <v>74</v>
      </c>
      <c r="F39" t="s">
        <v>76</v>
      </c>
      <c r="G39" t="s">
        <v>71</v>
      </c>
      <c r="H39">
        <v>0</v>
      </c>
      <c r="I39" t="s">
        <v>76</v>
      </c>
      <c r="J39" t="s">
        <v>73</v>
      </c>
      <c r="K39">
        <v>0</v>
      </c>
      <c r="M39">
        <v>1</v>
      </c>
      <c r="R39" t="str">
        <f>IF($U$2=TRUE,$W$2&amp;". Входное значение Дистанционное управление (физ сигнал)","Входное значение Дистанционное управление (физ сигнал)")</f>
        <v>Регулятор FB с буферизацией. Входное значение Дистанционное управление (физ сигнал)</v>
      </c>
      <c r="S39" s="372"/>
      <c r="U39" s="773"/>
      <c r="V39" s="4"/>
      <c r="W39" s="773"/>
      <c r="X39" s="4"/>
    </row>
    <row r="40" spans="1:24">
      <c r="A40" s="4" t="str">
        <f>SUBSTITUTE($V$2,"\","|")&amp;"|SBSX"</f>
        <v>REG_test|SBSX</v>
      </c>
      <c r="B40" s="4" t="s">
        <v>69</v>
      </c>
      <c r="F40" s="4">
        <v>100</v>
      </c>
      <c r="G40" s="4" t="s">
        <v>71</v>
      </c>
      <c r="H40" s="4">
        <v>0</v>
      </c>
      <c r="I40" s="4" t="s">
        <v>76</v>
      </c>
      <c r="J40" s="4" t="s">
        <v>73</v>
      </c>
      <c r="K40" s="4">
        <v>0</v>
      </c>
      <c r="M40">
        <v>1</v>
      </c>
      <c r="R40" t="str">
        <f>IF($U$2=TRUE,$W$2&amp;". Скорость балансировки","Скорость балансировки")</f>
        <v>Регулятор FB с буферизацией. Скорость балансировки</v>
      </c>
      <c r="S40" s="372"/>
      <c r="U40" s="773"/>
      <c r="V40" s="4"/>
      <c r="W40" s="773"/>
      <c r="X40" s="4"/>
    </row>
    <row r="41" spans="1:24">
      <c r="A41" s="4" t="str">
        <f>SUBSTITUTE($V$2,"\","|")&amp;"|SDBX"</f>
        <v>REG_test|SDBX</v>
      </c>
      <c r="B41" s="4" t="s">
        <v>69</v>
      </c>
      <c r="F41" s="4" t="s">
        <v>296</v>
      </c>
      <c r="G41" s="4" t="s">
        <v>71</v>
      </c>
      <c r="H41" s="4">
        <v>0</v>
      </c>
      <c r="I41" s="4" t="s">
        <v>76</v>
      </c>
      <c r="J41" s="4" t="s">
        <v>73</v>
      </c>
      <c r="K41" s="4">
        <v>0</v>
      </c>
      <c r="M41">
        <v>1</v>
      </c>
      <c r="R41" t="str">
        <f>IF($U$2=TRUE,$W$2&amp;". Мертвая зона","Мертвая зона")</f>
        <v>Регулятор FB с буферизацией. Мертвая зона</v>
      </c>
      <c r="S41" s="372"/>
      <c r="U41" s="773"/>
      <c r="V41" s="4"/>
      <c r="W41" s="773"/>
      <c r="X41" s="4"/>
    </row>
    <row r="42" spans="1:24">
      <c r="A42" s="4" t="str">
        <f>SUBSTITUTE($V$2,"\","|")&amp;"|SDCX"</f>
        <v>REG_test|SDCX</v>
      </c>
      <c r="B42" s="4" t="s">
        <v>69</v>
      </c>
      <c r="F42" s="4">
        <v>0</v>
      </c>
      <c r="G42" s="4" t="s">
        <v>71</v>
      </c>
      <c r="H42" s="4">
        <v>0</v>
      </c>
      <c r="I42" s="4" t="s">
        <v>76</v>
      </c>
      <c r="J42" s="4" t="s">
        <v>73</v>
      </c>
      <c r="K42" s="4">
        <v>0</v>
      </c>
      <c r="M42">
        <v>1</v>
      </c>
      <c r="R42" t="str">
        <f>IF($U$2=TRUE,$W$2&amp;". Дифференциальный  коэффициент","Дифференциальный  коэффициент")</f>
        <v>Регулятор FB с буферизацией. Дифференциальный  коэффициент</v>
      </c>
      <c r="S42" s="372"/>
      <c r="U42" s="773"/>
      <c r="V42" s="4"/>
      <c r="W42" s="773"/>
      <c r="X42" s="4"/>
    </row>
    <row r="43" spans="1:24">
      <c r="A43" s="4" t="str">
        <f>SUBSTITUTE($V$2,"\","|")&amp;"|SICX"</f>
        <v>REG_test|SICX</v>
      </c>
      <c r="B43" s="4" t="s">
        <v>69</v>
      </c>
      <c r="F43" s="4">
        <v>10</v>
      </c>
      <c r="G43" s="4" t="s">
        <v>71</v>
      </c>
      <c r="H43" s="4">
        <v>0</v>
      </c>
      <c r="I43" s="4" t="s">
        <v>76</v>
      </c>
      <c r="J43" s="4" t="s">
        <v>73</v>
      </c>
      <c r="K43" s="4">
        <v>0</v>
      </c>
      <c r="M43">
        <v>1</v>
      </c>
      <c r="R43" t="str">
        <f>IF($U$2=TRUE,$W$2&amp;". Интегральный коэффициент","Интегральный коэффициент")</f>
        <v>Регулятор FB с буферизацией. Интегральный коэффициент</v>
      </c>
      <c r="S43" s="372"/>
      <c r="U43" s="773"/>
      <c r="V43" s="4"/>
      <c r="W43" s="773"/>
      <c r="X43" s="4"/>
    </row>
    <row r="44" spans="1:24">
      <c r="A44" s="4" t="str">
        <f>SUBSTITUTE($V$2,"\","|")&amp;"|SMVT"</f>
        <v>REG_test|SMVT</v>
      </c>
      <c r="B44" s="4" t="s">
        <v>78</v>
      </c>
      <c r="F44" s="4">
        <v>0</v>
      </c>
      <c r="G44" s="4" t="s">
        <v>71</v>
      </c>
      <c r="H44" s="4">
        <v>0</v>
      </c>
      <c r="I44" s="4" t="s">
        <v>76</v>
      </c>
      <c r="J44" s="4" t="s">
        <v>73</v>
      </c>
      <c r="K44" s="4">
        <v>0</v>
      </c>
      <c r="M44">
        <v>1</v>
      </c>
      <c r="R44" t="str">
        <f>IF($U$2=TRUE,$W$2&amp;". Уставка времени рассогласования","Уставка времени рассогласования")</f>
        <v>Регулятор FB с буферизацией. Уставка времени рассогласования</v>
      </c>
      <c r="S44" s="372"/>
      <c r="U44" s="773"/>
      <c r="V44" s="4"/>
      <c r="W44" s="773"/>
      <c r="X44" s="4"/>
    </row>
    <row r="45" spans="1:24">
      <c r="A45" s="4" t="str">
        <f>SUBSTITUTE($V$2,"\","|")&amp;"|SMVX"</f>
        <v>REG_test|SMVX</v>
      </c>
      <c r="B45" s="4" t="s">
        <v>69</v>
      </c>
      <c r="F45" s="4">
        <v>10</v>
      </c>
      <c r="G45" s="4" t="s">
        <v>71</v>
      </c>
      <c r="H45" s="4">
        <v>0</v>
      </c>
      <c r="I45" s="4" t="s">
        <v>76</v>
      </c>
      <c r="J45" s="4" t="s">
        <v>73</v>
      </c>
      <c r="K45" s="4">
        <v>0</v>
      </c>
      <c r="M45">
        <v>1</v>
      </c>
      <c r="R45" t="str">
        <f>IF($U$2=TRUE,$W$2&amp;". Уставка рассогласования","Уставка рассогласования")</f>
        <v>Регулятор FB с буферизацией. Уставка рассогласования</v>
      </c>
      <c r="S45" s="372"/>
      <c r="U45" s="773"/>
      <c r="V45" s="4"/>
      <c r="W45" s="773"/>
      <c r="X45" s="4"/>
    </row>
    <row r="46" spans="1:24">
      <c r="A46" s="4" t="str">
        <f>SUBSTITUTE($V$2,"\","|")&amp;"|SPCX"</f>
        <v>REG_test|SPCX</v>
      </c>
      <c r="B46" s="4" t="s">
        <v>69</v>
      </c>
      <c r="F46" s="4" t="s">
        <v>297</v>
      </c>
      <c r="G46" s="4" t="s">
        <v>71</v>
      </c>
      <c r="H46" s="4">
        <v>0</v>
      </c>
      <c r="I46" s="4" t="s">
        <v>76</v>
      </c>
      <c r="J46" s="4" t="s">
        <v>73</v>
      </c>
      <c r="K46" s="4">
        <v>0</v>
      </c>
      <c r="M46">
        <v>1</v>
      </c>
      <c r="R46" t="str">
        <f>IF($U$2=TRUE,$W$2&amp;". Пропорциональный коэффициент","Пропорциональный коэффициент")</f>
        <v>Регулятор FB с буферизацией. Пропорциональный коэффициент</v>
      </c>
      <c r="S46" s="372"/>
      <c r="U46" s="773"/>
      <c r="V46" s="4"/>
      <c r="W46" s="773"/>
      <c r="X46" s="4"/>
    </row>
    <row r="47" spans="1:24">
      <c r="A47" s="4" t="str">
        <f>SUBSTITUTE($V$2,"\","|")&amp;"|SOPX"</f>
        <v>REG_test|SOPX</v>
      </c>
      <c r="B47" s="4" t="s">
        <v>69</v>
      </c>
      <c r="F47" s="4">
        <v>0</v>
      </c>
      <c r="G47" s="4" t="s">
        <v>71</v>
      </c>
      <c r="H47" s="4">
        <v>0</v>
      </c>
      <c r="I47" s="4" t="s">
        <v>76</v>
      </c>
      <c r="J47" s="4" t="s">
        <v>73</v>
      </c>
      <c r="K47" s="4">
        <v>0</v>
      </c>
      <c r="M47">
        <v>1</v>
      </c>
      <c r="R47" t="str">
        <f>IF($U$2=TRUE,$W$2&amp;". Задание процента открытия от оператора","Задание процента открытия от оператора")</f>
        <v>Регулятор FB с буферизацией. Задание процента открытия от оператора</v>
      </c>
      <c r="S47" s="372"/>
      <c r="U47" s="773"/>
      <c r="V47" s="4"/>
      <c r="W47" s="773"/>
      <c r="X47" s="4"/>
    </row>
    <row r="48" spans="1:24">
      <c r="A48" t="str">
        <f>SUBSTITUTE($V$2,"\","|")&amp;"|SWSX"</f>
        <v>REG_test|SWSX</v>
      </c>
      <c r="B48" t="s">
        <v>78</v>
      </c>
      <c r="F48">
        <v>0</v>
      </c>
      <c r="G48" t="s">
        <v>71</v>
      </c>
      <c r="H48">
        <v>0</v>
      </c>
      <c r="I48" t="s">
        <v>76</v>
      </c>
      <c r="J48" t="s">
        <v>73</v>
      </c>
      <c r="K48">
        <v>0</v>
      </c>
      <c r="M48">
        <v>1</v>
      </c>
      <c r="R48" t="str">
        <f>IF($U$2=TRUE,$W$2&amp;". Скорость работы блока","Скорость работы блока")</f>
        <v>Регулятор FB с буферизацией. Скорость работы блока</v>
      </c>
      <c r="S48" s="372"/>
      <c r="U48" s="773"/>
      <c r="V48" s="4"/>
      <c r="W48" s="773"/>
      <c r="X48" s="4"/>
    </row>
    <row r="49" spans="1:24">
      <c r="A49" t="str">
        <f>SUBSTITUTE($V$2,"\","|")&amp;"|XOFX"</f>
        <v>REG_test|XOFX</v>
      </c>
      <c r="B49" t="s">
        <v>74</v>
      </c>
      <c r="F49" t="s">
        <v>72</v>
      </c>
      <c r="G49" t="s">
        <v>71</v>
      </c>
      <c r="H49">
        <v>0</v>
      </c>
      <c r="I49" t="s">
        <v>72</v>
      </c>
      <c r="J49" t="s">
        <v>69</v>
      </c>
      <c r="K49">
        <v>0</v>
      </c>
      <c r="M49">
        <v>1</v>
      </c>
      <c r="R49" t="str">
        <f>IF($U$2=TRUE,$W$2&amp;". Закрыт","Закрыт")</f>
        <v>Регулятор FB с буферизацией. Закрыт</v>
      </c>
      <c r="S49" s="372"/>
      <c r="U49" s="773"/>
      <c r="V49" s="4"/>
      <c r="W49" s="773"/>
      <c r="X49" s="4"/>
    </row>
    <row r="50" spans="1:24">
      <c r="A50" t="str">
        <f>SUBSTITUTE($V$2,"\","|")&amp;"|XONX"</f>
        <v>REG_test|XONX</v>
      </c>
      <c r="B50" t="s">
        <v>74</v>
      </c>
      <c r="F50" t="s">
        <v>72</v>
      </c>
      <c r="G50" t="s">
        <v>71</v>
      </c>
      <c r="H50">
        <v>0</v>
      </c>
      <c r="I50" t="s">
        <v>72</v>
      </c>
      <c r="J50" t="s">
        <v>69</v>
      </c>
      <c r="K50">
        <v>0</v>
      </c>
      <c r="M50">
        <v>1</v>
      </c>
      <c r="R50" t="str">
        <f>IF($U$2=TRUE,$W$2&amp;". Открыт","Открыт")</f>
        <v>Регулятор FB с буферизацией. Открыт</v>
      </c>
      <c r="S50" s="372"/>
      <c r="U50" s="773"/>
      <c r="V50" s="4"/>
      <c r="W50" s="773"/>
      <c r="X50" s="4"/>
    </row>
    <row r="51" spans="1:24">
      <c r="A51" t="str">
        <f>SUBSTITUTE($V$2,"\","|")&amp;"|XRPX"</f>
        <v>REG_test|XRPX</v>
      </c>
      <c r="B51" t="s">
        <v>74</v>
      </c>
      <c r="F51" t="s">
        <v>72</v>
      </c>
      <c r="G51" t="s">
        <v>71</v>
      </c>
      <c r="H51">
        <v>0</v>
      </c>
      <c r="I51" t="s">
        <v>72</v>
      </c>
      <c r="J51" t="s">
        <v>69</v>
      </c>
      <c r="K51">
        <v>0</v>
      </c>
      <c r="M51">
        <v>1</v>
      </c>
      <c r="R51" t="str">
        <f>IF($U$2=TRUE,$W$2&amp;". Выходное значение Выведен в ремонт","Выходное значение Выведен в ремонт")</f>
        <v>Регулятор FB с буферизацией. Выходное значение Выведен в ремонт</v>
      </c>
      <c r="S51" s="372"/>
      <c r="U51" s="773"/>
      <c r="V51" s="4"/>
      <c r="W51" s="773"/>
      <c r="X51" s="4"/>
    </row>
    <row r="52" spans="1:24">
      <c r="A52" t="str">
        <f>SUBSTITUTE($V$2,"\","|")&amp;"|CPMM"</f>
        <v>REG_test|CPMM</v>
      </c>
      <c r="B52" t="s">
        <v>74</v>
      </c>
      <c r="F52" t="s">
        <v>76</v>
      </c>
      <c r="G52" t="s">
        <v>71</v>
      </c>
      <c r="H52">
        <v>0</v>
      </c>
      <c r="I52" t="s">
        <v>76</v>
      </c>
      <c r="J52" t="s">
        <v>73</v>
      </c>
      <c r="K52">
        <v>0</v>
      </c>
      <c r="M52">
        <v>1</v>
      </c>
      <c r="R52" t="str">
        <f>IF($U$2=TRUE,$W$2&amp;". Разрешение на перевод в ручной режим","Разрешение на перевод в ручной режим")</f>
        <v>Регулятор FB с буферизацией. Разрешение на перевод в ручной режим</v>
      </c>
      <c r="S52" s="372"/>
      <c r="U52" s="773"/>
      <c r="V52" s="4"/>
      <c r="W52" s="773"/>
      <c r="X52" s="4"/>
    </row>
    <row r="53" spans="1:24">
      <c r="A53" t="str">
        <f>SUBSTITUTE($V$2,"\","|")&amp;"|SFTX"</f>
        <v>REG_test|SFTX</v>
      </c>
      <c r="B53" t="s">
        <v>69</v>
      </c>
      <c r="F53">
        <v>0</v>
      </c>
      <c r="G53" t="s">
        <v>71</v>
      </c>
      <c r="H53">
        <v>0</v>
      </c>
      <c r="I53" t="s">
        <v>72</v>
      </c>
      <c r="J53" s="4" t="s">
        <v>73</v>
      </c>
      <c r="K53">
        <v>0</v>
      </c>
      <c r="M53">
        <v>1</v>
      </c>
      <c r="R53" t="str">
        <f>IF($U$2=TRUE,$W$2&amp;". Постоянная времени фильтра (сек)","Постоянная времени фильтра (сек)")</f>
        <v>Регулятор FB с буферизацией. Постоянная времени фильтра (сек)</v>
      </c>
      <c r="S53" s="372"/>
      <c r="U53" s="773"/>
      <c r="V53" s="4"/>
      <c r="W53" s="773"/>
      <c r="X53" s="4"/>
    </row>
    <row r="54" spans="1:24">
      <c r="A54" t="str">
        <f>SUBSTITUTE($V$2,"\","|")&amp;"|XDAX"</f>
        <v>REG_test|XDAX</v>
      </c>
      <c r="B54" t="s">
        <v>74</v>
      </c>
      <c r="F54" t="s">
        <v>72</v>
      </c>
      <c r="G54" t="s">
        <v>71</v>
      </c>
      <c r="H54">
        <v>0</v>
      </c>
      <c r="I54" t="s">
        <v>72</v>
      </c>
      <c r="J54" t="s">
        <v>73</v>
      </c>
      <c r="K54">
        <v>0</v>
      </c>
      <c r="M54">
        <v>1</v>
      </c>
      <c r="R54" t="str">
        <f>IF($U$2=TRUE,$W$2&amp;". Регулируемый параметр выведен из алгоритма (вход)","Регулируемый параметр выведен из алгоритма (вход)")</f>
        <v>Регулятор FB с буферизацией. Регулируемый параметр выведен из алгоритма (вход)</v>
      </c>
      <c r="S54" s="372"/>
      <c r="U54" s="773"/>
      <c r="V54" s="4"/>
      <c r="W54" s="773"/>
      <c r="X54" s="4"/>
    </row>
    <row r="55" spans="1:24">
      <c r="A55" t="str">
        <f>SUBSTITUTE($V$2,"\","|")&amp;"|CIOX"</f>
        <v>REG_test|CIOX</v>
      </c>
      <c r="B55" t="s">
        <v>74</v>
      </c>
      <c r="F55" t="s">
        <v>72</v>
      </c>
      <c r="G55" t="s">
        <v>71</v>
      </c>
      <c r="H55">
        <v>0</v>
      </c>
      <c r="I55" t="s">
        <v>72</v>
      </c>
      <c r="J55" t="s">
        <v>69</v>
      </c>
      <c r="K55">
        <v>0</v>
      </c>
      <c r="M55">
        <v>1</v>
      </c>
      <c r="R55" t="str">
        <f>IF($U$2=TRUE,$W$2&amp;". Инверсия выходного значения","Инверсия выходного значения")</f>
        <v>Регулятор FB с буферизацией. Инверсия выходного значения</v>
      </c>
      <c r="S55" s="372"/>
      <c r="U55" s="773"/>
      <c r="V55" s="4"/>
      <c r="W55" s="773"/>
      <c r="X55" s="4"/>
    </row>
    <row r="56" spans="1:24">
      <c r="A56" t="str">
        <f>SUBSTITUTE($V$2,"\","|")&amp;"|XNWX"</f>
        <v>REG_test|XNWX</v>
      </c>
      <c r="B56" t="s">
        <v>74</v>
      </c>
      <c r="F56" t="s">
        <v>72</v>
      </c>
      <c r="G56" t="s">
        <v>71</v>
      </c>
      <c r="H56">
        <v>0</v>
      </c>
      <c r="I56" t="s">
        <v>72</v>
      </c>
      <c r="J56" t="s">
        <v>69</v>
      </c>
      <c r="K56">
        <v>0</v>
      </c>
      <c r="M56">
        <v>1</v>
      </c>
      <c r="R56" t="str">
        <f>IF($U$2=TRUE,$W$2&amp;". Регулятор не в работе","Регулятор не в работе")</f>
        <v>Регулятор FB с буферизацией. Регулятор не в работе</v>
      </c>
      <c r="S56" s="372"/>
      <c r="U56" s="773"/>
      <c r="V56" s="4"/>
      <c r="W56" s="773"/>
      <c r="X56" s="4"/>
    </row>
    <row r="57" spans="1:24">
      <c r="A57" t="str">
        <f>SUBSTITUTE($V$2,"\","|")&amp;"|CNWX"</f>
        <v>REG_test|CNWX</v>
      </c>
      <c r="B57" t="s">
        <v>74</v>
      </c>
      <c r="F57" t="s">
        <v>72</v>
      </c>
      <c r="G57" t="s">
        <v>71</v>
      </c>
      <c r="H57">
        <v>0</v>
      </c>
      <c r="I57" t="s">
        <v>72</v>
      </c>
      <c r="J57" t="s">
        <v>69</v>
      </c>
      <c r="K57">
        <v>0</v>
      </c>
      <c r="M57">
        <v>1</v>
      </c>
      <c r="R57" t="str">
        <f>IF($U$2=TRUE,$W$2&amp;". Вывод регулятора из работы (команда)","Вывод регулятора из работы (команда)")</f>
        <v>Регулятор FB с буферизацией. Вывод регулятора из работы (команда)</v>
      </c>
      <c r="S57" s="372"/>
      <c r="U57" s="773"/>
      <c r="V57" s="4"/>
      <c r="W57" s="773"/>
      <c r="X57" s="4"/>
    </row>
    <row r="58" spans="1:24">
      <c r="A58" s="514" t="str">
        <f>"PACK_TO_INT|STATE|"&amp;SUBSTITUTE($V$2,"\","|")</f>
        <v>PACK_TO_INT|STATE|REG_test</v>
      </c>
      <c r="B58" s="4" t="s">
        <v>78</v>
      </c>
      <c r="F58" s="4">
        <v>0</v>
      </c>
      <c r="G58" s="4" t="s">
        <v>71</v>
      </c>
      <c r="H58" s="4">
        <v>0</v>
      </c>
      <c r="I58" s="4" t="s">
        <v>72</v>
      </c>
      <c r="J58" s="4" t="s">
        <v>73</v>
      </c>
      <c r="K58" s="514">
        <v>1</v>
      </c>
      <c r="R58" s="4"/>
    </row>
    <row r="59" spans="1:24">
      <c r="A59" s="514" t="str">
        <f>"PACK_TO_INT|FAULT|"&amp;SUBSTITUTE($V$2,"\","|")</f>
        <v>PACK_TO_INT|FAULT|REG_test</v>
      </c>
      <c r="B59" s="4" t="s">
        <v>78</v>
      </c>
      <c r="F59" s="4">
        <v>0</v>
      </c>
      <c r="G59" s="4" t="s">
        <v>71</v>
      </c>
      <c r="H59" s="4">
        <v>0</v>
      </c>
      <c r="I59" s="4" t="s">
        <v>72</v>
      </c>
      <c r="J59" s="4" t="s">
        <v>73</v>
      </c>
      <c r="K59" s="514">
        <v>1</v>
      </c>
      <c r="R59" s="4"/>
    </row>
    <row r="61" spans="1:24">
      <c r="A61" s="4"/>
      <c r="B61" s="4"/>
      <c r="F61" s="4"/>
      <c r="G61" s="4"/>
      <c r="H61" s="4"/>
      <c r="I61" s="4"/>
      <c r="J61" s="4"/>
      <c r="K61" s="4"/>
      <c r="M61" s="4"/>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codeName="Лист180">
    <tabColor rgb="FF92D050"/>
  </sheetPr>
  <dimension ref="A1:AC60"/>
  <sheetViews>
    <sheetView topLeftCell="D19" zoomScale="80" zoomScaleNormal="80"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7.33203125" customWidth="1"/>
    <col min="16" max="16" width="4.6640625" customWidth="1"/>
    <col min="17" max="17" width="4.88671875" customWidth="1"/>
    <col min="18" max="18" width="65.44140625" customWidth="1"/>
    <col min="19" max="19" width="17.6640625" bestFit="1" customWidth="1"/>
    <col min="21" max="21" width="34.88671875" bestFit="1" customWidth="1"/>
    <col min="22" max="22" width="16.6640625" customWidth="1"/>
    <col min="23" max="23" width="30" customWidth="1"/>
    <col min="24" max="29" width="16.6640625" customWidth="1"/>
    <col min="30" max="30" width="19" customWidth="1"/>
  </cols>
  <sheetData>
    <row r="1" spans="1:29">
      <c r="A1" s="10"/>
      <c r="B1" s="10"/>
      <c r="F1" s="10"/>
      <c r="G1" s="10"/>
      <c r="H1" s="10"/>
      <c r="I1" s="10"/>
      <c r="J1" s="10"/>
      <c r="K1" s="10"/>
      <c r="M1" s="10"/>
      <c r="N1" s="10"/>
      <c r="O1" s="10"/>
      <c r="P1" s="10"/>
      <c r="Q1" s="10"/>
      <c r="R1" s="10"/>
      <c r="S1" s="54" t="s">
        <v>1471</v>
      </c>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28.8">
      <c r="A2" s="10"/>
      <c r="B2" s="10"/>
      <c r="F2" s="10"/>
      <c r="G2" s="10"/>
      <c r="H2" s="10"/>
      <c r="I2" s="10"/>
      <c r="J2" s="10"/>
      <c r="K2" s="10"/>
      <c r="M2" s="10"/>
      <c r="N2" s="10"/>
      <c r="O2" s="10"/>
      <c r="P2" s="10"/>
      <c r="Q2" s="10"/>
      <c r="R2" s="10"/>
      <c r="S2" s="3">
        <f>Настройки!$M$32</f>
        <v>65500</v>
      </c>
      <c r="U2" s="74" t="b">
        <f>Настройки!$M$34</f>
        <v>1</v>
      </c>
      <c r="V2" s="73" t="s">
        <v>1818</v>
      </c>
      <c r="W2" s="537" t="s">
        <v>1819</v>
      </c>
      <c r="X2" s="73"/>
      <c r="Y2" s="73"/>
      <c r="Z2" s="73"/>
      <c r="AA2" s="74"/>
      <c r="AB2" s="74"/>
      <c r="AC2" s="74"/>
    </row>
    <row r="3" spans="1:29">
      <c r="A3" t="str">
        <f>SUBSTITUTE($V$2,"\","|")&amp;"|DLCX"</f>
        <v>dREG_test|DLCX</v>
      </c>
      <c r="B3" t="s">
        <v>74</v>
      </c>
      <c r="F3" t="s">
        <v>72</v>
      </c>
      <c r="G3" t="s">
        <v>71</v>
      </c>
      <c r="H3">
        <v>0</v>
      </c>
      <c r="I3" t="s">
        <v>72</v>
      </c>
      <c r="J3" t="s">
        <v>69</v>
      </c>
      <c r="K3">
        <v>0</v>
      </c>
      <c r="M3">
        <v>1</v>
      </c>
      <c r="N3" t="s">
        <v>1697</v>
      </c>
      <c r="O3" s="52">
        <f t="shared" ref="O3:O37" si="0">$S$2</f>
        <v>65500</v>
      </c>
      <c r="R3" t="str">
        <f>IF($U$2=TRUE,$W$2&amp;". Недостоверное входное значение Местное управление","Недостоверное входное значение Местное управление")</f>
        <v>Дискретный регулятор FB с буферизацией. Недостоверное входное значение Местное управление</v>
      </c>
      <c r="S3" s="372"/>
      <c r="U3" s="773"/>
      <c r="V3" s="4"/>
      <c r="W3" s="773"/>
      <c r="X3" s="4"/>
    </row>
    <row r="4" spans="1:29">
      <c r="A4" t="str">
        <f>SUBSTITUTE($V$2,"\","|")&amp;"|DRCX"</f>
        <v>dREG_test|DRCX</v>
      </c>
      <c r="B4" t="s">
        <v>74</v>
      </c>
      <c r="F4" t="s">
        <v>72</v>
      </c>
      <c r="G4" t="s">
        <v>71</v>
      </c>
      <c r="H4">
        <v>0</v>
      </c>
      <c r="I4" t="s">
        <v>72</v>
      </c>
      <c r="J4" t="s">
        <v>69</v>
      </c>
      <c r="K4">
        <v>0</v>
      </c>
      <c r="M4">
        <v>1</v>
      </c>
      <c r="N4" t="s">
        <v>1697</v>
      </c>
      <c r="O4" s="52">
        <f t="shared" si="0"/>
        <v>65500</v>
      </c>
      <c r="R4" t="str">
        <f>IF($U$2=TRUE,$W$2&amp;". Недостоверное входное значение Дистанционное управление","Недостоверное входное значение Дистанционное управление")</f>
        <v>Дискретный регулятор FB с буферизацией. Недостоверное входное значение Дистанционное управление</v>
      </c>
      <c r="S4" s="372"/>
      <c r="U4" s="773"/>
      <c r="V4" s="4"/>
      <c r="W4" s="773"/>
      <c r="X4" s="4"/>
    </row>
    <row r="5" spans="1:29">
      <c r="A5" t="str">
        <f>SUBSTITUTE($V$2,"\","|")&amp;"|DFXX"</f>
        <v>dREG_test|DFXX</v>
      </c>
      <c r="B5" t="s">
        <v>74</v>
      </c>
      <c r="F5" t="s">
        <v>72</v>
      </c>
      <c r="G5" t="s">
        <v>71</v>
      </c>
      <c r="H5">
        <v>0</v>
      </c>
      <c r="I5" t="s">
        <v>72</v>
      </c>
      <c r="J5" t="s">
        <v>69</v>
      </c>
      <c r="K5">
        <v>0</v>
      </c>
      <c r="M5">
        <v>1</v>
      </c>
      <c r="N5" t="s">
        <v>1697</v>
      </c>
      <c r="O5" s="52">
        <f t="shared" si="0"/>
        <v>65500</v>
      </c>
      <c r="R5" t="str">
        <f>IF($U$2=TRUE,$W$2&amp;". Недостоверное входное значение Неисправность","Недостоверное входное значение Неисправность")</f>
        <v>Дискретный регулятор FB с буферизацией. Недостоверное входное значение Неисправность</v>
      </c>
      <c r="S5" s="372"/>
      <c r="U5" s="773"/>
      <c r="V5" s="4"/>
      <c r="W5" s="773"/>
      <c r="X5" s="4"/>
    </row>
    <row r="6" spans="1:29">
      <c r="A6" t="str">
        <f>SUBSTITUTE($V$2,"\","|")&amp;"|DCPX"</f>
        <v>dREG_test|DCPX</v>
      </c>
      <c r="B6" t="s">
        <v>74</v>
      </c>
      <c r="F6" t="s">
        <v>72</v>
      </c>
      <c r="G6" t="s">
        <v>71</v>
      </c>
      <c r="H6">
        <v>0</v>
      </c>
      <c r="I6" t="s">
        <v>72</v>
      </c>
      <c r="J6" t="s">
        <v>69</v>
      </c>
      <c r="K6">
        <v>0</v>
      </c>
      <c r="M6">
        <v>1</v>
      </c>
      <c r="N6" t="s">
        <v>1697</v>
      </c>
      <c r="O6" s="52">
        <f t="shared" si="0"/>
        <v>65500</v>
      </c>
      <c r="R6" t="str">
        <f>IF($U$2=TRUE,$W$2&amp;". Недостоверное входное значение Текущее положение","Недостоверное входное значение Текущее положение")</f>
        <v>Дискретный регулятор FB с буферизацией. Недостоверное входное значение Текущее положение</v>
      </c>
      <c r="S6" s="372"/>
      <c r="U6" s="773"/>
      <c r="V6" s="4"/>
      <c r="W6" s="773"/>
      <c r="X6" s="4"/>
    </row>
    <row r="7" spans="1:29">
      <c r="A7" t="str">
        <f>SUBSTITUTE($V$2,"\","|")&amp;"|DCAX"</f>
        <v>dREG_test|DCAX</v>
      </c>
      <c r="B7" t="s">
        <v>74</v>
      </c>
      <c r="F7" t="s">
        <v>72</v>
      </c>
      <c r="G7" t="s">
        <v>71</v>
      </c>
      <c r="H7">
        <v>0</v>
      </c>
      <c r="I7" t="s">
        <v>72</v>
      </c>
      <c r="J7" t="s">
        <v>69</v>
      </c>
      <c r="K7">
        <v>0</v>
      </c>
      <c r="M7">
        <v>1</v>
      </c>
      <c r="N7" t="s">
        <v>1697</v>
      </c>
      <c r="O7" s="52">
        <f t="shared" si="0"/>
        <v>65500</v>
      </c>
      <c r="R7" t="str">
        <f>IF($U$2=TRUE,$W$2&amp;". Недостоверное выходное значение Управялющее воздействие","Недостоверное выходное значение Управялющее воздействие")</f>
        <v>Дискретный регулятор FB с буферизацией. Недостоверное выходное значение Управялющее воздействие</v>
      </c>
      <c r="S7" s="372"/>
      <c r="U7" s="773"/>
      <c r="V7" s="4"/>
      <c r="W7" s="773"/>
      <c r="X7" s="4"/>
    </row>
    <row r="8" spans="1:29">
      <c r="A8" t="str">
        <f>SUBSTITUTE($V$2,"\","|")&amp;"|CEXX"</f>
        <v>dREG_test|CEXX</v>
      </c>
      <c r="B8" t="s">
        <v>74</v>
      </c>
      <c r="F8" t="s">
        <v>72</v>
      </c>
      <c r="G8" t="s">
        <v>71</v>
      </c>
      <c r="H8">
        <v>0</v>
      </c>
      <c r="I8" t="s">
        <v>76</v>
      </c>
      <c r="J8" t="s">
        <v>73</v>
      </c>
      <c r="K8">
        <v>0</v>
      </c>
      <c r="M8">
        <v>1</v>
      </c>
      <c r="N8" t="s">
        <v>1697</v>
      </c>
      <c r="O8" s="52">
        <f t="shared" si="0"/>
        <v>65500</v>
      </c>
      <c r="R8" t="str">
        <f>IF($U$2=TRUE,$W$2&amp;". Команда ПАЗ: перейти в заданное состояние","Команда ПАЗ: перейти в заданное состояние")</f>
        <v>Дискретный регулятор FB с буферизацией. Команда ПАЗ: перейти в заданное состояние</v>
      </c>
      <c r="S8" s="372"/>
      <c r="U8" s="773"/>
      <c r="V8" s="4"/>
      <c r="W8" s="773"/>
      <c r="X8" s="4"/>
    </row>
    <row r="9" spans="1:29">
      <c r="A9" t="str">
        <f>SUBSTITUTE($V$2,"\","|")&amp;"|XMMX"</f>
        <v>dREG_test|XMMX</v>
      </c>
      <c r="B9" t="s">
        <v>74</v>
      </c>
      <c r="F9" t="s">
        <v>72</v>
      </c>
      <c r="G9" t="s">
        <v>71</v>
      </c>
      <c r="H9">
        <v>0</v>
      </c>
      <c r="I9" t="s">
        <v>72</v>
      </c>
      <c r="J9" t="s">
        <v>69</v>
      </c>
      <c r="K9">
        <v>0</v>
      </c>
      <c r="M9">
        <v>1</v>
      </c>
      <c r="N9" t="s">
        <v>1697</v>
      </c>
      <c r="O9" s="52">
        <f t="shared" si="0"/>
        <v>65500</v>
      </c>
      <c r="R9" t="str">
        <f>IF($U$2=TRUE,$W$2&amp;". Выходное заначение Ручное управление","Выходное заначение Ручное управление")</f>
        <v>Дискретный регулятор FB с буферизацией. Выходное заначение Ручное управление</v>
      </c>
      <c r="S9" s="372"/>
      <c r="U9" s="773"/>
      <c r="V9" s="4"/>
      <c r="W9" s="773"/>
      <c r="X9" s="4"/>
    </row>
    <row r="10" spans="1:29">
      <c r="A10" t="str">
        <f>SUBSTITUTE($V$2,"\","|")&amp;"|XRCX"</f>
        <v>dREG_test|XRCX</v>
      </c>
      <c r="B10" t="s">
        <v>74</v>
      </c>
      <c r="F10" t="s">
        <v>72</v>
      </c>
      <c r="G10" t="s">
        <v>71</v>
      </c>
      <c r="H10">
        <v>0</v>
      </c>
      <c r="I10" t="s">
        <v>72</v>
      </c>
      <c r="J10" t="s">
        <v>69</v>
      </c>
      <c r="K10">
        <v>0</v>
      </c>
      <c r="M10">
        <v>1</v>
      </c>
      <c r="N10" t="s">
        <v>1697</v>
      </c>
      <c r="O10" s="52">
        <f t="shared" si="0"/>
        <v>65500</v>
      </c>
      <c r="R10" t="str">
        <f>IF($U$2=TRUE,$W$2&amp;". Выходное значение Дистанционное управление","Выходное значение Дистанционное управление")</f>
        <v>Дискретный регулятор FB с буферизацией. Выходное значение Дистанционное управление</v>
      </c>
      <c r="S10" s="372"/>
      <c r="U10" s="773"/>
      <c r="V10" s="4"/>
      <c r="W10" s="773"/>
      <c r="X10" s="4"/>
    </row>
    <row r="11" spans="1:29">
      <c r="A11" t="str">
        <f>SUBSTITUTE($V$2,"\","|")&amp;"|FSCX"</f>
        <v>dREG_test|FSCX</v>
      </c>
      <c r="B11" t="s">
        <v>74</v>
      </c>
      <c r="F11" t="s">
        <v>72</v>
      </c>
      <c r="G11" t="s">
        <v>71</v>
      </c>
      <c r="H11">
        <v>0</v>
      </c>
      <c r="I11" t="s">
        <v>72</v>
      </c>
      <c r="J11" t="s">
        <v>69</v>
      </c>
      <c r="K11">
        <v>0</v>
      </c>
      <c r="M11">
        <v>1</v>
      </c>
      <c r="N11" t="s">
        <v>1697</v>
      </c>
      <c r="O11" s="52">
        <f t="shared" si="0"/>
        <v>65500</v>
      </c>
      <c r="R11" t="str">
        <f>IF($U$2=TRUE,$W$2&amp;". КЗ цепи текущего положения","КЗ цепи текущего положения")</f>
        <v>Дискретный регулятор FB с буферизацией. КЗ цепи текущего положения</v>
      </c>
      <c r="S11" s="372"/>
      <c r="U11" s="773"/>
      <c r="V11" s="4"/>
      <c r="W11" s="773"/>
      <c r="X11" s="4"/>
    </row>
    <row r="12" spans="1:29">
      <c r="A12" t="str">
        <f>SUBSTITUTE($V$2,"\","|")&amp;"|FBXX"</f>
        <v>dREG_test|FBXX</v>
      </c>
      <c r="B12" t="s">
        <v>74</v>
      </c>
      <c r="F12" t="s">
        <v>72</v>
      </c>
      <c r="G12" t="s">
        <v>71</v>
      </c>
      <c r="H12">
        <v>0</v>
      </c>
      <c r="I12" t="s">
        <v>72</v>
      </c>
      <c r="J12" t="s">
        <v>69</v>
      </c>
      <c r="K12">
        <v>0</v>
      </c>
      <c r="M12">
        <v>1</v>
      </c>
      <c r="N12" t="s">
        <v>1697</v>
      </c>
      <c r="O12" s="52">
        <f t="shared" si="0"/>
        <v>65500</v>
      </c>
      <c r="R12" t="str">
        <f>IF($U$2=TRUE,$W$2&amp;". Обрыв цепи текущего положения","Обрыв цепи текущего положения")</f>
        <v>Дискретный регулятор FB с буферизацией. Обрыв цепи текущего положения</v>
      </c>
      <c r="S12" s="372"/>
      <c r="U12" s="773"/>
      <c r="V12" s="4"/>
      <c r="W12" s="773"/>
      <c r="X12" s="4"/>
    </row>
    <row r="13" spans="1:29">
      <c r="A13" t="str">
        <f>SUBSTITUTE($V$2,"\","|")&amp;"|FMVX"</f>
        <v>dREG_test|FMVX</v>
      </c>
      <c r="B13" t="s">
        <v>74</v>
      </c>
      <c r="F13" t="s">
        <v>72</v>
      </c>
      <c r="G13" t="s">
        <v>71</v>
      </c>
      <c r="H13">
        <v>0</v>
      </c>
      <c r="I13" t="s">
        <v>72</v>
      </c>
      <c r="J13" t="s">
        <v>69</v>
      </c>
      <c r="K13">
        <v>0</v>
      </c>
      <c r="M13">
        <v>1</v>
      </c>
      <c r="N13" t="s">
        <v>1697</v>
      </c>
      <c r="O13" s="52">
        <f t="shared" si="0"/>
        <v>65500</v>
      </c>
      <c r="R13" t="str">
        <f>IF($U$2=TRUE,$W$2&amp;". Ошибка рассогласования","Ошибка рассогласования")</f>
        <v>Дискретный регулятор FB с буферизацией. Ошибка рассогласования</v>
      </c>
      <c r="S13" s="372"/>
      <c r="U13" s="773"/>
      <c r="V13" s="4"/>
      <c r="W13" s="773"/>
      <c r="X13" s="4"/>
    </row>
    <row r="14" spans="1:29">
      <c r="A14" t="str">
        <f>SUBSTITUTE($V$2,"\","|")&amp;"|FUCM"</f>
        <v>dREG_test|FUCM</v>
      </c>
      <c r="B14" t="s">
        <v>74</v>
      </c>
      <c r="F14" t="s">
        <v>72</v>
      </c>
      <c r="G14" t="s">
        <v>71</v>
      </c>
      <c r="H14">
        <v>0</v>
      </c>
      <c r="I14" t="s">
        <v>72</v>
      </c>
      <c r="J14" t="s">
        <v>69</v>
      </c>
      <c r="K14">
        <v>0</v>
      </c>
      <c r="M14">
        <v>1</v>
      </c>
      <c r="N14" t="s">
        <v>1697</v>
      </c>
      <c r="O14" s="52">
        <f t="shared" si="0"/>
        <v>65500</v>
      </c>
      <c r="R14" t="str">
        <f>IF($U$2=TRUE,$W$2&amp;". Неопределенный режим управления","Неопределенный режим управления")</f>
        <v>Дискретный регулятор FB с буферизацией. Неопределенный режим управления</v>
      </c>
      <c r="S14" s="372"/>
      <c r="U14" s="773"/>
      <c r="V14" s="4"/>
      <c r="W14" s="773"/>
      <c r="X14" s="4"/>
    </row>
    <row r="15" spans="1:29">
      <c r="A15" t="str">
        <f>SUBSTITUTE($V$2,"\","|")&amp;"|FDCM"</f>
        <v>dREG_test|FDCM</v>
      </c>
      <c r="B15" t="s">
        <v>74</v>
      </c>
      <c r="F15" t="s">
        <v>72</v>
      </c>
      <c r="G15" t="s">
        <v>71</v>
      </c>
      <c r="H15">
        <v>0</v>
      </c>
      <c r="I15" t="s">
        <v>72</v>
      </c>
      <c r="J15" t="s">
        <v>69</v>
      </c>
      <c r="K15">
        <v>0</v>
      </c>
      <c r="M15">
        <v>1</v>
      </c>
      <c r="N15" t="s">
        <v>1697</v>
      </c>
      <c r="O15" s="52">
        <f t="shared" si="0"/>
        <v>65500</v>
      </c>
      <c r="R15" t="str">
        <f>IF($U$2=TRUE,$W$2&amp;". Двойной режим управления","Двойной режим управления")</f>
        <v>Дискретный регулятор FB с буферизацией. Двойной режим управления</v>
      </c>
      <c r="S15" s="372"/>
      <c r="U15" s="773"/>
      <c r="V15" s="4"/>
      <c r="W15" s="773"/>
      <c r="X15" s="4"/>
    </row>
    <row r="16" spans="1:29">
      <c r="A16" t="str">
        <f>SUBSTITUTE($V$2,"\","|")&amp;"|IFXX"</f>
        <v>dREG_test|IFXX</v>
      </c>
      <c r="B16" t="s">
        <v>74</v>
      </c>
      <c r="F16" t="s">
        <v>72</v>
      </c>
      <c r="G16" t="s">
        <v>71</v>
      </c>
      <c r="H16">
        <v>0</v>
      </c>
      <c r="I16" t="s">
        <v>72</v>
      </c>
      <c r="J16" t="s">
        <v>69</v>
      </c>
      <c r="K16">
        <v>0</v>
      </c>
      <c r="M16">
        <v>1</v>
      </c>
      <c r="N16" t="s">
        <v>1697</v>
      </c>
      <c r="O16" s="52">
        <f t="shared" si="0"/>
        <v>65500</v>
      </c>
      <c r="R16" t="str">
        <f>IF($U$2=TRUE,$W$2&amp;". Неисправность (вход)","Неисправность (вход)")</f>
        <v>Дискретный регулятор FB с буферизацией. Неисправность (вход)</v>
      </c>
      <c r="S16" s="372"/>
      <c r="U16" s="773"/>
      <c r="V16" s="4"/>
      <c r="W16" s="773"/>
      <c r="X16" s="4"/>
    </row>
    <row r="17" spans="1:24">
      <c r="A17" t="str">
        <f>SUBSTITUTE($V$2,"\","|")&amp;"|FCPX"</f>
        <v>dREG_test|FCPX</v>
      </c>
      <c r="B17" t="s">
        <v>74</v>
      </c>
      <c r="F17" t="s">
        <v>72</v>
      </c>
      <c r="G17" t="s">
        <v>71</v>
      </c>
      <c r="H17">
        <v>0</v>
      </c>
      <c r="I17" t="s">
        <v>72</v>
      </c>
      <c r="J17" t="s">
        <v>69</v>
      </c>
      <c r="K17">
        <v>0</v>
      </c>
      <c r="M17">
        <v>1</v>
      </c>
      <c r="N17" t="s">
        <v>1697</v>
      </c>
      <c r="O17" s="52">
        <f t="shared" si="0"/>
        <v>65500</v>
      </c>
      <c r="R17" t="str">
        <f>IF($U$2=TRUE,$W$2&amp;". Неисправность цепи текущего положения","Неисправность цепи текущего положения")</f>
        <v>Дискретный регулятор FB с буферизацией. Неисправность цепи текущего положения</v>
      </c>
      <c r="S17" s="372"/>
      <c r="U17" s="773"/>
      <c r="V17" s="4"/>
      <c r="W17" s="773"/>
      <c r="X17" s="4"/>
    </row>
    <row r="18" spans="1:24">
      <c r="A18" s="4" t="str">
        <f>SUBSTITUTE($V$2,"\","|")&amp;"|SEPX"</f>
        <v>dREG_test|SEPX</v>
      </c>
      <c r="B18" s="4" t="s">
        <v>69</v>
      </c>
      <c r="F18" s="4">
        <v>0</v>
      </c>
      <c r="G18" s="4" t="s">
        <v>71</v>
      </c>
      <c r="H18" s="4">
        <v>0</v>
      </c>
      <c r="I18" s="4" t="s">
        <v>76</v>
      </c>
      <c r="J18" s="4" t="s">
        <v>73</v>
      </c>
      <c r="K18" s="4">
        <v>0</v>
      </c>
      <c r="M18">
        <v>1</v>
      </c>
      <c r="N18" t="s">
        <v>1697</v>
      </c>
      <c r="O18" s="52">
        <f t="shared" si="0"/>
        <v>65500</v>
      </c>
      <c r="P18">
        <v>1</v>
      </c>
      <c r="Q18">
        <v>1</v>
      </c>
      <c r="R18" t="str">
        <f>IF($U$2=TRUE,$W$2&amp;". Уставка процента открытия в режиме ПАЗ","Уставка процента открытия в режиме ПАЗ")</f>
        <v>Дискретный регулятор FB с буферизацией. Уставка процента открытия в режиме ПАЗ</v>
      </c>
      <c r="S18" s="372"/>
      <c r="U18" s="773"/>
      <c r="V18" s="4"/>
      <c r="W18" s="773"/>
      <c r="X18" s="4"/>
    </row>
    <row r="19" spans="1:24">
      <c r="A19" t="str">
        <f>SUBSTITUTE($V$2,"\","|")&amp;"|SBPX"</f>
        <v>dREG_test|SBPX</v>
      </c>
      <c r="B19" t="s">
        <v>69</v>
      </c>
      <c r="F19">
        <v>0</v>
      </c>
      <c r="G19" t="s">
        <v>71</v>
      </c>
      <c r="H19">
        <v>0</v>
      </c>
      <c r="I19" t="s">
        <v>72</v>
      </c>
      <c r="J19" s="4" t="s">
        <v>73</v>
      </c>
      <c r="K19">
        <v>0</v>
      </c>
      <c r="M19">
        <v>1</v>
      </c>
      <c r="N19" t="s">
        <v>1697</v>
      </c>
      <c r="O19" s="52">
        <f t="shared" si="0"/>
        <v>65500</v>
      </c>
      <c r="P19">
        <v>1</v>
      </c>
      <c r="Q19">
        <v>1</v>
      </c>
      <c r="R19" t="str">
        <f>IF($U$2=TRUE,$W$2&amp;". Уставка процента открытия в режиме Блокировка","Уставка процента открытия в режиме Блокировка")</f>
        <v>Дискретный регулятор FB с буферизацией. Уставка процента открытия в режиме Блокировка</v>
      </c>
      <c r="S19" s="372"/>
      <c r="U19" s="773"/>
      <c r="V19" s="4"/>
      <c r="W19" s="773"/>
      <c r="X19" s="4"/>
    </row>
    <row r="20" spans="1:24">
      <c r="A20" s="514" t="str">
        <f>SUBSTITUTE($V$2,"\","|")&amp;"|OCAX"</f>
        <v>dREG_test|OCAX</v>
      </c>
      <c r="B20" t="s">
        <v>69</v>
      </c>
      <c r="F20">
        <v>0</v>
      </c>
      <c r="G20" t="s">
        <v>71</v>
      </c>
      <c r="H20">
        <v>0</v>
      </c>
      <c r="I20" t="s">
        <v>76</v>
      </c>
      <c r="J20" t="s">
        <v>69</v>
      </c>
      <c r="K20" s="514">
        <v>2</v>
      </c>
      <c r="M20">
        <v>1</v>
      </c>
      <c r="R20" t="str">
        <f>IF($U$2=TRUE,$W$2&amp;". Выходное значение - управяющее воздействие в мА","Выходное значение - управяющее воздействие в мА")</f>
        <v>Дискретный регулятор FB с буферизацией. Выходное значение - управяющее воздействие в мА</v>
      </c>
      <c r="S20" s="372"/>
      <c r="U20" s="773"/>
      <c r="V20" s="4"/>
      <c r="W20" s="773"/>
      <c r="X20" s="4"/>
    </row>
    <row r="21" spans="1:24">
      <c r="A21" s="514" t="str">
        <f>SUBSTITUTE($V$2,"\","|")&amp;"|XCAP"</f>
        <v>dREG_test|XCAP</v>
      </c>
      <c r="B21" t="s">
        <v>69</v>
      </c>
      <c r="F21">
        <v>0</v>
      </c>
      <c r="G21" t="s">
        <v>71</v>
      </c>
      <c r="H21">
        <v>0</v>
      </c>
      <c r="I21" t="s">
        <v>72</v>
      </c>
      <c r="J21" t="s">
        <v>69</v>
      </c>
      <c r="K21" s="514">
        <v>2</v>
      </c>
      <c r="M21">
        <v>1</v>
      </c>
      <c r="N21" t="s">
        <v>1697</v>
      </c>
      <c r="O21" s="52">
        <f t="shared" si="0"/>
        <v>65500</v>
      </c>
      <c r="P21">
        <v>1</v>
      </c>
      <c r="Q21">
        <v>1</v>
      </c>
      <c r="R21" t="str">
        <f>IF($U$2=TRUE,$W$2&amp;". Выходное значение - управяющее воздействие в процентах","Выходное значение - управяющее воздействие в процентах")</f>
        <v>Дискретный регулятор FB с буферизацией. Выходное значение - управяющее воздействие в процентах</v>
      </c>
      <c r="S21" s="372"/>
      <c r="U21" s="773"/>
      <c r="V21" s="4"/>
      <c r="W21" s="773"/>
      <c r="X21" s="4"/>
    </row>
    <row r="22" spans="1:24">
      <c r="A22" s="514" t="str">
        <f>SUBSTITUTE($V$2,"\","|")&amp;"|XCPP"</f>
        <v>dREG_test|XCPP</v>
      </c>
      <c r="B22" t="s">
        <v>69</v>
      </c>
      <c r="F22">
        <v>0</v>
      </c>
      <c r="G22" t="s">
        <v>71</v>
      </c>
      <c r="H22">
        <v>0</v>
      </c>
      <c r="I22" t="s">
        <v>72</v>
      </c>
      <c r="J22" t="s">
        <v>69</v>
      </c>
      <c r="K22" s="514">
        <v>2</v>
      </c>
      <c r="M22">
        <v>1</v>
      </c>
      <c r="N22" t="s">
        <v>1697</v>
      </c>
      <c r="O22" s="52">
        <f t="shared" si="0"/>
        <v>65500</v>
      </c>
      <c r="P22">
        <v>1</v>
      </c>
      <c r="Q22">
        <v>1</v>
      </c>
      <c r="R22" t="str">
        <f>IF($U$2=TRUE,$W$2&amp;". Входное значение - текущее положение %","Входное значение - текущее положение %")</f>
        <v>Дискретный регулятор FB с буферизацией. Входное значение - текущее положение %</v>
      </c>
      <c r="S22" s="372"/>
      <c r="U22" s="773"/>
      <c r="V22" s="4"/>
      <c r="W22" s="773"/>
      <c r="X22" s="4"/>
    </row>
    <row r="23" spans="1:24">
      <c r="A23" s="514" t="str">
        <f>SUBSTITUTE($V$2,"\","|")&amp;"|XPVX"</f>
        <v>dREG_test|XPVX</v>
      </c>
      <c r="B23" t="s">
        <v>69</v>
      </c>
      <c r="F23">
        <v>0</v>
      </c>
      <c r="G23" t="s">
        <v>71</v>
      </c>
      <c r="H23">
        <v>0</v>
      </c>
      <c r="I23" t="s">
        <v>76</v>
      </c>
      <c r="J23" t="s">
        <v>69</v>
      </c>
      <c r="K23" s="514">
        <v>2</v>
      </c>
      <c r="M23">
        <v>1</v>
      </c>
      <c r="N23" t="s">
        <v>1697</v>
      </c>
      <c r="O23" s="52">
        <f t="shared" si="0"/>
        <v>65500</v>
      </c>
      <c r="P23">
        <v>1</v>
      </c>
      <c r="Q23">
        <v>1</v>
      </c>
      <c r="R23" t="str">
        <f>IF($U$2=TRUE,$W$2&amp;". Регулируемый параметр (параметрическое)","Регулируемый параметр (параметрическое)")</f>
        <v>Дискретный регулятор FB с буферизацией. Регулируемый параметр (параметрическое)</v>
      </c>
      <c r="S23" s="372"/>
      <c r="U23" s="773"/>
      <c r="V23" s="4"/>
      <c r="W23" s="773"/>
      <c r="X23" s="4"/>
    </row>
    <row r="24" spans="1:24">
      <c r="A24" s="514" t="str">
        <f>SUBSTITUTE($V$2,"\","|")&amp;"|SSPX"</f>
        <v>dREG_test|SSPX</v>
      </c>
      <c r="B24" t="s">
        <v>69</v>
      </c>
      <c r="F24" s="4">
        <v>0</v>
      </c>
      <c r="G24" s="4" t="s">
        <v>71</v>
      </c>
      <c r="H24" s="4">
        <v>0</v>
      </c>
      <c r="I24" s="4" t="s">
        <v>76</v>
      </c>
      <c r="J24" s="4" t="s">
        <v>73</v>
      </c>
      <c r="K24" s="514">
        <v>2</v>
      </c>
      <c r="M24">
        <v>1</v>
      </c>
      <c r="N24" t="s">
        <v>1697</v>
      </c>
      <c r="O24" s="52">
        <f t="shared" si="0"/>
        <v>65500</v>
      </c>
      <c r="P24">
        <v>1</v>
      </c>
      <c r="Q24">
        <v>1</v>
      </c>
      <c r="R24" t="str">
        <f>IF($U$2=TRUE,$W$2&amp;". Уставка регулирования","Уставка регулирования")</f>
        <v>Дискретный регулятор FB с буферизацией. Уставка регулирования</v>
      </c>
      <c r="S24" s="372"/>
      <c r="U24" s="773"/>
      <c r="V24" s="4"/>
      <c r="W24" s="773"/>
      <c r="X24" s="4"/>
    </row>
    <row r="25" spans="1:24">
      <c r="A25" s="514" t="str">
        <f>SUBSTITUTE($V$2,"\","|")&amp;"|SSPL"</f>
        <v>dREG_test|SSPL</v>
      </c>
      <c r="B25" s="4" t="s">
        <v>69</v>
      </c>
      <c r="F25" s="4">
        <v>0</v>
      </c>
      <c r="G25" s="4" t="s">
        <v>71</v>
      </c>
      <c r="H25" s="4">
        <v>0</v>
      </c>
      <c r="I25" s="4" t="s">
        <v>76</v>
      </c>
      <c r="J25" s="4" t="s">
        <v>73</v>
      </c>
      <c r="K25" s="514">
        <v>2</v>
      </c>
      <c r="M25">
        <v>1</v>
      </c>
      <c r="R25" t="str">
        <f>IF($U$2=TRUE,$W$2&amp;". Нижняя шкала регулируемого параметра","Нижняя шкала регулируемого параметра")</f>
        <v>Дискретный регулятор FB с буферизацией. Нижняя шкала регулируемого параметра</v>
      </c>
      <c r="S25" s="372"/>
      <c r="U25" s="773"/>
      <c r="V25" s="4"/>
      <c r="W25" s="773"/>
      <c r="X25" s="4"/>
    </row>
    <row r="26" spans="1:24">
      <c r="A26" s="514" t="str">
        <f>SUBSTITUTE($V$2,"\","|")&amp;"|SSPH"</f>
        <v>dREG_test|SSPH</v>
      </c>
      <c r="B26" t="s">
        <v>69</v>
      </c>
      <c r="F26">
        <v>100</v>
      </c>
      <c r="G26" t="s">
        <v>71</v>
      </c>
      <c r="H26">
        <v>0</v>
      </c>
      <c r="I26" t="s">
        <v>76</v>
      </c>
      <c r="J26" t="s">
        <v>73</v>
      </c>
      <c r="K26" s="514">
        <v>2</v>
      </c>
      <c r="M26">
        <v>1</v>
      </c>
      <c r="R26" t="str">
        <f>IF($U$2=TRUE,$W$2&amp;". Верхняя шкала регулируемого параметра","Верхняя шкала регулируемого параметра")</f>
        <v>Дискретный регулятор FB с буферизацией. Верхняя шкала регулируемого параметра</v>
      </c>
      <c r="S26" s="372"/>
      <c r="U26" s="773"/>
      <c r="V26" s="4"/>
      <c r="W26" s="773"/>
      <c r="X26" s="4"/>
    </row>
    <row r="27" spans="1:24">
      <c r="A27" s="514" t="str">
        <f>SUBSTITUTE($V$2,"\","|")&amp;"|SOPX"</f>
        <v>dREG_test|SOPX</v>
      </c>
      <c r="B27" s="4" t="s">
        <v>69</v>
      </c>
      <c r="F27" s="4">
        <v>0</v>
      </c>
      <c r="G27" s="4" t="s">
        <v>71</v>
      </c>
      <c r="H27" s="4">
        <v>0</v>
      </c>
      <c r="I27" s="4" t="s">
        <v>76</v>
      </c>
      <c r="J27" s="4" t="s">
        <v>73</v>
      </c>
      <c r="K27" s="514">
        <v>2</v>
      </c>
      <c r="M27">
        <v>1</v>
      </c>
      <c r="R27" t="str">
        <f>IF($U$2=TRUE,$W$2&amp;". Задание процента открытия от оператора","Задание процента открытия от оператора")</f>
        <v>Дискретный регулятор FB с буферизацией. Задание процента открытия от оператора</v>
      </c>
      <c r="S27" s="372"/>
      <c r="U27" s="773"/>
      <c r="V27" s="4"/>
      <c r="W27" s="773"/>
      <c r="X27" s="4"/>
    </row>
    <row r="28" spans="1:24">
      <c r="A28" s="514" t="str">
        <f>SUBSTITUTE($V$2,"\","|")&amp;"|SCAL"</f>
        <v>dREG_test|SCAL</v>
      </c>
      <c r="B28" s="4" t="s">
        <v>69</v>
      </c>
      <c r="F28" s="4">
        <v>0</v>
      </c>
      <c r="G28" s="4" t="s">
        <v>71</v>
      </c>
      <c r="H28" s="4">
        <v>0</v>
      </c>
      <c r="I28" s="4" t="s">
        <v>76</v>
      </c>
      <c r="J28" s="4" t="s">
        <v>73</v>
      </c>
      <c r="K28" s="514">
        <v>2</v>
      </c>
      <c r="M28">
        <v>1</v>
      </c>
      <c r="R28" t="str">
        <f>IF($U$2=TRUE,$W$2&amp;". Нижняя шакала управления в %","Нижняя шакала управления в %")</f>
        <v>Дискретный регулятор FB с буферизацией. Нижняя шакала управления в %</v>
      </c>
      <c r="S28" s="372"/>
      <c r="U28" s="773"/>
      <c r="V28" s="4"/>
      <c r="W28" s="773"/>
      <c r="X28" s="4"/>
    </row>
    <row r="29" spans="1:24">
      <c r="A29" s="514" t="str">
        <f>SUBSTITUTE($V$2,"\","|")&amp;"|SCAH"</f>
        <v>dREG_test|SCAH</v>
      </c>
      <c r="B29" s="4" t="s">
        <v>69</v>
      </c>
      <c r="F29" s="4">
        <v>100</v>
      </c>
      <c r="G29" s="4" t="s">
        <v>71</v>
      </c>
      <c r="H29" s="4">
        <v>0</v>
      </c>
      <c r="I29" s="4" t="s">
        <v>76</v>
      </c>
      <c r="J29" s="4" t="s">
        <v>73</v>
      </c>
      <c r="K29" s="514">
        <v>2</v>
      </c>
      <c r="M29">
        <v>1</v>
      </c>
      <c r="R29" t="str">
        <f>IF($U$2=TRUE,$W$2&amp;". Верхняя шакала управления в %","Верхняя шакала управления в %")</f>
        <v>Дискретный регулятор FB с буферизацией. Верхняя шакала управления в %</v>
      </c>
      <c r="S29" s="372"/>
      <c r="U29" s="773"/>
      <c r="V29" s="4"/>
      <c r="W29" s="773"/>
      <c r="X29" s="4"/>
    </row>
    <row r="30" spans="1:24">
      <c r="A30" s="514" t="str">
        <f>SUBSTITUTE($V$2,"\","|")&amp;"|S1SD"</f>
        <v>dREG_test|S1SD</v>
      </c>
      <c r="B30" t="s">
        <v>69</v>
      </c>
      <c r="F30">
        <v>0</v>
      </c>
      <c r="G30" t="s">
        <v>71</v>
      </c>
      <c r="H30">
        <v>0</v>
      </c>
      <c r="I30" t="s">
        <v>76</v>
      </c>
      <c r="J30" s="4" t="s">
        <v>73</v>
      </c>
      <c r="K30" s="514">
        <v>2</v>
      </c>
      <c r="M30">
        <v>1</v>
      </c>
      <c r="R30" t="str">
        <f>IF($U$2=TRUE,$W$2&amp;". Отклонение 1 порог","Отклонение 1 порог")</f>
        <v>Дискретный регулятор FB с буферизацией. Отклонение 1 порог</v>
      </c>
      <c r="S30" s="372"/>
      <c r="U30" s="773"/>
      <c r="V30" s="4"/>
      <c r="W30" s="773"/>
      <c r="X30" s="4"/>
    </row>
    <row r="31" spans="1:24">
      <c r="A31" s="514" t="str">
        <f>SUBSTITUTE($V$2,"\","|")&amp;"|S1SI"</f>
        <v>dREG_test|S1SI</v>
      </c>
      <c r="B31" t="s">
        <v>69</v>
      </c>
      <c r="F31">
        <v>0</v>
      </c>
      <c r="G31" t="s">
        <v>71</v>
      </c>
      <c r="H31">
        <v>0</v>
      </c>
      <c r="I31" t="s">
        <v>76</v>
      </c>
      <c r="J31" s="4" t="s">
        <v>73</v>
      </c>
      <c r="K31" s="514">
        <v>2</v>
      </c>
      <c r="M31">
        <v>1</v>
      </c>
      <c r="R31" t="str">
        <f>IF($U$2=TRUE,$W$2&amp;". Приращение 1 порог","Приращение 1 порог")</f>
        <v>Дискретный регулятор FB с буферизацией. Приращение 1 порог</v>
      </c>
      <c r="S31" s="372"/>
      <c r="U31" s="773"/>
      <c r="V31" s="4"/>
      <c r="W31" s="773"/>
      <c r="X31" s="4"/>
    </row>
    <row r="32" spans="1:24">
      <c r="A32" s="514" t="str">
        <f>SUBSTITUTE($V$2,"\","|")&amp;"|S2SD"</f>
        <v>dREG_test|S2SD</v>
      </c>
      <c r="B32" t="s">
        <v>69</v>
      </c>
      <c r="F32">
        <v>0</v>
      </c>
      <c r="G32" t="s">
        <v>71</v>
      </c>
      <c r="H32">
        <v>0</v>
      </c>
      <c r="I32" t="s">
        <v>76</v>
      </c>
      <c r="J32" s="4" t="s">
        <v>73</v>
      </c>
      <c r="K32" s="514">
        <v>2</v>
      </c>
      <c r="M32">
        <v>1</v>
      </c>
      <c r="R32" t="str">
        <f>IF($U$2=TRUE,$W$2&amp;". Отклонение 2 порог","Отклонение 2 порог")</f>
        <v>Дискретный регулятор FB с буферизацией. Отклонение 2 порог</v>
      </c>
      <c r="S32" s="372"/>
      <c r="U32" s="773"/>
      <c r="V32" s="4"/>
      <c r="W32" s="773"/>
      <c r="X32" s="4"/>
    </row>
    <row r="33" spans="1:24">
      <c r="A33" s="514" t="str">
        <f>SUBSTITUTE($V$2,"\","|")&amp;"|S2SI"</f>
        <v>dREG_test|S2SI</v>
      </c>
      <c r="B33" t="s">
        <v>69</v>
      </c>
      <c r="F33">
        <v>0</v>
      </c>
      <c r="G33" t="s">
        <v>71</v>
      </c>
      <c r="H33">
        <v>0</v>
      </c>
      <c r="I33" t="s">
        <v>76</v>
      </c>
      <c r="J33" s="4" t="s">
        <v>73</v>
      </c>
      <c r="K33" s="514">
        <v>2</v>
      </c>
      <c r="M33">
        <v>1</v>
      </c>
      <c r="R33" t="str">
        <f>IF($U$2=TRUE,$W$2&amp;". Приращение 2 порог","Приращение 2 порог")</f>
        <v>Дискретный регулятор FB с буферизацией. Приращение 2 порог</v>
      </c>
      <c r="S33" s="372"/>
      <c r="U33" s="773"/>
      <c r="V33" s="4"/>
      <c r="W33" s="773"/>
      <c r="X33" s="4"/>
    </row>
    <row r="34" spans="1:24">
      <c r="A34" s="514" t="str">
        <f>SUBSTITUTE($V$2,"\","|")&amp;"|S3SD"</f>
        <v>dREG_test|S3SD</v>
      </c>
      <c r="B34" t="s">
        <v>69</v>
      </c>
      <c r="F34">
        <v>0</v>
      </c>
      <c r="G34" t="s">
        <v>71</v>
      </c>
      <c r="H34">
        <v>0</v>
      </c>
      <c r="I34" t="s">
        <v>76</v>
      </c>
      <c r="J34" s="4" t="s">
        <v>73</v>
      </c>
      <c r="K34" s="514">
        <v>2</v>
      </c>
      <c r="M34">
        <v>1</v>
      </c>
      <c r="R34" t="str">
        <f>IF($U$2=TRUE,$W$2&amp;". Отклонение 3 порог","Отклонение 3 порог")</f>
        <v>Дискретный регулятор FB с буферизацией. Отклонение 3 порог</v>
      </c>
      <c r="S34" s="372"/>
      <c r="U34" s="773"/>
      <c r="V34" s="4"/>
      <c r="W34" s="773"/>
      <c r="X34" s="4"/>
    </row>
    <row r="35" spans="1:24">
      <c r="A35" s="514" t="str">
        <f>SUBSTITUTE($V$2,"\","|")&amp;"|S3SI"</f>
        <v>dREG_test|S3SI</v>
      </c>
      <c r="B35" t="s">
        <v>69</v>
      </c>
      <c r="F35">
        <v>0</v>
      </c>
      <c r="G35" t="s">
        <v>71</v>
      </c>
      <c r="H35">
        <v>0</v>
      </c>
      <c r="I35" t="s">
        <v>76</v>
      </c>
      <c r="J35" s="4" t="s">
        <v>73</v>
      </c>
      <c r="K35" s="514">
        <v>2</v>
      </c>
      <c r="M35">
        <v>1</v>
      </c>
      <c r="R35" t="str">
        <f>IF($U$2=TRUE,$W$2&amp;". Приращение 3 порог","Приращение 3 порог")</f>
        <v>Дискретный регулятор FB с буферизацией. Приращение 3 порог</v>
      </c>
      <c r="S35" s="372"/>
      <c r="U35" s="773"/>
      <c r="V35" s="4"/>
      <c r="W35" s="773"/>
      <c r="X35" s="4"/>
    </row>
    <row r="36" spans="1:24">
      <c r="A36" s="514" t="str">
        <f>SUBSTITUTE($V$2,"\","|")&amp;"|SDTX"</f>
        <v>dREG_test|SDTX</v>
      </c>
      <c r="B36" s="4" t="s">
        <v>78</v>
      </c>
      <c r="F36">
        <v>0</v>
      </c>
      <c r="G36" t="s">
        <v>71</v>
      </c>
      <c r="H36">
        <v>0</v>
      </c>
      <c r="I36" t="s">
        <v>72</v>
      </c>
      <c r="J36" s="4" t="s">
        <v>73</v>
      </c>
      <c r="K36" s="514">
        <v>1</v>
      </c>
      <c r="M36">
        <v>1</v>
      </c>
      <c r="R36" t="str">
        <f>IF($U$2=TRUE,$W$2&amp;". Период расчета отклонения","Период расчета отклонения")</f>
        <v>Дискретный регулятор FB с буферизацией. Период расчета отклонения</v>
      </c>
      <c r="S36" s="372"/>
      <c r="U36" s="773"/>
      <c r="V36" s="4"/>
      <c r="W36" s="773"/>
      <c r="X36" s="4"/>
    </row>
    <row r="37" spans="1:24">
      <c r="A37" s="515" t="str">
        <f>SUBSTITUTE($V$2,"\","|")&amp;"|CBXX"</f>
        <v>dREG_test|CBXX</v>
      </c>
      <c r="B37" t="s">
        <v>74</v>
      </c>
      <c r="F37" t="s">
        <v>72</v>
      </c>
      <c r="G37" t="s">
        <v>71</v>
      </c>
      <c r="H37">
        <v>0</v>
      </c>
      <c r="I37" t="s">
        <v>72</v>
      </c>
      <c r="J37" t="s">
        <v>73</v>
      </c>
      <c r="K37" s="515" t="s">
        <v>1383</v>
      </c>
      <c r="M37">
        <v>1</v>
      </c>
      <c r="N37" t="s">
        <v>1697</v>
      </c>
      <c r="O37" s="52">
        <f t="shared" si="0"/>
        <v>65500</v>
      </c>
      <c r="R37" t="str">
        <f>IF($U$2=TRUE,$W$2&amp;". Команда блокировки: перейти в заданное состояние","Команда блокировки: перейти в заданное состояние")</f>
        <v>Дискретный регулятор FB с буферизацией. Команда блокировки: перейти в заданное состояние</v>
      </c>
      <c r="S37" s="372"/>
      <c r="U37" s="773"/>
      <c r="V37" s="4"/>
      <c r="W37" s="773"/>
      <c r="X37" s="4"/>
    </row>
    <row r="38" spans="1:24">
      <c r="A38" s="515" t="str">
        <f>SUBSTITUTE($V$2,"\","|")&amp;"|CCRM"</f>
        <v>dREG_test|CCRM</v>
      </c>
      <c r="B38" t="s">
        <v>74</v>
      </c>
      <c r="F38" t="s">
        <v>72</v>
      </c>
      <c r="G38" t="s">
        <v>71</v>
      </c>
      <c r="H38">
        <v>0</v>
      </c>
      <c r="I38" t="s">
        <v>76</v>
      </c>
      <c r="J38" t="s">
        <v>73</v>
      </c>
      <c r="K38" s="515" t="s">
        <v>1383</v>
      </c>
      <c r="M38">
        <v>1</v>
      </c>
      <c r="R38" t="str">
        <f>IF($U$2=TRUE,$W$2&amp;". Команда активации обратного режима","Команда активации обратного режима")</f>
        <v>Дискретный регулятор FB с буферизацией. Команда активации обратного режима</v>
      </c>
      <c r="S38" s="372"/>
      <c r="U38" s="773"/>
      <c r="V38" s="4"/>
      <c r="W38" s="773"/>
      <c r="X38" s="4"/>
    </row>
    <row r="39" spans="1:24">
      <c r="A39" s="515" t="str">
        <f>SUBSTITUTE($V$2,"\","|")&amp;"|CMMX"</f>
        <v>dREG_test|CMMX</v>
      </c>
      <c r="B39" t="s">
        <v>74</v>
      </c>
      <c r="F39" t="s">
        <v>72</v>
      </c>
      <c r="G39" t="s">
        <v>71</v>
      </c>
      <c r="H39">
        <v>0</v>
      </c>
      <c r="I39" t="s">
        <v>76</v>
      </c>
      <c r="J39" t="s">
        <v>73</v>
      </c>
      <c r="K39" s="515" t="s">
        <v>1383</v>
      </c>
      <c r="M39">
        <v>1</v>
      </c>
      <c r="R39" t="str">
        <f>IF($U$2=TRUE,$W$2&amp;". Ручной режим (команда)","Ручной режим (команда)")</f>
        <v>Дискретный регулятор FB с буферизацией. Ручной режим (команда)</v>
      </c>
      <c r="S39" s="372"/>
      <c r="U39" s="773"/>
      <c r="V39" s="4"/>
      <c r="W39" s="773"/>
      <c r="X39" s="4"/>
    </row>
    <row r="40" spans="1:24" ht="15" customHeight="1">
      <c r="A40" s="515" t="str">
        <f>SUBSTITUTE($V$2,"\","|")&amp;"|CRPX"</f>
        <v>dREG_test|CRPX</v>
      </c>
      <c r="B40" t="s">
        <v>74</v>
      </c>
      <c r="F40" t="s">
        <v>72</v>
      </c>
      <c r="G40" t="s">
        <v>71</v>
      </c>
      <c r="H40">
        <v>0</v>
      </c>
      <c r="I40" t="s">
        <v>76</v>
      </c>
      <c r="J40" t="s">
        <v>73</v>
      </c>
      <c r="K40" s="515" t="s">
        <v>1383</v>
      </c>
      <c r="M40">
        <v>1</v>
      </c>
      <c r="R40" t="str">
        <f>IF($U$2=TRUE,$W$2&amp;". Ремонт (команда)","Ремонт (команда)")</f>
        <v>Дискретный регулятор FB с буферизацией. Ремонт (команда)</v>
      </c>
      <c r="S40" s="372"/>
      <c r="U40" s="773"/>
      <c r="V40" s="4"/>
      <c r="W40" s="773"/>
      <c r="X40" s="4"/>
    </row>
    <row r="41" spans="1:24" ht="15" customHeight="1">
      <c r="A41" s="4" t="str">
        <f>SUBSTITUTE($V$2,"\","|")&amp;"|CNWX"</f>
        <v>dREG_test|CNWX</v>
      </c>
      <c r="B41" t="s">
        <v>74</v>
      </c>
      <c r="F41" t="s">
        <v>72</v>
      </c>
      <c r="G41" t="s">
        <v>71</v>
      </c>
      <c r="H41">
        <v>0</v>
      </c>
      <c r="I41" t="s">
        <v>76</v>
      </c>
      <c r="J41" t="s">
        <v>73</v>
      </c>
      <c r="K41">
        <v>0</v>
      </c>
      <c r="M41">
        <v>1</v>
      </c>
      <c r="R41" t="str">
        <f>IF($U$2=TRUE,$W$2&amp;". Вывод регулятора из работы (команда)","Вывод регулятора из работы (команда)")</f>
        <v>Дискретный регулятор FB с буферизацией. Вывод регулятора из работы (команда)</v>
      </c>
      <c r="S41" s="372"/>
      <c r="U41" s="773"/>
      <c r="V41" s="4"/>
      <c r="W41" s="773"/>
      <c r="X41" s="4"/>
    </row>
    <row r="42" spans="1:24">
      <c r="A42" t="str">
        <f>SUBSTITUTE($V$2,"\","|")&amp;"|FXXX"</f>
        <v>dREG_test|FXXX</v>
      </c>
      <c r="B42" t="s">
        <v>74</v>
      </c>
      <c r="F42" t="s">
        <v>72</v>
      </c>
      <c r="G42" t="s">
        <v>71</v>
      </c>
      <c r="H42">
        <v>0</v>
      </c>
      <c r="I42" t="s">
        <v>72</v>
      </c>
      <c r="J42" t="s">
        <v>69</v>
      </c>
      <c r="K42">
        <v>0</v>
      </c>
      <c r="M42">
        <v>1</v>
      </c>
      <c r="R42" t="str">
        <f>IF($U$2=TRUE,$W$2&amp;". Недостоверность","Недостоверность")</f>
        <v>Дискретный регулятор FB с буферизацией. Недостоверность</v>
      </c>
      <c r="S42" s="372"/>
      <c r="U42" s="773"/>
      <c r="V42" s="4"/>
      <c r="W42" s="773"/>
      <c r="X42" s="4"/>
    </row>
    <row r="43" spans="1:24">
      <c r="A43" t="str">
        <f>SUBSTITUTE($V$2,"\","|")&amp;"|XDAX"</f>
        <v>dREG_test|XDAX</v>
      </c>
      <c r="B43" t="s">
        <v>74</v>
      </c>
      <c r="F43" t="s">
        <v>72</v>
      </c>
      <c r="G43" t="s">
        <v>71</v>
      </c>
      <c r="H43">
        <v>0</v>
      </c>
      <c r="I43" t="s">
        <v>72</v>
      </c>
      <c r="J43" t="s">
        <v>69</v>
      </c>
      <c r="K43">
        <v>0</v>
      </c>
      <c r="M43">
        <v>1</v>
      </c>
      <c r="N43" s="4"/>
      <c r="O43" s="4"/>
      <c r="R43" t="str">
        <f>IF($U$2=TRUE,$W$2&amp;". Регулируемый параметр выведен из алгоритма","Регулируемый параметр выведен из алгоритма")</f>
        <v>Дискретный регулятор FB с буферизацией. Регулируемый параметр выведен из алгоритма</v>
      </c>
      <c r="S43" s="372"/>
      <c r="U43" s="773"/>
      <c r="V43" s="4"/>
      <c r="W43" s="773"/>
      <c r="X43" s="4"/>
    </row>
    <row r="44" spans="1:24">
      <c r="A44" t="str">
        <f>SUBSTITUTE($V$2,"\","|")&amp;"|ICPX"</f>
        <v>dREG_test|ICPX</v>
      </c>
      <c r="B44" t="s">
        <v>69</v>
      </c>
      <c r="F44">
        <v>0</v>
      </c>
      <c r="G44" t="s">
        <v>71</v>
      </c>
      <c r="H44">
        <v>0</v>
      </c>
      <c r="I44" t="s">
        <v>76</v>
      </c>
      <c r="J44" t="s">
        <v>69</v>
      </c>
      <c r="K44">
        <v>0</v>
      </c>
      <c r="M44">
        <v>1</v>
      </c>
      <c r="R44" t="str">
        <f>IF($U$2=TRUE,$W$2&amp;". Текущее положение мА","Текущее положение мА")</f>
        <v>Дискретный регулятор FB с буферизацией. Текущее положение мА</v>
      </c>
      <c r="S44" s="372"/>
      <c r="U44" s="773"/>
      <c r="V44" s="4"/>
      <c r="W44" s="773"/>
      <c r="X44" s="4"/>
    </row>
    <row r="45" spans="1:24">
      <c r="A45" t="str">
        <f>SUBSTITUTE($V$2,"\","|")&amp;"|ILCX"</f>
        <v>dREG_test|ILCX</v>
      </c>
      <c r="B45" t="s">
        <v>74</v>
      </c>
      <c r="F45" t="s">
        <v>72</v>
      </c>
      <c r="G45" t="s">
        <v>71</v>
      </c>
      <c r="H45">
        <v>0</v>
      </c>
      <c r="I45" t="s">
        <v>76</v>
      </c>
      <c r="J45" t="s">
        <v>69</v>
      </c>
      <c r="K45">
        <v>0</v>
      </c>
      <c r="M45">
        <v>1</v>
      </c>
      <c r="R45" t="str">
        <f>IF($U$2=TRUE,$W$2&amp;". Местный режим","Местный режим")</f>
        <v>Дискретный регулятор FB с буферизацией. Местный режим</v>
      </c>
      <c r="S45" s="372"/>
      <c r="U45" s="773"/>
      <c r="V45" s="4"/>
      <c r="W45" s="773"/>
      <c r="X45" s="4"/>
    </row>
    <row r="46" spans="1:24">
      <c r="A46" t="str">
        <f>SUBSTITUTE($V$2,"\","|")&amp;"|IRCX"</f>
        <v>dREG_test|IRCX</v>
      </c>
      <c r="B46" t="s">
        <v>74</v>
      </c>
      <c r="F46" t="s">
        <v>76</v>
      </c>
      <c r="G46" t="s">
        <v>71</v>
      </c>
      <c r="H46">
        <v>0</v>
      </c>
      <c r="I46" t="s">
        <v>76</v>
      </c>
      <c r="J46" t="s">
        <v>73</v>
      </c>
      <c r="K46">
        <v>0</v>
      </c>
      <c r="M46">
        <v>1</v>
      </c>
      <c r="R46" t="str">
        <f>IF($U$2=TRUE,$W$2&amp;". Дистанционный режим","Дистанционный режим")</f>
        <v>Дискретный регулятор FB с буферизацией. Дистанционный режим</v>
      </c>
      <c r="S46" s="372"/>
      <c r="U46" s="773"/>
      <c r="V46" s="4"/>
      <c r="W46" s="773"/>
      <c r="X46" s="4"/>
    </row>
    <row r="47" spans="1:24">
      <c r="A47" s="4" t="str">
        <f>SUBSTITUTE($V$2,"\","|")&amp;"|SMVT"</f>
        <v>dREG_test|SMVT</v>
      </c>
      <c r="B47" s="4" t="s">
        <v>78</v>
      </c>
      <c r="F47" s="4">
        <v>0</v>
      </c>
      <c r="G47" s="4" t="s">
        <v>71</v>
      </c>
      <c r="H47" s="4">
        <v>0</v>
      </c>
      <c r="I47" s="4" t="s">
        <v>76</v>
      </c>
      <c r="J47" s="4" t="s">
        <v>73</v>
      </c>
      <c r="K47" s="4">
        <v>0</v>
      </c>
      <c r="M47">
        <v>1</v>
      </c>
      <c r="R47" t="str">
        <f>IF($U$2=TRUE,$W$2&amp;". Уставка времени рассогласования","Уставка времени рассогласования")</f>
        <v>Дискретный регулятор FB с буферизацией. Уставка времени рассогласования</v>
      </c>
      <c r="S47" s="372"/>
      <c r="U47" s="773"/>
      <c r="V47" s="4"/>
      <c r="W47" s="773"/>
      <c r="X47" s="4"/>
    </row>
    <row r="48" spans="1:24">
      <c r="A48" s="4" t="str">
        <f>SUBSTITUTE($V$2,"\","|")&amp;"|SCST"</f>
        <v>dREG_test|SCST</v>
      </c>
      <c r="B48" s="4" t="s">
        <v>78</v>
      </c>
      <c r="F48" s="4">
        <v>0</v>
      </c>
      <c r="G48" s="4" t="s">
        <v>71</v>
      </c>
      <c r="H48" s="4">
        <v>0</v>
      </c>
      <c r="I48" s="4" t="s">
        <v>76</v>
      </c>
      <c r="J48" s="4" t="s">
        <v>73</v>
      </c>
      <c r="K48" s="4">
        <v>0</v>
      </c>
      <c r="M48">
        <v>1</v>
      </c>
      <c r="R48" t="str">
        <f>IF($U$2=TRUE,$W$2&amp;". Время изменения процента открытия (ограничение)","Время изменения процента открытия (ограничение)")</f>
        <v>Дискретный регулятор FB с буферизацией. Время изменения процента открытия (ограничение)</v>
      </c>
      <c r="S48" s="372"/>
      <c r="U48" s="773"/>
      <c r="V48" s="4"/>
      <c r="W48" s="773"/>
      <c r="X48" s="4"/>
    </row>
    <row r="49" spans="1:24">
      <c r="A49" s="4" t="str">
        <f>SUBSTITUTE($V$2,"\","|")&amp;"|SMVX"</f>
        <v>dREG_test|SMVX</v>
      </c>
      <c r="B49" s="4" t="s">
        <v>69</v>
      </c>
      <c r="F49" s="4">
        <v>10</v>
      </c>
      <c r="G49" s="4" t="s">
        <v>71</v>
      </c>
      <c r="H49" s="4">
        <v>0</v>
      </c>
      <c r="I49" s="4" t="s">
        <v>76</v>
      </c>
      <c r="J49" s="4" t="s">
        <v>73</v>
      </c>
      <c r="K49" s="4">
        <v>0</v>
      </c>
      <c r="M49">
        <v>1</v>
      </c>
      <c r="R49" t="str">
        <f>IF($U$2=TRUE,$W$2&amp;". Уставка рассогласования","Уставка рассогласования")</f>
        <v>Дискретный регулятор FB с буферизацией. Уставка рассогласования</v>
      </c>
      <c r="S49" s="372"/>
      <c r="U49" s="773"/>
      <c r="V49" s="4"/>
      <c r="W49" s="773"/>
      <c r="X49" s="4"/>
    </row>
    <row r="50" spans="1:24">
      <c r="A50" s="4" t="str">
        <f>SUBSTITUTE($V$2,"\","|")&amp;"|SCSV"</f>
        <v>dREG_test|SCSV</v>
      </c>
      <c r="B50" s="4" t="s">
        <v>69</v>
      </c>
      <c r="F50" s="4">
        <v>10</v>
      </c>
      <c r="G50" s="4" t="s">
        <v>71</v>
      </c>
      <c r="H50" s="4">
        <v>0</v>
      </c>
      <c r="I50" s="4" t="s">
        <v>76</v>
      </c>
      <c r="J50" s="4" t="s">
        <v>73</v>
      </c>
      <c r="K50" s="4">
        <v>0</v>
      </c>
      <c r="M50">
        <v>1</v>
      </c>
      <c r="R50" t="str">
        <f>IF($U$2=TRUE,$W$2&amp;". Шаг изменения процента открытия (ограничение)","Шаг изменения процента открытия (ограничение)")</f>
        <v>Дискретный регулятор FB с буферизацией. Шаг изменения процента открытия (ограничение)</v>
      </c>
      <c r="S50" s="372"/>
      <c r="U50" s="773"/>
      <c r="V50" s="4"/>
      <c r="W50" s="773"/>
      <c r="X50" s="4"/>
    </row>
    <row r="51" spans="1:24">
      <c r="A51" t="str">
        <f>SUBSTITUTE($V$2,"\","|")&amp;"|XAPV"</f>
        <v>dREG_test|XAPV</v>
      </c>
      <c r="B51" t="s">
        <v>69</v>
      </c>
      <c r="F51">
        <v>0</v>
      </c>
      <c r="G51" t="s">
        <v>71</v>
      </c>
      <c r="H51">
        <v>0</v>
      </c>
      <c r="I51" t="s">
        <v>72</v>
      </c>
      <c r="J51" t="s">
        <v>69</v>
      </c>
      <c r="K51">
        <v>0</v>
      </c>
      <c r="M51">
        <v>1</v>
      </c>
      <c r="R51" t="str">
        <f>IF($U$2=TRUE,$W$2&amp;". Обновление Уставка регулирования","Обновление Уставка регулирования")</f>
        <v>Дискретный регулятор FB с буферизацией. Обновление Уставка регулирования</v>
      </c>
      <c r="S51" s="372"/>
      <c r="U51" s="773"/>
      <c r="V51" s="4"/>
      <c r="W51" s="773"/>
      <c r="X51" s="4"/>
    </row>
    <row r="52" spans="1:24">
      <c r="A52" t="str">
        <f>SUBSTITUTE($V$2,"\","|")&amp;"|XOFX"</f>
        <v>dREG_test|XOFX</v>
      </c>
      <c r="B52" t="s">
        <v>74</v>
      </c>
      <c r="F52" t="s">
        <v>72</v>
      </c>
      <c r="G52" t="s">
        <v>71</v>
      </c>
      <c r="H52">
        <v>0</v>
      </c>
      <c r="I52" t="s">
        <v>72</v>
      </c>
      <c r="J52" t="s">
        <v>69</v>
      </c>
      <c r="K52">
        <v>0</v>
      </c>
      <c r="M52">
        <v>1</v>
      </c>
      <c r="R52" t="str">
        <f>IF($U$2=TRUE,$W$2&amp;". Закрыт","Закрыт")</f>
        <v>Дискретный регулятор FB с буферизацией. Закрыт</v>
      </c>
      <c r="S52" s="372"/>
      <c r="U52" s="773"/>
      <c r="V52" s="4"/>
      <c r="W52" s="773"/>
      <c r="X52" s="4"/>
    </row>
    <row r="53" spans="1:24">
      <c r="A53" t="str">
        <f>SUBSTITUTE($V$2,"\","|")&amp;"|XONX"</f>
        <v>dREG_test|XONX</v>
      </c>
      <c r="B53" t="s">
        <v>74</v>
      </c>
      <c r="F53" t="s">
        <v>72</v>
      </c>
      <c r="G53" t="s">
        <v>71</v>
      </c>
      <c r="H53">
        <v>0</v>
      </c>
      <c r="I53" t="s">
        <v>72</v>
      </c>
      <c r="J53" t="s">
        <v>69</v>
      </c>
      <c r="K53">
        <v>0</v>
      </c>
      <c r="M53">
        <v>1</v>
      </c>
      <c r="R53" t="str">
        <f>IF($U$2=TRUE,$W$2&amp;". Открыт","Открыт")</f>
        <v>Дискретный регулятор FB с буферизацией. Открыт</v>
      </c>
      <c r="S53" s="372"/>
      <c r="U53" s="773"/>
      <c r="V53" s="4"/>
      <c r="W53" s="773"/>
      <c r="X53" s="4"/>
    </row>
    <row r="54" spans="1:24">
      <c r="A54" t="str">
        <f>SUBSTITUTE($V$2,"\","|")&amp;"|XRPX"</f>
        <v>dREG_test|XRPX</v>
      </c>
      <c r="B54" t="s">
        <v>74</v>
      </c>
      <c r="F54" t="s">
        <v>72</v>
      </c>
      <c r="G54" t="s">
        <v>71</v>
      </c>
      <c r="H54">
        <v>0</v>
      </c>
      <c r="I54" t="s">
        <v>72</v>
      </c>
      <c r="J54" t="s">
        <v>69</v>
      </c>
      <c r="K54">
        <v>0</v>
      </c>
      <c r="M54">
        <v>1</v>
      </c>
      <c r="R54" t="str">
        <f>IF($U$2=TRUE,$W$2&amp;". Выходное значение Выведен в ремонт","Выходное значение Выведен в ремонт")</f>
        <v>Дискретный регулятор FB с буферизацией. Выходное значение Выведен в ремонт</v>
      </c>
      <c r="S54" s="372"/>
      <c r="U54" s="773"/>
      <c r="V54" s="4"/>
      <c r="W54" s="773"/>
      <c r="X54" s="4"/>
    </row>
    <row r="55" spans="1:24">
      <c r="A55" t="str">
        <f>SUBSTITUTE($V$2,"\","|")&amp;"|XSPO"</f>
        <v>dREG_test|XSPO</v>
      </c>
      <c r="B55" t="s">
        <v>69</v>
      </c>
      <c r="F55">
        <v>0</v>
      </c>
      <c r="G55" t="s">
        <v>71</v>
      </c>
      <c r="H55">
        <v>0</v>
      </c>
      <c r="I55" t="s">
        <v>72</v>
      </c>
      <c r="J55" t="s">
        <v>69</v>
      </c>
      <c r="K55">
        <v>0</v>
      </c>
      <c r="M55">
        <v>1</v>
      </c>
      <c r="R55" t="str">
        <f>IF($U$2=TRUE,$W$2&amp;". Обновление Задание процента открытия от оператора","Обновление Задание процента открытия от оператора")</f>
        <v>Дискретный регулятор FB с буферизацией. Обновление Задание процента открытия от оператора</v>
      </c>
      <c r="S55" s="372"/>
      <c r="U55" s="773"/>
      <c r="V55" s="4"/>
      <c r="W55" s="773"/>
      <c r="X55" s="4"/>
    </row>
    <row r="56" spans="1:24">
      <c r="A56" t="str">
        <f>SUBSTITUTE($V$2,"\","|")&amp;"|CPMM"</f>
        <v>dREG_test|CPMM</v>
      </c>
      <c r="B56" t="s">
        <v>74</v>
      </c>
      <c r="F56" t="s">
        <v>76</v>
      </c>
      <c r="G56" t="s">
        <v>71</v>
      </c>
      <c r="H56">
        <v>0</v>
      </c>
      <c r="I56" t="s">
        <v>76</v>
      </c>
      <c r="J56" t="s">
        <v>73</v>
      </c>
      <c r="K56">
        <v>0</v>
      </c>
      <c r="M56">
        <v>1</v>
      </c>
      <c r="R56" t="str">
        <f>IF($U$2=TRUE,$W$2&amp;". Разрешение на перевод в ручной режим","Разрешение на перевод в ручной режим")</f>
        <v>Дискретный регулятор FB с буферизацией. Разрешение на перевод в ручной режим</v>
      </c>
      <c r="S56" s="372"/>
      <c r="U56" s="773"/>
      <c r="V56" s="4"/>
      <c r="W56" s="773"/>
      <c r="X56" s="4"/>
    </row>
    <row r="57" spans="1:24">
      <c r="A57" t="str">
        <f>SUBSTITUTE($V$2,"\","|")&amp;"|CIOX"</f>
        <v>dREG_test|CIOX</v>
      </c>
      <c r="B57" t="s">
        <v>74</v>
      </c>
      <c r="F57" t="s">
        <v>72</v>
      </c>
      <c r="G57" t="s">
        <v>71</v>
      </c>
      <c r="H57">
        <v>0</v>
      </c>
      <c r="I57" t="s">
        <v>72</v>
      </c>
      <c r="J57" t="s">
        <v>69</v>
      </c>
      <c r="K57">
        <v>0</v>
      </c>
      <c r="M57">
        <v>1</v>
      </c>
      <c r="R57" t="str">
        <f>IF($U$2=TRUE,$W$2&amp;". Инверсия выходного значения","Инверсия выходного значения")</f>
        <v>Дискретный регулятор FB с буферизацией. Инверсия выходного значения</v>
      </c>
      <c r="S57" s="372"/>
      <c r="U57" s="773"/>
      <c r="V57" s="4"/>
      <c r="W57" s="773"/>
      <c r="X57" s="4"/>
    </row>
    <row r="58" spans="1:24">
      <c r="A58" t="str">
        <f>SUBSTITUTE($V$2,"\","|")&amp;"|XNWX"</f>
        <v>dREG_test|XNWX</v>
      </c>
      <c r="B58" t="s">
        <v>74</v>
      </c>
      <c r="F58" t="s">
        <v>72</v>
      </c>
      <c r="G58" t="s">
        <v>71</v>
      </c>
      <c r="H58">
        <v>0</v>
      </c>
      <c r="I58" t="s">
        <v>72</v>
      </c>
      <c r="J58" t="s">
        <v>69</v>
      </c>
      <c r="K58">
        <v>0</v>
      </c>
      <c r="M58">
        <v>1</v>
      </c>
      <c r="R58" t="str">
        <f>IF($U$2=TRUE,$W$2&amp;". Регулятор не в работе","Регулятор не в работе")</f>
        <v>Дискретный регулятор FB с буферизацией. Регулятор не в работе</v>
      </c>
      <c r="S58" s="372"/>
      <c r="U58" s="773"/>
      <c r="V58" s="4"/>
      <c r="W58" s="773"/>
      <c r="X58" s="4"/>
    </row>
    <row r="59" spans="1:24">
      <c r="A59" s="514" t="str">
        <f>"PACK_TO_INT|STATE|"&amp;SUBSTITUTE($V$2,"\","|")</f>
        <v>PACK_TO_INT|STATE|dREG_test</v>
      </c>
      <c r="B59" s="4" t="s">
        <v>78</v>
      </c>
      <c r="F59" s="4">
        <v>0</v>
      </c>
      <c r="G59" s="4" t="s">
        <v>71</v>
      </c>
      <c r="H59" s="4">
        <v>0</v>
      </c>
      <c r="I59" s="4" t="s">
        <v>72</v>
      </c>
      <c r="J59" s="4" t="s">
        <v>73</v>
      </c>
      <c r="K59" s="514">
        <v>1</v>
      </c>
      <c r="R59" s="53"/>
      <c r="S59" s="53"/>
      <c r="T59" s="53"/>
      <c r="U59" s="53"/>
    </row>
    <row r="60" spans="1:24">
      <c r="A60" s="514" t="str">
        <f>"PACK_TO_INT|FAULT|"&amp;SUBSTITUTE($V$2,"\","|")</f>
        <v>PACK_TO_INT|FAULT|dREG_test</v>
      </c>
      <c r="B60" s="4" t="s">
        <v>78</v>
      </c>
      <c r="F60" s="4">
        <v>0</v>
      </c>
      <c r="G60" s="4" t="s">
        <v>71</v>
      </c>
      <c r="H60" s="4">
        <v>0</v>
      </c>
      <c r="I60" s="4" t="s">
        <v>72</v>
      </c>
      <c r="J60" s="4" t="s">
        <v>73</v>
      </c>
      <c r="K60" s="514">
        <v>1</v>
      </c>
      <c r="R60" s="53"/>
      <c r="S60" s="53"/>
      <c r="T60" s="53"/>
      <c r="U60" s="53"/>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codeName="Лист161">
    <tabColor rgb="FF92D050"/>
  </sheetPr>
  <dimension ref="A1:AC71"/>
  <sheetViews>
    <sheetView topLeftCell="A13" zoomScale="70" zoomScaleNormal="70"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7" customWidth="1"/>
    <col min="16" max="16" width="4.6640625" customWidth="1"/>
    <col min="17" max="17" width="4.88671875" customWidth="1"/>
    <col min="18" max="18" width="65.44140625" style="53" customWidth="1"/>
    <col min="19" max="19" width="18.6640625" style="53" bestFit="1" customWidth="1"/>
    <col min="20" max="20" width="8.88671875" style="53" customWidth="1"/>
    <col min="21" max="21" width="34" style="53" bestFit="1" customWidth="1"/>
    <col min="22" max="22" width="16.6640625" customWidth="1"/>
    <col min="23" max="23" width="30" customWidth="1"/>
    <col min="24" max="29" width="16.6640625" customWidth="1"/>
    <col min="30" max="30" width="19.5546875" customWidth="1"/>
  </cols>
  <sheetData>
    <row r="1" spans="1:29">
      <c r="A1" s="10"/>
      <c r="B1" s="10"/>
      <c r="F1" s="10"/>
      <c r="G1" s="10"/>
      <c r="H1" s="10"/>
      <c r="I1" s="10"/>
      <c r="J1" s="10"/>
      <c r="K1" s="10"/>
      <c r="M1" s="10"/>
      <c r="N1" s="10"/>
      <c r="O1" s="10"/>
      <c r="P1" s="10"/>
      <c r="Q1" s="10"/>
      <c r="R1" s="616"/>
      <c r="S1" s="54" t="s">
        <v>1471</v>
      </c>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c r="A2" s="10"/>
      <c r="B2" s="10"/>
      <c r="F2" s="10"/>
      <c r="G2" s="10"/>
      <c r="H2" s="10"/>
      <c r="I2" s="10"/>
      <c r="J2" s="10"/>
      <c r="K2" s="10"/>
      <c r="M2" s="10"/>
      <c r="N2" s="10"/>
      <c r="O2" s="10"/>
      <c r="P2" s="10"/>
      <c r="Q2" s="10"/>
      <c r="R2" s="616"/>
      <c r="S2" s="3">
        <f>Настройки!$M$32</f>
        <v>65500</v>
      </c>
      <c r="U2" s="74" t="b">
        <f>Настройки!$M$34</f>
        <v>1</v>
      </c>
      <c r="V2" s="73" t="s">
        <v>1821</v>
      </c>
      <c r="W2" s="537" t="s">
        <v>1810</v>
      </c>
      <c r="X2" s="73">
        <v>5</v>
      </c>
      <c r="Y2" s="73" t="s">
        <v>72</v>
      </c>
      <c r="Z2" s="73"/>
      <c r="AA2" s="74">
        <v>6</v>
      </c>
      <c r="AB2" s="74">
        <v>1</v>
      </c>
      <c r="AC2" s="74"/>
    </row>
    <row r="3" spans="1:29">
      <c r="A3" t="str">
        <f>SUBSTITUTE($V$2,"\","|")&amp;"|DONX"</f>
        <v>KMZ1_BUF|DONX</v>
      </c>
      <c r="B3" t="s">
        <v>74</v>
      </c>
      <c r="F3" t="s">
        <v>72</v>
      </c>
      <c r="G3" t="s">
        <v>71</v>
      </c>
      <c r="H3">
        <v>0</v>
      </c>
      <c r="I3" t="s">
        <v>72</v>
      </c>
      <c r="J3" t="s">
        <v>69</v>
      </c>
      <c r="K3">
        <v>0</v>
      </c>
      <c r="M3">
        <v>1</v>
      </c>
      <c r="N3" t="s">
        <v>1697</v>
      </c>
      <c r="O3" s="52">
        <f t="shared" ref="O3:O30" si="0">$S$2</f>
        <v>65500</v>
      </c>
      <c r="R3" t="str">
        <f>IF($U$2=TRUE,$W$2&amp;". Недостоверное Входное значение Открыта","Недостоверное Входное значение Открыта")</f>
        <v>Задвижка FB с буферизацией. Недостоверное Входное значение Открыта</v>
      </c>
      <c r="S3" s="372"/>
      <c r="T3"/>
      <c r="U3" s="773"/>
      <c r="V3" s="4"/>
      <c r="W3" s="773"/>
      <c r="X3" s="4"/>
    </row>
    <row r="4" spans="1:29">
      <c r="A4" t="str">
        <f>SUBSTITUTE($V$2,"\","|")&amp;"|DOOF"</f>
        <v>KMZ1_BUF|DOOF</v>
      </c>
      <c r="B4" t="s">
        <v>74</v>
      </c>
      <c r="F4" t="s">
        <v>72</v>
      </c>
      <c r="G4" t="s">
        <v>71</v>
      </c>
      <c r="H4">
        <v>0</v>
      </c>
      <c r="I4" t="s">
        <v>72</v>
      </c>
      <c r="J4" t="s">
        <v>69</v>
      </c>
      <c r="K4">
        <v>0</v>
      </c>
      <c r="M4">
        <v>1</v>
      </c>
      <c r="N4" t="s">
        <v>1697</v>
      </c>
      <c r="O4" s="52">
        <f t="shared" si="0"/>
        <v>65500</v>
      </c>
      <c r="R4" t="str">
        <f>IF($U$2=TRUE,$W$2&amp;". Недостоверное Выходное значение Закрыть","Недостоверное Выходное значение Закрыть")</f>
        <v>Задвижка FB с буферизацией. Недостоверное Выходное значение Закрыть</v>
      </c>
      <c r="S4" s="372"/>
      <c r="T4"/>
      <c r="U4" s="773"/>
      <c r="V4" s="4"/>
      <c r="W4" s="773"/>
      <c r="X4" s="4"/>
    </row>
    <row r="5" spans="1:29">
      <c r="A5" t="str">
        <f>SUBSTITUTE($V$2,"\","|")&amp;"|DLCX"</f>
        <v>KMZ1_BUF|DLCX</v>
      </c>
      <c r="B5" t="s">
        <v>74</v>
      </c>
      <c r="F5" t="s">
        <v>72</v>
      </c>
      <c r="G5" t="s">
        <v>71</v>
      </c>
      <c r="H5">
        <v>0</v>
      </c>
      <c r="I5" t="s">
        <v>72</v>
      </c>
      <c r="J5" t="s">
        <v>69</v>
      </c>
      <c r="K5">
        <v>0</v>
      </c>
      <c r="M5">
        <v>1</v>
      </c>
      <c r="N5" t="s">
        <v>1697</v>
      </c>
      <c r="O5" s="52">
        <f t="shared" si="0"/>
        <v>65500</v>
      </c>
      <c r="R5" t="str">
        <f>IF($U$2=TRUE,$W$2&amp;". Недостоверное Местное управление","Недостоверное Местное управление")</f>
        <v>Задвижка FB с буферизацией. Недостоверное Местное управление</v>
      </c>
      <c r="S5" s="372"/>
      <c r="T5"/>
      <c r="U5" s="773"/>
      <c r="V5" s="4"/>
      <c r="W5" s="773"/>
      <c r="X5" s="4"/>
    </row>
    <row r="6" spans="1:29">
      <c r="A6" t="str">
        <f>SUBSTITUTE($V$2,"\","|")&amp;"|DRCX"</f>
        <v>KMZ1_BUF|DRCX</v>
      </c>
      <c r="B6" t="s">
        <v>74</v>
      </c>
      <c r="F6" t="s">
        <v>72</v>
      </c>
      <c r="G6" t="s">
        <v>71</v>
      </c>
      <c r="H6">
        <v>0</v>
      </c>
      <c r="I6" t="s">
        <v>72</v>
      </c>
      <c r="J6" t="s">
        <v>69</v>
      </c>
      <c r="K6">
        <v>0</v>
      </c>
      <c r="M6">
        <v>1</v>
      </c>
      <c r="N6" t="s">
        <v>1697</v>
      </c>
      <c r="O6" s="52">
        <f t="shared" si="0"/>
        <v>65500</v>
      </c>
      <c r="R6" t="str">
        <f>IF($U$2=TRUE,$W$2&amp;". Недостоверное Входное значение Дистанционное управление","Недостоверное Входное значение Дистанционное управление")</f>
        <v>Задвижка FB с буферизацией. Недостоверное Входное значение Дистанционное управление</v>
      </c>
      <c r="S6" s="372"/>
      <c r="T6"/>
      <c r="U6" s="773"/>
      <c r="V6" s="4"/>
      <c r="W6" s="773"/>
      <c r="X6" s="4"/>
    </row>
    <row r="7" spans="1:29">
      <c r="A7" t="str">
        <f>SUBSTITUTE($V$2,"\","|")&amp;"|DFXX"</f>
        <v>KMZ1_BUF|DFXX</v>
      </c>
      <c r="B7" t="s">
        <v>74</v>
      </c>
      <c r="F7" t="s">
        <v>72</v>
      </c>
      <c r="G7" t="s">
        <v>71</v>
      </c>
      <c r="H7">
        <v>0</v>
      </c>
      <c r="I7" t="s">
        <v>72</v>
      </c>
      <c r="J7" t="s">
        <v>69</v>
      </c>
      <c r="K7">
        <v>0</v>
      </c>
      <c r="M7">
        <v>1</v>
      </c>
      <c r="N7" t="s">
        <v>1697</v>
      </c>
      <c r="O7" s="52">
        <f t="shared" si="0"/>
        <v>65500</v>
      </c>
      <c r="R7" t="str">
        <f>IF($U$2=TRUE,$W$2&amp;". Недостоверное Входное значение Неисправность","Недостоверное Входное значение Неисправность")</f>
        <v>Задвижка FB с буферизацией. Недостоверное Входное значение Неисправность</v>
      </c>
      <c r="S7" s="372"/>
      <c r="T7"/>
      <c r="U7" s="773"/>
      <c r="V7" s="4"/>
      <c r="W7" s="773"/>
      <c r="X7" s="4"/>
    </row>
    <row r="8" spans="1:29">
      <c r="A8" t="str">
        <f>SUBSTITUTE($V$2,"\","|")&amp;"|DOON"</f>
        <v>KMZ1_BUF|DOON</v>
      </c>
      <c r="B8" t="s">
        <v>74</v>
      </c>
      <c r="F8" t="s">
        <v>72</v>
      </c>
      <c r="G8" t="s">
        <v>71</v>
      </c>
      <c r="H8">
        <v>0</v>
      </c>
      <c r="I8" t="s">
        <v>72</v>
      </c>
      <c r="J8" t="s">
        <v>69</v>
      </c>
      <c r="K8">
        <v>0</v>
      </c>
      <c r="M8">
        <v>1</v>
      </c>
      <c r="N8" t="s">
        <v>1697</v>
      </c>
      <c r="O8" s="52">
        <f t="shared" si="0"/>
        <v>65500</v>
      </c>
      <c r="R8" t="str">
        <f>IF($U$2=TRUE,$W$2&amp;". Недостоверное Выходное  значение Открыть","Недостоверное Выходное  значение Открыть")</f>
        <v>Задвижка FB с буферизацией. Недостоверное Выходное  значение Открыть</v>
      </c>
      <c r="S8" s="372"/>
      <c r="T8"/>
      <c r="U8" s="773"/>
      <c r="V8" s="4"/>
      <c r="W8" s="773"/>
      <c r="X8" s="4"/>
    </row>
    <row r="9" spans="1:29">
      <c r="A9" t="str">
        <f>SUBSTITUTE($V$2,"\","|")&amp;"|DOFX"</f>
        <v>KMZ1_BUF|DOFX</v>
      </c>
      <c r="B9" t="s">
        <v>74</v>
      </c>
      <c r="F9" t="s">
        <v>72</v>
      </c>
      <c r="G9" t="s">
        <v>71</v>
      </c>
      <c r="H9">
        <v>0</v>
      </c>
      <c r="I9" t="s">
        <v>72</v>
      </c>
      <c r="J9" t="s">
        <v>69</v>
      </c>
      <c r="K9">
        <v>0</v>
      </c>
      <c r="M9">
        <v>1</v>
      </c>
      <c r="N9" t="s">
        <v>1697</v>
      </c>
      <c r="O9" s="52">
        <f t="shared" si="0"/>
        <v>65500</v>
      </c>
      <c r="R9" t="str">
        <f>IF($U$2=TRUE,$W$2&amp;". Недостоверное Входное значение Закрыта","Недостоверное Входное значение Закрыта")</f>
        <v>Задвижка FB с буферизацией. Недостоверное Входное значение Закрыта</v>
      </c>
      <c r="S9" s="372"/>
      <c r="T9"/>
      <c r="U9" s="773"/>
      <c r="V9" s="4"/>
      <c r="W9" s="773"/>
      <c r="X9" s="4"/>
    </row>
    <row r="10" spans="1:29">
      <c r="A10" t="str">
        <f>SUBSTITUTE($V$2,"\","|")&amp;"|XONX"</f>
        <v>KMZ1_BUF|XONX</v>
      </c>
      <c r="B10" t="s">
        <v>74</v>
      </c>
      <c r="F10" t="s">
        <v>72</v>
      </c>
      <c r="G10" t="s">
        <v>71</v>
      </c>
      <c r="H10">
        <v>0</v>
      </c>
      <c r="I10" t="s">
        <v>72</v>
      </c>
      <c r="J10" t="s">
        <v>69</v>
      </c>
      <c r="K10">
        <v>0</v>
      </c>
      <c r="M10">
        <v>1</v>
      </c>
      <c r="N10" t="s">
        <v>1697</v>
      </c>
      <c r="O10" s="52">
        <f t="shared" si="0"/>
        <v>65500</v>
      </c>
      <c r="R10" t="str">
        <f>IF($U$2=TRUE,$W$2&amp;". Открыт","Открыт")</f>
        <v>Задвижка FB с буферизацией. Открыт</v>
      </c>
      <c r="S10" s="372"/>
      <c r="T10"/>
      <c r="U10" s="773"/>
      <c r="V10" s="4"/>
      <c r="W10" s="773"/>
      <c r="X10" s="4"/>
    </row>
    <row r="11" spans="1:29">
      <c r="A11" t="str">
        <f>SUBSTITUTE($V$2,"\","|")&amp;"|XOFX"</f>
        <v>KMZ1_BUF|XOFX</v>
      </c>
      <c r="B11" t="s">
        <v>74</v>
      </c>
      <c r="F11" t="s">
        <v>72</v>
      </c>
      <c r="G11" t="s">
        <v>71</v>
      </c>
      <c r="H11">
        <v>0</v>
      </c>
      <c r="I11" t="s">
        <v>72</v>
      </c>
      <c r="J11" t="s">
        <v>69</v>
      </c>
      <c r="K11">
        <v>0</v>
      </c>
      <c r="M11">
        <v>1</v>
      </c>
      <c r="N11" t="s">
        <v>1697</v>
      </c>
      <c r="O11" s="52">
        <f t="shared" si="0"/>
        <v>65500</v>
      </c>
      <c r="R11" t="str">
        <f>IF($U$2=TRUE,$W$2&amp;". Закрыт","Закрыт")</f>
        <v>Задвижка FB с буферизацией. Закрыт</v>
      </c>
      <c r="S11" s="372"/>
      <c r="T11"/>
      <c r="U11" s="773"/>
      <c r="V11" s="4"/>
      <c r="W11" s="773"/>
      <c r="X11" s="4"/>
    </row>
    <row r="12" spans="1:29">
      <c r="A12" t="str">
        <f>SUBSTITUTE($V$2,"\","|")&amp;"|XRCX"</f>
        <v>KMZ1_BUF|XRCX</v>
      </c>
      <c r="B12" t="s">
        <v>74</v>
      </c>
      <c r="F12" t="s">
        <v>72</v>
      </c>
      <c r="G12" t="s">
        <v>71</v>
      </c>
      <c r="H12">
        <v>0</v>
      </c>
      <c r="I12" t="s">
        <v>72</v>
      </c>
      <c r="J12" t="s">
        <v>69</v>
      </c>
      <c r="K12">
        <v>0</v>
      </c>
      <c r="M12">
        <v>1</v>
      </c>
      <c r="N12" t="s">
        <v>1697</v>
      </c>
      <c r="O12" s="52">
        <f t="shared" si="0"/>
        <v>65500</v>
      </c>
      <c r="R12" t="str">
        <f>IF($U$2=TRUE,$W$2&amp;". Выходное значение Дистанционное управление","Выходное значение Дистанционное управление")</f>
        <v>Задвижка FB с буферизацией. Выходное значение Дистанционное управление</v>
      </c>
      <c r="S12" s="372"/>
      <c r="T12"/>
      <c r="U12" s="773"/>
      <c r="V12" s="4"/>
      <c r="W12" s="773"/>
      <c r="X12" s="4"/>
    </row>
    <row r="13" spans="1:29">
      <c r="A13" t="str">
        <f>SUBSTITUTE($V$2,"\","|")&amp;"|XMMX"</f>
        <v>KMZ1_BUF|XMMX</v>
      </c>
      <c r="B13" t="s">
        <v>74</v>
      </c>
      <c r="F13" t="s">
        <v>72</v>
      </c>
      <c r="G13" t="s">
        <v>71</v>
      </c>
      <c r="H13">
        <v>0</v>
      </c>
      <c r="I13" t="s">
        <v>72</v>
      </c>
      <c r="J13" t="s">
        <v>69</v>
      </c>
      <c r="K13">
        <v>0</v>
      </c>
      <c r="M13">
        <v>1</v>
      </c>
      <c r="N13" t="s">
        <v>1697</v>
      </c>
      <c r="O13" s="52">
        <f t="shared" si="0"/>
        <v>65500</v>
      </c>
      <c r="R13" t="str">
        <f>IF($U$2=TRUE,$W$2&amp;". Выходное значение Ручное управление","Выходное значение Ручное управление")</f>
        <v>Задвижка FB с буферизацией. Выходное значение Ручное управление</v>
      </c>
      <c r="S13" s="372"/>
      <c r="T13"/>
      <c r="U13" s="773"/>
      <c r="V13" s="4"/>
      <c r="W13" s="773"/>
      <c r="X13" s="4"/>
    </row>
    <row r="14" spans="1:29">
      <c r="A14" t="str">
        <f>SUBSTITUTE($V$2,"\","|")&amp;"|CAON"</f>
        <v>KMZ1_BUF|CAON</v>
      </c>
      <c r="B14" t="s">
        <v>74</v>
      </c>
      <c r="F14" t="s">
        <v>72</v>
      </c>
      <c r="G14" t="s">
        <v>71</v>
      </c>
      <c r="H14">
        <v>0</v>
      </c>
      <c r="I14" t="s">
        <v>76</v>
      </c>
      <c r="J14" t="s">
        <v>69</v>
      </c>
      <c r="K14">
        <v>0</v>
      </c>
      <c r="M14">
        <v>1</v>
      </c>
      <c r="N14" t="s">
        <v>1697</v>
      </c>
      <c r="O14" s="52">
        <f t="shared" si="0"/>
        <v>65500</v>
      </c>
      <c r="R14" t="str">
        <f>IF($U$2=TRUE,$W$2&amp;". Команда алгоритма: Открыть","Команда алгоритма: Открыть")</f>
        <v>Задвижка FB с буферизацией. Команда алгоритма: Открыть</v>
      </c>
      <c r="S14" s="372"/>
      <c r="T14"/>
      <c r="U14" s="773"/>
      <c r="V14" s="4"/>
      <c r="W14" s="773"/>
      <c r="X14" s="4"/>
    </row>
    <row r="15" spans="1:29">
      <c r="A15" t="str">
        <f>SUBSTITUTE($V$2,"\","|")&amp;"|CAOF"</f>
        <v>KMZ1_BUF|CAOF</v>
      </c>
      <c r="B15" t="s">
        <v>74</v>
      </c>
      <c r="F15" t="s">
        <v>72</v>
      </c>
      <c r="G15" t="s">
        <v>71</v>
      </c>
      <c r="H15">
        <v>0</v>
      </c>
      <c r="I15" t="s">
        <v>76</v>
      </c>
      <c r="J15" t="s">
        <v>69</v>
      </c>
      <c r="K15">
        <v>0</v>
      </c>
      <c r="M15">
        <v>1</v>
      </c>
      <c r="N15" t="s">
        <v>1697</v>
      </c>
      <c r="O15" s="52">
        <f t="shared" si="0"/>
        <v>65500</v>
      </c>
      <c r="R15" t="str">
        <f>IF($U$2=TRUE,$W$2&amp;". Команда алгоритма: Закрыть","Команда алгоритма: Закрыть")</f>
        <v>Задвижка FB с буферизацией. Команда алгоритма: Закрыть</v>
      </c>
      <c r="S15" s="372"/>
      <c r="T15"/>
      <c r="U15" s="773"/>
      <c r="V15" s="4"/>
      <c r="W15" s="773"/>
      <c r="X15" s="4"/>
    </row>
    <row r="16" spans="1:29">
      <c r="A16" t="str">
        <f>SUBSTITUTE($V$2,"\","|")&amp;"|LAON"</f>
        <v>KMZ1_BUF|LAON</v>
      </c>
      <c r="B16" t="s">
        <v>74</v>
      </c>
      <c r="F16" t="s">
        <v>72</v>
      </c>
      <c r="G16" t="s">
        <v>71</v>
      </c>
      <c r="H16">
        <v>0</v>
      </c>
      <c r="I16" t="s">
        <v>72</v>
      </c>
      <c r="J16" t="s">
        <v>69</v>
      </c>
      <c r="K16">
        <v>0</v>
      </c>
      <c r="M16">
        <v>1</v>
      </c>
      <c r="N16" t="s">
        <v>1697</v>
      </c>
      <c r="O16" s="52">
        <f t="shared" si="0"/>
        <v>65500</v>
      </c>
      <c r="R16" t="str">
        <f>IF($U$2=TRUE,$W$2&amp;". Команда алгоритма Открыть блокирована","Команда алгоритма Открыть блокирована")</f>
        <v>Задвижка FB с буферизацией. Команда алгоритма Открыть блокирована</v>
      </c>
      <c r="S16" s="372"/>
      <c r="T16"/>
      <c r="U16" s="773"/>
      <c r="V16" s="4"/>
      <c r="W16" s="773"/>
      <c r="X16" s="4"/>
    </row>
    <row r="17" spans="1:24">
      <c r="A17" t="str">
        <f>SUBSTITUTE($V$2,"\","|")&amp;"|LAOF"</f>
        <v>KMZ1_BUF|LAOF</v>
      </c>
      <c r="B17" t="s">
        <v>74</v>
      </c>
      <c r="F17" t="s">
        <v>72</v>
      </c>
      <c r="G17" t="s">
        <v>71</v>
      </c>
      <c r="H17">
        <v>0</v>
      </c>
      <c r="I17" t="s">
        <v>72</v>
      </c>
      <c r="J17" t="s">
        <v>69</v>
      </c>
      <c r="K17">
        <v>0</v>
      </c>
      <c r="M17">
        <v>1</v>
      </c>
      <c r="N17" t="s">
        <v>1697</v>
      </c>
      <c r="O17" s="52">
        <f t="shared" si="0"/>
        <v>65500</v>
      </c>
      <c r="R17" t="str">
        <f>IF($U$2=TRUE,$W$2&amp;". Команда алгоритма Закрыть блокирована","Команда алгоритма Закрыть блокирована")</f>
        <v>Задвижка FB с буферизацией. Команда алгоритма Закрыть блокирована</v>
      </c>
      <c r="S17" s="372"/>
      <c r="T17"/>
      <c r="U17" s="773"/>
      <c r="V17" s="4"/>
      <c r="W17" s="773"/>
      <c r="X17" s="4"/>
    </row>
    <row r="18" spans="1:24">
      <c r="A18" t="str">
        <f>SUBSTITUTE($V$2,"\","|")&amp;"|CEON"</f>
        <v>KMZ1_BUF|CEON</v>
      </c>
      <c r="B18" t="s">
        <v>74</v>
      </c>
      <c r="F18" t="s">
        <v>72</v>
      </c>
      <c r="G18" t="s">
        <v>71</v>
      </c>
      <c r="H18">
        <v>0</v>
      </c>
      <c r="I18" t="s">
        <v>76</v>
      </c>
      <c r="J18" t="s">
        <v>69</v>
      </c>
      <c r="K18">
        <v>0</v>
      </c>
      <c r="M18">
        <v>1</v>
      </c>
      <c r="N18" t="s">
        <v>1697</v>
      </c>
      <c r="O18" s="52">
        <f t="shared" si="0"/>
        <v>65500</v>
      </c>
      <c r="R18" t="str">
        <f>IF($U$2=TRUE,$W$2&amp;". Команда ПАЗ: Открыть","Команда ПАЗ: Открыть")</f>
        <v>Задвижка FB с буферизацией. Команда ПАЗ: Открыть</v>
      </c>
      <c r="S18" s="372"/>
      <c r="T18"/>
      <c r="U18" s="773"/>
      <c r="V18" s="4"/>
      <c r="W18" s="773"/>
      <c r="X18" s="4"/>
    </row>
    <row r="19" spans="1:24">
      <c r="A19" t="str">
        <f>SUBSTITUTE($V$2,"\","|")&amp;"|CEOF"</f>
        <v>KMZ1_BUF|CEOF</v>
      </c>
      <c r="B19" t="s">
        <v>74</v>
      </c>
      <c r="F19" t="s">
        <v>72</v>
      </c>
      <c r="G19" t="s">
        <v>71</v>
      </c>
      <c r="H19">
        <v>0</v>
      </c>
      <c r="I19" t="s">
        <v>76</v>
      </c>
      <c r="J19" t="s">
        <v>69</v>
      </c>
      <c r="K19">
        <v>0</v>
      </c>
      <c r="M19">
        <v>1</v>
      </c>
      <c r="N19" t="s">
        <v>1697</v>
      </c>
      <c r="O19" s="52">
        <f t="shared" si="0"/>
        <v>65500</v>
      </c>
      <c r="R19" t="str">
        <f>IF($U$2=TRUE,$W$2&amp;". Команда ПАЗ: Закрыть","Команда ПАЗ: Закрыть")</f>
        <v>Задвижка FB с буферизацией. Команда ПАЗ: Закрыть</v>
      </c>
      <c r="S19" s="372"/>
      <c r="T19"/>
      <c r="U19" s="773"/>
      <c r="V19" s="4"/>
      <c r="W19" s="773"/>
      <c r="X19" s="4"/>
    </row>
    <row r="20" spans="1:24">
      <c r="A20" s="4" t="str">
        <f>SUBSTITUTE($V$2,"\","|")&amp;"|FRQX"</f>
        <v>KMZ1_BUF|FRQX</v>
      </c>
      <c r="B20" s="4" t="s">
        <v>74</v>
      </c>
      <c r="F20" s="4" t="s">
        <v>72</v>
      </c>
      <c r="G20" s="4" t="s">
        <v>71</v>
      </c>
      <c r="H20" s="4">
        <v>0</v>
      </c>
      <c r="I20" s="4" t="s">
        <v>72</v>
      </c>
      <c r="J20" s="4" t="s">
        <v>69</v>
      </c>
      <c r="K20" s="4">
        <v>0</v>
      </c>
      <c r="M20">
        <v>1</v>
      </c>
      <c r="N20" t="s">
        <v>1697</v>
      </c>
      <c r="O20" s="52">
        <f t="shared" si="0"/>
        <v>65500</v>
      </c>
      <c r="R20" t="str">
        <f>IF($U$2=TRUE,$W$2&amp;". Сработала уставка по наработке концевиков","Сработала уставка по наработке концевиков")</f>
        <v>Задвижка FB с буферизацией. Сработала уставка по наработке концевиков</v>
      </c>
      <c r="S20" s="372"/>
      <c r="T20"/>
      <c r="U20" s="773"/>
      <c r="V20" s="4"/>
      <c r="W20" s="773"/>
      <c r="X20" s="4"/>
    </row>
    <row r="21" spans="1:24">
      <c r="A21" s="4" t="str">
        <f>SUBSTITUTE($V$2,"\","|")&amp;"|IFXX"</f>
        <v>KMZ1_BUF|IFXX</v>
      </c>
      <c r="B21" s="4" t="s">
        <v>74</v>
      </c>
      <c r="F21" s="4" t="s">
        <v>72</v>
      </c>
      <c r="G21" s="4" t="s">
        <v>71</v>
      </c>
      <c r="H21" s="4">
        <v>0</v>
      </c>
      <c r="I21" s="4" t="s">
        <v>72</v>
      </c>
      <c r="J21" s="4" t="s">
        <v>69</v>
      </c>
      <c r="K21" s="4">
        <v>0</v>
      </c>
      <c r="M21">
        <v>1</v>
      </c>
      <c r="N21" t="s">
        <v>1697</v>
      </c>
      <c r="O21" s="52">
        <f t="shared" si="0"/>
        <v>65500</v>
      </c>
      <c r="R21" t="str">
        <f>IF($U$2=TRUE,$W$2&amp;". Входное значение Неисправность","Входное значение Неисправность")</f>
        <v>Задвижка FB с буферизацией. Входное значение Неисправность</v>
      </c>
      <c r="S21" s="372"/>
      <c r="T21"/>
      <c r="U21" s="773"/>
      <c r="V21" s="4"/>
      <c r="W21" s="773"/>
      <c r="X21" s="4"/>
    </row>
    <row r="22" spans="1:24">
      <c r="A22" s="4" t="str">
        <f>SUBSTITUTE($V$2,"\","|")&amp;"|FONX"</f>
        <v>KMZ1_BUF|FONX</v>
      </c>
      <c r="B22" s="4" t="s">
        <v>74</v>
      </c>
      <c r="F22" s="4" t="s">
        <v>72</v>
      </c>
      <c r="G22" s="4" t="s">
        <v>71</v>
      </c>
      <c r="H22" s="4">
        <v>0</v>
      </c>
      <c r="I22" s="4" t="s">
        <v>72</v>
      </c>
      <c r="J22" s="4" t="s">
        <v>69</v>
      </c>
      <c r="K22" s="4">
        <v>0</v>
      </c>
      <c r="M22">
        <v>1</v>
      </c>
      <c r="N22" t="s">
        <v>1697</v>
      </c>
      <c r="O22" s="52">
        <f t="shared" si="0"/>
        <v>65500</v>
      </c>
      <c r="R22" t="str">
        <f>IF($U$2=TRUE,$W$2&amp;". Не открылся","Не открылся")</f>
        <v>Задвижка FB с буферизацией. Не открылся</v>
      </c>
      <c r="S22" s="372"/>
      <c r="T22"/>
      <c r="U22" s="773"/>
      <c r="V22" s="4"/>
      <c r="W22" s="773"/>
      <c r="X22" s="4"/>
    </row>
    <row r="23" spans="1:24">
      <c r="A23" s="4" t="str">
        <f>SUBSTITUTE($V$2,"\","|")&amp;"|FOFX"</f>
        <v>KMZ1_BUF|FOFX</v>
      </c>
      <c r="B23" s="4" t="s">
        <v>74</v>
      </c>
      <c r="F23" s="4" t="s">
        <v>72</v>
      </c>
      <c r="G23" s="4" t="s">
        <v>71</v>
      </c>
      <c r="H23" s="4">
        <v>0</v>
      </c>
      <c r="I23" s="4" t="s">
        <v>72</v>
      </c>
      <c r="J23" s="4" t="s">
        <v>69</v>
      </c>
      <c r="K23" s="4">
        <v>0</v>
      </c>
      <c r="M23">
        <v>1</v>
      </c>
      <c r="N23" t="s">
        <v>1697</v>
      </c>
      <c r="O23" s="52">
        <f t="shared" si="0"/>
        <v>65500</v>
      </c>
      <c r="R23" t="str">
        <f>IF($U$2=TRUE,$W$2&amp;". Не закрылся","Не закрылся")</f>
        <v>Задвижка FB с буферизацией. Не закрылся</v>
      </c>
      <c r="S23" s="372"/>
      <c r="T23"/>
      <c r="U23" s="773"/>
      <c r="V23" s="4"/>
      <c r="W23" s="773"/>
      <c r="X23" s="4"/>
    </row>
    <row r="24" spans="1:24">
      <c r="A24" s="4" t="str">
        <f>SUBSTITUTE($V$2,"\","|")&amp;"|FFON"</f>
        <v>KMZ1_BUF|FFON</v>
      </c>
      <c r="B24" s="4" t="s">
        <v>74</v>
      </c>
      <c r="F24" s="4" t="s">
        <v>72</v>
      </c>
      <c r="G24" s="4" t="s">
        <v>71</v>
      </c>
      <c r="H24" s="4">
        <v>0</v>
      </c>
      <c r="I24" s="4" t="s">
        <v>72</v>
      </c>
      <c r="J24" s="4" t="s">
        <v>69</v>
      </c>
      <c r="K24" s="4">
        <v>0</v>
      </c>
      <c r="M24">
        <v>1</v>
      </c>
      <c r="N24" t="s">
        <v>1697</v>
      </c>
      <c r="O24" s="52">
        <f t="shared" si="0"/>
        <v>65500</v>
      </c>
      <c r="R24" t="str">
        <f>IF($U$2=TRUE,$W$2&amp;". Несанкционированное открытие","Несанкционированное открытие")</f>
        <v>Задвижка FB с буферизацией. Несанкционированное открытие</v>
      </c>
      <c r="S24" s="372"/>
      <c r="T24"/>
      <c r="U24" s="773"/>
      <c r="V24" s="4"/>
      <c r="W24" s="773"/>
      <c r="X24" s="4"/>
    </row>
    <row r="25" spans="1:24">
      <c r="A25" s="4" t="str">
        <f>SUBSTITUTE($V$2,"\","|")&amp;"|FFOF"</f>
        <v>KMZ1_BUF|FFOF</v>
      </c>
      <c r="B25" s="4" t="s">
        <v>74</v>
      </c>
      <c r="F25" s="4" t="s">
        <v>72</v>
      </c>
      <c r="G25" s="4" t="s">
        <v>71</v>
      </c>
      <c r="H25" s="4">
        <v>0</v>
      </c>
      <c r="I25" s="4" t="s">
        <v>72</v>
      </c>
      <c r="J25" s="4" t="s">
        <v>69</v>
      </c>
      <c r="K25" s="4">
        <v>0</v>
      </c>
      <c r="M25">
        <v>1</v>
      </c>
      <c r="N25" t="s">
        <v>1697</v>
      </c>
      <c r="O25" s="52">
        <f t="shared" si="0"/>
        <v>65500</v>
      </c>
      <c r="R25" t="str">
        <f>IF($U$2=TRUE,$W$2&amp;". Несанкционированное закрытие","Несанкционированное закрытие")</f>
        <v>Задвижка FB с буферизацией. Несанкционированное закрытие</v>
      </c>
      <c r="S25" s="372"/>
      <c r="T25"/>
      <c r="U25" s="773"/>
      <c r="V25" s="4"/>
      <c r="W25" s="773"/>
      <c r="X25" s="4"/>
    </row>
    <row r="26" spans="1:24">
      <c r="A26" s="4" t="str">
        <f>SUBSTITUTE($V$2,"\","|")&amp;"|FUSX"</f>
        <v>KMZ1_BUF|FUSX</v>
      </c>
      <c r="B26" s="4" t="s">
        <v>74</v>
      </c>
      <c r="F26" s="4" t="s">
        <v>72</v>
      </c>
      <c r="G26" s="4" t="s">
        <v>71</v>
      </c>
      <c r="H26" s="4">
        <v>0</v>
      </c>
      <c r="I26" s="4" t="s">
        <v>72</v>
      </c>
      <c r="J26" s="4" t="s">
        <v>69</v>
      </c>
      <c r="K26" s="4">
        <v>0</v>
      </c>
      <c r="M26">
        <v>1</v>
      </c>
      <c r="N26" t="s">
        <v>1697</v>
      </c>
      <c r="O26" s="52">
        <f t="shared" si="0"/>
        <v>65500</v>
      </c>
      <c r="R26" t="str">
        <f>IF($U$2=TRUE,$W$2&amp;". Неопределенно положение","Неопределенно положение")</f>
        <v>Задвижка FB с буферизацией. Неопределенно положение</v>
      </c>
      <c r="S26" s="372"/>
      <c r="T26"/>
      <c r="U26" s="773"/>
      <c r="V26" s="4"/>
      <c r="W26" s="773"/>
      <c r="X26" s="4"/>
    </row>
    <row r="27" spans="1:24">
      <c r="A27" s="4" t="str">
        <f>SUBSTITUTE($V$2,"\","|")&amp;"|FDSX"</f>
        <v>KMZ1_BUF|FDSX</v>
      </c>
      <c r="B27" s="4" t="s">
        <v>74</v>
      </c>
      <c r="F27" s="4" t="s">
        <v>72</v>
      </c>
      <c r="G27" s="4" t="s">
        <v>71</v>
      </c>
      <c r="H27" s="4">
        <v>0</v>
      </c>
      <c r="I27" s="4" t="s">
        <v>72</v>
      </c>
      <c r="J27" s="4" t="s">
        <v>69</v>
      </c>
      <c r="K27" s="4">
        <v>0</v>
      </c>
      <c r="M27">
        <v>1</v>
      </c>
      <c r="N27" t="s">
        <v>1697</v>
      </c>
      <c r="O27" s="52">
        <f t="shared" si="0"/>
        <v>65500</v>
      </c>
      <c r="R27" t="str">
        <f>IF($U$2=TRUE,$W$2&amp;". Двойное положение","Двойное положение")</f>
        <v>Задвижка FB с буферизацией. Двойное положение</v>
      </c>
      <c r="S27" s="372"/>
      <c r="T27"/>
      <c r="U27" s="773"/>
      <c r="V27" s="4"/>
      <c r="W27" s="773"/>
      <c r="X27" s="4"/>
    </row>
    <row r="28" spans="1:24">
      <c r="A28" s="4" t="str">
        <f>SUBSTITUTE($V$2,"\","|")&amp;"|FUCX"</f>
        <v>KMZ1_BUF|FUCX</v>
      </c>
      <c r="B28" s="4" t="s">
        <v>74</v>
      </c>
      <c r="F28" s="4" t="s">
        <v>72</v>
      </c>
      <c r="G28" s="4" t="s">
        <v>71</v>
      </c>
      <c r="H28" s="4">
        <v>0</v>
      </c>
      <c r="I28" s="4" t="s">
        <v>72</v>
      </c>
      <c r="J28" s="4" t="s">
        <v>69</v>
      </c>
      <c r="K28" s="4">
        <v>0</v>
      </c>
      <c r="M28">
        <v>1</v>
      </c>
      <c r="N28" t="s">
        <v>1697</v>
      </c>
      <c r="O28" s="52">
        <f t="shared" si="0"/>
        <v>65500</v>
      </c>
      <c r="R28" t="str">
        <f>IF($U$2=TRUE,$W$2&amp;". Неопределенное положение режима управления","Неопределенное положение режима управления")</f>
        <v>Задвижка FB с буферизацией. Неопределенное положение режима управления</v>
      </c>
      <c r="S28" s="372"/>
      <c r="T28"/>
      <c r="U28" s="773"/>
      <c r="V28" s="4"/>
      <c r="W28" s="773"/>
      <c r="X28" s="4"/>
    </row>
    <row r="29" spans="1:24">
      <c r="A29" t="str">
        <f>SUBSTITUTE($V$2,"\","|")&amp;"|FDCX"</f>
        <v>KMZ1_BUF|FDCX</v>
      </c>
      <c r="B29" t="s">
        <v>74</v>
      </c>
      <c r="F29" t="s">
        <v>72</v>
      </c>
      <c r="G29" t="s">
        <v>71</v>
      </c>
      <c r="H29">
        <v>0</v>
      </c>
      <c r="I29" t="s">
        <v>72</v>
      </c>
      <c r="J29" t="s">
        <v>69</v>
      </c>
      <c r="K29">
        <v>0</v>
      </c>
      <c r="M29">
        <v>1</v>
      </c>
      <c r="N29" t="s">
        <v>1697</v>
      </c>
      <c r="O29" s="52">
        <f t="shared" si="0"/>
        <v>65500</v>
      </c>
      <c r="R29" t="str">
        <f>IF($U$2=TRUE,$W$2&amp;". Двойное положение режима управления","Двойное положение режима управления")</f>
        <v>Задвижка FB с буферизацией. Двойное положение режима управления</v>
      </c>
      <c r="S29" s="372"/>
      <c r="T29"/>
      <c r="U29" s="773"/>
      <c r="V29" s="4"/>
      <c r="W29" s="773"/>
      <c r="X29" s="4"/>
    </row>
    <row r="30" spans="1:24">
      <c r="A30" t="str">
        <f>SUBSTITUTE($V$2,"\","|")&amp;"|FCOM"</f>
        <v>KMZ1_BUF|FCOM</v>
      </c>
      <c r="B30" t="s">
        <v>74</v>
      </c>
      <c r="F30" t="s">
        <v>72</v>
      </c>
      <c r="G30" t="s">
        <v>71</v>
      </c>
      <c r="H30">
        <v>0</v>
      </c>
      <c r="I30" t="s">
        <v>72</v>
      </c>
      <c r="J30" t="s">
        <v>69</v>
      </c>
      <c r="K30">
        <v>0</v>
      </c>
      <c r="M30">
        <v>1</v>
      </c>
      <c r="N30" t="s">
        <v>1697</v>
      </c>
      <c r="O30" s="52">
        <f t="shared" si="0"/>
        <v>65500</v>
      </c>
      <c r="R30" t="str">
        <f>IF($U$2=TRUE,$W$2&amp;". Противоречивость команд","Противоречивость команд")</f>
        <v>Задвижка FB с буферизацией. Противоречивость команд</v>
      </c>
      <c r="S30" s="372"/>
      <c r="T30"/>
      <c r="U30" s="773"/>
      <c r="V30" s="4"/>
      <c r="W30" s="773"/>
      <c r="X30" s="4"/>
    </row>
    <row r="31" spans="1:24">
      <c r="A31" s="515" t="str">
        <f>SUBSTITUTE($V$2,"\","|")&amp;"|COON"</f>
        <v>KMZ1_BUF|COON</v>
      </c>
      <c r="B31" t="s">
        <v>74</v>
      </c>
      <c r="F31" t="s">
        <v>72</v>
      </c>
      <c r="G31" t="s">
        <v>71</v>
      </c>
      <c r="H31">
        <v>0</v>
      </c>
      <c r="I31" t="s">
        <v>76</v>
      </c>
      <c r="J31" t="s">
        <v>73</v>
      </c>
      <c r="K31" s="515" t="s">
        <v>1383</v>
      </c>
      <c r="M31">
        <v>1</v>
      </c>
      <c r="R31" t="str">
        <f>IF($U$2=TRUE,$W$2&amp;". Команда оператора Открыть","Команда оператора Открыть")</f>
        <v>Задвижка FB с буферизацией. Команда оператора Открыть</v>
      </c>
      <c r="S31" s="372"/>
      <c r="T31"/>
      <c r="U31" s="773"/>
      <c r="V31" s="4"/>
      <c r="W31" s="773"/>
      <c r="X31" s="4"/>
    </row>
    <row r="32" spans="1:24">
      <c r="A32" s="515" t="str">
        <f>SUBSTITUTE($V$2,"\","|")&amp;"|COOF"</f>
        <v>KMZ1_BUF|COOF</v>
      </c>
      <c r="B32" t="s">
        <v>74</v>
      </c>
      <c r="F32" t="s">
        <v>72</v>
      </c>
      <c r="G32" t="s">
        <v>71</v>
      </c>
      <c r="H32">
        <v>0</v>
      </c>
      <c r="I32" t="s">
        <v>76</v>
      </c>
      <c r="J32" t="s">
        <v>73</v>
      </c>
      <c r="K32" s="515" t="s">
        <v>1383</v>
      </c>
      <c r="M32">
        <v>1</v>
      </c>
      <c r="R32" t="str">
        <f>IF($U$2=TRUE,$W$2&amp;". Команда оператора Закрыть","Команда оператора Закрыть")</f>
        <v>Задвижка FB с буферизацией. Команда оператора Закрыть</v>
      </c>
      <c r="S32" s="372"/>
      <c r="T32"/>
      <c r="U32" s="773"/>
      <c r="V32" s="4"/>
      <c r="W32" s="773"/>
      <c r="X32" s="4"/>
    </row>
    <row r="33" spans="1:24">
      <c r="A33" s="515" t="str">
        <f>SUBSTITUTE($V$2,"\","|")&amp;"|CMMX"</f>
        <v>KMZ1_BUF|CMMX</v>
      </c>
      <c r="B33" t="s">
        <v>74</v>
      </c>
      <c r="F33" t="s">
        <v>72</v>
      </c>
      <c r="G33" t="s">
        <v>71</v>
      </c>
      <c r="H33">
        <v>0</v>
      </c>
      <c r="I33" t="s">
        <v>76</v>
      </c>
      <c r="J33" t="s">
        <v>73</v>
      </c>
      <c r="K33" s="515" t="s">
        <v>1383</v>
      </c>
      <c r="M33">
        <v>1</v>
      </c>
      <c r="R33" t="str">
        <f>IF($U$2=TRUE,$W$2&amp;". Команда Перевести в ручной режим управления","Команда Перевести в ручной режим управления")</f>
        <v>Задвижка FB с буферизацией. Команда Перевести в ручной режим управления</v>
      </c>
      <c r="S33" s="372"/>
      <c r="T33"/>
      <c r="U33" s="773"/>
      <c r="V33" s="4"/>
      <c r="W33" s="773"/>
      <c r="X33" s="4"/>
    </row>
    <row r="34" spans="1:24">
      <c r="A34" s="515" t="str">
        <f>SUBSTITUTE($V$2,"\","|")&amp;"|CRPX"</f>
        <v>KMZ1_BUF|CRPX</v>
      </c>
      <c r="B34" t="s">
        <v>74</v>
      </c>
      <c r="F34" t="s">
        <v>72</v>
      </c>
      <c r="G34" t="s">
        <v>71</v>
      </c>
      <c r="H34">
        <v>0</v>
      </c>
      <c r="I34" t="s">
        <v>76</v>
      </c>
      <c r="J34" t="s">
        <v>73</v>
      </c>
      <c r="K34" s="515" t="s">
        <v>1383</v>
      </c>
      <c r="M34">
        <v>1</v>
      </c>
      <c r="R34" t="str">
        <f>IF($U$2=TRUE,$W$2&amp;". Команда оператора Вывести в ремонт","Команда оператора Вывести в ремонт")</f>
        <v>Задвижка FB с буферизацией. Команда оператора Вывести в ремонт</v>
      </c>
      <c r="S34" s="372"/>
      <c r="T34"/>
      <c r="U34" s="773"/>
      <c r="V34" s="4"/>
      <c r="W34" s="773"/>
      <c r="X34" s="4"/>
    </row>
    <row r="35" spans="1:24">
      <c r="A35" s="515" t="str">
        <f>SUBSTITUTE($V$2,"\","|")&amp;"|CRRX"</f>
        <v>KMZ1_BUF|CRRX</v>
      </c>
      <c r="B35" t="s">
        <v>74</v>
      </c>
      <c r="F35" t="s">
        <v>72</v>
      </c>
      <c r="G35" t="s">
        <v>71</v>
      </c>
      <c r="H35">
        <v>0</v>
      </c>
      <c r="I35" t="s">
        <v>76</v>
      </c>
      <c r="J35" t="s">
        <v>73</v>
      </c>
      <c r="K35" s="515" t="s">
        <v>1383</v>
      </c>
      <c r="M35">
        <v>1</v>
      </c>
      <c r="R35" t="str">
        <f>IF($U$2=TRUE,$W$2&amp;". Команда сброс наработки","Команда сброс наработки")</f>
        <v>Задвижка FB с буферизацией. Команда сброс наработки</v>
      </c>
      <c r="S35" s="372"/>
      <c r="T35"/>
      <c r="U35" s="773"/>
      <c r="V35" s="4"/>
      <c r="W35" s="773"/>
      <c r="X35" s="4"/>
    </row>
    <row r="36" spans="1:24">
      <c r="A36" s="515" t="str">
        <f>SUBSTITUTE($V$2,"\","|")&amp;"|CRST"</f>
        <v>KMZ1_BUF|CRST</v>
      </c>
      <c r="B36" t="s">
        <v>74</v>
      </c>
      <c r="F36" t="s">
        <v>72</v>
      </c>
      <c r="G36" t="s">
        <v>71</v>
      </c>
      <c r="H36">
        <v>0</v>
      </c>
      <c r="I36" t="s">
        <v>76</v>
      </c>
      <c r="J36" t="s">
        <v>73</v>
      </c>
      <c r="K36" s="515" t="s">
        <v>1383</v>
      </c>
      <c r="M36">
        <v>1</v>
      </c>
      <c r="R36" t="str">
        <f>IF($U$2=TRUE,$W$2&amp;". Команда Сброс ошибок","Команда Сброс ошибок")</f>
        <v>Задвижка FB с буферизацией. Команда Сброс ошибок</v>
      </c>
      <c r="S36" s="372"/>
      <c r="T36"/>
      <c r="U36" s="773"/>
      <c r="V36" s="4"/>
      <c r="W36" s="773"/>
      <c r="X36" s="4"/>
    </row>
    <row r="37" spans="1:24">
      <c r="A37" t="str">
        <f>SUBSTITUTE($V$2,"\","|")&amp;"|CBOF"</f>
        <v>KMZ1_BUF|CBOF</v>
      </c>
      <c r="B37" t="s">
        <v>74</v>
      </c>
      <c r="F37" t="s">
        <v>72</v>
      </c>
      <c r="G37" t="s">
        <v>71</v>
      </c>
      <c r="H37">
        <v>0</v>
      </c>
      <c r="I37" t="s">
        <v>76</v>
      </c>
      <c r="J37" t="s">
        <v>69</v>
      </c>
      <c r="K37">
        <v>0</v>
      </c>
      <c r="M37">
        <v>1</v>
      </c>
      <c r="R37" t="str">
        <f>IF($U$2=TRUE,$W$2&amp;". Команда блокировки: Закрыть","Команда блокировки: Закрыть")</f>
        <v>Задвижка FB с буферизацией. Команда блокировки: Закрыть</v>
      </c>
      <c r="S37" s="372"/>
      <c r="T37"/>
      <c r="U37" s="773"/>
      <c r="V37" s="4"/>
      <c r="W37" s="773"/>
      <c r="X37" s="4"/>
    </row>
    <row r="38" spans="1:24">
      <c r="A38" t="str">
        <f>SUBSTITUTE($V$2,"\","|")&amp;"|CBON"</f>
        <v>KMZ1_BUF|CBON</v>
      </c>
      <c r="B38" t="s">
        <v>74</v>
      </c>
      <c r="F38" t="s">
        <v>72</v>
      </c>
      <c r="G38" t="s">
        <v>71</v>
      </c>
      <c r="H38">
        <v>0</v>
      </c>
      <c r="I38" t="s">
        <v>76</v>
      </c>
      <c r="J38" t="s">
        <v>69</v>
      </c>
      <c r="K38">
        <v>0</v>
      </c>
      <c r="M38">
        <v>1</v>
      </c>
      <c r="R38" t="str">
        <f>IF($U$2=TRUE,$W$2&amp;". Команда блокировки: Открыть","Команда блокировки: Открыть")</f>
        <v>Задвижка FB с буферизацией. Команда блокировки: Открыть</v>
      </c>
      <c r="S38" s="372"/>
      <c r="T38"/>
      <c r="U38" s="773"/>
      <c r="V38" s="4"/>
      <c r="W38" s="773"/>
      <c r="X38" s="4"/>
    </row>
    <row r="39" spans="1:24">
      <c r="A39" t="str">
        <f>SUBSTITUTE($V$2,"\","|")&amp;"|CDOF"</f>
        <v>KMZ1_BUF|CDOF</v>
      </c>
      <c r="B39" t="s">
        <v>74</v>
      </c>
      <c r="F39" t="s">
        <v>72</v>
      </c>
      <c r="G39" t="s">
        <v>71</v>
      </c>
      <c r="H39">
        <v>0</v>
      </c>
      <c r="I39" t="s">
        <v>76</v>
      </c>
      <c r="J39" t="s">
        <v>73</v>
      </c>
      <c r="K39">
        <v>0</v>
      </c>
      <c r="M39">
        <v>1</v>
      </c>
      <c r="R39" t="str">
        <f>IF($U$2=TRUE,$W$2&amp;". Запрет закрытия","Запрет закрытия")</f>
        <v>Задвижка FB с буферизацией. Запрет закрытия</v>
      </c>
      <c r="S39" s="372"/>
      <c r="T39"/>
      <c r="U39" s="773"/>
      <c r="V39" s="4"/>
      <c r="W39" s="773"/>
      <c r="X39" s="4"/>
    </row>
    <row r="40" spans="1:24">
      <c r="A40" t="str">
        <f>SUBSTITUTE($V$2,"\","|")&amp;"|CDON"</f>
        <v>KMZ1_BUF|CDON</v>
      </c>
      <c r="B40" t="s">
        <v>74</v>
      </c>
      <c r="F40" t="s">
        <v>72</v>
      </c>
      <c r="G40" t="s">
        <v>71</v>
      </c>
      <c r="H40">
        <v>0</v>
      </c>
      <c r="I40" t="s">
        <v>76</v>
      </c>
      <c r="J40" t="s">
        <v>73</v>
      </c>
      <c r="K40">
        <v>0</v>
      </c>
      <c r="M40">
        <v>1</v>
      </c>
      <c r="R40" t="str">
        <f>IF($U$2=TRUE,$W$2&amp;". Запрет открытия","Запрет открытия")</f>
        <v>Задвижка FB с буферизацией. Запрет открытия</v>
      </c>
      <c r="S40" s="372"/>
      <c r="T40"/>
      <c r="U40" s="773"/>
      <c r="V40" s="4"/>
      <c r="W40" s="773"/>
      <c r="X40" s="4"/>
    </row>
    <row r="41" spans="1:24">
      <c r="A41" t="str">
        <f>SUBSTITUTE($V$2,"\","|")&amp;"|COSP"</f>
        <v>KMZ1_BUF|COSP</v>
      </c>
      <c r="B41" t="s">
        <v>74</v>
      </c>
      <c r="F41" t="s">
        <v>72</v>
      </c>
      <c r="G41" t="s">
        <v>71</v>
      </c>
      <c r="H41">
        <v>0</v>
      </c>
      <c r="I41" t="s">
        <v>76</v>
      </c>
      <c r="J41" t="s">
        <v>73</v>
      </c>
      <c r="K41">
        <v>0</v>
      </c>
      <c r="M41">
        <v>1</v>
      </c>
      <c r="R41" t="str">
        <f>IF($U$2=TRUE,$W$2&amp;". Команда оператора Стоп","Команда оператора Стоп")</f>
        <v>Задвижка FB с буферизацией. Команда оператора Стоп</v>
      </c>
      <c r="S41" s="372"/>
      <c r="T41"/>
      <c r="U41" s="773"/>
      <c r="V41" s="4"/>
      <c r="W41" s="773"/>
      <c r="X41" s="4"/>
    </row>
    <row r="42" spans="1:24">
      <c r="A42" t="str">
        <f>SUBSTITUTE($V$2,"\","|")&amp;"|CPMM"</f>
        <v>KMZ1_BUF|CPMM</v>
      </c>
      <c r="B42" t="s">
        <v>74</v>
      </c>
      <c r="F42" t="s">
        <v>76</v>
      </c>
      <c r="G42" t="s">
        <v>71</v>
      </c>
      <c r="H42">
        <v>0</v>
      </c>
      <c r="I42" t="s">
        <v>76</v>
      </c>
      <c r="J42" t="s">
        <v>73</v>
      </c>
      <c r="K42">
        <v>0</v>
      </c>
      <c r="M42">
        <v>1</v>
      </c>
      <c r="R42" t="str">
        <f>IF($U$2=TRUE,$W$2&amp;". Разрешение на перевод в ручной режим","Разрешение на перевод в ручной режим")</f>
        <v>Задвижка FB с буферизацией. Разрешение на перевод в ручной режим</v>
      </c>
      <c r="S42" s="372"/>
      <c r="T42"/>
      <c r="U42" s="773"/>
      <c r="V42" s="4"/>
      <c r="W42" s="773"/>
      <c r="X42" s="4"/>
    </row>
    <row r="43" spans="1:24">
      <c r="A43" t="str">
        <f>SUBSTITUTE($V$2,"\","|")&amp;"|DOSP"</f>
        <v>KMZ1_BUF|DOSP</v>
      </c>
      <c r="B43" t="s">
        <v>74</v>
      </c>
      <c r="F43" t="s">
        <v>72</v>
      </c>
      <c r="G43" t="s">
        <v>71</v>
      </c>
      <c r="H43">
        <v>0</v>
      </c>
      <c r="I43" t="s">
        <v>72</v>
      </c>
      <c r="J43" t="s">
        <v>69</v>
      </c>
      <c r="K43">
        <v>0</v>
      </c>
      <c r="M43">
        <v>1</v>
      </c>
      <c r="R43" t="str">
        <f>IF($U$2=TRUE,$W$2&amp;". Недостоверное Выходное значение Стоп","Недостоверное Выходное значение Стоп")</f>
        <v>Задвижка FB с буферизацией. Недостоверное Выходное значение Стоп</v>
      </c>
      <c r="S43" s="372"/>
      <c r="T43"/>
      <c r="U43" s="773"/>
      <c r="V43" s="4"/>
      <c r="W43" s="773"/>
      <c r="X43" s="4"/>
    </row>
    <row r="44" spans="1:24">
      <c r="A44" s="4" t="str">
        <f>SUBSTITUTE($V$2,"\","|")&amp;"|FXXX"</f>
        <v>KMZ1_BUF|FXXX</v>
      </c>
      <c r="B44" s="4" t="s">
        <v>74</v>
      </c>
      <c r="F44" s="4" t="s">
        <v>72</v>
      </c>
      <c r="G44" s="4" t="s">
        <v>71</v>
      </c>
      <c r="H44" s="4">
        <v>0</v>
      </c>
      <c r="I44" s="4" t="s">
        <v>72</v>
      </c>
      <c r="J44" s="4" t="s">
        <v>69</v>
      </c>
      <c r="K44" s="4">
        <v>0</v>
      </c>
      <c r="M44">
        <v>1</v>
      </c>
      <c r="R44" t="str">
        <f>IF($U$2=TRUE,$W$2&amp;". Обобщенная неисправность","Обобщенная неисправность")</f>
        <v>Задвижка FB с буферизацией. Обобщенная неисправность</v>
      </c>
      <c r="S44" s="372"/>
      <c r="T44"/>
      <c r="U44" s="773"/>
      <c r="V44" s="4"/>
      <c r="W44" s="773"/>
      <c r="X44" s="4"/>
    </row>
    <row r="45" spans="1:24">
      <c r="A45" s="4" t="str">
        <f>SUBSTITUTE($V$2,"\","|")&amp;"|ILCX"</f>
        <v>KMZ1_BUF|ILCX</v>
      </c>
      <c r="B45" s="4" t="s">
        <v>74</v>
      </c>
      <c r="F45" s="4" t="s">
        <v>72</v>
      </c>
      <c r="G45" s="4" t="s">
        <v>71</v>
      </c>
      <c r="H45" s="4">
        <v>0</v>
      </c>
      <c r="I45" s="4" t="s">
        <v>76</v>
      </c>
      <c r="J45" s="4" t="s">
        <v>69</v>
      </c>
      <c r="K45" s="4">
        <v>0</v>
      </c>
      <c r="M45">
        <v>1</v>
      </c>
      <c r="R45" t="str">
        <f>IF($U$2=TRUE,$W$2&amp;". Входное значение Местное управление","Входное значение Местное управление")</f>
        <v>Задвижка FB с буферизацией. Входное значение Местное управление</v>
      </c>
      <c r="S45" s="372"/>
      <c r="T45"/>
      <c r="U45" s="773"/>
      <c r="V45" s="4"/>
      <c r="W45" s="773"/>
      <c r="X45" s="4"/>
    </row>
    <row r="46" spans="1:24">
      <c r="A46" s="4" t="str">
        <f>SUBSTITUTE($V$2,"\","|")&amp;"|IOFX"</f>
        <v>KMZ1_BUF|IOFX</v>
      </c>
      <c r="B46" s="4" t="s">
        <v>74</v>
      </c>
      <c r="F46" s="4" t="s">
        <v>72</v>
      </c>
      <c r="G46" s="4" t="s">
        <v>71</v>
      </c>
      <c r="H46" s="4">
        <v>0</v>
      </c>
      <c r="I46" s="4" t="s">
        <v>72</v>
      </c>
      <c r="J46" s="4" t="s">
        <v>69</v>
      </c>
      <c r="K46" s="4">
        <v>0</v>
      </c>
      <c r="M46">
        <v>1</v>
      </c>
      <c r="R46" t="str">
        <f>IF($U$2=TRUE,$W$2&amp;". Входное значение Закрыта","Входное значение Закрыта")</f>
        <v>Задвижка FB с буферизацией. Входное значение Закрыта</v>
      </c>
      <c r="S46" s="372"/>
      <c r="T46"/>
      <c r="U46" s="773"/>
      <c r="V46" s="4"/>
      <c r="W46" s="773"/>
      <c r="X46" s="4"/>
    </row>
    <row r="47" spans="1:24">
      <c r="A47" t="str">
        <f>SUBSTITUTE($V$2,"\","|")&amp;"|IONX"</f>
        <v>KMZ1_BUF|IONX</v>
      </c>
      <c r="B47" t="s">
        <v>74</v>
      </c>
      <c r="F47" t="s">
        <v>72</v>
      </c>
      <c r="G47" t="s">
        <v>71</v>
      </c>
      <c r="H47">
        <v>0</v>
      </c>
      <c r="I47" t="s">
        <v>72</v>
      </c>
      <c r="J47" t="s">
        <v>69</v>
      </c>
      <c r="K47">
        <v>0</v>
      </c>
      <c r="M47">
        <v>1</v>
      </c>
      <c r="R47" t="str">
        <f>IF($U$2=TRUE,$W$2&amp;". Входное значение Открыта","Входное значение Открыта")</f>
        <v>Задвижка FB с буферизацией. Входное значение Открыта</v>
      </c>
      <c r="S47" s="372"/>
      <c r="T47"/>
      <c r="U47" s="773"/>
      <c r="V47" s="4"/>
      <c r="W47" s="773"/>
      <c r="X47" s="4"/>
    </row>
    <row r="48" spans="1:24">
      <c r="A48" t="str">
        <f>SUBSTITUTE($V$2,"\","|")&amp;"|IRCX"</f>
        <v>KMZ1_BUF|IRCX</v>
      </c>
      <c r="B48" t="s">
        <v>74</v>
      </c>
      <c r="F48" s="4" t="s">
        <v>76</v>
      </c>
      <c r="G48" t="s">
        <v>71</v>
      </c>
      <c r="H48">
        <v>0</v>
      </c>
      <c r="I48" s="4" t="s">
        <v>76</v>
      </c>
      <c r="J48" t="s">
        <v>69</v>
      </c>
      <c r="K48">
        <v>0</v>
      </c>
      <c r="M48">
        <v>1</v>
      </c>
      <c r="R48" t="str">
        <f>IF($U$2=TRUE,$W$2&amp;". Входное значение Дистанционное управление","Входное значение Дистанционное управление")</f>
        <v>Задвижка FB с буферизацией. Входное значение Дистанционное управление</v>
      </c>
      <c r="S48" s="372"/>
      <c r="T48"/>
      <c r="U48" s="773"/>
      <c r="V48" s="4"/>
      <c r="W48" s="773"/>
      <c r="X48" s="4"/>
    </row>
    <row r="49" spans="1:24">
      <c r="A49" t="str">
        <f>SUBSTITUTE($V$2,"\","|")&amp;"|OCOF"</f>
        <v>KMZ1_BUF|OCOF</v>
      </c>
      <c r="B49" t="s">
        <v>74</v>
      </c>
      <c r="F49" t="s">
        <v>72</v>
      </c>
      <c r="G49" t="s">
        <v>71</v>
      </c>
      <c r="H49">
        <v>0</v>
      </c>
      <c r="I49" t="s">
        <v>72</v>
      </c>
      <c r="J49" t="s">
        <v>69</v>
      </c>
      <c r="K49">
        <v>0</v>
      </c>
      <c r="M49">
        <v>1</v>
      </c>
      <c r="R49" t="str">
        <f>IF($U$2=TRUE,$W$2&amp;". Постоянный выход Закрыть","Постоянный выход Закрыть")</f>
        <v>Задвижка FB с буферизацией. Постоянный выход Закрыть</v>
      </c>
      <c r="S49" s="372"/>
      <c r="T49"/>
      <c r="U49" s="773"/>
      <c r="V49" s="4"/>
      <c r="W49" s="773"/>
      <c r="X49" s="4"/>
    </row>
    <row r="50" spans="1:24">
      <c r="A50" t="str">
        <f>SUBSTITUTE($V$2,"\","|")&amp;"|OCON"</f>
        <v>KMZ1_BUF|OCON</v>
      </c>
      <c r="B50" t="s">
        <v>74</v>
      </c>
      <c r="F50" t="s">
        <v>72</v>
      </c>
      <c r="G50" t="s">
        <v>71</v>
      </c>
      <c r="H50">
        <v>0</v>
      </c>
      <c r="I50" t="s">
        <v>72</v>
      </c>
      <c r="J50" t="s">
        <v>69</v>
      </c>
      <c r="K50">
        <v>0</v>
      </c>
      <c r="M50">
        <v>1</v>
      </c>
      <c r="R50" t="str">
        <f>IF($U$2=TRUE,$W$2&amp;". Постоянный выход Открыть","Постоянный выход Открыть")</f>
        <v>Задвижка FB с буферизацией. Постоянный выход Открыть</v>
      </c>
      <c r="S50" s="372"/>
      <c r="T50"/>
      <c r="U50" s="773"/>
      <c r="V50" s="4"/>
      <c r="W50" s="773"/>
      <c r="X50" s="4"/>
    </row>
    <row r="51" spans="1:24">
      <c r="A51" t="str">
        <f>SUBSTITUTE($V$2,"\","|")&amp;"|OXOF"</f>
        <v>KMZ1_BUF|OXOF</v>
      </c>
      <c r="B51" t="s">
        <v>74</v>
      </c>
      <c r="F51" t="s">
        <v>72</v>
      </c>
      <c r="G51" t="s">
        <v>71</v>
      </c>
      <c r="H51">
        <v>0</v>
      </c>
      <c r="I51" t="s">
        <v>72</v>
      </c>
      <c r="J51" t="s">
        <v>69</v>
      </c>
      <c r="K51">
        <v>0</v>
      </c>
      <c r="M51">
        <v>1</v>
      </c>
      <c r="R51" t="str">
        <f>IF($U$2=TRUE,$W$2&amp;". Выходное значение Закрыть","Выходное значение Закрыть")</f>
        <v>Задвижка FB с буферизацией. Выходное значение Закрыть</v>
      </c>
      <c r="S51" s="372"/>
      <c r="T51"/>
      <c r="U51" s="773"/>
      <c r="V51" s="4"/>
      <c r="W51" s="773"/>
      <c r="X51" s="4"/>
    </row>
    <row r="52" spans="1:24">
      <c r="A52" t="str">
        <f>SUBSTITUTE($V$2,"\","|")&amp;"|OXON"</f>
        <v>KMZ1_BUF|OXON</v>
      </c>
      <c r="B52" t="s">
        <v>74</v>
      </c>
      <c r="F52" t="s">
        <v>72</v>
      </c>
      <c r="G52" t="s">
        <v>71</v>
      </c>
      <c r="H52">
        <v>0</v>
      </c>
      <c r="I52" t="s">
        <v>72</v>
      </c>
      <c r="J52" t="s">
        <v>69</v>
      </c>
      <c r="K52">
        <v>0</v>
      </c>
      <c r="M52">
        <v>1</v>
      </c>
      <c r="R52" t="str">
        <f>IF($U$2=TRUE,$W$2&amp;". Выходное значение Открыть","Выходное значение Открыть")</f>
        <v>Задвижка FB с буферизацией. Выходное значение Открыть</v>
      </c>
      <c r="S52" s="372"/>
      <c r="T52"/>
      <c r="U52" s="773"/>
      <c r="V52" s="4"/>
      <c r="W52" s="773"/>
      <c r="X52" s="4"/>
    </row>
    <row r="53" spans="1:24">
      <c r="A53" t="str">
        <f>SUBSTITUTE($V$2,"\","|")&amp;"|OXSP"</f>
        <v>KMZ1_BUF|OXSP</v>
      </c>
      <c r="B53" t="s">
        <v>74</v>
      </c>
      <c r="F53" t="s">
        <v>72</v>
      </c>
      <c r="G53" t="s">
        <v>71</v>
      </c>
      <c r="H53">
        <v>0</v>
      </c>
      <c r="I53" t="s">
        <v>72</v>
      </c>
      <c r="J53" t="s">
        <v>69</v>
      </c>
      <c r="K53">
        <v>0</v>
      </c>
      <c r="M53">
        <v>1</v>
      </c>
      <c r="R53" t="str">
        <f>IF($U$2=TRUE,$W$2&amp;". Выходное значение Стоп","Выходное значение Стоп")</f>
        <v>Задвижка FB с буферизацией. Выходное значение Стоп</v>
      </c>
      <c r="S53" s="372"/>
      <c r="T53"/>
      <c r="U53" s="773"/>
      <c r="V53" s="4"/>
      <c r="W53" s="773"/>
      <c r="X53" s="4"/>
    </row>
    <row r="54" spans="1:24">
      <c r="A54" t="str">
        <f>SUBSTITUTE($V$2,"\","|")&amp;"|SMMX"</f>
        <v>KMZ1_BUF|SMMX</v>
      </c>
      <c r="B54" t="s">
        <v>74</v>
      </c>
      <c r="F54" s="52" t="str">
        <f>$Y$2</f>
        <v>FALSE</v>
      </c>
      <c r="G54" t="s">
        <v>237</v>
      </c>
      <c r="H54">
        <v>0</v>
      </c>
      <c r="I54" t="s">
        <v>76</v>
      </c>
      <c r="J54" t="s">
        <v>69</v>
      </c>
      <c r="K54">
        <v>0</v>
      </c>
      <c r="M54">
        <v>1</v>
      </c>
      <c r="R54" t="str">
        <f>IF($U$2=TRUE,$W$2&amp;". Настройка перехода ручной/автоматический","Настройка перехода ручной/автоматический")</f>
        <v>Задвижка FB с буферизацией. Настройка перехода ручной/автоматический</v>
      </c>
      <c r="S54" s="372"/>
      <c r="T54"/>
      <c r="U54" s="773"/>
      <c r="V54" s="4"/>
      <c r="W54" s="773"/>
      <c r="X54" s="4"/>
    </row>
    <row r="55" spans="1:24">
      <c r="A55" t="str">
        <f>SUBSTITUTE($V$2,"\","|")&amp;"|SRQX"</f>
        <v>KMZ1_BUF|SRQX</v>
      </c>
      <c r="B55" t="s">
        <v>78</v>
      </c>
      <c r="F55">
        <v>1000</v>
      </c>
      <c r="G55" t="s">
        <v>71</v>
      </c>
      <c r="H55">
        <v>0</v>
      </c>
      <c r="I55" t="s">
        <v>76</v>
      </c>
      <c r="J55" t="s">
        <v>73</v>
      </c>
      <c r="K55">
        <v>0</v>
      </c>
      <c r="M55">
        <v>1</v>
      </c>
      <c r="R55" t="str">
        <f>IF($U$2=TRUE,$W$2&amp;". Уставка по наработке концевиков","Уставка по наработке концевиков")</f>
        <v>Задвижка FB с буферизацией. Уставка по наработке концевиков</v>
      </c>
      <c r="S55" s="372"/>
      <c r="T55"/>
      <c r="U55" s="773"/>
      <c r="V55" s="4"/>
      <c r="W55" s="773"/>
      <c r="X55" s="4"/>
    </row>
    <row r="56" spans="1:24">
      <c r="A56" t="str">
        <f>SUBSTITUTE($V$2,"\","|")&amp;"|STCX"</f>
        <v>KMZ1_BUF|STCX</v>
      </c>
      <c r="B56" t="s">
        <v>78</v>
      </c>
      <c r="F56" s="52">
        <f>$X$2</f>
        <v>5</v>
      </c>
      <c r="G56" t="s">
        <v>71</v>
      </c>
      <c r="H56">
        <v>0</v>
      </c>
      <c r="I56" t="s">
        <v>76</v>
      </c>
      <c r="J56" t="s">
        <v>73</v>
      </c>
      <c r="K56">
        <v>0</v>
      </c>
      <c r="M56">
        <v>1</v>
      </c>
      <c r="R56" t="str">
        <f>IF($U$2=TRUE,$W$2&amp;". Время подачи команды (с)","Время подачи команды (с)")</f>
        <v>Задвижка FB с буферизацией. Время подачи команды (с)</v>
      </c>
      <c r="S56" s="372"/>
      <c r="T56"/>
      <c r="U56" s="773"/>
      <c r="V56" s="4"/>
      <c r="W56" s="773"/>
      <c r="X56" s="4"/>
    </row>
    <row r="57" spans="1:24">
      <c r="A57" t="str">
        <f>SUBSTITUTE($V$2,"\","|")&amp;"|STPR"</f>
        <v>KMZ1_BUF|STPR</v>
      </c>
      <c r="B57" t="s">
        <v>78</v>
      </c>
      <c r="F57">
        <v>0</v>
      </c>
      <c r="G57" t="s">
        <v>71</v>
      </c>
      <c r="H57">
        <v>0</v>
      </c>
      <c r="I57" t="s">
        <v>76</v>
      </c>
      <c r="J57" t="s">
        <v>73</v>
      </c>
      <c r="K57">
        <v>0</v>
      </c>
      <c r="M57">
        <v>1</v>
      </c>
      <c r="R57" t="str">
        <f>IF($U$2=TRUE,$W$2&amp;". Время дожима (с)","Время дожима (с)")</f>
        <v>Задвижка FB с буферизацией. Время дожима (с)</v>
      </c>
      <c r="S57" s="372"/>
      <c r="T57"/>
      <c r="U57" s="773"/>
      <c r="V57" s="4"/>
      <c r="W57" s="773"/>
      <c r="X57" s="4"/>
    </row>
    <row r="58" spans="1:24">
      <c r="A58" t="str">
        <f>SUBSTITUTE($V$2,"\","|")&amp;"|STSX"</f>
        <v>KMZ1_BUF|STSX</v>
      </c>
      <c r="B58" t="s">
        <v>78</v>
      </c>
      <c r="F58" s="52">
        <f>$AA$2</f>
        <v>6</v>
      </c>
      <c r="G58" t="s">
        <v>71</v>
      </c>
      <c r="H58">
        <v>0</v>
      </c>
      <c r="I58" t="s">
        <v>76</v>
      </c>
      <c r="J58" t="s">
        <v>73</v>
      </c>
      <c r="K58">
        <v>0</v>
      </c>
      <c r="M58">
        <v>1</v>
      </c>
      <c r="R58" t="str">
        <f>IF($U$2=TRUE,$W$2&amp;". Время перестановки (с)","Время перестановки (с)")</f>
        <v>Задвижка FB с буферизацией. Время перестановки (с)</v>
      </c>
      <c r="S58" s="372"/>
      <c r="T58"/>
      <c r="U58" s="773"/>
      <c r="V58" s="4"/>
      <c r="W58" s="773"/>
      <c r="X58" s="4"/>
    </row>
    <row r="59" spans="1:24">
      <c r="A59" t="str">
        <f>SUBSTITUTE($V$2,"\","|")&amp;"|XOFP"</f>
        <v>KMZ1_BUF|XOFP</v>
      </c>
      <c r="B59" t="s">
        <v>74</v>
      </c>
      <c r="F59" t="s">
        <v>72</v>
      </c>
      <c r="G59" t="s">
        <v>71</v>
      </c>
      <c r="H59">
        <v>0</v>
      </c>
      <c r="I59" t="s">
        <v>72</v>
      </c>
      <c r="J59" t="s">
        <v>69</v>
      </c>
      <c r="K59">
        <v>0</v>
      </c>
      <c r="M59">
        <v>1</v>
      </c>
      <c r="R59" t="str">
        <f>IF($U$2=TRUE,$W$2&amp;". Выходное значение Закрывается","Выходное значение Закрывается")</f>
        <v>Задвижка FB с буферизацией. Выходное значение Закрывается</v>
      </c>
      <c r="S59" s="372"/>
      <c r="T59"/>
      <c r="U59" s="773"/>
      <c r="V59" s="4"/>
      <c r="W59" s="773"/>
      <c r="X59" s="4"/>
    </row>
    <row r="60" spans="1:24">
      <c r="A60" t="str">
        <f>SUBSTITUTE($V$2,"\","|")&amp;"|XONP"</f>
        <v>KMZ1_BUF|XONP</v>
      </c>
      <c r="B60" t="s">
        <v>74</v>
      </c>
      <c r="F60" t="s">
        <v>72</v>
      </c>
      <c r="G60" t="s">
        <v>71</v>
      </c>
      <c r="H60">
        <v>0</v>
      </c>
      <c r="I60" t="s">
        <v>72</v>
      </c>
      <c r="J60" t="s">
        <v>69</v>
      </c>
      <c r="K60">
        <v>0</v>
      </c>
      <c r="M60">
        <v>1</v>
      </c>
      <c r="R60" t="str">
        <f>IF($U$2=TRUE,$W$2&amp;". Выходное значение Открывается","Выходное значение Открывается")</f>
        <v>Задвижка FB с буферизацией. Выходное значение Открывается</v>
      </c>
      <c r="S60" s="372"/>
      <c r="T60"/>
      <c r="U60" s="773"/>
      <c r="V60" s="4"/>
      <c r="W60" s="773"/>
      <c r="X60" s="4"/>
    </row>
    <row r="61" spans="1:24">
      <c r="A61" t="str">
        <f>SUBSTITUTE($V$2,"\","|")&amp;"|XPRP"</f>
        <v>KMZ1_BUF|XPRP</v>
      </c>
      <c r="B61" t="s">
        <v>74</v>
      </c>
      <c r="F61" t="s">
        <v>72</v>
      </c>
      <c r="G61" t="s">
        <v>71</v>
      </c>
      <c r="H61">
        <v>0</v>
      </c>
      <c r="I61" t="s">
        <v>72</v>
      </c>
      <c r="J61" t="s">
        <v>69</v>
      </c>
      <c r="K61">
        <v>0</v>
      </c>
      <c r="M61">
        <v>1</v>
      </c>
      <c r="R61" t="str">
        <f>IF($U$2=TRUE,$W$2&amp;". Выходное значение процесс дожима","Выходное значение процесс дожима")</f>
        <v>Задвижка FB с буферизацией. Выходное значение процесс дожима</v>
      </c>
      <c r="S61" s="372"/>
      <c r="T61"/>
      <c r="U61" s="773"/>
      <c r="V61" s="4"/>
      <c r="W61" s="773"/>
      <c r="X61" s="4"/>
    </row>
    <row r="62" spans="1:24">
      <c r="A62" t="str">
        <f>SUBSTITUTE($V$2,"\","|")&amp;"|XROF"</f>
        <v>KMZ1_BUF|XROF</v>
      </c>
      <c r="B62" t="s">
        <v>78</v>
      </c>
      <c r="F62">
        <v>0</v>
      </c>
      <c r="G62" t="s">
        <v>71</v>
      </c>
      <c r="H62">
        <v>0</v>
      </c>
      <c r="I62" t="s">
        <v>76</v>
      </c>
      <c r="J62" t="s">
        <v>73</v>
      </c>
      <c r="K62">
        <v>0</v>
      </c>
      <c r="M62">
        <v>1</v>
      </c>
      <c r="R62" t="str">
        <f>IF($U$2=TRUE,$W$2&amp;". Наработка концевика закрыт","Наработка концевика закрыт")</f>
        <v>Задвижка FB с буферизацией. Наработка концевика закрыт</v>
      </c>
      <c r="S62" s="372"/>
      <c r="T62"/>
      <c r="U62" s="773"/>
      <c r="V62" s="4"/>
      <c r="W62" s="773"/>
      <c r="X62" s="4"/>
    </row>
    <row r="63" spans="1:24">
      <c r="A63" t="str">
        <f>SUBSTITUTE($V$2,"\","|")&amp;"|XRON"</f>
        <v>KMZ1_BUF|XRON</v>
      </c>
      <c r="B63" t="s">
        <v>78</v>
      </c>
      <c r="F63">
        <v>0</v>
      </c>
      <c r="G63" t="s">
        <v>71</v>
      </c>
      <c r="H63">
        <v>0</v>
      </c>
      <c r="I63" t="s">
        <v>76</v>
      </c>
      <c r="J63" t="s">
        <v>73</v>
      </c>
      <c r="K63">
        <v>0</v>
      </c>
      <c r="M63">
        <v>1</v>
      </c>
      <c r="R63" t="str">
        <f>IF($U$2=TRUE,$W$2&amp;". Наработка концевика открыт","Наработка концевика открыт")</f>
        <v>Задвижка FB с буферизацией. Наработка концевика открыт</v>
      </c>
      <c r="S63" s="372"/>
      <c r="T63"/>
      <c r="U63" s="773"/>
      <c r="V63" s="4"/>
      <c r="W63" s="773"/>
      <c r="X63" s="4"/>
    </row>
    <row r="64" spans="1:24">
      <c r="A64" t="str">
        <f>SUBSTITUTE($V$2,"\","|")&amp;"|XRPX"</f>
        <v>KMZ1_BUF|XRPX</v>
      </c>
      <c r="B64" t="s">
        <v>74</v>
      </c>
      <c r="F64" t="s">
        <v>72</v>
      </c>
      <c r="G64" t="s">
        <v>71</v>
      </c>
      <c r="H64">
        <v>0</v>
      </c>
      <c r="I64" t="s">
        <v>72</v>
      </c>
      <c r="J64" t="s">
        <v>69</v>
      </c>
      <c r="K64">
        <v>0</v>
      </c>
      <c r="M64">
        <v>1</v>
      </c>
      <c r="R64" t="str">
        <f>IF($U$2=TRUE,$W$2&amp;". Выходное значение Выведен в ремонт","Выходное значение Выведен в ремонт")</f>
        <v>Задвижка FB с буферизацией. Выходное значение Выведен в ремонт</v>
      </c>
      <c r="S64" s="372"/>
      <c r="T64"/>
      <c r="U64" s="773"/>
      <c r="V64" s="4"/>
      <c r="W64" s="773"/>
      <c r="X64" s="4"/>
    </row>
    <row r="65" spans="1:24">
      <c r="A65" t="str">
        <f>SUBSTITUTE($V$2,"\","|")&amp;"|XSPP"</f>
        <v>KMZ1_BUF|XSPP</v>
      </c>
      <c r="B65" t="s">
        <v>74</v>
      </c>
      <c r="F65" t="s">
        <v>72</v>
      </c>
      <c r="G65" t="s">
        <v>71</v>
      </c>
      <c r="H65">
        <v>0</v>
      </c>
      <c r="I65" t="s">
        <v>72</v>
      </c>
      <c r="J65" t="s">
        <v>69</v>
      </c>
      <c r="K65">
        <v>0</v>
      </c>
      <c r="M65">
        <v>1</v>
      </c>
      <c r="R65" t="str">
        <f>IF($U$2=TRUE,$W$2&amp;". Выходное значение Останавливается","Выходное значение Останавливается")</f>
        <v>Задвижка FB с буферизацией. Выходное значение Останавливается</v>
      </c>
      <c r="S65" s="372"/>
      <c r="T65"/>
      <c r="U65" s="773"/>
      <c r="V65" s="4"/>
      <c r="W65" s="773"/>
      <c r="X65" s="4"/>
    </row>
    <row r="66" spans="1:24">
      <c r="A66" s="514" t="str">
        <f>"PACK_TO_INT|STATE|"&amp;SUBSTITUTE($V$2,"\","|")</f>
        <v>PACK_TO_INT|STATE|KMZ1_BUF</v>
      </c>
      <c r="B66" s="4" t="s">
        <v>78</v>
      </c>
      <c r="F66" s="4">
        <v>0</v>
      </c>
      <c r="G66" s="4" t="s">
        <v>71</v>
      </c>
      <c r="H66" s="4">
        <v>0</v>
      </c>
      <c r="I66" s="4" t="s">
        <v>72</v>
      </c>
      <c r="J66" s="4" t="s">
        <v>73</v>
      </c>
      <c r="K66" s="514">
        <v>1</v>
      </c>
    </row>
    <row r="67" spans="1:24">
      <c r="A67" s="514" t="str">
        <f>"PACK_TO_INT|FAULT|"&amp;SUBSTITUTE($V$2,"\","|")</f>
        <v>PACK_TO_INT|FAULT|KMZ1_BUF</v>
      </c>
      <c r="B67" s="4" t="s">
        <v>78</v>
      </c>
      <c r="F67" s="4">
        <v>0</v>
      </c>
      <c r="G67" s="4" t="s">
        <v>71</v>
      </c>
      <c r="H67" s="4">
        <v>0</v>
      </c>
      <c r="I67" s="4" t="s">
        <v>72</v>
      </c>
      <c r="J67" s="4" t="s">
        <v>73</v>
      </c>
      <c r="K67" s="514">
        <v>1</v>
      </c>
    </row>
    <row r="71" spans="1:24">
      <c r="A71" s="4"/>
      <c r="B71" s="4"/>
      <c r="F71" s="4"/>
      <c r="G71" s="4"/>
      <c r="H71" s="4"/>
      <c r="I71" s="4"/>
      <c r="J71" s="4"/>
      <c r="K71" s="4"/>
      <c r="M71" s="4"/>
      <c r="R71"/>
      <c r="S71"/>
      <c r="T71"/>
      <c r="U71"/>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codeName="Лист68">
    <tabColor rgb="FF92D050"/>
  </sheetPr>
  <dimension ref="A1:AC49"/>
  <sheetViews>
    <sheetView workbookViewId="0">
      <selection activeCell="V2" sqref="V2:AD2"/>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15" customHeight="1">
      <c r="A2" s="10"/>
      <c r="B2" s="10"/>
      <c r="F2" s="10"/>
      <c r="G2" s="10"/>
      <c r="H2" s="10"/>
      <c r="I2" s="10"/>
      <c r="J2" s="10"/>
      <c r="K2" s="10"/>
      <c r="M2" s="10"/>
      <c r="N2" s="10"/>
      <c r="O2" s="10"/>
      <c r="P2" s="10"/>
      <c r="Q2" s="10"/>
      <c r="R2" s="10"/>
      <c r="U2" s="74" t="b">
        <f>Настройки!$M$34</f>
        <v>1</v>
      </c>
      <c r="V2" s="73" t="s">
        <v>4925</v>
      </c>
      <c r="W2" s="537" t="s">
        <v>4926</v>
      </c>
      <c r="X2" s="73"/>
      <c r="Y2" s="73"/>
      <c r="Z2" s="73">
        <v>0</v>
      </c>
      <c r="AA2" s="74"/>
      <c r="AB2" s="74"/>
      <c r="AC2" s="74"/>
    </row>
    <row r="3" spans="1:29">
      <c r="A3" t="str">
        <f>SUBSTITUTE($V$2,"\","|")&amp;"|CIMX"</f>
        <v>VS_SB_PG39_PUSK|CIMX</v>
      </c>
      <c r="B3" t="s">
        <v>74</v>
      </c>
      <c r="F3" t="s">
        <v>72</v>
      </c>
      <c r="G3" t="s">
        <v>71</v>
      </c>
      <c r="H3">
        <v>0</v>
      </c>
      <c r="I3" t="s">
        <v>76</v>
      </c>
      <c r="J3" t="s">
        <v>73</v>
      </c>
      <c r="K3">
        <v>0</v>
      </c>
      <c r="M3">
        <v>1</v>
      </c>
      <c r="R3" t="str">
        <f>IF($U$2=TRUE,$W$2&amp;". Команда имитация","Команда имитация")</f>
        <v>ВС. Шлейф кнопок "Пуск пож.гидрантов" ПГ39-SB..ПГ40-SB. Команда имитация</v>
      </c>
      <c r="S3" s="372"/>
      <c r="U3" s="773"/>
      <c r="V3" s="4"/>
      <c r="W3" s="773"/>
      <c r="X3" s="4"/>
    </row>
    <row r="4" spans="1:29">
      <c r="A4" t="str">
        <f>SUBSTITUTE($V$2,"\","|")&amp;"|CPRP"</f>
        <v>VS_SB_PG39_PUSK|CPRP</v>
      </c>
      <c r="B4" t="s">
        <v>74</v>
      </c>
      <c r="F4" t="s">
        <v>72</v>
      </c>
      <c r="G4" t="s">
        <v>71</v>
      </c>
      <c r="H4">
        <v>0</v>
      </c>
      <c r="I4" t="s">
        <v>76</v>
      </c>
      <c r="J4" t="s">
        <v>73</v>
      </c>
      <c r="K4">
        <v>0</v>
      </c>
      <c r="M4">
        <v>1</v>
      </c>
      <c r="R4" t="str">
        <f>IF($U$2=TRUE,$W$2&amp;". Команда ВП вывести в ремонт\отключить","Команда ВП вывести в ремонт\отключить")</f>
        <v>ВС. Шлейф кнопок "Пуск пож.гидрантов" ПГ39-SB..ПГ40-SB. Команда ВП вывести в ремонт\отключить</v>
      </c>
      <c r="S4" s="372"/>
      <c r="U4" s="773"/>
      <c r="V4" s="4"/>
      <c r="W4" s="773"/>
      <c r="X4" s="4"/>
    </row>
    <row r="5" spans="1:29">
      <c r="A5" t="str">
        <f>SUBSTITUTE($V$2,"\","|")&amp;"|CRPX"</f>
        <v>VS_SB_PG39_PUSK|CRPX</v>
      </c>
      <c r="B5" t="s">
        <v>74</v>
      </c>
      <c r="F5" t="s">
        <v>72</v>
      </c>
      <c r="G5" t="s">
        <v>71</v>
      </c>
      <c r="H5">
        <v>0</v>
      </c>
      <c r="I5" t="s">
        <v>76</v>
      </c>
      <c r="J5" t="s">
        <v>73</v>
      </c>
      <c r="K5">
        <v>0</v>
      </c>
      <c r="M5">
        <v>1</v>
      </c>
      <c r="R5" t="str">
        <f>IF($U$2=TRUE,$W$2&amp;". Команда оператора вывести в ремонт\отключить","Команда оператора вывести в ремонт\отключить")</f>
        <v>ВС. Шлейф кнопок "Пуск пож.гидрантов" ПГ39-SB..ПГ40-SB. Команда оператора вывести в ремонт\отключить</v>
      </c>
      <c r="S5" s="372"/>
      <c r="U5" s="773"/>
      <c r="V5" s="4"/>
      <c r="W5" s="773"/>
      <c r="X5" s="4"/>
    </row>
    <row r="6" spans="1:29">
      <c r="A6" t="str">
        <f>SUBSTITUTE($V$2,"\","|")&amp;"|CRST"</f>
        <v>VS_SB_PG39_PUSK|CRST</v>
      </c>
      <c r="B6" t="s">
        <v>74</v>
      </c>
      <c r="F6" t="s">
        <v>72</v>
      </c>
      <c r="G6" t="s">
        <v>71</v>
      </c>
      <c r="H6">
        <v>0</v>
      </c>
      <c r="I6" t="s">
        <v>72</v>
      </c>
      <c r="J6" t="s">
        <v>73</v>
      </c>
      <c r="K6">
        <v>0</v>
      </c>
      <c r="M6">
        <v>1</v>
      </c>
      <c r="R6" t="str">
        <f>IF($U$2=TRUE,$W$2&amp;". Команда оператора сброс","Команда оператора сброс")</f>
        <v>ВС. Шлейф кнопок "Пуск пож.гидрантов" ПГ39-SB..ПГ40-SB. Команда оператора сброс</v>
      </c>
      <c r="S6" s="372"/>
      <c r="U6" s="773"/>
      <c r="V6" s="4"/>
      <c r="W6" s="773"/>
      <c r="X6" s="4"/>
    </row>
    <row r="7" spans="1:29">
      <c r="A7" t="str">
        <f>SUBSTITUTE($V$2,"\","|")&amp;"|DVXX"</f>
        <v>VS_SB_PG39_PUSK|DVXX</v>
      </c>
      <c r="B7" t="s">
        <v>74</v>
      </c>
      <c r="F7" t="s">
        <v>72</v>
      </c>
      <c r="G7" t="s">
        <v>71</v>
      </c>
      <c r="H7">
        <v>0</v>
      </c>
      <c r="I7" t="s">
        <v>72</v>
      </c>
      <c r="J7" t="s">
        <v>69</v>
      </c>
      <c r="K7">
        <v>0</v>
      </c>
      <c r="M7">
        <v>1</v>
      </c>
      <c r="R7" t="str">
        <f>IF($U$2=TRUE,$W$2&amp;". Аппаратная неисправность(выход)","Аппаратная неисправность(выход)")</f>
        <v>ВС. Шлейф кнопок "Пуск пож.гидрантов" ПГ39-SB..ПГ40-SB. Аппаратная неисправность(выход)</v>
      </c>
      <c r="S7" s="372"/>
      <c r="U7" s="773"/>
      <c r="V7" s="4"/>
      <c r="W7" s="773"/>
      <c r="X7" s="4"/>
    </row>
    <row r="8" spans="1:29">
      <c r="A8" t="str">
        <f>SUBSTITUTE($V$2,"\","|")&amp;"|FBXX"</f>
        <v>VS_SB_PG39_PUSK|FBXX</v>
      </c>
      <c r="B8" t="s">
        <v>74</v>
      </c>
      <c r="F8" t="s">
        <v>72</v>
      </c>
      <c r="G8" t="s">
        <v>71</v>
      </c>
      <c r="H8">
        <v>0</v>
      </c>
      <c r="I8" t="s">
        <v>72</v>
      </c>
      <c r="J8" t="s">
        <v>69</v>
      </c>
      <c r="K8">
        <v>0</v>
      </c>
      <c r="M8">
        <v>1</v>
      </c>
      <c r="R8" t="str">
        <f>IF($U$2=TRUE,$W$2&amp;". Обрыв цепи","Обрыв цепи")</f>
        <v>ВС. Шлейф кнопок "Пуск пож.гидрантов" ПГ39-SB..ПГ40-SB. Обрыв цепи</v>
      </c>
      <c r="S8" s="372"/>
      <c r="U8" s="773"/>
      <c r="V8" s="4"/>
      <c r="W8" s="773"/>
      <c r="X8" s="4"/>
    </row>
    <row r="9" spans="1:29">
      <c r="A9" t="str">
        <f>SUBSTITUTE($V$2,"\","|")&amp;"|FSCX"</f>
        <v>VS_SB_PG39_PUSK|FSCX</v>
      </c>
      <c r="B9" t="s">
        <v>74</v>
      </c>
      <c r="F9" t="s">
        <v>72</v>
      </c>
      <c r="G9" t="s">
        <v>71</v>
      </c>
      <c r="H9">
        <v>0</v>
      </c>
      <c r="I9" t="s">
        <v>72</v>
      </c>
      <c r="J9" t="s">
        <v>69</v>
      </c>
      <c r="K9">
        <v>0</v>
      </c>
      <c r="M9">
        <v>1</v>
      </c>
      <c r="R9" t="str">
        <f>IF($U$2=TRUE,$W$2&amp;". КЗ цепи","КЗ цепи")</f>
        <v>ВС. Шлейф кнопок "Пуск пож.гидрантов" ПГ39-SB..ПГ40-SB. КЗ цепи</v>
      </c>
      <c r="S9" s="372"/>
      <c r="U9" s="773"/>
      <c r="V9" s="4"/>
      <c r="W9" s="773"/>
      <c r="X9" s="4"/>
    </row>
    <row r="10" spans="1:29">
      <c r="A10" t="str">
        <f>SUBSTITUTE($V$2,"\","|")&amp;"|FXXX"</f>
        <v>VS_SB_PG39_PUSK|FXXX</v>
      </c>
      <c r="B10" t="s">
        <v>74</v>
      </c>
      <c r="F10" t="s">
        <v>72</v>
      </c>
      <c r="G10" t="s">
        <v>71</v>
      </c>
      <c r="H10">
        <v>0</v>
      </c>
      <c r="I10" t="s">
        <v>72</v>
      </c>
      <c r="J10" t="s">
        <v>69</v>
      </c>
      <c r="K10">
        <v>0</v>
      </c>
      <c r="M10">
        <v>1</v>
      </c>
      <c r="R10" t="str">
        <f>IF($U$2=TRUE,$W$2&amp;". Обобщенная Неисправность","Обобщенная Неисправность")</f>
        <v>ВС. Шлейф кнопок "Пуск пож.гидрантов" ПГ39-SB..ПГ40-SB. Обобщенная Неисправность</v>
      </c>
      <c r="S10" s="372"/>
      <c r="U10" s="773"/>
      <c r="V10" s="4"/>
      <c r="W10" s="773"/>
      <c r="X10" s="4"/>
    </row>
    <row r="11" spans="1:29">
      <c r="A11" t="str">
        <f>SUBSTITUTE($V$2,"\","|")&amp;"|IVXX"</f>
        <v>VS_SB_PG39_PUSK|IVXX</v>
      </c>
      <c r="B11" t="s">
        <v>78</v>
      </c>
      <c r="F11">
        <v>0</v>
      </c>
      <c r="G11" t="s">
        <v>71</v>
      </c>
      <c r="H11">
        <v>0</v>
      </c>
      <c r="I11" t="s">
        <v>72</v>
      </c>
      <c r="J11" t="s">
        <v>69</v>
      </c>
      <c r="K11">
        <v>0</v>
      </c>
      <c r="M11">
        <v>1</v>
      </c>
      <c r="R11" t="str">
        <f>IF($U$2=TRUE,$W$2&amp;". Входное значение","Входное значение")</f>
        <v>ВС. Шлейф кнопок "Пуск пож.гидрантов" ПГ39-SB..ПГ40-SB. Входное значение</v>
      </c>
      <c r="S11" s="372"/>
      <c r="U11" s="773"/>
      <c r="V11" s="4"/>
      <c r="W11" s="773"/>
      <c r="X11" s="4"/>
    </row>
    <row r="12" spans="1:29">
      <c r="A12" t="str">
        <f>SUBSTITUTE($V$2,"\","|")&amp;"|ORST"</f>
        <v>VS_SB_PG39_PUSK|ORST</v>
      </c>
      <c r="B12" t="s">
        <v>74</v>
      </c>
      <c r="F12" t="s">
        <v>72</v>
      </c>
      <c r="G12" t="s">
        <v>71</v>
      </c>
      <c r="H12">
        <v>0</v>
      </c>
      <c r="I12" t="s">
        <v>72</v>
      </c>
      <c r="J12" t="s">
        <v>69</v>
      </c>
      <c r="K12">
        <v>0</v>
      </c>
      <c r="M12">
        <v>1</v>
      </c>
      <c r="R12" t="str">
        <f>IF($U$2=TRUE,$W$2&amp;". Выходное значение Сброс шлейфа\датчика","Выходное значение Сброс шлейфа\датчика")</f>
        <v>ВС. Шлейф кнопок "Пуск пож.гидрантов" ПГ39-SB..ПГ40-SB. Выходное значение Сброс шлейфа\датчика</v>
      </c>
      <c r="S12" s="372"/>
      <c r="U12" s="773"/>
      <c r="V12" s="4"/>
      <c r="W12" s="773"/>
      <c r="X12" s="4"/>
    </row>
    <row r="13" spans="1:29" s="4" customFormat="1">
      <c r="A13" s="4" t="str">
        <f>SUBSTITUTE($V$2,"\","|")&amp;"|SIMX"</f>
        <v>VS_SB_PG39_PUSK|SIMX</v>
      </c>
      <c r="B13" s="4" t="s">
        <v>78</v>
      </c>
      <c r="C13" s="10"/>
      <c r="D13" s="10"/>
      <c r="E13" s="10"/>
      <c r="F13" s="4">
        <v>0</v>
      </c>
      <c r="G13" s="4" t="s">
        <v>71</v>
      </c>
      <c r="H13" s="4">
        <v>0</v>
      </c>
      <c r="I13" s="4" t="s">
        <v>76</v>
      </c>
      <c r="J13" s="4" t="s">
        <v>73</v>
      </c>
      <c r="K13" s="4">
        <v>0</v>
      </c>
      <c r="L13" s="10"/>
      <c r="M13">
        <v>1</v>
      </c>
      <c r="R13" s="4" t="str">
        <f>IF($U$2=TRUE,$W$2&amp;". Задача имитации","Задача имитации")</f>
        <v>ВС. Шлейф кнопок "Пуск пож.гидрантов" ПГ39-SB..ПГ40-SB. Задача имитации</v>
      </c>
      <c r="S13" s="372"/>
      <c r="T13"/>
      <c r="U13" s="773"/>
      <c r="W13" s="773"/>
    </row>
    <row r="14" spans="1:29">
      <c r="A14" t="str">
        <f>SUBSTITUTE($V$2,"\","|")&amp;"|XFRX"</f>
        <v>VS_SB_PG39_PUSK|XFRX</v>
      </c>
      <c r="B14" t="s">
        <v>74</v>
      </c>
      <c r="F14" t="s">
        <v>72</v>
      </c>
      <c r="G14" t="s">
        <v>71</v>
      </c>
      <c r="H14">
        <v>0</v>
      </c>
      <c r="I14" t="s">
        <v>72</v>
      </c>
      <c r="J14" t="s">
        <v>69</v>
      </c>
      <c r="K14">
        <v>0</v>
      </c>
      <c r="M14">
        <v>1</v>
      </c>
      <c r="R14" t="str">
        <f>IF($U$2=TRUE,$W$2&amp;". Датчик в состоянии Пожар\Сработка","Датчик в состоянии Пожар\Сработка")</f>
        <v>ВС. Шлейф кнопок "Пуск пож.гидрантов" ПГ39-SB..ПГ40-SB. Датчик в состоянии Пожар\Сработка</v>
      </c>
      <c r="S14" s="372"/>
      <c r="U14" s="773"/>
      <c r="V14" s="4"/>
      <c r="W14" s="773"/>
      <c r="X14" s="4"/>
    </row>
    <row r="15" spans="1:29">
      <c r="A15" t="str">
        <f>SUBSTITUTE($V$2,"\","|")&amp;"|XNXX"</f>
        <v>VS_SB_PG39_PUSK|XNXX</v>
      </c>
      <c r="B15" t="s">
        <v>74</v>
      </c>
      <c r="F15" t="s">
        <v>72</v>
      </c>
      <c r="G15" t="s">
        <v>71</v>
      </c>
      <c r="H15">
        <v>0</v>
      </c>
      <c r="I15" t="s">
        <v>72</v>
      </c>
      <c r="J15" t="s">
        <v>69</v>
      </c>
      <c r="K15">
        <v>0</v>
      </c>
      <c r="M15">
        <v>1</v>
      </c>
      <c r="R15" t="str">
        <f>IF($U$2=TRUE,$W$2&amp;". Датчик в состоянии Норма","Датчик в состоянии Норма")</f>
        <v>ВС. Шлейф кнопок "Пуск пож.гидрантов" ПГ39-SB..ПГ40-SB. Датчик в состоянии Норма</v>
      </c>
      <c r="S15" s="372"/>
      <c r="U15" s="773"/>
      <c r="V15" s="4"/>
      <c r="W15" s="773"/>
      <c r="X15" s="4"/>
    </row>
    <row r="16" spans="1:29">
      <c r="A16" t="str">
        <f>SUBSTITUTE($V$2,"\","|")&amp;"|XRPX"</f>
        <v>VS_SB_PG39_PUSK|XRPX</v>
      </c>
      <c r="B16" t="s">
        <v>74</v>
      </c>
      <c r="F16" t="s">
        <v>72</v>
      </c>
      <c r="G16" t="s">
        <v>71</v>
      </c>
      <c r="H16">
        <v>0</v>
      </c>
      <c r="I16" t="s">
        <v>72</v>
      </c>
      <c r="J16" t="s">
        <v>69</v>
      </c>
      <c r="K16">
        <v>0</v>
      </c>
      <c r="M16">
        <v>1</v>
      </c>
      <c r="R16" t="str">
        <f>IF($U$2=TRUE,$W$2&amp;". Выходное значение Выведен в ремонт\отключен","Выходное значение Выведен в ремонт\отключен")</f>
        <v>ВС. Шлейф кнопок "Пуск пож.гидрантов" ПГ39-SB..ПГ40-SB. Выходное значение Выведен в ремонт\отключен</v>
      </c>
      <c r="S16" s="372"/>
      <c r="U16" s="773"/>
      <c r="V16" s="4"/>
      <c r="W16" s="773"/>
      <c r="X16" s="4"/>
    </row>
    <row r="17" spans="1:24">
      <c r="A17" t="str">
        <f>SUBSTITUTE($V$2,"\","|")&amp;"|XVLX"</f>
        <v>VS_SB_PG39_PUSK|XVLX</v>
      </c>
      <c r="B17" t="s">
        <v>78</v>
      </c>
      <c r="F17">
        <v>0</v>
      </c>
      <c r="G17" t="s">
        <v>71</v>
      </c>
      <c r="H17">
        <v>0</v>
      </c>
      <c r="I17" t="s">
        <v>72</v>
      </c>
      <c r="J17" t="s">
        <v>69</v>
      </c>
      <c r="K17">
        <v>0</v>
      </c>
      <c r="M17">
        <v>1</v>
      </c>
      <c r="R17" t="str">
        <f>IF($U$2=TRUE,$W$2&amp;". Выходное значение","Выходное значение")</f>
        <v>ВС. Шлейф кнопок "Пуск пож.гидрантов" ПГ39-SB..ПГ40-SB. Выходное значение</v>
      </c>
      <c r="S17" s="372"/>
      <c r="U17" s="773"/>
      <c r="V17" s="4"/>
      <c r="W17" s="773"/>
      <c r="X17" s="4"/>
    </row>
    <row r="18" spans="1:24">
      <c r="A18" t="str">
        <f>SUBSTITUTE($V$2,"\","|")&amp;"|XWRX"</f>
        <v>VS_SB_PG39_PUSK|XWRX</v>
      </c>
      <c r="B18" t="s">
        <v>74</v>
      </c>
      <c r="F18" t="s">
        <v>72</v>
      </c>
      <c r="G18" t="s">
        <v>71</v>
      </c>
      <c r="H18">
        <v>0</v>
      </c>
      <c r="I18" t="s">
        <v>72</v>
      </c>
      <c r="J18" t="s">
        <v>69</v>
      </c>
      <c r="K18">
        <v>0</v>
      </c>
      <c r="M18">
        <v>1</v>
      </c>
      <c r="R18" t="str">
        <f>IF($U$2=TRUE,$W$2&amp;". Датчик в состоянии Внимание","Датчик в состоянии Внимание")</f>
        <v>ВС. Шлейф кнопок "Пуск пож.гидрантов" ПГ39-SB..ПГ40-SB. Датчик в состоянии Внимание</v>
      </c>
      <c r="S18" s="372"/>
      <c r="U18" s="773"/>
      <c r="V18" s="4"/>
      <c r="W18" s="773"/>
      <c r="X18" s="4"/>
    </row>
    <row r="19" spans="1:24">
      <c r="A19" t="str">
        <f>SUBSTITUTE($V$2,"\","|")&amp;"|SMEM"</f>
        <v>VS_SB_PG39_PUSK|SMEM</v>
      </c>
      <c r="B19" t="s">
        <v>78</v>
      </c>
      <c r="F19" s="52">
        <f>$X$2</f>
        <v>0</v>
      </c>
      <c r="G19" t="s">
        <v>71</v>
      </c>
      <c r="H19">
        <v>0</v>
      </c>
      <c r="I19" t="s">
        <v>72</v>
      </c>
      <c r="J19" t="s">
        <v>74</v>
      </c>
      <c r="K19">
        <v>0</v>
      </c>
      <c r="M19">
        <v>1</v>
      </c>
      <c r="R19" t="str">
        <f>IF($U$2=TRUE,$W$2&amp;". Уставка на запоминание состояния Сработки","Уставка на запоминание состояния Сработки")</f>
        <v>ВС. Шлейф кнопок "Пуск пож.гидрантов" ПГ39-SB..ПГ40-SB. Уставка на запоминание состояния Сработки</v>
      </c>
      <c r="S19" s="372"/>
      <c r="U19" s="773"/>
      <c r="V19" s="4"/>
      <c r="W19" s="773"/>
      <c r="X19" s="4"/>
    </row>
    <row r="20" spans="1:24">
      <c r="A20" t="str">
        <f>SUBSTITUTE($V$2,"\","|")&amp;"|DVIX"</f>
        <v>VS_SB_PG39_PUSK|DVIX</v>
      </c>
      <c r="B20" t="s">
        <v>74</v>
      </c>
      <c r="F20" s="4" t="s">
        <v>72</v>
      </c>
      <c r="G20" s="4" t="s">
        <v>71</v>
      </c>
      <c r="H20" s="4">
        <v>0</v>
      </c>
      <c r="I20" t="s">
        <v>72</v>
      </c>
      <c r="J20" t="s">
        <v>73</v>
      </c>
      <c r="K20">
        <v>0</v>
      </c>
      <c r="M20">
        <v>1</v>
      </c>
      <c r="R20" t="str">
        <f>IF($U$2=TRUE,$W$2&amp;". Аппаратная неисправность(вход)","Аппаратная неисправность(вход)")</f>
        <v>ВС. Шлейф кнопок "Пуск пож.гидрантов" ПГ39-SB..ПГ40-SB. Аппаратная неисправность(вход)</v>
      </c>
    </row>
    <row r="21" spans="1:24">
      <c r="A21" t="str">
        <f>SUBSTITUTE($V$2,"\","|")&amp;"|ORCC"</f>
        <v>VS_SB_PG39_PUSK|ORCC</v>
      </c>
      <c r="B21" t="s">
        <v>78</v>
      </c>
      <c r="F21">
        <v>0</v>
      </c>
      <c r="G21" t="s">
        <v>71</v>
      </c>
      <c r="H21">
        <v>0</v>
      </c>
      <c r="I21" t="s">
        <v>72</v>
      </c>
      <c r="J21" t="s">
        <v>74</v>
      </c>
      <c r="K21">
        <v>0</v>
      </c>
      <c r="M21">
        <v>1</v>
      </c>
      <c r="R21" t="str">
        <f>IF($U$2=TRUE,$W$2&amp;". Выходное значение для записи команд в ППК КАУ-2 (Рубеж)","Выходное значение для записи команд в ППК КАУ-2 (Рубеж)")</f>
        <v>ВС. Шлейф кнопок "Пуск пож.гидрантов" ПГ39-SB..ПГ40-SB. Выходное значение для записи команд в ППК КАУ-2 (Рубеж)</v>
      </c>
    </row>
    <row r="22" spans="1:24">
      <c r="A22" t="str">
        <f>SUBSTITUTE($V$2,"\","|")&amp;"|STYP"</f>
        <v>VS_SB_PG39_PUSK|STYP</v>
      </c>
      <c r="B22" t="s">
        <v>78</v>
      </c>
      <c r="F22" s="52">
        <f>IF(AND($Z$2&lt;&gt;1,$Z$2&lt;&gt;2),0,$Z$2)</f>
        <v>0</v>
      </c>
      <c r="G22" t="s">
        <v>71</v>
      </c>
      <c r="H22">
        <v>0</v>
      </c>
      <c r="I22" t="s">
        <v>72</v>
      </c>
      <c r="J22" t="s">
        <v>74</v>
      </c>
      <c r="K22">
        <v>0</v>
      </c>
      <c r="M22">
        <v>1</v>
      </c>
      <c r="R22" t="str">
        <f>IF($U$2=TRUE,$W$2&amp;". Тип датчика (0-2)","Тип датчика (0-2)")</f>
        <v>ВС. Шлейф кнопок "Пуск пож.гидрантов" ПГ39-SB..ПГ40-SB. Тип датчика (0-2)</v>
      </c>
    </row>
    <row r="23" spans="1:24">
      <c r="A23" t="str">
        <f>SUBSTITUTE($V$2,"\","|")&amp;"|FEXX"</f>
        <v>VS_SB_PG39_PUSK|FEXX</v>
      </c>
      <c r="B23" t="s">
        <v>74</v>
      </c>
      <c r="F23" s="4" t="s">
        <v>72</v>
      </c>
      <c r="G23" s="4" t="s">
        <v>71</v>
      </c>
      <c r="H23" s="4">
        <v>0</v>
      </c>
      <c r="I23" t="s">
        <v>72</v>
      </c>
      <c r="J23" t="s">
        <v>73</v>
      </c>
      <c r="K23">
        <v>0</v>
      </c>
      <c r="M23">
        <v>1</v>
      </c>
      <c r="R23" t="str">
        <f>IF($U$2=TRUE,$W$2&amp;". Неисправность датчика","Неисправность датчика")</f>
        <v>ВС. Шлейф кнопок "Пуск пож.гидрантов" ПГ39-SB..ПГ40-SB. Неисправность датчика</v>
      </c>
    </row>
    <row r="26" spans="1:24">
      <c r="A26" s="4"/>
      <c r="B26" s="4"/>
      <c r="F26" s="4"/>
      <c r="G26" s="4"/>
      <c r="H26" s="4"/>
      <c r="I26" s="4"/>
      <c r="J26" s="4"/>
      <c r="K26" s="4"/>
      <c r="M26" s="4"/>
    </row>
    <row r="29" spans="1:24">
      <c r="A29" s="4"/>
      <c r="B29" s="4"/>
      <c r="F29" s="4"/>
      <c r="G29" s="4"/>
      <c r="H29" s="4"/>
      <c r="I29" s="4"/>
      <c r="J29" s="4"/>
      <c r="K29" s="4"/>
      <c r="M29" s="4"/>
    </row>
    <row r="30" spans="1:24">
      <c r="A30" s="4"/>
      <c r="B30" s="4"/>
      <c r="F30" s="4"/>
      <c r="G30" s="4"/>
      <c r="H30" s="4"/>
      <c r="I30" s="4"/>
      <c r="J30" s="4"/>
      <c r="K30" s="4"/>
      <c r="M30" s="4"/>
    </row>
    <row r="31" spans="1:24">
      <c r="A31" s="4"/>
      <c r="B31" s="4"/>
      <c r="F31" s="4"/>
      <c r="G31" s="4"/>
      <c r="H31" s="4"/>
      <c r="I31" s="4"/>
      <c r="J31" s="4"/>
      <c r="K31" s="4"/>
      <c r="M31" s="4"/>
    </row>
    <row r="32" spans="1:24">
      <c r="A32" s="4"/>
      <c r="B32" s="4"/>
      <c r="F32" s="4"/>
      <c r="G32" s="4"/>
      <c r="H32" s="4"/>
      <c r="I32" s="4"/>
      <c r="J32" s="4"/>
      <c r="K32" s="4"/>
      <c r="M32" s="4"/>
    </row>
    <row r="33" spans="1:23">
      <c r="A33" s="4"/>
      <c r="B33" s="4"/>
      <c r="F33" s="4"/>
      <c r="G33" s="4"/>
      <c r="H33" s="4"/>
      <c r="I33" s="4"/>
      <c r="J33" s="4"/>
      <c r="K33" s="4"/>
      <c r="M33" s="4"/>
    </row>
    <row r="34" spans="1:23">
      <c r="A34" s="4"/>
      <c r="B34" s="4"/>
      <c r="F34" s="4"/>
      <c r="G34" s="4"/>
      <c r="H34" s="4"/>
      <c r="I34" s="4"/>
      <c r="J34" s="4"/>
      <c r="K34" s="4"/>
      <c r="M34" s="4"/>
    </row>
    <row r="35" spans="1:23">
      <c r="A35" s="4"/>
      <c r="B35" s="4"/>
      <c r="F35" s="4"/>
      <c r="G35" s="4"/>
      <c r="H35" s="4"/>
      <c r="I35" s="4"/>
      <c r="J35" s="4"/>
      <c r="K35" s="4"/>
      <c r="M35" s="4"/>
    </row>
    <row r="36" spans="1:23">
      <c r="A36" s="4"/>
      <c r="B36" s="4"/>
      <c r="F36" s="4"/>
      <c r="G36" s="4"/>
      <c r="H36" s="4"/>
      <c r="I36" s="4"/>
      <c r="J36" s="4"/>
      <c r="K36" s="4"/>
      <c r="M36" s="4"/>
    </row>
    <row r="37" spans="1:23">
      <c r="A37" s="4"/>
      <c r="B37" s="4"/>
      <c r="F37" s="4"/>
      <c r="G37" s="4"/>
      <c r="H37" s="4"/>
      <c r="I37" s="4"/>
      <c r="J37" s="4"/>
      <c r="K37" s="4"/>
      <c r="M37" s="4"/>
    </row>
    <row r="38" spans="1:23">
      <c r="A38" s="4"/>
      <c r="B38" s="4"/>
      <c r="F38" s="4"/>
      <c r="G38" s="4"/>
      <c r="H38" s="4"/>
      <c r="I38" s="4"/>
      <c r="J38" s="4"/>
      <c r="K38" s="4"/>
      <c r="M38" s="4"/>
    </row>
    <row r="39" spans="1:23">
      <c r="A39" s="4"/>
      <c r="B39" s="4"/>
      <c r="F39" s="4"/>
      <c r="G39" s="4"/>
      <c r="H39" s="4"/>
      <c r="I39" s="4"/>
      <c r="J39" s="4"/>
      <c r="K39" s="4"/>
      <c r="M39" s="4"/>
    </row>
    <row r="40" spans="1:23">
      <c r="A40" s="4"/>
      <c r="B40" s="4"/>
      <c r="F40" s="4"/>
      <c r="G40" s="4"/>
      <c r="H40" s="4"/>
      <c r="I40" s="4"/>
      <c r="J40" s="4"/>
      <c r="K40" s="4"/>
      <c r="M40" s="4"/>
      <c r="W40" s="4"/>
    </row>
    <row r="41" spans="1:23">
      <c r="A41" s="4"/>
      <c r="B41" s="4"/>
      <c r="F41" s="4"/>
      <c r="G41" s="4"/>
      <c r="H41" s="4"/>
      <c r="I41" s="4"/>
      <c r="J41" s="4"/>
      <c r="K41" s="4"/>
      <c r="M41" s="4"/>
      <c r="W41" s="4"/>
    </row>
    <row r="42" spans="1:23">
      <c r="W42" s="4"/>
    </row>
    <row r="43" spans="1:23">
      <c r="W43" s="4"/>
    </row>
    <row r="44" spans="1:23">
      <c r="W44" s="4"/>
    </row>
    <row r="45" spans="1:23">
      <c r="W45" s="4"/>
    </row>
    <row r="46" spans="1:23">
      <c r="W46" s="4"/>
    </row>
    <row r="47" spans="1:23">
      <c r="W47" s="4"/>
    </row>
    <row r="48" spans="1:23">
      <c r="W48" s="4"/>
    </row>
    <row r="49" spans="23:23">
      <c r="W49" s="4"/>
    </row>
  </sheetData>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Лист81">
    <tabColor rgb="FF92D050"/>
  </sheetPr>
  <dimension ref="A1:AC49"/>
  <sheetViews>
    <sheetView workbookViewId="0">
      <selection activeCell="V2" sqref="V2:AD2"/>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15" customHeight="1">
      <c r="A2" s="10"/>
      <c r="B2" s="10"/>
      <c r="F2" s="10"/>
      <c r="G2" s="10"/>
      <c r="H2" s="10"/>
      <c r="I2" s="10"/>
      <c r="J2" s="10"/>
      <c r="K2" s="10"/>
      <c r="M2" s="10"/>
      <c r="N2" s="10"/>
      <c r="O2" s="10"/>
      <c r="P2" s="10"/>
      <c r="Q2" s="10"/>
      <c r="R2" s="10"/>
      <c r="U2" s="74" t="b">
        <f>Настройки!$M$34</f>
        <v>1</v>
      </c>
      <c r="V2" s="73" t="s">
        <v>3095</v>
      </c>
      <c r="W2" s="537" t="s">
        <v>3096</v>
      </c>
      <c r="X2" s="73"/>
      <c r="Y2" s="73"/>
      <c r="Z2" s="73">
        <v>5</v>
      </c>
      <c r="AA2" s="74"/>
      <c r="AB2" s="74"/>
      <c r="AC2" s="74"/>
    </row>
    <row r="3" spans="1:29">
      <c r="A3" t="str">
        <f>SUBSTITUTE($V$2,"\","|")&amp;"|CIMX"</f>
        <v>GP001_BTF_36_04|CIMX</v>
      </c>
      <c r="B3" t="s">
        <v>74</v>
      </c>
      <c r="F3" t="s">
        <v>72</v>
      </c>
      <c r="G3" t="s">
        <v>71</v>
      </c>
      <c r="H3">
        <v>0</v>
      </c>
      <c r="I3" t="s">
        <v>76</v>
      </c>
      <c r="J3" t="s">
        <v>73</v>
      </c>
      <c r="K3">
        <v>0</v>
      </c>
      <c r="M3">
        <v>1</v>
      </c>
      <c r="R3" t="str">
        <f>IF($U$2=TRUE,$W$2&amp;". Команда имитация","Команда имитация")</f>
        <v>ГП 1. ИП пламени BTF36/4. Команда имитация</v>
      </c>
      <c r="S3" s="372"/>
      <c r="U3" s="773"/>
      <c r="V3" s="4"/>
      <c r="W3" s="773"/>
      <c r="X3" s="4"/>
    </row>
    <row r="4" spans="1:29">
      <c r="A4" t="str">
        <f>SUBSTITUTE($V$2,"\","|")&amp;"|CRPX"</f>
        <v>GP001_BTF_36_04|CRPX</v>
      </c>
      <c r="B4" t="s">
        <v>74</v>
      </c>
      <c r="F4" t="s">
        <v>72</v>
      </c>
      <c r="G4" t="s">
        <v>71</v>
      </c>
      <c r="H4">
        <v>0</v>
      </c>
      <c r="I4" t="s">
        <v>76</v>
      </c>
      <c r="J4" t="s">
        <v>73</v>
      </c>
      <c r="K4">
        <v>0</v>
      </c>
      <c r="M4">
        <v>1</v>
      </c>
      <c r="R4" t="str">
        <f>IF($U$2=TRUE,$W$2&amp;". Команда оператора вывести в ремонт\отключить","Команда оператора вывести в ремонт\отключить")</f>
        <v>ГП 1. ИП пламени BTF36/4. Команда оператора вывести в ремонт\отключить</v>
      </c>
      <c r="S4" s="372"/>
      <c r="U4" s="773"/>
      <c r="V4" s="4"/>
      <c r="W4" s="773"/>
      <c r="X4" s="4"/>
    </row>
    <row r="5" spans="1:29">
      <c r="A5" t="str">
        <f>SUBSTITUTE($V$2,"\","|")&amp;"|CRST"</f>
        <v>GP001_BTF_36_04|CRST</v>
      </c>
      <c r="B5" t="s">
        <v>74</v>
      </c>
      <c r="F5" t="s">
        <v>72</v>
      </c>
      <c r="G5" t="s">
        <v>71</v>
      </c>
      <c r="H5">
        <v>0</v>
      </c>
      <c r="I5" t="s">
        <v>72</v>
      </c>
      <c r="J5" t="s">
        <v>73</v>
      </c>
      <c r="K5">
        <v>0</v>
      </c>
      <c r="M5">
        <v>1</v>
      </c>
      <c r="R5" t="str">
        <f>IF($U$2=TRUE,$W$2&amp;". Команда оператора сброс","Команда оператора сброс")</f>
        <v>ГП 1. ИП пламени BTF36/4. Команда оператора сброс</v>
      </c>
      <c r="S5" s="372"/>
      <c r="U5" s="773"/>
      <c r="V5" s="4"/>
      <c r="W5" s="773"/>
      <c r="X5" s="4"/>
    </row>
    <row r="6" spans="1:29">
      <c r="A6" t="str">
        <f>SUBSTITUTE($V$2,"\","|")&amp;"|CTST"</f>
        <v>GP001_BTF_36_04|CTST</v>
      </c>
      <c r="B6" t="s">
        <v>74</v>
      </c>
      <c r="F6" t="s">
        <v>72</v>
      </c>
      <c r="G6" t="s">
        <v>71</v>
      </c>
      <c r="H6">
        <v>0</v>
      </c>
      <c r="I6" t="s">
        <v>72</v>
      </c>
      <c r="J6" t="s">
        <v>73</v>
      </c>
      <c r="K6">
        <v>0</v>
      </c>
      <c r="M6">
        <v>1</v>
      </c>
      <c r="R6" t="str">
        <f>IF($U$2=TRUE,$W$2&amp;". Команда оператора тестирование извещателя","Команда оператора тестирование извещателя")</f>
        <v>ГП 1. ИП пламени BTF36/4. Команда оператора тестирование извещателя</v>
      </c>
      <c r="S6" s="372"/>
      <c r="U6" s="773"/>
      <c r="V6" s="4"/>
      <c r="W6" s="773"/>
      <c r="X6" s="4"/>
    </row>
    <row r="7" spans="1:29">
      <c r="A7" t="str">
        <f>SUBSTITUTE($V$2,"\","|")&amp;"|DFEX"</f>
        <v>GP001_BTF_36_04|DFEX</v>
      </c>
      <c r="B7" t="s">
        <v>74</v>
      </c>
      <c r="F7" t="s">
        <v>72</v>
      </c>
      <c r="G7" t="s">
        <v>71</v>
      </c>
      <c r="H7">
        <v>0</v>
      </c>
      <c r="I7" t="s">
        <v>72</v>
      </c>
      <c r="J7" t="s">
        <v>69</v>
      </c>
      <c r="K7">
        <v>0</v>
      </c>
      <c r="M7">
        <v>1</v>
      </c>
      <c r="R7" t="str">
        <f>IF($U$2=TRUE,$W$2&amp;". Аппаратная неисправность входное значение Неисправность","Аппаратная неисправность входное значение Неисправность")</f>
        <v>ГП 1. ИП пламени BTF36/4. Аппаратная неисправность входное значение Неисправность</v>
      </c>
      <c r="S7" s="372"/>
      <c r="U7" s="773"/>
      <c r="V7" s="4"/>
      <c r="W7" s="773"/>
      <c r="X7" s="4"/>
    </row>
    <row r="8" spans="1:29">
      <c r="A8" t="str">
        <f>SUBSTITUTE($V$2,"\","|")&amp;"|DVXX"</f>
        <v>GP001_BTF_36_04|DVXX</v>
      </c>
      <c r="B8" t="s">
        <v>74</v>
      </c>
      <c r="F8" t="s">
        <v>72</v>
      </c>
      <c r="G8" t="s">
        <v>71</v>
      </c>
      <c r="H8">
        <v>0</v>
      </c>
      <c r="I8" t="s">
        <v>72</v>
      </c>
      <c r="J8" t="s">
        <v>69</v>
      </c>
      <c r="K8">
        <v>0</v>
      </c>
      <c r="M8">
        <v>1</v>
      </c>
      <c r="R8" t="str">
        <f>IF($U$2=TRUE,$W$2&amp;". Аппаратная неисправность(выход)","Аппаратная неисправность(выход)")</f>
        <v>ГП 1. ИП пламени BTF36/4. Аппаратная неисправность(выход)</v>
      </c>
      <c r="S8" s="372"/>
      <c r="U8" s="773"/>
      <c r="V8" s="4"/>
      <c r="W8" s="773"/>
      <c r="X8" s="4"/>
    </row>
    <row r="9" spans="1:29">
      <c r="A9" t="str">
        <f>SUBSTITUTE($V$2,"\","|")&amp;"|FBXX"</f>
        <v>GP001_BTF_36_04|FBXX</v>
      </c>
      <c r="B9" t="s">
        <v>74</v>
      </c>
      <c r="F9" t="s">
        <v>72</v>
      </c>
      <c r="G9" t="s">
        <v>71</v>
      </c>
      <c r="H9">
        <v>0</v>
      </c>
      <c r="I9" t="s">
        <v>72</v>
      </c>
      <c r="J9" t="s">
        <v>69</v>
      </c>
      <c r="K9">
        <v>0</v>
      </c>
      <c r="M9">
        <v>1</v>
      </c>
      <c r="R9" t="str">
        <f>IF($U$2=TRUE,$W$2&amp;". Обрыв цепи","Обрыв цепи")</f>
        <v>ГП 1. ИП пламени BTF36/4. Обрыв цепи</v>
      </c>
      <c r="S9" s="372"/>
      <c r="U9" s="773"/>
      <c r="V9" s="4"/>
      <c r="W9" s="773"/>
      <c r="X9" s="4"/>
    </row>
    <row r="10" spans="1:29">
      <c r="A10" t="str">
        <f>SUBSTITUTE($V$2,"\","|")&amp;"|FCOX"</f>
        <v>GP001_BTF_36_04|FCOX</v>
      </c>
      <c r="B10" t="s">
        <v>74</v>
      </c>
      <c r="F10" t="s">
        <v>72</v>
      </c>
      <c r="G10" t="s">
        <v>71</v>
      </c>
      <c r="H10">
        <v>0</v>
      </c>
      <c r="I10" t="s">
        <v>72</v>
      </c>
      <c r="J10" t="s">
        <v>69</v>
      </c>
      <c r="K10">
        <v>0</v>
      </c>
      <c r="M10">
        <v>1</v>
      </c>
      <c r="R10" t="str">
        <f>IF($U$2=TRUE,$W$2&amp;". Загрязнение оптики","Загрязнение оптики")</f>
        <v>ГП 1. ИП пламени BTF36/4. Загрязнение оптики</v>
      </c>
      <c r="S10" s="372"/>
      <c r="U10" s="773"/>
      <c r="V10" s="4"/>
      <c r="W10" s="773"/>
      <c r="X10" s="4"/>
    </row>
    <row r="11" spans="1:29">
      <c r="A11" t="str">
        <f>SUBSTITUTE($V$2,"\","|")&amp;"|FEXX"</f>
        <v>GP001_BTF_36_04|FEXX</v>
      </c>
      <c r="B11" t="s">
        <v>74</v>
      </c>
      <c r="F11" t="s">
        <v>72</v>
      </c>
      <c r="G11" t="s">
        <v>71</v>
      </c>
      <c r="H11">
        <v>0</v>
      </c>
      <c r="I11" t="s">
        <v>72</v>
      </c>
      <c r="J11" t="s">
        <v>69</v>
      </c>
      <c r="K11">
        <v>0</v>
      </c>
      <c r="M11">
        <v>1</v>
      </c>
      <c r="R11" t="str">
        <f>IF($U$2=TRUE,$W$2&amp;". Датчик в состоянии Неисправность","Датчик в состоянии Неисправность")</f>
        <v>ГП 1. ИП пламени BTF36/4. Датчик в состоянии Неисправность</v>
      </c>
      <c r="S11" s="372"/>
      <c r="U11" s="773"/>
      <c r="V11" s="4"/>
      <c r="W11" s="773"/>
      <c r="X11" s="4"/>
    </row>
    <row r="12" spans="1:29">
      <c r="A12" t="str">
        <f>SUBSTITUTE($V$2,"\","|")&amp;"|FFBX"</f>
        <v>GP001_BTF_36_04|FFBX</v>
      </c>
      <c r="B12" t="s">
        <v>74</v>
      </c>
      <c r="F12" t="s">
        <v>72</v>
      </c>
      <c r="G12" t="s">
        <v>71</v>
      </c>
      <c r="H12">
        <v>0</v>
      </c>
      <c r="I12" t="s">
        <v>72</v>
      </c>
      <c r="J12" t="s">
        <v>69</v>
      </c>
      <c r="K12">
        <v>0</v>
      </c>
      <c r="M12">
        <v>1</v>
      </c>
      <c r="R12" t="str">
        <f>IF($U$2=TRUE,$W$2&amp;". Обрыв цепи сигнала Неисправность","Обрыв цепи сигнала Неисправность")</f>
        <v>ГП 1. ИП пламени BTF36/4. Обрыв цепи сигнала Неисправность</v>
      </c>
      <c r="S12" s="372"/>
      <c r="U12" s="773"/>
      <c r="V12" s="4"/>
      <c r="W12" s="773"/>
      <c r="X12" s="4"/>
    </row>
    <row r="13" spans="1:29">
      <c r="A13" t="str">
        <f>SUBSTITUTE($V$2,"\","|")&amp;"|FFSC"</f>
        <v>GP001_BTF_36_04|FFSC</v>
      </c>
      <c r="B13" t="s">
        <v>74</v>
      </c>
      <c r="F13" t="s">
        <v>72</v>
      </c>
      <c r="G13" t="s">
        <v>71</v>
      </c>
      <c r="H13">
        <v>0</v>
      </c>
      <c r="I13" t="s">
        <v>72</v>
      </c>
      <c r="J13" t="s">
        <v>69</v>
      </c>
      <c r="K13">
        <v>0</v>
      </c>
      <c r="M13">
        <v>1</v>
      </c>
      <c r="R13" t="str">
        <f>IF($U$2=TRUE,$W$2&amp;". КЗ цепи сигнала Неисправность","КЗ цепи сигнала Неисправность")</f>
        <v>ГП 1. ИП пламени BTF36/4. КЗ цепи сигнала Неисправность</v>
      </c>
      <c r="S13" s="372"/>
      <c r="U13" s="773"/>
      <c r="V13" s="4"/>
      <c r="W13" s="773"/>
      <c r="X13" s="4"/>
    </row>
    <row r="14" spans="1:29">
      <c r="A14" t="str">
        <f>SUBSTITUTE($V$2,"\","|")&amp;"|FSCX"</f>
        <v>GP001_BTF_36_04|FSCX</v>
      </c>
      <c r="B14" t="s">
        <v>74</v>
      </c>
      <c r="F14" t="s">
        <v>72</v>
      </c>
      <c r="G14" t="s">
        <v>71</v>
      </c>
      <c r="H14">
        <v>0</v>
      </c>
      <c r="I14" t="s">
        <v>72</v>
      </c>
      <c r="J14" t="s">
        <v>69</v>
      </c>
      <c r="K14">
        <v>0</v>
      </c>
      <c r="M14">
        <v>1</v>
      </c>
      <c r="R14" t="str">
        <f>IF($U$2=TRUE,$W$2&amp;". КЗ цепи","КЗ цепи")</f>
        <v>ГП 1. ИП пламени BTF36/4. КЗ цепи</v>
      </c>
      <c r="S14" s="372"/>
      <c r="U14" s="773"/>
      <c r="V14" s="4"/>
      <c r="W14" s="773"/>
      <c r="X14" s="4"/>
    </row>
    <row r="15" spans="1:29">
      <c r="A15" t="str">
        <f>SUBSTITUTE($V$2,"\","|")&amp;"|FXXX"</f>
        <v>GP001_BTF_36_04|FXXX</v>
      </c>
      <c r="B15" t="s">
        <v>74</v>
      </c>
      <c r="F15" t="s">
        <v>72</v>
      </c>
      <c r="G15" t="s">
        <v>71</v>
      </c>
      <c r="H15">
        <v>0</v>
      </c>
      <c r="I15" t="s">
        <v>72</v>
      </c>
      <c r="J15" t="s">
        <v>69</v>
      </c>
      <c r="K15">
        <v>0</v>
      </c>
      <c r="M15">
        <v>1</v>
      </c>
      <c r="R15" t="str">
        <f>IF($U$2=TRUE,$W$2&amp;". Обобщенная Неисправность","Обобщенная Неисправность")</f>
        <v>ГП 1. ИП пламени BTF36/4. Обобщенная Неисправность</v>
      </c>
      <c r="S15" s="372"/>
      <c r="U15" s="773"/>
      <c r="V15" s="4"/>
      <c r="W15" s="773"/>
      <c r="X15" s="4"/>
    </row>
    <row r="16" spans="1:29">
      <c r="A16" t="str">
        <f>SUBSTITUTE($V$2,"\","|")&amp;"|IFEX"</f>
        <v>GP001_BTF_36_04|IFEX</v>
      </c>
      <c r="B16" t="s">
        <v>74</v>
      </c>
      <c r="F16" t="s">
        <v>72</v>
      </c>
      <c r="G16" t="s">
        <v>71</v>
      </c>
      <c r="H16">
        <v>0</v>
      </c>
      <c r="I16" t="s">
        <v>72</v>
      </c>
      <c r="J16" t="s">
        <v>69</v>
      </c>
      <c r="K16">
        <v>0</v>
      </c>
      <c r="M16">
        <v>1</v>
      </c>
      <c r="R16" t="str">
        <f>IF($U$2=TRUE,$W$2&amp;". Входное значение Неисправность","Входное значение Неисправность")</f>
        <v>ГП 1. ИП пламени BTF36/4. Входное значение Неисправность</v>
      </c>
      <c r="S16" s="372"/>
      <c r="U16" s="773"/>
      <c r="V16" s="4"/>
      <c r="W16" s="773"/>
      <c r="X16" s="4"/>
    </row>
    <row r="17" spans="1:24">
      <c r="A17" t="str">
        <f>SUBSTITUTE($V$2,"\","|")&amp;"|IVXX"</f>
        <v>GP001_BTF_36_04|IVXX</v>
      </c>
      <c r="B17" t="s">
        <v>78</v>
      </c>
      <c r="F17">
        <v>0</v>
      </c>
      <c r="G17" t="s">
        <v>71</v>
      </c>
      <c r="H17">
        <v>0</v>
      </c>
      <c r="I17" t="s">
        <v>72</v>
      </c>
      <c r="J17" t="s">
        <v>69</v>
      </c>
      <c r="K17">
        <v>0</v>
      </c>
      <c r="M17">
        <v>1</v>
      </c>
      <c r="R17" t="str">
        <f>IF($U$2=TRUE,$W$2&amp;". Входное значение","Входное значение")</f>
        <v>ГП 1. ИП пламени BTF36/4. Входное значение</v>
      </c>
      <c r="S17" s="372"/>
      <c r="U17" s="773"/>
      <c r="V17" s="4"/>
      <c r="W17" s="773"/>
      <c r="X17" s="4"/>
    </row>
    <row r="18" spans="1:24">
      <c r="A18" t="str">
        <f>SUBSTITUTE($V$2,"\","|")&amp;"|ORST"</f>
        <v>GP001_BTF_36_04|ORST</v>
      </c>
      <c r="B18" t="s">
        <v>74</v>
      </c>
      <c r="F18" t="s">
        <v>72</v>
      </c>
      <c r="G18" t="s">
        <v>71</v>
      </c>
      <c r="H18">
        <v>0</v>
      </c>
      <c r="I18" t="s">
        <v>72</v>
      </c>
      <c r="J18" t="s">
        <v>69</v>
      </c>
      <c r="K18">
        <v>0</v>
      </c>
      <c r="M18">
        <v>1</v>
      </c>
      <c r="R18" t="str">
        <f>IF($U$2=TRUE,$W$2&amp;". Выходное значение Сброс шлейфа\датчика","Выходное значение Сброс шлейфа\датчика")</f>
        <v>ГП 1. ИП пламени BTF36/4. Выходное значение Сброс шлейфа\датчика</v>
      </c>
      <c r="S18" s="372"/>
      <c r="U18" s="773"/>
      <c r="V18" s="4"/>
      <c r="W18" s="773"/>
      <c r="X18" s="4"/>
    </row>
    <row r="19" spans="1:24">
      <c r="A19" t="str">
        <f>SUBSTITUTE($V$2,"\","|")&amp;"|OTST"</f>
        <v>GP001_BTF_36_04|OTST</v>
      </c>
      <c r="B19" t="s">
        <v>74</v>
      </c>
      <c r="F19" t="s">
        <v>72</v>
      </c>
      <c r="G19" t="s">
        <v>71</v>
      </c>
      <c r="H19">
        <v>0</v>
      </c>
      <c r="I19" t="s">
        <v>72</v>
      </c>
      <c r="J19" t="s">
        <v>69</v>
      </c>
      <c r="K19">
        <v>0</v>
      </c>
      <c r="M19">
        <v>1</v>
      </c>
      <c r="R19" t="str">
        <f>IF($U$2=TRUE,$W$2&amp;". Выходное значение Тестирование извещателя","Выходное значение Тестирование извещателя")</f>
        <v>ГП 1. ИП пламени BTF36/4. Выходное значение Тестирование извещателя</v>
      </c>
      <c r="S19" s="372"/>
      <c r="U19" s="773"/>
      <c r="V19" s="4"/>
      <c r="W19" s="773"/>
      <c r="X19" s="4"/>
    </row>
    <row r="20" spans="1:24">
      <c r="A20" t="str">
        <f>SUBSTITUTE($V$2,"\","|")&amp;"|SIMX"</f>
        <v>GP001_BTF_36_04|SIMX</v>
      </c>
      <c r="B20" t="s">
        <v>78</v>
      </c>
      <c r="F20">
        <v>0</v>
      </c>
      <c r="G20" t="s">
        <v>71</v>
      </c>
      <c r="H20">
        <v>0</v>
      </c>
      <c r="I20" t="s">
        <v>76</v>
      </c>
      <c r="J20" t="s">
        <v>73</v>
      </c>
      <c r="K20">
        <v>0</v>
      </c>
      <c r="M20">
        <v>1</v>
      </c>
      <c r="R20" t="str">
        <f>IF($U$2=TRUE,$W$2&amp;". Задача имитации","Задача имитации")</f>
        <v>ГП 1. ИП пламени BTF36/4. Задача имитации</v>
      </c>
      <c r="S20" s="372"/>
      <c r="U20" s="773"/>
      <c r="V20" s="4"/>
      <c r="W20" s="773"/>
      <c r="X20" s="4"/>
    </row>
    <row r="21" spans="1:24">
      <c r="A21" t="str">
        <f>SUBSTITUTE($V$2,"\","|")&amp;"|SMEM"</f>
        <v>GP001_BTF_36_04|SMEM</v>
      </c>
      <c r="B21" t="s">
        <v>78</v>
      </c>
      <c r="F21">
        <v>0</v>
      </c>
      <c r="G21" t="s">
        <v>71</v>
      </c>
      <c r="H21">
        <v>0</v>
      </c>
      <c r="I21" t="s">
        <v>72</v>
      </c>
      <c r="J21" t="s">
        <v>74</v>
      </c>
      <c r="K21">
        <v>0</v>
      </c>
      <c r="M21">
        <v>1</v>
      </c>
      <c r="R21" t="str">
        <f>IF($U$2=TRUE,$W$2&amp;". Уставка на запоминание состояния Пожар","Уставка на запоминание состояния Пожар")</f>
        <v>ГП 1. ИП пламени BTF36/4. Уставка на запоминание состояния Пожар</v>
      </c>
      <c r="S21" s="372"/>
      <c r="U21" s="773"/>
      <c r="V21" s="4"/>
      <c r="W21" s="773"/>
      <c r="X21" s="4"/>
    </row>
    <row r="22" spans="1:24">
      <c r="A22" t="str">
        <f>SUBSTITUTE($V$2,"\","|")&amp;"|STYP"</f>
        <v>GP001_BTF_36_04|STYP</v>
      </c>
      <c r="B22" t="s">
        <v>78</v>
      </c>
      <c r="F22" s="52">
        <f>$Z$2</f>
        <v>5</v>
      </c>
      <c r="G22" t="s">
        <v>71</v>
      </c>
      <c r="H22">
        <v>0</v>
      </c>
      <c r="I22" t="s">
        <v>72</v>
      </c>
      <c r="J22" t="s">
        <v>69</v>
      </c>
      <c r="K22">
        <v>0</v>
      </c>
      <c r="M22">
        <v>1</v>
      </c>
      <c r="R22" t="str">
        <f>IF($U$2=TRUE,$W$2&amp;". Тип ИП пламени (0 1-дискр","Тип ИП пламени (0 1-дискр")</f>
        <v>ГП 1. ИП пламени BTF36/4. Тип ИП пламени (0 1-дискр</v>
      </c>
      <c r="S22" s="372"/>
      <c r="U22" s="773"/>
      <c r="V22" s="4"/>
      <c r="W22" s="773"/>
      <c r="X22" s="4"/>
    </row>
    <row r="23" spans="1:24">
      <c r="A23" t="str">
        <f>SUBSTITUTE($V$2,"\","|")&amp;"|XFRX"</f>
        <v>GP001_BTF_36_04|XFRX</v>
      </c>
      <c r="B23" t="s">
        <v>74</v>
      </c>
      <c r="F23" t="s">
        <v>72</v>
      </c>
      <c r="G23" t="s">
        <v>71</v>
      </c>
      <c r="H23">
        <v>0</v>
      </c>
      <c r="I23" t="s">
        <v>72</v>
      </c>
      <c r="J23" t="s">
        <v>69</v>
      </c>
      <c r="K23">
        <v>0</v>
      </c>
      <c r="M23">
        <v>1</v>
      </c>
      <c r="R23" t="str">
        <f>IF($U$2=TRUE,$W$2&amp;". Датчик в состоянии Пожар\Сработка","Датчик в состоянии Пожар\Сработка")</f>
        <v>ГП 1. ИП пламени BTF36/4. Датчик в состоянии Пожар\Сработка</v>
      </c>
      <c r="S23" s="372"/>
      <c r="U23" s="773"/>
      <c r="V23" s="4"/>
      <c r="W23" s="773"/>
      <c r="X23" s="4"/>
    </row>
    <row r="24" spans="1:24">
      <c r="A24" t="str">
        <f>SUBSTITUTE($V$2,"\","|")&amp;"|XNXX"</f>
        <v>GP001_BTF_36_04|XNXX</v>
      </c>
      <c r="B24" t="s">
        <v>74</v>
      </c>
      <c r="F24" t="s">
        <v>72</v>
      </c>
      <c r="G24" t="s">
        <v>71</v>
      </c>
      <c r="H24">
        <v>0</v>
      </c>
      <c r="I24" t="s">
        <v>72</v>
      </c>
      <c r="J24" t="s">
        <v>69</v>
      </c>
      <c r="K24">
        <v>0</v>
      </c>
      <c r="M24">
        <v>1</v>
      </c>
      <c r="R24" t="str">
        <f>IF($U$2=TRUE,$W$2&amp;". Датчик в состоянии Норма","Датчик в состоянии Норма")</f>
        <v>ГП 1. ИП пламени BTF36/4. Датчик в состоянии Норма</v>
      </c>
      <c r="S24" s="372"/>
      <c r="U24" s="773"/>
      <c r="V24" s="4"/>
      <c r="W24" s="773"/>
      <c r="X24" s="4"/>
    </row>
    <row r="25" spans="1:24">
      <c r="A25" t="str">
        <f>SUBSTITUTE($V$2,"\","|")&amp;"|XRPX"</f>
        <v>GP001_BTF_36_04|XRPX</v>
      </c>
      <c r="B25" t="s">
        <v>74</v>
      </c>
      <c r="F25" t="s">
        <v>72</v>
      </c>
      <c r="G25" t="s">
        <v>71</v>
      </c>
      <c r="H25">
        <v>0</v>
      </c>
      <c r="I25" t="s">
        <v>72</v>
      </c>
      <c r="J25" t="s">
        <v>69</v>
      </c>
      <c r="K25">
        <v>0</v>
      </c>
      <c r="M25">
        <v>1</v>
      </c>
      <c r="R25" t="str">
        <f>IF($U$2=TRUE,$W$2&amp;". Выходное значение Выведен в ремонт\отключен","Выходное значение Выведен в ремонт\отключен")</f>
        <v>ГП 1. ИП пламени BTF36/4. Выходное значение Выведен в ремонт\отключен</v>
      </c>
      <c r="S25" s="372"/>
      <c r="U25" s="773"/>
      <c r="V25" s="4"/>
      <c r="W25" s="773"/>
      <c r="X25" s="4"/>
    </row>
    <row r="26" spans="1:24">
      <c r="A26" t="str">
        <f>SUBSTITUTE($V$2,"\","|")&amp;"|XTFX"</f>
        <v>GP001_BTF_36_04|XTFX</v>
      </c>
      <c r="B26" t="s">
        <v>74</v>
      </c>
      <c r="F26" t="s">
        <v>72</v>
      </c>
      <c r="G26" t="s">
        <v>71</v>
      </c>
      <c r="H26">
        <v>0</v>
      </c>
      <c r="I26" t="s">
        <v>72</v>
      </c>
      <c r="J26" t="s">
        <v>69</v>
      </c>
      <c r="K26">
        <v>0</v>
      </c>
      <c r="M26">
        <v>1</v>
      </c>
      <c r="R26" t="str">
        <f>IF($U$2=TRUE,$W$2&amp;". Тест не пройден","Тест не пройден")</f>
        <v>ГП 1. ИП пламени BTF36/4. Тест не пройден</v>
      </c>
      <c r="S26" s="372"/>
      <c r="U26" s="773"/>
      <c r="V26" s="4"/>
      <c r="W26" s="773"/>
      <c r="X26" s="4"/>
    </row>
    <row r="27" spans="1:24">
      <c r="A27" t="str">
        <f>SUBSTITUTE($V$2,"\","|")&amp;"|XTPX"</f>
        <v>GP001_BTF_36_04|XTPX</v>
      </c>
      <c r="B27" t="s">
        <v>74</v>
      </c>
      <c r="F27" t="s">
        <v>72</v>
      </c>
      <c r="G27" t="s">
        <v>71</v>
      </c>
      <c r="H27">
        <v>0</v>
      </c>
      <c r="I27" t="s">
        <v>72</v>
      </c>
      <c r="J27" t="s">
        <v>69</v>
      </c>
      <c r="K27">
        <v>0</v>
      </c>
      <c r="M27">
        <v>1</v>
      </c>
      <c r="R27" t="str">
        <f>IF($U$2=TRUE,$W$2&amp;". Тест пройден","Тест пройден")</f>
        <v>ГП 1. ИП пламени BTF36/4. Тест пройден</v>
      </c>
      <c r="S27" s="372"/>
      <c r="U27" s="773"/>
      <c r="V27" s="4"/>
      <c r="W27" s="773"/>
      <c r="X27" s="4"/>
    </row>
    <row r="28" spans="1:24">
      <c r="A28" t="str">
        <f>SUBSTITUTE($V$2,"\","|")&amp;"|XVLX"</f>
        <v>GP001_BTF_36_04|XVLX</v>
      </c>
      <c r="B28" t="s">
        <v>78</v>
      </c>
      <c r="F28">
        <v>0</v>
      </c>
      <c r="G28" t="s">
        <v>71</v>
      </c>
      <c r="H28">
        <v>0</v>
      </c>
      <c r="I28" t="s">
        <v>72</v>
      </c>
      <c r="J28" t="s">
        <v>69</v>
      </c>
      <c r="K28">
        <v>0</v>
      </c>
      <c r="M28">
        <v>1</v>
      </c>
      <c r="R28" t="str">
        <f>IF($U$2=TRUE,$W$2&amp;". Выходное значение","Выходное значение")</f>
        <v>ГП 1. ИП пламени BTF36/4. Выходное значение</v>
      </c>
      <c r="S28" s="372"/>
      <c r="U28" s="773"/>
      <c r="V28" s="4"/>
      <c r="W28" s="773"/>
      <c r="X28" s="4"/>
    </row>
    <row r="29" spans="1:24">
      <c r="A29" t="str">
        <f>SUBSTITUTE($V$2,"\","|")&amp;"|XWRX"</f>
        <v>GP001_BTF_36_04|XWRX</v>
      </c>
      <c r="B29" t="s">
        <v>74</v>
      </c>
      <c r="F29" t="s">
        <v>72</v>
      </c>
      <c r="G29" t="s">
        <v>71</v>
      </c>
      <c r="H29">
        <v>0</v>
      </c>
      <c r="I29" t="s">
        <v>72</v>
      </c>
      <c r="J29" t="s">
        <v>69</v>
      </c>
      <c r="K29">
        <v>0</v>
      </c>
      <c r="M29">
        <v>1</v>
      </c>
      <c r="R29" t="str">
        <f>IF($U$2=TRUE,$W$2&amp;". Датчик в состоянии Внимание","Датчик в состоянии Внимание")</f>
        <v>ГП 1. ИП пламени BTF36/4. Датчик в состоянии Внимание</v>
      </c>
      <c r="S29" s="372"/>
      <c r="U29" s="773"/>
      <c r="V29" s="4"/>
      <c r="W29" s="773"/>
      <c r="X29" s="4"/>
    </row>
    <row r="30" spans="1:24">
      <c r="A30" t="str">
        <f>SUBSTITUTE($V$2,"\","|")&amp;"|DVIX"</f>
        <v>GP001_BTF_36_04|DVIX</v>
      </c>
      <c r="B30" t="s">
        <v>74</v>
      </c>
      <c r="F30" s="4" t="s">
        <v>72</v>
      </c>
      <c r="G30" s="4" t="s">
        <v>71</v>
      </c>
      <c r="H30" s="4">
        <v>0</v>
      </c>
      <c r="I30" t="s">
        <v>72</v>
      </c>
      <c r="J30" t="s">
        <v>73</v>
      </c>
      <c r="K30">
        <v>0</v>
      </c>
      <c r="M30">
        <v>1</v>
      </c>
      <c r="R30" t="str">
        <f>IF($U$2=TRUE,$W$2&amp;". Аппаратная неисправность(вход)","Аппаратная неисправность(вход)")</f>
        <v>ГП 1. ИП пламени BTF36/4. Аппаратная неисправность(вход)</v>
      </c>
    </row>
    <row r="31" spans="1:24">
      <c r="A31" s="4"/>
      <c r="B31" s="4"/>
      <c r="F31" s="4"/>
      <c r="G31" s="4"/>
      <c r="H31" s="4"/>
      <c r="I31" s="4"/>
      <c r="J31" s="4"/>
      <c r="K31" s="4"/>
      <c r="M31" s="4"/>
    </row>
    <row r="32" spans="1:24">
      <c r="A32" s="4"/>
      <c r="B32" s="4"/>
      <c r="F32" s="4"/>
      <c r="G32" s="4"/>
      <c r="H32" s="4"/>
      <c r="I32" s="4"/>
      <c r="J32" s="4"/>
      <c r="K32" s="4"/>
      <c r="M32" s="4"/>
    </row>
    <row r="33" spans="1:23">
      <c r="A33" s="4"/>
      <c r="B33" s="4"/>
      <c r="F33" s="4"/>
      <c r="G33" s="4"/>
      <c r="H33" s="4"/>
      <c r="I33" s="4"/>
      <c r="J33" s="4"/>
      <c r="K33" s="4"/>
      <c r="M33" s="4"/>
    </row>
    <row r="34" spans="1:23">
      <c r="A34" s="4"/>
      <c r="B34" s="4"/>
      <c r="F34" s="4"/>
      <c r="G34" s="4"/>
      <c r="H34" s="4"/>
      <c r="I34" s="4"/>
      <c r="J34" s="4"/>
      <c r="K34" s="4"/>
      <c r="M34" s="4"/>
    </row>
    <row r="35" spans="1:23">
      <c r="A35" s="4"/>
      <c r="B35" s="4"/>
      <c r="F35" s="4"/>
      <c r="G35" s="4"/>
      <c r="H35" s="4"/>
      <c r="I35" s="4"/>
      <c r="J35" s="4"/>
      <c r="K35" s="4"/>
      <c r="M35" s="4"/>
    </row>
    <row r="36" spans="1:23">
      <c r="A36" s="4"/>
      <c r="B36" s="4"/>
      <c r="F36" s="4"/>
      <c r="G36" s="4"/>
      <c r="H36" s="4"/>
      <c r="I36" s="4"/>
      <c r="J36" s="4"/>
      <c r="K36" s="4"/>
      <c r="M36" s="4"/>
    </row>
    <row r="37" spans="1:23">
      <c r="A37" s="4"/>
      <c r="B37" s="4"/>
      <c r="F37" s="4"/>
      <c r="G37" s="4"/>
      <c r="H37" s="4"/>
      <c r="I37" s="4"/>
      <c r="J37" s="4"/>
      <c r="K37" s="4"/>
      <c r="M37" s="4"/>
    </row>
    <row r="38" spans="1:23">
      <c r="A38" s="4"/>
      <c r="B38" s="4"/>
      <c r="F38" s="4"/>
      <c r="G38" s="4"/>
      <c r="H38" s="4"/>
      <c r="I38" s="4"/>
      <c r="J38" s="4"/>
      <c r="K38" s="4"/>
      <c r="M38" s="4"/>
    </row>
    <row r="39" spans="1:23">
      <c r="A39" s="4"/>
      <c r="B39" s="4"/>
      <c r="F39" s="4"/>
      <c r="G39" s="4"/>
      <c r="H39" s="4"/>
      <c r="I39" s="4"/>
      <c r="J39" s="4"/>
      <c r="K39" s="4"/>
      <c r="M39" s="4"/>
    </row>
    <row r="40" spans="1:23">
      <c r="A40" s="4"/>
      <c r="B40" s="4"/>
      <c r="F40" s="4"/>
      <c r="G40" s="4"/>
      <c r="H40" s="4"/>
      <c r="I40" s="4"/>
      <c r="J40" s="4"/>
      <c r="K40" s="4"/>
      <c r="M40" s="4"/>
      <c r="W40" s="4"/>
    </row>
    <row r="41" spans="1:23">
      <c r="A41" s="4"/>
      <c r="B41" s="4"/>
      <c r="F41" s="4"/>
      <c r="G41" s="4"/>
      <c r="H41" s="4"/>
      <c r="I41" s="4"/>
      <c r="J41" s="4"/>
      <c r="K41" s="4"/>
      <c r="M41" s="4"/>
      <c r="W41" s="4"/>
    </row>
    <row r="42" spans="1:23">
      <c r="W42" s="4"/>
    </row>
    <row r="43" spans="1:23">
      <c r="W43" s="4"/>
    </row>
    <row r="44" spans="1:23">
      <c r="W44" s="4"/>
    </row>
    <row r="45" spans="1:23">
      <c r="W45" s="4"/>
    </row>
    <row r="46" spans="1:23">
      <c r="W46" s="4"/>
    </row>
    <row r="47" spans="1:23">
      <c r="W47" s="4"/>
    </row>
    <row r="48" spans="1:23">
      <c r="W48" s="4"/>
    </row>
    <row r="49" spans="23:23">
      <c r="W49" s="4"/>
    </row>
  </sheetData>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codeName="Лист83">
    <tabColor rgb="FF92D050"/>
  </sheetPr>
  <dimension ref="A1:AC56"/>
  <sheetViews>
    <sheetView topLeftCell="A25" workbookViewId="0">
      <selection activeCell="V2" sqref="V2:AD2"/>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15" customHeight="1">
      <c r="A2" s="10"/>
      <c r="B2" s="10"/>
      <c r="F2" s="10"/>
      <c r="G2" s="10"/>
      <c r="H2" s="10"/>
      <c r="I2" s="10"/>
      <c r="J2" s="10"/>
      <c r="K2" s="10"/>
      <c r="M2" s="10"/>
      <c r="N2" s="10"/>
      <c r="O2" s="10"/>
      <c r="P2" s="10"/>
      <c r="Q2" s="10"/>
      <c r="R2" s="10"/>
      <c r="U2" s="74" t="b">
        <f>Настройки!$M$34</f>
        <v>1</v>
      </c>
      <c r="V2" s="73" t="s">
        <v>3415</v>
      </c>
      <c r="W2" s="537" t="s">
        <v>3416</v>
      </c>
      <c r="X2" s="73"/>
      <c r="Y2" s="73"/>
      <c r="Z2" s="73"/>
      <c r="AA2" s="74"/>
      <c r="AB2" s="74"/>
      <c r="AC2" s="74"/>
    </row>
    <row r="3" spans="1:29">
      <c r="A3" t="str">
        <f>SUBSTITUTE($V$2,"\","|")&amp; "|BFON"</f>
        <v>GP001_UPP_08|BFON</v>
      </c>
      <c r="B3" t="s">
        <v>74</v>
      </c>
      <c r="F3" t="s">
        <v>72</v>
      </c>
      <c r="G3" t="s">
        <v>71</v>
      </c>
      <c r="H3">
        <v>0</v>
      </c>
      <c r="I3" t="s">
        <v>72</v>
      </c>
      <c r="J3" t="s">
        <v>69</v>
      </c>
      <c r="K3">
        <v>0</v>
      </c>
      <c r="M3">
        <v>1</v>
      </c>
      <c r="R3" t="str">
        <f>IF($U$2=TRUE,$W$2&amp;". Блокировка системы пожаротушения от алгоритмов","Блокировка системы пожаротушения от алгоритмов")</f>
        <v>ГП 1. Пенное тушение Зона №8. Блокировка системы пожаротушения от алгоритмов</v>
      </c>
      <c r="S3" s="372"/>
      <c r="U3" s="773"/>
      <c r="V3" s="4"/>
      <c r="W3" s="773"/>
      <c r="X3" s="4"/>
    </row>
    <row r="4" spans="1:29">
      <c r="A4" t="str">
        <f>SUBSTITUTE($V$2,"\","|")&amp; "|CAOF"</f>
        <v>GP001_UPP_08|CAOF</v>
      </c>
      <c r="B4" t="s">
        <v>74</v>
      </c>
      <c r="F4" t="s">
        <v>72</v>
      </c>
      <c r="G4" t="s">
        <v>71</v>
      </c>
      <c r="H4">
        <v>0</v>
      </c>
      <c r="I4" t="s">
        <v>72</v>
      </c>
      <c r="J4" t="s">
        <v>69</v>
      </c>
      <c r="K4">
        <v>0</v>
      </c>
      <c r="M4">
        <v>1</v>
      </c>
      <c r="R4" t="str">
        <f>IF($U$2=TRUE,$W$2&amp;". Команда алгоритма стоп тушения","Команда алгоритма стоп тушения")</f>
        <v>ГП 1. Пенное тушение Зона №8. Команда алгоритма стоп тушения</v>
      </c>
      <c r="S4" s="372"/>
      <c r="U4" s="773"/>
      <c r="V4" s="4"/>
      <c r="W4" s="773"/>
      <c r="X4" s="4"/>
    </row>
    <row r="5" spans="1:29">
      <c r="A5" t="str">
        <f>SUBSTITUTE($V$2,"\","|")&amp; "|CAON"</f>
        <v>GP001_UPP_08|CAON</v>
      </c>
      <c r="B5" t="s">
        <v>74</v>
      </c>
      <c r="F5" t="s">
        <v>72</v>
      </c>
      <c r="G5" t="s">
        <v>71</v>
      </c>
      <c r="H5">
        <v>0</v>
      </c>
      <c r="I5" t="s">
        <v>72</v>
      </c>
      <c r="J5" t="s">
        <v>69</v>
      </c>
      <c r="K5">
        <v>0</v>
      </c>
      <c r="M5">
        <v>1</v>
      </c>
      <c r="R5" t="str">
        <f>IF($U$2=TRUE,$W$2&amp;". Команда алгоритма пуск тушения","Команда алгоритма пуск тушения")</f>
        <v>ГП 1. Пенное тушение Зона №8. Команда алгоритма пуск тушения</v>
      </c>
      <c r="S5" s="372"/>
      <c r="U5" s="773"/>
      <c r="V5" s="4"/>
      <c r="W5" s="773"/>
      <c r="X5" s="4"/>
    </row>
    <row r="6" spans="1:29">
      <c r="A6" t="str">
        <f>SUBSTITUTE($V$2,"\","|")&amp; "|COAF"</f>
        <v>GP001_UPP_08|COAF</v>
      </c>
      <c r="B6" t="s">
        <v>74</v>
      </c>
      <c r="F6" t="s">
        <v>72</v>
      </c>
      <c r="G6" t="s">
        <v>71</v>
      </c>
      <c r="H6">
        <v>0</v>
      </c>
      <c r="I6" t="s">
        <v>72</v>
      </c>
      <c r="J6" t="s">
        <v>73</v>
      </c>
      <c r="K6">
        <v>0</v>
      </c>
      <c r="M6">
        <v>1</v>
      </c>
      <c r="R6" t="str">
        <f>IF($U$2=TRUE,$W$2&amp;". Команда оператора отключить автоматический режим","Команда оператора отключить автоматический режим")</f>
        <v>ГП 1. Пенное тушение Зона №8. Команда оператора отключить автоматический режим</v>
      </c>
      <c r="S6" s="372"/>
      <c r="U6" s="773"/>
      <c r="V6" s="4"/>
      <c r="W6" s="773"/>
      <c r="X6" s="4"/>
    </row>
    <row r="7" spans="1:29">
      <c r="A7" t="str">
        <f>SUBSTITUTE($V$2,"\","|")&amp; "|COAN"</f>
        <v>GP001_UPP_08|COAN</v>
      </c>
      <c r="B7" t="s">
        <v>74</v>
      </c>
      <c r="F7" t="s">
        <v>72</v>
      </c>
      <c r="G7" t="s">
        <v>71</v>
      </c>
      <c r="H7">
        <v>0</v>
      </c>
      <c r="I7" t="s">
        <v>72</v>
      </c>
      <c r="J7" t="s">
        <v>73</v>
      </c>
      <c r="K7">
        <v>0</v>
      </c>
      <c r="M7">
        <v>1</v>
      </c>
      <c r="R7" t="str">
        <f>IF($U$2=TRUE,$W$2&amp;". Команда оператора включить автоматический режим","Команда оператора включить автоматический режим")</f>
        <v>ГП 1. Пенное тушение Зона №8. Команда оператора включить автоматический режим</v>
      </c>
      <c r="S7" s="372"/>
      <c r="U7" s="773"/>
      <c r="V7" s="4"/>
      <c r="W7" s="773"/>
      <c r="X7" s="4"/>
    </row>
    <row r="8" spans="1:29">
      <c r="A8" t="str">
        <f>SUBSTITUTE($V$2,"\","|")&amp; "|COCP"</f>
        <v>GP001_UPP_08|COCP</v>
      </c>
      <c r="B8" t="s">
        <v>74</v>
      </c>
      <c r="F8" t="s">
        <v>72</v>
      </c>
      <c r="G8" t="s">
        <v>71</v>
      </c>
      <c r="H8">
        <v>0</v>
      </c>
      <c r="I8" t="s">
        <v>72</v>
      </c>
      <c r="J8" t="s">
        <v>73</v>
      </c>
      <c r="K8">
        <v>0</v>
      </c>
      <c r="M8">
        <v>1</v>
      </c>
      <c r="R8" t="str">
        <f>IF($U$2=TRUE,$W$2&amp;". Команда оператора отсчет времени до запуска ПТ приостановить","Команда оператора отсчет времени до запуска ПТ приостановить")</f>
        <v>ГП 1. Пенное тушение Зона №8. Команда оператора отсчет времени до запуска ПТ приостановить</v>
      </c>
      <c r="S8" s="372"/>
      <c r="U8" s="773"/>
      <c r="V8" s="4"/>
      <c r="W8" s="773"/>
      <c r="X8" s="4"/>
    </row>
    <row r="9" spans="1:29">
      <c r="A9" t="str">
        <f>SUBSTITUTE($V$2,"\","|")&amp; "|COCR"</f>
        <v>GP001_UPP_08|COCR</v>
      </c>
      <c r="B9" t="s">
        <v>74</v>
      </c>
      <c r="F9" t="s">
        <v>72</v>
      </c>
      <c r="G9" t="s">
        <v>71</v>
      </c>
      <c r="H9">
        <v>0</v>
      </c>
      <c r="I9" t="s">
        <v>72</v>
      </c>
      <c r="J9" t="s">
        <v>73</v>
      </c>
      <c r="K9">
        <v>0</v>
      </c>
      <c r="M9">
        <v>1</v>
      </c>
      <c r="R9" t="str">
        <f>IF($U$2=TRUE,$W$2&amp;". Команда оператора отсчет времени до запуска ПТ возобновить","Команда оператора отсчет времени до запуска ПТ возобновить")</f>
        <v>ГП 1. Пенное тушение Зона №8. Команда оператора отсчет времени до запуска ПТ возобновить</v>
      </c>
      <c r="S9" s="372"/>
      <c r="U9" s="773"/>
      <c r="V9" s="4"/>
      <c r="W9" s="773"/>
      <c r="X9" s="4"/>
    </row>
    <row r="10" spans="1:29">
      <c r="A10" t="str">
        <f>SUBSTITUTE($V$2,"\","|")&amp; "|COOF"</f>
        <v>GP001_UPP_08|COOF</v>
      </c>
      <c r="B10" t="s">
        <v>74</v>
      </c>
      <c r="F10" t="s">
        <v>72</v>
      </c>
      <c r="G10" t="s">
        <v>71</v>
      </c>
      <c r="H10">
        <v>0</v>
      </c>
      <c r="I10" t="s">
        <v>72</v>
      </c>
      <c r="J10" t="s">
        <v>73</v>
      </c>
      <c r="K10">
        <v>0</v>
      </c>
      <c r="M10">
        <v>1</v>
      </c>
      <c r="R10" t="str">
        <f>IF($U$2=TRUE,$W$2&amp;". Команда оператора стоп тушения","Команда оператора стоп тушения")</f>
        <v>ГП 1. Пенное тушение Зона №8. Команда оператора стоп тушения</v>
      </c>
      <c r="S10" s="372"/>
      <c r="U10" s="773"/>
      <c r="V10" s="4"/>
      <c r="W10" s="773"/>
      <c r="X10" s="4"/>
    </row>
    <row r="11" spans="1:29">
      <c r="A11" t="str">
        <f>SUBSTITUTE($V$2,"\","|")&amp; "|COON"</f>
        <v>GP001_UPP_08|COON</v>
      </c>
      <c r="B11" t="s">
        <v>74</v>
      </c>
      <c r="F11" t="s">
        <v>72</v>
      </c>
      <c r="G11" t="s">
        <v>71</v>
      </c>
      <c r="H11">
        <v>0</v>
      </c>
      <c r="I11" t="s">
        <v>72</v>
      </c>
      <c r="J11" t="s">
        <v>73</v>
      </c>
      <c r="K11">
        <v>0</v>
      </c>
      <c r="M11">
        <v>1</v>
      </c>
      <c r="R11" t="str">
        <f>IF($U$2=TRUE,$W$2&amp;". Команда оператора пуск тушения","Команда оператора пуск тушения")</f>
        <v>ГП 1. Пенное тушение Зона №8. Команда оператора пуск тушения</v>
      </c>
      <c r="S11" s="372"/>
      <c r="U11" s="773"/>
      <c r="V11" s="4"/>
      <c r="W11" s="773"/>
      <c r="X11" s="4"/>
    </row>
    <row r="12" spans="1:29">
      <c r="A12" t="str">
        <f>SUBSTITUTE($V$2,"\","|")&amp; "|COTD"</f>
        <v>GP001_UPP_08|COTD</v>
      </c>
      <c r="B12" t="s">
        <v>74</v>
      </c>
      <c r="F12" t="s">
        <v>72</v>
      </c>
      <c r="G12" t="s">
        <v>71</v>
      </c>
      <c r="H12">
        <v>0</v>
      </c>
      <c r="I12" t="s">
        <v>72</v>
      </c>
      <c r="J12" t="s">
        <v>73</v>
      </c>
      <c r="K12">
        <v>0</v>
      </c>
      <c r="M12">
        <v>1</v>
      </c>
      <c r="R12" t="str">
        <f>IF($U$2=TRUE,$W$2&amp;". Команда оператора на уменьшение времени до запуска ПТ","Команда оператора на уменьшение времени до запуска ПТ")</f>
        <v>ГП 1. Пенное тушение Зона №8. Команда оператора на уменьшение времени до запуска ПТ</v>
      </c>
      <c r="S12" s="372"/>
      <c r="U12" s="773"/>
      <c r="V12" s="4"/>
      <c r="W12" s="773"/>
      <c r="X12" s="4"/>
    </row>
    <row r="13" spans="1:29">
      <c r="A13" t="str">
        <f>SUBSTITUTE($V$2,"\","|")&amp; "|COTI"</f>
        <v>GP001_UPP_08|COTI</v>
      </c>
      <c r="B13" t="s">
        <v>74</v>
      </c>
      <c r="F13" t="s">
        <v>72</v>
      </c>
      <c r="G13" t="s">
        <v>71</v>
      </c>
      <c r="H13">
        <v>0</v>
      </c>
      <c r="I13" t="s">
        <v>72</v>
      </c>
      <c r="J13" t="s">
        <v>73</v>
      </c>
      <c r="K13">
        <v>0</v>
      </c>
      <c r="M13">
        <v>1</v>
      </c>
      <c r="R13" t="str">
        <f>IF($U$2=TRUE,$W$2&amp;". Команда оператора на увеличение времени до запуска ПТ","Команда оператора на увеличение времени до запуска ПТ")</f>
        <v>ГП 1. Пенное тушение Зона №8. Команда оператора на увеличение времени до запуска ПТ</v>
      </c>
      <c r="S13" s="372"/>
      <c r="U13" s="773"/>
      <c r="V13" s="4"/>
      <c r="W13" s="773"/>
      <c r="X13" s="4"/>
    </row>
    <row r="14" spans="1:29">
      <c r="A14" t="str">
        <f>SUBSTITUTE($V$2,"\","|")&amp; "|CPAF"</f>
        <v>GP001_UPP_08|CPAF</v>
      </c>
      <c r="B14" t="s">
        <v>74</v>
      </c>
      <c r="F14" t="s">
        <v>72</v>
      </c>
      <c r="G14" t="s">
        <v>71</v>
      </c>
      <c r="H14">
        <v>0</v>
      </c>
      <c r="I14" t="s">
        <v>72</v>
      </c>
      <c r="J14" t="s">
        <v>69</v>
      </c>
      <c r="K14">
        <v>0</v>
      </c>
      <c r="M14">
        <v>1</v>
      </c>
      <c r="R14" t="str">
        <f>IF($U$2=TRUE,$W$2&amp;". Команда ВП отключить автоматический режим","Команда ВП отключить автоматический режим")</f>
        <v>ГП 1. Пенное тушение Зона №8. Команда ВП отключить автоматический режим</v>
      </c>
      <c r="S14" s="372"/>
      <c r="U14" s="773"/>
      <c r="V14" s="4"/>
      <c r="W14" s="773"/>
      <c r="X14" s="4"/>
    </row>
    <row r="15" spans="1:29">
      <c r="A15" t="str">
        <f>SUBSTITUTE($V$2,"\","|")&amp; "|CPAN"</f>
        <v>GP001_UPP_08|CPAN</v>
      </c>
      <c r="B15" t="s">
        <v>74</v>
      </c>
      <c r="F15" t="s">
        <v>72</v>
      </c>
      <c r="G15" t="s">
        <v>71</v>
      </c>
      <c r="H15">
        <v>0</v>
      </c>
      <c r="I15" t="s">
        <v>72</v>
      </c>
      <c r="J15" t="s">
        <v>69</v>
      </c>
      <c r="K15">
        <v>0</v>
      </c>
      <c r="M15">
        <v>1</v>
      </c>
      <c r="R15" t="str">
        <f>IF($U$2=TRUE,$W$2&amp;". Команда ВП включить автоматический режим","Команда ВП включить автоматический режим")</f>
        <v>ГП 1. Пенное тушение Зона №8. Команда ВП включить автоматический режим</v>
      </c>
      <c r="S15" s="372"/>
      <c r="U15" s="773"/>
      <c r="V15" s="4"/>
      <c r="W15" s="773"/>
      <c r="X15" s="4"/>
    </row>
    <row r="16" spans="1:29">
      <c r="A16" t="str">
        <f>SUBSTITUTE($V$2,"\","|")&amp; "|CPCP"</f>
        <v>GP001_UPP_08|CPCP</v>
      </c>
      <c r="B16" t="s">
        <v>74</v>
      </c>
      <c r="F16" t="s">
        <v>72</v>
      </c>
      <c r="G16" t="s">
        <v>71</v>
      </c>
      <c r="H16">
        <v>0</v>
      </c>
      <c r="I16" t="s">
        <v>72</v>
      </c>
      <c r="J16" t="s">
        <v>69</v>
      </c>
      <c r="K16">
        <v>0</v>
      </c>
      <c r="M16">
        <v>1</v>
      </c>
      <c r="R16" t="str">
        <f>IF($U$2=TRUE,$W$2&amp;". Команда ВП отсчет времени до запуска ПТ приостановить","Команда ВП отсчет времени до запуска ПТ приостановить")</f>
        <v>ГП 1. Пенное тушение Зона №8. Команда ВП отсчет времени до запуска ПТ приостановить</v>
      </c>
      <c r="S16" s="372"/>
      <c r="U16" s="773"/>
      <c r="V16" s="4"/>
      <c r="W16" s="773"/>
      <c r="X16" s="4"/>
    </row>
    <row r="17" spans="1:24">
      <c r="A17" t="str">
        <f>SUBSTITUTE($V$2,"\","|")&amp; "|CPCR"</f>
        <v>GP001_UPP_08|CPCR</v>
      </c>
      <c r="B17" t="s">
        <v>74</v>
      </c>
      <c r="F17" t="s">
        <v>72</v>
      </c>
      <c r="G17" t="s">
        <v>71</v>
      </c>
      <c r="H17">
        <v>0</v>
      </c>
      <c r="I17" t="s">
        <v>72</v>
      </c>
      <c r="J17" t="s">
        <v>69</v>
      </c>
      <c r="K17">
        <v>0</v>
      </c>
      <c r="M17">
        <v>1</v>
      </c>
      <c r="R17" t="str">
        <f>IF($U$2=TRUE,$W$2&amp;". Команда ВП отсчет времени до запуска ПТ возобновить","Команда ВП отсчет времени до запуска ПТ возобновить")</f>
        <v>ГП 1. Пенное тушение Зона №8. Команда ВП отсчет времени до запуска ПТ возобновить</v>
      </c>
      <c r="S17" s="372"/>
      <c r="U17" s="773"/>
      <c r="V17" s="4"/>
      <c r="W17" s="773"/>
      <c r="X17" s="4"/>
    </row>
    <row r="18" spans="1:24">
      <c r="A18" t="str">
        <f>SUBSTITUTE($V$2,"\","|")&amp; "|CPOF"</f>
        <v>GP001_UPP_08|CPOF</v>
      </c>
      <c r="B18" t="s">
        <v>74</v>
      </c>
      <c r="F18" t="s">
        <v>72</v>
      </c>
      <c r="G18" t="s">
        <v>71</v>
      </c>
      <c r="H18">
        <v>0</v>
      </c>
      <c r="I18" t="s">
        <v>72</v>
      </c>
      <c r="J18" t="s">
        <v>69</v>
      </c>
      <c r="K18">
        <v>0</v>
      </c>
      <c r="M18">
        <v>1</v>
      </c>
      <c r="R18" t="str">
        <f>IF($U$2=TRUE,$W$2&amp;". Команда ВП стоп тушения","Команда ВП стоп тушения")</f>
        <v>ГП 1. Пенное тушение Зона №8. Команда ВП стоп тушения</v>
      </c>
      <c r="S18" s="372"/>
      <c r="U18" s="773"/>
      <c r="V18" s="4"/>
      <c r="W18" s="773"/>
      <c r="X18" s="4"/>
    </row>
    <row r="19" spans="1:24">
      <c r="A19" t="str">
        <f>SUBSTITUTE($V$2,"\","|")&amp; "|CPON"</f>
        <v>GP001_UPP_08|CPON</v>
      </c>
      <c r="B19" t="s">
        <v>74</v>
      </c>
      <c r="F19" t="s">
        <v>72</v>
      </c>
      <c r="G19" t="s">
        <v>71</v>
      </c>
      <c r="H19">
        <v>0</v>
      </c>
      <c r="I19" t="s">
        <v>72</v>
      </c>
      <c r="J19" t="s">
        <v>69</v>
      </c>
      <c r="K19">
        <v>0</v>
      </c>
      <c r="M19">
        <v>1</v>
      </c>
      <c r="R19" t="str">
        <f>IF($U$2=TRUE,$W$2&amp;". Команда ВП пуск тушения","Команда ВП пуск тушения")</f>
        <v>ГП 1. Пенное тушение Зона №8. Команда ВП пуск тушения</v>
      </c>
      <c r="S19" s="372"/>
      <c r="U19" s="773"/>
      <c r="V19" s="4"/>
      <c r="W19" s="773"/>
      <c r="X19" s="4"/>
    </row>
    <row r="20" spans="1:24">
      <c r="A20" t="str">
        <f>SUBSTITUTE($V$2,"\","|")&amp; "|CPTD"</f>
        <v>GP001_UPP_08|CPTD</v>
      </c>
      <c r="B20" t="s">
        <v>74</v>
      </c>
      <c r="F20" t="s">
        <v>72</v>
      </c>
      <c r="G20" t="s">
        <v>71</v>
      </c>
      <c r="H20">
        <v>0</v>
      </c>
      <c r="I20" t="s">
        <v>72</v>
      </c>
      <c r="J20" t="s">
        <v>69</v>
      </c>
      <c r="K20">
        <v>0</v>
      </c>
      <c r="M20">
        <v>1</v>
      </c>
      <c r="R20" t="str">
        <f>IF($U$2=TRUE,$W$2&amp;". Команда ВП на уменьшение времени до запуска ПТ","Команда ВП на уменьшение времени до запуска ПТ")</f>
        <v>ГП 1. Пенное тушение Зона №8. Команда ВП на уменьшение времени до запуска ПТ</v>
      </c>
      <c r="S20" s="372"/>
      <c r="U20" s="773"/>
      <c r="V20" s="4"/>
      <c r="W20" s="773"/>
      <c r="X20" s="4"/>
    </row>
    <row r="21" spans="1:24">
      <c r="A21" t="str">
        <f>SUBSTITUTE($V$2,"\","|")&amp; "|CPTI"</f>
        <v>GP001_UPP_08|CPTI</v>
      </c>
      <c r="B21" t="s">
        <v>74</v>
      </c>
      <c r="F21" t="s">
        <v>72</v>
      </c>
      <c r="G21" t="s">
        <v>71</v>
      </c>
      <c r="H21">
        <v>0</v>
      </c>
      <c r="I21" t="s">
        <v>72</v>
      </c>
      <c r="J21" t="s">
        <v>69</v>
      </c>
      <c r="K21">
        <v>0</v>
      </c>
      <c r="M21">
        <v>1</v>
      </c>
      <c r="R21" t="str">
        <f>IF($U$2=TRUE,$W$2&amp;". Команда ВП на увеличение времени до запуска ПТ","Команда ВП на увеличение времени до запуска ПТ")</f>
        <v>ГП 1. Пенное тушение Зона №8. Команда ВП на увеличение времени до запуска ПТ</v>
      </c>
      <c r="S21" s="372"/>
      <c r="U21" s="773"/>
      <c r="V21" s="4"/>
      <c r="W21" s="773"/>
      <c r="X21" s="4"/>
    </row>
    <row r="22" spans="1:24">
      <c r="A22" t="str">
        <f>SUBSTITUTE($V$2,"\","|")&amp; "|CROF"</f>
        <v>GP001_UPP_08|CROF</v>
      </c>
      <c r="B22" t="s">
        <v>74</v>
      </c>
      <c r="F22" t="s">
        <v>72</v>
      </c>
      <c r="G22" t="s">
        <v>71</v>
      </c>
      <c r="H22">
        <v>0</v>
      </c>
      <c r="I22" t="s">
        <v>72</v>
      </c>
      <c r="J22" t="s">
        <v>69</v>
      </c>
      <c r="K22">
        <v>0</v>
      </c>
      <c r="M22">
        <v>1</v>
      </c>
      <c r="R22" t="str">
        <f>IF($U$2=TRUE,$W$2&amp;". Команда от кнопки по месту стоп тушения","Команда от кнопки по месту стоп тушения")</f>
        <v>ГП 1. Пенное тушение Зона №8. Команда от кнопки по месту стоп тушения</v>
      </c>
      <c r="S22" s="372"/>
      <c r="U22" s="773"/>
      <c r="V22" s="4"/>
      <c r="W22" s="773"/>
      <c r="X22" s="4"/>
    </row>
    <row r="23" spans="1:24">
      <c r="A23" t="str">
        <f>SUBSTITUTE($V$2,"\","|")&amp; "|CRON"</f>
        <v>GP001_UPP_08|CRON</v>
      </c>
      <c r="B23" t="s">
        <v>74</v>
      </c>
      <c r="F23" t="s">
        <v>72</v>
      </c>
      <c r="G23" t="s">
        <v>71</v>
      </c>
      <c r="H23">
        <v>0</v>
      </c>
      <c r="I23" t="s">
        <v>72</v>
      </c>
      <c r="J23" t="s">
        <v>69</v>
      </c>
      <c r="K23">
        <v>0</v>
      </c>
      <c r="M23">
        <v>1</v>
      </c>
      <c r="R23" t="str">
        <f>IF($U$2=TRUE,$W$2&amp;". Команда от кнопки по месту пуск тушения","Команда от кнопки по месту пуск тушения")</f>
        <v>ГП 1. Пенное тушение Зона №8. Команда от кнопки по месту пуск тушения</v>
      </c>
      <c r="S23" s="372"/>
      <c r="U23" s="773"/>
      <c r="V23" s="4"/>
      <c r="W23" s="773"/>
      <c r="X23" s="4"/>
    </row>
    <row r="24" spans="1:24">
      <c r="A24" t="str">
        <f>SUBSTITUTE($V$2,"\","|")&amp; "|CSAF"</f>
        <v>GP001_UPP_08|CSAF</v>
      </c>
      <c r="B24" t="s">
        <v>74</v>
      </c>
      <c r="F24" t="s">
        <v>72</v>
      </c>
      <c r="G24" t="s">
        <v>71</v>
      </c>
      <c r="H24">
        <v>0</v>
      </c>
      <c r="I24" t="s">
        <v>72</v>
      </c>
      <c r="J24" t="s">
        <v>69</v>
      </c>
      <c r="K24">
        <v>0</v>
      </c>
      <c r="M24">
        <v>1</v>
      </c>
      <c r="R24" t="str">
        <f>IF($U$2=TRUE,$W$2&amp;". Команда УПИ отключить автоматический режим","Команда УПИ отключить автоматический режим")</f>
        <v>ГП 1. Пенное тушение Зона №8. Команда УПИ отключить автоматический режим</v>
      </c>
      <c r="S24" s="372"/>
      <c r="U24" s="773"/>
      <c r="V24" s="4"/>
      <c r="W24" s="773"/>
      <c r="X24" s="4"/>
    </row>
    <row r="25" spans="1:24">
      <c r="A25" t="str">
        <f>SUBSTITUTE($V$2,"\","|")&amp; "|CSAN"</f>
        <v>GP001_UPP_08|CSAN</v>
      </c>
      <c r="B25" t="s">
        <v>74</v>
      </c>
      <c r="F25" t="s">
        <v>72</v>
      </c>
      <c r="G25" t="s">
        <v>71</v>
      </c>
      <c r="H25">
        <v>0</v>
      </c>
      <c r="I25" t="s">
        <v>72</v>
      </c>
      <c r="J25" t="s">
        <v>69</v>
      </c>
      <c r="K25">
        <v>0</v>
      </c>
      <c r="M25">
        <v>1</v>
      </c>
      <c r="R25" t="str">
        <f>IF($U$2=TRUE,$W$2&amp;". Команда УПИ включить автоматический режим","Команда УПИ включить автоматический режим")</f>
        <v>ГП 1. Пенное тушение Зона №8. Команда УПИ включить автоматический режим</v>
      </c>
      <c r="S25" s="372"/>
      <c r="U25" s="773"/>
      <c r="V25" s="4"/>
      <c r="W25" s="773"/>
      <c r="X25" s="4"/>
    </row>
    <row r="26" spans="1:24">
      <c r="A26" t="str">
        <f>SUBSTITUTE($V$2,"\","|")&amp; "|CSCP"</f>
        <v>GP001_UPP_08|CSCP</v>
      </c>
      <c r="B26" t="s">
        <v>74</v>
      </c>
      <c r="F26" t="s">
        <v>72</v>
      </c>
      <c r="G26" t="s">
        <v>71</v>
      </c>
      <c r="H26">
        <v>0</v>
      </c>
      <c r="I26" t="s">
        <v>72</v>
      </c>
      <c r="J26" t="s">
        <v>69</v>
      </c>
      <c r="K26">
        <v>0</v>
      </c>
      <c r="M26">
        <v>1</v>
      </c>
      <c r="R26" t="str">
        <f>IF($U$2=TRUE,$W$2&amp;". Команда УПИ отсчет времени до запуска ПТ приостановить","Команда УПИ отсчет времени до запуска ПТ приостановить")</f>
        <v>ГП 1. Пенное тушение Зона №8. Команда УПИ отсчет времени до запуска ПТ приостановить</v>
      </c>
      <c r="S26" s="372"/>
      <c r="U26" s="773"/>
      <c r="V26" s="4"/>
      <c r="W26" s="773"/>
      <c r="X26" s="4"/>
    </row>
    <row r="27" spans="1:24">
      <c r="A27" t="str">
        <f>SUBSTITUTE($V$2,"\","|")&amp; "|CSCR"</f>
        <v>GP001_UPP_08|CSCR</v>
      </c>
      <c r="B27" t="s">
        <v>74</v>
      </c>
      <c r="F27" t="s">
        <v>72</v>
      </c>
      <c r="G27" t="s">
        <v>71</v>
      </c>
      <c r="H27">
        <v>0</v>
      </c>
      <c r="I27" t="s">
        <v>72</v>
      </c>
      <c r="J27" t="s">
        <v>69</v>
      </c>
      <c r="K27">
        <v>0</v>
      </c>
      <c r="M27">
        <v>1</v>
      </c>
      <c r="R27" t="str">
        <f>IF($U$2=TRUE,$W$2&amp;". Команда УПИ отсчет времени до запуска ПТ возобновить","Команда УПИ отсчет времени до запуска ПТ возобновить")</f>
        <v>ГП 1. Пенное тушение Зона №8. Команда УПИ отсчет времени до запуска ПТ возобновить</v>
      </c>
      <c r="S27" s="372"/>
      <c r="U27" s="773"/>
      <c r="V27" s="4"/>
      <c r="W27" s="773"/>
      <c r="X27" s="4"/>
    </row>
    <row r="28" spans="1:24">
      <c r="A28" t="str">
        <f>SUBSTITUTE($V$2,"\","|")&amp; "|CSOF"</f>
        <v>GP001_UPP_08|CSOF</v>
      </c>
      <c r="B28" t="s">
        <v>74</v>
      </c>
      <c r="F28" t="s">
        <v>72</v>
      </c>
      <c r="G28" t="s">
        <v>71</v>
      </c>
      <c r="H28">
        <v>0</v>
      </c>
      <c r="I28" t="s">
        <v>72</v>
      </c>
      <c r="J28" t="s">
        <v>69</v>
      </c>
      <c r="K28">
        <v>0</v>
      </c>
      <c r="M28">
        <v>1</v>
      </c>
      <c r="R28" t="str">
        <f>IF($U$2=TRUE,$W$2&amp;". Команда УПИ стоп тушения","Команда УПИ стоп тушения")</f>
        <v>ГП 1. Пенное тушение Зона №8. Команда УПИ стоп тушения</v>
      </c>
      <c r="S28" s="372"/>
      <c r="U28" s="773"/>
      <c r="V28" s="4"/>
      <c r="W28" s="773"/>
      <c r="X28" s="4"/>
    </row>
    <row r="29" spans="1:24">
      <c r="A29" t="str">
        <f>SUBSTITUTE($V$2,"\","|")&amp; "|CSON"</f>
        <v>GP001_UPP_08|CSON</v>
      </c>
      <c r="B29" t="s">
        <v>74</v>
      </c>
      <c r="F29" t="s">
        <v>72</v>
      </c>
      <c r="G29" t="s">
        <v>71</v>
      </c>
      <c r="H29">
        <v>0</v>
      </c>
      <c r="I29" t="s">
        <v>72</v>
      </c>
      <c r="J29" t="s">
        <v>69</v>
      </c>
      <c r="K29">
        <v>0</v>
      </c>
      <c r="M29">
        <v>1</v>
      </c>
      <c r="R29" t="str">
        <f>IF($U$2=TRUE,$W$2&amp;". Команда УПИ пуск тушения","Команда УПИ пуск тушения")</f>
        <v>ГП 1. Пенное тушение Зона №8. Команда УПИ пуск тушения</v>
      </c>
      <c r="S29" s="372"/>
      <c r="U29" s="773"/>
      <c r="V29" s="4"/>
      <c r="W29" s="773"/>
      <c r="X29" s="4"/>
    </row>
    <row r="30" spans="1:24">
      <c r="A30" t="str">
        <f>SUBSTITUTE($V$2,"\","|")&amp; "|CSTD"</f>
        <v>GP001_UPP_08|CSTD</v>
      </c>
      <c r="B30" t="s">
        <v>74</v>
      </c>
      <c r="F30" t="s">
        <v>72</v>
      </c>
      <c r="G30" t="s">
        <v>71</v>
      </c>
      <c r="H30">
        <v>0</v>
      </c>
      <c r="I30" t="s">
        <v>72</v>
      </c>
      <c r="J30" t="s">
        <v>69</v>
      </c>
      <c r="K30">
        <v>0</v>
      </c>
      <c r="M30">
        <v>1</v>
      </c>
      <c r="R30" t="str">
        <f>IF($U$2=TRUE,$W$2&amp;". Команда УПИ на уменьшение времени до запуска ПТ","Команда УПИ на уменьшение времени до запуска ПТ")</f>
        <v>ГП 1. Пенное тушение Зона №8. Команда УПИ на уменьшение времени до запуска ПТ</v>
      </c>
      <c r="S30" s="372"/>
      <c r="U30" s="773"/>
      <c r="V30" s="4"/>
      <c r="W30" s="773"/>
      <c r="X30" s="4"/>
    </row>
    <row r="31" spans="1:24">
      <c r="A31" t="str">
        <f>SUBSTITUTE($V$2,"\","|")&amp; "|CSTI"</f>
        <v>GP001_UPP_08|CSTI</v>
      </c>
      <c r="B31" t="s">
        <v>74</v>
      </c>
      <c r="F31" t="s">
        <v>72</v>
      </c>
      <c r="G31" t="s">
        <v>71</v>
      </c>
      <c r="H31">
        <v>0</v>
      </c>
      <c r="I31" t="s">
        <v>72</v>
      </c>
      <c r="J31" t="s">
        <v>69</v>
      </c>
      <c r="K31">
        <v>0</v>
      </c>
      <c r="M31">
        <v>1</v>
      </c>
      <c r="R31" t="str">
        <f>IF($U$2=TRUE,$W$2&amp;". Команда УПИ на увеличение времени до запуска ПТ","Команда УПИ на увеличение времени до запуска ПТ")</f>
        <v>ГП 1. Пенное тушение Зона №8. Команда УПИ на увеличение времени до запуска ПТ</v>
      </c>
      <c r="S31" s="372"/>
      <c r="U31" s="773"/>
      <c r="V31" s="4"/>
      <c r="W31" s="773"/>
      <c r="X31" s="4"/>
    </row>
    <row r="32" spans="1:24">
      <c r="A32" t="str">
        <f>SUBSTITUTE($V$2,"\","|")&amp; "|FFON"</f>
        <v>GP001_UPP_08|FFON</v>
      </c>
      <c r="B32" t="s">
        <v>74</v>
      </c>
      <c r="F32" t="s">
        <v>72</v>
      </c>
      <c r="G32" t="s">
        <v>71</v>
      </c>
      <c r="H32">
        <v>0</v>
      </c>
      <c r="I32" t="s">
        <v>72</v>
      </c>
      <c r="J32" t="s">
        <v>69</v>
      </c>
      <c r="K32">
        <v>0</v>
      </c>
      <c r="M32">
        <v>1</v>
      </c>
      <c r="R32" t="str">
        <f>IF($U$2=TRUE,$W$2&amp;". Несанкционированный выпуск ОТВ","Несанкционированный выпуск ОТВ")</f>
        <v>ГП 1. Пенное тушение Зона №8. Несанкционированный выпуск ОТВ</v>
      </c>
      <c r="S32" s="372"/>
      <c r="U32" s="773"/>
      <c r="V32" s="4"/>
      <c r="W32" s="773"/>
      <c r="X32" s="4"/>
    </row>
    <row r="33" spans="1:24">
      <c r="A33" t="str">
        <f>SUBSTITUTE($V$2,"\","|")&amp; "|FXXX"</f>
        <v>GP001_UPP_08|FXXX</v>
      </c>
      <c r="B33" t="s">
        <v>74</v>
      </c>
      <c r="F33" t="s">
        <v>72</v>
      </c>
      <c r="G33" t="s">
        <v>71</v>
      </c>
      <c r="H33">
        <v>0</v>
      </c>
      <c r="I33" t="s">
        <v>72</v>
      </c>
      <c r="J33" t="s">
        <v>69</v>
      </c>
      <c r="K33">
        <v>0</v>
      </c>
      <c r="M33">
        <v>1</v>
      </c>
      <c r="R33" t="str">
        <f>IF($U$2=TRUE,$W$2&amp;". Неисправность системы ПТ","Неисправность системы ПТ")</f>
        <v>ГП 1. Пенное тушение Зона №8. Неисправность системы ПТ</v>
      </c>
      <c r="S33" s="372"/>
      <c r="U33" s="773"/>
      <c r="V33" s="4"/>
      <c r="W33" s="773"/>
      <c r="X33" s="4"/>
    </row>
    <row r="34" spans="1:24">
      <c r="A34" t="str">
        <f>SUBSTITUTE($V$2,"\","|")&amp; "|IBTX"</f>
        <v>GP001_UPP_08|IBTX</v>
      </c>
      <c r="B34" t="s">
        <v>74</v>
      </c>
      <c r="F34" t="s">
        <v>72</v>
      </c>
      <c r="G34" t="s">
        <v>71</v>
      </c>
      <c r="H34">
        <v>0</v>
      </c>
      <c r="I34" t="s">
        <v>72</v>
      </c>
      <c r="J34" t="s">
        <v>74</v>
      </c>
      <c r="K34">
        <v>0</v>
      </c>
      <c r="M34">
        <v>1</v>
      </c>
      <c r="R34" t="str">
        <f>IF($U$2=TRUE,$W$2&amp;". Нажата кнопка опробования сигнализации тушения","Нажата кнопка опробования сигнализации тушения")</f>
        <v>ГП 1. Пенное тушение Зона №8. Нажата кнопка опробования сигнализации тушения</v>
      </c>
      <c r="S34" s="372"/>
      <c r="U34" s="773"/>
      <c r="V34" s="4"/>
      <c r="W34" s="773"/>
      <c r="X34" s="4"/>
    </row>
    <row r="35" spans="1:24">
      <c r="A35" t="str">
        <f>SUBSTITUTE($V$2,"\","|")&amp; "|OF1N"</f>
        <v>GP001_UPP_08|OF1N</v>
      </c>
      <c r="B35" t="s">
        <v>74</v>
      </c>
      <c r="F35" t="s">
        <v>72</v>
      </c>
      <c r="G35" t="s">
        <v>71</v>
      </c>
      <c r="H35">
        <v>0</v>
      </c>
      <c r="I35" t="s">
        <v>72</v>
      </c>
      <c r="J35" t="s">
        <v>69</v>
      </c>
      <c r="K35">
        <v>0</v>
      </c>
      <c r="M35">
        <v>1</v>
      </c>
      <c r="R35" t="str">
        <f>IF($U$2=TRUE,$W$2&amp;". Команда на запуск тушения (Идет тушение)","Команда на запуск тушения (Идет тушение)")</f>
        <v>ГП 1. Пенное тушение Зона №8. Команда на запуск тушения (Идет тушение)</v>
      </c>
      <c r="S35" s="372"/>
      <c r="U35" s="773"/>
      <c r="V35" s="4"/>
      <c r="W35" s="773"/>
      <c r="X35" s="4"/>
    </row>
    <row r="36" spans="1:24">
      <c r="A36" t="str">
        <f>SUBSTITUTE($V$2,"\","|")&amp; "|XAON"</f>
        <v>GP001_UPP_08|XAON</v>
      </c>
      <c r="B36" t="s">
        <v>74</v>
      </c>
      <c r="F36" t="s">
        <v>72</v>
      </c>
      <c r="G36" t="s">
        <v>71</v>
      </c>
      <c r="H36">
        <v>0</v>
      </c>
      <c r="I36" t="s">
        <v>72</v>
      </c>
      <c r="J36" t="s">
        <v>69</v>
      </c>
      <c r="K36">
        <v>0</v>
      </c>
      <c r="M36">
        <v>1</v>
      </c>
      <c r="R36" t="str">
        <f>IF($U$2=TRUE,$W$2&amp;". Включен автоматический режим","Включен автоматический режим")</f>
        <v>ГП 1. Пенное тушение Зона №8. Включен автоматический режим</v>
      </c>
      <c r="S36" s="372"/>
      <c r="U36" s="773"/>
      <c r="V36" s="4"/>
      <c r="W36" s="773"/>
      <c r="X36" s="4"/>
    </row>
    <row r="37" spans="1:24">
      <c r="A37" t="str">
        <f>SUBSTITUTE($V$2,"\","|")&amp; "|XBON"</f>
        <v>GP001_UPP_08|XBON</v>
      </c>
      <c r="B37" t="s">
        <v>74</v>
      </c>
      <c r="F37" t="s">
        <v>72</v>
      </c>
      <c r="G37" t="s">
        <v>71</v>
      </c>
      <c r="H37">
        <v>0</v>
      </c>
      <c r="I37" t="s">
        <v>72</v>
      </c>
      <c r="J37" t="s">
        <v>69</v>
      </c>
      <c r="K37">
        <v>0</v>
      </c>
      <c r="M37">
        <v>1</v>
      </c>
      <c r="R37" t="str">
        <f>IF($U$2=TRUE,$W$2&amp;". Блокирована система пожаротушения","Блокирована система пожаротушения")</f>
        <v>ГП 1. Пенное тушение Зона №8. Блокирована система пожаротушения</v>
      </c>
      <c r="S37" s="372"/>
      <c r="U37" s="773"/>
      <c r="V37" s="4"/>
      <c r="W37" s="773"/>
      <c r="X37" s="4"/>
    </row>
    <row r="38" spans="1:24">
      <c r="A38" t="str">
        <f>SUBSTITUTE($V$2,"\","|")&amp; "|XCPX"</f>
        <v>GP001_UPP_08|XCPX</v>
      </c>
      <c r="B38" t="s">
        <v>74</v>
      </c>
      <c r="F38" t="s">
        <v>72</v>
      </c>
      <c r="G38" t="s">
        <v>71</v>
      </c>
      <c r="H38">
        <v>0</v>
      </c>
      <c r="I38" t="s">
        <v>72</v>
      </c>
      <c r="J38" t="s">
        <v>69</v>
      </c>
      <c r="K38">
        <v>0</v>
      </c>
      <c r="M38">
        <v>1</v>
      </c>
      <c r="R38" t="str">
        <f>IF($U$2=TRUE,$W$2&amp;". Обратный отсчет до запуска ПТ приостановлен","Обратный отсчет до запуска ПТ приостановлен")</f>
        <v>ГП 1. Пенное тушение Зона №8. Обратный отсчет до запуска ПТ приостановлен</v>
      </c>
      <c r="S38" s="372"/>
      <c r="U38" s="773"/>
      <c r="V38" s="4"/>
      <c r="W38" s="773"/>
      <c r="X38" s="4"/>
    </row>
    <row r="39" spans="1:24">
      <c r="A39" t="str">
        <f>SUBSTITUTE($V$2,"\","|")&amp; "|XDAF"</f>
        <v>GP001_UPP_08|XDAF</v>
      </c>
      <c r="B39" t="s">
        <v>74</v>
      </c>
      <c r="F39" t="s">
        <v>72</v>
      </c>
      <c r="G39" t="s">
        <v>71</v>
      </c>
      <c r="H39">
        <v>0</v>
      </c>
      <c r="I39" t="s">
        <v>72</v>
      </c>
      <c r="J39" t="s">
        <v>74</v>
      </c>
      <c r="K39">
        <v>0</v>
      </c>
      <c r="M39">
        <v>1</v>
      </c>
      <c r="R39" t="str">
        <f>IF($U$2=TRUE,$W$2&amp;". Команда на включение табло Автоматика отключена","Команда на включение табло Автоматика отключена")</f>
        <v>ГП 1. Пенное тушение Зона №8. Команда на включение табло Автоматика отключена</v>
      </c>
      <c r="S39" s="372"/>
      <c r="U39" s="773"/>
      <c r="V39" s="4"/>
      <c r="W39" s="773"/>
      <c r="X39" s="4"/>
    </row>
    <row r="40" spans="1:24">
      <c r="A40" t="str">
        <f>SUBSTITUTE($V$2,"\","|")&amp; "|XDDE"</f>
        <v>GP001_UPP_08|XDDE</v>
      </c>
      <c r="B40" t="s">
        <v>74</v>
      </c>
      <c r="F40" t="s">
        <v>72</v>
      </c>
      <c r="G40" t="s">
        <v>71</v>
      </c>
      <c r="H40">
        <v>0</v>
      </c>
      <c r="I40" t="s">
        <v>72</v>
      </c>
      <c r="J40" t="s">
        <v>74</v>
      </c>
      <c r="K40">
        <v>0</v>
      </c>
      <c r="M40">
        <v>1</v>
      </c>
      <c r="R40" t="str">
        <f>IF($U$2=TRUE,$W$2&amp;". Команда на включение табло Газ не входи\Пена не входи","Команда на включение табло Газ не входи\Пена не входи")</f>
        <v>ГП 1. Пенное тушение Зона №8. Команда на включение табло Газ не входи\Пена не входи</v>
      </c>
      <c r="S40" s="372"/>
      <c r="U40" s="773"/>
      <c r="V40" s="4"/>
      <c r="W40" s="773"/>
      <c r="X40" s="4"/>
    </row>
    <row r="41" spans="1:24">
      <c r="A41" t="str">
        <f>SUBSTITUTE($V$2,"\","|")&amp; "|XDDG"</f>
        <v>GP001_UPP_08|XDDG</v>
      </c>
      <c r="B41" t="s">
        <v>74</v>
      </c>
      <c r="F41" t="s">
        <v>72</v>
      </c>
      <c r="G41" t="s">
        <v>71</v>
      </c>
      <c r="H41">
        <v>0</v>
      </c>
      <c r="I41" t="s">
        <v>72</v>
      </c>
      <c r="J41" t="s">
        <v>74</v>
      </c>
      <c r="K41">
        <v>0</v>
      </c>
      <c r="M41">
        <v>1</v>
      </c>
      <c r="R41" t="str">
        <f>IF($U$2=TRUE,$W$2&amp;". Команда на включение табло Газ - уходи\Пена - уходи","Команда на включение табло Газ - уходи\Пена - уходи")</f>
        <v>ГП 1. Пенное тушение Зона №8. Команда на включение табло Газ - уходи\Пена - уходи</v>
      </c>
      <c r="S41" s="372"/>
      <c r="U41" s="773"/>
      <c r="V41" s="4"/>
      <c r="W41" s="773"/>
      <c r="X41" s="4"/>
    </row>
    <row r="42" spans="1:24">
      <c r="A42" t="str">
        <f>SUBSTITUTE($V$2,"\","|")&amp; "|XEFN"</f>
        <v>GP001_UPP_08|XEFN</v>
      </c>
      <c r="B42" t="s">
        <v>74</v>
      </c>
      <c r="F42" t="s">
        <v>72</v>
      </c>
      <c r="G42" t="s">
        <v>71</v>
      </c>
      <c r="H42">
        <v>0</v>
      </c>
      <c r="I42" t="s">
        <v>72</v>
      </c>
      <c r="J42" t="s">
        <v>69</v>
      </c>
      <c r="K42">
        <v>0</v>
      </c>
      <c r="M42">
        <v>1</v>
      </c>
      <c r="R42" t="str">
        <f>IF($U$2=TRUE,$W$2&amp;". Выполнен досрочный принудительный запуск тушения","Выполнен досрочный принудительный запуск тушения")</f>
        <v>ГП 1. Пенное тушение Зона №8. Выполнен досрочный принудительный запуск тушения</v>
      </c>
      <c r="S42" s="372"/>
      <c r="U42" s="773"/>
      <c r="V42" s="4"/>
      <c r="W42" s="773"/>
      <c r="X42" s="4"/>
    </row>
    <row r="43" spans="1:24">
      <c r="A43" t="str">
        <f>SUBSTITUTE($V$2,"\","|")&amp; "|XFDN"</f>
        <v>GP001_UPP_08|XFDN</v>
      </c>
      <c r="B43" t="s">
        <v>74</v>
      </c>
      <c r="F43" t="s">
        <v>72</v>
      </c>
      <c r="G43" t="s">
        <v>71</v>
      </c>
      <c r="H43">
        <v>0</v>
      </c>
      <c r="I43" t="s">
        <v>72</v>
      </c>
      <c r="J43" t="s">
        <v>69</v>
      </c>
      <c r="K43">
        <v>0</v>
      </c>
      <c r="M43">
        <v>1</v>
      </c>
      <c r="R43" t="str">
        <f>IF($U$2=TRUE,$W$2&amp;". Идет\Начался отсчет до запуска тушения","Идет\Начался отсчет до запуска тушения")</f>
        <v>ГП 1. Пенное тушение Зона №8. Идет\Начался отсчет до запуска тушения</v>
      </c>
      <c r="S43" s="372"/>
      <c r="U43" s="773"/>
      <c r="V43" s="4"/>
      <c r="W43" s="773"/>
      <c r="X43" s="4"/>
    </row>
    <row r="44" spans="1:24">
      <c r="A44" t="str">
        <f>SUBSTITUTE($V$2,"\","|")&amp; "|XFRX"</f>
        <v>GP001_UPP_08|XFRX</v>
      </c>
      <c r="B44" t="s">
        <v>74</v>
      </c>
      <c r="F44" t="s">
        <v>72</v>
      </c>
      <c r="G44" t="s">
        <v>71</v>
      </c>
      <c r="H44">
        <v>0</v>
      </c>
      <c r="I44" t="s">
        <v>72</v>
      </c>
      <c r="J44" t="s">
        <v>69</v>
      </c>
      <c r="K44">
        <v>0</v>
      </c>
      <c r="M44">
        <v>1</v>
      </c>
      <c r="R44" t="str">
        <f>IF($U$2=TRUE,$W$2&amp;". Пожар в зоне","Пожар в зоне")</f>
        <v>ГП 1. Пенное тушение Зона №8. Пожар в зоне</v>
      </c>
      <c r="S44" s="372"/>
      <c r="U44" s="773"/>
      <c r="V44" s="4"/>
      <c r="W44" s="773"/>
      <c r="X44" s="4"/>
    </row>
    <row r="45" spans="1:24">
      <c r="A45" t="str">
        <f>SUBSTITUTE($V$2,"\","|")&amp; "|XFSX"</f>
        <v>GP001_UPP_08|XFSX</v>
      </c>
      <c r="B45" t="s">
        <v>74</v>
      </c>
      <c r="F45" t="s">
        <v>72</v>
      </c>
      <c r="G45" t="s">
        <v>71</v>
      </c>
      <c r="H45">
        <v>0</v>
      </c>
      <c r="I45" t="s">
        <v>72</v>
      </c>
      <c r="J45" t="s">
        <v>69</v>
      </c>
      <c r="K45">
        <v>0</v>
      </c>
      <c r="M45">
        <v>1</v>
      </c>
      <c r="R45" t="str">
        <f>IF($U$2=TRUE,$W$2&amp;". Останов пожаротушения (запуск ПТ отменен)","Останов пожаротушения (запуск ПТ отменен)")</f>
        <v>ГП 1. Пенное тушение Зона №8. Останов пожаротушения (запуск ПТ отменен)</v>
      </c>
      <c r="S45" s="372"/>
      <c r="U45" s="773"/>
      <c r="V45" s="4"/>
      <c r="W45" s="773"/>
      <c r="X45" s="4"/>
    </row>
    <row r="46" spans="1:24">
      <c r="A46" t="str">
        <f>SUBSTITUTE($V$2,"\","|")&amp; "|XFT1"</f>
        <v>GP001_UPP_08|XFT1</v>
      </c>
      <c r="B46" t="s">
        <v>78</v>
      </c>
      <c r="F46">
        <v>0</v>
      </c>
      <c r="G46" t="s">
        <v>71</v>
      </c>
      <c r="H46">
        <v>0</v>
      </c>
      <c r="I46" t="s">
        <v>72</v>
      </c>
      <c r="J46" t="s">
        <v>69</v>
      </c>
      <c r="K46">
        <v>0</v>
      </c>
      <c r="M46">
        <v>1</v>
      </c>
      <c r="R46" t="str">
        <f>IF($U$2=TRUE,$W$2&amp;". Время идущего тушения","Время идущего тушения")</f>
        <v>ГП 1. Пенное тушение Зона №8. Время идущего тушения</v>
      </c>
      <c r="S46" s="372"/>
      <c r="U46" s="773"/>
      <c r="V46" s="4"/>
      <c r="W46" s="773"/>
      <c r="X46" s="4"/>
    </row>
    <row r="47" spans="1:24">
      <c r="A47" t="str">
        <f>SUBSTITUTE($V$2,"\","|")&amp; "|XFTD"</f>
        <v>GP001_UPP_08|XFTD</v>
      </c>
      <c r="B47" t="s">
        <v>78</v>
      </c>
      <c r="F47">
        <v>0</v>
      </c>
      <c r="G47" t="s">
        <v>71</v>
      </c>
      <c r="H47">
        <v>0</v>
      </c>
      <c r="I47" t="s">
        <v>72</v>
      </c>
      <c r="J47" t="s">
        <v>69</v>
      </c>
      <c r="K47">
        <v>0</v>
      </c>
      <c r="M47">
        <v>1</v>
      </c>
      <c r="R47" t="str">
        <f>IF($U$2=TRUE,$W$2&amp;". Время задержки до запуска тушения","Время задержки до запуска тушения")</f>
        <v>ГП 1. Пенное тушение Зона №8. Время задержки до запуска тушения</v>
      </c>
      <c r="S47" s="372"/>
      <c r="U47" s="773"/>
      <c r="V47" s="4"/>
      <c r="W47" s="773"/>
      <c r="X47" s="4"/>
    </row>
    <row r="48" spans="1:24">
      <c r="A48" t="str">
        <f>SUBSTITUTE($V$2,"\","|")&amp; "|XNW1"</f>
        <v>GP001_UPP_08|XNW1</v>
      </c>
      <c r="B48" t="s">
        <v>74</v>
      </c>
      <c r="F48" t="s">
        <v>72</v>
      </c>
      <c r="G48" t="s">
        <v>71</v>
      </c>
      <c r="H48">
        <v>0</v>
      </c>
      <c r="I48" t="s">
        <v>72</v>
      </c>
      <c r="J48" t="s">
        <v>69</v>
      </c>
      <c r="K48">
        <v>0</v>
      </c>
      <c r="M48">
        <v>1</v>
      </c>
      <c r="R48" t="str">
        <f>IF($U$2=TRUE,$W$2&amp;". АУПТ не сработала","АУПТ не сработала")</f>
        <v>ГП 1. Пенное тушение Зона №8. АУПТ не сработала</v>
      </c>
      <c r="S48" s="372"/>
      <c r="U48" s="773"/>
      <c r="V48" s="4"/>
      <c r="W48" s="773"/>
      <c r="X48" s="4"/>
    </row>
    <row r="49" spans="1:24">
      <c r="A49" t="str">
        <f>SUBSTITUTE($V$2,"\","|")&amp; "|XPP1"</f>
        <v>GP001_UPP_08|XPP1</v>
      </c>
      <c r="B49" t="s">
        <v>74</v>
      </c>
      <c r="F49" t="s">
        <v>72</v>
      </c>
      <c r="G49" t="s">
        <v>71</v>
      </c>
      <c r="H49">
        <v>0</v>
      </c>
      <c r="I49" t="s">
        <v>72</v>
      </c>
      <c r="J49" t="s">
        <v>74</v>
      </c>
      <c r="K49">
        <v>0</v>
      </c>
      <c r="M49">
        <v>1</v>
      </c>
      <c r="R49" t="str">
        <f>IF($U$2=TRUE,$W$2&amp;". Наличие давления газа\пены (Сработала установка)","Наличие давления газа\пены (Сработала установка)")</f>
        <v>ГП 1. Пенное тушение Зона №8. Наличие давления газа\пены (Сработала установка)</v>
      </c>
      <c r="S49" s="372"/>
      <c r="U49" s="773"/>
      <c r="V49" s="4"/>
      <c r="W49" s="773"/>
      <c r="X49" s="4"/>
    </row>
    <row r="50" spans="1:24">
      <c r="A50" t="str">
        <f>SUBSTITUTE($V$2,"\","|")&amp; "|XRFX"</f>
        <v>GP001_UPP_08|XRFX</v>
      </c>
      <c r="B50" t="s">
        <v>78</v>
      </c>
      <c r="F50" t="s">
        <v>72</v>
      </c>
      <c r="G50" t="s">
        <v>71</v>
      </c>
      <c r="H50">
        <v>0</v>
      </c>
      <c r="I50" t="s">
        <v>72</v>
      </c>
      <c r="J50" t="s">
        <v>74</v>
      </c>
      <c r="K50">
        <v>0</v>
      </c>
      <c r="M50">
        <v>1</v>
      </c>
      <c r="R50" t="str">
        <f>IF($U$2=TRUE,$W$2&amp;". Счетчик неисправностей","Счетчик неисправностей")</f>
        <v>ГП 1. Пенное тушение Зона №8. Счетчик неисправностей</v>
      </c>
      <c r="S50" s="372"/>
      <c r="U50" s="773"/>
      <c r="V50" s="4"/>
      <c r="W50" s="773"/>
      <c r="X50" s="4"/>
    </row>
    <row r="51" spans="1:24">
      <c r="A51" t="str">
        <f>SUBSTITUTE($V$2,"\","|")&amp; "|XW1X"</f>
        <v>GP001_UPP_08|XW1X</v>
      </c>
      <c r="B51" t="s">
        <v>74</v>
      </c>
      <c r="F51" t="s">
        <v>72</v>
      </c>
      <c r="G51" t="s">
        <v>71</v>
      </c>
      <c r="H51">
        <v>0</v>
      </c>
      <c r="I51" t="s">
        <v>72</v>
      </c>
      <c r="J51" t="s">
        <v>69</v>
      </c>
      <c r="K51">
        <v>0</v>
      </c>
      <c r="M51">
        <v>1</v>
      </c>
      <c r="R51" t="str">
        <f>IF($U$2=TRUE,$W$2&amp;". АУПТ сработала","АУПТ сработала")</f>
        <v>ГП 1. Пенное тушение Зона №8. АУПТ сработала</v>
      </c>
      <c r="S51" s="372"/>
      <c r="U51" s="773"/>
      <c r="V51" s="4"/>
      <c r="W51" s="773"/>
      <c r="X51" s="4"/>
    </row>
    <row r="52" spans="1:24">
      <c r="A52" t="str">
        <f>SUBSTITUTE($V$2,"\","|")&amp; "|XNXX"</f>
        <v>GP001_UPP_08|XNXX</v>
      </c>
      <c r="B52" t="s">
        <v>74</v>
      </c>
      <c r="F52" t="s">
        <v>72</v>
      </c>
      <c r="G52" t="s">
        <v>71</v>
      </c>
      <c r="H52">
        <v>0</v>
      </c>
      <c r="I52" t="s">
        <v>72</v>
      </c>
      <c r="J52" t="s">
        <v>69</v>
      </c>
      <c r="K52">
        <v>0</v>
      </c>
      <c r="M52">
        <v>1</v>
      </c>
      <c r="R52" t="str">
        <f>IF($U$2=TRUE,$W$2&amp;". Норма системы ПТ","Норма системы ПТ")</f>
        <v>ГП 1. Пенное тушение Зона №8. Норма системы ПТ</v>
      </c>
      <c r="S52" s="372"/>
      <c r="U52" s="773"/>
      <c r="V52" s="4"/>
      <c r="W52" s="773"/>
      <c r="X52" s="4"/>
    </row>
    <row r="53" spans="1:24">
      <c r="A53" t="str">
        <f>SUBSTITUTE($V$2,"\","|")&amp; "|CXRS"</f>
        <v>GP001_UPP_08|CXRS</v>
      </c>
      <c r="B53" t="s">
        <v>74</v>
      </c>
      <c r="F53" t="s">
        <v>72</v>
      </c>
      <c r="G53" t="s">
        <v>71</v>
      </c>
      <c r="H53">
        <v>0</v>
      </c>
      <c r="I53" t="s">
        <v>72</v>
      </c>
      <c r="J53" t="s">
        <v>69</v>
      </c>
      <c r="K53">
        <v>0</v>
      </c>
      <c r="M53">
        <v>1</v>
      </c>
      <c r="R53" t="str">
        <f>IF($U$2=TRUE,$W$2&amp;". Сброс","Сброс")</f>
        <v>ГП 1. Пенное тушение Зона №8. Сброс</v>
      </c>
      <c r="S53" s="372"/>
      <c r="U53" s="773"/>
      <c r="V53" s="4"/>
      <c r="W53" s="773"/>
      <c r="X53" s="4"/>
    </row>
    <row r="56" spans="1:24">
      <c r="A56" s="4"/>
      <c r="B56" s="4"/>
      <c r="F56" s="4"/>
      <c r="G56" s="4"/>
      <c r="H56" s="4"/>
      <c r="I56" s="4"/>
      <c r="J56" s="4"/>
      <c r="K56" s="4"/>
      <c r="M56" s="4"/>
    </row>
  </sheetData>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codeName="Лист82">
    <tabColor rgb="FF92D050"/>
  </sheetPr>
  <dimension ref="A1:AC64"/>
  <sheetViews>
    <sheetView topLeftCell="A34" workbookViewId="0">
      <selection activeCell="V2" sqref="V2:AD2"/>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15" customHeight="1">
      <c r="A2" s="10"/>
      <c r="B2" s="10"/>
      <c r="F2" s="10"/>
      <c r="G2" s="10"/>
      <c r="H2" s="10"/>
      <c r="I2" s="10"/>
      <c r="J2" s="10"/>
      <c r="K2" s="10"/>
      <c r="M2" s="10"/>
      <c r="N2" s="10"/>
      <c r="O2" s="10"/>
      <c r="P2" s="10"/>
      <c r="Q2" s="10"/>
      <c r="R2" s="10"/>
      <c r="U2" s="74" t="b">
        <f>Настройки!$M$34</f>
        <v>1</v>
      </c>
      <c r="V2" s="73" t="s">
        <v>4930</v>
      </c>
      <c r="W2" s="537" t="s">
        <v>4931</v>
      </c>
      <c r="X2" s="73"/>
      <c r="Y2" s="73"/>
      <c r="Z2" s="73"/>
      <c r="AA2" s="74"/>
      <c r="AB2" s="74"/>
      <c r="AC2" s="74"/>
    </row>
    <row r="3" spans="1:29">
      <c r="A3" t="str">
        <f>SUBSTITUTE($V$2,"\","|")&amp; "|BFON"</f>
        <v>GP301_UPG_01|BFON</v>
      </c>
      <c r="B3" t="s">
        <v>74</v>
      </c>
      <c r="F3" t="s">
        <v>72</v>
      </c>
      <c r="G3" t="s">
        <v>71</v>
      </c>
      <c r="H3">
        <v>0</v>
      </c>
      <c r="I3" t="s">
        <v>72</v>
      </c>
      <c r="J3" t="s">
        <v>69</v>
      </c>
      <c r="K3">
        <v>0</v>
      </c>
      <c r="M3">
        <v>1</v>
      </c>
      <c r="R3" t="str">
        <f>IF($U$2=TRUE,$W$2&amp;". Блокировка системы пожаротушения от алгоритмов","Блокировка системы пожаротушения от алгоритмов")</f>
        <v>ГП 301. Газовое тушение . Блокировка системы пожаротушения от алгоритмов</v>
      </c>
      <c r="S3" s="372"/>
      <c r="U3" s="773"/>
      <c r="V3" s="4"/>
      <c r="W3" s="773"/>
      <c r="X3" s="4"/>
    </row>
    <row r="4" spans="1:29">
      <c r="A4" t="str">
        <f>SUBSTITUTE($V$2,"\","|")&amp; "|CAOF"</f>
        <v>GP301_UPG_01|CAOF</v>
      </c>
      <c r="B4" t="s">
        <v>74</v>
      </c>
      <c r="F4" t="s">
        <v>72</v>
      </c>
      <c r="G4" t="s">
        <v>71</v>
      </c>
      <c r="H4">
        <v>0</v>
      </c>
      <c r="I4" t="s">
        <v>72</v>
      </c>
      <c r="J4" t="s">
        <v>69</v>
      </c>
      <c r="K4">
        <v>0</v>
      </c>
      <c r="M4">
        <v>1</v>
      </c>
      <c r="R4" t="str">
        <f>IF($U$2=TRUE,$W$2&amp;". Команда алгоритма стоп тушения","Команда алгоритма стоп тушения")</f>
        <v>ГП 301. Газовое тушение . Команда алгоритма стоп тушения</v>
      </c>
      <c r="S4" s="372"/>
      <c r="U4" s="773"/>
      <c r="V4" s="4"/>
      <c r="W4" s="773"/>
      <c r="X4" s="4"/>
    </row>
    <row r="5" spans="1:29">
      <c r="A5" t="str">
        <f>SUBSTITUTE($V$2,"\","|")&amp; "|CAON"</f>
        <v>GP301_UPG_01|CAON</v>
      </c>
      <c r="B5" t="s">
        <v>74</v>
      </c>
      <c r="F5" t="s">
        <v>72</v>
      </c>
      <c r="G5" t="s">
        <v>71</v>
      </c>
      <c r="H5">
        <v>0</v>
      </c>
      <c r="I5" t="s">
        <v>72</v>
      </c>
      <c r="J5" t="s">
        <v>69</v>
      </c>
      <c r="K5">
        <v>0</v>
      </c>
      <c r="M5">
        <v>1</v>
      </c>
      <c r="R5" t="str">
        <f>IF($U$2=TRUE,$W$2&amp;". Команда алгоритма пуск тушения","Команда алгоритма пуск тушения")</f>
        <v>ГП 301. Газовое тушение . Команда алгоритма пуск тушения</v>
      </c>
      <c r="S5" s="372"/>
      <c r="U5" s="773"/>
      <c r="V5" s="4"/>
      <c r="W5" s="773"/>
      <c r="X5" s="4"/>
    </row>
    <row r="6" spans="1:29">
      <c r="A6" t="str">
        <f>SUBSTITUTE($V$2,"\","|")&amp; "|COAF"</f>
        <v>GP301_UPG_01|COAF</v>
      </c>
      <c r="B6" t="s">
        <v>74</v>
      </c>
      <c r="F6" t="s">
        <v>72</v>
      </c>
      <c r="G6" t="s">
        <v>71</v>
      </c>
      <c r="H6">
        <v>0</v>
      </c>
      <c r="I6" t="s">
        <v>72</v>
      </c>
      <c r="J6" t="s">
        <v>73</v>
      </c>
      <c r="K6">
        <v>0</v>
      </c>
      <c r="M6">
        <v>1</v>
      </c>
      <c r="R6" t="str">
        <f>IF($U$2=TRUE,$W$2&amp;". Команда оператора отключить автоматический режим","Команда оператора отключить автоматический режим")</f>
        <v>ГП 301. Газовое тушение . Команда оператора отключить автоматический режим</v>
      </c>
      <c r="S6" s="372"/>
      <c r="U6" s="773"/>
      <c r="V6" s="4"/>
      <c r="W6" s="773"/>
      <c r="X6" s="4"/>
    </row>
    <row r="7" spans="1:29">
      <c r="A7" t="str">
        <f>SUBSTITUTE($V$2,"\","|")&amp; "|COAN"</f>
        <v>GP301_UPG_01|COAN</v>
      </c>
      <c r="B7" t="s">
        <v>74</v>
      </c>
      <c r="F7" t="s">
        <v>72</v>
      </c>
      <c r="G7" t="s">
        <v>71</v>
      </c>
      <c r="H7">
        <v>0</v>
      </c>
      <c r="I7" t="s">
        <v>72</v>
      </c>
      <c r="J7" t="s">
        <v>73</v>
      </c>
      <c r="K7">
        <v>0</v>
      </c>
      <c r="M7">
        <v>1</v>
      </c>
      <c r="R7" t="str">
        <f>IF($U$2=TRUE,$W$2&amp;". Команда оператора включить автоматический режим","Команда оператора включить автоматический режим")</f>
        <v>ГП 301. Газовое тушение . Команда оператора включить автоматический режим</v>
      </c>
      <c r="S7" s="372"/>
      <c r="U7" s="773"/>
      <c r="V7" s="4"/>
      <c r="W7" s="773"/>
      <c r="X7" s="4"/>
    </row>
    <row r="8" spans="1:29">
      <c r="A8" t="str">
        <f>SUBSTITUTE($V$2,"\","|")&amp; "|COCP"</f>
        <v>GP301_UPG_01|COCP</v>
      </c>
      <c r="B8" t="s">
        <v>74</v>
      </c>
      <c r="F8" t="s">
        <v>72</v>
      </c>
      <c r="G8" t="s">
        <v>71</v>
      </c>
      <c r="H8">
        <v>0</v>
      </c>
      <c r="I8" t="s">
        <v>72</v>
      </c>
      <c r="J8" t="s">
        <v>73</v>
      </c>
      <c r="K8">
        <v>0</v>
      </c>
      <c r="M8">
        <v>1</v>
      </c>
      <c r="R8" t="str">
        <f>IF($U$2=TRUE,$W$2&amp;". Команда оператора отсчет времени до запуска ПТ приостановить","Команда оператора отсчет времени до запуска ПТ приостановить")</f>
        <v>ГП 301. Газовое тушение . Команда оператора отсчет времени до запуска ПТ приостановить</v>
      </c>
      <c r="S8" s="372"/>
      <c r="U8" s="773"/>
      <c r="V8" s="4"/>
      <c r="W8" s="773"/>
      <c r="X8" s="4"/>
    </row>
    <row r="9" spans="1:29">
      <c r="A9" t="str">
        <f>SUBSTITUTE($V$2,"\","|")&amp; "|COCR"</f>
        <v>GP301_UPG_01|COCR</v>
      </c>
      <c r="B9" t="s">
        <v>74</v>
      </c>
      <c r="F9" t="s">
        <v>72</v>
      </c>
      <c r="G9" t="s">
        <v>71</v>
      </c>
      <c r="H9">
        <v>0</v>
      </c>
      <c r="I9" t="s">
        <v>72</v>
      </c>
      <c r="J9" t="s">
        <v>73</v>
      </c>
      <c r="K9">
        <v>0</v>
      </c>
      <c r="M9">
        <v>1</v>
      </c>
      <c r="R9" t="str">
        <f>IF($U$2=TRUE,$W$2&amp;". Команда оператора отсчет времени до запуска ПТ возобновить","Команда оператора отсчет времени до запуска ПТ возобновить")</f>
        <v>ГП 301. Газовое тушение . Команда оператора отсчет времени до запуска ПТ возобновить</v>
      </c>
      <c r="S9" s="372"/>
      <c r="U9" s="773"/>
      <c r="V9" s="4"/>
      <c r="W9" s="773"/>
      <c r="X9" s="4"/>
    </row>
    <row r="10" spans="1:29">
      <c r="A10" t="str">
        <f>SUBSTITUTE($V$2,"\","|")&amp; "|COOF"</f>
        <v>GP301_UPG_01|COOF</v>
      </c>
      <c r="B10" t="s">
        <v>74</v>
      </c>
      <c r="F10" t="s">
        <v>72</v>
      </c>
      <c r="G10" t="s">
        <v>71</v>
      </c>
      <c r="H10">
        <v>0</v>
      </c>
      <c r="I10" t="s">
        <v>72</v>
      </c>
      <c r="J10" t="s">
        <v>73</v>
      </c>
      <c r="K10">
        <v>0</v>
      </c>
      <c r="M10">
        <v>1</v>
      </c>
      <c r="R10" t="str">
        <f>IF($U$2=TRUE,$W$2&amp;". Команда оператора стоп тушения","Команда оператора стоп тушения")</f>
        <v>ГП 301. Газовое тушение . Команда оператора стоп тушения</v>
      </c>
      <c r="S10" s="372"/>
      <c r="U10" s="773"/>
      <c r="V10" s="4"/>
      <c r="W10" s="773"/>
      <c r="X10" s="4"/>
    </row>
    <row r="11" spans="1:29">
      <c r="A11" t="str">
        <f>SUBSTITUTE($V$2,"\","|")&amp; "|COON"</f>
        <v>GP301_UPG_01|COON</v>
      </c>
      <c r="B11" t="s">
        <v>74</v>
      </c>
      <c r="F11" t="s">
        <v>72</v>
      </c>
      <c r="G11" t="s">
        <v>71</v>
      </c>
      <c r="H11">
        <v>0</v>
      </c>
      <c r="I11" t="s">
        <v>72</v>
      </c>
      <c r="J11" t="s">
        <v>73</v>
      </c>
      <c r="K11">
        <v>0</v>
      </c>
      <c r="M11">
        <v>1</v>
      </c>
      <c r="R11" t="str">
        <f>IF($U$2=TRUE,$W$2&amp;". Команда оператора пуск тушения","Команда оператора пуск тушения")</f>
        <v>ГП 301. Газовое тушение . Команда оператора пуск тушения</v>
      </c>
      <c r="S11" s="372"/>
      <c r="U11" s="773"/>
      <c r="V11" s="4"/>
      <c r="W11" s="773"/>
      <c r="X11" s="4"/>
    </row>
    <row r="12" spans="1:29">
      <c r="A12" t="str">
        <f>SUBSTITUTE($V$2,"\","|")&amp; "|COTD"</f>
        <v>GP301_UPG_01|COTD</v>
      </c>
      <c r="B12" t="s">
        <v>74</v>
      </c>
      <c r="F12" t="s">
        <v>72</v>
      </c>
      <c r="G12" t="s">
        <v>71</v>
      </c>
      <c r="H12">
        <v>0</v>
      </c>
      <c r="I12" t="s">
        <v>72</v>
      </c>
      <c r="J12" t="s">
        <v>73</v>
      </c>
      <c r="K12">
        <v>0</v>
      </c>
      <c r="M12">
        <v>1</v>
      </c>
      <c r="R12" t="str">
        <f>IF($U$2=TRUE,$W$2&amp;". Команда оператора на уменьшение времени до запуска ПТ","Команда оператора на уменьшение времени до запуска ПТ")</f>
        <v>ГП 301. Газовое тушение . Команда оператора на уменьшение времени до запуска ПТ</v>
      </c>
      <c r="S12" s="372"/>
      <c r="U12" s="773"/>
      <c r="V12" s="4"/>
      <c r="W12" s="773"/>
      <c r="X12" s="4"/>
    </row>
    <row r="13" spans="1:29">
      <c r="A13" t="str">
        <f>SUBSTITUTE($V$2,"\","|")&amp; "|COTI"</f>
        <v>GP301_UPG_01|COTI</v>
      </c>
      <c r="B13" t="s">
        <v>74</v>
      </c>
      <c r="F13" t="s">
        <v>72</v>
      </c>
      <c r="G13" t="s">
        <v>71</v>
      </c>
      <c r="H13">
        <v>0</v>
      </c>
      <c r="I13" t="s">
        <v>72</v>
      </c>
      <c r="J13" t="s">
        <v>73</v>
      </c>
      <c r="K13">
        <v>0</v>
      </c>
      <c r="M13">
        <v>1</v>
      </c>
      <c r="R13" t="str">
        <f>IF($U$2=TRUE,$W$2&amp;". Команда оператора на увеличение времени до запуска ПТ","Команда оператора на увеличение времени до запуска ПТ")</f>
        <v>ГП 301. Газовое тушение . Команда оператора на увеличение времени до запуска ПТ</v>
      </c>
      <c r="S13" s="372"/>
      <c r="U13" s="773"/>
      <c r="V13" s="4"/>
      <c r="W13" s="773"/>
      <c r="X13" s="4"/>
    </row>
    <row r="14" spans="1:29">
      <c r="A14" t="str">
        <f>SUBSTITUTE($V$2,"\","|")&amp; "|CPAF"</f>
        <v>GP301_UPG_01|CPAF</v>
      </c>
      <c r="B14" t="s">
        <v>74</v>
      </c>
      <c r="F14" t="s">
        <v>72</v>
      </c>
      <c r="G14" t="s">
        <v>71</v>
      </c>
      <c r="H14">
        <v>0</v>
      </c>
      <c r="I14" t="s">
        <v>72</v>
      </c>
      <c r="J14" t="s">
        <v>69</v>
      </c>
      <c r="K14">
        <v>0</v>
      </c>
      <c r="M14">
        <v>1</v>
      </c>
      <c r="R14" t="str">
        <f>IF($U$2=TRUE,$W$2&amp;". Команда ВП отключить автоматический режим","Команда ВП отключить автоматический режим")</f>
        <v>ГП 301. Газовое тушение . Команда ВП отключить автоматический режим</v>
      </c>
      <c r="S14" s="372"/>
      <c r="U14" s="773"/>
      <c r="V14" s="4"/>
      <c r="W14" s="773"/>
      <c r="X14" s="4"/>
    </row>
    <row r="15" spans="1:29">
      <c r="A15" t="str">
        <f>SUBSTITUTE($V$2,"\","|")&amp; "|CPAN"</f>
        <v>GP301_UPG_01|CPAN</v>
      </c>
      <c r="B15" t="s">
        <v>74</v>
      </c>
      <c r="F15" t="s">
        <v>72</v>
      </c>
      <c r="G15" t="s">
        <v>71</v>
      </c>
      <c r="H15">
        <v>0</v>
      </c>
      <c r="I15" t="s">
        <v>72</v>
      </c>
      <c r="J15" t="s">
        <v>69</v>
      </c>
      <c r="K15">
        <v>0</v>
      </c>
      <c r="M15">
        <v>1</v>
      </c>
      <c r="R15" t="str">
        <f>IF($U$2=TRUE,$W$2&amp;". Команда ВП включить автоматический режим","Команда ВП включить автоматический режим")</f>
        <v>ГП 301. Газовое тушение . Команда ВП включить автоматический режим</v>
      </c>
      <c r="S15" s="372"/>
      <c r="U15" s="773"/>
      <c r="V15" s="4"/>
      <c r="W15" s="773"/>
      <c r="X15" s="4"/>
    </row>
    <row r="16" spans="1:29">
      <c r="A16" t="str">
        <f>SUBSTITUTE($V$2,"\","|")&amp; "|CPCP"</f>
        <v>GP301_UPG_01|CPCP</v>
      </c>
      <c r="B16" t="s">
        <v>74</v>
      </c>
      <c r="F16" t="s">
        <v>72</v>
      </c>
      <c r="G16" t="s">
        <v>71</v>
      </c>
      <c r="H16">
        <v>0</v>
      </c>
      <c r="I16" t="s">
        <v>72</v>
      </c>
      <c r="J16" t="s">
        <v>69</v>
      </c>
      <c r="K16">
        <v>0</v>
      </c>
      <c r="M16">
        <v>1</v>
      </c>
      <c r="R16" t="str">
        <f>IF($U$2=TRUE,$W$2&amp;". Команда ВП отсчет времени до запуска ПТ приостановить","Команда ВП отсчет времени до запуска ПТ приостановить")</f>
        <v>ГП 301. Газовое тушение . Команда ВП отсчет времени до запуска ПТ приостановить</v>
      </c>
      <c r="S16" s="372"/>
      <c r="U16" s="773"/>
      <c r="V16" s="4"/>
      <c r="W16" s="773"/>
      <c r="X16" s="4"/>
    </row>
    <row r="17" spans="1:24">
      <c r="A17" t="str">
        <f>SUBSTITUTE($V$2,"\","|")&amp; "|CPCR"</f>
        <v>GP301_UPG_01|CPCR</v>
      </c>
      <c r="B17" t="s">
        <v>74</v>
      </c>
      <c r="F17" t="s">
        <v>72</v>
      </c>
      <c r="G17" t="s">
        <v>71</v>
      </c>
      <c r="H17">
        <v>0</v>
      </c>
      <c r="I17" t="s">
        <v>72</v>
      </c>
      <c r="J17" t="s">
        <v>69</v>
      </c>
      <c r="K17">
        <v>0</v>
      </c>
      <c r="M17">
        <v>1</v>
      </c>
      <c r="R17" t="str">
        <f>IF($U$2=TRUE,$W$2&amp;". Команда ВП отсчет времени до запуска ПТ возобновить","Команда ВП отсчет времени до запуска ПТ возобновить")</f>
        <v>ГП 301. Газовое тушение . Команда ВП отсчет времени до запуска ПТ возобновить</v>
      </c>
      <c r="S17" s="372"/>
      <c r="U17" s="773"/>
      <c r="V17" s="4"/>
      <c r="W17" s="773"/>
      <c r="X17" s="4"/>
    </row>
    <row r="18" spans="1:24">
      <c r="A18" t="str">
        <f>SUBSTITUTE($V$2,"\","|")&amp; "|CPOF"</f>
        <v>GP301_UPG_01|CPOF</v>
      </c>
      <c r="B18" t="s">
        <v>74</v>
      </c>
      <c r="F18" t="s">
        <v>72</v>
      </c>
      <c r="G18" t="s">
        <v>71</v>
      </c>
      <c r="H18">
        <v>0</v>
      </c>
      <c r="I18" t="s">
        <v>72</v>
      </c>
      <c r="J18" t="s">
        <v>69</v>
      </c>
      <c r="K18">
        <v>0</v>
      </c>
      <c r="M18">
        <v>1</v>
      </c>
      <c r="R18" t="str">
        <f>IF($U$2=TRUE,$W$2&amp;". Команда ВП стоп тушения","Команда ВП стоп тушения")</f>
        <v>ГП 301. Газовое тушение . Команда ВП стоп тушения</v>
      </c>
      <c r="S18" s="372"/>
      <c r="U18" s="773"/>
      <c r="V18" s="4"/>
      <c r="W18" s="773"/>
      <c r="X18" s="4"/>
    </row>
    <row r="19" spans="1:24">
      <c r="A19" t="str">
        <f>SUBSTITUTE($V$2,"\","|")&amp; "|CPON"</f>
        <v>GP301_UPG_01|CPON</v>
      </c>
      <c r="B19" t="s">
        <v>74</v>
      </c>
      <c r="F19" t="s">
        <v>72</v>
      </c>
      <c r="G19" t="s">
        <v>71</v>
      </c>
      <c r="H19">
        <v>0</v>
      </c>
      <c r="I19" t="s">
        <v>72</v>
      </c>
      <c r="J19" t="s">
        <v>69</v>
      </c>
      <c r="K19">
        <v>0</v>
      </c>
      <c r="M19">
        <v>1</v>
      </c>
      <c r="R19" t="str">
        <f>IF($U$2=TRUE,$W$2&amp;". Команда ВП пуск тушения","Команда ВП пуск тушения")</f>
        <v>ГП 301. Газовое тушение . Команда ВП пуск тушения</v>
      </c>
      <c r="S19" s="372"/>
      <c r="U19" s="773"/>
      <c r="V19" s="4"/>
      <c r="W19" s="773"/>
      <c r="X19" s="4"/>
    </row>
    <row r="20" spans="1:24">
      <c r="A20" t="str">
        <f>SUBSTITUTE($V$2,"\","|")&amp; "|CPTD"</f>
        <v>GP301_UPG_01|CPTD</v>
      </c>
      <c r="B20" t="s">
        <v>74</v>
      </c>
      <c r="F20" t="s">
        <v>72</v>
      </c>
      <c r="G20" t="s">
        <v>71</v>
      </c>
      <c r="H20">
        <v>0</v>
      </c>
      <c r="I20" t="s">
        <v>72</v>
      </c>
      <c r="J20" t="s">
        <v>69</v>
      </c>
      <c r="K20">
        <v>0</v>
      </c>
      <c r="M20">
        <v>1</v>
      </c>
      <c r="R20" t="str">
        <f>IF($U$2=TRUE,$W$2&amp;". Команда ВП на уменьшение времени до запуска ПТ","Команда ВП на уменьшение времени до запуска ПТ")</f>
        <v>ГП 301. Газовое тушение . Команда ВП на уменьшение времени до запуска ПТ</v>
      </c>
      <c r="S20" s="372"/>
      <c r="U20" s="773"/>
      <c r="V20" s="4"/>
      <c r="W20" s="773"/>
      <c r="X20" s="4"/>
    </row>
    <row r="21" spans="1:24">
      <c r="A21" t="str">
        <f>SUBSTITUTE($V$2,"\","|")&amp; "|CPTI"</f>
        <v>GP301_UPG_01|CPTI</v>
      </c>
      <c r="B21" t="s">
        <v>74</v>
      </c>
      <c r="F21" t="s">
        <v>72</v>
      </c>
      <c r="G21" t="s">
        <v>71</v>
      </c>
      <c r="H21">
        <v>0</v>
      </c>
      <c r="I21" t="s">
        <v>72</v>
      </c>
      <c r="J21" t="s">
        <v>69</v>
      </c>
      <c r="K21">
        <v>0</v>
      </c>
      <c r="M21">
        <v>1</v>
      </c>
      <c r="R21" t="str">
        <f>IF($U$2=TRUE,$W$2&amp;". Команда ВП на увеличение времени до запуска ПТ","Команда ВП на увеличение времени до запуска ПТ")</f>
        <v>ГП 301. Газовое тушение . Команда ВП на увеличение времени до запуска ПТ</v>
      </c>
      <c r="S21" s="372"/>
      <c r="U21" s="773"/>
      <c r="V21" s="4"/>
      <c r="W21" s="773"/>
      <c r="X21" s="4"/>
    </row>
    <row r="22" spans="1:24">
      <c r="A22" t="str">
        <f>SUBSTITUTE($V$2,"\","|")&amp; "|CROF"</f>
        <v>GP301_UPG_01|CROF</v>
      </c>
      <c r="B22" t="s">
        <v>74</v>
      </c>
      <c r="F22" t="s">
        <v>72</v>
      </c>
      <c r="G22" t="s">
        <v>71</v>
      </c>
      <c r="H22">
        <v>0</v>
      </c>
      <c r="I22" t="s">
        <v>72</v>
      </c>
      <c r="J22" t="s">
        <v>69</v>
      </c>
      <c r="K22">
        <v>0</v>
      </c>
      <c r="M22">
        <v>1</v>
      </c>
      <c r="R22" t="str">
        <f>IF($U$2=TRUE,$W$2&amp;". Команда от кнопки по месту стоп тушения","Команда от кнопки по месту стоп тушения")</f>
        <v>ГП 301. Газовое тушение . Команда от кнопки по месту стоп тушения</v>
      </c>
      <c r="S22" s="372"/>
      <c r="U22" s="773"/>
      <c r="V22" s="4"/>
      <c r="W22" s="773"/>
      <c r="X22" s="4"/>
    </row>
    <row r="23" spans="1:24">
      <c r="A23" t="str">
        <f>SUBSTITUTE($V$2,"\","|")&amp; "|CRON"</f>
        <v>GP301_UPG_01|CRON</v>
      </c>
      <c r="B23" t="s">
        <v>74</v>
      </c>
      <c r="F23" t="s">
        <v>72</v>
      </c>
      <c r="G23" t="s">
        <v>71</v>
      </c>
      <c r="H23">
        <v>0</v>
      </c>
      <c r="I23" t="s">
        <v>72</v>
      </c>
      <c r="J23" t="s">
        <v>69</v>
      </c>
      <c r="K23">
        <v>0</v>
      </c>
      <c r="M23">
        <v>1</v>
      </c>
      <c r="R23" t="str">
        <f>IF($U$2=TRUE,$W$2&amp;". Команда от кнопки по месту пуск тушения","Команда от кнопки по месту пуск тушения")</f>
        <v>ГП 301. Газовое тушение . Команда от кнопки по месту пуск тушения</v>
      </c>
      <c r="S23" s="372"/>
      <c r="U23" s="773"/>
      <c r="V23" s="4"/>
      <c r="W23" s="773"/>
      <c r="X23" s="4"/>
    </row>
    <row r="24" spans="1:24">
      <c r="A24" t="str">
        <f>SUBSTITUTE($V$2,"\","|")&amp; "|CSAF"</f>
        <v>GP301_UPG_01|CSAF</v>
      </c>
      <c r="B24" t="s">
        <v>74</v>
      </c>
      <c r="F24" t="s">
        <v>72</v>
      </c>
      <c r="G24" t="s">
        <v>71</v>
      </c>
      <c r="H24">
        <v>0</v>
      </c>
      <c r="I24" t="s">
        <v>72</v>
      </c>
      <c r="J24" t="s">
        <v>69</v>
      </c>
      <c r="K24">
        <v>0</v>
      </c>
      <c r="M24">
        <v>1</v>
      </c>
      <c r="R24" t="str">
        <f>IF($U$2=TRUE,$W$2&amp;". Команда УПИ отключить автоматический режим","Команда УПИ отключить автоматический режим")</f>
        <v>ГП 301. Газовое тушение . Команда УПИ отключить автоматический режим</v>
      </c>
      <c r="S24" s="372"/>
      <c r="U24" s="773"/>
      <c r="V24" s="4"/>
      <c r="W24" s="773"/>
      <c r="X24" s="4"/>
    </row>
    <row r="25" spans="1:24">
      <c r="A25" t="str">
        <f>SUBSTITUTE($V$2,"\","|")&amp; "|CSAN"</f>
        <v>GP301_UPG_01|CSAN</v>
      </c>
      <c r="B25" t="s">
        <v>74</v>
      </c>
      <c r="F25" t="s">
        <v>72</v>
      </c>
      <c r="G25" t="s">
        <v>71</v>
      </c>
      <c r="H25">
        <v>0</v>
      </c>
      <c r="I25" t="s">
        <v>72</v>
      </c>
      <c r="J25" t="s">
        <v>69</v>
      </c>
      <c r="K25">
        <v>0</v>
      </c>
      <c r="M25">
        <v>1</v>
      </c>
      <c r="R25" t="str">
        <f>IF($U$2=TRUE,$W$2&amp;". Команда УПИ включить автоматический режим","Команда УПИ включить автоматический режим")</f>
        <v>ГП 301. Газовое тушение . Команда УПИ включить автоматический режим</v>
      </c>
      <c r="S25" s="372"/>
      <c r="U25" s="773"/>
      <c r="V25" s="4"/>
      <c r="W25" s="773"/>
      <c r="X25" s="4"/>
    </row>
    <row r="26" spans="1:24">
      <c r="A26" t="str">
        <f>SUBSTITUTE($V$2,"\","|")&amp; "|CSCP"</f>
        <v>GP301_UPG_01|CSCP</v>
      </c>
      <c r="B26" t="s">
        <v>74</v>
      </c>
      <c r="F26" t="s">
        <v>72</v>
      </c>
      <c r="G26" t="s">
        <v>71</v>
      </c>
      <c r="H26">
        <v>0</v>
      </c>
      <c r="I26" t="s">
        <v>72</v>
      </c>
      <c r="J26" t="s">
        <v>69</v>
      </c>
      <c r="K26">
        <v>0</v>
      </c>
      <c r="M26">
        <v>1</v>
      </c>
      <c r="R26" t="str">
        <f>IF($U$2=TRUE,$W$2&amp;". Команда УПИ отсчет времени до запуска ПТ приостановить","Команда УПИ отсчет времени до запуска ПТ приостановить")</f>
        <v>ГП 301. Газовое тушение . Команда УПИ отсчет времени до запуска ПТ приостановить</v>
      </c>
      <c r="S26" s="372"/>
      <c r="U26" s="773"/>
      <c r="V26" s="4"/>
      <c r="W26" s="773"/>
      <c r="X26" s="4"/>
    </row>
    <row r="27" spans="1:24">
      <c r="A27" t="str">
        <f>SUBSTITUTE($V$2,"\","|")&amp; "|CSCR"</f>
        <v>GP301_UPG_01|CSCR</v>
      </c>
      <c r="B27" t="s">
        <v>74</v>
      </c>
      <c r="F27" t="s">
        <v>72</v>
      </c>
      <c r="G27" t="s">
        <v>71</v>
      </c>
      <c r="H27">
        <v>0</v>
      </c>
      <c r="I27" t="s">
        <v>72</v>
      </c>
      <c r="J27" t="s">
        <v>69</v>
      </c>
      <c r="K27">
        <v>0</v>
      </c>
      <c r="M27">
        <v>1</v>
      </c>
      <c r="R27" t="str">
        <f>IF($U$2=TRUE,$W$2&amp;". Команда УПИ отсчет времени до запуска ПТ возобновить","Команда УПИ отсчет времени до запуска ПТ возобновить")</f>
        <v>ГП 301. Газовое тушение . Команда УПИ отсчет времени до запуска ПТ возобновить</v>
      </c>
      <c r="S27" s="372"/>
      <c r="U27" s="773"/>
      <c r="V27" s="4"/>
      <c r="W27" s="773"/>
      <c r="X27" s="4"/>
    </row>
    <row r="28" spans="1:24">
      <c r="A28" t="str">
        <f>SUBSTITUTE($V$2,"\","|")&amp; "|CSOF"</f>
        <v>GP301_UPG_01|CSOF</v>
      </c>
      <c r="B28" t="s">
        <v>74</v>
      </c>
      <c r="F28" t="s">
        <v>72</v>
      </c>
      <c r="G28" t="s">
        <v>71</v>
      </c>
      <c r="H28">
        <v>0</v>
      </c>
      <c r="I28" t="s">
        <v>72</v>
      </c>
      <c r="J28" t="s">
        <v>69</v>
      </c>
      <c r="K28">
        <v>0</v>
      </c>
      <c r="M28">
        <v>1</v>
      </c>
      <c r="R28" t="str">
        <f>IF($U$2=TRUE,$W$2&amp;". Команда УПИ стоп тушения","Команда УПИ стоп тушения")</f>
        <v>ГП 301. Газовое тушение . Команда УПИ стоп тушения</v>
      </c>
      <c r="S28" s="372"/>
      <c r="U28" s="773"/>
      <c r="V28" s="4"/>
      <c r="W28" s="773"/>
      <c r="X28" s="4"/>
    </row>
    <row r="29" spans="1:24">
      <c r="A29" t="str">
        <f>SUBSTITUTE($V$2,"\","|")&amp; "|CSON"</f>
        <v>GP301_UPG_01|CSON</v>
      </c>
      <c r="B29" t="s">
        <v>74</v>
      </c>
      <c r="F29" t="s">
        <v>72</v>
      </c>
      <c r="G29" t="s">
        <v>71</v>
      </c>
      <c r="H29">
        <v>0</v>
      </c>
      <c r="I29" t="s">
        <v>72</v>
      </c>
      <c r="J29" t="s">
        <v>69</v>
      </c>
      <c r="K29">
        <v>0</v>
      </c>
      <c r="M29">
        <v>1</v>
      </c>
      <c r="R29" t="str">
        <f>IF($U$2=TRUE,$W$2&amp;". Команда УПИ пуск тушения","Команда УПИ пуск тушения")</f>
        <v>ГП 301. Газовое тушение . Команда УПИ пуск тушения</v>
      </c>
      <c r="S29" s="372"/>
      <c r="U29" s="773"/>
      <c r="V29" s="4"/>
      <c r="W29" s="773"/>
      <c r="X29" s="4"/>
    </row>
    <row r="30" spans="1:24">
      <c r="A30" t="str">
        <f>SUBSTITUTE($V$2,"\","|")&amp; "|CSTD"</f>
        <v>GP301_UPG_01|CSTD</v>
      </c>
      <c r="B30" t="s">
        <v>74</v>
      </c>
      <c r="F30" t="s">
        <v>72</v>
      </c>
      <c r="G30" t="s">
        <v>71</v>
      </c>
      <c r="H30">
        <v>0</v>
      </c>
      <c r="I30" t="s">
        <v>72</v>
      </c>
      <c r="J30" t="s">
        <v>69</v>
      </c>
      <c r="K30">
        <v>0</v>
      </c>
      <c r="M30">
        <v>1</v>
      </c>
      <c r="R30" t="str">
        <f>IF($U$2=TRUE,$W$2&amp;". Команда УПИ на уменьшение времени до запуска ПТ","Команда УПИ на уменьшение времени до запуска ПТ")</f>
        <v>ГП 301. Газовое тушение . Команда УПИ на уменьшение времени до запуска ПТ</v>
      </c>
      <c r="S30" s="372"/>
      <c r="U30" s="773"/>
      <c r="V30" s="4"/>
      <c r="W30" s="773"/>
      <c r="X30" s="4"/>
    </row>
    <row r="31" spans="1:24">
      <c r="A31" t="str">
        <f>SUBSTITUTE($V$2,"\","|")&amp; "|CSTI"</f>
        <v>GP301_UPG_01|CSTI</v>
      </c>
      <c r="B31" t="s">
        <v>74</v>
      </c>
      <c r="F31" t="s">
        <v>72</v>
      </c>
      <c r="G31" t="s">
        <v>71</v>
      </c>
      <c r="H31">
        <v>0</v>
      </c>
      <c r="I31" t="s">
        <v>72</v>
      </c>
      <c r="J31" t="s">
        <v>69</v>
      </c>
      <c r="K31">
        <v>0</v>
      </c>
      <c r="M31">
        <v>1</v>
      </c>
      <c r="R31" t="str">
        <f>IF($U$2=TRUE,$W$2&amp;". Команда УПИ на увеличение времени до запуска ПТ","Команда УПИ на увеличение времени до запуска ПТ")</f>
        <v>ГП 301. Газовое тушение . Команда УПИ на увеличение времени до запуска ПТ</v>
      </c>
      <c r="S31" s="372"/>
      <c r="U31" s="773"/>
      <c r="V31" s="4"/>
      <c r="W31" s="773"/>
      <c r="X31" s="4"/>
    </row>
    <row r="32" spans="1:24">
      <c r="A32" t="str">
        <f>SUBSTITUTE($V$2,"\","|")&amp; "|CTD1"</f>
        <v>GP301_UPG_01|CTD1</v>
      </c>
      <c r="B32" t="s">
        <v>74</v>
      </c>
      <c r="F32" t="s">
        <v>72</v>
      </c>
      <c r="G32" t="s">
        <v>71</v>
      </c>
      <c r="H32">
        <v>0</v>
      </c>
      <c r="I32" t="s">
        <v>72</v>
      </c>
      <c r="J32" t="s">
        <v>69</v>
      </c>
      <c r="K32">
        <v>0</v>
      </c>
      <c r="M32">
        <v>1</v>
      </c>
      <c r="R32" t="str">
        <f>IF($U$2=TRUE,$W$2&amp;". Команда на изменение времени задержки до начала тушения","Команда на изменение времени задержки до начала тушения")</f>
        <v>ГП 301. Газовое тушение . Команда на изменение времени задержки до начала тушения</v>
      </c>
      <c r="S32" s="372"/>
      <c r="U32" s="773"/>
      <c r="V32" s="4"/>
      <c r="W32" s="773"/>
      <c r="X32" s="4"/>
    </row>
    <row r="33" spans="1:24">
      <c r="A33" t="str">
        <f>SUBSTITUTE($V$2,"\","|")&amp; "|FDON"</f>
        <v>GP301_UPG_01|FDON</v>
      </c>
      <c r="B33" t="s">
        <v>74</v>
      </c>
      <c r="F33" t="s">
        <v>72</v>
      </c>
      <c r="G33" t="s">
        <v>71</v>
      </c>
      <c r="H33">
        <v>0</v>
      </c>
      <c r="I33" t="s">
        <v>72</v>
      </c>
      <c r="J33" t="s">
        <v>69</v>
      </c>
      <c r="K33">
        <v>0</v>
      </c>
      <c r="M33">
        <v>1</v>
      </c>
      <c r="R33" t="str">
        <f>IF($U$2=TRUE,$W$2&amp;". Тушение невозможно-открыты двери","Тушение невозможно-открыты двери")</f>
        <v>ГП 301. Газовое тушение . Тушение невозможно-открыты двери</v>
      </c>
      <c r="S33" s="372"/>
      <c r="U33" s="773"/>
      <c r="V33" s="4"/>
      <c r="W33" s="773"/>
      <c r="X33" s="4"/>
    </row>
    <row r="34" spans="1:24">
      <c r="A34" t="str">
        <f>SUBSTITUTE($V$2,"\","|")&amp; "|FFON"</f>
        <v>GP301_UPG_01|FFON</v>
      </c>
      <c r="B34" t="s">
        <v>74</v>
      </c>
      <c r="F34" t="s">
        <v>72</v>
      </c>
      <c r="G34" t="s">
        <v>71</v>
      </c>
      <c r="H34">
        <v>0</v>
      </c>
      <c r="I34" t="s">
        <v>72</v>
      </c>
      <c r="J34" t="s">
        <v>69</v>
      </c>
      <c r="K34">
        <v>0</v>
      </c>
      <c r="M34">
        <v>1</v>
      </c>
      <c r="R34" t="str">
        <f>IF($U$2=TRUE,$W$2&amp;". Несанкционированный выпуск ОТВ","Несанкционированный выпуск ОТВ")</f>
        <v>ГП 301. Газовое тушение . Несанкционированный выпуск ОТВ</v>
      </c>
      <c r="S34" s="372"/>
      <c r="U34" s="773"/>
      <c r="V34" s="4"/>
      <c r="W34" s="773"/>
      <c r="X34" s="4"/>
    </row>
    <row r="35" spans="1:24">
      <c r="A35" t="str">
        <f>SUBSTITUTE($V$2,"\","|")&amp; "|FXXX"</f>
        <v>GP301_UPG_01|FXXX</v>
      </c>
      <c r="B35" t="s">
        <v>74</v>
      </c>
      <c r="F35" t="s">
        <v>72</v>
      </c>
      <c r="G35" t="s">
        <v>71</v>
      </c>
      <c r="H35">
        <v>0</v>
      </c>
      <c r="I35" t="s">
        <v>72</v>
      </c>
      <c r="J35" t="s">
        <v>69</v>
      </c>
      <c r="K35">
        <v>0</v>
      </c>
      <c r="M35">
        <v>1</v>
      </c>
      <c r="R35" t="str">
        <f>IF($U$2=TRUE,$W$2&amp;". Неисправность системы ПТ","Неисправность системы ПТ")</f>
        <v>ГП 301. Газовое тушение . Неисправность системы ПТ</v>
      </c>
      <c r="S35" s="372"/>
      <c r="U35" s="773"/>
      <c r="V35" s="4"/>
      <c r="W35" s="773"/>
      <c r="X35" s="4"/>
    </row>
    <row r="36" spans="1:24">
      <c r="A36" t="str">
        <f>SUBSTITUTE($V$2,"\","|")&amp; "|IBTX"</f>
        <v>GP301_UPG_01|IBTX</v>
      </c>
      <c r="B36" t="s">
        <v>74</v>
      </c>
      <c r="F36" t="s">
        <v>72</v>
      </c>
      <c r="G36" t="s">
        <v>71</v>
      </c>
      <c r="H36">
        <v>0</v>
      </c>
      <c r="I36" t="s">
        <v>72</v>
      </c>
      <c r="J36" t="s">
        <v>74</v>
      </c>
      <c r="K36">
        <v>0</v>
      </c>
      <c r="M36">
        <v>1</v>
      </c>
      <c r="R36" t="str">
        <f>IF($U$2=TRUE,$W$2&amp;". Нажата кнопка опробования сигнализации тушения","Нажата кнопка опробования сигнализации тушения")</f>
        <v>ГП 301. Газовое тушение . Нажата кнопка опробования сигнализации тушения</v>
      </c>
      <c r="S36" s="372"/>
      <c r="U36" s="773"/>
      <c r="V36" s="4"/>
      <c r="W36" s="773"/>
      <c r="X36" s="4"/>
    </row>
    <row r="37" spans="1:24">
      <c r="A37" t="str">
        <f>SUBSTITUTE($V$2,"\","|")&amp; "|OF1N"</f>
        <v>GP301_UPG_01|OF1N</v>
      </c>
      <c r="B37" t="s">
        <v>74</v>
      </c>
      <c r="F37" t="s">
        <v>72</v>
      </c>
      <c r="G37" t="s">
        <v>71</v>
      </c>
      <c r="H37">
        <v>0</v>
      </c>
      <c r="I37" t="s">
        <v>72</v>
      </c>
      <c r="J37" t="s">
        <v>69</v>
      </c>
      <c r="K37">
        <v>0</v>
      </c>
      <c r="M37">
        <v>1</v>
      </c>
      <c r="R37" t="str">
        <f>IF($U$2=TRUE,$W$2&amp;". Команда на запуск тушения (Идет тушение) (1-я очередь)","Команда на запуск тушения (Идет тушение) (1-я очередь)")</f>
        <v>ГП 301. Газовое тушение . Команда на запуск тушения (Идет тушение) (1-я очередь)</v>
      </c>
      <c r="S37" s="372"/>
      <c r="U37" s="773"/>
      <c r="V37" s="4"/>
      <c r="W37" s="773"/>
      <c r="X37" s="4"/>
    </row>
    <row r="38" spans="1:24">
      <c r="A38" t="str">
        <f>SUBSTITUTE($V$2,"\","|")&amp; "|OF2N"</f>
        <v>GP301_UPG_01|OF2N</v>
      </c>
      <c r="B38" t="s">
        <v>74</v>
      </c>
      <c r="F38" t="s">
        <v>72</v>
      </c>
      <c r="G38" t="s">
        <v>71</v>
      </c>
      <c r="H38">
        <v>0</v>
      </c>
      <c r="I38" t="s">
        <v>72</v>
      </c>
      <c r="J38" t="s">
        <v>69</v>
      </c>
      <c r="K38">
        <v>0</v>
      </c>
      <c r="M38">
        <v>1</v>
      </c>
      <c r="R38" t="str">
        <f>IF($U$2=TRUE,$W$2&amp;". Команда на запуск тушения (Идет тушение) (2-я очередь)","Команда на запуск тушения (Идет тушение) (2-я очередь)")</f>
        <v>ГП 301. Газовое тушение . Команда на запуск тушения (Идет тушение) (2-я очередь)</v>
      </c>
      <c r="S38" s="372"/>
      <c r="U38" s="773"/>
      <c r="V38" s="4"/>
      <c r="W38" s="773"/>
      <c r="X38" s="4"/>
    </row>
    <row r="39" spans="1:24">
      <c r="A39" t="str">
        <f>SUBSTITUTE($V$2,"\","|")&amp; "|XAON"</f>
        <v>GP301_UPG_01|XAON</v>
      </c>
      <c r="B39" t="s">
        <v>74</v>
      </c>
      <c r="F39" t="s">
        <v>72</v>
      </c>
      <c r="G39" t="s">
        <v>71</v>
      </c>
      <c r="H39">
        <v>0</v>
      </c>
      <c r="I39" t="s">
        <v>72</v>
      </c>
      <c r="J39" t="s">
        <v>69</v>
      </c>
      <c r="K39">
        <v>0</v>
      </c>
      <c r="M39">
        <v>1</v>
      </c>
      <c r="R39" t="str">
        <f>IF($U$2=TRUE,$W$2&amp;". Включен автоматический режим","Включен автоматический режим")</f>
        <v>ГП 301. Газовое тушение . Включен автоматический режим</v>
      </c>
      <c r="S39" s="372"/>
      <c r="U39" s="773"/>
      <c r="V39" s="4"/>
      <c r="W39" s="773"/>
      <c r="X39" s="4"/>
    </row>
    <row r="40" spans="1:24">
      <c r="A40" t="str">
        <f>SUBSTITUTE($V$2,"\","|")&amp; "|XBON"</f>
        <v>GP301_UPG_01|XBON</v>
      </c>
      <c r="B40" t="s">
        <v>74</v>
      </c>
      <c r="F40" t="s">
        <v>72</v>
      </c>
      <c r="G40" t="s">
        <v>71</v>
      </c>
      <c r="H40">
        <v>0</v>
      </c>
      <c r="I40" t="s">
        <v>72</v>
      </c>
      <c r="J40" t="s">
        <v>69</v>
      </c>
      <c r="K40">
        <v>0</v>
      </c>
      <c r="M40">
        <v>1</v>
      </c>
      <c r="R40" t="str">
        <f>IF($U$2=TRUE,$W$2&amp;". Блокирована система пожаротушения","Блокирована система пожаротушения")</f>
        <v>ГП 301. Газовое тушение . Блокирована система пожаротушения</v>
      </c>
      <c r="S40" s="372"/>
      <c r="U40" s="773"/>
      <c r="V40" s="4"/>
      <c r="W40" s="773"/>
      <c r="X40" s="4"/>
    </row>
    <row r="41" spans="1:24">
      <c r="A41" t="str">
        <f>SUBSTITUTE($V$2,"\","|")&amp; "|XCPX"</f>
        <v>GP301_UPG_01|XCPX</v>
      </c>
      <c r="B41" t="s">
        <v>74</v>
      </c>
      <c r="F41" t="s">
        <v>72</v>
      </c>
      <c r="G41" t="s">
        <v>71</v>
      </c>
      <c r="H41">
        <v>0</v>
      </c>
      <c r="I41" t="s">
        <v>72</v>
      </c>
      <c r="J41" t="s">
        <v>69</v>
      </c>
      <c r="K41">
        <v>0</v>
      </c>
      <c r="M41">
        <v>1</v>
      </c>
      <c r="R41" t="str">
        <f>IF($U$2=TRUE,$W$2&amp;". Обратный отсчет до запуска ПТ приостановлен","Обратный отсчет до запуска ПТ приостановлен")</f>
        <v>ГП 301. Газовое тушение . Обратный отсчет до запуска ПТ приостановлен</v>
      </c>
      <c r="S41" s="372"/>
      <c r="U41" s="773"/>
      <c r="V41" s="4"/>
      <c r="W41" s="773"/>
      <c r="X41" s="4"/>
    </row>
    <row r="42" spans="1:24">
      <c r="A42" t="str">
        <f>SUBSTITUTE($V$2,"\","|")&amp; "|XDAF"</f>
        <v>GP301_UPG_01|XDAF</v>
      </c>
      <c r="B42" t="s">
        <v>74</v>
      </c>
      <c r="F42" t="s">
        <v>72</v>
      </c>
      <c r="G42" t="s">
        <v>71</v>
      </c>
      <c r="H42">
        <v>0</v>
      </c>
      <c r="I42" t="s">
        <v>72</v>
      </c>
      <c r="J42" t="s">
        <v>74</v>
      </c>
      <c r="K42">
        <v>0</v>
      </c>
      <c r="M42">
        <v>1</v>
      </c>
      <c r="R42" t="str">
        <f>IF($U$2=TRUE,$W$2&amp;". Команда на включение табло Автоматика отключена","Команда на включение табло Автоматика отключена")</f>
        <v>ГП 301. Газовое тушение . Команда на включение табло Автоматика отключена</v>
      </c>
      <c r="S42" s="372"/>
      <c r="U42" s="773"/>
      <c r="V42" s="4"/>
      <c r="W42" s="773"/>
      <c r="X42" s="4"/>
    </row>
    <row r="43" spans="1:24">
      <c r="A43" t="str">
        <f>SUBSTITUTE($V$2,"\","|")&amp; "|XDDE"</f>
        <v>GP301_UPG_01|XDDE</v>
      </c>
      <c r="B43" t="s">
        <v>74</v>
      </c>
      <c r="F43" t="s">
        <v>72</v>
      </c>
      <c r="G43" t="s">
        <v>71</v>
      </c>
      <c r="H43">
        <v>0</v>
      </c>
      <c r="I43" t="s">
        <v>72</v>
      </c>
      <c r="J43" t="s">
        <v>74</v>
      </c>
      <c r="K43">
        <v>0</v>
      </c>
      <c r="M43">
        <v>1</v>
      </c>
      <c r="R43" t="str">
        <f>IF($U$2=TRUE,$W$2&amp;". Команда на включение табло Газ не входи\Пена не входи","Команда на включение табло Газ не входи\Пена не входи")</f>
        <v>ГП 301. Газовое тушение . Команда на включение табло Газ не входи\Пена не входи</v>
      </c>
      <c r="S43" s="372"/>
      <c r="U43" s="773"/>
      <c r="V43" s="4"/>
      <c r="W43" s="773"/>
      <c r="X43" s="4"/>
    </row>
    <row r="44" spans="1:24">
      <c r="A44" t="str">
        <f>SUBSTITUTE($V$2,"\","|")&amp; "|XDDG"</f>
        <v>GP301_UPG_01|XDDG</v>
      </c>
      <c r="B44" t="s">
        <v>74</v>
      </c>
      <c r="F44" t="s">
        <v>72</v>
      </c>
      <c r="G44" t="s">
        <v>71</v>
      </c>
      <c r="H44">
        <v>0</v>
      </c>
      <c r="I44" t="s">
        <v>72</v>
      </c>
      <c r="J44" t="s">
        <v>74</v>
      </c>
      <c r="K44">
        <v>0</v>
      </c>
      <c r="M44">
        <v>1</v>
      </c>
      <c r="R44" t="str">
        <f>IF($U$2=TRUE,$W$2&amp;". Команда на включение табло Газ - уходи\Пена - уходи","Команда на включение табло Газ - уходи\Пена - уходи")</f>
        <v>ГП 301. Газовое тушение . Команда на включение табло Газ - уходи\Пена - уходи</v>
      </c>
      <c r="S44" s="372"/>
      <c r="U44" s="773"/>
      <c r="V44" s="4"/>
      <c r="W44" s="773"/>
      <c r="X44" s="4"/>
    </row>
    <row r="45" spans="1:24">
      <c r="A45" t="str">
        <f>SUBSTITUTE($V$2,"\","|")&amp; "|XDOF"</f>
        <v>GP301_UPG_01|XDOF</v>
      </c>
      <c r="B45" t="s">
        <v>74</v>
      </c>
      <c r="F45" t="s">
        <v>72</v>
      </c>
      <c r="G45" t="s">
        <v>71</v>
      </c>
      <c r="H45">
        <v>0</v>
      </c>
      <c r="I45" t="s">
        <v>72</v>
      </c>
      <c r="J45" t="s">
        <v>69</v>
      </c>
      <c r="K45">
        <v>0</v>
      </c>
      <c r="M45">
        <v>1</v>
      </c>
      <c r="R45" t="str">
        <f>IF($U$2=TRUE,$W$2&amp;". Двери закрыты","Двери закрыты")</f>
        <v>ГП 301. Газовое тушение . Двери закрыты</v>
      </c>
      <c r="S45" s="372"/>
      <c r="U45" s="773"/>
      <c r="V45" s="4"/>
      <c r="W45" s="773"/>
      <c r="X45" s="4"/>
    </row>
    <row r="46" spans="1:24">
      <c r="A46" t="str">
        <f>SUBSTITUTE($V$2,"\","|")&amp; "|XEFN"</f>
        <v>GP301_UPG_01|XEFN</v>
      </c>
      <c r="B46" t="s">
        <v>74</v>
      </c>
      <c r="F46" t="s">
        <v>72</v>
      </c>
      <c r="G46" t="s">
        <v>71</v>
      </c>
      <c r="H46">
        <v>0</v>
      </c>
      <c r="I46" t="s">
        <v>72</v>
      </c>
      <c r="J46" t="s">
        <v>69</v>
      </c>
      <c r="K46">
        <v>0</v>
      </c>
      <c r="M46">
        <v>1</v>
      </c>
      <c r="R46" t="str">
        <f>IF($U$2=TRUE,$W$2&amp;". Выполнен досрочный принудительный запуск тушения","Выполнен досрочный принудительный запуск тушения")</f>
        <v>ГП 301. Газовое тушение . Выполнен досрочный принудительный запуск тушения</v>
      </c>
      <c r="S46" s="372"/>
      <c r="U46" s="773"/>
      <c r="V46" s="4"/>
      <c r="W46" s="773"/>
      <c r="X46" s="4"/>
    </row>
    <row r="47" spans="1:24">
      <c r="A47" t="str">
        <f>SUBSTITUTE($V$2,"\","|")&amp; "|XFDN"</f>
        <v>GP301_UPG_01|XFDN</v>
      </c>
      <c r="B47" t="s">
        <v>74</v>
      </c>
      <c r="F47" t="s">
        <v>72</v>
      </c>
      <c r="G47" t="s">
        <v>71</v>
      </c>
      <c r="H47">
        <v>0</v>
      </c>
      <c r="I47" t="s">
        <v>72</v>
      </c>
      <c r="J47" t="s">
        <v>69</v>
      </c>
      <c r="K47">
        <v>0</v>
      </c>
      <c r="M47">
        <v>1</v>
      </c>
      <c r="R47" t="str">
        <f>IF($U$2=TRUE,$W$2&amp;". Идет\Начался отсчет до запуска тушения","Идет\Начался отсчет до запуска тушения")</f>
        <v>ГП 301. Газовое тушение . Идет\Начался отсчет до запуска тушения</v>
      </c>
      <c r="S47" s="372"/>
      <c r="U47" s="773"/>
      <c r="V47" s="4"/>
      <c r="W47" s="773"/>
      <c r="X47" s="4"/>
    </row>
    <row r="48" spans="1:24">
      <c r="A48" t="str">
        <f>SUBSTITUTE($V$2,"\","|")&amp; "|XFRX"</f>
        <v>GP301_UPG_01|XFRX</v>
      </c>
      <c r="B48" t="s">
        <v>74</v>
      </c>
      <c r="F48" t="s">
        <v>72</v>
      </c>
      <c r="G48" t="s">
        <v>71</v>
      </c>
      <c r="H48">
        <v>0</v>
      </c>
      <c r="I48" t="s">
        <v>72</v>
      </c>
      <c r="J48" t="s">
        <v>69</v>
      </c>
      <c r="K48">
        <v>0</v>
      </c>
      <c r="M48">
        <v>1</v>
      </c>
      <c r="R48" t="str">
        <f>IF($U$2=TRUE,$W$2&amp;". Пожар в зоне","Пожар в зоне")</f>
        <v>ГП 301. Газовое тушение . Пожар в зоне</v>
      </c>
      <c r="S48" s="372"/>
      <c r="U48" s="773"/>
      <c r="V48" s="4"/>
      <c r="W48" s="773"/>
      <c r="X48" s="4"/>
    </row>
    <row r="49" spans="1:24">
      <c r="A49" t="str">
        <f>SUBSTITUTE($V$2,"\","|")&amp; "|XFSX"</f>
        <v>GP301_UPG_01|XFSX</v>
      </c>
      <c r="B49" t="s">
        <v>74</v>
      </c>
      <c r="F49" t="s">
        <v>72</v>
      </c>
      <c r="G49" t="s">
        <v>71</v>
      </c>
      <c r="H49">
        <v>0</v>
      </c>
      <c r="I49" t="s">
        <v>72</v>
      </c>
      <c r="J49" t="s">
        <v>69</v>
      </c>
      <c r="K49">
        <v>0</v>
      </c>
      <c r="M49">
        <v>1</v>
      </c>
      <c r="R49" t="str">
        <f>IF($U$2=TRUE,$W$2&amp;". Останов пожаротушения (запуск ПТ отменен)","Останов пожаротушения (запуск ПТ отменен)")</f>
        <v>ГП 301. Газовое тушение . Останов пожаротушения (запуск ПТ отменен)</v>
      </c>
      <c r="S49" s="372"/>
      <c r="U49" s="773"/>
      <c r="V49" s="4"/>
      <c r="W49" s="773"/>
      <c r="X49" s="4"/>
    </row>
    <row r="50" spans="1:24">
      <c r="A50" t="str">
        <f>SUBSTITUTE($V$2,"\","|")&amp; "|XFT1 "</f>
        <v xml:space="preserve">GP301_UPG_01|XFT1 </v>
      </c>
      <c r="B50" t="s">
        <v>78</v>
      </c>
      <c r="F50">
        <v>0</v>
      </c>
      <c r="G50" t="s">
        <v>71</v>
      </c>
      <c r="H50">
        <v>0</v>
      </c>
      <c r="I50" t="s">
        <v>72</v>
      </c>
      <c r="J50" t="s">
        <v>69</v>
      </c>
      <c r="K50">
        <v>0</v>
      </c>
      <c r="M50">
        <v>1</v>
      </c>
      <c r="R50" t="str">
        <f>IF($U$2=TRUE,$W$2&amp;". Время идущего тушения (1-я очередь)","Время идущего тушения (1-я очередь)")</f>
        <v>ГП 301. Газовое тушение . Время идущего тушения (1-я очередь)</v>
      </c>
      <c r="S50" s="372"/>
      <c r="U50" s="773"/>
      <c r="V50" s="4"/>
      <c r="W50" s="773"/>
      <c r="X50" s="4"/>
    </row>
    <row r="51" spans="1:24">
      <c r="A51" t="str">
        <f>SUBSTITUTE($V$2,"\","|")&amp; "|XFT2 "</f>
        <v xml:space="preserve">GP301_UPG_01|XFT2 </v>
      </c>
      <c r="B51" t="s">
        <v>78</v>
      </c>
      <c r="F51">
        <v>0</v>
      </c>
      <c r="G51" t="s">
        <v>71</v>
      </c>
      <c r="H51">
        <v>0</v>
      </c>
      <c r="I51" t="s">
        <v>72</v>
      </c>
      <c r="J51" t="s">
        <v>69</v>
      </c>
      <c r="K51">
        <v>0</v>
      </c>
      <c r="M51">
        <v>1</v>
      </c>
      <c r="R51" t="str">
        <f>IF($U$2=TRUE,$W$2&amp;". Время идущего тушения (2-я очередь)","Время идущего тушения (2-я очередь)")</f>
        <v>ГП 301. Газовое тушение . Время идущего тушения (2-я очередь)</v>
      </c>
      <c r="S51" s="372"/>
      <c r="U51" s="773"/>
      <c r="V51" s="4"/>
      <c r="W51" s="773"/>
      <c r="X51" s="4"/>
    </row>
    <row r="52" spans="1:24">
      <c r="A52" t="str">
        <f>SUBSTITUTE($V$2,"\","|")&amp; "|XFTD"</f>
        <v>GP301_UPG_01|XFTD</v>
      </c>
      <c r="B52" t="s">
        <v>78</v>
      </c>
      <c r="F52">
        <v>0</v>
      </c>
      <c r="G52" t="s">
        <v>71</v>
      </c>
      <c r="H52">
        <v>0</v>
      </c>
      <c r="I52" t="s">
        <v>72</v>
      </c>
      <c r="J52" t="s">
        <v>69</v>
      </c>
      <c r="K52">
        <v>0</v>
      </c>
      <c r="M52">
        <v>1</v>
      </c>
      <c r="R52" t="str">
        <f>IF($U$2=TRUE,$W$2&amp;". Время задержки до запуска тушения","Время задержки до запуска тушения")</f>
        <v>ГП 301. Газовое тушение . Время задержки до запуска тушения</v>
      </c>
      <c r="S52" s="372"/>
      <c r="U52" s="773"/>
      <c r="V52" s="4"/>
      <c r="W52" s="773"/>
      <c r="X52" s="4"/>
    </row>
    <row r="53" spans="1:24">
      <c r="A53" t="str">
        <f>SUBSTITUTE($V$2,"\","|")&amp; "|XNW1"</f>
        <v>GP301_UPG_01|XNW1</v>
      </c>
      <c r="B53" t="s">
        <v>74</v>
      </c>
      <c r="F53" t="s">
        <v>72</v>
      </c>
      <c r="G53" t="s">
        <v>71</v>
      </c>
      <c r="H53">
        <v>0</v>
      </c>
      <c r="I53" t="s">
        <v>72</v>
      </c>
      <c r="J53" t="s">
        <v>69</v>
      </c>
      <c r="K53">
        <v>0</v>
      </c>
      <c r="M53">
        <v>1</v>
      </c>
      <c r="R53" t="str">
        <f>IF($U$2=TRUE,$W$2&amp;". АУПТ не сработала (1 очередь)","АУПТ не сработала (1 очередь)")</f>
        <v>ГП 301. Газовое тушение . АУПТ не сработала (1 очередь)</v>
      </c>
      <c r="S53" s="372"/>
      <c r="U53" s="773"/>
      <c r="V53" s="4"/>
      <c r="W53" s="773"/>
      <c r="X53" s="4"/>
    </row>
    <row r="54" spans="1:24">
      <c r="A54" t="str">
        <f>SUBSTITUTE($V$2,"\","|")&amp; "|XNW2"</f>
        <v>GP301_UPG_01|XNW2</v>
      </c>
      <c r="B54" t="s">
        <v>74</v>
      </c>
      <c r="F54" t="s">
        <v>72</v>
      </c>
      <c r="G54" t="s">
        <v>71</v>
      </c>
      <c r="H54">
        <v>0</v>
      </c>
      <c r="I54" t="s">
        <v>72</v>
      </c>
      <c r="J54" t="s">
        <v>69</v>
      </c>
      <c r="K54">
        <v>0</v>
      </c>
      <c r="M54">
        <v>1</v>
      </c>
      <c r="R54" t="str">
        <f>IF($U$2=TRUE,$W$2&amp;". АУПТ не сработала (2 очередь)","АУПТ не сработала (2 очередь)")</f>
        <v>ГП 301. Газовое тушение . АУПТ не сработала (2 очередь)</v>
      </c>
      <c r="S54" s="372"/>
      <c r="U54" s="773"/>
      <c r="V54" s="4"/>
      <c r="W54" s="773"/>
      <c r="X54" s="4"/>
    </row>
    <row r="55" spans="1:24">
      <c r="A55" t="str">
        <f>SUBSTITUTE($V$2,"\","|")&amp; "|XPP1"</f>
        <v>GP301_UPG_01|XPP1</v>
      </c>
      <c r="B55" t="s">
        <v>74</v>
      </c>
      <c r="F55" t="s">
        <v>72</v>
      </c>
      <c r="G55" t="s">
        <v>71</v>
      </c>
      <c r="H55">
        <v>0</v>
      </c>
      <c r="I55" t="s">
        <v>72</v>
      </c>
      <c r="J55" t="s">
        <v>74</v>
      </c>
      <c r="K55">
        <v>0</v>
      </c>
      <c r="M55">
        <v>1</v>
      </c>
      <c r="R55" t="str">
        <f>IF($U$2=TRUE,$W$2&amp;". Наличие давления газа\пены (Сработала установка) (1-я очередь)","Наличие давления газа\пены (Сработала установка) (1-я очередь)")</f>
        <v>ГП 301. Газовое тушение . Наличие давления газа\пены (Сработала установка) (1-я очередь)</v>
      </c>
      <c r="S55" s="372"/>
      <c r="U55" s="773"/>
      <c r="V55" s="4"/>
      <c r="W55" s="773"/>
      <c r="X55" s="4"/>
    </row>
    <row r="56" spans="1:24">
      <c r="A56" t="str">
        <f>SUBSTITUTE($V$2,"\","|")&amp; "|XPP2"</f>
        <v>GP301_UPG_01|XPP2</v>
      </c>
      <c r="B56" t="s">
        <v>74</v>
      </c>
      <c r="F56" t="s">
        <v>72</v>
      </c>
      <c r="G56" t="s">
        <v>71</v>
      </c>
      <c r="H56">
        <v>0</v>
      </c>
      <c r="I56" t="s">
        <v>72</v>
      </c>
      <c r="J56" t="s">
        <v>74</v>
      </c>
      <c r="K56">
        <v>0</v>
      </c>
      <c r="M56">
        <v>1</v>
      </c>
      <c r="R56" t="str">
        <f>IF($U$2=TRUE,$W$2&amp;". Наличие давления газа\пены (Сработала установка) (2-я очередь)","Наличие давления газа\пены (Сработала установка) (2-я очередь)")</f>
        <v>ГП 301. Газовое тушение . Наличие давления газа\пены (Сработала установка) (2-я очередь)</v>
      </c>
      <c r="S56" s="372"/>
      <c r="U56" s="773"/>
      <c r="V56" s="4"/>
      <c r="W56" s="773"/>
      <c r="X56" s="4"/>
    </row>
    <row r="57" spans="1:24">
      <c r="A57" t="str">
        <f>SUBSTITUTE($V$2,"\","|")&amp; "|XRFX"</f>
        <v>GP301_UPG_01|XRFX</v>
      </c>
      <c r="B57" t="s">
        <v>78</v>
      </c>
      <c r="F57" t="s">
        <v>72</v>
      </c>
      <c r="G57" t="s">
        <v>71</v>
      </c>
      <c r="H57">
        <v>0</v>
      </c>
      <c r="I57" t="s">
        <v>72</v>
      </c>
      <c r="J57" t="s">
        <v>74</v>
      </c>
      <c r="K57">
        <v>0</v>
      </c>
      <c r="M57">
        <v>1</v>
      </c>
      <c r="R57" t="str">
        <f>IF($U$2=TRUE,$W$2&amp;". Счетчик неисправностей","Счетчик неисправностей")</f>
        <v>ГП 301. Газовое тушение . Счетчик неисправностей</v>
      </c>
      <c r="S57" s="372"/>
      <c r="U57" s="773"/>
      <c r="V57" s="4"/>
      <c r="W57" s="773"/>
      <c r="X57" s="4"/>
    </row>
    <row r="58" spans="1:24">
      <c r="A58" t="str">
        <f>SUBSTITUTE($V$2,"\","|")&amp; "|XW1X"</f>
        <v>GP301_UPG_01|XW1X</v>
      </c>
      <c r="B58" t="s">
        <v>74</v>
      </c>
      <c r="F58" t="s">
        <v>72</v>
      </c>
      <c r="G58" t="s">
        <v>71</v>
      </c>
      <c r="H58">
        <v>0</v>
      </c>
      <c r="I58" t="s">
        <v>72</v>
      </c>
      <c r="J58" t="s">
        <v>69</v>
      </c>
      <c r="K58">
        <v>0</v>
      </c>
      <c r="M58">
        <v>1</v>
      </c>
      <c r="R58" t="str">
        <f>IF($U$2=TRUE,$W$2&amp;". АУПТ сработала (1 очередь)","АУПТ сработала (1 очередь)")</f>
        <v>ГП 301. Газовое тушение . АУПТ сработала (1 очередь)</v>
      </c>
      <c r="S58" s="372"/>
      <c r="U58" s="773"/>
      <c r="V58" s="4"/>
      <c r="W58" s="773"/>
      <c r="X58" s="4"/>
    </row>
    <row r="59" spans="1:24">
      <c r="A59" t="str">
        <f>SUBSTITUTE($V$2,"\","|")&amp; "|XW2X"</f>
        <v>GP301_UPG_01|XW2X</v>
      </c>
      <c r="B59" t="s">
        <v>74</v>
      </c>
      <c r="F59" t="s">
        <v>72</v>
      </c>
      <c r="G59" t="s">
        <v>71</v>
      </c>
      <c r="H59">
        <v>0</v>
      </c>
      <c r="I59" t="s">
        <v>72</v>
      </c>
      <c r="J59" t="s">
        <v>69</v>
      </c>
      <c r="K59">
        <v>0</v>
      </c>
      <c r="M59">
        <v>1</v>
      </c>
      <c r="R59" t="str">
        <f>IF($U$2=TRUE,$W$2&amp;". АУПТ сработала (2 очередь)","АУПТ сработала (2 очередь)")</f>
        <v>ГП 301. Газовое тушение . АУПТ сработала (2 очередь)</v>
      </c>
      <c r="S59" s="372"/>
      <c r="U59" s="773"/>
      <c r="V59" s="4"/>
      <c r="W59" s="773"/>
      <c r="X59" s="4"/>
    </row>
    <row r="60" spans="1:24">
      <c r="A60" t="str">
        <f>SUBSTITUTE($V$2,"\","|")&amp; "|XNXX"</f>
        <v>GP301_UPG_01|XNXX</v>
      </c>
      <c r="B60" t="s">
        <v>74</v>
      </c>
      <c r="F60" t="s">
        <v>72</v>
      </c>
      <c r="G60" t="s">
        <v>71</v>
      </c>
      <c r="H60">
        <v>0</v>
      </c>
      <c r="I60" t="s">
        <v>72</v>
      </c>
      <c r="J60" t="s">
        <v>69</v>
      </c>
      <c r="K60">
        <v>0</v>
      </c>
      <c r="M60">
        <v>1</v>
      </c>
      <c r="R60" t="str">
        <f>IF($U$2=TRUE,$W$2&amp;". Норма системы ПТ","Норма системы ПТ")</f>
        <v>ГП 301. Газовое тушение . Норма системы ПТ</v>
      </c>
      <c r="S60" s="372"/>
      <c r="U60" s="773"/>
      <c r="V60" s="4"/>
      <c r="W60" s="773"/>
      <c r="X60" s="4"/>
    </row>
    <row r="61" spans="1:24">
      <c r="A61" t="str">
        <f>SUBSTITUTE($V$2,"\","|")&amp; "|CXRS"</f>
        <v>GP301_UPG_01|CXRS</v>
      </c>
      <c r="B61" t="s">
        <v>74</v>
      </c>
      <c r="F61" t="s">
        <v>72</v>
      </c>
      <c r="G61" t="s">
        <v>71</v>
      </c>
      <c r="H61">
        <v>0</v>
      </c>
      <c r="I61" t="s">
        <v>72</v>
      </c>
      <c r="J61" t="s">
        <v>69</v>
      </c>
      <c r="K61">
        <v>0</v>
      </c>
      <c r="M61">
        <v>1</v>
      </c>
      <c r="R61" t="str">
        <f>IF($U$2=TRUE,$W$2&amp;". Сброс","Сброс")</f>
        <v>ГП 301. Газовое тушение . Сброс</v>
      </c>
      <c r="S61" s="372"/>
      <c r="U61" s="773"/>
      <c r="V61" s="4"/>
      <c r="W61" s="773"/>
      <c r="X61" s="4"/>
    </row>
    <row r="64" spans="1:24">
      <c r="A64" s="4"/>
      <c r="B64" s="4"/>
      <c r="F64" s="4"/>
      <c r="G64" s="4"/>
      <c r="H64" s="4"/>
      <c r="I64" s="4"/>
      <c r="J64" s="4"/>
      <c r="K64" s="4"/>
      <c r="M64" s="4"/>
    </row>
  </sheetData>
  <pageMargins left="0.7" right="0.7" top="0.75" bottom="0.75" header="0.3" footer="0.3"/>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codeName="Лист84">
    <tabColor rgb="FF92D050"/>
  </sheetPr>
  <dimension ref="A1:AC51"/>
  <sheetViews>
    <sheetView workbookViewId="0">
      <selection activeCell="V2" sqref="V2:AD2"/>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15" customHeight="1">
      <c r="A2" s="10"/>
      <c r="B2" s="10"/>
      <c r="F2" s="10"/>
      <c r="G2" s="10"/>
      <c r="H2" s="10"/>
      <c r="I2" s="10"/>
      <c r="J2" s="10"/>
      <c r="K2" s="10"/>
      <c r="M2" s="10"/>
      <c r="N2" s="10"/>
      <c r="O2" s="10"/>
      <c r="P2" s="10"/>
      <c r="Q2" s="10"/>
      <c r="R2" s="10"/>
      <c r="U2" s="74" t="b">
        <f>Настройки!$M$34</f>
        <v>1</v>
      </c>
      <c r="V2" s="73" t="s">
        <v>4005</v>
      </c>
      <c r="W2" s="537" t="s">
        <v>4006</v>
      </c>
      <c r="X2" s="73"/>
      <c r="Y2" s="73"/>
      <c r="Z2" s="73"/>
      <c r="AA2" s="74"/>
      <c r="AB2" s="74"/>
      <c r="AC2" s="74"/>
    </row>
    <row r="3" spans="1:29">
      <c r="A3" t="str">
        <f>SUBSTITUTE($V$2,"\","|")&amp; "|CAON"</f>
        <v>GP301_EK_01|CAON</v>
      </c>
      <c r="B3" t="s">
        <v>74</v>
      </c>
      <c r="F3" t="s">
        <v>72</v>
      </c>
      <c r="G3" t="s">
        <v>71</v>
      </c>
      <c r="H3">
        <v>0</v>
      </c>
      <c r="I3" t="s">
        <v>72</v>
      </c>
      <c r="J3" t="s">
        <v>69</v>
      </c>
      <c r="K3">
        <v>0</v>
      </c>
      <c r="M3">
        <v>1</v>
      </c>
      <c r="R3" t="str">
        <f>IF($U$2=TRUE,$W$2&amp;". Команда алгоритма включить/отключить","Команда алгоритма включить/отключить")</f>
        <v>ГП 301. Электромагнитный клапан EK1. Команда алгоритма включить/отключить</v>
      </c>
      <c r="S3" s="372"/>
      <c r="U3" s="773"/>
      <c r="V3" s="4"/>
      <c r="W3" s="773"/>
      <c r="X3" s="4"/>
    </row>
    <row r="4" spans="1:29">
      <c r="A4" t="str">
        <f>SUBSTITUTE($V$2,"\","|")&amp; "|COON"</f>
        <v>GP301_EK_01|COON</v>
      </c>
      <c r="B4" t="s">
        <v>74</v>
      </c>
      <c r="F4" t="s">
        <v>72</v>
      </c>
      <c r="G4" t="s">
        <v>71</v>
      </c>
      <c r="H4">
        <v>0</v>
      </c>
      <c r="I4" t="s">
        <v>76</v>
      </c>
      <c r="J4" t="s">
        <v>73</v>
      </c>
      <c r="K4">
        <v>0</v>
      </c>
      <c r="M4">
        <v>1</v>
      </c>
      <c r="R4" t="str">
        <f>IF($U$2=TRUE,$W$2&amp;". Команда оператора включить/отключить","Команда оператора включить/отключить")</f>
        <v>ГП 301. Электромагнитный клапан EK1. Команда оператора включить/отключить</v>
      </c>
      <c r="S4" s="372"/>
      <c r="U4" s="773"/>
      <c r="V4" s="4"/>
      <c r="W4" s="773"/>
      <c r="X4" s="4"/>
    </row>
    <row r="5" spans="1:29">
      <c r="A5" t="str">
        <f>SUBSTITUTE($V$2,"\","|")&amp; "|CRPX"</f>
        <v>GP301_EK_01|CRPX</v>
      </c>
      <c r="B5" t="s">
        <v>74</v>
      </c>
      <c r="F5" t="s">
        <v>72</v>
      </c>
      <c r="G5" t="s">
        <v>71</v>
      </c>
      <c r="H5">
        <v>0</v>
      </c>
      <c r="I5" t="s">
        <v>76</v>
      </c>
      <c r="J5" t="s">
        <v>73</v>
      </c>
      <c r="K5">
        <v>0</v>
      </c>
      <c r="M5">
        <v>1</v>
      </c>
      <c r="R5" t="str">
        <f>IF($U$2=TRUE,$W$2&amp;". Команда оператора вывести в ремонт","Команда оператора вывести в ремонт")</f>
        <v>ГП 301. Электромагнитный клапан EK1. Команда оператора вывести в ремонт</v>
      </c>
      <c r="S5" s="372"/>
      <c r="U5" s="773"/>
      <c r="V5" s="4"/>
      <c r="W5" s="773"/>
      <c r="X5" s="4"/>
    </row>
    <row r="6" spans="1:29">
      <c r="A6" t="str">
        <f>SUBSTITUTE($V$2,"\","|")&amp; "|DSON"</f>
        <v>GP301_EK_01|DSON</v>
      </c>
      <c r="B6" t="s">
        <v>74</v>
      </c>
      <c r="F6" t="s">
        <v>72</v>
      </c>
      <c r="G6" t="s">
        <v>71</v>
      </c>
      <c r="H6">
        <v>0</v>
      </c>
      <c r="I6" t="s">
        <v>72</v>
      </c>
      <c r="J6" t="s">
        <v>69</v>
      </c>
      <c r="K6">
        <v>0</v>
      </c>
      <c r="M6">
        <v>1</v>
      </c>
      <c r="R6" t="str">
        <f>IF($U$2=TRUE,$W$2&amp;". Аппаратная неисправность","Аппаратная неисправность")</f>
        <v>ГП 301. Электромагнитный клапан EK1. Аппаратная неисправность</v>
      </c>
      <c r="S6" s="372"/>
      <c r="U6" s="773"/>
      <c r="V6" s="4"/>
      <c r="W6" s="773"/>
      <c r="X6" s="4"/>
    </row>
    <row r="7" spans="1:29">
      <c r="A7" t="str">
        <f>SUBSTITUTE($V$2,"\","|")&amp; "|DVIX"</f>
        <v>GP301_EK_01|DVIX</v>
      </c>
      <c r="B7" t="s">
        <v>74</v>
      </c>
      <c r="F7" t="s">
        <v>72</v>
      </c>
      <c r="G7" t="s">
        <v>71</v>
      </c>
      <c r="H7">
        <v>0</v>
      </c>
      <c r="I7" t="s">
        <v>72</v>
      </c>
      <c r="J7" t="s">
        <v>69</v>
      </c>
      <c r="K7">
        <v>0</v>
      </c>
      <c r="M7">
        <v>1</v>
      </c>
      <c r="R7" t="str">
        <f>IF($U$2=TRUE,$W$2&amp;". Аппаратная неисправность","Аппаратная неисправность")</f>
        <v>ГП 301. Электромагнитный клапан EK1. Аппаратная неисправность</v>
      </c>
      <c r="S7" s="372"/>
      <c r="U7" s="773"/>
      <c r="V7" s="4"/>
      <c r="W7" s="773"/>
      <c r="X7" s="4"/>
    </row>
    <row r="8" spans="1:29">
      <c r="A8" t="str">
        <f>SUBSTITUTE($V$2,"\","|")&amp; "|FBON"</f>
        <v>GP301_EK_01|FBON</v>
      </c>
      <c r="B8" t="s">
        <v>74</v>
      </c>
      <c r="F8" t="s">
        <v>72</v>
      </c>
      <c r="G8" t="s">
        <v>71</v>
      </c>
      <c r="H8">
        <v>0</v>
      </c>
      <c r="I8" t="s">
        <v>72</v>
      </c>
      <c r="J8" t="s">
        <v>69</v>
      </c>
      <c r="K8">
        <v>0</v>
      </c>
      <c r="M8">
        <v>1</v>
      </c>
      <c r="R8" t="str">
        <f>IF($U$2=TRUE,$W$2&amp;". Обрыв цепи управления открыть","Обрыв цепи управления открыть")</f>
        <v>ГП 301. Электромагнитный клапан EK1. Обрыв цепи управления открыть</v>
      </c>
      <c r="S8" s="372"/>
      <c r="U8" s="773"/>
      <c r="V8" s="4"/>
      <c r="W8" s="773"/>
      <c r="X8" s="4"/>
    </row>
    <row r="9" spans="1:29">
      <c r="A9" t="str">
        <f>SUBSTITUTE($V$2,"\","|")&amp; "|FCON"</f>
        <v>GP301_EK_01|FCON</v>
      </c>
      <c r="B9" t="s">
        <v>74</v>
      </c>
      <c r="F9" t="s">
        <v>72</v>
      </c>
      <c r="G9" t="s">
        <v>71</v>
      </c>
      <c r="H9">
        <v>0</v>
      </c>
      <c r="I9" t="s">
        <v>72</v>
      </c>
      <c r="J9" t="s">
        <v>69</v>
      </c>
      <c r="K9">
        <v>0</v>
      </c>
      <c r="M9">
        <v>1</v>
      </c>
      <c r="R9" t="str">
        <f>IF($U$2=TRUE,$W$2&amp;". КЗ цепи управления открыть","КЗ цепи управления открыть")</f>
        <v>ГП 301. Электромагнитный клапан EK1. КЗ цепи управления открыть</v>
      </c>
      <c r="S9" s="372"/>
      <c r="U9" s="773"/>
      <c r="V9" s="4"/>
      <c r="W9" s="773"/>
      <c r="X9" s="4"/>
    </row>
    <row r="10" spans="1:29">
      <c r="A10" t="str">
        <f>SUBSTITUTE($V$2,"\","|")&amp; "|FXXX"</f>
        <v>GP301_EK_01|FXXX</v>
      </c>
      <c r="B10" t="s">
        <v>74</v>
      </c>
      <c r="F10" t="s">
        <v>72</v>
      </c>
      <c r="G10" t="s">
        <v>71</v>
      </c>
      <c r="H10">
        <v>0</v>
      </c>
      <c r="I10" t="s">
        <v>72</v>
      </c>
      <c r="J10" t="s">
        <v>69</v>
      </c>
      <c r="K10">
        <v>0</v>
      </c>
      <c r="M10">
        <v>1</v>
      </c>
      <c r="R10" t="str">
        <f>IF($U$2=TRUE,$W$2&amp;". Обобщенная Неисправность","Обобщенная Неисправность")</f>
        <v>ГП 301. Электромагнитный клапан EK1. Обобщенная Неисправность</v>
      </c>
      <c r="S10" s="372"/>
      <c r="U10" s="773"/>
      <c r="V10" s="4"/>
      <c r="W10" s="773"/>
      <c r="X10" s="4"/>
    </row>
    <row r="11" spans="1:29">
      <c r="A11" t="str">
        <f>SUBSTITUTE($V$2,"\","|")&amp; "|ISON"</f>
        <v>GP301_EK_01|ISON</v>
      </c>
      <c r="B11" t="s">
        <v>78</v>
      </c>
      <c r="F11">
        <v>0</v>
      </c>
      <c r="G11" t="s">
        <v>71</v>
      </c>
      <c r="H11">
        <v>0</v>
      </c>
      <c r="I11" t="s">
        <v>72</v>
      </c>
      <c r="J11" t="s">
        <v>69</v>
      </c>
      <c r="K11">
        <v>0</v>
      </c>
      <c r="M11">
        <v>1</v>
      </c>
      <c r="R11" t="str">
        <f>IF($U$2=TRUE,$W$2&amp;". Входное значение КЦУ открыть","Входное значение КЦУ открыть")</f>
        <v>ГП 301. Электромагнитный клапан EK1. Входное значение КЦУ открыть</v>
      </c>
      <c r="S11" s="372"/>
      <c r="U11" s="773"/>
      <c r="V11" s="4"/>
      <c r="W11" s="773"/>
      <c r="X11" s="4"/>
    </row>
    <row r="12" spans="1:29">
      <c r="A12" t="str">
        <f>SUBSTITUTE($V$2,"\","|")&amp; "|XVLX"</f>
        <v>GP301_EK_01|XVLX</v>
      </c>
      <c r="B12" t="s">
        <v>78</v>
      </c>
      <c r="F12">
        <v>0</v>
      </c>
      <c r="G12" t="s">
        <v>71</v>
      </c>
      <c r="H12">
        <v>0</v>
      </c>
      <c r="I12" t="s">
        <v>72</v>
      </c>
      <c r="J12" t="s">
        <v>69</v>
      </c>
      <c r="K12">
        <v>0</v>
      </c>
      <c r="M12">
        <v>1</v>
      </c>
      <c r="R12" t="str">
        <f>IF($U$2=TRUE,$W$2&amp;". Выходное значение","Выходное значение")</f>
        <v>ГП 301. Электромагнитный клапан EK1. Выходное значение</v>
      </c>
      <c r="S12" s="372"/>
      <c r="U12" s="773"/>
      <c r="V12" s="4"/>
      <c r="W12" s="773"/>
      <c r="X12" s="4"/>
    </row>
    <row r="13" spans="1:29">
      <c r="A13" t="str">
        <f>SUBSTITUTE($V$2,"\","|")&amp; "|OXON"</f>
        <v>GP301_EK_01|OXON</v>
      </c>
      <c r="B13" t="s">
        <v>78</v>
      </c>
      <c r="F13">
        <v>0</v>
      </c>
      <c r="G13" t="s">
        <v>71</v>
      </c>
      <c r="H13">
        <v>0</v>
      </c>
      <c r="I13" t="s">
        <v>72</v>
      </c>
      <c r="J13" t="s">
        <v>69</v>
      </c>
      <c r="K13">
        <v>0</v>
      </c>
      <c r="M13">
        <v>1</v>
      </c>
      <c r="R13" t="str">
        <f>IF($U$2=TRUE,$W$2&amp;". Выходное значение Включить/Открыть","Выходное значение Включить/Открыть")</f>
        <v>ГП 301. Электромагнитный клапан EK1. Выходное значение Включить/Открыть</v>
      </c>
      <c r="S13" s="372"/>
      <c r="U13" s="773"/>
      <c r="V13" s="4"/>
      <c r="W13" s="773"/>
      <c r="X13" s="4"/>
    </row>
    <row r="14" spans="1:29">
      <c r="A14" t="str">
        <f>SUBSTITUTE($V$2,"\","|")&amp; "|SCMX"</f>
        <v>GP301_EK_01|SCMX</v>
      </c>
      <c r="B14" t="s">
        <v>78</v>
      </c>
      <c r="F14">
        <v>0</v>
      </c>
      <c r="G14" t="s">
        <v>71</v>
      </c>
      <c r="H14">
        <v>0</v>
      </c>
      <c r="I14" t="s">
        <v>72</v>
      </c>
      <c r="J14" t="s">
        <v>74</v>
      </c>
      <c r="K14">
        <v>0</v>
      </c>
      <c r="M14">
        <v>1</v>
      </c>
      <c r="R14" t="str">
        <f>IF($U$2=TRUE,$W$2&amp;". Режим управления каналом (постоянное включение\моргание)","Режим управления каналом (постоянное включение\моргание)")</f>
        <v>ГП 301. Электромагнитный клапан EK1. Режим управления каналом (постоянное включение\моргание)</v>
      </c>
      <c r="S14" s="372"/>
      <c r="U14" s="773"/>
      <c r="V14" s="4"/>
      <c r="W14" s="773"/>
      <c r="X14" s="4"/>
    </row>
    <row r="15" spans="1:29">
      <c r="A15" t="str">
        <f>SUBSTITUTE($V$2,"\","|")&amp; "|STYP"</f>
        <v>GP301_EK_01|STYP</v>
      </c>
      <c r="B15" t="s">
        <v>78</v>
      </c>
      <c r="F15">
        <v>0</v>
      </c>
      <c r="G15" t="s">
        <v>71</v>
      </c>
      <c r="H15">
        <v>0</v>
      </c>
      <c r="I15" t="s">
        <v>72</v>
      </c>
      <c r="J15" t="s">
        <v>74</v>
      </c>
      <c r="K15">
        <v>0</v>
      </c>
      <c r="M15">
        <v>1</v>
      </c>
      <c r="R15" t="str">
        <f>IF($U$2=TRUE,$W$2&amp;". Тип канала(0-стандартный\1-с КЦ во включ сост)","Тип канала(0-стандартный\1-с КЦ во включ сост)")</f>
        <v>ГП 301. Электромагнитный клапан EK1. Тип канала(0-стандартный\1-с КЦ во включ сост)</v>
      </c>
      <c r="S15" s="372"/>
      <c r="U15" s="773"/>
      <c r="V15" s="4"/>
      <c r="W15" s="773"/>
      <c r="X15" s="4"/>
    </row>
    <row r="16" spans="1:29">
      <c r="A16" t="str">
        <f>SUBSTITUTE($V$2,"\","|")&amp; "|XNON"</f>
        <v>GP301_EK_01|XNON</v>
      </c>
      <c r="B16" t="s">
        <v>74</v>
      </c>
      <c r="F16" t="s">
        <v>72</v>
      </c>
      <c r="G16" t="s">
        <v>71</v>
      </c>
      <c r="H16">
        <v>0</v>
      </c>
      <c r="I16" t="s">
        <v>72</v>
      </c>
      <c r="J16" t="s">
        <v>73</v>
      </c>
      <c r="K16">
        <v>0</v>
      </c>
      <c r="M16">
        <v>1</v>
      </c>
      <c r="R16" t="str">
        <f>IF($U$2=TRUE,$W$2&amp;". Цепь управления в норме/Состояние Выключен","Цепь управления в норме/Состояние Выключен")</f>
        <v>ГП 301. Электромагнитный клапан EK1. Цепь управления в норме/Состояние Выключен</v>
      </c>
      <c r="S16" s="372"/>
      <c r="U16" s="773"/>
      <c r="V16" s="4"/>
      <c r="W16" s="773"/>
      <c r="X16" s="4"/>
    </row>
    <row r="17" spans="1:24">
      <c r="A17" t="str">
        <f>SUBSTITUTE($V$2,"\","|")&amp; "|XONX"</f>
        <v>GP301_EK_01|XONX</v>
      </c>
      <c r="B17" t="s">
        <v>74</v>
      </c>
      <c r="F17" t="s">
        <v>72</v>
      </c>
      <c r="G17" t="s">
        <v>71</v>
      </c>
      <c r="H17">
        <v>0</v>
      </c>
      <c r="I17" t="s">
        <v>72</v>
      </c>
      <c r="J17" t="s">
        <v>73</v>
      </c>
      <c r="K17">
        <v>0</v>
      </c>
      <c r="M17">
        <v>1</v>
      </c>
      <c r="R17" t="str">
        <f>IF($U$2=TRUE,$W$2&amp;". Цепь управления в норме/Состояние Включен","Цепь управления в норме/Состояние Включен")</f>
        <v>ГП 301. Электромагнитный клапан EK1. Цепь управления в норме/Состояние Включен</v>
      </c>
      <c r="S17" s="372"/>
      <c r="U17" s="773"/>
      <c r="V17" s="4"/>
      <c r="W17" s="773"/>
      <c r="X17" s="4"/>
    </row>
    <row r="18" spans="1:24">
      <c r="A18" t="str">
        <f>SUBSTITUTE($V$2,"\","|")&amp; "|XRPX"</f>
        <v>GP301_EK_01|XRPX</v>
      </c>
      <c r="B18" t="s">
        <v>74</v>
      </c>
      <c r="F18" t="s">
        <v>72</v>
      </c>
      <c r="G18" t="s">
        <v>71</v>
      </c>
      <c r="H18">
        <v>0</v>
      </c>
      <c r="I18" t="s">
        <v>72</v>
      </c>
      <c r="J18" t="s">
        <v>73</v>
      </c>
      <c r="K18">
        <v>0</v>
      </c>
      <c r="M18">
        <v>1</v>
      </c>
      <c r="R18" t="str">
        <f>IF($U$2=TRUE,$W$2&amp;". Выведен в ремонт","Выведен в ремонт")</f>
        <v>ГП 301. Электромагнитный клапан EK1. Выведен в ремонт</v>
      </c>
      <c r="S18" s="372"/>
      <c r="U18" s="773"/>
      <c r="V18" s="4"/>
      <c r="W18" s="773"/>
      <c r="X18" s="4"/>
    </row>
    <row r="22" spans="1:24">
      <c r="A22" s="4"/>
      <c r="B22" s="4"/>
      <c r="F22" s="4"/>
      <c r="G22" s="4"/>
      <c r="H22" s="4"/>
      <c r="I22" s="4"/>
      <c r="J22" s="4"/>
      <c r="K22" s="4"/>
      <c r="M22" s="4"/>
    </row>
    <row r="31" spans="1:24">
      <c r="A31" s="4"/>
      <c r="B31" s="4"/>
      <c r="F31" s="4"/>
      <c r="G31" s="4"/>
      <c r="H31" s="4"/>
      <c r="I31" s="4"/>
      <c r="J31" s="4"/>
      <c r="K31" s="4"/>
      <c r="M31" s="4"/>
    </row>
    <row r="32" spans="1:24">
      <c r="A32" s="4"/>
      <c r="B32" s="4"/>
      <c r="F32" s="4"/>
      <c r="G32" s="4"/>
      <c r="H32" s="4"/>
      <c r="I32" s="4"/>
      <c r="J32" s="4"/>
      <c r="K32" s="4"/>
      <c r="M32" s="4"/>
    </row>
    <row r="33" spans="1:23">
      <c r="A33" s="4"/>
      <c r="B33" s="4"/>
      <c r="F33" s="4"/>
      <c r="G33" s="4"/>
      <c r="H33" s="4"/>
      <c r="I33" s="4"/>
      <c r="J33" s="4"/>
      <c r="K33" s="4"/>
      <c r="M33" s="4"/>
    </row>
    <row r="34" spans="1:23">
      <c r="A34" s="4"/>
      <c r="B34" s="4"/>
      <c r="F34" s="4"/>
      <c r="G34" s="4"/>
      <c r="H34" s="4"/>
      <c r="I34" s="4"/>
      <c r="J34" s="4"/>
      <c r="K34" s="4"/>
      <c r="M34" s="4"/>
    </row>
    <row r="35" spans="1:23">
      <c r="A35" s="4"/>
      <c r="B35" s="4"/>
      <c r="F35" s="4"/>
      <c r="G35" s="4"/>
      <c r="H35" s="4"/>
      <c r="I35" s="4"/>
      <c r="J35" s="4"/>
      <c r="K35" s="4"/>
      <c r="M35" s="4"/>
    </row>
    <row r="36" spans="1:23">
      <c r="A36" s="4"/>
      <c r="B36" s="4"/>
      <c r="F36" s="4"/>
      <c r="G36" s="4"/>
      <c r="H36" s="4"/>
      <c r="I36" s="4"/>
      <c r="J36" s="4"/>
      <c r="K36" s="4"/>
      <c r="M36" s="4"/>
    </row>
    <row r="37" spans="1:23">
      <c r="A37" s="4"/>
      <c r="B37" s="4"/>
      <c r="F37" s="4"/>
      <c r="G37" s="4"/>
      <c r="H37" s="4"/>
      <c r="I37" s="4"/>
      <c r="J37" s="4"/>
      <c r="K37" s="4"/>
      <c r="M37" s="4"/>
    </row>
    <row r="38" spans="1:23">
      <c r="A38" s="4"/>
      <c r="B38" s="4"/>
      <c r="F38" s="4"/>
      <c r="G38" s="4"/>
      <c r="H38" s="4"/>
      <c r="I38" s="4"/>
      <c r="J38" s="4"/>
      <c r="K38" s="4"/>
      <c r="M38" s="4"/>
    </row>
    <row r="39" spans="1:23">
      <c r="A39" s="4"/>
      <c r="B39" s="4"/>
      <c r="F39" s="4"/>
      <c r="G39" s="4"/>
      <c r="H39" s="4"/>
      <c r="I39" s="4"/>
      <c r="J39" s="4"/>
      <c r="K39" s="4"/>
      <c r="M39" s="4"/>
    </row>
    <row r="40" spans="1:23">
      <c r="A40" s="4"/>
      <c r="B40" s="4"/>
      <c r="F40" s="4"/>
      <c r="G40" s="4"/>
      <c r="H40" s="4"/>
      <c r="I40" s="4"/>
      <c r="J40" s="4"/>
      <c r="K40" s="4"/>
      <c r="M40" s="4"/>
    </row>
    <row r="41" spans="1:23">
      <c r="A41" s="4"/>
      <c r="B41" s="4"/>
      <c r="F41" s="4"/>
      <c r="G41" s="4"/>
      <c r="H41" s="4"/>
      <c r="I41" s="4"/>
      <c r="J41" s="4"/>
      <c r="K41" s="4"/>
      <c r="M41" s="4"/>
    </row>
    <row r="42" spans="1:23">
      <c r="A42" s="4"/>
      <c r="B42" s="4"/>
      <c r="F42" s="4"/>
      <c r="G42" s="4"/>
      <c r="H42" s="4"/>
      <c r="I42" s="4"/>
      <c r="J42" s="4"/>
      <c r="K42" s="4"/>
      <c r="M42" s="4"/>
      <c r="W42" s="4"/>
    </row>
    <row r="43" spans="1:23">
      <c r="A43" s="4"/>
      <c r="B43" s="4"/>
      <c r="F43" s="4"/>
      <c r="G43" s="4"/>
      <c r="H43" s="4"/>
      <c r="I43" s="4"/>
      <c r="J43" s="4"/>
      <c r="K43" s="4"/>
      <c r="M43" s="4"/>
      <c r="W43" s="4"/>
    </row>
    <row r="44" spans="1:23">
      <c r="W44" s="4"/>
    </row>
    <row r="45" spans="1:23">
      <c r="W45" s="4"/>
    </row>
    <row r="46" spans="1:23">
      <c r="W46" s="4"/>
    </row>
    <row r="47" spans="1:23">
      <c r="W47" s="4"/>
    </row>
    <row r="48" spans="1:23">
      <c r="W48" s="4"/>
    </row>
    <row r="49" spans="23:23">
      <c r="W49" s="4"/>
    </row>
    <row r="50" spans="23:23">
      <c r="W50" s="4"/>
    </row>
    <row r="51" spans="23:23">
      <c r="W51" s="4"/>
    </row>
  </sheetData>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codeName="Лист85">
    <tabColor rgb="FF92D050"/>
  </sheetPr>
  <dimension ref="A1:AC60"/>
  <sheetViews>
    <sheetView topLeftCell="A31" workbookViewId="0">
      <selection activeCell="V2" sqref="V2:AD2"/>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15" customHeight="1">
      <c r="A2" s="10"/>
      <c r="B2" s="10"/>
      <c r="F2" s="10"/>
      <c r="G2" s="10"/>
      <c r="H2" s="10"/>
      <c r="I2" s="10"/>
      <c r="J2" s="10"/>
      <c r="K2" s="10"/>
      <c r="M2" s="10"/>
      <c r="N2" s="10"/>
      <c r="O2" s="10"/>
      <c r="P2" s="10"/>
      <c r="Q2" s="10"/>
      <c r="R2" s="10"/>
      <c r="U2" s="74" t="b">
        <f>Настройки!$M$34</f>
        <v>1</v>
      </c>
      <c r="V2" s="73" t="s">
        <v>4845</v>
      </c>
      <c r="W2" s="537" t="s">
        <v>4846</v>
      </c>
      <c r="X2" s="73"/>
      <c r="Y2" s="73"/>
      <c r="Z2" s="73">
        <v>0</v>
      </c>
      <c r="AA2" s="74">
        <v>60</v>
      </c>
      <c r="AB2" s="74"/>
      <c r="AC2" s="74"/>
    </row>
    <row r="3" spans="1:29">
      <c r="A3" t="str">
        <f>SUBSTITUTE($V$2,"\","|")&amp;"|CAOF"</f>
        <v>GP050_OK_02|CAOF</v>
      </c>
      <c r="B3" t="s">
        <v>74</v>
      </c>
      <c r="F3" t="s">
        <v>72</v>
      </c>
      <c r="G3" t="s">
        <v>71</v>
      </c>
      <c r="H3">
        <v>0</v>
      </c>
      <c r="I3" t="s">
        <v>76</v>
      </c>
      <c r="J3" t="s">
        <v>69</v>
      </c>
      <c r="K3">
        <v>0</v>
      </c>
      <c r="M3">
        <v>1</v>
      </c>
      <c r="R3" t="str">
        <f>IF($U$2=TRUE,$W$2&amp;". Команда алгоритма Закрыть","Команда алгоритма Закрыть")</f>
        <v>ГП 50. ОЗК системы В2. Команда алгоритма Закрыть</v>
      </c>
      <c r="S3" s="372"/>
      <c r="U3" s="773"/>
      <c r="V3" s="4"/>
      <c r="W3" s="773"/>
      <c r="X3" s="4"/>
    </row>
    <row r="4" spans="1:29">
      <c r="A4" t="str">
        <f>SUBSTITUTE($V$2,"\","|")&amp;"|CAON"</f>
        <v>GP050_OK_02|CAON</v>
      </c>
      <c r="B4" t="s">
        <v>74</v>
      </c>
      <c r="F4" t="s">
        <v>72</v>
      </c>
      <c r="G4" t="s">
        <v>71</v>
      </c>
      <c r="H4">
        <v>0</v>
      </c>
      <c r="I4" t="s">
        <v>76</v>
      </c>
      <c r="J4" t="s">
        <v>69</v>
      </c>
      <c r="K4">
        <v>0</v>
      </c>
      <c r="M4">
        <v>1</v>
      </c>
      <c r="R4" t="str">
        <f>IF($U$2=TRUE,$W$2&amp;". Команда алгоритма Открыть","Команда алгоритма Открыть")</f>
        <v>ГП 50. ОЗК системы В2. Команда алгоритма Открыть</v>
      </c>
      <c r="S4" s="372"/>
      <c r="U4" s="773"/>
      <c r="V4" s="4"/>
      <c r="W4" s="773"/>
      <c r="X4" s="4"/>
    </row>
    <row r="5" spans="1:29">
      <c r="A5" t="str">
        <f>SUBSTITUTE($V$2,"\","|")&amp;"|CEOF"</f>
        <v>GP050_OK_02|CEOF</v>
      </c>
      <c r="B5" t="s">
        <v>74</v>
      </c>
      <c r="F5" t="s">
        <v>72</v>
      </c>
      <c r="G5" t="s">
        <v>71</v>
      </c>
      <c r="H5">
        <v>0</v>
      </c>
      <c r="I5" t="s">
        <v>76</v>
      </c>
      <c r="J5" t="s">
        <v>69</v>
      </c>
      <c r="K5">
        <v>0</v>
      </c>
      <c r="M5">
        <v>1</v>
      </c>
      <c r="R5" t="str">
        <f>IF($U$2=TRUE,$W$2&amp;". Команда ПАЗ Закрыть","Команда ПАЗ Закрыть")</f>
        <v>ГП 50. ОЗК системы В2. Команда ПАЗ Закрыть</v>
      </c>
      <c r="S5" s="372"/>
      <c r="U5" s="773"/>
      <c r="V5" s="4"/>
      <c r="W5" s="773"/>
      <c r="X5" s="4"/>
    </row>
    <row r="6" spans="1:29">
      <c r="A6" t="str">
        <f>SUBSTITUTE($V$2,"\","|")&amp;"|CEON"</f>
        <v>GP050_OK_02|CEON</v>
      </c>
      <c r="B6" t="s">
        <v>74</v>
      </c>
      <c r="F6" t="s">
        <v>72</v>
      </c>
      <c r="G6" t="s">
        <v>71</v>
      </c>
      <c r="H6">
        <v>0</v>
      </c>
      <c r="I6" t="s">
        <v>76</v>
      </c>
      <c r="J6" t="s">
        <v>69</v>
      </c>
      <c r="K6">
        <v>0</v>
      </c>
      <c r="M6">
        <v>1</v>
      </c>
      <c r="R6" t="str">
        <f>IF($U$2=TRUE,$W$2&amp;". Команда ПАЗ Открыть","Команда ПАЗ Открыть")</f>
        <v>ГП 50. ОЗК системы В2. Команда ПАЗ Открыть</v>
      </c>
      <c r="S6" s="372"/>
      <c r="U6" s="773"/>
      <c r="V6" s="4"/>
      <c r="W6" s="773"/>
      <c r="X6" s="4"/>
    </row>
    <row r="7" spans="1:29">
      <c r="A7" t="str">
        <f>SUBSTITUTE($V$2,"\","|")&amp;"|COOF"</f>
        <v>GP050_OK_02|COOF</v>
      </c>
      <c r="B7" t="s">
        <v>74</v>
      </c>
      <c r="F7" t="s">
        <v>72</v>
      </c>
      <c r="G7" t="s">
        <v>71</v>
      </c>
      <c r="H7">
        <v>0</v>
      </c>
      <c r="I7" t="s">
        <v>76</v>
      </c>
      <c r="J7" t="s">
        <v>73</v>
      </c>
      <c r="K7">
        <v>0</v>
      </c>
      <c r="M7">
        <v>1</v>
      </c>
      <c r="R7" t="str">
        <f>IF($U$2=TRUE,$W$2&amp;". Команда оператора Закрыть","Команда оператора Закрыть")</f>
        <v>ГП 50. ОЗК системы В2. Команда оператора Закрыть</v>
      </c>
      <c r="S7" s="372"/>
      <c r="U7" s="773"/>
      <c r="V7" s="4"/>
      <c r="W7" s="773"/>
      <c r="X7" s="4"/>
    </row>
    <row r="8" spans="1:29">
      <c r="A8" t="str">
        <f>SUBSTITUTE($V$2,"\","|")&amp;"|COON"</f>
        <v>GP050_OK_02|COON</v>
      </c>
      <c r="B8" t="s">
        <v>74</v>
      </c>
      <c r="F8" t="s">
        <v>72</v>
      </c>
      <c r="G8" t="s">
        <v>71</v>
      </c>
      <c r="H8">
        <v>0</v>
      </c>
      <c r="I8" t="s">
        <v>76</v>
      </c>
      <c r="J8" t="s">
        <v>73</v>
      </c>
      <c r="K8">
        <v>0</v>
      </c>
      <c r="M8">
        <v>1</v>
      </c>
      <c r="R8" t="str">
        <f>IF($U$2=TRUE,$W$2&amp;". Команда оператора Открыть","Команда оператора Открыть")</f>
        <v>ГП 50. ОЗК системы В2. Команда оператора Открыть</v>
      </c>
      <c r="S8" s="372"/>
      <c r="U8" s="773"/>
      <c r="V8" s="4"/>
      <c r="W8" s="773"/>
      <c r="X8" s="4"/>
    </row>
    <row r="9" spans="1:29">
      <c r="A9" t="str">
        <f>SUBSTITUTE($V$2,"\","|")&amp;"|CROF"</f>
        <v>GP050_OK_02|CROF</v>
      </c>
      <c r="B9" t="s">
        <v>74</v>
      </c>
      <c r="F9" t="s">
        <v>72</v>
      </c>
      <c r="G9" t="s">
        <v>71</v>
      </c>
      <c r="H9">
        <v>0</v>
      </c>
      <c r="I9" t="s">
        <v>72</v>
      </c>
      <c r="J9" t="s">
        <v>69</v>
      </c>
      <c r="K9">
        <v>0</v>
      </c>
      <c r="M9">
        <v>1</v>
      </c>
      <c r="R9" t="str">
        <f>IF($U$2=TRUE,$W$2&amp;". Команда от кнопки по месту Закрыть","Команда от кнопки по месту Закрыть")</f>
        <v>ГП 50. ОЗК системы В2. Команда от кнопки по месту Закрыть</v>
      </c>
      <c r="S9" s="372"/>
      <c r="U9" s="773"/>
      <c r="V9" s="4"/>
      <c r="W9" s="773"/>
      <c r="X9" s="4"/>
    </row>
    <row r="10" spans="1:29">
      <c r="A10" t="str">
        <f>SUBSTITUTE($V$2,"\","|")&amp;"|CRON"</f>
        <v>GP050_OK_02|CRON</v>
      </c>
      <c r="B10" t="s">
        <v>74</v>
      </c>
      <c r="F10" t="s">
        <v>72</v>
      </c>
      <c r="G10" t="s">
        <v>71</v>
      </c>
      <c r="H10">
        <v>0</v>
      </c>
      <c r="I10" t="s">
        <v>72</v>
      </c>
      <c r="J10" t="s">
        <v>69</v>
      </c>
      <c r="K10">
        <v>0</v>
      </c>
      <c r="M10">
        <v>1</v>
      </c>
      <c r="R10" t="str">
        <f>IF($U$2=TRUE,$W$2&amp;". Команда от кнопки по месту Открыть","Команда от кнопки по месту Открыть")</f>
        <v>ГП 50. ОЗК системы В2. Команда от кнопки по месту Открыть</v>
      </c>
      <c r="S10" s="372"/>
      <c r="U10" s="773"/>
      <c r="V10" s="4"/>
      <c r="W10" s="773"/>
      <c r="X10" s="4"/>
    </row>
    <row r="11" spans="1:29">
      <c r="A11" t="str">
        <f>SUBSTITUTE($V$2,"\","|")&amp;"|CRPX"</f>
        <v>GP050_OK_02|CRPX</v>
      </c>
      <c r="B11" t="s">
        <v>74</v>
      </c>
      <c r="F11" t="s">
        <v>72</v>
      </c>
      <c r="G11" t="s">
        <v>71</v>
      </c>
      <c r="H11">
        <v>0</v>
      </c>
      <c r="I11" t="s">
        <v>76</v>
      </c>
      <c r="J11" t="s">
        <v>73</v>
      </c>
      <c r="K11">
        <v>0</v>
      </c>
      <c r="M11">
        <v>1</v>
      </c>
      <c r="R11" t="str">
        <f>IF($U$2=TRUE,$W$2&amp;". Команда оператора Вывести в ремонт","Команда оператора Вывести в ремонт")</f>
        <v>ГП 50. ОЗК системы В2. Команда оператора Вывести в ремонт</v>
      </c>
      <c r="S11" s="372"/>
      <c r="U11" s="773"/>
      <c r="V11" s="4"/>
      <c r="W11" s="773"/>
      <c r="X11" s="4"/>
    </row>
    <row r="12" spans="1:29">
      <c r="A12" t="str">
        <f>SUBSTITUTE($V$2,"\","|")&amp;"|CRRX"</f>
        <v>GP050_OK_02|CRRX</v>
      </c>
      <c r="B12" t="s">
        <v>74</v>
      </c>
      <c r="F12" t="s">
        <v>72</v>
      </c>
      <c r="G12" t="s">
        <v>71</v>
      </c>
      <c r="H12">
        <v>0</v>
      </c>
      <c r="I12" t="s">
        <v>76</v>
      </c>
      <c r="J12" t="s">
        <v>73</v>
      </c>
      <c r="K12">
        <v>0</v>
      </c>
      <c r="M12">
        <v>1</v>
      </c>
      <c r="R12" t="str">
        <f>IF($U$2=TRUE,$W$2&amp;". Команда сброс наработки","Команда сброс наработки")</f>
        <v>ГП 50. ОЗК системы В2. Команда сброс наработки</v>
      </c>
      <c r="S12" s="372"/>
      <c r="U12" s="773"/>
      <c r="V12" s="4"/>
      <c r="W12" s="773"/>
      <c r="X12" s="4"/>
    </row>
    <row r="13" spans="1:29">
      <c r="A13" t="str">
        <f>SUBSTITUTE($V$2,"\","|")&amp;"|CRST"</f>
        <v>GP050_OK_02|CRST</v>
      </c>
      <c r="B13" t="s">
        <v>74</v>
      </c>
      <c r="F13" t="s">
        <v>72</v>
      </c>
      <c r="G13" t="s">
        <v>71</v>
      </c>
      <c r="H13">
        <v>0</v>
      </c>
      <c r="I13" t="s">
        <v>76</v>
      </c>
      <c r="J13" t="s">
        <v>73</v>
      </c>
      <c r="K13">
        <v>0</v>
      </c>
      <c r="M13">
        <v>1</v>
      </c>
      <c r="R13" t="str">
        <f>IF($U$2=TRUE,$W$2&amp;". Команда Сброс ошибок","Команда Сброс ошибок")</f>
        <v>ГП 50. ОЗК системы В2. Команда Сброс ошибок</v>
      </c>
      <c r="S13" s="372"/>
      <c r="U13" s="773"/>
      <c r="V13" s="4"/>
      <c r="W13" s="773"/>
      <c r="X13" s="4"/>
    </row>
    <row r="14" spans="1:29">
      <c r="A14" t="str">
        <f>SUBSTITUTE($V$2,"\","|")&amp;"|DFXX"</f>
        <v>GP050_OK_02|DFXX</v>
      </c>
      <c r="B14" t="s">
        <v>74</v>
      </c>
      <c r="F14" t="s">
        <v>72</v>
      </c>
      <c r="G14" t="s">
        <v>71</v>
      </c>
      <c r="H14">
        <v>0</v>
      </c>
      <c r="I14" t="s">
        <v>72</v>
      </c>
      <c r="J14" t="s">
        <v>69</v>
      </c>
      <c r="K14">
        <v>0</v>
      </c>
      <c r="M14">
        <v>1</v>
      </c>
      <c r="R14" t="str">
        <f>IF($U$2=TRUE,$W$2&amp;". Аппаратная неисправность входное значение Неисправность","Аппаратная неисправность входное значение Неисправность")</f>
        <v>ГП 50. ОЗК системы В2. Аппаратная неисправность входное значение Неисправность</v>
      </c>
      <c r="S14" s="372"/>
      <c r="U14" s="773"/>
      <c r="V14" s="4"/>
      <c r="W14" s="773"/>
      <c r="X14" s="4"/>
    </row>
    <row r="15" spans="1:29">
      <c r="A15" t="str">
        <f>SUBSTITUTE($V$2,"\","|")&amp;"|DOFX"</f>
        <v>GP050_OK_02|DOFX</v>
      </c>
      <c r="B15" t="s">
        <v>74</v>
      </c>
      <c r="F15" t="s">
        <v>72</v>
      </c>
      <c r="G15" t="s">
        <v>71</v>
      </c>
      <c r="H15">
        <v>0</v>
      </c>
      <c r="I15" t="s">
        <v>72</v>
      </c>
      <c r="J15" t="s">
        <v>69</v>
      </c>
      <c r="K15">
        <v>0</v>
      </c>
      <c r="M15">
        <v>1</v>
      </c>
      <c r="R15" t="str">
        <f>IF($U$2=TRUE,$W$2&amp;". Аппаратная неисправность входное значение Закрыт","Аппаратная неисправность входное значение Закрыт")</f>
        <v>ГП 50. ОЗК системы В2. Аппаратная неисправность входное значение Закрыт</v>
      </c>
      <c r="S15" s="372"/>
      <c r="U15" s="773"/>
      <c r="V15" s="4"/>
      <c r="W15" s="773"/>
      <c r="X15" s="4"/>
    </row>
    <row r="16" spans="1:29">
      <c r="A16" t="str">
        <f>SUBSTITUTE($V$2,"\","|")&amp;"|DONX"</f>
        <v>GP050_OK_02|DONX</v>
      </c>
      <c r="B16" t="s">
        <v>74</v>
      </c>
      <c r="F16" t="s">
        <v>72</v>
      </c>
      <c r="G16" t="s">
        <v>71</v>
      </c>
      <c r="H16">
        <v>0</v>
      </c>
      <c r="I16" t="s">
        <v>72</v>
      </c>
      <c r="J16" t="s">
        <v>69</v>
      </c>
      <c r="K16">
        <v>0</v>
      </c>
      <c r="M16">
        <v>1</v>
      </c>
      <c r="R16" t="str">
        <f>IF($U$2=TRUE,$W$2&amp;". Аппаратная неисправность входное значение Открыт","Аппаратная неисправность входное значение Открыт")</f>
        <v>ГП 50. ОЗК системы В2. Аппаратная неисправность входное значение Открыт</v>
      </c>
      <c r="S16" s="372"/>
      <c r="U16" s="773"/>
      <c r="V16" s="4"/>
      <c r="W16" s="773"/>
      <c r="X16" s="4"/>
    </row>
    <row r="17" spans="1:24">
      <c r="A17" t="str">
        <f>SUBSTITUTE($V$2,"\","|")&amp;"|DOOF"</f>
        <v>GP050_OK_02|DOOF</v>
      </c>
      <c r="B17" t="s">
        <v>74</v>
      </c>
      <c r="F17" t="s">
        <v>72</v>
      </c>
      <c r="G17" t="s">
        <v>71</v>
      </c>
      <c r="H17">
        <v>0</v>
      </c>
      <c r="I17" t="s">
        <v>72</v>
      </c>
      <c r="J17" t="s">
        <v>69</v>
      </c>
      <c r="K17">
        <v>0</v>
      </c>
      <c r="M17">
        <v>1</v>
      </c>
      <c r="R17" t="str">
        <f>IF($U$2=TRUE,$W$2&amp;". Аппаратная неисправность выходное значение Закрыть","Аппаратная неисправность выходное значение Закрыть")</f>
        <v>ГП 50. ОЗК системы В2. Аппаратная неисправность выходное значение Закрыть</v>
      </c>
      <c r="S17" s="372"/>
      <c r="U17" s="773"/>
      <c r="V17" s="4"/>
      <c r="W17" s="773"/>
      <c r="X17" s="4"/>
    </row>
    <row r="18" spans="1:24">
      <c r="A18" t="str">
        <f>SUBSTITUTE($V$2,"\","|")&amp;"|DOON"</f>
        <v>GP050_OK_02|DOON</v>
      </c>
      <c r="B18" t="s">
        <v>74</v>
      </c>
      <c r="F18" t="s">
        <v>72</v>
      </c>
      <c r="G18" t="s">
        <v>71</v>
      </c>
      <c r="H18">
        <v>0</v>
      </c>
      <c r="I18" t="s">
        <v>72</v>
      </c>
      <c r="J18" t="s">
        <v>69</v>
      </c>
      <c r="K18">
        <v>0</v>
      </c>
      <c r="M18">
        <v>1</v>
      </c>
      <c r="R18" t="str">
        <f>IF($U$2=TRUE,$W$2&amp;". Аппаратная неисправность выходное значение Открыть","Аппаратная неисправность выходное значение Открыть")</f>
        <v>ГП 50. ОЗК системы В2. Аппаратная неисправность выходное значение Открыть</v>
      </c>
      <c r="S18" s="372"/>
      <c r="U18" s="773"/>
      <c r="V18" s="4"/>
      <c r="W18" s="773"/>
      <c r="X18" s="4"/>
    </row>
    <row r="19" spans="1:24">
      <c r="A19" t="str">
        <f>SUBSTITUTE($V$2,"\","|")&amp;"|FCOM"</f>
        <v>GP050_OK_02|FCOM</v>
      </c>
      <c r="B19" t="s">
        <v>74</v>
      </c>
      <c r="F19" t="s">
        <v>72</v>
      </c>
      <c r="G19" t="s">
        <v>71</v>
      </c>
      <c r="H19">
        <v>0</v>
      </c>
      <c r="I19" t="s">
        <v>72</v>
      </c>
      <c r="J19" t="s">
        <v>69</v>
      </c>
      <c r="K19">
        <v>0</v>
      </c>
      <c r="M19">
        <v>1</v>
      </c>
      <c r="R19" t="str">
        <f>IF($U$2=TRUE,$W$2&amp;". Противоречивость команд","Противоречивость команд")</f>
        <v>ГП 50. ОЗК системы В2. Противоречивость команд</v>
      </c>
      <c r="S19" s="372"/>
      <c r="U19" s="773"/>
      <c r="V19" s="4"/>
      <c r="W19" s="773"/>
      <c r="X19" s="4"/>
    </row>
    <row r="20" spans="1:24">
      <c r="A20" t="str">
        <f>SUBSTITUTE($V$2,"\","|")&amp;"|FDSX"</f>
        <v>GP050_OK_02|FDSX</v>
      </c>
      <c r="B20" t="s">
        <v>74</v>
      </c>
      <c r="F20" t="s">
        <v>72</v>
      </c>
      <c r="G20" t="s">
        <v>71</v>
      </c>
      <c r="H20">
        <v>0</v>
      </c>
      <c r="I20" t="s">
        <v>72</v>
      </c>
      <c r="J20" t="s">
        <v>69</v>
      </c>
      <c r="K20">
        <v>0</v>
      </c>
      <c r="M20">
        <v>1</v>
      </c>
      <c r="R20" t="str">
        <f>IF($U$2=TRUE,$W$2&amp;". Двойное положение","Двойное положение")</f>
        <v>ГП 50. ОЗК системы В2. Двойное положение</v>
      </c>
      <c r="S20" s="372"/>
      <c r="U20" s="773"/>
      <c r="V20" s="4"/>
      <c r="W20" s="773"/>
      <c r="X20" s="4"/>
    </row>
    <row r="21" spans="1:24">
      <c r="A21" t="str">
        <f>SUBSTITUTE($V$2,"\","|")&amp;"|FFOF"</f>
        <v>GP050_OK_02|FFOF</v>
      </c>
      <c r="B21" t="s">
        <v>74</v>
      </c>
      <c r="F21" t="s">
        <v>72</v>
      </c>
      <c r="G21" t="s">
        <v>71</v>
      </c>
      <c r="H21">
        <v>0</v>
      </c>
      <c r="I21" t="s">
        <v>72</v>
      </c>
      <c r="J21" t="s">
        <v>69</v>
      </c>
      <c r="K21">
        <v>0</v>
      </c>
      <c r="M21">
        <v>1</v>
      </c>
      <c r="R21" t="str">
        <f>IF($U$2=TRUE,$W$2&amp;". Несанкционированное закрытие","Несанкционированное закрытие")</f>
        <v>ГП 50. ОЗК системы В2. Несанкционированное закрытие</v>
      </c>
      <c r="S21" s="372"/>
      <c r="U21" s="773"/>
      <c r="V21" s="4"/>
      <c r="W21" s="773"/>
      <c r="X21" s="4"/>
    </row>
    <row r="22" spans="1:24">
      <c r="A22" t="str">
        <f>SUBSTITUTE($V$2,"\","|")&amp;"|FFON"</f>
        <v>GP050_OK_02|FFON</v>
      </c>
      <c r="B22" t="s">
        <v>74</v>
      </c>
      <c r="F22" t="s">
        <v>72</v>
      </c>
      <c r="G22" t="s">
        <v>71</v>
      </c>
      <c r="H22">
        <v>0</v>
      </c>
      <c r="I22" t="s">
        <v>72</v>
      </c>
      <c r="J22" t="s">
        <v>69</v>
      </c>
      <c r="K22">
        <v>0</v>
      </c>
      <c r="M22">
        <v>1</v>
      </c>
      <c r="R22" t="str">
        <f>IF($U$2=TRUE,$W$2&amp;". Несанкционированное открытие","Несанкционированное открытие")</f>
        <v>ГП 50. ОЗК системы В2. Несанкционированное открытие</v>
      </c>
      <c r="S22" s="372"/>
      <c r="U22" s="773"/>
      <c r="V22" s="4"/>
      <c r="W22" s="773"/>
      <c r="X22" s="4"/>
    </row>
    <row r="23" spans="1:24">
      <c r="A23" t="str">
        <f>SUBSTITUTE($V$2,"\","|")&amp;"|FOFX"</f>
        <v>GP050_OK_02|FOFX</v>
      </c>
      <c r="B23" t="s">
        <v>74</v>
      </c>
      <c r="F23" t="s">
        <v>72</v>
      </c>
      <c r="G23" t="s">
        <v>71</v>
      </c>
      <c r="H23">
        <v>0</v>
      </c>
      <c r="I23" t="s">
        <v>72</v>
      </c>
      <c r="J23" t="s">
        <v>69</v>
      </c>
      <c r="K23">
        <v>0</v>
      </c>
      <c r="M23">
        <v>1</v>
      </c>
      <c r="R23" t="str">
        <f>IF($U$2=TRUE,$W$2&amp;". Не закрылся","Не закрылся")</f>
        <v>ГП 50. ОЗК системы В2. Не закрылся</v>
      </c>
      <c r="S23" s="372"/>
      <c r="U23" s="773"/>
      <c r="V23" s="4"/>
      <c r="W23" s="773"/>
      <c r="X23" s="4"/>
    </row>
    <row r="24" spans="1:24">
      <c r="A24" t="str">
        <f>SUBSTITUTE($V$2,"\","|")&amp;"|FONX"</f>
        <v>GP050_OK_02|FONX</v>
      </c>
      <c r="B24" t="s">
        <v>74</v>
      </c>
      <c r="F24" t="s">
        <v>72</v>
      </c>
      <c r="G24" t="s">
        <v>71</v>
      </c>
      <c r="H24">
        <v>0</v>
      </c>
      <c r="I24" t="s">
        <v>72</v>
      </c>
      <c r="J24" t="s">
        <v>69</v>
      </c>
      <c r="K24">
        <v>0</v>
      </c>
      <c r="M24">
        <v>1</v>
      </c>
      <c r="R24" t="str">
        <f>IF($U$2=TRUE,$W$2&amp;". Не открылся","Не открылся")</f>
        <v>ГП 50. ОЗК системы В2. Не открылся</v>
      </c>
      <c r="S24" s="372"/>
      <c r="U24" s="773"/>
      <c r="V24" s="4"/>
      <c r="W24" s="773"/>
      <c r="X24" s="4"/>
    </row>
    <row r="25" spans="1:24">
      <c r="A25" t="str">
        <f>SUBSTITUTE($V$2,"\","|")&amp;"|FRQX"</f>
        <v>GP050_OK_02|FRQX</v>
      </c>
      <c r="B25" t="s">
        <v>74</v>
      </c>
      <c r="F25" t="s">
        <v>72</v>
      </c>
      <c r="G25" t="s">
        <v>71</v>
      </c>
      <c r="H25">
        <v>0</v>
      </c>
      <c r="I25" t="s">
        <v>72</v>
      </c>
      <c r="J25" t="s">
        <v>69</v>
      </c>
      <c r="K25">
        <v>0</v>
      </c>
      <c r="M25">
        <v>1</v>
      </c>
      <c r="R25" t="str">
        <f>IF($U$2=TRUE,$W$2&amp;". Сработала уставка по наработке концевиков","Сработала уставка по наработке концевиков")</f>
        <v>ГП 50. ОЗК системы В2. Сработала уставка по наработке концевиков</v>
      </c>
      <c r="S25" s="372"/>
      <c r="U25" s="773"/>
      <c r="V25" s="4"/>
      <c r="W25" s="773"/>
      <c r="X25" s="4"/>
    </row>
    <row r="26" spans="1:24">
      <c r="A26" t="str">
        <f>SUBSTITUTE($V$2,"\","|")&amp;"|FUSX"</f>
        <v>GP050_OK_02|FUSX</v>
      </c>
      <c r="B26" t="s">
        <v>74</v>
      </c>
      <c r="F26" t="s">
        <v>72</v>
      </c>
      <c r="G26" t="s">
        <v>71</v>
      </c>
      <c r="H26">
        <v>0</v>
      </c>
      <c r="I26" t="s">
        <v>72</v>
      </c>
      <c r="J26" t="s">
        <v>69</v>
      </c>
      <c r="K26">
        <v>0</v>
      </c>
      <c r="M26">
        <v>1</v>
      </c>
      <c r="R26" t="str">
        <f>IF($U$2=TRUE,$W$2&amp;". Неопределенное положение","Неопределенное положение")</f>
        <v>ГП 50. ОЗК системы В2. Неопределенное положение</v>
      </c>
      <c r="S26" s="372"/>
      <c r="U26" s="773"/>
      <c r="V26" s="4"/>
      <c r="W26" s="773"/>
      <c r="X26" s="4"/>
    </row>
    <row r="27" spans="1:24">
      <c r="A27" t="str">
        <f>SUBSTITUTE($V$2,"\","|")&amp;"|FXXX"</f>
        <v>GP050_OK_02|FXXX</v>
      </c>
      <c r="B27" t="s">
        <v>74</v>
      </c>
      <c r="F27" t="s">
        <v>72</v>
      </c>
      <c r="G27" t="s">
        <v>71</v>
      </c>
      <c r="H27">
        <v>0</v>
      </c>
      <c r="I27" t="s">
        <v>72</v>
      </c>
      <c r="J27" t="s">
        <v>69</v>
      </c>
      <c r="K27">
        <v>0</v>
      </c>
      <c r="M27">
        <v>1</v>
      </c>
      <c r="R27" t="str">
        <f>IF($U$2=TRUE,$W$2&amp;". Обобщенная неисправность","Обобщенная неисправность")</f>
        <v>ГП 50. ОЗК системы В2. Обобщенная неисправность</v>
      </c>
      <c r="S27" s="372"/>
      <c r="U27" s="773"/>
      <c r="V27" s="4"/>
      <c r="W27" s="773"/>
      <c r="X27" s="4"/>
    </row>
    <row r="28" spans="1:24">
      <c r="A28" t="str">
        <f>SUBSTITUTE($V$2,"\","|")&amp;"|IFXX"</f>
        <v>GP050_OK_02|IFXX</v>
      </c>
      <c r="B28" t="s">
        <v>74</v>
      </c>
      <c r="F28" t="s">
        <v>72</v>
      </c>
      <c r="G28" t="s">
        <v>71</v>
      </c>
      <c r="H28">
        <v>0</v>
      </c>
      <c r="I28" t="s">
        <v>72</v>
      </c>
      <c r="J28" t="s">
        <v>69</v>
      </c>
      <c r="K28">
        <v>0</v>
      </c>
      <c r="M28">
        <v>1</v>
      </c>
      <c r="R28" t="str">
        <f>IF($U$2=TRUE,$W$2&amp;". Входное значение Неисправность","Входное значение Неисправность")</f>
        <v>ГП 50. ОЗК системы В2. Входное значение Неисправность</v>
      </c>
      <c r="S28" s="372"/>
      <c r="U28" s="773"/>
      <c r="V28" s="4"/>
      <c r="W28" s="773"/>
      <c r="X28" s="4"/>
    </row>
    <row r="29" spans="1:24">
      <c r="A29" t="str">
        <f>SUBSTITUTE($V$2,"\","|")&amp;"|IOFX"</f>
        <v>GP050_OK_02|IOFX</v>
      </c>
      <c r="B29" t="s">
        <v>74</v>
      </c>
      <c r="F29" t="s">
        <v>72</v>
      </c>
      <c r="G29" t="s">
        <v>71</v>
      </c>
      <c r="H29">
        <v>0</v>
      </c>
      <c r="I29" t="s">
        <v>72</v>
      </c>
      <c r="J29" t="s">
        <v>69</v>
      </c>
      <c r="K29">
        <v>0</v>
      </c>
      <c r="M29">
        <v>1</v>
      </c>
      <c r="R29" t="str">
        <f>IF($U$2=TRUE,$W$2&amp;". Входное значение Закрыт","Входное значение Закрыт")</f>
        <v>ГП 50. ОЗК системы В2. Входное значение Закрыт</v>
      </c>
      <c r="S29" s="372"/>
      <c r="U29" s="773"/>
      <c r="V29" s="4"/>
      <c r="W29" s="773"/>
      <c r="X29" s="4"/>
    </row>
    <row r="30" spans="1:24">
      <c r="A30" t="str">
        <f>SUBSTITUTE($V$2,"\","|")&amp;"|IONX"</f>
        <v>GP050_OK_02|IONX</v>
      </c>
      <c r="B30" t="s">
        <v>74</v>
      </c>
      <c r="F30" t="s">
        <v>72</v>
      </c>
      <c r="G30" t="s">
        <v>71</v>
      </c>
      <c r="H30">
        <v>0</v>
      </c>
      <c r="I30" t="s">
        <v>72</v>
      </c>
      <c r="J30" t="s">
        <v>69</v>
      </c>
      <c r="K30">
        <v>0</v>
      </c>
      <c r="M30">
        <v>1</v>
      </c>
      <c r="R30" t="str">
        <f>IF($U$2=TRUE,$W$2&amp;". Входное значение Открыт","Входное значение Открыт")</f>
        <v>ГП 50. ОЗК системы В2. Входное значение Открыт</v>
      </c>
      <c r="S30" s="372"/>
      <c r="U30" s="773"/>
      <c r="V30" s="4"/>
      <c r="W30" s="773"/>
      <c r="X30" s="4"/>
    </row>
    <row r="31" spans="1:24">
      <c r="A31" t="str">
        <f>SUBSTITUTE($V$2,"\","|")&amp;"|OXOF"</f>
        <v>GP050_OK_02|OXOF</v>
      </c>
      <c r="B31" t="s">
        <v>74</v>
      </c>
      <c r="F31" t="s">
        <v>72</v>
      </c>
      <c r="G31" t="s">
        <v>71</v>
      </c>
      <c r="H31">
        <v>0</v>
      </c>
      <c r="I31" t="s">
        <v>72</v>
      </c>
      <c r="J31" t="s">
        <v>69</v>
      </c>
      <c r="K31">
        <v>0</v>
      </c>
      <c r="M31">
        <v>1</v>
      </c>
      <c r="R31" t="str">
        <f>IF($U$2=TRUE,$W$2&amp;". Выходное значение Закрыть","Выходное значение Закрыть")</f>
        <v>ГП 50. ОЗК системы В2. Выходное значение Закрыть</v>
      </c>
      <c r="S31" s="372"/>
      <c r="U31" s="773"/>
      <c r="V31" s="4"/>
      <c r="W31" s="773"/>
      <c r="X31" s="4"/>
    </row>
    <row r="32" spans="1:24">
      <c r="A32" t="str">
        <f>SUBSTITUTE($V$2,"\","|")&amp;"|OXON"</f>
        <v>GP050_OK_02|OXON</v>
      </c>
      <c r="B32" t="s">
        <v>74</v>
      </c>
      <c r="F32" t="s">
        <v>72</v>
      </c>
      <c r="G32" t="s">
        <v>71</v>
      </c>
      <c r="H32">
        <v>0</v>
      </c>
      <c r="I32" t="s">
        <v>72</v>
      </c>
      <c r="J32" t="s">
        <v>69</v>
      </c>
      <c r="K32">
        <v>0</v>
      </c>
      <c r="M32">
        <v>1</v>
      </c>
      <c r="R32" t="str">
        <f>IF($U$2=TRUE,$W$2&amp;". Выходное значение Открыть","Выходное значение Открыть")</f>
        <v>ГП 50. ОЗК системы В2. Выходное значение Открыть</v>
      </c>
      <c r="S32" s="372"/>
      <c r="U32" s="773"/>
      <c r="V32" s="4"/>
      <c r="W32" s="773"/>
      <c r="X32" s="4"/>
    </row>
    <row r="33" spans="1:24">
      <c r="A33" t="str">
        <f>SUBSTITUTE($V$2,"\","|")&amp;"|SRQX"</f>
        <v>GP050_OK_02|SRQX</v>
      </c>
      <c r="B33" t="s">
        <v>78</v>
      </c>
      <c r="F33">
        <v>1000</v>
      </c>
      <c r="G33" t="s">
        <v>71</v>
      </c>
      <c r="H33">
        <v>0</v>
      </c>
      <c r="I33" t="s">
        <v>76</v>
      </c>
      <c r="J33" t="s">
        <v>73</v>
      </c>
      <c r="K33">
        <v>0</v>
      </c>
      <c r="M33">
        <v>1</v>
      </c>
      <c r="R33" t="str">
        <f>IF($U$2=TRUE,$W$2&amp;". Уставка по наработке концевиков","Уставка по наработке концевиков")</f>
        <v>ГП 50. ОЗК системы В2. Уставка по наработке концевиков</v>
      </c>
      <c r="S33" s="372"/>
      <c r="U33" s="773"/>
      <c r="V33" s="4"/>
      <c r="W33" s="773"/>
      <c r="X33" s="4"/>
    </row>
    <row r="34" spans="1:24">
      <c r="A34" t="str">
        <f>SUBSTITUTE($V$2,"\","|")&amp;"|STSX"</f>
        <v>GP050_OK_02|STSX</v>
      </c>
      <c r="B34" t="s">
        <v>78</v>
      </c>
      <c r="F34" s="52">
        <f>$AA$2</f>
        <v>60</v>
      </c>
      <c r="G34" t="s">
        <v>71</v>
      </c>
      <c r="H34">
        <v>0</v>
      </c>
      <c r="I34" t="s">
        <v>76</v>
      </c>
      <c r="J34" t="s">
        <v>73</v>
      </c>
      <c r="K34">
        <v>0</v>
      </c>
      <c r="M34">
        <v>1</v>
      </c>
      <c r="R34" t="str">
        <f>IF($U$2=TRUE,$W$2&amp;". Время перестановки (с)","Время перестановки (с)")</f>
        <v>ГП 50. ОЗК системы В2. Время перестановки (с)</v>
      </c>
      <c r="S34" s="372"/>
      <c r="U34" s="773"/>
      <c r="V34" s="4"/>
      <c r="W34" s="773"/>
      <c r="X34" s="4"/>
    </row>
    <row r="35" spans="1:24">
      <c r="A35" t="str">
        <f>SUBSTITUTE($V$2,"\","|")&amp;"|STYP"</f>
        <v>GP050_OK_02|STYP</v>
      </c>
      <c r="B35" t="s">
        <v>78</v>
      </c>
      <c r="F35" s="52">
        <f>$Z$2</f>
        <v>0</v>
      </c>
      <c r="G35" t="s">
        <v>71</v>
      </c>
      <c r="H35">
        <v>0</v>
      </c>
      <c r="I35" t="s">
        <v>76</v>
      </c>
      <c r="J35" t="s">
        <v>69</v>
      </c>
      <c r="K35">
        <v>0</v>
      </c>
      <c r="M35">
        <v>1</v>
      </c>
      <c r="R35" t="str">
        <f>IF($U$2=TRUE,$W$2&amp;". Тип ИМ","Тип ИМ")</f>
        <v>ГП 50. ОЗК системы В2. Тип ИМ</v>
      </c>
      <c r="S35" s="372"/>
      <c r="U35" s="773"/>
      <c r="V35" s="4"/>
      <c r="W35" s="773"/>
      <c r="X35" s="4"/>
    </row>
    <row r="36" spans="1:24">
      <c r="A36" t="str">
        <f>SUBSTITUTE($V$2,"\","|")&amp;"|XOFP"</f>
        <v>GP050_OK_02|XOFP</v>
      </c>
      <c r="B36" t="s">
        <v>74</v>
      </c>
      <c r="F36" t="s">
        <v>72</v>
      </c>
      <c r="G36" t="s">
        <v>71</v>
      </c>
      <c r="H36">
        <v>0</v>
      </c>
      <c r="I36" t="s">
        <v>72</v>
      </c>
      <c r="J36" t="s">
        <v>69</v>
      </c>
      <c r="K36">
        <v>0</v>
      </c>
      <c r="M36">
        <v>1</v>
      </c>
      <c r="R36" t="str">
        <f>IF($U$2=TRUE,$W$2&amp;". Выходное значение Закрывается","Выходное значение Закрывается")</f>
        <v>ГП 50. ОЗК системы В2. Выходное значение Закрывается</v>
      </c>
      <c r="S36" s="372"/>
      <c r="U36" s="773"/>
      <c r="V36" s="4"/>
      <c r="W36" s="773"/>
      <c r="X36" s="4"/>
    </row>
    <row r="37" spans="1:24">
      <c r="A37" t="str">
        <f>SUBSTITUTE($V$2,"\","|")&amp;"|XOFX"</f>
        <v>GP050_OK_02|XOFX</v>
      </c>
      <c r="B37" t="s">
        <v>74</v>
      </c>
      <c r="F37" t="s">
        <v>72</v>
      </c>
      <c r="G37" t="s">
        <v>71</v>
      </c>
      <c r="H37">
        <v>0</v>
      </c>
      <c r="I37" t="s">
        <v>72</v>
      </c>
      <c r="J37" t="s">
        <v>69</v>
      </c>
      <c r="K37">
        <v>0</v>
      </c>
      <c r="M37">
        <v>1</v>
      </c>
      <c r="R37" t="str">
        <f>IF($U$2=TRUE,$W$2&amp;". Выходное значение Закрыт","Выходное значение Закрыт")</f>
        <v>ГП 50. ОЗК системы В2. Выходное значение Закрыт</v>
      </c>
      <c r="S37" s="372"/>
      <c r="U37" s="773"/>
      <c r="V37" s="4"/>
      <c r="W37" s="773"/>
      <c r="X37" s="4"/>
    </row>
    <row r="38" spans="1:24">
      <c r="A38" t="str">
        <f>SUBSTITUTE($V$2,"\","|")&amp;"|XONP"</f>
        <v>GP050_OK_02|XONP</v>
      </c>
      <c r="B38" t="s">
        <v>74</v>
      </c>
      <c r="F38" t="s">
        <v>72</v>
      </c>
      <c r="G38" t="s">
        <v>71</v>
      </c>
      <c r="H38">
        <v>0</v>
      </c>
      <c r="I38" t="s">
        <v>72</v>
      </c>
      <c r="J38" t="s">
        <v>69</v>
      </c>
      <c r="K38">
        <v>0</v>
      </c>
      <c r="M38">
        <v>1</v>
      </c>
      <c r="R38" t="str">
        <f>IF($U$2=TRUE,$W$2&amp;". Выходное значение Открывается","Выходное значение Открывается")</f>
        <v>ГП 50. ОЗК системы В2. Выходное значение Открывается</v>
      </c>
      <c r="S38" s="372"/>
      <c r="U38" s="773"/>
      <c r="V38" s="4"/>
      <c r="W38" s="773"/>
      <c r="X38" s="4"/>
    </row>
    <row r="39" spans="1:24">
      <c r="A39" t="str">
        <f>SUBSTITUTE($V$2,"\","|")&amp;"|XONX"</f>
        <v>GP050_OK_02|XONX</v>
      </c>
      <c r="B39" t="s">
        <v>74</v>
      </c>
      <c r="F39" t="s">
        <v>72</v>
      </c>
      <c r="G39" t="s">
        <v>71</v>
      </c>
      <c r="H39">
        <v>0</v>
      </c>
      <c r="I39" t="s">
        <v>72</v>
      </c>
      <c r="J39" t="s">
        <v>69</v>
      </c>
      <c r="K39">
        <v>0</v>
      </c>
      <c r="M39">
        <v>1</v>
      </c>
      <c r="R39" t="str">
        <f>IF($U$2=TRUE,$W$2&amp;". Выходное значение Открыт","Выходное значение Открыт")</f>
        <v>ГП 50. ОЗК системы В2. Выходное значение Открыт</v>
      </c>
      <c r="S39" s="372"/>
      <c r="U39" s="773"/>
      <c r="V39" s="4"/>
      <c r="W39" s="773"/>
      <c r="X39" s="4"/>
    </row>
    <row r="40" spans="1:24">
      <c r="A40" t="str">
        <f>SUBSTITUTE($V$2,"\","|")&amp;"|XROF"</f>
        <v>GP050_OK_02|XROF</v>
      </c>
      <c r="B40" t="s">
        <v>78</v>
      </c>
      <c r="F40">
        <v>0</v>
      </c>
      <c r="G40" t="s">
        <v>71</v>
      </c>
      <c r="H40">
        <v>0</v>
      </c>
      <c r="I40" t="s">
        <v>76</v>
      </c>
      <c r="J40" t="s">
        <v>73</v>
      </c>
      <c r="K40">
        <v>0</v>
      </c>
      <c r="M40">
        <v>1</v>
      </c>
      <c r="R40" t="str">
        <f>IF($U$2=TRUE,$W$2&amp;". Наработка концевика закрыт","Наработка концевика закрыт")</f>
        <v>ГП 50. ОЗК системы В2. Наработка концевика закрыт</v>
      </c>
      <c r="S40" s="372"/>
      <c r="U40" s="773"/>
      <c r="V40" s="4"/>
      <c r="W40" s="773"/>
      <c r="X40" s="4"/>
    </row>
    <row r="41" spans="1:24">
      <c r="A41" t="str">
        <f>SUBSTITUTE($V$2,"\","|")&amp;"|XRON"</f>
        <v>GP050_OK_02|XRON</v>
      </c>
      <c r="B41" t="s">
        <v>78</v>
      </c>
      <c r="F41">
        <v>0</v>
      </c>
      <c r="G41" t="s">
        <v>71</v>
      </c>
      <c r="H41">
        <v>0</v>
      </c>
      <c r="I41" t="s">
        <v>76</v>
      </c>
      <c r="J41" t="s">
        <v>73</v>
      </c>
      <c r="K41">
        <v>0</v>
      </c>
      <c r="M41">
        <v>1</v>
      </c>
      <c r="R41" t="str">
        <f>IF($U$2=TRUE,$W$2&amp;". Наработка концевика открыт","Наработка концевика открыт")</f>
        <v>ГП 50. ОЗК системы В2. Наработка концевика открыт</v>
      </c>
      <c r="S41" s="372"/>
      <c r="U41" s="773"/>
      <c r="V41" s="4"/>
      <c r="W41" s="773"/>
      <c r="X41" s="4"/>
    </row>
    <row r="42" spans="1:24">
      <c r="A42" t="str">
        <f>SUBSTITUTE($V$2,"\","|")&amp;"|XRPX"</f>
        <v>GP050_OK_02|XRPX</v>
      </c>
      <c r="B42" t="s">
        <v>74</v>
      </c>
      <c r="F42" t="s">
        <v>72</v>
      </c>
      <c r="G42" t="s">
        <v>71</v>
      </c>
      <c r="H42">
        <v>0</v>
      </c>
      <c r="I42" t="s">
        <v>72</v>
      </c>
      <c r="J42" t="s">
        <v>69</v>
      </c>
      <c r="K42">
        <v>0</v>
      </c>
      <c r="M42">
        <v>1</v>
      </c>
      <c r="R42" t="str">
        <f>IF($U$2=TRUE,$W$2&amp;". Выходное значение Выведен в ремонт","Выходное значение Выведен в ремонт")</f>
        <v>ГП 50. ОЗК системы В2. Выходное значение Выведен в ремонт</v>
      </c>
      <c r="S42" s="372"/>
      <c r="U42" s="773"/>
      <c r="V42" s="4"/>
      <c r="W42" s="773"/>
      <c r="X42" s="4"/>
    </row>
    <row r="43" spans="1:24">
      <c r="A43" t="str">
        <f>SUBSTITUTE($V$2,"\","|")&amp;"|IONS"</f>
        <v>GP050_OK_02|IONS</v>
      </c>
      <c r="B43" t="s">
        <v>78</v>
      </c>
      <c r="F43">
        <v>0</v>
      </c>
      <c r="G43" t="s">
        <v>71</v>
      </c>
      <c r="H43">
        <v>0</v>
      </c>
      <c r="I43" t="s">
        <v>72</v>
      </c>
      <c r="J43" t="s">
        <v>69</v>
      </c>
      <c r="K43">
        <v>0</v>
      </c>
      <c r="M43">
        <v>1</v>
      </c>
      <c r="R43" t="str">
        <f>IF($U$2=TRUE,$W$2&amp;". Входное значение КЦС открыт","Входное значение КЦС открыт")</f>
        <v>ГП 50. ОЗК системы В2. Входное значение КЦС открыт</v>
      </c>
      <c r="S43" s="372"/>
      <c r="U43" s="773"/>
      <c r="V43" s="4"/>
      <c r="W43" s="773"/>
      <c r="X43" s="4"/>
    </row>
    <row r="44" spans="1:24">
      <c r="A44" t="str">
        <f>SUBSTITUTE($V$2,"\","|")&amp;"|FONB"</f>
        <v>GP050_OK_02|FONB</v>
      </c>
      <c r="B44" t="s">
        <v>74</v>
      </c>
      <c r="F44" t="s">
        <v>72</v>
      </c>
      <c r="G44" t="s">
        <v>71</v>
      </c>
      <c r="H44">
        <v>0</v>
      </c>
      <c r="I44" t="s">
        <v>72</v>
      </c>
      <c r="J44" t="s">
        <v>69</v>
      </c>
      <c r="K44">
        <v>0</v>
      </c>
      <c r="M44">
        <v>1</v>
      </c>
      <c r="R44" t="str">
        <f>IF($U$2=TRUE,$W$2&amp;". Обрыв цепи состояния открыт","Обрыв цепи состояния открыт")</f>
        <v>ГП 50. ОЗК системы В2. Обрыв цепи состояния открыт</v>
      </c>
      <c r="S44" s="372"/>
      <c r="U44" s="773"/>
      <c r="V44" s="4"/>
      <c r="W44" s="773"/>
      <c r="X44" s="4"/>
    </row>
    <row r="45" spans="1:24">
      <c r="A45" t="str">
        <f>SUBSTITUTE($V$2,"\","|")&amp;"|FONC"</f>
        <v>GP050_OK_02|FONC</v>
      </c>
      <c r="B45" t="s">
        <v>74</v>
      </c>
      <c r="F45" t="s">
        <v>72</v>
      </c>
      <c r="G45" t="s">
        <v>71</v>
      </c>
      <c r="H45">
        <v>0</v>
      </c>
      <c r="I45" t="s">
        <v>72</v>
      </c>
      <c r="J45" t="s">
        <v>69</v>
      </c>
      <c r="K45">
        <v>0</v>
      </c>
      <c r="M45">
        <v>1</v>
      </c>
      <c r="R45" t="str">
        <f>IF($U$2=TRUE,$W$2&amp;". КЗ цепи состояния открыт","КЗ цепи состояния открыт")</f>
        <v>ГП 50. ОЗК системы В2. КЗ цепи состояния открыт</v>
      </c>
      <c r="S45" s="372"/>
      <c r="U45" s="773"/>
      <c r="V45" s="4"/>
      <c r="W45" s="773"/>
      <c r="X45" s="4"/>
    </row>
    <row r="46" spans="1:24">
      <c r="A46" t="str">
        <f>SUBSTITUTE($V$2,"\","|")&amp;"|IOFS"</f>
        <v>GP050_OK_02|IOFS</v>
      </c>
      <c r="B46" t="s">
        <v>78</v>
      </c>
      <c r="F46">
        <v>0</v>
      </c>
      <c r="G46" t="s">
        <v>71</v>
      </c>
      <c r="H46">
        <v>0</v>
      </c>
      <c r="I46" t="s">
        <v>72</v>
      </c>
      <c r="J46" t="s">
        <v>69</v>
      </c>
      <c r="K46">
        <v>0</v>
      </c>
      <c r="M46">
        <v>1</v>
      </c>
      <c r="R46" t="str">
        <f>IF($U$2=TRUE,$W$2&amp;". Входное значение КЦС закрыт","Входное значение КЦС закрыт")</f>
        <v>ГП 50. ОЗК системы В2. Входное значение КЦС закрыт</v>
      </c>
      <c r="S46" s="372"/>
      <c r="U46" s="773"/>
      <c r="V46" s="4"/>
      <c r="W46" s="773"/>
      <c r="X46" s="4"/>
    </row>
    <row r="47" spans="1:24">
      <c r="A47" t="str">
        <f>SUBSTITUTE($V$2,"\","|")&amp;"|FOFB"</f>
        <v>GP050_OK_02|FOFB</v>
      </c>
      <c r="B47" t="s">
        <v>74</v>
      </c>
      <c r="F47" t="s">
        <v>72</v>
      </c>
      <c r="G47" t="s">
        <v>71</v>
      </c>
      <c r="H47">
        <v>0</v>
      </c>
      <c r="I47" t="s">
        <v>72</v>
      </c>
      <c r="J47" t="s">
        <v>69</v>
      </c>
      <c r="K47">
        <v>0</v>
      </c>
      <c r="M47">
        <v>1</v>
      </c>
      <c r="R47" t="str">
        <f>IF($U$2=TRUE,$W$2&amp;". Обрыв цепи состояния закрыт","Обрыв цепи состояния закрыт")</f>
        <v>ГП 50. ОЗК системы В2. Обрыв цепи состояния закрыт</v>
      </c>
      <c r="S47" s="372"/>
      <c r="U47" s="773"/>
      <c r="V47" s="4"/>
      <c r="W47" s="773"/>
      <c r="X47" s="4"/>
    </row>
    <row r="48" spans="1:24">
      <c r="A48" t="str">
        <f>SUBSTITUTE($V$2,"\","|")&amp;"|FOFC"</f>
        <v>GP050_OK_02|FOFC</v>
      </c>
      <c r="B48" t="s">
        <v>74</v>
      </c>
      <c r="F48" t="s">
        <v>72</v>
      </c>
      <c r="G48" t="s">
        <v>71</v>
      </c>
      <c r="H48">
        <v>0</v>
      </c>
      <c r="I48" t="s">
        <v>72</v>
      </c>
      <c r="J48" t="s">
        <v>69</v>
      </c>
      <c r="K48">
        <v>0</v>
      </c>
      <c r="M48">
        <v>1</v>
      </c>
      <c r="R48" t="str">
        <f>IF($U$2=TRUE,$W$2&amp;". КЗ цепи состояния закрыт","КЗ цепи состояния закрыт")</f>
        <v>ГП 50. ОЗК системы В2. КЗ цепи состояния закрыт</v>
      </c>
      <c r="S48" s="372"/>
      <c r="U48" s="773"/>
      <c r="V48" s="4"/>
      <c r="W48" s="773"/>
      <c r="X48" s="4"/>
    </row>
    <row r="49" spans="1:24">
      <c r="A49" t="str">
        <f>SUBSTITUTE($V$2,"\","|")&amp;"|ISON"</f>
        <v>GP050_OK_02|ISON</v>
      </c>
      <c r="B49" t="s">
        <v>74</v>
      </c>
      <c r="F49" t="s">
        <v>72</v>
      </c>
      <c r="G49" t="s">
        <v>71</v>
      </c>
      <c r="H49">
        <v>0</v>
      </c>
      <c r="I49" t="s">
        <v>72</v>
      </c>
      <c r="J49" t="s">
        <v>69</v>
      </c>
      <c r="K49">
        <v>0</v>
      </c>
      <c r="M49">
        <v>1</v>
      </c>
      <c r="R49" t="str">
        <f>IF($U$2=TRUE,$W$2&amp;". Входное значение КЦУ открыть","Входное значение КЦУ открыть")</f>
        <v>ГП 50. ОЗК системы В2. Входное значение КЦУ открыть</v>
      </c>
      <c r="S49" s="372"/>
      <c r="U49" s="773"/>
      <c r="V49" s="4"/>
      <c r="W49" s="773"/>
      <c r="X49" s="4"/>
    </row>
    <row r="50" spans="1:24">
      <c r="A50" t="str">
        <f>SUBSTITUTE($V$2,"\","|")&amp;"|FBON"</f>
        <v>GP050_OK_02|FBON</v>
      </c>
      <c r="B50" t="s">
        <v>74</v>
      </c>
      <c r="F50" t="s">
        <v>72</v>
      </c>
      <c r="G50" t="s">
        <v>71</v>
      </c>
      <c r="H50">
        <v>0</v>
      </c>
      <c r="I50" t="s">
        <v>72</v>
      </c>
      <c r="J50" t="s">
        <v>69</v>
      </c>
      <c r="K50">
        <v>0</v>
      </c>
      <c r="M50">
        <v>1</v>
      </c>
      <c r="R50" t="str">
        <f>IF($U$2=TRUE,$W$2&amp;". Обрыв цепи управления открыть","Обрыв цепи управления открыть")</f>
        <v>ГП 50. ОЗК системы В2. Обрыв цепи управления открыть</v>
      </c>
      <c r="S50" s="372"/>
      <c r="U50" s="773"/>
      <c r="V50" s="4"/>
      <c r="W50" s="773"/>
      <c r="X50" s="4"/>
    </row>
    <row r="51" spans="1:24">
      <c r="A51" t="str">
        <f>SUBSTITUTE($V$2,"\","|")&amp;"|FCON"</f>
        <v>GP050_OK_02|FCON</v>
      </c>
      <c r="B51" t="s">
        <v>74</v>
      </c>
      <c r="F51" t="s">
        <v>72</v>
      </c>
      <c r="G51" t="s">
        <v>71</v>
      </c>
      <c r="H51">
        <v>0</v>
      </c>
      <c r="I51" t="s">
        <v>72</v>
      </c>
      <c r="J51" t="s">
        <v>69</v>
      </c>
      <c r="K51">
        <v>0</v>
      </c>
      <c r="M51">
        <v>1</v>
      </c>
      <c r="R51" t="str">
        <f>IF($U$2=TRUE,$W$2&amp;". КЗ цепи управления открыть","КЗ цепи управления открыть")</f>
        <v>ГП 50. ОЗК системы В2. КЗ цепи управления открыть</v>
      </c>
      <c r="S51" s="372"/>
      <c r="U51" s="773"/>
      <c r="V51" s="4"/>
      <c r="W51" s="773"/>
      <c r="X51" s="4"/>
    </row>
    <row r="52" spans="1:24">
      <c r="A52" t="str">
        <f>SUBSTITUTE($V$2,"\","|")&amp;"|ISOF"</f>
        <v>GP050_OK_02|ISOF</v>
      </c>
      <c r="B52" t="s">
        <v>74</v>
      </c>
      <c r="F52" t="s">
        <v>72</v>
      </c>
      <c r="G52" t="s">
        <v>71</v>
      </c>
      <c r="H52">
        <v>0</v>
      </c>
      <c r="I52" t="s">
        <v>72</v>
      </c>
      <c r="J52" t="s">
        <v>69</v>
      </c>
      <c r="K52">
        <v>0</v>
      </c>
      <c r="M52">
        <v>1</v>
      </c>
      <c r="R52" t="str">
        <f>IF($U$2=TRUE,$W$2&amp;". Входное значение КЦУ закрыть","Входное значение КЦУ закрыть")</f>
        <v>ГП 50. ОЗК системы В2. Входное значение КЦУ закрыть</v>
      </c>
      <c r="S52" s="372"/>
      <c r="U52" s="773"/>
      <c r="V52" s="4"/>
      <c r="W52" s="773"/>
      <c r="X52" s="4"/>
    </row>
    <row r="53" spans="1:24">
      <c r="A53" t="str">
        <f>SUBSTITUTE($V$2,"\","|")&amp;"|FBOF"</f>
        <v>GP050_OK_02|FBOF</v>
      </c>
      <c r="B53" t="s">
        <v>74</v>
      </c>
      <c r="F53" t="s">
        <v>72</v>
      </c>
      <c r="G53" t="s">
        <v>71</v>
      </c>
      <c r="H53">
        <v>0</v>
      </c>
      <c r="I53" t="s">
        <v>72</v>
      </c>
      <c r="J53" t="s">
        <v>69</v>
      </c>
      <c r="K53">
        <v>0</v>
      </c>
      <c r="M53">
        <v>1</v>
      </c>
      <c r="R53" t="str">
        <f>IF($U$2=TRUE,$W$2&amp;". Обрыв цепи управления закрыть","Обрыв цепи управления закрыть")</f>
        <v>ГП 50. ОЗК системы В2. Обрыв цепи управления закрыть</v>
      </c>
      <c r="S53" s="372"/>
      <c r="U53" s="773"/>
      <c r="V53" s="4"/>
      <c r="W53" s="773"/>
      <c r="X53" s="4"/>
    </row>
    <row r="54" spans="1:24">
      <c r="A54" t="str">
        <f>SUBSTITUTE($V$2,"\","|")&amp;"|FCOF"</f>
        <v>GP050_OK_02|FCOF</v>
      </c>
      <c r="B54" t="s">
        <v>74</v>
      </c>
      <c r="F54" t="s">
        <v>72</v>
      </c>
      <c r="G54" t="s">
        <v>71</v>
      </c>
      <c r="H54">
        <v>0</v>
      </c>
      <c r="I54" t="s">
        <v>72</v>
      </c>
      <c r="J54" t="s">
        <v>69</v>
      </c>
      <c r="K54">
        <v>0</v>
      </c>
      <c r="M54">
        <v>1</v>
      </c>
      <c r="R54" t="str">
        <f>IF($U$2=TRUE,$W$2&amp;". КЗ цепи управления закрыть","КЗ цепи управления закрыть")</f>
        <v>ГП 50. ОЗК системы В2. КЗ цепи управления закрыть</v>
      </c>
      <c r="S54" s="372"/>
      <c r="U54" s="773"/>
      <c r="V54" s="4"/>
      <c r="W54" s="773"/>
      <c r="X54" s="4"/>
    </row>
    <row r="55" spans="1:24">
      <c r="A55" t="str">
        <f>SUBSTITUTE($V$2,"\","|")&amp;"|DSOF"</f>
        <v>GP050_OK_02|DSOF</v>
      </c>
      <c r="B55" t="s">
        <v>74</v>
      </c>
      <c r="F55" t="s">
        <v>72</v>
      </c>
      <c r="G55" t="s">
        <v>71</v>
      </c>
      <c r="H55">
        <v>0</v>
      </c>
      <c r="I55" t="s">
        <v>72</v>
      </c>
      <c r="J55" t="s">
        <v>69</v>
      </c>
      <c r="K55">
        <v>0</v>
      </c>
      <c r="M55">
        <v>1</v>
      </c>
      <c r="R55" t="str">
        <f>IF($U$2=TRUE,$W$2&amp;". Недостоверное входное значение КЦУ закрыть","Недостоверное входное значение КЦУ закрыть")</f>
        <v>ГП 50. ОЗК системы В2. Недостоверное входное значение КЦУ закрыть</v>
      </c>
      <c r="S55" s="372"/>
      <c r="U55" s="773"/>
      <c r="V55" s="4"/>
      <c r="W55" s="773"/>
      <c r="X55" s="4"/>
    </row>
    <row r="56" spans="1:24">
      <c r="A56" t="str">
        <f>SUBSTITUTE($V$2,"\","|")&amp;"|DSON"</f>
        <v>GP050_OK_02|DSON</v>
      </c>
      <c r="B56" t="s">
        <v>74</v>
      </c>
      <c r="F56" t="s">
        <v>72</v>
      </c>
      <c r="G56" t="s">
        <v>71</v>
      </c>
      <c r="H56">
        <v>0</v>
      </c>
      <c r="I56" t="s">
        <v>72</v>
      </c>
      <c r="J56" t="s">
        <v>69</v>
      </c>
      <c r="K56">
        <v>0</v>
      </c>
      <c r="M56">
        <v>1</v>
      </c>
      <c r="R56" t="str">
        <f>IF($U$2=TRUE,$W$2&amp;". Недостоверное входное значение КЦУ открыть","Недостоверное входное значение КЦУ открыть")</f>
        <v>ГП 50. ОЗК системы В2. Недостоверное входное значение КЦУ открыть</v>
      </c>
      <c r="S56" s="372"/>
      <c r="U56" s="773"/>
      <c r="V56" s="4"/>
      <c r="W56" s="773"/>
      <c r="X56" s="4"/>
    </row>
    <row r="60" spans="1:24">
      <c r="A60" s="4"/>
      <c r="B60" s="4"/>
      <c r="F60" s="4"/>
      <c r="G60" s="4"/>
      <c r="H60" s="4"/>
      <c r="I60" s="4"/>
      <c r="J60" s="4"/>
      <c r="K60" s="4"/>
      <c r="M60" s="4"/>
    </row>
  </sheetData>
  <pageMargins left="0.7" right="0.7" top="0.75" bottom="0.75" header="0.3" footer="0.3"/>
  <pageSetup paperSize="9"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codeName="Лист69">
    <tabColor rgb="FF92D050"/>
  </sheetPr>
  <dimension ref="A1:AC47"/>
  <sheetViews>
    <sheetView workbookViewId="0">
      <selection activeCell="V2" sqref="V2:AD2"/>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15" customHeight="1">
      <c r="A2" s="10"/>
      <c r="B2" s="10"/>
      <c r="F2" s="10"/>
      <c r="G2" s="10"/>
      <c r="H2" s="10"/>
      <c r="I2" s="10"/>
      <c r="J2" s="10"/>
      <c r="K2" s="10"/>
      <c r="M2" s="10"/>
      <c r="N2" s="10"/>
      <c r="O2" s="10"/>
      <c r="P2" s="10"/>
      <c r="Q2" s="10"/>
      <c r="R2" s="10"/>
      <c r="U2" s="74" t="b">
        <f>Настройки!$M$34</f>
        <v>1</v>
      </c>
      <c r="V2" s="73" t="s">
        <v>4838</v>
      </c>
      <c r="W2" s="537" t="s">
        <v>4839</v>
      </c>
      <c r="X2" s="73"/>
      <c r="Y2" s="73"/>
      <c r="Z2" s="73">
        <v>0</v>
      </c>
      <c r="AA2" s="74"/>
      <c r="AB2" s="74"/>
      <c r="AC2" s="74"/>
    </row>
    <row r="3" spans="1:29">
      <c r="A3" t="str">
        <f>SUBSTITUTE($V$2,"\","|")&amp;"|CAON"</f>
        <v>GP050_BIAS_04|CAON</v>
      </c>
      <c r="B3" t="s">
        <v>74</v>
      </c>
      <c r="F3" t="s">
        <v>72</v>
      </c>
      <c r="G3" t="s">
        <v>71</v>
      </c>
      <c r="H3">
        <v>0</v>
      </c>
      <c r="I3" t="s">
        <v>72</v>
      </c>
      <c r="J3" t="s">
        <v>73</v>
      </c>
      <c r="K3">
        <v>0</v>
      </c>
      <c r="M3">
        <v>1</v>
      </c>
      <c r="R3" t="str">
        <f>IF($U$2=TRUE,$W$2&amp;". Команда алгоритма включить\отключить","Команда алгоритма включить\отключить")</f>
        <v>ГП 50. Сирена "Пожар" BIAS4. Команда алгоритма включить\отключить</v>
      </c>
      <c r="S3" s="372"/>
      <c r="U3" s="773"/>
      <c r="V3" s="4"/>
      <c r="W3" s="773"/>
      <c r="X3" s="4"/>
    </row>
    <row r="4" spans="1:29">
      <c r="A4" t="str">
        <f>SUBSTITUTE($V$2,"\","|")&amp;"|COON"</f>
        <v>GP050_BIAS_04|COON</v>
      </c>
      <c r="B4" t="s">
        <v>74</v>
      </c>
      <c r="F4" t="s">
        <v>72</v>
      </c>
      <c r="G4" t="s">
        <v>71</v>
      </c>
      <c r="H4">
        <v>0</v>
      </c>
      <c r="I4" t="s">
        <v>76</v>
      </c>
      <c r="J4" t="s">
        <v>73</v>
      </c>
      <c r="K4">
        <v>0</v>
      </c>
      <c r="M4">
        <v>1</v>
      </c>
      <c r="R4" t="str">
        <f>IF($U$2=TRUE,$W$2&amp;". Команда оператора включить\отключить","Команда оператора включить\отключить")</f>
        <v>ГП 50. Сирена "Пожар" BIAS4. Команда оператора включить\отключить</v>
      </c>
      <c r="S4" s="372"/>
      <c r="U4" s="773"/>
      <c r="V4" s="4"/>
      <c r="W4" s="773"/>
      <c r="X4" s="4"/>
    </row>
    <row r="5" spans="1:29">
      <c r="A5" t="str">
        <f>SUBSTITUTE($V$2,"\","|")&amp;"|CRPX"</f>
        <v>GP050_BIAS_04|CRPX</v>
      </c>
      <c r="B5" t="s">
        <v>74</v>
      </c>
      <c r="F5" t="s">
        <v>72</v>
      </c>
      <c r="G5" t="s">
        <v>71</v>
      </c>
      <c r="H5">
        <v>0</v>
      </c>
      <c r="I5" t="s">
        <v>76</v>
      </c>
      <c r="J5" t="s">
        <v>73</v>
      </c>
      <c r="K5">
        <v>0</v>
      </c>
      <c r="M5">
        <v>1</v>
      </c>
      <c r="R5" t="str">
        <f>IF($U$2=TRUE,$W$2&amp;". Команда оператора вывести в ремонт\отключить","Команда оператора вывести в ремонт\отключить")</f>
        <v>ГП 50. Сирена "Пожар" BIAS4. Команда оператора вывести в ремонт\отключить</v>
      </c>
      <c r="S5" s="372"/>
      <c r="U5" s="773"/>
      <c r="V5" s="4"/>
      <c r="W5" s="773"/>
      <c r="X5" s="4"/>
    </row>
    <row r="6" spans="1:29">
      <c r="A6" t="str">
        <f>SUBSTITUTE($V$2,"\","|")&amp;"|DVXX"</f>
        <v>GP050_BIAS_04|DVXX</v>
      </c>
      <c r="B6" t="s">
        <v>74</v>
      </c>
      <c r="F6" t="s">
        <v>72</v>
      </c>
      <c r="G6" t="s">
        <v>71</v>
      </c>
      <c r="H6">
        <v>0</v>
      </c>
      <c r="I6" t="s">
        <v>72</v>
      </c>
      <c r="J6" t="s">
        <v>69</v>
      </c>
      <c r="K6">
        <v>0</v>
      </c>
      <c r="M6">
        <v>1</v>
      </c>
      <c r="R6" t="str">
        <f>IF($U$2=TRUE,$W$2&amp;". Аппаратная неисправность(выход)","Аппаратная неисправность(выход)")</f>
        <v>ГП 50. Сирена "Пожар" BIAS4. Аппаратная неисправность(выход)</v>
      </c>
      <c r="S6" s="372"/>
      <c r="U6" s="773"/>
      <c r="V6" s="4"/>
      <c r="W6" s="773"/>
      <c r="X6" s="4"/>
    </row>
    <row r="7" spans="1:29">
      <c r="A7" t="str">
        <f>SUBSTITUTE($V$2,"\","|")&amp;"|FBXX"</f>
        <v>GP050_BIAS_04|FBXX</v>
      </c>
      <c r="B7" t="s">
        <v>74</v>
      </c>
      <c r="F7" t="s">
        <v>72</v>
      </c>
      <c r="G7" t="s">
        <v>71</v>
      </c>
      <c r="H7">
        <v>0</v>
      </c>
      <c r="I7" t="s">
        <v>72</v>
      </c>
      <c r="J7" t="s">
        <v>69</v>
      </c>
      <c r="K7">
        <v>0</v>
      </c>
      <c r="M7">
        <v>1</v>
      </c>
      <c r="R7" t="str">
        <f>IF($U$2=TRUE,$W$2&amp;". Обрыв цепи","Обрыв цепи")</f>
        <v>ГП 50. Сирена "Пожар" BIAS4. Обрыв цепи</v>
      </c>
      <c r="S7" s="372"/>
      <c r="U7" s="773"/>
      <c r="V7" s="4"/>
      <c r="W7" s="773"/>
      <c r="X7" s="4"/>
    </row>
    <row r="8" spans="1:29">
      <c r="A8" t="str">
        <f>SUBSTITUTE($V$2,"\","|")&amp;"|FSCX"</f>
        <v>GP050_BIAS_04|FSCX</v>
      </c>
      <c r="B8" t="s">
        <v>74</v>
      </c>
      <c r="F8" t="s">
        <v>72</v>
      </c>
      <c r="G8" t="s">
        <v>71</v>
      </c>
      <c r="H8">
        <v>0</v>
      </c>
      <c r="I8" t="s">
        <v>72</v>
      </c>
      <c r="J8" t="s">
        <v>69</v>
      </c>
      <c r="K8">
        <v>0</v>
      </c>
      <c r="M8">
        <v>1</v>
      </c>
      <c r="R8" t="str">
        <f>IF($U$2=TRUE,$W$2&amp;". КЗ цепи","КЗ цепи")</f>
        <v>ГП 50. Сирена "Пожар" BIAS4. КЗ цепи</v>
      </c>
      <c r="S8" s="372"/>
      <c r="U8" s="773"/>
      <c r="V8" s="4"/>
      <c r="W8" s="773"/>
      <c r="X8" s="4"/>
    </row>
    <row r="9" spans="1:29">
      <c r="A9" t="str">
        <f>SUBSTITUTE($V$2,"\","|")&amp;"|IVXX"</f>
        <v>GP050_BIAS_04|IVXX</v>
      </c>
      <c r="B9" t="s">
        <v>78</v>
      </c>
      <c r="F9">
        <v>0</v>
      </c>
      <c r="G9" t="s">
        <v>71</v>
      </c>
      <c r="H9">
        <v>0</v>
      </c>
      <c r="I9" t="s">
        <v>72</v>
      </c>
      <c r="J9" t="s">
        <v>69</v>
      </c>
      <c r="K9">
        <v>0</v>
      </c>
      <c r="M9">
        <v>1</v>
      </c>
      <c r="R9" t="str">
        <f>IF($U$2=TRUE,$W$2&amp;". Входное значение","Входное значение")</f>
        <v>ГП 50. Сирена "Пожар" BIAS4. Входное значение</v>
      </c>
      <c r="S9" s="372"/>
      <c r="U9" s="773"/>
      <c r="V9" s="4"/>
      <c r="W9" s="773"/>
      <c r="X9" s="4"/>
    </row>
    <row r="10" spans="1:29">
      <c r="A10" t="str">
        <f>SUBSTITUTE($V$2,"\","|")&amp;"|OXON"</f>
        <v>GP050_BIAS_04|OXON</v>
      </c>
      <c r="B10" t="s">
        <v>78</v>
      </c>
      <c r="F10">
        <v>0</v>
      </c>
      <c r="G10" t="s">
        <v>71</v>
      </c>
      <c r="H10">
        <v>0</v>
      </c>
      <c r="I10" t="s">
        <v>72</v>
      </c>
      <c r="J10" t="s">
        <v>69</v>
      </c>
      <c r="K10">
        <v>0</v>
      </c>
      <c r="M10">
        <v>1</v>
      </c>
      <c r="R10" t="str">
        <f>IF($U$2=TRUE,$W$2&amp;". Выходное значение Включить\Открыть","Выходное значение Включить\Открыть")</f>
        <v>ГП 50. Сирена "Пожар" BIAS4. Выходное значение Включить\Открыть</v>
      </c>
      <c r="S10" s="372"/>
      <c r="U10" s="773"/>
      <c r="V10" s="4"/>
      <c r="W10" s="773"/>
      <c r="X10" s="4"/>
    </row>
    <row r="11" spans="1:29">
      <c r="A11" t="str">
        <f>SUBSTITUTE($V$2,"\","|")&amp;"|SCMX"</f>
        <v>GP050_BIAS_04|SCMX</v>
      </c>
      <c r="B11" t="s">
        <v>78</v>
      </c>
      <c r="F11">
        <v>0</v>
      </c>
      <c r="G11" t="s">
        <v>71</v>
      </c>
      <c r="H11">
        <v>0</v>
      </c>
      <c r="I11" t="s">
        <v>72</v>
      </c>
      <c r="J11" t="s">
        <v>74</v>
      </c>
      <c r="K11">
        <v>0</v>
      </c>
      <c r="M11">
        <v>1</v>
      </c>
      <c r="R11" t="str">
        <f>IF($U$2=TRUE,$W$2&amp;". Режим управления каналом (постоянное включение\моргание)","Режим управления каналом (постоянное включение\моргание)")</f>
        <v>ГП 50. Сирена "Пожар" BIAS4. Режим управления каналом (постоянное включение\моргание)</v>
      </c>
      <c r="S11" s="372"/>
      <c r="U11" s="773"/>
      <c r="V11" s="4"/>
      <c r="W11" s="773"/>
      <c r="X11" s="4"/>
    </row>
    <row r="12" spans="1:29">
      <c r="A12" t="str">
        <f>SUBSTITUTE($V$2,"\","|")&amp;"|STYP"</f>
        <v>GP050_BIAS_04|STYP</v>
      </c>
      <c r="B12" t="s">
        <v>78</v>
      </c>
      <c r="F12" s="52">
        <f>IF($Z$2&lt;&gt;1,0,$Z$2)</f>
        <v>0</v>
      </c>
      <c r="G12" t="s">
        <v>71</v>
      </c>
      <c r="H12">
        <v>0</v>
      </c>
      <c r="I12" t="s">
        <v>72</v>
      </c>
      <c r="J12" t="s">
        <v>74</v>
      </c>
      <c r="K12">
        <v>0</v>
      </c>
      <c r="M12">
        <v>1</v>
      </c>
      <c r="R12" t="str">
        <f>IF($U$2=TRUE,$W$2&amp;". Тип канала(0-МУПС\ 1-Рубеж)","Тип канала(0-МУПС\ 1-Рубеж)")</f>
        <v>ГП 50. Сирена "Пожар" BIAS4. Тип канала(0-МУПС\ 1-Рубеж)</v>
      </c>
      <c r="S12" s="372"/>
      <c r="U12" s="773"/>
      <c r="V12" s="4"/>
      <c r="W12" s="773"/>
      <c r="X12" s="4"/>
    </row>
    <row r="13" spans="1:29">
      <c r="A13" t="str">
        <f>SUBSTITUTE($V$2,"\","|")&amp;"|XNXX"</f>
        <v>GP050_BIAS_04|XNXX</v>
      </c>
      <c r="B13" t="s">
        <v>74</v>
      </c>
      <c r="F13" t="s">
        <v>72</v>
      </c>
      <c r="G13" t="s">
        <v>71</v>
      </c>
      <c r="H13">
        <v>0</v>
      </c>
      <c r="I13" t="s">
        <v>72</v>
      </c>
      <c r="J13" t="s">
        <v>69</v>
      </c>
      <c r="K13">
        <v>0</v>
      </c>
      <c r="M13">
        <v>1</v>
      </c>
      <c r="R13" t="str">
        <f>IF($U$2=TRUE,$W$2&amp;". Цепь управления в норме\Состояние Отключен","Цепь управления в норме\Состояние Отключен")</f>
        <v>ГП 50. Сирена "Пожар" BIAS4. Цепь управления в норме\Состояние Отключен</v>
      </c>
      <c r="S13" s="372"/>
      <c r="U13" s="773"/>
      <c r="V13" s="4"/>
      <c r="W13" s="773"/>
      <c r="X13" s="4"/>
    </row>
    <row r="14" spans="1:29">
      <c r="A14" t="str">
        <f>SUBSTITUTE($V$2,"\","|")&amp;"|XONX"</f>
        <v>GP050_BIAS_04|XONX</v>
      </c>
      <c r="B14" t="s">
        <v>74</v>
      </c>
      <c r="F14" t="s">
        <v>72</v>
      </c>
      <c r="G14" t="s">
        <v>71</v>
      </c>
      <c r="H14">
        <v>0</v>
      </c>
      <c r="I14" t="s">
        <v>72</v>
      </c>
      <c r="J14" t="s">
        <v>69</v>
      </c>
      <c r="K14">
        <v>0</v>
      </c>
      <c r="M14">
        <v>1</v>
      </c>
      <c r="R14" t="str">
        <f>IF($U$2=TRUE,$W$2&amp;". Цепь управления в норме\Состояние Включен","Цепь управления в норме\Состояние Включен")</f>
        <v>ГП 50. Сирена "Пожар" BIAS4. Цепь управления в норме\Состояние Включен</v>
      </c>
      <c r="S14" s="372"/>
      <c r="U14" s="773"/>
      <c r="V14" s="4"/>
      <c r="W14" s="773"/>
      <c r="X14" s="4"/>
    </row>
    <row r="15" spans="1:29">
      <c r="A15" t="str">
        <f>SUBSTITUTE($V$2,"\","|")&amp;"|XRPX"</f>
        <v>GP050_BIAS_04|XRPX</v>
      </c>
      <c r="B15" t="s">
        <v>74</v>
      </c>
      <c r="F15" t="s">
        <v>72</v>
      </c>
      <c r="G15" t="s">
        <v>71</v>
      </c>
      <c r="H15">
        <v>0</v>
      </c>
      <c r="I15" t="s">
        <v>72</v>
      </c>
      <c r="J15" t="s">
        <v>69</v>
      </c>
      <c r="K15">
        <v>0</v>
      </c>
      <c r="M15">
        <v>1</v>
      </c>
      <c r="R15" t="str">
        <f>IF($U$2=TRUE,$W$2&amp;". Выходное значение Выведен в ремонт\отключен","Выходное значение Выведен в ремонт\отключен")</f>
        <v>ГП 50. Сирена "Пожар" BIAS4. Выходное значение Выведен в ремонт\отключен</v>
      </c>
      <c r="S15" s="372"/>
      <c r="U15" s="773"/>
      <c r="V15" s="4"/>
      <c r="W15" s="773"/>
      <c r="X15" s="4"/>
    </row>
    <row r="16" spans="1:29">
      <c r="A16" t="str">
        <f>SUBSTITUTE($V$2,"\","|")&amp;"|XVLX"</f>
        <v>GP050_BIAS_04|XVLX</v>
      </c>
      <c r="B16" t="s">
        <v>78</v>
      </c>
      <c r="F16">
        <v>0</v>
      </c>
      <c r="G16" t="s">
        <v>71</v>
      </c>
      <c r="H16">
        <v>0</v>
      </c>
      <c r="I16" t="s">
        <v>72</v>
      </c>
      <c r="J16" t="s">
        <v>69</v>
      </c>
      <c r="K16">
        <v>0</v>
      </c>
      <c r="M16">
        <v>1</v>
      </c>
      <c r="R16" t="str">
        <f>IF($U$2=TRUE,$W$2&amp;". Выходное значение","Выходное значение")</f>
        <v>ГП 50. Сирена "Пожар" BIAS4. Выходное значение</v>
      </c>
      <c r="S16" s="372"/>
      <c r="U16" s="773"/>
      <c r="V16" s="4"/>
      <c r="W16" s="773"/>
      <c r="X16" s="4"/>
    </row>
    <row r="17" spans="1:24">
      <c r="A17" t="str">
        <f>SUBSTITUTE($V$2,"\","|")&amp;"|FXXX"</f>
        <v>GP050_BIAS_04|FXXX</v>
      </c>
      <c r="B17" t="s">
        <v>74</v>
      </c>
      <c r="F17" t="s">
        <v>72</v>
      </c>
      <c r="G17" t="s">
        <v>71</v>
      </c>
      <c r="H17">
        <v>0</v>
      </c>
      <c r="I17" t="s">
        <v>72</v>
      </c>
      <c r="J17" t="s">
        <v>69</v>
      </c>
      <c r="K17">
        <v>0</v>
      </c>
      <c r="M17">
        <v>1</v>
      </c>
      <c r="R17" t="str">
        <f>IF($U$2=TRUE,$W$2&amp;". Неисправность обобщенная","Неисправность обобщенная")</f>
        <v>ГП 50. Сирена "Пожар" BIAS4. Неисправность обобщенная</v>
      </c>
      <c r="S17" s="372"/>
      <c r="U17" s="773"/>
      <c r="V17" s="4"/>
      <c r="W17" s="773"/>
      <c r="X17" s="4"/>
    </row>
    <row r="18" spans="1:24">
      <c r="A18" t="str">
        <f>SUBSTITUTE($V$2,"\","|")&amp;"|DVIX"</f>
        <v>GP050_BIAS_04|DVIX</v>
      </c>
      <c r="B18" t="s">
        <v>74</v>
      </c>
      <c r="F18" s="4" t="s">
        <v>72</v>
      </c>
      <c r="G18" s="4" t="s">
        <v>71</v>
      </c>
      <c r="H18" s="4">
        <v>0</v>
      </c>
      <c r="I18" t="s">
        <v>72</v>
      </c>
      <c r="J18" t="s">
        <v>73</v>
      </c>
      <c r="K18">
        <v>0</v>
      </c>
      <c r="M18">
        <v>1</v>
      </c>
      <c r="R18" t="str">
        <f>IF($U$2=TRUE,$W$2&amp;". Аппаратная неисправность(вход)","Аппаратная неисправность(вход)")</f>
        <v>ГП 50. Сирена "Пожар" BIAS4. Аппаратная неисправность(вход)</v>
      </c>
    </row>
    <row r="19" spans="1:24">
      <c r="A19" t="str">
        <f>SUBSTITUTE($V$2,"\","|")&amp;"|ORCC"</f>
        <v>GP050_BIAS_04|ORCC</v>
      </c>
      <c r="B19" t="s">
        <v>78</v>
      </c>
      <c r="F19">
        <v>0</v>
      </c>
      <c r="G19" t="s">
        <v>71</v>
      </c>
      <c r="H19">
        <v>0</v>
      </c>
      <c r="I19" t="s">
        <v>72</v>
      </c>
      <c r="J19" t="s">
        <v>74</v>
      </c>
      <c r="K19">
        <v>0</v>
      </c>
      <c r="M19">
        <v>1</v>
      </c>
      <c r="R19" t="str">
        <f>IF($U$2=TRUE,$W$2&amp;". Выходное значение для записи команд в ППК КАУ-2 (Рубеж)","Выходное значение для записи команд в ППК КАУ-2 (Рубеж)")</f>
        <v>ГП 50. Сирена "Пожар" BIAS4. Выходное значение для записи команд в ППК КАУ-2 (Рубеж)</v>
      </c>
    </row>
    <row r="21" spans="1:24">
      <c r="A21" s="4"/>
      <c r="B21" s="4"/>
      <c r="F21" s="4"/>
      <c r="G21" s="4"/>
      <c r="H21" s="4"/>
      <c r="I21" s="4"/>
      <c r="J21" s="4"/>
      <c r="K21" s="4"/>
      <c r="M21" s="4"/>
    </row>
    <row r="27" spans="1:24">
      <c r="A27" s="4"/>
      <c r="B27" s="4"/>
      <c r="F27" s="4"/>
      <c r="G27" s="4"/>
      <c r="H27" s="4"/>
      <c r="I27" s="4"/>
      <c r="J27" s="4"/>
      <c r="K27" s="4"/>
      <c r="M27" s="4"/>
    </row>
    <row r="28" spans="1:24">
      <c r="A28" s="4"/>
      <c r="B28" s="4"/>
      <c r="F28" s="4"/>
      <c r="G28" s="4"/>
      <c r="H28" s="4"/>
      <c r="I28" s="4"/>
      <c r="J28" s="4"/>
      <c r="K28" s="4"/>
      <c r="M28" s="4"/>
    </row>
    <row r="29" spans="1:24">
      <c r="A29" s="4"/>
      <c r="B29" s="4"/>
      <c r="F29" s="4"/>
      <c r="G29" s="4"/>
      <c r="H29" s="4"/>
      <c r="I29" s="4"/>
      <c r="J29" s="4"/>
      <c r="K29" s="4"/>
      <c r="M29" s="4"/>
    </row>
    <row r="30" spans="1:24">
      <c r="A30" s="4"/>
      <c r="B30" s="4"/>
      <c r="F30" s="4"/>
      <c r="G30" s="4"/>
      <c r="H30" s="4"/>
      <c r="I30" s="4"/>
      <c r="J30" s="4"/>
      <c r="K30" s="4"/>
      <c r="M30" s="4"/>
    </row>
    <row r="31" spans="1:24">
      <c r="A31" s="4"/>
      <c r="B31" s="4"/>
      <c r="F31" s="4"/>
      <c r="G31" s="4"/>
      <c r="H31" s="4"/>
      <c r="I31" s="4"/>
      <c r="J31" s="4"/>
      <c r="K31" s="4"/>
      <c r="M31" s="4"/>
    </row>
    <row r="32" spans="1:24">
      <c r="A32" s="4"/>
      <c r="B32" s="4"/>
      <c r="F32" s="4"/>
      <c r="G32" s="4"/>
      <c r="H32" s="4"/>
      <c r="I32" s="4"/>
      <c r="J32" s="4"/>
      <c r="K32" s="4"/>
      <c r="M32" s="4"/>
    </row>
    <row r="33" spans="1:23">
      <c r="A33" s="4"/>
      <c r="B33" s="4"/>
      <c r="F33" s="4"/>
      <c r="G33" s="4"/>
      <c r="H33" s="4"/>
      <c r="I33" s="4"/>
      <c r="J33" s="4"/>
      <c r="K33" s="4"/>
      <c r="M33" s="4"/>
    </row>
    <row r="34" spans="1:23">
      <c r="A34" s="4"/>
      <c r="B34" s="4"/>
      <c r="F34" s="4"/>
      <c r="G34" s="4"/>
      <c r="H34" s="4"/>
      <c r="I34" s="4"/>
      <c r="J34" s="4"/>
      <c r="K34" s="4"/>
      <c r="M34" s="4"/>
    </row>
    <row r="35" spans="1:23">
      <c r="A35" s="4"/>
      <c r="B35" s="4"/>
      <c r="F35" s="4"/>
      <c r="G35" s="4"/>
      <c r="H35" s="4"/>
      <c r="I35" s="4"/>
      <c r="J35" s="4"/>
      <c r="K35" s="4"/>
      <c r="M35" s="4"/>
    </row>
    <row r="36" spans="1:23">
      <c r="A36" s="4"/>
      <c r="B36" s="4"/>
      <c r="F36" s="4"/>
      <c r="G36" s="4"/>
      <c r="H36" s="4"/>
      <c r="I36" s="4"/>
      <c r="J36" s="4"/>
      <c r="K36" s="4"/>
      <c r="M36" s="4"/>
    </row>
    <row r="37" spans="1:23">
      <c r="A37" s="4"/>
      <c r="B37" s="4"/>
      <c r="F37" s="4"/>
      <c r="G37" s="4"/>
      <c r="H37" s="4"/>
      <c r="I37" s="4"/>
      <c r="J37" s="4"/>
      <c r="K37" s="4"/>
      <c r="M37" s="4"/>
    </row>
    <row r="38" spans="1:23">
      <c r="A38" s="4"/>
      <c r="B38" s="4"/>
      <c r="F38" s="4"/>
      <c r="G38" s="4"/>
      <c r="H38" s="4"/>
      <c r="I38" s="4"/>
      <c r="J38" s="4"/>
      <c r="K38" s="4"/>
      <c r="M38" s="4"/>
      <c r="W38" s="4"/>
    </row>
    <row r="39" spans="1:23">
      <c r="A39" s="4"/>
      <c r="B39" s="4"/>
      <c r="F39" s="4"/>
      <c r="G39" s="4"/>
      <c r="H39" s="4"/>
      <c r="I39" s="4"/>
      <c r="J39" s="4"/>
      <c r="K39" s="4"/>
      <c r="M39" s="4"/>
      <c r="W39" s="4"/>
    </row>
    <row r="40" spans="1:23">
      <c r="W40" s="4"/>
    </row>
    <row r="41" spans="1:23">
      <c r="W41" s="4"/>
    </row>
    <row r="42" spans="1:23">
      <c r="W42" s="4"/>
    </row>
    <row r="43" spans="1:23">
      <c r="W43" s="4"/>
    </row>
    <row r="44" spans="1:23">
      <c r="W44" s="4"/>
    </row>
    <row r="45" spans="1:23">
      <c r="W45" s="4"/>
    </row>
    <row r="46" spans="1:23">
      <c r="W46" s="4"/>
    </row>
    <row r="47" spans="1:23">
      <c r="W47" s="4"/>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sheetPr codeName="Лист71">
    <tabColor rgb="FF92D050"/>
  </sheetPr>
  <dimension ref="A1:AD52"/>
  <sheetViews>
    <sheetView workbookViewId="0">
      <selection activeCell="V2" sqref="V2:AD2"/>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4" bestFit="1" customWidth="1"/>
    <col min="22" max="22" width="16.6640625" customWidth="1"/>
    <col min="23" max="23" width="30" customWidth="1"/>
    <col min="24" max="29" width="16.6640625" customWidth="1"/>
  </cols>
  <sheetData>
    <row r="1" spans="1:30">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c r="AD1" s="54" t="s">
        <v>825</v>
      </c>
    </row>
    <row r="2" spans="1:30">
      <c r="A2" s="10"/>
      <c r="B2" s="10"/>
      <c r="F2" s="10"/>
      <c r="G2" s="10"/>
      <c r="H2" s="10"/>
      <c r="I2" s="10"/>
      <c r="J2" s="10"/>
      <c r="K2" s="10"/>
      <c r="M2" s="10"/>
      <c r="N2" s="10"/>
      <c r="O2" s="10"/>
      <c r="P2" s="10"/>
      <c r="Q2" s="10"/>
      <c r="R2" s="10"/>
      <c r="U2" s="74" t="b">
        <f>Настройки!$M$34</f>
        <v>1</v>
      </c>
      <c r="V2" s="73" t="s">
        <v>4501</v>
      </c>
      <c r="W2" s="537" t="s">
        <v>4502</v>
      </c>
      <c r="X2" s="73">
        <v>0</v>
      </c>
      <c r="Y2" s="73"/>
      <c r="Z2" s="73">
        <v>0</v>
      </c>
      <c r="AA2" s="74">
        <v>100</v>
      </c>
      <c r="AB2" s="74"/>
      <c r="AC2" s="74">
        <v>10</v>
      </c>
      <c r="AD2" s="2">
        <v>20</v>
      </c>
    </row>
    <row r="3" spans="1:30">
      <c r="A3" s="373" t="str">
        <f>SUBSTITUTE($V$2,"\","|")&amp;"|CDAX"</f>
        <v>GP450_GA_06|CDAX</v>
      </c>
      <c r="B3" s="373" t="s">
        <v>74</v>
      </c>
      <c r="C3" s="374"/>
      <c r="D3" s="374"/>
      <c r="E3" s="374"/>
      <c r="F3" s="373" t="s">
        <v>72</v>
      </c>
      <c r="G3" s="373" t="s">
        <v>71</v>
      </c>
      <c r="H3" s="373">
        <v>0</v>
      </c>
      <c r="I3" s="373" t="s">
        <v>76</v>
      </c>
      <c r="J3" s="373" t="s">
        <v>73</v>
      </c>
      <c r="K3" s="373">
        <v>0</v>
      </c>
      <c r="L3" s="374"/>
      <c r="M3">
        <v>1</v>
      </c>
      <c r="R3" t="str">
        <f>IF($U$2=TRUE,$W$2&amp;". Команда вывести из алгоритма","Команда вывести из алгоритма")</f>
        <v>ГП 450. Газоанализатор G6. Команда вывести из алгоритма</v>
      </c>
      <c r="S3" s="372"/>
      <c r="U3" s="773"/>
      <c r="V3" s="4"/>
      <c r="W3" s="773"/>
      <c r="X3" s="4"/>
    </row>
    <row r="4" spans="1:30">
      <c r="A4" t="str">
        <f>SUBSTITUTE($V$2,"\","|")&amp;"|CIMX"</f>
        <v>GP450_GA_06|CIMX</v>
      </c>
      <c r="B4" t="s">
        <v>74</v>
      </c>
      <c r="F4" t="s">
        <v>72</v>
      </c>
      <c r="G4" t="s">
        <v>71</v>
      </c>
      <c r="H4">
        <v>0</v>
      </c>
      <c r="I4" t="s">
        <v>76</v>
      </c>
      <c r="J4" t="s">
        <v>73</v>
      </c>
      <c r="K4">
        <v>0</v>
      </c>
      <c r="M4">
        <v>1</v>
      </c>
      <c r="R4" t="str">
        <f>IF($U$2=TRUE,$W$2&amp;". Команда имитация","Команда имитация")</f>
        <v>ГП 450. Газоанализатор G6. Команда имитация</v>
      </c>
      <c r="S4" s="372"/>
      <c r="U4" s="773"/>
      <c r="V4" s="4"/>
      <c r="W4" s="773"/>
      <c r="X4" s="4"/>
    </row>
    <row r="5" spans="1:30">
      <c r="A5" t="str">
        <f>SUBSTITUTE($V$2,"\","|")&amp;"|CPRP"</f>
        <v>GP450_GA_06|CPRP</v>
      </c>
      <c r="B5" t="s">
        <v>74</v>
      </c>
      <c r="F5" t="s">
        <v>72</v>
      </c>
      <c r="G5" t="s">
        <v>71</v>
      </c>
      <c r="H5">
        <v>0</v>
      </c>
      <c r="I5" t="s">
        <v>76</v>
      </c>
      <c r="J5" t="s">
        <v>69</v>
      </c>
      <c r="K5">
        <v>0</v>
      </c>
      <c r="M5">
        <v>1</v>
      </c>
      <c r="R5" t="str">
        <f>IF($U$2=TRUE,$W$2&amp;". Команда ремонт от пульта","Команда ремонт от пульта")</f>
        <v>ГП 450. Газоанализатор G6. Команда ремонт от пульта</v>
      </c>
      <c r="S5" s="372"/>
      <c r="U5" s="773"/>
      <c r="V5" s="4"/>
      <c r="W5" s="773"/>
      <c r="X5" s="4"/>
    </row>
    <row r="6" spans="1:30">
      <c r="A6" t="str">
        <f>SUBSTITUTE($V$2,"\","|")&amp;"|CRPX"</f>
        <v>GP450_GA_06|CRPX</v>
      </c>
      <c r="B6" t="s">
        <v>74</v>
      </c>
      <c r="F6" t="s">
        <v>72</v>
      </c>
      <c r="G6" t="s">
        <v>71</v>
      </c>
      <c r="H6">
        <v>0</v>
      </c>
      <c r="I6" t="s">
        <v>76</v>
      </c>
      <c r="J6" t="s">
        <v>73</v>
      </c>
      <c r="K6">
        <v>0</v>
      </c>
      <c r="M6">
        <v>1</v>
      </c>
      <c r="R6" t="str">
        <f>IF($U$2=TRUE,$W$2&amp;". Команда ремонт от оператора","Команда ремонт от оператора")</f>
        <v>ГП 450. Газоанализатор G6. Команда ремонт от оператора</v>
      </c>
      <c r="S6" s="372"/>
      <c r="U6" s="773"/>
      <c r="V6" s="4"/>
      <c r="W6" s="773"/>
      <c r="X6" s="4"/>
    </row>
    <row r="7" spans="1:30">
      <c r="A7" t="str">
        <f>SUBSTITUTE($V$2,"\","|")&amp;"|CRST"</f>
        <v>GP450_GA_06|CRST</v>
      </c>
      <c r="B7" t="s">
        <v>74</v>
      </c>
      <c r="F7" t="s">
        <v>72</v>
      </c>
      <c r="G7" t="s">
        <v>71</v>
      </c>
      <c r="H7">
        <v>0</v>
      </c>
      <c r="I7" t="s">
        <v>72</v>
      </c>
      <c r="J7" t="s">
        <v>73</v>
      </c>
      <c r="K7">
        <v>0</v>
      </c>
      <c r="M7">
        <v>1</v>
      </c>
      <c r="R7" t="str">
        <f>IF($U$2=TRUE,$W$2&amp;". Команда оператора сброс ошибок","Команда оператора сброс ошибок")</f>
        <v>ГП 450. Газоанализатор G6. Команда оператора сброс ошибок</v>
      </c>
      <c r="S7" s="372"/>
      <c r="U7" s="773"/>
      <c r="V7" s="4"/>
      <c r="W7" s="773"/>
      <c r="X7" s="4"/>
    </row>
    <row r="8" spans="1:30">
      <c r="A8" t="str">
        <f>SUBSTITUTE($V$2,"\","|")&amp;"|DFEX"</f>
        <v>GP450_GA_06|DFEX</v>
      </c>
      <c r="B8" t="s">
        <v>74</v>
      </c>
      <c r="F8" t="s">
        <v>72</v>
      </c>
      <c r="G8" t="s">
        <v>71</v>
      </c>
      <c r="H8">
        <v>0</v>
      </c>
      <c r="I8" t="s">
        <v>72</v>
      </c>
      <c r="J8" t="s">
        <v>69</v>
      </c>
      <c r="K8">
        <v>0</v>
      </c>
      <c r="M8">
        <v>1</v>
      </c>
      <c r="R8" t="str">
        <f>IF($U$2=TRUE,$W$2&amp;". Недостоверное входное значение Неисправность","Недостоверное входное значение Неисправность")</f>
        <v>ГП 450. Газоанализатор G6. Недостоверное входное значение Неисправность</v>
      </c>
      <c r="S8" s="372"/>
      <c r="U8" s="773"/>
      <c r="V8" s="4"/>
      <c r="W8" s="773"/>
      <c r="X8" s="4"/>
    </row>
    <row r="9" spans="1:30">
      <c r="A9" t="str">
        <f>SUBSTITUTE($V$2,"\","|")&amp;"|DT1X"</f>
        <v>GP450_GA_06|DT1X</v>
      </c>
      <c r="B9" t="s">
        <v>74</v>
      </c>
      <c r="F9" t="s">
        <v>72</v>
      </c>
      <c r="G9" t="s">
        <v>71</v>
      </c>
      <c r="H9">
        <v>0</v>
      </c>
      <c r="I9" t="s">
        <v>72</v>
      </c>
      <c r="J9" t="s">
        <v>69</v>
      </c>
      <c r="K9">
        <v>0</v>
      </c>
      <c r="M9">
        <v>1</v>
      </c>
      <c r="R9" t="str">
        <f>IF($U$2=TRUE,$W$2&amp;". Недостоверное входное значение Порог 1","Недостоверное входное значение Порог 1")</f>
        <v>ГП 450. Газоанализатор G6. Недостоверное входное значение Порог 1</v>
      </c>
      <c r="S9" s="372"/>
      <c r="U9" s="773"/>
      <c r="V9" s="4"/>
      <c r="W9" s="773"/>
      <c r="X9" s="4"/>
    </row>
    <row r="10" spans="1:30">
      <c r="A10" t="str">
        <f>SUBSTITUTE($V$2,"\","|")&amp;"|DT2X"</f>
        <v>GP450_GA_06|DT2X</v>
      </c>
      <c r="B10" t="s">
        <v>74</v>
      </c>
      <c r="F10" t="s">
        <v>72</v>
      </c>
      <c r="G10" t="s">
        <v>71</v>
      </c>
      <c r="H10">
        <v>0</v>
      </c>
      <c r="I10" t="s">
        <v>72</v>
      </c>
      <c r="J10" t="s">
        <v>69</v>
      </c>
      <c r="K10">
        <v>0</v>
      </c>
      <c r="M10">
        <v>1</v>
      </c>
      <c r="R10" t="str">
        <f>IF($U$2=TRUE,$W$2&amp;". Недостоверное входное значение Порог 2","Недостоверное входное значение Порог 2")</f>
        <v>ГП 450. Газоанализатор G6. Недостоверное входное значение Порог 2</v>
      </c>
      <c r="S10" s="372"/>
      <c r="U10" s="773"/>
      <c r="V10" s="4"/>
      <c r="W10" s="773"/>
      <c r="X10" s="4"/>
    </row>
    <row r="11" spans="1:30">
      <c r="A11" t="str">
        <f>SUBSTITUTE($V$2,"\","|")&amp;"|DVXX"</f>
        <v>GP450_GA_06|DVXX</v>
      </c>
      <c r="B11" t="s">
        <v>74</v>
      </c>
      <c r="F11" t="s">
        <v>72</v>
      </c>
      <c r="G11" t="s">
        <v>71</v>
      </c>
      <c r="H11">
        <v>0</v>
      </c>
      <c r="I11" t="s">
        <v>72</v>
      </c>
      <c r="J11" t="s">
        <v>69</v>
      </c>
      <c r="K11">
        <v>0</v>
      </c>
      <c r="M11">
        <v>1</v>
      </c>
      <c r="R11" t="str">
        <f>IF($U$2=TRUE,$W$2&amp;". Недостоверное значение","Недостоверное значение")</f>
        <v>ГП 450. Газоанализатор G6. Недостоверное значение</v>
      </c>
      <c r="S11" s="372"/>
      <c r="U11" s="773"/>
      <c r="V11" s="4"/>
      <c r="W11" s="773"/>
      <c r="X11" s="4"/>
    </row>
    <row r="12" spans="1:30">
      <c r="A12" t="str">
        <f>SUBSTITUTE($V$2,"\","|")&amp;"|FBXX"</f>
        <v>GP450_GA_06|FBXX</v>
      </c>
      <c r="B12" t="s">
        <v>74</v>
      </c>
      <c r="F12" t="s">
        <v>72</v>
      </c>
      <c r="G12" t="s">
        <v>71</v>
      </c>
      <c r="H12">
        <v>0</v>
      </c>
      <c r="I12" t="s">
        <v>72</v>
      </c>
      <c r="J12" t="s">
        <v>69</v>
      </c>
      <c r="K12">
        <v>0</v>
      </c>
      <c r="M12">
        <v>1</v>
      </c>
      <c r="R12" t="str">
        <f>IF($U$2=TRUE,$W$2&amp;". Обрыв","Обрыв")</f>
        <v>ГП 450. Газоанализатор G6. Обрыв</v>
      </c>
      <c r="S12" s="372"/>
      <c r="U12" s="773"/>
      <c r="V12" s="4"/>
      <c r="W12" s="773"/>
      <c r="X12" s="4"/>
    </row>
    <row r="13" spans="1:30">
      <c r="A13" t="str">
        <f>SUBSTITUTE($V$2,"\","|")&amp;"|FEXX"</f>
        <v>GP450_GA_06|FEXX</v>
      </c>
      <c r="B13" t="s">
        <v>74</v>
      </c>
      <c r="F13" t="s">
        <v>72</v>
      </c>
      <c r="G13" t="s">
        <v>71</v>
      </c>
      <c r="H13">
        <v>0</v>
      </c>
      <c r="I13" t="s">
        <v>72</v>
      </c>
      <c r="J13" t="s">
        <v>69</v>
      </c>
      <c r="K13">
        <v>0</v>
      </c>
      <c r="M13">
        <v>1</v>
      </c>
      <c r="R13" t="str">
        <f>IF($U$2=TRUE,$W$2&amp;". Датчик в состоянии Неисправность","Датчик в состоянии Неисправность")</f>
        <v>ГП 450. Газоанализатор G6. Датчик в состоянии Неисправность</v>
      </c>
      <c r="S13" s="372"/>
      <c r="U13" s="773"/>
      <c r="V13" s="4"/>
      <c r="W13" s="773"/>
      <c r="X13" s="4"/>
    </row>
    <row r="14" spans="1:30">
      <c r="A14" t="str">
        <f>SUBSTITUTE($V$2,"\","|")&amp;"|FFBX"</f>
        <v>GP450_GA_06|FFBX</v>
      </c>
      <c r="B14" t="s">
        <v>74</v>
      </c>
      <c r="F14" t="s">
        <v>72</v>
      </c>
      <c r="G14" t="s">
        <v>71</v>
      </c>
      <c r="H14">
        <v>0</v>
      </c>
      <c r="I14" t="s">
        <v>72</v>
      </c>
      <c r="J14" t="s">
        <v>69</v>
      </c>
      <c r="K14">
        <v>0</v>
      </c>
      <c r="M14">
        <v>1</v>
      </c>
      <c r="R14" t="str">
        <f>IF($U$2=TRUE,$W$2&amp;". Обрыв цепи сигнала Неисправность","Обрыв цепи сигнала Неисправность")</f>
        <v>ГП 450. Газоанализатор G6. Обрыв цепи сигнала Неисправность</v>
      </c>
      <c r="S14" s="372"/>
      <c r="U14" s="773"/>
      <c r="V14" s="4"/>
      <c r="W14" s="773"/>
      <c r="X14" s="4"/>
    </row>
    <row r="15" spans="1:30">
      <c r="A15" t="str">
        <f>SUBSTITUTE($V$2,"\","|")&amp;"|FFSC"</f>
        <v>GP450_GA_06|FFSC</v>
      </c>
      <c r="B15" t="s">
        <v>74</v>
      </c>
      <c r="F15" t="s">
        <v>72</v>
      </c>
      <c r="G15" t="s">
        <v>71</v>
      </c>
      <c r="H15">
        <v>0</v>
      </c>
      <c r="I15" t="s">
        <v>72</v>
      </c>
      <c r="J15" t="s">
        <v>69</v>
      </c>
      <c r="K15">
        <v>0</v>
      </c>
      <c r="M15">
        <v>1</v>
      </c>
      <c r="R15" t="str">
        <f>IF($U$2=TRUE,$W$2&amp;". КЗ цепи сигнала Неисправность","КЗ цепи сигнала Неисправность")</f>
        <v>ГП 450. Газоанализатор G6. КЗ цепи сигнала Неисправность</v>
      </c>
      <c r="S15" s="372"/>
      <c r="U15" s="773"/>
      <c r="V15" s="4"/>
      <c r="W15" s="773"/>
      <c r="X15" s="4"/>
    </row>
    <row r="16" spans="1:30">
      <c r="A16" t="str">
        <f>SUBSTITUTE($V$2,"\","|")&amp;"|FHSX"</f>
        <v>GP450_GA_06|FHSX</v>
      </c>
      <c r="B16" t="s">
        <v>74</v>
      </c>
      <c r="F16" t="s">
        <v>72</v>
      </c>
      <c r="G16" t="s">
        <v>71</v>
      </c>
      <c r="H16">
        <v>0</v>
      </c>
      <c r="I16" t="s">
        <v>72</v>
      </c>
      <c r="J16" t="s">
        <v>69</v>
      </c>
      <c r="K16">
        <v>0</v>
      </c>
      <c r="M16">
        <v>1</v>
      </c>
      <c r="R16" t="str">
        <f>IF($U$2=TRUE,$W$2&amp;". Выход за верхнюю шкалу датчика","Выход за верхнюю шкалу датчика")</f>
        <v>ГП 450. Газоанализатор G6. Выход за верхнюю шкалу датчика</v>
      </c>
      <c r="S16" s="372"/>
      <c r="U16" s="773"/>
      <c r="V16" s="4"/>
      <c r="W16" s="773"/>
      <c r="X16" s="4"/>
    </row>
    <row r="17" spans="1:24">
      <c r="A17" t="str">
        <f>SUBSTITUTE($V$2,"\","|")&amp;"|FLSX"</f>
        <v>GP450_GA_06|FLSX</v>
      </c>
      <c r="B17" t="s">
        <v>74</v>
      </c>
      <c r="F17" t="s">
        <v>72</v>
      </c>
      <c r="G17" t="s">
        <v>71</v>
      </c>
      <c r="H17">
        <v>0</v>
      </c>
      <c r="I17" t="s">
        <v>72</v>
      </c>
      <c r="J17" t="s">
        <v>69</v>
      </c>
      <c r="K17">
        <v>0</v>
      </c>
      <c r="M17">
        <v>1</v>
      </c>
      <c r="R17" t="str">
        <f>IF($U$2=TRUE,$W$2&amp;". Выход за нижнюю шкалу датчика","Выход за нижнюю шкалу датчика")</f>
        <v>ГП 450. Газоанализатор G6. Выход за нижнюю шкалу датчика</v>
      </c>
      <c r="S17" s="372"/>
      <c r="U17" s="773"/>
      <c r="V17" s="4"/>
      <c r="W17" s="773"/>
      <c r="X17" s="4"/>
    </row>
    <row r="18" spans="1:24">
      <c r="A18" t="str">
        <f>SUBSTITUTE($V$2,"\","|")&amp;"|FSCX"</f>
        <v>GP450_GA_06|FSCX</v>
      </c>
      <c r="B18" t="s">
        <v>74</v>
      </c>
      <c r="F18" t="s">
        <v>72</v>
      </c>
      <c r="G18" t="s">
        <v>71</v>
      </c>
      <c r="H18">
        <v>0</v>
      </c>
      <c r="I18" t="s">
        <v>72</v>
      </c>
      <c r="J18" t="s">
        <v>69</v>
      </c>
      <c r="K18">
        <v>0</v>
      </c>
      <c r="M18">
        <v>1</v>
      </c>
      <c r="R18" t="str">
        <f>IF($U$2=TRUE,$W$2&amp;". КЗ ","КЗ ")</f>
        <v xml:space="preserve">ГП 450. Газоанализатор G6. КЗ </v>
      </c>
      <c r="S18" s="372"/>
      <c r="U18" s="773"/>
      <c r="V18" s="4"/>
      <c r="W18" s="773"/>
      <c r="X18" s="4"/>
    </row>
    <row r="19" spans="1:24">
      <c r="A19" t="str">
        <f>SUBSTITUTE($V$2,"\","|")&amp;"|FSLX"</f>
        <v>GP450_GA_06|FSLX</v>
      </c>
      <c r="B19" t="s">
        <v>74</v>
      </c>
      <c r="F19" t="s">
        <v>72</v>
      </c>
      <c r="G19" t="s">
        <v>71</v>
      </c>
      <c r="H19">
        <v>0</v>
      </c>
      <c r="I19" t="s">
        <v>72</v>
      </c>
      <c r="J19" t="s">
        <v>69</v>
      </c>
      <c r="K19">
        <v>0</v>
      </c>
      <c r="M19">
        <v>1</v>
      </c>
      <c r="R19" t="str">
        <f>IF($U$2=TRUE,$W$2&amp;". Предельная скорость изменения параметра","Предельная скорость изменения параметра")</f>
        <v>ГП 450. Газоанализатор G6. Предельная скорость изменения параметра</v>
      </c>
      <c r="S19" s="372"/>
      <c r="U19" s="773"/>
      <c r="V19" s="4"/>
      <c r="W19" s="773"/>
      <c r="X19" s="4"/>
    </row>
    <row r="20" spans="1:24">
      <c r="A20" t="str">
        <f>SUBSTITUTE($V$2,"\","|")&amp;"|FT1B"</f>
        <v>GP450_GA_06|FT1B</v>
      </c>
      <c r="B20" t="s">
        <v>74</v>
      </c>
      <c r="F20" t="s">
        <v>72</v>
      </c>
      <c r="G20" t="s">
        <v>71</v>
      </c>
      <c r="H20">
        <v>0</v>
      </c>
      <c r="I20" t="s">
        <v>72</v>
      </c>
      <c r="J20" t="s">
        <v>69</v>
      </c>
      <c r="K20">
        <v>0</v>
      </c>
      <c r="M20">
        <v>1</v>
      </c>
      <c r="R20" t="str">
        <f>IF($U$2=TRUE,$W$2&amp;". Обрыв цепи сигнала Порог 1","Обрыв цепи сигнала Порог 1")</f>
        <v>ГП 450. Газоанализатор G6. Обрыв цепи сигнала Порог 1</v>
      </c>
      <c r="S20" s="372"/>
      <c r="U20" s="773"/>
      <c r="V20" s="4"/>
      <c r="W20" s="773"/>
      <c r="X20" s="4"/>
    </row>
    <row r="21" spans="1:24">
      <c r="A21" t="str">
        <f>SUBSTITUTE($V$2,"\","|")&amp;"|FT1C"</f>
        <v>GP450_GA_06|FT1C</v>
      </c>
      <c r="B21" t="s">
        <v>74</v>
      </c>
      <c r="F21" t="s">
        <v>72</v>
      </c>
      <c r="G21" t="s">
        <v>71</v>
      </c>
      <c r="H21">
        <v>0</v>
      </c>
      <c r="I21" t="s">
        <v>72</v>
      </c>
      <c r="J21" t="s">
        <v>69</v>
      </c>
      <c r="K21">
        <v>0</v>
      </c>
      <c r="M21">
        <v>1</v>
      </c>
      <c r="R21" t="str">
        <f>IF($U$2=TRUE,$W$2&amp;". КЗ цепи сигнала Порог 1","КЗ цепи сигнала Порог 1")</f>
        <v>ГП 450. Газоанализатор G6. КЗ цепи сигнала Порог 1</v>
      </c>
      <c r="S21" s="372"/>
      <c r="U21" s="773"/>
      <c r="V21" s="4"/>
      <c r="W21" s="773"/>
      <c r="X21" s="4"/>
    </row>
    <row r="22" spans="1:24">
      <c r="A22" t="str">
        <f>SUBSTITUTE($V$2,"\","|")&amp;"|FT2B"</f>
        <v>GP450_GA_06|FT2B</v>
      </c>
      <c r="B22" t="s">
        <v>74</v>
      </c>
      <c r="F22" t="s">
        <v>72</v>
      </c>
      <c r="G22" t="s">
        <v>71</v>
      </c>
      <c r="H22">
        <v>0</v>
      </c>
      <c r="I22" t="s">
        <v>72</v>
      </c>
      <c r="J22" t="s">
        <v>69</v>
      </c>
      <c r="K22">
        <v>0</v>
      </c>
      <c r="M22">
        <v>1</v>
      </c>
      <c r="R22" t="str">
        <f>IF($U$2=TRUE,$W$2&amp;". Обрыв цепи сигнала Порог 2","Обрыв цепи сигнала Порог 2")</f>
        <v>ГП 450. Газоанализатор G6. Обрыв цепи сигнала Порог 2</v>
      </c>
      <c r="S22" s="372"/>
      <c r="U22" s="773"/>
      <c r="V22" s="4"/>
      <c r="W22" s="773"/>
      <c r="X22" s="4"/>
    </row>
    <row r="23" spans="1:24">
      <c r="A23" t="str">
        <f>SUBSTITUTE($V$2,"\","|")&amp;"|FT2C"</f>
        <v>GP450_GA_06|FT2C</v>
      </c>
      <c r="B23" t="s">
        <v>74</v>
      </c>
      <c r="F23" t="s">
        <v>72</v>
      </c>
      <c r="G23" t="s">
        <v>71</v>
      </c>
      <c r="H23">
        <v>0</v>
      </c>
      <c r="I23" t="s">
        <v>72</v>
      </c>
      <c r="J23" t="s">
        <v>69</v>
      </c>
      <c r="K23">
        <v>0</v>
      </c>
      <c r="M23">
        <v>1</v>
      </c>
      <c r="R23" t="str">
        <f>IF($U$2=TRUE,$W$2&amp;". КЗ цепи сигнала Порог 2","КЗ цепи сигнала Порог 2")</f>
        <v>ГП 450. Газоанализатор G6. КЗ цепи сигнала Порог 2</v>
      </c>
      <c r="S23" s="372"/>
      <c r="U23" s="773"/>
      <c r="V23" s="4"/>
      <c r="W23" s="773"/>
      <c r="X23" s="4"/>
    </row>
    <row r="24" spans="1:24">
      <c r="A24" t="str">
        <f>SUBSTITUTE($V$2,"\","|")&amp;"|FXXX"</f>
        <v>GP450_GA_06|FXXX</v>
      </c>
      <c r="B24" t="s">
        <v>74</v>
      </c>
      <c r="F24" t="s">
        <v>72</v>
      </c>
      <c r="G24" t="s">
        <v>71</v>
      </c>
      <c r="H24">
        <v>0</v>
      </c>
      <c r="I24" t="s">
        <v>72</v>
      </c>
      <c r="J24" t="s">
        <v>69</v>
      </c>
      <c r="K24">
        <v>0</v>
      </c>
      <c r="M24">
        <v>1</v>
      </c>
      <c r="R24" t="str">
        <f>IF($U$2=TRUE,$W$2&amp;". Неисправность обобщенная","Неисправность обобщенная")</f>
        <v>ГП 450. Газоанализатор G6. Неисправность обобщенная</v>
      </c>
      <c r="S24" s="372"/>
      <c r="U24" s="773"/>
      <c r="V24" s="4"/>
      <c r="W24" s="773"/>
      <c r="X24" s="4"/>
    </row>
    <row r="25" spans="1:24">
      <c r="A25" t="str">
        <f>SUBSTITUTE($V$2,"\","|")&amp;"|IFEX"</f>
        <v>GP450_GA_06|IFEX</v>
      </c>
      <c r="B25" t="s">
        <v>74</v>
      </c>
      <c r="F25" t="s">
        <v>72</v>
      </c>
      <c r="G25" t="s">
        <v>71</v>
      </c>
      <c r="H25">
        <v>0</v>
      </c>
      <c r="I25" t="s">
        <v>72</v>
      </c>
      <c r="J25" t="s">
        <v>69</v>
      </c>
      <c r="K25">
        <v>0</v>
      </c>
      <c r="M25">
        <v>1</v>
      </c>
      <c r="R25" t="str">
        <f>IF($U$2=TRUE,$W$2&amp;". Входное значение Неисправность","Входное значение Неисправность")</f>
        <v>ГП 450. Газоанализатор G6. Входное значение Неисправность</v>
      </c>
      <c r="S25" s="372"/>
      <c r="U25" s="773"/>
      <c r="V25" s="4"/>
      <c r="W25" s="773"/>
      <c r="X25" s="4"/>
    </row>
    <row r="26" spans="1:24">
      <c r="A26" t="str">
        <f>SUBSTITUTE($V$2,"\","|")&amp;"|IT1X"</f>
        <v>GP450_GA_06|IT1X</v>
      </c>
      <c r="B26" t="s">
        <v>74</v>
      </c>
      <c r="F26" t="s">
        <v>72</v>
      </c>
      <c r="G26" t="s">
        <v>71</v>
      </c>
      <c r="H26">
        <v>0</v>
      </c>
      <c r="I26" t="s">
        <v>72</v>
      </c>
      <c r="J26" t="s">
        <v>69</v>
      </c>
      <c r="K26">
        <v>0</v>
      </c>
      <c r="M26">
        <v>1</v>
      </c>
      <c r="R26" t="str">
        <f>IF($U$2=TRUE,$W$2&amp;". Входное значение Порог 1","Входное значение Порог 1")</f>
        <v>ГП 450. Газоанализатор G6. Входное значение Порог 1</v>
      </c>
      <c r="S26" s="372"/>
      <c r="U26" s="773"/>
      <c r="V26" s="4"/>
      <c r="W26" s="773"/>
      <c r="X26" s="4"/>
    </row>
    <row r="27" spans="1:24">
      <c r="A27" t="str">
        <f>SUBSTITUTE($V$2,"\","|")&amp;"|IT2X"</f>
        <v>GP450_GA_06|IT2X</v>
      </c>
      <c r="B27" t="s">
        <v>74</v>
      </c>
      <c r="F27" t="s">
        <v>72</v>
      </c>
      <c r="G27" t="s">
        <v>71</v>
      </c>
      <c r="H27">
        <v>0</v>
      </c>
      <c r="I27" t="s">
        <v>72</v>
      </c>
      <c r="J27" t="s">
        <v>69</v>
      </c>
      <c r="K27">
        <v>0</v>
      </c>
      <c r="M27">
        <v>1</v>
      </c>
      <c r="R27" t="str">
        <f>IF($U$2=TRUE,$W$2&amp;". Входное значение Порог 2","Входное значение Порог 2")</f>
        <v>ГП 450. Газоанализатор G6. Входное значение Порог 2</v>
      </c>
      <c r="S27" s="372"/>
      <c r="U27" s="773"/>
      <c r="V27" s="4"/>
      <c r="W27" s="773"/>
      <c r="X27" s="4"/>
    </row>
    <row r="28" spans="1:24">
      <c r="A28" t="str">
        <f>SUBSTITUTE($V$2,"\","|")&amp;"|IVXX"</f>
        <v>GP450_GA_06|IVXX</v>
      </c>
      <c r="B28" t="s">
        <v>69</v>
      </c>
      <c r="F28">
        <v>0</v>
      </c>
      <c r="G28" t="s">
        <v>71</v>
      </c>
      <c r="H28">
        <v>0</v>
      </c>
      <c r="I28" t="s">
        <v>72</v>
      </c>
      <c r="J28" t="s">
        <v>69</v>
      </c>
      <c r="K28">
        <v>0</v>
      </c>
      <c r="M28">
        <v>1</v>
      </c>
      <c r="R28" t="str">
        <f>IF($U$2=TRUE,$W$2&amp;". Входное значение","Входное значение")</f>
        <v>ГП 450. Газоанализатор G6. Входное значение</v>
      </c>
      <c r="S28" s="372"/>
      <c r="U28" s="773"/>
      <c r="V28" s="4"/>
      <c r="W28" s="773"/>
      <c r="X28" s="4"/>
    </row>
    <row r="29" spans="1:24">
      <c r="A29" t="str">
        <f>SUBSTITUTE($V$2,"\","|")&amp;"|SDBX"</f>
        <v>GP450_GA_06|SDBX</v>
      </c>
      <c r="B29" t="s">
        <v>69</v>
      </c>
      <c r="F29">
        <v>0</v>
      </c>
      <c r="G29" t="s">
        <v>71</v>
      </c>
      <c r="H29">
        <v>0</v>
      </c>
      <c r="I29" t="s">
        <v>76</v>
      </c>
      <c r="J29" t="s">
        <v>73</v>
      </c>
      <c r="K29">
        <v>0</v>
      </c>
      <c r="M29">
        <v>1</v>
      </c>
      <c r="R29" t="str">
        <f>IF($U$2=TRUE,$W$2&amp;". Мертвая зона","Мертвая зона")</f>
        <v>ГП 450. Газоанализатор G6. Мертвая зона</v>
      </c>
      <c r="S29" s="372"/>
      <c r="U29" s="773"/>
      <c r="V29" s="4"/>
      <c r="W29" s="773"/>
      <c r="X29" s="4"/>
    </row>
    <row r="30" spans="1:24">
      <c r="A30" t="str">
        <f>SUBSTITUTE($V$2,"\","|")&amp;"|SDLX"</f>
        <v>GP450_GA_06|SDLX</v>
      </c>
      <c r="B30" t="s">
        <v>69</v>
      </c>
      <c r="F30" s="52">
        <f>(F32-F35)*0.065</f>
        <v>6.5</v>
      </c>
      <c r="G30" t="s">
        <v>71</v>
      </c>
      <c r="H30">
        <v>0</v>
      </c>
      <c r="I30" t="s">
        <v>76</v>
      </c>
      <c r="J30" t="s">
        <v>73</v>
      </c>
      <c r="K30">
        <v>0</v>
      </c>
      <c r="M30">
        <v>1</v>
      </c>
      <c r="R30" t="str">
        <f>IF($U$2=TRUE,$W$2&amp;". Лимит выхода параметра за границы шкалы","Лимит выхода параметра за границы шкалы")</f>
        <v>ГП 450. Газоанализатор G6. Лимит выхода параметра за границы шкалы</v>
      </c>
      <c r="S30" s="372"/>
      <c r="U30" s="773"/>
      <c r="V30" s="4"/>
      <c r="W30" s="773"/>
      <c r="X30" s="4"/>
    </row>
    <row r="31" spans="1:24">
      <c r="A31" t="str">
        <f>SUBSTITUTE($V$2,"\","|")&amp;"|SFTX"</f>
        <v>GP450_GA_06|SFTX</v>
      </c>
      <c r="B31" t="s">
        <v>78</v>
      </c>
      <c r="F31">
        <v>0</v>
      </c>
      <c r="G31" t="s">
        <v>71</v>
      </c>
      <c r="H31">
        <v>0</v>
      </c>
      <c r="I31" t="s">
        <v>76</v>
      </c>
      <c r="J31" t="s">
        <v>73</v>
      </c>
      <c r="K31">
        <v>0</v>
      </c>
      <c r="M31">
        <v>1</v>
      </c>
      <c r="R31" t="str">
        <f>IF($U$2=TRUE,$W$2&amp;". Время фильтрации","Время фильтрации")</f>
        <v>ГП 450. Газоанализатор G6. Время фильтрации</v>
      </c>
      <c r="S31" s="372"/>
      <c r="U31" s="773"/>
      <c r="V31" s="4"/>
      <c r="W31" s="773"/>
      <c r="X31" s="4"/>
    </row>
    <row r="32" spans="1:24">
      <c r="A32" t="str">
        <f>SUBSTITUTE($V$2,"\","|")&amp;"|SHSX"</f>
        <v>GP450_GA_06|SHSX</v>
      </c>
      <c r="B32" t="s">
        <v>69</v>
      </c>
      <c r="F32" s="52">
        <f>$AA$2</f>
        <v>100</v>
      </c>
      <c r="G32" t="s">
        <v>71</v>
      </c>
      <c r="H32">
        <v>0</v>
      </c>
      <c r="I32" t="s">
        <v>76</v>
      </c>
      <c r="J32" t="s">
        <v>73</v>
      </c>
      <c r="K32">
        <v>0</v>
      </c>
      <c r="M32">
        <v>1</v>
      </c>
      <c r="R32" t="str">
        <f>IF($U$2=TRUE,$W$2&amp;". Верхняя шкала датчика","Верхняя шкала датчика")</f>
        <v>ГП 450. Газоанализатор G6. Верхняя шкала датчика</v>
      </c>
      <c r="S32" s="372"/>
      <c r="U32" s="773"/>
      <c r="V32" s="4"/>
      <c r="W32" s="773"/>
      <c r="X32" s="4"/>
    </row>
    <row r="33" spans="1:24">
      <c r="A33" t="str">
        <f>SUBSTITUTE($V$2,"\","|")&amp;"|SHVX"</f>
        <v>GP450_GA_06|SHVX</v>
      </c>
      <c r="B33" t="s">
        <v>69</v>
      </c>
      <c r="F33">
        <v>20</v>
      </c>
      <c r="G33" t="s">
        <v>71</v>
      </c>
      <c r="H33">
        <v>0</v>
      </c>
      <c r="I33" t="s">
        <v>76</v>
      </c>
      <c r="J33" t="s">
        <v>73</v>
      </c>
      <c r="K33">
        <v>0</v>
      </c>
      <c r="M33">
        <v>1</v>
      </c>
      <c r="R33" t="str">
        <f>IF($U$2=TRUE,$W$2&amp;". Верхняя шкала входного значения","Верхняя шкала входного значения")</f>
        <v>ГП 450. Газоанализатор G6. Верхняя шкала входного значения</v>
      </c>
      <c r="S33" s="372"/>
      <c r="U33" s="773"/>
      <c r="V33" s="4"/>
      <c r="W33" s="773"/>
      <c r="X33" s="4"/>
    </row>
    <row r="34" spans="1:24">
      <c r="A34" t="str">
        <f>SUBSTITUTE($V$2,"\","|")&amp;"|SIMX"</f>
        <v>GP450_GA_06|SIMX</v>
      </c>
      <c r="B34" t="s">
        <v>69</v>
      </c>
      <c r="F34">
        <v>0</v>
      </c>
      <c r="G34" t="s">
        <v>71</v>
      </c>
      <c r="H34">
        <v>0</v>
      </c>
      <c r="I34" t="s">
        <v>76</v>
      </c>
      <c r="J34" t="s">
        <v>73</v>
      </c>
      <c r="K34">
        <v>0</v>
      </c>
      <c r="M34">
        <v>1</v>
      </c>
      <c r="R34" t="str">
        <f>IF($U$2=TRUE,$W$2&amp;". Задача имитации","Задача имитации")</f>
        <v>ГП 450. Газоанализатор G6. Задача имитации</v>
      </c>
      <c r="S34" s="372"/>
      <c r="U34" s="773"/>
      <c r="V34" s="4"/>
      <c r="W34" s="773"/>
      <c r="X34" s="4"/>
    </row>
    <row r="35" spans="1:24">
      <c r="A35" t="str">
        <f>SUBSTITUTE($V$2,"\","|")&amp;"|SLSX"</f>
        <v>GP450_GA_06|SLSX</v>
      </c>
      <c r="B35" t="s">
        <v>69</v>
      </c>
      <c r="F35" s="52">
        <f>$Z$2</f>
        <v>0</v>
      </c>
      <c r="G35" t="s">
        <v>71</v>
      </c>
      <c r="H35">
        <v>0</v>
      </c>
      <c r="I35" t="s">
        <v>76</v>
      </c>
      <c r="J35" t="s">
        <v>73</v>
      </c>
      <c r="K35">
        <v>0</v>
      </c>
      <c r="M35">
        <v>1</v>
      </c>
      <c r="R35" t="str">
        <f>IF($U$2=TRUE,$W$2&amp;". Нижняя шкала датчика","Нижняя шкала датчика")</f>
        <v>ГП 450. Газоанализатор G6. Нижняя шкала датчика</v>
      </c>
      <c r="S35" s="372"/>
      <c r="U35" s="773"/>
      <c r="V35" s="4"/>
      <c r="W35" s="773"/>
      <c r="X35" s="4"/>
    </row>
    <row r="36" spans="1:24">
      <c r="A36" t="str">
        <f>SUBSTITUTE($V$2,"\","|")&amp;"|SLVX"</f>
        <v>GP450_GA_06|SLVX</v>
      </c>
      <c r="B36" t="s">
        <v>69</v>
      </c>
      <c r="F36">
        <v>4</v>
      </c>
      <c r="G36" t="s">
        <v>71</v>
      </c>
      <c r="H36">
        <v>0</v>
      </c>
      <c r="I36" t="s">
        <v>76</v>
      </c>
      <c r="J36" t="s">
        <v>73</v>
      </c>
      <c r="K36">
        <v>0</v>
      </c>
      <c r="M36">
        <v>1</v>
      </c>
      <c r="R36" t="str">
        <f>IF($U$2=TRUE,$W$2&amp;". Нижняя шкала входного значения","Нижняя шкала входного значения")</f>
        <v>ГП 450. Газоанализатор G6. Нижняя шкала входного значения</v>
      </c>
      <c r="S36" s="372"/>
      <c r="U36" s="773"/>
      <c r="V36" s="4"/>
      <c r="W36" s="773"/>
      <c r="X36" s="4"/>
    </row>
    <row r="37" spans="1:24">
      <c r="A37" t="str">
        <f>SUBSTITUTE($V$2,"\","|")&amp;"|SSLX"</f>
        <v>GP450_GA_06|SSLX</v>
      </c>
      <c r="B37" t="s">
        <v>69</v>
      </c>
      <c r="F37">
        <v>0</v>
      </c>
      <c r="G37" t="s">
        <v>71</v>
      </c>
      <c r="H37">
        <v>0</v>
      </c>
      <c r="I37" t="s">
        <v>76</v>
      </c>
      <c r="J37" t="s">
        <v>73</v>
      </c>
      <c r="K37">
        <v>0</v>
      </c>
      <c r="M37">
        <v>1</v>
      </c>
      <c r="R37" t="str">
        <f>IF($U$2=TRUE,$W$2&amp;". Уставка скорости изменения параметра в ед. измерения","Уставка скорости изменения параметра в ед. измерения")</f>
        <v>ГП 450. Газоанализатор G6. Уставка скорости изменения параметра в ед. измерения</v>
      </c>
      <c r="S37" s="372"/>
      <c r="U37" s="773"/>
      <c r="V37" s="4"/>
      <c r="W37" s="773"/>
      <c r="X37" s="4"/>
    </row>
    <row r="38" spans="1:24">
      <c r="A38" t="str">
        <f>SUBSTITUTE($V$2,"\","|")&amp;"|ST1X"</f>
        <v>GP450_GA_06|ST1X</v>
      </c>
      <c r="B38" t="s">
        <v>69</v>
      </c>
      <c r="F38" s="52">
        <f>$AC$2</f>
        <v>10</v>
      </c>
      <c r="G38" t="s">
        <v>71</v>
      </c>
      <c r="H38">
        <v>0</v>
      </c>
      <c r="I38" t="s">
        <v>76</v>
      </c>
      <c r="J38" t="s">
        <v>69</v>
      </c>
      <c r="K38">
        <v>0</v>
      </c>
      <c r="M38">
        <v>1</v>
      </c>
      <c r="R38" t="str">
        <f>IF($U$2=TRUE,$W$2&amp;". Уставка 1-го порога","Уставка 1-го порога")</f>
        <v>ГП 450. Газоанализатор G6. Уставка 1-го порога</v>
      </c>
      <c r="S38" s="372"/>
      <c r="U38" s="773"/>
      <c r="V38" s="4"/>
      <c r="W38" s="773"/>
      <c r="X38" s="4"/>
    </row>
    <row r="39" spans="1:24">
      <c r="A39" t="str">
        <f>SUBSTITUTE($V$2,"\","|")&amp;"|ST2X"</f>
        <v>GP450_GA_06|ST2X</v>
      </c>
      <c r="B39" t="s">
        <v>69</v>
      </c>
      <c r="F39" s="52">
        <f>$AD$2</f>
        <v>20</v>
      </c>
      <c r="G39" t="s">
        <v>71</v>
      </c>
      <c r="H39">
        <v>0</v>
      </c>
      <c r="I39" t="s">
        <v>76</v>
      </c>
      <c r="J39" t="s">
        <v>69</v>
      </c>
      <c r="K39">
        <v>0</v>
      </c>
      <c r="M39">
        <v>1</v>
      </c>
      <c r="R39" t="str">
        <f>IF($U$2=TRUE,$W$2&amp;". Уставка 2-го порога","Уставка 2-го порога")</f>
        <v>ГП 450. Газоанализатор G6. Уставка 2-го порога</v>
      </c>
      <c r="S39" s="372"/>
      <c r="U39" s="773"/>
      <c r="V39" s="4"/>
      <c r="W39" s="773"/>
      <c r="X39" s="4"/>
    </row>
    <row r="40" spans="1:24">
      <c r="A40" t="str">
        <f>SUBSTITUTE($V$2,"\","|")&amp;"|STSX"</f>
        <v>GP450_GA_06|STSX</v>
      </c>
      <c r="B40" t="s">
        <v>78</v>
      </c>
      <c r="F40">
        <v>0</v>
      </c>
      <c r="G40" t="s">
        <v>71</v>
      </c>
      <c r="H40">
        <v>0</v>
      </c>
      <c r="I40" t="s">
        <v>76</v>
      </c>
      <c r="J40" t="s">
        <v>73</v>
      </c>
      <c r="K40">
        <v>0</v>
      </c>
      <c r="M40">
        <v>1</v>
      </c>
      <c r="R40" t="str">
        <f>IF($U$2=TRUE,$W$2&amp;". Задержка срабатывания уставок","Задержка срабатывания уставок")</f>
        <v>ГП 450. Газоанализатор G6. Задержка срабатывания уставок</v>
      </c>
      <c r="S40" s="372"/>
      <c r="U40" s="773"/>
      <c r="V40" s="4"/>
      <c r="W40" s="773"/>
      <c r="X40" s="4"/>
    </row>
    <row r="41" spans="1:24">
      <c r="A41" t="str">
        <f>SUBSTITUTE($V$2,"\","|")&amp;"|STYP"</f>
        <v>GP450_GA_06|STYP</v>
      </c>
      <c r="B41" t="s">
        <v>78</v>
      </c>
      <c r="F41" s="52">
        <f>$X$2</f>
        <v>0</v>
      </c>
      <c r="G41" t="s">
        <v>71</v>
      </c>
      <c r="H41">
        <v>0</v>
      </c>
      <c r="I41" t="s">
        <v>76</v>
      </c>
      <c r="J41" t="s">
        <v>73</v>
      </c>
      <c r="K41">
        <v>0</v>
      </c>
      <c r="M41">
        <v>1</v>
      </c>
      <c r="R41" t="str">
        <f>IF($U$2=TRUE,$W$2&amp;". Тип входного значения( 0-мА","Тип входного значения( 0-мА")</f>
        <v>ГП 450. Газоанализатор G6. Тип входного значения( 0-мА</v>
      </c>
      <c r="S41" s="372"/>
      <c r="U41" s="773"/>
      <c r="V41" s="4"/>
      <c r="W41" s="773"/>
      <c r="X41" s="4"/>
    </row>
    <row r="42" spans="1:24">
      <c r="A42" t="str">
        <f>SUBSTITUTE($V$2,"\","|")&amp;"|XDAX"</f>
        <v>GP450_GA_06|XDAX</v>
      </c>
      <c r="B42" t="s">
        <v>74</v>
      </c>
      <c r="F42" t="s">
        <v>72</v>
      </c>
      <c r="G42" t="s">
        <v>71</v>
      </c>
      <c r="H42">
        <v>0</v>
      </c>
      <c r="I42" t="s">
        <v>72</v>
      </c>
      <c r="J42" t="s">
        <v>69</v>
      </c>
      <c r="K42">
        <v>0</v>
      </c>
      <c r="M42">
        <v>1</v>
      </c>
      <c r="R42" t="str">
        <f>IF($U$2=TRUE,$W$2&amp;". Выходное значение Выведен из алгоритма","Выходное значение Выведен из алгоритма")</f>
        <v>ГП 450. Газоанализатор G6. Выходное значение Выведен из алгоритма</v>
      </c>
      <c r="S42" s="372"/>
      <c r="U42" s="773"/>
      <c r="V42" s="4"/>
      <c r="W42" s="773"/>
      <c r="X42" s="4"/>
    </row>
    <row r="43" spans="1:24">
      <c r="A43" t="str">
        <f>SUBSTITUTE($V$2,"\","|")&amp;"|XNXX"</f>
        <v>GP450_GA_06|XNXX</v>
      </c>
      <c r="B43" t="s">
        <v>74</v>
      </c>
      <c r="F43" t="s">
        <v>72</v>
      </c>
      <c r="G43" t="s">
        <v>71</v>
      </c>
      <c r="H43">
        <v>0</v>
      </c>
      <c r="I43" t="s">
        <v>72</v>
      </c>
      <c r="J43" t="s">
        <v>69</v>
      </c>
      <c r="K43">
        <v>0</v>
      </c>
      <c r="M43">
        <v>1</v>
      </c>
      <c r="R43" t="str">
        <f>IF($U$2=TRUE,$W$2&amp;". Датчик в состоянии Норма","Датчик в состоянии Норма")</f>
        <v>ГП 450. Газоанализатор G6. Датчик в состоянии Норма</v>
      </c>
      <c r="S43" s="372"/>
      <c r="U43" s="773"/>
      <c r="V43" s="4"/>
      <c r="W43" s="773"/>
      <c r="X43" s="4"/>
    </row>
    <row r="44" spans="1:24">
      <c r="A44" t="str">
        <f>SUBSTITUTE($V$2,"\","|")&amp;"|XRPX"</f>
        <v>GP450_GA_06|XRPX</v>
      </c>
      <c r="B44" t="s">
        <v>74</v>
      </c>
      <c r="F44" t="s">
        <v>72</v>
      </c>
      <c r="G44" t="s">
        <v>71</v>
      </c>
      <c r="H44">
        <v>0</v>
      </c>
      <c r="I44" t="s">
        <v>72</v>
      </c>
      <c r="J44" t="s">
        <v>69</v>
      </c>
      <c r="K44">
        <v>0</v>
      </c>
      <c r="M44">
        <v>1</v>
      </c>
      <c r="R44" t="str">
        <f>IF($U$2=TRUE,$W$2&amp;". Выходное значение Выведен в ремонт","Выходное значение Выведен в ремонт")</f>
        <v>ГП 450. Газоанализатор G6. Выходное значение Выведен в ремонт</v>
      </c>
      <c r="S44" s="372"/>
      <c r="U44" s="773"/>
      <c r="V44" s="4"/>
      <c r="W44" s="773"/>
      <c r="X44" s="4"/>
    </row>
    <row r="45" spans="1:24">
      <c r="A45" t="str">
        <f>SUBSTITUTE($V$2,"\","|")&amp;"|XT1X"</f>
        <v>GP450_GA_06|XT1X</v>
      </c>
      <c r="B45" t="s">
        <v>74</v>
      </c>
      <c r="F45" t="s">
        <v>72</v>
      </c>
      <c r="G45" t="s">
        <v>71</v>
      </c>
      <c r="H45">
        <v>0</v>
      </c>
      <c r="I45" t="s">
        <v>72</v>
      </c>
      <c r="J45" t="s">
        <v>69</v>
      </c>
      <c r="K45">
        <v>0</v>
      </c>
      <c r="M45">
        <v>1</v>
      </c>
      <c r="R45" t="str">
        <f>IF($U$2=TRUE,$W$2&amp;". Сработка 1-го порога","Сработка 1-го порога")</f>
        <v>ГП 450. Газоанализатор G6. Сработка 1-го порога</v>
      </c>
      <c r="S45" s="372"/>
      <c r="U45" s="773"/>
      <c r="V45" s="4"/>
      <c r="W45" s="773"/>
      <c r="X45" s="4"/>
    </row>
    <row r="46" spans="1:24">
      <c r="A46" t="str">
        <f>SUBSTITUTE($V$2,"\","|")&amp;"|XT2X"</f>
        <v>GP450_GA_06|XT2X</v>
      </c>
      <c r="B46" t="s">
        <v>74</v>
      </c>
      <c r="F46" t="s">
        <v>72</v>
      </c>
      <c r="G46" t="s">
        <v>71</v>
      </c>
      <c r="H46">
        <v>0</v>
      </c>
      <c r="I46" t="s">
        <v>72</v>
      </c>
      <c r="J46" t="s">
        <v>69</v>
      </c>
      <c r="K46">
        <v>0</v>
      </c>
      <c r="M46">
        <v>1</v>
      </c>
      <c r="R46" t="str">
        <f>IF($U$2=TRUE,$W$2&amp;". Сработка 2-го порога","Сработка 2-го порога")</f>
        <v>ГП 450. Газоанализатор G6. Сработка 2-го порога</v>
      </c>
      <c r="S46" s="372"/>
      <c r="U46" s="773"/>
      <c r="V46" s="4"/>
      <c r="W46" s="773"/>
      <c r="X46" s="4"/>
    </row>
    <row r="47" spans="1:24">
      <c r="A47" t="str">
        <f>SUBSTITUTE($V$2,"\","|")&amp;"|XVLX"</f>
        <v>GP450_GA_06|XVLX</v>
      </c>
      <c r="B47" t="s">
        <v>69</v>
      </c>
      <c r="F47">
        <v>0</v>
      </c>
      <c r="G47" t="s">
        <v>71</v>
      </c>
      <c r="H47">
        <v>0</v>
      </c>
      <c r="I47" t="s">
        <v>72</v>
      </c>
      <c r="J47" t="s">
        <v>69</v>
      </c>
      <c r="K47">
        <v>0</v>
      </c>
      <c r="M47">
        <v>1</v>
      </c>
      <c r="R47" t="str">
        <f>IF($U$2=TRUE,$W$2&amp;". Выходное значение","Выходное значение")</f>
        <v>ГП 450. Газоанализатор G6. Выходное значение</v>
      </c>
      <c r="S47" s="372"/>
      <c r="U47" s="773"/>
      <c r="V47" s="4"/>
      <c r="W47" s="773"/>
      <c r="X47" s="4"/>
    </row>
    <row r="48" spans="1:24">
      <c r="W48" s="4"/>
    </row>
    <row r="49" spans="1:23">
      <c r="W49" s="4"/>
    </row>
    <row r="52" spans="1:23">
      <c r="A52" s="4"/>
      <c r="B52" s="4"/>
      <c r="F52" s="4"/>
      <c r="G52" s="4"/>
      <c r="H52" s="4"/>
      <c r="I52" s="4"/>
      <c r="J52" s="4"/>
      <c r="K52" s="4"/>
      <c r="M52" s="4"/>
    </row>
  </sheetData>
  <pageMargins left="0.7" right="0.7" top="0.75" bottom="0.75" header="0.3" footer="0.3"/>
  <pageSetup paperSize="9"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sheetPr codeName="Лист96">
    <tabColor rgb="FF92D050"/>
  </sheetPr>
  <dimension ref="A1:AC49"/>
  <sheetViews>
    <sheetView topLeftCell="G1" workbookViewId="0">
      <selection activeCell="V2" sqref="V2:AD2"/>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15" customHeight="1">
      <c r="A2" s="10"/>
      <c r="B2" s="10"/>
      <c r="F2" s="10"/>
      <c r="G2" s="10"/>
      <c r="H2" s="10"/>
      <c r="I2" s="10"/>
      <c r="J2" s="10"/>
      <c r="K2" s="10"/>
      <c r="M2" s="10"/>
      <c r="N2" s="10"/>
      <c r="O2" s="10"/>
      <c r="P2" s="10"/>
      <c r="Q2" s="10"/>
      <c r="R2" s="10"/>
      <c r="U2" s="74" t="b">
        <f>Настройки!$M$34</f>
        <v>1</v>
      </c>
      <c r="V2" s="73" t="s">
        <v>4942</v>
      </c>
      <c r="W2" s="537" t="s">
        <v>4943</v>
      </c>
      <c r="X2" s="73"/>
      <c r="Y2" s="73"/>
      <c r="Z2" s="73"/>
      <c r="AA2" s="74"/>
      <c r="AB2" s="74"/>
      <c r="AC2" s="74"/>
    </row>
    <row r="3" spans="1:29">
      <c r="A3" t="str">
        <f>SUBSTITUTE($V$2,"\","|")&amp;"|CORS"</f>
        <v>GP050|CORS</v>
      </c>
      <c r="B3" t="s">
        <v>74</v>
      </c>
      <c r="F3" t="s">
        <v>72</v>
      </c>
      <c r="G3" t="s">
        <v>71</v>
      </c>
      <c r="H3">
        <v>0</v>
      </c>
      <c r="I3" t="s">
        <v>72</v>
      </c>
      <c r="J3" t="s">
        <v>73</v>
      </c>
      <c r="K3">
        <v>0</v>
      </c>
      <c r="M3">
        <v>1</v>
      </c>
      <c r="R3" t="str">
        <f>IF($U$2=TRUE,$W$2&amp;". Команда на сброс от оператора","Команда на сброс от оператора")</f>
        <v>ГП 50. Команда на сброс от оператора</v>
      </c>
      <c r="S3" s="372"/>
      <c r="U3" s="773"/>
      <c r="V3" s="4"/>
      <c r="W3" s="773"/>
      <c r="X3" s="4"/>
    </row>
    <row r="4" spans="1:29">
      <c r="A4" t="str">
        <f>SUBSTITUTE($V$2,"\","|")&amp;"|CPRS"</f>
        <v>GP050|CPRS</v>
      </c>
      <c r="B4" t="s">
        <v>74</v>
      </c>
      <c r="F4" t="s">
        <v>72</v>
      </c>
      <c r="G4" t="s">
        <v>71</v>
      </c>
      <c r="H4">
        <v>0</v>
      </c>
      <c r="I4" t="s">
        <v>72</v>
      </c>
      <c r="J4" t="s">
        <v>73</v>
      </c>
      <c r="K4">
        <v>0</v>
      </c>
      <c r="M4">
        <v>1</v>
      </c>
      <c r="R4" t="str">
        <f>IF($U$2=TRUE,$W$2&amp;". Команда на сброс от ВП","Команда на сброс от ВП")</f>
        <v>ГП 50. Команда на сброс от ВП</v>
      </c>
      <c r="S4" s="372"/>
      <c r="U4" s="773"/>
      <c r="V4" s="4"/>
      <c r="W4" s="773"/>
      <c r="X4" s="4"/>
    </row>
    <row r="5" spans="1:29">
      <c r="A5" t="str">
        <f>SUBSTITUTE($V$2,"\","|")&amp;"|CSRS"</f>
        <v>GP050|CSRS</v>
      </c>
      <c r="B5" t="s">
        <v>74</v>
      </c>
      <c r="F5" t="s">
        <v>72</v>
      </c>
      <c r="G5" t="s">
        <v>71</v>
      </c>
      <c r="H5">
        <v>0</v>
      </c>
      <c r="I5" t="s">
        <v>72</v>
      </c>
      <c r="J5" t="s">
        <v>73</v>
      </c>
      <c r="K5">
        <v>0</v>
      </c>
      <c r="M5">
        <v>1</v>
      </c>
      <c r="R5" t="str">
        <f>IF($U$2=TRUE,$W$2&amp;". Команда на сброс от УПИ","Команда на сброс от УПИ")</f>
        <v>ГП 50. Команда на сброс от УПИ</v>
      </c>
      <c r="S5" s="372"/>
      <c r="U5" s="773"/>
      <c r="V5" s="4"/>
      <c r="W5" s="773"/>
      <c r="X5" s="4"/>
    </row>
    <row r="6" spans="1:29">
      <c r="A6" t="str">
        <f>SUBSTITUTE($V$2,"\","|")&amp;"|FXXX"</f>
        <v>GP050|FXXX</v>
      </c>
      <c r="B6" t="s">
        <v>74</v>
      </c>
      <c r="F6" t="s">
        <v>72</v>
      </c>
      <c r="G6" t="s">
        <v>71</v>
      </c>
      <c r="H6">
        <v>0</v>
      </c>
      <c r="I6" t="s">
        <v>72</v>
      </c>
      <c r="J6" t="s">
        <v>69</v>
      </c>
      <c r="K6">
        <v>0</v>
      </c>
      <c r="M6">
        <v>1</v>
      </c>
      <c r="R6" t="str">
        <f>IF($U$2=TRUE,$W$2&amp;". Обобщенный сигнал Неисправность","Обобщенный сигнал Неисправность")</f>
        <v>ГП 50. Обобщенный сигнал Неисправность</v>
      </c>
      <c r="S6" s="372"/>
      <c r="U6" s="773"/>
      <c r="V6" s="4"/>
      <c r="W6" s="773"/>
      <c r="X6" s="4"/>
    </row>
    <row r="7" spans="1:29">
      <c r="A7" t="str">
        <f>SUBSTITUTE($V$2,"\","|")&amp;"|XFRX"</f>
        <v>GP050|XFRX</v>
      </c>
      <c r="B7" t="s">
        <v>74</v>
      </c>
      <c r="F7" t="s">
        <v>72</v>
      </c>
      <c r="G7" t="s">
        <v>71</v>
      </c>
      <c r="H7">
        <v>0</v>
      </c>
      <c r="I7" t="s">
        <v>72</v>
      </c>
      <c r="J7" t="s">
        <v>69</v>
      </c>
      <c r="K7">
        <v>0</v>
      </c>
      <c r="M7">
        <v>1</v>
      </c>
      <c r="R7" t="str">
        <f>IF($U$2=TRUE,$W$2&amp;". Обобщенный сигнал Пожар","Обобщенный сигнал Пожар")</f>
        <v>ГП 50. Обобщенный сигнал Пожар</v>
      </c>
      <c r="S7" s="372"/>
      <c r="U7" s="773"/>
      <c r="V7" s="4"/>
      <c r="W7" s="773"/>
      <c r="X7" s="4"/>
    </row>
    <row r="8" spans="1:29">
      <c r="A8" t="str">
        <f>SUBSTITUTE($V$2,"\","|")&amp;"|XRFR"</f>
        <v>GP050|XRFR</v>
      </c>
      <c r="B8" t="s">
        <v>78</v>
      </c>
      <c r="F8" t="s">
        <v>72</v>
      </c>
      <c r="G8" t="s">
        <v>71</v>
      </c>
      <c r="H8">
        <v>0</v>
      </c>
      <c r="I8" t="s">
        <v>72</v>
      </c>
      <c r="J8" t="s">
        <v>74</v>
      </c>
      <c r="K8">
        <v>0</v>
      </c>
      <c r="M8">
        <v>1</v>
      </c>
      <c r="R8" t="str">
        <f>IF($U$2=TRUE,$W$2&amp;". Счетчик пожаров","Счетчик пожаров")</f>
        <v>ГП 50. Счетчик пожаров</v>
      </c>
      <c r="S8" s="372"/>
      <c r="U8" s="773"/>
      <c r="V8" s="4"/>
      <c r="W8" s="773"/>
      <c r="X8" s="4"/>
    </row>
    <row r="9" spans="1:29">
      <c r="A9" t="str">
        <f>SUBSTITUTE($V$2,"\","|")&amp;"|XRFX"</f>
        <v>GP050|XRFX</v>
      </c>
      <c r="B9" t="s">
        <v>78</v>
      </c>
      <c r="F9" t="s">
        <v>72</v>
      </c>
      <c r="G9" t="s">
        <v>71</v>
      </c>
      <c r="H9">
        <v>0</v>
      </c>
      <c r="I9" t="s">
        <v>72</v>
      </c>
      <c r="J9" t="s">
        <v>74</v>
      </c>
      <c r="K9">
        <v>0</v>
      </c>
      <c r="M9">
        <v>1</v>
      </c>
      <c r="R9" t="str">
        <f>IF($U$2=TRUE,$W$2&amp;". Счетчик неисправностей","Счетчик неисправностей")</f>
        <v>ГП 50. Счетчик неисправностей</v>
      </c>
      <c r="S9" s="372"/>
      <c r="U9" s="773"/>
      <c r="V9" s="4"/>
      <c r="W9" s="773"/>
      <c r="X9" s="4"/>
    </row>
    <row r="10" spans="1:29">
      <c r="A10" t="str">
        <f>SUBSTITUTE($V$2,"\","|")&amp;"|XRPX"</f>
        <v>GP050|XRPX</v>
      </c>
      <c r="B10" t="s">
        <v>74</v>
      </c>
      <c r="F10" t="s">
        <v>72</v>
      </c>
      <c r="G10" t="s">
        <v>71</v>
      </c>
      <c r="H10">
        <v>0</v>
      </c>
      <c r="I10" t="s">
        <v>72</v>
      </c>
      <c r="J10" t="s">
        <v>69</v>
      </c>
      <c r="K10">
        <v>0</v>
      </c>
      <c r="M10">
        <v>1</v>
      </c>
      <c r="R10" t="str">
        <f>IF($U$2=TRUE,$W$2&amp;". Обобщенный сигнал Отключение\ремонт","Обобщенный сигнал Отключение\ремонт")</f>
        <v>ГП 50. Обобщенный сигнал Отключение\ремонт</v>
      </c>
      <c r="S10" s="372"/>
      <c r="U10" s="773"/>
      <c r="V10" s="4"/>
      <c r="W10" s="773"/>
      <c r="X10" s="4"/>
    </row>
    <row r="11" spans="1:29">
      <c r="A11" t="str">
        <f>SUBSTITUTE($V$2,"\","|")&amp;"|XRRP"</f>
        <v>GP050|XRRP</v>
      </c>
      <c r="B11" t="s">
        <v>78</v>
      </c>
      <c r="F11" t="s">
        <v>72</v>
      </c>
      <c r="G11" t="s">
        <v>71</v>
      </c>
      <c r="H11">
        <v>0</v>
      </c>
      <c r="I11" t="s">
        <v>72</v>
      </c>
      <c r="J11" t="s">
        <v>74</v>
      </c>
      <c r="K11">
        <v>0</v>
      </c>
      <c r="M11">
        <v>1</v>
      </c>
      <c r="R11" t="str">
        <f>IF($U$2=TRUE,$W$2&amp;". Счетчик отключений\ремонтов","Счетчик отключений\ремонтов")</f>
        <v>ГП 50. Счетчик отключений\ремонтов</v>
      </c>
      <c r="S11" s="372"/>
      <c r="U11" s="773"/>
      <c r="V11" s="4"/>
      <c r="W11" s="773"/>
      <c r="X11" s="4"/>
    </row>
    <row r="12" spans="1:29">
      <c r="A12" t="str">
        <f>SUBSTITUTE($V$2,"\","|")&amp;"|XRST"</f>
        <v>GP050|XRST</v>
      </c>
      <c r="B12" t="s">
        <v>74</v>
      </c>
      <c r="F12" t="s">
        <v>72</v>
      </c>
      <c r="G12" t="s">
        <v>71</v>
      </c>
      <c r="H12">
        <v>0</v>
      </c>
      <c r="I12" t="s">
        <v>72</v>
      </c>
      <c r="J12" t="s">
        <v>69</v>
      </c>
      <c r="K12">
        <v>0</v>
      </c>
      <c r="M12">
        <v>1</v>
      </c>
      <c r="R12" t="str">
        <f>IF($U$2=TRUE,$W$2&amp;". Идет сброс системы","Идет сброс системы")</f>
        <v>ГП 50. Идет сброс системы</v>
      </c>
      <c r="S12" s="372"/>
      <c r="U12" s="773"/>
      <c r="V12" s="4"/>
      <c r="W12" s="773"/>
      <c r="X12" s="4"/>
    </row>
    <row r="13" spans="1:29">
      <c r="A13" t="str">
        <f>SUBSTITUTE($V$2,"\","|")&amp;"|XRWR"</f>
        <v>GP050|XRWR</v>
      </c>
      <c r="B13" t="s">
        <v>78</v>
      </c>
      <c r="F13" t="s">
        <v>72</v>
      </c>
      <c r="G13" t="s">
        <v>71</v>
      </c>
      <c r="H13">
        <v>0</v>
      </c>
      <c r="I13" t="s">
        <v>72</v>
      </c>
      <c r="J13" t="s">
        <v>74</v>
      </c>
      <c r="K13">
        <v>0</v>
      </c>
      <c r="M13">
        <v>1</v>
      </c>
      <c r="R13" t="str">
        <f>IF($U$2=TRUE,$W$2&amp;". Счетчик вниманий","Счетчик вниманий")</f>
        <v>ГП 50. Счетчик вниманий</v>
      </c>
      <c r="S13" s="372"/>
      <c r="U13" s="773"/>
      <c r="V13" s="4"/>
      <c r="W13" s="773"/>
      <c r="X13" s="4"/>
    </row>
    <row r="14" spans="1:29">
      <c r="A14" t="str">
        <f>SUBSTITUTE($V$2,"\","|")&amp;"|XWRX"</f>
        <v>GP050|XWRX</v>
      </c>
      <c r="B14" t="s">
        <v>74</v>
      </c>
      <c r="F14" t="s">
        <v>72</v>
      </c>
      <c r="G14" t="s">
        <v>71</v>
      </c>
      <c r="H14">
        <v>0</v>
      </c>
      <c r="I14" t="s">
        <v>72</v>
      </c>
      <c r="J14" t="s">
        <v>69</v>
      </c>
      <c r="K14">
        <v>0</v>
      </c>
      <c r="M14">
        <v>1</v>
      </c>
      <c r="R14" t="str">
        <f>IF($U$2=TRUE,$W$2&amp;". Обобщенный сигнал Внимание","Обобщенный сигнал Внимание")</f>
        <v>ГП 50. Обобщенный сигнал Внимание</v>
      </c>
      <c r="S14" s="372"/>
      <c r="U14" s="773"/>
      <c r="V14" s="4"/>
      <c r="W14" s="773"/>
      <c r="X14" s="4"/>
    </row>
    <row r="19" spans="1:13">
      <c r="A19" s="4"/>
      <c r="B19" s="4"/>
      <c r="F19" s="4"/>
      <c r="G19" s="4"/>
      <c r="H19" s="4"/>
      <c r="I19" s="4"/>
      <c r="J19" s="4"/>
      <c r="K19" s="4"/>
      <c r="M19" s="4"/>
    </row>
    <row r="29" spans="1:13">
      <c r="A29" s="4"/>
      <c r="B29" s="4"/>
      <c r="F29" s="4"/>
      <c r="G29" s="4"/>
      <c r="H29" s="4"/>
      <c r="I29" s="4"/>
      <c r="J29" s="4"/>
      <c r="K29" s="4"/>
      <c r="M29" s="4"/>
    </row>
    <row r="30" spans="1:13">
      <c r="A30" s="4"/>
      <c r="B30" s="4"/>
      <c r="F30" s="4"/>
      <c r="G30" s="4"/>
      <c r="H30" s="4"/>
      <c r="I30" s="4"/>
      <c r="J30" s="4"/>
      <c r="K30" s="4"/>
      <c r="M30" s="4"/>
    </row>
    <row r="31" spans="1:13">
      <c r="A31" s="4"/>
      <c r="B31" s="4"/>
      <c r="F31" s="4"/>
      <c r="G31" s="4"/>
      <c r="H31" s="4"/>
      <c r="I31" s="4"/>
      <c r="J31" s="4"/>
      <c r="K31" s="4"/>
      <c r="M31" s="4"/>
    </row>
    <row r="32" spans="1:13">
      <c r="A32" s="4"/>
      <c r="B32" s="4"/>
      <c r="F32" s="4"/>
      <c r="G32" s="4"/>
      <c r="H32" s="4"/>
      <c r="I32" s="4"/>
      <c r="J32" s="4"/>
      <c r="K32" s="4"/>
      <c r="M32" s="4"/>
    </row>
    <row r="33" spans="1:23">
      <c r="A33" s="4"/>
      <c r="B33" s="4"/>
      <c r="F33" s="4"/>
      <c r="G33" s="4"/>
      <c r="H33" s="4"/>
      <c r="I33" s="4"/>
      <c r="J33" s="4"/>
      <c r="K33" s="4"/>
      <c r="M33" s="4"/>
    </row>
    <row r="34" spans="1:23">
      <c r="A34" s="4"/>
      <c r="B34" s="4"/>
      <c r="F34" s="4"/>
      <c r="G34" s="4"/>
      <c r="H34" s="4"/>
      <c r="I34" s="4"/>
      <c r="J34" s="4"/>
      <c r="K34" s="4"/>
      <c r="M34" s="4"/>
    </row>
    <row r="35" spans="1:23">
      <c r="A35" s="4"/>
      <c r="B35" s="4"/>
      <c r="F35" s="4"/>
      <c r="G35" s="4"/>
      <c r="H35" s="4"/>
      <c r="I35" s="4"/>
      <c r="J35" s="4"/>
      <c r="K35" s="4"/>
      <c r="M35" s="4"/>
    </row>
    <row r="36" spans="1:23">
      <c r="A36" s="4"/>
      <c r="B36" s="4"/>
      <c r="F36" s="4"/>
      <c r="G36" s="4"/>
      <c r="H36" s="4"/>
      <c r="I36" s="4"/>
      <c r="J36" s="4"/>
      <c r="K36" s="4"/>
      <c r="M36" s="4"/>
    </row>
    <row r="37" spans="1:23">
      <c r="A37" s="4"/>
      <c r="B37" s="4"/>
      <c r="F37" s="4"/>
      <c r="G37" s="4"/>
      <c r="H37" s="4"/>
      <c r="I37" s="4"/>
      <c r="J37" s="4"/>
      <c r="K37" s="4"/>
      <c r="M37" s="4"/>
    </row>
    <row r="38" spans="1:23">
      <c r="A38" s="4"/>
      <c r="B38" s="4"/>
      <c r="F38" s="4"/>
      <c r="G38" s="4"/>
      <c r="H38" s="4"/>
      <c r="I38" s="4"/>
      <c r="J38" s="4"/>
      <c r="K38" s="4"/>
      <c r="M38" s="4"/>
    </row>
    <row r="39" spans="1:23">
      <c r="A39" s="4"/>
      <c r="B39" s="4"/>
      <c r="F39" s="4"/>
      <c r="G39" s="4"/>
      <c r="H39" s="4"/>
      <c r="I39" s="4"/>
      <c r="J39" s="4"/>
      <c r="K39" s="4"/>
      <c r="M39" s="4"/>
    </row>
    <row r="40" spans="1:23">
      <c r="A40" s="4"/>
      <c r="B40" s="4"/>
      <c r="F40" s="4"/>
      <c r="G40" s="4"/>
      <c r="H40" s="4"/>
      <c r="I40" s="4"/>
      <c r="J40" s="4"/>
      <c r="K40" s="4"/>
      <c r="M40" s="4"/>
      <c r="W40" s="4"/>
    </row>
    <row r="41" spans="1:23">
      <c r="A41" s="4"/>
      <c r="B41" s="4"/>
      <c r="F41" s="4"/>
      <c r="G41" s="4"/>
      <c r="H41" s="4"/>
      <c r="I41" s="4"/>
      <c r="J41" s="4"/>
      <c r="K41" s="4"/>
      <c r="M41" s="4"/>
      <c r="W41" s="4"/>
    </row>
    <row r="42" spans="1:23">
      <c r="W42" s="4"/>
    </row>
    <row r="43" spans="1:23">
      <c r="W43" s="4"/>
    </row>
    <row r="44" spans="1:23">
      <c r="W44" s="4"/>
    </row>
    <row r="45" spans="1:23">
      <c r="W45" s="4"/>
    </row>
    <row r="46" spans="1:23">
      <c r="W46" s="4"/>
    </row>
    <row r="47" spans="1:23">
      <c r="W47" s="4"/>
    </row>
    <row r="48" spans="1:23">
      <c r="W48" s="4"/>
    </row>
    <row r="49" spans="23:23">
      <c r="W49" s="4"/>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sheetPr codeName="Лист97">
    <tabColor rgb="FF92D050"/>
  </sheetPr>
  <dimension ref="A1:AC49"/>
  <sheetViews>
    <sheetView topLeftCell="J1" workbookViewId="0">
      <selection activeCell="V2" sqref="V2:AD2"/>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15" customHeight="1">
      <c r="A2" s="10"/>
      <c r="B2" s="10"/>
      <c r="F2" s="10"/>
      <c r="G2" s="10"/>
      <c r="H2" s="10"/>
      <c r="I2" s="10"/>
      <c r="J2" s="10"/>
      <c r="K2" s="10"/>
      <c r="M2" s="10"/>
      <c r="N2" s="10"/>
      <c r="O2" s="10"/>
      <c r="P2" s="10"/>
      <c r="Q2" s="10"/>
      <c r="R2" s="10"/>
      <c r="U2" s="74" t="b">
        <f>Настройки!$M$34</f>
        <v>1</v>
      </c>
      <c r="V2" s="73" t="s">
        <v>4944</v>
      </c>
      <c r="W2" s="537" t="s">
        <v>4945</v>
      </c>
      <c r="X2" s="73"/>
      <c r="Y2" s="73"/>
      <c r="Z2" s="73"/>
      <c r="AA2" s="74"/>
      <c r="AB2" s="74"/>
      <c r="AC2" s="74"/>
    </row>
    <row r="3" spans="1:29">
      <c r="A3" t="str">
        <f>SUBSTITUTE($V$2,"\","|")&amp;"|CAON"</f>
        <v>GP050_OP|CAON</v>
      </c>
      <c r="B3" t="s">
        <v>74</v>
      </c>
      <c r="F3" t="s">
        <v>72</v>
      </c>
      <c r="G3" t="s">
        <v>71</v>
      </c>
      <c r="H3">
        <v>0</v>
      </c>
      <c r="I3" t="s">
        <v>72</v>
      </c>
      <c r="J3" t="s">
        <v>74</v>
      </c>
      <c r="K3">
        <v>0</v>
      </c>
      <c r="M3">
        <v>1</v>
      </c>
      <c r="R3" t="str">
        <f>IF($U$2=TRUE,$W$2&amp;". Команда на включение оповещения о пожаре","Команда на включение оповещения о пожаре")</f>
        <v>ГП 50. Оповещение. Команда на включение оповещения о пожаре</v>
      </c>
      <c r="S3" s="372"/>
      <c r="U3" s="773"/>
      <c r="V3" s="4"/>
      <c r="W3" s="773"/>
      <c r="X3" s="4"/>
    </row>
    <row r="4" spans="1:29">
      <c r="A4" t="str">
        <f>SUBSTITUTE($V$2,"\","|")&amp;"|COOF"</f>
        <v>GP050_OP|COOF</v>
      </c>
      <c r="B4" t="s">
        <v>74</v>
      </c>
      <c r="F4" t="s">
        <v>72</v>
      </c>
      <c r="G4" t="s">
        <v>71</v>
      </c>
      <c r="H4">
        <v>0</v>
      </c>
      <c r="I4" t="s">
        <v>72</v>
      </c>
      <c r="J4" t="s">
        <v>73</v>
      </c>
      <c r="K4">
        <v>0</v>
      </c>
      <c r="M4">
        <v>1</v>
      </c>
      <c r="R4" t="str">
        <f>IF($U$2=TRUE,$W$2&amp;". Команда оператора на отключение  оповещения о пожаре","Команда оператора на отключение  оповещения о пожаре")</f>
        <v>ГП 50. Оповещение. Команда оператора на отключение  оповещения о пожаре</v>
      </c>
      <c r="S4" s="372"/>
      <c r="U4" s="773"/>
      <c r="V4" s="4"/>
      <c r="W4" s="773"/>
      <c r="X4" s="4"/>
    </row>
    <row r="5" spans="1:29">
      <c r="A5" t="str">
        <f>SUBSTITUTE($V$2,"\","|")&amp;"|CPOF"</f>
        <v>GP050_OP|CPOF</v>
      </c>
      <c r="B5" t="s">
        <v>74</v>
      </c>
      <c r="F5" t="s">
        <v>72</v>
      </c>
      <c r="G5" t="s">
        <v>71</v>
      </c>
      <c r="H5">
        <v>0</v>
      </c>
      <c r="I5" t="s">
        <v>72</v>
      </c>
      <c r="J5" t="s">
        <v>69</v>
      </c>
      <c r="K5">
        <v>0</v>
      </c>
      <c r="M5">
        <v>1</v>
      </c>
      <c r="R5" t="str">
        <f>IF($U$2=TRUE,$W$2&amp;". Команда ВП на отключение  оповещения о пожаре","Команда ВП на отключение  оповещения о пожаре")</f>
        <v>ГП 50. Оповещение. Команда ВП на отключение  оповещения о пожаре</v>
      </c>
      <c r="S5" s="372"/>
      <c r="U5" s="773"/>
      <c r="V5" s="4"/>
      <c r="W5" s="773"/>
      <c r="X5" s="4"/>
    </row>
    <row r="6" spans="1:29">
      <c r="A6" t="str">
        <f>SUBSTITUTE($V$2,"\","|")&amp;"|FXXX"</f>
        <v>GP050_OP|FXXX</v>
      </c>
      <c r="B6" t="s">
        <v>74</v>
      </c>
      <c r="F6" t="s">
        <v>72</v>
      </c>
      <c r="G6" t="s">
        <v>71</v>
      </c>
      <c r="H6">
        <v>0</v>
      </c>
      <c r="I6" t="s">
        <v>72</v>
      </c>
      <c r="J6" t="s">
        <v>69</v>
      </c>
      <c r="K6">
        <v>0</v>
      </c>
      <c r="M6">
        <v>1</v>
      </c>
      <c r="R6" t="str">
        <f>IF($U$2=TRUE,$W$2&amp;". Обобщенный сигнал Неисправность","Обобщенный сигнал Неисправность")</f>
        <v>ГП 50. Оповещение. Обобщенный сигнал Неисправность</v>
      </c>
      <c r="S6" s="372"/>
      <c r="U6" s="773"/>
      <c r="V6" s="4"/>
      <c r="W6" s="773"/>
      <c r="X6" s="4"/>
    </row>
    <row r="7" spans="1:29">
      <c r="A7" t="str">
        <f>SUBSTITUTE($V$2,"\","|")&amp;"|XONX"</f>
        <v>GP050_OP|XONX</v>
      </c>
      <c r="B7" t="s">
        <v>74</v>
      </c>
      <c r="F7" t="s">
        <v>72</v>
      </c>
      <c r="G7" t="s">
        <v>71</v>
      </c>
      <c r="H7">
        <v>0</v>
      </c>
      <c r="I7" t="s">
        <v>72</v>
      </c>
      <c r="J7" t="s">
        <v>69</v>
      </c>
      <c r="K7">
        <v>0</v>
      </c>
      <c r="M7">
        <v>1</v>
      </c>
      <c r="R7" t="str">
        <f>IF($U$2=TRUE,$W$2&amp;". Обобщенный сигнал Включено","Обобщенный сигнал Включено")</f>
        <v>ГП 50. Оповещение. Обобщенный сигнал Включено</v>
      </c>
      <c r="S7" s="372"/>
      <c r="U7" s="773"/>
      <c r="V7" s="4"/>
      <c r="W7" s="773"/>
      <c r="X7" s="4"/>
    </row>
    <row r="8" spans="1:29">
      <c r="A8" t="str">
        <f>SUBSTITUTE($V$2,"\","|")&amp;"|XRFX"</f>
        <v>GP050_OP|XRFX</v>
      </c>
      <c r="B8" t="s">
        <v>78</v>
      </c>
      <c r="F8" t="s">
        <v>72</v>
      </c>
      <c r="G8" t="s">
        <v>71</v>
      </c>
      <c r="H8">
        <v>0</v>
      </c>
      <c r="I8" t="s">
        <v>72</v>
      </c>
      <c r="J8" t="s">
        <v>74</v>
      </c>
      <c r="K8">
        <v>0</v>
      </c>
      <c r="M8">
        <v>1</v>
      </c>
      <c r="R8" t="str">
        <f>IF($U$2=TRUE,$W$2&amp;". Счетчик неисправностей","Счетчик неисправностей")</f>
        <v>ГП 50. Оповещение. Счетчик неисправностей</v>
      </c>
      <c r="S8" s="372"/>
      <c r="U8" s="773"/>
      <c r="V8" s="4"/>
      <c r="W8" s="773"/>
      <c r="X8" s="4"/>
    </row>
    <row r="9" spans="1:29">
      <c r="A9" t="str">
        <f>SUBSTITUTE($V$2,"\","|")&amp;"|XRON"</f>
        <v>GP050_OP|XRON</v>
      </c>
      <c r="B9" t="s">
        <v>78</v>
      </c>
      <c r="F9" t="s">
        <v>72</v>
      </c>
      <c r="G9" t="s">
        <v>71</v>
      </c>
      <c r="H9">
        <v>0</v>
      </c>
      <c r="I9" t="s">
        <v>72</v>
      </c>
      <c r="J9" t="s">
        <v>74</v>
      </c>
      <c r="K9">
        <v>0</v>
      </c>
      <c r="M9">
        <v>1</v>
      </c>
      <c r="R9" t="str">
        <f>IF($U$2=TRUE,$W$2&amp;". Счетчик включений","Счетчик включений")</f>
        <v>ГП 50. Оповещение. Счетчик включений</v>
      </c>
      <c r="S9" s="372"/>
      <c r="U9" s="773"/>
      <c r="V9" s="4"/>
      <c r="W9" s="773"/>
      <c r="X9" s="4"/>
    </row>
    <row r="10" spans="1:29">
      <c r="A10" t="str">
        <f>SUBSTITUTE($V$2,"\","|")&amp;"|XRPX"</f>
        <v>GP050_OP|XRPX</v>
      </c>
      <c r="B10" t="s">
        <v>74</v>
      </c>
      <c r="F10" t="s">
        <v>72</v>
      </c>
      <c r="G10" t="s">
        <v>71</v>
      </c>
      <c r="H10">
        <v>0</v>
      </c>
      <c r="I10" t="s">
        <v>72</v>
      </c>
      <c r="J10" t="s">
        <v>69</v>
      </c>
      <c r="K10">
        <v>0</v>
      </c>
      <c r="M10">
        <v>1</v>
      </c>
      <c r="R10" t="str">
        <f>IF($U$2=TRUE,$W$2&amp;". Обобщенный сигнал Ремонт","Обобщенный сигнал Ремонт")</f>
        <v>ГП 50. Оповещение. Обобщенный сигнал Ремонт</v>
      </c>
      <c r="S10" s="372"/>
      <c r="U10" s="773"/>
      <c r="V10" s="4"/>
      <c r="W10" s="773"/>
      <c r="X10" s="4"/>
    </row>
    <row r="11" spans="1:29">
      <c r="A11" t="str">
        <f>SUBSTITUTE($V$2,"\","|")&amp;"|XRRP"</f>
        <v>GP050_OP|XRRP</v>
      </c>
      <c r="B11" t="s">
        <v>78</v>
      </c>
      <c r="F11" t="s">
        <v>72</v>
      </c>
      <c r="G11" t="s">
        <v>71</v>
      </c>
      <c r="H11">
        <v>0</v>
      </c>
      <c r="I11" t="s">
        <v>72</v>
      </c>
      <c r="J11" t="s">
        <v>74</v>
      </c>
      <c r="K11">
        <v>0</v>
      </c>
      <c r="M11">
        <v>1</v>
      </c>
      <c r="R11" t="str">
        <f>IF($U$2=TRUE,$W$2&amp;". Счетчик ремонтов","Счетчик ремонтов")</f>
        <v>ГП 50. Оповещение. Счетчик ремонтов</v>
      </c>
      <c r="S11" s="372"/>
      <c r="U11" s="773"/>
      <c r="V11" s="4"/>
      <c r="W11" s="773"/>
      <c r="X11" s="4"/>
    </row>
    <row r="15" spans="1:29">
      <c r="A15" s="4"/>
      <c r="B15" s="4"/>
      <c r="F15" s="4"/>
      <c r="G15" s="4"/>
      <c r="H15" s="4"/>
      <c r="I15" s="4"/>
      <c r="J15" s="4"/>
      <c r="K15" s="4"/>
      <c r="M15" s="4"/>
    </row>
    <row r="24" spans="1:13">
      <c r="A24" s="4"/>
      <c r="B24" s="4"/>
      <c r="F24" s="4"/>
      <c r="G24" s="4"/>
      <c r="H24" s="4"/>
      <c r="I24" s="4"/>
      <c r="J24" s="4"/>
      <c r="K24" s="4"/>
      <c r="M24" s="4"/>
    </row>
    <row r="25" spans="1:13">
      <c r="A25" s="4"/>
      <c r="B25" s="4"/>
      <c r="F25" s="4"/>
      <c r="G25" s="4"/>
      <c r="H25" s="4"/>
      <c r="I25" s="4"/>
      <c r="J25" s="4"/>
      <c r="K25" s="4"/>
      <c r="M25" s="4"/>
    </row>
    <row r="26" spans="1:13">
      <c r="A26" s="4"/>
      <c r="B26" s="4"/>
      <c r="F26" s="4"/>
      <c r="G26" s="4"/>
      <c r="H26" s="4"/>
      <c r="I26" s="4"/>
      <c r="J26" s="4"/>
      <c r="K26" s="4"/>
      <c r="M26" s="4"/>
    </row>
    <row r="27" spans="1:13">
      <c r="A27" s="4"/>
      <c r="B27" s="4"/>
      <c r="F27" s="4"/>
      <c r="G27" s="4"/>
      <c r="H27" s="4"/>
      <c r="I27" s="4"/>
      <c r="J27" s="4"/>
      <c r="K27" s="4"/>
      <c r="M27" s="4"/>
    </row>
    <row r="28" spans="1:13">
      <c r="A28" s="4"/>
      <c r="B28" s="4"/>
      <c r="F28" s="4"/>
      <c r="G28" s="4"/>
      <c r="H28" s="4"/>
      <c r="I28" s="4"/>
      <c r="J28" s="4"/>
      <c r="K28" s="4"/>
      <c r="M28" s="4"/>
    </row>
    <row r="29" spans="1:13">
      <c r="A29" s="4"/>
      <c r="B29" s="4"/>
      <c r="F29" s="4"/>
      <c r="G29" s="4"/>
      <c r="H29" s="4"/>
      <c r="I29" s="4"/>
      <c r="J29" s="4"/>
      <c r="K29" s="4"/>
      <c r="M29" s="4"/>
    </row>
    <row r="30" spans="1:13">
      <c r="A30" s="4"/>
      <c r="B30" s="4"/>
      <c r="F30" s="4"/>
      <c r="G30" s="4"/>
      <c r="H30" s="4"/>
      <c r="I30" s="4"/>
      <c r="J30" s="4"/>
      <c r="K30" s="4"/>
      <c r="M30" s="4"/>
    </row>
    <row r="31" spans="1:13">
      <c r="A31" s="4"/>
      <c r="B31" s="4"/>
      <c r="F31" s="4"/>
      <c r="G31" s="4"/>
      <c r="H31" s="4"/>
      <c r="I31" s="4"/>
      <c r="J31" s="4"/>
      <c r="K31" s="4"/>
      <c r="M31" s="4"/>
    </row>
    <row r="32" spans="1:13">
      <c r="A32" s="4"/>
      <c r="B32" s="4"/>
      <c r="F32" s="4"/>
      <c r="G32" s="4"/>
      <c r="H32" s="4"/>
      <c r="I32" s="4"/>
      <c r="J32" s="4"/>
      <c r="K32" s="4"/>
      <c r="M32" s="4"/>
    </row>
    <row r="33" spans="1:23">
      <c r="A33" s="4"/>
      <c r="B33" s="4"/>
      <c r="F33" s="4"/>
      <c r="G33" s="4"/>
      <c r="H33" s="4"/>
      <c r="I33" s="4"/>
      <c r="J33" s="4"/>
      <c r="K33" s="4"/>
      <c r="M33" s="4"/>
    </row>
    <row r="34" spans="1:23">
      <c r="A34" s="4"/>
      <c r="B34" s="4"/>
      <c r="F34" s="4"/>
      <c r="G34" s="4"/>
      <c r="H34" s="4"/>
      <c r="I34" s="4"/>
      <c r="J34" s="4"/>
      <c r="K34" s="4"/>
      <c r="M34" s="4"/>
    </row>
    <row r="35" spans="1:23">
      <c r="A35" s="4"/>
      <c r="B35" s="4"/>
      <c r="F35" s="4"/>
      <c r="G35" s="4"/>
      <c r="H35" s="4"/>
      <c r="I35" s="4"/>
      <c r="J35" s="4"/>
      <c r="K35" s="4"/>
      <c r="M35" s="4"/>
    </row>
    <row r="36" spans="1:23">
      <c r="A36" s="4"/>
      <c r="B36" s="4"/>
      <c r="F36" s="4"/>
      <c r="G36" s="4"/>
      <c r="H36" s="4"/>
      <c r="I36" s="4"/>
      <c r="J36" s="4"/>
      <c r="K36" s="4"/>
      <c r="M36" s="4"/>
    </row>
    <row r="40" spans="1:23">
      <c r="W40" s="4"/>
    </row>
    <row r="41" spans="1:23">
      <c r="W41" s="4"/>
    </row>
    <row r="42" spans="1:23">
      <c r="W42" s="4"/>
    </row>
    <row r="43" spans="1:23">
      <c r="W43" s="4"/>
    </row>
    <row r="44" spans="1:23">
      <c r="W44" s="4"/>
    </row>
    <row r="45" spans="1:23">
      <c r="W45" s="4"/>
    </row>
    <row r="46" spans="1:23">
      <c r="W46" s="4"/>
    </row>
    <row r="47" spans="1:23">
      <c r="W47" s="4"/>
    </row>
    <row r="48" spans="1:23">
      <c r="W48" s="4"/>
    </row>
    <row r="49" spans="23:23">
      <c r="W49" s="4"/>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sheetPr codeName="Лист98">
    <tabColor rgb="FF92D050"/>
  </sheetPr>
  <dimension ref="A1:AC49"/>
  <sheetViews>
    <sheetView workbookViewId="0">
      <selection activeCell="V2" sqref="V2:AD2"/>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15" customHeight="1">
      <c r="A2" s="10"/>
      <c r="B2" s="10"/>
      <c r="F2" s="10"/>
      <c r="G2" s="10"/>
      <c r="H2" s="10"/>
      <c r="I2" s="10"/>
      <c r="J2" s="10"/>
      <c r="K2" s="10"/>
      <c r="M2" s="10"/>
      <c r="N2" s="10"/>
      <c r="O2" s="10"/>
      <c r="P2" s="10"/>
      <c r="Q2" s="10"/>
      <c r="R2" s="10"/>
      <c r="U2" s="74" t="b">
        <f>Настройки!$M$34</f>
        <v>1</v>
      </c>
      <c r="V2" s="73" t="s">
        <v>4946</v>
      </c>
      <c r="W2" s="537" t="s">
        <v>4947</v>
      </c>
      <c r="X2" s="73"/>
      <c r="Y2" s="73"/>
      <c r="Z2" s="73"/>
      <c r="AA2" s="74"/>
      <c r="AB2" s="74"/>
      <c r="AC2" s="74"/>
    </row>
    <row r="3" spans="1:29">
      <c r="A3" t="str">
        <f>SUBSTITUTE($V$2,"\","|")&amp;"|XRFX"</f>
        <v>GP052_QSA|XRFX</v>
      </c>
      <c r="B3" t="s">
        <v>78</v>
      </c>
      <c r="F3" t="s">
        <v>72</v>
      </c>
      <c r="G3" t="s">
        <v>71</v>
      </c>
      <c r="H3">
        <v>0</v>
      </c>
      <c r="I3" t="s">
        <v>72</v>
      </c>
      <c r="J3" t="s">
        <v>74</v>
      </c>
      <c r="K3">
        <v>0</v>
      </c>
      <c r="M3">
        <v>1</v>
      </c>
      <c r="R3" t="str">
        <f>IF($U$2=TRUE,$W$2&amp;". Счетчик неисправностей","Счетчик неисправностей")</f>
        <v>ГП 52. Загазованность. Счетчик неисправностей</v>
      </c>
      <c r="S3" s="372"/>
      <c r="U3" s="773"/>
      <c r="V3" s="4"/>
      <c r="W3" s="773"/>
      <c r="X3" s="4"/>
    </row>
    <row r="4" spans="1:29">
      <c r="A4" t="str">
        <f>SUBSTITUTE($V$2,"\","|")&amp;"|XRT2"</f>
        <v>GP052_QSA|XRT2</v>
      </c>
      <c r="B4" t="s">
        <v>78</v>
      </c>
      <c r="F4" t="s">
        <v>72</v>
      </c>
      <c r="G4" t="s">
        <v>71</v>
      </c>
      <c r="H4">
        <v>0</v>
      </c>
      <c r="I4" t="s">
        <v>72</v>
      </c>
      <c r="J4" t="s">
        <v>74</v>
      </c>
      <c r="K4">
        <v>0</v>
      </c>
      <c r="M4">
        <v>1</v>
      </c>
      <c r="R4" t="str">
        <f>IF($U$2=TRUE,$W$2&amp;". Счетчик 2-х порогов","Счетчик 2-х порогов")</f>
        <v>ГП 52. Загазованность. Счетчик 2-х порогов</v>
      </c>
      <c r="S4" s="372"/>
      <c r="U4" s="773"/>
      <c r="V4" s="4"/>
      <c r="W4" s="773"/>
      <c r="X4" s="4"/>
    </row>
    <row r="5" spans="1:29">
      <c r="A5" t="str">
        <f>SUBSTITUTE($V$2,"\","|")&amp;"|XRT1"</f>
        <v>GP052_QSA|XRT1</v>
      </c>
      <c r="B5" t="s">
        <v>78</v>
      </c>
      <c r="F5" t="s">
        <v>72</v>
      </c>
      <c r="G5" t="s">
        <v>71</v>
      </c>
      <c r="H5">
        <v>0</v>
      </c>
      <c r="I5" t="s">
        <v>72</v>
      </c>
      <c r="J5" t="s">
        <v>74</v>
      </c>
      <c r="K5">
        <v>0</v>
      </c>
      <c r="M5">
        <v>1</v>
      </c>
      <c r="R5" t="str">
        <f>IF($U$2=TRUE,$W$2&amp;". Счетчик 1-х порогов","Счетчик 1-х порогов")</f>
        <v>ГП 52. Загазованность. Счетчик 1-х порогов</v>
      </c>
      <c r="S5" s="372"/>
      <c r="U5" s="773"/>
      <c r="V5" s="4"/>
      <c r="W5" s="773"/>
      <c r="X5" s="4"/>
    </row>
    <row r="6" spans="1:29">
      <c r="A6" t="str">
        <f>SUBSTITUTE($V$2,"\","|")&amp;"|XRRP"</f>
        <v>GP052_QSA|XRRP</v>
      </c>
      <c r="B6" t="s">
        <v>78</v>
      </c>
      <c r="F6" t="s">
        <v>72</v>
      </c>
      <c r="G6" t="s">
        <v>71</v>
      </c>
      <c r="H6">
        <v>0</v>
      </c>
      <c r="I6" t="s">
        <v>72</v>
      </c>
      <c r="J6" t="s">
        <v>74</v>
      </c>
      <c r="K6">
        <v>0</v>
      </c>
      <c r="M6">
        <v>1</v>
      </c>
      <c r="R6" t="str">
        <f>IF($U$2=TRUE,$W$2&amp;". Счетчик ремонтов","Счетчик ремонтов")</f>
        <v>ГП 52. Загазованность. Счетчик ремонтов</v>
      </c>
      <c r="S6" s="372"/>
      <c r="U6" s="773"/>
      <c r="V6" s="4"/>
      <c r="W6" s="773"/>
      <c r="X6" s="4"/>
    </row>
    <row r="7" spans="1:29">
      <c r="A7" t="str">
        <f>SUBSTITUTE($V$2,"\","|")&amp;"|FXXX"</f>
        <v>GP052_QSA|FXXX</v>
      </c>
      <c r="B7" t="s">
        <v>74</v>
      </c>
      <c r="F7" t="s">
        <v>72</v>
      </c>
      <c r="G7" t="s">
        <v>71</v>
      </c>
      <c r="H7">
        <v>0</v>
      </c>
      <c r="I7" t="s">
        <v>72</v>
      </c>
      <c r="J7" t="s">
        <v>69</v>
      </c>
      <c r="K7">
        <v>0</v>
      </c>
      <c r="M7">
        <v>1</v>
      </c>
      <c r="R7" t="str">
        <f>IF($U$2=TRUE,$W$2&amp;". Обобщенный сигнал Неисправность","Обобщенный сигнал Неисправность")</f>
        <v>ГП 52. Загазованность. Обобщенный сигнал Неисправность</v>
      </c>
      <c r="S7" s="372"/>
      <c r="U7" s="773"/>
      <c r="V7" s="4"/>
      <c r="W7" s="773"/>
      <c r="X7" s="4"/>
    </row>
    <row r="8" spans="1:29">
      <c r="A8" t="str">
        <f>SUBSTITUTE($V$2,"\","|")&amp;"|XT2X"</f>
        <v>GP052_QSA|XT2X</v>
      </c>
      <c r="B8" t="s">
        <v>74</v>
      </c>
      <c r="F8" t="s">
        <v>72</v>
      </c>
      <c r="G8" t="s">
        <v>71</v>
      </c>
      <c r="H8">
        <v>0</v>
      </c>
      <c r="I8" t="s">
        <v>72</v>
      </c>
      <c r="J8" t="s">
        <v>69</v>
      </c>
      <c r="K8">
        <v>0</v>
      </c>
      <c r="M8">
        <v>1</v>
      </c>
      <c r="R8" t="str">
        <f>IF($U$2=TRUE,$W$2&amp;". Обобщенный сигнал 2-й порог","Обобщенный сигнал 2-й порог")</f>
        <v>ГП 52. Загазованность. Обобщенный сигнал 2-й порог</v>
      </c>
      <c r="S8" s="372"/>
      <c r="U8" s="773"/>
      <c r="V8" s="4"/>
      <c r="W8" s="773"/>
      <c r="X8" s="4"/>
    </row>
    <row r="9" spans="1:29">
      <c r="A9" t="str">
        <f>SUBSTITUTE($V$2,"\","|")&amp;"|XT1X"</f>
        <v>GP052_QSA|XT1X</v>
      </c>
      <c r="B9" t="s">
        <v>74</v>
      </c>
      <c r="F9" t="s">
        <v>72</v>
      </c>
      <c r="G9" t="s">
        <v>71</v>
      </c>
      <c r="H9">
        <v>0</v>
      </c>
      <c r="I9" t="s">
        <v>72</v>
      </c>
      <c r="J9" t="s">
        <v>69</v>
      </c>
      <c r="K9">
        <v>0</v>
      </c>
      <c r="M9">
        <v>1</v>
      </c>
      <c r="R9" t="str">
        <f>IF($U$2=TRUE,$W$2&amp;". Обобщенный сигнал 1-й порог","Обобщенный сигнал 1-й порог")</f>
        <v>ГП 52. Загазованность. Обобщенный сигнал 1-й порог</v>
      </c>
      <c r="S9" s="372"/>
      <c r="U9" s="773"/>
      <c r="V9" s="4"/>
      <c r="W9" s="773"/>
      <c r="X9" s="4"/>
    </row>
    <row r="10" spans="1:29">
      <c r="A10" t="str">
        <f>SUBSTITUTE($V$2,"\","|")&amp;"|XRPX"</f>
        <v>GP052_QSA|XRPX</v>
      </c>
      <c r="B10" t="s">
        <v>74</v>
      </c>
      <c r="F10" t="s">
        <v>72</v>
      </c>
      <c r="G10" t="s">
        <v>71</v>
      </c>
      <c r="H10">
        <v>0</v>
      </c>
      <c r="I10" t="s">
        <v>72</v>
      </c>
      <c r="J10" t="s">
        <v>69</v>
      </c>
      <c r="K10">
        <v>0</v>
      </c>
      <c r="M10">
        <v>1</v>
      </c>
      <c r="R10" t="str">
        <f>IF($U$2=TRUE,$W$2&amp;". Обобщенный сигнал Ремонт","Обобщенный сигнал Ремонт")</f>
        <v>ГП 52. Загазованность. Обобщенный сигнал Ремонт</v>
      </c>
      <c r="S10" s="372"/>
      <c r="U10" s="773"/>
      <c r="V10" s="4"/>
      <c r="W10" s="773"/>
      <c r="X10" s="4"/>
    </row>
    <row r="17" spans="1:13">
      <c r="A17" s="4"/>
      <c r="B17" s="4"/>
      <c r="F17" s="4"/>
      <c r="G17" s="4"/>
      <c r="H17" s="4"/>
      <c r="I17" s="4"/>
      <c r="J17" s="4"/>
      <c r="K17" s="4"/>
      <c r="M17" s="4"/>
    </row>
    <row r="25" spans="1:13">
      <c r="A25" s="4"/>
      <c r="B25" s="4"/>
      <c r="F25" s="4"/>
      <c r="G25" s="4"/>
      <c r="H25" s="4"/>
      <c r="I25" s="4"/>
      <c r="J25" s="4"/>
      <c r="K25" s="4"/>
      <c r="M25" s="4"/>
    </row>
    <row r="26" spans="1:13">
      <c r="A26" s="4"/>
      <c r="B26" s="4"/>
      <c r="F26" s="4"/>
      <c r="G26" s="4"/>
      <c r="H26" s="4"/>
      <c r="I26" s="4"/>
      <c r="J26" s="4"/>
      <c r="K26" s="4"/>
      <c r="M26" s="4"/>
    </row>
    <row r="27" spans="1:13">
      <c r="A27" s="4"/>
      <c r="B27" s="4"/>
      <c r="F27" s="4"/>
      <c r="G27" s="4"/>
      <c r="H27" s="4"/>
      <c r="I27" s="4"/>
      <c r="J27" s="4"/>
      <c r="K27" s="4"/>
      <c r="M27" s="4"/>
    </row>
    <row r="28" spans="1:13">
      <c r="A28" s="4"/>
      <c r="B28" s="4"/>
      <c r="F28" s="4"/>
      <c r="G28" s="4"/>
      <c r="H28" s="4"/>
      <c r="I28" s="4"/>
      <c r="J28" s="4"/>
      <c r="K28" s="4"/>
      <c r="M28" s="4"/>
    </row>
    <row r="29" spans="1:13">
      <c r="A29" s="4"/>
      <c r="B29" s="4"/>
      <c r="F29" s="4"/>
      <c r="G29" s="4"/>
      <c r="H29" s="4"/>
      <c r="I29" s="4"/>
      <c r="J29" s="4"/>
      <c r="K29" s="4"/>
      <c r="M29" s="4"/>
    </row>
    <row r="30" spans="1:13">
      <c r="A30" s="4"/>
      <c r="B30" s="4"/>
      <c r="F30" s="4"/>
      <c r="G30" s="4"/>
      <c r="H30" s="4"/>
      <c r="I30" s="4"/>
      <c r="J30" s="4"/>
      <c r="K30" s="4"/>
      <c r="M30" s="4"/>
    </row>
    <row r="31" spans="1:13">
      <c r="A31" s="4"/>
      <c r="B31" s="4"/>
      <c r="F31" s="4"/>
      <c r="G31" s="4"/>
      <c r="H31" s="4"/>
      <c r="I31" s="4"/>
      <c r="J31" s="4"/>
      <c r="K31" s="4"/>
      <c r="M31" s="4"/>
    </row>
    <row r="32" spans="1:13">
      <c r="A32" s="4"/>
      <c r="B32" s="4"/>
      <c r="F32" s="4"/>
      <c r="G32" s="4"/>
      <c r="H32" s="4"/>
      <c r="I32" s="4"/>
      <c r="J32" s="4"/>
      <c r="K32" s="4"/>
      <c r="M32" s="4"/>
    </row>
    <row r="33" spans="1:23">
      <c r="A33" s="4"/>
      <c r="B33" s="4"/>
      <c r="F33" s="4"/>
      <c r="G33" s="4"/>
      <c r="H33" s="4"/>
      <c r="I33" s="4"/>
      <c r="J33" s="4"/>
      <c r="K33" s="4"/>
      <c r="M33" s="4"/>
    </row>
    <row r="34" spans="1:23">
      <c r="A34" s="4"/>
      <c r="B34" s="4"/>
      <c r="F34" s="4"/>
      <c r="G34" s="4"/>
      <c r="H34" s="4"/>
      <c r="I34" s="4"/>
      <c r="J34" s="4"/>
      <c r="K34" s="4"/>
      <c r="M34" s="4"/>
    </row>
    <row r="35" spans="1:23">
      <c r="A35" s="4"/>
      <c r="B35" s="4"/>
      <c r="F35" s="4"/>
      <c r="G35" s="4"/>
      <c r="H35" s="4"/>
      <c r="I35" s="4"/>
      <c r="J35" s="4"/>
      <c r="K35" s="4"/>
      <c r="M35" s="4"/>
    </row>
    <row r="36" spans="1:23">
      <c r="A36" s="4"/>
      <c r="B36" s="4"/>
      <c r="F36" s="4"/>
      <c r="G36" s="4"/>
      <c r="H36" s="4"/>
      <c r="I36" s="4"/>
      <c r="J36" s="4"/>
      <c r="K36" s="4"/>
      <c r="M36" s="4"/>
    </row>
    <row r="37" spans="1:23">
      <c r="A37" s="4"/>
      <c r="B37" s="4"/>
      <c r="F37" s="4"/>
      <c r="G37" s="4"/>
      <c r="H37" s="4"/>
      <c r="I37" s="4"/>
      <c r="J37" s="4"/>
      <c r="K37" s="4"/>
      <c r="M37" s="4"/>
    </row>
    <row r="40" spans="1:23">
      <c r="W40" s="4"/>
    </row>
    <row r="41" spans="1:23">
      <c r="W41" s="4"/>
    </row>
    <row r="42" spans="1:23">
      <c r="W42" s="4"/>
    </row>
    <row r="43" spans="1:23">
      <c r="W43" s="4"/>
    </row>
    <row r="44" spans="1:23">
      <c r="W44" s="4"/>
    </row>
    <row r="45" spans="1:23">
      <c r="W45" s="4"/>
    </row>
    <row r="46" spans="1:23">
      <c r="W46" s="4"/>
    </row>
    <row r="47" spans="1:23">
      <c r="W47" s="4"/>
    </row>
    <row r="48" spans="1:23">
      <c r="W48" s="4"/>
    </row>
    <row r="49" spans="23:23">
      <c r="W49" s="4"/>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sheetPr codeName="Лист104">
    <tabColor rgb="FF92D050"/>
  </sheetPr>
  <dimension ref="A1:AC49"/>
  <sheetViews>
    <sheetView workbookViewId="0">
      <selection activeCell="V2" sqref="V2:AD2"/>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15" customHeight="1">
      <c r="A2" s="10"/>
      <c r="B2" s="10"/>
      <c r="F2" s="10"/>
      <c r="G2" s="10"/>
      <c r="H2" s="10"/>
      <c r="I2" s="10"/>
      <c r="J2" s="10"/>
      <c r="K2" s="10"/>
      <c r="M2" s="10"/>
      <c r="N2" s="10"/>
      <c r="O2" s="10"/>
      <c r="P2" s="10"/>
      <c r="Q2" s="10"/>
      <c r="R2" s="10"/>
      <c r="U2" s="74" t="b">
        <f>Настройки!$M$34</f>
        <v>1</v>
      </c>
      <c r="V2" s="73" t="s">
        <v>4892</v>
      </c>
      <c r="W2" s="537" t="s">
        <v>4893</v>
      </c>
      <c r="X2" s="73">
        <v>0</v>
      </c>
      <c r="Y2" s="73" t="s">
        <v>72</v>
      </c>
      <c r="Z2" s="73"/>
      <c r="AA2" s="74"/>
      <c r="AB2" s="74"/>
      <c r="AC2" s="74"/>
    </row>
    <row r="3" spans="1:29">
      <c r="A3" t="str">
        <f>SUBSTITUTE($V$2,"\","|")&amp;"|BVLS"</f>
        <v>TO_SKUD_GP050_XFRX|BVLS</v>
      </c>
      <c r="B3" t="s">
        <v>74</v>
      </c>
      <c r="F3" t="s">
        <v>72</v>
      </c>
      <c r="G3" t="s">
        <v>71</v>
      </c>
      <c r="H3">
        <v>0</v>
      </c>
      <c r="I3" t="s">
        <v>72</v>
      </c>
      <c r="J3" t="s">
        <v>69</v>
      </c>
      <c r="K3">
        <v>0</v>
      </c>
      <c r="M3">
        <v>1</v>
      </c>
      <c r="R3" t="str">
        <f>IF($U$2=TRUE,$W$2&amp;". Блокировка сработки дискретного сигнала","Блокировка сработки дискретного сигнала")</f>
        <v>ГП 50. Сигнал в СКУД "Пожар обобщенный". Блокировка сработки дискретного сигнала</v>
      </c>
      <c r="S3" s="372"/>
      <c r="U3" s="773"/>
      <c r="V3" s="4"/>
      <c r="W3" s="773"/>
      <c r="X3" s="4"/>
    </row>
    <row r="4" spans="1:29">
      <c r="A4" t="str">
        <f>SUBSTITUTE($V$2,"\","|")&amp;"|CAON"</f>
        <v>TO_SKUD_GP050_XFRX|CAON</v>
      </c>
      <c r="B4" t="s">
        <v>74</v>
      </c>
      <c r="F4" t="s">
        <v>72</v>
      </c>
      <c r="G4" t="s">
        <v>71</v>
      </c>
      <c r="H4">
        <v>0</v>
      </c>
      <c r="I4" t="s">
        <v>72</v>
      </c>
      <c r="J4" t="s">
        <v>73</v>
      </c>
      <c r="K4">
        <v>0</v>
      </c>
      <c r="M4">
        <v>1</v>
      </c>
      <c r="R4" t="str">
        <f>IF($U$2=TRUE,$W$2&amp;". Команда алгоритма включить\отключить","Команда алгоритма включить\отключить")</f>
        <v>ГП 50. Сигнал в СКУД "Пожар обобщенный". Команда алгоритма включить\отключить</v>
      </c>
      <c r="S4" s="372"/>
      <c r="U4" s="773"/>
      <c r="V4" s="4"/>
      <c r="W4" s="773"/>
      <c r="X4" s="4"/>
    </row>
    <row r="5" spans="1:29">
      <c r="A5" t="str">
        <f>SUBSTITUTE($V$2,"\","|")&amp;"|COON"</f>
        <v>TO_SKUD_GP050_XFRX|COON</v>
      </c>
      <c r="B5" t="s">
        <v>74</v>
      </c>
      <c r="F5" t="s">
        <v>72</v>
      </c>
      <c r="G5" t="s">
        <v>71</v>
      </c>
      <c r="H5">
        <v>0</v>
      </c>
      <c r="I5" t="s">
        <v>76</v>
      </c>
      <c r="J5" t="s">
        <v>73</v>
      </c>
      <c r="K5">
        <v>0</v>
      </c>
      <c r="M5">
        <v>1</v>
      </c>
      <c r="R5" t="str">
        <f>IF($U$2=TRUE,$W$2&amp;". Команда оператора включить\отключить","Команда оператора включить\отключить")</f>
        <v>ГП 50. Сигнал в СКУД "Пожар обобщенный". Команда оператора включить\отключить</v>
      </c>
      <c r="S5" s="372"/>
      <c r="U5" s="773"/>
      <c r="V5" s="4"/>
      <c r="W5" s="773"/>
      <c r="X5" s="4"/>
    </row>
    <row r="6" spans="1:29">
      <c r="A6" t="str">
        <f>SUBSTITUTE($V$2,"\","|")&amp;"|CRPX"</f>
        <v>TO_SKUD_GP050_XFRX|CRPX</v>
      </c>
      <c r="B6" t="s">
        <v>74</v>
      </c>
      <c r="F6" t="s">
        <v>72</v>
      </c>
      <c r="G6" t="s">
        <v>71</v>
      </c>
      <c r="H6">
        <v>0</v>
      </c>
      <c r="I6" t="s">
        <v>76</v>
      </c>
      <c r="J6" t="s">
        <v>73</v>
      </c>
      <c r="K6">
        <v>0</v>
      </c>
      <c r="M6">
        <v>1</v>
      </c>
      <c r="R6" t="str">
        <f>IF($U$2=TRUE,$W$2&amp;". Команда оператора вывести в ремонт","Команда оператора вывести в ремонт")</f>
        <v>ГП 50. Сигнал в СКУД "Пожар обобщенный". Команда оператора вывести в ремонт</v>
      </c>
      <c r="S6" s="372"/>
      <c r="U6" s="773"/>
      <c r="V6" s="4"/>
      <c r="W6" s="773"/>
      <c r="X6" s="4"/>
    </row>
    <row r="7" spans="1:29">
      <c r="A7" t="str">
        <f>SUBSTITUTE($V$2,"\","|")&amp;"|DVXX"</f>
        <v>TO_SKUD_GP050_XFRX|DVXX</v>
      </c>
      <c r="B7" t="s">
        <v>74</v>
      </c>
      <c r="F7" t="s">
        <v>72</v>
      </c>
      <c r="G7" t="s">
        <v>71</v>
      </c>
      <c r="H7">
        <v>0</v>
      </c>
      <c r="I7" t="s">
        <v>72</v>
      </c>
      <c r="J7" t="s">
        <v>69</v>
      </c>
      <c r="K7">
        <v>0</v>
      </c>
      <c r="M7">
        <v>1</v>
      </c>
      <c r="R7" t="str">
        <f>IF($U$2=TRUE,$W$2&amp;". Аппаратная неисправность","Аппаратная неисправность")</f>
        <v>ГП 50. Сигнал в СКУД "Пожар обобщенный". Аппаратная неисправность</v>
      </c>
      <c r="S7" s="372"/>
      <c r="U7" s="773"/>
      <c r="V7" s="4"/>
      <c r="W7" s="773"/>
      <c r="X7" s="4"/>
    </row>
    <row r="8" spans="1:29">
      <c r="A8" t="str">
        <f>SUBSTITUTE($V$2,"\","|")&amp;"|OXON"</f>
        <v>TO_SKUD_GP050_XFRX|OXON</v>
      </c>
      <c r="B8" t="s">
        <v>74</v>
      </c>
      <c r="F8" t="s">
        <v>72</v>
      </c>
      <c r="G8" t="s">
        <v>71</v>
      </c>
      <c r="H8">
        <v>0</v>
      </c>
      <c r="I8" t="s">
        <v>72</v>
      </c>
      <c r="J8" t="s">
        <v>69</v>
      </c>
      <c r="K8">
        <v>0</v>
      </c>
      <c r="M8">
        <v>1</v>
      </c>
      <c r="R8" t="str">
        <f>IF($U$2=TRUE,$W$2&amp;". Выходное значение для алгоритмов и поля","Выходное значение для алгоритмов и поля")</f>
        <v>ГП 50. Сигнал в СКУД "Пожар обобщенный". Выходное значение для алгоритмов и поля</v>
      </c>
      <c r="S8" s="372"/>
      <c r="U8" s="773"/>
      <c r="V8" s="4"/>
      <c r="W8" s="773"/>
      <c r="X8" s="4"/>
    </row>
    <row r="9" spans="1:29">
      <c r="A9" t="str">
        <f>SUBSTITUTE($V$2,"\","|")&amp;"|XRPX"</f>
        <v>TO_SKUD_GP050_XFRX|XRPX</v>
      </c>
      <c r="B9" t="s">
        <v>74</v>
      </c>
      <c r="F9" t="s">
        <v>72</v>
      </c>
      <c r="G9" t="s">
        <v>71</v>
      </c>
      <c r="H9">
        <v>0</v>
      </c>
      <c r="I9" t="s">
        <v>72</v>
      </c>
      <c r="J9" t="s">
        <v>69</v>
      </c>
      <c r="K9">
        <v>0</v>
      </c>
      <c r="M9">
        <v>1</v>
      </c>
      <c r="R9" t="str">
        <f>IF($U$2=TRUE,$W$2&amp;". Выходное значение Выведен в ремонт","Выходное значение Выведен в ремонт")</f>
        <v>ГП 50. Сигнал в СКУД "Пожар обобщенный". Выходное значение Выведен в ремонт</v>
      </c>
      <c r="S9" s="372"/>
      <c r="U9" s="773"/>
      <c r="V9" s="4"/>
      <c r="W9" s="773"/>
      <c r="X9" s="4"/>
    </row>
    <row r="10" spans="1:29">
      <c r="W10" s="4"/>
    </row>
    <row r="15" spans="1:29">
      <c r="A15" s="4"/>
      <c r="B15" s="4"/>
      <c r="F15" s="4"/>
      <c r="G15" s="4"/>
      <c r="H15" s="4"/>
      <c r="I15" s="4"/>
      <c r="J15" s="4"/>
      <c r="K15" s="4"/>
      <c r="M15" s="4"/>
    </row>
    <row r="25" spans="1:13">
      <c r="A25" s="4"/>
      <c r="B25" s="4"/>
      <c r="F25" s="4"/>
      <c r="G25" s="4"/>
      <c r="H25" s="4"/>
      <c r="I25" s="4"/>
      <c r="J25" s="4"/>
      <c r="K25" s="4"/>
      <c r="M25" s="4"/>
    </row>
    <row r="26" spans="1:13">
      <c r="A26" s="4"/>
      <c r="B26" s="4"/>
      <c r="F26" s="4"/>
      <c r="G26" s="4"/>
      <c r="H26" s="4"/>
      <c r="I26" s="4"/>
      <c r="J26" s="4"/>
      <c r="K26" s="4"/>
      <c r="M26" s="4"/>
    </row>
    <row r="27" spans="1:13">
      <c r="A27" s="4"/>
      <c r="B27" s="4"/>
      <c r="F27" s="4"/>
      <c r="G27" s="4"/>
      <c r="H27" s="4"/>
      <c r="I27" s="4"/>
      <c r="J27" s="4"/>
      <c r="K27" s="4"/>
      <c r="M27" s="4"/>
    </row>
    <row r="28" spans="1:13">
      <c r="A28" s="4"/>
      <c r="B28" s="4"/>
      <c r="F28" s="4"/>
      <c r="G28" s="4"/>
      <c r="H28" s="4"/>
      <c r="I28" s="4"/>
      <c r="J28" s="4"/>
      <c r="K28" s="4"/>
      <c r="M28" s="4"/>
    </row>
    <row r="29" spans="1:13">
      <c r="A29" s="4"/>
      <c r="B29" s="4"/>
      <c r="F29" s="4"/>
      <c r="G29" s="4"/>
      <c r="H29" s="4"/>
      <c r="I29" s="4"/>
      <c r="J29" s="4"/>
      <c r="K29" s="4"/>
      <c r="M29" s="4"/>
    </row>
    <row r="30" spans="1:13">
      <c r="A30" s="4"/>
      <c r="B30" s="4"/>
      <c r="F30" s="4"/>
      <c r="G30" s="4"/>
      <c r="H30" s="4"/>
      <c r="I30" s="4"/>
      <c r="J30" s="4"/>
      <c r="K30" s="4"/>
      <c r="M30" s="4"/>
    </row>
    <row r="31" spans="1:13">
      <c r="A31" s="4"/>
      <c r="B31" s="4"/>
      <c r="F31" s="4"/>
      <c r="G31" s="4"/>
      <c r="H31" s="4"/>
      <c r="I31" s="4"/>
      <c r="J31" s="4"/>
      <c r="K31" s="4"/>
      <c r="M31" s="4"/>
    </row>
    <row r="32" spans="1:13">
      <c r="A32" s="4"/>
      <c r="B32" s="4"/>
      <c r="F32" s="4"/>
      <c r="G32" s="4"/>
      <c r="H32" s="4"/>
      <c r="I32" s="4"/>
      <c r="J32" s="4"/>
      <c r="K32" s="4"/>
      <c r="M32" s="4"/>
    </row>
    <row r="33" spans="1:23">
      <c r="A33" s="4"/>
      <c r="B33" s="4"/>
      <c r="F33" s="4"/>
      <c r="G33" s="4"/>
      <c r="H33" s="4"/>
      <c r="I33" s="4"/>
      <c r="J33" s="4"/>
      <c r="K33" s="4"/>
      <c r="M33" s="4"/>
    </row>
    <row r="34" spans="1:23">
      <c r="A34" s="4"/>
      <c r="B34" s="4"/>
      <c r="F34" s="4"/>
      <c r="G34" s="4"/>
      <c r="H34" s="4"/>
      <c r="I34" s="4"/>
      <c r="J34" s="4"/>
      <c r="K34" s="4"/>
      <c r="M34" s="4"/>
    </row>
    <row r="35" spans="1:23">
      <c r="A35" s="4"/>
      <c r="B35" s="4"/>
      <c r="F35" s="4"/>
      <c r="G35" s="4"/>
      <c r="H35" s="4"/>
      <c r="I35" s="4"/>
      <c r="J35" s="4"/>
      <c r="K35" s="4"/>
      <c r="M35" s="4"/>
    </row>
    <row r="36" spans="1:23">
      <c r="A36" s="4"/>
      <c r="B36" s="4"/>
      <c r="F36" s="4"/>
      <c r="G36" s="4"/>
      <c r="H36" s="4"/>
      <c r="I36" s="4"/>
      <c r="J36" s="4"/>
      <c r="K36" s="4"/>
      <c r="M36" s="4"/>
    </row>
    <row r="37" spans="1:23">
      <c r="A37" s="4"/>
      <c r="B37" s="4"/>
      <c r="F37" s="4"/>
      <c r="G37" s="4"/>
      <c r="H37" s="4"/>
      <c r="I37" s="4"/>
      <c r="J37" s="4"/>
      <c r="K37" s="4"/>
      <c r="M37" s="4"/>
    </row>
    <row r="40" spans="1:23">
      <c r="W40" s="4"/>
    </row>
    <row r="41" spans="1:23">
      <c r="W41" s="4"/>
    </row>
    <row r="42" spans="1:23">
      <c r="W42" s="4"/>
    </row>
    <row r="43" spans="1:23">
      <c r="W43" s="4"/>
    </row>
    <row r="44" spans="1:23">
      <c r="W44" s="4"/>
    </row>
    <row r="45" spans="1:23">
      <c r="W45" s="4"/>
    </row>
    <row r="46" spans="1:23">
      <c r="W46" s="4"/>
    </row>
    <row r="47" spans="1:23">
      <c r="W47" s="4"/>
    </row>
    <row r="48" spans="1:23">
      <c r="W48" s="4"/>
    </row>
    <row r="49" spans="23:23">
      <c r="W49" s="4"/>
    </row>
  </sheetData>
  <pageMargins left="0.7" right="0.7" top="0.75" bottom="0.75" header="0.3" footer="0.3"/>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sheetPr codeName="Лист40">
    <tabColor rgb="FF92D050"/>
  </sheetPr>
  <dimension ref="A1:AD49"/>
  <sheetViews>
    <sheetView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88671875"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5546875" customWidth="1"/>
    <col min="19" max="20" width="9.109375" customWidth="1"/>
    <col min="21" max="21" width="34" bestFit="1" customWidth="1"/>
    <col min="22" max="22" width="16.6640625" customWidth="1"/>
    <col min="23" max="23" width="30" customWidth="1"/>
    <col min="24" max="29" width="16.6640625" customWidth="1"/>
  </cols>
  <sheetData>
    <row r="1" spans="1:30">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c r="AD1" s="54" t="s">
        <v>825</v>
      </c>
    </row>
    <row r="2" spans="1:30" ht="15" customHeight="1">
      <c r="A2" s="10"/>
      <c r="B2" s="10"/>
      <c r="F2" s="10"/>
      <c r="G2" s="10"/>
      <c r="H2" s="10"/>
      <c r="I2" s="10"/>
      <c r="J2" s="10"/>
      <c r="K2" s="10"/>
      <c r="M2" s="10"/>
      <c r="N2" s="10"/>
      <c r="O2" s="10"/>
      <c r="P2" s="10"/>
      <c r="Q2" s="10"/>
      <c r="R2" s="10"/>
      <c r="U2" s="74" t="b">
        <f>Настройки!$M$34</f>
        <v>1</v>
      </c>
      <c r="V2" s="73" t="s">
        <v>1204</v>
      </c>
      <c r="W2" s="537" t="s">
        <v>1203</v>
      </c>
      <c r="X2" s="73"/>
      <c r="Y2" s="73"/>
      <c r="Z2" s="73"/>
      <c r="AA2" s="74"/>
      <c r="AB2" s="74"/>
      <c r="AC2" s="74">
        <v>1</v>
      </c>
      <c r="AD2" s="2">
        <v>9</v>
      </c>
    </row>
    <row r="3" spans="1:30">
      <c r="A3" t="str">
        <f>SUBSTITUTE($V$2,"\","|")&amp;"|IVXX"</f>
        <v>MUPS_1|IVXX</v>
      </c>
      <c r="B3" t="s">
        <v>1192</v>
      </c>
      <c r="C3" t="s">
        <v>1193</v>
      </c>
      <c r="D3" t="s">
        <v>78</v>
      </c>
      <c r="E3">
        <v>0</v>
      </c>
      <c r="G3" t="s">
        <v>71</v>
      </c>
      <c r="I3" t="s">
        <v>72</v>
      </c>
      <c r="J3" t="s">
        <v>74</v>
      </c>
      <c r="S3" s="372"/>
      <c r="U3" s="773"/>
      <c r="V3" s="4"/>
      <c r="W3" s="773"/>
      <c r="X3" s="4"/>
    </row>
    <row r="4" spans="1:30">
      <c r="A4" t="str">
        <f>SUBSTITUTE($V$2,"\","|")&amp;"|IVXX[0]"</f>
        <v>MUPS_1|IVXX[0]</v>
      </c>
      <c r="B4" t="s">
        <v>78</v>
      </c>
      <c r="F4">
        <v>0</v>
      </c>
      <c r="G4" t="s">
        <v>71</v>
      </c>
      <c r="H4">
        <v>0</v>
      </c>
      <c r="I4" t="s">
        <v>72</v>
      </c>
      <c r="J4" t="s">
        <v>74</v>
      </c>
      <c r="K4" s="52">
        <f>$AC$2</f>
        <v>1</v>
      </c>
      <c r="W4" s="4"/>
    </row>
    <row r="5" spans="1:30">
      <c r="A5" t="str">
        <f>SUBSTITUTE($V$2,"\","|")&amp;"|IVXX[1]"</f>
        <v>MUPS_1|IVXX[1]</v>
      </c>
      <c r="B5" t="s">
        <v>78</v>
      </c>
      <c r="F5">
        <v>0</v>
      </c>
      <c r="G5" t="s">
        <v>71</v>
      </c>
      <c r="H5">
        <v>0</v>
      </c>
      <c r="I5" t="s">
        <v>72</v>
      </c>
      <c r="J5" t="s">
        <v>74</v>
      </c>
      <c r="K5" s="52">
        <f>K4+1</f>
        <v>2</v>
      </c>
    </row>
    <row r="6" spans="1:30">
      <c r="A6" t="str">
        <f>SUBSTITUTE($V$2,"\","|")&amp;"|IVXX[2]"</f>
        <v>MUPS_1|IVXX[2]</v>
      </c>
      <c r="B6" t="s">
        <v>78</v>
      </c>
      <c r="F6">
        <v>0</v>
      </c>
      <c r="G6" t="s">
        <v>71</v>
      </c>
      <c r="H6">
        <v>0</v>
      </c>
      <c r="I6" t="s">
        <v>72</v>
      </c>
      <c r="J6" t="s">
        <v>74</v>
      </c>
      <c r="K6" s="52">
        <f t="shared" ref="K6:K11" si="0">K5+1</f>
        <v>3</v>
      </c>
    </row>
    <row r="7" spans="1:30">
      <c r="A7" t="str">
        <f>SUBSTITUTE($V$2,"\","|")&amp;"|IVXX[3]"</f>
        <v>MUPS_1|IVXX[3]</v>
      </c>
      <c r="B7" t="s">
        <v>78</v>
      </c>
      <c r="F7">
        <v>0</v>
      </c>
      <c r="G7" t="s">
        <v>71</v>
      </c>
      <c r="H7">
        <v>0</v>
      </c>
      <c r="I7" t="s">
        <v>72</v>
      </c>
      <c r="J7" t="s">
        <v>74</v>
      </c>
      <c r="K7" s="52">
        <f t="shared" si="0"/>
        <v>4</v>
      </c>
    </row>
    <row r="8" spans="1:30">
      <c r="A8" t="str">
        <f>SUBSTITUTE($V$2,"\","|")&amp;"|IVXX[4]"</f>
        <v>MUPS_1|IVXX[4]</v>
      </c>
      <c r="B8" t="s">
        <v>78</v>
      </c>
      <c r="F8">
        <v>0</v>
      </c>
      <c r="G8" t="s">
        <v>71</v>
      </c>
      <c r="H8">
        <v>0</v>
      </c>
      <c r="I8" t="s">
        <v>72</v>
      </c>
      <c r="J8" t="s">
        <v>74</v>
      </c>
      <c r="K8" s="52">
        <f t="shared" si="0"/>
        <v>5</v>
      </c>
    </row>
    <row r="9" spans="1:30">
      <c r="A9" t="str">
        <f>SUBSTITUTE($V$2,"\","|")&amp;"|IVXX[5]"</f>
        <v>MUPS_1|IVXX[5]</v>
      </c>
      <c r="B9" t="s">
        <v>78</v>
      </c>
      <c r="F9">
        <v>0</v>
      </c>
      <c r="G9" t="s">
        <v>71</v>
      </c>
      <c r="H9">
        <v>0</v>
      </c>
      <c r="I9" t="s">
        <v>72</v>
      </c>
      <c r="J9" t="s">
        <v>74</v>
      </c>
      <c r="K9" s="52">
        <f t="shared" si="0"/>
        <v>6</v>
      </c>
    </row>
    <row r="10" spans="1:30">
      <c r="A10" t="str">
        <f>SUBSTITUTE($V$2,"\","|")&amp;"|IVXX[6]"</f>
        <v>MUPS_1|IVXX[6]</v>
      </c>
      <c r="B10" t="s">
        <v>78</v>
      </c>
      <c r="F10">
        <v>0</v>
      </c>
      <c r="G10" t="s">
        <v>71</v>
      </c>
      <c r="H10">
        <v>0</v>
      </c>
      <c r="I10" t="s">
        <v>72</v>
      </c>
      <c r="J10" t="s">
        <v>74</v>
      </c>
      <c r="K10" s="52">
        <f t="shared" si="0"/>
        <v>7</v>
      </c>
      <c r="W10" s="4"/>
    </row>
    <row r="11" spans="1:30">
      <c r="A11" t="str">
        <f>SUBSTITUTE($V$2,"\","|")&amp;"|IVXX[7]"</f>
        <v>MUPS_1|IVXX[7]</v>
      </c>
      <c r="B11" t="s">
        <v>78</v>
      </c>
      <c r="F11">
        <v>0</v>
      </c>
      <c r="G11" t="s">
        <v>71</v>
      </c>
      <c r="H11">
        <v>0</v>
      </c>
      <c r="I11" t="s">
        <v>72</v>
      </c>
      <c r="J11" t="s">
        <v>74</v>
      </c>
      <c r="K11" s="52">
        <f t="shared" si="0"/>
        <v>8</v>
      </c>
    </row>
    <row r="12" spans="1:30">
      <c r="A12" t="str">
        <f>SUBSTITUTE($V$2,"\","|")&amp;"|OCCH"</f>
        <v>MUPS_1|OCCH</v>
      </c>
      <c r="B12" t="s">
        <v>1192</v>
      </c>
      <c r="C12" t="s">
        <v>1193</v>
      </c>
      <c r="D12" t="s">
        <v>78</v>
      </c>
      <c r="E12">
        <v>0</v>
      </c>
      <c r="G12" t="s">
        <v>71</v>
      </c>
      <c r="I12" t="s">
        <v>72</v>
      </c>
      <c r="J12" t="s">
        <v>74</v>
      </c>
    </row>
    <row r="13" spans="1:30">
      <c r="A13" t="str">
        <f>SUBSTITUTE($V$2,"\","|")&amp;"|OCCH[0]"</f>
        <v>MUPS_1|OCCH[0]</v>
      </c>
      <c r="B13" t="s">
        <v>78</v>
      </c>
      <c r="F13">
        <v>0</v>
      </c>
      <c r="G13" t="s">
        <v>71</v>
      </c>
      <c r="H13">
        <v>0</v>
      </c>
      <c r="I13" t="s">
        <v>72</v>
      </c>
      <c r="J13" t="s">
        <v>74</v>
      </c>
      <c r="K13" s="52">
        <f>$AD$2</f>
        <v>9</v>
      </c>
    </row>
    <row r="14" spans="1:30">
      <c r="A14" t="str">
        <f>SUBSTITUTE($V$2,"\","|")&amp;"|OCCH[1]"</f>
        <v>MUPS_1|OCCH[1]</v>
      </c>
      <c r="B14" t="s">
        <v>78</v>
      </c>
      <c r="F14">
        <v>0</v>
      </c>
      <c r="G14" t="s">
        <v>71</v>
      </c>
      <c r="H14">
        <v>0</v>
      </c>
      <c r="I14" t="s">
        <v>72</v>
      </c>
      <c r="J14" t="s">
        <v>74</v>
      </c>
      <c r="K14" s="52">
        <f t="shared" ref="K14:K20" si="1">K13+1</f>
        <v>10</v>
      </c>
    </row>
    <row r="15" spans="1:30">
      <c r="A15" t="str">
        <f>SUBSTITUTE($V$2,"\","|")&amp;"|OCCH[2]"</f>
        <v>MUPS_1|OCCH[2]</v>
      </c>
      <c r="B15" t="s">
        <v>78</v>
      </c>
      <c r="F15">
        <v>0</v>
      </c>
      <c r="G15" t="s">
        <v>71</v>
      </c>
      <c r="H15">
        <v>0</v>
      </c>
      <c r="I15" t="s">
        <v>72</v>
      </c>
      <c r="J15" t="s">
        <v>74</v>
      </c>
      <c r="K15" s="52">
        <f t="shared" si="1"/>
        <v>11</v>
      </c>
    </row>
    <row r="16" spans="1:30">
      <c r="A16" t="str">
        <f>SUBSTITUTE($V$2,"\","|")&amp;"|OCCH[3]"</f>
        <v>MUPS_1|OCCH[3]</v>
      </c>
      <c r="B16" t="s">
        <v>78</v>
      </c>
      <c r="F16">
        <v>0</v>
      </c>
      <c r="G16" t="s">
        <v>71</v>
      </c>
      <c r="H16">
        <v>0</v>
      </c>
      <c r="I16" t="s">
        <v>72</v>
      </c>
      <c r="J16" t="s">
        <v>74</v>
      </c>
      <c r="K16" s="52">
        <f t="shared" si="1"/>
        <v>12</v>
      </c>
    </row>
    <row r="17" spans="1:13">
      <c r="A17" t="str">
        <f>SUBSTITUTE($V$2,"\","|")&amp;"|OCCH[4]"</f>
        <v>MUPS_1|OCCH[4]</v>
      </c>
      <c r="B17" t="s">
        <v>78</v>
      </c>
      <c r="F17">
        <v>0</v>
      </c>
      <c r="G17" t="s">
        <v>71</v>
      </c>
      <c r="H17">
        <v>0</v>
      </c>
      <c r="I17" t="s">
        <v>72</v>
      </c>
      <c r="J17" t="s">
        <v>74</v>
      </c>
      <c r="K17" s="52">
        <f t="shared" si="1"/>
        <v>13</v>
      </c>
    </row>
    <row r="18" spans="1:13">
      <c r="A18" t="str">
        <f>SUBSTITUTE($V$2,"\","|")&amp;"|OCCH[5]"</f>
        <v>MUPS_1|OCCH[5]</v>
      </c>
      <c r="B18" t="s">
        <v>78</v>
      </c>
      <c r="F18">
        <v>0</v>
      </c>
      <c r="G18" t="s">
        <v>71</v>
      </c>
      <c r="H18">
        <v>0</v>
      </c>
      <c r="I18" t="s">
        <v>72</v>
      </c>
      <c r="J18" t="s">
        <v>74</v>
      </c>
      <c r="K18" s="52">
        <f t="shared" si="1"/>
        <v>14</v>
      </c>
    </row>
    <row r="19" spans="1:13">
      <c r="A19" t="str">
        <f>SUBSTITUTE($V$2,"\","|")&amp;"|OCCH[6]"</f>
        <v>MUPS_1|OCCH[6]</v>
      </c>
      <c r="B19" t="s">
        <v>78</v>
      </c>
      <c r="F19">
        <v>0</v>
      </c>
      <c r="G19" t="s">
        <v>71</v>
      </c>
      <c r="H19">
        <v>0</v>
      </c>
      <c r="I19" t="s">
        <v>72</v>
      </c>
      <c r="J19" t="s">
        <v>74</v>
      </c>
      <c r="K19" s="52">
        <f t="shared" si="1"/>
        <v>15</v>
      </c>
    </row>
    <row r="20" spans="1:13">
      <c r="A20" t="str">
        <f>SUBSTITUTE($V$2,"\","|")&amp;"|OCCH[7]"</f>
        <v>MUPS_1|OCCH[7]</v>
      </c>
      <c r="B20" t="s">
        <v>78</v>
      </c>
      <c r="F20">
        <v>0</v>
      </c>
      <c r="G20" t="s">
        <v>71</v>
      </c>
      <c r="H20">
        <v>0</v>
      </c>
      <c r="I20" t="s">
        <v>72</v>
      </c>
      <c r="J20" t="s">
        <v>74</v>
      </c>
      <c r="K20" s="52">
        <f t="shared" si="1"/>
        <v>16</v>
      </c>
    </row>
    <row r="21" spans="1:13">
      <c r="A21" t="str">
        <f>SUBSTITUTE($V$2,"\","|")&amp;"|DVXX"</f>
        <v>MUPS_1|DVXX</v>
      </c>
      <c r="B21" t="s">
        <v>74</v>
      </c>
      <c r="F21" t="s">
        <v>72</v>
      </c>
      <c r="G21" t="s">
        <v>71</v>
      </c>
      <c r="H21">
        <v>0</v>
      </c>
      <c r="I21" t="s">
        <v>72</v>
      </c>
      <c r="J21" t="s">
        <v>69</v>
      </c>
    </row>
    <row r="25" spans="1:13">
      <c r="A25" s="4"/>
      <c r="B25" s="4"/>
      <c r="F25" s="4"/>
      <c r="G25" s="4"/>
      <c r="H25" s="4"/>
      <c r="I25" s="4"/>
      <c r="J25" s="4"/>
      <c r="K25" s="4"/>
      <c r="M25" s="4"/>
    </row>
    <row r="26" spans="1:13">
      <c r="A26" s="4"/>
      <c r="B26" s="4"/>
      <c r="F26" s="4"/>
      <c r="G26" s="4"/>
      <c r="H26" s="4"/>
      <c r="I26" s="4"/>
      <c r="J26" s="4"/>
      <c r="K26" s="4"/>
      <c r="M26" s="4"/>
    </row>
    <row r="27" spans="1:13">
      <c r="A27" s="4"/>
      <c r="B27" s="4"/>
      <c r="F27" s="4"/>
      <c r="G27" s="4"/>
      <c r="H27" s="4"/>
      <c r="I27" s="4"/>
      <c r="J27" s="4"/>
      <c r="K27" s="4"/>
      <c r="M27" s="4"/>
    </row>
    <row r="28" spans="1:13">
      <c r="A28" s="4"/>
      <c r="B28" s="4"/>
      <c r="F28" s="4"/>
      <c r="G28" s="4"/>
      <c r="H28" s="4"/>
      <c r="I28" s="4"/>
      <c r="J28" s="4"/>
      <c r="K28" s="4"/>
      <c r="M28" s="4"/>
    </row>
    <row r="29" spans="1:13">
      <c r="A29" s="4"/>
      <c r="B29" s="4"/>
      <c r="F29" s="4"/>
      <c r="G29" s="4"/>
      <c r="H29" s="4"/>
      <c r="I29" s="4"/>
      <c r="J29" s="4"/>
      <c r="K29" s="4"/>
      <c r="M29" s="4"/>
    </row>
    <row r="30" spans="1:13">
      <c r="A30" s="4"/>
      <c r="B30" s="4"/>
      <c r="F30" s="4"/>
      <c r="G30" s="4"/>
      <c r="H30" s="4"/>
      <c r="I30" s="4"/>
      <c r="J30" s="4"/>
      <c r="K30" s="4"/>
      <c r="M30" s="4"/>
    </row>
    <row r="31" spans="1:13">
      <c r="A31" s="4"/>
      <c r="B31" s="4"/>
      <c r="F31" s="4"/>
      <c r="G31" s="4"/>
      <c r="H31" s="4"/>
      <c r="I31" s="4"/>
      <c r="J31" s="4"/>
      <c r="K31" s="4"/>
      <c r="M31" s="4"/>
    </row>
    <row r="32" spans="1:13">
      <c r="A32" s="4"/>
      <c r="B32" s="4"/>
      <c r="F32" s="4"/>
      <c r="G32" s="4"/>
      <c r="H32" s="4"/>
      <c r="I32" s="4"/>
      <c r="J32" s="4"/>
      <c r="K32" s="4"/>
      <c r="M32" s="4"/>
    </row>
    <row r="33" spans="1:23">
      <c r="A33" s="4"/>
      <c r="B33" s="4"/>
      <c r="F33" s="4"/>
      <c r="G33" s="4"/>
      <c r="H33" s="4"/>
      <c r="I33" s="4"/>
      <c r="J33" s="4"/>
      <c r="K33" s="4"/>
      <c r="M33" s="4"/>
    </row>
    <row r="34" spans="1:23">
      <c r="A34" s="4"/>
      <c r="B34" s="4"/>
      <c r="F34" s="4"/>
      <c r="G34" s="4"/>
      <c r="H34" s="4"/>
      <c r="I34" s="4"/>
      <c r="J34" s="4"/>
      <c r="K34" s="4"/>
      <c r="M34" s="4"/>
    </row>
    <row r="35" spans="1:23">
      <c r="A35" s="4"/>
      <c r="B35" s="4"/>
      <c r="F35" s="4"/>
      <c r="G35" s="4"/>
      <c r="H35" s="4"/>
      <c r="I35" s="4"/>
      <c r="J35" s="4"/>
      <c r="K35" s="4"/>
      <c r="M35" s="4"/>
    </row>
    <row r="36" spans="1:23">
      <c r="A36" s="4"/>
      <c r="B36" s="4"/>
      <c r="F36" s="4"/>
      <c r="G36" s="4"/>
      <c r="H36" s="4"/>
      <c r="I36" s="4"/>
      <c r="J36" s="4"/>
      <c r="K36" s="4"/>
      <c r="M36" s="4"/>
    </row>
    <row r="37" spans="1:23">
      <c r="A37" s="4"/>
      <c r="B37" s="4"/>
      <c r="F37" s="4"/>
      <c r="G37" s="4"/>
      <c r="H37" s="4"/>
      <c r="I37" s="4"/>
      <c r="J37" s="4"/>
      <c r="K37" s="4"/>
      <c r="M37" s="4"/>
    </row>
    <row r="40" spans="1:23">
      <c r="W40" s="4"/>
    </row>
    <row r="41" spans="1:23">
      <c r="W41" s="4"/>
    </row>
    <row r="42" spans="1:23">
      <c r="W42" s="4"/>
    </row>
    <row r="43" spans="1:23">
      <c r="W43" s="4"/>
    </row>
    <row r="44" spans="1:23">
      <c r="W44" s="4"/>
    </row>
    <row r="45" spans="1:23">
      <c r="W45" s="4"/>
    </row>
    <row r="46" spans="1:23">
      <c r="W46" s="4"/>
    </row>
    <row r="47" spans="1:23">
      <c r="W47" s="4"/>
    </row>
    <row r="48" spans="1:23">
      <c r="W48" s="4"/>
    </row>
    <row r="49" spans="23:23">
      <c r="W49" s="4"/>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sheetPr codeName="Лист188">
    <tabColor rgb="FF92D050"/>
  </sheetPr>
  <dimension ref="A1:AC41"/>
  <sheetViews>
    <sheetView topLeftCell="I1"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15" customHeight="1">
      <c r="A2" s="10"/>
      <c r="B2" s="10"/>
      <c r="F2" s="10"/>
      <c r="G2" s="10"/>
      <c r="H2" s="10"/>
      <c r="I2" s="10"/>
      <c r="J2" s="10"/>
      <c r="K2" s="10"/>
      <c r="M2" s="10"/>
      <c r="N2" s="10"/>
      <c r="O2" s="10"/>
      <c r="P2" s="10"/>
      <c r="Q2" s="10"/>
      <c r="R2" s="10"/>
      <c r="U2" s="74" t="b">
        <f>Настройки!$M$34</f>
        <v>1</v>
      </c>
      <c r="V2" s="73" t="s">
        <v>1867</v>
      </c>
      <c r="W2" s="537" t="s">
        <v>696</v>
      </c>
      <c r="X2" s="73"/>
      <c r="Y2" s="73"/>
      <c r="Z2" s="73"/>
      <c r="AA2" s="74"/>
      <c r="AB2" s="74"/>
      <c r="AC2" s="74"/>
    </row>
    <row r="3" spans="1:29">
      <c r="A3" t="str">
        <f>SUBSTITUTE($V$2,"\","|")&amp;"|COBN"</f>
        <v>FB_HA_UPI_S|COBN</v>
      </c>
      <c r="B3" t="s">
        <v>74</v>
      </c>
      <c r="F3" t="s">
        <v>72</v>
      </c>
      <c r="G3" t="s">
        <v>71</v>
      </c>
      <c r="H3">
        <v>0</v>
      </c>
      <c r="I3" t="s">
        <v>72</v>
      </c>
      <c r="J3" t="s">
        <v>73</v>
      </c>
      <c r="K3">
        <v>0</v>
      </c>
      <c r="M3">
        <v>1</v>
      </c>
      <c r="R3" t="str">
        <f>IF($U$2=TRUE,$W$2&amp;". Команда на блокировку звукового оповещения УПИ с АРМ","Команда на блокировку звукового оповещения УПИ с АРМ")</f>
        <v>Сбор обобщенных сигналов c датчиков по позиции. Команда на блокировку звукового оповещения УПИ с АРМ</v>
      </c>
      <c r="S3" s="372"/>
      <c r="U3" s="773"/>
      <c r="V3" s="4"/>
      <c r="W3" s="773"/>
      <c r="X3" s="4"/>
    </row>
    <row r="4" spans="1:29">
      <c r="A4" t="str">
        <f>SUBSTITUTE($V$2,"\","|")&amp;"|COOF"</f>
        <v>FB_HA_UPI_S|COOF</v>
      </c>
      <c r="B4" t="s">
        <v>74</v>
      </c>
      <c r="F4" t="s">
        <v>72</v>
      </c>
      <c r="G4" t="s">
        <v>71</v>
      </c>
      <c r="H4">
        <v>0</v>
      </c>
      <c r="I4" t="s">
        <v>72</v>
      </c>
      <c r="J4" t="s">
        <v>73</v>
      </c>
      <c r="K4">
        <v>0</v>
      </c>
      <c r="M4">
        <v>1</v>
      </c>
      <c r="R4" t="str">
        <f>IF($U$2=TRUE,$W$2&amp;". Команда на отключение звукового оповещения УПИ с АРМ","Команда на отключение звукового оповещения УПИ с АРМ")</f>
        <v>Сбор обобщенных сигналов c датчиков по позиции. Команда на отключение звукового оповещения УПИ с АРМ</v>
      </c>
      <c r="S4" s="372"/>
      <c r="U4" s="773"/>
      <c r="V4" s="4"/>
      <c r="W4" s="773"/>
      <c r="X4" s="4"/>
    </row>
    <row r="5" spans="1:29">
      <c r="A5" t="str">
        <f>SUBSTITUTE($V$2,"\","|")&amp;"|XBOX"</f>
        <v>FB_HA_UPI_S|XBOX</v>
      </c>
      <c r="B5" t="s">
        <v>74</v>
      </c>
      <c r="F5" t="s">
        <v>72</v>
      </c>
      <c r="G5" t="s">
        <v>71</v>
      </c>
      <c r="H5">
        <v>0</v>
      </c>
      <c r="I5" t="s">
        <v>72</v>
      </c>
      <c r="J5" t="s">
        <v>69</v>
      </c>
      <c r="K5">
        <v>0</v>
      </c>
      <c r="M5">
        <v>1</v>
      </c>
      <c r="R5" t="str">
        <f>IF($U$2=TRUE,$W$2&amp;". Нажата кнопка Отключить звук","Нажата кнопка Отключить звук")</f>
        <v>Сбор обобщенных сигналов c датчиков по позиции. Нажата кнопка Отключить звук</v>
      </c>
      <c r="S5" s="372"/>
      <c r="U5" s="773"/>
      <c r="V5" s="4"/>
      <c r="W5" s="773"/>
      <c r="X5" s="4"/>
    </row>
    <row r="6" spans="1:29">
      <c r="A6" t="str">
        <f>SUBSTITUTE($V$2,"\","|")&amp;"|XBTX"</f>
        <v>FB_HA_UPI_S|XBTX</v>
      </c>
      <c r="B6" t="s">
        <v>74</v>
      </c>
      <c r="F6" t="s">
        <v>72</v>
      </c>
      <c r="G6" t="s">
        <v>71</v>
      </c>
      <c r="H6">
        <v>0</v>
      </c>
      <c r="I6" t="s">
        <v>72</v>
      </c>
      <c r="J6" t="s">
        <v>69</v>
      </c>
      <c r="K6">
        <v>0</v>
      </c>
      <c r="M6">
        <v>1</v>
      </c>
      <c r="R6" t="str">
        <f>IF($U$2=TRUE,$W$2&amp;". Нажата кнопка Опробование сигнализации","Нажата кнопка Опробование сигнализации")</f>
        <v>Сбор обобщенных сигналов c датчиков по позиции. Нажата кнопка Опробование сигнализации</v>
      </c>
      <c r="S6" s="372"/>
      <c r="U6" s="773"/>
      <c r="V6" s="4"/>
      <c r="W6" s="773"/>
      <c r="X6" s="4"/>
    </row>
    <row r="7" spans="1:29">
      <c r="A7" t="str">
        <f>SUBSTITUTE($V$2,"\","|")&amp;"|XKOX"</f>
        <v>FB_HA_UPI_S|XKOX</v>
      </c>
      <c r="B7" t="s">
        <v>74</v>
      </c>
      <c r="F7" t="s">
        <v>72</v>
      </c>
      <c r="G7" t="s">
        <v>71</v>
      </c>
      <c r="H7">
        <v>0</v>
      </c>
      <c r="I7" t="s">
        <v>72</v>
      </c>
      <c r="J7" t="s">
        <v>69</v>
      </c>
      <c r="K7">
        <v>0</v>
      </c>
      <c r="M7">
        <v>1</v>
      </c>
      <c r="R7" t="str">
        <f>IF($U$2=TRUE,$W$2&amp;". Ключ доступа повернут","Ключ доступа повернут")</f>
        <v>Сбор обобщенных сигналов c датчиков по позиции. Ключ доступа повернут</v>
      </c>
      <c r="S7" s="372"/>
      <c r="U7" s="773"/>
      <c r="V7" s="4"/>
      <c r="W7" s="773"/>
      <c r="X7" s="4"/>
    </row>
    <row r="8" spans="1:29">
      <c r="A8" t="str">
        <f>SUBSTITUTE($V$2,"\","|")&amp;"|XRFD"</f>
        <v>FB_HA_UPI_S|XRFD</v>
      </c>
      <c r="B8" t="s">
        <v>78</v>
      </c>
      <c r="F8">
        <v>0</v>
      </c>
      <c r="G8" t="s">
        <v>71</v>
      </c>
      <c r="H8">
        <v>0</v>
      </c>
      <c r="I8" t="s">
        <v>72</v>
      </c>
      <c r="J8" t="s">
        <v>74</v>
      </c>
      <c r="K8">
        <v>0</v>
      </c>
      <c r="M8">
        <v>1</v>
      </c>
      <c r="R8" t="str">
        <f>IF($U$2=TRUE,$W$2&amp;". Счетчик Идет отсчет до запуска тушения","Счетчик Идет отсчет до запуска тушения")</f>
        <v>Сбор обобщенных сигналов c датчиков по позиции. Счетчик Идет отсчет до запуска тушения</v>
      </c>
      <c r="S8" s="372"/>
      <c r="U8" s="773"/>
      <c r="V8" s="4"/>
      <c r="W8" s="773"/>
      <c r="X8" s="4"/>
    </row>
    <row r="9" spans="1:29">
      <c r="A9" t="str">
        <f>SUBSTITUTE($V$2,"\","|")&amp;"|XRFN"</f>
        <v>FB_HA_UPI_S|XRFN</v>
      </c>
      <c r="B9" s="4" t="s">
        <v>78</v>
      </c>
      <c r="F9" s="4">
        <v>0</v>
      </c>
      <c r="G9" s="4" t="s">
        <v>71</v>
      </c>
      <c r="H9" s="4">
        <v>0</v>
      </c>
      <c r="I9" s="4" t="s">
        <v>72</v>
      </c>
      <c r="J9" s="4" t="s">
        <v>74</v>
      </c>
      <c r="K9" s="4">
        <v>0</v>
      </c>
      <c r="M9">
        <v>1</v>
      </c>
      <c r="R9" t="str">
        <f>IF($U$2=TRUE,$W$2&amp;". Счетчик Идет тушение","Счетчик Идет тушение")</f>
        <v>Сбор обобщенных сигналов c датчиков по позиции. Счетчик Идет тушение</v>
      </c>
      <c r="S9" s="372"/>
      <c r="U9" s="773"/>
      <c r="V9" s="4"/>
      <c r="W9" s="773"/>
      <c r="X9" s="4"/>
    </row>
    <row r="10" spans="1:29">
      <c r="A10" t="str">
        <f>SUBSTITUTE($V$2,"\","|")&amp;"|XRFR"</f>
        <v>FB_HA_UPI_S|XRFR</v>
      </c>
      <c r="B10" t="s">
        <v>78</v>
      </c>
      <c r="F10">
        <v>0</v>
      </c>
      <c r="G10" t="s">
        <v>71</v>
      </c>
      <c r="H10">
        <v>0</v>
      </c>
      <c r="I10" t="s">
        <v>72</v>
      </c>
      <c r="J10" t="s">
        <v>74</v>
      </c>
      <c r="K10">
        <v>0</v>
      </c>
      <c r="M10">
        <v>1</v>
      </c>
      <c r="R10" t="str">
        <f>IF($U$2=TRUE,$W$2&amp;". Счетчик Пожаров","Счетчик Пожаров")</f>
        <v>Сбор обобщенных сигналов c датчиков по позиции. Счетчик Пожаров</v>
      </c>
      <c r="S10" s="372"/>
      <c r="U10" s="773"/>
      <c r="V10" s="4"/>
      <c r="W10" s="773"/>
      <c r="X10" s="4"/>
    </row>
    <row r="11" spans="1:29">
      <c r="A11" t="str">
        <f>SUBSTITUTE($V$2,"\","|")&amp;"|XRFX"</f>
        <v>FB_HA_UPI_S|XRFX</v>
      </c>
      <c r="B11" t="s">
        <v>78</v>
      </c>
      <c r="F11">
        <v>0</v>
      </c>
      <c r="G11" t="s">
        <v>71</v>
      </c>
      <c r="H11">
        <v>0</v>
      </c>
      <c r="I11" t="s">
        <v>72</v>
      </c>
      <c r="J11" t="s">
        <v>74</v>
      </c>
      <c r="K11">
        <v>0</v>
      </c>
      <c r="M11">
        <v>1</v>
      </c>
      <c r="R11" t="str">
        <f>IF($U$2=TRUE,$W$2&amp;". Счетчик Неисправностей","Счетчик Неисправностей")</f>
        <v>Сбор обобщенных сигналов c датчиков по позиции. Счетчик Неисправностей</v>
      </c>
      <c r="S11" s="372"/>
      <c r="U11" s="773"/>
      <c r="V11" s="4"/>
      <c r="W11" s="773"/>
      <c r="X11" s="4"/>
    </row>
    <row r="12" spans="1:29">
      <c r="A12" t="str">
        <f>SUBSTITUTE($V$2,"\","|")&amp;"|XRT1"</f>
        <v>FB_HA_UPI_S|XRT1</v>
      </c>
      <c r="B12" t="s">
        <v>78</v>
      </c>
      <c r="F12">
        <v>0</v>
      </c>
      <c r="G12" t="s">
        <v>71</v>
      </c>
      <c r="H12">
        <v>0</v>
      </c>
      <c r="I12" t="s">
        <v>72</v>
      </c>
      <c r="J12" t="s">
        <v>74</v>
      </c>
      <c r="K12">
        <v>0</v>
      </c>
      <c r="M12">
        <v>1</v>
      </c>
      <c r="R12" t="str">
        <f>IF($U$2=TRUE,$W$2&amp;". Счетчик 1-х порогов","Счетчик 1-х порогов")</f>
        <v>Сбор обобщенных сигналов c датчиков по позиции. Счетчик 1-х порогов</v>
      </c>
      <c r="S12" s="372"/>
      <c r="U12" s="773"/>
      <c r="V12" s="4"/>
      <c r="W12" s="773"/>
      <c r="X12" s="4"/>
    </row>
    <row r="13" spans="1:29">
      <c r="A13" t="str">
        <f>SUBSTITUTE($V$2,"\","|")&amp;"|XRT2"</f>
        <v>FB_HA_UPI_S|XRT2</v>
      </c>
      <c r="B13" t="s">
        <v>78</v>
      </c>
      <c r="F13">
        <v>0</v>
      </c>
      <c r="G13" t="s">
        <v>71</v>
      </c>
      <c r="H13">
        <v>0</v>
      </c>
      <c r="I13" t="s">
        <v>72</v>
      </c>
      <c r="J13" t="s">
        <v>74</v>
      </c>
      <c r="K13">
        <v>0</v>
      </c>
      <c r="M13">
        <v>1</v>
      </c>
      <c r="R13" t="str">
        <f>IF($U$2=TRUE,$W$2&amp;". Счетчик 2-х порогов","Счетчик 2-х порогов")</f>
        <v>Сбор обобщенных сигналов c датчиков по позиции. Счетчик 2-х порогов</v>
      </c>
      <c r="S13" s="372"/>
      <c r="U13" s="773"/>
      <c r="V13" s="4"/>
      <c r="W13" s="773"/>
      <c r="X13" s="4"/>
    </row>
    <row r="14" spans="1:29">
      <c r="A14" t="str">
        <f>SUBSTITUTE($V$2,"\","|")&amp;"|XRWR"</f>
        <v>FB_HA_UPI_S|XRWR</v>
      </c>
      <c r="B14" t="s">
        <v>78</v>
      </c>
      <c r="F14">
        <v>0</v>
      </c>
      <c r="G14" t="s">
        <v>71</v>
      </c>
      <c r="H14">
        <v>0</v>
      </c>
      <c r="I14" t="s">
        <v>72</v>
      </c>
      <c r="J14" t="s">
        <v>74</v>
      </c>
      <c r="K14">
        <v>0</v>
      </c>
      <c r="M14">
        <v>1</v>
      </c>
      <c r="R14" t="str">
        <f>IF($U$2=TRUE,$W$2&amp;". Счетчик Вниманий","Счетчик Вниманий")</f>
        <v>Сбор обобщенных сигналов c датчиков по позиции. Счетчик Вниманий</v>
      </c>
      <c r="S14" s="372"/>
      <c r="U14" s="773"/>
      <c r="V14" s="4"/>
      <c r="W14" s="773"/>
      <c r="X14" s="4"/>
    </row>
    <row r="17" spans="1:23">
      <c r="A17" s="4"/>
      <c r="B17" s="4"/>
      <c r="F17" s="4"/>
      <c r="G17" s="4"/>
      <c r="H17" s="4"/>
      <c r="I17" s="4"/>
      <c r="J17" s="4"/>
      <c r="K17" s="4"/>
      <c r="M17" s="4"/>
    </row>
    <row r="18" spans="1:23">
      <c r="A18" s="4"/>
      <c r="B18" s="4"/>
      <c r="F18" s="4"/>
      <c r="G18" s="4"/>
      <c r="H18" s="4"/>
      <c r="I18" s="4"/>
      <c r="J18" s="4"/>
      <c r="K18" s="4"/>
      <c r="M18" s="4"/>
    </row>
    <row r="19" spans="1:23">
      <c r="A19" s="4"/>
      <c r="B19" s="4"/>
      <c r="F19" s="4"/>
      <c r="G19" s="4"/>
      <c r="H19" s="4"/>
      <c r="I19" s="4"/>
      <c r="J19" s="4"/>
      <c r="K19" s="4"/>
      <c r="M19" s="4"/>
    </row>
    <row r="20" spans="1:23">
      <c r="A20" s="4"/>
      <c r="B20" s="4"/>
      <c r="F20" s="4"/>
      <c r="G20" s="4"/>
      <c r="H20" s="4"/>
      <c r="I20" s="4"/>
      <c r="J20" s="4"/>
      <c r="K20" s="4"/>
      <c r="M20" s="4"/>
    </row>
    <row r="21" spans="1:23">
      <c r="A21" s="4"/>
      <c r="B21" s="4"/>
      <c r="F21" s="4"/>
      <c r="G21" s="4"/>
      <c r="H21" s="4"/>
      <c r="I21" s="4"/>
      <c r="J21" s="4"/>
      <c r="K21" s="4"/>
      <c r="M21" s="4"/>
    </row>
    <row r="22" spans="1:23">
      <c r="A22" s="4"/>
      <c r="B22" s="4"/>
      <c r="F22" s="4"/>
      <c r="G22" s="4"/>
      <c r="H22" s="4"/>
      <c r="I22" s="4"/>
      <c r="J22" s="4"/>
      <c r="K22" s="4"/>
      <c r="M22" s="4"/>
    </row>
    <row r="23" spans="1:23">
      <c r="A23" s="4"/>
      <c r="B23" s="4"/>
      <c r="F23" s="4"/>
      <c r="G23" s="4"/>
      <c r="H23" s="4"/>
      <c r="I23" s="4"/>
      <c r="J23" s="4"/>
      <c r="K23" s="4"/>
      <c r="M23" s="4"/>
    </row>
    <row r="24" spans="1:23">
      <c r="A24" s="4"/>
      <c r="B24" s="4"/>
      <c r="F24" s="4"/>
      <c r="G24" s="4"/>
      <c r="H24" s="4"/>
      <c r="I24" s="4"/>
      <c r="J24" s="4"/>
      <c r="K24" s="4"/>
      <c r="M24" s="4"/>
    </row>
    <row r="25" spans="1:23">
      <c r="A25" s="4"/>
      <c r="B25" s="4"/>
      <c r="F25" s="4"/>
      <c r="G25" s="4"/>
      <c r="H25" s="4"/>
      <c r="I25" s="4"/>
      <c r="J25" s="4"/>
      <c r="K25" s="4"/>
      <c r="M25" s="4"/>
    </row>
    <row r="26" spans="1:23">
      <c r="A26" s="4"/>
      <c r="B26" s="4"/>
      <c r="F26" s="4"/>
      <c r="G26" s="4"/>
      <c r="H26" s="4"/>
      <c r="I26" s="4"/>
      <c r="J26" s="4"/>
      <c r="K26" s="4"/>
      <c r="M26" s="4"/>
    </row>
    <row r="27" spans="1:23">
      <c r="A27" s="4"/>
      <c r="B27" s="4"/>
      <c r="F27" s="4"/>
      <c r="G27" s="4"/>
      <c r="H27" s="4"/>
      <c r="I27" s="4"/>
      <c r="J27" s="4"/>
      <c r="K27" s="4"/>
      <c r="M27" s="4"/>
    </row>
    <row r="28" spans="1:23">
      <c r="A28" s="4"/>
      <c r="B28" s="4"/>
      <c r="F28" s="4"/>
      <c r="G28" s="4"/>
      <c r="H28" s="4"/>
      <c r="I28" s="4"/>
      <c r="J28" s="4"/>
      <c r="K28" s="4"/>
      <c r="M28" s="4"/>
    </row>
    <row r="29" spans="1:23">
      <c r="A29" s="4"/>
      <c r="B29" s="4"/>
      <c r="F29" s="4"/>
      <c r="G29" s="4"/>
      <c r="H29" s="4"/>
      <c r="I29" s="4"/>
      <c r="J29" s="4"/>
      <c r="K29" s="4"/>
      <c r="M29" s="4"/>
    </row>
    <row r="32" spans="1:23">
      <c r="W32" s="4"/>
    </row>
    <row r="33" spans="23:23">
      <c r="W33" s="4"/>
    </row>
    <row r="34" spans="23:23">
      <c r="W34" s="4"/>
    </row>
    <row r="35" spans="23:23">
      <c r="W35" s="4"/>
    </row>
    <row r="36" spans="23:23">
      <c r="W36" s="4"/>
    </row>
    <row r="37" spans="23:23">
      <c r="W37" s="4"/>
    </row>
    <row r="38" spans="23:23">
      <c r="W38" s="4"/>
    </row>
    <row r="39" spans="23:23">
      <c r="W39" s="4"/>
    </row>
    <row r="40" spans="23:23">
      <c r="W40" s="4"/>
    </row>
    <row r="41" spans="23:23">
      <c r="W41" s="4"/>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sheetPr codeName="Лист24">
    <tabColor rgb="FF92D050"/>
  </sheetPr>
  <dimension ref="A1:AC49"/>
  <sheetViews>
    <sheetView topLeftCell="G1" workbookViewId="0">
      <selection activeCell="D2" sqref="D2:D4"/>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0" width="9.109375" customWidth="1"/>
    <col min="21" max="21" width="34" bestFit="1"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4" t="str">
        <f>Настройки!$M$33</f>
        <v>Комментарии блоков в гл. словаре</v>
      </c>
      <c r="V1" s="54" t="s">
        <v>79</v>
      </c>
      <c r="W1" s="54" t="s">
        <v>269</v>
      </c>
      <c r="X1" s="54" t="s">
        <v>240</v>
      </c>
      <c r="Y1" s="54" t="s">
        <v>241</v>
      </c>
      <c r="Z1" s="54" t="s">
        <v>242</v>
      </c>
      <c r="AA1" s="54" t="s">
        <v>267</v>
      </c>
      <c r="AB1" s="54" t="s">
        <v>276</v>
      </c>
      <c r="AC1" s="54" t="s">
        <v>277</v>
      </c>
    </row>
    <row r="2" spans="1:29" ht="28.8">
      <c r="A2" s="10"/>
      <c r="B2" s="10"/>
      <c r="F2" s="10"/>
      <c r="G2" s="10"/>
      <c r="H2" s="10"/>
      <c r="I2" s="10"/>
      <c r="J2" s="10"/>
      <c r="K2" s="10"/>
      <c r="M2" s="10"/>
      <c r="N2" s="10"/>
      <c r="O2" s="10"/>
      <c r="P2" s="10"/>
      <c r="Q2" s="10"/>
      <c r="R2" s="10"/>
      <c r="U2" s="74" t="b">
        <f>Настройки!$M$34</f>
        <v>1</v>
      </c>
      <c r="V2" s="73" t="s">
        <v>644</v>
      </c>
      <c r="W2" s="537" t="s">
        <v>778</v>
      </c>
      <c r="X2" s="73"/>
      <c r="Y2" s="73"/>
      <c r="Z2" s="73"/>
      <c r="AA2" s="74"/>
      <c r="AB2" s="74"/>
      <c r="AC2" s="74"/>
    </row>
    <row r="3" spans="1:29">
      <c r="A3" t="str">
        <f>SUBSTITUTE($V$2,"\","|")</f>
        <v>Electon|S20220|REG57</v>
      </c>
      <c r="B3" s="372" t="s">
        <v>78</v>
      </c>
      <c r="F3">
        <v>0</v>
      </c>
      <c r="G3" t="s">
        <v>71</v>
      </c>
      <c r="H3">
        <v>0</v>
      </c>
      <c r="I3" t="s">
        <v>72</v>
      </c>
      <c r="J3" t="s">
        <v>69</v>
      </c>
      <c r="K3">
        <v>0</v>
      </c>
      <c r="M3">
        <v>1</v>
      </c>
      <c r="R3" t="str">
        <f>IF($U$2=TRUE,$W$2&amp;". Выходное значение","Выходное значение")</f>
        <v>Перечисление. Выходное значение</v>
      </c>
      <c r="S3" s="372"/>
      <c r="U3" s="773"/>
      <c r="V3" s="4"/>
      <c r="W3" s="773"/>
      <c r="X3" s="4"/>
    </row>
    <row r="4" spans="1:29">
      <c r="B4" s="372"/>
      <c r="W4" s="4"/>
    </row>
    <row r="5" spans="1:29">
      <c r="B5" s="372"/>
    </row>
    <row r="10" spans="1:29">
      <c r="W10" s="4"/>
    </row>
    <row r="12" spans="1:29">
      <c r="A12" s="4"/>
      <c r="B12" s="4"/>
      <c r="F12" s="4"/>
      <c r="G12" s="4"/>
      <c r="H12" s="4"/>
      <c r="I12" s="4"/>
      <c r="J12" s="4"/>
      <c r="K12" s="4"/>
      <c r="M12" s="4"/>
    </row>
    <row r="29" spans="1:13">
      <c r="A29" s="4"/>
      <c r="B29" s="4"/>
      <c r="F29" s="4"/>
      <c r="G29" s="4"/>
      <c r="H29" s="4"/>
      <c r="I29" s="4"/>
      <c r="J29" s="4"/>
      <c r="K29" s="4"/>
      <c r="M29" s="4"/>
    </row>
    <row r="30" spans="1:13">
      <c r="A30" s="4"/>
      <c r="B30" s="4"/>
      <c r="F30" s="4"/>
      <c r="G30" s="4"/>
      <c r="H30" s="4"/>
      <c r="I30" s="4"/>
      <c r="J30" s="4"/>
      <c r="K30" s="4"/>
      <c r="M30" s="4"/>
    </row>
    <row r="31" spans="1:13">
      <c r="A31" s="4"/>
      <c r="B31" s="4"/>
      <c r="F31" s="4"/>
      <c r="G31" s="4"/>
      <c r="H31" s="4"/>
      <c r="I31" s="4"/>
      <c r="J31" s="4"/>
      <c r="K31" s="4"/>
      <c r="M31" s="4"/>
    </row>
    <row r="32" spans="1:13">
      <c r="A32" s="4"/>
      <c r="B32" s="4"/>
      <c r="F32" s="4"/>
      <c r="G32" s="4"/>
      <c r="H32" s="4"/>
      <c r="I32" s="4"/>
      <c r="J32" s="4"/>
      <c r="K32" s="4"/>
      <c r="M32" s="4"/>
    </row>
    <row r="33" spans="1:23">
      <c r="A33" s="4"/>
      <c r="B33" s="4"/>
      <c r="F33" s="4"/>
      <c r="G33" s="4"/>
      <c r="H33" s="4"/>
      <c r="I33" s="4"/>
      <c r="J33" s="4"/>
      <c r="K33" s="4"/>
      <c r="M33" s="4"/>
    </row>
    <row r="34" spans="1:23">
      <c r="A34" s="4"/>
      <c r="B34" s="4"/>
      <c r="F34" s="4"/>
      <c r="G34" s="4"/>
      <c r="H34" s="4"/>
      <c r="I34" s="4"/>
      <c r="J34" s="4"/>
      <c r="K34" s="4"/>
      <c r="M34" s="4"/>
    </row>
    <row r="35" spans="1:23">
      <c r="A35" s="4"/>
      <c r="B35" s="4"/>
      <c r="F35" s="4"/>
      <c r="G35" s="4"/>
      <c r="H35" s="4"/>
      <c r="I35" s="4"/>
      <c r="J35" s="4"/>
      <c r="K35" s="4"/>
      <c r="M35" s="4"/>
    </row>
    <row r="36" spans="1:23">
      <c r="A36" s="4"/>
      <c r="B36" s="4"/>
      <c r="F36" s="4"/>
      <c r="G36" s="4"/>
      <c r="H36" s="4"/>
      <c r="I36" s="4"/>
      <c r="J36" s="4"/>
      <c r="K36" s="4"/>
      <c r="M36" s="4"/>
    </row>
    <row r="37" spans="1:23">
      <c r="A37" s="4"/>
      <c r="B37" s="4"/>
      <c r="F37" s="4"/>
      <c r="G37" s="4"/>
      <c r="H37" s="4"/>
      <c r="I37" s="4"/>
      <c r="J37" s="4"/>
      <c r="K37" s="4"/>
      <c r="M37" s="4"/>
    </row>
    <row r="38" spans="1:23">
      <c r="A38" s="4"/>
      <c r="B38" s="4"/>
      <c r="F38" s="4"/>
      <c r="G38" s="4"/>
      <c r="H38" s="4"/>
      <c r="I38" s="4"/>
      <c r="J38" s="4"/>
      <c r="K38" s="4"/>
      <c r="M38" s="4"/>
    </row>
    <row r="39" spans="1:23">
      <c r="A39" s="4"/>
      <c r="B39" s="4"/>
      <c r="F39" s="4"/>
      <c r="G39" s="4"/>
      <c r="H39" s="4"/>
      <c r="I39" s="4"/>
      <c r="J39" s="4"/>
      <c r="K39" s="4"/>
      <c r="M39" s="4"/>
    </row>
    <row r="40" spans="1:23">
      <c r="A40" s="4"/>
      <c r="B40" s="4"/>
      <c r="F40" s="4"/>
      <c r="G40" s="4"/>
      <c r="H40" s="4"/>
      <c r="I40" s="4"/>
      <c r="J40" s="4"/>
      <c r="K40" s="4"/>
      <c r="M40" s="4"/>
      <c r="W40" s="4"/>
    </row>
    <row r="41" spans="1:23">
      <c r="A41" s="4"/>
      <c r="B41" s="4"/>
      <c r="F41" s="4"/>
      <c r="G41" s="4"/>
      <c r="H41" s="4"/>
      <c r="I41" s="4"/>
      <c r="J41" s="4"/>
      <c r="K41" s="4"/>
      <c r="M41" s="4"/>
      <c r="W41" s="4"/>
    </row>
    <row r="42" spans="1:23">
      <c r="W42" s="4"/>
    </row>
    <row r="43" spans="1:23">
      <c r="W43" s="4"/>
    </row>
    <row r="44" spans="1:23">
      <c r="W44" s="4"/>
    </row>
    <row r="45" spans="1:23">
      <c r="W45" s="4"/>
    </row>
    <row r="46" spans="1:23">
      <c r="W46" s="4"/>
    </row>
    <row r="47" spans="1:23">
      <c r="W47" s="4"/>
    </row>
    <row r="48" spans="1:23">
      <c r="W48" s="4"/>
    </row>
    <row r="49" spans="23:23">
      <c r="W49" s="4"/>
    </row>
  </sheetData>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sheetPr codeName="Лист32">
    <tabColor rgb="FF92D050"/>
  </sheetPr>
  <dimension ref="A1:AC49"/>
  <sheetViews>
    <sheetView topLeftCell="D1" workbookViewId="0">
      <selection activeCell="V2" sqref="V2:AD2"/>
    </sheetView>
  </sheetViews>
  <sheetFormatPr defaultRowHeight="14.4"/>
  <cols>
    <col min="1" max="1" width="41.33203125" customWidth="1"/>
    <col min="2" max="2" width="3.33203125" customWidth="1"/>
    <col min="3"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1" width="9.109375" customWidth="1"/>
    <col min="22" max="22" width="16.6640625" customWidth="1"/>
    <col min="23" max="23" width="30" customWidth="1"/>
    <col min="24" max="29" width="16.6640625" customWidth="1"/>
  </cols>
  <sheetData>
    <row r="1" spans="1:29">
      <c r="A1" s="10"/>
      <c r="B1" s="10"/>
      <c r="F1" s="10"/>
      <c r="G1" s="10"/>
      <c r="H1" s="10"/>
      <c r="I1" s="10"/>
      <c r="J1" s="10"/>
      <c r="K1" s="10"/>
      <c r="M1" s="10"/>
      <c r="N1" s="10"/>
      <c r="O1" s="10"/>
      <c r="P1" s="10"/>
      <c r="Q1" s="10"/>
      <c r="R1" s="10"/>
      <c r="U1" s="524" t="s">
        <v>1824</v>
      </c>
      <c r="V1" s="54" t="s">
        <v>79</v>
      </c>
      <c r="W1" s="54" t="s">
        <v>269</v>
      </c>
      <c r="X1" s="54" t="s">
        <v>240</v>
      </c>
      <c r="Y1" s="54" t="s">
        <v>241</v>
      </c>
      <c r="Z1" s="54" t="s">
        <v>242</v>
      </c>
      <c r="AA1" s="54" t="s">
        <v>267</v>
      </c>
      <c r="AB1" s="54" t="s">
        <v>276</v>
      </c>
      <c r="AC1" s="54" t="s">
        <v>277</v>
      </c>
    </row>
    <row r="2" spans="1:29">
      <c r="A2" s="10"/>
      <c r="B2" s="10"/>
      <c r="F2" s="10"/>
      <c r="G2" s="10"/>
      <c r="H2" s="10"/>
      <c r="I2" s="10"/>
      <c r="J2" s="10"/>
      <c r="K2" s="10"/>
      <c r="M2" s="10"/>
      <c r="N2" s="10"/>
      <c r="O2" s="10"/>
      <c r="P2" s="10"/>
      <c r="Q2" s="10"/>
      <c r="R2" s="10"/>
      <c r="U2" s="675" t="s">
        <v>594</v>
      </c>
      <c r="V2" s="73" t="s">
        <v>4862</v>
      </c>
      <c r="W2" s="537" t="s">
        <v>4863</v>
      </c>
      <c r="X2" s="73">
        <v>2</v>
      </c>
      <c r="Y2" s="73" t="s">
        <v>76</v>
      </c>
      <c r="Z2" s="73"/>
      <c r="AA2" s="74">
        <v>2</v>
      </c>
      <c r="AB2" s="74">
        <v>2</v>
      </c>
      <c r="AC2" s="74"/>
    </row>
    <row r="3" spans="1:29">
      <c r="A3" t="str">
        <f>SUBSTITUTE($V$2,"\","|")&amp;"|IONS"</f>
        <v>GP050_V_02_02|IONS</v>
      </c>
      <c r="B3" s="52" t="str">
        <f>IF(OR($AB$2=4, $AB$2=6),"I","B")</f>
        <v>B</v>
      </c>
      <c r="F3" s="52" t="str">
        <f>IF(OR($AB$2=4, $AB$2=6),"0","FALSE")</f>
        <v>FALSE</v>
      </c>
      <c r="G3" t="s">
        <v>71</v>
      </c>
      <c r="H3">
        <v>0</v>
      </c>
      <c r="I3" t="s">
        <v>72</v>
      </c>
      <c r="J3" t="s">
        <v>69</v>
      </c>
      <c r="K3">
        <v>0</v>
      </c>
      <c r="M3">
        <v>1</v>
      </c>
      <c r="R3" t="str">
        <f>"Контроль цепи состояния " &amp;  IF(COUNTIF(U2,"FB_Imp*")=1,"Включен","Открыт(а)")</f>
        <v>Контроль цепи состояния Включен</v>
      </c>
    </row>
    <row r="4" spans="1:29">
      <c r="A4" t="str">
        <f>SUBSTITUTE($V$2,"\","|")&amp;"|IOFS"</f>
        <v>GP050_V_02_02|IOFS</v>
      </c>
      <c r="B4" s="52" t="str">
        <f>IF(OR($AB$2=4, $AB$2=6),"I","B")</f>
        <v>B</v>
      </c>
      <c r="F4" s="52" t="str">
        <f>IF(OR($AB$2=4, $AB$2=6),"0","FALSE")</f>
        <v>FALSE</v>
      </c>
      <c r="G4" t="s">
        <v>71</v>
      </c>
      <c r="H4">
        <v>0</v>
      </c>
      <c r="I4" t="s">
        <v>72</v>
      </c>
      <c r="J4" t="s">
        <v>69</v>
      </c>
      <c r="K4">
        <v>0</v>
      </c>
      <c r="M4">
        <v>1</v>
      </c>
      <c r="R4" t="str">
        <f>"Контроль цепи состояния " &amp;  IF(COUNTIF(U2,"FB_Imp*")=1,"Отключен","Закрыт(а)")</f>
        <v>Контроль цепи состояния Отключен</v>
      </c>
      <c r="W4" s="4"/>
    </row>
    <row r="5" spans="1:29">
      <c r="A5" t="str">
        <f>SUBSTITUTE($V$2,"\","|")&amp;"|FONS"</f>
        <v>GP050_V_02_02|FONS</v>
      </c>
      <c r="B5" t="s">
        <v>74</v>
      </c>
      <c r="F5" t="s">
        <v>72</v>
      </c>
      <c r="G5" t="s">
        <v>71</v>
      </c>
      <c r="H5">
        <v>0</v>
      </c>
      <c r="I5" t="s">
        <v>72</v>
      </c>
      <c r="J5" t="s">
        <v>69</v>
      </c>
      <c r="K5">
        <v>0</v>
      </c>
      <c r="M5">
        <v>1</v>
      </c>
      <c r="R5" t="str">
        <f>"Сработал контроль цепи состояния " &amp;  IF(COUNTIF(U2,"FB_Imp*")=1,"Включен","Открыт(а)")</f>
        <v>Сработал контроль цепи состояния Включен</v>
      </c>
    </row>
    <row r="6" spans="1:29">
      <c r="A6" t="str">
        <f>SUBSTITUTE($V$2,"\","|")&amp;"|FOFS"</f>
        <v>GP050_V_02_02|FOFS</v>
      </c>
      <c r="B6" t="s">
        <v>74</v>
      </c>
      <c r="F6" t="s">
        <v>72</v>
      </c>
      <c r="G6" t="s">
        <v>71</v>
      </c>
      <c r="H6">
        <v>0</v>
      </c>
      <c r="I6" t="s">
        <v>72</v>
      </c>
      <c r="J6" t="s">
        <v>69</v>
      </c>
      <c r="K6">
        <v>0</v>
      </c>
      <c r="M6">
        <v>1</v>
      </c>
      <c r="R6" t="str">
        <f>"Сработал контроль цепи состояния " &amp;  IF(COUNTIF(U2,"FB_Imp*")=1,"Отключен","Закрыт(а)")</f>
        <v>Сработал контроль цепи состояния Отключен</v>
      </c>
    </row>
    <row r="7" spans="1:29">
      <c r="A7" t="str">
        <f>SUBSTITUTE($V$2,"\","|")&amp;"|ISON"</f>
        <v>GP050_V_02_02|ISON</v>
      </c>
      <c r="B7" s="52" t="str">
        <f>IF(OR($AB$2=5, $AB$2=6),"I","B")</f>
        <v>B</v>
      </c>
      <c r="F7" s="52" t="str">
        <f>IF(OR($AB$2=5, $AB$2=6),"0","FALSE")</f>
        <v>FALSE</v>
      </c>
      <c r="G7" t="s">
        <v>71</v>
      </c>
      <c r="H7">
        <v>0</v>
      </c>
      <c r="I7" t="s">
        <v>72</v>
      </c>
      <c r="J7" t="s">
        <v>69</v>
      </c>
      <c r="K7">
        <v>0</v>
      </c>
      <c r="M7">
        <v>1</v>
      </c>
      <c r="R7" t="str">
        <f>"Контроль цепи управления " &amp;  IF(COUNTIF(U2,"FB_Imp*")=1,"Включения","Открытия")</f>
        <v>Контроль цепи управления Включения</v>
      </c>
    </row>
    <row r="8" spans="1:29">
      <c r="A8" t="str">
        <f>SUBSTITUTE($V$2,"\","|")&amp;"|ISOF"</f>
        <v>GP050_V_02_02|ISOF</v>
      </c>
      <c r="B8" s="52" t="str">
        <f>IF(OR($AB$2=5, $AB$2=6),"I","B")</f>
        <v>B</v>
      </c>
      <c r="F8" s="52" t="str">
        <f>IF(OR($AB$2=5, $AB$2=6),"0","FALSE")</f>
        <v>FALSE</v>
      </c>
      <c r="G8" t="s">
        <v>71</v>
      </c>
      <c r="H8">
        <v>0</v>
      </c>
      <c r="I8" t="s">
        <v>72</v>
      </c>
      <c r="J8" t="s">
        <v>69</v>
      </c>
      <c r="K8">
        <v>0</v>
      </c>
      <c r="M8">
        <v>1</v>
      </c>
      <c r="R8" t="str">
        <f>"Контроль цепи управления " &amp;  IF(COUNTIF(U2,"FB_Imp*")=1,"Отключения","Закрытия")</f>
        <v>Контроль цепи управления Отключения</v>
      </c>
    </row>
    <row r="9" spans="1:29">
      <c r="A9" t="str">
        <f>SUBSTITUTE($V$2,"\","|")&amp;"|FSON"</f>
        <v>GP050_V_02_02|FSON</v>
      </c>
      <c r="B9" t="s">
        <v>74</v>
      </c>
      <c r="F9" t="s">
        <v>72</v>
      </c>
      <c r="G9" t="s">
        <v>71</v>
      </c>
      <c r="H9">
        <v>0</v>
      </c>
      <c r="I9" t="s">
        <v>72</v>
      </c>
      <c r="J9" t="s">
        <v>69</v>
      </c>
      <c r="K9">
        <v>0</v>
      </c>
      <c r="M9">
        <v>1</v>
      </c>
      <c r="R9" t="str">
        <f>"Сработал контроль цепи управления " &amp;  IF(COUNTIF(U2,"FB_Imp*")=1,"Включения","Открытия")</f>
        <v>Сработал контроль цепи управления Включения</v>
      </c>
    </row>
    <row r="10" spans="1:29">
      <c r="A10" t="str">
        <f>SUBSTITUTE($V$2,"\","|")&amp;"|FSOF"</f>
        <v>GP050_V_02_02|FSOF</v>
      </c>
      <c r="B10" t="s">
        <v>74</v>
      </c>
      <c r="F10" t="s">
        <v>72</v>
      </c>
      <c r="G10" t="s">
        <v>71</v>
      </c>
      <c r="H10">
        <v>0</v>
      </c>
      <c r="I10" t="s">
        <v>72</v>
      </c>
      <c r="J10" t="s">
        <v>69</v>
      </c>
      <c r="K10">
        <v>0</v>
      </c>
      <c r="M10">
        <v>1</v>
      </c>
      <c r="R10" t="str">
        <f>"Сработал контроль цепи управления " &amp;  IF(COUNTIF(U2,"FB_Imp*")=1,"Отключения","Закрытия")</f>
        <v>Сработал контроль цепи управления Отключения</v>
      </c>
      <c r="W10" s="4"/>
    </row>
    <row r="11" spans="1:29">
      <c r="A11" t="str">
        <f>SUBSTITUTE($V$2,"\","|")&amp; "|SMEM"</f>
        <v>GP050_V_02_02|SMEM</v>
      </c>
      <c r="B11" t="s">
        <v>78</v>
      </c>
      <c r="F11">
        <v>0</v>
      </c>
      <c r="G11" t="s">
        <v>71</v>
      </c>
      <c r="H11">
        <v>0</v>
      </c>
      <c r="I11" t="s">
        <v>72</v>
      </c>
      <c r="J11" t="s">
        <v>74</v>
      </c>
      <c r="K11">
        <v>0</v>
      </c>
      <c r="M11">
        <v>1</v>
      </c>
      <c r="R11" t="s">
        <v>824</v>
      </c>
    </row>
    <row r="14" spans="1:29">
      <c r="A14" s="4"/>
      <c r="B14" s="4"/>
      <c r="F14" s="4"/>
      <c r="G14" s="4"/>
      <c r="H14" s="4"/>
      <c r="I14" s="4"/>
      <c r="J14" s="4"/>
      <c r="K14" s="4"/>
      <c r="M14" s="4"/>
    </row>
    <row r="29" spans="1:13">
      <c r="A29" s="4"/>
      <c r="B29" s="4"/>
      <c r="F29" s="4"/>
      <c r="G29" s="4"/>
      <c r="H29" s="4"/>
      <c r="I29" s="4"/>
      <c r="J29" s="4"/>
      <c r="K29" s="4"/>
      <c r="M29" s="4"/>
    </row>
    <row r="30" spans="1:13">
      <c r="A30" s="4"/>
      <c r="B30" s="4"/>
      <c r="F30" s="4"/>
      <c r="G30" s="4"/>
      <c r="H30" s="4"/>
      <c r="I30" s="4"/>
      <c r="J30" s="4"/>
      <c r="K30" s="4"/>
      <c r="M30" s="4"/>
    </row>
    <row r="31" spans="1:13">
      <c r="A31" s="4"/>
      <c r="B31" s="4"/>
      <c r="F31" s="4"/>
      <c r="G31" s="4"/>
      <c r="H31" s="4"/>
      <c r="I31" s="4"/>
      <c r="J31" s="4"/>
      <c r="K31" s="4"/>
      <c r="M31" s="4"/>
    </row>
    <row r="32" spans="1:13">
      <c r="A32" s="4"/>
      <c r="B32" s="4"/>
      <c r="F32" s="4"/>
      <c r="G32" s="4"/>
      <c r="H32" s="4"/>
      <c r="I32" s="4"/>
      <c r="J32" s="4"/>
      <c r="K32" s="4"/>
      <c r="M32" s="4"/>
    </row>
    <row r="33" spans="1:23">
      <c r="A33" s="4"/>
      <c r="B33" s="4"/>
      <c r="F33" s="4"/>
      <c r="G33" s="4"/>
      <c r="H33" s="4"/>
      <c r="I33" s="4"/>
      <c r="J33" s="4"/>
      <c r="K33" s="4"/>
      <c r="M33" s="4"/>
    </row>
    <row r="34" spans="1:23">
      <c r="A34" s="4"/>
      <c r="B34" s="4"/>
      <c r="F34" s="4"/>
      <c r="G34" s="4"/>
      <c r="H34" s="4"/>
      <c r="I34" s="4"/>
      <c r="J34" s="4"/>
      <c r="K34" s="4"/>
      <c r="M34" s="4"/>
    </row>
    <row r="35" spans="1:23">
      <c r="A35" s="4"/>
      <c r="B35" s="4"/>
      <c r="F35" s="4"/>
      <c r="G35" s="4"/>
      <c r="H35" s="4"/>
      <c r="I35" s="4"/>
      <c r="J35" s="4"/>
      <c r="K35" s="4"/>
      <c r="M35" s="4"/>
    </row>
    <row r="36" spans="1:23">
      <c r="A36" s="4"/>
      <c r="B36" s="4"/>
      <c r="F36" s="4"/>
      <c r="G36" s="4"/>
      <c r="H36" s="4"/>
      <c r="I36" s="4"/>
      <c r="J36" s="4"/>
      <c r="K36" s="4"/>
      <c r="M36" s="4"/>
    </row>
    <row r="37" spans="1:23">
      <c r="A37" s="4"/>
      <c r="B37" s="4"/>
      <c r="F37" s="4"/>
      <c r="G37" s="4"/>
      <c r="H37" s="4"/>
      <c r="I37" s="4"/>
      <c r="J37" s="4"/>
      <c r="K37" s="4"/>
      <c r="M37" s="4"/>
    </row>
    <row r="38" spans="1:23">
      <c r="A38" s="4"/>
      <c r="B38" s="4"/>
      <c r="F38" s="4"/>
      <c r="G38" s="4"/>
      <c r="H38" s="4"/>
      <c r="I38" s="4"/>
      <c r="J38" s="4"/>
      <c r="K38" s="4"/>
      <c r="M38" s="4"/>
    </row>
    <row r="39" spans="1:23">
      <c r="A39" s="4"/>
      <c r="B39" s="4"/>
      <c r="F39" s="4"/>
      <c r="G39" s="4"/>
      <c r="H39" s="4"/>
      <c r="I39" s="4"/>
      <c r="J39" s="4"/>
      <c r="K39" s="4"/>
      <c r="M39" s="4"/>
    </row>
    <row r="40" spans="1:23">
      <c r="A40" s="4"/>
      <c r="B40" s="4"/>
      <c r="F40" s="4"/>
      <c r="G40" s="4"/>
      <c r="H40" s="4"/>
      <c r="I40" s="4"/>
      <c r="J40" s="4"/>
      <c r="K40" s="4"/>
      <c r="M40" s="4"/>
      <c r="W40" s="4"/>
    </row>
    <row r="41" spans="1:23">
      <c r="A41" s="4"/>
      <c r="B41" s="4"/>
      <c r="F41" s="4"/>
      <c r="G41" s="4"/>
      <c r="H41" s="4"/>
      <c r="I41" s="4"/>
      <c r="J41" s="4"/>
      <c r="K41" s="4"/>
      <c r="M41" s="4"/>
      <c r="W41" s="4"/>
    </row>
    <row r="42" spans="1:23">
      <c r="W42" s="4"/>
    </row>
    <row r="43" spans="1:23">
      <c r="W43" s="4"/>
    </row>
    <row r="44" spans="1:23">
      <c r="W44" s="4"/>
    </row>
    <row r="45" spans="1:23">
      <c r="W45" s="4"/>
    </row>
    <row r="46" spans="1:23">
      <c r="W46" s="4"/>
    </row>
    <row r="47" spans="1:23">
      <c r="W47" s="4"/>
    </row>
    <row r="48" spans="1:23">
      <c r="W48" s="4"/>
    </row>
    <row r="49" spans="23:23">
      <c r="W49" s="4"/>
    </row>
  </sheetData>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sheetPr codeName="Лист115">
    <tabColor rgb="FF92D050"/>
  </sheetPr>
  <dimension ref="A1:V296"/>
  <sheetViews>
    <sheetView zoomScale="80" zoomScaleNormal="80" workbookViewId="0">
      <selection activeCell="D2" sqref="D2:D4"/>
    </sheetView>
  </sheetViews>
  <sheetFormatPr defaultRowHeight="14.4"/>
  <cols>
    <col min="1" max="1" width="36.44140625" customWidth="1"/>
    <col min="2" max="2" width="3.33203125" customWidth="1"/>
    <col min="3" max="5" width="2.5546875" customWidth="1"/>
    <col min="6" max="6" width="11.44140625" customWidth="1"/>
    <col min="8" max="8" width="1.88671875" customWidth="1"/>
    <col min="10" max="10" width="4.5546875" customWidth="1"/>
    <col min="11" max="11" width="2" customWidth="1"/>
    <col min="12" max="12" width="1.88671875" customWidth="1"/>
    <col min="13" max="13" width="3" customWidth="1"/>
    <col min="14" max="14" width="5" customWidth="1"/>
    <col min="15" max="15" width="5.44140625" customWidth="1"/>
    <col min="16" max="16" width="4.6640625" customWidth="1"/>
    <col min="17" max="17" width="4.88671875" customWidth="1"/>
    <col min="18" max="18" width="38" customWidth="1"/>
    <col min="19" max="21" width="0" hidden="1" customWidth="1"/>
    <col min="22" max="22" width="39.6640625" customWidth="1"/>
    <col min="23" max="28" width="16.6640625" customWidth="1"/>
  </cols>
  <sheetData>
    <row r="1" spans="1:22">
      <c r="A1" t="s">
        <v>1037</v>
      </c>
      <c r="B1" t="s">
        <v>1038</v>
      </c>
      <c r="C1" s="10"/>
      <c r="D1" s="10" t="s">
        <v>1039</v>
      </c>
      <c r="E1" s="10"/>
      <c r="F1" s="10"/>
      <c r="G1" s="10"/>
      <c r="H1" s="10"/>
      <c r="I1" s="10"/>
      <c r="J1" s="10"/>
      <c r="K1" s="10"/>
      <c r="L1" s="10"/>
      <c r="M1">
        <v>1</v>
      </c>
      <c r="R1" t="s">
        <v>1040</v>
      </c>
      <c r="V1" s="524" t="str">
        <f>'Конфигурация TREI'!D1</f>
        <v>Путь TREI для сигналов NOT_LINK</v>
      </c>
    </row>
    <row r="2" spans="1:22">
      <c r="A2" t="s">
        <v>1042</v>
      </c>
      <c r="B2" t="s">
        <v>1038</v>
      </c>
      <c r="C2" s="10"/>
      <c r="D2" s="10" t="s">
        <v>1039</v>
      </c>
      <c r="E2" s="10"/>
      <c r="F2" s="10"/>
      <c r="G2" s="10"/>
      <c r="H2" s="10"/>
      <c r="I2" s="10"/>
      <c r="J2" s="10"/>
      <c r="K2" s="10"/>
      <c r="L2" s="10"/>
      <c r="M2">
        <v>1</v>
      </c>
      <c r="R2" t="s">
        <v>1043</v>
      </c>
      <c r="V2" s="3" t="str">
        <f>Настройки!D2</f>
        <v/>
      </c>
    </row>
    <row r="3" spans="1:22">
      <c r="A3" t="s">
        <v>1044</v>
      </c>
      <c r="B3" t="s">
        <v>1038</v>
      </c>
      <c r="C3" s="10"/>
      <c r="D3" s="10" t="s">
        <v>1039</v>
      </c>
      <c r="E3" s="10"/>
      <c r="F3" s="10"/>
      <c r="G3" s="10"/>
      <c r="H3" s="10"/>
      <c r="I3" s="10"/>
      <c r="J3" s="10"/>
      <c r="K3" s="10"/>
      <c r="L3" s="10"/>
      <c r="M3">
        <v>1</v>
      </c>
      <c r="N3" s="646"/>
      <c r="R3" t="s">
        <v>1045</v>
      </c>
    </row>
    <row r="4" spans="1:22">
      <c r="A4" t="s">
        <v>1046</v>
      </c>
      <c r="B4" t="s">
        <v>1038</v>
      </c>
      <c r="C4" s="10"/>
      <c r="D4" s="10" t="s">
        <v>1039</v>
      </c>
      <c r="E4" s="10"/>
      <c r="F4" s="10"/>
      <c r="G4" s="10"/>
      <c r="H4" s="10"/>
      <c r="I4" s="10"/>
      <c r="J4" s="10"/>
      <c r="K4" s="10"/>
      <c r="L4" s="10"/>
      <c r="M4">
        <v>1</v>
      </c>
      <c r="N4" s="53"/>
      <c r="R4" t="s">
        <v>1047</v>
      </c>
    </row>
    <row r="5" spans="1:22">
      <c r="A5" t="s">
        <v>1048</v>
      </c>
      <c r="B5" t="s">
        <v>1038</v>
      </c>
      <c r="C5" s="10"/>
      <c r="D5" s="10" t="s">
        <v>1039</v>
      </c>
      <c r="E5" s="10"/>
      <c r="F5" s="10"/>
      <c r="G5" s="10"/>
      <c r="H5" s="10"/>
      <c r="I5" s="10"/>
      <c r="J5" s="10"/>
      <c r="K5" s="10"/>
      <c r="L5" s="10"/>
      <c r="M5">
        <v>1</v>
      </c>
      <c r="R5" t="s">
        <v>1049</v>
      </c>
    </row>
    <row r="6" spans="1:22">
      <c r="A6" t="s">
        <v>1050</v>
      </c>
      <c r="B6" t="s">
        <v>1038</v>
      </c>
      <c r="C6" s="10"/>
      <c r="D6" s="10" t="s">
        <v>1039</v>
      </c>
      <c r="E6" s="10"/>
      <c r="F6" s="10"/>
      <c r="G6" s="10"/>
      <c r="H6" s="10"/>
      <c r="I6" s="10"/>
      <c r="J6" s="10"/>
      <c r="K6" s="10"/>
      <c r="L6" s="10"/>
      <c r="M6">
        <v>1</v>
      </c>
      <c r="R6" t="s">
        <v>1051</v>
      </c>
    </row>
    <row r="7" spans="1:22">
      <c r="A7" t="s">
        <v>1052</v>
      </c>
      <c r="B7" t="s">
        <v>1038</v>
      </c>
      <c r="C7" s="10"/>
      <c r="D7" s="10" t="s">
        <v>1039</v>
      </c>
      <c r="E7" s="10"/>
      <c r="F7" s="10"/>
      <c r="G7" s="10"/>
      <c r="H7" s="10"/>
      <c r="I7" s="10"/>
      <c r="J7" s="10"/>
      <c r="K7" s="10"/>
      <c r="L7" s="10"/>
      <c r="M7">
        <v>1</v>
      </c>
      <c r="R7" t="s">
        <v>1053</v>
      </c>
    </row>
    <row r="8" spans="1:22">
      <c r="A8" t="s">
        <v>1054</v>
      </c>
      <c r="B8" t="s">
        <v>1038</v>
      </c>
      <c r="C8" s="10"/>
      <c r="D8" s="10" t="s">
        <v>1039</v>
      </c>
      <c r="E8" s="10"/>
      <c r="F8" s="10"/>
      <c r="G8" s="10"/>
      <c r="H8" s="10"/>
      <c r="I8" s="10"/>
      <c r="J8" s="10"/>
      <c r="K8" s="10"/>
      <c r="L8" s="10"/>
      <c r="M8">
        <v>1</v>
      </c>
      <c r="R8" t="s">
        <v>1055</v>
      </c>
    </row>
    <row r="9" spans="1:22">
      <c r="A9" t="s">
        <v>1056</v>
      </c>
      <c r="B9" t="s">
        <v>1038</v>
      </c>
      <c r="C9" s="10"/>
      <c r="D9" s="10" t="s">
        <v>1039</v>
      </c>
      <c r="E9" s="10"/>
      <c r="F9" s="10"/>
      <c r="G9" s="10"/>
      <c r="H9" s="10"/>
      <c r="I9" s="10"/>
      <c r="J9" s="10"/>
      <c r="K9" s="10"/>
      <c r="L9" s="10"/>
      <c r="M9">
        <v>1</v>
      </c>
      <c r="R9" t="s">
        <v>1057</v>
      </c>
    </row>
    <row r="10" spans="1:22">
      <c r="A10" t="s">
        <v>1058</v>
      </c>
      <c r="B10" t="s">
        <v>1038</v>
      </c>
      <c r="C10" s="10"/>
      <c r="D10" s="10" t="s">
        <v>1039</v>
      </c>
      <c r="E10" s="10"/>
      <c r="F10" s="10"/>
      <c r="G10" s="10"/>
      <c r="H10" s="10"/>
      <c r="I10" s="10"/>
      <c r="J10" s="10"/>
      <c r="K10" s="10"/>
      <c r="L10" s="10"/>
      <c r="M10">
        <v>1</v>
      </c>
      <c r="R10" t="s">
        <v>1059</v>
      </c>
    </row>
    <row r="11" spans="1:22">
      <c r="A11" t="s">
        <v>1060</v>
      </c>
      <c r="B11" t="s">
        <v>1038</v>
      </c>
      <c r="C11" s="10"/>
      <c r="D11" s="10" t="s">
        <v>1039</v>
      </c>
      <c r="E11" s="10"/>
      <c r="F11" s="10"/>
      <c r="G11" s="10"/>
      <c r="H11" s="10"/>
      <c r="I11" s="10"/>
      <c r="J11" s="10"/>
      <c r="K11" s="10"/>
      <c r="L11" s="10"/>
      <c r="M11">
        <v>1</v>
      </c>
      <c r="R11" t="s">
        <v>1061</v>
      </c>
    </row>
    <row r="12" spans="1:22">
      <c r="A12" t="s">
        <v>1062</v>
      </c>
      <c r="B12" t="s">
        <v>1038</v>
      </c>
      <c r="C12" s="10"/>
      <c r="D12" s="10" t="s">
        <v>1039</v>
      </c>
      <c r="E12" s="10"/>
      <c r="F12" s="10"/>
      <c r="G12" s="10"/>
      <c r="H12" s="10"/>
      <c r="I12" s="10"/>
      <c r="J12" s="10"/>
      <c r="K12" s="10"/>
      <c r="L12" s="10"/>
      <c r="M12">
        <v>1</v>
      </c>
      <c r="R12" t="s">
        <v>1063</v>
      </c>
    </row>
    <row r="13" spans="1:22">
      <c r="A13" t="s">
        <v>1064</v>
      </c>
      <c r="B13" t="s">
        <v>1038</v>
      </c>
      <c r="C13" s="10"/>
      <c r="D13" s="10" t="s">
        <v>1039</v>
      </c>
      <c r="E13" s="10"/>
      <c r="F13" s="10"/>
      <c r="G13" s="10"/>
      <c r="H13" s="10"/>
      <c r="I13" s="10"/>
      <c r="J13" s="10"/>
      <c r="K13" s="10"/>
      <c r="L13" s="10"/>
      <c r="M13">
        <v>1</v>
      </c>
      <c r="R13" t="s">
        <v>1065</v>
      </c>
    </row>
    <row r="14" spans="1:22">
      <c r="A14" t="s">
        <v>1066</v>
      </c>
      <c r="B14" t="s">
        <v>1038</v>
      </c>
      <c r="C14" s="10"/>
      <c r="D14" s="10" t="s">
        <v>1039</v>
      </c>
      <c r="E14" s="10"/>
      <c r="F14" s="10"/>
      <c r="G14" s="10"/>
      <c r="H14" s="10"/>
      <c r="I14" s="10"/>
      <c r="J14" s="10"/>
      <c r="K14" s="10"/>
      <c r="L14" s="10"/>
      <c r="M14">
        <v>1</v>
      </c>
      <c r="R14" t="s">
        <v>1067</v>
      </c>
    </row>
    <row r="15" spans="1:22">
      <c r="A15" t="s">
        <v>1068</v>
      </c>
      <c r="B15" t="s">
        <v>1038</v>
      </c>
      <c r="C15" s="10"/>
      <c r="D15" s="10" t="s">
        <v>1039</v>
      </c>
      <c r="E15" s="10"/>
      <c r="F15" s="10"/>
      <c r="G15" s="10"/>
      <c r="H15" s="10"/>
      <c r="I15" s="10"/>
      <c r="J15" s="10"/>
      <c r="K15" s="10"/>
      <c r="L15" s="10"/>
      <c r="M15">
        <v>1</v>
      </c>
      <c r="R15" t="s">
        <v>1069</v>
      </c>
    </row>
    <row r="16" spans="1:22">
      <c r="A16" t="s">
        <v>1070</v>
      </c>
      <c r="B16" t="s">
        <v>1038</v>
      </c>
      <c r="C16" s="10"/>
      <c r="D16" s="10" t="s">
        <v>1039</v>
      </c>
      <c r="E16" s="10"/>
      <c r="F16" s="10"/>
      <c r="G16" s="10"/>
      <c r="H16" s="10"/>
      <c r="I16" s="10"/>
      <c r="J16" s="10"/>
      <c r="K16" s="10"/>
      <c r="L16" s="10"/>
      <c r="M16">
        <v>1</v>
      </c>
      <c r="R16" t="s">
        <v>1071</v>
      </c>
    </row>
    <row r="17" spans="1:18">
      <c r="A17" t="s">
        <v>1072</v>
      </c>
      <c r="B17" t="s">
        <v>1038</v>
      </c>
      <c r="C17" s="10"/>
      <c r="D17" s="10" t="s">
        <v>1039</v>
      </c>
      <c r="E17" s="10"/>
      <c r="F17" s="10"/>
      <c r="G17" s="10"/>
      <c r="H17" s="10"/>
      <c r="I17" s="10"/>
      <c r="J17" s="10"/>
      <c r="K17" s="10"/>
      <c r="L17" s="10"/>
      <c r="M17">
        <v>1</v>
      </c>
      <c r="R17" t="s">
        <v>1073</v>
      </c>
    </row>
    <row r="18" spans="1:18">
      <c r="A18" t="s">
        <v>1074</v>
      </c>
      <c r="B18" t="s">
        <v>1038</v>
      </c>
      <c r="C18" s="10"/>
      <c r="D18" s="10" t="s">
        <v>1039</v>
      </c>
      <c r="E18" s="10"/>
      <c r="F18" s="10"/>
      <c r="G18" s="10"/>
      <c r="H18" s="10"/>
      <c r="I18" s="10"/>
      <c r="J18" s="10"/>
      <c r="K18" s="10"/>
      <c r="L18" s="10"/>
      <c r="M18">
        <v>1</v>
      </c>
      <c r="R18" t="s">
        <v>1075</v>
      </c>
    </row>
    <row r="19" spans="1:18">
      <c r="A19" t="s">
        <v>1076</v>
      </c>
      <c r="B19" t="s">
        <v>1038</v>
      </c>
      <c r="C19" s="10"/>
      <c r="D19" s="10" t="s">
        <v>1039</v>
      </c>
      <c r="E19" s="10"/>
      <c r="F19" s="10"/>
      <c r="G19" s="10"/>
      <c r="H19" s="10"/>
      <c r="I19" s="10"/>
      <c r="J19" s="10"/>
      <c r="K19" s="10"/>
      <c r="L19" s="10"/>
      <c r="M19">
        <v>1</v>
      </c>
      <c r="R19" t="s">
        <v>1077</v>
      </c>
    </row>
    <row r="20" spans="1:18">
      <c r="A20" t="s">
        <v>1078</v>
      </c>
      <c r="B20" t="s">
        <v>1038</v>
      </c>
      <c r="C20" s="10"/>
      <c r="D20" s="10" t="s">
        <v>1039</v>
      </c>
      <c r="E20" s="10"/>
      <c r="F20" s="10"/>
      <c r="G20" s="10"/>
      <c r="H20" s="10"/>
      <c r="I20" s="10"/>
      <c r="J20" s="10"/>
      <c r="K20" s="10"/>
      <c r="L20" s="10"/>
      <c r="M20">
        <v>1</v>
      </c>
      <c r="R20" t="s">
        <v>1079</v>
      </c>
    </row>
    <row r="21" spans="1:18">
      <c r="A21" t="s">
        <v>1080</v>
      </c>
      <c r="B21" t="s">
        <v>1038</v>
      </c>
      <c r="C21" s="10"/>
      <c r="D21" s="10" t="s">
        <v>1039</v>
      </c>
      <c r="E21" s="10"/>
      <c r="F21" s="10"/>
      <c r="G21" s="10"/>
      <c r="H21" s="10"/>
      <c r="I21" s="10"/>
      <c r="J21" s="10"/>
      <c r="K21" s="10"/>
      <c r="L21" s="10"/>
      <c r="M21">
        <v>1</v>
      </c>
      <c r="R21" t="s">
        <v>1081</v>
      </c>
    </row>
    <row r="22" spans="1:18">
      <c r="A22" t="s">
        <v>1082</v>
      </c>
      <c r="B22" t="s">
        <v>1038</v>
      </c>
      <c r="C22" s="10"/>
      <c r="D22" s="10" t="s">
        <v>1039</v>
      </c>
      <c r="E22" s="10"/>
      <c r="F22" s="10"/>
      <c r="G22" s="10"/>
      <c r="H22" s="10"/>
      <c r="I22" s="10"/>
      <c r="J22" s="10"/>
      <c r="K22" s="10"/>
      <c r="L22" s="10"/>
      <c r="M22">
        <v>1</v>
      </c>
      <c r="R22" t="s">
        <v>1083</v>
      </c>
    </row>
    <row r="23" spans="1:18">
      <c r="A23" t="s">
        <v>1084</v>
      </c>
      <c r="B23" t="s">
        <v>1038</v>
      </c>
      <c r="C23" s="10"/>
      <c r="D23" s="10" t="s">
        <v>1039</v>
      </c>
      <c r="E23" s="10"/>
      <c r="F23" s="10"/>
      <c r="G23" s="10"/>
      <c r="H23" s="10"/>
      <c r="I23" s="10"/>
      <c r="J23" s="10"/>
      <c r="K23" s="10"/>
      <c r="L23" s="10"/>
      <c r="M23">
        <v>1</v>
      </c>
      <c r="R23" t="s">
        <v>1085</v>
      </c>
    </row>
    <row r="24" spans="1:18">
      <c r="A24" t="s">
        <v>1086</v>
      </c>
      <c r="B24" t="s">
        <v>1038</v>
      </c>
      <c r="C24" s="10"/>
      <c r="D24" s="10" t="s">
        <v>1039</v>
      </c>
      <c r="E24" s="10"/>
      <c r="F24" s="10"/>
      <c r="G24" s="10"/>
      <c r="H24" s="10"/>
      <c r="I24" s="10"/>
      <c r="J24" s="10"/>
      <c r="K24" s="10"/>
      <c r="L24" s="10"/>
      <c r="M24">
        <v>1</v>
      </c>
      <c r="R24" t="s">
        <v>1087</v>
      </c>
    </row>
    <row r="25" spans="1:18">
      <c r="A25" t="s">
        <v>1088</v>
      </c>
      <c r="B25" t="s">
        <v>1038</v>
      </c>
      <c r="C25" s="10"/>
      <c r="D25" s="10" t="s">
        <v>1039</v>
      </c>
      <c r="E25" s="10"/>
      <c r="F25" s="10"/>
      <c r="G25" s="10"/>
      <c r="H25" s="10"/>
      <c r="I25" s="10"/>
      <c r="J25" s="10"/>
      <c r="K25" s="10"/>
      <c r="L25" s="10"/>
      <c r="M25">
        <v>1</v>
      </c>
      <c r="R25" t="s">
        <v>1089</v>
      </c>
    </row>
    <row r="26" spans="1:18">
      <c r="A26" t="s">
        <v>1090</v>
      </c>
      <c r="B26" t="s">
        <v>1038</v>
      </c>
      <c r="C26" s="10"/>
      <c r="D26" s="10" t="s">
        <v>1039</v>
      </c>
      <c r="E26" s="10"/>
      <c r="F26" s="10"/>
      <c r="G26" s="10"/>
      <c r="H26" s="10"/>
      <c r="I26" s="10"/>
      <c r="J26" s="10"/>
      <c r="K26" s="10"/>
      <c r="L26" s="10"/>
      <c r="M26">
        <v>1</v>
      </c>
      <c r="R26" t="s">
        <v>1091</v>
      </c>
    </row>
    <row r="27" spans="1:18">
      <c r="A27" t="s">
        <v>1092</v>
      </c>
      <c r="B27" t="s">
        <v>1038</v>
      </c>
      <c r="C27" s="10"/>
      <c r="D27" s="10" t="s">
        <v>1039</v>
      </c>
      <c r="E27" s="10"/>
      <c r="F27" s="10"/>
      <c r="G27" s="10"/>
      <c r="H27" s="10"/>
      <c r="I27" s="10"/>
      <c r="J27" s="10"/>
      <c r="K27" s="10"/>
      <c r="L27" s="10"/>
      <c r="M27">
        <v>1</v>
      </c>
      <c r="R27" t="s">
        <v>1093</v>
      </c>
    </row>
    <row r="28" spans="1:18">
      <c r="A28" t="s">
        <v>1094</v>
      </c>
      <c r="B28" t="s">
        <v>1038</v>
      </c>
      <c r="C28" s="10"/>
      <c r="D28" s="10" t="s">
        <v>1039</v>
      </c>
      <c r="E28" s="10"/>
      <c r="F28" s="10"/>
      <c r="G28" s="10"/>
      <c r="H28" s="10"/>
      <c r="I28" s="10"/>
      <c r="J28" s="10"/>
      <c r="K28" s="10"/>
      <c r="L28" s="10"/>
      <c r="M28">
        <v>1</v>
      </c>
      <c r="R28" t="s">
        <v>1095</v>
      </c>
    </row>
    <row r="29" spans="1:18">
      <c r="A29" t="s">
        <v>1096</v>
      </c>
      <c r="B29" t="s">
        <v>1038</v>
      </c>
      <c r="C29" s="10"/>
      <c r="D29" s="10" t="s">
        <v>1039</v>
      </c>
      <c r="E29" s="10"/>
      <c r="F29" s="10"/>
      <c r="G29" s="10"/>
      <c r="H29" s="10"/>
      <c r="I29" s="10"/>
      <c r="J29" s="10"/>
      <c r="K29" s="10"/>
      <c r="L29" s="10"/>
      <c r="M29">
        <v>1</v>
      </c>
      <c r="R29" t="s">
        <v>1097</v>
      </c>
    </row>
    <row r="30" spans="1:18">
      <c r="A30" t="s">
        <v>1098</v>
      </c>
      <c r="B30" t="s">
        <v>1038</v>
      </c>
      <c r="C30" s="10"/>
      <c r="D30" s="10" t="s">
        <v>1039</v>
      </c>
      <c r="E30" s="10"/>
      <c r="F30" s="10"/>
      <c r="G30" s="10"/>
      <c r="H30" s="10"/>
      <c r="I30" s="10"/>
      <c r="J30" s="10"/>
      <c r="K30" s="10"/>
      <c r="L30" s="10"/>
      <c r="M30">
        <v>1</v>
      </c>
      <c r="R30" t="s">
        <v>1099</v>
      </c>
    </row>
    <row r="31" spans="1:18">
      <c r="A31" t="s">
        <v>1139</v>
      </c>
      <c r="B31" t="s">
        <v>1038</v>
      </c>
      <c r="C31" s="10"/>
      <c r="D31" s="10" t="s">
        <v>1039</v>
      </c>
      <c r="E31" s="10"/>
      <c r="F31" s="10"/>
      <c r="G31" s="10"/>
      <c r="H31" s="10"/>
      <c r="I31" s="10"/>
      <c r="J31" s="10"/>
      <c r="K31" s="10"/>
      <c r="L31" s="10"/>
      <c r="M31">
        <v>1</v>
      </c>
      <c r="R31" t="s">
        <v>1140</v>
      </c>
    </row>
    <row r="32" spans="1:18">
      <c r="A32" t="s">
        <v>1141</v>
      </c>
      <c r="B32" t="s">
        <v>1038</v>
      </c>
      <c r="C32" s="10"/>
      <c r="D32" s="10" t="s">
        <v>1039</v>
      </c>
      <c r="E32" s="10"/>
      <c r="F32" s="10"/>
      <c r="G32" s="10"/>
      <c r="H32" s="10"/>
      <c r="I32" s="10"/>
      <c r="J32" s="10"/>
      <c r="K32" s="10"/>
      <c r="L32" s="10"/>
      <c r="M32">
        <v>1</v>
      </c>
      <c r="R32" t="s">
        <v>1142</v>
      </c>
    </row>
    <row r="33" spans="1:18">
      <c r="A33" t="s">
        <v>1143</v>
      </c>
      <c r="B33" t="s">
        <v>1038</v>
      </c>
      <c r="C33" s="10"/>
      <c r="D33" s="10" t="s">
        <v>1039</v>
      </c>
      <c r="E33" s="10"/>
      <c r="F33" s="10"/>
      <c r="G33" s="10"/>
      <c r="H33" s="10"/>
      <c r="I33" s="10"/>
      <c r="J33" s="10"/>
      <c r="K33" s="10"/>
      <c r="L33" s="10"/>
      <c r="M33">
        <v>1</v>
      </c>
      <c r="R33" t="s">
        <v>1144</v>
      </c>
    </row>
    <row r="34" spans="1:18">
      <c r="A34" t="s">
        <v>1145</v>
      </c>
      <c r="B34" t="s">
        <v>1038</v>
      </c>
      <c r="C34" s="10"/>
      <c r="D34" s="10" t="s">
        <v>1039</v>
      </c>
      <c r="E34" s="10"/>
      <c r="F34" s="10"/>
      <c r="G34" s="10"/>
      <c r="H34" s="10"/>
      <c r="I34" s="10"/>
      <c r="J34" s="10"/>
      <c r="K34" s="10"/>
      <c r="L34" s="10"/>
      <c r="M34">
        <v>1</v>
      </c>
      <c r="R34" t="s">
        <v>1146</v>
      </c>
    </row>
    <row r="35" spans="1:18">
      <c r="A35" t="s">
        <v>1147</v>
      </c>
      <c r="B35" t="s">
        <v>1038</v>
      </c>
      <c r="C35" s="10"/>
      <c r="D35" s="10" t="s">
        <v>1039</v>
      </c>
      <c r="E35" s="10"/>
      <c r="F35" s="10"/>
      <c r="G35" s="10"/>
      <c r="H35" s="10"/>
      <c r="I35" s="10"/>
      <c r="J35" s="10"/>
      <c r="K35" s="10"/>
      <c r="L35" s="10"/>
      <c r="M35">
        <v>1</v>
      </c>
      <c r="R35" t="s">
        <v>1148</v>
      </c>
    </row>
    <row r="36" spans="1:18">
      <c r="A36" t="s">
        <v>1149</v>
      </c>
      <c r="B36" t="s">
        <v>1038</v>
      </c>
      <c r="C36" s="10"/>
      <c r="D36" s="10" t="s">
        <v>1039</v>
      </c>
      <c r="E36" s="10"/>
      <c r="F36" s="10"/>
      <c r="G36" s="10"/>
      <c r="H36" s="10"/>
      <c r="I36" s="10"/>
      <c r="J36" s="10"/>
      <c r="K36" s="10"/>
      <c r="L36" s="10"/>
      <c r="M36">
        <v>1</v>
      </c>
      <c r="R36" t="s">
        <v>1150</v>
      </c>
    </row>
    <row r="37" spans="1:18">
      <c r="A37" t="s">
        <v>1151</v>
      </c>
      <c r="B37" t="s">
        <v>1038</v>
      </c>
      <c r="C37" s="10"/>
      <c r="D37" s="10" t="s">
        <v>1039</v>
      </c>
      <c r="E37" s="10"/>
      <c r="F37" s="10"/>
      <c r="G37" s="10"/>
      <c r="H37" s="10"/>
      <c r="I37" s="10"/>
      <c r="J37" s="10"/>
      <c r="K37" s="10"/>
      <c r="L37" s="10"/>
      <c r="M37">
        <v>1</v>
      </c>
      <c r="R37" t="s">
        <v>1152</v>
      </c>
    </row>
    <row r="38" spans="1:18">
      <c r="A38" t="s">
        <v>1153</v>
      </c>
      <c r="B38" t="s">
        <v>1038</v>
      </c>
      <c r="C38" s="10"/>
      <c r="D38" s="10" t="s">
        <v>1039</v>
      </c>
      <c r="E38" s="10"/>
      <c r="F38" s="10"/>
      <c r="G38" s="10"/>
      <c r="H38" s="10"/>
      <c r="I38" s="10"/>
      <c r="J38" s="10"/>
      <c r="K38" s="10"/>
      <c r="L38" s="10"/>
      <c r="M38">
        <v>1</v>
      </c>
      <c r="R38" t="s">
        <v>1154</v>
      </c>
    </row>
    <row r="39" spans="1:18">
      <c r="A39" t="s">
        <v>1155</v>
      </c>
      <c r="B39" t="s">
        <v>1038</v>
      </c>
      <c r="C39" s="10"/>
      <c r="D39" s="10" t="s">
        <v>1039</v>
      </c>
      <c r="E39" s="10"/>
      <c r="F39" s="10"/>
      <c r="G39" s="10"/>
      <c r="H39" s="10"/>
      <c r="I39" s="10"/>
      <c r="J39" s="10"/>
      <c r="K39" s="10"/>
      <c r="L39" s="10"/>
      <c r="M39">
        <v>1</v>
      </c>
      <c r="R39" t="s">
        <v>1156</v>
      </c>
    </row>
    <row r="40" spans="1:18">
      <c r="A40" t="s">
        <v>1157</v>
      </c>
      <c r="B40" t="s">
        <v>1038</v>
      </c>
      <c r="C40" s="10"/>
      <c r="D40" s="10" t="s">
        <v>1039</v>
      </c>
      <c r="E40" s="10"/>
      <c r="F40" s="10"/>
      <c r="G40" s="10"/>
      <c r="H40" s="10"/>
      <c r="I40" s="10"/>
      <c r="J40" s="10"/>
      <c r="K40" s="10"/>
      <c r="L40" s="10"/>
      <c r="M40">
        <v>1</v>
      </c>
      <c r="R40" t="s">
        <v>1158</v>
      </c>
    </row>
    <row r="41" spans="1:18">
      <c r="A41" t="s">
        <v>2368</v>
      </c>
      <c r="B41" t="s">
        <v>1038</v>
      </c>
      <c r="C41" s="10"/>
      <c r="D41" s="10" t="s">
        <v>1039</v>
      </c>
      <c r="E41" s="10"/>
      <c r="F41" s="10"/>
      <c r="G41" s="10"/>
      <c r="H41" s="10"/>
      <c r="I41" s="10"/>
      <c r="J41" s="10"/>
      <c r="K41" s="10"/>
      <c r="L41" s="10"/>
      <c r="M41">
        <v>1</v>
      </c>
      <c r="R41" t="s">
        <v>2369</v>
      </c>
    </row>
    <row r="42" spans="1:18">
      <c r="A42" t="s">
        <v>2370</v>
      </c>
      <c r="B42" t="s">
        <v>1038</v>
      </c>
      <c r="C42" s="10"/>
      <c r="D42" s="10" t="s">
        <v>1039</v>
      </c>
      <c r="E42" s="10"/>
      <c r="F42" s="10"/>
      <c r="G42" s="10"/>
      <c r="H42" s="10"/>
      <c r="I42" s="10"/>
      <c r="J42" s="10"/>
      <c r="K42" s="10"/>
      <c r="L42" s="10"/>
      <c r="M42">
        <v>1</v>
      </c>
      <c r="R42" t="s">
        <v>2371</v>
      </c>
    </row>
    <row r="43" spans="1:18">
      <c r="A43" t="s">
        <v>2372</v>
      </c>
      <c r="B43" t="s">
        <v>1038</v>
      </c>
      <c r="C43" s="10"/>
      <c r="D43" s="10" t="s">
        <v>1039</v>
      </c>
      <c r="E43" s="10"/>
      <c r="F43" s="10"/>
      <c r="G43" s="10"/>
      <c r="H43" s="10"/>
      <c r="I43" s="10"/>
      <c r="J43" s="10"/>
      <c r="K43" s="10"/>
      <c r="L43" s="10"/>
      <c r="M43">
        <v>1</v>
      </c>
      <c r="R43" t="s">
        <v>2373</v>
      </c>
    </row>
    <row r="44" spans="1:18">
      <c r="A44" t="s">
        <v>2374</v>
      </c>
      <c r="B44" t="s">
        <v>1038</v>
      </c>
      <c r="C44" s="10"/>
      <c r="D44" s="10" t="s">
        <v>1039</v>
      </c>
      <c r="E44" s="10"/>
      <c r="F44" s="10"/>
      <c r="G44" s="10"/>
      <c r="H44" s="10"/>
      <c r="I44" s="10"/>
      <c r="J44" s="10"/>
      <c r="K44" s="10"/>
      <c r="L44" s="10"/>
      <c r="M44">
        <v>1</v>
      </c>
      <c r="R44" t="s">
        <v>2375</v>
      </c>
    </row>
    <row r="45" spans="1:18">
      <c r="A45" t="s">
        <v>2376</v>
      </c>
      <c r="B45" t="s">
        <v>1038</v>
      </c>
      <c r="C45" s="10"/>
      <c r="D45" s="10" t="s">
        <v>1039</v>
      </c>
      <c r="E45" s="10"/>
      <c r="F45" s="10"/>
      <c r="G45" s="10"/>
      <c r="H45" s="10"/>
      <c r="I45" s="10"/>
      <c r="J45" s="10"/>
      <c r="K45" s="10"/>
      <c r="L45" s="10"/>
      <c r="M45">
        <v>1</v>
      </c>
      <c r="R45" t="s">
        <v>2377</v>
      </c>
    </row>
    <row r="46" spans="1:18">
      <c r="A46" t="s">
        <v>2378</v>
      </c>
      <c r="B46" t="s">
        <v>1038</v>
      </c>
      <c r="C46" s="10"/>
      <c r="D46" s="10" t="s">
        <v>1039</v>
      </c>
      <c r="E46" s="10"/>
      <c r="F46" s="10"/>
      <c r="G46" s="10"/>
      <c r="H46" s="10"/>
      <c r="I46" s="10"/>
      <c r="J46" s="10"/>
      <c r="K46" s="10"/>
      <c r="L46" s="10"/>
      <c r="M46">
        <v>1</v>
      </c>
      <c r="R46" t="s">
        <v>2379</v>
      </c>
    </row>
    <row r="47" spans="1:18">
      <c r="A47" t="s">
        <v>2380</v>
      </c>
      <c r="B47" t="s">
        <v>1038</v>
      </c>
      <c r="C47" s="10"/>
      <c r="D47" s="10" t="s">
        <v>1039</v>
      </c>
      <c r="E47" s="10"/>
      <c r="F47" s="10"/>
      <c r="G47" s="10"/>
      <c r="H47" s="10"/>
      <c r="I47" s="10"/>
      <c r="J47" s="10"/>
      <c r="K47" s="10"/>
      <c r="L47" s="10"/>
      <c r="M47">
        <v>1</v>
      </c>
      <c r="R47" t="s">
        <v>2381</v>
      </c>
    </row>
    <row r="48" spans="1:18">
      <c r="A48" t="s">
        <v>2382</v>
      </c>
      <c r="B48" t="s">
        <v>1038</v>
      </c>
      <c r="C48" s="10"/>
      <c r="D48" s="10" t="s">
        <v>1039</v>
      </c>
      <c r="E48" s="10"/>
      <c r="F48" s="10"/>
      <c r="G48" s="10"/>
      <c r="H48" s="10"/>
      <c r="I48" s="10"/>
      <c r="J48" s="10"/>
      <c r="K48" s="10"/>
      <c r="L48" s="10"/>
      <c r="M48">
        <v>1</v>
      </c>
      <c r="R48" t="s">
        <v>2383</v>
      </c>
    </row>
    <row r="49" spans="1:18">
      <c r="A49" t="s">
        <v>2384</v>
      </c>
      <c r="B49" t="s">
        <v>1038</v>
      </c>
      <c r="C49" s="10"/>
      <c r="D49" s="10" t="s">
        <v>1039</v>
      </c>
      <c r="E49" s="10"/>
      <c r="F49" s="10"/>
      <c r="G49" s="10"/>
      <c r="H49" s="10"/>
      <c r="I49" s="10"/>
      <c r="J49" s="10"/>
      <c r="K49" s="10"/>
      <c r="L49" s="10"/>
      <c r="M49">
        <v>1</v>
      </c>
      <c r="R49" t="s">
        <v>2385</v>
      </c>
    </row>
    <row r="50" spans="1:18">
      <c r="A50" t="s">
        <v>2386</v>
      </c>
      <c r="B50" t="s">
        <v>1038</v>
      </c>
      <c r="C50" s="10"/>
      <c r="D50" s="10" t="s">
        <v>1039</v>
      </c>
      <c r="E50" s="10"/>
      <c r="F50" s="10"/>
      <c r="G50" s="10"/>
      <c r="H50" s="10"/>
      <c r="I50" s="10"/>
      <c r="J50" s="10"/>
      <c r="K50" s="10"/>
      <c r="L50" s="10"/>
      <c r="M50">
        <v>1</v>
      </c>
      <c r="R50" t="s">
        <v>2387</v>
      </c>
    </row>
    <row r="51" spans="1:18">
      <c r="A51" t="s">
        <v>2388</v>
      </c>
      <c r="B51" t="s">
        <v>1038</v>
      </c>
      <c r="C51" s="10"/>
      <c r="D51" s="10" t="s">
        <v>1039</v>
      </c>
      <c r="E51" s="10"/>
      <c r="F51" s="10"/>
      <c r="G51" s="10"/>
      <c r="H51" s="10"/>
      <c r="I51" s="10"/>
      <c r="J51" s="10"/>
      <c r="K51" s="10"/>
      <c r="L51" s="10"/>
      <c r="M51">
        <v>1</v>
      </c>
      <c r="R51" t="s">
        <v>2389</v>
      </c>
    </row>
    <row r="52" spans="1:18">
      <c r="A52" t="s">
        <v>2390</v>
      </c>
      <c r="B52" t="s">
        <v>1038</v>
      </c>
      <c r="C52" s="10"/>
      <c r="D52" s="10" t="s">
        <v>1039</v>
      </c>
      <c r="E52" s="10"/>
      <c r="F52" s="10"/>
      <c r="G52" s="10"/>
      <c r="H52" s="10"/>
      <c r="I52" s="10"/>
      <c r="J52" s="10"/>
      <c r="K52" s="10"/>
      <c r="L52" s="10"/>
      <c r="M52">
        <v>1</v>
      </c>
      <c r="R52" t="s">
        <v>2391</v>
      </c>
    </row>
    <row r="53" spans="1:18">
      <c r="A53" t="s">
        <v>2392</v>
      </c>
      <c r="B53" t="s">
        <v>1038</v>
      </c>
      <c r="C53" s="10"/>
      <c r="D53" s="10" t="s">
        <v>1039</v>
      </c>
      <c r="E53" s="10"/>
      <c r="F53" s="10"/>
      <c r="G53" s="10"/>
      <c r="H53" s="10"/>
      <c r="I53" s="10"/>
      <c r="J53" s="10"/>
      <c r="K53" s="10"/>
      <c r="L53" s="10"/>
      <c r="M53">
        <v>1</v>
      </c>
      <c r="R53" t="s">
        <v>2393</v>
      </c>
    </row>
    <row r="54" spans="1:18">
      <c r="A54" t="s">
        <v>2394</v>
      </c>
      <c r="B54" t="s">
        <v>1038</v>
      </c>
      <c r="C54" s="10"/>
      <c r="D54" s="10" t="s">
        <v>1039</v>
      </c>
      <c r="E54" s="10"/>
      <c r="F54" s="10"/>
      <c r="G54" s="10"/>
      <c r="H54" s="10"/>
      <c r="I54" s="10"/>
      <c r="J54" s="10"/>
      <c r="K54" s="10"/>
      <c r="L54" s="10"/>
      <c r="M54">
        <v>1</v>
      </c>
      <c r="R54" t="s">
        <v>2395</v>
      </c>
    </row>
    <row r="55" spans="1:18">
      <c r="A55" t="s">
        <v>2396</v>
      </c>
      <c r="B55" t="s">
        <v>1038</v>
      </c>
      <c r="C55" s="10"/>
      <c r="D55" s="10" t="s">
        <v>1039</v>
      </c>
      <c r="E55" s="10"/>
      <c r="F55" s="10"/>
      <c r="G55" s="10"/>
      <c r="H55" s="10"/>
      <c r="I55" s="10"/>
      <c r="J55" s="10"/>
      <c r="K55" s="10"/>
      <c r="L55" s="10"/>
      <c r="M55">
        <v>1</v>
      </c>
      <c r="R55" t="s">
        <v>2397</v>
      </c>
    </row>
    <row r="56" spans="1:18">
      <c r="A56" t="s">
        <v>2398</v>
      </c>
      <c r="B56" t="s">
        <v>1038</v>
      </c>
      <c r="C56" s="10"/>
      <c r="D56" s="10" t="s">
        <v>1039</v>
      </c>
      <c r="E56" s="10"/>
      <c r="F56" s="10"/>
      <c r="G56" s="10"/>
      <c r="H56" s="10"/>
      <c r="I56" s="10"/>
      <c r="J56" s="10"/>
      <c r="K56" s="10"/>
      <c r="L56" s="10"/>
      <c r="M56">
        <v>1</v>
      </c>
      <c r="R56" t="s">
        <v>2399</v>
      </c>
    </row>
    <row r="57" spans="1:18">
      <c r="A57" t="s">
        <v>2400</v>
      </c>
      <c r="B57" t="s">
        <v>1038</v>
      </c>
      <c r="C57" s="10"/>
      <c r="D57" s="10" t="s">
        <v>1039</v>
      </c>
      <c r="E57" s="10"/>
      <c r="F57" s="10"/>
      <c r="G57" s="10"/>
      <c r="H57" s="10"/>
      <c r="I57" s="10"/>
      <c r="J57" s="10"/>
      <c r="K57" s="10"/>
      <c r="L57" s="10"/>
      <c r="M57">
        <v>1</v>
      </c>
      <c r="R57" t="s">
        <v>2401</v>
      </c>
    </row>
    <row r="58" spans="1:18">
      <c r="A58" t="s">
        <v>2402</v>
      </c>
      <c r="B58" t="s">
        <v>1038</v>
      </c>
      <c r="C58" s="10"/>
      <c r="D58" s="10" t="s">
        <v>1039</v>
      </c>
      <c r="E58" s="10"/>
      <c r="F58" s="10"/>
      <c r="G58" s="10"/>
      <c r="H58" s="10"/>
      <c r="I58" s="10"/>
      <c r="J58" s="10"/>
      <c r="K58" s="10"/>
      <c r="L58" s="10"/>
      <c r="M58">
        <v>1</v>
      </c>
      <c r="R58" t="s">
        <v>2403</v>
      </c>
    </row>
    <row r="59" spans="1:18">
      <c r="A59" t="s">
        <v>2404</v>
      </c>
      <c r="B59" t="s">
        <v>1038</v>
      </c>
      <c r="C59" s="10"/>
      <c r="D59" s="10" t="s">
        <v>1039</v>
      </c>
      <c r="E59" s="10"/>
      <c r="F59" s="10"/>
      <c r="G59" s="10"/>
      <c r="H59" s="10"/>
      <c r="I59" s="10"/>
      <c r="J59" s="10"/>
      <c r="K59" s="10"/>
      <c r="L59" s="10"/>
      <c r="M59">
        <v>1</v>
      </c>
      <c r="R59" t="s">
        <v>2405</v>
      </c>
    </row>
    <row r="60" spans="1:18">
      <c r="A60" t="s">
        <v>2406</v>
      </c>
      <c r="B60" t="s">
        <v>1038</v>
      </c>
      <c r="C60" s="10"/>
      <c r="D60" s="10" t="s">
        <v>1039</v>
      </c>
      <c r="E60" s="10"/>
      <c r="F60" s="10"/>
      <c r="G60" s="10"/>
      <c r="H60" s="10"/>
      <c r="I60" s="10"/>
      <c r="J60" s="10"/>
      <c r="K60" s="10"/>
      <c r="L60" s="10"/>
      <c r="M60">
        <v>1</v>
      </c>
      <c r="R60" t="s">
        <v>2407</v>
      </c>
    </row>
    <row r="61" spans="1:18">
      <c r="A61" t="s">
        <v>2408</v>
      </c>
      <c r="B61" t="s">
        <v>1038</v>
      </c>
      <c r="C61" s="10"/>
      <c r="D61" s="10" t="s">
        <v>1039</v>
      </c>
      <c r="E61" s="10"/>
      <c r="F61" s="10"/>
      <c r="G61" s="10"/>
      <c r="H61" s="10"/>
      <c r="I61" s="10"/>
      <c r="J61" s="10"/>
      <c r="K61" s="10"/>
      <c r="L61" s="10"/>
      <c r="M61">
        <v>1</v>
      </c>
      <c r="R61" t="s">
        <v>2409</v>
      </c>
    </row>
    <row r="62" spans="1:18">
      <c r="A62" t="s">
        <v>2410</v>
      </c>
      <c r="B62" t="s">
        <v>1038</v>
      </c>
      <c r="C62" s="10"/>
      <c r="D62" s="10" t="s">
        <v>1039</v>
      </c>
      <c r="E62" s="10"/>
      <c r="F62" s="10"/>
      <c r="G62" s="10"/>
      <c r="H62" s="10"/>
      <c r="I62" s="10"/>
      <c r="J62" s="10"/>
      <c r="K62" s="10"/>
      <c r="L62" s="10"/>
      <c r="M62">
        <v>1</v>
      </c>
      <c r="R62" t="s">
        <v>2411</v>
      </c>
    </row>
    <row r="63" spans="1:18">
      <c r="A63" t="s">
        <v>2412</v>
      </c>
      <c r="B63" t="s">
        <v>1038</v>
      </c>
      <c r="C63" s="10"/>
      <c r="D63" s="10" t="s">
        <v>1039</v>
      </c>
      <c r="E63" s="10"/>
      <c r="F63" s="10"/>
      <c r="G63" s="10"/>
      <c r="H63" s="10"/>
      <c r="I63" s="10"/>
      <c r="J63" s="10"/>
      <c r="K63" s="10"/>
      <c r="L63" s="10"/>
      <c r="M63">
        <v>1</v>
      </c>
      <c r="R63" t="s">
        <v>2413</v>
      </c>
    </row>
    <row r="64" spans="1:18">
      <c r="A64" t="s">
        <v>2414</v>
      </c>
      <c r="B64" t="s">
        <v>1038</v>
      </c>
      <c r="C64" s="10"/>
      <c r="D64" s="10" t="s">
        <v>1039</v>
      </c>
      <c r="E64" s="10"/>
      <c r="F64" s="10"/>
      <c r="G64" s="10"/>
      <c r="H64" s="10"/>
      <c r="I64" s="10"/>
      <c r="J64" s="10"/>
      <c r="K64" s="10"/>
      <c r="L64" s="10"/>
      <c r="M64">
        <v>1</v>
      </c>
      <c r="R64" t="s">
        <v>2415</v>
      </c>
    </row>
    <row r="65" spans="1:18">
      <c r="A65" t="s">
        <v>2416</v>
      </c>
      <c r="B65" t="s">
        <v>1038</v>
      </c>
      <c r="C65" s="10"/>
      <c r="D65" s="10" t="s">
        <v>1039</v>
      </c>
      <c r="E65" s="10"/>
      <c r="F65" s="10"/>
      <c r="G65" s="10"/>
      <c r="H65" s="10"/>
      <c r="I65" s="10"/>
      <c r="J65" s="10"/>
      <c r="K65" s="10"/>
      <c r="L65" s="10"/>
      <c r="M65">
        <v>1</v>
      </c>
      <c r="R65" t="s">
        <v>2417</v>
      </c>
    </row>
    <row r="66" spans="1:18">
      <c r="A66" t="s">
        <v>2418</v>
      </c>
      <c r="B66" t="s">
        <v>1038</v>
      </c>
      <c r="C66" s="10"/>
      <c r="D66" s="10" t="s">
        <v>1039</v>
      </c>
      <c r="E66" s="10"/>
      <c r="F66" s="10"/>
      <c r="G66" s="10"/>
      <c r="H66" s="10"/>
      <c r="I66" s="10"/>
      <c r="J66" s="10"/>
      <c r="K66" s="10"/>
      <c r="L66" s="10"/>
      <c r="M66">
        <v>1</v>
      </c>
      <c r="R66" t="s">
        <v>2419</v>
      </c>
    </row>
    <row r="67" spans="1:18">
      <c r="A67" t="s">
        <v>2420</v>
      </c>
      <c r="B67" t="s">
        <v>1038</v>
      </c>
      <c r="C67" s="10"/>
      <c r="D67" s="10" t="s">
        <v>1039</v>
      </c>
      <c r="E67" s="10"/>
      <c r="F67" s="10"/>
      <c r="G67" s="10"/>
      <c r="H67" s="10"/>
      <c r="I67" s="10"/>
      <c r="J67" s="10"/>
      <c r="K67" s="10"/>
      <c r="L67" s="10"/>
      <c r="M67">
        <v>1</v>
      </c>
      <c r="R67" t="s">
        <v>2421</v>
      </c>
    </row>
    <row r="68" spans="1:18">
      <c r="A68" t="s">
        <v>2422</v>
      </c>
      <c r="B68" t="s">
        <v>1038</v>
      </c>
      <c r="C68" s="10"/>
      <c r="D68" s="10" t="s">
        <v>1039</v>
      </c>
      <c r="E68" s="10"/>
      <c r="F68" s="10"/>
      <c r="G68" s="10"/>
      <c r="H68" s="10"/>
      <c r="I68" s="10"/>
      <c r="J68" s="10"/>
      <c r="K68" s="10"/>
      <c r="L68" s="10"/>
      <c r="M68">
        <v>1</v>
      </c>
      <c r="R68" t="s">
        <v>2423</v>
      </c>
    </row>
    <row r="69" spans="1:18">
      <c r="A69" t="s">
        <v>2424</v>
      </c>
      <c r="B69" t="s">
        <v>1038</v>
      </c>
      <c r="C69" s="10"/>
      <c r="D69" s="10" t="s">
        <v>1039</v>
      </c>
      <c r="E69" s="10"/>
      <c r="F69" s="10"/>
      <c r="G69" s="10"/>
      <c r="H69" s="10"/>
      <c r="I69" s="10"/>
      <c r="J69" s="10"/>
      <c r="K69" s="10"/>
      <c r="L69" s="10"/>
      <c r="M69">
        <v>1</v>
      </c>
      <c r="R69" t="s">
        <v>2425</v>
      </c>
    </row>
    <row r="70" spans="1:18">
      <c r="A70" t="s">
        <v>2426</v>
      </c>
      <c r="B70" t="s">
        <v>1038</v>
      </c>
      <c r="C70" s="10"/>
      <c r="D70" s="10" t="s">
        <v>1039</v>
      </c>
      <c r="E70" s="10"/>
      <c r="F70" s="10"/>
      <c r="G70" s="10"/>
      <c r="H70" s="10"/>
      <c r="I70" s="10"/>
      <c r="J70" s="10"/>
      <c r="K70" s="10"/>
      <c r="L70" s="10"/>
      <c r="M70">
        <v>1</v>
      </c>
      <c r="R70" t="s">
        <v>2427</v>
      </c>
    </row>
    <row r="71" spans="1:18">
      <c r="A71" t="s">
        <v>2428</v>
      </c>
      <c r="B71" t="s">
        <v>1038</v>
      </c>
      <c r="C71" s="10"/>
      <c r="D71" s="10" t="s">
        <v>1039</v>
      </c>
      <c r="E71" s="10"/>
      <c r="F71" s="10"/>
      <c r="G71" s="10"/>
      <c r="H71" s="10"/>
      <c r="I71" s="10"/>
      <c r="J71" s="10"/>
      <c r="K71" s="10"/>
      <c r="L71" s="10"/>
      <c r="M71">
        <v>1</v>
      </c>
      <c r="R71" t="s">
        <v>2429</v>
      </c>
    </row>
    <row r="72" spans="1:18">
      <c r="A72" t="s">
        <v>2430</v>
      </c>
      <c r="B72" t="s">
        <v>1038</v>
      </c>
      <c r="C72" s="10"/>
      <c r="D72" s="10" t="s">
        <v>1039</v>
      </c>
      <c r="E72" s="10"/>
      <c r="F72" s="10"/>
      <c r="G72" s="10"/>
      <c r="H72" s="10"/>
      <c r="I72" s="10"/>
      <c r="J72" s="10"/>
      <c r="K72" s="10"/>
      <c r="L72" s="10"/>
      <c r="M72">
        <v>1</v>
      </c>
      <c r="R72" t="s">
        <v>2431</v>
      </c>
    </row>
    <row r="73" spans="1:18">
      <c r="A73" t="s">
        <v>2432</v>
      </c>
      <c r="B73" t="s">
        <v>1038</v>
      </c>
      <c r="C73" s="10"/>
      <c r="D73" s="10" t="s">
        <v>1039</v>
      </c>
      <c r="E73" s="10"/>
      <c r="F73" s="10"/>
      <c r="G73" s="10"/>
      <c r="H73" s="10"/>
      <c r="I73" s="10"/>
      <c r="J73" s="10"/>
      <c r="K73" s="10"/>
      <c r="L73" s="10"/>
      <c r="M73">
        <v>1</v>
      </c>
      <c r="R73" t="s">
        <v>2433</v>
      </c>
    </row>
    <row r="74" spans="1:18">
      <c r="A74" t="s">
        <v>2434</v>
      </c>
      <c r="B74" t="s">
        <v>1038</v>
      </c>
      <c r="C74" s="10"/>
      <c r="D74" s="10" t="s">
        <v>1039</v>
      </c>
      <c r="E74" s="10"/>
      <c r="F74" s="10"/>
      <c r="G74" s="10"/>
      <c r="H74" s="10"/>
      <c r="I74" s="10"/>
      <c r="J74" s="10"/>
      <c r="K74" s="10"/>
      <c r="L74" s="10"/>
      <c r="M74">
        <v>1</v>
      </c>
      <c r="R74" t="s">
        <v>2435</v>
      </c>
    </row>
    <row r="75" spans="1:18">
      <c r="A75" t="s">
        <v>2436</v>
      </c>
      <c r="B75" t="s">
        <v>1038</v>
      </c>
      <c r="C75" s="10"/>
      <c r="D75" s="10" t="s">
        <v>1039</v>
      </c>
      <c r="E75" s="10"/>
      <c r="F75" s="10"/>
      <c r="G75" s="10"/>
      <c r="H75" s="10"/>
      <c r="I75" s="10"/>
      <c r="J75" s="10"/>
      <c r="K75" s="10"/>
      <c r="L75" s="10"/>
      <c r="M75">
        <v>1</v>
      </c>
      <c r="R75" t="s">
        <v>2437</v>
      </c>
    </row>
    <row r="76" spans="1:18">
      <c r="A76" t="s">
        <v>2438</v>
      </c>
      <c r="B76" t="s">
        <v>1038</v>
      </c>
      <c r="C76" s="10"/>
      <c r="D76" s="10" t="s">
        <v>1039</v>
      </c>
      <c r="E76" s="10"/>
      <c r="F76" s="10"/>
      <c r="G76" s="10"/>
      <c r="H76" s="10"/>
      <c r="I76" s="10"/>
      <c r="J76" s="10"/>
      <c r="K76" s="10"/>
      <c r="L76" s="10"/>
      <c r="M76">
        <v>1</v>
      </c>
      <c r="R76" t="s">
        <v>2439</v>
      </c>
    </row>
    <row r="77" spans="1:18">
      <c r="A77" t="s">
        <v>2440</v>
      </c>
      <c r="B77" t="s">
        <v>1038</v>
      </c>
      <c r="C77" s="10"/>
      <c r="D77" s="10" t="s">
        <v>1039</v>
      </c>
      <c r="E77" s="10"/>
      <c r="F77" s="10"/>
      <c r="G77" s="10"/>
      <c r="H77" s="10"/>
      <c r="I77" s="10"/>
      <c r="J77" s="10"/>
      <c r="K77" s="10"/>
      <c r="L77" s="10"/>
      <c r="M77">
        <v>1</v>
      </c>
      <c r="R77" t="s">
        <v>2441</v>
      </c>
    </row>
    <row r="78" spans="1:18">
      <c r="A78" t="s">
        <v>2442</v>
      </c>
      <c r="B78" t="s">
        <v>1038</v>
      </c>
      <c r="C78" s="10"/>
      <c r="D78" s="10" t="s">
        <v>1039</v>
      </c>
      <c r="E78" s="10"/>
      <c r="F78" s="10"/>
      <c r="G78" s="10"/>
      <c r="H78" s="10"/>
      <c r="I78" s="10"/>
      <c r="J78" s="10"/>
      <c r="K78" s="10"/>
      <c r="L78" s="10"/>
      <c r="M78">
        <v>1</v>
      </c>
      <c r="R78" t="s">
        <v>2443</v>
      </c>
    </row>
    <row r="79" spans="1:18">
      <c r="A79" t="s">
        <v>2444</v>
      </c>
      <c r="B79" t="s">
        <v>1038</v>
      </c>
      <c r="C79" s="10"/>
      <c r="D79" s="10" t="s">
        <v>1039</v>
      </c>
      <c r="E79" s="10"/>
      <c r="F79" s="10"/>
      <c r="G79" s="10"/>
      <c r="H79" s="10"/>
      <c r="I79" s="10"/>
      <c r="J79" s="10"/>
      <c r="K79" s="10"/>
      <c r="L79" s="10"/>
      <c r="M79">
        <v>1</v>
      </c>
      <c r="R79" t="s">
        <v>2445</v>
      </c>
    </row>
    <row r="80" spans="1:18">
      <c r="A80" t="s">
        <v>2446</v>
      </c>
      <c r="B80" t="s">
        <v>1038</v>
      </c>
      <c r="C80" s="10"/>
      <c r="D80" s="10" t="s">
        <v>1039</v>
      </c>
      <c r="E80" s="10"/>
      <c r="F80" s="10"/>
      <c r="G80" s="10"/>
      <c r="H80" s="10"/>
      <c r="I80" s="10"/>
      <c r="J80" s="10"/>
      <c r="K80" s="10"/>
      <c r="L80" s="10"/>
      <c r="M80">
        <v>1</v>
      </c>
      <c r="R80" t="s">
        <v>2447</v>
      </c>
    </row>
    <row r="81" spans="1:18">
      <c r="A81" t="s">
        <v>2448</v>
      </c>
      <c r="B81" t="s">
        <v>1038</v>
      </c>
      <c r="C81" s="10"/>
      <c r="D81" s="10" t="s">
        <v>1039</v>
      </c>
      <c r="E81" s="10"/>
      <c r="F81" s="10"/>
      <c r="G81" s="10"/>
      <c r="H81" s="10"/>
      <c r="I81" s="10"/>
      <c r="J81" s="10"/>
      <c r="K81" s="10"/>
      <c r="L81" s="10"/>
      <c r="M81">
        <v>1</v>
      </c>
      <c r="R81" t="s">
        <v>2449</v>
      </c>
    </row>
    <row r="82" spans="1:18">
      <c r="A82" t="s">
        <v>2450</v>
      </c>
      <c r="B82" t="s">
        <v>1038</v>
      </c>
      <c r="C82" s="10"/>
      <c r="D82" s="10" t="s">
        <v>1039</v>
      </c>
      <c r="E82" s="10"/>
      <c r="F82" s="10"/>
      <c r="G82" s="10"/>
      <c r="H82" s="10"/>
      <c r="I82" s="10"/>
      <c r="J82" s="10"/>
      <c r="K82" s="10"/>
      <c r="L82" s="10"/>
      <c r="M82">
        <v>1</v>
      </c>
      <c r="R82" t="s">
        <v>2451</v>
      </c>
    </row>
    <row r="83" spans="1:18">
      <c r="A83" t="s">
        <v>2452</v>
      </c>
      <c r="B83" t="s">
        <v>1038</v>
      </c>
      <c r="C83" s="10"/>
      <c r="D83" s="10" t="s">
        <v>1039</v>
      </c>
      <c r="E83" s="10"/>
      <c r="F83" s="10"/>
      <c r="G83" s="10"/>
      <c r="H83" s="10"/>
      <c r="I83" s="10"/>
      <c r="J83" s="10"/>
      <c r="K83" s="10"/>
      <c r="L83" s="10"/>
      <c r="M83">
        <v>1</v>
      </c>
      <c r="R83" t="s">
        <v>2453</v>
      </c>
    </row>
    <row r="84" spans="1:18">
      <c r="A84" t="s">
        <v>2454</v>
      </c>
      <c r="B84" t="s">
        <v>1038</v>
      </c>
      <c r="C84" s="10"/>
      <c r="D84" s="10" t="s">
        <v>1039</v>
      </c>
      <c r="E84" s="10"/>
      <c r="F84" s="10"/>
      <c r="G84" s="10"/>
      <c r="H84" s="10"/>
      <c r="I84" s="10"/>
      <c r="J84" s="10"/>
      <c r="K84" s="10"/>
      <c r="L84" s="10"/>
      <c r="M84">
        <v>1</v>
      </c>
      <c r="R84" t="s">
        <v>2455</v>
      </c>
    </row>
    <row r="85" spans="1:18">
      <c r="A85" t="s">
        <v>2456</v>
      </c>
      <c r="B85" t="s">
        <v>1038</v>
      </c>
      <c r="C85" s="10"/>
      <c r="D85" s="10" t="s">
        <v>1039</v>
      </c>
      <c r="E85" s="10"/>
      <c r="F85" s="10"/>
      <c r="G85" s="10"/>
      <c r="H85" s="10"/>
      <c r="I85" s="10"/>
      <c r="J85" s="10"/>
      <c r="K85" s="10"/>
      <c r="L85" s="10"/>
      <c r="M85">
        <v>1</v>
      </c>
      <c r="R85" t="s">
        <v>2457</v>
      </c>
    </row>
    <row r="86" spans="1:18">
      <c r="A86" t="s">
        <v>2458</v>
      </c>
      <c r="B86" t="s">
        <v>1038</v>
      </c>
      <c r="C86" s="10"/>
      <c r="D86" s="10" t="s">
        <v>1039</v>
      </c>
      <c r="E86" s="10"/>
      <c r="F86" s="10"/>
      <c r="G86" s="10"/>
      <c r="H86" s="10"/>
      <c r="I86" s="10"/>
      <c r="J86" s="10"/>
      <c r="K86" s="10"/>
      <c r="L86" s="10"/>
      <c r="M86">
        <v>1</v>
      </c>
      <c r="R86" t="s">
        <v>2459</v>
      </c>
    </row>
    <row r="87" spans="1:18">
      <c r="A87" t="s">
        <v>2460</v>
      </c>
      <c r="B87" t="s">
        <v>1038</v>
      </c>
      <c r="C87" s="10"/>
      <c r="D87" s="10" t="s">
        <v>1039</v>
      </c>
      <c r="E87" s="10"/>
      <c r="F87" s="10"/>
      <c r="G87" s="10"/>
      <c r="H87" s="10"/>
      <c r="I87" s="10"/>
      <c r="J87" s="10"/>
      <c r="K87" s="10"/>
      <c r="L87" s="10"/>
      <c r="M87">
        <v>1</v>
      </c>
      <c r="R87" t="s">
        <v>2461</v>
      </c>
    </row>
    <row r="88" spans="1:18">
      <c r="A88" t="s">
        <v>2462</v>
      </c>
      <c r="B88" t="s">
        <v>1038</v>
      </c>
      <c r="C88" s="10"/>
      <c r="D88" s="10" t="s">
        <v>1039</v>
      </c>
      <c r="E88" s="10"/>
      <c r="F88" s="10"/>
      <c r="G88" s="10"/>
      <c r="H88" s="10"/>
      <c r="I88" s="10"/>
      <c r="J88" s="10"/>
      <c r="K88" s="10"/>
      <c r="L88" s="10"/>
      <c r="M88">
        <v>1</v>
      </c>
      <c r="R88" t="s">
        <v>2463</v>
      </c>
    </row>
    <row r="89" spans="1:18">
      <c r="A89" t="s">
        <v>2464</v>
      </c>
      <c r="B89" t="s">
        <v>1038</v>
      </c>
      <c r="C89" s="10"/>
      <c r="D89" s="10" t="s">
        <v>1039</v>
      </c>
      <c r="E89" s="10"/>
      <c r="F89" s="10"/>
      <c r="G89" s="10"/>
      <c r="H89" s="10"/>
      <c r="I89" s="10"/>
      <c r="J89" s="10"/>
      <c r="K89" s="10"/>
      <c r="L89" s="10"/>
      <c r="M89">
        <v>1</v>
      </c>
      <c r="R89" t="s">
        <v>2465</v>
      </c>
    </row>
    <row r="90" spans="1:18">
      <c r="A90" t="s">
        <v>2466</v>
      </c>
      <c r="B90" t="s">
        <v>1038</v>
      </c>
      <c r="C90" s="10"/>
      <c r="D90" s="10" t="s">
        <v>1039</v>
      </c>
      <c r="E90" s="10"/>
      <c r="F90" s="10"/>
      <c r="G90" s="10"/>
      <c r="H90" s="10"/>
      <c r="I90" s="10"/>
      <c r="J90" s="10"/>
      <c r="K90" s="10"/>
      <c r="L90" s="10"/>
      <c r="M90">
        <v>1</v>
      </c>
      <c r="R90" t="s">
        <v>2467</v>
      </c>
    </row>
    <row r="91" spans="1:18">
      <c r="A91" t="s">
        <v>2468</v>
      </c>
      <c r="B91" t="s">
        <v>1038</v>
      </c>
      <c r="C91" s="10"/>
      <c r="D91" s="10" t="s">
        <v>1039</v>
      </c>
      <c r="E91" s="10"/>
      <c r="F91" s="10"/>
      <c r="G91" s="10"/>
      <c r="H91" s="10"/>
      <c r="I91" s="10"/>
      <c r="J91" s="10"/>
      <c r="K91" s="10"/>
      <c r="L91" s="10"/>
      <c r="M91">
        <v>1</v>
      </c>
      <c r="R91" t="s">
        <v>2469</v>
      </c>
    </row>
    <row r="92" spans="1:18">
      <c r="A92" t="s">
        <v>2470</v>
      </c>
      <c r="B92" t="s">
        <v>1038</v>
      </c>
      <c r="C92" s="10"/>
      <c r="D92" s="10" t="s">
        <v>1039</v>
      </c>
      <c r="E92" s="10"/>
      <c r="F92" s="10"/>
      <c r="G92" s="10"/>
      <c r="H92" s="10"/>
      <c r="I92" s="10"/>
      <c r="J92" s="10"/>
      <c r="K92" s="10"/>
      <c r="L92" s="10"/>
      <c r="M92">
        <v>1</v>
      </c>
      <c r="R92" t="s">
        <v>2471</v>
      </c>
    </row>
    <row r="93" spans="1:18">
      <c r="A93" t="s">
        <v>2472</v>
      </c>
      <c r="B93" t="s">
        <v>1038</v>
      </c>
      <c r="C93" s="10"/>
      <c r="D93" s="10" t="s">
        <v>1039</v>
      </c>
      <c r="E93" s="10"/>
      <c r="F93" s="10"/>
      <c r="G93" s="10"/>
      <c r="H93" s="10"/>
      <c r="I93" s="10"/>
      <c r="J93" s="10"/>
      <c r="K93" s="10"/>
      <c r="L93" s="10"/>
      <c r="M93">
        <v>1</v>
      </c>
      <c r="R93" t="s">
        <v>2473</v>
      </c>
    </row>
    <row r="94" spans="1:18">
      <c r="A94" t="s">
        <v>2474</v>
      </c>
      <c r="B94" t="s">
        <v>1038</v>
      </c>
      <c r="C94" s="10"/>
      <c r="D94" s="10" t="s">
        <v>1039</v>
      </c>
      <c r="E94" s="10"/>
      <c r="F94" s="10"/>
      <c r="G94" s="10"/>
      <c r="H94" s="10"/>
      <c r="I94" s="10"/>
      <c r="J94" s="10"/>
      <c r="K94" s="10"/>
      <c r="L94" s="10"/>
      <c r="M94">
        <v>1</v>
      </c>
      <c r="R94" t="s">
        <v>2475</v>
      </c>
    </row>
    <row r="95" spans="1:18">
      <c r="A95" t="s">
        <v>2476</v>
      </c>
      <c r="B95" t="s">
        <v>1038</v>
      </c>
      <c r="C95" s="10"/>
      <c r="D95" s="10" t="s">
        <v>1039</v>
      </c>
      <c r="E95" s="10"/>
      <c r="F95" s="10"/>
      <c r="G95" s="10"/>
      <c r="H95" s="10"/>
      <c r="I95" s="10"/>
      <c r="J95" s="10"/>
      <c r="K95" s="10"/>
      <c r="L95" s="10"/>
      <c r="M95">
        <v>1</v>
      </c>
      <c r="R95" t="s">
        <v>2477</v>
      </c>
    </row>
    <row r="96" spans="1:18">
      <c r="A96" t="s">
        <v>2478</v>
      </c>
      <c r="B96" t="s">
        <v>1038</v>
      </c>
      <c r="C96" s="10"/>
      <c r="D96" s="10" t="s">
        <v>1039</v>
      </c>
      <c r="E96" s="10"/>
      <c r="F96" s="10"/>
      <c r="G96" s="10"/>
      <c r="H96" s="10"/>
      <c r="I96" s="10"/>
      <c r="J96" s="10"/>
      <c r="K96" s="10"/>
      <c r="L96" s="10"/>
      <c r="M96">
        <v>1</v>
      </c>
      <c r="R96" t="s">
        <v>2479</v>
      </c>
    </row>
    <row r="97" spans="1:18">
      <c r="A97" t="s">
        <v>2480</v>
      </c>
      <c r="B97" t="s">
        <v>1038</v>
      </c>
      <c r="C97" s="10"/>
      <c r="D97" s="10" t="s">
        <v>1039</v>
      </c>
      <c r="E97" s="10"/>
      <c r="F97" s="10"/>
      <c r="G97" s="10"/>
      <c r="H97" s="10"/>
      <c r="I97" s="10"/>
      <c r="J97" s="10"/>
      <c r="K97" s="10"/>
      <c r="L97" s="10"/>
      <c r="M97">
        <v>1</v>
      </c>
      <c r="R97" t="s">
        <v>2481</v>
      </c>
    </row>
    <row r="98" spans="1:18">
      <c r="A98" t="s">
        <v>2482</v>
      </c>
      <c r="B98" t="s">
        <v>1038</v>
      </c>
      <c r="C98" s="10"/>
      <c r="D98" s="10" t="s">
        <v>1039</v>
      </c>
      <c r="E98" s="10"/>
      <c r="F98" s="10"/>
      <c r="G98" s="10"/>
      <c r="H98" s="10"/>
      <c r="I98" s="10"/>
      <c r="J98" s="10"/>
      <c r="K98" s="10"/>
      <c r="L98" s="10"/>
      <c r="M98">
        <v>1</v>
      </c>
      <c r="R98" t="s">
        <v>2483</v>
      </c>
    </row>
    <row r="99" spans="1:18">
      <c r="A99" t="s">
        <v>2484</v>
      </c>
      <c r="B99" t="s">
        <v>1038</v>
      </c>
      <c r="C99" s="10"/>
      <c r="D99" s="10" t="s">
        <v>1039</v>
      </c>
      <c r="E99" s="10"/>
      <c r="F99" s="10"/>
      <c r="G99" s="10"/>
      <c r="H99" s="10"/>
      <c r="I99" s="10"/>
      <c r="J99" s="10"/>
      <c r="K99" s="10"/>
      <c r="L99" s="10"/>
      <c r="M99">
        <v>1</v>
      </c>
      <c r="R99" t="s">
        <v>2485</v>
      </c>
    </row>
    <row r="100" spans="1:18">
      <c r="A100" t="s">
        <v>2486</v>
      </c>
      <c r="B100" t="s">
        <v>1038</v>
      </c>
      <c r="C100" s="10"/>
      <c r="D100" s="10" t="s">
        <v>1039</v>
      </c>
      <c r="E100" s="10"/>
      <c r="F100" s="10"/>
      <c r="G100" s="10"/>
      <c r="H100" s="10"/>
      <c r="I100" s="10"/>
      <c r="J100" s="10"/>
      <c r="K100" s="10"/>
      <c r="L100" s="10"/>
      <c r="M100">
        <v>1</v>
      </c>
      <c r="R100" t="s">
        <v>2487</v>
      </c>
    </row>
    <row r="101" spans="1:18">
      <c r="A101" t="str">
        <f>$V$2&amp;"NOT_LINK_BR1"</f>
        <v>NOT_LINK_BR1</v>
      </c>
      <c r="B101" t="s">
        <v>74</v>
      </c>
      <c r="C101" s="10"/>
      <c r="D101" s="10"/>
      <c r="E101" s="10"/>
      <c r="F101" t="s">
        <v>72</v>
      </c>
      <c r="G101" t="s">
        <v>71</v>
      </c>
      <c r="H101">
        <v>0</v>
      </c>
      <c r="I101" t="s">
        <v>72</v>
      </c>
      <c r="J101" t="s">
        <v>73</v>
      </c>
      <c r="K101" s="515" t="s">
        <v>1383</v>
      </c>
      <c r="L101" s="10"/>
      <c r="M101">
        <v>1</v>
      </c>
      <c r="R101" t="s">
        <v>1041</v>
      </c>
    </row>
    <row r="102" spans="1:18">
      <c r="A102" t="str">
        <f>$V$2&amp;"NOT_LINK_BR2"</f>
        <v>NOT_LINK_BR2</v>
      </c>
      <c r="B102" t="s">
        <v>74</v>
      </c>
      <c r="C102" s="10"/>
      <c r="D102" s="10"/>
      <c r="E102" s="10"/>
      <c r="F102" t="s">
        <v>72</v>
      </c>
      <c r="G102" t="s">
        <v>71</v>
      </c>
      <c r="H102">
        <v>0</v>
      </c>
      <c r="I102" t="s">
        <v>72</v>
      </c>
      <c r="J102" t="s">
        <v>73</v>
      </c>
      <c r="K102" s="515" t="s">
        <v>1383</v>
      </c>
      <c r="L102" s="10"/>
      <c r="M102">
        <v>1</v>
      </c>
      <c r="R102" t="s">
        <v>1100</v>
      </c>
    </row>
    <row r="103" spans="1:18">
      <c r="A103" t="str">
        <f>$V$2&amp;"NOT_LINK_BR3"</f>
        <v>NOT_LINK_BR3</v>
      </c>
      <c r="B103" t="s">
        <v>74</v>
      </c>
      <c r="C103" s="10"/>
      <c r="D103" s="10"/>
      <c r="E103" s="10"/>
      <c r="F103" t="s">
        <v>72</v>
      </c>
      <c r="G103" t="s">
        <v>71</v>
      </c>
      <c r="H103">
        <v>0</v>
      </c>
      <c r="I103" t="s">
        <v>72</v>
      </c>
      <c r="J103" t="s">
        <v>73</v>
      </c>
      <c r="K103" s="515" t="s">
        <v>1383</v>
      </c>
      <c r="L103" s="10"/>
      <c r="M103">
        <v>1</v>
      </c>
      <c r="R103" t="s">
        <v>1101</v>
      </c>
    </row>
    <row r="104" spans="1:18">
      <c r="A104" t="str">
        <f>$V$2&amp;"NOT_LINK_BR4"</f>
        <v>NOT_LINK_BR4</v>
      </c>
      <c r="B104" t="s">
        <v>74</v>
      </c>
      <c r="C104" s="10"/>
      <c r="D104" s="10"/>
      <c r="E104" s="10"/>
      <c r="F104" t="s">
        <v>72</v>
      </c>
      <c r="G104" t="s">
        <v>71</v>
      </c>
      <c r="H104">
        <v>0</v>
      </c>
      <c r="I104" t="s">
        <v>72</v>
      </c>
      <c r="J104" t="s">
        <v>73</v>
      </c>
      <c r="K104" s="515" t="s">
        <v>1383</v>
      </c>
      <c r="L104" s="10"/>
      <c r="M104">
        <v>1</v>
      </c>
      <c r="R104" t="s">
        <v>1102</v>
      </c>
    </row>
    <row r="105" spans="1:18">
      <c r="A105" t="str">
        <f>$V$2&amp;"NOT_LINK_BR5"</f>
        <v>NOT_LINK_BR5</v>
      </c>
      <c r="B105" t="s">
        <v>74</v>
      </c>
      <c r="C105" s="10"/>
      <c r="D105" s="10"/>
      <c r="E105" s="10"/>
      <c r="F105" t="s">
        <v>72</v>
      </c>
      <c r="G105" t="s">
        <v>71</v>
      </c>
      <c r="H105">
        <v>0</v>
      </c>
      <c r="I105" t="s">
        <v>72</v>
      </c>
      <c r="J105" t="s">
        <v>73</v>
      </c>
      <c r="K105" s="515" t="s">
        <v>1383</v>
      </c>
      <c r="L105" s="10"/>
      <c r="M105">
        <v>1</v>
      </c>
      <c r="R105" t="s">
        <v>1103</v>
      </c>
    </row>
    <row r="106" spans="1:18">
      <c r="A106" t="str">
        <f>$V$2&amp;"NOT_LINK_BR6"</f>
        <v>NOT_LINK_BR6</v>
      </c>
      <c r="B106" t="s">
        <v>74</v>
      </c>
      <c r="C106" s="10"/>
      <c r="D106" s="10"/>
      <c r="E106" s="10"/>
      <c r="F106" t="s">
        <v>72</v>
      </c>
      <c r="G106" t="s">
        <v>71</v>
      </c>
      <c r="H106">
        <v>0</v>
      </c>
      <c r="I106" t="s">
        <v>72</v>
      </c>
      <c r="J106" t="s">
        <v>73</v>
      </c>
      <c r="K106" s="515" t="s">
        <v>1383</v>
      </c>
      <c r="L106" s="10"/>
      <c r="M106">
        <v>1</v>
      </c>
      <c r="R106" t="s">
        <v>1104</v>
      </c>
    </row>
    <row r="107" spans="1:18">
      <c r="A107" t="str">
        <f>$V$2&amp;"NOT_LINK_BR7"</f>
        <v>NOT_LINK_BR7</v>
      </c>
      <c r="B107" t="s">
        <v>74</v>
      </c>
      <c r="C107" s="10"/>
      <c r="D107" s="10"/>
      <c r="E107" s="10"/>
      <c r="F107" t="s">
        <v>72</v>
      </c>
      <c r="G107" t="s">
        <v>71</v>
      </c>
      <c r="H107">
        <v>0</v>
      </c>
      <c r="I107" t="s">
        <v>72</v>
      </c>
      <c r="J107" t="s">
        <v>73</v>
      </c>
      <c r="K107" s="515" t="s">
        <v>1383</v>
      </c>
      <c r="L107" s="10"/>
      <c r="M107">
        <v>1</v>
      </c>
      <c r="R107" t="s">
        <v>1105</v>
      </c>
    </row>
    <row r="108" spans="1:18">
      <c r="A108" t="str">
        <f>$V$2&amp;"NOT_LINK_BR8"</f>
        <v>NOT_LINK_BR8</v>
      </c>
      <c r="B108" t="s">
        <v>74</v>
      </c>
      <c r="C108" s="10"/>
      <c r="D108" s="10"/>
      <c r="E108" s="10"/>
      <c r="F108" t="s">
        <v>72</v>
      </c>
      <c r="G108" t="s">
        <v>71</v>
      </c>
      <c r="H108">
        <v>0</v>
      </c>
      <c r="I108" t="s">
        <v>72</v>
      </c>
      <c r="J108" t="s">
        <v>73</v>
      </c>
      <c r="K108" s="515" t="s">
        <v>1383</v>
      </c>
      <c r="L108" s="10"/>
      <c r="M108">
        <v>1</v>
      </c>
      <c r="R108" t="s">
        <v>1106</v>
      </c>
    </row>
    <row r="109" spans="1:18">
      <c r="A109" t="str">
        <f>$V$2&amp;"NOT_LINK_BR9"</f>
        <v>NOT_LINK_BR9</v>
      </c>
      <c r="B109" t="s">
        <v>74</v>
      </c>
      <c r="C109" s="10"/>
      <c r="D109" s="10"/>
      <c r="E109" s="10"/>
      <c r="F109" t="s">
        <v>72</v>
      </c>
      <c r="G109" t="s">
        <v>71</v>
      </c>
      <c r="H109">
        <v>0</v>
      </c>
      <c r="I109" t="s">
        <v>72</v>
      </c>
      <c r="J109" t="s">
        <v>73</v>
      </c>
      <c r="K109" s="515" t="s">
        <v>1383</v>
      </c>
      <c r="L109" s="10"/>
      <c r="M109">
        <v>1</v>
      </c>
      <c r="R109" t="s">
        <v>1107</v>
      </c>
    </row>
    <row r="110" spans="1:18">
      <c r="A110" t="str">
        <f>$V$2&amp;"NOT_LINK_BR10"</f>
        <v>NOT_LINK_BR10</v>
      </c>
      <c r="B110" t="s">
        <v>74</v>
      </c>
      <c r="C110" s="10"/>
      <c r="D110" s="10"/>
      <c r="E110" s="10"/>
      <c r="F110" t="s">
        <v>72</v>
      </c>
      <c r="G110" t="s">
        <v>71</v>
      </c>
      <c r="H110">
        <v>0</v>
      </c>
      <c r="I110" t="s">
        <v>72</v>
      </c>
      <c r="J110" t="s">
        <v>73</v>
      </c>
      <c r="K110" s="515" t="s">
        <v>1383</v>
      </c>
      <c r="L110" s="10"/>
      <c r="M110">
        <v>1</v>
      </c>
      <c r="R110" t="s">
        <v>1108</v>
      </c>
    </row>
    <row r="111" spans="1:18">
      <c r="A111" t="str">
        <f>$V$2&amp;"NOT_LINK_BR11"</f>
        <v>NOT_LINK_BR11</v>
      </c>
      <c r="B111" t="s">
        <v>74</v>
      </c>
      <c r="C111" s="10"/>
      <c r="D111" s="10"/>
      <c r="E111" s="10"/>
      <c r="F111" t="s">
        <v>72</v>
      </c>
      <c r="G111" t="s">
        <v>71</v>
      </c>
      <c r="H111">
        <v>0</v>
      </c>
      <c r="I111" t="s">
        <v>72</v>
      </c>
      <c r="J111" t="s">
        <v>73</v>
      </c>
      <c r="K111" s="515" t="s">
        <v>1383</v>
      </c>
      <c r="L111" s="10"/>
      <c r="M111">
        <v>1</v>
      </c>
      <c r="R111" t="s">
        <v>1109</v>
      </c>
    </row>
    <row r="112" spans="1:18">
      <c r="A112" t="str">
        <f>$V$2&amp;"NOT_LINK_BR12"</f>
        <v>NOT_LINK_BR12</v>
      </c>
      <c r="B112" t="s">
        <v>74</v>
      </c>
      <c r="C112" s="10"/>
      <c r="D112" s="10"/>
      <c r="E112" s="10"/>
      <c r="F112" t="s">
        <v>72</v>
      </c>
      <c r="G112" t="s">
        <v>71</v>
      </c>
      <c r="H112">
        <v>0</v>
      </c>
      <c r="I112" t="s">
        <v>72</v>
      </c>
      <c r="J112" t="s">
        <v>73</v>
      </c>
      <c r="K112" s="515" t="s">
        <v>1383</v>
      </c>
      <c r="L112" s="10"/>
      <c r="M112">
        <v>1</v>
      </c>
      <c r="R112" t="s">
        <v>1110</v>
      </c>
    </row>
    <row r="113" spans="1:18">
      <c r="A113" t="str">
        <f>$V$2&amp;"NOT_LINK_BR13"</f>
        <v>NOT_LINK_BR13</v>
      </c>
      <c r="B113" t="s">
        <v>74</v>
      </c>
      <c r="C113" s="10"/>
      <c r="D113" s="10"/>
      <c r="E113" s="10"/>
      <c r="F113" t="s">
        <v>72</v>
      </c>
      <c r="G113" t="s">
        <v>71</v>
      </c>
      <c r="H113">
        <v>0</v>
      </c>
      <c r="I113" t="s">
        <v>72</v>
      </c>
      <c r="J113" t="s">
        <v>73</v>
      </c>
      <c r="K113" s="515" t="s">
        <v>1383</v>
      </c>
      <c r="L113" s="10"/>
      <c r="M113">
        <v>1</v>
      </c>
      <c r="R113" t="s">
        <v>1111</v>
      </c>
    </row>
    <row r="114" spans="1:18">
      <c r="A114" t="str">
        <f>$V$2&amp;"NOT_LINK_BR14"</f>
        <v>NOT_LINK_BR14</v>
      </c>
      <c r="B114" t="s">
        <v>74</v>
      </c>
      <c r="C114" s="10"/>
      <c r="D114" s="10"/>
      <c r="E114" s="10"/>
      <c r="F114" t="s">
        <v>72</v>
      </c>
      <c r="G114" t="s">
        <v>71</v>
      </c>
      <c r="H114">
        <v>0</v>
      </c>
      <c r="I114" t="s">
        <v>72</v>
      </c>
      <c r="J114" t="s">
        <v>73</v>
      </c>
      <c r="K114" s="515" t="s">
        <v>1383</v>
      </c>
      <c r="L114" s="10"/>
      <c r="M114">
        <v>1</v>
      </c>
      <c r="R114" t="s">
        <v>1112</v>
      </c>
    </row>
    <row r="115" spans="1:18">
      <c r="A115" t="str">
        <f>$V$2&amp;"NOT_LINK_BR15"</f>
        <v>NOT_LINK_BR15</v>
      </c>
      <c r="B115" t="s">
        <v>74</v>
      </c>
      <c r="C115" s="10"/>
      <c r="D115" s="10"/>
      <c r="E115" s="10"/>
      <c r="F115" t="s">
        <v>72</v>
      </c>
      <c r="G115" t="s">
        <v>71</v>
      </c>
      <c r="H115">
        <v>0</v>
      </c>
      <c r="I115" t="s">
        <v>72</v>
      </c>
      <c r="J115" t="s">
        <v>73</v>
      </c>
      <c r="K115" s="515" t="s">
        <v>1383</v>
      </c>
      <c r="L115" s="10"/>
      <c r="M115">
        <v>1</v>
      </c>
      <c r="R115" t="s">
        <v>1113</v>
      </c>
    </row>
    <row r="116" spans="1:18">
      <c r="A116" t="str">
        <f>$V$2&amp;"NOT_LINK_BR16"</f>
        <v>NOT_LINK_BR16</v>
      </c>
      <c r="B116" t="s">
        <v>74</v>
      </c>
      <c r="C116" s="10"/>
      <c r="D116" s="10"/>
      <c r="E116" s="10"/>
      <c r="F116" t="s">
        <v>72</v>
      </c>
      <c r="G116" t="s">
        <v>71</v>
      </c>
      <c r="H116">
        <v>0</v>
      </c>
      <c r="I116" t="s">
        <v>72</v>
      </c>
      <c r="J116" t="s">
        <v>73</v>
      </c>
      <c r="K116" s="515" t="s">
        <v>1383</v>
      </c>
      <c r="L116" s="10"/>
      <c r="M116">
        <v>1</v>
      </c>
      <c r="R116" t="s">
        <v>1114</v>
      </c>
    </row>
    <row r="117" spans="1:18">
      <c r="A117" t="str">
        <f>$V$2&amp;"NOT_LINK_BR17"</f>
        <v>NOT_LINK_BR17</v>
      </c>
      <c r="B117" t="s">
        <v>74</v>
      </c>
      <c r="C117" s="10"/>
      <c r="D117" s="10"/>
      <c r="E117" s="10"/>
      <c r="F117" t="s">
        <v>72</v>
      </c>
      <c r="G117" t="s">
        <v>71</v>
      </c>
      <c r="H117">
        <v>0</v>
      </c>
      <c r="I117" t="s">
        <v>72</v>
      </c>
      <c r="J117" t="s">
        <v>73</v>
      </c>
      <c r="K117" s="515" t="s">
        <v>1383</v>
      </c>
      <c r="L117" s="10"/>
      <c r="M117">
        <v>1</v>
      </c>
      <c r="R117" t="s">
        <v>1115</v>
      </c>
    </row>
    <row r="118" spans="1:18">
      <c r="A118" t="str">
        <f>$V$2&amp;"NOT_LINK_BR18"</f>
        <v>NOT_LINK_BR18</v>
      </c>
      <c r="B118" t="s">
        <v>74</v>
      </c>
      <c r="C118" s="10"/>
      <c r="D118" s="10"/>
      <c r="E118" s="10"/>
      <c r="F118" t="s">
        <v>72</v>
      </c>
      <c r="G118" t="s">
        <v>71</v>
      </c>
      <c r="H118">
        <v>0</v>
      </c>
      <c r="I118" t="s">
        <v>72</v>
      </c>
      <c r="J118" t="s">
        <v>73</v>
      </c>
      <c r="K118" s="515" t="s">
        <v>1383</v>
      </c>
      <c r="L118" s="10"/>
      <c r="M118">
        <v>1</v>
      </c>
      <c r="R118" t="s">
        <v>1116</v>
      </c>
    </row>
    <row r="119" spans="1:18">
      <c r="A119" t="str">
        <f>$V$2&amp;"NOT_LINK_BR19"</f>
        <v>NOT_LINK_BR19</v>
      </c>
      <c r="B119" t="s">
        <v>74</v>
      </c>
      <c r="C119" s="10"/>
      <c r="D119" s="10"/>
      <c r="E119" s="10"/>
      <c r="F119" t="s">
        <v>72</v>
      </c>
      <c r="G119" t="s">
        <v>71</v>
      </c>
      <c r="H119">
        <v>0</v>
      </c>
      <c r="I119" t="s">
        <v>72</v>
      </c>
      <c r="J119" t="s">
        <v>73</v>
      </c>
      <c r="K119" s="515" t="s">
        <v>1383</v>
      </c>
      <c r="L119" s="10"/>
      <c r="M119">
        <v>1</v>
      </c>
      <c r="R119" t="s">
        <v>1117</v>
      </c>
    </row>
    <row r="120" spans="1:18">
      <c r="A120" t="str">
        <f>$V$2&amp;"NOT_LINK_BR20"</f>
        <v>NOT_LINK_BR20</v>
      </c>
      <c r="B120" t="s">
        <v>74</v>
      </c>
      <c r="C120" s="10"/>
      <c r="D120" s="10"/>
      <c r="E120" s="10"/>
      <c r="F120" t="s">
        <v>72</v>
      </c>
      <c r="G120" t="s">
        <v>71</v>
      </c>
      <c r="H120">
        <v>0</v>
      </c>
      <c r="I120" t="s">
        <v>72</v>
      </c>
      <c r="J120" t="s">
        <v>73</v>
      </c>
      <c r="K120" s="515" t="s">
        <v>1383</v>
      </c>
      <c r="L120" s="10"/>
      <c r="M120">
        <v>1</v>
      </c>
      <c r="R120" t="s">
        <v>1118</v>
      </c>
    </row>
    <row r="121" spans="1:18">
      <c r="A121" t="str">
        <f>$V$2&amp;"NOT_LINK_BR21"</f>
        <v>NOT_LINK_BR21</v>
      </c>
      <c r="B121" t="s">
        <v>74</v>
      </c>
      <c r="C121" s="10"/>
      <c r="D121" s="10"/>
      <c r="E121" s="10"/>
      <c r="F121" t="s">
        <v>72</v>
      </c>
      <c r="G121" t="s">
        <v>71</v>
      </c>
      <c r="H121">
        <v>0</v>
      </c>
      <c r="I121" t="s">
        <v>72</v>
      </c>
      <c r="J121" t="s">
        <v>73</v>
      </c>
      <c r="K121" s="515" t="s">
        <v>1383</v>
      </c>
      <c r="L121" s="10"/>
      <c r="M121">
        <v>1</v>
      </c>
      <c r="R121" t="s">
        <v>1119</v>
      </c>
    </row>
    <row r="122" spans="1:18">
      <c r="A122" t="str">
        <f>$V$2&amp;"NOT_LINK_BR22"</f>
        <v>NOT_LINK_BR22</v>
      </c>
      <c r="B122" t="s">
        <v>74</v>
      </c>
      <c r="C122" s="10"/>
      <c r="D122" s="10"/>
      <c r="E122" s="10"/>
      <c r="F122" t="s">
        <v>72</v>
      </c>
      <c r="G122" t="s">
        <v>71</v>
      </c>
      <c r="H122">
        <v>0</v>
      </c>
      <c r="I122" t="s">
        <v>72</v>
      </c>
      <c r="J122" t="s">
        <v>73</v>
      </c>
      <c r="K122" s="515" t="s">
        <v>1383</v>
      </c>
      <c r="L122" s="10"/>
      <c r="M122">
        <v>1</v>
      </c>
      <c r="R122" t="s">
        <v>1120</v>
      </c>
    </row>
    <row r="123" spans="1:18">
      <c r="A123" t="str">
        <f>$V$2&amp;"NOT_LINK_BR23"</f>
        <v>NOT_LINK_BR23</v>
      </c>
      <c r="B123" t="s">
        <v>74</v>
      </c>
      <c r="C123" s="10"/>
      <c r="D123" s="10"/>
      <c r="E123" s="10"/>
      <c r="F123" t="s">
        <v>72</v>
      </c>
      <c r="G123" t="s">
        <v>71</v>
      </c>
      <c r="H123">
        <v>0</v>
      </c>
      <c r="I123" t="s">
        <v>72</v>
      </c>
      <c r="J123" t="s">
        <v>73</v>
      </c>
      <c r="K123" s="515" t="s">
        <v>1383</v>
      </c>
      <c r="L123" s="10"/>
      <c r="M123">
        <v>1</v>
      </c>
      <c r="R123" t="s">
        <v>1121</v>
      </c>
    </row>
    <row r="124" spans="1:18">
      <c r="A124" t="str">
        <f>$V$2&amp;"NOT_LINK_BR24"</f>
        <v>NOT_LINK_BR24</v>
      </c>
      <c r="B124" t="s">
        <v>74</v>
      </c>
      <c r="C124" s="10"/>
      <c r="D124" s="10"/>
      <c r="E124" s="10"/>
      <c r="F124" t="s">
        <v>72</v>
      </c>
      <c r="G124" t="s">
        <v>71</v>
      </c>
      <c r="H124">
        <v>0</v>
      </c>
      <c r="I124" t="s">
        <v>72</v>
      </c>
      <c r="J124" t="s">
        <v>73</v>
      </c>
      <c r="K124" s="515" t="s">
        <v>1383</v>
      </c>
      <c r="L124" s="10"/>
      <c r="M124">
        <v>1</v>
      </c>
      <c r="R124" t="s">
        <v>1122</v>
      </c>
    </row>
    <row r="125" spans="1:18">
      <c r="A125" t="str">
        <f>$V$2&amp;"NOT_LINK_BR25"</f>
        <v>NOT_LINK_BR25</v>
      </c>
      <c r="B125" t="s">
        <v>74</v>
      </c>
      <c r="C125" s="10"/>
      <c r="D125" s="10"/>
      <c r="E125" s="10"/>
      <c r="F125" t="s">
        <v>72</v>
      </c>
      <c r="G125" t="s">
        <v>71</v>
      </c>
      <c r="H125">
        <v>0</v>
      </c>
      <c r="I125" t="s">
        <v>72</v>
      </c>
      <c r="J125" t="s">
        <v>73</v>
      </c>
      <c r="K125" s="515" t="s">
        <v>1383</v>
      </c>
      <c r="L125" s="10"/>
      <c r="M125">
        <v>1</v>
      </c>
      <c r="R125" t="s">
        <v>1123</v>
      </c>
    </row>
    <row r="126" spans="1:18">
      <c r="A126" t="str">
        <f>$V$2&amp;"NOT_LINK_BR26"</f>
        <v>NOT_LINK_BR26</v>
      </c>
      <c r="B126" t="s">
        <v>74</v>
      </c>
      <c r="C126" s="10"/>
      <c r="D126" s="10"/>
      <c r="E126" s="10"/>
      <c r="F126" t="s">
        <v>72</v>
      </c>
      <c r="G126" t="s">
        <v>71</v>
      </c>
      <c r="H126">
        <v>0</v>
      </c>
      <c r="I126" t="s">
        <v>72</v>
      </c>
      <c r="J126" t="s">
        <v>73</v>
      </c>
      <c r="K126" s="515" t="s">
        <v>1383</v>
      </c>
      <c r="L126" s="10"/>
      <c r="M126">
        <v>1</v>
      </c>
      <c r="R126" t="s">
        <v>1124</v>
      </c>
    </row>
    <row r="127" spans="1:18">
      <c r="A127" t="str">
        <f>$V$2&amp;"NOT_LINK_BR27"</f>
        <v>NOT_LINK_BR27</v>
      </c>
      <c r="B127" t="s">
        <v>74</v>
      </c>
      <c r="C127" s="10"/>
      <c r="D127" s="10"/>
      <c r="E127" s="10"/>
      <c r="F127" t="s">
        <v>72</v>
      </c>
      <c r="G127" t="s">
        <v>71</v>
      </c>
      <c r="H127">
        <v>0</v>
      </c>
      <c r="I127" t="s">
        <v>72</v>
      </c>
      <c r="J127" t="s">
        <v>73</v>
      </c>
      <c r="K127" s="515" t="s">
        <v>1383</v>
      </c>
      <c r="L127" s="10"/>
      <c r="M127">
        <v>1</v>
      </c>
      <c r="R127" t="s">
        <v>1125</v>
      </c>
    </row>
    <row r="128" spans="1:18">
      <c r="A128" t="str">
        <f>$V$2&amp;"NOT_LINK_BR28"</f>
        <v>NOT_LINK_BR28</v>
      </c>
      <c r="B128" t="s">
        <v>74</v>
      </c>
      <c r="C128" s="10"/>
      <c r="D128" s="10"/>
      <c r="E128" s="10"/>
      <c r="F128" t="s">
        <v>72</v>
      </c>
      <c r="G128" t="s">
        <v>71</v>
      </c>
      <c r="H128">
        <v>0</v>
      </c>
      <c r="I128" t="s">
        <v>72</v>
      </c>
      <c r="J128" t="s">
        <v>73</v>
      </c>
      <c r="K128" s="515" t="s">
        <v>1383</v>
      </c>
      <c r="L128" s="10"/>
      <c r="M128">
        <v>1</v>
      </c>
      <c r="R128" t="s">
        <v>1126</v>
      </c>
    </row>
    <row r="129" spans="1:18">
      <c r="A129" t="str">
        <f>$V$2&amp;"NOT_LINK_BR29"</f>
        <v>NOT_LINK_BR29</v>
      </c>
      <c r="B129" t="s">
        <v>74</v>
      </c>
      <c r="C129" s="10"/>
      <c r="D129" s="10"/>
      <c r="E129" s="10"/>
      <c r="F129" t="s">
        <v>72</v>
      </c>
      <c r="G129" t="s">
        <v>71</v>
      </c>
      <c r="H129">
        <v>0</v>
      </c>
      <c r="I129" t="s">
        <v>72</v>
      </c>
      <c r="J129" t="s">
        <v>73</v>
      </c>
      <c r="K129" s="515" t="s">
        <v>1383</v>
      </c>
      <c r="L129" s="10"/>
      <c r="M129">
        <v>1</v>
      </c>
      <c r="R129" t="s">
        <v>1127</v>
      </c>
    </row>
    <row r="130" spans="1:18">
      <c r="A130" t="str">
        <f>$V$2&amp;"NOT_LINK_BR30"</f>
        <v>NOT_LINK_BR30</v>
      </c>
      <c r="B130" t="s">
        <v>74</v>
      </c>
      <c r="C130" s="10"/>
      <c r="D130" s="10"/>
      <c r="E130" s="10"/>
      <c r="F130" t="s">
        <v>72</v>
      </c>
      <c r="G130" t="s">
        <v>71</v>
      </c>
      <c r="H130">
        <v>0</v>
      </c>
      <c r="I130" t="s">
        <v>72</v>
      </c>
      <c r="J130" t="s">
        <v>73</v>
      </c>
      <c r="K130" s="515" t="s">
        <v>1383</v>
      </c>
      <c r="L130" s="10"/>
      <c r="M130">
        <v>1</v>
      </c>
      <c r="R130" t="s">
        <v>1128</v>
      </c>
    </row>
    <row r="131" spans="1:18">
      <c r="A131" t="str">
        <f>$V$2&amp;"NOT_LINK_BR31"</f>
        <v>NOT_LINK_BR31</v>
      </c>
      <c r="B131" t="s">
        <v>74</v>
      </c>
      <c r="C131" s="10"/>
      <c r="D131" s="10"/>
      <c r="E131" s="10"/>
      <c r="F131" t="s">
        <v>72</v>
      </c>
      <c r="G131" t="s">
        <v>71</v>
      </c>
      <c r="H131">
        <v>0</v>
      </c>
      <c r="I131" t="s">
        <v>72</v>
      </c>
      <c r="J131" t="s">
        <v>73</v>
      </c>
      <c r="K131" s="515" t="s">
        <v>1383</v>
      </c>
      <c r="L131" s="10"/>
      <c r="M131">
        <v>1</v>
      </c>
      <c r="R131" t="s">
        <v>1129</v>
      </c>
    </row>
    <row r="132" spans="1:18">
      <c r="A132" t="str">
        <f>$V$2&amp;"NOT_LINK_BR32"</f>
        <v>NOT_LINK_BR32</v>
      </c>
      <c r="B132" t="s">
        <v>74</v>
      </c>
      <c r="C132" s="10"/>
      <c r="D132" s="10"/>
      <c r="E132" s="10"/>
      <c r="F132" t="s">
        <v>72</v>
      </c>
      <c r="G132" t="s">
        <v>71</v>
      </c>
      <c r="H132">
        <v>0</v>
      </c>
      <c r="I132" t="s">
        <v>72</v>
      </c>
      <c r="J132" t="s">
        <v>73</v>
      </c>
      <c r="K132" s="515" t="s">
        <v>1383</v>
      </c>
      <c r="L132" s="10"/>
      <c r="M132">
        <v>1</v>
      </c>
      <c r="R132" t="s">
        <v>1130</v>
      </c>
    </row>
    <row r="133" spans="1:18">
      <c r="A133" t="str">
        <f>$V$2&amp;"NOT_LINK_BR33"</f>
        <v>NOT_LINK_BR33</v>
      </c>
      <c r="B133" t="s">
        <v>74</v>
      </c>
      <c r="C133" s="10"/>
      <c r="D133" s="10"/>
      <c r="E133" s="10"/>
      <c r="F133" t="s">
        <v>72</v>
      </c>
      <c r="G133" t="s">
        <v>71</v>
      </c>
      <c r="H133">
        <v>0</v>
      </c>
      <c r="I133" t="s">
        <v>72</v>
      </c>
      <c r="J133" t="s">
        <v>73</v>
      </c>
      <c r="K133" s="515" t="s">
        <v>1383</v>
      </c>
      <c r="L133" s="10"/>
      <c r="M133">
        <v>1</v>
      </c>
      <c r="R133" t="s">
        <v>1131</v>
      </c>
    </row>
    <row r="134" spans="1:18">
      <c r="A134" t="str">
        <f>$V$2&amp;"NOT_LINK_BR34"</f>
        <v>NOT_LINK_BR34</v>
      </c>
      <c r="B134" t="s">
        <v>74</v>
      </c>
      <c r="C134" s="10"/>
      <c r="D134" s="10"/>
      <c r="E134" s="10"/>
      <c r="F134" t="s">
        <v>72</v>
      </c>
      <c r="G134" t="s">
        <v>71</v>
      </c>
      <c r="H134">
        <v>0</v>
      </c>
      <c r="I134" t="s">
        <v>72</v>
      </c>
      <c r="J134" t="s">
        <v>73</v>
      </c>
      <c r="K134" s="515" t="s">
        <v>1383</v>
      </c>
      <c r="L134" s="10"/>
      <c r="M134">
        <v>1</v>
      </c>
      <c r="R134" t="s">
        <v>1132</v>
      </c>
    </row>
    <row r="135" spans="1:18">
      <c r="A135" t="str">
        <f>$V$2&amp;"NOT_LINK_BR35"</f>
        <v>NOT_LINK_BR35</v>
      </c>
      <c r="B135" t="s">
        <v>74</v>
      </c>
      <c r="C135" s="10"/>
      <c r="D135" s="10"/>
      <c r="E135" s="10"/>
      <c r="F135" t="s">
        <v>72</v>
      </c>
      <c r="G135" t="s">
        <v>71</v>
      </c>
      <c r="H135">
        <v>0</v>
      </c>
      <c r="I135" t="s">
        <v>72</v>
      </c>
      <c r="J135" t="s">
        <v>73</v>
      </c>
      <c r="K135" s="515" t="s">
        <v>1383</v>
      </c>
      <c r="L135" s="10"/>
      <c r="M135">
        <v>1</v>
      </c>
      <c r="R135" t="s">
        <v>1133</v>
      </c>
    </row>
    <row r="136" spans="1:18">
      <c r="A136" t="str">
        <f>$V$2&amp;"NOT_LINK_BR36"</f>
        <v>NOT_LINK_BR36</v>
      </c>
      <c r="B136" t="s">
        <v>74</v>
      </c>
      <c r="C136" s="10"/>
      <c r="D136" s="10"/>
      <c r="E136" s="10"/>
      <c r="F136" t="s">
        <v>72</v>
      </c>
      <c r="G136" t="s">
        <v>71</v>
      </c>
      <c r="H136">
        <v>0</v>
      </c>
      <c r="I136" t="s">
        <v>72</v>
      </c>
      <c r="J136" t="s">
        <v>73</v>
      </c>
      <c r="K136" s="515" t="s">
        <v>1383</v>
      </c>
      <c r="L136" s="10"/>
      <c r="M136">
        <v>1</v>
      </c>
      <c r="R136" t="s">
        <v>1134</v>
      </c>
    </row>
    <row r="137" spans="1:18">
      <c r="A137" t="str">
        <f>$V$2&amp;"NOT_LINK_BR37"</f>
        <v>NOT_LINK_BR37</v>
      </c>
      <c r="B137" t="s">
        <v>74</v>
      </c>
      <c r="C137" s="10"/>
      <c r="D137" s="10"/>
      <c r="E137" s="10"/>
      <c r="F137" t="s">
        <v>72</v>
      </c>
      <c r="G137" t="s">
        <v>71</v>
      </c>
      <c r="H137">
        <v>0</v>
      </c>
      <c r="I137" t="s">
        <v>72</v>
      </c>
      <c r="J137" t="s">
        <v>73</v>
      </c>
      <c r="K137" s="515" t="s">
        <v>1383</v>
      </c>
      <c r="L137" s="10"/>
      <c r="M137">
        <v>1</v>
      </c>
      <c r="R137" t="s">
        <v>1135</v>
      </c>
    </row>
    <row r="138" spans="1:18">
      <c r="A138" t="str">
        <f>$V$2&amp;"NOT_LINK_BR38"</f>
        <v>NOT_LINK_BR38</v>
      </c>
      <c r="B138" t="s">
        <v>74</v>
      </c>
      <c r="C138" s="10"/>
      <c r="D138" s="10"/>
      <c r="E138" s="10"/>
      <c r="F138" t="s">
        <v>72</v>
      </c>
      <c r="G138" t="s">
        <v>71</v>
      </c>
      <c r="H138">
        <v>0</v>
      </c>
      <c r="I138" t="s">
        <v>72</v>
      </c>
      <c r="J138" t="s">
        <v>73</v>
      </c>
      <c r="K138" s="515" t="s">
        <v>1383</v>
      </c>
      <c r="L138" s="10"/>
      <c r="M138">
        <v>1</v>
      </c>
      <c r="R138" t="s">
        <v>1136</v>
      </c>
    </row>
    <row r="139" spans="1:18">
      <c r="A139" t="str">
        <f>$V$2&amp;"NOT_LINK_BR39"</f>
        <v>NOT_LINK_BR39</v>
      </c>
      <c r="B139" t="s">
        <v>74</v>
      </c>
      <c r="C139" s="10"/>
      <c r="D139" s="10"/>
      <c r="E139" s="10"/>
      <c r="F139" t="s">
        <v>72</v>
      </c>
      <c r="G139" t="s">
        <v>71</v>
      </c>
      <c r="H139">
        <v>0</v>
      </c>
      <c r="I139" t="s">
        <v>72</v>
      </c>
      <c r="J139" t="s">
        <v>73</v>
      </c>
      <c r="K139" s="515" t="s">
        <v>1383</v>
      </c>
      <c r="L139" s="10"/>
      <c r="M139">
        <v>1</v>
      </c>
      <c r="R139" t="s">
        <v>1137</v>
      </c>
    </row>
    <row r="140" spans="1:18">
      <c r="A140" t="str">
        <f>$V$2&amp;"NOT_LINK_BR40"</f>
        <v>NOT_LINK_BR40</v>
      </c>
      <c r="B140" t="s">
        <v>74</v>
      </c>
      <c r="C140" s="10"/>
      <c r="D140" s="10"/>
      <c r="E140" s="10"/>
      <c r="F140" t="s">
        <v>72</v>
      </c>
      <c r="G140" t="s">
        <v>71</v>
      </c>
      <c r="H140">
        <v>0</v>
      </c>
      <c r="I140" t="s">
        <v>72</v>
      </c>
      <c r="J140" t="s">
        <v>73</v>
      </c>
      <c r="K140" s="515" t="s">
        <v>1383</v>
      </c>
      <c r="L140" s="10"/>
      <c r="M140">
        <v>1</v>
      </c>
      <c r="R140" t="s">
        <v>1138</v>
      </c>
    </row>
    <row r="141" spans="1:18">
      <c r="A141" t="str">
        <f>$V$2&amp;"NOT_LINK_BR41"</f>
        <v>NOT_LINK_BR41</v>
      </c>
      <c r="B141" t="s">
        <v>74</v>
      </c>
      <c r="C141" s="10"/>
      <c r="D141" s="10"/>
      <c r="E141" s="10"/>
      <c r="F141" t="s">
        <v>72</v>
      </c>
      <c r="G141" t="s">
        <v>71</v>
      </c>
      <c r="H141">
        <v>0</v>
      </c>
      <c r="I141" t="s">
        <v>72</v>
      </c>
      <c r="J141" t="s">
        <v>73</v>
      </c>
      <c r="K141" s="515" t="s">
        <v>1383</v>
      </c>
      <c r="L141" s="10"/>
      <c r="M141">
        <v>1</v>
      </c>
      <c r="R141" t="s">
        <v>2348</v>
      </c>
    </row>
    <row r="142" spans="1:18">
      <c r="A142" t="str">
        <f>$V$2&amp;"NOT_LINK_BR42"</f>
        <v>NOT_LINK_BR42</v>
      </c>
      <c r="B142" t="s">
        <v>74</v>
      </c>
      <c r="C142" s="10"/>
      <c r="D142" s="10"/>
      <c r="E142" s="10"/>
      <c r="F142" t="s">
        <v>72</v>
      </c>
      <c r="G142" t="s">
        <v>71</v>
      </c>
      <c r="H142">
        <v>0</v>
      </c>
      <c r="I142" t="s">
        <v>72</v>
      </c>
      <c r="J142" t="s">
        <v>73</v>
      </c>
      <c r="K142" s="515" t="s">
        <v>1383</v>
      </c>
      <c r="L142" s="10"/>
      <c r="M142">
        <v>1</v>
      </c>
      <c r="R142" t="s">
        <v>2349</v>
      </c>
    </row>
    <row r="143" spans="1:18">
      <c r="A143" t="str">
        <f>$V$2&amp;"NOT_LINK_BR43"</f>
        <v>NOT_LINK_BR43</v>
      </c>
      <c r="B143" t="s">
        <v>74</v>
      </c>
      <c r="C143" s="10"/>
      <c r="D143" s="10"/>
      <c r="E143" s="10"/>
      <c r="F143" t="s">
        <v>72</v>
      </c>
      <c r="G143" t="s">
        <v>71</v>
      </c>
      <c r="H143">
        <v>0</v>
      </c>
      <c r="I143" t="s">
        <v>72</v>
      </c>
      <c r="J143" t="s">
        <v>73</v>
      </c>
      <c r="K143" s="515" t="s">
        <v>1383</v>
      </c>
      <c r="L143" s="10"/>
      <c r="M143">
        <v>1</v>
      </c>
      <c r="R143" t="s">
        <v>2350</v>
      </c>
    </row>
    <row r="144" spans="1:18">
      <c r="A144" t="str">
        <f>$V$2&amp;"NOT_LINK_BR44"</f>
        <v>NOT_LINK_BR44</v>
      </c>
      <c r="B144" t="s">
        <v>74</v>
      </c>
      <c r="C144" s="10"/>
      <c r="D144" s="10"/>
      <c r="E144" s="10"/>
      <c r="F144" t="s">
        <v>72</v>
      </c>
      <c r="G144" t="s">
        <v>71</v>
      </c>
      <c r="H144">
        <v>0</v>
      </c>
      <c r="I144" t="s">
        <v>72</v>
      </c>
      <c r="J144" t="s">
        <v>73</v>
      </c>
      <c r="K144" s="515" t="s">
        <v>1383</v>
      </c>
      <c r="L144" s="10"/>
      <c r="M144">
        <v>1</v>
      </c>
      <c r="R144" t="s">
        <v>2351</v>
      </c>
    </row>
    <row r="145" spans="1:18">
      <c r="A145" t="str">
        <f>$V$2&amp;"NOT_LINK_BR45"</f>
        <v>NOT_LINK_BR45</v>
      </c>
      <c r="B145" t="s">
        <v>74</v>
      </c>
      <c r="C145" s="10"/>
      <c r="D145" s="10"/>
      <c r="E145" s="10"/>
      <c r="F145" t="s">
        <v>72</v>
      </c>
      <c r="G145" t="s">
        <v>71</v>
      </c>
      <c r="H145">
        <v>0</v>
      </c>
      <c r="I145" t="s">
        <v>72</v>
      </c>
      <c r="J145" t="s">
        <v>73</v>
      </c>
      <c r="K145" s="515" t="s">
        <v>1383</v>
      </c>
      <c r="L145" s="10"/>
      <c r="M145">
        <v>1</v>
      </c>
      <c r="R145" t="s">
        <v>2352</v>
      </c>
    </row>
    <row r="146" spans="1:18">
      <c r="A146" t="str">
        <f>$V$2&amp;"NOT_LINK_BR46"</f>
        <v>NOT_LINK_BR46</v>
      </c>
      <c r="B146" t="s">
        <v>74</v>
      </c>
      <c r="C146" s="10"/>
      <c r="D146" s="10"/>
      <c r="E146" s="10"/>
      <c r="F146" t="s">
        <v>72</v>
      </c>
      <c r="G146" t="s">
        <v>71</v>
      </c>
      <c r="H146">
        <v>0</v>
      </c>
      <c r="I146" t="s">
        <v>72</v>
      </c>
      <c r="J146" t="s">
        <v>73</v>
      </c>
      <c r="K146" s="515" t="s">
        <v>1383</v>
      </c>
      <c r="L146" s="10"/>
      <c r="M146">
        <v>1</v>
      </c>
      <c r="R146" t="s">
        <v>2353</v>
      </c>
    </row>
    <row r="147" spans="1:18">
      <c r="A147" t="str">
        <f>$V$2&amp;"NOT_LINK_BR47"</f>
        <v>NOT_LINK_BR47</v>
      </c>
      <c r="B147" t="s">
        <v>74</v>
      </c>
      <c r="C147" s="10"/>
      <c r="D147" s="10"/>
      <c r="E147" s="10"/>
      <c r="F147" t="s">
        <v>72</v>
      </c>
      <c r="G147" t="s">
        <v>71</v>
      </c>
      <c r="H147">
        <v>0</v>
      </c>
      <c r="I147" t="s">
        <v>72</v>
      </c>
      <c r="J147" t="s">
        <v>73</v>
      </c>
      <c r="K147" s="515" t="s">
        <v>1383</v>
      </c>
      <c r="L147" s="10"/>
      <c r="M147">
        <v>1</v>
      </c>
      <c r="R147" t="s">
        <v>2354</v>
      </c>
    </row>
    <row r="148" spans="1:18">
      <c r="A148" t="str">
        <f>$V$2&amp;"NOT_LINK_BR48"</f>
        <v>NOT_LINK_BR48</v>
      </c>
      <c r="B148" t="s">
        <v>74</v>
      </c>
      <c r="C148" s="10"/>
      <c r="D148" s="10"/>
      <c r="E148" s="10"/>
      <c r="F148" t="s">
        <v>72</v>
      </c>
      <c r="G148" t="s">
        <v>71</v>
      </c>
      <c r="H148">
        <v>0</v>
      </c>
      <c r="I148" t="s">
        <v>72</v>
      </c>
      <c r="J148" t="s">
        <v>73</v>
      </c>
      <c r="K148" s="515" t="s">
        <v>1383</v>
      </c>
      <c r="L148" s="10"/>
      <c r="M148">
        <v>1</v>
      </c>
      <c r="R148" t="s">
        <v>2355</v>
      </c>
    </row>
    <row r="149" spans="1:18">
      <c r="A149" t="str">
        <f>$V$2&amp;"NOT_LINK_BR49"</f>
        <v>NOT_LINK_BR49</v>
      </c>
      <c r="B149" t="s">
        <v>74</v>
      </c>
      <c r="C149" s="10"/>
      <c r="D149" s="10"/>
      <c r="E149" s="10"/>
      <c r="F149" t="s">
        <v>72</v>
      </c>
      <c r="G149" t="s">
        <v>71</v>
      </c>
      <c r="H149">
        <v>0</v>
      </c>
      <c r="I149" t="s">
        <v>72</v>
      </c>
      <c r="J149" t="s">
        <v>73</v>
      </c>
      <c r="K149" s="515" t="s">
        <v>1383</v>
      </c>
      <c r="L149" s="10"/>
      <c r="M149">
        <v>1</v>
      </c>
      <c r="R149" t="s">
        <v>2356</v>
      </c>
    </row>
    <row r="150" spans="1:18">
      <c r="A150" t="str">
        <f>$V$2&amp;"NOT_LINK_BR50"</f>
        <v>NOT_LINK_BR50</v>
      </c>
      <c r="B150" t="s">
        <v>74</v>
      </c>
      <c r="C150" s="10"/>
      <c r="D150" s="10"/>
      <c r="E150" s="10"/>
      <c r="F150" t="s">
        <v>72</v>
      </c>
      <c r="G150" t="s">
        <v>71</v>
      </c>
      <c r="H150">
        <v>0</v>
      </c>
      <c r="I150" t="s">
        <v>72</v>
      </c>
      <c r="J150" t="s">
        <v>73</v>
      </c>
      <c r="K150" s="515" t="s">
        <v>1383</v>
      </c>
      <c r="L150" s="10"/>
      <c r="M150">
        <v>1</v>
      </c>
      <c r="R150" t="s">
        <v>2357</v>
      </c>
    </row>
    <row r="151" spans="1:18">
      <c r="A151" t="str">
        <f>$V$2&amp;"NOT_LINK_BR51"</f>
        <v>NOT_LINK_BR51</v>
      </c>
      <c r="B151" t="s">
        <v>74</v>
      </c>
      <c r="C151" s="10"/>
      <c r="D151" s="10"/>
      <c r="E151" s="10"/>
      <c r="F151" t="s">
        <v>72</v>
      </c>
      <c r="G151" t="s">
        <v>71</v>
      </c>
      <c r="H151">
        <v>0</v>
      </c>
      <c r="I151" t="s">
        <v>72</v>
      </c>
      <c r="J151" t="s">
        <v>73</v>
      </c>
      <c r="K151" s="515" t="s">
        <v>1383</v>
      </c>
      <c r="L151" s="10"/>
      <c r="M151">
        <v>1</v>
      </c>
      <c r="R151" t="s">
        <v>2358</v>
      </c>
    </row>
    <row r="152" spans="1:18">
      <c r="A152" t="str">
        <f>$V$2&amp;"NOT_LINK_BR52"</f>
        <v>NOT_LINK_BR52</v>
      </c>
      <c r="B152" t="s">
        <v>74</v>
      </c>
      <c r="C152" s="10"/>
      <c r="D152" s="10"/>
      <c r="E152" s="10"/>
      <c r="F152" t="s">
        <v>72</v>
      </c>
      <c r="G152" t="s">
        <v>71</v>
      </c>
      <c r="H152">
        <v>0</v>
      </c>
      <c r="I152" t="s">
        <v>72</v>
      </c>
      <c r="J152" t="s">
        <v>73</v>
      </c>
      <c r="K152" s="515" t="s">
        <v>1383</v>
      </c>
      <c r="L152" s="10"/>
      <c r="M152">
        <v>1</v>
      </c>
      <c r="R152" t="s">
        <v>2359</v>
      </c>
    </row>
    <row r="153" spans="1:18">
      <c r="A153" t="str">
        <f>$V$2&amp;"NOT_LINK_BR53"</f>
        <v>NOT_LINK_BR53</v>
      </c>
      <c r="B153" t="s">
        <v>74</v>
      </c>
      <c r="C153" s="10"/>
      <c r="D153" s="10"/>
      <c r="E153" s="10"/>
      <c r="F153" t="s">
        <v>72</v>
      </c>
      <c r="G153" t="s">
        <v>71</v>
      </c>
      <c r="H153">
        <v>0</v>
      </c>
      <c r="I153" t="s">
        <v>72</v>
      </c>
      <c r="J153" t="s">
        <v>73</v>
      </c>
      <c r="K153" s="515" t="s">
        <v>1383</v>
      </c>
      <c r="L153" s="10"/>
      <c r="M153">
        <v>1</v>
      </c>
      <c r="R153" t="s">
        <v>2360</v>
      </c>
    </row>
    <row r="154" spans="1:18">
      <c r="A154" t="str">
        <f>$V$2&amp;"NOT_LINK_BR54"</f>
        <v>NOT_LINK_BR54</v>
      </c>
      <c r="B154" t="s">
        <v>74</v>
      </c>
      <c r="C154" s="10"/>
      <c r="D154" s="10"/>
      <c r="E154" s="10"/>
      <c r="F154" t="s">
        <v>72</v>
      </c>
      <c r="G154" t="s">
        <v>71</v>
      </c>
      <c r="H154">
        <v>0</v>
      </c>
      <c r="I154" t="s">
        <v>72</v>
      </c>
      <c r="J154" t="s">
        <v>73</v>
      </c>
      <c r="K154" s="515" t="s">
        <v>1383</v>
      </c>
      <c r="L154" s="10"/>
      <c r="M154">
        <v>1</v>
      </c>
      <c r="R154" t="s">
        <v>2361</v>
      </c>
    </row>
    <row r="155" spans="1:18">
      <c r="A155" t="str">
        <f>$V$2&amp;"NOT_LINK_BR55"</f>
        <v>NOT_LINK_BR55</v>
      </c>
      <c r="B155" t="s">
        <v>74</v>
      </c>
      <c r="C155" s="10"/>
      <c r="D155" s="10"/>
      <c r="E155" s="10"/>
      <c r="F155" t="s">
        <v>72</v>
      </c>
      <c r="G155" t="s">
        <v>71</v>
      </c>
      <c r="H155">
        <v>0</v>
      </c>
      <c r="I155" t="s">
        <v>72</v>
      </c>
      <c r="J155" t="s">
        <v>73</v>
      </c>
      <c r="K155" s="515" t="s">
        <v>1383</v>
      </c>
      <c r="L155" s="10"/>
      <c r="M155">
        <v>1</v>
      </c>
      <c r="R155" t="s">
        <v>2362</v>
      </c>
    </row>
    <row r="156" spans="1:18">
      <c r="A156" t="str">
        <f>$V$2&amp;"NOT_LINK_BR56"</f>
        <v>NOT_LINK_BR56</v>
      </c>
      <c r="B156" t="s">
        <v>74</v>
      </c>
      <c r="C156" s="10"/>
      <c r="D156" s="10"/>
      <c r="E156" s="10"/>
      <c r="F156" t="s">
        <v>72</v>
      </c>
      <c r="G156" t="s">
        <v>71</v>
      </c>
      <c r="H156">
        <v>0</v>
      </c>
      <c r="I156" t="s">
        <v>72</v>
      </c>
      <c r="J156" t="s">
        <v>73</v>
      </c>
      <c r="K156" s="515" t="s">
        <v>1383</v>
      </c>
      <c r="L156" s="10"/>
      <c r="M156">
        <v>1</v>
      </c>
      <c r="R156" t="s">
        <v>2363</v>
      </c>
    </row>
    <row r="157" spans="1:18">
      <c r="A157" t="str">
        <f>$V$2&amp;"NOT_LINK_BR57"</f>
        <v>NOT_LINK_BR57</v>
      </c>
      <c r="B157" t="s">
        <v>74</v>
      </c>
      <c r="C157" s="10"/>
      <c r="D157" s="10"/>
      <c r="E157" s="10"/>
      <c r="F157" t="s">
        <v>72</v>
      </c>
      <c r="G157" t="s">
        <v>71</v>
      </c>
      <c r="H157">
        <v>0</v>
      </c>
      <c r="I157" t="s">
        <v>72</v>
      </c>
      <c r="J157" t="s">
        <v>73</v>
      </c>
      <c r="K157" s="515" t="s">
        <v>1383</v>
      </c>
      <c r="L157" s="10"/>
      <c r="M157">
        <v>1</v>
      </c>
      <c r="R157" t="s">
        <v>2364</v>
      </c>
    </row>
    <row r="158" spans="1:18">
      <c r="A158" t="str">
        <f>$V$2&amp;"NOT_LINK_BR58"</f>
        <v>NOT_LINK_BR58</v>
      </c>
      <c r="B158" t="s">
        <v>74</v>
      </c>
      <c r="C158" s="10"/>
      <c r="D158" s="10"/>
      <c r="E158" s="10"/>
      <c r="F158" t="s">
        <v>72</v>
      </c>
      <c r="G158" t="s">
        <v>71</v>
      </c>
      <c r="H158">
        <v>0</v>
      </c>
      <c r="I158" t="s">
        <v>72</v>
      </c>
      <c r="J158" t="s">
        <v>73</v>
      </c>
      <c r="K158" s="515" t="s">
        <v>1383</v>
      </c>
      <c r="L158" s="10"/>
      <c r="M158">
        <v>1</v>
      </c>
      <c r="R158" t="s">
        <v>2365</v>
      </c>
    </row>
    <row r="159" spans="1:18">
      <c r="A159" t="str">
        <f>$V$2&amp;"NOT_LINK_BR59"</f>
        <v>NOT_LINK_BR59</v>
      </c>
      <c r="B159" t="s">
        <v>74</v>
      </c>
      <c r="C159" s="10"/>
      <c r="D159" s="10"/>
      <c r="E159" s="10"/>
      <c r="F159" t="s">
        <v>72</v>
      </c>
      <c r="G159" t="s">
        <v>71</v>
      </c>
      <c r="H159">
        <v>0</v>
      </c>
      <c r="I159" t="s">
        <v>72</v>
      </c>
      <c r="J159" t="s">
        <v>73</v>
      </c>
      <c r="K159" s="515" t="s">
        <v>1383</v>
      </c>
      <c r="L159" s="10"/>
      <c r="M159">
        <v>1</v>
      </c>
      <c r="R159" t="s">
        <v>2366</v>
      </c>
    </row>
    <row r="160" spans="1:18">
      <c r="A160" t="str">
        <f>$V$2&amp;"NOT_LINK_BR60"</f>
        <v>NOT_LINK_BR60</v>
      </c>
      <c r="B160" t="s">
        <v>74</v>
      </c>
      <c r="C160" s="10"/>
      <c r="D160" s="10"/>
      <c r="E160" s="10"/>
      <c r="F160" t="s">
        <v>72</v>
      </c>
      <c r="G160" t="s">
        <v>71</v>
      </c>
      <c r="H160">
        <v>0</v>
      </c>
      <c r="I160" t="s">
        <v>72</v>
      </c>
      <c r="J160" t="s">
        <v>73</v>
      </c>
      <c r="K160" s="515" t="s">
        <v>1383</v>
      </c>
      <c r="L160" s="10"/>
      <c r="M160">
        <v>1</v>
      </c>
      <c r="R160" t="s">
        <v>2367</v>
      </c>
    </row>
    <row r="161" spans="1:18">
      <c r="A161" t="str">
        <f>$V$2&amp;"NOT_LINK_BR61"</f>
        <v>NOT_LINK_BR61</v>
      </c>
      <c r="B161" t="s">
        <v>74</v>
      </c>
      <c r="C161" s="10"/>
      <c r="D161" s="10"/>
      <c r="E161" s="10"/>
      <c r="F161" t="s">
        <v>72</v>
      </c>
      <c r="G161" t="s">
        <v>71</v>
      </c>
      <c r="H161">
        <v>0</v>
      </c>
      <c r="I161" t="s">
        <v>72</v>
      </c>
      <c r="J161" t="s">
        <v>73</v>
      </c>
      <c r="K161" s="515" t="s">
        <v>1383</v>
      </c>
      <c r="L161" s="10"/>
      <c r="M161">
        <v>1</v>
      </c>
      <c r="R161" t="s">
        <v>2488</v>
      </c>
    </row>
    <row r="162" spans="1:18">
      <c r="A162" t="str">
        <f>$V$2&amp;"NOT_LINK_BR62"</f>
        <v>NOT_LINK_BR62</v>
      </c>
      <c r="B162" t="s">
        <v>74</v>
      </c>
      <c r="C162" s="10"/>
      <c r="D162" s="10"/>
      <c r="E162" s="10"/>
      <c r="F162" t="s">
        <v>72</v>
      </c>
      <c r="G162" t="s">
        <v>71</v>
      </c>
      <c r="H162">
        <v>0</v>
      </c>
      <c r="I162" t="s">
        <v>72</v>
      </c>
      <c r="J162" t="s">
        <v>73</v>
      </c>
      <c r="K162" s="515" t="s">
        <v>1383</v>
      </c>
      <c r="L162" s="10"/>
      <c r="M162">
        <v>1</v>
      </c>
      <c r="R162" t="s">
        <v>2489</v>
      </c>
    </row>
    <row r="163" spans="1:18">
      <c r="A163" t="str">
        <f>$V$2&amp;"NOT_LINK_BR63"</f>
        <v>NOT_LINK_BR63</v>
      </c>
      <c r="B163" t="s">
        <v>74</v>
      </c>
      <c r="C163" s="10"/>
      <c r="D163" s="10"/>
      <c r="E163" s="10"/>
      <c r="F163" t="s">
        <v>72</v>
      </c>
      <c r="G163" t="s">
        <v>71</v>
      </c>
      <c r="H163">
        <v>0</v>
      </c>
      <c r="I163" t="s">
        <v>72</v>
      </c>
      <c r="J163" t="s">
        <v>73</v>
      </c>
      <c r="K163" s="515" t="s">
        <v>1383</v>
      </c>
      <c r="L163" s="10"/>
      <c r="M163">
        <v>1</v>
      </c>
      <c r="R163" t="s">
        <v>2490</v>
      </c>
    </row>
    <row r="164" spans="1:18">
      <c r="A164" t="str">
        <f>$V$2&amp;"NOT_LINK_BR64"</f>
        <v>NOT_LINK_BR64</v>
      </c>
      <c r="B164" t="s">
        <v>74</v>
      </c>
      <c r="C164" s="10"/>
      <c r="D164" s="10"/>
      <c r="E164" s="10"/>
      <c r="F164" t="s">
        <v>72</v>
      </c>
      <c r="G164" t="s">
        <v>71</v>
      </c>
      <c r="H164">
        <v>0</v>
      </c>
      <c r="I164" t="s">
        <v>72</v>
      </c>
      <c r="J164" t="s">
        <v>73</v>
      </c>
      <c r="K164" s="515" t="s">
        <v>1383</v>
      </c>
      <c r="L164" s="10"/>
      <c r="M164">
        <v>1</v>
      </c>
      <c r="R164" t="s">
        <v>2491</v>
      </c>
    </row>
    <row r="165" spans="1:18">
      <c r="A165" t="str">
        <f>$V$2&amp;"NOT_LINK_BR65"</f>
        <v>NOT_LINK_BR65</v>
      </c>
      <c r="B165" t="s">
        <v>74</v>
      </c>
      <c r="C165" s="10"/>
      <c r="D165" s="10"/>
      <c r="E165" s="10"/>
      <c r="F165" t="s">
        <v>72</v>
      </c>
      <c r="G165" t="s">
        <v>71</v>
      </c>
      <c r="H165">
        <v>0</v>
      </c>
      <c r="I165" t="s">
        <v>72</v>
      </c>
      <c r="J165" t="s">
        <v>73</v>
      </c>
      <c r="K165" s="515" t="s">
        <v>1383</v>
      </c>
      <c r="L165" s="10"/>
      <c r="M165">
        <v>1</v>
      </c>
      <c r="R165" t="s">
        <v>2492</v>
      </c>
    </row>
    <row r="166" spans="1:18">
      <c r="A166" t="str">
        <f>$V$2&amp;"NOT_LINK_BR66"</f>
        <v>NOT_LINK_BR66</v>
      </c>
      <c r="B166" t="s">
        <v>74</v>
      </c>
      <c r="C166" s="10"/>
      <c r="D166" s="10"/>
      <c r="E166" s="10"/>
      <c r="F166" t="s">
        <v>72</v>
      </c>
      <c r="G166" t="s">
        <v>71</v>
      </c>
      <c r="H166">
        <v>0</v>
      </c>
      <c r="I166" t="s">
        <v>72</v>
      </c>
      <c r="J166" t="s">
        <v>73</v>
      </c>
      <c r="K166" s="515" t="s">
        <v>1383</v>
      </c>
      <c r="L166" s="10"/>
      <c r="M166">
        <v>1</v>
      </c>
      <c r="R166" t="s">
        <v>2493</v>
      </c>
    </row>
    <row r="167" spans="1:18">
      <c r="A167" t="str">
        <f>$V$2&amp;"NOT_LINK_BR67"</f>
        <v>NOT_LINK_BR67</v>
      </c>
      <c r="B167" t="s">
        <v>74</v>
      </c>
      <c r="C167" s="10"/>
      <c r="D167" s="10"/>
      <c r="E167" s="10"/>
      <c r="F167" t="s">
        <v>72</v>
      </c>
      <c r="G167" t="s">
        <v>71</v>
      </c>
      <c r="H167">
        <v>0</v>
      </c>
      <c r="I167" t="s">
        <v>72</v>
      </c>
      <c r="J167" t="s">
        <v>73</v>
      </c>
      <c r="K167" s="515" t="s">
        <v>1383</v>
      </c>
      <c r="L167" s="10"/>
      <c r="M167">
        <v>1</v>
      </c>
      <c r="R167" t="s">
        <v>2494</v>
      </c>
    </row>
    <row r="168" spans="1:18">
      <c r="A168" t="str">
        <f>$V$2&amp;"NOT_LINK_BR68"</f>
        <v>NOT_LINK_BR68</v>
      </c>
      <c r="B168" t="s">
        <v>74</v>
      </c>
      <c r="C168" s="10"/>
      <c r="D168" s="10"/>
      <c r="E168" s="10"/>
      <c r="F168" t="s">
        <v>72</v>
      </c>
      <c r="G168" t="s">
        <v>71</v>
      </c>
      <c r="H168">
        <v>0</v>
      </c>
      <c r="I168" t="s">
        <v>72</v>
      </c>
      <c r="J168" t="s">
        <v>73</v>
      </c>
      <c r="K168" s="515" t="s">
        <v>1383</v>
      </c>
      <c r="L168" s="10"/>
      <c r="M168">
        <v>1</v>
      </c>
      <c r="R168" t="s">
        <v>2495</v>
      </c>
    </row>
    <row r="169" spans="1:18">
      <c r="A169" t="str">
        <f>$V$2&amp;"NOT_LINK_BR69"</f>
        <v>NOT_LINK_BR69</v>
      </c>
      <c r="B169" t="s">
        <v>74</v>
      </c>
      <c r="C169" s="10"/>
      <c r="D169" s="10"/>
      <c r="E169" s="10"/>
      <c r="F169" t="s">
        <v>72</v>
      </c>
      <c r="G169" t="s">
        <v>71</v>
      </c>
      <c r="H169">
        <v>0</v>
      </c>
      <c r="I169" t="s">
        <v>72</v>
      </c>
      <c r="J169" t="s">
        <v>73</v>
      </c>
      <c r="K169" s="515" t="s">
        <v>1383</v>
      </c>
      <c r="L169" s="10"/>
      <c r="M169">
        <v>1</v>
      </c>
      <c r="R169" t="s">
        <v>2496</v>
      </c>
    </row>
    <row r="170" spans="1:18">
      <c r="A170" t="str">
        <f>$V$2&amp;"NOT_LINK_BR70"</f>
        <v>NOT_LINK_BR70</v>
      </c>
      <c r="B170" t="s">
        <v>74</v>
      </c>
      <c r="C170" s="10"/>
      <c r="D170" s="10"/>
      <c r="E170" s="10"/>
      <c r="F170" t="s">
        <v>72</v>
      </c>
      <c r="G170" t="s">
        <v>71</v>
      </c>
      <c r="H170">
        <v>0</v>
      </c>
      <c r="I170" t="s">
        <v>72</v>
      </c>
      <c r="J170" t="s">
        <v>73</v>
      </c>
      <c r="K170" s="515" t="s">
        <v>1383</v>
      </c>
      <c r="L170" s="10"/>
      <c r="M170">
        <v>1</v>
      </c>
      <c r="R170" t="s">
        <v>2497</v>
      </c>
    </row>
    <row r="171" spans="1:18">
      <c r="A171" t="str">
        <f>$V$2&amp;"NOT_LINK_BR71"</f>
        <v>NOT_LINK_BR71</v>
      </c>
      <c r="B171" t="s">
        <v>74</v>
      </c>
      <c r="C171" s="10"/>
      <c r="D171" s="10"/>
      <c r="E171" s="10"/>
      <c r="F171" t="s">
        <v>72</v>
      </c>
      <c r="G171" t="s">
        <v>71</v>
      </c>
      <c r="H171">
        <v>0</v>
      </c>
      <c r="I171" t="s">
        <v>72</v>
      </c>
      <c r="J171" t="s">
        <v>73</v>
      </c>
      <c r="K171" s="515" t="s">
        <v>1383</v>
      </c>
      <c r="L171" s="10"/>
      <c r="M171">
        <v>1</v>
      </c>
      <c r="R171" t="s">
        <v>2498</v>
      </c>
    </row>
    <row r="172" spans="1:18">
      <c r="A172" t="str">
        <f>$V$2&amp;"NOT_LINK_BR72"</f>
        <v>NOT_LINK_BR72</v>
      </c>
      <c r="B172" t="s">
        <v>74</v>
      </c>
      <c r="C172" s="10"/>
      <c r="D172" s="10"/>
      <c r="E172" s="10"/>
      <c r="F172" t="s">
        <v>72</v>
      </c>
      <c r="G172" t="s">
        <v>71</v>
      </c>
      <c r="H172">
        <v>0</v>
      </c>
      <c r="I172" t="s">
        <v>72</v>
      </c>
      <c r="J172" t="s">
        <v>73</v>
      </c>
      <c r="K172" s="515" t="s">
        <v>1383</v>
      </c>
      <c r="L172" s="10"/>
      <c r="M172">
        <v>1</v>
      </c>
      <c r="R172" t="s">
        <v>2499</v>
      </c>
    </row>
    <row r="173" spans="1:18">
      <c r="A173" t="str">
        <f>$V$2&amp;"NOT_LINK_BR73"</f>
        <v>NOT_LINK_BR73</v>
      </c>
      <c r="B173" t="s">
        <v>74</v>
      </c>
      <c r="C173" s="10"/>
      <c r="D173" s="10"/>
      <c r="E173" s="10"/>
      <c r="F173" t="s">
        <v>72</v>
      </c>
      <c r="G173" t="s">
        <v>71</v>
      </c>
      <c r="H173">
        <v>0</v>
      </c>
      <c r="I173" t="s">
        <v>72</v>
      </c>
      <c r="J173" t="s">
        <v>73</v>
      </c>
      <c r="K173" s="515" t="s">
        <v>1383</v>
      </c>
      <c r="L173" s="10"/>
      <c r="M173">
        <v>1</v>
      </c>
      <c r="R173" t="s">
        <v>2500</v>
      </c>
    </row>
    <row r="174" spans="1:18">
      <c r="A174" t="str">
        <f>$V$2&amp;"NOT_LINK_BR74"</f>
        <v>NOT_LINK_BR74</v>
      </c>
      <c r="B174" t="s">
        <v>74</v>
      </c>
      <c r="C174" s="10"/>
      <c r="D174" s="10"/>
      <c r="E174" s="10"/>
      <c r="F174" t="s">
        <v>72</v>
      </c>
      <c r="G174" t="s">
        <v>71</v>
      </c>
      <c r="H174">
        <v>0</v>
      </c>
      <c r="I174" t="s">
        <v>72</v>
      </c>
      <c r="J174" t="s">
        <v>73</v>
      </c>
      <c r="K174" s="515" t="s">
        <v>1383</v>
      </c>
      <c r="L174" s="10"/>
      <c r="M174">
        <v>1</v>
      </c>
      <c r="R174" t="s">
        <v>2501</v>
      </c>
    </row>
    <row r="175" spans="1:18">
      <c r="A175" t="str">
        <f>$V$2&amp;"NOT_LINK_BR75"</f>
        <v>NOT_LINK_BR75</v>
      </c>
      <c r="B175" t="s">
        <v>74</v>
      </c>
      <c r="C175" s="10"/>
      <c r="D175" s="10"/>
      <c r="E175" s="10"/>
      <c r="F175" t="s">
        <v>72</v>
      </c>
      <c r="G175" t="s">
        <v>71</v>
      </c>
      <c r="H175">
        <v>0</v>
      </c>
      <c r="I175" t="s">
        <v>72</v>
      </c>
      <c r="J175" t="s">
        <v>73</v>
      </c>
      <c r="K175" s="515" t="s">
        <v>1383</v>
      </c>
      <c r="L175" s="10"/>
      <c r="M175">
        <v>1</v>
      </c>
      <c r="R175" t="s">
        <v>2502</v>
      </c>
    </row>
    <row r="176" spans="1:18">
      <c r="A176" t="str">
        <f>$V$2&amp;"NOT_LINK_BR76"</f>
        <v>NOT_LINK_BR76</v>
      </c>
      <c r="B176" t="s">
        <v>74</v>
      </c>
      <c r="C176" s="10"/>
      <c r="D176" s="10"/>
      <c r="E176" s="10"/>
      <c r="F176" t="s">
        <v>72</v>
      </c>
      <c r="G176" t="s">
        <v>71</v>
      </c>
      <c r="H176">
        <v>0</v>
      </c>
      <c r="I176" t="s">
        <v>72</v>
      </c>
      <c r="J176" t="s">
        <v>73</v>
      </c>
      <c r="K176" s="515" t="s">
        <v>1383</v>
      </c>
      <c r="L176" s="10"/>
      <c r="M176">
        <v>1</v>
      </c>
      <c r="R176" t="s">
        <v>2503</v>
      </c>
    </row>
    <row r="177" spans="1:18">
      <c r="A177" t="str">
        <f>$V$2&amp;"NOT_LINK_BR77"</f>
        <v>NOT_LINK_BR77</v>
      </c>
      <c r="B177" t="s">
        <v>74</v>
      </c>
      <c r="C177" s="10"/>
      <c r="D177" s="10"/>
      <c r="E177" s="10"/>
      <c r="F177" t="s">
        <v>72</v>
      </c>
      <c r="G177" t="s">
        <v>71</v>
      </c>
      <c r="H177">
        <v>0</v>
      </c>
      <c r="I177" t="s">
        <v>72</v>
      </c>
      <c r="J177" t="s">
        <v>73</v>
      </c>
      <c r="K177" s="515" t="s">
        <v>1383</v>
      </c>
      <c r="L177" s="10"/>
      <c r="M177">
        <v>1</v>
      </c>
      <c r="R177" t="s">
        <v>2504</v>
      </c>
    </row>
    <row r="178" spans="1:18">
      <c r="A178" t="str">
        <f>$V$2&amp;"NOT_LINK_BR78"</f>
        <v>NOT_LINK_BR78</v>
      </c>
      <c r="B178" t="s">
        <v>74</v>
      </c>
      <c r="C178" s="10"/>
      <c r="D178" s="10"/>
      <c r="E178" s="10"/>
      <c r="F178" t="s">
        <v>72</v>
      </c>
      <c r="G178" t="s">
        <v>71</v>
      </c>
      <c r="H178">
        <v>0</v>
      </c>
      <c r="I178" t="s">
        <v>72</v>
      </c>
      <c r="J178" t="s">
        <v>73</v>
      </c>
      <c r="K178" s="515" t="s">
        <v>1383</v>
      </c>
      <c r="L178" s="10"/>
      <c r="M178">
        <v>1</v>
      </c>
      <c r="R178" t="s">
        <v>2505</v>
      </c>
    </row>
    <row r="179" spans="1:18">
      <c r="A179" t="str">
        <f>$V$2&amp;"NOT_LINK_BR79"</f>
        <v>NOT_LINK_BR79</v>
      </c>
      <c r="B179" t="s">
        <v>74</v>
      </c>
      <c r="C179" s="10"/>
      <c r="D179" s="10"/>
      <c r="E179" s="10"/>
      <c r="F179" t="s">
        <v>72</v>
      </c>
      <c r="G179" t="s">
        <v>71</v>
      </c>
      <c r="H179">
        <v>0</v>
      </c>
      <c r="I179" t="s">
        <v>72</v>
      </c>
      <c r="J179" t="s">
        <v>73</v>
      </c>
      <c r="K179" s="515" t="s">
        <v>1383</v>
      </c>
      <c r="L179" s="10"/>
      <c r="M179">
        <v>1</v>
      </c>
      <c r="R179" t="s">
        <v>2506</v>
      </c>
    </row>
    <row r="180" spans="1:18">
      <c r="A180" t="str">
        <f>$V$2&amp;"NOT_LINK_BR80"</f>
        <v>NOT_LINK_BR80</v>
      </c>
      <c r="B180" t="s">
        <v>74</v>
      </c>
      <c r="C180" s="10"/>
      <c r="D180" s="10"/>
      <c r="E180" s="10"/>
      <c r="F180" t="s">
        <v>72</v>
      </c>
      <c r="G180" t="s">
        <v>71</v>
      </c>
      <c r="H180">
        <v>0</v>
      </c>
      <c r="I180" t="s">
        <v>72</v>
      </c>
      <c r="J180" t="s">
        <v>73</v>
      </c>
      <c r="K180" s="515" t="s">
        <v>1383</v>
      </c>
      <c r="L180" s="10"/>
      <c r="M180">
        <v>1</v>
      </c>
      <c r="R180" t="s">
        <v>2507</v>
      </c>
    </row>
    <row r="181" spans="1:18">
      <c r="A181" t="str">
        <f>$V$2&amp;"NOT_LINK_BR81"</f>
        <v>NOT_LINK_BR81</v>
      </c>
      <c r="B181" t="s">
        <v>74</v>
      </c>
      <c r="C181" s="10"/>
      <c r="D181" s="10"/>
      <c r="E181" s="10"/>
      <c r="F181" t="s">
        <v>72</v>
      </c>
      <c r="G181" t="s">
        <v>71</v>
      </c>
      <c r="H181">
        <v>0</v>
      </c>
      <c r="I181" t="s">
        <v>72</v>
      </c>
      <c r="J181" t="s">
        <v>73</v>
      </c>
      <c r="K181" s="515" t="s">
        <v>1383</v>
      </c>
      <c r="L181" s="10"/>
      <c r="M181">
        <v>1</v>
      </c>
      <c r="R181" t="s">
        <v>2508</v>
      </c>
    </row>
    <row r="182" spans="1:18">
      <c r="A182" t="str">
        <f>$V$2&amp;"NOT_LINK_BR82"</f>
        <v>NOT_LINK_BR82</v>
      </c>
      <c r="B182" t="s">
        <v>74</v>
      </c>
      <c r="C182" s="10"/>
      <c r="D182" s="10"/>
      <c r="E182" s="10"/>
      <c r="F182" t="s">
        <v>72</v>
      </c>
      <c r="G182" t="s">
        <v>71</v>
      </c>
      <c r="H182">
        <v>0</v>
      </c>
      <c r="I182" t="s">
        <v>72</v>
      </c>
      <c r="J182" t="s">
        <v>73</v>
      </c>
      <c r="K182" s="515" t="s">
        <v>1383</v>
      </c>
      <c r="L182" s="10"/>
      <c r="M182">
        <v>1</v>
      </c>
      <c r="R182" t="s">
        <v>2509</v>
      </c>
    </row>
    <row r="183" spans="1:18">
      <c r="A183" t="str">
        <f>$V$2&amp;"NOT_LINK_BR83"</f>
        <v>NOT_LINK_BR83</v>
      </c>
      <c r="B183" t="s">
        <v>74</v>
      </c>
      <c r="C183" s="10"/>
      <c r="D183" s="10"/>
      <c r="E183" s="10"/>
      <c r="F183" t="s">
        <v>72</v>
      </c>
      <c r="G183" t="s">
        <v>71</v>
      </c>
      <c r="H183">
        <v>0</v>
      </c>
      <c r="I183" t="s">
        <v>72</v>
      </c>
      <c r="J183" t="s">
        <v>73</v>
      </c>
      <c r="K183" s="515" t="s">
        <v>1383</v>
      </c>
      <c r="L183" s="10"/>
      <c r="M183">
        <v>1</v>
      </c>
      <c r="R183" t="s">
        <v>2510</v>
      </c>
    </row>
    <row r="184" spans="1:18">
      <c r="A184" t="str">
        <f>$V$2&amp;"NOT_LINK_BR84"</f>
        <v>NOT_LINK_BR84</v>
      </c>
      <c r="B184" t="s">
        <v>74</v>
      </c>
      <c r="C184" s="10"/>
      <c r="D184" s="10"/>
      <c r="E184" s="10"/>
      <c r="F184" t="s">
        <v>72</v>
      </c>
      <c r="G184" t="s">
        <v>71</v>
      </c>
      <c r="H184">
        <v>0</v>
      </c>
      <c r="I184" t="s">
        <v>72</v>
      </c>
      <c r="J184" t="s">
        <v>73</v>
      </c>
      <c r="K184" s="515" t="s">
        <v>1383</v>
      </c>
      <c r="L184" s="10"/>
      <c r="M184">
        <v>1</v>
      </c>
      <c r="R184" t="s">
        <v>2511</v>
      </c>
    </row>
    <row r="185" spans="1:18">
      <c r="A185" t="str">
        <f>$V$2&amp;"NOT_LINK_BR85"</f>
        <v>NOT_LINK_BR85</v>
      </c>
      <c r="B185" t="s">
        <v>74</v>
      </c>
      <c r="C185" s="10"/>
      <c r="D185" s="10"/>
      <c r="E185" s="10"/>
      <c r="F185" t="s">
        <v>72</v>
      </c>
      <c r="G185" t="s">
        <v>71</v>
      </c>
      <c r="H185">
        <v>0</v>
      </c>
      <c r="I185" t="s">
        <v>72</v>
      </c>
      <c r="J185" t="s">
        <v>73</v>
      </c>
      <c r="K185" s="515" t="s">
        <v>1383</v>
      </c>
      <c r="L185" s="10"/>
      <c r="M185">
        <v>1</v>
      </c>
      <c r="R185" t="s">
        <v>2512</v>
      </c>
    </row>
    <row r="186" spans="1:18">
      <c r="A186" t="str">
        <f>$V$2&amp;"NOT_LINK_BR86"</f>
        <v>NOT_LINK_BR86</v>
      </c>
      <c r="B186" t="s">
        <v>74</v>
      </c>
      <c r="C186" s="10"/>
      <c r="D186" s="10"/>
      <c r="E186" s="10"/>
      <c r="F186" t="s">
        <v>72</v>
      </c>
      <c r="G186" t="s">
        <v>71</v>
      </c>
      <c r="H186">
        <v>0</v>
      </c>
      <c r="I186" t="s">
        <v>72</v>
      </c>
      <c r="J186" t="s">
        <v>73</v>
      </c>
      <c r="K186" s="515" t="s">
        <v>1383</v>
      </c>
      <c r="L186" s="10"/>
      <c r="M186">
        <v>1</v>
      </c>
      <c r="R186" t="s">
        <v>2513</v>
      </c>
    </row>
    <row r="187" spans="1:18">
      <c r="A187" t="str">
        <f>$V$2&amp;"NOT_LINK_BR87"</f>
        <v>NOT_LINK_BR87</v>
      </c>
      <c r="B187" t="s">
        <v>74</v>
      </c>
      <c r="C187" s="10"/>
      <c r="D187" s="10"/>
      <c r="E187" s="10"/>
      <c r="F187" t="s">
        <v>72</v>
      </c>
      <c r="G187" t="s">
        <v>71</v>
      </c>
      <c r="H187">
        <v>0</v>
      </c>
      <c r="I187" t="s">
        <v>72</v>
      </c>
      <c r="J187" t="s">
        <v>73</v>
      </c>
      <c r="K187" s="515" t="s">
        <v>1383</v>
      </c>
      <c r="L187" s="10"/>
      <c r="M187">
        <v>1</v>
      </c>
      <c r="R187" t="s">
        <v>2514</v>
      </c>
    </row>
    <row r="188" spans="1:18">
      <c r="A188" t="str">
        <f>$V$2&amp;"NOT_LINK_BR88"</f>
        <v>NOT_LINK_BR88</v>
      </c>
      <c r="B188" t="s">
        <v>74</v>
      </c>
      <c r="C188" s="10"/>
      <c r="D188" s="10"/>
      <c r="E188" s="10"/>
      <c r="F188" t="s">
        <v>72</v>
      </c>
      <c r="G188" t="s">
        <v>71</v>
      </c>
      <c r="H188">
        <v>0</v>
      </c>
      <c r="I188" t="s">
        <v>72</v>
      </c>
      <c r="J188" t="s">
        <v>73</v>
      </c>
      <c r="K188" s="515" t="s">
        <v>1383</v>
      </c>
      <c r="L188" s="10"/>
      <c r="M188">
        <v>1</v>
      </c>
      <c r="R188" t="s">
        <v>2515</v>
      </c>
    </row>
    <row r="189" spans="1:18">
      <c r="A189" t="str">
        <f>$V$2&amp;"NOT_LINK_BR89"</f>
        <v>NOT_LINK_BR89</v>
      </c>
      <c r="B189" t="s">
        <v>74</v>
      </c>
      <c r="C189" s="10"/>
      <c r="D189" s="10"/>
      <c r="E189" s="10"/>
      <c r="F189" t="s">
        <v>72</v>
      </c>
      <c r="G189" t="s">
        <v>71</v>
      </c>
      <c r="H189">
        <v>0</v>
      </c>
      <c r="I189" t="s">
        <v>72</v>
      </c>
      <c r="J189" t="s">
        <v>73</v>
      </c>
      <c r="K189" s="515" t="s">
        <v>1383</v>
      </c>
      <c r="L189" s="10"/>
      <c r="M189">
        <v>1</v>
      </c>
      <c r="R189" t="s">
        <v>2516</v>
      </c>
    </row>
    <row r="190" spans="1:18">
      <c r="A190" t="str">
        <f>$V$2&amp;"NOT_LINK_BR90"</f>
        <v>NOT_LINK_BR90</v>
      </c>
      <c r="B190" t="s">
        <v>74</v>
      </c>
      <c r="C190" s="10"/>
      <c r="D190" s="10"/>
      <c r="E190" s="10"/>
      <c r="F190" t="s">
        <v>72</v>
      </c>
      <c r="G190" t="s">
        <v>71</v>
      </c>
      <c r="H190">
        <v>0</v>
      </c>
      <c r="I190" t="s">
        <v>72</v>
      </c>
      <c r="J190" t="s">
        <v>73</v>
      </c>
      <c r="K190" s="515" t="s">
        <v>1383</v>
      </c>
      <c r="L190" s="10"/>
      <c r="M190">
        <v>1</v>
      </c>
      <c r="R190" t="s">
        <v>2517</v>
      </c>
    </row>
    <row r="191" spans="1:18">
      <c r="A191" t="str">
        <f>$V$2&amp;"NOT_LINK_BR91"</f>
        <v>NOT_LINK_BR91</v>
      </c>
      <c r="B191" t="s">
        <v>74</v>
      </c>
      <c r="C191" s="10"/>
      <c r="D191" s="10"/>
      <c r="E191" s="10"/>
      <c r="F191" t="s">
        <v>72</v>
      </c>
      <c r="G191" t="s">
        <v>71</v>
      </c>
      <c r="H191">
        <v>0</v>
      </c>
      <c r="I191" t="s">
        <v>72</v>
      </c>
      <c r="J191" t="s">
        <v>73</v>
      </c>
      <c r="K191" s="515" t="s">
        <v>1383</v>
      </c>
      <c r="L191" s="10"/>
      <c r="M191">
        <v>1</v>
      </c>
      <c r="R191" t="s">
        <v>2518</v>
      </c>
    </row>
    <row r="192" spans="1:18">
      <c r="A192" t="str">
        <f>$V$2&amp;"NOT_LINK_BR92"</f>
        <v>NOT_LINK_BR92</v>
      </c>
      <c r="B192" t="s">
        <v>74</v>
      </c>
      <c r="C192" s="10"/>
      <c r="D192" s="10"/>
      <c r="E192" s="10"/>
      <c r="F192" t="s">
        <v>72</v>
      </c>
      <c r="G192" t="s">
        <v>71</v>
      </c>
      <c r="H192">
        <v>0</v>
      </c>
      <c r="I192" t="s">
        <v>72</v>
      </c>
      <c r="J192" t="s">
        <v>73</v>
      </c>
      <c r="K192" s="515" t="s">
        <v>1383</v>
      </c>
      <c r="L192" s="10"/>
      <c r="M192">
        <v>1</v>
      </c>
      <c r="R192" t="s">
        <v>2519</v>
      </c>
    </row>
    <row r="193" spans="1:18">
      <c r="A193" t="str">
        <f>$V$2&amp;"NOT_LINK_BR93"</f>
        <v>NOT_LINK_BR93</v>
      </c>
      <c r="B193" t="s">
        <v>74</v>
      </c>
      <c r="C193" s="10"/>
      <c r="D193" s="10"/>
      <c r="E193" s="10"/>
      <c r="F193" t="s">
        <v>72</v>
      </c>
      <c r="G193" t="s">
        <v>71</v>
      </c>
      <c r="H193">
        <v>0</v>
      </c>
      <c r="I193" t="s">
        <v>72</v>
      </c>
      <c r="J193" t="s">
        <v>73</v>
      </c>
      <c r="K193" s="515" t="s">
        <v>1383</v>
      </c>
      <c r="L193" s="10"/>
      <c r="M193">
        <v>1</v>
      </c>
      <c r="R193" t="s">
        <v>2520</v>
      </c>
    </row>
    <row r="194" spans="1:18">
      <c r="A194" t="str">
        <f>$V$2&amp;"NOT_LINK_BR94"</f>
        <v>NOT_LINK_BR94</v>
      </c>
      <c r="B194" t="s">
        <v>74</v>
      </c>
      <c r="C194" s="10"/>
      <c r="D194" s="10"/>
      <c r="E194" s="10"/>
      <c r="F194" t="s">
        <v>72</v>
      </c>
      <c r="G194" t="s">
        <v>71</v>
      </c>
      <c r="H194">
        <v>0</v>
      </c>
      <c r="I194" t="s">
        <v>72</v>
      </c>
      <c r="J194" t="s">
        <v>73</v>
      </c>
      <c r="K194" s="515" t="s">
        <v>1383</v>
      </c>
      <c r="L194" s="10"/>
      <c r="M194">
        <v>1</v>
      </c>
      <c r="R194" t="s">
        <v>2521</v>
      </c>
    </row>
    <row r="195" spans="1:18">
      <c r="A195" t="str">
        <f>$V$2&amp;"NOT_LINK_BR95"</f>
        <v>NOT_LINK_BR95</v>
      </c>
      <c r="B195" t="s">
        <v>74</v>
      </c>
      <c r="C195" s="10"/>
      <c r="D195" s="10"/>
      <c r="E195" s="10"/>
      <c r="F195" t="s">
        <v>72</v>
      </c>
      <c r="G195" t="s">
        <v>71</v>
      </c>
      <c r="H195">
        <v>0</v>
      </c>
      <c r="I195" t="s">
        <v>72</v>
      </c>
      <c r="J195" t="s">
        <v>73</v>
      </c>
      <c r="K195" s="515" t="s">
        <v>1383</v>
      </c>
      <c r="L195" s="10"/>
      <c r="M195">
        <v>1</v>
      </c>
      <c r="R195" t="s">
        <v>2522</v>
      </c>
    </row>
    <row r="196" spans="1:18">
      <c r="A196" t="str">
        <f>$V$2&amp;"NOT_LINK_BR96"</f>
        <v>NOT_LINK_BR96</v>
      </c>
      <c r="B196" t="s">
        <v>74</v>
      </c>
      <c r="C196" s="10"/>
      <c r="D196" s="10"/>
      <c r="E196" s="10"/>
      <c r="F196" t="s">
        <v>72</v>
      </c>
      <c r="G196" t="s">
        <v>71</v>
      </c>
      <c r="H196">
        <v>0</v>
      </c>
      <c r="I196" t="s">
        <v>72</v>
      </c>
      <c r="J196" t="s">
        <v>73</v>
      </c>
      <c r="K196" s="515" t="s">
        <v>1383</v>
      </c>
      <c r="L196" s="10"/>
      <c r="M196">
        <v>1</v>
      </c>
      <c r="R196" t="s">
        <v>2523</v>
      </c>
    </row>
    <row r="197" spans="1:18">
      <c r="A197" t="str">
        <f>$V$2&amp;"NOT_LINK_BR97"</f>
        <v>NOT_LINK_BR97</v>
      </c>
      <c r="B197" t="s">
        <v>74</v>
      </c>
      <c r="C197" s="10"/>
      <c r="D197" s="10"/>
      <c r="E197" s="10"/>
      <c r="F197" t="s">
        <v>72</v>
      </c>
      <c r="G197" t="s">
        <v>71</v>
      </c>
      <c r="H197">
        <v>0</v>
      </c>
      <c r="I197" t="s">
        <v>72</v>
      </c>
      <c r="J197" t="s">
        <v>73</v>
      </c>
      <c r="K197" s="515" t="s">
        <v>1383</v>
      </c>
      <c r="L197" s="10"/>
      <c r="M197">
        <v>1</v>
      </c>
      <c r="R197" t="s">
        <v>2524</v>
      </c>
    </row>
    <row r="198" spans="1:18">
      <c r="A198" t="str">
        <f>$V$2&amp;"NOT_LINK_BR98"</f>
        <v>NOT_LINK_BR98</v>
      </c>
      <c r="B198" t="s">
        <v>74</v>
      </c>
      <c r="C198" s="10"/>
      <c r="D198" s="10"/>
      <c r="E198" s="10"/>
      <c r="F198" t="s">
        <v>72</v>
      </c>
      <c r="G198" t="s">
        <v>71</v>
      </c>
      <c r="H198">
        <v>0</v>
      </c>
      <c r="I198" t="s">
        <v>72</v>
      </c>
      <c r="J198" t="s">
        <v>73</v>
      </c>
      <c r="K198" s="515" t="s">
        <v>1383</v>
      </c>
      <c r="L198" s="10"/>
      <c r="M198">
        <v>1</v>
      </c>
      <c r="R198" t="s">
        <v>2525</v>
      </c>
    </row>
    <row r="199" spans="1:18">
      <c r="A199" t="str">
        <f>$V$2&amp;"NOT_LINK_BR99"</f>
        <v>NOT_LINK_BR99</v>
      </c>
      <c r="B199" t="s">
        <v>74</v>
      </c>
      <c r="C199" s="10"/>
      <c r="D199" s="10"/>
      <c r="E199" s="10"/>
      <c r="F199" t="s">
        <v>72</v>
      </c>
      <c r="G199" t="s">
        <v>71</v>
      </c>
      <c r="H199">
        <v>0</v>
      </c>
      <c r="I199" t="s">
        <v>72</v>
      </c>
      <c r="J199" t="s">
        <v>73</v>
      </c>
      <c r="K199" s="515" t="s">
        <v>1383</v>
      </c>
      <c r="L199" s="10"/>
      <c r="M199">
        <v>1</v>
      </c>
      <c r="R199" t="s">
        <v>2526</v>
      </c>
    </row>
    <row r="200" spans="1:18">
      <c r="A200" t="str">
        <f>$V$2&amp;"NOT_LINK_BR100"</f>
        <v>NOT_LINK_BR100</v>
      </c>
      <c r="B200" t="s">
        <v>74</v>
      </c>
      <c r="C200" s="10"/>
      <c r="D200" s="10"/>
      <c r="E200" s="10"/>
      <c r="F200" t="s">
        <v>72</v>
      </c>
      <c r="G200" t="s">
        <v>71</v>
      </c>
      <c r="H200">
        <v>0</v>
      </c>
      <c r="I200" t="s">
        <v>72</v>
      </c>
      <c r="J200" t="s">
        <v>73</v>
      </c>
      <c r="K200" s="515" t="s">
        <v>1383</v>
      </c>
      <c r="L200" s="10"/>
      <c r="M200">
        <v>1</v>
      </c>
      <c r="R200" t="s">
        <v>2527</v>
      </c>
    </row>
    <row r="201" spans="1:18">
      <c r="A201" t="str">
        <f>Настройки!$D$4&amp;'Конфигурация TREI'!A2&amp;"|DIAG_1"</f>
        <v>CPU|DIAG_1</v>
      </c>
      <c r="B201" t="s">
        <v>74</v>
      </c>
      <c r="C201" s="10"/>
      <c r="D201" s="10"/>
      <c r="E201" s="10"/>
      <c r="F201" t="s">
        <v>72</v>
      </c>
      <c r="G201" t="s">
        <v>795</v>
      </c>
      <c r="H201">
        <v>0</v>
      </c>
      <c r="I201" t="s">
        <v>72</v>
      </c>
      <c r="J201" t="s">
        <v>69</v>
      </c>
      <c r="K201" s="515" t="s">
        <v>1383</v>
      </c>
      <c r="L201" s="10"/>
      <c r="M201" s="376">
        <v>1</v>
      </c>
      <c r="R201" t="s">
        <v>293</v>
      </c>
    </row>
    <row r="202" spans="1:18">
      <c r="A202" t="str">
        <f>Настройки!$D$4&amp;'Конфигурация TREI'!A2&amp;"|DIAG_2"</f>
        <v>CPU|DIAG_2</v>
      </c>
      <c r="B202" t="s">
        <v>74</v>
      </c>
      <c r="C202" s="10"/>
      <c r="D202" s="10"/>
      <c r="E202" s="10"/>
      <c r="F202" t="s">
        <v>72</v>
      </c>
      <c r="G202" t="s">
        <v>795</v>
      </c>
      <c r="H202">
        <v>0</v>
      </c>
      <c r="I202" t="s">
        <v>72</v>
      </c>
      <c r="J202" t="s">
        <v>69</v>
      </c>
      <c r="K202" s="515" t="s">
        <v>1383</v>
      </c>
      <c r="L202" s="10"/>
      <c r="M202" s="376">
        <v>1</v>
      </c>
      <c r="R202" t="s">
        <v>293</v>
      </c>
    </row>
    <row r="203" spans="1:18">
      <c r="A203" t="str">
        <f>Настройки!$D$4&amp;'Конфигурация TREI'!A2&amp;"|DIAG_3"</f>
        <v>CPU|DIAG_3</v>
      </c>
      <c r="B203" t="s">
        <v>74</v>
      </c>
      <c r="C203" s="10"/>
      <c r="D203" s="10"/>
      <c r="E203" s="10"/>
      <c r="F203" t="s">
        <v>72</v>
      </c>
      <c r="G203" t="s">
        <v>795</v>
      </c>
      <c r="H203">
        <v>0</v>
      </c>
      <c r="I203" t="s">
        <v>72</v>
      </c>
      <c r="J203" t="s">
        <v>69</v>
      </c>
      <c r="K203" s="515" t="s">
        <v>1383</v>
      </c>
      <c r="L203" s="10"/>
      <c r="M203" s="376">
        <v>1</v>
      </c>
      <c r="R203" t="s">
        <v>293</v>
      </c>
    </row>
    <row r="204" spans="1:18">
      <c r="A204" t="str">
        <f>Настройки!$D$4&amp;'Конфигурация TREI'!A2&amp;"|DIAG_4"</f>
        <v>CPU|DIAG_4</v>
      </c>
      <c r="B204" t="s">
        <v>74</v>
      </c>
      <c r="C204" s="10"/>
      <c r="D204" s="10"/>
      <c r="E204" s="10"/>
      <c r="F204" t="s">
        <v>72</v>
      </c>
      <c r="G204" t="s">
        <v>795</v>
      </c>
      <c r="H204">
        <v>0</v>
      </c>
      <c r="I204" t="s">
        <v>72</v>
      </c>
      <c r="J204" t="s">
        <v>69</v>
      </c>
      <c r="K204" s="515" t="s">
        <v>1383</v>
      </c>
      <c r="L204" s="10"/>
      <c r="M204" s="376">
        <v>1</v>
      </c>
      <c r="R204" t="s">
        <v>293</v>
      </c>
    </row>
    <row r="205" spans="1:18">
      <c r="A205" t="str">
        <f>Настройки!$D$4&amp;'Конфигурация TREI'!A2&amp;"|DIAG_5"</f>
        <v>CPU|DIAG_5</v>
      </c>
      <c r="B205" t="s">
        <v>74</v>
      </c>
      <c r="C205" s="10"/>
      <c r="D205" s="10"/>
      <c r="E205" s="10"/>
      <c r="F205" t="s">
        <v>72</v>
      </c>
      <c r="G205" t="s">
        <v>795</v>
      </c>
      <c r="H205">
        <v>0</v>
      </c>
      <c r="I205" t="s">
        <v>72</v>
      </c>
      <c r="J205" t="s">
        <v>69</v>
      </c>
      <c r="K205" s="515" t="s">
        <v>1383</v>
      </c>
      <c r="L205" s="10"/>
      <c r="M205" s="376">
        <v>1</v>
      </c>
      <c r="R205" t="s">
        <v>293</v>
      </c>
    </row>
    <row r="206" spans="1:18">
      <c r="A206" t="str">
        <f>Настройки!$D$4&amp;'Конфигурация TREI'!A2&amp;"|DIAG_6"</f>
        <v>CPU|DIAG_6</v>
      </c>
      <c r="B206" t="s">
        <v>74</v>
      </c>
      <c r="C206" s="10"/>
      <c r="D206" s="10"/>
      <c r="E206" s="10"/>
      <c r="F206" t="s">
        <v>72</v>
      </c>
      <c r="G206" t="s">
        <v>795</v>
      </c>
      <c r="H206">
        <v>0</v>
      </c>
      <c r="I206" t="s">
        <v>72</v>
      </c>
      <c r="J206" t="s">
        <v>69</v>
      </c>
      <c r="K206" s="515" t="s">
        <v>1383</v>
      </c>
      <c r="L206" s="10"/>
      <c r="M206" s="376">
        <v>1</v>
      </c>
      <c r="R206" t="s">
        <v>293</v>
      </c>
    </row>
    <row r="207" spans="1:18">
      <c r="A207" t="str">
        <f>Настройки!$D$4&amp;'Конфигурация TREI'!A2&amp;"|DIAG_7"</f>
        <v>CPU|DIAG_7</v>
      </c>
      <c r="B207" t="s">
        <v>74</v>
      </c>
      <c r="C207" s="10"/>
      <c r="D207" s="10"/>
      <c r="E207" s="10"/>
      <c r="F207" t="s">
        <v>72</v>
      </c>
      <c r="G207" t="s">
        <v>795</v>
      </c>
      <c r="H207">
        <v>0</v>
      </c>
      <c r="I207" t="s">
        <v>72</v>
      </c>
      <c r="J207" t="s">
        <v>69</v>
      </c>
      <c r="K207" s="515" t="s">
        <v>1383</v>
      </c>
      <c r="L207" s="10"/>
      <c r="M207" s="376">
        <v>1</v>
      </c>
      <c r="R207" t="s">
        <v>293</v>
      </c>
    </row>
    <row r="208" spans="1:18">
      <c r="A208" t="str">
        <f>Настройки!$D$4&amp;'Конфигурация TREI'!A2&amp;"|DIAG_8"</f>
        <v>CPU|DIAG_8</v>
      </c>
      <c r="B208" t="s">
        <v>74</v>
      </c>
      <c r="C208" s="10"/>
      <c r="D208" s="10"/>
      <c r="E208" s="10"/>
      <c r="F208" t="s">
        <v>72</v>
      </c>
      <c r="G208" t="s">
        <v>795</v>
      </c>
      <c r="H208">
        <v>0</v>
      </c>
      <c r="I208" t="s">
        <v>72</v>
      </c>
      <c r="J208" t="s">
        <v>69</v>
      </c>
      <c r="K208" s="515" t="s">
        <v>1383</v>
      </c>
      <c r="L208" s="10"/>
      <c r="M208" s="376">
        <v>1</v>
      </c>
      <c r="R208" t="s">
        <v>293</v>
      </c>
    </row>
    <row r="209" spans="1:18">
      <c r="A209" t="str">
        <f>Настройки!$D$4&amp;'Конфигурация TREI'!A2&amp;"|DIAG_9"</f>
        <v>CPU|DIAG_9</v>
      </c>
      <c r="B209" t="s">
        <v>74</v>
      </c>
      <c r="C209" s="10"/>
      <c r="D209" s="10"/>
      <c r="E209" s="10"/>
      <c r="F209" t="s">
        <v>72</v>
      </c>
      <c r="G209" t="s">
        <v>795</v>
      </c>
      <c r="H209">
        <v>0</v>
      </c>
      <c r="I209" t="s">
        <v>72</v>
      </c>
      <c r="J209" t="s">
        <v>69</v>
      </c>
      <c r="K209" s="515" t="s">
        <v>1383</v>
      </c>
      <c r="L209" s="10"/>
      <c r="M209" s="376">
        <v>1</v>
      </c>
      <c r="R209" t="s">
        <v>293</v>
      </c>
    </row>
    <row r="210" spans="1:18">
      <c r="A210" t="str">
        <f>Настройки!$D$4&amp;'Конфигурация TREI'!A2&amp;"|DIAG_10"</f>
        <v>CPU|DIAG_10</v>
      </c>
      <c r="B210" t="s">
        <v>74</v>
      </c>
      <c r="C210" s="10"/>
      <c r="D210" s="10"/>
      <c r="E210" s="10"/>
      <c r="F210" t="s">
        <v>72</v>
      </c>
      <c r="G210" t="s">
        <v>795</v>
      </c>
      <c r="H210">
        <v>0</v>
      </c>
      <c r="I210" t="s">
        <v>72</v>
      </c>
      <c r="J210" t="s">
        <v>69</v>
      </c>
      <c r="K210" s="515" t="s">
        <v>1383</v>
      </c>
      <c r="L210" s="10"/>
      <c r="M210" s="376">
        <v>1</v>
      </c>
      <c r="R210" t="s">
        <v>293</v>
      </c>
    </row>
    <row r="211" spans="1:18">
      <c r="A211" t="str">
        <f>Настройки!$D$4&amp;'Конфигурация TREI'!A2&amp;"|DIAG_11"</f>
        <v>CPU|DIAG_11</v>
      </c>
      <c r="B211" t="s">
        <v>74</v>
      </c>
      <c r="C211" s="10"/>
      <c r="D211" s="10"/>
      <c r="E211" s="10"/>
      <c r="F211" t="s">
        <v>72</v>
      </c>
      <c r="G211" t="s">
        <v>795</v>
      </c>
      <c r="H211">
        <v>0</v>
      </c>
      <c r="I211" t="s">
        <v>72</v>
      </c>
      <c r="J211" t="s">
        <v>69</v>
      </c>
      <c r="K211" s="515" t="s">
        <v>1383</v>
      </c>
      <c r="L211" s="10"/>
      <c r="M211" s="376">
        <v>1</v>
      </c>
      <c r="R211" t="s">
        <v>293</v>
      </c>
    </row>
    <row r="212" spans="1:18">
      <c r="A212" t="str">
        <f>Настройки!$D$4&amp;'Конфигурация TREI'!A2&amp;"|DIAG_12"</f>
        <v>CPU|DIAG_12</v>
      </c>
      <c r="B212" t="s">
        <v>74</v>
      </c>
      <c r="C212" s="10"/>
      <c r="D212" s="10"/>
      <c r="E212" s="10"/>
      <c r="F212" t="s">
        <v>72</v>
      </c>
      <c r="G212" t="s">
        <v>795</v>
      </c>
      <c r="H212">
        <v>0</v>
      </c>
      <c r="I212" t="s">
        <v>72</v>
      </c>
      <c r="J212" t="s">
        <v>69</v>
      </c>
      <c r="K212" s="515" t="s">
        <v>1383</v>
      </c>
      <c r="L212" s="10"/>
      <c r="M212" s="376">
        <v>1</v>
      </c>
      <c r="R212" t="s">
        <v>293</v>
      </c>
    </row>
    <row r="213" spans="1:18">
      <c r="A213" t="str">
        <f>Настройки!$D$4&amp;'Конфигурация TREI'!A2&amp;"|DIAG_13"</f>
        <v>CPU|DIAG_13</v>
      </c>
      <c r="B213" t="s">
        <v>74</v>
      </c>
      <c r="C213" s="10"/>
      <c r="D213" s="10"/>
      <c r="E213" s="10"/>
      <c r="F213" t="s">
        <v>72</v>
      </c>
      <c r="G213" t="s">
        <v>795</v>
      </c>
      <c r="H213">
        <v>0</v>
      </c>
      <c r="I213" t="s">
        <v>72</v>
      </c>
      <c r="J213" t="s">
        <v>69</v>
      </c>
      <c r="K213" s="515" t="s">
        <v>1383</v>
      </c>
      <c r="L213" s="10"/>
      <c r="M213" s="376">
        <v>1</v>
      </c>
      <c r="R213" t="s">
        <v>293</v>
      </c>
    </row>
    <row r="214" spans="1:18">
      <c r="A214" t="str">
        <f>Настройки!$D$4&amp;'Конфигурация TREI'!A2&amp;"|DIAG_14"</f>
        <v>CPU|DIAG_14</v>
      </c>
      <c r="B214" t="s">
        <v>74</v>
      </c>
      <c r="C214" s="10"/>
      <c r="D214" s="10"/>
      <c r="E214" s="10"/>
      <c r="F214" t="s">
        <v>72</v>
      </c>
      <c r="G214" t="s">
        <v>795</v>
      </c>
      <c r="H214">
        <v>0</v>
      </c>
      <c r="I214" t="s">
        <v>72</v>
      </c>
      <c r="J214" t="s">
        <v>69</v>
      </c>
      <c r="K214" s="515" t="s">
        <v>1383</v>
      </c>
      <c r="L214" s="10"/>
      <c r="M214" s="376">
        <v>1</v>
      </c>
      <c r="R214" t="s">
        <v>293</v>
      </c>
    </row>
    <row r="215" spans="1:18">
      <c r="A215" t="str">
        <f>Настройки!$D$4&amp;'Конфигурация TREI'!A2&amp;"|DIAG_15"</f>
        <v>CPU|DIAG_15</v>
      </c>
      <c r="B215" t="s">
        <v>74</v>
      </c>
      <c r="C215" s="10"/>
      <c r="D215" s="10"/>
      <c r="E215" s="10"/>
      <c r="F215" t="s">
        <v>72</v>
      </c>
      <c r="G215" t="s">
        <v>795</v>
      </c>
      <c r="H215">
        <v>0</v>
      </c>
      <c r="I215" t="s">
        <v>72</v>
      </c>
      <c r="J215" t="s">
        <v>69</v>
      </c>
      <c r="K215" s="515" t="s">
        <v>1383</v>
      </c>
      <c r="L215" s="10"/>
      <c r="M215" s="376">
        <v>1</v>
      </c>
      <c r="R215" t="s">
        <v>293</v>
      </c>
    </row>
    <row r="216" spans="1:18">
      <c r="A216" t="str">
        <f>Настройки!$D$4&amp;'Конфигурация TREI'!A2&amp;"|DIAG_16"</f>
        <v>CPU|DIAG_16</v>
      </c>
      <c r="B216" t="s">
        <v>74</v>
      </c>
      <c r="C216" s="10"/>
      <c r="D216" s="10"/>
      <c r="E216" s="10"/>
      <c r="F216" t="s">
        <v>72</v>
      </c>
      <c r="G216" t="s">
        <v>795</v>
      </c>
      <c r="H216">
        <v>0</v>
      </c>
      <c r="I216" t="s">
        <v>72</v>
      </c>
      <c r="J216" t="s">
        <v>69</v>
      </c>
      <c r="K216" s="515" t="s">
        <v>1383</v>
      </c>
      <c r="L216" s="10"/>
      <c r="M216" s="376">
        <v>1</v>
      </c>
      <c r="R216" t="s">
        <v>293</v>
      </c>
    </row>
    <row r="217" spans="1:18">
      <c r="A217" t="str">
        <f>Настройки!$D$4&amp;'Конфигурация TREI'!A2&amp;"|DIAG_17"</f>
        <v>CPU|DIAG_17</v>
      </c>
      <c r="B217" t="s">
        <v>74</v>
      </c>
      <c r="C217" s="10"/>
      <c r="D217" s="10"/>
      <c r="E217" s="10"/>
      <c r="F217" t="s">
        <v>72</v>
      </c>
      <c r="G217" t="s">
        <v>795</v>
      </c>
      <c r="H217">
        <v>0</v>
      </c>
      <c r="I217" t="s">
        <v>72</v>
      </c>
      <c r="J217" t="s">
        <v>69</v>
      </c>
      <c r="K217" s="515" t="s">
        <v>1383</v>
      </c>
      <c r="L217" s="10"/>
      <c r="M217" s="376">
        <v>1</v>
      </c>
      <c r="R217" t="s">
        <v>293</v>
      </c>
    </row>
    <row r="218" spans="1:18">
      <c r="A218" t="str">
        <f>Настройки!$D$4&amp;'Конфигурация TREI'!A2&amp;"|DIAG_18"</f>
        <v>CPU|DIAG_18</v>
      </c>
      <c r="B218" t="s">
        <v>74</v>
      </c>
      <c r="C218" s="10"/>
      <c r="D218" s="10"/>
      <c r="E218" s="10"/>
      <c r="F218" t="s">
        <v>72</v>
      </c>
      <c r="G218" t="s">
        <v>795</v>
      </c>
      <c r="H218">
        <v>0</v>
      </c>
      <c r="I218" t="s">
        <v>72</v>
      </c>
      <c r="J218" t="s">
        <v>69</v>
      </c>
      <c r="K218" s="515" t="s">
        <v>1383</v>
      </c>
      <c r="L218" s="10"/>
      <c r="M218" s="376">
        <v>1</v>
      </c>
      <c r="R218" t="s">
        <v>293</v>
      </c>
    </row>
    <row r="219" spans="1:18">
      <c r="A219" t="str">
        <f>Настройки!$D$4&amp;'Конфигурация TREI'!A2&amp;"|DIAG_19"</f>
        <v>CPU|DIAG_19</v>
      </c>
      <c r="B219" t="s">
        <v>74</v>
      </c>
      <c r="C219" s="10"/>
      <c r="D219" s="10"/>
      <c r="E219" s="10"/>
      <c r="F219" t="s">
        <v>72</v>
      </c>
      <c r="G219" t="s">
        <v>795</v>
      </c>
      <c r="H219">
        <v>0</v>
      </c>
      <c r="I219" t="s">
        <v>72</v>
      </c>
      <c r="J219" t="s">
        <v>69</v>
      </c>
      <c r="K219" s="515" t="s">
        <v>1383</v>
      </c>
      <c r="L219" s="10"/>
      <c r="M219" s="376">
        <v>1</v>
      </c>
      <c r="R219" t="s">
        <v>293</v>
      </c>
    </row>
    <row r="220" spans="1:18">
      <c r="A220" t="str">
        <f>Настройки!$D$4&amp;'Конфигурация TREI'!A2&amp;"|DIAG_20"</f>
        <v>CPU|DIAG_20</v>
      </c>
      <c r="B220" t="s">
        <v>74</v>
      </c>
      <c r="C220" s="10"/>
      <c r="D220" s="10"/>
      <c r="E220" s="10"/>
      <c r="F220" t="s">
        <v>72</v>
      </c>
      <c r="G220" t="s">
        <v>795</v>
      </c>
      <c r="H220">
        <v>0</v>
      </c>
      <c r="I220" t="s">
        <v>72</v>
      </c>
      <c r="J220" t="s">
        <v>69</v>
      </c>
      <c r="K220" s="515" t="s">
        <v>1383</v>
      </c>
      <c r="L220" s="10"/>
      <c r="M220" s="376">
        <v>1</v>
      </c>
      <c r="R220" t="s">
        <v>293</v>
      </c>
    </row>
    <row r="221" spans="1:18">
      <c r="A221" t="str">
        <f>Настройки!$D$4&amp;'Конфигурация TREI'!A2&amp;"|DIAG_21"</f>
        <v>CPU|DIAG_21</v>
      </c>
      <c r="B221" t="s">
        <v>74</v>
      </c>
      <c r="C221" s="10"/>
      <c r="D221" s="10"/>
      <c r="E221" s="10"/>
      <c r="F221" t="s">
        <v>72</v>
      </c>
      <c r="G221" t="s">
        <v>795</v>
      </c>
      <c r="H221">
        <v>0</v>
      </c>
      <c r="I221" t="s">
        <v>72</v>
      </c>
      <c r="J221" t="s">
        <v>69</v>
      </c>
      <c r="K221" s="515" t="s">
        <v>1383</v>
      </c>
      <c r="L221" s="10"/>
      <c r="M221" s="376">
        <v>1</v>
      </c>
      <c r="R221" t="s">
        <v>293</v>
      </c>
    </row>
    <row r="222" spans="1:18">
      <c r="A222" t="str">
        <f>Настройки!$D$4&amp;'Конфигурация TREI'!A2&amp;"|DIAG_22"</f>
        <v>CPU|DIAG_22</v>
      </c>
      <c r="B222" t="s">
        <v>74</v>
      </c>
      <c r="C222" s="10"/>
      <c r="D222" s="10"/>
      <c r="E222" s="10"/>
      <c r="F222" t="s">
        <v>72</v>
      </c>
      <c r="G222" t="s">
        <v>795</v>
      </c>
      <c r="H222">
        <v>0</v>
      </c>
      <c r="I222" t="s">
        <v>72</v>
      </c>
      <c r="J222" t="s">
        <v>69</v>
      </c>
      <c r="K222" s="515" t="s">
        <v>1383</v>
      </c>
      <c r="L222" s="10"/>
      <c r="M222" s="376">
        <v>1</v>
      </c>
      <c r="R222" t="s">
        <v>293</v>
      </c>
    </row>
    <row r="223" spans="1:18">
      <c r="A223" t="str">
        <f>Настройки!$D$4&amp;'Конфигурация TREI'!A2&amp;"|DIAG_23"</f>
        <v>CPU|DIAG_23</v>
      </c>
      <c r="B223" t="s">
        <v>74</v>
      </c>
      <c r="C223" s="10"/>
      <c r="D223" s="10"/>
      <c r="E223" s="10"/>
      <c r="F223" t="s">
        <v>72</v>
      </c>
      <c r="G223" t="s">
        <v>795</v>
      </c>
      <c r="H223">
        <v>0</v>
      </c>
      <c r="I223" t="s">
        <v>72</v>
      </c>
      <c r="J223" t="s">
        <v>69</v>
      </c>
      <c r="K223" s="515" t="s">
        <v>1383</v>
      </c>
      <c r="L223" s="10"/>
      <c r="M223" s="376">
        <v>1</v>
      </c>
      <c r="R223" t="s">
        <v>293</v>
      </c>
    </row>
    <row r="224" spans="1:18">
      <c r="A224" t="str">
        <f>Настройки!$D$4&amp;'Конфигурация TREI'!A2&amp;"|DIAG_24"</f>
        <v>CPU|DIAG_24</v>
      </c>
      <c r="B224" t="s">
        <v>74</v>
      </c>
      <c r="C224" s="10"/>
      <c r="D224" s="10"/>
      <c r="E224" s="10"/>
      <c r="F224" t="s">
        <v>72</v>
      </c>
      <c r="G224" t="s">
        <v>795</v>
      </c>
      <c r="H224">
        <v>0</v>
      </c>
      <c r="I224" t="s">
        <v>72</v>
      </c>
      <c r="J224" t="s">
        <v>69</v>
      </c>
      <c r="K224" s="515" t="s">
        <v>1383</v>
      </c>
      <c r="L224" s="10"/>
      <c r="M224" s="376">
        <v>1</v>
      </c>
      <c r="R224" t="s">
        <v>293</v>
      </c>
    </row>
    <row r="225" spans="1:18">
      <c r="A225" t="str">
        <f>Настройки!$D$4&amp;'Конфигурация TREI'!A2&amp;"|DIAG_25"</f>
        <v>CPU|DIAG_25</v>
      </c>
      <c r="B225" t="s">
        <v>74</v>
      </c>
      <c r="C225" s="10"/>
      <c r="D225" s="10"/>
      <c r="E225" s="10"/>
      <c r="F225" t="s">
        <v>72</v>
      </c>
      <c r="G225" t="s">
        <v>795</v>
      </c>
      <c r="H225">
        <v>0</v>
      </c>
      <c r="I225" t="s">
        <v>72</v>
      </c>
      <c r="J225" t="s">
        <v>69</v>
      </c>
      <c r="K225" s="515" t="s">
        <v>1383</v>
      </c>
      <c r="L225" s="10"/>
      <c r="M225" s="376">
        <v>1</v>
      </c>
      <c r="R225" t="s">
        <v>293</v>
      </c>
    </row>
    <row r="226" spans="1:18">
      <c r="A226" t="str">
        <f>Настройки!$D$4&amp;'Конфигурация TREI'!A2&amp;"|DIAG_26"</f>
        <v>CPU|DIAG_26</v>
      </c>
      <c r="B226" t="s">
        <v>74</v>
      </c>
      <c r="C226" s="10"/>
      <c r="D226" s="10"/>
      <c r="E226" s="10"/>
      <c r="F226" t="s">
        <v>72</v>
      </c>
      <c r="G226" t="s">
        <v>795</v>
      </c>
      <c r="H226">
        <v>0</v>
      </c>
      <c r="I226" t="s">
        <v>72</v>
      </c>
      <c r="J226" t="s">
        <v>69</v>
      </c>
      <c r="K226" s="515" t="s">
        <v>1383</v>
      </c>
      <c r="L226" s="10"/>
      <c r="M226" s="376">
        <v>1</v>
      </c>
      <c r="R226" t="s">
        <v>293</v>
      </c>
    </row>
    <row r="227" spans="1:18">
      <c r="A227" t="str">
        <f>Настройки!$D$4&amp;'Конфигурация TREI'!A2&amp;"|DIAG_27"</f>
        <v>CPU|DIAG_27</v>
      </c>
      <c r="B227" t="s">
        <v>74</v>
      </c>
      <c r="C227" s="10"/>
      <c r="D227" s="10"/>
      <c r="E227" s="10"/>
      <c r="F227" t="s">
        <v>72</v>
      </c>
      <c r="G227" t="s">
        <v>795</v>
      </c>
      <c r="H227">
        <v>0</v>
      </c>
      <c r="I227" t="s">
        <v>72</v>
      </c>
      <c r="J227" t="s">
        <v>69</v>
      </c>
      <c r="K227" s="515" t="s">
        <v>1383</v>
      </c>
      <c r="L227" s="10"/>
      <c r="M227" s="376">
        <v>1</v>
      </c>
      <c r="R227" t="s">
        <v>293</v>
      </c>
    </row>
    <row r="228" spans="1:18">
      <c r="A228" t="str">
        <f>Настройки!$D$4&amp;'Конфигурация TREI'!A2&amp;"|DIAG_28"</f>
        <v>CPU|DIAG_28</v>
      </c>
      <c r="B228" t="s">
        <v>74</v>
      </c>
      <c r="C228" s="10"/>
      <c r="D228" s="10"/>
      <c r="E228" s="10"/>
      <c r="F228" t="s">
        <v>72</v>
      </c>
      <c r="G228" t="s">
        <v>795</v>
      </c>
      <c r="H228">
        <v>0</v>
      </c>
      <c r="I228" t="s">
        <v>72</v>
      </c>
      <c r="J228" t="s">
        <v>69</v>
      </c>
      <c r="K228" s="515" t="s">
        <v>1383</v>
      </c>
      <c r="L228" s="10"/>
      <c r="M228" s="376">
        <v>1</v>
      </c>
      <c r="R228" t="s">
        <v>293</v>
      </c>
    </row>
    <row r="229" spans="1:18">
      <c r="A229" t="str">
        <f>Настройки!$D$4&amp;'Конфигурация TREI'!A2&amp;"|DIAG_29"</f>
        <v>CPU|DIAG_29</v>
      </c>
      <c r="B229" t="s">
        <v>74</v>
      </c>
      <c r="C229" s="10"/>
      <c r="D229" s="10"/>
      <c r="E229" s="10"/>
      <c r="F229" t="s">
        <v>72</v>
      </c>
      <c r="G229" t="s">
        <v>795</v>
      </c>
      <c r="H229">
        <v>0</v>
      </c>
      <c r="I229" t="s">
        <v>72</v>
      </c>
      <c r="J229" t="s">
        <v>69</v>
      </c>
      <c r="K229" s="515" t="s">
        <v>1383</v>
      </c>
      <c r="L229" s="10"/>
      <c r="M229" s="376">
        <v>1</v>
      </c>
      <c r="R229" t="s">
        <v>293</v>
      </c>
    </row>
    <row r="230" spans="1:18">
      <c r="A230" t="str">
        <f>Настройки!$D$4&amp;'Конфигурация TREI'!A2&amp;"|DIAG_30"</f>
        <v>CPU|DIAG_30</v>
      </c>
      <c r="B230" t="s">
        <v>74</v>
      </c>
      <c r="C230" s="10"/>
      <c r="D230" s="10"/>
      <c r="E230" s="10"/>
      <c r="F230" t="s">
        <v>72</v>
      </c>
      <c r="G230" t="s">
        <v>795</v>
      </c>
      <c r="H230">
        <v>0</v>
      </c>
      <c r="I230" t="s">
        <v>72</v>
      </c>
      <c r="J230" t="s">
        <v>69</v>
      </c>
      <c r="K230" s="515" t="s">
        <v>1383</v>
      </c>
      <c r="L230" s="10"/>
      <c r="M230" s="376">
        <v>1</v>
      </c>
      <c r="R230" t="s">
        <v>293</v>
      </c>
    </row>
    <row r="231" spans="1:18">
      <c r="A231" t="str">
        <f>Настройки!$D$4&amp;'Конфигурация TREI'!A2&amp;"|DIAG_31"</f>
        <v>CPU|DIAG_31</v>
      </c>
      <c r="B231" t="s">
        <v>74</v>
      </c>
      <c r="C231" s="10"/>
      <c r="D231" s="10"/>
      <c r="E231" s="10"/>
      <c r="F231" t="s">
        <v>72</v>
      </c>
      <c r="G231" t="s">
        <v>795</v>
      </c>
      <c r="H231">
        <v>0</v>
      </c>
      <c r="I231" t="s">
        <v>72</v>
      </c>
      <c r="J231" t="s">
        <v>69</v>
      </c>
      <c r="K231" s="515" t="s">
        <v>1383</v>
      </c>
      <c r="L231" s="10"/>
      <c r="M231" s="376">
        <v>1</v>
      </c>
      <c r="R231" t="s">
        <v>293</v>
      </c>
    </row>
    <row r="232" spans="1:18">
      <c r="A232" t="str">
        <f>Настройки!$D$4&amp;'Конфигурация TREI'!A2&amp;"|DIAG_32"</f>
        <v>CPU|DIAG_32</v>
      </c>
      <c r="B232" t="s">
        <v>74</v>
      </c>
      <c r="C232" s="10"/>
      <c r="D232" s="10"/>
      <c r="E232" s="10"/>
      <c r="F232" t="s">
        <v>72</v>
      </c>
      <c r="G232" t="s">
        <v>795</v>
      </c>
      <c r="H232">
        <v>0</v>
      </c>
      <c r="I232" t="s">
        <v>72</v>
      </c>
      <c r="J232" t="s">
        <v>69</v>
      </c>
      <c r="K232" s="515" t="s">
        <v>1383</v>
      </c>
      <c r="L232" s="10"/>
      <c r="M232" s="376">
        <v>1</v>
      </c>
      <c r="R232" t="s">
        <v>293</v>
      </c>
    </row>
    <row r="233" spans="1:18">
      <c r="A233" t="str">
        <f>Настройки!$D$4&amp;'Конфигурация TREI'!A2&amp;"_1|DIAG_1"</f>
        <v>CPU_1|DIAG_1</v>
      </c>
      <c r="B233" t="s">
        <v>74</v>
      </c>
      <c r="C233" s="10"/>
      <c r="D233" s="10"/>
      <c r="E233" s="10"/>
      <c r="F233" t="s">
        <v>72</v>
      </c>
      <c r="G233" t="s">
        <v>795</v>
      </c>
      <c r="H233">
        <v>0</v>
      </c>
      <c r="I233" t="s">
        <v>72</v>
      </c>
      <c r="J233" t="s">
        <v>69</v>
      </c>
      <c r="K233" s="515" t="s">
        <v>1383</v>
      </c>
      <c r="L233" s="10"/>
      <c r="M233" s="376">
        <v>1</v>
      </c>
      <c r="R233" t="s">
        <v>293</v>
      </c>
    </row>
    <row r="234" spans="1:18">
      <c r="A234" t="str">
        <f>Настройки!$D$4&amp;'Конфигурация TREI'!A2&amp;"_1|DIAG_2"</f>
        <v>CPU_1|DIAG_2</v>
      </c>
      <c r="B234" t="s">
        <v>74</v>
      </c>
      <c r="C234" s="10"/>
      <c r="D234" s="10"/>
      <c r="E234" s="10"/>
      <c r="F234" t="s">
        <v>72</v>
      </c>
      <c r="G234" t="s">
        <v>795</v>
      </c>
      <c r="H234">
        <v>0</v>
      </c>
      <c r="I234" t="s">
        <v>72</v>
      </c>
      <c r="J234" t="s">
        <v>69</v>
      </c>
      <c r="K234" s="515" t="s">
        <v>1383</v>
      </c>
      <c r="L234" s="10"/>
      <c r="M234" s="376">
        <v>1</v>
      </c>
      <c r="R234" t="s">
        <v>293</v>
      </c>
    </row>
    <row r="235" spans="1:18">
      <c r="A235" t="str">
        <f>Настройки!$D$4&amp;'Конфигурация TREI'!A2&amp;"_1|DIAG_3"</f>
        <v>CPU_1|DIAG_3</v>
      </c>
      <c r="B235" t="s">
        <v>74</v>
      </c>
      <c r="C235" s="10"/>
      <c r="D235" s="10"/>
      <c r="E235" s="10"/>
      <c r="F235" t="s">
        <v>72</v>
      </c>
      <c r="G235" t="s">
        <v>795</v>
      </c>
      <c r="H235">
        <v>0</v>
      </c>
      <c r="I235" t="s">
        <v>72</v>
      </c>
      <c r="J235" t="s">
        <v>69</v>
      </c>
      <c r="K235" s="515" t="s">
        <v>1383</v>
      </c>
      <c r="L235" s="10"/>
      <c r="M235" s="376">
        <v>1</v>
      </c>
      <c r="R235" t="s">
        <v>293</v>
      </c>
    </row>
    <row r="236" spans="1:18">
      <c r="A236" t="str">
        <f>Настройки!$D$4&amp;'Конфигурация TREI'!A2&amp;"_1|DIAG_4"</f>
        <v>CPU_1|DIAG_4</v>
      </c>
      <c r="B236" t="s">
        <v>74</v>
      </c>
      <c r="C236" s="10"/>
      <c r="D236" s="10"/>
      <c r="E236" s="10"/>
      <c r="F236" t="s">
        <v>72</v>
      </c>
      <c r="G236" t="s">
        <v>795</v>
      </c>
      <c r="H236">
        <v>0</v>
      </c>
      <c r="I236" t="s">
        <v>72</v>
      </c>
      <c r="J236" t="s">
        <v>69</v>
      </c>
      <c r="K236" s="515" t="s">
        <v>1383</v>
      </c>
      <c r="L236" s="10"/>
      <c r="M236" s="376">
        <v>1</v>
      </c>
      <c r="R236" t="s">
        <v>293</v>
      </c>
    </row>
    <row r="237" spans="1:18">
      <c r="A237" t="str">
        <f>Настройки!$D$4&amp;'Конфигурация TREI'!A2&amp;"_1|DIAG_5"</f>
        <v>CPU_1|DIAG_5</v>
      </c>
      <c r="B237" t="s">
        <v>74</v>
      </c>
      <c r="C237" s="10"/>
      <c r="D237" s="10"/>
      <c r="E237" s="10"/>
      <c r="F237" t="s">
        <v>72</v>
      </c>
      <c r="G237" t="s">
        <v>795</v>
      </c>
      <c r="H237">
        <v>0</v>
      </c>
      <c r="I237" t="s">
        <v>72</v>
      </c>
      <c r="J237" t="s">
        <v>69</v>
      </c>
      <c r="K237" s="515" t="s">
        <v>1383</v>
      </c>
      <c r="L237" s="10"/>
      <c r="M237" s="376">
        <v>1</v>
      </c>
      <c r="R237" t="s">
        <v>293</v>
      </c>
    </row>
    <row r="238" spans="1:18">
      <c r="A238" t="str">
        <f>Настройки!$D$4&amp;'Конфигурация TREI'!A2&amp;"_1|DIAG_6"</f>
        <v>CPU_1|DIAG_6</v>
      </c>
      <c r="B238" t="s">
        <v>74</v>
      </c>
      <c r="C238" s="10"/>
      <c r="D238" s="10"/>
      <c r="E238" s="10"/>
      <c r="F238" t="s">
        <v>72</v>
      </c>
      <c r="G238" t="s">
        <v>795</v>
      </c>
      <c r="H238">
        <v>0</v>
      </c>
      <c r="I238" t="s">
        <v>72</v>
      </c>
      <c r="J238" t="s">
        <v>69</v>
      </c>
      <c r="K238" s="515" t="s">
        <v>1383</v>
      </c>
      <c r="L238" s="10"/>
      <c r="M238" s="376">
        <v>1</v>
      </c>
      <c r="R238" t="s">
        <v>293</v>
      </c>
    </row>
    <row r="239" spans="1:18">
      <c r="A239" t="str">
        <f>Настройки!$D$4&amp;'Конфигурация TREI'!A2&amp;"_1|DIAG_7"</f>
        <v>CPU_1|DIAG_7</v>
      </c>
      <c r="B239" t="s">
        <v>74</v>
      </c>
      <c r="C239" s="10"/>
      <c r="D239" s="10"/>
      <c r="E239" s="10"/>
      <c r="F239" t="s">
        <v>72</v>
      </c>
      <c r="G239" t="s">
        <v>795</v>
      </c>
      <c r="H239">
        <v>0</v>
      </c>
      <c r="I239" t="s">
        <v>72</v>
      </c>
      <c r="J239" t="s">
        <v>69</v>
      </c>
      <c r="K239" s="515" t="s">
        <v>1383</v>
      </c>
      <c r="L239" s="10"/>
      <c r="M239" s="376">
        <v>1</v>
      </c>
      <c r="R239" t="s">
        <v>293</v>
      </c>
    </row>
    <row r="240" spans="1:18">
      <c r="A240" t="str">
        <f>Настройки!$D$4&amp;'Конфигурация TREI'!A2&amp;"_1|DIAG_8"</f>
        <v>CPU_1|DIAG_8</v>
      </c>
      <c r="B240" t="s">
        <v>74</v>
      </c>
      <c r="C240" s="10"/>
      <c r="D240" s="10"/>
      <c r="E240" s="10"/>
      <c r="F240" t="s">
        <v>72</v>
      </c>
      <c r="G240" t="s">
        <v>795</v>
      </c>
      <c r="H240">
        <v>0</v>
      </c>
      <c r="I240" t="s">
        <v>72</v>
      </c>
      <c r="J240" t="s">
        <v>69</v>
      </c>
      <c r="K240" s="515" t="s">
        <v>1383</v>
      </c>
      <c r="L240" s="10"/>
      <c r="M240" s="376">
        <v>1</v>
      </c>
      <c r="R240" t="s">
        <v>293</v>
      </c>
    </row>
    <row r="241" spans="1:18">
      <c r="A241" t="str">
        <f>Настройки!$D$4&amp;'Конфигурация TREI'!A2&amp;"_1|DIAG_9"</f>
        <v>CPU_1|DIAG_9</v>
      </c>
      <c r="B241" t="s">
        <v>74</v>
      </c>
      <c r="C241" s="10"/>
      <c r="D241" s="10"/>
      <c r="E241" s="10"/>
      <c r="F241" t="s">
        <v>72</v>
      </c>
      <c r="G241" t="s">
        <v>795</v>
      </c>
      <c r="H241">
        <v>0</v>
      </c>
      <c r="I241" t="s">
        <v>72</v>
      </c>
      <c r="J241" t="s">
        <v>69</v>
      </c>
      <c r="K241" s="515" t="s">
        <v>1383</v>
      </c>
      <c r="L241" s="10"/>
      <c r="M241" s="376">
        <v>1</v>
      </c>
      <c r="R241" t="s">
        <v>293</v>
      </c>
    </row>
    <row r="242" spans="1:18">
      <c r="A242" t="str">
        <f>Настройки!$D$4&amp;'Конфигурация TREI'!A2&amp;"_1|DIAG_10"</f>
        <v>CPU_1|DIAG_10</v>
      </c>
      <c r="B242" t="s">
        <v>74</v>
      </c>
      <c r="C242" s="10"/>
      <c r="D242" s="10"/>
      <c r="E242" s="10"/>
      <c r="F242" t="s">
        <v>72</v>
      </c>
      <c r="G242" t="s">
        <v>795</v>
      </c>
      <c r="H242">
        <v>0</v>
      </c>
      <c r="I242" t="s">
        <v>72</v>
      </c>
      <c r="J242" t="s">
        <v>69</v>
      </c>
      <c r="K242" s="515" t="s">
        <v>1383</v>
      </c>
      <c r="L242" s="10"/>
      <c r="M242" s="376">
        <v>1</v>
      </c>
      <c r="R242" t="s">
        <v>293</v>
      </c>
    </row>
    <row r="243" spans="1:18">
      <c r="A243" t="str">
        <f>Настройки!$D$4&amp;'Конфигурация TREI'!A2&amp;"_1|DIAG_11"</f>
        <v>CPU_1|DIAG_11</v>
      </c>
      <c r="B243" t="s">
        <v>74</v>
      </c>
      <c r="C243" s="10"/>
      <c r="D243" s="10"/>
      <c r="E243" s="10"/>
      <c r="F243" t="s">
        <v>72</v>
      </c>
      <c r="G243" t="s">
        <v>795</v>
      </c>
      <c r="H243">
        <v>0</v>
      </c>
      <c r="I243" t="s">
        <v>72</v>
      </c>
      <c r="J243" t="s">
        <v>69</v>
      </c>
      <c r="K243" s="515" t="s">
        <v>1383</v>
      </c>
      <c r="L243" s="10"/>
      <c r="M243" s="376">
        <v>1</v>
      </c>
      <c r="R243" t="s">
        <v>293</v>
      </c>
    </row>
    <row r="244" spans="1:18">
      <c r="A244" t="str">
        <f>Настройки!$D$4&amp;'Конфигурация TREI'!A2&amp;"_1|DIAG_12"</f>
        <v>CPU_1|DIAG_12</v>
      </c>
      <c r="B244" t="s">
        <v>74</v>
      </c>
      <c r="C244" s="10"/>
      <c r="D244" s="10"/>
      <c r="E244" s="10"/>
      <c r="F244" t="s">
        <v>72</v>
      </c>
      <c r="G244" t="s">
        <v>795</v>
      </c>
      <c r="H244">
        <v>0</v>
      </c>
      <c r="I244" t="s">
        <v>72</v>
      </c>
      <c r="J244" t="s">
        <v>69</v>
      </c>
      <c r="K244" s="515" t="s">
        <v>1383</v>
      </c>
      <c r="L244" s="10"/>
      <c r="M244" s="376">
        <v>1</v>
      </c>
      <c r="R244" t="s">
        <v>293</v>
      </c>
    </row>
    <row r="245" spans="1:18">
      <c r="A245" t="str">
        <f>Настройки!$D$4&amp;'Конфигурация TREI'!A2&amp;"_1|DIAG_13"</f>
        <v>CPU_1|DIAG_13</v>
      </c>
      <c r="B245" t="s">
        <v>74</v>
      </c>
      <c r="C245" s="10"/>
      <c r="D245" s="10"/>
      <c r="E245" s="10"/>
      <c r="F245" t="s">
        <v>72</v>
      </c>
      <c r="G245" t="s">
        <v>795</v>
      </c>
      <c r="H245">
        <v>0</v>
      </c>
      <c r="I245" t="s">
        <v>72</v>
      </c>
      <c r="J245" t="s">
        <v>69</v>
      </c>
      <c r="K245" s="515" t="s">
        <v>1383</v>
      </c>
      <c r="L245" s="10"/>
      <c r="M245" s="376">
        <v>1</v>
      </c>
      <c r="R245" t="s">
        <v>293</v>
      </c>
    </row>
    <row r="246" spans="1:18">
      <c r="A246" t="str">
        <f>Настройки!$D$4&amp;'Конфигурация TREI'!A2&amp;"_1|DIAG_14"</f>
        <v>CPU_1|DIAG_14</v>
      </c>
      <c r="B246" t="s">
        <v>74</v>
      </c>
      <c r="C246" s="10"/>
      <c r="D246" s="10"/>
      <c r="E246" s="10"/>
      <c r="F246" t="s">
        <v>72</v>
      </c>
      <c r="G246" t="s">
        <v>795</v>
      </c>
      <c r="H246">
        <v>0</v>
      </c>
      <c r="I246" t="s">
        <v>72</v>
      </c>
      <c r="J246" t="s">
        <v>69</v>
      </c>
      <c r="K246" s="515" t="s">
        <v>1383</v>
      </c>
      <c r="L246" s="10"/>
      <c r="M246" s="376">
        <v>1</v>
      </c>
      <c r="R246" t="s">
        <v>293</v>
      </c>
    </row>
    <row r="247" spans="1:18">
      <c r="A247" t="str">
        <f>Настройки!$D$4&amp;'Конфигурация TREI'!A2&amp;"_1|DIAG_15"</f>
        <v>CPU_1|DIAG_15</v>
      </c>
      <c r="B247" t="s">
        <v>74</v>
      </c>
      <c r="C247" s="10"/>
      <c r="D247" s="10"/>
      <c r="E247" s="10"/>
      <c r="F247" t="s">
        <v>72</v>
      </c>
      <c r="G247" t="s">
        <v>795</v>
      </c>
      <c r="H247">
        <v>0</v>
      </c>
      <c r="I247" t="s">
        <v>72</v>
      </c>
      <c r="J247" t="s">
        <v>69</v>
      </c>
      <c r="K247" s="515" t="s">
        <v>1383</v>
      </c>
      <c r="L247" s="10"/>
      <c r="M247" s="376">
        <v>1</v>
      </c>
      <c r="R247" t="s">
        <v>293</v>
      </c>
    </row>
    <row r="248" spans="1:18">
      <c r="A248" t="str">
        <f>Настройки!$D$4&amp;'Конфигурация TREI'!A2&amp;"_1|DIAG_16"</f>
        <v>CPU_1|DIAG_16</v>
      </c>
      <c r="B248" t="s">
        <v>74</v>
      </c>
      <c r="C248" s="10"/>
      <c r="D248" s="10"/>
      <c r="E248" s="10"/>
      <c r="F248" t="s">
        <v>72</v>
      </c>
      <c r="G248" t="s">
        <v>795</v>
      </c>
      <c r="H248">
        <v>0</v>
      </c>
      <c r="I248" t="s">
        <v>72</v>
      </c>
      <c r="J248" t="s">
        <v>69</v>
      </c>
      <c r="K248" s="515" t="s">
        <v>1383</v>
      </c>
      <c r="L248" s="10"/>
      <c r="M248" s="376">
        <v>1</v>
      </c>
      <c r="R248" t="s">
        <v>293</v>
      </c>
    </row>
    <row r="249" spans="1:18">
      <c r="A249" t="str">
        <f>Настройки!$D$4&amp;'Конфигурация TREI'!A2&amp;"_1|DIAG_17"</f>
        <v>CPU_1|DIAG_17</v>
      </c>
      <c r="B249" t="s">
        <v>74</v>
      </c>
      <c r="C249" s="10"/>
      <c r="D249" s="10"/>
      <c r="E249" s="10"/>
      <c r="F249" t="s">
        <v>72</v>
      </c>
      <c r="G249" t="s">
        <v>795</v>
      </c>
      <c r="H249">
        <v>0</v>
      </c>
      <c r="I249" t="s">
        <v>72</v>
      </c>
      <c r="J249" t="s">
        <v>69</v>
      </c>
      <c r="K249" s="515" t="s">
        <v>1383</v>
      </c>
      <c r="L249" s="10"/>
      <c r="M249" s="376">
        <v>1</v>
      </c>
      <c r="R249" t="s">
        <v>293</v>
      </c>
    </row>
    <row r="250" spans="1:18">
      <c r="A250" t="str">
        <f>Настройки!$D$4&amp;'Конфигурация TREI'!A2&amp;"_1|DIAG_18"</f>
        <v>CPU_1|DIAG_18</v>
      </c>
      <c r="B250" t="s">
        <v>74</v>
      </c>
      <c r="C250" s="10"/>
      <c r="D250" s="10"/>
      <c r="E250" s="10"/>
      <c r="F250" t="s">
        <v>72</v>
      </c>
      <c r="G250" t="s">
        <v>795</v>
      </c>
      <c r="H250">
        <v>0</v>
      </c>
      <c r="I250" t="s">
        <v>72</v>
      </c>
      <c r="J250" t="s">
        <v>69</v>
      </c>
      <c r="K250" s="515" t="s">
        <v>1383</v>
      </c>
      <c r="L250" s="10"/>
      <c r="M250" s="376">
        <v>1</v>
      </c>
      <c r="R250" t="s">
        <v>293</v>
      </c>
    </row>
    <row r="251" spans="1:18">
      <c r="A251" t="str">
        <f>Настройки!$D$4&amp;'Конфигурация TREI'!A2&amp;"_1|DIAG_19"</f>
        <v>CPU_1|DIAG_19</v>
      </c>
      <c r="B251" t="s">
        <v>74</v>
      </c>
      <c r="C251" s="10"/>
      <c r="D251" s="10"/>
      <c r="E251" s="10"/>
      <c r="F251" t="s">
        <v>72</v>
      </c>
      <c r="G251" t="s">
        <v>795</v>
      </c>
      <c r="H251">
        <v>0</v>
      </c>
      <c r="I251" t="s">
        <v>72</v>
      </c>
      <c r="J251" t="s">
        <v>69</v>
      </c>
      <c r="K251" s="515" t="s">
        <v>1383</v>
      </c>
      <c r="L251" s="10"/>
      <c r="M251" s="376">
        <v>1</v>
      </c>
      <c r="R251" t="s">
        <v>293</v>
      </c>
    </row>
    <row r="252" spans="1:18">
      <c r="A252" t="str">
        <f>Настройки!$D$4&amp;'Конфигурация TREI'!A2&amp;"_1|DIAG_20"</f>
        <v>CPU_1|DIAG_20</v>
      </c>
      <c r="B252" t="s">
        <v>74</v>
      </c>
      <c r="C252" s="10"/>
      <c r="D252" s="10"/>
      <c r="E252" s="10"/>
      <c r="F252" t="s">
        <v>72</v>
      </c>
      <c r="G252" t="s">
        <v>795</v>
      </c>
      <c r="H252">
        <v>0</v>
      </c>
      <c r="I252" t="s">
        <v>72</v>
      </c>
      <c r="J252" t="s">
        <v>69</v>
      </c>
      <c r="K252" s="515" t="s">
        <v>1383</v>
      </c>
      <c r="L252" s="10"/>
      <c r="M252" s="376">
        <v>1</v>
      </c>
      <c r="R252" t="s">
        <v>293</v>
      </c>
    </row>
    <row r="253" spans="1:18">
      <c r="A253" t="str">
        <f>Настройки!$D$4&amp;'Конфигурация TREI'!A2&amp;"_1|DIAG_21"</f>
        <v>CPU_1|DIAG_21</v>
      </c>
      <c r="B253" t="s">
        <v>74</v>
      </c>
      <c r="C253" s="10"/>
      <c r="D253" s="10"/>
      <c r="E253" s="10"/>
      <c r="F253" t="s">
        <v>72</v>
      </c>
      <c r="G253" t="s">
        <v>795</v>
      </c>
      <c r="H253">
        <v>0</v>
      </c>
      <c r="I253" t="s">
        <v>72</v>
      </c>
      <c r="J253" t="s">
        <v>69</v>
      </c>
      <c r="K253" s="515" t="s">
        <v>1383</v>
      </c>
      <c r="L253" s="10"/>
      <c r="M253" s="376">
        <v>1</v>
      </c>
      <c r="R253" t="s">
        <v>293</v>
      </c>
    </row>
    <row r="254" spans="1:18">
      <c r="A254" t="str">
        <f>Настройки!$D$4&amp;'Конфигурация TREI'!A2&amp;"_1|DIAG_22"</f>
        <v>CPU_1|DIAG_22</v>
      </c>
      <c r="B254" t="s">
        <v>74</v>
      </c>
      <c r="C254" s="10"/>
      <c r="D254" s="10"/>
      <c r="E254" s="10"/>
      <c r="F254" t="s">
        <v>72</v>
      </c>
      <c r="G254" t="s">
        <v>795</v>
      </c>
      <c r="H254">
        <v>0</v>
      </c>
      <c r="I254" t="s">
        <v>72</v>
      </c>
      <c r="J254" t="s">
        <v>69</v>
      </c>
      <c r="K254" s="515" t="s">
        <v>1383</v>
      </c>
      <c r="L254" s="10"/>
      <c r="M254" s="376">
        <v>1</v>
      </c>
      <c r="R254" t="s">
        <v>293</v>
      </c>
    </row>
    <row r="255" spans="1:18">
      <c r="A255" t="str">
        <f>Настройки!$D$4&amp;'Конфигурация TREI'!A2&amp;"_1|DIAG_23"</f>
        <v>CPU_1|DIAG_23</v>
      </c>
      <c r="B255" t="s">
        <v>74</v>
      </c>
      <c r="C255" s="10"/>
      <c r="D255" s="10"/>
      <c r="E255" s="10"/>
      <c r="F255" t="s">
        <v>72</v>
      </c>
      <c r="G255" t="s">
        <v>795</v>
      </c>
      <c r="H255">
        <v>0</v>
      </c>
      <c r="I255" t="s">
        <v>72</v>
      </c>
      <c r="J255" t="s">
        <v>69</v>
      </c>
      <c r="K255" s="515" t="s">
        <v>1383</v>
      </c>
      <c r="L255" s="10"/>
      <c r="M255" s="376">
        <v>1</v>
      </c>
      <c r="R255" t="s">
        <v>293</v>
      </c>
    </row>
    <row r="256" spans="1:18">
      <c r="A256" t="str">
        <f>Настройки!$D$4&amp;'Конфигурация TREI'!A2&amp;"_1|DIAG_24"</f>
        <v>CPU_1|DIAG_24</v>
      </c>
      <c r="B256" t="s">
        <v>74</v>
      </c>
      <c r="C256" s="10"/>
      <c r="D256" s="10"/>
      <c r="E256" s="10"/>
      <c r="F256" t="s">
        <v>72</v>
      </c>
      <c r="G256" t="s">
        <v>795</v>
      </c>
      <c r="H256">
        <v>0</v>
      </c>
      <c r="I256" t="s">
        <v>72</v>
      </c>
      <c r="J256" t="s">
        <v>69</v>
      </c>
      <c r="K256" s="515" t="s">
        <v>1383</v>
      </c>
      <c r="L256" s="10"/>
      <c r="M256" s="376">
        <v>1</v>
      </c>
      <c r="R256" t="s">
        <v>293</v>
      </c>
    </row>
    <row r="257" spans="1:18">
      <c r="A257" t="str">
        <f>Настройки!$D$4&amp;'Конфигурация TREI'!A2&amp;"_1|DIAG_25"</f>
        <v>CPU_1|DIAG_25</v>
      </c>
      <c r="B257" t="s">
        <v>74</v>
      </c>
      <c r="C257" s="10"/>
      <c r="D257" s="10"/>
      <c r="E257" s="10"/>
      <c r="F257" t="s">
        <v>72</v>
      </c>
      <c r="G257" t="s">
        <v>795</v>
      </c>
      <c r="H257">
        <v>0</v>
      </c>
      <c r="I257" t="s">
        <v>72</v>
      </c>
      <c r="J257" t="s">
        <v>69</v>
      </c>
      <c r="K257" s="515" t="s">
        <v>1383</v>
      </c>
      <c r="L257" s="10"/>
      <c r="M257" s="376">
        <v>1</v>
      </c>
      <c r="R257" t="s">
        <v>293</v>
      </c>
    </row>
    <row r="258" spans="1:18">
      <c r="A258" t="str">
        <f>Настройки!$D$4&amp;'Конфигурация TREI'!A2&amp;"_1|DIAG_26"</f>
        <v>CPU_1|DIAG_26</v>
      </c>
      <c r="B258" t="s">
        <v>74</v>
      </c>
      <c r="C258" s="10"/>
      <c r="D258" s="10"/>
      <c r="E258" s="10"/>
      <c r="F258" t="s">
        <v>72</v>
      </c>
      <c r="G258" t="s">
        <v>795</v>
      </c>
      <c r="H258">
        <v>0</v>
      </c>
      <c r="I258" t="s">
        <v>72</v>
      </c>
      <c r="J258" t="s">
        <v>69</v>
      </c>
      <c r="K258" s="515" t="s">
        <v>1383</v>
      </c>
      <c r="L258" s="10"/>
      <c r="M258" s="376">
        <v>1</v>
      </c>
      <c r="R258" t="s">
        <v>293</v>
      </c>
    </row>
    <row r="259" spans="1:18">
      <c r="A259" t="str">
        <f>Настройки!$D$4&amp;'Конфигурация TREI'!A2&amp;"_1|DIAG_27"</f>
        <v>CPU_1|DIAG_27</v>
      </c>
      <c r="B259" t="s">
        <v>74</v>
      </c>
      <c r="C259" s="10"/>
      <c r="D259" s="10"/>
      <c r="E259" s="10"/>
      <c r="F259" t="s">
        <v>72</v>
      </c>
      <c r="G259" t="s">
        <v>795</v>
      </c>
      <c r="H259">
        <v>0</v>
      </c>
      <c r="I259" t="s">
        <v>72</v>
      </c>
      <c r="J259" t="s">
        <v>69</v>
      </c>
      <c r="K259" s="515" t="s">
        <v>1383</v>
      </c>
      <c r="L259" s="10"/>
      <c r="M259" s="376">
        <v>1</v>
      </c>
      <c r="R259" t="s">
        <v>293</v>
      </c>
    </row>
    <row r="260" spans="1:18">
      <c r="A260" t="str">
        <f>Настройки!$D$4&amp;'Конфигурация TREI'!A2&amp;"_1|DIAG_28"</f>
        <v>CPU_1|DIAG_28</v>
      </c>
      <c r="B260" t="s">
        <v>74</v>
      </c>
      <c r="C260" s="10"/>
      <c r="D260" s="10"/>
      <c r="E260" s="10"/>
      <c r="F260" t="s">
        <v>72</v>
      </c>
      <c r="G260" t="s">
        <v>795</v>
      </c>
      <c r="H260">
        <v>0</v>
      </c>
      <c r="I260" t="s">
        <v>72</v>
      </c>
      <c r="J260" t="s">
        <v>69</v>
      </c>
      <c r="K260" s="515" t="s">
        <v>1383</v>
      </c>
      <c r="L260" s="10"/>
      <c r="M260" s="376">
        <v>1</v>
      </c>
      <c r="R260" t="s">
        <v>293</v>
      </c>
    </row>
    <row r="261" spans="1:18">
      <c r="A261" t="str">
        <f>Настройки!$D$4&amp;'Конфигурация TREI'!A2&amp;"_1|DIAG_29"</f>
        <v>CPU_1|DIAG_29</v>
      </c>
      <c r="B261" t="s">
        <v>74</v>
      </c>
      <c r="C261" s="10"/>
      <c r="D261" s="10"/>
      <c r="E261" s="10"/>
      <c r="F261" t="s">
        <v>72</v>
      </c>
      <c r="G261" t="s">
        <v>795</v>
      </c>
      <c r="H261">
        <v>0</v>
      </c>
      <c r="I261" t="s">
        <v>72</v>
      </c>
      <c r="J261" t="s">
        <v>69</v>
      </c>
      <c r="K261" s="515" t="s">
        <v>1383</v>
      </c>
      <c r="L261" s="10"/>
      <c r="M261" s="376">
        <v>1</v>
      </c>
      <c r="R261" t="s">
        <v>293</v>
      </c>
    </row>
    <row r="262" spans="1:18">
      <c r="A262" t="str">
        <f>Настройки!$D$4&amp;'Конфигурация TREI'!A2&amp;"_1|DIAG_30"</f>
        <v>CPU_1|DIAG_30</v>
      </c>
      <c r="B262" t="s">
        <v>74</v>
      </c>
      <c r="C262" s="10"/>
      <c r="D262" s="10"/>
      <c r="E262" s="10"/>
      <c r="F262" t="s">
        <v>72</v>
      </c>
      <c r="G262" t="s">
        <v>795</v>
      </c>
      <c r="H262">
        <v>0</v>
      </c>
      <c r="I262" t="s">
        <v>72</v>
      </c>
      <c r="J262" t="s">
        <v>69</v>
      </c>
      <c r="K262" s="515" t="s">
        <v>1383</v>
      </c>
      <c r="L262" s="10"/>
      <c r="M262" s="376">
        <v>1</v>
      </c>
      <c r="R262" t="s">
        <v>293</v>
      </c>
    </row>
    <row r="263" spans="1:18">
      <c r="A263" t="str">
        <f>Настройки!$D$4&amp;'Конфигурация TREI'!A2&amp;"_1|DIAG_31"</f>
        <v>CPU_1|DIAG_31</v>
      </c>
      <c r="B263" t="s">
        <v>74</v>
      </c>
      <c r="C263" s="10"/>
      <c r="D263" s="10"/>
      <c r="E263" s="10"/>
      <c r="F263" t="s">
        <v>72</v>
      </c>
      <c r="G263" t="s">
        <v>795</v>
      </c>
      <c r="H263">
        <v>0</v>
      </c>
      <c r="I263" t="s">
        <v>72</v>
      </c>
      <c r="J263" t="s">
        <v>69</v>
      </c>
      <c r="K263" s="515" t="s">
        <v>1383</v>
      </c>
      <c r="L263" s="10"/>
      <c r="M263" s="376">
        <v>1</v>
      </c>
      <c r="R263" t="s">
        <v>293</v>
      </c>
    </row>
    <row r="264" spans="1:18">
      <c r="A264" t="str">
        <f>Настройки!$D$4&amp;'Конфигурация TREI'!A2&amp;"_1|DIAG_32"</f>
        <v>CPU_1|DIAG_32</v>
      </c>
      <c r="B264" t="s">
        <v>74</v>
      </c>
      <c r="C264" s="10"/>
      <c r="D264" s="10"/>
      <c r="E264" s="10"/>
      <c r="F264" t="s">
        <v>72</v>
      </c>
      <c r="G264" t="s">
        <v>795</v>
      </c>
      <c r="H264">
        <v>0</v>
      </c>
      <c r="I264" t="s">
        <v>72</v>
      </c>
      <c r="J264" t="s">
        <v>69</v>
      </c>
      <c r="K264" s="515" t="s">
        <v>1383</v>
      </c>
      <c r="L264" s="10"/>
      <c r="M264" s="376">
        <v>1</v>
      </c>
      <c r="R264" t="s">
        <v>293</v>
      </c>
    </row>
    <row r="265" spans="1:18">
      <c r="A265" t="str">
        <f>Настройки!$D$4&amp;'Конфигурация TREI'!A2&amp;"_2|DIAG_1"</f>
        <v>CPU_2|DIAG_1</v>
      </c>
      <c r="B265" t="s">
        <v>74</v>
      </c>
      <c r="C265" s="10"/>
      <c r="D265" s="10"/>
      <c r="E265" s="10"/>
      <c r="F265" t="s">
        <v>72</v>
      </c>
      <c r="G265" t="s">
        <v>71</v>
      </c>
      <c r="H265">
        <v>0</v>
      </c>
      <c r="I265" t="s">
        <v>72</v>
      </c>
      <c r="J265" t="s">
        <v>69</v>
      </c>
      <c r="K265" s="515" t="s">
        <v>1383</v>
      </c>
      <c r="L265" s="10"/>
      <c r="M265" s="376">
        <v>1</v>
      </c>
      <c r="R265" t="s">
        <v>293</v>
      </c>
    </row>
    <row r="266" spans="1:18">
      <c r="A266" t="str">
        <f>Настройки!$D$4&amp;'Конфигурация TREI'!A2&amp;"_2|DIAG_2"</f>
        <v>CPU_2|DIAG_2</v>
      </c>
      <c r="B266" t="s">
        <v>74</v>
      </c>
      <c r="C266" s="10"/>
      <c r="D266" s="10"/>
      <c r="E266" s="10"/>
      <c r="F266" t="s">
        <v>72</v>
      </c>
      <c r="G266" t="s">
        <v>71</v>
      </c>
      <c r="H266">
        <v>0</v>
      </c>
      <c r="I266" t="s">
        <v>72</v>
      </c>
      <c r="J266" t="s">
        <v>69</v>
      </c>
      <c r="K266" s="515" t="s">
        <v>1383</v>
      </c>
      <c r="L266" s="10"/>
      <c r="M266" s="376">
        <v>1</v>
      </c>
      <c r="R266" t="s">
        <v>293</v>
      </c>
    </row>
    <row r="267" spans="1:18">
      <c r="A267" t="str">
        <f>Настройки!$D$4&amp;'Конфигурация TREI'!A2&amp;"_2|DIAG_3"</f>
        <v>CPU_2|DIAG_3</v>
      </c>
      <c r="B267" t="s">
        <v>74</v>
      </c>
      <c r="C267" s="10"/>
      <c r="D267" s="10"/>
      <c r="E267" s="10"/>
      <c r="F267" t="s">
        <v>72</v>
      </c>
      <c r="G267" t="s">
        <v>71</v>
      </c>
      <c r="H267">
        <v>0</v>
      </c>
      <c r="I267" t="s">
        <v>72</v>
      </c>
      <c r="J267" t="s">
        <v>69</v>
      </c>
      <c r="K267" s="515" t="s">
        <v>1383</v>
      </c>
      <c r="L267" s="10"/>
      <c r="M267" s="376">
        <v>1</v>
      </c>
      <c r="R267" t="s">
        <v>293</v>
      </c>
    </row>
    <row r="268" spans="1:18">
      <c r="A268" t="str">
        <f>Настройки!$D$4&amp;'Конфигурация TREI'!A2&amp;"_2|DIAG_4"</f>
        <v>CPU_2|DIAG_4</v>
      </c>
      <c r="B268" t="s">
        <v>74</v>
      </c>
      <c r="C268" s="10"/>
      <c r="D268" s="10"/>
      <c r="E268" s="10"/>
      <c r="F268" t="s">
        <v>72</v>
      </c>
      <c r="G268" t="s">
        <v>71</v>
      </c>
      <c r="H268">
        <v>0</v>
      </c>
      <c r="I268" t="s">
        <v>72</v>
      </c>
      <c r="J268" t="s">
        <v>69</v>
      </c>
      <c r="K268" s="515" t="s">
        <v>1383</v>
      </c>
      <c r="L268" s="10"/>
      <c r="M268" s="376">
        <v>1</v>
      </c>
      <c r="R268" t="s">
        <v>293</v>
      </c>
    </row>
    <row r="269" spans="1:18">
      <c r="A269" t="str">
        <f>Настройки!$D$4&amp;'Конфигурация TREI'!A2&amp;"_2|DIAG_5"</f>
        <v>CPU_2|DIAG_5</v>
      </c>
      <c r="B269" t="s">
        <v>74</v>
      </c>
      <c r="C269" s="10"/>
      <c r="D269" s="10"/>
      <c r="E269" s="10"/>
      <c r="F269" t="s">
        <v>72</v>
      </c>
      <c r="G269" t="s">
        <v>71</v>
      </c>
      <c r="H269">
        <v>0</v>
      </c>
      <c r="I269" t="s">
        <v>72</v>
      </c>
      <c r="J269" t="s">
        <v>69</v>
      </c>
      <c r="K269" s="515" t="s">
        <v>1383</v>
      </c>
      <c r="L269" s="10"/>
      <c r="M269" s="376">
        <v>1</v>
      </c>
      <c r="R269" t="s">
        <v>293</v>
      </c>
    </row>
    <row r="270" spans="1:18">
      <c r="A270" t="str">
        <f>Настройки!$D$4&amp;'Конфигурация TREI'!A2&amp;"_2|DIAG_6"</f>
        <v>CPU_2|DIAG_6</v>
      </c>
      <c r="B270" t="s">
        <v>74</v>
      </c>
      <c r="C270" s="10"/>
      <c r="D270" s="10"/>
      <c r="E270" s="10"/>
      <c r="F270" t="s">
        <v>72</v>
      </c>
      <c r="G270" t="s">
        <v>71</v>
      </c>
      <c r="H270">
        <v>0</v>
      </c>
      <c r="I270" t="s">
        <v>72</v>
      </c>
      <c r="J270" t="s">
        <v>69</v>
      </c>
      <c r="K270" s="515" t="s">
        <v>1383</v>
      </c>
      <c r="L270" s="10"/>
      <c r="M270" s="376">
        <v>1</v>
      </c>
      <c r="R270" t="s">
        <v>293</v>
      </c>
    </row>
    <row r="271" spans="1:18">
      <c r="A271" t="str">
        <f>Настройки!$D$4&amp;'Конфигурация TREI'!A2&amp;"_2|DIAG_7"</f>
        <v>CPU_2|DIAG_7</v>
      </c>
      <c r="B271" t="s">
        <v>74</v>
      </c>
      <c r="C271" s="10"/>
      <c r="D271" s="10"/>
      <c r="E271" s="10"/>
      <c r="F271" t="s">
        <v>72</v>
      </c>
      <c r="G271" t="s">
        <v>71</v>
      </c>
      <c r="H271">
        <v>0</v>
      </c>
      <c r="I271" t="s">
        <v>72</v>
      </c>
      <c r="J271" t="s">
        <v>69</v>
      </c>
      <c r="K271" s="515" t="s">
        <v>1383</v>
      </c>
      <c r="L271" s="10"/>
      <c r="M271" s="376">
        <v>1</v>
      </c>
      <c r="R271" t="s">
        <v>293</v>
      </c>
    </row>
    <row r="272" spans="1:18">
      <c r="A272" t="str">
        <f>Настройки!$D$4&amp;'Конфигурация TREI'!A2&amp;"_2|DIAG_8"</f>
        <v>CPU_2|DIAG_8</v>
      </c>
      <c r="B272" t="s">
        <v>74</v>
      </c>
      <c r="C272" s="10"/>
      <c r="D272" s="10"/>
      <c r="E272" s="10"/>
      <c r="F272" t="s">
        <v>72</v>
      </c>
      <c r="G272" t="s">
        <v>71</v>
      </c>
      <c r="H272">
        <v>0</v>
      </c>
      <c r="I272" t="s">
        <v>72</v>
      </c>
      <c r="J272" t="s">
        <v>69</v>
      </c>
      <c r="K272" s="515" t="s">
        <v>1383</v>
      </c>
      <c r="L272" s="10"/>
      <c r="M272" s="376">
        <v>1</v>
      </c>
      <c r="R272" t="s">
        <v>293</v>
      </c>
    </row>
    <row r="273" spans="1:18">
      <c r="A273" t="str">
        <f>Настройки!$D$4&amp;'Конфигурация TREI'!A2&amp;"_2|DIAG_9"</f>
        <v>CPU_2|DIAG_9</v>
      </c>
      <c r="B273" t="s">
        <v>74</v>
      </c>
      <c r="C273" s="10"/>
      <c r="D273" s="10"/>
      <c r="E273" s="10"/>
      <c r="F273" t="s">
        <v>72</v>
      </c>
      <c r="G273" t="s">
        <v>71</v>
      </c>
      <c r="H273">
        <v>0</v>
      </c>
      <c r="I273" t="s">
        <v>72</v>
      </c>
      <c r="J273" t="s">
        <v>69</v>
      </c>
      <c r="K273" s="515" t="s">
        <v>1383</v>
      </c>
      <c r="L273" s="10"/>
      <c r="M273" s="376">
        <v>1</v>
      </c>
      <c r="R273" t="s">
        <v>293</v>
      </c>
    </row>
    <row r="274" spans="1:18">
      <c r="A274" t="str">
        <f>Настройки!$D$4&amp;'Конфигурация TREI'!A2&amp;"_2|DIAG_10"</f>
        <v>CPU_2|DIAG_10</v>
      </c>
      <c r="B274" t="s">
        <v>74</v>
      </c>
      <c r="C274" s="10"/>
      <c r="D274" s="10"/>
      <c r="E274" s="10"/>
      <c r="F274" t="s">
        <v>72</v>
      </c>
      <c r="G274" t="s">
        <v>71</v>
      </c>
      <c r="H274">
        <v>0</v>
      </c>
      <c r="I274" t="s">
        <v>72</v>
      </c>
      <c r="J274" t="s">
        <v>69</v>
      </c>
      <c r="K274" s="515" t="s">
        <v>1383</v>
      </c>
      <c r="L274" s="10"/>
      <c r="M274" s="376">
        <v>1</v>
      </c>
      <c r="R274" t="s">
        <v>293</v>
      </c>
    </row>
    <row r="275" spans="1:18">
      <c r="A275" t="str">
        <f>Настройки!$D$4&amp;'Конфигурация TREI'!A2&amp;"_2|DIAG_11"</f>
        <v>CPU_2|DIAG_11</v>
      </c>
      <c r="B275" t="s">
        <v>74</v>
      </c>
      <c r="C275" s="10"/>
      <c r="D275" s="10"/>
      <c r="E275" s="10"/>
      <c r="F275" t="s">
        <v>72</v>
      </c>
      <c r="G275" t="s">
        <v>71</v>
      </c>
      <c r="H275">
        <v>0</v>
      </c>
      <c r="I275" t="s">
        <v>72</v>
      </c>
      <c r="J275" t="s">
        <v>69</v>
      </c>
      <c r="K275" s="515" t="s">
        <v>1383</v>
      </c>
      <c r="L275" s="10"/>
      <c r="M275" s="376">
        <v>1</v>
      </c>
      <c r="R275" t="s">
        <v>293</v>
      </c>
    </row>
    <row r="276" spans="1:18">
      <c r="A276" t="str">
        <f>Настройки!$D$4&amp;'Конфигурация TREI'!A2&amp;"_2|DIAG_12"</f>
        <v>CPU_2|DIAG_12</v>
      </c>
      <c r="B276" t="s">
        <v>74</v>
      </c>
      <c r="C276" s="10"/>
      <c r="D276" s="10"/>
      <c r="E276" s="10"/>
      <c r="F276" t="s">
        <v>72</v>
      </c>
      <c r="G276" t="s">
        <v>71</v>
      </c>
      <c r="H276">
        <v>0</v>
      </c>
      <c r="I276" t="s">
        <v>72</v>
      </c>
      <c r="J276" t="s">
        <v>69</v>
      </c>
      <c r="K276" s="515" t="s">
        <v>1383</v>
      </c>
      <c r="L276" s="10"/>
      <c r="M276" s="376">
        <v>1</v>
      </c>
      <c r="R276" t="s">
        <v>293</v>
      </c>
    </row>
    <row r="277" spans="1:18">
      <c r="A277" t="str">
        <f>Настройки!$D$4&amp;'Конфигурация TREI'!A2&amp;"_2|DIAG_13"</f>
        <v>CPU_2|DIAG_13</v>
      </c>
      <c r="B277" t="s">
        <v>74</v>
      </c>
      <c r="C277" s="10"/>
      <c r="D277" s="10"/>
      <c r="E277" s="10"/>
      <c r="F277" t="s">
        <v>72</v>
      </c>
      <c r="G277" t="s">
        <v>71</v>
      </c>
      <c r="H277">
        <v>0</v>
      </c>
      <c r="I277" t="s">
        <v>72</v>
      </c>
      <c r="J277" t="s">
        <v>69</v>
      </c>
      <c r="K277" s="515" t="s">
        <v>1383</v>
      </c>
      <c r="L277" s="10"/>
      <c r="M277" s="376">
        <v>1</v>
      </c>
      <c r="R277" t="s">
        <v>293</v>
      </c>
    </row>
    <row r="278" spans="1:18">
      <c r="A278" t="str">
        <f>Настройки!$D$4&amp;'Конфигурация TREI'!A2&amp;"_2|DIAG_14"</f>
        <v>CPU_2|DIAG_14</v>
      </c>
      <c r="B278" t="s">
        <v>74</v>
      </c>
      <c r="C278" s="10"/>
      <c r="D278" s="10"/>
      <c r="E278" s="10"/>
      <c r="F278" t="s">
        <v>72</v>
      </c>
      <c r="G278" t="s">
        <v>71</v>
      </c>
      <c r="H278">
        <v>0</v>
      </c>
      <c r="I278" t="s">
        <v>72</v>
      </c>
      <c r="J278" t="s">
        <v>69</v>
      </c>
      <c r="K278" s="515" t="s">
        <v>1383</v>
      </c>
      <c r="L278" s="10"/>
      <c r="M278" s="376">
        <v>1</v>
      </c>
      <c r="R278" t="s">
        <v>293</v>
      </c>
    </row>
    <row r="279" spans="1:18">
      <c r="A279" t="str">
        <f>Настройки!$D$4&amp;'Конфигурация TREI'!A2&amp;"_2|DIAG_15"</f>
        <v>CPU_2|DIAG_15</v>
      </c>
      <c r="B279" t="s">
        <v>74</v>
      </c>
      <c r="C279" s="10"/>
      <c r="D279" s="10"/>
      <c r="E279" s="10"/>
      <c r="F279" t="s">
        <v>72</v>
      </c>
      <c r="G279" t="s">
        <v>71</v>
      </c>
      <c r="H279">
        <v>0</v>
      </c>
      <c r="I279" t="s">
        <v>72</v>
      </c>
      <c r="J279" t="s">
        <v>69</v>
      </c>
      <c r="K279" s="515" t="s">
        <v>1383</v>
      </c>
      <c r="L279" s="10"/>
      <c r="M279" s="376">
        <v>1</v>
      </c>
      <c r="R279" t="s">
        <v>293</v>
      </c>
    </row>
    <row r="280" spans="1:18">
      <c r="A280" t="str">
        <f>Настройки!$D$4&amp;'Конфигурация TREI'!A2&amp;"_2|DIAG_16"</f>
        <v>CPU_2|DIAG_16</v>
      </c>
      <c r="B280" t="s">
        <v>74</v>
      </c>
      <c r="C280" s="10"/>
      <c r="D280" s="10"/>
      <c r="E280" s="10"/>
      <c r="F280" t="s">
        <v>72</v>
      </c>
      <c r="G280" t="s">
        <v>71</v>
      </c>
      <c r="H280">
        <v>0</v>
      </c>
      <c r="I280" t="s">
        <v>72</v>
      </c>
      <c r="J280" t="s">
        <v>69</v>
      </c>
      <c r="K280" s="515" t="s">
        <v>1383</v>
      </c>
      <c r="L280" s="10"/>
      <c r="M280" s="376">
        <v>1</v>
      </c>
      <c r="R280" t="s">
        <v>293</v>
      </c>
    </row>
    <row r="281" spans="1:18">
      <c r="A281" t="str">
        <f>Настройки!$D$4&amp;'Конфигурация TREI'!A2&amp;"_2|DIAG_17"</f>
        <v>CPU_2|DIAG_17</v>
      </c>
      <c r="B281" t="s">
        <v>74</v>
      </c>
      <c r="C281" s="10"/>
      <c r="D281" s="10"/>
      <c r="E281" s="10"/>
      <c r="F281" t="s">
        <v>72</v>
      </c>
      <c r="G281" t="s">
        <v>71</v>
      </c>
      <c r="H281">
        <v>0</v>
      </c>
      <c r="I281" t="s">
        <v>72</v>
      </c>
      <c r="J281" t="s">
        <v>69</v>
      </c>
      <c r="K281" s="515" t="s">
        <v>1383</v>
      </c>
      <c r="L281" s="10"/>
      <c r="M281" s="376">
        <v>1</v>
      </c>
      <c r="R281" t="s">
        <v>293</v>
      </c>
    </row>
    <row r="282" spans="1:18">
      <c r="A282" t="str">
        <f>Настройки!$D$4&amp;'Конфигурация TREI'!A2&amp;"_2|DIAG_18"</f>
        <v>CPU_2|DIAG_18</v>
      </c>
      <c r="B282" t="s">
        <v>74</v>
      </c>
      <c r="C282" s="10"/>
      <c r="D282" s="10"/>
      <c r="E282" s="10"/>
      <c r="F282" t="s">
        <v>72</v>
      </c>
      <c r="G282" t="s">
        <v>71</v>
      </c>
      <c r="H282">
        <v>0</v>
      </c>
      <c r="I282" t="s">
        <v>72</v>
      </c>
      <c r="J282" t="s">
        <v>69</v>
      </c>
      <c r="K282" s="515" t="s">
        <v>1383</v>
      </c>
      <c r="L282" s="10"/>
      <c r="M282" s="376">
        <v>1</v>
      </c>
      <c r="R282" t="s">
        <v>293</v>
      </c>
    </row>
    <row r="283" spans="1:18">
      <c r="A283" t="str">
        <f>Настройки!$D$4&amp;'Конфигурация TREI'!A2&amp;"_2|DIAG_19"</f>
        <v>CPU_2|DIAG_19</v>
      </c>
      <c r="B283" t="s">
        <v>74</v>
      </c>
      <c r="C283" s="10"/>
      <c r="D283" s="10"/>
      <c r="E283" s="10"/>
      <c r="F283" t="s">
        <v>72</v>
      </c>
      <c r="G283" t="s">
        <v>71</v>
      </c>
      <c r="H283">
        <v>0</v>
      </c>
      <c r="I283" t="s">
        <v>72</v>
      </c>
      <c r="J283" t="s">
        <v>69</v>
      </c>
      <c r="K283" s="515" t="s">
        <v>1383</v>
      </c>
      <c r="L283" s="10"/>
      <c r="M283" s="376">
        <v>1</v>
      </c>
      <c r="R283" t="s">
        <v>293</v>
      </c>
    </row>
    <row r="284" spans="1:18">
      <c r="A284" t="str">
        <f>Настройки!$D$4&amp;'Конфигурация TREI'!A2&amp;"_2|DIAG_20"</f>
        <v>CPU_2|DIAG_20</v>
      </c>
      <c r="B284" t="s">
        <v>74</v>
      </c>
      <c r="C284" s="10"/>
      <c r="D284" s="10"/>
      <c r="E284" s="10"/>
      <c r="F284" t="s">
        <v>72</v>
      </c>
      <c r="G284" t="s">
        <v>71</v>
      </c>
      <c r="H284">
        <v>0</v>
      </c>
      <c r="I284" t="s">
        <v>72</v>
      </c>
      <c r="J284" t="s">
        <v>69</v>
      </c>
      <c r="K284" s="515" t="s">
        <v>1383</v>
      </c>
      <c r="L284" s="10"/>
      <c r="M284" s="376">
        <v>1</v>
      </c>
      <c r="R284" t="s">
        <v>293</v>
      </c>
    </row>
    <row r="285" spans="1:18">
      <c r="A285" t="str">
        <f>Настройки!$D$4&amp;'Конфигурация TREI'!A2&amp;"_2|DIAG_21"</f>
        <v>CPU_2|DIAG_21</v>
      </c>
      <c r="B285" t="s">
        <v>74</v>
      </c>
      <c r="C285" s="10"/>
      <c r="D285" s="10"/>
      <c r="E285" s="10"/>
      <c r="F285" t="s">
        <v>72</v>
      </c>
      <c r="G285" t="s">
        <v>71</v>
      </c>
      <c r="H285">
        <v>0</v>
      </c>
      <c r="I285" t="s">
        <v>72</v>
      </c>
      <c r="J285" t="s">
        <v>69</v>
      </c>
      <c r="K285" s="515" t="s">
        <v>1383</v>
      </c>
      <c r="L285" s="10"/>
      <c r="M285" s="376">
        <v>1</v>
      </c>
      <c r="R285" t="s">
        <v>293</v>
      </c>
    </row>
    <row r="286" spans="1:18">
      <c r="A286" t="str">
        <f>Настройки!$D$4&amp;'Конфигурация TREI'!A2&amp;"_2|DIAG_22"</f>
        <v>CPU_2|DIAG_22</v>
      </c>
      <c r="B286" t="s">
        <v>74</v>
      </c>
      <c r="C286" s="10"/>
      <c r="D286" s="10"/>
      <c r="E286" s="10"/>
      <c r="F286" t="s">
        <v>72</v>
      </c>
      <c r="G286" t="s">
        <v>71</v>
      </c>
      <c r="H286">
        <v>0</v>
      </c>
      <c r="I286" t="s">
        <v>72</v>
      </c>
      <c r="J286" t="s">
        <v>69</v>
      </c>
      <c r="K286" s="515" t="s">
        <v>1383</v>
      </c>
      <c r="L286" s="10"/>
      <c r="M286" s="376">
        <v>1</v>
      </c>
      <c r="R286" t="s">
        <v>293</v>
      </c>
    </row>
    <row r="287" spans="1:18">
      <c r="A287" t="str">
        <f>Настройки!$D$4&amp;'Конфигурация TREI'!A2&amp;"_2|DIAG_23"</f>
        <v>CPU_2|DIAG_23</v>
      </c>
      <c r="B287" t="s">
        <v>74</v>
      </c>
      <c r="C287" s="10"/>
      <c r="D287" s="10"/>
      <c r="E287" s="10"/>
      <c r="F287" t="s">
        <v>72</v>
      </c>
      <c r="G287" t="s">
        <v>71</v>
      </c>
      <c r="H287">
        <v>0</v>
      </c>
      <c r="I287" t="s">
        <v>72</v>
      </c>
      <c r="J287" t="s">
        <v>69</v>
      </c>
      <c r="K287" s="515" t="s">
        <v>1383</v>
      </c>
      <c r="L287" s="10"/>
      <c r="M287" s="376">
        <v>1</v>
      </c>
      <c r="R287" t="s">
        <v>293</v>
      </c>
    </row>
    <row r="288" spans="1:18">
      <c r="A288" t="str">
        <f>Настройки!$D$4&amp;'Конфигурация TREI'!A2&amp;"_2|DIAG_24"</f>
        <v>CPU_2|DIAG_24</v>
      </c>
      <c r="B288" t="s">
        <v>74</v>
      </c>
      <c r="C288" s="10"/>
      <c r="D288" s="10"/>
      <c r="E288" s="10"/>
      <c r="F288" t="s">
        <v>72</v>
      </c>
      <c r="G288" t="s">
        <v>71</v>
      </c>
      <c r="H288">
        <v>0</v>
      </c>
      <c r="I288" t="s">
        <v>72</v>
      </c>
      <c r="J288" t="s">
        <v>69</v>
      </c>
      <c r="K288" s="515" t="s">
        <v>1383</v>
      </c>
      <c r="L288" s="10"/>
      <c r="M288" s="376">
        <v>1</v>
      </c>
      <c r="R288" t="s">
        <v>293</v>
      </c>
    </row>
    <row r="289" spans="1:18">
      <c r="A289" t="str">
        <f>Настройки!$D$4&amp;'Конфигурация TREI'!A2&amp;"_2|DIAG_25"</f>
        <v>CPU_2|DIAG_25</v>
      </c>
      <c r="B289" t="s">
        <v>74</v>
      </c>
      <c r="C289" s="10"/>
      <c r="D289" s="10"/>
      <c r="E289" s="10"/>
      <c r="F289" t="s">
        <v>72</v>
      </c>
      <c r="G289" t="s">
        <v>71</v>
      </c>
      <c r="H289">
        <v>0</v>
      </c>
      <c r="I289" t="s">
        <v>72</v>
      </c>
      <c r="J289" t="s">
        <v>69</v>
      </c>
      <c r="K289" s="515" t="s">
        <v>1383</v>
      </c>
      <c r="L289" s="10"/>
      <c r="M289" s="376">
        <v>1</v>
      </c>
      <c r="R289" t="s">
        <v>293</v>
      </c>
    </row>
    <row r="290" spans="1:18">
      <c r="A290" t="str">
        <f>Настройки!$D$4&amp;'Конфигурация TREI'!A2&amp;"_2|DIAG_26"</f>
        <v>CPU_2|DIAG_26</v>
      </c>
      <c r="B290" t="s">
        <v>74</v>
      </c>
      <c r="C290" s="10"/>
      <c r="D290" s="10"/>
      <c r="E290" s="10"/>
      <c r="F290" t="s">
        <v>72</v>
      </c>
      <c r="G290" t="s">
        <v>71</v>
      </c>
      <c r="H290">
        <v>0</v>
      </c>
      <c r="I290" t="s">
        <v>72</v>
      </c>
      <c r="J290" t="s">
        <v>69</v>
      </c>
      <c r="K290" s="515" t="s">
        <v>1383</v>
      </c>
      <c r="L290" s="10"/>
      <c r="M290" s="376">
        <v>1</v>
      </c>
      <c r="R290" t="s">
        <v>293</v>
      </c>
    </row>
    <row r="291" spans="1:18">
      <c r="A291" t="str">
        <f>Настройки!$D$4&amp;'Конфигурация TREI'!A2&amp;"_2|DIAG_27"</f>
        <v>CPU_2|DIAG_27</v>
      </c>
      <c r="B291" t="s">
        <v>74</v>
      </c>
      <c r="C291" s="10"/>
      <c r="D291" s="10"/>
      <c r="E291" s="10"/>
      <c r="F291" t="s">
        <v>72</v>
      </c>
      <c r="G291" t="s">
        <v>71</v>
      </c>
      <c r="H291">
        <v>0</v>
      </c>
      <c r="I291" t="s">
        <v>72</v>
      </c>
      <c r="J291" t="s">
        <v>69</v>
      </c>
      <c r="K291" s="515" t="s">
        <v>1383</v>
      </c>
      <c r="L291" s="10"/>
      <c r="M291" s="376">
        <v>1</v>
      </c>
      <c r="R291" t="s">
        <v>293</v>
      </c>
    </row>
    <row r="292" spans="1:18">
      <c r="A292" t="str">
        <f>Настройки!$D$4&amp;'Конфигурация TREI'!A2&amp;"_2|DIAG_28"</f>
        <v>CPU_2|DIAG_28</v>
      </c>
      <c r="B292" t="s">
        <v>74</v>
      </c>
      <c r="C292" s="10"/>
      <c r="D292" s="10"/>
      <c r="E292" s="10"/>
      <c r="F292" t="s">
        <v>72</v>
      </c>
      <c r="G292" t="s">
        <v>71</v>
      </c>
      <c r="H292">
        <v>0</v>
      </c>
      <c r="I292" t="s">
        <v>72</v>
      </c>
      <c r="J292" t="s">
        <v>69</v>
      </c>
      <c r="K292" s="515" t="s">
        <v>1383</v>
      </c>
      <c r="L292" s="10"/>
      <c r="M292" s="376">
        <v>1</v>
      </c>
      <c r="R292" t="s">
        <v>293</v>
      </c>
    </row>
    <row r="293" spans="1:18">
      <c r="A293" t="str">
        <f>Настройки!$D$4&amp;'Конфигурация TREI'!A2&amp;"_2|DIAG_29"</f>
        <v>CPU_2|DIAG_29</v>
      </c>
      <c r="B293" t="s">
        <v>74</v>
      </c>
      <c r="C293" s="10"/>
      <c r="D293" s="10"/>
      <c r="E293" s="10"/>
      <c r="F293" t="s">
        <v>72</v>
      </c>
      <c r="G293" t="s">
        <v>71</v>
      </c>
      <c r="H293">
        <v>0</v>
      </c>
      <c r="I293" t="s">
        <v>72</v>
      </c>
      <c r="J293" t="s">
        <v>69</v>
      </c>
      <c r="K293" s="515" t="s">
        <v>1383</v>
      </c>
      <c r="L293" s="10"/>
      <c r="M293" s="376">
        <v>1</v>
      </c>
      <c r="R293" t="s">
        <v>293</v>
      </c>
    </row>
    <row r="294" spans="1:18">
      <c r="A294" t="str">
        <f>Настройки!$D$4&amp;'Конфигурация TREI'!A2&amp;"_2|DIAG_30"</f>
        <v>CPU_2|DIAG_30</v>
      </c>
      <c r="B294" t="s">
        <v>74</v>
      </c>
      <c r="C294" s="10"/>
      <c r="D294" s="10"/>
      <c r="E294" s="10"/>
      <c r="F294" t="s">
        <v>72</v>
      </c>
      <c r="G294" t="s">
        <v>71</v>
      </c>
      <c r="H294">
        <v>0</v>
      </c>
      <c r="I294" t="s">
        <v>72</v>
      </c>
      <c r="J294" t="s">
        <v>69</v>
      </c>
      <c r="K294" s="515" t="s">
        <v>1383</v>
      </c>
      <c r="L294" s="10"/>
      <c r="M294" s="376">
        <v>1</v>
      </c>
      <c r="R294" t="s">
        <v>293</v>
      </c>
    </row>
    <row r="295" spans="1:18">
      <c r="A295" t="str">
        <f>Настройки!$D$4&amp;'Конфигурация TREI'!A2&amp;"_2|DIAG_31"</f>
        <v>CPU_2|DIAG_31</v>
      </c>
      <c r="B295" t="s">
        <v>74</v>
      </c>
      <c r="C295" s="10"/>
      <c r="D295" s="10"/>
      <c r="E295" s="10"/>
      <c r="F295" t="s">
        <v>72</v>
      </c>
      <c r="G295" t="s">
        <v>71</v>
      </c>
      <c r="H295">
        <v>0</v>
      </c>
      <c r="I295" t="s">
        <v>72</v>
      </c>
      <c r="J295" t="s">
        <v>69</v>
      </c>
      <c r="K295" s="515" t="s">
        <v>1383</v>
      </c>
      <c r="L295" s="10"/>
      <c r="M295" s="376">
        <v>1</v>
      </c>
      <c r="R295" t="s">
        <v>293</v>
      </c>
    </row>
    <row r="296" spans="1:18">
      <c r="A296" t="str">
        <f>Настройки!$D$4&amp;'Конфигурация TREI'!A2&amp;"_2|DIAG_32"</f>
        <v>CPU_2|DIAG_32</v>
      </c>
      <c r="B296" t="s">
        <v>74</v>
      </c>
      <c r="C296" s="10"/>
      <c r="D296" s="10"/>
      <c r="E296" s="10"/>
      <c r="F296" t="s">
        <v>72</v>
      </c>
      <c r="G296" t="s">
        <v>71</v>
      </c>
      <c r="H296">
        <v>0</v>
      </c>
      <c r="I296" t="s">
        <v>72</v>
      </c>
      <c r="J296" t="s">
        <v>69</v>
      </c>
      <c r="K296" s="515" t="s">
        <v>1383</v>
      </c>
      <c r="L296" s="10"/>
      <c r="M296" s="376">
        <v>1</v>
      </c>
      <c r="R296" t="s">
        <v>293</v>
      </c>
    </row>
  </sheetData>
  <phoneticPr fontId="78" type="noConversion"/>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sheetPr codeName="Лист108">
    <tabColor theme="2" tint="-0.249977111117893"/>
  </sheetPr>
  <dimension ref="A1:BF61"/>
  <sheetViews>
    <sheetView workbookViewId="0">
      <selection activeCell="D2" sqref="D2:D4"/>
    </sheetView>
  </sheetViews>
  <sheetFormatPr defaultRowHeight="14.4"/>
  <cols>
    <col min="1" max="1" width="35.44140625" customWidth="1"/>
    <col min="2" max="2" width="21.44140625" customWidth="1"/>
    <col min="3" max="3" width="3.44140625" customWidth="1"/>
    <col min="4" max="4" width="1.109375" customWidth="1"/>
    <col min="5" max="5" width="33.44140625" customWidth="1"/>
    <col min="6" max="6" width="17.6640625" customWidth="1"/>
    <col min="7" max="7" width="10.5546875" customWidth="1"/>
    <col min="8" max="8" width="14.33203125" customWidth="1"/>
    <col min="9" max="9" width="11.44140625" customWidth="1"/>
    <col min="10" max="10" width="9.109375" hidden="1" customWidth="1"/>
    <col min="11" max="11" width="10.88671875" customWidth="1"/>
    <col min="12" max="12" width="11.5546875" customWidth="1"/>
    <col min="13" max="13" width="10.6640625" bestFit="1" customWidth="1"/>
    <col min="14" max="14" width="8.109375" bestFit="1" customWidth="1"/>
    <col min="15" max="15" width="9.109375" customWidth="1"/>
    <col min="16" max="16" width="34.6640625" customWidth="1"/>
    <col min="17" max="17" width="39.33203125" customWidth="1"/>
    <col min="18" max="30" width="26.109375" style="55" customWidth="1"/>
    <col min="31" max="31" width="4.5546875" style="427" customWidth="1"/>
    <col min="32" max="32" width="11.109375" customWidth="1"/>
  </cols>
  <sheetData>
    <row r="1" spans="1:57">
      <c r="A1" s="425"/>
      <c r="B1" s="425"/>
      <c r="C1" s="425"/>
      <c r="D1" s="425"/>
      <c r="E1" s="425"/>
      <c r="F1" s="425"/>
      <c r="G1" s="426" t="s">
        <v>846</v>
      </c>
      <c r="H1" s="426" t="s">
        <v>847</v>
      </c>
      <c r="I1" s="424" t="s">
        <v>1181</v>
      </c>
      <c r="J1" s="425"/>
      <c r="M1" s="424" t="str">
        <f>'Конфигурация TREI'!A1</f>
        <v>№ Модуля</v>
      </c>
      <c r="N1" s="424" t="str">
        <f>'Конфигурация TREI'!B2</f>
        <v>M501E(рез)</v>
      </c>
      <c r="O1" s="425"/>
      <c r="P1" s="425" t="str">
        <f>Таблица!D1</f>
        <v>Префикс для TREI
Тэг ОРС для INFINITY</v>
      </c>
      <c r="Q1" s="425" t="str">
        <f>Таблица!E1</f>
        <v>Комментарий для TREI и INFINITY</v>
      </c>
      <c r="R1" s="428" t="s">
        <v>1032</v>
      </c>
      <c r="S1" s="428"/>
      <c r="T1" s="428"/>
      <c r="U1" s="428"/>
      <c r="V1" s="428"/>
      <c r="W1" s="428"/>
      <c r="X1" s="428"/>
      <c r="Y1" s="428"/>
      <c r="Z1" s="428"/>
      <c r="AA1" s="428"/>
      <c r="AB1" s="428"/>
      <c r="AC1" s="428"/>
      <c r="AD1" s="429"/>
      <c r="AE1" s="438"/>
      <c r="AF1" s="438">
        <f>Настройки!Q1</f>
        <v>0</v>
      </c>
      <c r="AG1" s="438" t="str">
        <f>Настройки!R1</f>
        <v>M943DR</v>
      </c>
      <c r="AH1" s="438" t="str">
        <f>Настройки!S1</f>
        <v>M942A</v>
      </c>
      <c r="AI1" s="438" t="str">
        <f>Настройки!T1</f>
        <v>M957D</v>
      </c>
      <c r="AJ1" s="438" t="str">
        <f>Настройки!U1</f>
        <v>M957O</v>
      </c>
      <c r="AK1" s="438" t="str">
        <f>Настройки!V1</f>
        <v>M947R</v>
      </c>
      <c r="AL1" s="438" t="str">
        <f>Настройки!W1</f>
        <v>M931V</v>
      </c>
      <c r="AM1" s="438" t="str">
        <f>Настройки!X1</f>
        <v>M931T</v>
      </c>
      <c r="AN1" s="438" t="str">
        <f>Настройки!Y1</f>
        <v>M547A</v>
      </c>
      <c r="AO1" s="438" t="str">
        <f>Настройки!Z1</f>
        <v>M537V</v>
      </c>
      <c r="AP1" s="438" t="str">
        <f>Настройки!AA1</f>
        <v>M557D</v>
      </c>
      <c r="AQ1" s="438" t="str">
        <f>Настройки!AB1</f>
        <v>M557O</v>
      </c>
      <c r="AR1" s="438" t="str">
        <f>Настройки!AC1</f>
        <v>MOPS</v>
      </c>
      <c r="AS1" s="438" t="str">
        <f>Настройки!AD1</f>
        <v>MUPS</v>
      </c>
      <c r="AT1" s="439" t="str">
        <f>Настройки!AB1</f>
        <v>M557O</v>
      </c>
      <c r="AU1" s="439" t="str">
        <f>Настройки!AC1</f>
        <v>MOPS</v>
      </c>
      <c r="AV1" s="439" t="str">
        <f>Настройки!AD1</f>
        <v>MUPS</v>
      </c>
      <c r="AW1" s="439" t="str">
        <f>Настройки!AE1</f>
        <v>M941A</v>
      </c>
      <c r="AX1" s="439" t="str">
        <f>Настройки!AF1</f>
        <v>M954D</v>
      </c>
      <c r="AY1" s="439" t="str">
        <f>Настройки!AG1</f>
        <v>M557DR</v>
      </c>
      <c r="AZ1" s="439" t="str">
        <f>Настройки!AH1</f>
        <v>M558D</v>
      </c>
      <c r="BA1" s="439" t="str">
        <f>Настройки!AI1</f>
        <v>M558O</v>
      </c>
      <c r="BB1" s="439" t="str">
        <f>Настройки!AJ1</f>
        <v>M548A</v>
      </c>
      <c r="BC1" s="439" t="str">
        <f>Настройки!AK1</f>
        <v>M538V</v>
      </c>
      <c r="BD1" s="439" t="str">
        <f>Настройки!AL1</f>
        <v>M558DR</v>
      </c>
      <c r="BE1" s="439" t="str">
        <f>Настройки!AM1</f>
        <v>*</v>
      </c>
    </row>
    <row r="2" spans="1:57">
      <c r="A2" s="446" t="str">
        <f>"//*********** "&amp;Q2&amp;" ***********"</f>
        <v>//*********** Аналоговый датчик FB ***********</v>
      </c>
      <c r="B2" s="446"/>
      <c r="C2" s="446"/>
      <c r="D2" s="446"/>
      <c r="E2" s="446"/>
      <c r="F2" s="446" t="s">
        <v>1031</v>
      </c>
      <c r="G2" s="447"/>
      <c r="H2" s="447"/>
      <c r="I2" s="459"/>
      <c r="M2" s="424" t="str">
        <f>'Конфигурация TREI'!A3</f>
        <v>BR1</v>
      </c>
      <c r="N2" s="424" t="str">
        <f>'Конфигурация TREI'!B3</f>
        <v>M558D</v>
      </c>
      <c r="P2" s="2" t="s">
        <v>1388</v>
      </c>
      <c r="Q2" s="449" t="s">
        <v>762</v>
      </c>
      <c r="R2" s="379" t="s">
        <v>1214</v>
      </c>
      <c r="S2" s="379"/>
      <c r="T2" s="379"/>
      <c r="U2" s="379"/>
      <c r="V2" s="379"/>
      <c r="W2" s="379"/>
      <c r="X2" s="379"/>
      <c r="Y2" s="379"/>
      <c r="Z2" s="379"/>
      <c r="AA2" s="379"/>
      <c r="AB2" s="379"/>
      <c r="AC2" s="379"/>
      <c r="AD2" s="379">
        <v>5</v>
      </c>
      <c r="AE2" s="431">
        <f>Настройки!P2</f>
        <v>1</v>
      </c>
      <c r="AF2" s="380">
        <f>Настройки!Q2</f>
        <v>0</v>
      </c>
      <c r="AG2" s="380" t="str">
        <f>Настройки!R2</f>
        <v>IDIG_1_1</v>
      </c>
      <c r="AH2" s="380" t="str">
        <f>Настройки!S2</f>
        <v>IANS_1_3</v>
      </c>
      <c r="AI2" s="380" t="str">
        <f>Настройки!T2</f>
        <v>out0</v>
      </c>
      <c r="AJ2" s="380" t="str">
        <f>Настройки!U2</f>
        <v>out0</v>
      </c>
      <c r="AK2" s="380" t="str">
        <f>Настройки!V2</f>
        <v>ODIG_1</v>
      </c>
      <c r="AL2" s="380" t="str">
        <f>Настройки!W2</f>
        <v>OAN_1_1</v>
      </c>
      <c r="AM2" s="380" t="str">
        <f>Настройки!X2</f>
        <v>IANS_1_1</v>
      </c>
      <c r="AN2" s="380" t="str">
        <f>Настройки!Y2</f>
        <v>Canal_01</v>
      </c>
      <c r="AO2" s="380" t="str">
        <f>Настройки!Z2</f>
        <v>Canal_01</v>
      </c>
      <c r="AP2" s="380" t="str">
        <f>Настройки!AA2</f>
        <v>Canal_01</v>
      </c>
      <c r="AQ2" s="380" t="str">
        <f>Настройки!AB2</f>
        <v>Canal_01</v>
      </c>
      <c r="AR2" s="380" t="str">
        <f>Настройки!AC2</f>
        <v>IVXX[0]</v>
      </c>
      <c r="AS2" s="380" t="str">
        <f>Настройки!AD2</f>
        <v>IVXX[0]</v>
      </c>
      <c r="AT2" s="207" t="str">
        <f>Настройки!AB2</f>
        <v>Canal_01</v>
      </c>
      <c r="AU2" s="207" t="str">
        <f>Настройки!AC2</f>
        <v>IVXX[0]</v>
      </c>
      <c r="AV2" s="207" t="str">
        <f>Настройки!AD2</f>
        <v>IVXX[0]</v>
      </c>
      <c r="AW2" s="207" t="str">
        <f>Настройки!AE2</f>
        <v>IANS_1_1</v>
      </c>
      <c r="AX2" s="207" t="str">
        <f>Настройки!AF2</f>
        <v>IDIG_1_1</v>
      </c>
      <c r="AY2" s="207" t="str">
        <f>Настройки!AG2</f>
        <v>Canal_01</v>
      </c>
      <c r="AZ2" s="207" t="str">
        <f>Настройки!AH2</f>
        <v>Canal_01</v>
      </c>
      <c r="BA2" s="207" t="str">
        <f>Настройки!AI2</f>
        <v>Canal_01</v>
      </c>
      <c r="BB2" s="207" t="str">
        <f>Настройки!AJ2</f>
        <v>Canal_01</v>
      </c>
      <c r="BC2" s="207" t="str">
        <f>Настройки!AK2</f>
        <v>Canal_01</v>
      </c>
      <c r="BD2" s="207" t="str">
        <f>Настройки!AL2</f>
        <v>Canal_01</v>
      </c>
      <c r="BE2" s="207" t="str">
        <f>Настройки!AM2</f>
        <v>-</v>
      </c>
    </row>
    <row r="3" spans="1:57">
      <c r="A3" s="82"/>
      <c r="B3" s="82"/>
      <c r="C3" s="81"/>
      <c r="D3" s="81"/>
      <c r="E3" s="448" t="str">
        <f ca="1">IF(LEFT(E4,3)="out","INT_TO_BIT_BR"&amp;C4&amp;"(BR"&amp;C4&amp;".IDIG_MASK)","УДАЛИТЬ")</f>
        <v>УДАЛИТЬ</v>
      </c>
      <c r="F3" s="446" t="s">
        <v>845</v>
      </c>
      <c r="G3" s="447"/>
      <c r="H3" s="447"/>
      <c r="I3" s="459"/>
      <c r="M3" s="424" t="str">
        <f>'Конфигурация TREI'!A4</f>
        <v>BR2</v>
      </c>
      <c r="N3" s="424" t="str">
        <f>'Конфигурация TREI'!B4</f>
        <v>M548A</v>
      </c>
      <c r="P3" s="425" t="str">
        <f>'Конфигурация TREI'!D1</f>
        <v>Путь TREI для сигналов NOT_LINK</v>
      </c>
      <c r="R3" s="451" t="str">
        <f>SUBSTITUTE(SUBSTITUTE($R$2,"!","")," ","")</f>
        <v>3+5</v>
      </c>
      <c r="S3" s="451"/>
      <c r="T3" s="451"/>
      <c r="U3" s="451"/>
      <c r="V3" s="451"/>
      <c r="W3" s="451"/>
      <c r="X3" s="451"/>
      <c r="Y3" s="451"/>
      <c r="Z3" s="451"/>
      <c r="AA3" s="451"/>
      <c r="AB3" s="451"/>
      <c r="AC3" s="451"/>
      <c r="AD3" s="451"/>
      <c r="AE3" s="431">
        <f>Настройки!P3</f>
        <v>2</v>
      </c>
      <c r="AF3" s="380">
        <f>Настройки!Q3</f>
        <v>0</v>
      </c>
      <c r="AG3" s="380" t="str">
        <f>Настройки!R3</f>
        <v>IDIG_1_2</v>
      </c>
      <c r="AH3" s="380" t="str">
        <f>Настройки!S3</f>
        <v>IANS_1_4</v>
      </c>
      <c r="AI3" s="380" t="str">
        <f>Настройки!T3</f>
        <v>out1</v>
      </c>
      <c r="AJ3" s="380" t="str">
        <f>Настройки!U3</f>
        <v>out1</v>
      </c>
      <c r="AK3" s="380" t="str">
        <f>Настройки!V3</f>
        <v>ODIG_2</v>
      </c>
      <c r="AL3" s="380" t="str">
        <f>Настройки!W3</f>
        <v>OAN_2_1</v>
      </c>
      <c r="AM3" s="380" t="str">
        <f>Настройки!X3</f>
        <v>IANS_2_1</v>
      </c>
      <c r="AN3" s="380" t="str">
        <f>Настройки!Y3</f>
        <v>Canal_02</v>
      </c>
      <c r="AO3" s="380" t="str">
        <f>Настройки!Z3</f>
        <v>Canal_02</v>
      </c>
      <c r="AP3" s="380" t="str">
        <f>Настройки!AA3</f>
        <v>Canal_02</v>
      </c>
      <c r="AQ3" s="380" t="str">
        <f>Настройки!AB3</f>
        <v>Canal_02</v>
      </c>
      <c r="AR3" s="380" t="str">
        <f>Настройки!AC3</f>
        <v>IVXX[1]</v>
      </c>
      <c r="AS3" s="380" t="str">
        <f>Настройки!AD3</f>
        <v>IVXX[1]</v>
      </c>
      <c r="AT3" s="207" t="str">
        <f>Настройки!AB3</f>
        <v>Canal_02</v>
      </c>
      <c r="AU3" s="207" t="str">
        <f>Настройки!AC3</f>
        <v>IVXX[1]</v>
      </c>
      <c r="AV3" s="207" t="str">
        <f>Настройки!AD3</f>
        <v>IVXX[1]</v>
      </c>
      <c r="AW3" s="207" t="str">
        <f>Настройки!AE3</f>
        <v>IANS_1_2</v>
      </c>
      <c r="AX3" s="207" t="str">
        <f>Настройки!AF3</f>
        <v>IDIG_1_2</v>
      </c>
      <c r="AY3" s="207" t="str">
        <f>Настройки!AG3</f>
        <v>Canal_02</v>
      </c>
      <c r="AZ3" s="207" t="str">
        <f>Настройки!AH3</f>
        <v>Canal_02</v>
      </c>
      <c r="BA3" s="207" t="str">
        <f>Настройки!AI3</f>
        <v>Canal_02</v>
      </c>
      <c r="BB3" s="207" t="str">
        <f>Настройки!AJ3</f>
        <v>Canal_02</v>
      </c>
      <c r="BC3" s="207" t="str">
        <f>Настройки!AK3</f>
        <v>Canal_02</v>
      </c>
      <c r="BD3" s="207" t="str">
        <f>Настройки!AL3</f>
        <v>Canal_02</v>
      </c>
      <c r="BE3" s="207" t="str">
        <f>Настройки!AM3</f>
        <v>-</v>
      </c>
    </row>
    <row r="4" spans="1:57">
      <c r="A4" s="448" t="str">
        <f>SUBSTITUTE($P$2,"\","|")&amp;"|"&amp; $R$1&amp;":="</f>
        <v>TT_VOS|IVXX:=</v>
      </c>
      <c r="B4" s="448" t="str">
        <f ca="1">IF(LEFT(E4,3)="out","INT_TO_BIT_BR","BR")</f>
        <v>BR</v>
      </c>
      <c r="C4" s="446" t="str">
        <f>LEFT($R$3,FIND("+",$R$3,1)-1)</f>
        <v>3</v>
      </c>
      <c r="D4" s="446" t="s">
        <v>178</v>
      </c>
      <c r="E4" s="446" t="str">
        <f ca="1">IF($R$2=0,"УДАЛИТЬ",IFERROR(IF(OR($I4="-",$H4="0"),"КАНАЛ ОТСУТСТВУЕТ",IF($I4=0,"МОДУЛЬ ОТСУТСТВУЕТ",$I4)),"ОШИБКА ФОРМАТА"))</f>
        <v>Canal_05</v>
      </c>
      <c r="F4" s="446" t="s">
        <v>845</v>
      </c>
      <c r="G4" s="447" t="str">
        <f>INDEX($N$2:$N$61,C4)</f>
        <v>M548A</v>
      </c>
      <c r="H4" s="447" t="str">
        <f>RIGHT(R$3,LEN(R$3)-FIND("+",R$3,1))</f>
        <v>5</v>
      </c>
      <c r="I4" s="460" t="str">
        <f ca="1">INDIRECT(ADDRESS($H4+1,MATCH($G4,$1:$1,),1))</f>
        <v>Canal_05</v>
      </c>
      <c r="M4" s="424" t="str">
        <f>'Конфигурация TREI'!A5</f>
        <v>BR3</v>
      </c>
      <c r="N4" s="424" t="str">
        <f>'Конфигурация TREI'!B5</f>
        <v>M548A</v>
      </c>
      <c r="P4" s="3" t="str">
        <f>Настройки!D2</f>
        <v/>
      </c>
      <c r="AE4" s="431">
        <f>Настройки!P4</f>
        <v>3</v>
      </c>
      <c r="AF4" s="380">
        <f>Настройки!Q4</f>
        <v>0</v>
      </c>
      <c r="AG4" s="380" t="str">
        <f>Настройки!R4</f>
        <v>IDIG_2_1</v>
      </c>
      <c r="AH4" s="380" t="str">
        <f>Настройки!S4</f>
        <v>IANS_2_3</v>
      </c>
      <c r="AI4" s="380" t="str">
        <f>Настройки!T4</f>
        <v>out2</v>
      </c>
      <c r="AJ4" s="380" t="str">
        <f>Настройки!U4</f>
        <v>out2</v>
      </c>
      <c r="AK4" s="380" t="str">
        <f>Настройки!V4</f>
        <v>ODIG_3</v>
      </c>
      <c r="AL4" s="380" t="str">
        <f>Настройки!W4</f>
        <v>OAN_3_1</v>
      </c>
      <c r="AM4" s="380" t="str">
        <f>Настройки!X4</f>
        <v>IANS_3_1</v>
      </c>
      <c r="AN4" s="380" t="str">
        <f>Настройки!Y4</f>
        <v>Canal_03</v>
      </c>
      <c r="AO4" s="380" t="str">
        <f>Настройки!Z4</f>
        <v>Canal_03</v>
      </c>
      <c r="AP4" s="380" t="str">
        <f>Настройки!AA4</f>
        <v>Canal_03</v>
      </c>
      <c r="AQ4" s="380" t="str">
        <f>Настройки!AB4</f>
        <v>Canal_03</v>
      </c>
      <c r="AR4" s="380" t="str">
        <f>Настройки!AC4</f>
        <v>IVXX[2]</v>
      </c>
      <c r="AS4" s="380" t="str">
        <f>Настройки!AD4</f>
        <v>IVXX[2]</v>
      </c>
      <c r="AT4" s="207" t="str">
        <f>Настройки!AB4</f>
        <v>Canal_03</v>
      </c>
      <c r="AU4" s="207" t="str">
        <f>Настройки!AC4</f>
        <v>IVXX[2]</v>
      </c>
      <c r="AV4" s="207" t="str">
        <f>Настройки!AD4</f>
        <v>IVXX[2]</v>
      </c>
      <c r="AW4" s="207" t="str">
        <f>Настройки!AE4</f>
        <v>IANS_2_1</v>
      </c>
      <c r="AX4" s="207" t="str">
        <f>Настройки!AF4</f>
        <v>IDIG_1_3</v>
      </c>
      <c r="AY4" s="207" t="str">
        <f>Настройки!AG4</f>
        <v>Canal_03</v>
      </c>
      <c r="AZ4" s="207" t="str">
        <f>Настройки!AH4</f>
        <v>Canal_03</v>
      </c>
      <c r="BA4" s="207" t="str">
        <f>Настройки!AI4</f>
        <v>Canal_03</v>
      </c>
      <c r="BB4" s="207" t="str">
        <f>Настройки!AJ4</f>
        <v>Canal_03</v>
      </c>
      <c r="BC4" s="207" t="str">
        <f>Настройки!AK4</f>
        <v>Canal_03</v>
      </c>
      <c r="BD4" s="207" t="str">
        <f>Настройки!AL4</f>
        <v>Canal_03</v>
      </c>
      <c r="BE4" s="207" t="str">
        <f>Настройки!AM4</f>
        <v>-</v>
      </c>
    </row>
    <row r="5" spans="1:57">
      <c r="A5" s="448" t="str">
        <f>SUBSTITUTE($P$2,"\","|")&amp;"|"&amp;"D"&amp; RIGHT($R$1,3)&amp;":="&amp;$P$4&amp;"NOT_LINK_BR"</f>
        <v>TT_VOS|DVXX:=NOT_LINK_BR</v>
      </c>
      <c r="B5" s="446" t="str">
        <f>IFERROR(LEFT($R$3,FIND("+",$R$3,1)-1),"УДАЛИТЬ")</f>
        <v>3</v>
      </c>
      <c r="C5" s="446"/>
      <c r="D5" s="446"/>
      <c r="E5" s="764" t="str">
        <f ca="1">IFERROR(IF(OR(G4="M547A",G4="M548A")," OR (BR"&amp;B5&amp;".Err_"&amp;I4&amp;" =3)",""),"МОДУЛЬ ОТСУТСТВУЕТ")</f>
        <v xml:space="preserve"> OR (BR3.Err_Canal_05 =3)</v>
      </c>
      <c r="F5" s="446" t="s">
        <v>845</v>
      </c>
      <c r="G5" s="447"/>
      <c r="H5" s="447"/>
      <c r="I5" s="460"/>
      <c r="M5" s="424" t="str">
        <f>'Конфигурация TREI'!A6</f>
        <v>BR4</v>
      </c>
      <c r="N5" s="424" t="str">
        <f>'Конфигурация TREI'!B6</f>
        <v>M558D</v>
      </c>
      <c r="AE5" s="431">
        <f>Настройки!P5</f>
        <v>4</v>
      </c>
      <c r="AF5" s="380">
        <f>Настройки!Q5</f>
        <v>0</v>
      </c>
      <c r="AG5" s="380" t="str">
        <f>Настройки!R5</f>
        <v>IDIG_2_2</v>
      </c>
      <c r="AH5" s="380" t="str">
        <f>Настройки!S5</f>
        <v>IANS_2_4</v>
      </c>
      <c r="AI5" s="380" t="str">
        <f>Настройки!T5</f>
        <v>out3</v>
      </c>
      <c r="AJ5" s="380" t="str">
        <f>Настройки!U5</f>
        <v>out3</v>
      </c>
      <c r="AK5" s="380" t="str">
        <f>Настройки!V5</f>
        <v>ODIG_4</v>
      </c>
      <c r="AL5" s="380" t="str">
        <f>Настройки!W5</f>
        <v>OAN_4_1</v>
      </c>
      <c r="AM5" s="380" t="str">
        <f>Настройки!X5</f>
        <v>IANS_4_1</v>
      </c>
      <c r="AN5" s="380" t="str">
        <f>Настройки!Y5</f>
        <v>Canal_04</v>
      </c>
      <c r="AO5" s="380" t="str">
        <f>Настройки!Z5</f>
        <v>Canal_04</v>
      </c>
      <c r="AP5" s="380" t="str">
        <f>Настройки!AA5</f>
        <v>Canal_04</v>
      </c>
      <c r="AQ5" s="380" t="str">
        <f>Настройки!AB5</f>
        <v>Canal_04</v>
      </c>
      <c r="AR5" s="380" t="str">
        <f>Настройки!AC5</f>
        <v>IVXX[3]</v>
      </c>
      <c r="AS5" s="380" t="str">
        <f>Настройки!AD5</f>
        <v>IVXX[3]</v>
      </c>
      <c r="AT5" s="207" t="str">
        <f>Настройки!AB5</f>
        <v>Canal_04</v>
      </c>
      <c r="AU5" s="207" t="str">
        <f>Настройки!AC5</f>
        <v>IVXX[3]</v>
      </c>
      <c r="AV5" s="207" t="str">
        <f>Настройки!AD5</f>
        <v>IVXX[3]</v>
      </c>
      <c r="AW5" s="207" t="str">
        <f>Настройки!AE5</f>
        <v>IANS_2_2</v>
      </c>
      <c r="AX5" s="207" t="str">
        <f>Настройки!AF5</f>
        <v>IDIG_1_4</v>
      </c>
      <c r="AY5" s="207" t="str">
        <f>Настройки!AG5</f>
        <v>Canal_04</v>
      </c>
      <c r="AZ5" s="207" t="str">
        <f>Настройки!AH5</f>
        <v>Canal_04</v>
      </c>
      <c r="BA5" s="207" t="str">
        <f>Настройки!AI5</f>
        <v>Canal_04</v>
      </c>
      <c r="BB5" s="207" t="str">
        <f>Настройки!AJ5</f>
        <v>Canal_04</v>
      </c>
      <c r="BC5" s="207" t="str">
        <f>Настройки!AK5</f>
        <v>Canal_04</v>
      </c>
      <c r="BD5" s="207" t="str">
        <f>Настройки!AL5</f>
        <v>Canal_04</v>
      </c>
      <c r="BE5" s="207" t="str">
        <f>Настройки!AM5</f>
        <v>-</v>
      </c>
    </row>
    <row r="6" spans="1:57">
      <c r="A6" s="82"/>
      <c r="B6" s="82"/>
      <c r="C6" s="81"/>
      <c r="D6" s="81"/>
      <c r="E6" s="82"/>
      <c r="F6" s="81"/>
      <c r="G6" s="445"/>
      <c r="H6" s="445"/>
      <c r="I6" s="460"/>
      <c r="M6" s="424" t="str">
        <f>'Конфигурация TREI'!A7</f>
        <v>BR5</v>
      </c>
      <c r="N6" s="424" t="str">
        <f>'Конфигурация TREI'!B7</f>
        <v>M558O</v>
      </c>
      <c r="AE6" s="431">
        <f>Настройки!P6</f>
        <v>5</v>
      </c>
      <c r="AF6" s="380">
        <f>Настройки!Q6</f>
        <v>0</v>
      </c>
      <c r="AG6" s="380" t="str">
        <f>Настройки!R6</f>
        <v>IDIG_3_1</v>
      </c>
      <c r="AH6" s="380" t="str">
        <f>Настройки!S6</f>
        <v>IANS_3_3</v>
      </c>
      <c r="AI6" s="380" t="str">
        <f>Настройки!T6</f>
        <v>out4</v>
      </c>
      <c r="AJ6" s="380" t="str">
        <f>Настройки!U6</f>
        <v>out4</v>
      </c>
      <c r="AK6" s="380" t="str">
        <f>Настройки!V6</f>
        <v>ODIG_5</v>
      </c>
      <c r="AL6" s="380" t="str">
        <f>Настройки!W6</f>
        <v>OAN_5_1</v>
      </c>
      <c r="AM6" s="380" t="str">
        <f>Настройки!X6</f>
        <v>IANS_5_1</v>
      </c>
      <c r="AN6" s="380" t="str">
        <f>Настройки!Y6</f>
        <v>Canal_05</v>
      </c>
      <c r="AO6" s="380" t="str">
        <f>Настройки!Z6</f>
        <v>Canal_05</v>
      </c>
      <c r="AP6" s="380" t="str">
        <f>Настройки!AA6</f>
        <v>Canal_05</v>
      </c>
      <c r="AQ6" s="380" t="str">
        <f>Настройки!AB6</f>
        <v>Canal_05</v>
      </c>
      <c r="AR6" s="380" t="str">
        <f>Настройки!AC6</f>
        <v>IVXX[4]</v>
      </c>
      <c r="AS6" s="380" t="str">
        <f>Настройки!AD6</f>
        <v>IVXX[4]</v>
      </c>
      <c r="AT6" s="207" t="str">
        <f>Настройки!AB6</f>
        <v>Canal_05</v>
      </c>
      <c r="AU6" s="207" t="str">
        <f>Настройки!AC6</f>
        <v>IVXX[4]</v>
      </c>
      <c r="AV6" s="207" t="str">
        <f>Настройки!AD6</f>
        <v>IVXX[4]</v>
      </c>
      <c r="AW6" s="207" t="str">
        <f>Настройки!AE6</f>
        <v>IANS_3_1</v>
      </c>
      <c r="AX6" s="207" t="str">
        <f>Настройки!AF6</f>
        <v>IDIG_2_1</v>
      </c>
      <c r="AY6" s="207" t="str">
        <f>Настройки!AG6</f>
        <v>Canal_05</v>
      </c>
      <c r="AZ6" s="207" t="str">
        <f>Настройки!AH6</f>
        <v>Canal_05</v>
      </c>
      <c r="BA6" s="207" t="str">
        <f>Настройки!AI6</f>
        <v>Canal_05</v>
      </c>
      <c r="BB6" s="207" t="str">
        <f>Настройки!AJ6</f>
        <v>Canal_05</v>
      </c>
      <c r="BC6" s="207" t="str">
        <f>Настройки!AK6</f>
        <v>Canal_05</v>
      </c>
      <c r="BD6" s="207" t="str">
        <f>Настройки!AL6</f>
        <v>Canal_05</v>
      </c>
      <c r="BE6" s="207" t="str">
        <f>Настройки!AM6</f>
        <v>-</v>
      </c>
    </row>
    <row r="7" spans="1:57">
      <c r="A7" s="82"/>
      <c r="B7" s="82"/>
      <c r="C7" s="81"/>
      <c r="D7" s="81"/>
      <c r="E7" s="82"/>
      <c r="F7" s="81"/>
      <c r="G7" s="445"/>
      <c r="H7" s="445"/>
      <c r="I7" s="460"/>
      <c r="M7" s="424" t="str">
        <f>'Конфигурация TREI'!A8</f>
        <v>BR6</v>
      </c>
      <c r="N7" s="424" t="str">
        <f>'Конфигурация TREI'!B8</f>
        <v>M558O</v>
      </c>
      <c r="AE7" s="431">
        <f>Настройки!P7</f>
        <v>6</v>
      </c>
      <c r="AF7" s="380">
        <f>Настройки!Q7</f>
        <v>0</v>
      </c>
      <c r="AG7" s="380" t="str">
        <f>Настройки!R7</f>
        <v>IDIG_3_2</v>
      </c>
      <c r="AH7" s="380" t="str">
        <f>Настройки!S7</f>
        <v>IANS_3_4</v>
      </c>
      <c r="AI7" s="380" t="str">
        <f>Настройки!T7</f>
        <v>out5</v>
      </c>
      <c r="AJ7" s="380" t="str">
        <f>Настройки!U7</f>
        <v>out5</v>
      </c>
      <c r="AK7" s="380" t="str">
        <f>Настройки!V7</f>
        <v>ODIG_6</v>
      </c>
      <c r="AL7" s="380" t="str">
        <f>Настройки!W7</f>
        <v>OAN_6_1</v>
      </c>
      <c r="AM7" s="380" t="str">
        <f>Настройки!X7</f>
        <v>IANS_6_1</v>
      </c>
      <c r="AN7" s="380" t="str">
        <f>Настройки!Y7</f>
        <v>Canal_06</v>
      </c>
      <c r="AO7" s="380" t="str">
        <f>Настройки!Z7</f>
        <v>Canal_06</v>
      </c>
      <c r="AP7" s="380" t="str">
        <f>Настройки!AA7</f>
        <v>Canal_06</v>
      </c>
      <c r="AQ7" s="380" t="str">
        <f>Настройки!AB7</f>
        <v>Canal_06</v>
      </c>
      <c r="AR7" s="380" t="str">
        <f>Настройки!AC7</f>
        <v>IVXX[5]</v>
      </c>
      <c r="AS7" s="380" t="str">
        <f>Настройки!AD7</f>
        <v>IVXX[5]</v>
      </c>
      <c r="AT7" s="207" t="str">
        <f>Настройки!AB7</f>
        <v>Canal_06</v>
      </c>
      <c r="AU7" s="207" t="str">
        <f>Настройки!AC7</f>
        <v>IVXX[5]</v>
      </c>
      <c r="AV7" s="207" t="str">
        <f>Настройки!AD7</f>
        <v>IVXX[5]</v>
      </c>
      <c r="AW7" s="207" t="str">
        <f>Настройки!AE7</f>
        <v>IANS_3_2</v>
      </c>
      <c r="AX7" s="207" t="str">
        <f>Настройки!AF7</f>
        <v>IDIG_2_2</v>
      </c>
      <c r="AY7" s="207" t="str">
        <f>Настройки!AG7</f>
        <v>Canal_06</v>
      </c>
      <c r="AZ7" s="207" t="str">
        <f>Настройки!AH7</f>
        <v>Canal_06</v>
      </c>
      <c r="BA7" s="207" t="str">
        <f>Настройки!AI7</f>
        <v>Canal_06</v>
      </c>
      <c r="BB7" s="207" t="str">
        <f>Настройки!AJ7</f>
        <v>Canal_06</v>
      </c>
      <c r="BC7" s="207" t="str">
        <f>Настройки!AK7</f>
        <v>Canal_06</v>
      </c>
      <c r="BD7" s="207" t="str">
        <f>Настройки!AL7</f>
        <v>Canal_06</v>
      </c>
      <c r="BE7" s="207" t="str">
        <f>Настройки!AM7</f>
        <v>-</v>
      </c>
    </row>
    <row r="8" spans="1:57">
      <c r="A8" s="82"/>
      <c r="B8" s="82"/>
      <c r="C8" s="81"/>
      <c r="D8" s="81"/>
      <c r="E8" s="82"/>
      <c r="F8" s="81"/>
      <c r="G8" s="445"/>
      <c r="H8" s="445"/>
      <c r="I8" s="460"/>
      <c r="M8" s="424" t="str">
        <f>'Конфигурация TREI'!A9</f>
        <v>BR7</v>
      </c>
      <c r="N8" s="424" t="str">
        <f>'Конфигурация TREI'!B9</f>
        <v>M558O</v>
      </c>
      <c r="AE8" s="431">
        <f>Настройки!P8</f>
        <v>7</v>
      </c>
      <c r="AF8" s="380">
        <f>Настройки!Q8</f>
        <v>0</v>
      </c>
      <c r="AG8" s="380" t="str">
        <f>Настройки!R8</f>
        <v>IDIG_4_1</v>
      </c>
      <c r="AH8" s="380" t="str">
        <f>Настройки!S8</f>
        <v>IANS_4_3</v>
      </c>
      <c r="AI8" s="380" t="str">
        <f>Настройки!T8</f>
        <v>out6</v>
      </c>
      <c r="AJ8" s="380" t="str">
        <f>Настройки!U8</f>
        <v>out6</v>
      </c>
      <c r="AK8" s="380" t="str">
        <f>Настройки!V8</f>
        <v>ODIG_7</v>
      </c>
      <c r="AL8" s="380" t="str">
        <f>Настройки!W8</f>
        <v>OAN_7_1</v>
      </c>
      <c r="AM8" s="380" t="str">
        <f>Настройки!X8</f>
        <v>IANS_7_1</v>
      </c>
      <c r="AN8" s="380" t="str">
        <f>Настройки!Y8</f>
        <v>Canal_07</v>
      </c>
      <c r="AO8" s="380" t="str">
        <f>Настройки!Z8</f>
        <v>Canal_07</v>
      </c>
      <c r="AP8" s="380" t="str">
        <f>Настройки!AA8</f>
        <v>Canal_07</v>
      </c>
      <c r="AQ8" s="380" t="str">
        <f>Настройки!AB8</f>
        <v>Canal_07</v>
      </c>
      <c r="AR8" s="380" t="str">
        <f>Настройки!AC8</f>
        <v>IVXX[6]</v>
      </c>
      <c r="AS8" s="380" t="str">
        <f>Настройки!AD8</f>
        <v>IVXX[6]</v>
      </c>
      <c r="AT8" s="207" t="str">
        <f>Настройки!AB8</f>
        <v>Canal_07</v>
      </c>
      <c r="AU8" s="207" t="str">
        <f>Настройки!AC8</f>
        <v>IVXX[6]</v>
      </c>
      <c r="AV8" s="207" t="str">
        <f>Настройки!AD8</f>
        <v>IVXX[6]</v>
      </c>
      <c r="AW8" s="207" t="str">
        <f>Настройки!AE8</f>
        <v>IANS_4_1</v>
      </c>
      <c r="AX8" s="207" t="str">
        <f>Настройки!AF8</f>
        <v>IDIG_2_3</v>
      </c>
      <c r="AY8" s="207" t="str">
        <f>Настройки!AG8</f>
        <v>Canal_07</v>
      </c>
      <c r="AZ8" s="207" t="str">
        <f>Настройки!AH8</f>
        <v>Canal_07</v>
      </c>
      <c r="BA8" s="207" t="str">
        <f>Настройки!AI8</f>
        <v>Canal_07</v>
      </c>
      <c r="BB8" s="207" t="str">
        <f>Настройки!AJ8</f>
        <v>Canal_07</v>
      </c>
      <c r="BC8" s="207" t="str">
        <f>Настройки!AK8</f>
        <v>Canal_07</v>
      </c>
      <c r="BD8" s="207" t="str">
        <f>Настройки!AL8</f>
        <v>Canal_07</v>
      </c>
      <c r="BE8" s="207" t="str">
        <f>Настройки!AM8</f>
        <v>-</v>
      </c>
    </row>
    <row r="9" spans="1:57">
      <c r="A9" s="82"/>
      <c r="B9" s="82"/>
      <c r="C9" s="81"/>
      <c r="D9" s="81"/>
      <c r="E9" s="82"/>
      <c r="F9" s="81"/>
      <c r="G9" s="445"/>
      <c r="H9" s="445"/>
      <c r="I9" s="1"/>
      <c r="M9" s="424" t="str">
        <f>'Конфигурация TREI'!A10</f>
        <v>BR8</v>
      </c>
      <c r="N9" s="424" t="str">
        <f>'Конфигурация TREI'!B10</f>
        <v>M558O</v>
      </c>
      <c r="AE9" s="431">
        <f>Настройки!P9</f>
        <v>8</v>
      </c>
      <c r="AF9" s="380">
        <f>Настройки!Q9</f>
        <v>0</v>
      </c>
      <c r="AG9" s="380" t="str">
        <f>Настройки!R9</f>
        <v>IDIG_4_2</v>
      </c>
      <c r="AH9" s="380" t="str">
        <f>Настройки!S9</f>
        <v>IANS_4_4</v>
      </c>
      <c r="AI9" s="380" t="str">
        <f>Настройки!T9</f>
        <v>out7</v>
      </c>
      <c r="AJ9" s="380" t="str">
        <f>Настройки!U9</f>
        <v>out7</v>
      </c>
      <c r="AK9" s="380" t="str">
        <f>Настройки!V9</f>
        <v>ODIG_8</v>
      </c>
      <c r="AL9" s="380" t="str">
        <f>Настройки!W9</f>
        <v>OAN_8_1</v>
      </c>
      <c r="AM9" s="380" t="str">
        <f>Настройки!X9</f>
        <v>IANS_8_1</v>
      </c>
      <c r="AN9" s="380" t="str">
        <f>Настройки!Y9</f>
        <v>Canal_08</v>
      </c>
      <c r="AO9" s="380" t="str">
        <f>Настройки!Z9</f>
        <v>Canal_08</v>
      </c>
      <c r="AP9" s="380" t="str">
        <f>Настройки!AA9</f>
        <v>Canal_08</v>
      </c>
      <c r="AQ9" s="380" t="str">
        <f>Настройки!AB9</f>
        <v>Canal_08</v>
      </c>
      <c r="AR9" s="380" t="str">
        <f>Настройки!AC9</f>
        <v>IVXX[7]</v>
      </c>
      <c r="AS9" s="380" t="str">
        <f>Настройки!AD9</f>
        <v>IVXX[7]</v>
      </c>
      <c r="AT9" s="207" t="str">
        <f>Настройки!AB9</f>
        <v>Canal_08</v>
      </c>
      <c r="AU9" s="207" t="str">
        <f>Настройки!AC9</f>
        <v>IVXX[7]</v>
      </c>
      <c r="AV9" s="207" t="str">
        <f>Настройки!AD9</f>
        <v>IVXX[7]</v>
      </c>
      <c r="AW9" s="207" t="str">
        <f>Настройки!AE9</f>
        <v>IANS_4_2</v>
      </c>
      <c r="AX9" s="207" t="str">
        <f>Настройки!AF9</f>
        <v>IDIG_2_4</v>
      </c>
      <c r="AY9" s="207" t="str">
        <f>Настройки!AG9</f>
        <v>Canal_08</v>
      </c>
      <c r="AZ9" s="207" t="str">
        <f>Настройки!AH9</f>
        <v>Canal_08</v>
      </c>
      <c r="BA9" s="207" t="str">
        <f>Настройки!AI9</f>
        <v>Canal_08</v>
      </c>
      <c r="BB9" s="207" t="str">
        <f>Настройки!AJ9</f>
        <v>Canal_08</v>
      </c>
      <c r="BC9" s="207" t="str">
        <f>Настройки!AK9</f>
        <v>Canal_08</v>
      </c>
      <c r="BD9" s="207" t="str">
        <f>Настройки!AL9</f>
        <v>Canal_08</v>
      </c>
      <c r="BE9" s="207" t="str">
        <f>Настройки!AM9</f>
        <v>-</v>
      </c>
    </row>
    <row r="10" spans="1:57">
      <c r="A10" s="82"/>
      <c r="B10" s="82"/>
      <c r="C10" s="81"/>
      <c r="D10" s="81"/>
      <c r="E10" s="82"/>
      <c r="F10" s="81"/>
      <c r="G10" s="445"/>
      <c r="H10" s="445"/>
      <c r="I10" s="1"/>
      <c r="M10" s="424" t="str">
        <f>'Конфигурация TREI'!A11</f>
        <v>BR9</v>
      </c>
      <c r="N10" s="424" t="str">
        <f>'Конфигурация TREI'!B11</f>
        <v>M558D</v>
      </c>
      <c r="AE10" s="431">
        <f>Настройки!P10</f>
        <v>9</v>
      </c>
      <c r="AF10" s="380">
        <f>Настройки!Q10</f>
        <v>0</v>
      </c>
      <c r="AG10" s="380" t="str">
        <f>Настройки!R10</f>
        <v>IDIG_5_1</v>
      </c>
      <c r="AH10" s="380" t="str">
        <f>Настройки!S10</f>
        <v>IANS_5_3</v>
      </c>
      <c r="AI10" s="380" t="str">
        <f>Настройки!T10</f>
        <v>out8</v>
      </c>
      <c r="AJ10" s="380" t="str">
        <f>Настройки!U10</f>
        <v>out8</v>
      </c>
      <c r="AK10" s="380" t="str">
        <f>Настройки!V10</f>
        <v>ODIG_9</v>
      </c>
      <c r="AL10" s="380" t="str">
        <f>Настройки!W10</f>
        <v>-</v>
      </c>
      <c r="AM10" s="380" t="str">
        <f>Настройки!X10</f>
        <v>-</v>
      </c>
      <c r="AN10" s="380" t="str">
        <f>Настройки!Y10</f>
        <v>Canal_09</v>
      </c>
      <c r="AO10" s="380" t="str">
        <f>Настройки!Z10</f>
        <v>-</v>
      </c>
      <c r="AP10" s="380" t="str">
        <f>Настройки!AA10</f>
        <v>Canal_09</v>
      </c>
      <c r="AQ10" s="380" t="str">
        <f>Настройки!AB10</f>
        <v>Canal_09</v>
      </c>
      <c r="AR10" s="380" t="str">
        <f>Настройки!AC10</f>
        <v>OCCH[0]</v>
      </c>
      <c r="AS10" s="380" t="str">
        <f>Настройки!AD10</f>
        <v>OCCH[0]</v>
      </c>
      <c r="AT10" s="207" t="str">
        <f>Настройки!AB10</f>
        <v>Canal_09</v>
      </c>
      <c r="AU10" s="207" t="str">
        <f>Настройки!AC10</f>
        <v>OCCH[0]</v>
      </c>
      <c r="AV10" s="207" t="str">
        <f>Настройки!AD10</f>
        <v>OCCH[0]</v>
      </c>
      <c r="AW10" s="207" t="str">
        <f>Настройки!AE10</f>
        <v>IANS_5_1</v>
      </c>
      <c r="AX10" s="207" t="str">
        <f>Настройки!AF10</f>
        <v>IDIG_3_1</v>
      </c>
      <c r="AY10" s="207" t="str">
        <f>Настройки!AG10</f>
        <v>Canal_09</v>
      </c>
      <c r="AZ10" s="207" t="str">
        <f>Настройки!AH10</f>
        <v>Canal_09</v>
      </c>
      <c r="BA10" s="207" t="str">
        <f>Настройки!AI10</f>
        <v>Canal_09</v>
      </c>
      <c r="BB10" s="207" t="str">
        <f>Настройки!AJ10</f>
        <v>Canal_09</v>
      </c>
      <c r="BC10" s="207" t="str">
        <f>Настройки!AK10</f>
        <v>-</v>
      </c>
      <c r="BD10" s="207" t="str">
        <f>Настройки!AL10</f>
        <v>Canal_09</v>
      </c>
      <c r="BE10" s="207" t="str">
        <f>Настройки!AM10</f>
        <v>-</v>
      </c>
    </row>
    <row r="11" spans="1:57">
      <c r="A11" s="82"/>
      <c r="B11" s="82"/>
      <c r="C11" s="81"/>
      <c r="D11" s="81"/>
      <c r="E11" s="82"/>
      <c r="F11" s="81"/>
      <c r="G11" s="445"/>
      <c r="H11" s="445"/>
      <c r="I11" s="1"/>
      <c r="M11" s="424" t="str">
        <f>'Конфигурация TREI'!A12</f>
        <v>BR10</v>
      </c>
      <c r="N11" s="424" t="str">
        <f>'Конфигурация TREI'!B12</f>
        <v>M558O</v>
      </c>
      <c r="AE11" s="431">
        <f>Настройки!P11</f>
        <v>10</v>
      </c>
      <c r="AF11" s="380">
        <f>Настройки!Q11</f>
        <v>0</v>
      </c>
      <c r="AG11" s="380" t="str">
        <f>Настройки!R11</f>
        <v>IDIG_5_2</v>
      </c>
      <c r="AH11" s="380" t="str">
        <f>Настройки!S11</f>
        <v>IANS_5_4</v>
      </c>
      <c r="AI11" s="380" t="str">
        <f>Настройки!T11</f>
        <v>out9</v>
      </c>
      <c r="AJ11" s="380" t="str">
        <f>Настройки!U11</f>
        <v>out9</v>
      </c>
      <c r="AK11" s="380" t="str">
        <f>Настройки!V11</f>
        <v>ODIG_10</v>
      </c>
      <c r="AL11" s="380" t="str">
        <f>Настройки!W11</f>
        <v>-</v>
      </c>
      <c r="AM11" s="380" t="str">
        <f>Настройки!X11</f>
        <v>-</v>
      </c>
      <c r="AN11" s="380" t="str">
        <f>Настройки!Y11</f>
        <v>Canal_10</v>
      </c>
      <c r="AO11" s="380" t="str">
        <f>Настройки!Z11</f>
        <v>-</v>
      </c>
      <c r="AP11" s="380" t="str">
        <f>Настройки!AA11</f>
        <v>Canal_10</v>
      </c>
      <c r="AQ11" s="380" t="str">
        <f>Настройки!AB11</f>
        <v>Canal_10</v>
      </c>
      <c r="AR11" s="380" t="str">
        <f>Настройки!AC11</f>
        <v>OCCH[1]</v>
      </c>
      <c r="AS11" s="380" t="str">
        <f>Настройки!AD11</f>
        <v>OCCH[1]</v>
      </c>
      <c r="AT11" s="207" t="str">
        <f>Настройки!AB11</f>
        <v>Canal_10</v>
      </c>
      <c r="AU11" s="207" t="str">
        <f>Настройки!AC11</f>
        <v>OCCH[1]</v>
      </c>
      <c r="AV11" s="207" t="str">
        <f>Настройки!AD11</f>
        <v>OCCH[1]</v>
      </c>
      <c r="AW11" s="207" t="str">
        <f>Настройки!AE11</f>
        <v>IANS_5_2</v>
      </c>
      <c r="AX11" s="207" t="str">
        <f>Настройки!AF11</f>
        <v>IDIG_3_2</v>
      </c>
      <c r="AY11" s="207" t="str">
        <f>Настройки!AG11</f>
        <v>Canal_10</v>
      </c>
      <c r="AZ11" s="207" t="str">
        <f>Настройки!AH11</f>
        <v>Canal_10</v>
      </c>
      <c r="BA11" s="207" t="str">
        <f>Настройки!AI11</f>
        <v>Canal_10</v>
      </c>
      <c r="BB11" s="207" t="str">
        <f>Настройки!AJ11</f>
        <v>Canal_10</v>
      </c>
      <c r="BC11" s="207" t="str">
        <f>Настройки!AK11</f>
        <v>-</v>
      </c>
      <c r="BD11" s="207" t="str">
        <f>Настройки!AL11</f>
        <v>Canal_10</v>
      </c>
      <c r="BE11" s="207" t="str">
        <f>Настройки!AM11</f>
        <v>-</v>
      </c>
    </row>
    <row r="12" spans="1:57">
      <c r="A12" s="82"/>
      <c r="B12" s="82"/>
      <c r="C12" s="81"/>
      <c r="D12" s="81"/>
      <c r="E12" s="81"/>
      <c r="F12" s="81"/>
      <c r="G12" s="445"/>
      <c r="H12" s="445"/>
      <c r="I12" s="1"/>
      <c r="M12" s="424" t="str">
        <f>'Конфигурация TREI'!A13</f>
        <v>BR11</v>
      </c>
      <c r="N12" s="424" t="str">
        <f>'Конфигурация TREI'!B13</f>
        <v>M558D</v>
      </c>
      <c r="AE12" s="431">
        <f>Настройки!P12</f>
        <v>11</v>
      </c>
      <c r="AF12" s="380">
        <f>Настройки!Q12</f>
        <v>0</v>
      </c>
      <c r="AG12" s="380" t="str">
        <f>Настройки!R12</f>
        <v>IDIG_6_1</v>
      </c>
      <c r="AH12" s="380" t="str">
        <f>Настройки!S12</f>
        <v>IANS_6_3</v>
      </c>
      <c r="AI12" s="380" t="str">
        <f>Настройки!T12</f>
        <v>out10</v>
      </c>
      <c r="AJ12" s="380" t="str">
        <f>Настройки!U12</f>
        <v>out10</v>
      </c>
      <c r="AK12" s="380" t="str">
        <f>Настройки!V12</f>
        <v>ODIG_11</v>
      </c>
      <c r="AL12" s="380" t="str">
        <f>Настройки!W12</f>
        <v>-</v>
      </c>
      <c r="AM12" s="380" t="str">
        <f>Настройки!X12</f>
        <v>-</v>
      </c>
      <c r="AN12" s="380" t="str">
        <f>Настройки!Y12</f>
        <v>Canal_11</v>
      </c>
      <c r="AO12" s="380" t="str">
        <f>Настройки!Z12</f>
        <v>-</v>
      </c>
      <c r="AP12" s="380" t="str">
        <f>Настройки!AA12</f>
        <v>Canal_11</v>
      </c>
      <c r="AQ12" s="380" t="str">
        <f>Настройки!AB12</f>
        <v>Canal_11</v>
      </c>
      <c r="AR12" s="380" t="str">
        <f>Настройки!AC12</f>
        <v>OCCH[2]</v>
      </c>
      <c r="AS12" s="380" t="str">
        <f>Настройки!AD12</f>
        <v>OCCH[2]</v>
      </c>
      <c r="AT12" s="207" t="str">
        <f>Настройки!AB12</f>
        <v>Canal_11</v>
      </c>
      <c r="AU12" s="207" t="str">
        <f>Настройки!AC12</f>
        <v>OCCH[2]</v>
      </c>
      <c r="AV12" s="207" t="str">
        <f>Настройки!AD12</f>
        <v>OCCH[2]</v>
      </c>
      <c r="AW12" s="207" t="str">
        <f>Настройки!AE12</f>
        <v>IANS_6_1</v>
      </c>
      <c r="AX12" s="207" t="str">
        <f>Настройки!AF12</f>
        <v>IDIG_3_3</v>
      </c>
      <c r="AY12" s="207" t="str">
        <f>Настройки!AG12</f>
        <v>Canal_11</v>
      </c>
      <c r="AZ12" s="207" t="str">
        <f>Настройки!AH12</f>
        <v>Canal_11</v>
      </c>
      <c r="BA12" s="207" t="str">
        <f>Настройки!AI12</f>
        <v>Canal_11</v>
      </c>
      <c r="BB12" s="207" t="str">
        <f>Настройки!AJ12</f>
        <v>Canal_11</v>
      </c>
      <c r="BC12" s="207" t="str">
        <f>Настройки!AK12</f>
        <v>-</v>
      </c>
      <c r="BD12" s="207" t="str">
        <f>Настройки!AL12</f>
        <v>Canal_11</v>
      </c>
      <c r="BE12" s="207" t="str">
        <f>Настройки!AM12</f>
        <v>-</v>
      </c>
    </row>
    <row r="13" spans="1:57">
      <c r="A13" s="82"/>
      <c r="B13" s="82"/>
      <c r="C13" s="81"/>
      <c r="D13" s="81"/>
      <c r="E13" s="81"/>
      <c r="F13" s="81"/>
      <c r="G13" s="445"/>
      <c r="H13" s="445"/>
      <c r="I13" s="1"/>
      <c r="M13" s="424" t="str">
        <f>'Конфигурация TREI'!A14</f>
        <v>BR12</v>
      </c>
      <c r="N13" s="424" t="str">
        <f>'Конфигурация TREI'!B14</f>
        <v>M558D</v>
      </c>
      <c r="AE13" s="431">
        <f>Настройки!P13</f>
        <v>12</v>
      </c>
      <c r="AF13" s="380">
        <f>Настройки!Q13</f>
        <v>0</v>
      </c>
      <c r="AG13" s="380" t="str">
        <f>Настройки!R13</f>
        <v>IDIG_6_2</v>
      </c>
      <c r="AH13" s="380" t="str">
        <f>Настройки!S13</f>
        <v>IANS_6_4</v>
      </c>
      <c r="AI13" s="380" t="str">
        <f>Настройки!T13</f>
        <v>out11</v>
      </c>
      <c r="AJ13" s="380" t="str">
        <f>Настройки!U13</f>
        <v>out11</v>
      </c>
      <c r="AK13" s="380" t="str">
        <f>Настройки!V13</f>
        <v>ODIG_12</v>
      </c>
      <c r="AL13" s="380" t="str">
        <f>Настройки!W13</f>
        <v>-</v>
      </c>
      <c r="AM13" s="380" t="str">
        <f>Настройки!X13</f>
        <v>-</v>
      </c>
      <c r="AN13" s="380" t="str">
        <f>Настройки!Y13</f>
        <v>Canal_12</v>
      </c>
      <c r="AO13" s="380" t="str">
        <f>Настройки!Z13</f>
        <v>-</v>
      </c>
      <c r="AP13" s="380" t="str">
        <f>Настройки!AA13</f>
        <v>Canal_12</v>
      </c>
      <c r="AQ13" s="380" t="str">
        <f>Настройки!AB13</f>
        <v>Canal_12</v>
      </c>
      <c r="AR13" s="380" t="str">
        <f>Настройки!AC13</f>
        <v>OCCH[3]</v>
      </c>
      <c r="AS13" s="380" t="str">
        <f>Настройки!AD13</f>
        <v>OCCH[3]</v>
      </c>
      <c r="AT13" s="207" t="str">
        <f>Настройки!AB13</f>
        <v>Canal_12</v>
      </c>
      <c r="AU13" s="207" t="str">
        <f>Настройки!AC13</f>
        <v>OCCH[3]</v>
      </c>
      <c r="AV13" s="207" t="str">
        <f>Настройки!AD13</f>
        <v>OCCH[3]</v>
      </c>
      <c r="AW13" s="207" t="str">
        <f>Настройки!AE13</f>
        <v>IANS_6_2</v>
      </c>
      <c r="AX13" s="207" t="str">
        <f>Настройки!AF13</f>
        <v>IDIG_3_4</v>
      </c>
      <c r="AY13" s="207" t="str">
        <f>Настройки!AG13</f>
        <v>Canal_12</v>
      </c>
      <c r="AZ13" s="207" t="str">
        <f>Настройки!AH13</f>
        <v>Canal_12</v>
      </c>
      <c r="BA13" s="207" t="str">
        <f>Настройки!AI13</f>
        <v>Canal_12</v>
      </c>
      <c r="BB13" s="207" t="str">
        <f>Настройки!AJ13</f>
        <v>Canal_12</v>
      </c>
      <c r="BC13" s="207" t="str">
        <f>Настройки!AK13</f>
        <v>-</v>
      </c>
      <c r="BD13" s="207" t="str">
        <f>Настройки!AL13</f>
        <v>Canal_12</v>
      </c>
      <c r="BE13" s="207" t="str">
        <f>Настройки!AM13</f>
        <v>-</v>
      </c>
    </row>
    <row r="14" spans="1:57">
      <c r="A14" s="82"/>
      <c r="B14" s="82"/>
      <c r="C14" s="81"/>
      <c r="D14" s="81"/>
      <c r="E14" s="81"/>
      <c r="F14" s="81"/>
      <c r="G14" s="445"/>
      <c r="H14" s="447"/>
      <c r="I14" s="1"/>
      <c r="M14" s="424" t="str">
        <f>'Конфигурация TREI'!A15</f>
        <v>BR13</v>
      </c>
      <c r="N14" s="424" t="str">
        <f>'Конфигурация TREI'!B15</f>
        <v>M558D</v>
      </c>
      <c r="AE14" s="431">
        <f>Настройки!P14</f>
        <v>13</v>
      </c>
      <c r="AF14" s="380">
        <f>Настройки!Q14</f>
        <v>0</v>
      </c>
      <c r="AG14" s="380" t="str">
        <f>Настройки!R14</f>
        <v>IDIG_7_1</v>
      </c>
      <c r="AH14" s="380" t="str">
        <f>Настройки!S14</f>
        <v>IANS_7_3</v>
      </c>
      <c r="AI14" s="380" t="str">
        <f>Настройки!T14</f>
        <v>out12</v>
      </c>
      <c r="AJ14" s="380" t="str">
        <f>Настройки!U14</f>
        <v>out12</v>
      </c>
      <c r="AK14" s="380" t="str">
        <f>Настройки!V14</f>
        <v>ODIG_13</v>
      </c>
      <c r="AL14" s="380" t="str">
        <f>Настройки!W14</f>
        <v>-</v>
      </c>
      <c r="AM14" s="380" t="str">
        <f>Настройки!X14</f>
        <v>-</v>
      </c>
      <c r="AN14" s="380" t="str">
        <f>Настройки!Y14</f>
        <v>Canal_13</v>
      </c>
      <c r="AO14" s="380" t="str">
        <f>Настройки!Z14</f>
        <v>-</v>
      </c>
      <c r="AP14" s="380" t="str">
        <f>Настройки!AA14</f>
        <v>Canal_13</v>
      </c>
      <c r="AQ14" s="380" t="str">
        <f>Настройки!AB14</f>
        <v>Canal_13</v>
      </c>
      <c r="AR14" s="380" t="str">
        <f>Настройки!AC14</f>
        <v>OCCH[4]</v>
      </c>
      <c r="AS14" s="380" t="str">
        <f>Настройки!AD14</f>
        <v>OCCH[4]</v>
      </c>
      <c r="AT14" s="207" t="str">
        <f>Настройки!AB14</f>
        <v>Canal_13</v>
      </c>
      <c r="AU14" s="207" t="str">
        <f>Настройки!AC14</f>
        <v>OCCH[4]</v>
      </c>
      <c r="AV14" s="207" t="str">
        <f>Настройки!AD14</f>
        <v>OCCH[4]</v>
      </c>
      <c r="AW14" s="207" t="str">
        <f>Настройки!AE14</f>
        <v>IANS_7_1</v>
      </c>
      <c r="AX14" s="207" t="str">
        <f>Настройки!AF14</f>
        <v>IDIG_4_1</v>
      </c>
      <c r="AY14" s="207" t="str">
        <f>Настройки!AG14</f>
        <v>Canal_13</v>
      </c>
      <c r="AZ14" s="207" t="str">
        <f>Настройки!AH14</f>
        <v>Canal_13</v>
      </c>
      <c r="BA14" s="207" t="str">
        <f>Настройки!AI14</f>
        <v>Canal_13</v>
      </c>
      <c r="BB14" s="207" t="str">
        <f>Настройки!AJ14</f>
        <v>Canal_13</v>
      </c>
      <c r="BC14" s="207" t="str">
        <f>Настройки!AK14</f>
        <v>-</v>
      </c>
      <c r="BD14" s="207" t="str">
        <f>Настройки!AL14</f>
        <v>Canal_13</v>
      </c>
      <c r="BE14" s="207" t="str">
        <f>Настройки!AM14</f>
        <v>-</v>
      </c>
    </row>
    <row r="15" spans="1:57">
      <c r="A15" s="82"/>
      <c r="B15" s="82"/>
      <c r="C15" s="81"/>
      <c r="D15" s="81"/>
      <c r="E15" s="81"/>
      <c r="F15" s="81"/>
      <c r="G15" s="445"/>
      <c r="H15" s="447"/>
      <c r="I15" s="1"/>
      <c r="M15" s="424" t="str">
        <f>'Конфигурация TREI'!A16</f>
        <v>BR14</v>
      </c>
      <c r="N15" s="424" t="str">
        <f>'Конфигурация TREI'!B16</f>
        <v>M558D</v>
      </c>
      <c r="AE15" s="431">
        <f>Настройки!P15</f>
        <v>14</v>
      </c>
      <c r="AF15" s="380">
        <f>Настройки!Q15</f>
        <v>0</v>
      </c>
      <c r="AG15" s="380" t="str">
        <f>Настройки!R15</f>
        <v>IDIG_7_2</v>
      </c>
      <c r="AH15" s="380" t="str">
        <f>Настройки!S15</f>
        <v>IANS_7_4</v>
      </c>
      <c r="AI15" s="380" t="str">
        <f>Настройки!T15</f>
        <v>out13</v>
      </c>
      <c r="AJ15" s="380" t="str">
        <f>Настройки!U15</f>
        <v>out13</v>
      </c>
      <c r="AK15" s="380" t="str">
        <f>Настройки!V15</f>
        <v>ODIG_14</v>
      </c>
      <c r="AL15" s="380" t="str">
        <f>Настройки!W15</f>
        <v>-</v>
      </c>
      <c r="AM15" s="380" t="str">
        <f>Настройки!X15</f>
        <v>-</v>
      </c>
      <c r="AN15" s="380" t="str">
        <f>Настройки!Y15</f>
        <v>Canal_14</v>
      </c>
      <c r="AO15" s="380" t="str">
        <f>Настройки!Z15</f>
        <v>-</v>
      </c>
      <c r="AP15" s="380" t="str">
        <f>Настройки!AA15</f>
        <v>Canal_14</v>
      </c>
      <c r="AQ15" s="380" t="str">
        <f>Настройки!AB15</f>
        <v>Canal_14</v>
      </c>
      <c r="AR15" s="380" t="str">
        <f>Настройки!AC15</f>
        <v>OCCH[5]</v>
      </c>
      <c r="AS15" s="380" t="str">
        <f>Настройки!AD15</f>
        <v>OCCH[5]</v>
      </c>
      <c r="AT15" s="207" t="str">
        <f>Настройки!AB15</f>
        <v>Canal_14</v>
      </c>
      <c r="AU15" s="207" t="str">
        <f>Настройки!AC15</f>
        <v>OCCH[5]</v>
      </c>
      <c r="AV15" s="207" t="str">
        <f>Настройки!AD15</f>
        <v>OCCH[5]</v>
      </c>
      <c r="AW15" s="207" t="str">
        <f>Настройки!AE15</f>
        <v>IANS_7_2</v>
      </c>
      <c r="AX15" s="207" t="str">
        <f>Настройки!AF15</f>
        <v>IDIG_4_2</v>
      </c>
      <c r="AY15" s="207" t="str">
        <f>Настройки!AG15</f>
        <v>Canal_14</v>
      </c>
      <c r="AZ15" s="207" t="str">
        <f>Настройки!AH15</f>
        <v>Canal_14</v>
      </c>
      <c r="BA15" s="207" t="str">
        <f>Настройки!AI15</f>
        <v>Canal_14</v>
      </c>
      <c r="BB15" s="207" t="str">
        <f>Настройки!AJ15</f>
        <v>Canal_14</v>
      </c>
      <c r="BC15" s="207" t="str">
        <f>Настройки!AK15</f>
        <v>-</v>
      </c>
      <c r="BD15" s="207" t="str">
        <f>Настройки!AL15</f>
        <v>Canal_14</v>
      </c>
      <c r="BE15" s="207" t="str">
        <f>Настройки!AM15</f>
        <v>-</v>
      </c>
    </row>
    <row r="16" spans="1:57">
      <c r="A16" s="82"/>
      <c r="B16" s="82"/>
      <c r="C16" s="81"/>
      <c r="D16" s="81"/>
      <c r="E16" s="81"/>
      <c r="F16" s="81"/>
      <c r="G16" s="445"/>
      <c r="H16" s="447"/>
      <c r="I16" s="1"/>
      <c r="M16" s="424" t="str">
        <f>'Конфигурация TREI'!A17</f>
        <v>BR15</v>
      </c>
      <c r="N16" s="424" t="str">
        <f>'Конфигурация TREI'!B17</f>
        <v>M558O</v>
      </c>
      <c r="AE16" s="431">
        <f>Настройки!P16</f>
        <v>15</v>
      </c>
      <c r="AF16" s="380">
        <f>Настройки!Q16</f>
        <v>0</v>
      </c>
      <c r="AG16" s="380" t="str">
        <f>Настройки!R16</f>
        <v>IDIG_8_1</v>
      </c>
      <c r="AH16" s="380" t="str">
        <f>Настройки!S16</f>
        <v>IANS_8_3</v>
      </c>
      <c r="AI16" s="380" t="str">
        <f>Настройки!T16</f>
        <v>out14</v>
      </c>
      <c r="AJ16" s="380" t="str">
        <f>Настройки!U16</f>
        <v>out14</v>
      </c>
      <c r="AK16" s="380" t="str">
        <f>Настройки!V16</f>
        <v>ODIG_15</v>
      </c>
      <c r="AL16" s="380" t="str">
        <f>Настройки!W16</f>
        <v>-</v>
      </c>
      <c r="AM16" s="380" t="str">
        <f>Настройки!X16</f>
        <v>-</v>
      </c>
      <c r="AN16" s="380" t="str">
        <f>Настройки!Y16</f>
        <v>Canal_15</v>
      </c>
      <c r="AO16" s="380" t="str">
        <f>Настройки!Z16</f>
        <v>-</v>
      </c>
      <c r="AP16" s="380" t="str">
        <f>Настройки!AA16</f>
        <v>Canal_15</v>
      </c>
      <c r="AQ16" s="380" t="str">
        <f>Настройки!AB16</f>
        <v>Canal_15</v>
      </c>
      <c r="AR16" s="380" t="str">
        <f>Настройки!AC16</f>
        <v>OCCH[6]</v>
      </c>
      <c r="AS16" s="380" t="str">
        <f>Настройки!AD16</f>
        <v>OCCH[6]</v>
      </c>
      <c r="AT16" s="207" t="str">
        <f>Настройки!AB16</f>
        <v>Canal_15</v>
      </c>
      <c r="AU16" s="207" t="str">
        <f>Настройки!AC16</f>
        <v>OCCH[6]</v>
      </c>
      <c r="AV16" s="207" t="str">
        <f>Настройки!AD16</f>
        <v>OCCH[6]</v>
      </c>
      <c r="AW16" s="207" t="str">
        <f>Настройки!AE16</f>
        <v>IANS_8_1</v>
      </c>
      <c r="AX16" s="207" t="str">
        <f>Настройки!AF16</f>
        <v>IDIG_4_3</v>
      </c>
      <c r="AY16" s="207" t="str">
        <f>Настройки!AG16</f>
        <v>Canal_15</v>
      </c>
      <c r="AZ16" s="207" t="str">
        <f>Настройки!AH16</f>
        <v>Canal_15</v>
      </c>
      <c r="BA16" s="207" t="str">
        <f>Настройки!AI16</f>
        <v>Canal_15</v>
      </c>
      <c r="BB16" s="207" t="str">
        <f>Настройки!AJ16</f>
        <v>Canal_15</v>
      </c>
      <c r="BC16" s="207" t="str">
        <f>Настройки!AK16</f>
        <v>-</v>
      </c>
      <c r="BD16" s="207" t="str">
        <f>Настройки!AL16</f>
        <v>Canal_15</v>
      </c>
      <c r="BE16" s="207" t="str">
        <f>Настройки!AM16</f>
        <v>-</v>
      </c>
    </row>
    <row r="17" spans="1:57">
      <c r="A17" s="82"/>
      <c r="B17" s="82"/>
      <c r="C17" s="81"/>
      <c r="D17" s="81"/>
      <c r="E17" s="81"/>
      <c r="F17" s="81"/>
      <c r="G17" s="445"/>
      <c r="H17" s="447"/>
      <c r="I17" s="1"/>
      <c r="M17" s="424" t="str">
        <f>'Конфигурация TREI'!A18</f>
        <v>BR16</v>
      </c>
      <c r="N17" s="424" t="str">
        <f>'Конфигурация TREI'!B18</f>
        <v>M558O</v>
      </c>
      <c r="AE17" s="431">
        <f>Настройки!P17</f>
        <v>16</v>
      </c>
      <c r="AF17" s="380">
        <f>Настройки!Q17</f>
        <v>0</v>
      </c>
      <c r="AG17" s="380" t="str">
        <f>Настройки!R17</f>
        <v>IDIG_8_2</v>
      </c>
      <c r="AH17" s="380" t="str">
        <f>Настройки!S17</f>
        <v>IANS_8_4</v>
      </c>
      <c r="AI17" s="380" t="str">
        <f>Настройки!T17</f>
        <v>out15</v>
      </c>
      <c r="AJ17" s="380" t="str">
        <f>Настройки!U17</f>
        <v>out15</v>
      </c>
      <c r="AK17" s="380" t="str">
        <f>Настройки!V17</f>
        <v>ODIG_16</v>
      </c>
      <c r="AL17" s="380" t="str">
        <f>Настройки!W17</f>
        <v>-</v>
      </c>
      <c r="AM17" s="380" t="str">
        <f>Настройки!X17</f>
        <v>-</v>
      </c>
      <c r="AN17" s="380" t="str">
        <f>Настройки!Y17</f>
        <v>Canal_16</v>
      </c>
      <c r="AO17" s="380" t="str">
        <f>Настройки!Z17</f>
        <v>-</v>
      </c>
      <c r="AP17" s="380" t="str">
        <f>Настройки!AA17</f>
        <v>Canal_16</v>
      </c>
      <c r="AQ17" s="380" t="str">
        <f>Настройки!AB17</f>
        <v>Canal_16</v>
      </c>
      <c r="AR17" s="380" t="str">
        <f>Настройки!AC17</f>
        <v>OCCH[7]</v>
      </c>
      <c r="AS17" s="380" t="str">
        <f>Настройки!AD17</f>
        <v>OCCH[7]</v>
      </c>
      <c r="AT17" s="207" t="str">
        <f>Настройки!AB17</f>
        <v>Canal_16</v>
      </c>
      <c r="AU17" s="207" t="str">
        <f>Настройки!AC17</f>
        <v>OCCH[7]</v>
      </c>
      <c r="AV17" s="207" t="str">
        <f>Настройки!AD17</f>
        <v>OCCH[7]</v>
      </c>
      <c r="AW17" s="207" t="str">
        <f>Настройки!AE17</f>
        <v>IANS_8_2</v>
      </c>
      <c r="AX17" s="207" t="str">
        <f>Настройки!AF17</f>
        <v>IDIG_4_4</v>
      </c>
      <c r="AY17" s="207" t="str">
        <f>Настройки!AG17</f>
        <v>Canal_16</v>
      </c>
      <c r="AZ17" s="207" t="str">
        <f>Настройки!AH17</f>
        <v>Canal_16</v>
      </c>
      <c r="BA17" s="207" t="str">
        <f>Настройки!AI17</f>
        <v>Canal_16</v>
      </c>
      <c r="BB17" s="207" t="str">
        <f>Настройки!AJ17</f>
        <v>Canal_16</v>
      </c>
      <c r="BC17" s="207" t="str">
        <f>Настройки!AK17</f>
        <v>-</v>
      </c>
      <c r="BD17" s="207" t="str">
        <f>Настройки!AL17</f>
        <v>Canal_16</v>
      </c>
      <c r="BE17" s="207" t="str">
        <f>Настройки!AM17</f>
        <v>-</v>
      </c>
    </row>
    <row r="18" spans="1:57">
      <c r="A18" s="82"/>
      <c r="B18" s="82"/>
      <c r="C18" s="81"/>
      <c r="D18" s="81"/>
      <c r="E18" s="81"/>
      <c r="F18" s="81"/>
      <c r="G18" s="445"/>
      <c r="H18" s="447"/>
      <c r="I18" s="1"/>
      <c r="M18" s="424" t="str">
        <f>'Конфигурация TREI'!A19</f>
        <v>BR17</v>
      </c>
      <c r="N18" s="424" t="str">
        <f>'Конфигурация TREI'!B19</f>
        <v>M558O</v>
      </c>
      <c r="AE18" s="428">
        <f>Настройки!P18</f>
        <v>17</v>
      </c>
      <c r="AF18" s="380">
        <f>Настройки!Q18</f>
        <v>0</v>
      </c>
      <c r="AG18" s="380" t="str">
        <f>Настройки!R18</f>
        <v>-</v>
      </c>
      <c r="AH18" s="380" t="str">
        <f>Настройки!S18</f>
        <v>-</v>
      </c>
      <c r="AI18" s="380" t="str">
        <f>Настройки!T18</f>
        <v>out16</v>
      </c>
      <c r="AJ18" s="380" t="str">
        <f>Настройки!U18</f>
        <v>out16</v>
      </c>
      <c r="AK18" s="380" t="str">
        <f>Настройки!V18</f>
        <v>-</v>
      </c>
      <c r="AL18" s="380" t="str">
        <f>Настройки!W18</f>
        <v>-</v>
      </c>
      <c r="AM18" s="380" t="str">
        <f>Настройки!X18</f>
        <v>-</v>
      </c>
      <c r="AN18" s="380" t="str">
        <f>Настройки!Y18</f>
        <v>-</v>
      </c>
      <c r="AO18" s="380" t="str">
        <f>Настройки!Z18</f>
        <v>-</v>
      </c>
      <c r="AP18" s="380" t="str">
        <f>Настройки!AA18</f>
        <v>Canal_17</v>
      </c>
      <c r="AQ18" s="380" t="str">
        <f>Настройки!AB18</f>
        <v>Canal_17</v>
      </c>
      <c r="AR18" s="380" t="str">
        <f>Настройки!AC18</f>
        <v>-</v>
      </c>
      <c r="AS18" s="380" t="str">
        <f>Настройки!AD18</f>
        <v>-</v>
      </c>
      <c r="AT18" s="207" t="str">
        <f>Настройки!AB18</f>
        <v>Canal_17</v>
      </c>
      <c r="AU18" s="207" t="str">
        <f>Настройки!AC18</f>
        <v>-</v>
      </c>
      <c r="AV18" s="207" t="str">
        <f>Настройки!AD18</f>
        <v>-</v>
      </c>
      <c r="AW18" s="207" t="str">
        <f>Настройки!AE18</f>
        <v>-</v>
      </c>
      <c r="AX18" s="207" t="str">
        <f>Настройки!AF18</f>
        <v>IDIG_5_1</v>
      </c>
      <c r="AY18" s="207" t="str">
        <f>Настройки!AG18</f>
        <v>Canal_17</v>
      </c>
      <c r="AZ18" s="207" t="str">
        <f>Настройки!AH18</f>
        <v>Canal_17</v>
      </c>
      <c r="BA18" s="207" t="str">
        <f>Настройки!AI18</f>
        <v>Canal_17</v>
      </c>
      <c r="BB18" s="207" t="str">
        <f>Настройки!AJ18</f>
        <v>-</v>
      </c>
      <c r="BC18" s="207" t="str">
        <f>Настройки!AK18</f>
        <v>-</v>
      </c>
      <c r="BD18" s="207" t="str">
        <f>Настройки!AL18</f>
        <v>Canal_17</v>
      </c>
      <c r="BE18" s="207" t="str">
        <f>Настройки!AM18</f>
        <v>-</v>
      </c>
    </row>
    <row r="19" spans="1:57">
      <c r="A19" s="82"/>
      <c r="B19" s="82"/>
      <c r="C19" s="81"/>
      <c r="D19" s="81"/>
      <c r="E19" s="81"/>
      <c r="F19" s="81"/>
      <c r="G19" s="445"/>
      <c r="H19" s="447"/>
      <c r="I19" s="1"/>
      <c r="M19" s="424" t="str">
        <f>'Конфигурация TREI'!A20</f>
        <v>BR18</v>
      </c>
      <c r="N19" s="424" t="str">
        <f>'Конфигурация TREI'!B20</f>
        <v>M558O</v>
      </c>
      <c r="AE19" s="428">
        <f>Настройки!P19</f>
        <v>18</v>
      </c>
      <c r="AF19" s="380">
        <f>Настройки!Q19</f>
        <v>0</v>
      </c>
      <c r="AG19" s="380" t="str">
        <f>Настройки!R19</f>
        <v>-</v>
      </c>
      <c r="AH19" s="380" t="str">
        <f>Настройки!S19</f>
        <v>-</v>
      </c>
      <c r="AI19" s="380" t="str">
        <f>Настройки!T19</f>
        <v>out17</v>
      </c>
      <c r="AJ19" s="380" t="str">
        <f>Настройки!U19</f>
        <v>out17</v>
      </c>
      <c r="AK19" s="380" t="str">
        <f>Настройки!V19</f>
        <v>-</v>
      </c>
      <c r="AL19" s="380" t="str">
        <f>Настройки!W19</f>
        <v>-</v>
      </c>
      <c r="AM19" s="380" t="str">
        <f>Настройки!X19</f>
        <v>-</v>
      </c>
      <c r="AN19" s="380" t="str">
        <f>Настройки!Y19</f>
        <v>-</v>
      </c>
      <c r="AO19" s="380" t="str">
        <f>Настройки!Z19</f>
        <v>-</v>
      </c>
      <c r="AP19" s="380" t="str">
        <f>Настройки!AA19</f>
        <v>Canal_18</v>
      </c>
      <c r="AQ19" s="380" t="str">
        <f>Настройки!AB19</f>
        <v>Canal_18</v>
      </c>
      <c r="AR19" s="380" t="str">
        <f>Настройки!AC19</f>
        <v>-</v>
      </c>
      <c r="AS19" s="380" t="str">
        <f>Настройки!AD19</f>
        <v>-</v>
      </c>
      <c r="AT19" s="207" t="str">
        <f>Настройки!AB19</f>
        <v>Canal_18</v>
      </c>
      <c r="AU19" s="207" t="str">
        <f>Настройки!AC19</f>
        <v>-</v>
      </c>
      <c r="AV19" s="207" t="str">
        <f>Настройки!AD19</f>
        <v>-</v>
      </c>
      <c r="AW19" s="207" t="str">
        <f>Настройки!AE19</f>
        <v>-</v>
      </c>
      <c r="AX19" s="207" t="str">
        <f>Настройки!AF19</f>
        <v>IDIG_5_2</v>
      </c>
      <c r="AY19" s="207" t="str">
        <f>Настройки!AG19</f>
        <v>Canal_18</v>
      </c>
      <c r="AZ19" s="207" t="str">
        <f>Настройки!AH19</f>
        <v>Canal_18</v>
      </c>
      <c r="BA19" s="207" t="str">
        <f>Настройки!AI19</f>
        <v>Canal_18</v>
      </c>
      <c r="BB19" s="207" t="str">
        <f>Настройки!AJ19</f>
        <v>-</v>
      </c>
      <c r="BC19" s="207" t="str">
        <f>Настройки!AK19</f>
        <v>-</v>
      </c>
      <c r="BD19" s="207" t="str">
        <f>Настройки!AL19</f>
        <v>Canal_18</v>
      </c>
      <c r="BE19" s="207" t="str">
        <f>Настройки!AM19</f>
        <v>-</v>
      </c>
    </row>
    <row r="20" spans="1:57">
      <c r="A20" s="82"/>
      <c r="B20" s="82"/>
      <c r="C20" s="81"/>
      <c r="D20" s="81"/>
      <c r="E20" s="81"/>
      <c r="F20" s="81"/>
      <c r="G20" s="445"/>
      <c r="H20" s="447"/>
      <c r="I20" s="1"/>
      <c r="M20" s="424" t="str">
        <f>'Конфигурация TREI'!A21</f>
        <v>BR19</v>
      </c>
      <c r="N20" s="424" t="str">
        <f>'Конфигурация TREI'!B21</f>
        <v>M558O</v>
      </c>
      <c r="AE20" s="428">
        <f>Настройки!P20</f>
        <v>19</v>
      </c>
      <c r="AF20" s="380">
        <f>Настройки!Q20</f>
        <v>0</v>
      </c>
      <c r="AG20" s="380" t="str">
        <f>Настройки!R20</f>
        <v>-</v>
      </c>
      <c r="AH20" s="380" t="str">
        <f>Настройки!S20</f>
        <v>-</v>
      </c>
      <c r="AI20" s="380" t="str">
        <f>Настройки!T20</f>
        <v>out18</v>
      </c>
      <c r="AJ20" s="380" t="str">
        <f>Настройки!U20</f>
        <v>out18</v>
      </c>
      <c r="AK20" s="380" t="str">
        <f>Настройки!V20</f>
        <v>-</v>
      </c>
      <c r="AL20" s="380" t="str">
        <f>Настройки!W20</f>
        <v>-</v>
      </c>
      <c r="AM20" s="380" t="str">
        <f>Настройки!X20</f>
        <v>-</v>
      </c>
      <c r="AN20" s="380" t="str">
        <f>Настройки!Y20</f>
        <v>-</v>
      </c>
      <c r="AO20" s="380" t="str">
        <f>Настройки!Z20</f>
        <v>-</v>
      </c>
      <c r="AP20" s="380" t="str">
        <f>Настройки!AA20</f>
        <v>Canal_19</v>
      </c>
      <c r="AQ20" s="380" t="str">
        <f>Настройки!AB20</f>
        <v>Canal_19</v>
      </c>
      <c r="AR20" s="380" t="str">
        <f>Настройки!AC20</f>
        <v>-</v>
      </c>
      <c r="AS20" s="380" t="str">
        <f>Настройки!AD20</f>
        <v>-</v>
      </c>
      <c r="AT20" s="207" t="str">
        <f>Настройки!AB20</f>
        <v>Canal_19</v>
      </c>
      <c r="AU20" s="207" t="str">
        <f>Настройки!AC20</f>
        <v>-</v>
      </c>
      <c r="AV20" s="207" t="str">
        <f>Настройки!AD20</f>
        <v>-</v>
      </c>
      <c r="AW20" s="207" t="str">
        <f>Настройки!AE20</f>
        <v>-</v>
      </c>
      <c r="AX20" s="207" t="str">
        <f>Настройки!AF20</f>
        <v>IDIG_5_3</v>
      </c>
      <c r="AY20" s="207" t="str">
        <f>Настройки!AG20</f>
        <v>Canal_19</v>
      </c>
      <c r="AZ20" s="207" t="str">
        <f>Настройки!AH20</f>
        <v>Canal_19</v>
      </c>
      <c r="BA20" s="207" t="str">
        <f>Настройки!AI20</f>
        <v>Canal_19</v>
      </c>
      <c r="BB20" s="207" t="str">
        <f>Настройки!AJ20</f>
        <v>-</v>
      </c>
      <c r="BC20" s="207" t="str">
        <f>Настройки!AK20</f>
        <v>-</v>
      </c>
      <c r="BD20" s="207" t="str">
        <f>Настройки!AL20</f>
        <v>Canal_19</v>
      </c>
      <c r="BE20" s="207" t="str">
        <f>Настройки!AM20</f>
        <v>-</v>
      </c>
    </row>
    <row r="21" spans="1:57">
      <c r="A21" s="82"/>
      <c r="B21" s="82"/>
      <c r="C21" s="81"/>
      <c r="D21" s="81"/>
      <c r="E21" s="81"/>
      <c r="F21" s="81"/>
      <c r="G21" s="445"/>
      <c r="H21" s="447"/>
      <c r="I21" s="1"/>
      <c r="M21" s="424" t="str">
        <f>'Конфигурация TREI'!A22</f>
        <v>BR20</v>
      </c>
      <c r="N21" s="424" t="str">
        <f>'Конфигурация TREI'!B22</f>
        <v>M558D</v>
      </c>
      <c r="AE21" s="428">
        <f>Настройки!P21</f>
        <v>20</v>
      </c>
      <c r="AF21" s="380">
        <f>Настройки!Q21</f>
        <v>0</v>
      </c>
      <c r="AG21" s="380" t="str">
        <f>Настройки!R21</f>
        <v>-</v>
      </c>
      <c r="AH21" s="380" t="str">
        <f>Настройки!S21</f>
        <v>-</v>
      </c>
      <c r="AI21" s="380" t="str">
        <f>Настройки!T21</f>
        <v>out19</v>
      </c>
      <c r="AJ21" s="380" t="str">
        <f>Настройки!U21</f>
        <v>out19</v>
      </c>
      <c r="AK21" s="380" t="str">
        <f>Настройки!V21</f>
        <v>-</v>
      </c>
      <c r="AL21" s="380" t="str">
        <f>Настройки!W21</f>
        <v>-</v>
      </c>
      <c r="AM21" s="380" t="str">
        <f>Настройки!X21</f>
        <v>-</v>
      </c>
      <c r="AN21" s="380" t="str">
        <f>Настройки!Y21</f>
        <v>-</v>
      </c>
      <c r="AO21" s="380" t="str">
        <f>Настройки!Z21</f>
        <v>-</v>
      </c>
      <c r="AP21" s="380" t="str">
        <f>Настройки!AA21</f>
        <v>Canal_20</v>
      </c>
      <c r="AQ21" s="380" t="str">
        <f>Настройки!AB21</f>
        <v>Canal_20</v>
      </c>
      <c r="AR21" s="380" t="str">
        <f>Настройки!AC21</f>
        <v>-</v>
      </c>
      <c r="AS21" s="380" t="str">
        <f>Настройки!AD21</f>
        <v>-</v>
      </c>
      <c r="AT21" s="207" t="str">
        <f>Настройки!AB21</f>
        <v>Canal_20</v>
      </c>
      <c r="AU21" s="207" t="str">
        <f>Настройки!AC21</f>
        <v>-</v>
      </c>
      <c r="AV21" s="207" t="str">
        <f>Настройки!AD21</f>
        <v>-</v>
      </c>
      <c r="AW21" s="207" t="str">
        <f>Настройки!AE21</f>
        <v>-</v>
      </c>
      <c r="AX21" s="207" t="str">
        <f>Настройки!AF21</f>
        <v>IDIG_5_4</v>
      </c>
      <c r="AY21" s="207" t="str">
        <f>Настройки!AG21</f>
        <v>Canal_20</v>
      </c>
      <c r="AZ21" s="207" t="str">
        <f>Настройки!AH21</f>
        <v>Canal_20</v>
      </c>
      <c r="BA21" s="207" t="str">
        <f>Настройки!AI21</f>
        <v>Canal_20</v>
      </c>
      <c r="BB21" s="207" t="str">
        <f>Настройки!AJ21</f>
        <v>-</v>
      </c>
      <c r="BC21" s="207" t="str">
        <f>Настройки!AK21</f>
        <v>-</v>
      </c>
      <c r="BD21" s="207" t="str">
        <f>Настройки!AL21</f>
        <v>Canal_20</v>
      </c>
      <c r="BE21" s="207" t="str">
        <f>Настройки!AM21</f>
        <v>-</v>
      </c>
    </row>
    <row r="22" spans="1:57">
      <c r="A22" s="82"/>
      <c r="B22" s="82"/>
      <c r="C22" s="81"/>
      <c r="D22" s="81"/>
      <c r="E22" s="81"/>
      <c r="F22" s="81"/>
      <c r="G22" s="445"/>
      <c r="H22" s="447"/>
      <c r="I22" s="1"/>
      <c r="M22" s="424" t="str">
        <f>'Конфигурация TREI'!A23</f>
        <v>BR21</v>
      </c>
      <c r="N22" s="424" t="str">
        <f>'Конфигурация TREI'!B23</f>
        <v>M558O</v>
      </c>
      <c r="AE22" s="428">
        <f>Настройки!P22</f>
        <v>21</v>
      </c>
      <c r="AF22" s="380">
        <f>Настройки!Q22</f>
        <v>0</v>
      </c>
      <c r="AG22" s="380" t="str">
        <f>Настройки!R22</f>
        <v>-</v>
      </c>
      <c r="AH22" s="380" t="str">
        <f>Настройки!S22</f>
        <v>-</v>
      </c>
      <c r="AI22" s="380" t="str">
        <f>Настройки!T22</f>
        <v>out20</v>
      </c>
      <c r="AJ22" s="380" t="str">
        <f>Настройки!U22</f>
        <v>out20</v>
      </c>
      <c r="AK22" s="380" t="str">
        <f>Настройки!V22</f>
        <v>-</v>
      </c>
      <c r="AL22" s="380" t="str">
        <f>Настройки!W22</f>
        <v>-</v>
      </c>
      <c r="AM22" s="380" t="str">
        <f>Настройки!X22</f>
        <v>-</v>
      </c>
      <c r="AN22" s="380" t="str">
        <f>Настройки!Y22</f>
        <v>-</v>
      </c>
      <c r="AO22" s="380" t="str">
        <f>Настройки!Z22</f>
        <v>-</v>
      </c>
      <c r="AP22" s="380" t="str">
        <f>Настройки!AA22</f>
        <v>Canal_21</v>
      </c>
      <c r="AQ22" s="380" t="str">
        <f>Настройки!AB22</f>
        <v>Canal_21</v>
      </c>
      <c r="AR22" s="380" t="str">
        <f>Настройки!AC22</f>
        <v>-</v>
      </c>
      <c r="AS22" s="380" t="str">
        <f>Настройки!AD22</f>
        <v>-</v>
      </c>
      <c r="AT22" s="207" t="str">
        <f>Настройки!AB22</f>
        <v>Canal_21</v>
      </c>
      <c r="AU22" s="207" t="str">
        <f>Настройки!AC22</f>
        <v>-</v>
      </c>
      <c r="AV22" s="207" t="str">
        <f>Настройки!AD22</f>
        <v>-</v>
      </c>
      <c r="AW22" s="207" t="str">
        <f>Настройки!AE22</f>
        <v>-</v>
      </c>
      <c r="AX22" s="207" t="str">
        <f>Настройки!AF22</f>
        <v>IDIG_6_1</v>
      </c>
      <c r="AY22" s="207" t="str">
        <f>Настройки!AG22</f>
        <v>Canal_21</v>
      </c>
      <c r="AZ22" s="207" t="str">
        <f>Настройки!AH22</f>
        <v>Canal_21</v>
      </c>
      <c r="BA22" s="207" t="str">
        <f>Настройки!AI22</f>
        <v>Canal_21</v>
      </c>
      <c r="BB22" s="207" t="str">
        <f>Настройки!AJ22</f>
        <v>-</v>
      </c>
      <c r="BC22" s="207" t="str">
        <f>Настройки!AK22</f>
        <v>-</v>
      </c>
      <c r="BD22" s="207" t="str">
        <f>Настройки!AL22</f>
        <v>Canal_21</v>
      </c>
      <c r="BE22" s="207" t="str">
        <f>Настройки!AM22</f>
        <v>-</v>
      </c>
    </row>
    <row r="23" spans="1:57">
      <c r="A23" s="82"/>
      <c r="B23" s="82"/>
      <c r="C23" s="81"/>
      <c r="D23" s="81"/>
      <c r="E23" s="81"/>
      <c r="F23" s="81"/>
      <c r="G23" s="445"/>
      <c r="H23" s="447"/>
      <c r="I23" s="1"/>
      <c r="M23" s="424" t="str">
        <f>'Конфигурация TREI'!A24</f>
        <v>BR22</v>
      </c>
      <c r="N23" s="424" t="str">
        <f>'Конфигурация TREI'!B24</f>
        <v>M558D</v>
      </c>
      <c r="AE23" s="428">
        <f>Настройки!P23</f>
        <v>22</v>
      </c>
      <c r="AF23" s="380">
        <f>Настройки!Q23</f>
        <v>0</v>
      </c>
      <c r="AG23" s="380" t="str">
        <f>Настройки!R23</f>
        <v>-</v>
      </c>
      <c r="AH23" s="380" t="str">
        <f>Настройки!S23</f>
        <v>-</v>
      </c>
      <c r="AI23" s="380" t="str">
        <f>Настройки!T23</f>
        <v>out21</v>
      </c>
      <c r="AJ23" s="380" t="str">
        <f>Настройки!U23</f>
        <v>out21</v>
      </c>
      <c r="AK23" s="380" t="str">
        <f>Настройки!V23</f>
        <v>-</v>
      </c>
      <c r="AL23" s="380" t="str">
        <f>Настройки!W23</f>
        <v>-</v>
      </c>
      <c r="AM23" s="380" t="str">
        <f>Настройки!X23</f>
        <v>-</v>
      </c>
      <c r="AN23" s="380" t="str">
        <f>Настройки!Y23</f>
        <v>-</v>
      </c>
      <c r="AO23" s="380" t="str">
        <f>Настройки!Z23</f>
        <v>-</v>
      </c>
      <c r="AP23" s="380" t="str">
        <f>Настройки!AA23</f>
        <v>Canal_22</v>
      </c>
      <c r="AQ23" s="380" t="str">
        <f>Настройки!AB23</f>
        <v>Canal_22</v>
      </c>
      <c r="AR23" s="380" t="str">
        <f>Настройки!AC23</f>
        <v>-</v>
      </c>
      <c r="AS23" s="380" t="str">
        <f>Настройки!AD23</f>
        <v>-</v>
      </c>
      <c r="AT23" s="207" t="str">
        <f>Настройки!AB23</f>
        <v>Canal_22</v>
      </c>
      <c r="AU23" s="207" t="str">
        <f>Настройки!AC23</f>
        <v>-</v>
      </c>
      <c r="AV23" s="207" t="str">
        <f>Настройки!AD23</f>
        <v>-</v>
      </c>
      <c r="AW23" s="207" t="str">
        <f>Настройки!AE23</f>
        <v>-</v>
      </c>
      <c r="AX23" s="207" t="str">
        <f>Настройки!AF23</f>
        <v>IDIG_6_2</v>
      </c>
      <c r="AY23" s="207" t="str">
        <f>Настройки!AG23</f>
        <v>Canal_22</v>
      </c>
      <c r="AZ23" s="207" t="str">
        <f>Настройки!AH23</f>
        <v>Canal_22</v>
      </c>
      <c r="BA23" s="207" t="str">
        <f>Настройки!AI23</f>
        <v>Canal_22</v>
      </c>
      <c r="BB23" s="207" t="str">
        <f>Настройки!AJ23</f>
        <v>-</v>
      </c>
      <c r="BC23" s="207" t="str">
        <f>Настройки!AK23</f>
        <v>-</v>
      </c>
      <c r="BD23" s="207" t="str">
        <f>Настройки!AL23</f>
        <v>Canal_22</v>
      </c>
      <c r="BE23" s="207" t="str">
        <f>Настройки!AM23</f>
        <v>-</v>
      </c>
    </row>
    <row r="24" spans="1:57">
      <c r="A24" s="82"/>
      <c r="B24" s="82"/>
      <c r="C24" s="81"/>
      <c r="D24" s="81"/>
      <c r="E24" s="81"/>
      <c r="F24" s="81"/>
      <c r="G24" s="445"/>
      <c r="H24" s="447"/>
      <c r="I24" s="1"/>
      <c r="M24" s="424" t="str">
        <f>'Конфигурация TREI'!A25</f>
        <v>BR23</v>
      </c>
      <c r="N24" s="424" t="str">
        <f>'Конфигурация TREI'!B25</f>
        <v>M558O</v>
      </c>
      <c r="AE24" s="428">
        <f>Настройки!P24</f>
        <v>23</v>
      </c>
      <c r="AF24" s="380">
        <f>Настройки!Q24</f>
        <v>0</v>
      </c>
      <c r="AG24" s="380" t="str">
        <f>Настройки!R24</f>
        <v>-</v>
      </c>
      <c r="AH24" s="380" t="str">
        <f>Настройки!S24</f>
        <v>-</v>
      </c>
      <c r="AI24" s="380" t="str">
        <f>Настройки!T24</f>
        <v>out22</v>
      </c>
      <c r="AJ24" s="380" t="str">
        <f>Настройки!U24</f>
        <v>out22</v>
      </c>
      <c r="AK24" s="380" t="str">
        <f>Настройки!V24</f>
        <v>-</v>
      </c>
      <c r="AL24" s="380" t="str">
        <f>Настройки!W24</f>
        <v>-</v>
      </c>
      <c r="AM24" s="380" t="str">
        <f>Настройки!X24</f>
        <v>-</v>
      </c>
      <c r="AN24" s="380" t="str">
        <f>Настройки!Y24</f>
        <v>-</v>
      </c>
      <c r="AO24" s="380" t="str">
        <f>Настройки!Z24</f>
        <v>-</v>
      </c>
      <c r="AP24" s="380" t="str">
        <f>Настройки!AA24</f>
        <v>Canal_23</v>
      </c>
      <c r="AQ24" s="380" t="str">
        <f>Настройки!AB24</f>
        <v>Canal_23</v>
      </c>
      <c r="AR24" s="380" t="str">
        <f>Настройки!AC24</f>
        <v>-</v>
      </c>
      <c r="AS24" s="380" t="str">
        <f>Настройки!AD24</f>
        <v>-</v>
      </c>
      <c r="AT24" s="207" t="str">
        <f>Настройки!AB24</f>
        <v>Canal_23</v>
      </c>
      <c r="AU24" s="207" t="str">
        <f>Настройки!AC24</f>
        <v>-</v>
      </c>
      <c r="AV24" s="207" t="str">
        <f>Настройки!AD24</f>
        <v>-</v>
      </c>
      <c r="AW24" s="207" t="str">
        <f>Настройки!AE24</f>
        <v>-</v>
      </c>
      <c r="AX24" s="207" t="str">
        <f>Настройки!AF24</f>
        <v>IDIG_6_3</v>
      </c>
      <c r="AY24" s="207" t="str">
        <f>Настройки!AG24</f>
        <v>Canal_23</v>
      </c>
      <c r="AZ24" s="207" t="str">
        <f>Настройки!AH24</f>
        <v>Canal_23</v>
      </c>
      <c r="BA24" s="207" t="str">
        <f>Настройки!AI24</f>
        <v>Canal_23</v>
      </c>
      <c r="BB24" s="207" t="str">
        <f>Настройки!AJ24</f>
        <v>-</v>
      </c>
      <c r="BC24" s="207" t="str">
        <f>Настройки!AK24</f>
        <v>-</v>
      </c>
      <c r="BD24" s="207" t="str">
        <f>Настройки!AL24</f>
        <v>Canal_23</v>
      </c>
      <c r="BE24" s="207" t="str">
        <f>Настройки!AM24</f>
        <v>-</v>
      </c>
    </row>
    <row r="25" spans="1:57">
      <c r="A25" s="82"/>
      <c r="B25" s="82"/>
      <c r="C25" s="81"/>
      <c r="D25" s="81"/>
      <c r="E25" s="81"/>
      <c r="F25" s="81"/>
      <c r="G25" s="445"/>
      <c r="H25" s="447"/>
      <c r="I25" s="1"/>
      <c r="M25" s="424" t="str">
        <f>'Конфигурация TREI'!A26</f>
        <v>BR24</v>
      </c>
      <c r="N25" s="424" t="str">
        <f>'Конфигурация TREI'!B26</f>
        <v>M558D</v>
      </c>
      <c r="AE25" s="428">
        <f>Настройки!P25</f>
        <v>24</v>
      </c>
      <c r="AF25" s="380">
        <f>Настройки!Q25</f>
        <v>0</v>
      </c>
      <c r="AG25" s="380" t="str">
        <f>Настройки!R25</f>
        <v>-</v>
      </c>
      <c r="AH25" s="380" t="str">
        <f>Настройки!S25</f>
        <v>-</v>
      </c>
      <c r="AI25" s="380" t="str">
        <f>Настройки!T25</f>
        <v>out23</v>
      </c>
      <c r="AJ25" s="380" t="str">
        <f>Настройки!U25</f>
        <v>out23</v>
      </c>
      <c r="AK25" s="380" t="str">
        <f>Настройки!V25</f>
        <v>-</v>
      </c>
      <c r="AL25" s="380" t="str">
        <f>Настройки!W25</f>
        <v>-</v>
      </c>
      <c r="AM25" s="380" t="str">
        <f>Настройки!X25</f>
        <v>-</v>
      </c>
      <c r="AN25" s="380" t="str">
        <f>Настройки!Y25</f>
        <v>-</v>
      </c>
      <c r="AO25" s="380" t="str">
        <f>Настройки!Z25</f>
        <v>-</v>
      </c>
      <c r="AP25" s="380" t="str">
        <f>Настройки!AA25</f>
        <v>Canal_24</v>
      </c>
      <c r="AQ25" s="380" t="str">
        <f>Настройки!AB25</f>
        <v>Canal_24</v>
      </c>
      <c r="AR25" s="380" t="str">
        <f>Настройки!AC25</f>
        <v>-</v>
      </c>
      <c r="AS25" s="380" t="str">
        <f>Настройки!AD25</f>
        <v>-</v>
      </c>
      <c r="AT25" s="207" t="str">
        <f>Настройки!AB25</f>
        <v>Canal_24</v>
      </c>
      <c r="AU25" s="207" t="str">
        <f>Настройки!AC25</f>
        <v>-</v>
      </c>
      <c r="AV25" s="207" t="str">
        <f>Настройки!AD25</f>
        <v>-</v>
      </c>
      <c r="AW25" s="207" t="str">
        <f>Настройки!AE25</f>
        <v>-</v>
      </c>
      <c r="AX25" s="207" t="str">
        <f>Настройки!AF25</f>
        <v>IDIG_6_4</v>
      </c>
      <c r="AY25" s="207" t="str">
        <f>Настройки!AG25</f>
        <v>Canal_24</v>
      </c>
      <c r="AZ25" s="207" t="str">
        <f>Настройки!AH25</f>
        <v>Canal_24</v>
      </c>
      <c r="BA25" s="207" t="str">
        <f>Настройки!AI25</f>
        <v>Canal_24</v>
      </c>
      <c r="BB25" s="207" t="str">
        <f>Настройки!AJ25</f>
        <v>-</v>
      </c>
      <c r="BC25" s="207" t="str">
        <f>Настройки!AK25</f>
        <v>-</v>
      </c>
      <c r="BD25" s="207" t="str">
        <f>Настройки!AL25</f>
        <v>Canal_24</v>
      </c>
      <c r="BE25" s="207" t="str">
        <f>Настройки!AM25</f>
        <v>-</v>
      </c>
    </row>
    <row r="26" spans="1:57">
      <c r="A26" s="82"/>
      <c r="B26" s="82"/>
      <c r="C26" s="81"/>
      <c r="D26" s="81"/>
      <c r="E26" s="81"/>
      <c r="F26" s="81"/>
      <c r="G26" s="445"/>
      <c r="H26" s="447"/>
      <c r="I26" s="1"/>
      <c r="M26" s="424" t="str">
        <f>'Конфигурация TREI'!A27</f>
        <v>BR25</v>
      </c>
      <c r="N26" s="424" t="str">
        <f>'Конфигурация TREI'!B27</f>
        <v>M558D</v>
      </c>
      <c r="AE26" s="428">
        <f>Настройки!P26</f>
        <v>25</v>
      </c>
      <c r="AF26" s="380">
        <f>Настройки!Q26</f>
        <v>0</v>
      </c>
      <c r="AG26" s="380" t="str">
        <f>Настройки!R26</f>
        <v>-</v>
      </c>
      <c r="AH26" s="380" t="str">
        <f>Настройки!S26</f>
        <v>-</v>
      </c>
      <c r="AI26" s="380" t="str">
        <f>Настройки!T26</f>
        <v>out24</v>
      </c>
      <c r="AJ26" s="380" t="str">
        <f>Настройки!U26</f>
        <v>out24</v>
      </c>
      <c r="AK26" s="380" t="str">
        <f>Настройки!V26</f>
        <v>-</v>
      </c>
      <c r="AL26" s="380" t="str">
        <f>Настройки!W26</f>
        <v>-</v>
      </c>
      <c r="AM26" s="380" t="str">
        <f>Настройки!X26</f>
        <v>-</v>
      </c>
      <c r="AN26" s="380" t="str">
        <f>Настройки!Y26</f>
        <v>-</v>
      </c>
      <c r="AO26" s="380" t="str">
        <f>Настройки!Z26</f>
        <v>-</v>
      </c>
      <c r="AP26" s="380" t="str">
        <f>Настройки!AA26</f>
        <v>Canal_25</v>
      </c>
      <c r="AQ26" s="380" t="str">
        <f>Настройки!AB26</f>
        <v>Canal_25</v>
      </c>
      <c r="AR26" s="380" t="str">
        <f>Настройки!AC26</f>
        <v>-</v>
      </c>
      <c r="AS26" s="380" t="str">
        <f>Настройки!AD26</f>
        <v>-</v>
      </c>
      <c r="AT26" s="207" t="str">
        <f>Настройки!AB26</f>
        <v>Canal_25</v>
      </c>
      <c r="AU26" s="207" t="str">
        <f>Настройки!AC26</f>
        <v>-</v>
      </c>
      <c r="AV26" s="207" t="str">
        <f>Настройки!AD26</f>
        <v>-</v>
      </c>
      <c r="AW26" s="207" t="str">
        <f>Настройки!AE26</f>
        <v>-</v>
      </c>
      <c r="AX26" s="207" t="str">
        <f>Настройки!AF26</f>
        <v>IDIG_7_1</v>
      </c>
      <c r="AY26" s="207" t="str">
        <f>Настройки!AG26</f>
        <v>Canal_25</v>
      </c>
      <c r="AZ26" s="207" t="str">
        <f>Настройки!AH26</f>
        <v>Canal_25</v>
      </c>
      <c r="BA26" s="207" t="str">
        <f>Настройки!AI26</f>
        <v>Canal_25</v>
      </c>
      <c r="BB26" s="207" t="str">
        <f>Настройки!AJ26</f>
        <v>-</v>
      </c>
      <c r="BC26" s="207" t="str">
        <f>Настройки!AK26</f>
        <v>-</v>
      </c>
      <c r="BD26" s="207" t="str">
        <f>Настройки!AL26</f>
        <v>Canal_25</v>
      </c>
      <c r="BE26" s="207" t="str">
        <f>Настройки!AM26</f>
        <v>-</v>
      </c>
    </row>
    <row r="27" spans="1:57">
      <c r="A27" s="82"/>
      <c r="B27" s="82"/>
      <c r="C27" s="81"/>
      <c r="D27" s="81"/>
      <c r="E27" s="81"/>
      <c r="F27" s="81"/>
      <c r="G27" s="445"/>
      <c r="H27" s="447"/>
      <c r="I27" s="1"/>
      <c r="M27" s="424" t="str">
        <f>'Конфигурация TREI'!A28</f>
        <v>BR26</v>
      </c>
      <c r="N27" s="424" t="str">
        <f>'Конфигурация TREI'!B28</f>
        <v>M558D</v>
      </c>
      <c r="AE27" s="428">
        <f>Настройки!P27</f>
        <v>26</v>
      </c>
      <c r="AF27" s="380">
        <f>Настройки!Q27</f>
        <v>0</v>
      </c>
      <c r="AG27" s="380" t="str">
        <f>Настройки!R27</f>
        <v>-</v>
      </c>
      <c r="AH27" s="380" t="str">
        <f>Настройки!S27</f>
        <v>-</v>
      </c>
      <c r="AI27" s="380" t="str">
        <f>Настройки!T27</f>
        <v>out25</v>
      </c>
      <c r="AJ27" s="380" t="str">
        <f>Настройки!U27</f>
        <v>out25</v>
      </c>
      <c r="AK27" s="380" t="str">
        <f>Настройки!V27</f>
        <v>-</v>
      </c>
      <c r="AL27" s="380" t="str">
        <f>Настройки!W27</f>
        <v>-</v>
      </c>
      <c r="AM27" s="380" t="str">
        <f>Настройки!X27</f>
        <v>-</v>
      </c>
      <c r="AN27" s="380" t="str">
        <f>Настройки!Y27</f>
        <v>-</v>
      </c>
      <c r="AO27" s="380" t="str">
        <f>Настройки!Z27</f>
        <v>-</v>
      </c>
      <c r="AP27" s="380" t="str">
        <f>Настройки!AA27</f>
        <v>Canal_26</v>
      </c>
      <c r="AQ27" s="380" t="str">
        <f>Настройки!AB27</f>
        <v>Canal_26</v>
      </c>
      <c r="AR27" s="380" t="str">
        <f>Настройки!AC27</f>
        <v>-</v>
      </c>
      <c r="AS27" s="380" t="str">
        <f>Настройки!AD27</f>
        <v>-</v>
      </c>
      <c r="AT27" s="207" t="str">
        <f>Настройки!AB27</f>
        <v>Canal_26</v>
      </c>
      <c r="AU27" s="207" t="str">
        <f>Настройки!AC27</f>
        <v>-</v>
      </c>
      <c r="AV27" s="207" t="str">
        <f>Настройки!AD27</f>
        <v>-</v>
      </c>
      <c r="AW27" s="207" t="str">
        <f>Настройки!AE27</f>
        <v>-</v>
      </c>
      <c r="AX27" s="207" t="str">
        <f>Настройки!AF27</f>
        <v>IDIG_7_2</v>
      </c>
      <c r="AY27" s="207" t="str">
        <f>Настройки!AG27</f>
        <v>Canal_26</v>
      </c>
      <c r="AZ27" s="207" t="str">
        <f>Настройки!AH27</f>
        <v>Canal_26</v>
      </c>
      <c r="BA27" s="207" t="str">
        <f>Настройки!AI27</f>
        <v>Canal_26</v>
      </c>
      <c r="BB27" s="207" t="str">
        <f>Настройки!AJ27</f>
        <v>-</v>
      </c>
      <c r="BC27" s="207" t="str">
        <f>Настройки!AK27</f>
        <v>-</v>
      </c>
      <c r="BD27" s="207" t="str">
        <f>Настройки!AL27</f>
        <v>Canal_26</v>
      </c>
      <c r="BE27" s="207" t="str">
        <f>Настройки!AM27</f>
        <v>-</v>
      </c>
    </row>
    <row r="28" spans="1:57">
      <c r="A28" s="82"/>
      <c r="B28" s="82"/>
      <c r="C28" s="81"/>
      <c r="D28" s="81"/>
      <c r="E28" s="81"/>
      <c r="F28" s="81"/>
      <c r="G28" s="445"/>
      <c r="H28" s="447"/>
      <c r="I28" s="1"/>
      <c r="M28" s="424" t="str">
        <f>'Конфигурация TREI'!A29</f>
        <v>BR27</v>
      </c>
      <c r="N28" s="424" t="str">
        <f>'Конфигурация TREI'!B29</f>
        <v>M558D</v>
      </c>
      <c r="AE28" s="428">
        <f>Настройки!P28</f>
        <v>27</v>
      </c>
      <c r="AF28" s="380">
        <f>Настройки!Q28</f>
        <v>0</v>
      </c>
      <c r="AG28" s="380" t="str">
        <f>Настройки!R28</f>
        <v>-</v>
      </c>
      <c r="AH28" s="380" t="str">
        <f>Настройки!S28</f>
        <v>-</v>
      </c>
      <c r="AI28" s="380" t="str">
        <f>Настройки!T28</f>
        <v>out26</v>
      </c>
      <c r="AJ28" s="380" t="str">
        <f>Настройки!U28</f>
        <v>out26</v>
      </c>
      <c r="AK28" s="380" t="str">
        <f>Настройки!V28</f>
        <v>-</v>
      </c>
      <c r="AL28" s="380" t="str">
        <f>Настройки!W28</f>
        <v>-</v>
      </c>
      <c r="AM28" s="380" t="str">
        <f>Настройки!X28</f>
        <v>-</v>
      </c>
      <c r="AN28" s="380" t="str">
        <f>Настройки!Y28</f>
        <v>-</v>
      </c>
      <c r="AO28" s="380" t="str">
        <f>Настройки!Z28</f>
        <v>-</v>
      </c>
      <c r="AP28" s="380" t="str">
        <f>Настройки!AA28</f>
        <v>Canal_27</v>
      </c>
      <c r="AQ28" s="380" t="str">
        <f>Настройки!AB28</f>
        <v>Canal_27</v>
      </c>
      <c r="AR28" s="380" t="str">
        <f>Настройки!AC28</f>
        <v>-</v>
      </c>
      <c r="AS28" s="380" t="str">
        <f>Настройки!AD28</f>
        <v>-</v>
      </c>
      <c r="AT28" s="207" t="str">
        <f>Настройки!AB28</f>
        <v>Canal_27</v>
      </c>
      <c r="AU28" s="207" t="str">
        <f>Настройки!AC28</f>
        <v>-</v>
      </c>
      <c r="AV28" s="207" t="str">
        <f>Настройки!AD28</f>
        <v>-</v>
      </c>
      <c r="AW28" s="207" t="str">
        <f>Настройки!AE28</f>
        <v>-</v>
      </c>
      <c r="AX28" s="207" t="str">
        <f>Настройки!AF28</f>
        <v>IDIG_7_3</v>
      </c>
      <c r="AY28" s="207" t="str">
        <f>Настройки!AG28</f>
        <v>Canal_27</v>
      </c>
      <c r="AZ28" s="207" t="str">
        <f>Настройки!AH28</f>
        <v>Canal_27</v>
      </c>
      <c r="BA28" s="207" t="str">
        <f>Настройки!AI28</f>
        <v>Canal_27</v>
      </c>
      <c r="BB28" s="207" t="str">
        <f>Настройки!AJ28</f>
        <v>-</v>
      </c>
      <c r="BC28" s="207" t="str">
        <f>Настройки!AK28</f>
        <v>-</v>
      </c>
      <c r="BD28" s="207" t="str">
        <f>Настройки!AL28</f>
        <v>Canal_27</v>
      </c>
      <c r="BE28" s="207" t="str">
        <f>Настройки!AM28</f>
        <v>-</v>
      </c>
    </row>
    <row r="29" spans="1:57">
      <c r="A29" s="82"/>
      <c r="B29" s="82"/>
      <c r="C29" s="81"/>
      <c r="D29" s="81"/>
      <c r="E29" s="81"/>
      <c r="F29" s="81"/>
      <c r="G29" s="445"/>
      <c r="H29" s="447"/>
      <c r="I29" s="1"/>
      <c r="M29" s="424" t="str">
        <f>'Конфигурация TREI'!A30</f>
        <v>BR28</v>
      </c>
      <c r="N29" s="424" t="str">
        <f>'Конфигурация TREI'!B30</f>
        <v>M558D</v>
      </c>
      <c r="AE29" s="428">
        <f>Настройки!P29</f>
        <v>28</v>
      </c>
      <c r="AF29" s="380">
        <f>Настройки!Q29</f>
        <v>0</v>
      </c>
      <c r="AG29" s="380" t="str">
        <f>Настройки!R29</f>
        <v>-</v>
      </c>
      <c r="AH29" s="380" t="str">
        <f>Настройки!S29</f>
        <v>-</v>
      </c>
      <c r="AI29" s="380" t="str">
        <f>Настройки!T29</f>
        <v>out27</v>
      </c>
      <c r="AJ29" s="380" t="str">
        <f>Настройки!U29</f>
        <v>out27</v>
      </c>
      <c r="AK29" s="380" t="str">
        <f>Настройки!V29</f>
        <v>-</v>
      </c>
      <c r="AL29" s="380" t="str">
        <f>Настройки!W29</f>
        <v>-</v>
      </c>
      <c r="AM29" s="380" t="str">
        <f>Настройки!X29</f>
        <v>-</v>
      </c>
      <c r="AN29" s="380" t="str">
        <f>Настройки!Y29</f>
        <v>-</v>
      </c>
      <c r="AO29" s="380" t="str">
        <f>Настройки!Z29</f>
        <v>-</v>
      </c>
      <c r="AP29" s="380" t="str">
        <f>Настройки!AA29</f>
        <v>Canal_28</v>
      </c>
      <c r="AQ29" s="380" t="str">
        <f>Настройки!AB29</f>
        <v>Canal_28</v>
      </c>
      <c r="AR29" s="380" t="str">
        <f>Настройки!AC29</f>
        <v>-</v>
      </c>
      <c r="AS29" s="380" t="str">
        <f>Настройки!AD29</f>
        <v>-</v>
      </c>
      <c r="AT29" s="207" t="str">
        <f>Настройки!AB29</f>
        <v>Canal_28</v>
      </c>
      <c r="AU29" s="207" t="str">
        <f>Настройки!AC29</f>
        <v>-</v>
      </c>
      <c r="AV29" s="207" t="str">
        <f>Настройки!AD29</f>
        <v>-</v>
      </c>
      <c r="AW29" s="207" t="str">
        <f>Настройки!AE29</f>
        <v>-</v>
      </c>
      <c r="AX29" s="207" t="str">
        <f>Настройки!AF29</f>
        <v>IDIG_7_4</v>
      </c>
      <c r="AY29" s="207" t="str">
        <f>Настройки!AG29</f>
        <v>Canal_28</v>
      </c>
      <c r="AZ29" s="207" t="str">
        <f>Настройки!AH29</f>
        <v>Canal_28</v>
      </c>
      <c r="BA29" s="207" t="str">
        <f>Настройки!AI29</f>
        <v>Canal_28</v>
      </c>
      <c r="BB29" s="207" t="str">
        <f>Настройки!AJ29</f>
        <v>-</v>
      </c>
      <c r="BC29" s="207" t="str">
        <f>Настройки!AK29</f>
        <v>-</v>
      </c>
      <c r="BD29" s="207" t="str">
        <f>Настройки!AL29</f>
        <v>Canal_28</v>
      </c>
      <c r="BE29" s="207" t="str">
        <f>Настройки!AM29</f>
        <v>-</v>
      </c>
    </row>
    <row r="30" spans="1:57">
      <c r="A30" s="11"/>
      <c r="B30" s="11"/>
      <c r="C30" s="11"/>
      <c r="D30" s="11"/>
      <c r="E30" s="11"/>
      <c r="F30" s="11"/>
      <c r="G30" s="11"/>
      <c r="H30" s="1"/>
      <c r="I30" s="1"/>
      <c r="M30" s="424" t="str">
        <f>'Конфигурация TREI'!A31</f>
        <v>BR29</v>
      </c>
      <c r="N30" s="424" t="str">
        <f>'Конфигурация TREI'!B31</f>
        <v>M558O</v>
      </c>
      <c r="AE30" s="428">
        <f>Настройки!P30</f>
        <v>29</v>
      </c>
      <c r="AF30" s="380">
        <f>Настройки!Q30</f>
        <v>0</v>
      </c>
      <c r="AG30" s="380" t="str">
        <f>Настройки!R30</f>
        <v>-</v>
      </c>
      <c r="AH30" s="380" t="str">
        <f>Настройки!S30</f>
        <v>-</v>
      </c>
      <c r="AI30" s="380" t="str">
        <f>Настройки!T30</f>
        <v>out28</v>
      </c>
      <c r="AJ30" s="380" t="str">
        <f>Настройки!U30</f>
        <v>out28</v>
      </c>
      <c r="AK30" s="380" t="str">
        <f>Настройки!V30</f>
        <v>-</v>
      </c>
      <c r="AL30" s="380" t="str">
        <f>Настройки!W30</f>
        <v>-</v>
      </c>
      <c r="AM30" s="380" t="str">
        <f>Настройки!X30</f>
        <v>-</v>
      </c>
      <c r="AN30" s="380" t="str">
        <f>Настройки!Y30</f>
        <v>-</v>
      </c>
      <c r="AO30" s="380" t="str">
        <f>Настройки!Z30</f>
        <v>-</v>
      </c>
      <c r="AP30" s="380" t="str">
        <f>Настройки!AA30</f>
        <v>Canal_29</v>
      </c>
      <c r="AQ30" s="380" t="str">
        <f>Настройки!AB30</f>
        <v>Canal_29</v>
      </c>
      <c r="AR30" s="380" t="str">
        <f>Настройки!AC30</f>
        <v>-</v>
      </c>
      <c r="AS30" s="380" t="str">
        <f>Настройки!AD30</f>
        <v>-</v>
      </c>
      <c r="AT30" s="207" t="str">
        <f>Настройки!AB30</f>
        <v>Canal_29</v>
      </c>
      <c r="AU30" s="207" t="str">
        <f>Настройки!AC30</f>
        <v>-</v>
      </c>
      <c r="AV30" s="207" t="str">
        <f>Настройки!AD30</f>
        <v>-</v>
      </c>
      <c r="AW30" s="207" t="str">
        <f>Настройки!AE30</f>
        <v>-</v>
      </c>
      <c r="AX30" s="207" t="str">
        <f>Настройки!AF30</f>
        <v>IDIG_8_1</v>
      </c>
      <c r="AY30" s="207" t="str">
        <f>Настройки!AG30</f>
        <v>Canal_29</v>
      </c>
      <c r="AZ30" s="207" t="str">
        <f>Настройки!AH30</f>
        <v>Canal_29</v>
      </c>
      <c r="BA30" s="207" t="str">
        <f>Настройки!AI30</f>
        <v>Canal_29</v>
      </c>
      <c r="BB30" s="207" t="str">
        <f>Настройки!AJ30</f>
        <v>-</v>
      </c>
      <c r="BC30" s="207" t="str">
        <f>Настройки!AK30</f>
        <v>-</v>
      </c>
      <c r="BD30" s="207" t="str">
        <f>Настройки!AL30</f>
        <v>Canal_29</v>
      </c>
      <c r="BE30" s="207" t="str">
        <f>Настройки!AM30</f>
        <v>-</v>
      </c>
    </row>
    <row r="31" spans="1:57">
      <c r="A31" s="82"/>
      <c r="B31" s="82"/>
      <c r="C31" s="81"/>
      <c r="D31" s="81"/>
      <c r="E31" s="81"/>
      <c r="F31" s="81"/>
      <c r="G31" s="445"/>
      <c r="H31" s="445"/>
      <c r="I31" s="1"/>
      <c r="M31" s="424" t="str">
        <f>'Конфигурация TREI'!A32</f>
        <v>BR30</v>
      </c>
      <c r="N31" s="424" t="str">
        <f>'Конфигурация TREI'!B32</f>
        <v>M558D</v>
      </c>
      <c r="AE31" s="428">
        <f>Настройки!P31</f>
        <v>30</v>
      </c>
      <c r="AF31" s="380">
        <f>Настройки!Q31</f>
        <v>0</v>
      </c>
      <c r="AG31" s="380" t="str">
        <f>Настройки!R31</f>
        <v>-</v>
      </c>
      <c r="AH31" s="380" t="str">
        <f>Настройки!S31</f>
        <v>-</v>
      </c>
      <c r="AI31" s="380" t="str">
        <f>Настройки!T31</f>
        <v>out29</v>
      </c>
      <c r="AJ31" s="380" t="str">
        <f>Настройки!U31</f>
        <v>out29</v>
      </c>
      <c r="AK31" s="380" t="str">
        <f>Настройки!V31</f>
        <v>-</v>
      </c>
      <c r="AL31" s="380" t="str">
        <f>Настройки!W31</f>
        <v>-</v>
      </c>
      <c r="AM31" s="380" t="str">
        <f>Настройки!X31</f>
        <v>-</v>
      </c>
      <c r="AN31" s="380" t="str">
        <f>Настройки!Y31</f>
        <v>-</v>
      </c>
      <c r="AO31" s="380" t="str">
        <f>Настройки!Z31</f>
        <v>-</v>
      </c>
      <c r="AP31" s="380" t="str">
        <f>Настройки!AA31</f>
        <v>Canal_30</v>
      </c>
      <c r="AQ31" s="380" t="str">
        <f>Настройки!AB31</f>
        <v>Canal_30</v>
      </c>
      <c r="AR31" s="380" t="str">
        <f>Настройки!AC31</f>
        <v>-</v>
      </c>
      <c r="AS31" s="380" t="str">
        <f>Настройки!AD31</f>
        <v>-</v>
      </c>
      <c r="AT31" s="207" t="str">
        <f>Настройки!AB31</f>
        <v>Canal_30</v>
      </c>
      <c r="AU31" s="207" t="str">
        <f>Настройки!AC31</f>
        <v>-</v>
      </c>
      <c r="AV31" s="207" t="str">
        <f>Настройки!AD31</f>
        <v>-</v>
      </c>
      <c r="AW31" s="207" t="str">
        <f>Настройки!AE31</f>
        <v>-</v>
      </c>
      <c r="AX31" s="207" t="str">
        <f>Настройки!AF31</f>
        <v>IDIG_8_2</v>
      </c>
      <c r="AY31" s="207" t="str">
        <f>Настройки!AG31</f>
        <v>Canal_30</v>
      </c>
      <c r="AZ31" s="207" t="str">
        <f>Настройки!AH31</f>
        <v>Canal_30</v>
      </c>
      <c r="BA31" s="207" t="str">
        <f>Настройки!AI31</f>
        <v>Canal_30</v>
      </c>
      <c r="BB31" s="207" t="str">
        <f>Настройки!AJ31</f>
        <v>-</v>
      </c>
      <c r="BC31" s="207" t="str">
        <f>Настройки!AK31</f>
        <v>-</v>
      </c>
      <c r="BD31" s="207" t="str">
        <f>Настройки!AL31</f>
        <v>Canal_30</v>
      </c>
      <c r="BE31" s="207" t="str">
        <f>Настройки!AM31</f>
        <v>-</v>
      </c>
    </row>
    <row r="32" spans="1:57">
      <c r="A32" s="82"/>
      <c r="B32" s="82"/>
      <c r="C32" s="81"/>
      <c r="D32" s="81"/>
      <c r="E32" s="81"/>
      <c r="F32" s="81"/>
      <c r="G32" s="445"/>
      <c r="H32" s="445"/>
      <c r="I32" s="1"/>
      <c r="M32" s="424" t="str">
        <f>'Конфигурация TREI'!A33</f>
        <v>BR31</v>
      </c>
      <c r="N32" s="424" t="str">
        <f>'Конфигурация TREI'!B33</f>
        <v>M558D</v>
      </c>
      <c r="AE32" s="428">
        <f>Настройки!P32</f>
        <v>31</v>
      </c>
      <c r="AF32" s="380">
        <f>Настройки!Q32</f>
        <v>0</v>
      </c>
      <c r="AG32" s="380" t="str">
        <f>Настройки!R32</f>
        <v>-</v>
      </c>
      <c r="AH32" s="380" t="str">
        <f>Настройки!S32</f>
        <v>-</v>
      </c>
      <c r="AI32" s="380" t="str">
        <f>Настройки!T32</f>
        <v>out30</v>
      </c>
      <c r="AJ32" s="380" t="str">
        <f>Настройки!U32</f>
        <v>out30</v>
      </c>
      <c r="AK32" s="380" t="str">
        <f>Настройки!V32</f>
        <v>-</v>
      </c>
      <c r="AL32" s="380" t="str">
        <f>Настройки!W32</f>
        <v>-</v>
      </c>
      <c r="AM32" s="380" t="str">
        <f>Настройки!X32</f>
        <v>-</v>
      </c>
      <c r="AN32" s="380" t="str">
        <f>Настройки!Y32</f>
        <v>-</v>
      </c>
      <c r="AO32" s="380" t="str">
        <f>Настройки!Z32</f>
        <v>-</v>
      </c>
      <c r="AP32" s="380" t="str">
        <f>Настройки!AA32</f>
        <v>Canal_31</v>
      </c>
      <c r="AQ32" s="380" t="str">
        <f>Настройки!AB32</f>
        <v>Canal_31</v>
      </c>
      <c r="AR32" s="380" t="str">
        <f>Настройки!AC32</f>
        <v>-</v>
      </c>
      <c r="AS32" s="380" t="str">
        <f>Настройки!AD32</f>
        <v>-</v>
      </c>
      <c r="AT32" s="207" t="str">
        <f>Настройки!AB32</f>
        <v>Canal_31</v>
      </c>
      <c r="AU32" s="207" t="str">
        <f>Настройки!AC32</f>
        <v>-</v>
      </c>
      <c r="AV32" s="207" t="str">
        <f>Настройки!AD32</f>
        <v>-</v>
      </c>
      <c r="AW32" s="207" t="str">
        <f>Настройки!AE32</f>
        <v>-</v>
      </c>
      <c r="AX32" s="207" t="str">
        <f>Настройки!AF32</f>
        <v>IDIG_8_3</v>
      </c>
      <c r="AY32" s="207" t="str">
        <f>Настройки!AG32</f>
        <v>Canal_31</v>
      </c>
      <c r="AZ32" s="207" t="str">
        <f>Настройки!AH32</f>
        <v>Canal_31</v>
      </c>
      <c r="BA32" s="207" t="str">
        <f>Настройки!AI32</f>
        <v>Canal_31</v>
      </c>
      <c r="BB32" s="207" t="str">
        <f>Настройки!AJ32</f>
        <v>-</v>
      </c>
      <c r="BC32" s="207" t="str">
        <f>Настройки!AK32</f>
        <v>-</v>
      </c>
      <c r="BD32" s="207" t="str">
        <f>Настройки!AL32</f>
        <v>Canal_31</v>
      </c>
      <c r="BE32" s="207" t="str">
        <f>Настройки!AM32</f>
        <v>-</v>
      </c>
    </row>
    <row r="33" spans="1:58">
      <c r="A33" s="82"/>
      <c r="B33" s="82"/>
      <c r="C33" s="81"/>
      <c r="D33" s="81"/>
      <c r="E33" s="81"/>
      <c r="F33" s="81"/>
      <c r="G33" s="445"/>
      <c r="H33" s="445"/>
      <c r="I33" s="1"/>
      <c r="M33" s="424" t="str">
        <f>'Конфигурация TREI'!A34</f>
        <v>BR32</v>
      </c>
      <c r="N33" s="424" t="str">
        <f>'Конфигурация TREI'!B34</f>
        <v>M558D</v>
      </c>
      <c r="AE33" s="620">
        <f>Настройки!P33</f>
        <v>32</v>
      </c>
      <c r="AF33" s="621">
        <f>Настройки!Q33</f>
        <v>0</v>
      </c>
      <c r="AG33" s="621" t="str">
        <f>Настройки!R33</f>
        <v>-</v>
      </c>
      <c r="AH33" s="621" t="str">
        <f>Настройки!S33</f>
        <v>-</v>
      </c>
      <c r="AI33" s="621" t="str">
        <f>Настройки!T33</f>
        <v>out31</v>
      </c>
      <c r="AJ33" s="621" t="str">
        <f>Настройки!U33</f>
        <v>out31</v>
      </c>
      <c r="AK33" s="621" t="str">
        <f>Настройки!V33</f>
        <v>-</v>
      </c>
      <c r="AL33" s="621" t="str">
        <f>Настройки!W33</f>
        <v>-</v>
      </c>
      <c r="AM33" s="621" t="str">
        <f>Настройки!X33</f>
        <v>-</v>
      </c>
      <c r="AN33" s="621" t="str">
        <f>Настройки!Y33</f>
        <v>-</v>
      </c>
      <c r="AO33" s="621" t="str">
        <f>Настройки!Z33</f>
        <v>-</v>
      </c>
      <c r="AP33" s="621" t="str">
        <f>Настройки!AA33</f>
        <v>Canal_32</v>
      </c>
      <c r="AQ33" s="621" t="str">
        <f>Настройки!AB33</f>
        <v>Canal_32</v>
      </c>
      <c r="AR33" s="621" t="str">
        <f>Настройки!AC33</f>
        <v>-</v>
      </c>
      <c r="AS33" s="621" t="str">
        <f>Настройки!AD33</f>
        <v>-</v>
      </c>
      <c r="AT33" s="622" t="str">
        <f>Настройки!AB33</f>
        <v>Canal_32</v>
      </c>
      <c r="AU33" s="622" t="str">
        <f>Настройки!AC33</f>
        <v>-</v>
      </c>
      <c r="AV33" s="622" t="str">
        <f>Настройки!AD33</f>
        <v>-</v>
      </c>
      <c r="AW33" s="622" t="str">
        <f>Настройки!AE33</f>
        <v>-</v>
      </c>
      <c r="AX33" s="622" t="str">
        <f>Настройки!AF33</f>
        <v>IDIG_8_4</v>
      </c>
      <c r="AY33" s="622" t="str">
        <f>Настройки!AG33</f>
        <v>Canal_32</v>
      </c>
      <c r="AZ33" s="622" t="str">
        <f>Настройки!AH33</f>
        <v>Canal_32</v>
      </c>
      <c r="BA33" s="622" t="str">
        <f>Настройки!AI33</f>
        <v>Canal_32</v>
      </c>
      <c r="BB33" s="622" t="str">
        <f>Настройки!AJ33</f>
        <v>-</v>
      </c>
      <c r="BC33" s="622" t="str">
        <f>Настройки!AK33</f>
        <v>-</v>
      </c>
      <c r="BD33" s="622" t="str">
        <f>Настройки!AL33</f>
        <v>Canal_32</v>
      </c>
      <c r="BE33" s="622" t="str">
        <f>Настройки!AM33</f>
        <v>-</v>
      </c>
    </row>
    <row r="34" spans="1:58">
      <c r="A34" s="82"/>
      <c r="B34" s="82"/>
      <c r="C34" s="81"/>
      <c r="D34" s="81"/>
      <c r="E34" s="81"/>
      <c r="F34" s="81"/>
      <c r="G34" s="445"/>
      <c r="H34" s="445"/>
      <c r="I34" s="1"/>
      <c r="M34" s="424" t="str">
        <f>'Конфигурация TREI'!A35</f>
        <v>BR33</v>
      </c>
      <c r="N34" s="424" t="str">
        <f>'Конфигурация TREI'!B35</f>
        <v>M558D</v>
      </c>
      <c r="AE34" s="624"/>
      <c r="AF34" s="624"/>
      <c r="AG34" s="624"/>
      <c r="AH34" s="624"/>
      <c r="AI34" s="624"/>
      <c r="AJ34" s="624"/>
      <c r="AK34" s="624"/>
      <c r="AL34" s="624"/>
      <c r="AM34" s="624"/>
      <c r="AN34" s="624"/>
      <c r="AO34" s="624"/>
      <c r="AP34" s="624"/>
      <c r="AQ34" s="624"/>
      <c r="AR34" s="624"/>
      <c r="AS34" s="624"/>
      <c r="AT34" s="625"/>
      <c r="AU34" s="625"/>
      <c r="AV34" s="625"/>
      <c r="AW34" s="625"/>
      <c r="AX34" s="625"/>
      <c r="AY34" s="625"/>
      <c r="AZ34" s="625"/>
      <c r="BA34" s="625"/>
      <c r="BB34" s="625"/>
      <c r="BC34" s="625"/>
      <c r="BD34" s="625"/>
      <c r="BE34" s="625"/>
      <c r="BF34" s="17"/>
    </row>
    <row r="35" spans="1:58">
      <c r="A35" s="82"/>
      <c r="B35" s="82"/>
      <c r="C35" s="81"/>
      <c r="D35" s="81"/>
      <c r="E35" s="81"/>
      <c r="F35" s="81"/>
      <c r="G35" s="445"/>
      <c r="H35" s="445"/>
      <c r="I35" s="1"/>
      <c r="M35" s="424" t="str">
        <f>'Конфигурация TREI'!A36</f>
        <v>BR34</v>
      </c>
      <c r="N35" s="424" t="str">
        <f>'Конфигурация TREI'!B36</f>
        <v>M558D</v>
      </c>
      <c r="AE35" s="505"/>
      <c r="AF35" s="505"/>
      <c r="AG35" s="505"/>
      <c r="AH35" s="505"/>
      <c r="AI35" s="505"/>
      <c r="AJ35" s="505"/>
      <c r="AK35" s="505"/>
      <c r="AL35" s="505"/>
      <c r="AM35" s="505"/>
      <c r="AN35" s="505"/>
      <c r="AO35" s="505"/>
      <c r="AP35" s="505"/>
      <c r="AQ35" s="505"/>
      <c r="AR35" s="505"/>
      <c r="AS35" s="505"/>
      <c r="AT35" s="623"/>
      <c r="AU35" s="623"/>
      <c r="AV35" s="623"/>
      <c r="AW35" s="623"/>
      <c r="AX35" s="623"/>
      <c r="AY35" s="623"/>
      <c r="AZ35" s="623"/>
      <c r="BA35" s="623"/>
      <c r="BB35" s="623"/>
      <c r="BC35" s="623"/>
      <c r="BD35" s="623"/>
      <c r="BE35" s="623"/>
      <c r="BF35" s="11"/>
    </row>
    <row r="36" spans="1:58">
      <c r="A36" s="82"/>
      <c r="B36" s="82"/>
      <c r="C36" s="81"/>
      <c r="D36" s="81"/>
      <c r="E36" s="81"/>
      <c r="F36" s="81"/>
      <c r="G36" s="445"/>
      <c r="H36" s="445"/>
      <c r="I36" s="1"/>
      <c r="M36" s="424" t="str">
        <f>'Конфигурация TREI'!A37</f>
        <v>BR35</v>
      </c>
      <c r="N36" s="424" t="str">
        <f>'Конфигурация TREI'!B37</f>
        <v>M558D</v>
      </c>
      <c r="AE36" s="505"/>
      <c r="AF36" s="505"/>
      <c r="AG36" s="505"/>
      <c r="AH36" s="505"/>
      <c r="AI36" s="505"/>
      <c r="AJ36" s="505"/>
      <c r="AK36" s="505"/>
      <c r="AL36" s="505"/>
      <c r="AM36" s="505"/>
      <c r="AN36" s="505"/>
      <c r="AO36" s="505"/>
      <c r="AP36" s="505"/>
      <c r="AQ36" s="505"/>
      <c r="AR36" s="505"/>
      <c r="AS36" s="505"/>
      <c r="AT36" s="623"/>
      <c r="AU36" s="623"/>
      <c r="AV36" s="623"/>
      <c r="AW36" s="623"/>
      <c r="AX36" s="623"/>
      <c r="AY36" s="623"/>
      <c r="AZ36" s="623"/>
      <c r="BA36" s="623"/>
      <c r="BB36" s="623"/>
      <c r="BC36" s="623"/>
      <c r="BD36" s="623"/>
      <c r="BE36" s="623"/>
      <c r="BF36" s="11"/>
    </row>
    <row r="37" spans="1:58" ht="15.75" customHeight="1">
      <c r="A37" s="82"/>
      <c r="B37" s="82"/>
      <c r="C37" s="81"/>
      <c r="D37" s="81"/>
      <c r="E37" s="81"/>
      <c r="F37" s="81"/>
      <c r="G37" s="445"/>
      <c r="H37" s="445"/>
      <c r="I37" s="1"/>
      <c r="M37" s="424" t="str">
        <f>'Конфигурация TREI'!A38</f>
        <v>BR36</v>
      </c>
      <c r="N37" s="424">
        <f>'Конфигурация TREI'!B38</f>
        <v>0</v>
      </c>
      <c r="AE37" s="505"/>
      <c r="AF37" s="505"/>
      <c r="AG37" s="505"/>
      <c r="AH37" s="505"/>
      <c r="AI37" s="505"/>
      <c r="AJ37" s="505"/>
      <c r="AK37" s="505"/>
      <c r="AL37" s="505"/>
      <c r="AM37" s="505"/>
      <c r="AN37" s="505"/>
      <c r="AO37" s="505"/>
      <c r="AP37" s="505"/>
      <c r="AQ37" s="505"/>
      <c r="AR37" s="505"/>
      <c r="AS37" s="505"/>
      <c r="AT37" s="623"/>
      <c r="AU37" s="623"/>
      <c r="AV37" s="623"/>
      <c r="AW37" s="623"/>
      <c r="AX37" s="623"/>
      <c r="AY37" s="623"/>
      <c r="AZ37" s="623"/>
      <c r="BA37" s="623"/>
      <c r="BB37" s="623"/>
      <c r="BC37" s="623"/>
      <c r="BD37" s="623"/>
      <c r="BE37" s="623"/>
      <c r="BF37" s="11"/>
    </row>
    <row r="38" spans="1:58">
      <c r="A38" s="82"/>
      <c r="B38" s="82"/>
      <c r="C38" s="81"/>
      <c r="D38" s="81"/>
      <c r="E38" s="81"/>
      <c r="F38" s="81"/>
      <c r="G38" s="445"/>
      <c r="H38" s="445"/>
      <c r="I38" s="1"/>
      <c r="M38" s="424" t="str">
        <f>'Конфигурация TREI'!A39</f>
        <v>BR37</v>
      </c>
      <c r="N38" s="424">
        <f>'Конфигурация TREI'!B39</f>
        <v>0</v>
      </c>
      <c r="AE38" s="505"/>
      <c r="AF38" s="505"/>
      <c r="AG38" s="505"/>
      <c r="AH38" s="505"/>
      <c r="AI38" s="505"/>
      <c r="AJ38" s="505"/>
      <c r="AK38" s="505"/>
      <c r="AL38" s="505"/>
      <c r="AM38" s="505"/>
      <c r="AN38" s="505"/>
      <c r="AO38" s="505"/>
      <c r="AP38" s="505"/>
      <c r="AQ38" s="505"/>
      <c r="AR38" s="505"/>
      <c r="AS38" s="505"/>
      <c r="AT38" s="623"/>
      <c r="AU38" s="623"/>
      <c r="AV38" s="623"/>
      <c r="AW38" s="623"/>
      <c r="AX38" s="623"/>
      <c r="AY38" s="623"/>
      <c r="AZ38" s="623"/>
      <c r="BA38" s="623"/>
      <c r="BB38" s="623"/>
      <c r="BC38" s="623"/>
      <c r="BD38" s="623"/>
      <c r="BE38" s="623"/>
      <c r="BF38" s="11"/>
    </row>
    <row r="39" spans="1:58">
      <c r="A39" s="82"/>
      <c r="B39" s="82"/>
      <c r="C39" s="81"/>
      <c r="D39" s="81"/>
      <c r="E39" s="81"/>
      <c r="F39" s="81"/>
      <c r="G39" s="445"/>
      <c r="H39" s="445"/>
      <c r="I39" s="1"/>
      <c r="M39" s="424" t="str">
        <f>'Конфигурация TREI'!A40</f>
        <v>BR38</v>
      </c>
      <c r="N39" s="424">
        <f>'Конфигурация TREI'!B40</f>
        <v>0</v>
      </c>
      <c r="AE39" s="505"/>
      <c r="AF39" s="505"/>
      <c r="AG39" s="505"/>
      <c r="AH39" s="505"/>
      <c r="AI39" s="505"/>
      <c r="AJ39" s="505"/>
      <c r="AK39" s="505"/>
      <c r="AL39" s="505"/>
      <c r="AM39" s="505"/>
      <c r="AN39" s="505"/>
      <c r="AO39" s="505"/>
      <c r="AP39" s="505"/>
      <c r="AQ39" s="505"/>
      <c r="AR39" s="505"/>
      <c r="AS39" s="505"/>
      <c r="AT39" s="623"/>
      <c r="AU39" s="623"/>
      <c r="AV39" s="623"/>
      <c r="AW39" s="623"/>
      <c r="AX39" s="623"/>
      <c r="AY39" s="623"/>
      <c r="AZ39" s="623"/>
      <c r="BA39" s="623"/>
      <c r="BB39" s="623"/>
      <c r="BC39" s="623"/>
      <c r="BD39" s="623"/>
      <c r="BE39" s="623"/>
      <c r="BF39" s="11"/>
    </row>
    <row r="40" spans="1:58">
      <c r="A40" s="82"/>
      <c r="B40" s="82"/>
      <c r="C40" s="81"/>
      <c r="D40" s="81"/>
      <c r="E40" s="81"/>
      <c r="F40" s="81"/>
      <c r="G40" s="445"/>
      <c r="H40" s="445"/>
      <c r="I40" s="1"/>
      <c r="M40" s="424" t="str">
        <f>'Конфигурация TREI'!A41</f>
        <v>BR39</v>
      </c>
      <c r="N40" s="424">
        <f>'Конфигурация TREI'!B41</f>
        <v>0</v>
      </c>
      <c r="AE40" s="505"/>
      <c r="AF40" s="505"/>
      <c r="AG40" s="505"/>
      <c r="AH40" s="505"/>
      <c r="AI40" s="505"/>
      <c r="AJ40" s="505"/>
      <c r="AK40" s="505"/>
      <c r="AL40" s="505"/>
      <c r="AM40" s="505"/>
      <c r="AN40" s="505"/>
      <c r="AO40" s="505"/>
      <c r="AP40" s="505"/>
      <c r="AQ40" s="505"/>
      <c r="AR40" s="505"/>
      <c r="AS40" s="505"/>
      <c r="AT40" s="623"/>
      <c r="AU40" s="623"/>
      <c r="AV40" s="623"/>
      <c r="AW40" s="623"/>
      <c r="AX40" s="623"/>
      <c r="AY40" s="623"/>
      <c r="AZ40" s="623"/>
      <c r="BA40" s="623"/>
      <c r="BB40" s="623"/>
      <c r="BC40" s="623"/>
      <c r="BD40" s="623"/>
      <c r="BE40" s="623"/>
      <c r="BF40" s="11"/>
    </row>
    <row r="41" spans="1:58">
      <c r="A41" s="82"/>
      <c r="B41" s="82"/>
      <c r="C41" s="81"/>
      <c r="D41" s="81"/>
      <c r="E41" s="81"/>
      <c r="F41" s="81"/>
      <c r="G41" s="445"/>
      <c r="H41" s="445"/>
      <c r="I41" s="1"/>
      <c r="M41" s="424" t="str">
        <f>'Конфигурация TREI'!A42</f>
        <v>BR40</v>
      </c>
      <c r="N41" s="424">
        <f>'Конфигурация TREI'!B42</f>
        <v>0</v>
      </c>
      <c r="AE41" s="505"/>
      <c r="AF41" s="505"/>
      <c r="AG41" s="505"/>
      <c r="AH41" s="505"/>
      <c r="AI41" s="505"/>
      <c r="AJ41" s="505"/>
      <c r="AK41" s="505"/>
      <c r="AL41" s="505"/>
      <c r="AM41" s="505"/>
      <c r="AN41" s="505"/>
      <c r="AO41" s="505"/>
      <c r="AP41" s="505"/>
      <c r="AQ41" s="505"/>
      <c r="AR41" s="505"/>
      <c r="AS41" s="505"/>
      <c r="AT41" s="623"/>
      <c r="AU41" s="623"/>
      <c r="AV41" s="623"/>
      <c r="AW41" s="623"/>
      <c r="AX41" s="623"/>
      <c r="AY41" s="623"/>
      <c r="AZ41" s="623"/>
      <c r="BA41" s="623"/>
      <c r="BB41" s="623"/>
      <c r="BC41" s="623"/>
      <c r="BD41" s="623"/>
      <c r="BE41" s="623"/>
      <c r="BF41" s="11"/>
    </row>
    <row r="42" spans="1:58">
      <c r="M42" s="424" t="str">
        <f>'Конфигурация TREI'!A43</f>
        <v>BR41</v>
      </c>
      <c r="N42" s="424">
        <f>'Конфигурация TREI'!B43</f>
        <v>0</v>
      </c>
      <c r="AE42" s="505"/>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row>
    <row r="43" spans="1:58">
      <c r="M43" s="424" t="str">
        <f>'Конфигурация TREI'!A44</f>
        <v>BR42</v>
      </c>
      <c r="N43" s="424">
        <f>'Конфигурация TREI'!B44</f>
        <v>0</v>
      </c>
      <c r="AE43" s="505"/>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row>
    <row r="44" spans="1:58">
      <c r="M44" s="424" t="str">
        <f>'Конфигурация TREI'!A45</f>
        <v>BR43</v>
      </c>
      <c r="N44" s="424">
        <f>'Конфигурация TREI'!B45</f>
        <v>0</v>
      </c>
      <c r="AE44" s="505"/>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row>
    <row r="45" spans="1:58">
      <c r="M45" s="424" t="str">
        <f>'Конфигурация TREI'!A46</f>
        <v>BR44</v>
      </c>
      <c r="N45" s="424">
        <f>'Конфигурация TREI'!B46</f>
        <v>0</v>
      </c>
      <c r="AE45" s="505"/>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row>
    <row r="46" spans="1:58">
      <c r="M46" s="424" t="str">
        <f>'Конфигурация TREI'!A47</f>
        <v>BR45</v>
      </c>
      <c r="N46" s="424">
        <f>'Конфигурация TREI'!B47</f>
        <v>0</v>
      </c>
      <c r="AE46" s="505"/>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row>
    <row r="47" spans="1:58">
      <c r="M47" s="424" t="str">
        <f>'Конфигурация TREI'!A48</f>
        <v>BR46</v>
      </c>
      <c r="N47" s="424">
        <f>'Конфигурация TREI'!B48</f>
        <v>0</v>
      </c>
      <c r="AE47" s="505"/>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row>
    <row r="48" spans="1:58">
      <c r="M48" s="424" t="str">
        <f>'Конфигурация TREI'!A49</f>
        <v>BR47</v>
      </c>
      <c r="N48" s="424">
        <f>'Конфигурация TREI'!B49</f>
        <v>0</v>
      </c>
      <c r="AE48" s="505"/>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c r="BF48" s="11"/>
    </row>
    <row r="49" spans="13:58">
      <c r="M49" s="424" t="str">
        <f>'Конфигурация TREI'!A50</f>
        <v>BR48</v>
      </c>
      <c r="N49" s="424">
        <f>'Конфигурация TREI'!B50</f>
        <v>0</v>
      </c>
      <c r="AE49" s="505"/>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c r="BF49" s="11"/>
    </row>
    <row r="50" spans="13:58">
      <c r="M50" s="424" t="str">
        <f>'Конфигурация TREI'!A51</f>
        <v>BR49</v>
      </c>
      <c r="N50" s="424">
        <f>'Конфигурация TREI'!B51</f>
        <v>0</v>
      </c>
      <c r="AE50" s="505"/>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c r="BE50" s="11"/>
      <c r="BF50" s="11"/>
    </row>
    <row r="51" spans="13:58">
      <c r="M51" s="424" t="str">
        <f>'Конфигурация TREI'!A52</f>
        <v>BR50</v>
      </c>
      <c r="N51" s="424">
        <f>'Конфигурация TREI'!B52</f>
        <v>0</v>
      </c>
      <c r="AE51" s="505"/>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c r="BE51" s="11"/>
      <c r="BF51" s="11"/>
    </row>
    <row r="52" spans="13:58">
      <c r="M52" s="424" t="str">
        <f>'Конфигурация TREI'!A53</f>
        <v>BR51</v>
      </c>
      <c r="N52" s="424">
        <f>'Конфигурация TREI'!B53</f>
        <v>0</v>
      </c>
    </row>
    <row r="53" spans="13:58">
      <c r="M53" s="424" t="str">
        <f>'Конфигурация TREI'!A54</f>
        <v>BR52</v>
      </c>
      <c r="N53" s="424">
        <f>'Конфигурация TREI'!B54</f>
        <v>0</v>
      </c>
    </row>
    <row r="54" spans="13:58">
      <c r="M54" s="424" t="str">
        <f>'Конфигурация TREI'!A55</f>
        <v>BR53</v>
      </c>
      <c r="N54" s="424">
        <f>'Конфигурация TREI'!B55</f>
        <v>0</v>
      </c>
    </row>
    <row r="55" spans="13:58">
      <c r="M55" s="424" t="str">
        <f>'Конфигурация TREI'!A56</f>
        <v>BR54</v>
      </c>
      <c r="N55" s="424">
        <f>'Конфигурация TREI'!B56</f>
        <v>0</v>
      </c>
    </row>
    <row r="56" spans="13:58">
      <c r="M56" s="424" t="str">
        <f>'Конфигурация TREI'!A57</f>
        <v>BR55</v>
      </c>
      <c r="N56" s="424">
        <f>'Конфигурация TREI'!B57</f>
        <v>0</v>
      </c>
    </row>
    <row r="57" spans="13:58">
      <c r="M57" s="424" t="str">
        <f>'Конфигурация TREI'!A58</f>
        <v>BR56</v>
      </c>
      <c r="N57" s="424">
        <f>'Конфигурация TREI'!B58</f>
        <v>0</v>
      </c>
    </row>
    <row r="58" spans="13:58">
      <c r="M58" s="424" t="str">
        <f>'Конфигурация TREI'!A59</f>
        <v>BR57</v>
      </c>
      <c r="N58" s="424">
        <f>'Конфигурация TREI'!B59</f>
        <v>0</v>
      </c>
    </row>
    <row r="59" spans="13:58">
      <c r="M59" s="424" t="str">
        <f>'Конфигурация TREI'!A60</f>
        <v>BR58</v>
      </c>
      <c r="N59" s="424">
        <f>'Конфигурация TREI'!B60</f>
        <v>0</v>
      </c>
    </row>
    <row r="60" spans="13:58">
      <c r="M60" s="424" t="str">
        <f>'Конфигурация TREI'!A61</f>
        <v>BR59</v>
      </c>
      <c r="N60" s="424">
        <f>'Конфигурация TREI'!B61</f>
        <v>0</v>
      </c>
    </row>
    <row r="61" spans="13:58">
      <c r="M61" s="424" t="str">
        <f>'Конфигурация TREI'!A62</f>
        <v>BR60</v>
      </c>
      <c r="N61" s="424">
        <f>'Конфигурация TREI'!B62</f>
        <v>0</v>
      </c>
    </row>
  </sheetData>
  <pageMargins left="0.7" right="0.7" top="0.75" bottom="0.75" header="0.3" footer="0.3"/>
  <pageSetup paperSize="9"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sheetPr codeName="Лист109">
    <tabColor theme="2" tint="-0.249977111117893"/>
  </sheetPr>
  <dimension ref="A1:BE61"/>
  <sheetViews>
    <sheetView workbookViewId="0">
      <selection activeCell="P2" sqref="P2:AD2"/>
    </sheetView>
  </sheetViews>
  <sheetFormatPr defaultRowHeight="14.4"/>
  <cols>
    <col min="1" max="1" width="35.44140625" customWidth="1"/>
    <col min="2" max="2" width="21.44140625" customWidth="1"/>
    <col min="3" max="3" width="3.44140625" customWidth="1"/>
    <col min="4" max="4" width="1.109375" customWidth="1"/>
    <col min="5" max="5" width="33.44140625" customWidth="1"/>
    <col min="6" max="6" width="17.6640625" customWidth="1"/>
    <col min="7" max="7" width="10.5546875" customWidth="1"/>
    <col min="8" max="8" width="14.33203125" customWidth="1"/>
    <col min="9" max="9" width="11.44140625" customWidth="1"/>
    <col min="10" max="10" width="9.109375" hidden="1" customWidth="1"/>
    <col min="11" max="11" width="10.88671875" customWidth="1"/>
    <col min="12" max="12" width="11.5546875" customWidth="1"/>
    <col min="13" max="13" width="10.6640625" bestFit="1" customWidth="1"/>
    <col min="14" max="14" width="8.109375" bestFit="1" customWidth="1"/>
    <col min="15" max="15" width="9.109375" customWidth="1"/>
    <col min="16" max="16" width="34.6640625" customWidth="1"/>
    <col min="17" max="17" width="39.33203125" customWidth="1"/>
    <col min="18" max="30" width="26.109375" style="55" customWidth="1"/>
    <col min="31" max="31" width="4.5546875" style="427" customWidth="1"/>
    <col min="32" max="32" width="11.109375" customWidth="1"/>
  </cols>
  <sheetData>
    <row r="1" spans="1:57">
      <c r="A1" s="425"/>
      <c r="B1" s="425"/>
      <c r="C1" s="425"/>
      <c r="D1" s="425"/>
      <c r="E1" s="425"/>
      <c r="F1" s="425"/>
      <c r="G1" s="426" t="s">
        <v>846</v>
      </c>
      <c r="H1" s="426" t="s">
        <v>847</v>
      </c>
      <c r="I1" s="424" t="s">
        <v>1181</v>
      </c>
      <c r="J1" s="425"/>
      <c r="M1" s="424" t="str">
        <f>'Конфигурация TREI'!A1</f>
        <v>№ Модуля</v>
      </c>
      <c r="N1" s="424" t="str">
        <f>'Конфигурация TREI'!B2</f>
        <v>M501E(рез)</v>
      </c>
      <c r="O1" s="425"/>
      <c r="P1" s="425" t="str">
        <f>Таблица!D1</f>
        <v>Префикс для TREI
Тэг ОРС для INFINITY</v>
      </c>
      <c r="Q1" s="425" t="str">
        <f>Таблица!E1</f>
        <v>Комментарий для TREI и INFINITY</v>
      </c>
      <c r="R1" s="428" t="s">
        <v>1032</v>
      </c>
      <c r="S1" s="428"/>
      <c r="T1" s="428"/>
      <c r="U1" s="428"/>
      <c r="V1" s="428"/>
      <c r="W1" s="428"/>
      <c r="X1" s="428"/>
      <c r="Y1" s="428"/>
      <c r="Z1" s="428"/>
      <c r="AA1" s="428"/>
      <c r="AB1" s="428"/>
      <c r="AC1" s="428"/>
      <c r="AD1" s="429"/>
      <c r="AE1" s="438"/>
      <c r="AF1" s="438">
        <f>Настройки!Q1</f>
        <v>0</v>
      </c>
      <c r="AG1" s="438" t="str">
        <f>Настройки!R1</f>
        <v>M943DR</v>
      </c>
      <c r="AH1" s="438" t="str">
        <f>Настройки!S1</f>
        <v>M942A</v>
      </c>
      <c r="AI1" s="438" t="str">
        <f>Настройки!T1</f>
        <v>M957D</v>
      </c>
      <c r="AJ1" s="438" t="str">
        <f>Настройки!U1</f>
        <v>M957O</v>
      </c>
      <c r="AK1" s="438" t="str">
        <f>Настройки!V1</f>
        <v>M947R</v>
      </c>
      <c r="AL1" s="438" t="str">
        <f>Настройки!W1</f>
        <v>M931V</v>
      </c>
      <c r="AM1" s="438" t="str">
        <f>Настройки!X1</f>
        <v>M931T</v>
      </c>
      <c r="AN1" s="438" t="str">
        <f>Настройки!Y1</f>
        <v>M547A</v>
      </c>
      <c r="AO1" s="438" t="str">
        <f>Настройки!Z1</f>
        <v>M537V</v>
      </c>
      <c r="AP1" s="438" t="str">
        <f>Настройки!AA1</f>
        <v>M557D</v>
      </c>
      <c r="AQ1" s="438" t="str">
        <f>Настройки!AB1</f>
        <v>M557O</v>
      </c>
      <c r="AR1" s="438" t="str">
        <f>Настройки!AC1</f>
        <v>MOPS</v>
      </c>
      <c r="AS1" s="438" t="str">
        <f>Настройки!AD1</f>
        <v>MUPS</v>
      </c>
      <c r="AT1" s="439" t="str">
        <f>Настройки!AB1</f>
        <v>M557O</v>
      </c>
      <c r="AU1" s="439" t="str">
        <f>Настройки!AC1</f>
        <v>MOPS</v>
      </c>
      <c r="AV1" s="439" t="str">
        <f>Настройки!AD1</f>
        <v>MUPS</v>
      </c>
      <c r="AW1" s="439" t="str">
        <f>Настройки!AE1</f>
        <v>M941A</v>
      </c>
      <c r="AX1" s="439" t="str">
        <f>Настройки!AF1</f>
        <v>M954D</v>
      </c>
      <c r="AY1" s="439" t="str">
        <f>Настройки!AG1</f>
        <v>M557DR</v>
      </c>
      <c r="AZ1" s="439" t="str">
        <f>Настройки!AH1</f>
        <v>M558D</v>
      </c>
      <c r="BA1" s="439" t="str">
        <f>Настройки!AI1</f>
        <v>M558O</v>
      </c>
      <c r="BB1" s="439" t="str">
        <f>Настройки!AJ1</f>
        <v>M548A</v>
      </c>
      <c r="BC1" s="439" t="str">
        <f>Настройки!AK1</f>
        <v>M538V</v>
      </c>
      <c r="BD1" s="439" t="str">
        <f>Настройки!AL1</f>
        <v>M558DR</v>
      </c>
      <c r="BE1" s="439" t="str">
        <f>Настройки!AM1</f>
        <v>*</v>
      </c>
    </row>
    <row r="2" spans="1:57">
      <c r="A2" s="446" t="str">
        <f>"//*********** "&amp;Q2&amp;" ***********"</f>
        <v>//*********** ГП 1. Кнопка "Отключить вентиляцию" СВ-SB9 ***********</v>
      </c>
      <c r="B2" s="446"/>
      <c r="C2" s="446"/>
      <c r="D2" s="446"/>
      <c r="E2" s="446"/>
      <c r="F2" s="446" t="s">
        <v>1031</v>
      </c>
      <c r="G2" s="447"/>
      <c r="H2" s="447"/>
      <c r="I2" s="459"/>
      <c r="M2" s="424" t="str">
        <f>'Конфигурация TREI'!A3</f>
        <v>BR1</v>
      </c>
      <c r="N2" s="424" t="str">
        <f>'Конфигурация TREI'!B3</f>
        <v>M558D</v>
      </c>
      <c r="P2" s="2" t="s">
        <v>3427</v>
      </c>
      <c r="Q2" s="2" t="s">
        <v>3428</v>
      </c>
      <c r="R2" s="379" t="s">
        <v>3426</v>
      </c>
      <c r="S2" s="378"/>
      <c r="T2" s="378"/>
      <c r="U2" s="378"/>
      <c r="V2" s="378"/>
      <c r="W2" s="378"/>
      <c r="X2" s="378"/>
      <c r="Y2" s="378"/>
      <c r="Z2" s="378"/>
      <c r="AA2" s="378"/>
      <c r="AB2" s="378"/>
      <c r="AC2" s="378"/>
      <c r="AE2" s="431">
        <f>Настройки!P2</f>
        <v>1</v>
      </c>
      <c r="AF2" s="380">
        <f>Настройки!Q2</f>
        <v>0</v>
      </c>
      <c r="AG2" s="380" t="str">
        <f>Настройки!R2</f>
        <v>IDIG_1_1</v>
      </c>
      <c r="AH2" s="380" t="str">
        <f>Настройки!S2</f>
        <v>IANS_1_3</v>
      </c>
      <c r="AI2" s="380" t="str">
        <f>Настройки!T2</f>
        <v>out0</v>
      </c>
      <c r="AJ2" s="380" t="str">
        <f>Настройки!U2</f>
        <v>out0</v>
      </c>
      <c r="AK2" s="380" t="str">
        <f>Настройки!V2</f>
        <v>ODIG_1</v>
      </c>
      <c r="AL2" s="380" t="str">
        <f>Настройки!W2</f>
        <v>OAN_1_1</v>
      </c>
      <c r="AM2" s="380" t="str">
        <f>Настройки!X2</f>
        <v>IANS_1_1</v>
      </c>
      <c r="AN2" s="380" t="str">
        <f>Настройки!Y2</f>
        <v>Canal_01</v>
      </c>
      <c r="AO2" s="380" t="str">
        <f>Настройки!Z2</f>
        <v>Canal_01</v>
      </c>
      <c r="AP2" s="380" t="str">
        <f>Настройки!AA2</f>
        <v>Canal_01</v>
      </c>
      <c r="AQ2" s="380" t="str">
        <f>Настройки!AB2</f>
        <v>Canal_01</v>
      </c>
      <c r="AR2" s="380" t="str">
        <f>Настройки!AC2</f>
        <v>IVXX[0]</v>
      </c>
      <c r="AS2" s="380" t="str">
        <f>Настройки!AD2</f>
        <v>IVXX[0]</v>
      </c>
      <c r="AT2" s="207" t="str">
        <f>Настройки!AB2</f>
        <v>Canal_01</v>
      </c>
      <c r="AU2" s="207" t="str">
        <f>Настройки!AC2</f>
        <v>IVXX[0]</v>
      </c>
      <c r="AV2" s="207" t="str">
        <f>Настройки!AD2</f>
        <v>IVXX[0]</v>
      </c>
      <c r="AW2" s="207" t="str">
        <f>Настройки!AE2</f>
        <v>IANS_1_1</v>
      </c>
      <c r="AX2" s="207" t="str">
        <f>Настройки!AF2</f>
        <v>IDIG_1_1</v>
      </c>
      <c r="AY2" s="207" t="str">
        <f>Настройки!AG2</f>
        <v>Canal_01</v>
      </c>
      <c r="AZ2" s="207" t="str">
        <f>Настройки!AH2</f>
        <v>Canal_01</v>
      </c>
      <c r="BA2" s="207" t="str">
        <f>Настройки!AI2</f>
        <v>Canal_01</v>
      </c>
      <c r="BB2" s="207" t="str">
        <f>Настройки!AJ2</f>
        <v>Canal_01</v>
      </c>
      <c r="BC2" s="207" t="str">
        <f>Настройки!AK2</f>
        <v>Canal_01</v>
      </c>
      <c r="BD2" s="207" t="str">
        <f>Настройки!AL2</f>
        <v>Canal_01</v>
      </c>
      <c r="BE2" s="207" t="str">
        <f>Настройки!AM2</f>
        <v>-</v>
      </c>
    </row>
    <row r="3" spans="1:57">
      <c r="A3" s="82"/>
      <c r="B3" s="82"/>
      <c r="C3" s="81"/>
      <c r="D3" s="81"/>
      <c r="E3" s="448" t="str">
        <f ca="1">IF(LEFT(E4,3)="out","INT_TO_BIT_BR"&amp;C4&amp;"(BR"&amp;C4&amp;".IDIG_MASK)","УДАЛИТЬ")</f>
        <v>УДАЛИТЬ</v>
      </c>
      <c r="F3" s="446" t="s">
        <v>845</v>
      </c>
      <c r="G3" s="447"/>
      <c r="H3" s="447"/>
      <c r="I3" s="459"/>
      <c r="M3" s="424" t="str">
        <f>'Конфигурация TREI'!A4</f>
        <v>BR2</v>
      </c>
      <c r="N3" s="424" t="str">
        <f>'Конфигурация TREI'!B4</f>
        <v>M548A</v>
      </c>
      <c r="P3" s="425" t="str">
        <f>'Конфигурация TREI'!D1</f>
        <v>Путь TREI для сигналов NOT_LINK</v>
      </c>
      <c r="R3" s="451" t="str">
        <f>SUBSTITUTE(SUBSTITUTE($R$2,"!","")," ","")</f>
        <v>18+23</v>
      </c>
      <c r="S3" s="450"/>
      <c r="T3" s="450"/>
      <c r="U3" s="450"/>
      <c r="V3" s="450"/>
      <c r="W3" s="450"/>
      <c r="X3" s="450"/>
      <c r="Y3" s="450"/>
      <c r="Z3" s="450"/>
      <c r="AA3" s="450"/>
      <c r="AB3" s="450"/>
      <c r="AC3" s="450"/>
      <c r="AE3" s="431">
        <f>Настройки!P3</f>
        <v>2</v>
      </c>
      <c r="AF3" s="380">
        <f>Настройки!Q3</f>
        <v>0</v>
      </c>
      <c r="AG3" s="380" t="str">
        <f>Настройки!R3</f>
        <v>IDIG_1_2</v>
      </c>
      <c r="AH3" s="380" t="str">
        <f>Настройки!S3</f>
        <v>IANS_1_4</v>
      </c>
      <c r="AI3" s="380" t="str">
        <f>Настройки!T3</f>
        <v>out1</v>
      </c>
      <c r="AJ3" s="380" t="str">
        <f>Настройки!U3</f>
        <v>out1</v>
      </c>
      <c r="AK3" s="380" t="str">
        <f>Настройки!V3</f>
        <v>ODIG_2</v>
      </c>
      <c r="AL3" s="380" t="str">
        <f>Настройки!W3</f>
        <v>OAN_2_1</v>
      </c>
      <c r="AM3" s="380" t="str">
        <f>Настройки!X3</f>
        <v>IANS_2_1</v>
      </c>
      <c r="AN3" s="380" t="str">
        <f>Настройки!Y3</f>
        <v>Canal_02</v>
      </c>
      <c r="AO3" s="380" t="str">
        <f>Настройки!Z3</f>
        <v>Canal_02</v>
      </c>
      <c r="AP3" s="380" t="str">
        <f>Настройки!AA3</f>
        <v>Canal_02</v>
      </c>
      <c r="AQ3" s="380" t="str">
        <f>Настройки!AB3</f>
        <v>Canal_02</v>
      </c>
      <c r="AR3" s="380" t="str">
        <f>Настройки!AC3</f>
        <v>IVXX[1]</v>
      </c>
      <c r="AS3" s="380" t="str">
        <f>Настройки!AD3</f>
        <v>IVXX[1]</v>
      </c>
      <c r="AT3" s="207" t="str">
        <f>Настройки!AB3</f>
        <v>Canal_02</v>
      </c>
      <c r="AU3" s="207" t="str">
        <f>Настройки!AC3</f>
        <v>IVXX[1]</v>
      </c>
      <c r="AV3" s="207" t="str">
        <f>Настройки!AD3</f>
        <v>IVXX[1]</v>
      </c>
      <c r="AW3" s="207" t="str">
        <f>Настройки!AE3</f>
        <v>IANS_1_2</v>
      </c>
      <c r="AX3" s="207" t="str">
        <f>Настройки!AF3</f>
        <v>IDIG_1_2</v>
      </c>
      <c r="AY3" s="207" t="str">
        <f>Настройки!AG3</f>
        <v>Canal_02</v>
      </c>
      <c r="AZ3" s="207" t="str">
        <f>Настройки!AH3</f>
        <v>Canal_02</v>
      </c>
      <c r="BA3" s="207" t="str">
        <f>Настройки!AI3</f>
        <v>Canal_02</v>
      </c>
      <c r="BB3" s="207" t="str">
        <f>Настройки!AJ3</f>
        <v>Canal_02</v>
      </c>
      <c r="BC3" s="207" t="str">
        <f>Настройки!AK3</f>
        <v>Canal_02</v>
      </c>
      <c r="BD3" s="207" t="str">
        <f>Настройки!AL3</f>
        <v>Canal_02</v>
      </c>
      <c r="BE3" s="207" t="str">
        <f>Настройки!AM3</f>
        <v>-</v>
      </c>
    </row>
    <row r="4" spans="1:57">
      <c r="A4" s="448" t="str">
        <f>SUBSTITUTE($P$2,"\","|")&amp;"|"&amp; $R$1 &amp;":="&amp;IF(LEFT(SUBSTITUTE($R$2," ",""),1)="!","NOT  ","")</f>
        <v>GP001_CB_SB_09|IVXX:=</v>
      </c>
      <c r="B4" s="448" t="str">
        <f ca="1">IF(LEFT(E4,3)="out","INT_TO_BIT_BR","BR")</f>
        <v>BR</v>
      </c>
      <c r="C4" s="446" t="str">
        <f>LEFT($R$3,FIND("+",$R$3,1)-1)</f>
        <v>18</v>
      </c>
      <c r="D4" s="446" t="s">
        <v>178</v>
      </c>
      <c r="E4" s="446" t="str">
        <f ca="1">IF($R$2=0,"УДАЛИТЬ",IFERROR(IF(OR($I4="-",$H4="0"),"КАНАЛ ОТСУТСТВУЕТ",IF($I4=0,"МОДУЛЬ ОТСУТСТВУЕТ",$I4)),"ОШИБКА ФОРМАТА"))</f>
        <v>Canal_23</v>
      </c>
      <c r="F4" s="446" t="s">
        <v>845</v>
      </c>
      <c r="G4" s="447" t="str">
        <f>INDEX($N$2:$N$61,C4)</f>
        <v>M558O</v>
      </c>
      <c r="H4" s="447" t="str">
        <f>RIGHT(R$3,LEN(R$3)-FIND("+",R$3,1))</f>
        <v>23</v>
      </c>
      <c r="I4" s="460" t="str">
        <f ca="1">INDIRECT(ADDRESS($H4+1,MATCH($G4,$1:$1,),1))</f>
        <v>Canal_23</v>
      </c>
      <c r="M4" s="424" t="str">
        <f>'Конфигурация TREI'!A5</f>
        <v>BR3</v>
      </c>
      <c r="N4" s="424" t="str">
        <f>'Конфигурация TREI'!B5</f>
        <v>M548A</v>
      </c>
      <c r="P4" s="3" t="str">
        <f>Настройки!D2</f>
        <v/>
      </c>
      <c r="AE4" s="431">
        <f>Настройки!P4</f>
        <v>3</v>
      </c>
      <c r="AF4" s="380">
        <f>Настройки!Q4</f>
        <v>0</v>
      </c>
      <c r="AG4" s="380" t="str">
        <f>Настройки!R4</f>
        <v>IDIG_2_1</v>
      </c>
      <c r="AH4" s="380" t="str">
        <f>Настройки!S4</f>
        <v>IANS_2_3</v>
      </c>
      <c r="AI4" s="380" t="str">
        <f>Настройки!T4</f>
        <v>out2</v>
      </c>
      <c r="AJ4" s="380" t="str">
        <f>Настройки!U4</f>
        <v>out2</v>
      </c>
      <c r="AK4" s="380" t="str">
        <f>Настройки!V4</f>
        <v>ODIG_3</v>
      </c>
      <c r="AL4" s="380" t="str">
        <f>Настройки!W4</f>
        <v>OAN_3_1</v>
      </c>
      <c r="AM4" s="380" t="str">
        <f>Настройки!X4</f>
        <v>IANS_3_1</v>
      </c>
      <c r="AN4" s="380" t="str">
        <f>Настройки!Y4</f>
        <v>Canal_03</v>
      </c>
      <c r="AO4" s="380" t="str">
        <f>Настройки!Z4</f>
        <v>Canal_03</v>
      </c>
      <c r="AP4" s="380" t="str">
        <f>Настройки!AA4</f>
        <v>Canal_03</v>
      </c>
      <c r="AQ4" s="380" t="str">
        <f>Настройки!AB4</f>
        <v>Canal_03</v>
      </c>
      <c r="AR4" s="380" t="str">
        <f>Настройки!AC4</f>
        <v>IVXX[2]</v>
      </c>
      <c r="AS4" s="380" t="str">
        <f>Настройки!AD4</f>
        <v>IVXX[2]</v>
      </c>
      <c r="AT4" s="207" t="str">
        <f>Настройки!AB4</f>
        <v>Canal_03</v>
      </c>
      <c r="AU4" s="207" t="str">
        <f>Настройки!AC4</f>
        <v>IVXX[2]</v>
      </c>
      <c r="AV4" s="207" t="str">
        <f>Настройки!AD4</f>
        <v>IVXX[2]</v>
      </c>
      <c r="AW4" s="207" t="str">
        <f>Настройки!AE4</f>
        <v>IANS_2_1</v>
      </c>
      <c r="AX4" s="207" t="str">
        <f>Настройки!AF4</f>
        <v>IDIG_1_3</v>
      </c>
      <c r="AY4" s="207" t="str">
        <f>Настройки!AG4</f>
        <v>Canal_03</v>
      </c>
      <c r="AZ4" s="207" t="str">
        <f>Настройки!AH4</f>
        <v>Canal_03</v>
      </c>
      <c r="BA4" s="207" t="str">
        <f>Настройки!AI4</f>
        <v>Canal_03</v>
      </c>
      <c r="BB4" s="207" t="str">
        <f>Настройки!AJ4</f>
        <v>Canal_03</v>
      </c>
      <c r="BC4" s="207" t="str">
        <f>Настройки!AK4</f>
        <v>Canal_03</v>
      </c>
      <c r="BD4" s="207" t="str">
        <f>Настройки!AL4</f>
        <v>Canal_03</v>
      </c>
      <c r="BE4" s="207" t="str">
        <f>Настройки!AM4</f>
        <v>-</v>
      </c>
    </row>
    <row r="5" spans="1:57" ht="14.25" customHeight="1">
      <c r="A5" s="448" t="str">
        <f>SUBSTITUTE($P$2,"\","|")&amp;"|"&amp;"D"&amp; RIGHT($R$1,3)&amp;":="&amp;P4&amp;"NOT_LINK_BR"</f>
        <v>GP001_CB_SB_09|DVXX:=NOT_LINK_BR</v>
      </c>
      <c r="B5" s="448"/>
      <c r="C5" s="446"/>
      <c r="D5" s="446"/>
      <c r="E5" s="446" t="str">
        <f>IFERROR(LEFT($R$3,FIND("+",$R$3,1)-1),"УДАЛИТЬ")</f>
        <v>18</v>
      </c>
      <c r="F5" s="446" t="s">
        <v>845</v>
      </c>
      <c r="G5" s="447"/>
      <c r="H5" s="447"/>
      <c r="I5" s="460"/>
      <c r="M5" s="424" t="str">
        <f>'Конфигурация TREI'!A6</f>
        <v>BR4</v>
      </c>
      <c r="N5" s="424" t="str">
        <f>'Конфигурация TREI'!B6</f>
        <v>M558D</v>
      </c>
      <c r="R5" s="56"/>
      <c r="AE5" s="431">
        <f>Настройки!P5</f>
        <v>4</v>
      </c>
      <c r="AF5" s="380">
        <f>Настройки!Q5</f>
        <v>0</v>
      </c>
      <c r="AG5" s="380" t="str">
        <f>Настройки!R5</f>
        <v>IDIG_2_2</v>
      </c>
      <c r="AH5" s="380" t="str">
        <f>Настройки!S5</f>
        <v>IANS_2_4</v>
      </c>
      <c r="AI5" s="380" t="str">
        <f>Настройки!T5</f>
        <v>out3</v>
      </c>
      <c r="AJ5" s="380" t="str">
        <f>Настройки!U5</f>
        <v>out3</v>
      </c>
      <c r="AK5" s="380" t="str">
        <f>Настройки!V5</f>
        <v>ODIG_4</v>
      </c>
      <c r="AL5" s="380" t="str">
        <f>Настройки!W5</f>
        <v>OAN_4_1</v>
      </c>
      <c r="AM5" s="380" t="str">
        <f>Настройки!X5</f>
        <v>IANS_4_1</v>
      </c>
      <c r="AN5" s="380" t="str">
        <f>Настройки!Y5</f>
        <v>Canal_04</v>
      </c>
      <c r="AO5" s="380" t="str">
        <f>Настройки!Z5</f>
        <v>Canal_04</v>
      </c>
      <c r="AP5" s="380" t="str">
        <f>Настройки!AA5</f>
        <v>Canal_04</v>
      </c>
      <c r="AQ5" s="380" t="str">
        <f>Настройки!AB5</f>
        <v>Canal_04</v>
      </c>
      <c r="AR5" s="380" t="str">
        <f>Настройки!AC5</f>
        <v>IVXX[3]</v>
      </c>
      <c r="AS5" s="380" t="str">
        <f>Настройки!AD5</f>
        <v>IVXX[3]</v>
      </c>
      <c r="AT5" s="207" t="str">
        <f>Настройки!AB5</f>
        <v>Canal_04</v>
      </c>
      <c r="AU5" s="207" t="str">
        <f>Настройки!AC5</f>
        <v>IVXX[3]</v>
      </c>
      <c r="AV5" s="207" t="str">
        <f>Настройки!AD5</f>
        <v>IVXX[3]</v>
      </c>
      <c r="AW5" s="207" t="str">
        <f>Настройки!AE5</f>
        <v>IANS_2_2</v>
      </c>
      <c r="AX5" s="207" t="str">
        <f>Настройки!AF5</f>
        <v>IDIG_1_4</v>
      </c>
      <c r="AY5" s="207" t="str">
        <f>Настройки!AG5</f>
        <v>Canal_04</v>
      </c>
      <c r="AZ5" s="207" t="str">
        <f>Настройки!AH5</f>
        <v>Canal_04</v>
      </c>
      <c r="BA5" s="207" t="str">
        <f>Настройки!AI5</f>
        <v>Canal_04</v>
      </c>
      <c r="BB5" s="207" t="str">
        <f>Настройки!AJ5</f>
        <v>Canal_04</v>
      </c>
      <c r="BC5" s="207" t="str">
        <f>Настройки!AK5</f>
        <v>Canal_04</v>
      </c>
      <c r="BD5" s="207" t="str">
        <f>Настройки!AL5</f>
        <v>Canal_04</v>
      </c>
      <c r="BE5" s="207" t="str">
        <f>Настройки!AM5</f>
        <v>-</v>
      </c>
    </row>
    <row r="6" spans="1:57">
      <c r="A6" s="82"/>
      <c r="B6" s="82"/>
      <c r="C6" s="81"/>
      <c r="D6" s="81"/>
      <c r="E6" s="82"/>
      <c r="F6" s="81"/>
      <c r="G6" s="445"/>
      <c r="H6" s="445"/>
      <c r="I6" s="460"/>
      <c r="M6" s="424" t="str">
        <f>'Конфигурация TREI'!A7</f>
        <v>BR5</v>
      </c>
      <c r="N6" s="424" t="str">
        <f>'Конфигурация TREI'!B7</f>
        <v>M558O</v>
      </c>
      <c r="AE6" s="431">
        <f>Настройки!P6</f>
        <v>5</v>
      </c>
      <c r="AF6" s="380">
        <f>Настройки!Q6</f>
        <v>0</v>
      </c>
      <c r="AG6" s="380" t="str">
        <f>Настройки!R6</f>
        <v>IDIG_3_1</v>
      </c>
      <c r="AH6" s="380" t="str">
        <f>Настройки!S6</f>
        <v>IANS_3_3</v>
      </c>
      <c r="AI6" s="380" t="str">
        <f>Настройки!T6</f>
        <v>out4</v>
      </c>
      <c r="AJ6" s="380" t="str">
        <f>Настройки!U6</f>
        <v>out4</v>
      </c>
      <c r="AK6" s="380" t="str">
        <f>Настройки!V6</f>
        <v>ODIG_5</v>
      </c>
      <c r="AL6" s="380" t="str">
        <f>Настройки!W6</f>
        <v>OAN_5_1</v>
      </c>
      <c r="AM6" s="380" t="str">
        <f>Настройки!X6</f>
        <v>IANS_5_1</v>
      </c>
      <c r="AN6" s="380" t="str">
        <f>Настройки!Y6</f>
        <v>Canal_05</v>
      </c>
      <c r="AO6" s="380" t="str">
        <f>Настройки!Z6</f>
        <v>Canal_05</v>
      </c>
      <c r="AP6" s="380" t="str">
        <f>Настройки!AA6</f>
        <v>Canal_05</v>
      </c>
      <c r="AQ6" s="380" t="str">
        <f>Настройки!AB6</f>
        <v>Canal_05</v>
      </c>
      <c r="AR6" s="380" t="str">
        <f>Настройки!AC6</f>
        <v>IVXX[4]</v>
      </c>
      <c r="AS6" s="380" t="str">
        <f>Настройки!AD6</f>
        <v>IVXX[4]</v>
      </c>
      <c r="AT6" s="207" t="str">
        <f>Настройки!AB6</f>
        <v>Canal_05</v>
      </c>
      <c r="AU6" s="207" t="str">
        <f>Настройки!AC6</f>
        <v>IVXX[4]</v>
      </c>
      <c r="AV6" s="207" t="str">
        <f>Настройки!AD6</f>
        <v>IVXX[4]</v>
      </c>
      <c r="AW6" s="207" t="str">
        <f>Настройки!AE6</f>
        <v>IANS_3_1</v>
      </c>
      <c r="AX6" s="207" t="str">
        <f>Настройки!AF6</f>
        <v>IDIG_2_1</v>
      </c>
      <c r="AY6" s="207" t="str">
        <f>Настройки!AG6</f>
        <v>Canal_05</v>
      </c>
      <c r="AZ6" s="207" t="str">
        <f>Настройки!AH6</f>
        <v>Canal_05</v>
      </c>
      <c r="BA6" s="207" t="str">
        <f>Настройки!AI6</f>
        <v>Canal_05</v>
      </c>
      <c r="BB6" s="207" t="str">
        <f>Настройки!AJ6</f>
        <v>Canal_05</v>
      </c>
      <c r="BC6" s="207" t="str">
        <f>Настройки!AK6</f>
        <v>Canal_05</v>
      </c>
      <c r="BD6" s="207" t="str">
        <f>Настройки!AL6</f>
        <v>Canal_05</v>
      </c>
      <c r="BE6" s="207" t="str">
        <f>Настройки!AM6</f>
        <v>-</v>
      </c>
    </row>
    <row r="7" spans="1:57">
      <c r="A7" s="82"/>
      <c r="B7" s="82"/>
      <c r="C7" s="81"/>
      <c r="D7" s="81"/>
      <c r="E7" s="82"/>
      <c r="F7" s="81"/>
      <c r="G7" s="445"/>
      <c r="H7" s="445"/>
      <c r="I7" s="460"/>
      <c r="M7" s="424" t="str">
        <f>'Конфигурация TREI'!A8</f>
        <v>BR6</v>
      </c>
      <c r="N7" s="424" t="str">
        <f>'Конфигурация TREI'!B8</f>
        <v>M558O</v>
      </c>
      <c r="AE7" s="431">
        <f>Настройки!P7</f>
        <v>6</v>
      </c>
      <c r="AF7" s="380">
        <f>Настройки!Q7</f>
        <v>0</v>
      </c>
      <c r="AG7" s="380" t="str">
        <f>Настройки!R7</f>
        <v>IDIG_3_2</v>
      </c>
      <c r="AH7" s="380" t="str">
        <f>Настройки!S7</f>
        <v>IANS_3_4</v>
      </c>
      <c r="AI7" s="380" t="str">
        <f>Настройки!T7</f>
        <v>out5</v>
      </c>
      <c r="AJ7" s="380" t="str">
        <f>Настройки!U7</f>
        <v>out5</v>
      </c>
      <c r="AK7" s="380" t="str">
        <f>Настройки!V7</f>
        <v>ODIG_6</v>
      </c>
      <c r="AL7" s="380" t="str">
        <f>Настройки!W7</f>
        <v>OAN_6_1</v>
      </c>
      <c r="AM7" s="380" t="str">
        <f>Настройки!X7</f>
        <v>IANS_6_1</v>
      </c>
      <c r="AN7" s="380" t="str">
        <f>Настройки!Y7</f>
        <v>Canal_06</v>
      </c>
      <c r="AO7" s="380" t="str">
        <f>Настройки!Z7</f>
        <v>Canal_06</v>
      </c>
      <c r="AP7" s="380" t="str">
        <f>Настройки!AA7</f>
        <v>Canal_06</v>
      </c>
      <c r="AQ7" s="380" t="str">
        <f>Настройки!AB7</f>
        <v>Canal_06</v>
      </c>
      <c r="AR7" s="380" t="str">
        <f>Настройки!AC7</f>
        <v>IVXX[5]</v>
      </c>
      <c r="AS7" s="380" t="str">
        <f>Настройки!AD7</f>
        <v>IVXX[5]</v>
      </c>
      <c r="AT7" s="207" t="str">
        <f>Настройки!AB7</f>
        <v>Canal_06</v>
      </c>
      <c r="AU7" s="207" t="str">
        <f>Настройки!AC7</f>
        <v>IVXX[5]</v>
      </c>
      <c r="AV7" s="207" t="str">
        <f>Настройки!AD7</f>
        <v>IVXX[5]</v>
      </c>
      <c r="AW7" s="207" t="str">
        <f>Настройки!AE7</f>
        <v>IANS_3_2</v>
      </c>
      <c r="AX7" s="207" t="str">
        <f>Настройки!AF7</f>
        <v>IDIG_2_2</v>
      </c>
      <c r="AY7" s="207" t="str">
        <f>Настройки!AG7</f>
        <v>Canal_06</v>
      </c>
      <c r="AZ7" s="207" t="str">
        <f>Настройки!AH7</f>
        <v>Canal_06</v>
      </c>
      <c r="BA7" s="207" t="str">
        <f>Настройки!AI7</f>
        <v>Canal_06</v>
      </c>
      <c r="BB7" s="207" t="str">
        <f>Настройки!AJ7</f>
        <v>Canal_06</v>
      </c>
      <c r="BC7" s="207" t="str">
        <f>Настройки!AK7</f>
        <v>Canal_06</v>
      </c>
      <c r="BD7" s="207" t="str">
        <f>Настройки!AL7</f>
        <v>Canal_06</v>
      </c>
      <c r="BE7" s="207" t="str">
        <f>Настройки!AM7</f>
        <v>-</v>
      </c>
    </row>
    <row r="8" spans="1:57">
      <c r="A8" s="82"/>
      <c r="B8" s="82"/>
      <c r="C8" s="81"/>
      <c r="D8" s="81"/>
      <c r="E8" s="82"/>
      <c r="F8" s="81"/>
      <c r="G8" s="445"/>
      <c r="H8" s="445"/>
      <c r="I8" s="460"/>
      <c r="M8" s="424" t="str">
        <f>'Конфигурация TREI'!A9</f>
        <v>BR7</v>
      </c>
      <c r="N8" s="424" t="str">
        <f>'Конфигурация TREI'!B9</f>
        <v>M558O</v>
      </c>
      <c r="AE8" s="431">
        <f>Настройки!P8</f>
        <v>7</v>
      </c>
      <c r="AF8" s="380">
        <f>Настройки!Q8</f>
        <v>0</v>
      </c>
      <c r="AG8" s="380" t="str">
        <f>Настройки!R8</f>
        <v>IDIG_4_1</v>
      </c>
      <c r="AH8" s="380" t="str">
        <f>Настройки!S8</f>
        <v>IANS_4_3</v>
      </c>
      <c r="AI8" s="380" t="str">
        <f>Настройки!T8</f>
        <v>out6</v>
      </c>
      <c r="AJ8" s="380" t="str">
        <f>Настройки!U8</f>
        <v>out6</v>
      </c>
      <c r="AK8" s="380" t="str">
        <f>Настройки!V8</f>
        <v>ODIG_7</v>
      </c>
      <c r="AL8" s="380" t="str">
        <f>Настройки!W8</f>
        <v>OAN_7_1</v>
      </c>
      <c r="AM8" s="380" t="str">
        <f>Настройки!X8</f>
        <v>IANS_7_1</v>
      </c>
      <c r="AN8" s="380" t="str">
        <f>Настройки!Y8</f>
        <v>Canal_07</v>
      </c>
      <c r="AO8" s="380" t="str">
        <f>Настройки!Z8</f>
        <v>Canal_07</v>
      </c>
      <c r="AP8" s="380" t="str">
        <f>Настройки!AA8</f>
        <v>Canal_07</v>
      </c>
      <c r="AQ8" s="380" t="str">
        <f>Настройки!AB8</f>
        <v>Canal_07</v>
      </c>
      <c r="AR8" s="380" t="str">
        <f>Настройки!AC8</f>
        <v>IVXX[6]</v>
      </c>
      <c r="AS8" s="380" t="str">
        <f>Настройки!AD8</f>
        <v>IVXX[6]</v>
      </c>
      <c r="AT8" s="207" t="str">
        <f>Настройки!AB8</f>
        <v>Canal_07</v>
      </c>
      <c r="AU8" s="207" t="str">
        <f>Настройки!AC8</f>
        <v>IVXX[6]</v>
      </c>
      <c r="AV8" s="207" t="str">
        <f>Настройки!AD8</f>
        <v>IVXX[6]</v>
      </c>
      <c r="AW8" s="207" t="str">
        <f>Настройки!AE8</f>
        <v>IANS_4_1</v>
      </c>
      <c r="AX8" s="207" t="str">
        <f>Настройки!AF8</f>
        <v>IDIG_2_3</v>
      </c>
      <c r="AY8" s="207" t="str">
        <f>Настройки!AG8</f>
        <v>Canal_07</v>
      </c>
      <c r="AZ8" s="207" t="str">
        <f>Настройки!AH8</f>
        <v>Canal_07</v>
      </c>
      <c r="BA8" s="207" t="str">
        <f>Настройки!AI8</f>
        <v>Canal_07</v>
      </c>
      <c r="BB8" s="207" t="str">
        <f>Настройки!AJ8</f>
        <v>Canal_07</v>
      </c>
      <c r="BC8" s="207" t="str">
        <f>Настройки!AK8</f>
        <v>Canal_07</v>
      </c>
      <c r="BD8" s="207" t="str">
        <f>Настройки!AL8</f>
        <v>Canal_07</v>
      </c>
      <c r="BE8" s="207" t="str">
        <f>Настройки!AM8</f>
        <v>-</v>
      </c>
    </row>
    <row r="9" spans="1:57">
      <c r="A9" s="82"/>
      <c r="B9" s="82"/>
      <c r="C9" s="81"/>
      <c r="D9" s="81"/>
      <c r="E9" s="82"/>
      <c r="F9" s="81"/>
      <c r="G9" s="445"/>
      <c r="H9" s="445"/>
      <c r="I9" s="1"/>
      <c r="M9" s="424" t="str">
        <f>'Конфигурация TREI'!A10</f>
        <v>BR8</v>
      </c>
      <c r="N9" s="424" t="str">
        <f>'Конфигурация TREI'!B10</f>
        <v>M558O</v>
      </c>
      <c r="AE9" s="431">
        <f>Настройки!P9</f>
        <v>8</v>
      </c>
      <c r="AF9" s="380">
        <f>Настройки!Q9</f>
        <v>0</v>
      </c>
      <c r="AG9" s="380" t="str">
        <f>Настройки!R9</f>
        <v>IDIG_4_2</v>
      </c>
      <c r="AH9" s="380" t="str">
        <f>Настройки!S9</f>
        <v>IANS_4_4</v>
      </c>
      <c r="AI9" s="380" t="str">
        <f>Настройки!T9</f>
        <v>out7</v>
      </c>
      <c r="AJ9" s="380" t="str">
        <f>Настройки!U9</f>
        <v>out7</v>
      </c>
      <c r="AK9" s="380" t="str">
        <f>Настройки!V9</f>
        <v>ODIG_8</v>
      </c>
      <c r="AL9" s="380" t="str">
        <f>Настройки!W9</f>
        <v>OAN_8_1</v>
      </c>
      <c r="AM9" s="380" t="str">
        <f>Настройки!X9</f>
        <v>IANS_8_1</v>
      </c>
      <c r="AN9" s="380" t="str">
        <f>Настройки!Y9</f>
        <v>Canal_08</v>
      </c>
      <c r="AO9" s="380" t="str">
        <f>Настройки!Z9</f>
        <v>Canal_08</v>
      </c>
      <c r="AP9" s="380" t="str">
        <f>Настройки!AA9</f>
        <v>Canal_08</v>
      </c>
      <c r="AQ9" s="380" t="str">
        <f>Настройки!AB9</f>
        <v>Canal_08</v>
      </c>
      <c r="AR9" s="380" t="str">
        <f>Настройки!AC9</f>
        <v>IVXX[7]</v>
      </c>
      <c r="AS9" s="380" t="str">
        <f>Настройки!AD9</f>
        <v>IVXX[7]</v>
      </c>
      <c r="AT9" s="207" t="str">
        <f>Настройки!AB9</f>
        <v>Canal_08</v>
      </c>
      <c r="AU9" s="207" t="str">
        <f>Настройки!AC9</f>
        <v>IVXX[7]</v>
      </c>
      <c r="AV9" s="207" t="str">
        <f>Настройки!AD9</f>
        <v>IVXX[7]</v>
      </c>
      <c r="AW9" s="207" t="str">
        <f>Настройки!AE9</f>
        <v>IANS_4_2</v>
      </c>
      <c r="AX9" s="207" t="str">
        <f>Настройки!AF9</f>
        <v>IDIG_2_4</v>
      </c>
      <c r="AY9" s="207" t="str">
        <f>Настройки!AG9</f>
        <v>Canal_08</v>
      </c>
      <c r="AZ9" s="207" t="str">
        <f>Настройки!AH9</f>
        <v>Canal_08</v>
      </c>
      <c r="BA9" s="207" t="str">
        <f>Настройки!AI9</f>
        <v>Canal_08</v>
      </c>
      <c r="BB9" s="207" t="str">
        <f>Настройки!AJ9</f>
        <v>Canal_08</v>
      </c>
      <c r="BC9" s="207" t="str">
        <f>Настройки!AK9</f>
        <v>Canal_08</v>
      </c>
      <c r="BD9" s="207" t="str">
        <f>Настройки!AL9</f>
        <v>Canal_08</v>
      </c>
      <c r="BE9" s="207" t="str">
        <f>Настройки!AM9</f>
        <v>-</v>
      </c>
    </row>
    <row r="10" spans="1:57">
      <c r="A10" s="82"/>
      <c r="B10" s="82"/>
      <c r="C10" s="81"/>
      <c r="D10" s="81"/>
      <c r="E10" s="82"/>
      <c r="F10" s="81"/>
      <c r="G10" s="445"/>
      <c r="H10" s="445"/>
      <c r="I10" s="1"/>
      <c r="M10" s="424" t="str">
        <f>'Конфигурация TREI'!A11</f>
        <v>BR9</v>
      </c>
      <c r="N10" s="424" t="str">
        <f>'Конфигурация TREI'!B11</f>
        <v>M558D</v>
      </c>
      <c r="AE10" s="431">
        <f>Настройки!P10</f>
        <v>9</v>
      </c>
      <c r="AF10" s="380">
        <f>Настройки!Q10</f>
        <v>0</v>
      </c>
      <c r="AG10" s="380" t="str">
        <f>Настройки!R10</f>
        <v>IDIG_5_1</v>
      </c>
      <c r="AH10" s="380" t="str">
        <f>Настройки!S10</f>
        <v>IANS_5_3</v>
      </c>
      <c r="AI10" s="380" t="str">
        <f>Настройки!T10</f>
        <v>out8</v>
      </c>
      <c r="AJ10" s="380" t="str">
        <f>Настройки!U10</f>
        <v>out8</v>
      </c>
      <c r="AK10" s="380" t="str">
        <f>Настройки!V10</f>
        <v>ODIG_9</v>
      </c>
      <c r="AL10" s="380" t="str">
        <f>Настройки!W10</f>
        <v>-</v>
      </c>
      <c r="AM10" s="380" t="str">
        <f>Настройки!X10</f>
        <v>-</v>
      </c>
      <c r="AN10" s="380" t="str">
        <f>Настройки!Y10</f>
        <v>Canal_09</v>
      </c>
      <c r="AO10" s="380" t="str">
        <f>Настройки!Z10</f>
        <v>-</v>
      </c>
      <c r="AP10" s="380" t="str">
        <f>Настройки!AA10</f>
        <v>Canal_09</v>
      </c>
      <c r="AQ10" s="380" t="str">
        <f>Настройки!AB10</f>
        <v>Canal_09</v>
      </c>
      <c r="AR10" s="380" t="str">
        <f>Настройки!AC10</f>
        <v>OCCH[0]</v>
      </c>
      <c r="AS10" s="380" t="str">
        <f>Настройки!AD10</f>
        <v>OCCH[0]</v>
      </c>
      <c r="AT10" s="207" t="str">
        <f>Настройки!AB10</f>
        <v>Canal_09</v>
      </c>
      <c r="AU10" s="207" t="str">
        <f>Настройки!AC10</f>
        <v>OCCH[0]</v>
      </c>
      <c r="AV10" s="207" t="str">
        <f>Настройки!AD10</f>
        <v>OCCH[0]</v>
      </c>
      <c r="AW10" s="207" t="str">
        <f>Настройки!AE10</f>
        <v>IANS_5_1</v>
      </c>
      <c r="AX10" s="207" t="str">
        <f>Настройки!AF10</f>
        <v>IDIG_3_1</v>
      </c>
      <c r="AY10" s="207" t="str">
        <f>Настройки!AG10</f>
        <v>Canal_09</v>
      </c>
      <c r="AZ10" s="207" t="str">
        <f>Настройки!AH10</f>
        <v>Canal_09</v>
      </c>
      <c r="BA10" s="207" t="str">
        <f>Настройки!AI10</f>
        <v>Canal_09</v>
      </c>
      <c r="BB10" s="207" t="str">
        <f>Настройки!AJ10</f>
        <v>Canal_09</v>
      </c>
      <c r="BC10" s="207" t="str">
        <f>Настройки!AK10</f>
        <v>-</v>
      </c>
      <c r="BD10" s="207" t="str">
        <f>Настройки!AL10</f>
        <v>Canal_09</v>
      </c>
      <c r="BE10" s="207" t="str">
        <f>Настройки!AM10</f>
        <v>-</v>
      </c>
    </row>
    <row r="11" spans="1:57">
      <c r="A11" s="82"/>
      <c r="B11" s="82"/>
      <c r="C11" s="81"/>
      <c r="D11" s="81"/>
      <c r="E11" s="82"/>
      <c r="F11" s="81"/>
      <c r="G11" s="445"/>
      <c r="H11" s="445"/>
      <c r="I11" s="1"/>
      <c r="M11" s="424" t="str">
        <f>'Конфигурация TREI'!A12</f>
        <v>BR10</v>
      </c>
      <c r="N11" s="424" t="str">
        <f>'Конфигурация TREI'!B12</f>
        <v>M558O</v>
      </c>
      <c r="AE11" s="431">
        <f>Настройки!P11</f>
        <v>10</v>
      </c>
      <c r="AF11" s="380">
        <f>Настройки!Q11</f>
        <v>0</v>
      </c>
      <c r="AG11" s="380" t="str">
        <f>Настройки!R11</f>
        <v>IDIG_5_2</v>
      </c>
      <c r="AH11" s="380" t="str">
        <f>Настройки!S11</f>
        <v>IANS_5_4</v>
      </c>
      <c r="AI11" s="380" t="str">
        <f>Настройки!T11</f>
        <v>out9</v>
      </c>
      <c r="AJ11" s="380" t="str">
        <f>Настройки!U11</f>
        <v>out9</v>
      </c>
      <c r="AK11" s="380" t="str">
        <f>Настройки!V11</f>
        <v>ODIG_10</v>
      </c>
      <c r="AL11" s="380" t="str">
        <f>Настройки!W11</f>
        <v>-</v>
      </c>
      <c r="AM11" s="380" t="str">
        <f>Настройки!X11</f>
        <v>-</v>
      </c>
      <c r="AN11" s="380" t="str">
        <f>Настройки!Y11</f>
        <v>Canal_10</v>
      </c>
      <c r="AO11" s="380" t="str">
        <f>Настройки!Z11</f>
        <v>-</v>
      </c>
      <c r="AP11" s="380" t="str">
        <f>Настройки!AA11</f>
        <v>Canal_10</v>
      </c>
      <c r="AQ11" s="380" t="str">
        <f>Настройки!AB11</f>
        <v>Canal_10</v>
      </c>
      <c r="AR11" s="380" t="str">
        <f>Настройки!AC11</f>
        <v>OCCH[1]</v>
      </c>
      <c r="AS11" s="380" t="str">
        <f>Настройки!AD11</f>
        <v>OCCH[1]</v>
      </c>
      <c r="AT11" s="207" t="str">
        <f>Настройки!AB11</f>
        <v>Canal_10</v>
      </c>
      <c r="AU11" s="207" t="str">
        <f>Настройки!AC11</f>
        <v>OCCH[1]</v>
      </c>
      <c r="AV11" s="207" t="str">
        <f>Настройки!AD11</f>
        <v>OCCH[1]</v>
      </c>
      <c r="AW11" s="207" t="str">
        <f>Настройки!AE11</f>
        <v>IANS_5_2</v>
      </c>
      <c r="AX11" s="207" t="str">
        <f>Настройки!AF11</f>
        <v>IDIG_3_2</v>
      </c>
      <c r="AY11" s="207" t="str">
        <f>Настройки!AG11</f>
        <v>Canal_10</v>
      </c>
      <c r="AZ11" s="207" t="str">
        <f>Настройки!AH11</f>
        <v>Canal_10</v>
      </c>
      <c r="BA11" s="207" t="str">
        <f>Настройки!AI11</f>
        <v>Canal_10</v>
      </c>
      <c r="BB11" s="207" t="str">
        <f>Настройки!AJ11</f>
        <v>Canal_10</v>
      </c>
      <c r="BC11" s="207" t="str">
        <f>Настройки!AK11</f>
        <v>-</v>
      </c>
      <c r="BD11" s="207" t="str">
        <f>Настройки!AL11</f>
        <v>Canal_10</v>
      </c>
      <c r="BE11" s="207" t="str">
        <f>Настройки!AM11</f>
        <v>-</v>
      </c>
    </row>
    <row r="12" spans="1:57">
      <c r="A12" s="82"/>
      <c r="B12" s="82"/>
      <c r="C12" s="81"/>
      <c r="D12" s="81"/>
      <c r="E12" s="81"/>
      <c r="F12" s="81"/>
      <c r="G12" s="445"/>
      <c r="H12" s="445"/>
      <c r="I12" s="1"/>
      <c r="M12" s="424" t="str">
        <f>'Конфигурация TREI'!A13</f>
        <v>BR11</v>
      </c>
      <c r="N12" s="424" t="str">
        <f>'Конфигурация TREI'!B13</f>
        <v>M558D</v>
      </c>
      <c r="AE12" s="431">
        <f>Настройки!P12</f>
        <v>11</v>
      </c>
      <c r="AF12" s="380">
        <f>Настройки!Q12</f>
        <v>0</v>
      </c>
      <c r="AG12" s="380" t="str">
        <f>Настройки!R12</f>
        <v>IDIG_6_1</v>
      </c>
      <c r="AH12" s="380" t="str">
        <f>Настройки!S12</f>
        <v>IANS_6_3</v>
      </c>
      <c r="AI12" s="380" t="str">
        <f>Настройки!T12</f>
        <v>out10</v>
      </c>
      <c r="AJ12" s="380" t="str">
        <f>Настройки!U12</f>
        <v>out10</v>
      </c>
      <c r="AK12" s="380" t="str">
        <f>Настройки!V12</f>
        <v>ODIG_11</v>
      </c>
      <c r="AL12" s="380" t="str">
        <f>Настройки!W12</f>
        <v>-</v>
      </c>
      <c r="AM12" s="380" t="str">
        <f>Настройки!X12</f>
        <v>-</v>
      </c>
      <c r="AN12" s="380" t="str">
        <f>Настройки!Y12</f>
        <v>Canal_11</v>
      </c>
      <c r="AO12" s="380" t="str">
        <f>Настройки!Z12</f>
        <v>-</v>
      </c>
      <c r="AP12" s="380" t="str">
        <f>Настройки!AA12</f>
        <v>Canal_11</v>
      </c>
      <c r="AQ12" s="380" t="str">
        <f>Настройки!AB12</f>
        <v>Canal_11</v>
      </c>
      <c r="AR12" s="380" t="str">
        <f>Настройки!AC12</f>
        <v>OCCH[2]</v>
      </c>
      <c r="AS12" s="380" t="str">
        <f>Настройки!AD12</f>
        <v>OCCH[2]</v>
      </c>
      <c r="AT12" s="207" t="str">
        <f>Настройки!AB12</f>
        <v>Canal_11</v>
      </c>
      <c r="AU12" s="207" t="str">
        <f>Настройки!AC12</f>
        <v>OCCH[2]</v>
      </c>
      <c r="AV12" s="207" t="str">
        <f>Настройки!AD12</f>
        <v>OCCH[2]</v>
      </c>
      <c r="AW12" s="207" t="str">
        <f>Настройки!AE12</f>
        <v>IANS_6_1</v>
      </c>
      <c r="AX12" s="207" t="str">
        <f>Настройки!AF12</f>
        <v>IDIG_3_3</v>
      </c>
      <c r="AY12" s="207" t="str">
        <f>Настройки!AG12</f>
        <v>Canal_11</v>
      </c>
      <c r="AZ12" s="207" t="str">
        <f>Настройки!AH12</f>
        <v>Canal_11</v>
      </c>
      <c r="BA12" s="207" t="str">
        <f>Настройки!AI12</f>
        <v>Canal_11</v>
      </c>
      <c r="BB12" s="207" t="str">
        <f>Настройки!AJ12</f>
        <v>Canal_11</v>
      </c>
      <c r="BC12" s="207" t="str">
        <f>Настройки!AK12</f>
        <v>-</v>
      </c>
      <c r="BD12" s="207" t="str">
        <f>Настройки!AL12</f>
        <v>Canal_11</v>
      </c>
      <c r="BE12" s="207" t="str">
        <f>Настройки!AM12</f>
        <v>-</v>
      </c>
    </row>
    <row r="13" spans="1:57">
      <c r="A13" s="82"/>
      <c r="B13" s="82"/>
      <c r="C13" s="81"/>
      <c r="D13" s="81"/>
      <c r="E13" s="81"/>
      <c r="F13" s="81"/>
      <c r="G13" s="445"/>
      <c r="H13" s="445"/>
      <c r="I13" s="1"/>
      <c r="M13" s="424" t="str">
        <f>'Конфигурация TREI'!A14</f>
        <v>BR12</v>
      </c>
      <c r="N13" s="424" t="str">
        <f>'Конфигурация TREI'!B14</f>
        <v>M558D</v>
      </c>
      <c r="AE13" s="431">
        <f>Настройки!P13</f>
        <v>12</v>
      </c>
      <c r="AF13" s="380">
        <f>Настройки!Q13</f>
        <v>0</v>
      </c>
      <c r="AG13" s="380" t="str">
        <f>Настройки!R13</f>
        <v>IDIG_6_2</v>
      </c>
      <c r="AH13" s="380" t="str">
        <f>Настройки!S13</f>
        <v>IANS_6_4</v>
      </c>
      <c r="AI13" s="380" t="str">
        <f>Настройки!T13</f>
        <v>out11</v>
      </c>
      <c r="AJ13" s="380" t="str">
        <f>Настройки!U13</f>
        <v>out11</v>
      </c>
      <c r="AK13" s="380" t="str">
        <f>Настройки!V13</f>
        <v>ODIG_12</v>
      </c>
      <c r="AL13" s="380" t="str">
        <f>Настройки!W13</f>
        <v>-</v>
      </c>
      <c r="AM13" s="380" t="str">
        <f>Настройки!X13</f>
        <v>-</v>
      </c>
      <c r="AN13" s="380" t="str">
        <f>Настройки!Y13</f>
        <v>Canal_12</v>
      </c>
      <c r="AO13" s="380" t="str">
        <f>Настройки!Z13</f>
        <v>-</v>
      </c>
      <c r="AP13" s="380" t="str">
        <f>Настройки!AA13</f>
        <v>Canal_12</v>
      </c>
      <c r="AQ13" s="380" t="str">
        <f>Настройки!AB13</f>
        <v>Canal_12</v>
      </c>
      <c r="AR13" s="380" t="str">
        <f>Настройки!AC13</f>
        <v>OCCH[3]</v>
      </c>
      <c r="AS13" s="380" t="str">
        <f>Настройки!AD13</f>
        <v>OCCH[3]</v>
      </c>
      <c r="AT13" s="207" t="str">
        <f>Настройки!AB13</f>
        <v>Canal_12</v>
      </c>
      <c r="AU13" s="207" t="str">
        <f>Настройки!AC13</f>
        <v>OCCH[3]</v>
      </c>
      <c r="AV13" s="207" t="str">
        <f>Настройки!AD13</f>
        <v>OCCH[3]</v>
      </c>
      <c r="AW13" s="207" t="str">
        <f>Настройки!AE13</f>
        <v>IANS_6_2</v>
      </c>
      <c r="AX13" s="207" t="str">
        <f>Настройки!AF13</f>
        <v>IDIG_3_4</v>
      </c>
      <c r="AY13" s="207" t="str">
        <f>Настройки!AG13</f>
        <v>Canal_12</v>
      </c>
      <c r="AZ13" s="207" t="str">
        <f>Настройки!AH13</f>
        <v>Canal_12</v>
      </c>
      <c r="BA13" s="207" t="str">
        <f>Настройки!AI13</f>
        <v>Canal_12</v>
      </c>
      <c r="BB13" s="207" t="str">
        <f>Настройки!AJ13</f>
        <v>Canal_12</v>
      </c>
      <c r="BC13" s="207" t="str">
        <f>Настройки!AK13</f>
        <v>-</v>
      </c>
      <c r="BD13" s="207" t="str">
        <f>Настройки!AL13</f>
        <v>Canal_12</v>
      </c>
      <c r="BE13" s="207" t="str">
        <f>Настройки!AM13</f>
        <v>-</v>
      </c>
    </row>
    <row r="14" spans="1:57">
      <c r="A14" s="82"/>
      <c r="B14" s="82"/>
      <c r="C14" s="81"/>
      <c r="D14" s="81"/>
      <c r="E14" s="81"/>
      <c r="F14" s="81"/>
      <c r="G14" s="445"/>
      <c r="H14" s="447"/>
      <c r="I14" s="1"/>
      <c r="M14" s="424" t="str">
        <f>'Конфигурация TREI'!A15</f>
        <v>BR13</v>
      </c>
      <c r="N14" s="424" t="str">
        <f>'Конфигурация TREI'!B15</f>
        <v>M558D</v>
      </c>
      <c r="AE14" s="431">
        <f>Настройки!P14</f>
        <v>13</v>
      </c>
      <c r="AF14" s="380">
        <f>Настройки!Q14</f>
        <v>0</v>
      </c>
      <c r="AG14" s="380" t="str">
        <f>Настройки!R14</f>
        <v>IDIG_7_1</v>
      </c>
      <c r="AH14" s="380" t="str">
        <f>Настройки!S14</f>
        <v>IANS_7_3</v>
      </c>
      <c r="AI14" s="380" t="str">
        <f>Настройки!T14</f>
        <v>out12</v>
      </c>
      <c r="AJ14" s="380" t="str">
        <f>Настройки!U14</f>
        <v>out12</v>
      </c>
      <c r="AK14" s="380" t="str">
        <f>Настройки!V14</f>
        <v>ODIG_13</v>
      </c>
      <c r="AL14" s="380" t="str">
        <f>Настройки!W14</f>
        <v>-</v>
      </c>
      <c r="AM14" s="380" t="str">
        <f>Настройки!X14</f>
        <v>-</v>
      </c>
      <c r="AN14" s="380" t="str">
        <f>Настройки!Y14</f>
        <v>Canal_13</v>
      </c>
      <c r="AO14" s="380" t="str">
        <f>Настройки!Z14</f>
        <v>-</v>
      </c>
      <c r="AP14" s="380" t="str">
        <f>Настройки!AA14</f>
        <v>Canal_13</v>
      </c>
      <c r="AQ14" s="380" t="str">
        <f>Настройки!AB14</f>
        <v>Canal_13</v>
      </c>
      <c r="AR14" s="380" t="str">
        <f>Настройки!AC14</f>
        <v>OCCH[4]</v>
      </c>
      <c r="AS14" s="380" t="str">
        <f>Настройки!AD14</f>
        <v>OCCH[4]</v>
      </c>
      <c r="AT14" s="207" t="str">
        <f>Настройки!AB14</f>
        <v>Canal_13</v>
      </c>
      <c r="AU14" s="207" t="str">
        <f>Настройки!AC14</f>
        <v>OCCH[4]</v>
      </c>
      <c r="AV14" s="207" t="str">
        <f>Настройки!AD14</f>
        <v>OCCH[4]</v>
      </c>
      <c r="AW14" s="207" t="str">
        <f>Настройки!AE14</f>
        <v>IANS_7_1</v>
      </c>
      <c r="AX14" s="207" t="str">
        <f>Настройки!AF14</f>
        <v>IDIG_4_1</v>
      </c>
      <c r="AY14" s="207" t="str">
        <f>Настройки!AG14</f>
        <v>Canal_13</v>
      </c>
      <c r="AZ14" s="207" t="str">
        <f>Настройки!AH14</f>
        <v>Canal_13</v>
      </c>
      <c r="BA14" s="207" t="str">
        <f>Настройки!AI14</f>
        <v>Canal_13</v>
      </c>
      <c r="BB14" s="207" t="str">
        <f>Настройки!AJ14</f>
        <v>Canal_13</v>
      </c>
      <c r="BC14" s="207" t="str">
        <f>Настройки!AK14</f>
        <v>-</v>
      </c>
      <c r="BD14" s="207" t="str">
        <f>Настройки!AL14</f>
        <v>Canal_13</v>
      </c>
      <c r="BE14" s="207" t="str">
        <f>Настройки!AM14</f>
        <v>-</v>
      </c>
    </row>
    <row r="15" spans="1:57">
      <c r="A15" s="82"/>
      <c r="B15" s="82"/>
      <c r="C15" s="81"/>
      <c r="D15" s="81"/>
      <c r="E15" s="81"/>
      <c r="F15" s="81"/>
      <c r="G15" s="445"/>
      <c r="H15" s="447"/>
      <c r="I15" s="1"/>
      <c r="M15" s="424" t="str">
        <f>'Конфигурация TREI'!A16</f>
        <v>BR14</v>
      </c>
      <c r="N15" s="424" t="str">
        <f>'Конфигурация TREI'!B16</f>
        <v>M558D</v>
      </c>
      <c r="AE15" s="431">
        <f>Настройки!P15</f>
        <v>14</v>
      </c>
      <c r="AF15" s="380">
        <f>Настройки!Q15</f>
        <v>0</v>
      </c>
      <c r="AG15" s="380" t="str">
        <f>Настройки!R15</f>
        <v>IDIG_7_2</v>
      </c>
      <c r="AH15" s="380" t="str">
        <f>Настройки!S15</f>
        <v>IANS_7_4</v>
      </c>
      <c r="AI15" s="380" t="str">
        <f>Настройки!T15</f>
        <v>out13</v>
      </c>
      <c r="AJ15" s="380" t="str">
        <f>Настройки!U15</f>
        <v>out13</v>
      </c>
      <c r="AK15" s="380" t="str">
        <f>Настройки!V15</f>
        <v>ODIG_14</v>
      </c>
      <c r="AL15" s="380" t="str">
        <f>Настройки!W15</f>
        <v>-</v>
      </c>
      <c r="AM15" s="380" t="str">
        <f>Настройки!X15</f>
        <v>-</v>
      </c>
      <c r="AN15" s="380" t="str">
        <f>Настройки!Y15</f>
        <v>Canal_14</v>
      </c>
      <c r="AO15" s="380" t="str">
        <f>Настройки!Z15</f>
        <v>-</v>
      </c>
      <c r="AP15" s="380" t="str">
        <f>Настройки!AA15</f>
        <v>Canal_14</v>
      </c>
      <c r="AQ15" s="380" t="str">
        <f>Настройки!AB15</f>
        <v>Canal_14</v>
      </c>
      <c r="AR15" s="380" t="str">
        <f>Настройки!AC15</f>
        <v>OCCH[5]</v>
      </c>
      <c r="AS15" s="380" t="str">
        <f>Настройки!AD15</f>
        <v>OCCH[5]</v>
      </c>
      <c r="AT15" s="207" t="str">
        <f>Настройки!AB15</f>
        <v>Canal_14</v>
      </c>
      <c r="AU15" s="207" t="str">
        <f>Настройки!AC15</f>
        <v>OCCH[5]</v>
      </c>
      <c r="AV15" s="207" t="str">
        <f>Настройки!AD15</f>
        <v>OCCH[5]</v>
      </c>
      <c r="AW15" s="207" t="str">
        <f>Настройки!AE15</f>
        <v>IANS_7_2</v>
      </c>
      <c r="AX15" s="207" t="str">
        <f>Настройки!AF15</f>
        <v>IDIG_4_2</v>
      </c>
      <c r="AY15" s="207" t="str">
        <f>Настройки!AG15</f>
        <v>Canal_14</v>
      </c>
      <c r="AZ15" s="207" t="str">
        <f>Настройки!AH15</f>
        <v>Canal_14</v>
      </c>
      <c r="BA15" s="207" t="str">
        <f>Настройки!AI15</f>
        <v>Canal_14</v>
      </c>
      <c r="BB15" s="207" t="str">
        <f>Настройки!AJ15</f>
        <v>Canal_14</v>
      </c>
      <c r="BC15" s="207" t="str">
        <f>Настройки!AK15</f>
        <v>-</v>
      </c>
      <c r="BD15" s="207" t="str">
        <f>Настройки!AL15</f>
        <v>Canal_14</v>
      </c>
      <c r="BE15" s="207" t="str">
        <f>Настройки!AM15</f>
        <v>-</v>
      </c>
    </row>
    <row r="16" spans="1:57">
      <c r="A16" s="82"/>
      <c r="B16" s="82"/>
      <c r="C16" s="81"/>
      <c r="D16" s="81"/>
      <c r="E16" s="81"/>
      <c r="F16" s="81"/>
      <c r="G16" s="445"/>
      <c r="H16" s="447"/>
      <c r="I16" s="1"/>
      <c r="M16" s="424" t="str">
        <f>'Конфигурация TREI'!A17</f>
        <v>BR15</v>
      </c>
      <c r="N16" s="424" t="str">
        <f>'Конфигурация TREI'!B17</f>
        <v>M558O</v>
      </c>
      <c r="AE16" s="431">
        <f>Настройки!P16</f>
        <v>15</v>
      </c>
      <c r="AF16" s="380">
        <f>Настройки!Q16</f>
        <v>0</v>
      </c>
      <c r="AG16" s="380" t="str">
        <f>Настройки!R16</f>
        <v>IDIG_8_1</v>
      </c>
      <c r="AH16" s="380" t="str">
        <f>Настройки!S16</f>
        <v>IANS_8_3</v>
      </c>
      <c r="AI16" s="380" t="str">
        <f>Настройки!T16</f>
        <v>out14</v>
      </c>
      <c r="AJ16" s="380" t="str">
        <f>Настройки!U16</f>
        <v>out14</v>
      </c>
      <c r="AK16" s="380" t="str">
        <f>Настройки!V16</f>
        <v>ODIG_15</v>
      </c>
      <c r="AL16" s="380" t="str">
        <f>Настройки!W16</f>
        <v>-</v>
      </c>
      <c r="AM16" s="380" t="str">
        <f>Настройки!X16</f>
        <v>-</v>
      </c>
      <c r="AN16" s="380" t="str">
        <f>Настройки!Y16</f>
        <v>Canal_15</v>
      </c>
      <c r="AO16" s="380" t="str">
        <f>Настройки!Z16</f>
        <v>-</v>
      </c>
      <c r="AP16" s="380" t="str">
        <f>Настройки!AA16</f>
        <v>Canal_15</v>
      </c>
      <c r="AQ16" s="380" t="str">
        <f>Настройки!AB16</f>
        <v>Canal_15</v>
      </c>
      <c r="AR16" s="380" t="str">
        <f>Настройки!AC16</f>
        <v>OCCH[6]</v>
      </c>
      <c r="AS16" s="380" t="str">
        <f>Настройки!AD16</f>
        <v>OCCH[6]</v>
      </c>
      <c r="AT16" s="207" t="str">
        <f>Настройки!AB16</f>
        <v>Canal_15</v>
      </c>
      <c r="AU16" s="207" t="str">
        <f>Настройки!AC16</f>
        <v>OCCH[6]</v>
      </c>
      <c r="AV16" s="207" t="str">
        <f>Настройки!AD16</f>
        <v>OCCH[6]</v>
      </c>
      <c r="AW16" s="207" t="str">
        <f>Настройки!AE16</f>
        <v>IANS_8_1</v>
      </c>
      <c r="AX16" s="207" t="str">
        <f>Настройки!AF16</f>
        <v>IDIG_4_3</v>
      </c>
      <c r="AY16" s="207" t="str">
        <f>Настройки!AG16</f>
        <v>Canal_15</v>
      </c>
      <c r="AZ16" s="207" t="str">
        <f>Настройки!AH16</f>
        <v>Canal_15</v>
      </c>
      <c r="BA16" s="207" t="str">
        <f>Настройки!AI16</f>
        <v>Canal_15</v>
      </c>
      <c r="BB16" s="207" t="str">
        <f>Настройки!AJ16</f>
        <v>Canal_15</v>
      </c>
      <c r="BC16" s="207" t="str">
        <f>Настройки!AK16</f>
        <v>-</v>
      </c>
      <c r="BD16" s="207" t="str">
        <f>Настройки!AL16</f>
        <v>Canal_15</v>
      </c>
      <c r="BE16" s="207" t="str">
        <f>Настройки!AM16</f>
        <v>-</v>
      </c>
    </row>
    <row r="17" spans="1:57">
      <c r="A17" s="82"/>
      <c r="B17" s="82"/>
      <c r="C17" s="81"/>
      <c r="D17" s="81"/>
      <c r="E17" s="81"/>
      <c r="F17" s="81"/>
      <c r="G17" s="445"/>
      <c r="H17" s="447"/>
      <c r="I17" s="1"/>
      <c r="M17" s="424" t="str">
        <f>'Конфигурация TREI'!A18</f>
        <v>BR16</v>
      </c>
      <c r="N17" s="424" t="str">
        <f>'Конфигурация TREI'!B18</f>
        <v>M558O</v>
      </c>
      <c r="AE17" s="431">
        <f>Настройки!P17</f>
        <v>16</v>
      </c>
      <c r="AF17" s="380">
        <f>Настройки!Q17</f>
        <v>0</v>
      </c>
      <c r="AG17" s="380" t="str">
        <f>Настройки!R17</f>
        <v>IDIG_8_2</v>
      </c>
      <c r="AH17" s="380" t="str">
        <f>Настройки!S17</f>
        <v>IANS_8_4</v>
      </c>
      <c r="AI17" s="380" t="str">
        <f>Настройки!T17</f>
        <v>out15</v>
      </c>
      <c r="AJ17" s="380" t="str">
        <f>Настройки!U17</f>
        <v>out15</v>
      </c>
      <c r="AK17" s="380" t="str">
        <f>Настройки!V17</f>
        <v>ODIG_16</v>
      </c>
      <c r="AL17" s="380" t="str">
        <f>Настройки!W17</f>
        <v>-</v>
      </c>
      <c r="AM17" s="380" t="str">
        <f>Настройки!X17</f>
        <v>-</v>
      </c>
      <c r="AN17" s="380" t="str">
        <f>Настройки!Y17</f>
        <v>Canal_16</v>
      </c>
      <c r="AO17" s="380" t="str">
        <f>Настройки!Z17</f>
        <v>-</v>
      </c>
      <c r="AP17" s="380" t="str">
        <f>Настройки!AA17</f>
        <v>Canal_16</v>
      </c>
      <c r="AQ17" s="380" t="str">
        <f>Настройки!AB17</f>
        <v>Canal_16</v>
      </c>
      <c r="AR17" s="380" t="str">
        <f>Настройки!AC17</f>
        <v>OCCH[7]</v>
      </c>
      <c r="AS17" s="380" t="str">
        <f>Настройки!AD17</f>
        <v>OCCH[7]</v>
      </c>
      <c r="AT17" s="207" t="str">
        <f>Настройки!AB17</f>
        <v>Canal_16</v>
      </c>
      <c r="AU17" s="207" t="str">
        <f>Настройки!AC17</f>
        <v>OCCH[7]</v>
      </c>
      <c r="AV17" s="207" t="str">
        <f>Настройки!AD17</f>
        <v>OCCH[7]</v>
      </c>
      <c r="AW17" s="207" t="str">
        <f>Настройки!AE17</f>
        <v>IANS_8_2</v>
      </c>
      <c r="AX17" s="207" t="str">
        <f>Настройки!AF17</f>
        <v>IDIG_4_4</v>
      </c>
      <c r="AY17" s="207" t="str">
        <f>Настройки!AG17</f>
        <v>Canal_16</v>
      </c>
      <c r="AZ17" s="207" t="str">
        <f>Настройки!AH17</f>
        <v>Canal_16</v>
      </c>
      <c r="BA17" s="207" t="str">
        <f>Настройки!AI17</f>
        <v>Canal_16</v>
      </c>
      <c r="BB17" s="207" t="str">
        <f>Настройки!AJ17</f>
        <v>Canal_16</v>
      </c>
      <c r="BC17" s="207" t="str">
        <f>Настройки!AK17</f>
        <v>-</v>
      </c>
      <c r="BD17" s="207" t="str">
        <f>Настройки!AL17</f>
        <v>Canal_16</v>
      </c>
      <c r="BE17" s="207" t="str">
        <f>Настройки!AM17</f>
        <v>-</v>
      </c>
    </row>
    <row r="18" spans="1:57">
      <c r="A18" s="82"/>
      <c r="B18" s="82"/>
      <c r="C18" s="81"/>
      <c r="D18" s="81"/>
      <c r="E18" s="81"/>
      <c r="F18" s="81"/>
      <c r="G18" s="445"/>
      <c r="H18" s="447"/>
      <c r="I18" s="1"/>
      <c r="M18" s="424" t="str">
        <f>'Конфигурация TREI'!A19</f>
        <v>BR17</v>
      </c>
      <c r="N18" s="424" t="str">
        <f>'Конфигурация TREI'!B19</f>
        <v>M558O</v>
      </c>
      <c r="AE18" s="428">
        <f>Настройки!P18</f>
        <v>17</v>
      </c>
      <c r="AF18" s="380">
        <f>Настройки!Q18</f>
        <v>0</v>
      </c>
      <c r="AG18" s="380" t="str">
        <f>Настройки!R18</f>
        <v>-</v>
      </c>
      <c r="AH18" s="380" t="str">
        <f>Настройки!S18</f>
        <v>-</v>
      </c>
      <c r="AI18" s="380" t="str">
        <f>Настройки!T18</f>
        <v>out16</v>
      </c>
      <c r="AJ18" s="380" t="str">
        <f>Настройки!U18</f>
        <v>out16</v>
      </c>
      <c r="AK18" s="380" t="str">
        <f>Настройки!V18</f>
        <v>-</v>
      </c>
      <c r="AL18" s="380" t="str">
        <f>Настройки!W18</f>
        <v>-</v>
      </c>
      <c r="AM18" s="380" t="str">
        <f>Настройки!X18</f>
        <v>-</v>
      </c>
      <c r="AN18" s="380" t="str">
        <f>Настройки!Y18</f>
        <v>-</v>
      </c>
      <c r="AO18" s="380" t="str">
        <f>Настройки!Z18</f>
        <v>-</v>
      </c>
      <c r="AP18" s="380" t="str">
        <f>Настройки!AA18</f>
        <v>Canal_17</v>
      </c>
      <c r="AQ18" s="380" t="str">
        <f>Настройки!AB18</f>
        <v>Canal_17</v>
      </c>
      <c r="AR18" s="380" t="str">
        <f>Настройки!AC18</f>
        <v>-</v>
      </c>
      <c r="AS18" s="380" t="str">
        <f>Настройки!AD18</f>
        <v>-</v>
      </c>
      <c r="AT18" s="207" t="str">
        <f>Настройки!AB18</f>
        <v>Canal_17</v>
      </c>
      <c r="AU18" s="207" t="str">
        <f>Настройки!AC18</f>
        <v>-</v>
      </c>
      <c r="AV18" s="207" t="str">
        <f>Настройки!AD18</f>
        <v>-</v>
      </c>
      <c r="AW18" s="207" t="str">
        <f>Настройки!AE18</f>
        <v>-</v>
      </c>
      <c r="AX18" s="207" t="str">
        <f>Настройки!AF18</f>
        <v>IDIG_5_1</v>
      </c>
      <c r="AY18" s="207" t="str">
        <f>Настройки!AG18</f>
        <v>Canal_17</v>
      </c>
      <c r="AZ18" s="207" t="str">
        <f>Настройки!AH18</f>
        <v>Canal_17</v>
      </c>
      <c r="BA18" s="207" t="str">
        <f>Настройки!AI18</f>
        <v>Canal_17</v>
      </c>
      <c r="BB18" s="207" t="str">
        <f>Настройки!AJ18</f>
        <v>-</v>
      </c>
      <c r="BC18" s="207" t="str">
        <f>Настройки!AK18</f>
        <v>-</v>
      </c>
      <c r="BD18" s="207" t="str">
        <f>Настройки!AL18</f>
        <v>Canal_17</v>
      </c>
      <c r="BE18" s="207" t="str">
        <f>Настройки!AM18</f>
        <v>-</v>
      </c>
    </row>
    <row r="19" spans="1:57">
      <c r="A19" s="82"/>
      <c r="B19" s="82"/>
      <c r="C19" s="81"/>
      <c r="D19" s="81"/>
      <c r="E19" s="81"/>
      <c r="F19" s="81"/>
      <c r="G19" s="445"/>
      <c r="H19" s="447"/>
      <c r="I19" s="1"/>
      <c r="M19" s="424" t="str">
        <f>'Конфигурация TREI'!A20</f>
        <v>BR18</v>
      </c>
      <c r="N19" s="424" t="str">
        <f>'Конфигурация TREI'!B20</f>
        <v>M558O</v>
      </c>
      <c r="AE19" s="428">
        <f>Настройки!P19</f>
        <v>18</v>
      </c>
      <c r="AF19" s="380">
        <f>Настройки!Q19</f>
        <v>0</v>
      </c>
      <c r="AG19" s="380" t="str">
        <f>Настройки!R19</f>
        <v>-</v>
      </c>
      <c r="AH19" s="380" t="str">
        <f>Настройки!S19</f>
        <v>-</v>
      </c>
      <c r="AI19" s="380" t="str">
        <f>Настройки!T19</f>
        <v>out17</v>
      </c>
      <c r="AJ19" s="380" t="str">
        <f>Настройки!U19</f>
        <v>out17</v>
      </c>
      <c r="AK19" s="380" t="str">
        <f>Настройки!V19</f>
        <v>-</v>
      </c>
      <c r="AL19" s="380" t="str">
        <f>Настройки!W19</f>
        <v>-</v>
      </c>
      <c r="AM19" s="380" t="str">
        <f>Настройки!X19</f>
        <v>-</v>
      </c>
      <c r="AN19" s="380" t="str">
        <f>Настройки!Y19</f>
        <v>-</v>
      </c>
      <c r="AO19" s="380" t="str">
        <f>Настройки!Z19</f>
        <v>-</v>
      </c>
      <c r="AP19" s="380" t="str">
        <f>Настройки!AA19</f>
        <v>Canal_18</v>
      </c>
      <c r="AQ19" s="380" t="str">
        <f>Настройки!AB19</f>
        <v>Canal_18</v>
      </c>
      <c r="AR19" s="380" t="str">
        <f>Настройки!AC19</f>
        <v>-</v>
      </c>
      <c r="AS19" s="380" t="str">
        <f>Настройки!AD19</f>
        <v>-</v>
      </c>
      <c r="AT19" s="207" t="str">
        <f>Настройки!AB19</f>
        <v>Canal_18</v>
      </c>
      <c r="AU19" s="207" t="str">
        <f>Настройки!AC19</f>
        <v>-</v>
      </c>
      <c r="AV19" s="207" t="str">
        <f>Настройки!AD19</f>
        <v>-</v>
      </c>
      <c r="AW19" s="207" t="str">
        <f>Настройки!AE19</f>
        <v>-</v>
      </c>
      <c r="AX19" s="207" t="str">
        <f>Настройки!AF19</f>
        <v>IDIG_5_2</v>
      </c>
      <c r="AY19" s="207" t="str">
        <f>Настройки!AG19</f>
        <v>Canal_18</v>
      </c>
      <c r="AZ19" s="207" t="str">
        <f>Настройки!AH19</f>
        <v>Canal_18</v>
      </c>
      <c r="BA19" s="207" t="str">
        <f>Настройки!AI19</f>
        <v>Canal_18</v>
      </c>
      <c r="BB19" s="207" t="str">
        <f>Настройки!AJ19</f>
        <v>-</v>
      </c>
      <c r="BC19" s="207" t="str">
        <f>Настройки!AK19</f>
        <v>-</v>
      </c>
      <c r="BD19" s="207" t="str">
        <f>Настройки!AL19</f>
        <v>Canal_18</v>
      </c>
      <c r="BE19" s="207" t="str">
        <f>Настройки!AM19</f>
        <v>-</v>
      </c>
    </row>
    <row r="20" spans="1:57">
      <c r="A20" s="82"/>
      <c r="B20" s="82"/>
      <c r="C20" s="81"/>
      <c r="D20" s="81"/>
      <c r="E20" s="81"/>
      <c r="F20" s="81"/>
      <c r="G20" s="445"/>
      <c r="H20" s="447"/>
      <c r="I20" s="1"/>
      <c r="M20" s="424" t="str">
        <f>'Конфигурация TREI'!A21</f>
        <v>BR19</v>
      </c>
      <c r="N20" s="424" t="str">
        <f>'Конфигурация TREI'!B21</f>
        <v>M558O</v>
      </c>
      <c r="AE20" s="428">
        <f>Настройки!P20</f>
        <v>19</v>
      </c>
      <c r="AF20" s="380">
        <f>Настройки!Q20</f>
        <v>0</v>
      </c>
      <c r="AG20" s="380" t="str">
        <f>Настройки!R20</f>
        <v>-</v>
      </c>
      <c r="AH20" s="380" t="str">
        <f>Настройки!S20</f>
        <v>-</v>
      </c>
      <c r="AI20" s="380" t="str">
        <f>Настройки!T20</f>
        <v>out18</v>
      </c>
      <c r="AJ20" s="380" t="str">
        <f>Настройки!U20</f>
        <v>out18</v>
      </c>
      <c r="AK20" s="380" t="str">
        <f>Настройки!V20</f>
        <v>-</v>
      </c>
      <c r="AL20" s="380" t="str">
        <f>Настройки!W20</f>
        <v>-</v>
      </c>
      <c r="AM20" s="380" t="str">
        <f>Настройки!X20</f>
        <v>-</v>
      </c>
      <c r="AN20" s="380" t="str">
        <f>Настройки!Y20</f>
        <v>-</v>
      </c>
      <c r="AO20" s="380" t="str">
        <f>Настройки!Z20</f>
        <v>-</v>
      </c>
      <c r="AP20" s="380" t="str">
        <f>Настройки!AA20</f>
        <v>Canal_19</v>
      </c>
      <c r="AQ20" s="380" t="str">
        <f>Настройки!AB20</f>
        <v>Canal_19</v>
      </c>
      <c r="AR20" s="380" t="str">
        <f>Настройки!AC20</f>
        <v>-</v>
      </c>
      <c r="AS20" s="380" t="str">
        <f>Настройки!AD20</f>
        <v>-</v>
      </c>
      <c r="AT20" s="207" t="str">
        <f>Настройки!AB20</f>
        <v>Canal_19</v>
      </c>
      <c r="AU20" s="207" t="str">
        <f>Настройки!AC20</f>
        <v>-</v>
      </c>
      <c r="AV20" s="207" t="str">
        <f>Настройки!AD20</f>
        <v>-</v>
      </c>
      <c r="AW20" s="207" t="str">
        <f>Настройки!AE20</f>
        <v>-</v>
      </c>
      <c r="AX20" s="207" t="str">
        <f>Настройки!AF20</f>
        <v>IDIG_5_3</v>
      </c>
      <c r="AY20" s="207" t="str">
        <f>Настройки!AG20</f>
        <v>Canal_19</v>
      </c>
      <c r="AZ20" s="207" t="str">
        <f>Настройки!AH20</f>
        <v>Canal_19</v>
      </c>
      <c r="BA20" s="207" t="str">
        <f>Настройки!AI20</f>
        <v>Canal_19</v>
      </c>
      <c r="BB20" s="207" t="str">
        <f>Настройки!AJ20</f>
        <v>-</v>
      </c>
      <c r="BC20" s="207" t="str">
        <f>Настройки!AK20</f>
        <v>-</v>
      </c>
      <c r="BD20" s="207" t="str">
        <f>Настройки!AL20</f>
        <v>Canal_19</v>
      </c>
      <c r="BE20" s="207" t="str">
        <f>Настройки!AM20</f>
        <v>-</v>
      </c>
    </row>
    <row r="21" spans="1:57">
      <c r="A21" s="82"/>
      <c r="B21" s="82"/>
      <c r="C21" s="81"/>
      <c r="D21" s="81"/>
      <c r="E21" s="81"/>
      <c r="F21" s="81"/>
      <c r="G21" s="445"/>
      <c r="H21" s="447"/>
      <c r="I21" s="1"/>
      <c r="M21" s="424" t="str">
        <f>'Конфигурация TREI'!A22</f>
        <v>BR20</v>
      </c>
      <c r="N21" s="424" t="str">
        <f>'Конфигурация TREI'!B22</f>
        <v>M558D</v>
      </c>
      <c r="AE21" s="428">
        <f>Настройки!P21</f>
        <v>20</v>
      </c>
      <c r="AF21" s="380">
        <f>Настройки!Q21</f>
        <v>0</v>
      </c>
      <c r="AG21" s="380" t="str">
        <f>Настройки!R21</f>
        <v>-</v>
      </c>
      <c r="AH21" s="380" t="str">
        <f>Настройки!S21</f>
        <v>-</v>
      </c>
      <c r="AI21" s="380" t="str">
        <f>Настройки!T21</f>
        <v>out19</v>
      </c>
      <c r="AJ21" s="380" t="str">
        <f>Настройки!U21</f>
        <v>out19</v>
      </c>
      <c r="AK21" s="380" t="str">
        <f>Настройки!V21</f>
        <v>-</v>
      </c>
      <c r="AL21" s="380" t="str">
        <f>Настройки!W21</f>
        <v>-</v>
      </c>
      <c r="AM21" s="380" t="str">
        <f>Настройки!X21</f>
        <v>-</v>
      </c>
      <c r="AN21" s="380" t="str">
        <f>Настройки!Y21</f>
        <v>-</v>
      </c>
      <c r="AO21" s="380" t="str">
        <f>Настройки!Z21</f>
        <v>-</v>
      </c>
      <c r="AP21" s="380" t="str">
        <f>Настройки!AA21</f>
        <v>Canal_20</v>
      </c>
      <c r="AQ21" s="380" t="str">
        <f>Настройки!AB21</f>
        <v>Canal_20</v>
      </c>
      <c r="AR21" s="380" t="str">
        <f>Настройки!AC21</f>
        <v>-</v>
      </c>
      <c r="AS21" s="380" t="str">
        <f>Настройки!AD21</f>
        <v>-</v>
      </c>
      <c r="AT21" s="207" t="str">
        <f>Настройки!AB21</f>
        <v>Canal_20</v>
      </c>
      <c r="AU21" s="207" t="str">
        <f>Настройки!AC21</f>
        <v>-</v>
      </c>
      <c r="AV21" s="207" t="str">
        <f>Настройки!AD21</f>
        <v>-</v>
      </c>
      <c r="AW21" s="207" t="str">
        <f>Настройки!AE21</f>
        <v>-</v>
      </c>
      <c r="AX21" s="207" t="str">
        <f>Настройки!AF21</f>
        <v>IDIG_5_4</v>
      </c>
      <c r="AY21" s="207" t="str">
        <f>Настройки!AG21</f>
        <v>Canal_20</v>
      </c>
      <c r="AZ21" s="207" t="str">
        <f>Настройки!AH21</f>
        <v>Canal_20</v>
      </c>
      <c r="BA21" s="207" t="str">
        <f>Настройки!AI21</f>
        <v>Canal_20</v>
      </c>
      <c r="BB21" s="207" t="str">
        <f>Настройки!AJ21</f>
        <v>-</v>
      </c>
      <c r="BC21" s="207" t="str">
        <f>Настройки!AK21</f>
        <v>-</v>
      </c>
      <c r="BD21" s="207" t="str">
        <f>Настройки!AL21</f>
        <v>Canal_20</v>
      </c>
      <c r="BE21" s="207" t="str">
        <f>Настройки!AM21</f>
        <v>-</v>
      </c>
    </row>
    <row r="22" spans="1:57">
      <c r="A22" s="82"/>
      <c r="B22" s="82"/>
      <c r="C22" s="81"/>
      <c r="D22" s="81"/>
      <c r="E22" s="81"/>
      <c r="F22" s="81"/>
      <c r="G22" s="445"/>
      <c r="H22" s="447"/>
      <c r="I22" s="1"/>
      <c r="M22" s="424" t="str">
        <f>'Конфигурация TREI'!A23</f>
        <v>BR21</v>
      </c>
      <c r="N22" s="424" t="str">
        <f>'Конфигурация TREI'!B23</f>
        <v>M558O</v>
      </c>
      <c r="AE22" s="428">
        <f>Настройки!P22</f>
        <v>21</v>
      </c>
      <c r="AF22" s="380">
        <f>Настройки!Q22</f>
        <v>0</v>
      </c>
      <c r="AG22" s="380" t="str">
        <f>Настройки!R22</f>
        <v>-</v>
      </c>
      <c r="AH22" s="380" t="str">
        <f>Настройки!S22</f>
        <v>-</v>
      </c>
      <c r="AI22" s="380" t="str">
        <f>Настройки!T22</f>
        <v>out20</v>
      </c>
      <c r="AJ22" s="380" t="str">
        <f>Настройки!U22</f>
        <v>out20</v>
      </c>
      <c r="AK22" s="380" t="str">
        <f>Настройки!V22</f>
        <v>-</v>
      </c>
      <c r="AL22" s="380" t="str">
        <f>Настройки!W22</f>
        <v>-</v>
      </c>
      <c r="AM22" s="380" t="str">
        <f>Настройки!X22</f>
        <v>-</v>
      </c>
      <c r="AN22" s="380" t="str">
        <f>Настройки!Y22</f>
        <v>-</v>
      </c>
      <c r="AO22" s="380" t="str">
        <f>Настройки!Z22</f>
        <v>-</v>
      </c>
      <c r="AP22" s="380" t="str">
        <f>Настройки!AA22</f>
        <v>Canal_21</v>
      </c>
      <c r="AQ22" s="380" t="str">
        <f>Настройки!AB22</f>
        <v>Canal_21</v>
      </c>
      <c r="AR22" s="380" t="str">
        <f>Настройки!AC22</f>
        <v>-</v>
      </c>
      <c r="AS22" s="380" t="str">
        <f>Настройки!AD22</f>
        <v>-</v>
      </c>
      <c r="AT22" s="207" t="str">
        <f>Настройки!AB22</f>
        <v>Canal_21</v>
      </c>
      <c r="AU22" s="207" t="str">
        <f>Настройки!AC22</f>
        <v>-</v>
      </c>
      <c r="AV22" s="207" t="str">
        <f>Настройки!AD22</f>
        <v>-</v>
      </c>
      <c r="AW22" s="207" t="str">
        <f>Настройки!AE22</f>
        <v>-</v>
      </c>
      <c r="AX22" s="207" t="str">
        <f>Настройки!AF22</f>
        <v>IDIG_6_1</v>
      </c>
      <c r="AY22" s="207" t="str">
        <f>Настройки!AG22</f>
        <v>Canal_21</v>
      </c>
      <c r="AZ22" s="207" t="str">
        <f>Настройки!AH22</f>
        <v>Canal_21</v>
      </c>
      <c r="BA22" s="207" t="str">
        <f>Настройки!AI22</f>
        <v>Canal_21</v>
      </c>
      <c r="BB22" s="207" t="str">
        <f>Настройки!AJ22</f>
        <v>-</v>
      </c>
      <c r="BC22" s="207" t="str">
        <f>Настройки!AK22</f>
        <v>-</v>
      </c>
      <c r="BD22" s="207" t="str">
        <f>Настройки!AL22</f>
        <v>Canal_21</v>
      </c>
      <c r="BE22" s="207" t="str">
        <f>Настройки!AM22</f>
        <v>-</v>
      </c>
    </row>
    <row r="23" spans="1:57">
      <c r="A23" s="82"/>
      <c r="B23" s="82"/>
      <c r="C23" s="81"/>
      <c r="D23" s="81"/>
      <c r="E23" s="81"/>
      <c r="F23" s="81"/>
      <c r="G23" s="445"/>
      <c r="H23" s="447"/>
      <c r="I23" s="1"/>
      <c r="M23" s="424" t="str">
        <f>'Конфигурация TREI'!A24</f>
        <v>BR22</v>
      </c>
      <c r="N23" s="424" t="str">
        <f>'Конфигурация TREI'!B24</f>
        <v>M558D</v>
      </c>
      <c r="AE23" s="428">
        <f>Настройки!P23</f>
        <v>22</v>
      </c>
      <c r="AF23" s="380">
        <f>Настройки!Q23</f>
        <v>0</v>
      </c>
      <c r="AG23" s="380" t="str">
        <f>Настройки!R23</f>
        <v>-</v>
      </c>
      <c r="AH23" s="380" t="str">
        <f>Настройки!S23</f>
        <v>-</v>
      </c>
      <c r="AI23" s="380" t="str">
        <f>Настройки!T23</f>
        <v>out21</v>
      </c>
      <c r="AJ23" s="380" t="str">
        <f>Настройки!U23</f>
        <v>out21</v>
      </c>
      <c r="AK23" s="380" t="str">
        <f>Настройки!V23</f>
        <v>-</v>
      </c>
      <c r="AL23" s="380" t="str">
        <f>Настройки!W23</f>
        <v>-</v>
      </c>
      <c r="AM23" s="380" t="str">
        <f>Настройки!X23</f>
        <v>-</v>
      </c>
      <c r="AN23" s="380" t="str">
        <f>Настройки!Y23</f>
        <v>-</v>
      </c>
      <c r="AO23" s="380" t="str">
        <f>Настройки!Z23</f>
        <v>-</v>
      </c>
      <c r="AP23" s="380" t="str">
        <f>Настройки!AA23</f>
        <v>Canal_22</v>
      </c>
      <c r="AQ23" s="380" t="str">
        <f>Настройки!AB23</f>
        <v>Canal_22</v>
      </c>
      <c r="AR23" s="380" t="str">
        <f>Настройки!AC23</f>
        <v>-</v>
      </c>
      <c r="AS23" s="380" t="str">
        <f>Настройки!AD23</f>
        <v>-</v>
      </c>
      <c r="AT23" s="207" t="str">
        <f>Настройки!AB23</f>
        <v>Canal_22</v>
      </c>
      <c r="AU23" s="207" t="str">
        <f>Настройки!AC23</f>
        <v>-</v>
      </c>
      <c r="AV23" s="207" t="str">
        <f>Настройки!AD23</f>
        <v>-</v>
      </c>
      <c r="AW23" s="207" t="str">
        <f>Настройки!AE23</f>
        <v>-</v>
      </c>
      <c r="AX23" s="207" t="str">
        <f>Настройки!AF23</f>
        <v>IDIG_6_2</v>
      </c>
      <c r="AY23" s="207" t="str">
        <f>Настройки!AG23</f>
        <v>Canal_22</v>
      </c>
      <c r="AZ23" s="207" t="str">
        <f>Настройки!AH23</f>
        <v>Canal_22</v>
      </c>
      <c r="BA23" s="207" t="str">
        <f>Настройки!AI23</f>
        <v>Canal_22</v>
      </c>
      <c r="BB23" s="207" t="str">
        <f>Настройки!AJ23</f>
        <v>-</v>
      </c>
      <c r="BC23" s="207" t="str">
        <f>Настройки!AK23</f>
        <v>-</v>
      </c>
      <c r="BD23" s="207" t="str">
        <f>Настройки!AL23</f>
        <v>Canal_22</v>
      </c>
      <c r="BE23" s="207" t="str">
        <f>Настройки!AM23</f>
        <v>-</v>
      </c>
    </row>
    <row r="24" spans="1:57">
      <c r="A24" s="82"/>
      <c r="B24" s="82"/>
      <c r="C24" s="81"/>
      <c r="D24" s="81"/>
      <c r="E24" s="81"/>
      <c r="F24" s="81"/>
      <c r="G24" s="445"/>
      <c r="H24" s="447"/>
      <c r="I24" s="1"/>
      <c r="M24" s="424" t="str">
        <f>'Конфигурация TREI'!A25</f>
        <v>BR23</v>
      </c>
      <c r="N24" s="424" t="str">
        <f>'Конфигурация TREI'!B25</f>
        <v>M558O</v>
      </c>
      <c r="AE24" s="428">
        <f>Настройки!P24</f>
        <v>23</v>
      </c>
      <c r="AF24" s="380">
        <f>Настройки!Q24</f>
        <v>0</v>
      </c>
      <c r="AG24" s="380" t="str">
        <f>Настройки!R24</f>
        <v>-</v>
      </c>
      <c r="AH24" s="380" t="str">
        <f>Настройки!S24</f>
        <v>-</v>
      </c>
      <c r="AI24" s="380" t="str">
        <f>Настройки!T24</f>
        <v>out22</v>
      </c>
      <c r="AJ24" s="380" t="str">
        <f>Настройки!U24</f>
        <v>out22</v>
      </c>
      <c r="AK24" s="380" t="str">
        <f>Настройки!V24</f>
        <v>-</v>
      </c>
      <c r="AL24" s="380" t="str">
        <f>Настройки!W24</f>
        <v>-</v>
      </c>
      <c r="AM24" s="380" t="str">
        <f>Настройки!X24</f>
        <v>-</v>
      </c>
      <c r="AN24" s="380" t="str">
        <f>Настройки!Y24</f>
        <v>-</v>
      </c>
      <c r="AO24" s="380" t="str">
        <f>Настройки!Z24</f>
        <v>-</v>
      </c>
      <c r="AP24" s="380" t="str">
        <f>Настройки!AA24</f>
        <v>Canal_23</v>
      </c>
      <c r="AQ24" s="380" t="str">
        <f>Настройки!AB24</f>
        <v>Canal_23</v>
      </c>
      <c r="AR24" s="380" t="str">
        <f>Настройки!AC24</f>
        <v>-</v>
      </c>
      <c r="AS24" s="380" t="str">
        <f>Настройки!AD24</f>
        <v>-</v>
      </c>
      <c r="AT24" s="207" t="str">
        <f>Настройки!AB24</f>
        <v>Canal_23</v>
      </c>
      <c r="AU24" s="207" t="str">
        <f>Настройки!AC24</f>
        <v>-</v>
      </c>
      <c r="AV24" s="207" t="str">
        <f>Настройки!AD24</f>
        <v>-</v>
      </c>
      <c r="AW24" s="207" t="str">
        <f>Настройки!AE24</f>
        <v>-</v>
      </c>
      <c r="AX24" s="207" t="str">
        <f>Настройки!AF24</f>
        <v>IDIG_6_3</v>
      </c>
      <c r="AY24" s="207" t="str">
        <f>Настройки!AG24</f>
        <v>Canal_23</v>
      </c>
      <c r="AZ24" s="207" t="str">
        <f>Настройки!AH24</f>
        <v>Canal_23</v>
      </c>
      <c r="BA24" s="207" t="str">
        <f>Настройки!AI24</f>
        <v>Canal_23</v>
      </c>
      <c r="BB24" s="207" t="str">
        <f>Настройки!AJ24</f>
        <v>-</v>
      </c>
      <c r="BC24" s="207" t="str">
        <f>Настройки!AK24</f>
        <v>-</v>
      </c>
      <c r="BD24" s="207" t="str">
        <f>Настройки!AL24</f>
        <v>Canal_23</v>
      </c>
      <c r="BE24" s="207" t="str">
        <f>Настройки!AM24</f>
        <v>-</v>
      </c>
    </row>
    <row r="25" spans="1:57">
      <c r="A25" s="82"/>
      <c r="B25" s="82"/>
      <c r="C25" s="81"/>
      <c r="D25" s="81"/>
      <c r="E25" s="81"/>
      <c r="F25" s="81"/>
      <c r="G25" s="445"/>
      <c r="H25" s="447"/>
      <c r="I25" s="1"/>
      <c r="M25" s="424" t="str">
        <f>'Конфигурация TREI'!A26</f>
        <v>BR24</v>
      </c>
      <c r="N25" s="424" t="str">
        <f>'Конфигурация TREI'!B26</f>
        <v>M558D</v>
      </c>
      <c r="AE25" s="428">
        <f>Настройки!P25</f>
        <v>24</v>
      </c>
      <c r="AF25" s="380">
        <f>Настройки!Q25</f>
        <v>0</v>
      </c>
      <c r="AG25" s="380" t="str">
        <f>Настройки!R25</f>
        <v>-</v>
      </c>
      <c r="AH25" s="380" t="str">
        <f>Настройки!S25</f>
        <v>-</v>
      </c>
      <c r="AI25" s="380" t="str">
        <f>Настройки!T25</f>
        <v>out23</v>
      </c>
      <c r="AJ25" s="380" t="str">
        <f>Настройки!U25</f>
        <v>out23</v>
      </c>
      <c r="AK25" s="380" t="str">
        <f>Настройки!V25</f>
        <v>-</v>
      </c>
      <c r="AL25" s="380" t="str">
        <f>Настройки!W25</f>
        <v>-</v>
      </c>
      <c r="AM25" s="380" t="str">
        <f>Настройки!X25</f>
        <v>-</v>
      </c>
      <c r="AN25" s="380" t="str">
        <f>Настройки!Y25</f>
        <v>-</v>
      </c>
      <c r="AO25" s="380" t="str">
        <f>Настройки!Z25</f>
        <v>-</v>
      </c>
      <c r="AP25" s="380" t="str">
        <f>Настройки!AA25</f>
        <v>Canal_24</v>
      </c>
      <c r="AQ25" s="380" t="str">
        <f>Настройки!AB25</f>
        <v>Canal_24</v>
      </c>
      <c r="AR25" s="380" t="str">
        <f>Настройки!AC25</f>
        <v>-</v>
      </c>
      <c r="AS25" s="380" t="str">
        <f>Настройки!AD25</f>
        <v>-</v>
      </c>
      <c r="AT25" s="207" t="str">
        <f>Настройки!AB25</f>
        <v>Canal_24</v>
      </c>
      <c r="AU25" s="207" t="str">
        <f>Настройки!AC25</f>
        <v>-</v>
      </c>
      <c r="AV25" s="207" t="str">
        <f>Настройки!AD25</f>
        <v>-</v>
      </c>
      <c r="AW25" s="207" t="str">
        <f>Настройки!AE25</f>
        <v>-</v>
      </c>
      <c r="AX25" s="207" t="str">
        <f>Настройки!AF25</f>
        <v>IDIG_6_4</v>
      </c>
      <c r="AY25" s="207" t="str">
        <f>Настройки!AG25</f>
        <v>Canal_24</v>
      </c>
      <c r="AZ25" s="207" t="str">
        <f>Настройки!AH25</f>
        <v>Canal_24</v>
      </c>
      <c r="BA25" s="207" t="str">
        <f>Настройки!AI25</f>
        <v>Canal_24</v>
      </c>
      <c r="BB25" s="207" t="str">
        <f>Настройки!AJ25</f>
        <v>-</v>
      </c>
      <c r="BC25" s="207" t="str">
        <f>Настройки!AK25</f>
        <v>-</v>
      </c>
      <c r="BD25" s="207" t="str">
        <f>Настройки!AL25</f>
        <v>Canal_24</v>
      </c>
      <c r="BE25" s="207" t="str">
        <f>Настройки!AM25</f>
        <v>-</v>
      </c>
    </row>
    <row r="26" spans="1:57">
      <c r="A26" s="82"/>
      <c r="B26" s="82"/>
      <c r="C26" s="81"/>
      <c r="D26" s="81"/>
      <c r="E26" s="81"/>
      <c r="F26" s="81"/>
      <c r="G26" s="445"/>
      <c r="H26" s="447"/>
      <c r="I26" s="1"/>
      <c r="M26" s="424" t="str">
        <f>'Конфигурация TREI'!A27</f>
        <v>BR25</v>
      </c>
      <c r="N26" s="424" t="str">
        <f>'Конфигурация TREI'!B27</f>
        <v>M558D</v>
      </c>
      <c r="AE26" s="428">
        <f>Настройки!P26</f>
        <v>25</v>
      </c>
      <c r="AF26" s="380">
        <f>Настройки!Q26</f>
        <v>0</v>
      </c>
      <c r="AG26" s="380" t="str">
        <f>Настройки!R26</f>
        <v>-</v>
      </c>
      <c r="AH26" s="380" t="str">
        <f>Настройки!S26</f>
        <v>-</v>
      </c>
      <c r="AI26" s="380" t="str">
        <f>Настройки!T26</f>
        <v>out24</v>
      </c>
      <c r="AJ26" s="380" t="str">
        <f>Настройки!U26</f>
        <v>out24</v>
      </c>
      <c r="AK26" s="380" t="str">
        <f>Настройки!V26</f>
        <v>-</v>
      </c>
      <c r="AL26" s="380" t="str">
        <f>Настройки!W26</f>
        <v>-</v>
      </c>
      <c r="AM26" s="380" t="str">
        <f>Настройки!X26</f>
        <v>-</v>
      </c>
      <c r="AN26" s="380" t="str">
        <f>Настройки!Y26</f>
        <v>-</v>
      </c>
      <c r="AO26" s="380" t="str">
        <f>Настройки!Z26</f>
        <v>-</v>
      </c>
      <c r="AP26" s="380" t="str">
        <f>Настройки!AA26</f>
        <v>Canal_25</v>
      </c>
      <c r="AQ26" s="380" t="str">
        <f>Настройки!AB26</f>
        <v>Canal_25</v>
      </c>
      <c r="AR26" s="380" t="str">
        <f>Настройки!AC26</f>
        <v>-</v>
      </c>
      <c r="AS26" s="380" t="str">
        <f>Настройки!AD26</f>
        <v>-</v>
      </c>
      <c r="AT26" s="207" t="str">
        <f>Настройки!AB26</f>
        <v>Canal_25</v>
      </c>
      <c r="AU26" s="207" t="str">
        <f>Настройки!AC26</f>
        <v>-</v>
      </c>
      <c r="AV26" s="207" t="str">
        <f>Настройки!AD26</f>
        <v>-</v>
      </c>
      <c r="AW26" s="207" t="str">
        <f>Настройки!AE26</f>
        <v>-</v>
      </c>
      <c r="AX26" s="207" t="str">
        <f>Настройки!AF26</f>
        <v>IDIG_7_1</v>
      </c>
      <c r="AY26" s="207" t="str">
        <f>Настройки!AG26</f>
        <v>Canal_25</v>
      </c>
      <c r="AZ26" s="207" t="str">
        <f>Настройки!AH26</f>
        <v>Canal_25</v>
      </c>
      <c r="BA26" s="207" t="str">
        <f>Настройки!AI26</f>
        <v>Canal_25</v>
      </c>
      <c r="BB26" s="207" t="str">
        <f>Настройки!AJ26</f>
        <v>-</v>
      </c>
      <c r="BC26" s="207" t="str">
        <f>Настройки!AK26</f>
        <v>-</v>
      </c>
      <c r="BD26" s="207" t="str">
        <f>Настройки!AL26</f>
        <v>Canal_25</v>
      </c>
      <c r="BE26" s="207" t="str">
        <f>Настройки!AM26</f>
        <v>-</v>
      </c>
    </row>
    <row r="27" spans="1:57">
      <c r="A27" s="82"/>
      <c r="B27" s="82"/>
      <c r="C27" s="81"/>
      <c r="D27" s="81"/>
      <c r="E27" s="81"/>
      <c r="F27" s="81"/>
      <c r="G27" s="445"/>
      <c r="H27" s="447"/>
      <c r="I27" s="1"/>
      <c r="M27" s="424" t="str">
        <f>'Конфигурация TREI'!A28</f>
        <v>BR26</v>
      </c>
      <c r="N27" s="424" t="str">
        <f>'Конфигурация TREI'!B28</f>
        <v>M558D</v>
      </c>
      <c r="AE27" s="428">
        <f>Настройки!P27</f>
        <v>26</v>
      </c>
      <c r="AF27" s="380">
        <f>Настройки!Q27</f>
        <v>0</v>
      </c>
      <c r="AG27" s="380" t="str">
        <f>Настройки!R27</f>
        <v>-</v>
      </c>
      <c r="AH27" s="380" t="str">
        <f>Настройки!S27</f>
        <v>-</v>
      </c>
      <c r="AI27" s="380" t="str">
        <f>Настройки!T27</f>
        <v>out25</v>
      </c>
      <c r="AJ27" s="380" t="str">
        <f>Настройки!U27</f>
        <v>out25</v>
      </c>
      <c r="AK27" s="380" t="str">
        <f>Настройки!V27</f>
        <v>-</v>
      </c>
      <c r="AL27" s="380" t="str">
        <f>Настройки!W27</f>
        <v>-</v>
      </c>
      <c r="AM27" s="380" t="str">
        <f>Настройки!X27</f>
        <v>-</v>
      </c>
      <c r="AN27" s="380" t="str">
        <f>Настройки!Y27</f>
        <v>-</v>
      </c>
      <c r="AO27" s="380" t="str">
        <f>Настройки!Z27</f>
        <v>-</v>
      </c>
      <c r="AP27" s="380" t="str">
        <f>Настройки!AA27</f>
        <v>Canal_26</v>
      </c>
      <c r="AQ27" s="380" t="str">
        <f>Настройки!AB27</f>
        <v>Canal_26</v>
      </c>
      <c r="AR27" s="380" t="str">
        <f>Настройки!AC27</f>
        <v>-</v>
      </c>
      <c r="AS27" s="380" t="str">
        <f>Настройки!AD27</f>
        <v>-</v>
      </c>
      <c r="AT27" s="207" t="str">
        <f>Настройки!AB27</f>
        <v>Canal_26</v>
      </c>
      <c r="AU27" s="207" t="str">
        <f>Настройки!AC27</f>
        <v>-</v>
      </c>
      <c r="AV27" s="207" t="str">
        <f>Настройки!AD27</f>
        <v>-</v>
      </c>
      <c r="AW27" s="207" t="str">
        <f>Настройки!AE27</f>
        <v>-</v>
      </c>
      <c r="AX27" s="207" t="str">
        <f>Настройки!AF27</f>
        <v>IDIG_7_2</v>
      </c>
      <c r="AY27" s="207" t="str">
        <f>Настройки!AG27</f>
        <v>Canal_26</v>
      </c>
      <c r="AZ27" s="207" t="str">
        <f>Настройки!AH27</f>
        <v>Canal_26</v>
      </c>
      <c r="BA27" s="207" t="str">
        <f>Настройки!AI27</f>
        <v>Canal_26</v>
      </c>
      <c r="BB27" s="207" t="str">
        <f>Настройки!AJ27</f>
        <v>-</v>
      </c>
      <c r="BC27" s="207" t="str">
        <f>Настройки!AK27</f>
        <v>-</v>
      </c>
      <c r="BD27" s="207" t="str">
        <f>Настройки!AL27</f>
        <v>Canal_26</v>
      </c>
      <c r="BE27" s="207" t="str">
        <f>Настройки!AM27</f>
        <v>-</v>
      </c>
    </row>
    <row r="28" spans="1:57">
      <c r="A28" s="82"/>
      <c r="B28" s="82"/>
      <c r="C28" s="81"/>
      <c r="D28" s="81"/>
      <c r="E28" s="81"/>
      <c r="F28" s="81"/>
      <c r="G28" s="445"/>
      <c r="H28" s="447"/>
      <c r="I28" s="1"/>
      <c r="M28" s="424" t="str">
        <f>'Конфигурация TREI'!A29</f>
        <v>BR27</v>
      </c>
      <c r="N28" s="424" t="str">
        <f>'Конфигурация TREI'!B29</f>
        <v>M558D</v>
      </c>
      <c r="AE28" s="428">
        <f>Настройки!P28</f>
        <v>27</v>
      </c>
      <c r="AF28" s="380">
        <f>Настройки!Q28</f>
        <v>0</v>
      </c>
      <c r="AG28" s="380" t="str">
        <f>Настройки!R28</f>
        <v>-</v>
      </c>
      <c r="AH28" s="380" t="str">
        <f>Настройки!S28</f>
        <v>-</v>
      </c>
      <c r="AI28" s="380" t="str">
        <f>Настройки!T28</f>
        <v>out26</v>
      </c>
      <c r="AJ28" s="380" t="str">
        <f>Настройки!U28</f>
        <v>out26</v>
      </c>
      <c r="AK28" s="380" t="str">
        <f>Настройки!V28</f>
        <v>-</v>
      </c>
      <c r="AL28" s="380" t="str">
        <f>Настройки!W28</f>
        <v>-</v>
      </c>
      <c r="AM28" s="380" t="str">
        <f>Настройки!X28</f>
        <v>-</v>
      </c>
      <c r="AN28" s="380" t="str">
        <f>Настройки!Y28</f>
        <v>-</v>
      </c>
      <c r="AO28" s="380" t="str">
        <f>Настройки!Z28</f>
        <v>-</v>
      </c>
      <c r="AP28" s="380" t="str">
        <f>Настройки!AA28</f>
        <v>Canal_27</v>
      </c>
      <c r="AQ28" s="380" t="str">
        <f>Настройки!AB28</f>
        <v>Canal_27</v>
      </c>
      <c r="AR28" s="380" t="str">
        <f>Настройки!AC28</f>
        <v>-</v>
      </c>
      <c r="AS28" s="380" t="str">
        <f>Настройки!AD28</f>
        <v>-</v>
      </c>
      <c r="AT28" s="207" t="str">
        <f>Настройки!AB28</f>
        <v>Canal_27</v>
      </c>
      <c r="AU28" s="207" t="str">
        <f>Настройки!AC28</f>
        <v>-</v>
      </c>
      <c r="AV28" s="207" t="str">
        <f>Настройки!AD28</f>
        <v>-</v>
      </c>
      <c r="AW28" s="207" t="str">
        <f>Настройки!AE28</f>
        <v>-</v>
      </c>
      <c r="AX28" s="207" t="str">
        <f>Настройки!AF28</f>
        <v>IDIG_7_3</v>
      </c>
      <c r="AY28" s="207" t="str">
        <f>Настройки!AG28</f>
        <v>Canal_27</v>
      </c>
      <c r="AZ28" s="207" t="str">
        <f>Настройки!AH28</f>
        <v>Canal_27</v>
      </c>
      <c r="BA28" s="207" t="str">
        <f>Настройки!AI28</f>
        <v>Canal_27</v>
      </c>
      <c r="BB28" s="207" t="str">
        <f>Настройки!AJ28</f>
        <v>-</v>
      </c>
      <c r="BC28" s="207" t="str">
        <f>Настройки!AK28</f>
        <v>-</v>
      </c>
      <c r="BD28" s="207" t="str">
        <f>Настройки!AL28</f>
        <v>Canal_27</v>
      </c>
      <c r="BE28" s="207" t="str">
        <f>Настройки!AM28</f>
        <v>-</v>
      </c>
    </row>
    <row r="29" spans="1:57">
      <c r="A29" s="82"/>
      <c r="B29" s="82"/>
      <c r="C29" s="81"/>
      <c r="D29" s="81"/>
      <c r="E29" s="81"/>
      <c r="F29" s="81"/>
      <c r="G29" s="445"/>
      <c r="H29" s="447"/>
      <c r="I29" s="1"/>
      <c r="M29" s="424" t="str">
        <f>'Конфигурация TREI'!A30</f>
        <v>BR28</v>
      </c>
      <c r="N29" s="424" t="str">
        <f>'Конфигурация TREI'!B30</f>
        <v>M558D</v>
      </c>
      <c r="AE29" s="428">
        <f>Настройки!P29</f>
        <v>28</v>
      </c>
      <c r="AF29" s="380">
        <f>Настройки!Q29</f>
        <v>0</v>
      </c>
      <c r="AG29" s="380" t="str">
        <f>Настройки!R29</f>
        <v>-</v>
      </c>
      <c r="AH29" s="380" t="str">
        <f>Настройки!S29</f>
        <v>-</v>
      </c>
      <c r="AI29" s="380" t="str">
        <f>Настройки!T29</f>
        <v>out27</v>
      </c>
      <c r="AJ29" s="380" t="str">
        <f>Настройки!U29</f>
        <v>out27</v>
      </c>
      <c r="AK29" s="380" t="str">
        <f>Настройки!V29</f>
        <v>-</v>
      </c>
      <c r="AL29" s="380" t="str">
        <f>Настройки!W29</f>
        <v>-</v>
      </c>
      <c r="AM29" s="380" t="str">
        <f>Настройки!X29</f>
        <v>-</v>
      </c>
      <c r="AN29" s="380" t="str">
        <f>Настройки!Y29</f>
        <v>-</v>
      </c>
      <c r="AO29" s="380" t="str">
        <f>Настройки!Z29</f>
        <v>-</v>
      </c>
      <c r="AP29" s="380" t="str">
        <f>Настройки!AA29</f>
        <v>Canal_28</v>
      </c>
      <c r="AQ29" s="380" t="str">
        <f>Настройки!AB29</f>
        <v>Canal_28</v>
      </c>
      <c r="AR29" s="380" t="str">
        <f>Настройки!AC29</f>
        <v>-</v>
      </c>
      <c r="AS29" s="380" t="str">
        <f>Настройки!AD29</f>
        <v>-</v>
      </c>
      <c r="AT29" s="207" t="str">
        <f>Настройки!AB29</f>
        <v>Canal_28</v>
      </c>
      <c r="AU29" s="207" t="str">
        <f>Настройки!AC29</f>
        <v>-</v>
      </c>
      <c r="AV29" s="207" t="str">
        <f>Настройки!AD29</f>
        <v>-</v>
      </c>
      <c r="AW29" s="207" t="str">
        <f>Настройки!AE29</f>
        <v>-</v>
      </c>
      <c r="AX29" s="207" t="str">
        <f>Настройки!AF29</f>
        <v>IDIG_7_4</v>
      </c>
      <c r="AY29" s="207" t="str">
        <f>Настройки!AG29</f>
        <v>Canal_28</v>
      </c>
      <c r="AZ29" s="207" t="str">
        <f>Настройки!AH29</f>
        <v>Canal_28</v>
      </c>
      <c r="BA29" s="207" t="str">
        <f>Настройки!AI29</f>
        <v>Canal_28</v>
      </c>
      <c r="BB29" s="207" t="str">
        <f>Настройки!AJ29</f>
        <v>-</v>
      </c>
      <c r="BC29" s="207" t="str">
        <f>Настройки!AK29</f>
        <v>-</v>
      </c>
      <c r="BD29" s="207" t="str">
        <f>Настройки!AL29</f>
        <v>Canal_28</v>
      </c>
      <c r="BE29" s="207" t="str">
        <f>Настройки!AM29</f>
        <v>-</v>
      </c>
    </row>
    <row r="30" spans="1:57">
      <c r="A30" s="11"/>
      <c r="B30" s="11"/>
      <c r="C30" s="11"/>
      <c r="D30" s="11"/>
      <c r="E30" s="11"/>
      <c r="F30" s="11"/>
      <c r="G30" s="11"/>
      <c r="H30" s="1"/>
      <c r="I30" s="1"/>
      <c r="M30" s="424" t="str">
        <f>'Конфигурация TREI'!A31</f>
        <v>BR29</v>
      </c>
      <c r="N30" s="424" t="str">
        <f>'Конфигурация TREI'!B31</f>
        <v>M558O</v>
      </c>
      <c r="AE30" s="428">
        <f>Настройки!P30</f>
        <v>29</v>
      </c>
      <c r="AF30" s="380">
        <f>Настройки!Q30</f>
        <v>0</v>
      </c>
      <c r="AG30" s="380" t="str">
        <f>Настройки!R30</f>
        <v>-</v>
      </c>
      <c r="AH30" s="380" t="str">
        <f>Настройки!S30</f>
        <v>-</v>
      </c>
      <c r="AI30" s="380" t="str">
        <f>Настройки!T30</f>
        <v>out28</v>
      </c>
      <c r="AJ30" s="380" t="str">
        <f>Настройки!U30</f>
        <v>out28</v>
      </c>
      <c r="AK30" s="380" t="str">
        <f>Настройки!V30</f>
        <v>-</v>
      </c>
      <c r="AL30" s="380" t="str">
        <f>Настройки!W30</f>
        <v>-</v>
      </c>
      <c r="AM30" s="380" t="str">
        <f>Настройки!X30</f>
        <v>-</v>
      </c>
      <c r="AN30" s="380" t="str">
        <f>Настройки!Y30</f>
        <v>-</v>
      </c>
      <c r="AO30" s="380" t="str">
        <f>Настройки!Z30</f>
        <v>-</v>
      </c>
      <c r="AP30" s="380" t="str">
        <f>Настройки!AA30</f>
        <v>Canal_29</v>
      </c>
      <c r="AQ30" s="380" t="str">
        <f>Настройки!AB30</f>
        <v>Canal_29</v>
      </c>
      <c r="AR30" s="380" t="str">
        <f>Настройки!AC30</f>
        <v>-</v>
      </c>
      <c r="AS30" s="380" t="str">
        <f>Настройки!AD30</f>
        <v>-</v>
      </c>
      <c r="AT30" s="207" t="str">
        <f>Настройки!AB30</f>
        <v>Canal_29</v>
      </c>
      <c r="AU30" s="207" t="str">
        <f>Настройки!AC30</f>
        <v>-</v>
      </c>
      <c r="AV30" s="207" t="str">
        <f>Настройки!AD30</f>
        <v>-</v>
      </c>
      <c r="AW30" s="207" t="str">
        <f>Настройки!AE30</f>
        <v>-</v>
      </c>
      <c r="AX30" s="207" t="str">
        <f>Настройки!AF30</f>
        <v>IDIG_8_1</v>
      </c>
      <c r="AY30" s="207" t="str">
        <f>Настройки!AG30</f>
        <v>Canal_29</v>
      </c>
      <c r="AZ30" s="207" t="str">
        <f>Настройки!AH30</f>
        <v>Canal_29</v>
      </c>
      <c r="BA30" s="207" t="str">
        <f>Настройки!AI30</f>
        <v>Canal_29</v>
      </c>
      <c r="BB30" s="207" t="str">
        <f>Настройки!AJ30</f>
        <v>-</v>
      </c>
      <c r="BC30" s="207" t="str">
        <f>Настройки!AK30</f>
        <v>-</v>
      </c>
      <c r="BD30" s="207" t="str">
        <f>Настройки!AL30</f>
        <v>Canal_29</v>
      </c>
      <c r="BE30" s="207" t="str">
        <f>Настройки!AM30</f>
        <v>-</v>
      </c>
    </row>
    <row r="31" spans="1:57">
      <c r="A31" s="82"/>
      <c r="B31" s="82"/>
      <c r="C31" s="81"/>
      <c r="D31" s="81"/>
      <c r="E31" s="81"/>
      <c r="F31" s="81"/>
      <c r="G31" s="445"/>
      <c r="H31" s="445"/>
      <c r="I31" s="1"/>
      <c r="M31" s="424" t="str">
        <f>'Конфигурация TREI'!A32</f>
        <v>BR30</v>
      </c>
      <c r="N31" s="424" t="str">
        <f>'Конфигурация TREI'!B32</f>
        <v>M558D</v>
      </c>
      <c r="AE31" s="428">
        <f>Настройки!P31</f>
        <v>30</v>
      </c>
      <c r="AF31" s="380">
        <f>Настройки!Q31</f>
        <v>0</v>
      </c>
      <c r="AG31" s="380" t="str">
        <f>Настройки!R31</f>
        <v>-</v>
      </c>
      <c r="AH31" s="380" t="str">
        <f>Настройки!S31</f>
        <v>-</v>
      </c>
      <c r="AI31" s="380" t="str">
        <f>Настройки!T31</f>
        <v>out29</v>
      </c>
      <c r="AJ31" s="380" t="str">
        <f>Настройки!U31</f>
        <v>out29</v>
      </c>
      <c r="AK31" s="380" t="str">
        <f>Настройки!V31</f>
        <v>-</v>
      </c>
      <c r="AL31" s="380" t="str">
        <f>Настройки!W31</f>
        <v>-</v>
      </c>
      <c r="AM31" s="380" t="str">
        <f>Настройки!X31</f>
        <v>-</v>
      </c>
      <c r="AN31" s="380" t="str">
        <f>Настройки!Y31</f>
        <v>-</v>
      </c>
      <c r="AO31" s="380" t="str">
        <f>Настройки!Z31</f>
        <v>-</v>
      </c>
      <c r="AP31" s="380" t="str">
        <f>Настройки!AA31</f>
        <v>Canal_30</v>
      </c>
      <c r="AQ31" s="380" t="str">
        <f>Настройки!AB31</f>
        <v>Canal_30</v>
      </c>
      <c r="AR31" s="380" t="str">
        <f>Настройки!AC31</f>
        <v>-</v>
      </c>
      <c r="AS31" s="380" t="str">
        <f>Настройки!AD31</f>
        <v>-</v>
      </c>
      <c r="AT31" s="207" t="str">
        <f>Настройки!AB31</f>
        <v>Canal_30</v>
      </c>
      <c r="AU31" s="207" t="str">
        <f>Настройки!AC31</f>
        <v>-</v>
      </c>
      <c r="AV31" s="207" t="str">
        <f>Настройки!AD31</f>
        <v>-</v>
      </c>
      <c r="AW31" s="207" t="str">
        <f>Настройки!AE31</f>
        <v>-</v>
      </c>
      <c r="AX31" s="207" t="str">
        <f>Настройки!AF31</f>
        <v>IDIG_8_2</v>
      </c>
      <c r="AY31" s="207" t="str">
        <f>Настройки!AG31</f>
        <v>Canal_30</v>
      </c>
      <c r="AZ31" s="207" t="str">
        <f>Настройки!AH31</f>
        <v>Canal_30</v>
      </c>
      <c r="BA31" s="207" t="str">
        <f>Настройки!AI31</f>
        <v>Canal_30</v>
      </c>
      <c r="BB31" s="207" t="str">
        <f>Настройки!AJ31</f>
        <v>-</v>
      </c>
      <c r="BC31" s="207" t="str">
        <f>Настройки!AK31</f>
        <v>-</v>
      </c>
      <c r="BD31" s="207" t="str">
        <f>Настройки!AL31</f>
        <v>Canal_30</v>
      </c>
      <c r="BE31" s="207" t="str">
        <f>Настройки!AM31</f>
        <v>-</v>
      </c>
    </row>
    <row r="32" spans="1:57">
      <c r="A32" s="82"/>
      <c r="B32" s="82"/>
      <c r="C32" s="81"/>
      <c r="D32" s="81"/>
      <c r="E32" s="81"/>
      <c r="F32" s="81"/>
      <c r="G32" s="445"/>
      <c r="H32" s="445"/>
      <c r="I32" s="1"/>
      <c r="M32" s="424" t="str">
        <f>'Конфигурация TREI'!A33</f>
        <v>BR31</v>
      </c>
      <c r="N32" s="424" t="str">
        <f>'Конфигурация TREI'!B33</f>
        <v>M558D</v>
      </c>
      <c r="AE32" s="428">
        <f>Настройки!P32</f>
        <v>31</v>
      </c>
      <c r="AF32" s="380">
        <f>Настройки!Q32</f>
        <v>0</v>
      </c>
      <c r="AG32" s="380" t="str">
        <f>Настройки!R32</f>
        <v>-</v>
      </c>
      <c r="AH32" s="380" t="str">
        <f>Настройки!S32</f>
        <v>-</v>
      </c>
      <c r="AI32" s="380" t="str">
        <f>Настройки!T32</f>
        <v>out30</v>
      </c>
      <c r="AJ32" s="380" t="str">
        <f>Настройки!U32</f>
        <v>out30</v>
      </c>
      <c r="AK32" s="380" t="str">
        <f>Настройки!V32</f>
        <v>-</v>
      </c>
      <c r="AL32" s="380" t="str">
        <f>Настройки!W32</f>
        <v>-</v>
      </c>
      <c r="AM32" s="380" t="str">
        <f>Настройки!X32</f>
        <v>-</v>
      </c>
      <c r="AN32" s="380" t="str">
        <f>Настройки!Y32</f>
        <v>-</v>
      </c>
      <c r="AO32" s="380" t="str">
        <f>Настройки!Z32</f>
        <v>-</v>
      </c>
      <c r="AP32" s="380" t="str">
        <f>Настройки!AA32</f>
        <v>Canal_31</v>
      </c>
      <c r="AQ32" s="380" t="str">
        <f>Настройки!AB32</f>
        <v>Canal_31</v>
      </c>
      <c r="AR32" s="380" t="str">
        <f>Настройки!AC32</f>
        <v>-</v>
      </c>
      <c r="AS32" s="380" t="str">
        <f>Настройки!AD32</f>
        <v>-</v>
      </c>
      <c r="AT32" s="207" t="str">
        <f>Настройки!AB32</f>
        <v>Canal_31</v>
      </c>
      <c r="AU32" s="207" t="str">
        <f>Настройки!AC32</f>
        <v>-</v>
      </c>
      <c r="AV32" s="207" t="str">
        <f>Настройки!AD32</f>
        <v>-</v>
      </c>
      <c r="AW32" s="207" t="str">
        <f>Настройки!AE32</f>
        <v>-</v>
      </c>
      <c r="AX32" s="207" t="str">
        <f>Настройки!AF32</f>
        <v>IDIG_8_3</v>
      </c>
      <c r="AY32" s="207" t="str">
        <f>Настройки!AG32</f>
        <v>Canal_31</v>
      </c>
      <c r="AZ32" s="207" t="str">
        <f>Настройки!AH32</f>
        <v>Canal_31</v>
      </c>
      <c r="BA32" s="207" t="str">
        <f>Настройки!AI32</f>
        <v>Canal_31</v>
      </c>
      <c r="BB32" s="207" t="str">
        <f>Настройки!AJ32</f>
        <v>-</v>
      </c>
      <c r="BC32" s="207" t="str">
        <f>Настройки!AK32</f>
        <v>-</v>
      </c>
      <c r="BD32" s="207" t="str">
        <f>Настройки!AL32</f>
        <v>Canal_31</v>
      </c>
      <c r="BE32" s="207" t="str">
        <f>Настройки!AM32</f>
        <v>-</v>
      </c>
    </row>
    <row r="33" spans="1:57">
      <c r="A33" s="82"/>
      <c r="B33" s="82"/>
      <c r="C33" s="81"/>
      <c r="D33" s="81"/>
      <c r="E33" s="81"/>
      <c r="F33" s="81"/>
      <c r="G33" s="445"/>
      <c r="H33" s="445"/>
      <c r="I33" s="1"/>
      <c r="M33" s="424" t="str">
        <f>'Конфигурация TREI'!A34</f>
        <v>BR32</v>
      </c>
      <c r="N33" s="424" t="str">
        <f>'Конфигурация TREI'!B34</f>
        <v>M558D</v>
      </c>
      <c r="AE33" s="620">
        <f>Настройки!P33</f>
        <v>32</v>
      </c>
      <c r="AF33" s="621">
        <f>Настройки!Q33</f>
        <v>0</v>
      </c>
      <c r="AG33" s="621" t="str">
        <f>Настройки!R33</f>
        <v>-</v>
      </c>
      <c r="AH33" s="621" t="str">
        <f>Настройки!S33</f>
        <v>-</v>
      </c>
      <c r="AI33" s="621" t="str">
        <f>Настройки!T33</f>
        <v>out31</v>
      </c>
      <c r="AJ33" s="621" t="str">
        <f>Настройки!U33</f>
        <v>out31</v>
      </c>
      <c r="AK33" s="621" t="str">
        <f>Настройки!V33</f>
        <v>-</v>
      </c>
      <c r="AL33" s="621" t="str">
        <f>Настройки!W33</f>
        <v>-</v>
      </c>
      <c r="AM33" s="621" t="str">
        <f>Настройки!X33</f>
        <v>-</v>
      </c>
      <c r="AN33" s="621" t="str">
        <f>Настройки!Y33</f>
        <v>-</v>
      </c>
      <c r="AO33" s="621" t="str">
        <f>Настройки!Z33</f>
        <v>-</v>
      </c>
      <c r="AP33" s="621" t="str">
        <f>Настройки!AA33</f>
        <v>Canal_32</v>
      </c>
      <c r="AQ33" s="621" t="str">
        <f>Настройки!AB33</f>
        <v>Canal_32</v>
      </c>
      <c r="AR33" s="621" t="str">
        <f>Настройки!AC33</f>
        <v>-</v>
      </c>
      <c r="AS33" s="621" t="str">
        <f>Настройки!AD33</f>
        <v>-</v>
      </c>
      <c r="AT33" s="622" t="str">
        <f>Настройки!AB33</f>
        <v>Canal_32</v>
      </c>
      <c r="AU33" s="622" t="str">
        <f>Настройки!AC33</f>
        <v>-</v>
      </c>
      <c r="AV33" s="622" t="str">
        <f>Настройки!AD33</f>
        <v>-</v>
      </c>
      <c r="AW33" s="622" t="str">
        <f>Настройки!AE33</f>
        <v>-</v>
      </c>
      <c r="AX33" s="622" t="str">
        <f>Настройки!AF33</f>
        <v>IDIG_8_4</v>
      </c>
      <c r="AY33" s="622" t="str">
        <f>Настройки!AG33</f>
        <v>Canal_32</v>
      </c>
      <c r="AZ33" s="622" t="str">
        <f>Настройки!AH33</f>
        <v>Canal_32</v>
      </c>
      <c r="BA33" s="622" t="str">
        <f>Настройки!AI33</f>
        <v>Canal_32</v>
      </c>
      <c r="BB33" s="622" t="str">
        <f>Настройки!AJ33</f>
        <v>-</v>
      </c>
      <c r="BC33" s="622" t="str">
        <f>Настройки!AK33</f>
        <v>-</v>
      </c>
      <c r="BD33" s="622" t="str">
        <f>Настройки!AL33</f>
        <v>Canal_32</v>
      </c>
      <c r="BE33" s="622" t="str">
        <f>Настройки!AM33</f>
        <v>-</v>
      </c>
    </row>
    <row r="34" spans="1:57">
      <c r="A34" s="82"/>
      <c r="B34" s="82"/>
      <c r="C34" s="81"/>
      <c r="D34" s="81"/>
      <c r="E34" s="81"/>
      <c r="F34" s="81"/>
      <c r="G34" s="445"/>
      <c r="H34" s="445"/>
      <c r="I34" s="1"/>
      <c r="M34" s="424" t="str">
        <f>'Конфигурация TREI'!A35</f>
        <v>BR33</v>
      </c>
      <c r="N34" s="424" t="str">
        <f>'Конфигурация TREI'!B35</f>
        <v>M558D</v>
      </c>
      <c r="AE34" s="624"/>
      <c r="AF34" s="624"/>
      <c r="AG34" s="624"/>
      <c r="AH34" s="624"/>
      <c r="AI34" s="624"/>
      <c r="AJ34" s="624"/>
      <c r="AK34" s="624"/>
      <c r="AL34" s="624"/>
      <c r="AM34" s="624"/>
      <c r="AN34" s="624"/>
      <c r="AO34" s="624"/>
      <c r="AP34" s="624"/>
      <c r="AQ34" s="624"/>
      <c r="AR34" s="624"/>
      <c r="AS34" s="624"/>
      <c r="AT34" s="625"/>
      <c r="AU34" s="625"/>
      <c r="AV34" s="625"/>
      <c r="AW34" s="625"/>
      <c r="AX34" s="625"/>
      <c r="AY34" s="625"/>
      <c r="AZ34" s="625"/>
      <c r="BA34" s="625"/>
      <c r="BB34" s="625"/>
      <c r="BC34" s="625"/>
      <c r="BD34" s="625"/>
      <c r="BE34" s="625"/>
    </row>
    <row r="35" spans="1:57">
      <c r="A35" s="82"/>
      <c r="B35" s="82"/>
      <c r="C35" s="81"/>
      <c r="D35" s="81"/>
      <c r="E35" s="81"/>
      <c r="F35" s="81"/>
      <c r="G35" s="445"/>
      <c r="H35" s="445"/>
      <c r="I35" s="1"/>
      <c r="M35" s="424" t="str">
        <f>'Конфигурация TREI'!A36</f>
        <v>BR34</v>
      </c>
      <c r="N35" s="424" t="str">
        <f>'Конфигурация TREI'!B36</f>
        <v>M558D</v>
      </c>
      <c r="AE35" s="505"/>
      <c r="AF35" s="505"/>
      <c r="AG35" s="505"/>
      <c r="AH35" s="505"/>
      <c r="AI35" s="505"/>
      <c r="AJ35" s="505"/>
      <c r="AK35" s="505"/>
      <c r="AL35" s="505"/>
      <c r="AM35" s="505"/>
      <c r="AN35" s="505"/>
      <c r="AO35" s="505"/>
      <c r="AP35" s="505"/>
      <c r="AQ35" s="505"/>
      <c r="AR35" s="505"/>
      <c r="AS35" s="505"/>
      <c r="AT35" s="623"/>
      <c r="AU35" s="623"/>
      <c r="AV35" s="623"/>
      <c r="AW35" s="623"/>
      <c r="AX35" s="623"/>
      <c r="AY35" s="623"/>
      <c r="AZ35" s="623"/>
      <c r="BA35" s="623"/>
      <c r="BB35" s="623"/>
      <c r="BC35" s="623"/>
      <c r="BD35" s="623"/>
      <c r="BE35" s="623"/>
    </row>
    <row r="36" spans="1:57">
      <c r="A36" s="82"/>
      <c r="B36" s="82"/>
      <c r="C36" s="81"/>
      <c r="D36" s="81"/>
      <c r="E36" s="81"/>
      <c r="F36" s="81"/>
      <c r="G36" s="445"/>
      <c r="H36" s="445"/>
      <c r="I36" s="1"/>
      <c r="M36" s="424" t="str">
        <f>'Конфигурация TREI'!A37</f>
        <v>BR35</v>
      </c>
      <c r="N36" s="424" t="str">
        <f>'Конфигурация TREI'!B37</f>
        <v>M558D</v>
      </c>
      <c r="AE36" s="505"/>
      <c r="AF36" s="505"/>
      <c r="AG36" s="505"/>
      <c r="AH36" s="505"/>
      <c r="AI36" s="505"/>
      <c r="AJ36" s="505"/>
      <c r="AK36" s="505"/>
      <c r="AL36" s="505"/>
      <c r="AM36" s="505"/>
      <c r="AN36" s="505"/>
      <c r="AO36" s="505"/>
      <c r="AP36" s="505"/>
      <c r="AQ36" s="505"/>
      <c r="AR36" s="505"/>
      <c r="AS36" s="505"/>
      <c r="AT36" s="623"/>
      <c r="AU36" s="623"/>
      <c r="AV36" s="623"/>
      <c r="AW36" s="623"/>
      <c r="AX36" s="623"/>
      <c r="AY36" s="623"/>
      <c r="AZ36" s="623"/>
      <c r="BA36" s="623"/>
      <c r="BB36" s="623"/>
      <c r="BC36" s="623"/>
      <c r="BD36" s="623"/>
      <c r="BE36" s="623"/>
    </row>
    <row r="37" spans="1:57" ht="15.75" customHeight="1">
      <c r="A37" s="82"/>
      <c r="B37" s="82"/>
      <c r="C37" s="81"/>
      <c r="D37" s="81"/>
      <c r="E37" s="81"/>
      <c r="F37" s="81"/>
      <c r="G37" s="445"/>
      <c r="H37" s="445"/>
      <c r="I37" s="1"/>
      <c r="M37" s="424" t="str">
        <f>'Конфигурация TREI'!A38</f>
        <v>BR36</v>
      </c>
      <c r="N37" s="424">
        <f>'Конфигурация TREI'!B38</f>
        <v>0</v>
      </c>
      <c r="AE37" s="505"/>
      <c r="AF37" s="505"/>
      <c r="AG37" s="505"/>
      <c r="AH37" s="505"/>
      <c r="AI37" s="505"/>
      <c r="AJ37" s="505"/>
      <c r="AK37" s="505"/>
      <c r="AL37" s="505"/>
      <c r="AM37" s="505"/>
      <c r="AN37" s="505"/>
      <c r="AO37" s="505"/>
      <c r="AP37" s="505"/>
      <c r="AQ37" s="505"/>
      <c r="AR37" s="505"/>
      <c r="AS37" s="505"/>
      <c r="AT37" s="623"/>
      <c r="AU37" s="623"/>
      <c r="AV37" s="623"/>
      <c r="AW37" s="623"/>
      <c r="AX37" s="623"/>
      <c r="AY37" s="623"/>
      <c r="AZ37" s="623"/>
      <c r="BA37" s="623"/>
      <c r="BB37" s="623"/>
      <c r="BC37" s="623"/>
      <c r="BD37" s="623"/>
      <c r="BE37" s="623"/>
    </row>
    <row r="38" spans="1:57">
      <c r="A38" s="82"/>
      <c r="B38" s="82"/>
      <c r="C38" s="81"/>
      <c r="D38" s="81"/>
      <c r="E38" s="81"/>
      <c r="F38" s="81"/>
      <c r="G38" s="445"/>
      <c r="H38" s="445"/>
      <c r="I38" s="1"/>
      <c r="M38" s="424" t="str">
        <f>'Конфигурация TREI'!A39</f>
        <v>BR37</v>
      </c>
      <c r="N38" s="424">
        <f>'Конфигурация TREI'!B39</f>
        <v>0</v>
      </c>
      <c r="AE38" s="505"/>
      <c r="AF38" s="505"/>
      <c r="AG38" s="505"/>
      <c r="AH38" s="505"/>
      <c r="AI38" s="505"/>
      <c r="AJ38" s="505"/>
      <c r="AK38" s="505"/>
      <c r="AL38" s="505"/>
      <c r="AM38" s="505"/>
      <c r="AN38" s="505"/>
      <c r="AO38" s="505"/>
      <c r="AP38" s="505"/>
      <c r="AQ38" s="505"/>
      <c r="AR38" s="505"/>
      <c r="AS38" s="505"/>
      <c r="AT38" s="623"/>
      <c r="AU38" s="623"/>
      <c r="AV38" s="623"/>
      <c r="AW38" s="623"/>
      <c r="AX38" s="623"/>
      <c r="AY38" s="623"/>
      <c r="AZ38" s="623"/>
      <c r="BA38" s="623"/>
      <c r="BB38" s="623"/>
      <c r="BC38" s="623"/>
      <c r="BD38" s="623"/>
      <c r="BE38" s="623"/>
    </row>
    <row r="39" spans="1:57">
      <c r="A39" s="82"/>
      <c r="B39" s="82"/>
      <c r="C39" s="81"/>
      <c r="D39" s="81"/>
      <c r="E39" s="81"/>
      <c r="F39" s="81"/>
      <c r="G39" s="445"/>
      <c r="H39" s="445"/>
      <c r="I39" s="1"/>
      <c r="M39" s="424" t="str">
        <f>'Конфигурация TREI'!A40</f>
        <v>BR38</v>
      </c>
      <c r="N39" s="424">
        <f>'Конфигурация TREI'!B40</f>
        <v>0</v>
      </c>
      <c r="AE39" s="505"/>
      <c r="AF39" s="505"/>
      <c r="AG39" s="505"/>
      <c r="AH39" s="505"/>
      <c r="AI39" s="505"/>
      <c r="AJ39" s="505"/>
      <c r="AK39" s="505"/>
      <c r="AL39" s="505"/>
      <c r="AM39" s="505"/>
      <c r="AN39" s="505"/>
      <c r="AO39" s="505"/>
      <c r="AP39" s="505"/>
      <c r="AQ39" s="505"/>
      <c r="AR39" s="505"/>
      <c r="AS39" s="505"/>
      <c r="AT39" s="623"/>
      <c r="AU39" s="623"/>
      <c r="AV39" s="623"/>
      <c r="AW39" s="623"/>
      <c r="AX39" s="623"/>
      <c r="AY39" s="623"/>
      <c r="AZ39" s="623"/>
      <c r="BA39" s="623"/>
      <c r="BB39" s="623"/>
      <c r="BC39" s="623"/>
      <c r="BD39" s="623"/>
      <c r="BE39" s="623"/>
    </row>
    <row r="40" spans="1:57">
      <c r="A40" s="82"/>
      <c r="B40" s="82"/>
      <c r="C40" s="81"/>
      <c r="D40" s="81"/>
      <c r="E40" s="81"/>
      <c r="F40" s="81"/>
      <c r="G40" s="445"/>
      <c r="H40" s="445"/>
      <c r="I40" s="1"/>
      <c r="M40" s="424" t="str">
        <f>'Конфигурация TREI'!A41</f>
        <v>BR39</v>
      </c>
      <c r="N40" s="424">
        <f>'Конфигурация TREI'!B41</f>
        <v>0</v>
      </c>
      <c r="AE40" s="505"/>
      <c r="AF40" s="505"/>
      <c r="AG40" s="505"/>
      <c r="AH40" s="505"/>
      <c r="AI40" s="505"/>
      <c r="AJ40" s="505"/>
      <c r="AK40" s="505"/>
      <c r="AL40" s="505"/>
      <c r="AM40" s="505"/>
      <c r="AN40" s="505"/>
      <c r="AO40" s="505"/>
      <c r="AP40" s="505"/>
      <c r="AQ40" s="505"/>
      <c r="AR40" s="505"/>
      <c r="AS40" s="505"/>
      <c r="AT40" s="623"/>
      <c r="AU40" s="623"/>
      <c r="AV40" s="623"/>
      <c r="AW40" s="623"/>
      <c r="AX40" s="623"/>
      <c r="AY40" s="623"/>
      <c r="AZ40" s="623"/>
      <c r="BA40" s="623"/>
      <c r="BB40" s="623"/>
      <c r="BC40" s="623"/>
      <c r="BD40" s="623"/>
      <c r="BE40" s="623"/>
    </row>
    <row r="41" spans="1:57">
      <c r="A41" s="82"/>
      <c r="B41" s="82"/>
      <c r="C41" s="81"/>
      <c r="D41" s="81"/>
      <c r="E41" s="81"/>
      <c r="F41" s="81"/>
      <c r="G41" s="445"/>
      <c r="H41" s="445"/>
      <c r="I41" s="1"/>
      <c r="M41" s="424" t="str">
        <f>'Конфигурация TREI'!A42</f>
        <v>BR40</v>
      </c>
      <c r="N41" s="424">
        <f>'Конфигурация TREI'!B42</f>
        <v>0</v>
      </c>
      <c r="AE41" s="505"/>
      <c r="AF41" s="505"/>
      <c r="AG41" s="505"/>
      <c r="AH41" s="505"/>
      <c r="AI41" s="505"/>
      <c r="AJ41" s="505"/>
      <c r="AK41" s="505"/>
      <c r="AL41" s="505"/>
      <c r="AM41" s="505"/>
      <c r="AN41" s="505"/>
      <c r="AO41" s="505"/>
      <c r="AP41" s="505"/>
      <c r="AQ41" s="505"/>
      <c r="AR41" s="505"/>
      <c r="AS41" s="505"/>
      <c r="AT41" s="623"/>
      <c r="AU41" s="623"/>
      <c r="AV41" s="623"/>
      <c r="AW41" s="623"/>
      <c r="AX41" s="623"/>
      <c r="AY41" s="623"/>
      <c r="AZ41" s="623"/>
      <c r="BA41" s="623"/>
      <c r="BB41" s="623"/>
      <c r="BC41" s="623"/>
      <c r="BD41" s="623"/>
      <c r="BE41" s="623"/>
    </row>
    <row r="42" spans="1:57">
      <c r="M42" s="424" t="str">
        <f>'Конфигурация TREI'!A43</f>
        <v>BR41</v>
      </c>
      <c r="N42" s="424">
        <f>'Конфигурация TREI'!B43</f>
        <v>0</v>
      </c>
      <c r="AE42" s="505"/>
      <c r="AF42" s="505"/>
      <c r="AG42" s="505"/>
      <c r="AH42" s="505"/>
      <c r="AI42" s="505"/>
      <c r="AJ42" s="505"/>
      <c r="AK42" s="505"/>
      <c r="AL42" s="505"/>
      <c r="AM42" s="505"/>
      <c r="AN42" s="505"/>
      <c r="AO42" s="505"/>
      <c r="AP42" s="505"/>
      <c r="AQ42" s="505"/>
      <c r="AR42" s="505"/>
      <c r="AS42" s="505"/>
      <c r="AT42" s="623"/>
      <c r="AU42" s="623"/>
      <c r="AV42" s="623"/>
      <c r="AW42" s="623"/>
      <c r="AX42" s="623"/>
      <c r="AY42" s="623"/>
      <c r="AZ42" s="623"/>
      <c r="BA42" s="623"/>
      <c r="BB42" s="623"/>
      <c r="BC42" s="623"/>
      <c r="BD42" s="623"/>
      <c r="BE42" s="623"/>
    </row>
    <row r="43" spans="1:57">
      <c r="M43" s="424" t="str">
        <f>'Конфигурация TREI'!A44</f>
        <v>BR42</v>
      </c>
      <c r="N43" s="424">
        <f>'Конфигурация TREI'!B44</f>
        <v>0</v>
      </c>
      <c r="AE43" s="505"/>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row>
    <row r="44" spans="1:57">
      <c r="M44" s="424" t="str">
        <f>'Конфигурация TREI'!A45</f>
        <v>BR43</v>
      </c>
      <c r="N44" s="424">
        <f>'Конфигурация TREI'!B45</f>
        <v>0</v>
      </c>
      <c r="AE44" s="505"/>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row>
    <row r="45" spans="1:57">
      <c r="M45" s="424" t="str">
        <f>'Конфигурация TREI'!A46</f>
        <v>BR44</v>
      </c>
      <c r="N45" s="424">
        <f>'Конфигурация TREI'!B46</f>
        <v>0</v>
      </c>
      <c r="AE45" s="505"/>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row>
    <row r="46" spans="1:57">
      <c r="M46" s="424" t="str">
        <f>'Конфигурация TREI'!A47</f>
        <v>BR45</v>
      </c>
      <c r="N46" s="424">
        <f>'Конфигурация TREI'!B47</f>
        <v>0</v>
      </c>
      <c r="AE46" s="505"/>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row>
    <row r="47" spans="1:57">
      <c r="M47" s="424" t="str">
        <f>'Конфигурация TREI'!A48</f>
        <v>BR46</v>
      </c>
      <c r="N47" s="424">
        <f>'Конфигурация TREI'!B48</f>
        <v>0</v>
      </c>
      <c r="AE47" s="505"/>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row>
    <row r="48" spans="1:57">
      <c r="M48" s="424" t="str">
        <f>'Конфигурация TREI'!A49</f>
        <v>BR47</v>
      </c>
      <c r="N48" s="424">
        <f>'Конфигурация TREI'!B49</f>
        <v>0</v>
      </c>
      <c r="AE48" s="505"/>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row>
    <row r="49" spans="13:57">
      <c r="M49" s="424" t="str">
        <f>'Конфигурация TREI'!A50</f>
        <v>BR48</v>
      </c>
      <c r="N49" s="424">
        <f>'Конфигурация TREI'!B50</f>
        <v>0</v>
      </c>
      <c r="AE49" s="505"/>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row>
    <row r="50" spans="13:57">
      <c r="M50" s="424" t="str">
        <f>'Конфигурация TREI'!A51</f>
        <v>BR49</v>
      </c>
      <c r="N50" s="424">
        <f>'Конфигурация TREI'!B51</f>
        <v>0</v>
      </c>
    </row>
    <row r="51" spans="13:57">
      <c r="M51" s="424" t="str">
        <f>'Конфигурация TREI'!A52</f>
        <v>BR50</v>
      </c>
      <c r="N51" s="424">
        <f>'Конфигурация TREI'!B52</f>
        <v>0</v>
      </c>
    </row>
    <row r="52" spans="13:57">
      <c r="M52" s="424" t="str">
        <f>'Конфигурация TREI'!A53</f>
        <v>BR51</v>
      </c>
      <c r="N52" s="424">
        <f>'Конфигурация TREI'!B53</f>
        <v>0</v>
      </c>
    </row>
    <row r="53" spans="13:57">
      <c r="M53" s="424" t="str">
        <f>'Конфигурация TREI'!A54</f>
        <v>BR52</v>
      </c>
      <c r="N53" s="424">
        <f>'Конфигурация TREI'!B54</f>
        <v>0</v>
      </c>
    </row>
    <row r="54" spans="13:57">
      <c r="M54" s="424" t="str">
        <f>'Конфигурация TREI'!A55</f>
        <v>BR53</v>
      </c>
      <c r="N54" s="424">
        <f>'Конфигурация TREI'!B55</f>
        <v>0</v>
      </c>
    </row>
    <row r="55" spans="13:57">
      <c r="M55" s="424" t="str">
        <f>'Конфигурация TREI'!A56</f>
        <v>BR54</v>
      </c>
      <c r="N55" s="424">
        <f>'Конфигурация TREI'!B56</f>
        <v>0</v>
      </c>
    </row>
    <row r="56" spans="13:57">
      <c r="M56" s="424" t="str">
        <f>'Конфигурация TREI'!A57</f>
        <v>BR55</v>
      </c>
      <c r="N56" s="424">
        <f>'Конфигурация TREI'!B57</f>
        <v>0</v>
      </c>
    </row>
    <row r="57" spans="13:57">
      <c r="M57" s="424" t="str">
        <f>'Конфигурация TREI'!A58</f>
        <v>BR56</v>
      </c>
      <c r="N57" s="424">
        <f>'Конфигурация TREI'!B58</f>
        <v>0</v>
      </c>
    </row>
    <row r="58" spans="13:57">
      <c r="M58" s="424" t="str">
        <f>'Конфигурация TREI'!A59</f>
        <v>BR57</v>
      </c>
      <c r="N58" s="424">
        <f>'Конфигурация TREI'!B59</f>
        <v>0</v>
      </c>
    </row>
    <row r="59" spans="13:57">
      <c r="M59" s="424" t="str">
        <f>'Конфигурация TREI'!A60</f>
        <v>BR58</v>
      </c>
      <c r="N59" s="424">
        <f>'Конфигурация TREI'!B60</f>
        <v>0</v>
      </c>
    </row>
    <row r="60" spans="13:57">
      <c r="M60" s="424" t="str">
        <f>'Конфигурация TREI'!A61</f>
        <v>BR59</v>
      </c>
      <c r="N60" s="424">
        <f>'Конфигурация TREI'!B61</f>
        <v>0</v>
      </c>
    </row>
    <row r="61" spans="13:57">
      <c r="M61" s="424" t="str">
        <f>'Конфигурация TREI'!A62</f>
        <v>BR60</v>
      </c>
      <c r="N61" s="424">
        <f>'Конфигурация TREI'!B62</f>
        <v>0</v>
      </c>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sheetPr codeName="Лист124">
    <tabColor theme="2" tint="-0.249977111117893"/>
  </sheetPr>
  <dimension ref="A1:BE61"/>
  <sheetViews>
    <sheetView topLeftCell="A4" workbookViewId="0">
      <selection activeCell="D2" sqref="D2:D4"/>
    </sheetView>
  </sheetViews>
  <sheetFormatPr defaultRowHeight="14.4"/>
  <cols>
    <col min="1" max="1" width="35.44140625" customWidth="1"/>
    <col min="2" max="2" width="21.44140625" customWidth="1"/>
    <col min="3" max="3" width="3.44140625" customWidth="1"/>
    <col min="4" max="4" width="1.109375" customWidth="1"/>
    <col min="5" max="5" width="33.44140625" customWidth="1"/>
    <col min="6" max="6" width="17.6640625" customWidth="1"/>
    <col min="7" max="7" width="10.5546875" customWidth="1"/>
    <col min="8" max="8" width="14.33203125" customWidth="1"/>
    <col min="9" max="9" width="11.44140625" customWidth="1"/>
    <col min="10" max="10" width="9.109375" hidden="1" customWidth="1"/>
    <col min="11" max="11" width="10.88671875" customWidth="1"/>
    <col min="12" max="12" width="11.5546875" customWidth="1"/>
    <col min="13" max="13" width="10.6640625" bestFit="1" customWidth="1"/>
    <col min="14" max="14" width="8.109375" bestFit="1" customWidth="1"/>
    <col min="15" max="15" width="9.109375" customWidth="1"/>
    <col min="16" max="16" width="34.6640625" customWidth="1"/>
    <col min="17" max="17" width="39.33203125" customWidth="1"/>
    <col min="18" max="30" width="26.109375" style="55" customWidth="1"/>
    <col min="31" max="31" width="4.5546875" style="427" customWidth="1"/>
    <col min="32" max="32" width="11.109375" customWidth="1"/>
  </cols>
  <sheetData>
    <row r="1" spans="1:57">
      <c r="A1" s="425"/>
      <c r="B1" s="425"/>
      <c r="C1" s="425"/>
      <c r="D1" s="425"/>
      <c r="E1" s="425"/>
      <c r="F1" s="425"/>
      <c r="G1" s="426" t="s">
        <v>846</v>
      </c>
      <c r="H1" s="426" t="s">
        <v>847</v>
      </c>
      <c r="I1" s="424" t="s">
        <v>1181</v>
      </c>
      <c r="J1" s="425"/>
      <c r="M1" s="424" t="str">
        <f>'Конфигурация TREI'!A1</f>
        <v>№ Модуля</v>
      </c>
      <c r="N1" s="424" t="str">
        <f>'Конфигурация TREI'!B2</f>
        <v>M501E(рез)</v>
      </c>
      <c r="O1" s="425"/>
      <c r="P1" s="425" t="str">
        <f>Таблица!D1</f>
        <v>Префикс для TREI
Тэг ОРС для INFINITY</v>
      </c>
      <c r="Q1" s="425" t="str">
        <f>Таблица!E1</f>
        <v>Комментарий для TREI и INFINITY</v>
      </c>
      <c r="R1" s="428" t="s">
        <v>1212</v>
      </c>
      <c r="S1" s="428"/>
      <c r="T1" s="428"/>
      <c r="U1" s="428"/>
      <c r="V1" s="428"/>
      <c r="W1" s="428"/>
      <c r="X1" s="428"/>
      <c r="Y1" s="428"/>
      <c r="Z1" s="428"/>
      <c r="AA1" s="428"/>
      <c r="AB1" s="428"/>
      <c r="AC1" s="428"/>
      <c r="AD1" s="429"/>
      <c r="AE1" s="438"/>
      <c r="AF1" s="438">
        <f>Настройки!Q1</f>
        <v>0</v>
      </c>
      <c r="AG1" s="438" t="str">
        <f>Настройки!R1</f>
        <v>M943DR</v>
      </c>
      <c r="AH1" s="438" t="str">
        <f>Настройки!S1</f>
        <v>M942A</v>
      </c>
      <c r="AI1" s="438" t="str">
        <f>Настройки!T1</f>
        <v>M957D</v>
      </c>
      <c r="AJ1" s="438" t="str">
        <f>Настройки!U1</f>
        <v>M957O</v>
      </c>
      <c r="AK1" s="438" t="str">
        <f>Настройки!V1</f>
        <v>M947R</v>
      </c>
      <c r="AL1" s="438" t="str">
        <f>Настройки!W1</f>
        <v>M931V</v>
      </c>
      <c r="AM1" s="438" t="str">
        <f>Настройки!X1</f>
        <v>M931T</v>
      </c>
      <c r="AN1" s="438" t="str">
        <f>Настройки!Y1</f>
        <v>M547A</v>
      </c>
      <c r="AO1" s="438" t="str">
        <f>Настройки!Z1</f>
        <v>M537V</v>
      </c>
      <c r="AP1" s="438" t="str">
        <f>Настройки!AA1</f>
        <v>M557D</v>
      </c>
      <c r="AQ1" s="438" t="str">
        <f>Настройки!AB1</f>
        <v>M557O</v>
      </c>
      <c r="AR1" s="438" t="str">
        <f>Настройки!AC1</f>
        <v>MOPS</v>
      </c>
      <c r="AS1" s="438" t="str">
        <f>Настройки!AD1</f>
        <v>MUPS</v>
      </c>
      <c r="AT1" s="439" t="str">
        <f>Настройки!AB1</f>
        <v>M557O</v>
      </c>
      <c r="AU1" s="439" t="str">
        <f>Настройки!AC1</f>
        <v>MOPS</v>
      </c>
      <c r="AV1" s="439" t="str">
        <f>Настройки!AD1</f>
        <v>MUPS</v>
      </c>
      <c r="AW1" s="439" t="str">
        <f>Настройки!AE1</f>
        <v>M941A</v>
      </c>
      <c r="AX1" s="439" t="str">
        <f>Настройки!AF1</f>
        <v>M954D</v>
      </c>
      <c r="AY1" s="439" t="str">
        <f>Настройки!AG1</f>
        <v>M557DR</v>
      </c>
      <c r="AZ1" s="439" t="str">
        <f>Настройки!AH1</f>
        <v>M558D</v>
      </c>
      <c r="BA1" s="439" t="str">
        <f>Настройки!AI1</f>
        <v>M558O</v>
      </c>
      <c r="BB1" s="439" t="str">
        <f>Настройки!AJ1</f>
        <v>M548A</v>
      </c>
      <c r="BC1" s="439" t="str">
        <f>Настройки!AK1</f>
        <v>M538V</v>
      </c>
      <c r="BD1" s="439" t="str">
        <f>Настройки!AL1</f>
        <v>M558DR</v>
      </c>
      <c r="BE1" s="439" t="str">
        <f>Настройки!AM1</f>
        <v>*</v>
      </c>
    </row>
    <row r="2" spans="1:57">
      <c r="A2" s="446" t="str">
        <f>"//*********** "&amp;Q2&amp;" ***********"</f>
        <v>//*********** Дискретный вход (XVLX+DVXX) с буферизацией ***********</v>
      </c>
      <c r="B2" s="446"/>
      <c r="C2" s="446"/>
      <c r="D2" s="446"/>
      <c r="E2" s="446"/>
      <c r="F2" s="446" t="s">
        <v>1031</v>
      </c>
      <c r="G2" s="447"/>
      <c r="H2" s="447"/>
      <c r="I2" s="459"/>
      <c r="M2" s="424" t="str">
        <f>'Конфигурация TREI'!A3</f>
        <v>BR1</v>
      </c>
      <c r="N2" s="424" t="str">
        <f>'Конфигурация TREI'!B3</f>
        <v>M558D</v>
      </c>
      <c r="P2" s="2" t="s">
        <v>435</v>
      </c>
      <c r="Q2" s="2" t="s">
        <v>1815</v>
      </c>
      <c r="R2" s="379" t="s">
        <v>1296</v>
      </c>
      <c r="S2" s="378"/>
      <c r="T2" s="378"/>
      <c r="U2" s="378"/>
      <c r="V2" s="378"/>
      <c r="W2" s="378"/>
      <c r="X2" s="378"/>
      <c r="Y2" s="378"/>
      <c r="Z2" s="378"/>
      <c r="AA2" s="378"/>
      <c r="AB2" s="378"/>
      <c r="AC2" s="378"/>
      <c r="AE2" s="431">
        <f>Настройки!P2</f>
        <v>1</v>
      </c>
      <c r="AF2" s="380">
        <f>Настройки!Q2</f>
        <v>0</v>
      </c>
      <c r="AG2" s="380" t="str">
        <f>Настройки!R2</f>
        <v>IDIG_1_1</v>
      </c>
      <c r="AH2" s="380" t="str">
        <f>Настройки!S2</f>
        <v>IANS_1_3</v>
      </c>
      <c r="AI2" s="380" t="str">
        <f>Настройки!T2</f>
        <v>out0</v>
      </c>
      <c r="AJ2" s="380" t="str">
        <f>Настройки!U2</f>
        <v>out0</v>
      </c>
      <c r="AK2" s="380" t="str">
        <f>Настройки!V2</f>
        <v>ODIG_1</v>
      </c>
      <c r="AL2" s="380" t="str">
        <f>Настройки!W2</f>
        <v>OAN_1_1</v>
      </c>
      <c r="AM2" s="380" t="str">
        <f>Настройки!X2</f>
        <v>IANS_1_1</v>
      </c>
      <c r="AN2" s="380" t="str">
        <f>Настройки!Y2</f>
        <v>Canal_01</v>
      </c>
      <c r="AO2" s="380" t="str">
        <f>Настройки!Z2</f>
        <v>Canal_01</v>
      </c>
      <c r="AP2" s="380" t="str">
        <f>Настройки!AA2</f>
        <v>Canal_01</v>
      </c>
      <c r="AQ2" s="380" t="str">
        <f>Настройки!AB2</f>
        <v>Canal_01</v>
      </c>
      <c r="AR2" s="380" t="str">
        <f>Настройки!AC2</f>
        <v>IVXX[0]</v>
      </c>
      <c r="AS2" s="380" t="str">
        <f>Настройки!AD2</f>
        <v>IVXX[0]</v>
      </c>
      <c r="AT2" s="207" t="str">
        <f>Настройки!AB2</f>
        <v>Canal_01</v>
      </c>
      <c r="AU2" s="207" t="str">
        <f>Настройки!AC2</f>
        <v>IVXX[0]</v>
      </c>
      <c r="AV2" s="207" t="str">
        <f>Настройки!AD2</f>
        <v>IVXX[0]</v>
      </c>
      <c r="AW2" s="207" t="str">
        <f>Настройки!AE2</f>
        <v>IANS_1_1</v>
      </c>
      <c r="AX2" s="207" t="str">
        <f>Настройки!AF2</f>
        <v>IDIG_1_1</v>
      </c>
      <c r="AY2" s="207" t="str">
        <f>Настройки!AG2</f>
        <v>Canal_01</v>
      </c>
      <c r="AZ2" s="207" t="str">
        <f>Настройки!AH2</f>
        <v>Canal_01</v>
      </c>
      <c r="BA2" s="207" t="str">
        <f>Настройки!AI2</f>
        <v>Canal_01</v>
      </c>
      <c r="BB2" s="207" t="str">
        <f>Настройки!AJ2</f>
        <v>Canal_01</v>
      </c>
      <c r="BC2" s="207" t="str">
        <f>Настройки!AK2</f>
        <v>Canal_01</v>
      </c>
      <c r="BD2" s="207" t="str">
        <f>Настройки!AL2</f>
        <v>Canal_01</v>
      </c>
      <c r="BE2" s="207" t="str">
        <f>Настройки!AM2</f>
        <v>-</v>
      </c>
    </row>
    <row r="3" spans="1:57">
      <c r="A3" s="82"/>
      <c r="B3" s="82"/>
      <c r="C3" s="81"/>
      <c r="D3" s="81"/>
      <c r="E3" s="448" t="str">
        <f ca="1">IF(LEFT(E4,3)="out","INT_TO_BIT_BR"&amp;C4&amp;"(BR"&amp;C4&amp;".IDIG_MASK)","УДАЛИТЬ")</f>
        <v>УДАЛИТЬ</v>
      </c>
      <c r="F3" s="446" t="s">
        <v>845</v>
      </c>
      <c r="G3" s="447"/>
      <c r="H3" s="447"/>
      <c r="I3" s="459"/>
      <c r="M3" s="424" t="str">
        <f>'Конфигурация TREI'!A4</f>
        <v>BR2</v>
      </c>
      <c r="N3" s="424" t="str">
        <f>'Конфигурация TREI'!B4</f>
        <v>M548A</v>
      </c>
      <c r="P3" s="425" t="str">
        <f>'Конфигурация TREI'!D1</f>
        <v>Путь TREI для сигналов NOT_LINK</v>
      </c>
      <c r="R3" s="451" t="str">
        <f>SUBSTITUTE(SUBSTITUTE($R$2,"!","")," ","")</f>
        <v>8+1</v>
      </c>
      <c r="S3" s="450"/>
      <c r="T3" s="450"/>
      <c r="U3" s="450"/>
      <c r="V3" s="450"/>
      <c r="W3" s="450"/>
      <c r="X3" s="450"/>
      <c r="Y3" s="450"/>
      <c r="Z3" s="450"/>
      <c r="AA3" s="450"/>
      <c r="AB3" s="450"/>
      <c r="AC3" s="450"/>
      <c r="AE3" s="431">
        <f>Настройки!P3</f>
        <v>2</v>
      </c>
      <c r="AF3" s="380">
        <f>Настройки!Q3</f>
        <v>0</v>
      </c>
      <c r="AG3" s="380" t="str">
        <f>Настройки!R3</f>
        <v>IDIG_1_2</v>
      </c>
      <c r="AH3" s="380" t="str">
        <f>Настройки!S3</f>
        <v>IANS_1_4</v>
      </c>
      <c r="AI3" s="380" t="str">
        <f>Настройки!T3</f>
        <v>out1</v>
      </c>
      <c r="AJ3" s="380" t="str">
        <f>Настройки!U3</f>
        <v>out1</v>
      </c>
      <c r="AK3" s="380" t="str">
        <f>Настройки!V3</f>
        <v>ODIG_2</v>
      </c>
      <c r="AL3" s="380" t="str">
        <f>Настройки!W3</f>
        <v>OAN_2_1</v>
      </c>
      <c r="AM3" s="380" t="str">
        <f>Настройки!X3</f>
        <v>IANS_2_1</v>
      </c>
      <c r="AN3" s="380" t="str">
        <f>Настройки!Y3</f>
        <v>Canal_02</v>
      </c>
      <c r="AO3" s="380" t="str">
        <f>Настройки!Z3</f>
        <v>Canal_02</v>
      </c>
      <c r="AP3" s="380" t="str">
        <f>Настройки!AA3</f>
        <v>Canal_02</v>
      </c>
      <c r="AQ3" s="380" t="str">
        <f>Настройки!AB3</f>
        <v>Canal_02</v>
      </c>
      <c r="AR3" s="380" t="str">
        <f>Настройки!AC3</f>
        <v>IVXX[1]</v>
      </c>
      <c r="AS3" s="380" t="str">
        <f>Настройки!AD3</f>
        <v>IVXX[1]</v>
      </c>
      <c r="AT3" s="207" t="str">
        <f>Настройки!AB3</f>
        <v>Canal_02</v>
      </c>
      <c r="AU3" s="207" t="str">
        <f>Настройки!AC3</f>
        <v>IVXX[1]</v>
      </c>
      <c r="AV3" s="207" t="str">
        <f>Настройки!AD3</f>
        <v>IVXX[1]</v>
      </c>
      <c r="AW3" s="207" t="str">
        <f>Настройки!AE3</f>
        <v>IANS_1_2</v>
      </c>
      <c r="AX3" s="207" t="str">
        <f>Настройки!AF3</f>
        <v>IDIG_1_2</v>
      </c>
      <c r="AY3" s="207" t="str">
        <f>Настройки!AG3</f>
        <v>Canal_02</v>
      </c>
      <c r="AZ3" s="207" t="str">
        <f>Настройки!AH3</f>
        <v>Canal_02</v>
      </c>
      <c r="BA3" s="207" t="str">
        <f>Настройки!AI3</f>
        <v>Canal_02</v>
      </c>
      <c r="BB3" s="207" t="str">
        <f>Настройки!AJ3</f>
        <v>Canal_02</v>
      </c>
      <c r="BC3" s="207" t="str">
        <f>Настройки!AK3</f>
        <v>Canal_02</v>
      </c>
      <c r="BD3" s="207" t="str">
        <f>Настройки!AL3</f>
        <v>Canal_02</v>
      </c>
      <c r="BE3" s="207" t="str">
        <f>Настройки!AM3</f>
        <v>-</v>
      </c>
    </row>
    <row r="4" spans="1:57">
      <c r="A4" s="448" t="str">
        <f>SUBSTITUTE($P$2,"\","|")&amp;"|"&amp; $R$1 &amp;":="&amp;IF(LEFT(SUBSTITUTE($R$2," ",""),1)="!","NOT  ","")</f>
        <v>DI_DIAG|XVLX:=</v>
      </c>
      <c r="B4" s="448" t="str">
        <f ca="1">IF(LEFT(E4,3)="out","INT_TO_BIT_BR","BR")</f>
        <v>BR</v>
      </c>
      <c r="C4" s="446" t="str">
        <f>LEFT($R$3,FIND("+",$R$3,1)-1)</f>
        <v>8</v>
      </c>
      <c r="D4" s="446" t="s">
        <v>178</v>
      </c>
      <c r="E4" s="446" t="str">
        <f ca="1">IF($R$2=0,"УДАЛИТЬ",IFERROR(IF(OR($I4="-",$H4="0"),"КАНАЛ ОТСУТСТВУЕТ",IF($I4=0,"МОДУЛЬ ОТСУТСТВУЕТ",$I4)),"ОШИБКА ФОРМАТА"))</f>
        <v>Canal_01</v>
      </c>
      <c r="F4" s="446" t="s">
        <v>845</v>
      </c>
      <c r="G4" s="447" t="str">
        <f>INDEX($N$2:$N$61,C4)</f>
        <v>M558O</v>
      </c>
      <c r="H4" s="447" t="str">
        <f>RIGHT(R$3,LEN(R$3)-FIND("+",R$3,1))</f>
        <v>1</v>
      </c>
      <c r="I4" s="460" t="str">
        <f ca="1">INDIRECT(ADDRESS($H4+1,MATCH($G4,$1:$1,),1))</f>
        <v>Canal_01</v>
      </c>
      <c r="M4" s="424" t="str">
        <f>'Конфигурация TREI'!A5</f>
        <v>BR3</v>
      </c>
      <c r="N4" s="424" t="str">
        <f>'Конфигурация TREI'!B5</f>
        <v>M548A</v>
      </c>
      <c r="P4" s="3" t="str">
        <f>Настройки!D2</f>
        <v/>
      </c>
      <c r="AE4" s="431">
        <f>Настройки!P4</f>
        <v>3</v>
      </c>
      <c r="AF4" s="380">
        <f>Настройки!Q4</f>
        <v>0</v>
      </c>
      <c r="AG4" s="380" t="str">
        <f>Настройки!R4</f>
        <v>IDIG_2_1</v>
      </c>
      <c r="AH4" s="380" t="str">
        <f>Настройки!S4</f>
        <v>IANS_2_3</v>
      </c>
      <c r="AI4" s="380" t="str">
        <f>Настройки!T4</f>
        <v>out2</v>
      </c>
      <c r="AJ4" s="380" t="str">
        <f>Настройки!U4</f>
        <v>out2</v>
      </c>
      <c r="AK4" s="380" t="str">
        <f>Настройки!V4</f>
        <v>ODIG_3</v>
      </c>
      <c r="AL4" s="380" t="str">
        <f>Настройки!W4</f>
        <v>OAN_3_1</v>
      </c>
      <c r="AM4" s="380" t="str">
        <f>Настройки!X4</f>
        <v>IANS_3_1</v>
      </c>
      <c r="AN4" s="380" t="str">
        <f>Настройки!Y4</f>
        <v>Canal_03</v>
      </c>
      <c r="AO4" s="380" t="str">
        <f>Настройки!Z4</f>
        <v>Canal_03</v>
      </c>
      <c r="AP4" s="380" t="str">
        <f>Настройки!AA4</f>
        <v>Canal_03</v>
      </c>
      <c r="AQ4" s="380" t="str">
        <f>Настройки!AB4</f>
        <v>Canal_03</v>
      </c>
      <c r="AR4" s="380" t="str">
        <f>Настройки!AC4</f>
        <v>IVXX[2]</v>
      </c>
      <c r="AS4" s="380" t="str">
        <f>Настройки!AD4</f>
        <v>IVXX[2]</v>
      </c>
      <c r="AT4" s="207" t="str">
        <f>Настройки!AB4</f>
        <v>Canal_03</v>
      </c>
      <c r="AU4" s="207" t="str">
        <f>Настройки!AC4</f>
        <v>IVXX[2]</v>
      </c>
      <c r="AV4" s="207" t="str">
        <f>Настройки!AD4</f>
        <v>IVXX[2]</v>
      </c>
      <c r="AW4" s="207" t="str">
        <f>Настройки!AE4</f>
        <v>IANS_2_1</v>
      </c>
      <c r="AX4" s="207" t="str">
        <f>Настройки!AF4</f>
        <v>IDIG_1_3</v>
      </c>
      <c r="AY4" s="207" t="str">
        <f>Настройки!AG4</f>
        <v>Canal_03</v>
      </c>
      <c r="AZ4" s="207" t="str">
        <f>Настройки!AH4</f>
        <v>Canal_03</v>
      </c>
      <c r="BA4" s="207" t="str">
        <f>Настройки!AI4</f>
        <v>Canal_03</v>
      </c>
      <c r="BB4" s="207" t="str">
        <f>Настройки!AJ4</f>
        <v>Canal_03</v>
      </c>
      <c r="BC4" s="207" t="str">
        <f>Настройки!AK4</f>
        <v>Canal_03</v>
      </c>
      <c r="BD4" s="207" t="str">
        <f>Настройки!AL4</f>
        <v>Canal_03</v>
      </c>
      <c r="BE4" s="207" t="str">
        <f>Настройки!AM4</f>
        <v>-</v>
      </c>
    </row>
    <row r="5" spans="1:57" ht="14.25" customHeight="1">
      <c r="A5" s="448" t="str">
        <f>SUBSTITUTE($P$2,"\","|")&amp;"|"&amp;"DVXX:="&amp;P4&amp;"NOT_LINK_BR"</f>
        <v>DI_DIAG|DVXX:=NOT_LINK_BR</v>
      </c>
      <c r="B5" s="448"/>
      <c r="C5" s="446"/>
      <c r="D5" s="446"/>
      <c r="E5" s="446" t="str">
        <f>IFERROR(LEFT($R$3,FIND("+",$R$3,1)-1),"УДАЛИТЬ")</f>
        <v>8</v>
      </c>
      <c r="F5" s="446" t="s">
        <v>845</v>
      </c>
      <c r="G5" s="447"/>
      <c r="H5" s="447"/>
      <c r="I5" s="460"/>
      <c r="M5" s="424" t="str">
        <f>'Конфигурация TREI'!A6</f>
        <v>BR4</v>
      </c>
      <c r="N5" s="424" t="str">
        <f>'Конфигурация TREI'!B6</f>
        <v>M558D</v>
      </c>
      <c r="R5" s="56"/>
      <c r="AE5" s="431">
        <f>Настройки!P5</f>
        <v>4</v>
      </c>
      <c r="AF5" s="380">
        <f>Настройки!Q5</f>
        <v>0</v>
      </c>
      <c r="AG5" s="380" t="str">
        <f>Настройки!R5</f>
        <v>IDIG_2_2</v>
      </c>
      <c r="AH5" s="380" t="str">
        <f>Настройки!S5</f>
        <v>IANS_2_4</v>
      </c>
      <c r="AI5" s="380" t="str">
        <f>Настройки!T5</f>
        <v>out3</v>
      </c>
      <c r="AJ5" s="380" t="str">
        <f>Настройки!U5</f>
        <v>out3</v>
      </c>
      <c r="AK5" s="380" t="str">
        <f>Настройки!V5</f>
        <v>ODIG_4</v>
      </c>
      <c r="AL5" s="380" t="str">
        <f>Настройки!W5</f>
        <v>OAN_4_1</v>
      </c>
      <c r="AM5" s="380" t="str">
        <f>Настройки!X5</f>
        <v>IANS_4_1</v>
      </c>
      <c r="AN5" s="380" t="str">
        <f>Настройки!Y5</f>
        <v>Canal_04</v>
      </c>
      <c r="AO5" s="380" t="str">
        <f>Настройки!Z5</f>
        <v>Canal_04</v>
      </c>
      <c r="AP5" s="380" t="str">
        <f>Настройки!AA5</f>
        <v>Canal_04</v>
      </c>
      <c r="AQ5" s="380" t="str">
        <f>Настройки!AB5</f>
        <v>Canal_04</v>
      </c>
      <c r="AR5" s="380" t="str">
        <f>Настройки!AC5</f>
        <v>IVXX[3]</v>
      </c>
      <c r="AS5" s="380" t="str">
        <f>Настройки!AD5</f>
        <v>IVXX[3]</v>
      </c>
      <c r="AT5" s="207" t="str">
        <f>Настройки!AB5</f>
        <v>Canal_04</v>
      </c>
      <c r="AU5" s="207" t="str">
        <f>Настройки!AC5</f>
        <v>IVXX[3]</v>
      </c>
      <c r="AV5" s="207" t="str">
        <f>Настройки!AD5</f>
        <v>IVXX[3]</v>
      </c>
      <c r="AW5" s="207" t="str">
        <f>Настройки!AE5</f>
        <v>IANS_2_2</v>
      </c>
      <c r="AX5" s="207" t="str">
        <f>Настройки!AF5</f>
        <v>IDIG_1_4</v>
      </c>
      <c r="AY5" s="207" t="str">
        <f>Настройки!AG5</f>
        <v>Canal_04</v>
      </c>
      <c r="AZ5" s="207" t="str">
        <f>Настройки!AH5</f>
        <v>Canal_04</v>
      </c>
      <c r="BA5" s="207" t="str">
        <f>Настройки!AI5</f>
        <v>Canal_04</v>
      </c>
      <c r="BB5" s="207" t="str">
        <f>Настройки!AJ5</f>
        <v>Canal_04</v>
      </c>
      <c r="BC5" s="207" t="str">
        <f>Настройки!AK5</f>
        <v>Canal_04</v>
      </c>
      <c r="BD5" s="207" t="str">
        <f>Настройки!AL5</f>
        <v>Canal_04</v>
      </c>
      <c r="BE5" s="207" t="str">
        <f>Настройки!AM5</f>
        <v>-</v>
      </c>
    </row>
    <row r="6" spans="1:57">
      <c r="A6" s="82"/>
      <c r="B6" s="82"/>
      <c r="C6" s="81"/>
      <c r="D6" s="81"/>
      <c r="E6" s="82"/>
      <c r="F6" s="81"/>
      <c r="G6" s="445"/>
      <c r="H6" s="445"/>
      <c r="I6" s="460"/>
      <c r="M6" s="424" t="str">
        <f>'Конфигурация TREI'!A7</f>
        <v>BR5</v>
      </c>
      <c r="N6" s="424" t="str">
        <f>'Конфигурация TREI'!B7</f>
        <v>M558O</v>
      </c>
      <c r="AE6" s="431">
        <f>Настройки!P6</f>
        <v>5</v>
      </c>
      <c r="AF6" s="380">
        <f>Настройки!Q6</f>
        <v>0</v>
      </c>
      <c r="AG6" s="380" t="str">
        <f>Настройки!R6</f>
        <v>IDIG_3_1</v>
      </c>
      <c r="AH6" s="380" t="str">
        <f>Настройки!S6</f>
        <v>IANS_3_3</v>
      </c>
      <c r="AI6" s="380" t="str">
        <f>Настройки!T6</f>
        <v>out4</v>
      </c>
      <c r="AJ6" s="380" t="str">
        <f>Настройки!U6</f>
        <v>out4</v>
      </c>
      <c r="AK6" s="380" t="str">
        <f>Настройки!V6</f>
        <v>ODIG_5</v>
      </c>
      <c r="AL6" s="380" t="str">
        <f>Настройки!W6</f>
        <v>OAN_5_1</v>
      </c>
      <c r="AM6" s="380" t="str">
        <f>Настройки!X6</f>
        <v>IANS_5_1</v>
      </c>
      <c r="AN6" s="380" t="str">
        <f>Настройки!Y6</f>
        <v>Canal_05</v>
      </c>
      <c r="AO6" s="380" t="str">
        <f>Настройки!Z6</f>
        <v>Canal_05</v>
      </c>
      <c r="AP6" s="380" t="str">
        <f>Настройки!AA6</f>
        <v>Canal_05</v>
      </c>
      <c r="AQ6" s="380" t="str">
        <f>Настройки!AB6</f>
        <v>Canal_05</v>
      </c>
      <c r="AR6" s="380" t="str">
        <f>Настройки!AC6</f>
        <v>IVXX[4]</v>
      </c>
      <c r="AS6" s="380" t="str">
        <f>Настройки!AD6</f>
        <v>IVXX[4]</v>
      </c>
      <c r="AT6" s="207" t="str">
        <f>Настройки!AB6</f>
        <v>Canal_05</v>
      </c>
      <c r="AU6" s="207" t="str">
        <f>Настройки!AC6</f>
        <v>IVXX[4]</v>
      </c>
      <c r="AV6" s="207" t="str">
        <f>Настройки!AD6</f>
        <v>IVXX[4]</v>
      </c>
      <c r="AW6" s="207" t="str">
        <f>Настройки!AE6</f>
        <v>IANS_3_1</v>
      </c>
      <c r="AX6" s="207" t="str">
        <f>Настройки!AF6</f>
        <v>IDIG_2_1</v>
      </c>
      <c r="AY6" s="207" t="str">
        <f>Настройки!AG6</f>
        <v>Canal_05</v>
      </c>
      <c r="AZ6" s="207" t="str">
        <f>Настройки!AH6</f>
        <v>Canal_05</v>
      </c>
      <c r="BA6" s="207" t="str">
        <f>Настройки!AI6</f>
        <v>Canal_05</v>
      </c>
      <c r="BB6" s="207" t="str">
        <f>Настройки!AJ6</f>
        <v>Canal_05</v>
      </c>
      <c r="BC6" s="207" t="str">
        <f>Настройки!AK6</f>
        <v>Canal_05</v>
      </c>
      <c r="BD6" s="207" t="str">
        <f>Настройки!AL6</f>
        <v>Canal_05</v>
      </c>
      <c r="BE6" s="207" t="str">
        <f>Настройки!AM6</f>
        <v>-</v>
      </c>
    </row>
    <row r="7" spans="1:57">
      <c r="A7" s="82"/>
      <c r="B7" s="82"/>
      <c r="C7" s="81"/>
      <c r="D7" s="81"/>
      <c r="E7" s="82"/>
      <c r="F7" s="81"/>
      <c r="G7" s="445"/>
      <c r="H7" s="445"/>
      <c r="I7" s="460"/>
      <c r="M7" s="424" t="str">
        <f>'Конфигурация TREI'!A8</f>
        <v>BR6</v>
      </c>
      <c r="N7" s="424" t="str">
        <f>'Конфигурация TREI'!B8</f>
        <v>M558O</v>
      </c>
      <c r="AE7" s="431">
        <f>Настройки!P7</f>
        <v>6</v>
      </c>
      <c r="AF7" s="380">
        <f>Настройки!Q7</f>
        <v>0</v>
      </c>
      <c r="AG7" s="380" t="str">
        <f>Настройки!R7</f>
        <v>IDIG_3_2</v>
      </c>
      <c r="AH7" s="380" t="str">
        <f>Настройки!S7</f>
        <v>IANS_3_4</v>
      </c>
      <c r="AI7" s="380" t="str">
        <f>Настройки!T7</f>
        <v>out5</v>
      </c>
      <c r="AJ7" s="380" t="str">
        <f>Настройки!U7</f>
        <v>out5</v>
      </c>
      <c r="AK7" s="380" t="str">
        <f>Настройки!V7</f>
        <v>ODIG_6</v>
      </c>
      <c r="AL7" s="380" t="str">
        <f>Настройки!W7</f>
        <v>OAN_6_1</v>
      </c>
      <c r="AM7" s="380" t="str">
        <f>Настройки!X7</f>
        <v>IANS_6_1</v>
      </c>
      <c r="AN7" s="380" t="str">
        <f>Настройки!Y7</f>
        <v>Canal_06</v>
      </c>
      <c r="AO7" s="380" t="str">
        <f>Настройки!Z7</f>
        <v>Canal_06</v>
      </c>
      <c r="AP7" s="380" t="str">
        <f>Настройки!AA7</f>
        <v>Canal_06</v>
      </c>
      <c r="AQ7" s="380" t="str">
        <f>Настройки!AB7</f>
        <v>Canal_06</v>
      </c>
      <c r="AR7" s="380" t="str">
        <f>Настройки!AC7</f>
        <v>IVXX[5]</v>
      </c>
      <c r="AS7" s="380" t="str">
        <f>Настройки!AD7</f>
        <v>IVXX[5]</v>
      </c>
      <c r="AT7" s="207" t="str">
        <f>Настройки!AB7</f>
        <v>Canal_06</v>
      </c>
      <c r="AU7" s="207" t="str">
        <f>Настройки!AC7</f>
        <v>IVXX[5]</v>
      </c>
      <c r="AV7" s="207" t="str">
        <f>Настройки!AD7</f>
        <v>IVXX[5]</v>
      </c>
      <c r="AW7" s="207" t="str">
        <f>Настройки!AE7</f>
        <v>IANS_3_2</v>
      </c>
      <c r="AX7" s="207" t="str">
        <f>Настройки!AF7</f>
        <v>IDIG_2_2</v>
      </c>
      <c r="AY7" s="207" t="str">
        <f>Настройки!AG7</f>
        <v>Canal_06</v>
      </c>
      <c r="AZ7" s="207" t="str">
        <f>Настройки!AH7</f>
        <v>Canal_06</v>
      </c>
      <c r="BA7" s="207" t="str">
        <f>Настройки!AI7</f>
        <v>Canal_06</v>
      </c>
      <c r="BB7" s="207" t="str">
        <f>Настройки!AJ7</f>
        <v>Canal_06</v>
      </c>
      <c r="BC7" s="207" t="str">
        <f>Настройки!AK7</f>
        <v>Canal_06</v>
      </c>
      <c r="BD7" s="207" t="str">
        <f>Настройки!AL7</f>
        <v>Canal_06</v>
      </c>
      <c r="BE7" s="207" t="str">
        <f>Настройки!AM7</f>
        <v>-</v>
      </c>
    </row>
    <row r="8" spans="1:57">
      <c r="A8" s="82"/>
      <c r="B8" s="82"/>
      <c r="C8" s="81"/>
      <c r="D8" s="81"/>
      <c r="E8" s="82"/>
      <c r="F8" s="81"/>
      <c r="G8" s="445"/>
      <c r="H8" s="445"/>
      <c r="I8" s="460"/>
      <c r="M8" s="424" t="str">
        <f>'Конфигурация TREI'!A9</f>
        <v>BR7</v>
      </c>
      <c r="N8" s="424" t="str">
        <f>'Конфигурация TREI'!B9</f>
        <v>M558O</v>
      </c>
      <c r="AE8" s="431">
        <f>Настройки!P8</f>
        <v>7</v>
      </c>
      <c r="AF8" s="380">
        <f>Настройки!Q8</f>
        <v>0</v>
      </c>
      <c r="AG8" s="380" t="str">
        <f>Настройки!R8</f>
        <v>IDIG_4_1</v>
      </c>
      <c r="AH8" s="380" t="str">
        <f>Настройки!S8</f>
        <v>IANS_4_3</v>
      </c>
      <c r="AI8" s="380" t="str">
        <f>Настройки!T8</f>
        <v>out6</v>
      </c>
      <c r="AJ8" s="380" t="str">
        <f>Настройки!U8</f>
        <v>out6</v>
      </c>
      <c r="AK8" s="380" t="str">
        <f>Настройки!V8</f>
        <v>ODIG_7</v>
      </c>
      <c r="AL8" s="380" t="str">
        <f>Настройки!W8</f>
        <v>OAN_7_1</v>
      </c>
      <c r="AM8" s="380" t="str">
        <f>Настройки!X8</f>
        <v>IANS_7_1</v>
      </c>
      <c r="AN8" s="380" t="str">
        <f>Настройки!Y8</f>
        <v>Canal_07</v>
      </c>
      <c r="AO8" s="380" t="str">
        <f>Настройки!Z8</f>
        <v>Canal_07</v>
      </c>
      <c r="AP8" s="380" t="str">
        <f>Настройки!AA8</f>
        <v>Canal_07</v>
      </c>
      <c r="AQ8" s="380" t="str">
        <f>Настройки!AB8</f>
        <v>Canal_07</v>
      </c>
      <c r="AR8" s="380" t="str">
        <f>Настройки!AC8</f>
        <v>IVXX[6]</v>
      </c>
      <c r="AS8" s="380" t="str">
        <f>Настройки!AD8</f>
        <v>IVXX[6]</v>
      </c>
      <c r="AT8" s="207" t="str">
        <f>Настройки!AB8</f>
        <v>Canal_07</v>
      </c>
      <c r="AU8" s="207" t="str">
        <f>Настройки!AC8</f>
        <v>IVXX[6]</v>
      </c>
      <c r="AV8" s="207" t="str">
        <f>Настройки!AD8</f>
        <v>IVXX[6]</v>
      </c>
      <c r="AW8" s="207" t="str">
        <f>Настройки!AE8</f>
        <v>IANS_4_1</v>
      </c>
      <c r="AX8" s="207" t="str">
        <f>Настройки!AF8</f>
        <v>IDIG_2_3</v>
      </c>
      <c r="AY8" s="207" t="str">
        <f>Настройки!AG8</f>
        <v>Canal_07</v>
      </c>
      <c r="AZ8" s="207" t="str">
        <f>Настройки!AH8</f>
        <v>Canal_07</v>
      </c>
      <c r="BA8" s="207" t="str">
        <f>Настройки!AI8</f>
        <v>Canal_07</v>
      </c>
      <c r="BB8" s="207" t="str">
        <f>Настройки!AJ8</f>
        <v>Canal_07</v>
      </c>
      <c r="BC8" s="207" t="str">
        <f>Настройки!AK8</f>
        <v>Canal_07</v>
      </c>
      <c r="BD8" s="207" t="str">
        <f>Настройки!AL8</f>
        <v>Canal_07</v>
      </c>
      <c r="BE8" s="207" t="str">
        <f>Настройки!AM8</f>
        <v>-</v>
      </c>
    </row>
    <row r="9" spans="1:57">
      <c r="A9" s="82"/>
      <c r="B9" s="82"/>
      <c r="C9" s="81"/>
      <c r="D9" s="81"/>
      <c r="E9" s="82"/>
      <c r="F9" s="81"/>
      <c r="G9" s="445"/>
      <c r="H9" s="445"/>
      <c r="I9" s="1"/>
      <c r="M9" s="424" t="str">
        <f>'Конфигурация TREI'!A10</f>
        <v>BR8</v>
      </c>
      <c r="N9" s="424" t="str">
        <f>'Конфигурация TREI'!B10</f>
        <v>M558O</v>
      </c>
      <c r="AE9" s="431">
        <f>Настройки!P9</f>
        <v>8</v>
      </c>
      <c r="AF9" s="380">
        <f>Настройки!Q9</f>
        <v>0</v>
      </c>
      <c r="AG9" s="380" t="str">
        <f>Настройки!R9</f>
        <v>IDIG_4_2</v>
      </c>
      <c r="AH9" s="380" t="str">
        <f>Настройки!S9</f>
        <v>IANS_4_4</v>
      </c>
      <c r="AI9" s="380" t="str">
        <f>Настройки!T9</f>
        <v>out7</v>
      </c>
      <c r="AJ9" s="380" t="str">
        <f>Настройки!U9</f>
        <v>out7</v>
      </c>
      <c r="AK9" s="380" t="str">
        <f>Настройки!V9</f>
        <v>ODIG_8</v>
      </c>
      <c r="AL9" s="380" t="str">
        <f>Настройки!W9</f>
        <v>OAN_8_1</v>
      </c>
      <c r="AM9" s="380" t="str">
        <f>Настройки!X9</f>
        <v>IANS_8_1</v>
      </c>
      <c r="AN9" s="380" t="str">
        <f>Настройки!Y9</f>
        <v>Canal_08</v>
      </c>
      <c r="AO9" s="380" t="str">
        <f>Настройки!Z9</f>
        <v>Canal_08</v>
      </c>
      <c r="AP9" s="380" t="str">
        <f>Настройки!AA9</f>
        <v>Canal_08</v>
      </c>
      <c r="AQ9" s="380" t="str">
        <f>Настройки!AB9</f>
        <v>Canal_08</v>
      </c>
      <c r="AR9" s="380" t="str">
        <f>Настройки!AC9</f>
        <v>IVXX[7]</v>
      </c>
      <c r="AS9" s="380" t="str">
        <f>Настройки!AD9</f>
        <v>IVXX[7]</v>
      </c>
      <c r="AT9" s="207" t="str">
        <f>Настройки!AB9</f>
        <v>Canal_08</v>
      </c>
      <c r="AU9" s="207" t="str">
        <f>Настройки!AC9</f>
        <v>IVXX[7]</v>
      </c>
      <c r="AV9" s="207" t="str">
        <f>Настройки!AD9</f>
        <v>IVXX[7]</v>
      </c>
      <c r="AW9" s="207" t="str">
        <f>Настройки!AE9</f>
        <v>IANS_4_2</v>
      </c>
      <c r="AX9" s="207" t="str">
        <f>Настройки!AF9</f>
        <v>IDIG_2_4</v>
      </c>
      <c r="AY9" s="207" t="str">
        <f>Настройки!AG9</f>
        <v>Canal_08</v>
      </c>
      <c r="AZ9" s="207" t="str">
        <f>Настройки!AH9</f>
        <v>Canal_08</v>
      </c>
      <c r="BA9" s="207" t="str">
        <f>Настройки!AI9</f>
        <v>Canal_08</v>
      </c>
      <c r="BB9" s="207" t="str">
        <f>Настройки!AJ9</f>
        <v>Canal_08</v>
      </c>
      <c r="BC9" s="207" t="str">
        <f>Настройки!AK9</f>
        <v>Canal_08</v>
      </c>
      <c r="BD9" s="207" t="str">
        <f>Настройки!AL9</f>
        <v>Canal_08</v>
      </c>
      <c r="BE9" s="207" t="str">
        <f>Настройки!AM9</f>
        <v>-</v>
      </c>
    </row>
    <row r="10" spans="1:57">
      <c r="A10" s="82"/>
      <c r="B10" s="82"/>
      <c r="C10" s="81"/>
      <c r="D10" s="81"/>
      <c r="E10" s="82"/>
      <c r="F10" s="81"/>
      <c r="G10" s="445"/>
      <c r="H10" s="445"/>
      <c r="I10" s="1"/>
      <c r="M10" s="424" t="str">
        <f>'Конфигурация TREI'!A11</f>
        <v>BR9</v>
      </c>
      <c r="N10" s="424" t="str">
        <f>'Конфигурация TREI'!B11</f>
        <v>M558D</v>
      </c>
      <c r="AE10" s="431">
        <f>Настройки!P10</f>
        <v>9</v>
      </c>
      <c r="AF10" s="380">
        <f>Настройки!Q10</f>
        <v>0</v>
      </c>
      <c r="AG10" s="380" t="str">
        <f>Настройки!R10</f>
        <v>IDIG_5_1</v>
      </c>
      <c r="AH10" s="380" t="str">
        <f>Настройки!S10</f>
        <v>IANS_5_3</v>
      </c>
      <c r="AI10" s="380" t="str">
        <f>Настройки!T10</f>
        <v>out8</v>
      </c>
      <c r="AJ10" s="380" t="str">
        <f>Настройки!U10</f>
        <v>out8</v>
      </c>
      <c r="AK10" s="380" t="str">
        <f>Настройки!V10</f>
        <v>ODIG_9</v>
      </c>
      <c r="AL10" s="380" t="str">
        <f>Настройки!W10</f>
        <v>-</v>
      </c>
      <c r="AM10" s="380" t="str">
        <f>Настройки!X10</f>
        <v>-</v>
      </c>
      <c r="AN10" s="380" t="str">
        <f>Настройки!Y10</f>
        <v>Canal_09</v>
      </c>
      <c r="AO10" s="380" t="str">
        <f>Настройки!Z10</f>
        <v>-</v>
      </c>
      <c r="AP10" s="380" t="str">
        <f>Настройки!AA10</f>
        <v>Canal_09</v>
      </c>
      <c r="AQ10" s="380" t="str">
        <f>Настройки!AB10</f>
        <v>Canal_09</v>
      </c>
      <c r="AR10" s="380" t="str">
        <f>Настройки!AC10</f>
        <v>OCCH[0]</v>
      </c>
      <c r="AS10" s="380" t="str">
        <f>Настройки!AD10</f>
        <v>OCCH[0]</v>
      </c>
      <c r="AT10" s="207" t="str">
        <f>Настройки!AB10</f>
        <v>Canal_09</v>
      </c>
      <c r="AU10" s="207" t="str">
        <f>Настройки!AC10</f>
        <v>OCCH[0]</v>
      </c>
      <c r="AV10" s="207" t="str">
        <f>Настройки!AD10</f>
        <v>OCCH[0]</v>
      </c>
      <c r="AW10" s="207" t="str">
        <f>Настройки!AE10</f>
        <v>IANS_5_1</v>
      </c>
      <c r="AX10" s="207" t="str">
        <f>Настройки!AF10</f>
        <v>IDIG_3_1</v>
      </c>
      <c r="AY10" s="207" t="str">
        <f>Настройки!AG10</f>
        <v>Canal_09</v>
      </c>
      <c r="AZ10" s="207" t="str">
        <f>Настройки!AH10</f>
        <v>Canal_09</v>
      </c>
      <c r="BA10" s="207" t="str">
        <f>Настройки!AI10</f>
        <v>Canal_09</v>
      </c>
      <c r="BB10" s="207" t="str">
        <f>Настройки!AJ10</f>
        <v>Canal_09</v>
      </c>
      <c r="BC10" s="207" t="str">
        <f>Настройки!AK10</f>
        <v>-</v>
      </c>
      <c r="BD10" s="207" t="str">
        <f>Настройки!AL10</f>
        <v>Canal_09</v>
      </c>
      <c r="BE10" s="207" t="str">
        <f>Настройки!AM10</f>
        <v>-</v>
      </c>
    </row>
    <row r="11" spans="1:57">
      <c r="A11" s="82"/>
      <c r="B11" s="82"/>
      <c r="C11" s="81"/>
      <c r="D11" s="81"/>
      <c r="E11" s="82"/>
      <c r="F11" s="81"/>
      <c r="G11" s="445"/>
      <c r="H11" s="445"/>
      <c r="I11" s="1"/>
      <c r="M11" s="424" t="str">
        <f>'Конфигурация TREI'!A12</f>
        <v>BR10</v>
      </c>
      <c r="N11" s="424" t="str">
        <f>'Конфигурация TREI'!B12</f>
        <v>M558O</v>
      </c>
      <c r="AE11" s="431">
        <f>Настройки!P11</f>
        <v>10</v>
      </c>
      <c r="AF11" s="380">
        <f>Настройки!Q11</f>
        <v>0</v>
      </c>
      <c r="AG11" s="380" t="str">
        <f>Настройки!R11</f>
        <v>IDIG_5_2</v>
      </c>
      <c r="AH11" s="380" t="str">
        <f>Настройки!S11</f>
        <v>IANS_5_4</v>
      </c>
      <c r="AI11" s="380" t="str">
        <f>Настройки!T11</f>
        <v>out9</v>
      </c>
      <c r="AJ11" s="380" t="str">
        <f>Настройки!U11</f>
        <v>out9</v>
      </c>
      <c r="AK11" s="380" t="str">
        <f>Настройки!V11</f>
        <v>ODIG_10</v>
      </c>
      <c r="AL11" s="380" t="str">
        <f>Настройки!W11</f>
        <v>-</v>
      </c>
      <c r="AM11" s="380" t="str">
        <f>Настройки!X11</f>
        <v>-</v>
      </c>
      <c r="AN11" s="380" t="str">
        <f>Настройки!Y11</f>
        <v>Canal_10</v>
      </c>
      <c r="AO11" s="380" t="str">
        <f>Настройки!Z11</f>
        <v>-</v>
      </c>
      <c r="AP11" s="380" t="str">
        <f>Настройки!AA11</f>
        <v>Canal_10</v>
      </c>
      <c r="AQ11" s="380" t="str">
        <f>Настройки!AB11</f>
        <v>Canal_10</v>
      </c>
      <c r="AR11" s="380" t="str">
        <f>Настройки!AC11</f>
        <v>OCCH[1]</v>
      </c>
      <c r="AS11" s="380" t="str">
        <f>Настройки!AD11</f>
        <v>OCCH[1]</v>
      </c>
      <c r="AT11" s="207" t="str">
        <f>Настройки!AB11</f>
        <v>Canal_10</v>
      </c>
      <c r="AU11" s="207" t="str">
        <f>Настройки!AC11</f>
        <v>OCCH[1]</v>
      </c>
      <c r="AV11" s="207" t="str">
        <f>Настройки!AD11</f>
        <v>OCCH[1]</v>
      </c>
      <c r="AW11" s="207" t="str">
        <f>Настройки!AE11</f>
        <v>IANS_5_2</v>
      </c>
      <c r="AX11" s="207" t="str">
        <f>Настройки!AF11</f>
        <v>IDIG_3_2</v>
      </c>
      <c r="AY11" s="207" t="str">
        <f>Настройки!AG11</f>
        <v>Canal_10</v>
      </c>
      <c r="AZ11" s="207" t="str">
        <f>Настройки!AH11</f>
        <v>Canal_10</v>
      </c>
      <c r="BA11" s="207" t="str">
        <f>Настройки!AI11</f>
        <v>Canal_10</v>
      </c>
      <c r="BB11" s="207" t="str">
        <f>Настройки!AJ11</f>
        <v>Canal_10</v>
      </c>
      <c r="BC11" s="207" t="str">
        <f>Настройки!AK11</f>
        <v>-</v>
      </c>
      <c r="BD11" s="207" t="str">
        <f>Настройки!AL11</f>
        <v>Canal_10</v>
      </c>
      <c r="BE11" s="207" t="str">
        <f>Настройки!AM11</f>
        <v>-</v>
      </c>
    </row>
    <row r="12" spans="1:57">
      <c r="A12" s="82"/>
      <c r="B12" s="82"/>
      <c r="C12" s="81"/>
      <c r="D12" s="81"/>
      <c r="E12" s="81"/>
      <c r="F12" s="81"/>
      <c r="G12" s="445"/>
      <c r="H12" s="445"/>
      <c r="I12" s="1"/>
      <c r="M12" s="424" t="str">
        <f>'Конфигурация TREI'!A13</f>
        <v>BR11</v>
      </c>
      <c r="N12" s="424" t="str">
        <f>'Конфигурация TREI'!B13</f>
        <v>M558D</v>
      </c>
      <c r="AE12" s="431">
        <f>Настройки!P12</f>
        <v>11</v>
      </c>
      <c r="AF12" s="380">
        <f>Настройки!Q12</f>
        <v>0</v>
      </c>
      <c r="AG12" s="380" t="str">
        <f>Настройки!R12</f>
        <v>IDIG_6_1</v>
      </c>
      <c r="AH12" s="380" t="str">
        <f>Настройки!S12</f>
        <v>IANS_6_3</v>
      </c>
      <c r="AI12" s="380" t="str">
        <f>Настройки!T12</f>
        <v>out10</v>
      </c>
      <c r="AJ12" s="380" t="str">
        <f>Настройки!U12</f>
        <v>out10</v>
      </c>
      <c r="AK12" s="380" t="str">
        <f>Настройки!V12</f>
        <v>ODIG_11</v>
      </c>
      <c r="AL12" s="380" t="str">
        <f>Настройки!W12</f>
        <v>-</v>
      </c>
      <c r="AM12" s="380" t="str">
        <f>Настройки!X12</f>
        <v>-</v>
      </c>
      <c r="AN12" s="380" t="str">
        <f>Настройки!Y12</f>
        <v>Canal_11</v>
      </c>
      <c r="AO12" s="380" t="str">
        <f>Настройки!Z12</f>
        <v>-</v>
      </c>
      <c r="AP12" s="380" t="str">
        <f>Настройки!AA12</f>
        <v>Canal_11</v>
      </c>
      <c r="AQ12" s="380" t="str">
        <f>Настройки!AB12</f>
        <v>Canal_11</v>
      </c>
      <c r="AR12" s="380" t="str">
        <f>Настройки!AC12</f>
        <v>OCCH[2]</v>
      </c>
      <c r="AS12" s="380" t="str">
        <f>Настройки!AD12</f>
        <v>OCCH[2]</v>
      </c>
      <c r="AT12" s="207" t="str">
        <f>Настройки!AB12</f>
        <v>Canal_11</v>
      </c>
      <c r="AU12" s="207" t="str">
        <f>Настройки!AC12</f>
        <v>OCCH[2]</v>
      </c>
      <c r="AV12" s="207" t="str">
        <f>Настройки!AD12</f>
        <v>OCCH[2]</v>
      </c>
      <c r="AW12" s="207" t="str">
        <f>Настройки!AE12</f>
        <v>IANS_6_1</v>
      </c>
      <c r="AX12" s="207" t="str">
        <f>Настройки!AF12</f>
        <v>IDIG_3_3</v>
      </c>
      <c r="AY12" s="207" t="str">
        <f>Настройки!AG12</f>
        <v>Canal_11</v>
      </c>
      <c r="AZ12" s="207" t="str">
        <f>Настройки!AH12</f>
        <v>Canal_11</v>
      </c>
      <c r="BA12" s="207" t="str">
        <f>Настройки!AI12</f>
        <v>Canal_11</v>
      </c>
      <c r="BB12" s="207" t="str">
        <f>Настройки!AJ12</f>
        <v>Canal_11</v>
      </c>
      <c r="BC12" s="207" t="str">
        <f>Настройки!AK12</f>
        <v>-</v>
      </c>
      <c r="BD12" s="207" t="str">
        <f>Настройки!AL12</f>
        <v>Canal_11</v>
      </c>
      <c r="BE12" s="207" t="str">
        <f>Настройки!AM12</f>
        <v>-</v>
      </c>
    </row>
    <row r="13" spans="1:57">
      <c r="A13" s="82"/>
      <c r="B13" s="82"/>
      <c r="C13" s="81"/>
      <c r="D13" s="81"/>
      <c r="E13" s="81"/>
      <c r="F13" s="81"/>
      <c r="G13" s="445"/>
      <c r="H13" s="445"/>
      <c r="I13" s="1"/>
      <c r="M13" s="424" t="str">
        <f>'Конфигурация TREI'!A14</f>
        <v>BR12</v>
      </c>
      <c r="N13" s="424" t="str">
        <f>'Конфигурация TREI'!B14</f>
        <v>M558D</v>
      </c>
      <c r="AE13" s="431">
        <f>Настройки!P13</f>
        <v>12</v>
      </c>
      <c r="AF13" s="380">
        <f>Настройки!Q13</f>
        <v>0</v>
      </c>
      <c r="AG13" s="380" t="str">
        <f>Настройки!R13</f>
        <v>IDIG_6_2</v>
      </c>
      <c r="AH13" s="380" t="str">
        <f>Настройки!S13</f>
        <v>IANS_6_4</v>
      </c>
      <c r="AI13" s="380" t="str">
        <f>Настройки!T13</f>
        <v>out11</v>
      </c>
      <c r="AJ13" s="380" t="str">
        <f>Настройки!U13</f>
        <v>out11</v>
      </c>
      <c r="AK13" s="380" t="str">
        <f>Настройки!V13</f>
        <v>ODIG_12</v>
      </c>
      <c r="AL13" s="380" t="str">
        <f>Настройки!W13</f>
        <v>-</v>
      </c>
      <c r="AM13" s="380" t="str">
        <f>Настройки!X13</f>
        <v>-</v>
      </c>
      <c r="AN13" s="380" t="str">
        <f>Настройки!Y13</f>
        <v>Canal_12</v>
      </c>
      <c r="AO13" s="380" t="str">
        <f>Настройки!Z13</f>
        <v>-</v>
      </c>
      <c r="AP13" s="380" t="str">
        <f>Настройки!AA13</f>
        <v>Canal_12</v>
      </c>
      <c r="AQ13" s="380" t="str">
        <f>Настройки!AB13</f>
        <v>Canal_12</v>
      </c>
      <c r="AR13" s="380" t="str">
        <f>Настройки!AC13</f>
        <v>OCCH[3]</v>
      </c>
      <c r="AS13" s="380" t="str">
        <f>Настройки!AD13</f>
        <v>OCCH[3]</v>
      </c>
      <c r="AT13" s="207" t="str">
        <f>Настройки!AB13</f>
        <v>Canal_12</v>
      </c>
      <c r="AU13" s="207" t="str">
        <f>Настройки!AC13</f>
        <v>OCCH[3]</v>
      </c>
      <c r="AV13" s="207" t="str">
        <f>Настройки!AD13</f>
        <v>OCCH[3]</v>
      </c>
      <c r="AW13" s="207" t="str">
        <f>Настройки!AE13</f>
        <v>IANS_6_2</v>
      </c>
      <c r="AX13" s="207" t="str">
        <f>Настройки!AF13</f>
        <v>IDIG_3_4</v>
      </c>
      <c r="AY13" s="207" t="str">
        <f>Настройки!AG13</f>
        <v>Canal_12</v>
      </c>
      <c r="AZ13" s="207" t="str">
        <f>Настройки!AH13</f>
        <v>Canal_12</v>
      </c>
      <c r="BA13" s="207" t="str">
        <f>Настройки!AI13</f>
        <v>Canal_12</v>
      </c>
      <c r="BB13" s="207" t="str">
        <f>Настройки!AJ13</f>
        <v>Canal_12</v>
      </c>
      <c r="BC13" s="207" t="str">
        <f>Настройки!AK13</f>
        <v>-</v>
      </c>
      <c r="BD13" s="207" t="str">
        <f>Настройки!AL13</f>
        <v>Canal_12</v>
      </c>
      <c r="BE13" s="207" t="str">
        <f>Настройки!AM13</f>
        <v>-</v>
      </c>
    </row>
    <row r="14" spans="1:57">
      <c r="A14" s="82"/>
      <c r="B14" s="82"/>
      <c r="C14" s="81"/>
      <c r="D14" s="81"/>
      <c r="E14" s="81"/>
      <c r="F14" s="81"/>
      <c r="G14" s="445"/>
      <c r="H14" s="447"/>
      <c r="I14" s="1"/>
      <c r="M14" s="424" t="str">
        <f>'Конфигурация TREI'!A15</f>
        <v>BR13</v>
      </c>
      <c r="N14" s="424" t="str">
        <f>'Конфигурация TREI'!B15</f>
        <v>M558D</v>
      </c>
      <c r="AE14" s="431">
        <f>Настройки!P14</f>
        <v>13</v>
      </c>
      <c r="AF14" s="380">
        <f>Настройки!Q14</f>
        <v>0</v>
      </c>
      <c r="AG14" s="380" t="str">
        <f>Настройки!R14</f>
        <v>IDIG_7_1</v>
      </c>
      <c r="AH14" s="380" t="str">
        <f>Настройки!S14</f>
        <v>IANS_7_3</v>
      </c>
      <c r="AI14" s="380" t="str">
        <f>Настройки!T14</f>
        <v>out12</v>
      </c>
      <c r="AJ14" s="380" t="str">
        <f>Настройки!U14</f>
        <v>out12</v>
      </c>
      <c r="AK14" s="380" t="str">
        <f>Настройки!V14</f>
        <v>ODIG_13</v>
      </c>
      <c r="AL14" s="380" t="str">
        <f>Настройки!W14</f>
        <v>-</v>
      </c>
      <c r="AM14" s="380" t="str">
        <f>Настройки!X14</f>
        <v>-</v>
      </c>
      <c r="AN14" s="380" t="str">
        <f>Настройки!Y14</f>
        <v>Canal_13</v>
      </c>
      <c r="AO14" s="380" t="str">
        <f>Настройки!Z14</f>
        <v>-</v>
      </c>
      <c r="AP14" s="380" t="str">
        <f>Настройки!AA14</f>
        <v>Canal_13</v>
      </c>
      <c r="AQ14" s="380" t="str">
        <f>Настройки!AB14</f>
        <v>Canal_13</v>
      </c>
      <c r="AR14" s="380" t="str">
        <f>Настройки!AC14</f>
        <v>OCCH[4]</v>
      </c>
      <c r="AS14" s="380" t="str">
        <f>Настройки!AD14</f>
        <v>OCCH[4]</v>
      </c>
      <c r="AT14" s="207" t="str">
        <f>Настройки!AB14</f>
        <v>Canal_13</v>
      </c>
      <c r="AU14" s="207" t="str">
        <f>Настройки!AC14</f>
        <v>OCCH[4]</v>
      </c>
      <c r="AV14" s="207" t="str">
        <f>Настройки!AD14</f>
        <v>OCCH[4]</v>
      </c>
      <c r="AW14" s="207" t="str">
        <f>Настройки!AE14</f>
        <v>IANS_7_1</v>
      </c>
      <c r="AX14" s="207" t="str">
        <f>Настройки!AF14</f>
        <v>IDIG_4_1</v>
      </c>
      <c r="AY14" s="207" t="str">
        <f>Настройки!AG14</f>
        <v>Canal_13</v>
      </c>
      <c r="AZ14" s="207" t="str">
        <f>Настройки!AH14</f>
        <v>Canal_13</v>
      </c>
      <c r="BA14" s="207" t="str">
        <f>Настройки!AI14</f>
        <v>Canal_13</v>
      </c>
      <c r="BB14" s="207" t="str">
        <f>Настройки!AJ14</f>
        <v>Canal_13</v>
      </c>
      <c r="BC14" s="207" t="str">
        <f>Настройки!AK14</f>
        <v>-</v>
      </c>
      <c r="BD14" s="207" t="str">
        <f>Настройки!AL14</f>
        <v>Canal_13</v>
      </c>
      <c r="BE14" s="207" t="str">
        <f>Настройки!AM14</f>
        <v>-</v>
      </c>
    </row>
    <row r="15" spans="1:57">
      <c r="A15" s="82"/>
      <c r="B15" s="82"/>
      <c r="C15" s="81"/>
      <c r="D15" s="81"/>
      <c r="E15" s="81"/>
      <c r="F15" s="81"/>
      <c r="G15" s="445"/>
      <c r="H15" s="447"/>
      <c r="I15" s="1"/>
      <c r="M15" s="424" t="str">
        <f>'Конфигурация TREI'!A16</f>
        <v>BR14</v>
      </c>
      <c r="N15" s="424" t="str">
        <f>'Конфигурация TREI'!B16</f>
        <v>M558D</v>
      </c>
      <c r="AE15" s="431">
        <f>Настройки!P15</f>
        <v>14</v>
      </c>
      <c r="AF15" s="380">
        <f>Настройки!Q15</f>
        <v>0</v>
      </c>
      <c r="AG15" s="380" t="str">
        <f>Настройки!R15</f>
        <v>IDIG_7_2</v>
      </c>
      <c r="AH15" s="380" t="str">
        <f>Настройки!S15</f>
        <v>IANS_7_4</v>
      </c>
      <c r="AI15" s="380" t="str">
        <f>Настройки!T15</f>
        <v>out13</v>
      </c>
      <c r="AJ15" s="380" t="str">
        <f>Настройки!U15</f>
        <v>out13</v>
      </c>
      <c r="AK15" s="380" t="str">
        <f>Настройки!V15</f>
        <v>ODIG_14</v>
      </c>
      <c r="AL15" s="380" t="str">
        <f>Настройки!W15</f>
        <v>-</v>
      </c>
      <c r="AM15" s="380" t="str">
        <f>Настройки!X15</f>
        <v>-</v>
      </c>
      <c r="AN15" s="380" t="str">
        <f>Настройки!Y15</f>
        <v>Canal_14</v>
      </c>
      <c r="AO15" s="380" t="str">
        <f>Настройки!Z15</f>
        <v>-</v>
      </c>
      <c r="AP15" s="380" t="str">
        <f>Настройки!AA15</f>
        <v>Canal_14</v>
      </c>
      <c r="AQ15" s="380" t="str">
        <f>Настройки!AB15</f>
        <v>Canal_14</v>
      </c>
      <c r="AR15" s="380" t="str">
        <f>Настройки!AC15</f>
        <v>OCCH[5]</v>
      </c>
      <c r="AS15" s="380" t="str">
        <f>Настройки!AD15</f>
        <v>OCCH[5]</v>
      </c>
      <c r="AT15" s="207" t="str">
        <f>Настройки!AB15</f>
        <v>Canal_14</v>
      </c>
      <c r="AU15" s="207" t="str">
        <f>Настройки!AC15</f>
        <v>OCCH[5]</v>
      </c>
      <c r="AV15" s="207" t="str">
        <f>Настройки!AD15</f>
        <v>OCCH[5]</v>
      </c>
      <c r="AW15" s="207" t="str">
        <f>Настройки!AE15</f>
        <v>IANS_7_2</v>
      </c>
      <c r="AX15" s="207" t="str">
        <f>Настройки!AF15</f>
        <v>IDIG_4_2</v>
      </c>
      <c r="AY15" s="207" t="str">
        <f>Настройки!AG15</f>
        <v>Canal_14</v>
      </c>
      <c r="AZ15" s="207" t="str">
        <f>Настройки!AH15</f>
        <v>Canal_14</v>
      </c>
      <c r="BA15" s="207" t="str">
        <f>Настройки!AI15</f>
        <v>Canal_14</v>
      </c>
      <c r="BB15" s="207" t="str">
        <f>Настройки!AJ15</f>
        <v>Canal_14</v>
      </c>
      <c r="BC15" s="207" t="str">
        <f>Настройки!AK15</f>
        <v>-</v>
      </c>
      <c r="BD15" s="207" t="str">
        <f>Настройки!AL15</f>
        <v>Canal_14</v>
      </c>
      <c r="BE15" s="207" t="str">
        <f>Настройки!AM15</f>
        <v>-</v>
      </c>
    </row>
    <row r="16" spans="1:57">
      <c r="A16" s="82"/>
      <c r="B16" s="82"/>
      <c r="C16" s="81"/>
      <c r="D16" s="81"/>
      <c r="E16" s="81"/>
      <c r="F16" s="81"/>
      <c r="G16" s="445"/>
      <c r="H16" s="447"/>
      <c r="I16" s="1"/>
      <c r="M16" s="424" t="str">
        <f>'Конфигурация TREI'!A17</f>
        <v>BR15</v>
      </c>
      <c r="N16" s="424" t="str">
        <f>'Конфигурация TREI'!B17</f>
        <v>M558O</v>
      </c>
      <c r="AE16" s="431">
        <f>Настройки!P16</f>
        <v>15</v>
      </c>
      <c r="AF16" s="380">
        <f>Настройки!Q16</f>
        <v>0</v>
      </c>
      <c r="AG16" s="380" t="str">
        <f>Настройки!R16</f>
        <v>IDIG_8_1</v>
      </c>
      <c r="AH16" s="380" t="str">
        <f>Настройки!S16</f>
        <v>IANS_8_3</v>
      </c>
      <c r="AI16" s="380" t="str">
        <f>Настройки!T16</f>
        <v>out14</v>
      </c>
      <c r="AJ16" s="380" t="str">
        <f>Настройки!U16</f>
        <v>out14</v>
      </c>
      <c r="AK16" s="380" t="str">
        <f>Настройки!V16</f>
        <v>ODIG_15</v>
      </c>
      <c r="AL16" s="380" t="str">
        <f>Настройки!W16</f>
        <v>-</v>
      </c>
      <c r="AM16" s="380" t="str">
        <f>Настройки!X16</f>
        <v>-</v>
      </c>
      <c r="AN16" s="380" t="str">
        <f>Настройки!Y16</f>
        <v>Canal_15</v>
      </c>
      <c r="AO16" s="380" t="str">
        <f>Настройки!Z16</f>
        <v>-</v>
      </c>
      <c r="AP16" s="380" t="str">
        <f>Настройки!AA16</f>
        <v>Canal_15</v>
      </c>
      <c r="AQ16" s="380" t="str">
        <f>Настройки!AB16</f>
        <v>Canal_15</v>
      </c>
      <c r="AR16" s="380" t="str">
        <f>Настройки!AC16</f>
        <v>OCCH[6]</v>
      </c>
      <c r="AS16" s="380" t="str">
        <f>Настройки!AD16</f>
        <v>OCCH[6]</v>
      </c>
      <c r="AT16" s="207" t="str">
        <f>Настройки!AB16</f>
        <v>Canal_15</v>
      </c>
      <c r="AU16" s="207" t="str">
        <f>Настройки!AC16</f>
        <v>OCCH[6]</v>
      </c>
      <c r="AV16" s="207" t="str">
        <f>Настройки!AD16</f>
        <v>OCCH[6]</v>
      </c>
      <c r="AW16" s="207" t="str">
        <f>Настройки!AE16</f>
        <v>IANS_8_1</v>
      </c>
      <c r="AX16" s="207" t="str">
        <f>Настройки!AF16</f>
        <v>IDIG_4_3</v>
      </c>
      <c r="AY16" s="207" t="str">
        <f>Настройки!AG16</f>
        <v>Canal_15</v>
      </c>
      <c r="AZ16" s="207" t="str">
        <f>Настройки!AH16</f>
        <v>Canal_15</v>
      </c>
      <c r="BA16" s="207" t="str">
        <f>Настройки!AI16</f>
        <v>Canal_15</v>
      </c>
      <c r="BB16" s="207" t="str">
        <f>Настройки!AJ16</f>
        <v>Canal_15</v>
      </c>
      <c r="BC16" s="207" t="str">
        <f>Настройки!AK16</f>
        <v>-</v>
      </c>
      <c r="BD16" s="207" t="str">
        <f>Настройки!AL16</f>
        <v>Canal_15</v>
      </c>
      <c r="BE16" s="207" t="str">
        <f>Настройки!AM16</f>
        <v>-</v>
      </c>
    </row>
    <row r="17" spans="1:57">
      <c r="A17" s="82"/>
      <c r="B17" s="82"/>
      <c r="C17" s="81"/>
      <c r="D17" s="81"/>
      <c r="E17" s="81"/>
      <c r="F17" s="81"/>
      <c r="G17" s="445"/>
      <c r="H17" s="447"/>
      <c r="I17" s="1"/>
      <c r="M17" s="424" t="str">
        <f>'Конфигурация TREI'!A18</f>
        <v>BR16</v>
      </c>
      <c r="N17" s="424" t="str">
        <f>'Конфигурация TREI'!B18</f>
        <v>M558O</v>
      </c>
      <c r="AE17" s="431">
        <f>Настройки!P17</f>
        <v>16</v>
      </c>
      <c r="AF17" s="380">
        <f>Настройки!Q17</f>
        <v>0</v>
      </c>
      <c r="AG17" s="380" t="str">
        <f>Настройки!R17</f>
        <v>IDIG_8_2</v>
      </c>
      <c r="AH17" s="380" t="str">
        <f>Настройки!S17</f>
        <v>IANS_8_4</v>
      </c>
      <c r="AI17" s="380" t="str">
        <f>Настройки!T17</f>
        <v>out15</v>
      </c>
      <c r="AJ17" s="380" t="str">
        <f>Настройки!U17</f>
        <v>out15</v>
      </c>
      <c r="AK17" s="380" t="str">
        <f>Настройки!V17</f>
        <v>ODIG_16</v>
      </c>
      <c r="AL17" s="380" t="str">
        <f>Настройки!W17</f>
        <v>-</v>
      </c>
      <c r="AM17" s="380" t="str">
        <f>Настройки!X17</f>
        <v>-</v>
      </c>
      <c r="AN17" s="380" t="str">
        <f>Настройки!Y17</f>
        <v>Canal_16</v>
      </c>
      <c r="AO17" s="380" t="str">
        <f>Настройки!Z17</f>
        <v>-</v>
      </c>
      <c r="AP17" s="380" t="str">
        <f>Настройки!AA17</f>
        <v>Canal_16</v>
      </c>
      <c r="AQ17" s="380" t="str">
        <f>Настройки!AB17</f>
        <v>Canal_16</v>
      </c>
      <c r="AR17" s="380" t="str">
        <f>Настройки!AC17</f>
        <v>OCCH[7]</v>
      </c>
      <c r="AS17" s="380" t="str">
        <f>Настройки!AD17</f>
        <v>OCCH[7]</v>
      </c>
      <c r="AT17" s="207" t="str">
        <f>Настройки!AB17</f>
        <v>Canal_16</v>
      </c>
      <c r="AU17" s="207" t="str">
        <f>Настройки!AC17</f>
        <v>OCCH[7]</v>
      </c>
      <c r="AV17" s="207" t="str">
        <f>Настройки!AD17</f>
        <v>OCCH[7]</v>
      </c>
      <c r="AW17" s="207" t="str">
        <f>Настройки!AE17</f>
        <v>IANS_8_2</v>
      </c>
      <c r="AX17" s="207" t="str">
        <f>Настройки!AF17</f>
        <v>IDIG_4_4</v>
      </c>
      <c r="AY17" s="207" t="str">
        <f>Настройки!AG17</f>
        <v>Canal_16</v>
      </c>
      <c r="AZ17" s="207" t="str">
        <f>Настройки!AH17</f>
        <v>Canal_16</v>
      </c>
      <c r="BA17" s="207" t="str">
        <f>Настройки!AI17</f>
        <v>Canal_16</v>
      </c>
      <c r="BB17" s="207" t="str">
        <f>Настройки!AJ17</f>
        <v>Canal_16</v>
      </c>
      <c r="BC17" s="207" t="str">
        <f>Настройки!AK17</f>
        <v>-</v>
      </c>
      <c r="BD17" s="207" t="str">
        <f>Настройки!AL17</f>
        <v>Canal_16</v>
      </c>
      <c r="BE17" s="207" t="str">
        <f>Настройки!AM17</f>
        <v>-</v>
      </c>
    </row>
    <row r="18" spans="1:57">
      <c r="A18" s="82"/>
      <c r="B18" s="82"/>
      <c r="C18" s="81"/>
      <c r="D18" s="81"/>
      <c r="E18" s="81"/>
      <c r="F18" s="81"/>
      <c r="G18" s="445"/>
      <c r="H18" s="447"/>
      <c r="I18" s="1"/>
      <c r="M18" s="424" t="str">
        <f>'Конфигурация TREI'!A19</f>
        <v>BR17</v>
      </c>
      <c r="N18" s="424" t="str">
        <f>'Конфигурация TREI'!B19</f>
        <v>M558O</v>
      </c>
      <c r="AE18" s="428">
        <f>Настройки!P18</f>
        <v>17</v>
      </c>
      <c r="AF18" s="380">
        <f>Настройки!Q18</f>
        <v>0</v>
      </c>
      <c r="AG18" s="380" t="str">
        <f>Настройки!R18</f>
        <v>-</v>
      </c>
      <c r="AH18" s="380" t="str">
        <f>Настройки!S18</f>
        <v>-</v>
      </c>
      <c r="AI18" s="380" t="str">
        <f>Настройки!T18</f>
        <v>out16</v>
      </c>
      <c r="AJ18" s="380" t="str">
        <f>Настройки!U18</f>
        <v>out16</v>
      </c>
      <c r="AK18" s="380" t="str">
        <f>Настройки!V18</f>
        <v>-</v>
      </c>
      <c r="AL18" s="380" t="str">
        <f>Настройки!W18</f>
        <v>-</v>
      </c>
      <c r="AM18" s="380" t="str">
        <f>Настройки!X18</f>
        <v>-</v>
      </c>
      <c r="AN18" s="380" t="str">
        <f>Настройки!Y18</f>
        <v>-</v>
      </c>
      <c r="AO18" s="380" t="str">
        <f>Настройки!Z18</f>
        <v>-</v>
      </c>
      <c r="AP18" s="380" t="str">
        <f>Настройки!AA18</f>
        <v>Canal_17</v>
      </c>
      <c r="AQ18" s="380" t="str">
        <f>Настройки!AB18</f>
        <v>Canal_17</v>
      </c>
      <c r="AR18" s="380" t="str">
        <f>Настройки!AC18</f>
        <v>-</v>
      </c>
      <c r="AS18" s="380" t="str">
        <f>Настройки!AD18</f>
        <v>-</v>
      </c>
      <c r="AT18" s="207" t="str">
        <f>Настройки!AB18</f>
        <v>Canal_17</v>
      </c>
      <c r="AU18" s="207" t="str">
        <f>Настройки!AC18</f>
        <v>-</v>
      </c>
      <c r="AV18" s="207" t="str">
        <f>Настройки!AD18</f>
        <v>-</v>
      </c>
      <c r="AW18" s="207" t="str">
        <f>Настройки!AE18</f>
        <v>-</v>
      </c>
      <c r="AX18" s="207" t="str">
        <f>Настройки!AF18</f>
        <v>IDIG_5_1</v>
      </c>
      <c r="AY18" s="207" t="str">
        <f>Настройки!AG18</f>
        <v>Canal_17</v>
      </c>
      <c r="AZ18" s="207" t="str">
        <f>Настройки!AH18</f>
        <v>Canal_17</v>
      </c>
      <c r="BA18" s="207" t="str">
        <f>Настройки!AI18</f>
        <v>Canal_17</v>
      </c>
      <c r="BB18" s="207" t="str">
        <f>Настройки!AJ18</f>
        <v>-</v>
      </c>
      <c r="BC18" s="207" t="str">
        <f>Настройки!AK18</f>
        <v>-</v>
      </c>
      <c r="BD18" s="207" t="str">
        <f>Настройки!AL18</f>
        <v>Canal_17</v>
      </c>
      <c r="BE18" s="207" t="str">
        <f>Настройки!AM18</f>
        <v>-</v>
      </c>
    </row>
    <row r="19" spans="1:57">
      <c r="A19" s="82"/>
      <c r="B19" s="82"/>
      <c r="C19" s="81"/>
      <c r="D19" s="81"/>
      <c r="E19" s="81"/>
      <c r="F19" s="81"/>
      <c r="G19" s="445"/>
      <c r="H19" s="447"/>
      <c r="I19" s="1"/>
      <c r="M19" s="424" t="str">
        <f>'Конфигурация TREI'!A20</f>
        <v>BR18</v>
      </c>
      <c r="N19" s="424" t="str">
        <f>'Конфигурация TREI'!B20</f>
        <v>M558O</v>
      </c>
      <c r="AE19" s="428">
        <f>Настройки!P19</f>
        <v>18</v>
      </c>
      <c r="AF19" s="380">
        <f>Настройки!Q19</f>
        <v>0</v>
      </c>
      <c r="AG19" s="380" t="str">
        <f>Настройки!R19</f>
        <v>-</v>
      </c>
      <c r="AH19" s="380" t="str">
        <f>Настройки!S19</f>
        <v>-</v>
      </c>
      <c r="AI19" s="380" t="str">
        <f>Настройки!T19</f>
        <v>out17</v>
      </c>
      <c r="AJ19" s="380" t="str">
        <f>Настройки!U19</f>
        <v>out17</v>
      </c>
      <c r="AK19" s="380" t="str">
        <f>Настройки!V19</f>
        <v>-</v>
      </c>
      <c r="AL19" s="380" t="str">
        <f>Настройки!W19</f>
        <v>-</v>
      </c>
      <c r="AM19" s="380" t="str">
        <f>Настройки!X19</f>
        <v>-</v>
      </c>
      <c r="AN19" s="380" t="str">
        <f>Настройки!Y19</f>
        <v>-</v>
      </c>
      <c r="AO19" s="380" t="str">
        <f>Настройки!Z19</f>
        <v>-</v>
      </c>
      <c r="AP19" s="380" t="str">
        <f>Настройки!AA19</f>
        <v>Canal_18</v>
      </c>
      <c r="AQ19" s="380" t="str">
        <f>Настройки!AB19</f>
        <v>Canal_18</v>
      </c>
      <c r="AR19" s="380" t="str">
        <f>Настройки!AC19</f>
        <v>-</v>
      </c>
      <c r="AS19" s="380" t="str">
        <f>Настройки!AD19</f>
        <v>-</v>
      </c>
      <c r="AT19" s="207" t="str">
        <f>Настройки!AB19</f>
        <v>Canal_18</v>
      </c>
      <c r="AU19" s="207" t="str">
        <f>Настройки!AC19</f>
        <v>-</v>
      </c>
      <c r="AV19" s="207" t="str">
        <f>Настройки!AD19</f>
        <v>-</v>
      </c>
      <c r="AW19" s="207" t="str">
        <f>Настройки!AE19</f>
        <v>-</v>
      </c>
      <c r="AX19" s="207" t="str">
        <f>Настройки!AF19</f>
        <v>IDIG_5_2</v>
      </c>
      <c r="AY19" s="207" t="str">
        <f>Настройки!AG19</f>
        <v>Canal_18</v>
      </c>
      <c r="AZ19" s="207" t="str">
        <f>Настройки!AH19</f>
        <v>Canal_18</v>
      </c>
      <c r="BA19" s="207" t="str">
        <f>Настройки!AI19</f>
        <v>Canal_18</v>
      </c>
      <c r="BB19" s="207" t="str">
        <f>Настройки!AJ19</f>
        <v>-</v>
      </c>
      <c r="BC19" s="207" t="str">
        <f>Настройки!AK19</f>
        <v>-</v>
      </c>
      <c r="BD19" s="207" t="str">
        <f>Настройки!AL19</f>
        <v>Canal_18</v>
      </c>
      <c r="BE19" s="207" t="str">
        <f>Настройки!AM19</f>
        <v>-</v>
      </c>
    </row>
    <row r="20" spans="1:57">
      <c r="A20" s="82"/>
      <c r="B20" s="82"/>
      <c r="C20" s="81"/>
      <c r="D20" s="81"/>
      <c r="E20" s="81"/>
      <c r="F20" s="81"/>
      <c r="G20" s="445"/>
      <c r="H20" s="447"/>
      <c r="I20" s="1"/>
      <c r="M20" s="424" t="str">
        <f>'Конфигурация TREI'!A21</f>
        <v>BR19</v>
      </c>
      <c r="N20" s="424" t="str">
        <f>'Конфигурация TREI'!B21</f>
        <v>M558O</v>
      </c>
      <c r="AE20" s="428">
        <f>Настройки!P20</f>
        <v>19</v>
      </c>
      <c r="AF20" s="380">
        <f>Настройки!Q20</f>
        <v>0</v>
      </c>
      <c r="AG20" s="380" t="str">
        <f>Настройки!R20</f>
        <v>-</v>
      </c>
      <c r="AH20" s="380" t="str">
        <f>Настройки!S20</f>
        <v>-</v>
      </c>
      <c r="AI20" s="380" t="str">
        <f>Настройки!T20</f>
        <v>out18</v>
      </c>
      <c r="AJ20" s="380" t="str">
        <f>Настройки!U20</f>
        <v>out18</v>
      </c>
      <c r="AK20" s="380" t="str">
        <f>Настройки!V20</f>
        <v>-</v>
      </c>
      <c r="AL20" s="380" t="str">
        <f>Настройки!W20</f>
        <v>-</v>
      </c>
      <c r="AM20" s="380" t="str">
        <f>Настройки!X20</f>
        <v>-</v>
      </c>
      <c r="AN20" s="380" t="str">
        <f>Настройки!Y20</f>
        <v>-</v>
      </c>
      <c r="AO20" s="380" t="str">
        <f>Настройки!Z20</f>
        <v>-</v>
      </c>
      <c r="AP20" s="380" t="str">
        <f>Настройки!AA20</f>
        <v>Canal_19</v>
      </c>
      <c r="AQ20" s="380" t="str">
        <f>Настройки!AB20</f>
        <v>Canal_19</v>
      </c>
      <c r="AR20" s="380" t="str">
        <f>Настройки!AC20</f>
        <v>-</v>
      </c>
      <c r="AS20" s="380" t="str">
        <f>Настройки!AD20</f>
        <v>-</v>
      </c>
      <c r="AT20" s="207" t="str">
        <f>Настройки!AB20</f>
        <v>Canal_19</v>
      </c>
      <c r="AU20" s="207" t="str">
        <f>Настройки!AC20</f>
        <v>-</v>
      </c>
      <c r="AV20" s="207" t="str">
        <f>Настройки!AD20</f>
        <v>-</v>
      </c>
      <c r="AW20" s="207" t="str">
        <f>Настройки!AE20</f>
        <v>-</v>
      </c>
      <c r="AX20" s="207" t="str">
        <f>Настройки!AF20</f>
        <v>IDIG_5_3</v>
      </c>
      <c r="AY20" s="207" t="str">
        <f>Настройки!AG20</f>
        <v>Canal_19</v>
      </c>
      <c r="AZ20" s="207" t="str">
        <f>Настройки!AH20</f>
        <v>Canal_19</v>
      </c>
      <c r="BA20" s="207" t="str">
        <f>Настройки!AI20</f>
        <v>Canal_19</v>
      </c>
      <c r="BB20" s="207" t="str">
        <f>Настройки!AJ20</f>
        <v>-</v>
      </c>
      <c r="BC20" s="207" t="str">
        <f>Настройки!AK20</f>
        <v>-</v>
      </c>
      <c r="BD20" s="207" t="str">
        <f>Настройки!AL20</f>
        <v>Canal_19</v>
      </c>
      <c r="BE20" s="207" t="str">
        <f>Настройки!AM20</f>
        <v>-</v>
      </c>
    </row>
    <row r="21" spans="1:57">
      <c r="A21" s="82"/>
      <c r="B21" s="82"/>
      <c r="C21" s="81"/>
      <c r="D21" s="81"/>
      <c r="E21" s="81"/>
      <c r="F21" s="81"/>
      <c r="G21" s="445"/>
      <c r="H21" s="447"/>
      <c r="I21" s="1"/>
      <c r="M21" s="424" t="str">
        <f>'Конфигурация TREI'!A22</f>
        <v>BR20</v>
      </c>
      <c r="N21" s="424" t="str">
        <f>'Конфигурация TREI'!B22</f>
        <v>M558D</v>
      </c>
      <c r="AE21" s="428">
        <f>Настройки!P21</f>
        <v>20</v>
      </c>
      <c r="AF21" s="380">
        <f>Настройки!Q21</f>
        <v>0</v>
      </c>
      <c r="AG21" s="380" t="str">
        <f>Настройки!R21</f>
        <v>-</v>
      </c>
      <c r="AH21" s="380" t="str">
        <f>Настройки!S21</f>
        <v>-</v>
      </c>
      <c r="AI21" s="380" t="str">
        <f>Настройки!T21</f>
        <v>out19</v>
      </c>
      <c r="AJ21" s="380" t="str">
        <f>Настройки!U21</f>
        <v>out19</v>
      </c>
      <c r="AK21" s="380" t="str">
        <f>Настройки!V21</f>
        <v>-</v>
      </c>
      <c r="AL21" s="380" t="str">
        <f>Настройки!W21</f>
        <v>-</v>
      </c>
      <c r="AM21" s="380" t="str">
        <f>Настройки!X21</f>
        <v>-</v>
      </c>
      <c r="AN21" s="380" t="str">
        <f>Настройки!Y21</f>
        <v>-</v>
      </c>
      <c r="AO21" s="380" t="str">
        <f>Настройки!Z21</f>
        <v>-</v>
      </c>
      <c r="AP21" s="380" t="str">
        <f>Настройки!AA21</f>
        <v>Canal_20</v>
      </c>
      <c r="AQ21" s="380" t="str">
        <f>Настройки!AB21</f>
        <v>Canal_20</v>
      </c>
      <c r="AR21" s="380" t="str">
        <f>Настройки!AC21</f>
        <v>-</v>
      </c>
      <c r="AS21" s="380" t="str">
        <f>Настройки!AD21</f>
        <v>-</v>
      </c>
      <c r="AT21" s="207" t="str">
        <f>Настройки!AB21</f>
        <v>Canal_20</v>
      </c>
      <c r="AU21" s="207" t="str">
        <f>Настройки!AC21</f>
        <v>-</v>
      </c>
      <c r="AV21" s="207" t="str">
        <f>Настройки!AD21</f>
        <v>-</v>
      </c>
      <c r="AW21" s="207" t="str">
        <f>Настройки!AE21</f>
        <v>-</v>
      </c>
      <c r="AX21" s="207" t="str">
        <f>Настройки!AF21</f>
        <v>IDIG_5_4</v>
      </c>
      <c r="AY21" s="207" t="str">
        <f>Настройки!AG21</f>
        <v>Canal_20</v>
      </c>
      <c r="AZ21" s="207" t="str">
        <f>Настройки!AH21</f>
        <v>Canal_20</v>
      </c>
      <c r="BA21" s="207" t="str">
        <f>Настройки!AI21</f>
        <v>Canal_20</v>
      </c>
      <c r="BB21" s="207" t="str">
        <f>Настройки!AJ21</f>
        <v>-</v>
      </c>
      <c r="BC21" s="207" t="str">
        <f>Настройки!AK21</f>
        <v>-</v>
      </c>
      <c r="BD21" s="207" t="str">
        <f>Настройки!AL21</f>
        <v>Canal_20</v>
      </c>
      <c r="BE21" s="207" t="str">
        <f>Настройки!AM21</f>
        <v>-</v>
      </c>
    </row>
    <row r="22" spans="1:57">
      <c r="A22" s="82"/>
      <c r="B22" s="82"/>
      <c r="C22" s="81"/>
      <c r="D22" s="81"/>
      <c r="E22" s="81"/>
      <c r="F22" s="81"/>
      <c r="G22" s="445"/>
      <c r="H22" s="447"/>
      <c r="I22" s="1"/>
      <c r="M22" s="424" t="str">
        <f>'Конфигурация TREI'!A23</f>
        <v>BR21</v>
      </c>
      <c r="N22" s="424" t="str">
        <f>'Конфигурация TREI'!B23</f>
        <v>M558O</v>
      </c>
      <c r="AE22" s="428">
        <f>Настройки!P22</f>
        <v>21</v>
      </c>
      <c r="AF22" s="380">
        <f>Настройки!Q22</f>
        <v>0</v>
      </c>
      <c r="AG22" s="380" t="str">
        <f>Настройки!R22</f>
        <v>-</v>
      </c>
      <c r="AH22" s="380" t="str">
        <f>Настройки!S22</f>
        <v>-</v>
      </c>
      <c r="AI22" s="380" t="str">
        <f>Настройки!T22</f>
        <v>out20</v>
      </c>
      <c r="AJ22" s="380" t="str">
        <f>Настройки!U22</f>
        <v>out20</v>
      </c>
      <c r="AK22" s="380" t="str">
        <f>Настройки!V22</f>
        <v>-</v>
      </c>
      <c r="AL22" s="380" t="str">
        <f>Настройки!W22</f>
        <v>-</v>
      </c>
      <c r="AM22" s="380" t="str">
        <f>Настройки!X22</f>
        <v>-</v>
      </c>
      <c r="AN22" s="380" t="str">
        <f>Настройки!Y22</f>
        <v>-</v>
      </c>
      <c r="AO22" s="380" t="str">
        <f>Настройки!Z22</f>
        <v>-</v>
      </c>
      <c r="AP22" s="380" t="str">
        <f>Настройки!AA22</f>
        <v>Canal_21</v>
      </c>
      <c r="AQ22" s="380" t="str">
        <f>Настройки!AB22</f>
        <v>Canal_21</v>
      </c>
      <c r="AR22" s="380" t="str">
        <f>Настройки!AC22</f>
        <v>-</v>
      </c>
      <c r="AS22" s="380" t="str">
        <f>Настройки!AD22</f>
        <v>-</v>
      </c>
      <c r="AT22" s="207" t="str">
        <f>Настройки!AB22</f>
        <v>Canal_21</v>
      </c>
      <c r="AU22" s="207" t="str">
        <f>Настройки!AC22</f>
        <v>-</v>
      </c>
      <c r="AV22" s="207" t="str">
        <f>Настройки!AD22</f>
        <v>-</v>
      </c>
      <c r="AW22" s="207" t="str">
        <f>Настройки!AE22</f>
        <v>-</v>
      </c>
      <c r="AX22" s="207" t="str">
        <f>Настройки!AF22</f>
        <v>IDIG_6_1</v>
      </c>
      <c r="AY22" s="207" t="str">
        <f>Настройки!AG22</f>
        <v>Canal_21</v>
      </c>
      <c r="AZ22" s="207" t="str">
        <f>Настройки!AH22</f>
        <v>Canal_21</v>
      </c>
      <c r="BA22" s="207" t="str">
        <f>Настройки!AI22</f>
        <v>Canal_21</v>
      </c>
      <c r="BB22" s="207" t="str">
        <f>Настройки!AJ22</f>
        <v>-</v>
      </c>
      <c r="BC22" s="207" t="str">
        <f>Настройки!AK22</f>
        <v>-</v>
      </c>
      <c r="BD22" s="207" t="str">
        <f>Настройки!AL22</f>
        <v>Canal_21</v>
      </c>
      <c r="BE22" s="207" t="str">
        <f>Настройки!AM22</f>
        <v>-</v>
      </c>
    </row>
    <row r="23" spans="1:57">
      <c r="A23" s="82"/>
      <c r="B23" s="82"/>
      <c r="C23" s="81"/>
      <c r="D23" s="81"/>
      <c r="E23" s="81"/>
      <c r="F23" s="81"/>
      <c r="G23" s="445"/>
      <c r="H23" s="447"/>
      <c r="I23" s="1"/>
      <c r="M23" s="424" t="str">
        <f>'Конфигурация TREI'!A24</f>
        <v>BR22</v>
      </c>
      <c r="N23" s="424" t="str">
        <f>'Конфигурация TREI'!B24</f>
        <v>M558D</v>
      </c>
      <c r="AE23" s="428">
        <f>Настройки!P23</f>
        <v>22</v>
      </c>
      <c r="AF23" s="380">
        <f>Настройки!Q23</f>
        <v>0</v>
      </c>
      <c r="AG23" s="380" t="str">
        <f>Настройки!R23</f>
        <v>-</v>
      </c>
      <c r="AH23" s="380" t="str">
        <f>Настройки!S23</f>
        <v>-</v>
      </c>
      <c r="AI23" s="380" t="str">
        <f>Настройки!T23</f>
        <v>out21</v>
      </c>
      <c r="AJ23" s="380" t="str">
        <f>Настройки!U23</f>
        <v>out21</v>
      </c>
      <c r="AK23" s="380" t="str">
        <f>Настройки!V23</f>
        <v>-</v>
      </c>
      <c r="AL23" s="380" t="str">
        <f>Настройки!W23</f>
        <v>-</v>
      </c>
      <c r="AM23" s="380" t="str">
        <f>Настройки!X23</f>
        <v>-</v>
      </c>
      <c r="AN23" s="380" t="str">
        <f>Настройки!Y23</f>
        <v>-</v>
      </c>
      <c r="AO23" s="380" t="str">
        <f>Настройки!Z23</f>
        <v>-</v>
      </c>
      <c r="AP23" s="380" t="str">
        <f>Настройки!AA23</f>
        <v>Canal_22</v>
      </c>
      <c r="AQ23" s="380" t="str">
        <f>Настройки!AB23</f>
        <v>Canal_22</v>
      </c>
      <c r="AR23" s="380" t="str">
        <f>Настройки!AC23</f>
        <v>-</v>
      </c>
      <c r="AS23" s="380" t="str">
        <f>Настройки!AD23</f>
        <v>-</v>
      </c>
      <c r="AT23" s="207" t="str">
        <f>Настройки!AB23</f>
        <v>Canal_22</v>
      </c>
      <c r="AU23" s="207" t="str">
        <f>Настройки!AC23</f>
        <v>-</v>
      </c>
      <c r="AV23" s="207" t="str">
        <f>Настройки!AD23</f>
        <v>-</v>
      </c>
      <c r="AW23" s="207" t="str">
        <f>Настройки!AE23</f>
        <v>-</v>
      </c>
      <c r="AX23" s="207" t="str">
        <f>Настройки!AF23</f>
        <v>IDIG_6_2</v>
      </c>
      <c r="AY23" s="207" t="str">
        <f>Настройки!AG23</f>
        <v>Canal_22</v>
      </c>
      <c r="AZ23" s="207" t="str">
        <f>Настройки!AH23</f>
        <v>Canal_22</v>
      </c>
      <c r="BA23" s="207" t="str">
        <f>Настройки!AI23</f>
        <v>Canal_22</v>
      </c>
      <c r="BB23" s="207" t="str">
        <f>Настройки!AJ23</f>
        <v>-</v>
      </c>
      <c r="BC23" s="207" t="str">
        <f>Настройки!AK23</f>
        <v>-</v>
      </c>
      <c r="BD23" s="207" t="str">
        <f>Настройки!AL23</f>
        <v>Canal_22</v>
      </c>
      <c r="BE23" s="207" t="str">
        <f>Настройки!AM23</f>
        <v>-</v>
      </c>
    </row>
    <row r="24" spans="1:57">
      <c r="A24" s="82"/>
      <c r="B24" s="82"/>
      <c r="C24" s="81"/>
      <c r="D24" s="81"/>
      <c r="E24" s="81"/>
      <c r="F24" s="81"/>
      <c r="G24" s="445"/>
      <c r="H24" s="447"/>
      <c r="I24" s="1"/>
      <c r="M24" s="424" t="str">
        <f>'Конфигурация TREI'!A25</f>
        <v>BR23</v>
      </c>
      <c r="N24" s="424" t="str">
        <f>'Конфигурация TREI'!B25</f>
        <v>M558O</v>
      </c>
      <c r="AE24" s="428">
        <f>Настройки!P24</f>
        <v>23</v>
      </c>
      <c r="AF24" s="380">
        <f>Настройки!Q24</f>
        <v>0</v>
      </c>
      <c r="AG24" s="380" t="str">
        <f>Настройки!R24</f>
        <v>-</v>
      </c>
      <c r="AH24" s="380" t="str">
        <f>Настройки!S24</f>
        <v>-</v>
      </c>
      <c r="AI24" s="380" t="str">
        <f>Настройки!T24</f>
        <v>out22</v>
      </c>
      <c r="AJ24" s="380" t="str">
        <f>Настройки!U24</f>
        <v>out22</v>
      </c>
      <c r="AK24" s="380" t="str">
        <f>Настройки!V24</f>
        <v>-</v>
      </c>
      <c r="AL24" s="380" t="str">
        <f>Настройки!W24</f>
        <v>-</v>
      </c>
      <c r="AM24" s="380" t="str">
        <f>Настройки!X24</f>
        <v>-</v>
      </c>
      <c r="AN24" s="380" t="str">
        <f>Настройки!Y24</f>
        <v>-</v>
      </c>
      <c r="AO24" s="380" t="str">
        <f>Настройки!Z24</f>
        <v>-</v>
      </c>
      <c r="AP24" s="380" t="str">
        <f>Настройки!AA24</f>
        <v>Canal_23</v>
      </c>
      <c r="AQ24" s="380" t="str">
        <f>Настройки!AB24</f>
        <v>Canal_23</v>
      </c>
      <c r="AR24" s="380" t="str">
        <f>Настройки!AC24</f>
        <v>-</v>
      </c>
      <c r="AS24" s="380" t="str">
        <f>Настройки!AD24</f>
        <v>-</v>
      </c>
      <c r="AT24" s="207" t="str">
        <f>Настройки!AB24</f>
        <v>Canal_23</v>
      </c>
      <c r="AU24" s="207" t="str">
        <f>Настройки!AC24</f>
        <v>-</v>
      </c>
      <c r="AV24" s="207" t="str">
        <f>Настройки!AD24</f>
        <v>-</v>
      </c>
      <c r="AW24" s="207" t="str">
        <f>Настройки!AE24</f>
        <v>-</v>
      </c>
      <c r="AX24" s="207" t="str">
        <f>Настройки!AF24</f>
        <v>IDIG_6_3</v>
      </c>
      <c r="AY24" s="207" t="str">
        <f>Настройки!AG24</f>
        <v>Canal_23</v>
      </c>
      <c r="AZ24" s="207" t="str">
        <f>Настройки!AH24</f>
        <v>Canal_23</v>
      </c>
      <c r="BA24" s="207" t="str">
        <f>Настройки!AI24</f>
        <v>Canal_23</v>
      </c>
      <c r="BB24" s="207" t="str">
        <f>Настройки!AJ24</f>
        <v>-</v>
      </c>
      <c r="BC24" s="207" t="str">
        <f>Настройки!AK24</f>
        <v>-</v>
      </c>
      <c r="BD24" s="207" t="str">
        <f>Настройки!AL24</f>
        <v>Canal_23</v>
      </c>
      <c r="BE24" s="207" t="str">
        <f>Настройки!AM24</f>
        <v>-</v>
      </c>
    </row>
    <row r="25" spans="1:57">
      <c r="A25" s="82"/>
      <c r="B25" s="82"/>
      <c r="C25" s="81"/>
      <c r="D25" s="81"/>
      <c r="E25" s="81"/>
      <c r="F25" s="81"/>
      <c r="G25" s="445"/>
      <c r="H25" s="447"/>
      <c r="I25" s="1"/>
      <c r="M25" s="424" t="str">
        <f>'Конфигурация TREI'!A26</f>
        <v>BR24</v>
      </c>
      <c r="N25" s="424" t="str">
        <f>'Конфигурация TREI'!B26</f>
        <v>M558D</v>
      </c>
      <c r="AE25" s="428">
        <f>Настройки!P25</f>
        <v>24</v>
      </c>
      <c r="AF25" s="380">
        <f>Настройки!Q25</f>
        <v>0</v>
      </c>
      <c r="AG25" s="380" t="str">
        <f>Настройки!R25</f>
        <v>-</v>
      </c>
      <c r="AH25" s="380" t="str">
        <f>Настройки!S25</f>
        <v>-</v>
      </c>
      <c r="AI25" s="380" t="str">
        <f>Настройки!T25</f>
        <v>out23</v>
      </c>
      <c r="AJ25" s="380" t="str">
        <f>Настройки!U25</f>
        <v>out23</v>
      </c>
      <c r="AK25" s="380" t="str">
        <f>Настройки!V25</f>
        <v>-</v>
      </c>
      <c r="AL25" s="380" t="str">
        <f>Настройки!W25</f>
        <v>-</v>
      </c>
      <c r="AM25" s="380" t="str">
        <f>Настройки!X25</f>
        <v>-</v>
      </c>
      <c r="AN25" s="380" t="str">
        <f>Настройки!Y25</f>
        <v>-</v>
      </c>
      <c r="AO25" s="380" t="str">
        <f>Настройки!Z25</f>
        <v>-</v>
      </c>
      <c r="AP25" s="380" t="str">
        <f>Настройки!AA25</f>
        <v>Canal_24</v>
      </c>
      <c r="AQ25" s="380" t="str">
        <f>Настройки!AB25</f>
        <v>Canal_24</v>
      </c>
      <c r="AR25" s="380" t="str">
        <f>Настройки!AC25</f>
        <v>-</v>
      </c>
      <c r="AS25" s="380" t="str">
        <f>Настройки!AD25</f>
        <v>-</v>
      </c>
      <c r="AT25" s="207" t="str">
        <f>Настройки!AB25</f>
        <v>Canal_24</v>
      </c>
      <c r="AU25" s="207" t="str">
        <f>Настройки!AC25</f>
        <v>-</v>
      </c>
      <c r="AV25" s="207" t="str">
        <f>Настройки!AD25</f>
        <v>-</v>
      </c>
      <c r="AW25" s="207" t="str">
        <f>Настройки!AE25</f>
        <v>-</v>
      </c>
      <c r="AX25" s="207" t="str">
        <f>Настройки!AF25</f>
        <v>IDIG_6_4</v>
      </c>
      <c r="AY25" s="207" t="str">
        <f>Настройки!AG25</f>
        <v>Canal_24</v>
      </c>
      <c r="AZ25" s="207" t="str">
        <f>Настройки!AH25</f>
        <v>Canal_24</v>
      </c>
      <c r="BA25" s="207" t="str">
        <f>Настройки!AI25</f>
        <v>Canal_24</v>
      </c>
      <c r="BB25" s="207" t="str">
        <f>Настройки!AJ25</f>
        <v>-</v>
      </c>
      <c r="BC25" s="207" t="str">
        <f>Настройки!AK25</f>
        <v>-</v>
      </c>
      <c r="BD25" s="207" t="str">
        <f>Настройки!AL25</f>
        <v>Canal_24</v>
      </c>
      <c r="BE25" s="207" t="str">
        <f>Настройки!AM25</f>
        <v>-</v>
      </c>
    </row>
    <row r="26" spans="1:57">
      <c r="A26" s="82"/>
      <c r="B26" s="82"/>
      <c r="C26" s="81"/>
      <c r="D26" s="81"/>
      <c r="E26" s="81"/>
      <c r="F26" s="81"/>
      <c r="G26" s="445"/>
      <c r="H26" s="447"/>
      <c r="I26" s="1"/>
      <c r="M26" s="424" t="str">
        <f>'Конфигурация TREI'!A27</f>
        <v>BR25</v>
      </c>
      <c r="N26" s="424" t="str">
        <f>'Конфигурация TREI'!B27</f>
        <v>M558D</v>
      </c>
      <c r="AE26" s="428">
        <f>Настройки!P26</f>
        <v>25</v>
      </c>
      <c r="AF26" s="380">
        <f>Настройки!Q26</f>
        <v>0</v>
      </c>
      <c r="AG26" s="380" t="str">
        <f>Настройки!R26</f>
        <v>-</v>
      </c>
      <c r="AH26" s="380" t="str">
        <f>Настройки!S26</f>
        <v>-</v>
      </c>
      <c r="AI26" s="380" t="str">
        <f>Настройки!T26</f>
        <v>out24</v>
      </c>
      <c r="AJ26" s="380" t="str">
        <f>Настройки!U26</f>
        <v>out24</v>
      </c>
      <c r="AK26" s="380" t="str">
        <f>Настройки!V26</f>
        <v>-</v>
      </c>
      <c r="AL26" s="380" t="str">
        <f>Настройки!W26</f>
        <v>-</v>
      </c>
      <c r="AM26" s="380" t="str">
        <f>Настройки!X26</f>
        <v>-</v>
      </c>
      <c r="AN26" s="380" t="str">
        <f>Настройки!Y26</f>
        <v>-</v>
      </c>
      <c r="AO26" s="380" t="str">
        <f>Настройки!Z26</f>
        <v>-</v>
      </c>
      <c r="AP26" s="380" t="str">
        <f>Настройки!AA26</f>
        <v>Canal_25</v>
      </c>
      <c r="AQ26" s="380" t="str">
        <f>Настройки!AB26</f>
        <v>Canal_25</v>
      </c>
      <c r="AR26" s="380" t="str">
        <f>Настройки!AC26</f>
        <v>-</v>
      </c>
      <c r="AS26" s="380" t="str">
        <f>Настройки!AD26</f>
        <v>-</v>
      </c>
      <c r="AT26" s="207" t="str">
        <f>Настройки!AB26</f>
        <v>Canal_25</v>
      </c>
      <c r="AU26" s="207" t="str">
        <f>Настройки!AC26</f>
        <v>-</v>
      </c>
      <c r="AV26" s="207" t="str">
        <f>Настройки!AD26</f>
        <v>-</v>
      </c>
      <c r="AW26" s="207" t="str">
        <f>Настройки!AE26</f>
        <v>-</v>
      </c>
      <c r="AX26" s="207" t="str">
        <f>Настройки!AF26</f>
        <v>IDIG_7_1</v>
      </c>
      <c r="AY26" s="207" t="str">
        <f>Настройки!AG26</f>
        <v>Canal_25</v>
      </c>
      <c r="AZ26" s="207" t="str">
        <f>Настройки!AH26</f>
        <v>Canal_25</v>
      </c>
      <c r="BA26" s="207" t="str">
        <f>Настройки!AI26</f>
        <v>Canal_25</v>
      </c>
      <c r="BB26" s="207" t="str">
        <f>Настройки!AJ26</f>
        <v>-</v>
      </c>
      <c r="BC26" s="207" t="str">
        <f>Настройки!AK26</f>
        <v>-</v>
      </c>
      <c r="BD26" s="207" t="str">
        <f>Настройки!AL26</f>
        <v>Canal_25</v>
      </c>
      <c r="BE26" s="207" t="str">
        <f>Настройки!AM26</f>
        <v>-</v>
      </c>
    </row>
    <row r="27" spans="1:57">
      <c r="A27" s="82"/>
      <c r="B27" s="82"/>
      <c r="C27" s="81"/>
      <c r="D27" s="81"/>
      <c r="E27" s="81"/>
      <c r="F27" s="81"/>
      <c r="G27" s="445"/>
      <c r="H27" s="447"/>
      <c r="I27" s="1"/>
      <c r="M27" s="424" t="str">
        <f>'Конфигурация TREI'!A28</f>
        <v>BR26</v>
      </c>
      <c r="N27" s="424" t="str">
        <f>'Конфигурация TREI'!B28</f>
        <v>M558D</v>
      </c>
      <c r="AE27" s="428">
        <f>Настройки!P27</f>
        <v>26</v>
      </c>
      <c r="AF27" s="380">
        <f>Настройки!Q27</f>
        <v>0</v>
      </c>
      <c r="AG27" s="380" t="str">
        <f>Настройки!R27</f>
        <v>-</v>
      </c>
      <c r="AH27" s="380" t="str">
        <f>Настройки!S27</f>
        <v>-</v>
      </c>
      <c r="AI27" s="380" t="str">
        <f>Настройки!T27</f>
        <v>out25</v>
      </c>
      <c r="AJ27" s="380" t="str">
        <f>Настройки!U27</f>
        <v>out25</v>
      </c>
      <c r="AK27" s="380" t="str">
        <f>Настройки!V27</f>
        <v>-</v>
      </c>
      <c r="AL27" s="380" t="str">
        <f>Настройки!W27</f>
        <v>-</v>
      </c>
      <c r="AM27" s="380" t="str">
        <f>Настройки!X27</f>
        <v>-</v>
      </c>
      <c r="AN27" s="380" t="str">
        <f>Настройки!Y27</f>
        <v>-</v>
      </c>
      <c r="AO27" s="380" t="str">
        <f>Настройки!Z27</f>
        <v>-</v>
      </c>
      <c r="AP27" s="380" t="str">
        <f>Настройки!AA27</f>
        <v>Canal_26</v>
      </c>
      <c r="AQ27" s="380" t="str">
        <f>Настройки!AB27</f>
        <v>Canal_26</v>
      </c>
      <c r="AR27" s="380" t="str">
        <f>Настройки!AC27</f>
        <v>-</v>
      </c>
      <c r="AS27" s="380" t="str">
        <f>Настройки!AD27</f>
        <v>-</v>
      </c>
      <c r="AT27" s="207" t="str">
        <f>Настройки!AB27</f>
        <v>Canal_26</v>
      </c>
      <c r="AU27" s="207" t="str">
        <f>Настройки!AC27</f>
        <v>-</v>
      </c>
      <c r="AV27" s="207" t="str">
        <f>Настройки!AD27</f>
        <v>-</v>
      </c>
      <c r="AW27" s="207" t="str">
        <f>Настройки!AE27</f>
        <v>-</v>
      </c>
      <c r="AX27" s="207" t="str">
        <f>Настройки!AF27</f>
        <v>IDIG_7_2</v>
      </c>
      <c r="AY27" s="207" t="str">
        <f>Настройки!AG27</f>
        <v>Canal_26</v>
      </c>
      <c r="AZ27" s="207" t="str">
        <f>Настройки!AH27</f>
        <v>Canal_26</v>
      </c>
      <c r="BA27" s="207" t="str">
        <f>Настройки!AI27</f>
        <v>Canal_26</v>
      </c>
      <c r="BB27" s="207" t="str">
        <f>Настройки!AJ27</f>
        <v>-</v>
      </c>
      <c r="BC27" s="207" t="str">
        <f>Настройки!AK27</f>
        <v>-</v>
      </c>
      <c r="BD27" s="207" t="str">
        <f>Настройки!AL27</f>
        <v>Canal_26</v>
      </c>
      <c r="BE27" s="207" t="str">
        <f>Настройки!AM27</f>
        <v>-</v>
      </c>
    </row>
    <row r="28" spans="1:57">
      <c r="A28" s="82"/>
      <c r="B28" s="82"/>
      <c r="C28" s="81"/>
      <c r="D28" s="81"/>
      <c r="E28" s="81"/>
      <c r="F28" s="81"/>
      <c r="G28" s="445"/>
      <c r="H28" s="447"/>
      <c r="I28" s="1"/>
      <c r="M28" s="424" t="str">
        <f>'Конфигурация TREI'!A29</f>
        <v>BR27</v>
      </c>
      <c r="N28" s="424" t="str">
        <f>'Конфигурация TREI'!B29</f>
        <v>M558D</v>
      </c>
      <c r="AE28" s="428">
        <f>Настройки!P28</f>
        <v>27</v>
      </c>
      <c r="AF28" s="380">
        <f>Настройки!Q28</f>
        <v>0</v>
      </c>
      <c r="AG28" s="380" t="str">
        <f>Настройки!R28</f>
        <v>-</v>
      </c>
      <c r="AH28" s="380" t="str">
        <f>Настройки!S28</f>
        <v>-</v>
      </c>
      <c r="AI28" s="380" t="str">
        <f>Настройки!T28</f>
        <v>out26</v>
      </c>
      <c r="AJ28" s="380" t="str">
        <f>Настройки!U28</f>
        <v>out26</v>
      </c>
      <c r="AK28" s="380" t="str">
        <f>Настройки!V28</f>
        <v>-</v>
      </c>
      <c r="AL28" s="380" t="str">
        <f>Настройки!W28</f>
        <v>-</v>
      </c>
      <c r="AM28" s="380" t="str">
        <f>Настройки!X28</f>
        <v>-</v>
      </c>
      <c r="AN28" s="380" t="str">
        <f>Настройки!Y28</f>
        <v>-</v>
      </c>
      <c r="AO28" s="380" t="str">
        <f>Настройки!Z28</f>
        <v>-</v>
      </c>
      <c r="AP28" s="380" t="str">
        <f>Настройки!AA28</f>
        <v>Canal_27</v>
      </c>
      <c r="AQ28" s="380" t="str">
        <f>Настройки!AB28</f>
        <v>Canal_27</v>
      </c>
      <c r="AR28" s="380" t="str">
        <f>Настройки!AC28</f>
        <v>-</v>
      </c>
      <c r="AS28" s="380" t="str">
        <f>Настройки!AD28</f>
        <v>-</v>
      </c>
      <c r="AT28" s="207" t="str">
        <f>Настройки!AB28</f>
        <v>Canal_27</v>
      </c>
      <c r="AU28" s="207" t="str">
        <f>Настройки!AC28</f>
        <v>-</v>
      </c>
      <c r="AV28" s="207" t="str">
        <f>Настройки!AD28</f>
        <v>-</v>
      </c>
      <c r="AW28" s="207" t="str">
        <f>Настройки!AE28</f>
        <v>-</v>
      </c>
      <c r="AX28" s="207" t="str">
        <f>Настройки!AF28</f>
        <v>IDIG_7_3</v>
      </c>
      <c r="AY28" s="207" t="str">
        <f>Настройки!AG28</f>
        <v>Canal_27</v>
      </c>
      <c r="AZ28" s="207" t="str">
        <f>Настройки!AH28</f>
        <v>Canal_27</v>
      </c>
      <c r="BA28" s="207" t="str">
        <f>Настройки!AI28</f>
        <v>Canal_27</v>
      </c>
      <c r="BB28" s="207" t="str">
        <f>Настройки!AJ28</f>
        <v>-</v>
      </c>
      <c r="BC28" s="207" t="str">
        <f>Настройки!AK28</f>
        <v>-</v>
      </c>
      <c r="BD28" s="207" t="str">
        <f>Настройки!AL28</f>
        <v>Canal_27</v>
      </c>
      <c r="BE28" s="207" t="str">
        <f>Настройки!AM28</f>
        <v>-</v>
      </c>
    </row>
    <row r="29" spans="1:57">
      <c r="A29" s="82"/>
      <c r="B29" s="82"/>
      <c r="C29" s="81"/>
      <c r="D29" s="81"/>
      <c r="E29" s="81"/>
      <c r="F29" s="81"/>
      <c r="G29" s="445"/>
      <c r="H29" s="447"/>
      <c r="I29" s="1"/>
      <c r="M29" s="424" t="str">
        <f>'Конфигурация TREI'!A30</f>
        <v>BR28</v>
      </c>
      <c r="N29" s="424" t="str">
        <f>'Конфигурация TREI'!B30</f>
        <v>M558D</v>
      </c>
      <c r="AE29" s="428">
        <f>Настройки!P29</f>
        <v>28</v>
      </c>
      <c r="AF29" s="380">
        <f>Настройки!Q29</f>
        <v>0</v>
      </c>
      <c r="AG29" s="380" t="str">
        <f>Настройки!R29</f>
        <v>-</v>
      </c>
      <c r="AH29" s="380" t="str">
        <f>Настройки!S29</f>
        <v>-</v>
      </c>
      <c r="AI29" s="380" t="str">
        <f>Настройки!T29</f>
        <v>out27</v>
      </c>
      <c r="AJ29" s="380" t="str">
        <f>Настройки!U29</f>
        <v>out27</v>
      </c>
      <c r="AK29" s="380" t="str">
        <f>Настройки!V29</f>
        <v>-</v>
      </c>
      <c r="AL29" s="380" t="str">
        <f>Настройки!W29</f>
        <v>-</v>
      </c>
      <c r="AM29" s="380" t="str">
        <f>Настройки!X29</f>
        <v>-</v>
      </c>
      <c r="AN29" s="380" t="str">
        <f>Настройки!Y29</f>
        <v>-</v>
      </c>
      <c r="AO29" s="380" t="str">
        <f>Настройки!Z29</f>
        <v>-</v>
      </c>
      <c r="AP29" s="380" t="str">
        <f>Настройки!AA29</f>
        <v>Canal_28</v>
      </c>
      <c r="AQ29" s="380" t="str">
        <f>Настройки!AB29</f>
        <v>Canal_28</v>
      </c>
      <c r="AR29" s="380" t="str">
        <f>Настройки!AC29</f>
        <v>-</v>
      </c>
      <c r="AS29" s="380" t="str">
        <f>Настройки!AD29</f>
        <v>-</v>
      </c>
      <c r="AT29" s="207" t="str">
        <f>Настройки!AB29</f>
        <v>Canal_28</v>
      </c>
      <c r="AU29" s="207" t="str">
        <f>Настройки!AC29</f>
        <v>-</v>
      </c>
      <c r="AV29" s="207" t="str">
        <f>Настройки!AD29</f>
        <v>-</v>
      </c>
      <c r="AW29" s="207" t="str">
        <f>Настройки!AE29</f>
        <v>-</v>
      </c>
      <c r="AX29" s="207" t="str">
        <f>Настройки!AF29</f>
        <v>IDIG_7_4</v>
      </c>
      <c r="AY29" s="207" t="str">
        <f>Настройки!AG29</f>
        <v>Canal_28</v>
      </c>
      <c r="AZ29" s="207" t="str">
        <f>Настройки!AH29</f>
        <v>Canal_28</v>
      </c>
      <c r="BA29" s="207" t="str">
        <f>Настройки!AI29</f>
        <v>Canal_28</v>
      </c>
      <c r="BB29" s="207" t="str">
        <f>Настройки!AJ29</f>
        <v>-</v>
      </c>
      <c r="BC29" s="207" t="str">
        <f>Настройки!AK29</f>
        <v>-</v>
      </c>
      <c r="BD29" s="207" t="str">
        <f>Настройки!AL29</f>
        <v>Canal_28</v>
      </c>
      <c r="BE29" s="207" t="str">
        <f>Настройки!AM29</f>
        <v>-</v>
      </c>
    </row>
    <row r="30" spans="1:57">
      <c r="A30" s="11"/>
      <c r="B30" s="11"/>
      <c r="C30" s="11"/>
      <c r="D30" s="11"/>
      <c r="E30" s="11"/>
      <c r="F30" s="11"/>
      <c r="G30" s="11"/>
      <c r="H30" s="1"/>
      <c r="I30" s="1"/>
      <c r="M30" s="424" t="str">
        <f>'Конфигурация TREI'!A31</f>
        <v>BR29</v>
      </c>
      <c r="N30" s="424" t="str">
        <f>'Конфигурация TREI'!B31</f>
        <v>M558O</v>
      </c>
      <c r="AE30" s="428">
        <f>Настройки!P30</f>
        <v>29</v>
      </c>
      <c r="AF30" s="380">
        <f>Настройки!Q30</f>
        <v>0</v>
      </c>
      <c r="AG30" s="380" t="str">
        <f>Настройки!R30</f>
        <v>-</v>
      </c>
      <c r="AH30" s="380" t="str">
        <f>Настройки!S30</f>
        <v>-</v>
      </c>
      <c r="AI30" s="380" t="str">
        <f>Настройки!T30</f>
        <v>out28</v>
      </c>
      <c r="AJ30" s="380" t="str">
        <f>Настройки!U30</f>
        <v>out28</v>
      </c>
      <c r="AK30" s="380" t="str">
        <f>Настройки!V30</f>
        <v>-</v>
      </c>
      <c r="AL30" s="380" t="str">
        <f>Настройки!W30</f>
        <v>-</v>
      </c>
      <c r="AM30" s="380" t="str">
        <f>Настройки!X30</f>
        <v>-</v>
      </c>
      <c r="AN30" s="380" t="str">
        <f>Настройки!Y30</f>
        <v>-</v>
      </c>
      <c r="AO30" s="380" t="str">
        <f>Настройки!Z30</f>
        <v>-</v>
      </c>
      <c r="AP30" s="380" t="str">
        <f>Настройки!AA30</f>
        <v>Canal_29</v>
      </c>
      <c r="AQ30" s="380" t="str">
        <f>Настройки!AB30</f>
        <v>Canal_29</v>
      </c>
      <c r="AR30" s="380" t="str">
        <f>Настройки!AC30</f>
        <v>-</v>
      </c>
      <c r="AS30" s="380" t="str">
        <f>Настройки!AD30</f>
        <v>-</v>
      </c>
      <c r="AT30" s="207" t="str">
        <f>Настройки!AB30</f>
        <v>Canal_29</v>
      </c>
      <c r="AU30" s="207" t="str">
        <f>Настройки!AC30</f>
        <v>-</v>
      </c>
      <c r="AV30" s="207" t="str">
        <f>Настройки!AD30</f>
        <v>-</v>
      </c>
      <c r="AW30" s="207" t="str">
        <f>Настройки!AE30</f>
        <v>-</v>
      </c>
      <c r="AX30" s="207" t="str">
        <f>Настройки!AF30</f>
        <v>IDIG_8_1</v>
      </c>
      <c r="AY30" s="207" t="str">
        <f>Настройки!AG30</f>
        <v>Canal_29</v>
      </c>
      <c r="AZ30" s="207" t="str">
        <f>Настройки!AH30</f>
        <v>Canal_29</v>
      </c>
      <c r="BA30" s="207" t="str">
        <f>Настройки!AI30</f>
        <v>Canal_29</v>
      </c>
      <c r="BB30" s="207" t="str">
        <f>Настройки!AJ30</f>
        <v>-</v>
      </c>
      <c r="BC30" s="207" t="str">
        <f>Настройки!AK30</f>
        <v>-</v>
      </c>
      <c r="BD30" s="207" t="str">
        <f>Настройки!AL30</f>
        <v>Canal_29</v>
      </c>
      <c r="BE30" s="207" t="str">
        <f>Настройки!AM30</f>
        <v>-</v>
      </c>
    </row>
    <row r="31" spans="1:57">
      <c r="A31" s="82"/>
      <c r="B31" s="82"/>
      <c r="C31" s="81"/>
      <c r="D31" s="81"/>
      <c r="E31" s="81"/>
      <c r="F31" s="81"/>
      <c r="G31" s="445"/>
      <c r="H31" s="445"/>
      <c r="I31" s="1"/>
      <c r="M31" s="424" t="str">
        <f>'Конфигурация TREI'!A32</f>
        <v>BR30</v>
      </c>
      <c r="N31" s="424" t="str">
        <f>'Конфигурация TREI'!B32</f>
        <v>M558D</v>
      </c>
      <c r="AE31" s="428">
        <f>Настройки!P31</f>
        <v>30</v>
      </c>
      <c r="AF31" s="380">
        <f>Настройки!Q31</f>
        <v>0</v>
      </c>
      <c r="AG31" s="380" t="str">
        <f>Настройки!R31</f>
        <v>-</v>
      </c>
      <c r="AH31" s="380" t="str">
        <f>Настройки!S31</f>
        <v>-</v>
      </c>
      <c r="AI31" s="380" t="str">
        <f>Настройки!T31</f>
        <v>out29</v>
      </c>
      <c r="AJ31" s="380" t="str">
        <f>Настройки!U31</f>
        <v>out29</v>
      </c>
      <c r="AK31" s="380" t="str">
        <f>Настройки!V31</f>
        <v>-</v>
      </c>
      <c r="AL31" s="380" t="str">
        <f>Настройки!W31</f>
        <v>-</v>
      </c>
      <c r="AM31" s="380" t="str">
        <f>Настройки!X31</f>
        <v>-</v>
      </c>
      <c r="AN31" s="380" t="str">
        <f>Настройки!Y31</f>
        <v>-</v>
      </c>
      <c r="AO31" s="380" t="str">
        <f>Настройки!Z31</f>
        <v>-</v>
      </c>
      <c r="AP31" s="380" t="str">
        <f>Настройки!AA31</f>
        <v>Canal_30</v>
      </c>
      <c r="AQ31" s="380" t="str">
        <f>Настройки!AB31</f>
        <v>Canal_30</v>
      </c>
      <c r="AR31" s="380" t="str">
        <f>Настройки!AC31</f>
        <v>-</v>
      </c>
      <c r="AS31" s="380" t="str">
        <f>Настройки!AD31</f>
        <v>-</v>
      </c>
      <c r="AT31" s="207" t="str">
        <f>Настройки!AB31</f>
        <v>Canal_30</v>
      </c>
      <c r="AU31" s="207" t="str">
        <f>Настройки!AC31</f>
        <v>-</v>
      </c>
      <c r="AV31" s="207" t="str">
        <f>Настройки!AD31</f>
        <v>-</v>
      </c>
      <c r="AW31" s="207" t="str">
        <f>Настройки!AE31</f>
        <v>-</v>
      </c>
      <c r="AX31" s="207" t="str">
        <f>Настройки!AF31</f>
        <v>IDIG_8_2</v>
      </c>
      <c r="AY31" s="207" t="str">
        <f>Настройки!AG31</f>
        <v>Canal_30</v>
      </c>
      <c r="AZ31" s="207" t="str">
        <f>Настройки!AH31</f>
        <v>Canal_30</v>
      </c>
      <c r="BA31" s="207" t="str">
        <f>Настройки!AI31</f>
        <v>Canal_30</v>
      </c>
      <c r="BB31" s="207" t="str">
        <f>Настройки!AJ31</f>
        <v>-</v>
      </c>
      <c r="BC31" s="207" t="str">
        <f>Настройки!AK31</f>
        <v>-</v>
      </c>
      <c r="BD31" s="207" t="str">
        <f>Настройки!AL31</f>
        <v>Canal_30</v>
      </c>
      <c r="BE31" s="207" t="str">
        <f>Настройки!AM31</f>
        <v>-</v>
      </c>
    </row>
    <row r="32" spans="1:57">
      <c r="A32" s="82"/>
      <c r="B32" s="82"/>
      <c r="C32" s="81"/>
      <c r="D32" s="81"/>
      <c r="E32" s="81"/>
      <c r="F32" s="81"/>
      <c r="G32" s="445"/>
      <c r="H32" s="445"/>
      <c r="I32" s="1"/>
      <c r="M32" s="424" t="str">
        <f>'Конфигурация TREI'!A33</f>
        <v>BR31</v>
      </c>
      <c r="N32" s="424" t="str">
        <f>'Конфигурация TREI'!B33</f>
        <v>M558D</v>
      </c>
      <c r="AE32" s="428">
        <f>Настройки!P32</f>
        <v>31</v>
      </c>
      <c r="AF32" s="380">
        <f>Настройки!Q32</f>
        <v>0</v>
      </c>
      <c r="AG32" s="380" t="str">
        <f>Настройки!R32</f>
        <v>-</v>
      </c>
      <c r="AH32" s="380" t="str">
        <f>Настройки!S32</f>
        <v>-</v>
      </c>
      <c r="AI32" s="380" t="str">
        <f>Настройки!T32</f>
        <v>out30</v>
      </c>
      <c r="AJ32" s="380" t="str">
        <f>Настройки!U32</f>
        <v>out30</v>
      </c>
      <c r="AK32" s="380" t="str">
        <f>Настройки!V32</f>
        <v>-</v>
      </c>
      <c r="AL32" s="380" t="str">
        <f>Настройки!W32</f>
        <v>-</v>
      </c>
      <c r="AM32" s="380" t="str">
        <f>Настройки!X32</f>
        <v>-</v>
      </c>
      <c r="AN32" s="380" t="str">
        <f>Настройки!Y32</f>
        <v>-</v>
      </c>
      <c r="AO32" s="380" t="str">
        <f>Настройки!Z32</f>
        <v>-</v>
      </c>
      <c r="AP32" s="380" t="str">
        <f>Настройки!AA32</f>
        <v>Canal_31</v>
      </c>
      <c r="AQ32" s="380" t="str">
        <f>Настройки!AB32</f>
        <v>Canal_31</v>
      </c>
      <c r="AR32" s="380" t="str">
        <f>Настройки!AC32</f>
        <v>-</v>
      </c>
      <c r="AS32" s="380" t="str">
        <f>Настройки!AD32</f>
        <v>-</v>
      </c>
      <c r="AT32" s="207" t="str">
        <f>Настройки!AB32</f>
        <v>Canal_31</v>
      </c>
      <c r="AU32" s="207" t="str">
        <f>Настройки!AC32</f>
        <v>-</v>
      </c>
      <c r="AV32" s="207" t="str">
        <f>Настройки!AD32</f>
        <v>-</v>
      </c>
      <c r="AW32" s="207" t="str">
        <f>Настройки!AE32</f>
        <v>-</v>
      </c>
      <c r="AX32" s="207" t="str">
        <f>Настройки!AF32</f>
        <v>IDIG_8_3</v>
      </c>
      <c r="AY32" s="207" t="str">
        <f>Настройки!AG32</f>
        <v>Canal_31</v>
      </c>
      <c r="AZ32" s="207" t="str">
        <f>Настройки!AH32</f>
        <v>Canal_31</v>
      </c>
      <c r="BA32" s="207" t="str">
        <f>Настройки!AI32</f>
        <v>Canal_31</v>
      </c>
      <c r="BB32" s="207" t="str">
        <f>Настройки!AJ32</f>
        <v>-</v>
      </c>
      <c r="BC32" s="207" t="str">
        <f>Настройки!AK32</f>
        <v>-</v>
      </c>
      <c r="BD32" s="207" t="str">
        <f>Настройки!AL32</f>
        <v>Canal_31</v>
      </c>
      <c r="BE32" s="207" t="str">
        <f>Настройки!AM32</f>
        <v>-</v>
      </c>
    </row>
    <row r="33" spans="1:57">
      <c r="A33" s="82"/>
      <c r="B33" s="82"/>
      <c r="C33" s="81"/>
      <c r="D33" s="81"/>
      <c r="E33" s="81"/>
      <c r="F33" s="81"/>
      <c r="G33" s="445"/>
      <c r="H33" s="445"/>
      <c r="I33" s="1"/>
      <c r="M33" s="424" t="str">
        <f>'Конфигурация TREI'!A34</f>
        <v>BR32</v>
      </c>
      <c r="N33" s="424" t="str">
        <f>'Конфигурация TREI'!B34</f>
        <v>M558D</v>
      </c>
      <c r="AE33" s="620">
        <f>Настройки!P33</f>
        <v>32</v>
      </c>
      <c r="AF33" s="621">
        <f>Настройки!Q33</f>
        <v>0</v>
      </c>
      <c r="AG33" s="621" t="str">
        <f>Настройки!R33</f>
        <v>-</v>
      </c>
      <c r="AH33" s="621" t="str">
        <f>Настройки!S33</f>
        <v>-</v>
      </c>
      <c r="AI33" s="621" t="str">
        <f>Настройки!T33</f>
        <v>out31</v>
      </c>
      <c r="AJ33" s="621" t="str">
        <f>Настройки!U33</f>
        <v>out31</v>
      </c>
      <c r="AK33" s="621" t="str">
        <f>Настройки!V33</f>
        <v>-</v>
      </c>
      <c r="AL33" s="621" t="str">
        <f>Настройки!W33</f>
        <v>-</v>
      </c>
      <c r="AM33" s="621" t="str">
        <f>Настройки!X33</f>
        <v>-</v>
      </c>
      <c r="AN33" s="621" t="str">
        <f>Настройки!Y33</f>
        <v>-</v>
      </c>
      <c r="AO33" s="621" t="str">
        <f>Настройки!Z33</f>
        <v>-</v>
      </c>
      <c r="AP33" s="621" t="str">
        <f>Настройки!AA33</f>
        <v>Canal_32</v>
      </c>
      <c r="AQ33" s="621" t="str">
        <f>Настройки!AB33</f>
        <v>Canal_32</v>
      </c>
      <c r="AR33" s="621" t="str">
        <f>Настройки!AC33</f>
        <v>-</v>
      </c>
      <c r="AS33" s="621" t="str">
        <f>Настройки!AD33</f>
        <v>-</v>
      </c>
      <c r="AT33" s="622" t="str">
        <f>Настройки!AB33</f>
        <v>Canal_32</v>
      </c>
      <c r="AU33" s="622" t="str">
        <f>Настройки!AC33</f>
        <v>-</v>
      </c>
      <c r="AV33" s="622" t="str">
        <f>Настройки!AD33</f>
        <v>-</v>
      </c>
      <c r="AW33" s="622" t="str">
        <f>Настройки!AE33</f>
        <v>-</v>
      </c>
      <c r="AX33" s="622" t="str">
        <f>Настройки!AF33</f>
        <v>IDIG_8_4</v>
      </c>
      <c r="AY33" s="622" t="str">
        <f>Настройки!AG33</f>
        <v>Canal_32</v>
      </c>
      <c r="AZ33" s="622" t="str">
        <f>Настройки!AH33</f>
        <v>Canal_32</v>
      </c>
      <c r="BA33" s="622" t="str">
        <f>Настройки!AI33</f>
        <v>Canal_32</v>
      </c>
      <c r="BB33" s="622" t="str">
        <f>Настройки!AJ33</f>
        <v>-</v>
      </c>
      <c r="BC33" s="622" t="str">
        <f>Настройки!AK33</f>
        <v>-</v>
      </c>
      <c r="BD33" s="622" t="str">
        <f>Настройки!AL33</f>
        <v>Canal_32</v>
      </c>
      <c r="BE33" s="622" t="str">
        <f>Настройки!AM33</f>
        <v>-</v>
      </c>
    </row>
    <row r="34" spans="1:57">
      <c r="A34" s="82"/>
      <c r="B34" s="82"/>
      <c r="C34" s="81"/>
      <c r="D34" s="81"/>
      <c r="E34" s="81"/>
      <c r="F34" s="81"/>
      <c r="G34" s="445"/>
      <c r="H34" s="445"/>
      <c r="I34" s="1"/>
      <c r="M34" s="424" t="str">
        <f>'Конфигурация TREI'!A35</f>
        <v>BR33</v>
      </c>
      <c r="N34" s="424" t="str">
        <f>'Конфигурация TREI'!B35</f>
        <v>M558D</v>
      </c>
      <c r="AC34" s="626"/>
      <c r="AD34" s="626"/>
      <c r="AE34" s="624"/>
      <c r="AF34" s="624"/>
      <c r="AG34" s="624"/>
      <c r="AH34" s="624"/>
      <c r="AI34" s="624"/>
      <c r="AJ34" s="624"/>
      <c r="AK34" s="624"/>
      <c r="AL34" s="624"/>
      <c r="AM34" s="624"/>
      <c r="AN34" s="624"/>
      <c r="AO34" s="624"/>
      <c r="AP34" s="624"/>
      <c r="AQ34" s="624"/>
      <c r="AR34" s="624"/>
      <c r="AS34" s="624"/>
      <c r="AT34" s="625"/>
      <c r="AU34" s="625"/>
      <c r="AV34" s="625"/>
      <c r="AW34" s="625"/>
      <c r="AX34" s="625"/>
      <c r="AY34" s="625"/>
      <c r="AZ34" s="625"/>
      <c r="BA34" s="625"/>
      <c r="BB34" s="625"/>
      <c r="BC34" s="625"/>
      <c r="BD34" s="625"/>
      <c r="BE34" s="625"/>
    </row>
    <row r="35" spans="1:57">
      <c r="A35" s="82"/>
      <c r="B35" s="82"/>
      <c r="C35" s="81"/>
      <c r="D35" s="81"/>
      <c r="E35" s="81"/>
      <c r="F35" s="81"/>
      <c r="G35" s="445"/>
      <c r="H35" s="445"/>
      <c r="I35" s="1"/>
      <c r="M35" s="424" t="str">
        <f>'Конфигурация TREI'!A36</f>
        <v>BR34</v>
      </c>
      <c r="N35" s="424" t="str">
        <f>'Конфигурация TREI'!B36</f>
        <v>M558D</v>
      </c>
      <c r="AC35" s="310"/>
      <c r="AD35" s="310"/>
      <c r="AE35" s="505"/>
      <c r="AF35" s="505"/>
      <c r="AG35" s="505"/>
      <c r="AH35" s="505"/>
      <c r="AI35" s="505"/>
      <c r="AJ35" s="505"/>
      <c r="AK35" s="505"/>
      <c r="AL35" s="505"/>
      <c r="AM35" s="505"/>
      <c r="AN35" s="505"/>
      <c r="AO35" s="505"/>
      <c r="AP35" s="505"/>
      <c r="AQ35" s="505"/>
      <c r="AR35" s="505"/>
      <c r="AS35" s="505"/>
      <c r="AT35" s="623"/>
      <c r="AU35" s="623"/>
      <c r="AV35" s="623"/>
      <c r="AW35" s="623"/>
      <c r="AX35" s="623"/>
      <c r="AY35" s="623"/>
      <c r="AZ35" s="623"/>
      <c r="BA35" s="623"/>
      <c r="BB35" s="623"/>
      <c r="BC35" s="623"/>
      <c r="BD35" s="623"/>
      <c r="BE35" s="623"/>
    </row>
    <row r="36" spans="1:57">
      <c r="A36" s="82"/>
      <c r="B36" s="82"/>
      <c r="C36" s="81"/>
      <c r="D36" s="81"/>
      <c r="E36" s="81"/>
      <c r="F36" s="81"/>
      <c r="G36" s="445"/>
      <c r="H36" s="445"/>
      <c r="I36" s="1"/>
      <c r="M36" s="424" t="str">
        <f>'Конфигурация TREI'!A37</f>
        <v>BR35</v>
      </c>
      <c r="N36" s="424" t="str">
        <f>'Конфигурация TREI'!B37</f>
        <v>M558D</v>
      </c>
      <c r="AC36" s="310"/>
      <c r="AD36" s="310"/>
      <c r="AE36" s="505"/>
      <c r="AF36" s="505"/>
      <c r="AG36" s="505"/>
      <c r="AH36" s="505"/>
      <c r="AI36" s="505"/>
      <c r="AJ36" s="505"/>
      <c r="AK36" s="505"/>
      <c r="AL36" s="505"/>
      <c r="AM36" s="505"/>
      <c r="AN36" s="505"/>
      <c r="AO36" s="505"/>
      <c r="AP36" s="505"/>
      <c r="AQ36" s="505"/>
      <c r="AR36" s="505"/>
      <c r="AS36" s="505"/>
      <c r="AT36" s="623"/>
      <c r="AU36" s="623"/>
      <c r="AV36" s="623"/>
      <c r="AW36" s="623"/>
      <c r="AX36" s="623"/>
      <c r="AY36" s="623"/>
      <c r="AZ36" s="623"/>
      <c r="BA36" s="623"/>
      <c r="BB36" s="623"/>
      <c r="BC36" s="623"/>
      <c r="BD36" s="623"/>
      <c r="BE36" s="623"/>
    </row>
    <row r="37" spans="1:57" ht="15.75" customHeight="1">
      <c r="A37" s="82"/>
      <c r="B37" s="82"/>
      <c r="C37" s="81"/>
      <c r="D37" s="81"/>
      <c r="E37" s="81"/>
      <c r="F37" s="81"/>
      <c r="G37" s="445"/>
      <c r="H37" s="445"/>
      <c r="I37" s="1"/>
      <c r="M37" s="424" t="str">
        <f>'Конфигурация TREI'!A38</f>
        <v>BR36</v>
      </c>
      <c r="N37" s="424">
        <f>'Конфигурация TREI'!B38</f>
        <v>0</v>
      </c>
      <c r="AC37" s="310"/>
      <c r="AD37" s="310"/>
      <c r="AE37" s="505"/>
      <c r="AF37" s="505"/>
      <c r="AG37" s="505"/>
      <c r="AH37" s="505"/>
      <c r="AI37" s="505"/>
      <c r="AJ37" s="505"/>
      <c r="AK37" s="505"/>
      <c r="AL37" s="505"/>
      <c r="AM37" s="505"/>
      <c r="AN37" s="505"/>
      <c r="AO37" s="505"/>
      <c r="AP37" s="505"/>
      <c r="AQ37" s="505"/>
      <c r="AR37" s="505"/>
      <c r="AS37" s="505"/>
      <c r="AT37" s="623"/>
      <c r="AU37" s="623"/>
      <c r="AV37" s="623"/>
      <c r="AW37" s="623"/>
      <c r="AX37" s="623"/>
      <c r="AY37" s="623"/>
      <c r="AZ37" s="623"/>
      <c r="BA37" s="623"/>
      <c r="BB37" s="623"/>
      <c r="BC37" s="623"/>
      <c r="BD37" s="623"/>
      <c r="BE37" s="623"/>
    </row>
    <row r="38" spans="1:57">
      <c r="A38" s="82"/>
      <c r="B38" s="82"/>
      <c r="C38" s="81"/>
      <c r="D38" s="81"/>
      <c r="E38" s="81"/>
      <c r="F38" s="81"/>
      <c r="G38" s="445"/>
      <c r="H38" s="445"/>
      <c r="I38" s="1"/>
      <c r="M38" s="424" t="str">
        <f>'Конфигурация TREI'!A39</f>
        <v>BR37</v>
      </c>
      <c r="N38" s="424">
        <f>'Конфигурация TREI'!B39</f>
        <v>0</v>
      </c>
      <c r="AC38" s="310"/>
      <c r="AD38" s="310"/>
      <c r="AE38" s="505"/>
      <c r="AF38" s="505"/>
      <c r="AG38" s="505"/>
      <c r="AH38" s="505"/>
      <c r="AI38" s="505"/>
      <c r="AJ38" s="505"/>
      <c r="AK38" s="505"/>
      <c r="AL38" s="505"/>
      <c r="AM38" s="505"/>
      <c r="AN38" s="505"/>
      <c r="AO38" s="505"/>
      <c r="AP38" s="505"/>
      <c r="AQ38" s="505"/>
      <c r="AR38" s="505"/>
      <c r="AS38" s="505"/>
      <c r="AT38" s="623"/>
      <c r="AU38" s="623"/>
      <c r="AV38" s="623"/>
      <c r="AW38" s="623"/>
      <c r="AX38" s="623"/>
      <c r="AY38" s="623"/>
      <c r="AZ38" s="623"/>
      <c r="BA38" s="623"/>
      <c r="BB38" s="623"/>
      <c r="BC38" s="623"/>
      <c r="BD38" s="623"/>
      <c r="BE38" s="623"/>
    </row>
    <row r="39" spans="1:57">
      <c r="A39" s="82"/>
      <c r="B39" s="82"/>
      <c r="C39" s="81"/>
      <c r="D39" s="81"/>
      <c r="E39" s="81"/>
      <c r="F39" s="81"/>
      <c r="G39" s="445"/>
      <c r="H39" s="445"/>
      <c r="I39" s="1"/>
      <c r="M39" s="424" t="str">
        <f>'Конфигурация TREI'!A40</f>
        <v>BR38</v>
      </c>
      <c r="N39" s="424">
        <f>'Конфигурация TREI'!B40</f>
        <v>0</v>
      </c>
      <c r="AC39" s="310"/>
      <c r="AD39" s="310"/>
      <c r="AE39" s="505"/>
      <c r="AF39" s="505"/>
      <c r="AG39" s="505"/>
      <c r="AH39" s="505"/>
      <c r="AI39" s="505"/>
      <c r="AJ39" s="505"/>
      <c r="AK39" s="505"/>
      <c r="AL39" s="505"/>
      <c r="AM39" s="505"/>
      <c r="AN39" s="505"/>
      <c r="AO39" s="505"/>
      <c r="AP39" s="505"/>
      <c r="AQ39" s="505"/>
      <c r="AR39" s="505"/>
      <c r="AS39" s="505"/>
      <c r="AT39" s="623"/>
      <c r="AU39" s="623"/>
      <c r="AV39" s="623"/>
      <c r="AW39" s="623"/>
      <c r="AX39" s="623"/>
      <c r="AY39" s="623"/>
      <c r="AZ39" s="623"/>
      <c r="BA39" s="623"/>
      <c r="BB39" s="623"/>
      <c r="BC39" s="623"/>
      <c r="BD39" s="623"/>
      <c r="BE39" s="623"/>
    </row>
    <row r="40" spans="1:57">
      <c r="A40" s="82"/>
      <c r="B40" s="82"/>
      <c r="C40" s="81"/>
      <c r="D40" s="81"/>
      <c r="E40" s="81"/>
      <c r="F40" s="81"/>
      <c r="G40" s="445"/>
      <c r="H40" s="445"/>
      <c r="I40" s="1"/>
      <c r="M40" s="424" t="str">
        <f>'Конфигурация TREI'!A41</f>
        <v>BR39</v>
      </c>
      <c r="N40" s="424">
        <f>'Конфигурация TREI'!B41</f>
        <v>0</v>
      </c>
      <c r="AC40" s="310"/>
      <c r="AD40" s="310"/>
      <c r="AE40" s="505"/>
      <c r="AF40" s="505"/>
      <c r="AG40" s="505"/>
      <c r="AH40" s="505"/>
      <c r="AI40" s="505"/>
      <c r="AJ40" s="505"/>
      <c r="AK40" s="505"/>
      <c r="AL40" s="505"/>
      <c r="AM40" s="505"/>
      <c r="AN40" s="505"/>
      <c r="AO40" s="505"/>
      <c r="AP40" s="505"/>
      <c r="AQ40" s="505"/>
      <c r="AR40" s="505"/>
      <c r="AS40" s="505"/>
      <c r="AT40" s="623"/>
      <c r="AU40" s="623"/>
      <c r="AV40" s="623"/>
      <c r="AW40" s="623"/>
      <c r="AX40" s="623"/>
      <c r="AY40" s="623"/>
      <c r="AZ40" s="623"/>
      <c r="BA40" s="623"/>
      <c r="BB40" s="623"/>
      <c r="BC40" s="623"/>
      <c r="BD40" s="623"/>
      <c r="BE40" s="623"/>
    </row>
    <row r="41" spans="1:57">
      <c r="A41" s="82"/>
      <c r="B41" s="82"/>
      <c r="C41" s="81"/>
      <c r="D41" s="81"/>
      <c r="E41" s="81"/>
      <c r="F41" s="81"/>
      <c r="G41" s="445"/>
      <c r="H41" s="445"/>
      <c r="I41" s="1"/>
      <c r="M41" s="424" t="str">
        <f>'Конфигурация TREI'!A42</f>
        <v>BR40</v>
      </c>
      <c r="N41" s="424">
        <f>'Конфигурация TREI'!B42</f>
        <v>0</v>
      </c>
      <c r="AC41" s="310"/>
      <c r="AD41" s="310"/>
      <c r="AE41" s="505"/>
      <c r="AF41" s="505"/>
      <c r="AG41" s="505"/>
      <c r="AH41" s="505"/>
      <c r="AI41" s="505"/>
      <c r="AJ41" s="505"/>
      <c r="AK41" s="505"/>
      <c r="AL41" s="505"/>
      <c r="AM41" s="505"/>
      <c r="AN41" s="505"/>
      <c r="AO41" s="505"/>
      <c r="AP41" s="505"/>
      <c r="AQ41" s="505"/>
      <c r="AR41" s="505"/>
      <c r="AS41" s="505"/>
      <c r="AT41" s="623"/>
      <c r="AU41" s="623"/>
      <c r="AV41" s="623"/>
      <c r="AW41" s="623"/>
      <c r="AX41" s="623"/>
      <c r="AY41" s="623"/>
      <c r="AZ41" s="623"/>
      <c r="BA41" s="623"/>
      <c r="BB41" s="623"/>
      <c r="BC41" s="623"/>
      <c r="BD41" s="623"/>
      <c r="BE41" s="623"/>
    </row>
    <row r="42" spans="1:57">
      <c r="M42" s="424" t="str">
        <f>'Конфигурация TREI'!A43</f>
        <v>BR41</v>
      </c>
      <c r="N42" s="424">
        <f>'Конфигурация TREI'!B43</f>
        <v>0</v>
      </c>
      <c r="AC42" s="310"/>
      <c r="AD42" s="310"/>
      <c r="AE42" s="505"/>
      <c r="AF42" s="505"/>
      <c r="AG42" s="505"/>
      <c r="AH42" s="505"/>
      <c r="AI42" s="505"/>
      <c r="AJ42" s="505"/>
      <c r="AK42" s="505"/>
      <c r="AL42" s="505"/>
      <c r="AM42" s="505"/>
      <c r="AN42" s="505"/>
      <c r="AO42" s="505"/>
      <c r="AP42" s="505"/>
      <c r="AQ42" s="505"/>
      <c r="AR42" s="505"/>
      <c r="AS42" s="505"/>
      <c r="AT42" s="623"/>
      <c r="AU42" s="623"/>
      <c r="AV42" s="623"/>
      <c r="AW42" s="623"/>
      <c r="AX42" s="623"/>
      <c r="AY42" s="623"/>
      <c r="AZ42" s="623"/>
      <c r="BA42" s="623"/>
      <c r="BB42" s="623"/>
      <c r="BC42" s="623"/>
      <c r="BD42" s="623"/>
      <c r="BE42" s="623"/>
    </row>
    <row r="43" spans="1:57">
      <c r="M43" s="424" t="str">
        <f>'Конфигурация TREI'!A44</f>
        <v>BR42</v>
      </c>
      <c r="N43" s="424">
        <f>'Конфигурация TREI'!B44</f>
        <v>0</v>
      </c>
      <c r="AC43" s="310"/>
      <c r="AD43" s="310"/>
      <c r="AE43" s="505"/>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row>
    <row r="44" spans="1:57">
      <c r="M44" s="424" t="str">
        <f>'Конфигурация TREI'!A45</f>
        <v>BR43</v>
      </c>
      <c r="N44" s="424">
        <f>'Конфигурация TREI'!B45</f>
        <v>0</v>
      </c>
      <c r="AC44" s="310"/>
      <c r="AD44" s="310"/>
      <c r="AE44" s="505"/>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row>
    <row r="45" spans="1:57">
      <c r="M45" s="424" t="str">
        <f>'Конфигурация TREI'!A46</f>
        <v>BR44</v>
      </c>
      <c r="N45" s="424">
        <f>'Конфигурация TREI'!B46</f>
        <v>0</v>
      </c>
      <c r="AC45" s="310"/>
      <c r="AD45" s="310"/>
      <c r="AE45" s="505"/>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row>
    <row r="46" spans="1:57">
      <c r="M46" s="424" t="str">
        <f>'Конфигурация TREI'!A47</f>
        <v>BR45</v>
      </c>
      <c r="N46" s="424">
        <f>'Конфигурация TREI'!B47</f>
        <v>0</v>
      </c>
    </row>
    <row r="47" spans="1:57">
      <c r="M47" s="424" t="str">
        <f>'Конфигурация TREI'!A48</f>
        <v>BR46</v>
      </c>
      <c r="N47" s="424">
        <f>'Конфигурация TREI'!B48</f>
        <v>0</v>
      </c>
    </row>
    <row r="48" spans="1:57">
      <c r="M48" s="424" t="str">
        <f>'Конфигурация TREI'!A49</f>
        <v>BR47</v>
      </c>
      <c r="N48" s="424">
        <f>'Конфигурация TREI'!B49</f>
        <v>0</v>
      </c>
    </row>
    <row r="49" spans="13:14">
      <c r="M49" s="424" t="str">
        <f>'Конфигурация TREI'!A50</f>
        <v>BR48</v>
      </c>
      <c r="N49" s="424">
        <f>'Конфигурация TREI'!B50</f>
        <v>0</v>
      </c>
    </row>
    <row r="50" spans="13:14">
      <c r="M50" s="424" t="str">
        <f>'Конфигурация TREI'!A51</f>
        <v>BR49</v>
      </c>
      <c r="N50" s="424">
        <f>'Конфигурация TREI'!B51</f>
        <v>0</v>
      </c>
    </row>
    <row r="51" spans="13:14">
      <c r="M51" s="424" t="str">
        <f>'Конфигурация TREI'!A52</f>
        <v>BR50</v>
      </c>
      <c r="N51" s="424">
        <f>'Конфигурация TREI'!B52</f>
        <v>0</v>
      </c>
    </row>
    <row r="52" spans="13:14">
      <c r="M52" s="424" t="str">
        <f>'Конфигурация TREI'!A53</f>
        <v>BR51</v>
      </c>
      <c r="N52" s="424">
        <f>'Конфигурация TREI'!B53</f>
        <v>0</v>
      </c>
    </row>
    <row r="53" spans="13:14">
      <c r="M53" s="424" t="str">
        <f>'Конфигурация TREI'!A54</f>
        <v>BR52</v>
      </c>
      <c r="N53" s="424">
        <f>'Конфигурация TREI'!B54</f>
        <v>0</v>
      </c>
    </row>
    <row r="54" spans="13:14">
      <c r="M54" s="424" t="str">
        <f>'Конфигурация TREI'!A55</f>
        <v>BR53</v>
      </c>
      <c r="N54" s="424">
        <f>'Конфигурация TREI'!B55</f>
        <v>0</v>
      </c>
    </row>
    <row r="55" spans="13:14">
      <c r="M55" s="424" t="str">
        <f>'Конфигурация TREI'!A56</f>
        <v>BR54</v>
      </c>
      <c r="N55" s="424">
        <f>'Конфигурация TREI'!B56</f>
        <v>0</v>
      </c>
    </row>
    <row r="56" spans="13:14">
      <c r="M56" s="424" t="str">
        <f>'Конфигурация TREI'!A57</f>
        <v>BR55</v>
      </c>
      <c r="N56" s="424">
        <f>'Конфигурация TREI'!B57</f>
        <v>0</v>
      </c>
    </row>
    <row r="57" spans="13:14">
      <c r="M57" s="424" t="str">
        <f>'Конфигурация TREI'!A58</f>
        <v>BR56</v>
      </c>
      <c r="N57" s="424">
        <f>'Конфигурация TREI'!B58</f>
        <v>0</v>
      </c>
    </row>
    <row r="58" spans="13:14">
      <c r="M58" s="424" t="str">
        <f>'Конфигурация TREI'!A59</f>
        <v>BR57</v>
      </c>
      <c r="N58" s="424">
        <f>'Конфигурация TREI'!B59</f>
        <v>0</v>
      </c>
    </row>
    <row r="59" spans="13:14">
      <c r="M59" s="424" t="str">
        <f>'Конфигурация TREI'!A60</f>
        <v>BR58</v>
      </c>
      <c r="N59" s="424">
        <f>'Конфигурация TREI'!B60</f>
        <v>0</v>
      </c>
    </row>
    <row r="60" spans="13:14">
      <c r="M60" s="424" t="str">
        <f>'Конфигурация TREI'!A61</f>
        <v>BR59</v>
      </c>
      <c r="N60" s="424">
        <f>'Конфигурация TREI'!B61</f>
        <v>0</v>
      </c>
    </row>
    <row r="61" spans="13:14">
      <c r="M61" s="424" t="str">
        <f>'Конфигурация TREI'!A62</f>
        <v>BR60</v>
      </c>
      <c r="N61" s="424">
        <f>'Конфигурация TREI'!B62</f>
        <v>0</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sheetPr codeName="Лист125">
    <tabColor theme="2" tint="-0.249977111117893"/>
  </sheetPr>
  <dimension ref="A1:BF61"/>
  <sheetViews>
    <sheetView topLeftCell="A19" workbookViewId="0">
      <selection activeCell="D2" sqref="D2:D4"/>
    </sheetView>
  </sheetViews>
  <sheetFormatPr defaultRowHeight="14.4"/>
  <cols>
    <col min="1" max="1" width="35.44140625" customWidth="1"/>
    <col min="2" max="2" width="21.44140625" customWidth="1"/>
    <col min="3" max="3" width="3.44140625" customWidth="1"/>
    <col min="4" max="4" width="1.109375" customWidth="1"/>
    <col min="5" max="5" width="50.88671875" customWidth="1"/>
    <col min="6" max="6" width="24.109375" customWidth="1"/>
    <col min="7" max="7" width="10.5546875" customWidth="1"/>
    <col min="8" max="8" width="14.33203125" customWidth="1"/>
    <col min="9" max="9" width="11.44140625" customWidth="1"/>
    <col min="10" max="10" width="9.109375" customWidth="1"/>
    <col min="11" max="11" width="10.88671875" customWidth="1"/>
    <col min="12" max="12" width="11.5546875" customWidth="1"/>
    <col min="13" max="15" width="9.109375" customWidth="1"/>
    <col min="16" max="16" width="34.6640625" customWidth="1"/>
    <col min="17" max="17" width="39.33203125" customWidth="1"/>
    <col min="18" max="30" width="26.109375" style="55" customWidth="1"/>
    <col min="31" max="31" width="4.5546875" style="427" customWidth="1"/>
    <col min="32" max="32" width="11.109375" customWidth="1"/>
  </cols>
  <sheetData>
    <row r="1" spans="1:57">
      <c r="A1" s="425"/>
      <c r="B1" s="425"/>
      <c r="C1" s="425"/>
      <c r="D1" s="425"/>
      <c r="E1" s="425"/>
      <c r="F1" s="425"/>
      <c r="G1" s="426" t="s">
        <v>846</v>
      </c>
      <c r="H1" s="426" t="s">
        <v>847</v>
      </c>
      <c r="I1" s="424" t="s">
        <v>1181</v>
      </c>
      <c r="J1" s="425"/>
      <c r="M1" s="424" t="str">
        <f>'Конфигурация TREI'!A1</f>
        <v>№ Модуля</v>
      </c>
      <c r="N1" s="424" t="str">
        <f>'Конфигурация TREI'!B2</f>
        <v>M501E(рез)</v>
      </c>
      <c r="O1" s="425"/>
      <c r="P1" s="425" t="str">
        <f>Таблица!D1</f>
        <v>Префикс для TREI
Тэг ОРС для INFINITY</v>
      </c>
      <c r="Q1" s="425" t="str">
        <f>Таблица!E1</f>
        <v>Комментарий для TREI и INFINITY</v>
      </c>
      <c r="R1" s="428" t="s">
        <v>1212</v>
      </c>
      <c r="S1" s="428"/>
      <c r="T1" s="428"/>
      <c r="U1" s="428"/>
      <c r="V1" s="428"/>
      <c r="W1" s="428"/>
      <c r="X1" s="428"/>
      <c r="Y1" s="428"/>
      <c r="Z1" s="428"/>
      <c r="AA1" s="428"/>
      <c r="AB1" s="428"/>
      <c r="AC1" s="428"/>
      <c r="AD1" s="429"/>
      <c r="AE1" s="438"/>
      <c r="AF1" s="438">
        <f>Настройки!Q1</f>
        <v>0</v>
      </c>
      <c r="AG1" s="438" t="str">
        <f>Настройки!R1</f>
        <v>M943DR</v>
      </c>
      <c r="AH1" s="438" t="str">
        <f>Настройки!S1</f>
        <v>M942A</v>
      </c>
      <c r="AI1" s="438" t="str">
        <f>Настройки!T1</f>
        <v>M957D</v>
      </c>
      <c r="AJ1" s="438" t="str">
        <f>Настройки!U1</f>
        <v>M957O</v>
      </c>
      <c r="AK1" s="438" t="str">
        <f>Настройки!V1</f>
        <v>M947R</v>
      </c>
      <c r="AL1" s="438" t="str">
        <f>Настройки!W1</f>
        <v>M931V</v>
      </c>
      <c r="AM1" s="438" t="str">
        <f>Настройки!X1</f>
        <v>M931T</v>
      </c>
      <c r="AN1" s="438" t="str">
        <f>Настройки!Y1</f>
        <v>M547A</v>
      </c>
      <c r="AO1" s="438" t="str">
        <f>Настройки!Z1</f>
        <v>M537V</v>
      </c>
      <c r="AP1" s="438" t="str">
        <f>Настройки!AA1</f>
        <v>M557D</v>
      </c>
      <c r="AQ1" s="438" t="str">
        <f>Настройки!AB1</f>
        <v>M557O</v>
      </c>
      <c r="AR1" s="438" t="str">
        <f>Настройки!AC1</f>
        <v>MOPS</v>
      </c>
      <c r="AS1" s="438" t="str">
        <f>Настройки!AD1</f>
        <v>MUPS</v>
      </c>
      <c r="AT1" s="439" t="str">
        <f>Настройки!AB1</f>
        <v>M557O</v>
      </c>
      <c r="AU1" s="439" t="str">
        <f>Настройки!AC1</f>
        <v>MOPS</v>
      </c>
      <c r="AV1" s="439" t="str">
        <f>Настройки!AD1</f>
        <v>MUPS</v>
      </c>
      <c r="AW1" s="439" t="str">
        <f>Настройки!AE1</f>
        <v>M941A</v>
      </c>
      <c r="AX1" s="439" t="str">
        <f>Настройки!AF1</f>
        <v>M954D</v>
      </c>
      <c r="AY1" s="439" t="str">
        <f>Настройки!AG1</f>
        <v>M557DR</v>
      </c>
      <c r="AZ1" s="439" t="str">
        <f>Настройки!AH1</f>
        <v>M558D</v>
      </c>
      <c r="BA1" s="439" t="str">
        <f>Настройки!AI1</f>
        <v>M558O</v>
      </c>
      <c r="BB1" s="439" t="str">
        <f>Настройки!AJ1</f>
        <v>M548A</v>
      </c>
      <c r="BC1" s="439" t="str">
        <f>Настройки!AK1</f>
        <v>M538V</v>
      </c>
      <c r="BD1" s="439" t="str">
        <f>Настройки!AL1</f>
        <v>M558DR</v>
      </c>
      <c r="BE1" s="439" t="str">
        <f>Настройки!AM1</f>
        <v>*</v>
      </c>
    </row>
    <row r="2" spans="1:57">
      <c r="A2" s="81"/>
      <c r="B2" s="81"/>
      <c r="C2" s="81"/>
      <c r="D2" s="81"/>
      <c r="E2" s="81"/>
      <c r="F2" s="81"/>
      <c r="G2" s="445"/>
      <c r="H2" s="445"/>
      <c r="I2" s="462"/>
      <c r="M2" s="424" t="str">
        <f>'Конфигурация TREI'!A3</f>
        <v>BR1</v>
      </c>
      <c r="N2" s="424" t="str">
        <f>'Конфигурация TREI'!B3</f>
        <v>M558D</v>
      </c>
      <c r="P2" s="2" t="s">
        <v>1210</v>
      </c>
      <c r="Q2" s="2" t="s">
        <v>1758</v>
      </c>
      <c r="R2" s="379" t="s">
        <v>1297</v>
      </c>
      <c r="S2" s="378"/>
      <c r="T2" s="378"/>
      <c r="U2" s="378"/>
      <c r="V2" s="378"/>
      <c r="W2" s="378"/>
      <c r="X2" s="378"/>
      <c r="Y2" s="378"/>
      <c r="Z2" s="378"/>
      <c r="AA2" s="378"/>
      <c r="AB2" s="378"/>
      <c r="AC2" s="378"/>
      <c r="AE2" s="431">
        <f>Настройки!P2</f>
        <v>1</v>
      </c>
      <c r="AF2" s="380">
        <f>Настройки!Q2</f>
        <v>0</v>
      </c>
      <c r="AG2" s="380" t="str">
        <f>Настройки!R2</f>
        <v>IDIG_1_1</v>
      </c>
      <c r="AH2" s="380" t="str">
        <f>Настройки!S2</f>
        <v>IANS_1_3</v>
      </c>
      <c r="AI2" s="380" t="str">
        <f>Настройки!T2</f>
        <v>out0</v>
      </c>
      <c r="AJ2" s="380" t="str">
        <f>Настройки!U2</f>
        <v>out0</v>
      </c>
      <c r="AK2" s="380" t="str">
        <f>Настройки!V2</f>
        <v>ODIG_1</v>
      </c>
      <c r="AL2" s="380" t="str">
        <f>Настройки!W2</f>
        <v>OAN_1_1</v>
      </c>
      <c r="AM2" s="380" t="str">
        <f>Настройки!X2</f>
        <v>IANS_1_1</v>
      </c>
      <c r="AN2" s="380" t="str">
        <f>Настройки!Y2</f>
        <v>Canal_01</v>
      </c>
      <c r="AO2" s="380" t="str">
        <f>Настройки!Z2</f>
        <v>Canal_01</v>
      </c>
      <c r="AP2" s="380" t="str">
        <f>Настройки!AA2</f>
        <v>Canal_01</v>
      </c>
      <c r="AQ2" s="380" t="str">
        <f>Настройки!AB2</f>
        <v>Canal_01</v>
      </c>
      <c r="AR2" s="380" t="str">
        <f>Настройки!AC2</f>
        <v>IVXX[0]</v>
      </c>
      <c r="AS2" s="380" t="str">
        <f>Настройки!AD2</f>
        <v>IVXX[0]</v>
      </c>
      <c r="AT2" s="207" t="str">
        <f>Настройки!AB2</f>
        <v>Canal_01</v>
      </c>
      <c r="AU2" s="207" t="str">
        <f>Настройки!AC2</f>
        <v>IVXX[0]</v>
      </c>
      <c r="AV2" s="207" t="str">
        <f>Настройки!AD2</f>
        <v>IVXX[0]</v>
      </c>
      <c r="AW2" s="207" t="str">
        <f>Настройки!AE2</f>
        <v>IANS_1_1</v>
      </c>
      <c r="AX2" s="207" t="str">
        <f>Настройки!AF2</f>
        <v>IDIG_1_1</v>
      </c>
      <c r="AY2" s="207" t="str">
        <f>Настройки!AG2</f>
        <v>Canal_01</v>
      </c>
      <c r="AZ2" s="207" t="str">
        <f>Настройки!AH2</f>
        <v>Canal_01</v>
      </c>
      <c r="BA2" s="207" t="str">
        <f>Настройки!AI2</f>
        <v>Canal_01</v>
      </c>
      <c r="BB2" s="207" t="str">
        <f>Настройки!AJ2</f>
        <v>Canal_01</v>
      </c>
      <c r="BC2" s="207" t="str">
        <f>Настройки!AK2</f>
        <v>Canal_01</v>
      </c>
      <c r="BD2" s="207" t="str">
        <f>Настройки!AL2</f>
        <v>Canal_01</v>
      </c>
      <c r="BE2" s="207" t="str">
        <f>Настройки!AM2</f>
        <v>-</v>
      </c>
    </row>
    <row r="3" spans="1:57">
      <c r="A3" s="82"/>
      <c r="B3" s="82"/>
      <c r="C3" s="81"/>
      <c r="D3" s="81"/>
      <c r="E3" s="82"/>
      <c r="F3" s="81"/>
      <c r="G3" s="445"/>
      <c r="H3" s="445"/>
      <c r="I3" s="462"/>
      <c r="M3" s="424" t="str">
        <f>'Конфигурация TREI'!A4</f>
        <v>BR2</v>
      </c>
      <c r="N3" s="424" t="str">
        <f>'Конфигурация TREI'!B4</f>
        <v>M548A</v>
      </c>
      <c r="P3" s="425" t="str">
        <f>'Конфигурация TREI'!D1</f>
        <v>Путь TREI для сигналов NOT_LINK</v>
      </c>
      <c r="R3" s="451" t="str">
        <f>SUBSTITUTE(SUBSTITUTE($R$2,"!","")," ","")</f>
        <v>2+16</v>
      </c>
      <c r="S3" s="450"/>
      <c r="T3" s="450"/>
      <c r="U3" s="450"/>
      <c r="V3" s="450"/>
      <c r="W3" s="450"/>
      <c r="X3" s="450"/>
      <c r="Y3" s="450"/>
      <c r="Z3" s="450"/>
      <c r="AA3" s="450"/>
      <c r="AB3" s="450"/>
      <c r="AC3" s="450"/>
      <c r="AE3" s="431">
        <f>Настройки!P3</f>
        <v>2</v>
      </c>
      <c r="AF3" s="380">
        <f>Настройки!Q3</f>
        <v>0</v>
      </c>
      <c r="AG3" s="380" t="str">
        <f>Настройки!R3</f>
        <v>IDIG_1_2</v>
      </c>
      <c r="AH3" s="380" t="str">
        <f>Настройки!S3</f>
        <v>IANS_1_4</v>
      </c>
      <c r="AI3" s="380" t="str">
        <f>Настройки!T3</f>
        <v>out1</v>
      </c>
      <c r="AJ3" s="380" t="str">
        <f>Настройки!U3</f>
        <v>out1</v>
      </c>
      <c r="AK3" s="380" t="str">
        <f>Настройки!V3</f>
        <v>ODIG_2</v>
      </c>
      <c r="AL3" s="380" t="str">
        <f>Настройки!W3</f>
        <v>OAN_2_1</v>
      </c>
      <c r="AM3" s="380" t="str">
        <f>Настройки!X3</f>
        <v>IANS_2_1</v>
      </c>
      <c r="AN3" s="380" t="str">
        <f>Настройки!Y3</f>
        <v>Canal_02</v>
      </c>
      <c r="AO3" s="380" t="str">
        <f>Настройки!Z3</f>
        <v>Canal_02</v>
      </c>
      <c r="AP3" s="380" t="str">
        <f>Настройки!AA3</f>
        <v>Canal_02</v>
      </c>
      <c r="AQ3" s="380" t="str">
        <f>Настройки!AB3</f>
        <v>Canal_02</v>
      </c>
      <c r="AR3" s="380" t="str">
        <f>Настройки!AC3</f>
        <v>IVXX[1]</v>
      </c>
      <c r="AS3" s="380" t="str">
        <f>Настройки!AD3</f>
        <v>IVXX[1]</v>
      </c>
      <c r="AT3" s="207" t="str">
        <f>Настройки!AB3</f>
        <v>Canal_02</v>
      </c>
      <c r="AU3" s="207" t="str">
        <f>Настройки!AC3</f>
        <v>IVXX[1]</v>
      </c>
      <c r="AV3" s="207" t="str">
        <f>Настройки!AD3</f>
        <v>IVXX[1]</v>
      </c>
      <c r="AW3" s="207" t="str">
        <f>Настройки!AE3</f>
        <v>IANS_1_2</v>
      </c>
      <c r="AX3" s="207" t="str">
        <f>Настройки!AF3</f>
        <v>IDIG_1_2</v>
      </c>
      <c r="AY3" s="207" t="str">
        <f>Настройки!AG3</f>
        <v>Canal_02</v>
      </c>
      <c r="AZ3" s="207" t="str">
        <f>Настройки!AH3</f>
        <v>Canal_02</v>
      </c>
      <c r="BA3" s="207" t="str">
        <f>Настройки!AI3</f>
        <v>Canal_02</v>
      </c>
      <c r="BB3" s="207" t="str">
        <f>Настройки!AJ3</f>
        <v>Canal_02</v>
      </c>
      <c r="BC3" s="207" t="str">
        <f>Настройки!AK3</f>
        <v>Canal_02</v>
      </c>
      <c r="BD3" s="207" t="str">
        <f>Настройки!AL3</f>
        <v>Canal_02</v>
      </c>
      <c r="BE3" s="207" t="str">
        <f>Настройки!AM3</f>
        <v>-</v>
      </c>
    </row>
    <row r="4" spans="1:57">
      <c r="A4" s="82"/>
      <c r="B4" s="82"/>
      <c r="C4" s="81"/>
      <c r="D4" s="81"/>
      <c r="E4" s="81"/>
      <c r="F4" s="81"/>
      <c r="G4" s="445"/>
      <c r="H4" s="445"/>
      <c r="I4" s="460"/>
      <c r="M4" s="424" t="str">
        <f>'Конфигурация TREI'!A5</f>
        <v>BR3</v>
      </c>
      <c r="N4" s="424" t="str">
        <f>'Конфигурация TREI'!B5</f>
        <v>M548A</v>
      </c>
      <c r="P4" s="3" t="str">
        <f>Настройки!D2</f>
        <v/>
      </c>
      <c r="AE4" s="431">
        <f>Настройки!P4</f>
        <v>3</v>
      </c>
      <c r="AF4" s="380">
        <f>Настройки!Q4</f>
        <v>0</v>
      </c>
      <c r="AG4" s="380" t="str">
        <f>Настройки!R4</f>
        <v>IDIG_2_1</v>
      </c>
      <c r="AH4" s="380" t="str">
        <f>Настройки!S4</f>
        <v>IANS_2_3</v>
      </c>
      <c r="AI4" s="380" t="str">
        <f>Настройки!T4</f>
        <v>out2</v>
      </c>
      <c r="AJ4" s="380" t="str">
        <f>Настройки!U4</f>
        <v>out2</v>
      </c>
      <c r="AK4" s="380" t="str">
        <f>Настройки!V4</f>
        <v>ODIG_3</v>
      </c>
      <c r="AL4" s="380" t="str">
        <f>Настройки!W4</f>
        <v>OAN_3_1</v>
      </c>
      <c r="AM4" s="380" t="str">
        <f>Настройки!X4</f>
        <v>IANS_3_1</v>
      </c>
      <c r="AN4" s="380" t="str">
        <f>Настройки!Y4</f>
        <v>Canal_03</v>
      </c>
      <c r="AO4" s="380" t="str">
        <f>Настройки!Z4</f>
        <v>Canal_03</v>
      </c>
      <c r="AP4" s="380" t="str">
        <f>Настройки!AA4</f>
        <v>Canal_03</v>
      </c>
      <c r="AQ4" s="380" t="str">
        <f>Настройки!AB4</f>
        <v>Canal_03</v>
      </c>
      <c r="AR4" s="380" t="str">
        <f>Настройки!AC4</f>
        <v>IVXX[2]</v>
      </c>
      <c r="AS4" s="380" t="str">
        <f>Настройки!AD4</f>
        <v>IVXX[2]</v>
      </c>
      <c r="AT4" s="207" t="str">
        <f>Настройки!AB4</f>
        <v>Canal_03</v>
      </c>
      <c r="AU4" s="207" t="str">
        <f>Настройки!AC4</f>
        <v>IVXX[2]</v>
      </c>
      <c r="AV4" s="207" t="str">
        <f>Настройки!AD4</f>
        <v>IVXX[2]</v>
      </c>
      <c r="AW4" s="207" t="str">
        <f>Настройки!AE4</f>
        <v>IANS_2_1</v>
      </c>
      <c r="AX4" s="207" t="str">
        <f>Настройки!AF4</f>
        <v>IDIG_1_3</v>
      </c>
      <c r="AY4" s="207" t="str">
        <f>Настройки!AG4</f>
        <v>Canal_03</v>
      </c>
      <c r="AZ4" s="207" t="str">
        <f>Настройки!AH4</f>
        <v>Canal_03</v>
      </c>
      <c r="BA4" s="207" t="str">
        <f>Настройки!AI4</f>
        <v>Canal_03</v>
      </c>
      <c r="BB4" s="207" t="str">
        <f>Настройки!AJ4</f>
        <v>Canal_03</v>
      </c>
      <c r="BC4" s="207" t="str">
        <f>Настройки!AK4</f>
        <v>Canal_03</v>
      </c>
      <c r="BD4" s="207" t="str">
        <f>Настройки!AL4</f>
        <v>Canal_03</v>
      </c>
      <c r="BE4" s="207" t="str">
        <f>Настройки!AM4</f>
        <v>-</v>
      </c>
    </row>
    <row r="5" spans="1:57" ht="14.25" customHeight="1">
      <c r="A5" s="82"/>
      <c r="B5" s="82"/>
      <c r="C5" s="81"/>
      <c r="D5" s="81"/>
      <c r="E5" s="81"/>
      <c r="F5" s="81"/>
      <c r="G5" s="445"/>
      <c r="H5" s="445"/>
      <c r="I5" s="460"/>
      <c r="M5" s="424" t="str">
        <f>'Конфигурация TREI'!A6</f>
        <v>BR4</v>
      </c>
      <c r="N5" s="424" t="str">
        <f>'Конфигурация TREI'!B6</f>
        <v>M558D</v>
      </c>
      <c r="R5" s="56"/>
      <c r="AE5" s="431">
        <f>Настройки!P5</f>
        <v>4</v>
      </c>
      <c r="AF5" s="380">
        <f>Настройки!Q5</f>
        <v>0</v>
      </c>
      <c r="AG5" s="380" t="str">
        <f>Настройки!R5</f>
        <v>IDIG_2_2</v>
      </c>
      <c r="AH5" s="380" t="str">
        <f>Настройки!S5</f>
        <v>IANS_2_4</v>
      </c>
      <c r="AI5" s="380" t="str">
        <f>Настройки!T5</f>
        <v>out3</v>
      </c>
      <c r="AJ5" s="380" t="str">
        <f>Настройки!U5</f>
        <v>out3</v>
      </c>
      <c r="AK5" s="380" t="str">
        <f>Настройки!V5</f>
        <v>ODIG_4</v>
      </c>
      <c r="AL5" s="380" t="str">
        <f>Настройки!W5</f>
        <v>OAN_4_1</v>
      </c>
      <c r="AM5" s="380" t="str">
        <f>Настройки!X5</f>
        <v>IANS_4_1</v>
      </c>
      <c r="AN5" s="380" t="str">
        <f>Настройки!Y5</f>
        <v>Canal_04</v>
      </c>
      <c r="AO5" s="380" t="str">
        <f>Настройки!Z5</f>
        <v>Canal_04</v>
      </c>
      <c r="AP5" s="380" t="str">
        <f>Настройки!AA5</f>
        <v>Canal_04</v>
      </c>
      <c r="AQ5" s="380" t="str">
        <f>Настройки!AB5</f>
        <v>Canal_04</v>
      </c>
      <c r="AR5" s="380" t="str">
        <f>Настройки!AC5</f>
        <v>IVXX[3]</v>
      </c>
      <c r="AS5" s="380" t="str">
        <f>Настройки!AD5</f>
        <v>IVXX[3]</v>
      </c>
      <c r="AT5" s="207" t="str">
        <f>Настройки!AB5</f>
        <v>Canal_04</v>
      </c>
      <c r="AU5" s="207" t="str">
        <f>Настройки!AC5</f>
        <v>IVXX[3]</v>
      </c>
      <c r="AV5" s="207" t="str">
        <f>Настройки!AD5</f>
        <v>IVXX[3]</v>
      </c>
      <c r="AW5" s="207" t="str">
        <f>Настройки!AE5</f>
        <v>IANS_2_2</v>
      </c>
      <c r="AX5" s="207" t="str">
        <f>Настройки!AF5</f>
        <v>IDIG_1_4</v>
      </c>
      <c r="AY5" s="207" t="str">
        <f>Настройки!AG5</f>
        <v>Canal_04</v>
      </c>
      <c r="AZ5" s="207" t="str">
        <f>Настройки!AH5</f>
        <v>Canal_04</v>
      </c>
      <c r="BA5" s="207" t="str">
        <f>Настройки!AI5</f>
        <v>Canal_04</v>
      </c>
      <c r="BB5" s="207" t="str">
        <f>Настройки!AJ5</f>
        <v>Canal_04</v>
      </c>
      <c r="BC5" s="207" t="str">
        <f>Настройки!AK5</f>
        <v>Canal_04</v>
      </c>
      <c r="BD5" s="207" t="str">
        <f>Настройки!AL5</f>
        <v>Canal_04</v>
      </c>
      <c r="BE5" s="207" t="str">
        <f>Настройки!AM5</f>
        <v>-</v>
      </c>
    </row>
    <row r="6" spans="1:57">
      <c r="A6" s="82"/>
      <c r="B6" s="82"/>
      <c r="C6" s="81"/>
      <c r="D6" s="81"/>
      <c r="E6" s="82"/>
      <c r="F6" s="81"/>
      <c r="G6" s="445"/>
      <c r="H6" s="445"/>
      <c r="I6" s="460"/>
      <c r="M6" s="424" t="str">
        <f>'Конфигурация TREI'!A7</f>
        <v>BR5</v>
      </c>
      <c r="N6" s="424" t="str">
        <f>'Конфигурация TREI'!B7</f>
        <v>M558O</v>
      </c>
      <c r="AE6" s="431">
        <f>Настройки!P6</f>
        <v>5</v>
      </c>
      <c r="AF6" s="380">
        <f>Настройки!Q6</f>
        <v>0</v>
      </c>
      <c r="AG6" s="380" t="str">
        <f>Настройки!R6</f>
        <v>IDIG_3_1</v>
      </c>
      <c r="AH6" s="380" t="str">
        <f>Настройки!S6</f>
        <v>IANS_3_3</v>
      </c>
      <c r="AI6" s="380" t="str">
        <f>Настройки!T6</f>
        <v>out4</v>
      </c>
      <c r="AJ6" s="380" t="str">
        <f>Настройки!U6</f>
        <v>out4</v>
      </c>
      <c r="AK6" s="380" t="str">
        <f>Настройки!V6</f>
        <v>ODIG_5</v>
      </c>
      <c r="AL6" s="380" t="str">
        <f>Настройки!W6</f>
        <v>OAN_5_1</v>
      </c>
      <c r="AM6" s="380" t="str">
        <f>Настройки!X6</f>
        <v>IANS_5_1</v>
      </c>
      <c r="AN6" s="380" t="str">
        <f>Настройки!Y6</f>
        <v>Canal_05</v>
      </c>
      <c r="AO6" s="380" t="str">
        <f>Настройки!Z6</f>
        <v>Canal_05</v>
      </c>
      <c r="AP6" s="380" t="str">
        <f>Настройки!AA6</f>
        <v>Canal_05</v>
      </c>
      <c r="AQ6" s="380" t="str">
        <f>Настройки!AB6</f>
        <v>Canal_05</v>
      </c>
      <c r="AR6" s="380" t="str">
        <f>Настройки!AC6</f>
        <v>IVXX[4]</v>
      </c>
      <c r="AS6" s="380" t="str">
        <f>Настройки!AD6</f>
        <v>IVXX[4]</v>
      </c>
      <c r="AT6" s="207" t="str">
        <f>Настройки!AB6</f>
        <v>Canal_05</v>
      </c>
      <c r="AU6" s="207" t="str">
        <f>Настройки!AC6</f>
        <v>IVXX[4]</v>
      </c>
      <c r="AV6" s="207" t="str">
        <f>Настройки!AD6</f>
        <v>IVXX[4]</v>
      </c>
      <c r="AW6" s="207" t="str">
        <f>Настройки!AE6</f>
        <v>IANS_3_1</v>
      </c>
      <c r="AX6" s="207" t="str">
        <f>Настройки!AF6</f>
        <v>IDIG_2_1</v>
      </c>
      <c r="AY6" s="207" t="str">
        <f>Настройки!AG6</f>
        <v>Canal_05</v>
      </c>
      <c r="AZ6" s="207" t="str">
        <f>Настройки!AH6</f>
        <v>Canal_05</v>
      </c>
      <c r="BA6" s="207" t="str">
        <f>Настройки!AI6</f>
        <v>Canal_05</v>
      </c>
      <c r="BB6" s="207" t="str">
        <f>Настройки!AJ6</f>
        <v>Canal_05</v>
      </c>
      <c r="BC6" s="207" t="str">
        <f>Настройки!AK6</f>
        <v>Canal_05</v>
      </c>
      <c r="BD6" s="207" t="str">
        <f>Настройки!AL6</f>
        <v>Canal_05</v>
      </c>
      <c r="BE6" s="207" t="str">
        <f>Настройки!AM6</f>
        <v>-</v>
      </c>
    </row>
    <row r="7" spans="1:57">
      <c r="A7" s="82"/>
      <c r="B7" s="82"/>
      <c r="C7" s="81"/>
      <c r="D7" s="81"/>
      <c r="E7" s="82"/>
      <c r="F7" s="81"/>
      <c r="G7" s="445"/>
      <c r="H7" s="445"/>
      <c r="I7" s="460"/>
      <c r="M7" s="424" t="str">
        <f>'Конфигурация TREI'!A8</f>
        <v>BR6</v>
      </c>
      <c r="N7" s="424" t="str">
        <f>'Конфигурация TREI'!B8</f>
        <v>M558O</v>
      </c>
      <c r="AE7" s="431">
        <f>Настройки!P7</f>
        <v>6</v>
      </c>
      <c r="AF7" s="380">
        <f>Настройки!Q7</f>
        <v>0</v>
      </c>
      <c r="AG7" s="380" t="str">
        <f>Настройки!R7</f>
        <v>IDIG_3_2</v>
      </c>
      <c r="AH7" s="380" t="str">
        <f>Настройки!S7</f>
        <v>IANS_3_4</v>
      </c>
      <c r="AI7" s="380" t="str">
        <f>Настройки!T7</f>
        <v>out5</v>
      </c>
      <c r="AJ7" s="380" t="str">
        <f>Настройки!U7</f>
        <v>out5</v>
      </c>
      <c r="AK7" s="380" t="str">
        <f>Настройки!V7</f>
        <v>ODIG_6</v>
      </c>
      <c r="AL7" s="380" t="str">
        <f>Настройки!W7</f>
        <v>OAN_6_1</v>
      </c>
      <c r="AM7" s="380" t="str">
        <f>Настройки!X7</f>
        <v>IANS_6_1</v>
      </c>
      <c r="AN7" s="380" t="str">
        <f>Настройки!Y7</f>
        <v>Canal_06</v>
      </c>
      <c r="AO7" s="380" t="str">
        <f>Настройки!Z7</f>
        <v>Canal_06</v>
      </c>
      <c r="AP7" s="380" t="str">
        <f>Настройки!AA7</f>
        <v>Canal_06</v>
      </c>
      <c r="AQ7" s="380" t="str">
        <f>Настройки!AB7</f>
        <v>Canal_06</v>
      </c>
      <c r="AR7" s="380" t="str">
        <f>Настройки!AC7</f>
        <v>IVXX[5]</v>
      </c>
      <c r="AS7" s="380" t="str">
        <f>Настройки!AD7</f>
        <v>IVXX[5]</v>
      </c>
      <c r="AT7" s="207" t="str">
        <f>Настройки!AB7</f>
        <v>Canal_06</v>
      </c>
      <c r="AU7" s="207" t="str">
        <f>Настройки!AC7</f>
        <v>IVXX[5]</v>
      </c>
      <c r="AV7" s="207" t="str">
        <f>Настройки!AD7</f>
        <v>IVXX[5]</v>
      </c>
      <c r="AW7" s="207" t="str">
        <f>Настройки!AE7</f>
        <v>IANS_3_2</v>
      </c>
      <c r="AX7" s="207" t="str">
        <f>Настройки!AF7</f>
        <v>IDIG_2_2</v>
      </c>
      <c r="AY7" s="207" t="str">
        <f>Настройки!AG7</f>
        <v>Canal_06</v>
      </c>
      <c r="AZ7" s="207" t="str">
        <f>Настройки!AH7</f>
        <v>Canal_06</v>
      </c>
      <c r="BA7" s="207" t="str">
        <f>Настройки!AI7</f>
        <v>Canal_06</v>
      </c>
      <c r="BB7" s="207" t="str">
        <f>Настройки!AJ7</f>
        <v>Canal_06</v>
      </c>
      <c r="BC7" s="207" t="str">
        <f>Настройки!AK7</f>
        <v>Canal_06</v>
      </c>
      <c r="BD7" s="207" t="str">
        <f>Настройки!AL7</f>
        <v>Canal_06</v>
      </c>
      <c r="BE7" s="207" t="str">
        <f>Настройки!AM7</f>
        <v>-</v>
      </c>
    </row>
    <row r="8" spans="1:57">
      <c r="A8" s="82"/>
      <c r="B8" s="82"/>
      <c r="C8" s="81"/>
      <c r="D8" s="81"/>
      <c r="E8" s="82"/>
      <c r="F8" s="81"/>
      <c r="G8" s="445"/>
      <c r="H8" s="445"/>
      <c r="I8" s="460"/>
      <c r="M8" s="424" t="str">
        <f>'Конфигурация TREI'!A9</f>
        <v>BR7</v>
      </c>
      <c r="N8" s="424" t="str">
        <f>'Конфигурация TREI'!B9</f>
        <v>M558O</v>
      </c>
      <c r="AE8" s="431">
        <f>Настройки!P8</f>
        <v>7</v>
      </c>
      <c r="AF8" s="380">
        <f>Настройки!Q8</f>
        <v>0</v>
      </c>
      <c r="AG8" s="380" t="str">
        <f>Настройки!R8</f>
        <v>IDIG_4_1</v>
      </c>
      <c r="AH8" s="380" t="str">
        <f>Настройки!S8</f>
        <v>IANS_4_3</v>
      </c>
      <c r="AI8" s="380" t="str">
        <f>Настройки!T8</f>
        <v>out6</v>
      </c>
      <c r="AJ8" s="380" t="str">
        <f>Настройки!U8</f>
        <v>out6</v>
      </c>
      <c r="AK8" s="380" t="str">
        <f>Настройки!V8</f>
        <v>ODIG_7</v>
      </c>
      <c r="AL8" s="380" t="str">
        <f>Настройки!W8</f>
        <v>OAN_7_1</v>
      </c>
      <c r="AM8" s="380" t="str">
        <f>Настройки!X8</f>
        <v>IANS_7_1</v>
      </c>
      <c r="AN8" s="380" t="str">
        <f>Настройки!Y8</f>
        <v>Canal_07</v>
      </c>
      <c r="AO8" s="380" t="str">
        <f>Настройки!Z8</f>
        <v>Canal_07</v>
      </c>
      <c r="AP8" s="380" t="str">
        <f>Настройки!AA8</f>
        <v>Canal_07</v>
      </c>
      <c r="AQ8" s="380" t="str">
        <f>Настройки!AB8</f>
        <v>Canal_07</v>
      </c>
      <c r="AR8" s="380" t="str">
        <f>Настройки!AC8</f>
        <v>IVXX[6]</v>
      </c>
      <c r="AS8" s="380" t="str">
        <f>Настройки!AD8</f>
        <v>IVXX[6]</v>
      </c>
      <c r="AT8" s="207" t="str">
        <f>Настройки!AB8</f>
        <v>Canal_07</v>
      </c>
      <c r="AU8" s="207" t="str">
        <f>Настройки!AC8</f>
        <v>IVXX[6]</v>
      </c>
      <c r="AV8" s="207" t="str">
        <f>Настройки!AD8</f>
        <v>IVXX[6]</v>
      </c>
      <c r="AW8" s="207" t="str">
        <f>Настройки!AE8</f>
        <v>IANS_4_1</v>
      </c>
      <c r="AX8" s="207" t="str">
        <f>Настройки!AF8</f>
        <v>IDIG_2_3</v>
      </c>
      <c r="AY8" s="207" t="str">
        <f>Настройки!AG8</f>
        <v>Canal_07</v>
      </c>
      <c r="AZ8" s="207" t="str">
        <f>Настройки!AH8</f>
        <v>Canal_07</v>
      </c>
      <c r="BA8" s="207" t="str">
        <f>Настройки!AI8</f>
        <v>Canal_07</v>
      </c>
      <c r="BB8" s="207" t="str">
        <f>Настройки!AJ8</f>
        <v>Canal_07</v>
      </c>
      <c r="BC8" s="207" t="str">
        <f>Настройки!AK8</f>
        <v>Canal_07</v>
      </c>
      <c r="BD8" s="207" t="str">
        <f>Настройки!AL8</f>
        <v>Canal_07</v>
      </c>
      <c r="BE8" s="207" t="str">
        <f>Настройки!AM8</f>
        <v>-</v>
      </c>
    </row>
    <row r="9" spans="1:57">
      <c r="A9" s="82"/>
      <c r="B9" s="82"/>
      <c r="C9" s="81"/>
      <c r="D9" s="81"/>
      <c r="E9" s="82"/>
      <c r="F9" s="81"/>
      <c r="G9" s="445"/>
      <c r="H9" s="445"/>
      <c r="I9" s="1"/>
      <c r="M9" s="424" t="str">
        <f>'Конфигурация TREI'!A10</f>
        <v>BR8</v>
      </c>
      <c r="N9" s="424" t="str">
        <f>'Конфигурация TREI'!B10</f>
        <v>M558O</v>
      </c>
      <c r="AE9" s="431">
        <f>Настройки!P9</f>
        <v>8</v>
      </c>
      <c r="AF9" s="380">
        <f>Настройки!Q9</f>
        <v>0</v>
      </c>
      <c r="AG9" s="380" t="str">
        <f>Настройки!R9</f>
        <v>IDIG_4_2</v>
      </c>
      <c r="AH9" s="380" t="str">
        <f>Настройки!S9</f>
        <v>IANS_4_4</v>
      </c>
      <c r="AI9" s="380" t="str">
        <f>Настройки!T9</f>
        <v>out7</v>
      </c>
      <c r="AJ9" s="380" t="str">
        <f>Настройки!U9</f>
        <v>out7</v>
      </c>
      <c r="AK9" s="380" t="str">
        <f>Настройки!V9</f>
        <v>ODIG_8</v>
      </c>
      <c r="AL9" s="380" t="str">
        <f>Настройки!W9</f>
        <v>OAN_8_1</v>
      </c>
      <c r="AM9" s="380" t="str">
        <f>Настройки!X9</f>
        <v>IANS_8_1</v>
      </c>
      <c r="AN9" s="380" t="str">
        <f>Настройки!Y9</f>
        <v>Canal_08</v>
      </c>
      <c r="AO9" s="380" t="str">
        <f>Настройки!Z9</f>
        <v>Canal_08</v>
      </c>
      <c r="AP9" s="380" t="str">
        <f>Настройки!AA9</f>
        <v>Canal_08</v>
      </c>
      <c r="AQ9" s="380" t="str">
        <f>Настройки!AB9</f>
        <v>Canal_08</v>
      </c>
      <c r="AR9" s="380" t="str">
        <f>Настройки!AC9</f>
        <v>IVXX[7]</v>
      </c>
      <c r="AS9" s="380" t="str">
        <f>Настройки!AD9</f>
        <v>IVXX[7]</v>
      </c>
      <c r="AT9" s="207" t="str">
        <f>Настройки!AB9</f>
        <v>Canal_08</v>
      </c>
      <c r="AU9" s="207" t="str">
        <f>Настройки!AC9</f>
        <v>IVXX[7]</v>
      </c>
      <c r="AV9" s="207" t="str">
        <f>Настройки!AD9</f>
        <v>IVXX[7]</v>
      </c>
      <c r="AW9" s="207" t="str">
        <f>Настройки!AE9</f>
        <v>IANS_4_2</v>
      </c>
      <c r="AX9" s="207" t="str">
        <f>Настройки!AF9</f>
        <v>IDIG_2_4</v>
      </c>
      <c r="AY9" s="207" t="str">
        <f>Настройки!AG9</f>
        <v>Canal_08</v>
      </c>
      <c r="AZ9" s="207" t="str">
        <f>Настройки!AH9</f>
        <v>Canal_08</v>
      </c>
      <c r="BA9" s="207" t="str">
        <f>Настройки!AI9</f>
        <v>Canal_08</v>
      </c>
      <c r="BB9" s="207" t="str">
        <f>Настройки!AJ9</f>
        <v>Canal_08</v>
      </c>
      <c r="BC9" s="207" t="str">
        <f>Настройки!AK9</f>
        <v>Canal_08</v>
      </c>
      <c r="BD9" s="207" t="str">
        <f>Настройки!AL9</f>
        <v>Canal_08</v>
      </c>
      <c r="BE9" s="207" t="str">
        <f>Настройки!AM9</f>
        <v>-</v>
      </c>
    </row>
    <row r="10" spans="1:57">
      <c r="A10" s="82"/>
      <c r="B10" s="82"/>
      <c r="C10" s="81"/>
      <c r="D10" s="81"/>
      <c r="E10" s="82"/>
      <c r="F10" s="81"/>
      <c r="G10" s="445"/>
      <c r="H10" s="445"/>
      <c r="I10" s="1"/>
      <c r="M10" s="424" t="str">
        <f>'Конфигурация TREI'!A11</f>
        <v>BR9</v>
      </c>
      <c r="N10" s="424" t="str">
        <f>'Конфигурация TREI'!B11</f>
        <v>M558D</v>
      </c>
      <c r="AE10" s="431">
        <f>Настройки!P10</f>
        <v>9</v>
      </c>
      <c r="AF10" s="380">
        <f>Настройки!Q10</f>
        <v>0</v>
      </c>
      <c r="AG10" s="380" t="str">
        <f>Настройки!R10</f>
        <v>IDIG_5_1</v>
      </c>
      <c r="AH10" s="380" t="str">
        <f>Настройки!S10</f>
        <v>IANS_5_3</v>
      </c>
      <c r="AI10" s="380" t="str">
        <f>Настройки!T10</f>
        <v>out8</v>
      </c>
      <c r="AJ10" s="380" t="str">
        <f>Настройки!U10</f>
        <v>out8</v>
      </c>
      <c r="AK10" s="380" t="str">
        <f>Настройки!V10</f>
        <v>ODIG_9</v>
      </c>
      <c r="AL10" s="380" t="str">
        <f>Настройки!W10</f>
        <v>-</v>
      </c>
      <c r="AM10" s="380" t="str">
        <f>Настройки!X10</f>
        <v>-</v>
      </c>
      <c r="AN10" s="380" t="str">
        <f>Настройки!Y10</f>
        <v>Canal_09</v>
      </c>
      <c r="AO10" s="380" t="str">
        <f>Настройки!Z10</f>
        <v>-</v>
      </c>
      <c r="AP10" s="380" t="str">
        <f>Настройки!AA10</f>
        <v>Canal_09</v>
      </c>
      <c r="AQ10" s="380" t="str">
        <f>Настройки!AB10</f>
        <v>Canal_09</v>
      </c>
      <c r="AR10" s="380" t="str">
        <f>Настройки!AC10</f>
        <v>OCCH[0]</v>
      </c>
      <c r="AS10" s="380" t="str">
        <f>Настройки!AD10</f>
        <v>OCCH[0]</v>
      </c>
      <c r="AT10" s="207" t="str">
        <f>Настройки!AB10</f>
        <v>Canal_09</v>
      </c>
      <c r="AU10" s="207" t="str">
        <f>Настройки!AC10</f>
        <v>OCCH[0]</v>
      </c>
      <c r="AV10" s="207" t="str">
        <f>Настройки!AD10</f>
        <v>OCCH[0]</v>
      </c>
      <c r="AW10" s="207" t="str">
        <f>Настройки!AE10</f>
        <v>IANS_5_1</v>
      </c>
      <c r="AX10" s="207" t="str">
        <f>Настройки!AF10</f>
        <v>IDIG_3_1</v>
      </c>
      <c r="AY10" s="207" t="str">
        <f>Настройки!AG10</f>
        <v>Canal_09</v>
      </c>
      <c r="AZ10" s="207" t="str">
        <f>Настройки!AH10</f>
        <v>Canal_09</v>
      </c>
      <c r="BA10" s="207" t="str">
        <f>Настройки!AI10</f>
        <v>Canal_09</v>
      </c>
      <c r="BB10" s="207" t="str">
        <f>Настройки!AJ10</f>
        <v>Canal_09</v>
      </c>
      <c r="BC10" s="207" t="str">
        <f>Настройки!AK10</f>
        <v>-</v>
      </c>
      <c r="BD10" s="207" t="str">
        <f>Настройки!AL10</f>
        <v>Canal_09</v>
      </c>
      <c r="BE10" s="207" t="str">
        <f>Настройки!AM10</f>
        <v>-</v>
      </c>
    </row>
    <row r="11" spans="1:57">
      <c r="A11" s="82"/>
      <c r="B11" s="82"/>
      <c r="C11" s="81"/>
      <c r="D11" s="81"/>
      <c r="E11" s="82"/>
      <c r="F11" s="81"/>
      <c r="G11" s="445"/>
      <c r="H11" s="445"/>
      <c r="I11" s="1"/>
      <c r="M11" s="424" t="str">
        <f>'Конфигурация TREI'!A12</f>
        <v>BR10</v>
      </c>
      <c r="N11" s="424" t="str">
        <f>'Конфигурация TREI'!B12</f>
        <v>M558O</v>
      </c>
      <c r="AE11" s="431">
        <f>Настройки!P11</f>
        <v>10</v>
      </c>
      <c r="AF11" s="380">
        <f>Настройки!Q11</f>
        <v>0</v>
      </c>
      <c r="AG11" s="380" t="str">
        <f>Настройки!R11</f>
        <v>IDIG_5_2</v>
      </c>
      <c r="AH11" s="380" t="str">
        <f>Настройки!S11</f>
        <v>IANS_5_4</v>
      </c>
      <c r="AI11" s="380" t="str">
        <f>Настройки!T11</f>
        <v>out9</v>
      </c>
      <c r="AJ11" s="380" t="str">
        <f>Настройки!U11</f>
        <v>out9</v>
      </c>
      <c r="AK11" s="380" t="str">
        <f>Настройки!V11</f>
        <v>ODIG_10</v>
      </c>
      <c r="AL11" s="380" t="str">
        <f>Настройки!W11</f>
        <v>-</v>
      </c>
      <c r="AM11" s="380" t="str">
        <f>Настройки!X11</f>
        <v>-</v>
      </c>
      <c r="AN11" s="380" t="str">
        <f>Настройки!Y11</f>
        <v>Canal_10</v>
      </c>
      <c r="AO11" s="380" t="str">
        <f>Настройки!Z11</f>
        <v>-</v>
      </c>
      <c r="AP11" s="380" t="str">
        <f>Настройки!AA11</f>
        <v>Canal_10</v>
      </c>
      <c r="AQ11" s="380" t="str">
        <f>Настройки!AB11</f>
        <v>Canal_10</v>
      </c>
      <c r="AR11" s="380" t="str">
        <f>Настройки!AC11</f>
        <v>OCCH[1]</v>
      </c>
      <c r="AS11" s="380" t="str">
        <f>Настройки!AD11</f>
        <v>OCCH[1]</v>
      </c>
      <c r="AT11" s="207" t="str">
        <f>Настройки!AB11</f>
        <v>Canal_10</v>
      </c>
      <c r="AU11" s="207" t="str">
        <f>Настройки!AC11</f>
        <v>OCCH[1]</v>
      </c>
      <c r="AV11" s="207" t="str">
        <f>Настройки!AD11</f>
        <v>OCCH[1]</v>
      </c>
      <c r="AW11" s="207" t="str">
        <f>Настройки!AE11</f>
        <v>IANS_5_2</v>
      </c>
      <c r="AX11" s="207" t="str">
        <f>Настройки!AF11</f>
        <v>IDIG_3_2</v>
      </c>
      <c r="AY11" s="207" t="str">
        <f>Настройки!AG11</f>
        <v>Canal_10</v>
      </c>
      <c r="AZ11" s="207" t="str">
        <f>Настройки!AH11</f>
        <v>Canal_10</v>
      </c>
      <c r="BA11" s="207" t="str">
        <f>Настройки!AI11</f>
        <v>Canal_10</v>
      </c>
      <c r="BB11" s="207" t="str">
        <f>Настройки!AJ11</f>
        <v>Canal_10</v>
      </c>
      <c r="BC11" s="207" t="str">
        <f>Настройки!AK11</f>
        <v>-</v>
      </c>
      <c r="BD11" s="207" t="str">
        <f>Настройки!AL11</f>
        <v>Canal_10</v>
      </c>
      <c r="BE11" s="207" t="str">
        <f>Настройки!AM11</f>
        <v>-</v>
      </c>
    </row>
    <row r="12" spans="1:57">
      <c r="A12" s="82"/>
      <c r="B12" s="82"/>
      <c r="C12" s="81"/>
      <c r="D12" s="81"/>
      <c r="E12" s="81"/>
      <c r="F12" s="81"/>
      <c r="G12" s="445"/>
      <c r="H12" s="445"/>
      <c r="I12" s="1"/>
      <c r="M12" s="424" t="str">
        <f>'Конфигурация TREI'!A13</f>
        <v>BR11</v>
      </c>
      <c r="N12" s="424" t="str">
        <f>'Конфигурация TREI'!B13</f>
        <v>M558D</v>
      </c>
      <c r="AE12" s="431">
        <f>Настройки!P12</f>
        <v>11</v>
      </c>
      <c r="AF12" s="380">
        <f>Настройки!Q12</f>
        <v>0</v>
      </c>
      <c r="AG12" s="380" t="str">
        <f>Настройки!R12</f>
        <v>IDIG_6_1</v>
      </c>
      <c r="AH12" s="380" t="str">
        <f>Настройки!S12</f>
        <v>IANS_6_3</v>
      </c>
      <c r="AI12" s="380" t="str">
        <f>Настройки!T12</f>
        <v>out10</v>
      </c>
      <c r="AJ12" s="380" t="str">
        <f>Настройки!U12</f>
        <v>out10</v>
      </c>
      <c r="AK12" s="380" t="str">
        <f>Настройки!V12</f>
        <v>ODIG_11</v>
      </c>
      <c r="AL12" s="380" t="str">
        <f>Настройки!W12</f>
        <v>-</v>
      </c>
      <c r="AM12" s="380" t="str">
        <f>Настройки!X12</f>
        <v>-</v>
      </c>
      <c r="AN12" s="380" t="str">
        <f>Настройки!Y12</f>
        <v>Canal_11</v>
      </c>
      <c r="AO12" s="380" t="str">
        <f>Настройки!Z12</f>
        <v>-</v>
      </c>
      <c r="AP12" s="380" t="str">
        <f>Настройки!AA12</f>
        <v>Canal_11</v>
      </c>
      <c r="AQ12" s="380" t="str">
        <f>Настройки!AB12</f>
        <v>Canal_11</v>
      </c>
      <c r="AR12" s="380" t="str">
        <f>Настройки!AC12</f>
        <v>OCCH[2]</v>
      </c>
      <c r="AS12" s="380" t="str">
        <f>Настройки!AD12</f>
        <v>OCCH[2]</v>
      </c>
      <c r="AT12" s="207" t="str">
        <f>Настройки!AB12</f>
        <v>Canal_11</v>
      </c>
      <c r="AU12" s="207" t="str">
        <f>Настройки!AC12</f>
        <v>OCCH[2]</v>
      </c>
      <c r="AV12" s="207" t="str">
        <f>Настройки!AD12</f>
        <v>OCCH[2]</v>
      </c>
      <c r="AW12" s="207" t="str">
        <f>Настройки!AE12</f>
        <v>IANS_6_1</v>
      </c>
      <c r="AX12" s="207" t="str">
        <f>Настройки!AF12</f>
        <v>IDIG_3_3</v>
      </c>
      <c r="AY12" s="207" t="str">
        <f>Настройки!AG12</f>
        <v>Canal_11</v>
      </c>
      <c r="AZ12" s="207" t="str">
        <f>Настройки!AH12</f>
        <v>Canal_11</v>
      </c>
      <c r="BA12" s="207" t="str">
        <f>Настройки!AI12</f>
        <v>Canal_11</v>
      </c>
      <c r="BB12" s="207" t="str">
        <f>Настройки!AJ12</f>
        <v>Canal_11</v>
      </c>
      <c r="BC12" s="207" t="str">
        <f>Настройки!AK12</f>
        <v>-</v>
      </c>
      <c r="BD12" s="207" t="str">
        <f>Настройки!AL12</f>
        <v>Canal_11</v>
      </c>
      <c r="BE12" s="207" t="str">
        <f>Настройки!AM12</f>
        <v>-</v>
      </c>
    </row>
    <row r="13" spans="1:57">
      <c r="A13" s="82"/>
      <c r="B13" s="82"/>
      <c r="C13" s="81"/>
      <c r="D13" s="81"/>
      <c r="E13" s="81"/>
      <c r="F13" s="81"/>
      <c r="G13" s="445"/>
      <c r="H13" s="445"/>
      <c r="I13" s="1"/>
      <c r="M13" s="424" t="str">
        <f>'Конфигурация TREI'!A14</f>
        <v>BR12</v>
      </c>
      <c r="N13" s="424" t="str">
        <f>'Конфигурация TREI'!B14</f>
        <v>M558D</v>
      </c>
      <c r="AE13" s="431">
        <f>Настройки!P13</f>
        <v>12</v>
      </c>
      <c r="AF13" s="380">
        <f>Настройки!Q13</f>
        <v>0</v>
      </c>
      <c r="AG13" s="380" t="str">
        <f>Настройки!R13</f>
        <v>IDIG_6_2</v>
      </c>
      <c r="AH13" s="380" t="str">
        <f>Настройки!S13</f>
        <v>IANS_6_4</v>
      </c>
      <c r="AI13" s="380" t="str">
        <f>Настройки!T13</f>
        <v>out11</v>
      </c>
      <c r="AJ13" s="380" t="str">
        <f>Настройки!U13</f>
        <v>out11</v>
      </c>
      <c r="AK13" s="380" t="str">
        <f>Настройки!V13</f>
        <v>ODIG_12</v>
      </c>
      <c r="AL13" s="380" t="str">
        <f>Настройки!W13</f>
        <v>-</v>
      </c>
      <c r="AM13" s="380" t="str">
        <f>Настройки!X13</f>
        <v>-</v>
      </c>
      <c r="AN13" s="380" t="str">
        <f>Настройки!Y13</f>
        <v>Canal_12</v>
      </c>
      <c r="AO13" s="380" t="str">
        <f>Настройки!Z13</f>
        <v>-</v>
      </c>
      <c r="AP13" s="380" t="str">
        <f>Настройки!AA13</f>
        <v>Canal_12</v>
      </c>
      <c r="AQ13" s="380" t="str">
        <f>Настройки!AB13</f>
        <v>Canal_12</v>
      </c>
      <c r="AR13" s="380" t="str">
        <f>Настройки!AC13</f>
        <v>OCCH[3]</v>
      </c>
      <c r="AS13" s="380" t="str">
        <f>Настройки!AD13</f>
        <v>OCCH[3]</v>
      </c>
      <c r="AT13" s="207" t="str">
        <f>Настройки!AB13</f>
        <v>Canal_12</v>
      </c>
      <c r="AU13" s="207" t="str">
        <f>Настройки!AC13</f>
        <v>OCCH[3]</v>
      </c>
      <c r="AV13" s="207" t="str">
        <f>Настройки!AD13</f>
        <v>OCCH[3]</v>
      </c>
      <c r="AW13" s="207" t="str">
        <f>Настройки!AE13</f>
        <v>IANS_6_2</v>
      </c>
      <c r="AX13" s="207" t="str">
        <f>Настройки!AF13</f>
        <v>IDIG_3_4</v>
      </c>
      <c r="AY13" s="207" t="str">
        <f>Настройки!AG13</f>
        <v>Canal_12</v>
      </c>
      <c r="AZ13" s="207" t="str">
        <f>Настройки!AH13</f>
        <v>Canal_12</v>
      </c>
      <c r="BA13" s="207" t="str">
        <f>Настройки!AI13</f>
        <v>Canal_12</v>
      </c>
      <c r="BB13" s="207" t="str">
        <f>Настройки!AJ13</f>
        <v>Canal_12</v>
      </c>
      <c r="BC13" s="207" t="str">
        <f>Настройки!AK13</f>
        <v>-</v>
      </c>
      <c r="BD13" s="207" t="str">
        <f>Настройки!AL13</f>
        <v>Canal_12</v>
      </c>
      <c r="BE13" s="207" t="str">
        <f>Настройки!AM13</f>
        <v>-</v>
      </c>
    </row>
    <row r="14" spans="1:57">
      <c r="A14" s="82"/>
      <c r="B14" s="82"/>
      <c r="C14" s="81"/>
      <c r="D14" s="81"/>
      <c r="E14" s="81"/>
      <c r="F14" s="81"/>
      <c r="G14" s="445"/>
      <c r="H14" s="447"/>
      <c r="I14" s="1"/>
      <c r="M14" s="424" t="str">
        <f>'Конфигурация TREI'!A15</f>
        <v>BR13</v>
      </c>
      <c r="N14" s="424" t="str">
        <f>'Конфигурация TREI'!B15</f>
        <v>M558D</v>
      </c>
      <c r="AE14" s="431">
        <f>Настройки!P14</f>
        <v>13</v>
      </c>
      <c r="AF14" s="380">
        <f>Настройки!Q14</f>
        <v>0</v>
      </c>
      <c r="AG14" s="380" t="str">
        <f>Настройки!R14</f>
        <v>IDIG_7_1</v>
      </c>
      <c r="AH14" s="380" t="str">
        <f>Настройки!S14</f>
        <v>IANS_7_3</v>
      </c>
      <c r="AI14" s="380" t="str">
        <f>Настройки!T14</f>
        <v>out12</v>
      </c>
      <c r="AJ14" s="380" t="str">
        <f>Настройки!U14</f>
        <v>out12</v>
      </c>
      <c r="AK14" s="380" t="str">
        <f>Настройки!V14</f>
        <v>ODIG_13</v>
      </c>
      <c r="AL14" s="380" t="str">
        <f>Настройки!W14</f>
        <v>-</v>
      </c>
      <c r="AM14" s="380" t="str">
        <f>Настройки!X14</f>
        <v>-</v>
      </c>
      <c r="AN14" s="380" t="str">
        <f>Настройки!Y14</f>
        <v>Canal_13</v>
      </c>
      <c r="AO14" s="380" t="str">
        <f>Настройки!Z14</f>
        <v>-</v>
      </c>
      <c r="AP14" s="380" t="str">
        <f>Настройки!AA14</f>
        <v>Canal_13</v>
      </c>
      <c r="AQ14" s="380" t="str">
        <f>Настройки!AB14</f>
        <v>Canal_13</v>
      </c>
      <c r="AR14" s="380" t="str">
        <f>Настройки!AC14</f>
        <v>OCCH[4]</v>
      </c>
      <c r="AS14" s="380" t="str">
        <f>Настройки!AD14</f>
        <v>OCCH[4]</v>
      </c>
      <c r="AT14" s="207" t="str">
        <f>Настройки!AB14</f>
        <v>Canal_13</v>
      </c>
      <c r="AU14" s="207" t="str">
        <f>Настройки!AC14</f>
        <v>OCCH[4]</v>
      </c>
      <c r="AV14" s="207" t="str">
        <f>Настройки!AD14</f>
        <v>OCCH[4]</v>
      </c>
      <c r="AW14" s="207" t="str">
        <f>Настройки!AE14</f>
        <v>IANS_7_1</v>
      </c>
      <c r="AX14" s="207" t="str">
        <f>Настройки!AF14</f>
        <v>IDIG_4_1</v>
      </c>
      <c r="AY14" s="207" t="str">
        <f>Настройки!AG14</f>
        <v>Canal_13</v>
      </c>
      <c r="AZ14" s="207" t="str">
        <f>Настройки!AH14</f>
        <v>Canal_13</v>
      </c>
      <c r="BA14" s="207" t="str">
        <f>Настройки!AI14</f>
        <v>Canal_13</v>
      </c>
      <c r="BB14" s="207" t="str">
        <f>Настройки!AJ14</f>
        <v>Canal_13</v>
      </c>
      <c r="BC14" s="207" t="str">
        <f>Настройки!AK14</f>
        <v>-</v>
      </c>
      <c r="BD14" s="207" t="str">
        <f>Настройки!AL14</f>
        <v>Canal_13</v>
      </c>
      <c r="BE14" s="207" t="str">
        <f>Настройки!AM14</f>
        <v>-</v>
      </c>
    </row>
    <row r="15" spans="1:57">
      <c r="A15" s="82"/>
      <c r="B15" s="82"/>
      <c r="C15" s="81"/>
      <c r="D15" s="81"/>
      <c r="E15" s="81"/>
      <c r="F15" s="81"/>
      <c r="G15" s="445"/>
      <c r="H15" s="447"/>
      <c r="I15" s="1"/>
      <c r="M15" s="424" t="str">
        <f>'Конфигурация TREI'!A16</f>
        <v>BR14</v>
      </c>
      <c r="N15" s="424" t="str">
        <f>'Конфигурация TREI'!B16</f>
        <v>M558D</v>
      </c>
      <c r="AE15" s="431">
        <f>Настройки!P15</f>
        <v>14</v>
      </c>
      <c r="AF15" s="380">
        <f>Настройки!Q15</f>
        <v>0</v>
      </c>
      <c r="AG15" s="380" t="str">
        <f>Настройки!R15</f>
        <v>IDIG_7_2</v>
      </c>
      <c r="AH15" s="380" t="str">
        <f>Настройки!S15</f>
        <v>IANS_7_4</v>
      </c>
      <c r="AI15" s="380" t="str">
        <f>Настройки!T15</f>
        <v>out13</v>
      </c>
      <c r="AJ15" s="380" t="str">
        <f>Настройки!U15</f>
        <v>out13</v>
      </c>
      <c r="AK15" s="380" t="str">
        <f>Настройки!V15</f>
        <v>ODIG_14</v>
      </c>
      <c r="AL15" s="380" t="str">
        <f>Настройки!W15</f>
        <v>-</v>
      </c>
      <c r="AM15" s="380" t="str">
        <f>Настройки!X15</f>
        <v>-</v>
      </c>
      <c r="AN15" s="380" t="str">
        <f>Настройки!Y15</f>
        <v>Canal_14</v>
      </c>
      <c r="AO15" s="380" t="str">
        <f>Настройки!Z15</f>
        <v>-</v>
      </c>
      <c r="AP15" s="380" t="str">
        <f>Настройки!AA15</f>
        <v>Canal_14</v>
      </c>
      <c r="AQ15" s="380" t="str">
        <f>Настройки!AB15</f>
        <v>Canal_14</v>
      </c>
      <c r="AR15" s="380" t="str">
        <f>Настройки!AC15</f>
        <v>OCCH[5]</v>
      </c>
      <c r="AS15" s="380" t="str">
        <f>Настройки!AD15</f>
        <v>OCCH[5]</v>
      </c>
      <c r="AT15" s="207" t="str">
        <f>Настройки!AB15</f>
        <v>Canal_14</v>
      </c>
      <c r="AU15" s="207" t="str">
        <f>Настройки!AC15</f>
        <v>OCCH[5]</v>
      </c>
      <c r="AV15" s="207" t="str">
        <f>Настройки!AD15</f>
        <v>OCCH[5]</v>
      </c>
      <c r="AW15" s="207" t="str">
        <f>Настройки!AE15</f>
        <v>IANS_7_2</v>
      </c>
      <c r="AX15" s="207" t="str">
        <f>Настройки!AF15</f>
        <v>IDIG_4_2</v>
      </c>
      <c r="AY15" s="207" t="str">
        <f>Настройки!AG15</f>
        <v>Canal_14</v>
      </c>
      <c r="AZ15" s="207" t="str">
        <f>Настройки!AH15</f>
        <v>Canal_14</v>
      </c>
      <c r="BA15" s="207" t="str">
        <f>Настройки!AI15</f>
        <v>Canal_14</v>
      </c>
      <c r="BB15" s="207" t="str">
        <f>Настройки!AJ15</f>
        <v>Canal_14</v>
      </c>
      <c r="BC15" s="207" t="str">
        <f>Настройки!AK15</f>
        <v>-</v>
      </c>
      <c r="BD15" s="207" t="str">
        <f>Настройки!AL15</f>
        <v>Canal_14</v>
      </c>
      <c r="BE15" s="207" t="str">
        <f>Настройки!AM15</f>
        <v>-</v>
      </c>
    </row>
    <row r="16" spans="1:57">
      <c r="A16" s="82"/>
      <c r="B16" s="82"/>
      <c r="C16" s="81"/>
      <c r="D16" s="81"/>
      <c r="E16" s="81"/>
      <c r="F16" s="81"/>
      <c r="G16" s="445"/>
      <c r="H16" s="447"/>
      <c r="I16" s="1"/>
      <c r="M16" s="424" t="str">
        <f>'Конфигурация TREI'!A17</f>
        <v>BR15</v>
      </c>
      <c r="N16" s="424" t="str">
        <f>'Конфигурация TREI'!B17</f>
        <v>M558O</v>
      </c>
      <c r="AE16" s="431">
        <f>Настройки!P16</f>
        <v>15</v>
      </c>
      <c r="AF16" s="380">
        <f>Настройки!Q16</f>
        <v>0</v>
      </c>
      <c r="AG16" s="380" t="str">
        <f>Настройки!R16</f>
        <v>IDIG_8_1</v>
      </c>
      <c r="AH16" s="380" t="str">
        <f>Настройки!S16</f>
        <v>IANS_8_3</v>
      </c>
      <c r="AI16" s="380" t="str">
        <f>Настройки!T16</f>
        <v>out14</v>
      </c>
      <c r="AJ16" s="380" t="str">
        <f>Настройки!U16</f>
        <v>out14</v>
      </c>
      <c r="AK16" s="380" t="str">
        <f>Настройки!V16</f>
        <v>ODIG_15</v>
      </c>
      <c r="AL16" s="380" t="str">
        <f>Настройки!W16</f>
        <v>-</v>
      </c>
      <c r="AM16" s="380" t="str">
        <f>Настройки!X16</f>
        <v>-</v>
      </c>
      <c r="AN16" s="380" t="str">
        <f>Настройки!Y16</f>
        <v>Canal_15</v>
      </c>
      <c r="AO16" s="380" t="str">
        <f>Настройки!Z16</f>
        <v>-</v>
      </c>
      <c r="AP16" s="380" t="str">
        <f>Настройки!AA16</f>
        <v>Canal_15</v>
      </c>
      <c r="AQ16" s="380" t="str">
        <f>Настройки!AB16</f>
        <v>Canal_15</v>
      </c>
      <c r="AR16" s="380" t="str">
        <f>Настройки!AC16</f>
        <v>OCCH[6]</v>
      </c>
      <c r="AS16" s="380" t="str">
        <f>Настройки!AD16</f>
        <v>OCCH[6]</v>
      </c>
      <c r="AT16" s="207" t="str">
        <f>Настройки!AB16</f>
        <v>Canal_15</v>
      </c>
      <c r="AU16" s="207" t="str">
        <f>Настройки!AC16</f>
        <v>OCCH[6]</v>
      </c>
      <c r="AV16" s="207" t="str">
        <f>Настройки!AD16</f>
        <v>OCCH[6]</v>
      </c>
      <c r="AW16" s="207" t="str">
        <f>Настройки!AE16</f>
        <v>IANS_8_1</v>
      </c>
      <c r="AX16" s="207" t="str">
        <f>Настройки!AF16</f>
        <v>IDIG_4_3</v>
      </c>
      <c r="AY16" s="207" t="str">
        <f>Настройки!AG16</f>
        <v>Canal_15</v>
      </c>
      <c r="AZ16" s="207" t="str">
        <f>Настройки!AH16</f>
        <v>Canal_15</v>
      </c>
      <c r="BA16" s="207" t="str">
        <f>Настройки!AI16</f>
        <v>Canal_15</v>
      </c>
      <c r="BB16" s="207" t="str">
        <f>Настройки!AJ16</f>
        <v>Canal_15</v>
      </c>
      <c r="BC16" s="207" t="str">
        <f>Настройки!AK16</f>
        <v>-</v>
      </c>
      <c r="BD16" s="207" t="str">
        <f>Настройки!AL16</f>
        <v>Canal_15</v>
      </c>
      <c r="BE16" s="207" t="str">
        <f>Настройки!AM16</f>
        <v>-</v>
      </c>
    </row>
    <row r="17" spans="1:57">
      <c r="A17" s="82"/>
      <c r="B17" s="82"/>
      <c r="C17" s="81"/>
      <c r="D17" s="81"/>
      <c r="E17" s="81"/>
      <c r="F17" s="81"/>
      <c r="G17" s="445"/>
      <c r="H17" s="447"/>
      <c r="I17" s="1"/>
      <c r="M17" s="424" t="str">
        <f>'Конфигурация TREI'!A18</f>
        <v>BR16</v>
      </c>
      <c r="N17" s="424" t="str">
        <f>'Конфигурация TREI'!B18</f>
        <v>M558O</v>
      </c>
      <c r="AE17" s="431">
        <f>Настройки!P17</f>
        <v>16</v>
      </c>
      <c r="AF17" s="380">
        <f>Настройки!Q17</f>
        <v>0</v>
      </c>
      <c r="AG17" s="380" t="str">
        <f>Настройки!R17</f>
        <v>IDIG_8_2</v>
      </c>
      <c r="AH17" s="380" t="str">
        <f>Настройки!S17</f>
        <v>IANS_8_4</v>
      </c>
      <c r="AI17" s="380" t="str">
        <f>Настройки!T17</f>
        <v>out15</v>
      </c>
      <c r="AJ17" s="380" t="str">
        <f>Настройки!U17</f>
        <v>out15</v>
      </c>
      <c r="AK17" s="380" t="str">
        <f>Настройки!V17</f>
        <v>ODIG_16</v>
      </c>
      <c r="AL17" s="380" t="str">
        <f>Настройки!W17</f>
        <v>-</v>
      </c>
      <c r="AM17" s="380" t="str">
        <f>Настройки!X17</f>
        <v>-</v>
      </c>
      <c r="AN17" s="380" t="str">
        <f>Настройки!Y17</f>
        <v>Canal_16</v>
      </c>
      <c r="AO17" s="380" t="str">
        <f>Настройки!Z17</f>
        <v>-</v>
      </c>
      <c r="AP17" s="380" t="str">
        <f>Настройки!AA17</f>
        <v>Canal_16</v>
      </c>
      <c r="AQ17" s="380" t="str">
        <f>Настройки!AB17</f>
        <v>Canal_16</v>
      </c>
      <c r="AR17" s="380" t="str">
        <f>Настройки!AC17</f>
        <v>OCCH[7]</v>
      </c>
      <c r="AS17" s="380" t="str">
        <f>Настройки!AD17</f>
        <v>OCCH[7]</v>
      </c>
      <c r="AT17" s="207" t="str">
        <f>Настройки!AB17</f>
        <v>Canal_16</v>
      </c>
      <c r="AU17" s="207" t="str">
        <f>Настройки!AC17</f>
        <v>OCCH[7]</v>
      </c>
      <c r="AV17" s="207" t="str">
        <f>Настройки!AD17</f>
        <v>OCCH[7]</v>
      </c>
      <c r="AW17" s="207" t="str">
        <f>Настройки!AE17</f>
        <v>IANS_8_2</v>
      </c>
      <c r="AX17" s="207" t="str">
        <f>Настройки!AF17</f>
        <v>IDIG_4_4</v>
      </c>
      <c r="AY17" s="207" t="str">
        <f>Настройки!AG17</f>
        <v>Canal_16</v>
      </c>
      <c r="AZ17" s="207" t="str">
        <f>Настройки!AH17</f>
        <v>Canal_16</v>
      </c>
      <c r="BA17" s="207" t="str">
        <f>Настройки!AI17</f>
        <v>Canal_16</v>
      </c>
      <c r="BB17" s="207" t="str">
        <f>Настройки!AJ17</f>
        <v>Canal_16</v>
      </c>
      <c r="BC17" s="207" t="str">
        <f>Настройки!AK17</f>
        <v>-</v>
      </c>
      <c r="BD17" s="207" t="str">
        <f>Настройки!AL17</f>
        <v>Canal_16</v>
      </c>
      <c r="BE17" s="207" t="str">
        <f>Настройки!AM17</f>
        <v>-</v>
      </c>
    </row>
    <row r="18" spans="1:57">
      <c r="A18" s="82"/>
      <c r="B18" s="82"/>
      <c r="C18" s="81"/>
      <c r="D18" s="81"/>
      <c r="E18" s="81"/>
      <c r="F18" s="81"/>
      <c r="G18" s="445"/>
      <c r="H18" s="447"/>
      <c r="I18" s="1"/>
      <c r="M18" s="424" t="str">
        <f>'Конфигурация TREI'!A19</f>
        <v>BR17</v>
      </c>
      <c r="N18" s="424" t="str">
        <f>'Конфигурация TREI'!B19</f>
        <v>M558O</v>
      </c>
      <c r="AE18" s="428">
        <f>Настройки!P18</f>
        <v>17</v>
      </c>
      <c r="AF18" s="380">
        <f>Настройки!Q18</f>
        <v>0</v>
      </c>
      <c r="AG18" s="380" t="str">
        <f>Настройки!R18</f>
        <v>-</v>
      </c>
      <c r="AH18" s="380" t="str">
        <f>Настройки!S18</f>
        <v>-</v>
      </c>
      <c r="AI18" s="380" t="str">
        <f>Настройки!T18</f>
        <v>out16</v>
      </c>
      <c r="AJ18" s="380" t="str">
        <f>Настройки!U18</f>
        <v>out16</v>
      </c>
      <c r="AK18" s="380" t="str">
        <f>Настройки!V18</f>
        <v>-</v>
      </c>
      <c r="AL18" s="380" t="str">
        <f>Настройки!W18</f>
        <v>-</v>
      </c>
      <c r="AM18" s="380" t="str">
        <f>Настройки!X18</f>
        <v>-</v>
      </c>
      <c r="AN18" s="380" t="str">
        <f>Настройки!Y18</f>
        <v>-</v>
      </c>
      <c r="AO18" s="380" t="str">
        <f>Настройки!Z18</f>
        <v>-</v>
      </c>
      <c r="AP18" s="380" t="str">
        <f>Настройки!AA18</f>
        <v>Canal_17</v>
      </c>
      <c r="AQ18" s="380" t="str">
        <f>Настройки!AB18</f>
        <v>Canal_17</v>
      </c>
      <c r="AR18" s="380" t="str">
        <f>Настройки!AC18</f>
        <v>-</v>
      </c>
      <c r="AS18" s="380" t="str">
        <f>Настройки!AD18</f>
        <v>-</v>
      </c>
      <c r="AT18" s="207" t="str">
        <f>Настройки!AB18</f>
        <v>Canal_17</v>
      </c>
      <c r="AU18" s="207" t="str">
        <f>Настройки!AC18</f>
        <v>-</v>
      </c>
      <c r="AV18" s="207" t="str">
        <f>Настройки!AD18</f>
        <v>-</v>
      </c>
      <c r="AW18" s="207" t="str">
        <f>Настройки!AE18</f>
        <v>-</v>
      </c>
      <c r="AX18" s="207" t="str">
        <f>Настройки!AF18</f>
        <v>IDIG_5_1</v>
      </c>
      <c r="AY18" s="207" t="str">
        <f>Настройки!AG18</f>
        <v>Canal_17</v>
      </c>
      <c r="AZ18" s="207" t="str">
        <f>Настройки!AH18</f>
        <v>Canal_17</v>
      </c>
      <c r="BA18" s="207" t="str">
        <f>Настройки!AI18</f>
        <v>Canal_17</v>
      </c>
      <c r="BB18" s="207" t="str">
        <f>Настройки!AJ18</f>
        <v>-</v>
      </c>
      <c r="BC18" s="207" t="str">
        <f>Настройки!AK18</f>
        <v>-</v>
      </c>
      <c r="BD18" s="207" t="str">
        <f>Настройки!AL18</f>
        <v>Canal_17</v>
      </c>
      <c r="BE18" s="207" t="str">
        <f>Настройки!AM18</f>
        <v>-</v>
      </c>
    </row>
    <row r="19" spans="1:57">
      <c r="A19" s="82"/>
      <c r="B19" s="82"/>
      <c r="C19" s="81"/>
      <c r="D19" s="81"/>
      <c r="E19" s="81"/>
      <c r="F19" s="81"/>
      <c r="G19" s="445"/>
      <c r="H19" s="447"/>
      <c r="I19" s="1"/>
      <c r="M19" s="424" t="str">
        <f>'Конфигурация TREI'!A20</f>
        <v>BR18</v>
      </c>
      <c r="N19" s="424" t="str">
        <f>'Конфигурация TREI'!B20</f>
        <v>M558O</v>
      </c>
      <c r="AE19" s="428">
        <f>Настройки!P19</f>
        <v>18</v>
      </c>
      <c r="AF19" s="380">
        <f>Настройки!Q19</f>
        <v>0</v>
      </c>
      <c r="AG19" s="380" t="str">
        <f>Настройки!R19</f>
        <v>-</v>
      </c>
      <c r="AH19" s="380" t="str">
        <f>Настройки!S19</f>
        <v>-</v>
      </c>
      <c r="AI19" s="380" t="str">
        <f>Настройки!T19</f>
        <v>out17</v>
      </c>
      <c r="AJ19" s="380" t="str">
        <f>Настройки!U19</f>
        <v>out17</v>
      </c>
      <c r="AK19" s="380" t="str">
        <f>Настройки!V19</f>
        <v>-</v>
      </c>
      <c r="AL19" s="380" t="str">
        <f>Настройки!W19</f>
        <v>-</v>
      </c>
      <c r="AM19" s="380" t="str">
        <f>Настройки!X19</f>
        <v>-</v>
      </c>
      <c r="AN19" s="380" t="str">
        <f>Настройки!Y19</f>
        <v>-</v>
      </c>
      <c r="AO19" s="380" t="str">
        <f>Настройки!Z19</f>
        <v>-</v>
      </c>
      <c r="AP19" s="380" t="str">
        <f>Настройки!AA19</f>
        <v>Canal_18</v>
      </c>
      <c r="AQ19" s="380" t="str">
        <f>Настройки!AB19</f>
        <v>Canal_18</v>
      </c>
      <c r="AR19" s="380" t="str">
        <f>Настройки!AC19</f>
        <v>-</v>
      </c>
      <c r="AS19" s="380" t="str">
        <f>Настройки!AD19</f>
        <v>-</v>
      </c>
      <c r="AT19" s="207" t="str">
        <f>Настройки!AB19</f>
        <v>Canal_18</v>
      </c>
      <c r="AU19" s="207" t="str">
        <f>Настройки!AC19</f>
        <v>-</v>
      </c>
      <c r="AV19" s="207" t="str">
        <f>Настройки!AD19</f>
        <v>-</v>
      </c>
      <c r="AW19" s="207" t="str">
        <f>Настройки!AE19</f>
        <v>-</v>
      </c>
      <c r="AX19" s="207" t="str">
        <f>Настройки!AF19</f>
        <v>IDIG_5_2</v>
      </c>
      <c r="AY19" s="207" t="str">
        <f>Настройки!AG19</f>
        <v>Canal_18</v>
      </c>
      <c r="AZ19" s="207" t="str">
        <f>Настройки!AH19</f>
        <v>Canal_18</v>
      </c>
      <c r="BA19" s="207" t="str">
        <f>Настройки!AI19</f>
        <v>Canal_18</v>
      </c>
      <c r="BB19" s="207" t="str">
        <f>Настройки!AJ19</f>
        <v>-</v>
      </c>
      <c r="BC19" s="207" t="str">
        <f>Настройки!AK19</f>
        <v>-</v>
      </c>
      <c r="BD19" s="207" t="str">
        <f>Настройки!AL19</f>
        <v>Canal_18</v>
      </c>
      <c r="BE19" s="207" t="str">
        <f>Настройки!AM19</f>
        <v>-</v>
      </c>
    </row>
    <row r="20" spans="1:57">
      <c r="A20" s="82"/>
      <c r="B20" s="82"/>
      <c r="C20" s="81"/>
      <c r="D20" s="81"/>
      <c r="E20" s="81"/>
      <c r="F20" s="81"/>
      <c r="G20" s="445"/>
      <c r="H20" s="447"/>
      <c r="I20" s="1"/>
      <c r="M20" s="424" t="str">
        <f>'Конфигурация TREI'!A21</f>
        <v>BR19</v>
      </c>
      <c r="N20" s="424" t="str">
        <f>'Конфигурация TREI'!B21</f>
        <v>M558O</v>
      </c>
      <c r="AE20" s="428">
        <f>Настройки!P20</f>
        <v>19</v>
      </c>
      <c r="AF20" s="380">
        <f>Настройки!Q20</f>
        <v>0</v>
      </c>
      <c r="AG20" s="380" t="str">
        <f>Настройки!R20</f>
        <v>-</v>
      </c>
      <c r="AH20" s="380" t="str">
        <f>Настройки!S20</f>
        <v>-</v>
      </c>
      <c r="AI20" s="380" t="str">
        <f>Настройки!T20</f>
        <v>out18</v>
      </c>
      <c r="AJ20" s="380" t="str">
        <f>Настройки!U20</f>
        <v>out18</v>
      </c>
      <c r="AK20" s="380" t="str">
        <f>Настройки!V20</f>
        <v>-</v>
      </c>
      <c r="AL20" s="380" t="str">
        <f>Настройки!W20</f>
        <v>-</v>
      </c>
      <c r="AM20" s="380" t="str">
        <f>Настройки!X20</f>
        <v>-</v>
      </c>
      <c r="AN20" s="380" t="str">
        <f>Настройки!Y20</f>
        <v>-</v>
      </c>
      <c r="AO20" s="380" t="str">
        <f>Настройки!Z20</f>
        <v>-</v>
      </c>
      <c r="AP20" s="380" t="str">
        <f>Настройки!AA20</f>
        <v>Canal_19</v>
      </c>
      <c r="AQ20" s="380" t="str">
        <f>Настройки!AB20</f>
        <v>Canal_19</v>
      </c>
      <c r="AR20" s="380" t="str">
        <f>Настройки!AC20</f>
        <v>-</v>
      </c>
      <c r="AS20" s="380" t="str">
        <f>Настройки!AD20</f>
        <v>-</v>
      </c>
      <c r="AT20" s="207" t="str">
        <f>Настройки!AB20</f>
        <v>Canal_19</v>
      </c>
      <c r="AU20" s="207" t="str">
        <f>Настройки!AC20</f>
        <v>-</v>
      </c>
      <c r="AV20" s="207" t="str">
        <f>Настройки!AD20</f>
        <v>-</v>
      </c>
      <c r="AW20" s="207" t="str">
        <f>Настройки!AE20</f>
        <v>-</v>
      </c>
      <c r="AX20" s="207" t="str">
        <f>Настройки!AF20</f>
        <v>IDIG_5_3</v>
      </c>
      <c r="AY20" s="207" t="str">
        <f>Настройки!AG20</f>
        <v>Canal_19</v>
      </c>
      <c r="AZ20" s="207" t="str">
        <f>Настройки!AH20</f>
        <v>Canal_19</v>
      </c>
      <c r="BA20" s="207" t="str">
        <f>Настройки!AI20</f>
        <v>Canal_19</v>
      </c>
      <c r="BB20" s="207" t="str">
        <f>Настройки!AJ20</f>
        <v>-</v>
      </c>
      <c r="BC20" s="207" t="str">
        <f>Настройки!AK20</f>
        <v>-</v>
      </c>
      <c r="BD20" s="207" t="str">
        <f>Настройки!AL20</f>
        <v>Canal_19</v>
      </c>
      <c r="BE20" s="207" t="str">
        <f>Настройки!AM20</f>
        <v>-</v>
      </c>
    </row>
    <row r="21" spans="1:57">
      <c r="A21" s="82"/>
      <c r="B21" s="82"/>
      <c r="C21" s="81"/>
      <c r="D21" s="81"/>
      <c r="E21" s="81"/>
      <c r="F21" s="81"/>
      <c r="G21" s="445"/>
      <c r="H21" s="447"/>
      <c r="I21" s="1"/>
      <c r="M21" s="424" t="str">
        <f>'Конфигурация TREI'!A22</f>
        <v>BR20</v>
      </c>
      <c r="N21" s="424" t="str">
        <f>'Конфигурация TREI'!B22</f>
        <v>M558D</v>
      </c>
      <c r="AE21" s="428">
        <f>Настройки!P21</f>
        <v>20</v>
      </c>
      <c r="AF21" s="380">
        <f>Настройки!Q21</f>
        <v>0</v>
      </c>
      <c r="AG21" s="380" t="str">
        <f>Настройки!R21</f>
        <v>-</v>
      </c>
      <c r="AH21" s="380" t="str">
        <f>Настройки!S21</f>
        <v>-</v>
      </c>
      <c r="AI21" s="380" t="str">
        <f>Настройки!T21</f>
        <v>out19</v>
      </c>
      <c r="AJ21" s="380" t="str">
        <f>Настройки!U21</f>
        <v>out19</v>
      </c>
      <c r="AK21" s="380" t="str">
        <f>Настройки!V21</f>
        <v>-</v>
      </c>
      <c r="AL21" s="380" t="str">
        <f>Настройки!W21</f>
        <v>-</v>
      </c>
      <c r="AM21" s="380" t="str">
        <f>Настройки!X21</f>
        <v>-</v>
      </c>
      <c r="AN21" s="380" t="str">
        <f>Настройки!Y21</f>
        <v>-</v>
      </c>
      <c r="AO21" s="380" t="str">
        <f>Настройки!Z21</f>
        <v>-</v>
      </c>
      <c r="AP21" s="380" t="str">
        <f>Настройки!AA21</f>
        <v>Canal_20</v>
      </c>
      <c r="AQ21" s="380" t="str">
        <f>Настройки!AB21</f>
        <v>Canal_20</v>
      </c>
      <c r="AR21" s="380" t="str">
        <f>Настройки!AC21</f>
        <v>-</v>
      </c>
      <c r="AS21" s="380" t="str">
        <f>Настройки!AD21</f>
        <v>-</v>
      </c>
      <c r="AT21" s="207" t="str">
        <f>Настройки!AB21</f>
        <v>Canal_20</v>
      </c>
      <c r="AU21" s="207" t="str">
        <f>Настройки!AC21</f>
        <v>-</v>
      </c>
      <c r="AV21" s="207" t="str">
        <f>Настройки!AD21</f>
        <v>-</v>
      </c>
      <c r="AW21" s="207" t="str">
        <f>Настройки!AE21</f>
        <v>-</v>
      </c>
      <c r="AX21" s="207" t="str">
        <f>Настройки!AF21</f>
        <v>IDIG_5_4</v>
      </c>
      <c r="AY21" s="207" t="str">
        <f>Настройки!AG21</f>
        <v>Canal_20</v>
      </c>
      <c r="AZ21" s="207" t="str">
        <f>Настройки!AH21</f>
        <v>Canal_20</v>
      </c>
      <c r="BA21" s="207" t="str">
        <f>Настройки!AI21</f>
        <v>Canal_20</v>
      </c>
      <c r="BB21" s="207" t="str">
        <f>Настройки!AJ21</f>
        <v>-</v>
      </c>
      <c r="BC21" s="207" t="str">
        <f>Настройки!AK21</f>
        <v>-</v>
      </c>
      <c r="BD21" s="207" t="str">
        <f>Настройки!AL21</f>
        <v>Canal_20</v>
      </c>
      <c r="BE21" s="207" t="str">
        <f>Настройки!AM21</f>
        <v>-</v>
      </c>
    </row>
    <row r="22" spans="1:57">
      <c r="A22" s="82"/>
      <c r="B22" s="82"/>
      <c r="C22" s="81"/>
      <c r="D22" s="81"/>
      <c r="E22" s="81"/>
      <c r="F22" s="81"/>
      <c r="G22" s="445"/>
      <c r="H22" s="447"/>
      <c r="I22" s="1"/>
      <c r="M22" s="424" t="str">
        <f>'Конфигурация TREI'!A23</f>
        <v>BR21</v>
      </c>
      <c r="N22" s="424" t="str">
        <f>'Конфигурация TREI'!B23</f>
        <v>M558O</v>
      </c>
      <c r="AE22" s="428">
        <f>Настройки!P22</f>
        <v>21</v>
      </c>
      <c r="AF22" s="380">
        <f>Настройки!Q22</f>
        <v>0</v>
      </c>
      <c r="AG22" s="380" t="str">
        <f>Настройки!R22</f>
        <v>-</v>
      </c>
      <c r="AH22" s="380" t="str">
        <f>Настройки!S22</f>
        <v>-</v>
      </c>
      <c r="AI22" s="380" t="str">
        <f>Настройки!T22</f>
        <v>out20</v>
      </c>
      <c r="AJ22" s="380" t="str">
        <f>Настройки!U22</f>
        <v>out20</v>
      </c>
      <c r="AK22" s="380" t="str">
        <f>Настройки!V22</f>
        <v>-</v>
      </c>
      <c r="AL22" s="380" t="str">
        <f>Настройки!W22</f>
        <v>-</v>
      </c>
      <c r="AM22" s="380" t="str">
        <f>Настройки!X22</f>
        <v>-</v>
      </c>
      <c r="AN22" s="380" t="str">
        <f>Настройки!Y22</f>
        <v>-</v>
      </c>
      <c r="AO22" s="380" t="str">
        <f>Настройки!Z22</f>
        <v>-</v>
      </c>
      <c r="AP22" s="380" t="str">
        <f>Настройки!AA22</f>
        <v>Canal_21</v>
      </c>
      <c r="AQ22" s="380" t="str">
        <f>Настройки!AB22</f>
        <v>Canal_21</v>
      </c>
      <c r="AR22" s="380" t="str">
        <f>Настройки!AC22</f>
        <v>-</v>
      </c>
      <c r="AS22" s="380" t="str">
        <f>Настройки!AD22</f>
        <v>-</v>
      </c>
      <c r="AT22" s="207" t="str">
        <f>Настройки!AB22</f>
        <v>Canal_21</v>
      </c>
      <c r="AU22" s="207" t="str">
        <f>Настройки!AC22</f>
        <v>-</v>
      </c>
      <c r="AV22" s="207" t="str">
        <f>Настройки!AD22</f>
        <v>-</v>
      </c>
      <c r="AW22" s="207" t="str">
        <f>Настройки!AE22</f>
        <v>-</v>
      </c>
      <c r="AX22" s="207" t="str">
        <f>Настройки!AF22</f>
        <v>IDIG_6_1</v>
      </c>
      <c r="AY22" s="207" t="str">
        <f>Настройки!AG22</f>
        <v>Canal_21</v>
      </c>
      <c r="AZ22" s="207" t="str">
        <f>Настройки!AH22</f>
        <v>Canal_21</v>
      </c>
      <c r="BA22" s="207" t="str">
        <f>Настройки!AI22</f>
        <v>Canal_21</v>
      </c>
      <c r="BB22" s="207" t="str">
        <f>Настройки!AJ22</f>
        <v>-</v>
      </c>
      <c r="BC22" s="207" t="str">
        <f>Настройки!AK22</f>
        <v>-</v>
      </c>
      <c r="BD22" s="207" t="str">
        <f>Настройки!AL22</f>
        <v>Canal_21</v>
      </c>
      <c r="BE22" s="207" t="str">
        <f>Настройки!AM22</f>
        <v>-</v>
      </c>
    </row>
    <row r="23" spans="1:57">
      <c r="A23" s="82"/>
      <c r="B23" s="82"/>
      <c r="C23" s="81"/>
      <c r="D23" s="81"/>
      <c r="E23" s="81"/>
      <c r="F23" s="81"/>
      <c r="G23" s="445"/>
      <c r="H23" s="447"/>
      <c r="I23" s="1"/>
      <c r="M23" s="424" t="str">
        <f>'Конфигурация TREI'!A24</f>
        <v>BR22</v>
      </c>
      <c r="N23" s="424" t="str">
        <f>'Конфигурация TREI'!B24</f>
        <v>M558D</v>
      </c>
      <c r="AE23" s="428">
        <f>Настройки!P23</f>
        <v>22</v>
      </c>
      <c r="AF23" s="380">
        <f>Настройки!Q23</f>
        <v>0</v>
      </c>
      <c r="AG23" s="380" t="str">
        <f>Настройки!R23</f>
        <v>-</v>
      </c>
      <c r="AH23" s="380" t="str">
        <f>Настройки!S23</f>
        <v>-</v>
      </c>
      <c r="AI23" s="380" t="str">
        <f>Настройки!T23</f>
        <v>out21</v>
      </c>
      <c r="AJ23" s="380" t="str">
        <f>Настройки!U23</f>
        <v>out21</v>
      </c>
      <c r="AK23" s="380" t="str">
        <f>Настройки!V23</f>
        <v>-</v>
      </c>
      <c r="AL23" s="380" t="str">
        <f>Настройки!W23</f>
        <v>-</v>
      </c>
      <c r="AM23" s="380" t="str">
        <f>Настройки!X23</f>
        <v>-</v>
      </c>
      <c r="AN23" s="380" t="str">
        <f>Настройки!Y23</f>
        <v>-</v>
      </c>
      <c r="AO23" s="380" t="str">
        <f>Настройки!Z23</f>
        <v>-</v>
      </c>
      <c r="AP23" s="380" t="str">
        <f>Настройки!AA23</f>
        <v>Canal_22</v>
      </c>
      <c r="AQ23" s="380" t="str">
        <f>Настройки!AB23</f>
        <v>Canal_22</v>
      </c>
      <c r="AR23" s="380" t="str">
        <f>Настройки!AC23</f>
        <v>-</v>
      </c>
      <c r="AS23" s="380" t="str">
        <f>Настройки!AD23</f>
        <v>-</v>
      </c>
      <c r="AT23" s="207" t="str">
        <f>Настройки!AB23</f>
        <v>Canal_22</v>
      </c>
      <c r="AU23" s="207" t="str">
        <f>Настройки!AC23</f>
        <v>-</v>
      </c>
      <c r="AV23" s="207" t="str">
        <f>Настройки!AD23</f>
        <v>-</v>
      </c>
      <c r="AW23" s="207" t="str">
        <f>Настройки!AE23</f>
        <v>-</v>
      </c>
      <c r="AX23" s="207" t="str">
        <f>Настройки!AF23</f>
        <v>IDIG_6_2</v>
      </c>
      <c r="AY23" s="207" t="str">
        <f>Настройки!AG23</f>
        <v>Canal_22</v>
      </c>
      <c r="AZ23" s="207" t="str">
        <f>Настройки!AH23</f>
        <v>Canal_22</v>
      </c>
      <c r="BA23" s="207" t="str">
        <f>Настройки!AI23</f>
        <v>Canal_22</v>
      </c>
      <c r="BB23" s="207" t="str">
        <f>Настройки!AJ23</f>
        <v>-</v>
      </c>
      <c r="BC23" s="207" t="str">
        <f>Настройки!AK23</f>
        <v>-</v>
      </c>
      <c r="BD23" s="207" t="str">
        <f>Настройки!AL23</f>
        <v>Canal_22</v>
      </c>
      <c r="BE23" s="207" t="str">
        <f>Настройки!AM23</f>
        <v>-</v>
      </c>
    </row>
    <row r="24" spans="1:57">
      <c r="A24" s="82"/>
      <c r="B24" s="82"/>
      <c r="C24" s="81"/>
      <c r="D24" s="81"/>
      <c r="E24" s="81"/>
      <c r="F24" s="81"/>
      <c r="G24" s="445"/>
      <c r="H24" s="447"/>
      <c r="I24" s="1"/>
      <c r="M24" s="424" t="str">
        <f>'Конфигурация TREI'!A25</f>
        <v>BR23</v>
      </c>
      <c r="N24" s="424" t="str">
        <f>'Конфигурация TREI'!B25</f>
        <v>M558O</v>
      </c>
      <c r="AE24" s="428">
        <f>Настройки!P24</f>
        <v>23</v>
      </c>
      <c r="AF24" s="380">
        <f>Настройки!Q24</f>
        <v>0</v>
      </c>
      <c r="AG24" s="380" t="str">
        <f>Настройки!R24</f>
        <v>-</v>
      </c>
      <c r="AH24" s="380" t="str">
        <f>Настройки!S24</f>
        <v>-</v>
      </c>
      <c r="AI24" s="380" t="str">
        <f>Настройки!T24</f>
        <v>out22</v>
      </c>
      <c r="AJ24" s="380" t="str">
        <f>Настройки!U24</f>
        <v>out22</v>
      </c>
      <c r="AK24" s="380" t="str">
        <f>Настройки!V24</f>
        <v>-</v>
      </c>
      <c r="AL24" s="380" t="str">
        <f>Настройки!W24</f>
        <v>-</v>
      </c>
      <c r="AM24" s="380" t="str">
        <f>Настройки!X24</f>
        <v>-</v>
      </c>
      <c r="AN24" s="380" t="str">
        <f>Настройки!Y24</f>
        <v>-</v>
      </c>
      <c r="AO24" s="380" t="str">
        <f>Настройки!Z24</f>
        <v>-</v>
      </c>
      <c r="AP24" s="380" t="str">
        <f>Настройки!AA24</f>
        <v>Canal_23</v>
      </c>
      <c r="AQ24" s="380" t="str">
        <f>Настройки!AB24</f>
        <v>Canal_23</v>
      </c>
      <c r="AR24" s="380" t="str">
        <f>Настройки!AC24</f>
        <v>-</v>
      </c>
      <c r="AS24" s="380" t="str">
        <f>Настройки!AD24</f>
        <v>-</v>
      </c>
      <c r="AT24" s="207" t="str">
        <f>Настройки!AB24</f>
        <v>Canal_23</v>
      </c>
      <c r="AU24" s="207" t="str">
        <f>Настройки!AC24</f>
        <v>-</v>
      </c>
      <c r="AV24" s="207" t="str">
        <f>Настройки!AD24</f>
        <v>-</v>
      </c>
      <c r="AW24" s="207" t="str">
        <f>Настройки!AE24</f>
        <v>-</v>
      </c>
      <c r="AX24" s="207" t="str">
        <f>Настройки!AF24</f>
        <v>IDIG_6_3</v>
      </c>
      <c r="AY24" s="207" t="str">
        <f>Настройки!AG24</f>
        <v>Canal_23</v>
      </c>
      <c r="AZ24" s="207" t="str">
        <f>Настройки!AH24</f>
        <v>Canal_23</v>
      </c>
      <c r="BA24" s="207" t="str">
        <f>Настройки!AI24</f>
        <v>Canal_23</v>
      </c>
      <c r="BB24" s="207" t="str">
        <f>Настройки!AJ24</f>
        <v>-</v>
      </c>
      <c r="BC24" s="207" t="str">
        <f>Настройки!AK24</f>
        <v>-</v>
      </c>
      <c r="BD24" s="207" t="str">
        <f>Настройки!AL24</f>
        <v>Canal_23</v>
      </c>
      <c r="BE24" s="207" t="str">
        <f>Настройки!AM24</f>
        <v>-</v>
      </c>
    </row>
    <row r="25" spans="1:57">
      <c r="A25" s="82"/>
      <c r="B25" s="82"/>
      <c r="C25" s="81"/>
      <c r="D25" s="81"/>
      <c r="E25" s="81"/>
      <c r="F25" s="81"/>
      <c r="G25" s="445"/>
      <c r="H25" s="447"/>
      <c r="I25" s="1"/>
      <c r="M25" s="424" t="str">
        <f>'Конфигурация TREI'!A26</f>
        <v>BR24</v>
      </c>
      <c r="N25" s="424" t="str">
        <f>'Конфигурация TREI'!B26</f>
        <v>M558D</v>
      </c>
      <c r="AE25" s="428">
        <f>Настройки!P25</f>
        <v>24</v>
      </c>
      <c r="AF25" s="380">
        <f>Настройки!Q25</f>
        <v>0</v>
      </c>
      <c r="AG25" s="380" t="str">
        <f>Настройки!R25</f>
        <v>-</v>
      </c>
      <c r="AH25" s="380" t="str">
        <f>Настройки!S25</f>
        <v>-</v>
      </c>
      <c r="AI25" s="380" t="str">
        <f>Настройки!T25</f>
        <v>out23</v>
      </c>
      <c r="AJ25" s="380" t="str">
        <f>Настройки!U25</f>
        <v>out23</v>
      </c>
      <c r="AK25" s="380" t="str">
        <f>Настройки!V25</f>
        <v>-</v>
      </c>
      <c r="AL25" s="380" t="str">
        <f>Настройки!W25</f>
        <v>-</v>
      </c>
      <c r="AM25" s="380" t="str">
        <f>Настройки!X25</f>
        <v>-</v>
      </c>
      <c r="AN25" s="380" t="str">
        <f>Настройки!Y25</f>
        <v>-</v>
      </c>
      <c r="AO25" s="380" t="str">
        <f>Настройки!Z25</f>
        <v>-</v>
      </c>
      <c r="AP25" s="380" t="str">
        <f>Настройки!AA25</f>
        <v>Canal_24</v>
      </c>
      <c r="AQ25" s="380" t="str">
        <f>Настройки!AB25</f>
        <v>Canal_24</v>
      </c>
      <c r="AR25" s="380" t="str">
        <f>Настройки!AC25</f>
        <v>-</v>
      </c>
      <c r="AS25" s="380" t="str">
        <f>Настройки!AD25</f>
        <v>-</v>
      </c>
      <c r="AT25" s="207" t="str">
        <f>Настройки!AB25</f>
        <v>Canal_24</v>
      </c>
      <c r="AU25" s="207" t="str">
        <f>Настройки!AC25</f>
        <v>-</v>
      </c>
      <c r="AV25" s="207" t="str">
        <f>Настройки!AD25</f>
        <v>-</v>
      </c>
      <c r="AW25" s="207" t="str">
        <f>Настройки!AE25</f>
        <v>-</v>
      </c>
      <c r="AX25" s="207" t="str">
        <f>Настройки!AF25</f>
        <v>IDIG_6_4</v>
      </c>
      <c r="AY25" s="207" t="str">
        <f>Настройки!AG25</f>
        <v>Canal_24</v>
      </c>
      <c r="AZ25" s="207" t="str">
        <f>Настройки!AH25</f>
        <v>Canal_24</v>
      </c>
      <c r="BA25" s="207" t="str">
        <f>Настройки!AI25</f>
        <v>Canal_24</v>
      </c>
      <c r="BB25" s="207" t="str">
        <f>Настройки!AJ25</f>
        <v>-</v>
      </c>
      <c r="BC25" s="207" t="str">
        <f>Настройки!AK25</f>
        <v>-</v>
      </c>
      <c r="BD25" s="207" t="str">
        <f>Настройки!AL25</f>
        <v>Canal_24</v>
      </c>
      <c r="BE25" s="207" t="str">
        <f>Настройки!AM25</f>
        <v>-</v>
      </c>
    </row>
    <row r="26" spans="1:57">
      <c r="A26" s="82"/>
      <c r="B26" s="82"/>
      <c r="C26" s="81"/>
      <c r="D26" s="81"/>
      <c r="E26" s="81"/>
      <c r="F26" s="81"/>
      <c r="G26" s="445"/>
      <c r="H26" s="447"/>
      <c r="I26" s="1"/>
      <c r="M26" s="424" t="str">
        <f>'Конфигурация TREI'!A27</f>
        <v>BR25</v>
      </c>
      <c r="N26" s="424" t="str">
        <f>'Конфигурация TREI'!B27</f>
        <v>M558D</v>
      </c>
      <c r="AE26" s="428">
        <f>Настройки!P26</f>
        <v>25</v>
      </c>
      <c r="AF26" s="380">
        <f>Настройки!Q26</f>
        <v>0</v>
      </c>
      <c r="AG26" s="380" t="str">
        <f>Настройки!R26</f>
        <v>-</v>
      </c>
      <c r="AH26" s="380" t="str">
        <f>Настройки!S26</f>
        <v>-</v>
      </c>
      <c r="AI26" s="380" t="str">
        <f>Настройки!T26</f>
        <v>out24</v>
      </c>
      <c r="AJ26" s="380" t="str">
        <f>Настройки!U26</f>
        <v>out24</v>
      </c>
      <c r="AK26" s="380" t="str">
        <f>Настройки!V26</f>
        <v>-</v>
      </c>
      <c r="AL26" s="380" t="str">
        <f>Настройки!W26</f>
        <v>-</v>
      </c>
      <c r="AM26" s="380" t="str">
        <f>Настройки!X26</f>
        <v>-</v>
      </c>
      <c r="AN26" s="380" t="str">
        <f>Настройки!Y26</f>
        <v>-</v>
      </c>
      <c r="AO26" s="380" t="str">
        <f>Настройки!Z26</f>
        <v>-</v>
      </c>
      <c r="AP26" s="380" t="str">
        <f>Настройки!AA26</f>
        <v>Canal_25</v>
      </c>
      <c r="AQ26" s="380" t="str">
        <f>Настройки!AB26</f>
        <v>Canal_25</v>
      </c>
      <c r="AR26" s="380" t="str">
        <f>Настройки!AC26</f>
        <v>-</v>
      </c>
      <c r="AS26" s="380" t="str">
        <f>Настройки!AD26</f>
        <v>-</v>
      </c>
      <c r="AT26" s="207" t="str">
        <f>Настройки!AB26</f>
        <v>Canal_25</v>
      </c>
      <c r="AU26" s="207" t="str">
        <f>Настройки!AC26</f>
        <v>-</v>
      </c>
      <c r="AV26" s="207" t="str">
        <f>Настройки!AD26</f>
        <v>-</v>
      </c>
      <c r="AW26" s="207" t="str">
        <f>Настройки!AE26</f>
        <v>-</v>
      </c>
      <c r="AX26" s="207" t="str">
        <f>Настройки!AF26</f>
        <v>IDIG_7_1</v>
      </c>
      <c r="AY26" s="207" t="str">
        <f>Настройки!AG26</f>
        <v>Canal_25</v>
      </c>
      <c r="AZ26" s="207" t="str">
        <f>Настройки!AH26</f>
        <v>Canal_25</v>
      </c>
      <c r="BA26" s="207" t="str">
        <f>Настройки!AI26</f>
        <v>Canal_25</v>
      </c>
      <c r="BB26" s="207" t="str">
        <f>Настройки!AJ26</f>
        <v>-</v>
      </c>
      <c r="BC26" s="207" t="str">
        <f>Настройки!AK26</f>
        <v>-</v>
      </c>
      <c r="BD26" s="207" t="str">
        <f>Настройки!AL26</f>
        <v>Canal_25</v>
      </c>
      <c r="BE26" s="207" t="str">
        <f>Настройки!AM26</f>
        <v>-</v>
      </c>
    </row>
    <row r="27" spans="1:57">
      <c r="A27" s="82"/>
      <c r="B27" s="82"/>
      <c r="C27" s="81"/>
      <c r="D27" s="81"/>
      <c r="E27" s="81"/>
      <c r="F27" s="81"/>
      <c r="G27" s="445"/>
      <c r="H27" s="447"/>
      <c r="I27" s="1"/>
      <c r="M27" s="424" t="str">
        <f>'Конфигурация TREI'!A28</f>
        <v>BR26</v>
      </c>
      <c r="N27" s="424" t="str">
        <f>'Конфигурация TREI'!B28</f>
        <v>M558D</v>
      </c>
      <c r="AE27" s="428">
        <f>Настройки!P27</f>
        <v>26</v>
      </c>
      <c r="AF27" s="380">
        <f>Настройки!Q27</f>
        <v>0</v>
      </c>
      <c r="AG27" s="380" t="str">
        <f>Настройки!R27</f>
        <v>-</v>
      </c>
      <c r="AH27" s="380" t="str">
        <f>Настройки!S27</f>
        <v>-</v>
      </c>
      <c r="AI27" s="380" t="str">
        <f>Настройки!T27</f>
        <v>out25</v>
      </c>
      <c r="AJ27" s="380" t="str">
        <f>Настройки!U27</f>
        <v>out25</v>
      </c>
      <c r="AK27" s="380" t="str">
        <f>Настройки!V27</f>
        <v>-</v>
      </c>
      <c r="AL27" s="380" t="str">
        <f>Настройки!W27</f>
        <v>-</v>
      </c>
      <c r="AM27" s="380" t="str">
        <f>Настройки!X27</f>
        <v>-</v>
      </c>
      <c r="AN27" s="380" t="str">
        <f>Настройки!Y27</f>
        <v>-</v>
      </c>
      <c r="AO27" s="380" t="str">
        <f>Настройки!Z27</f>
        <v>-</v>
      </c>
      <c r="AP27" s="380" t="str">
        <f>Настройки!AA27</f>
        <v>Canal_26</v>
      </c>
      <c r="AQ27" s="380" t="str">
        <f>Настройки!AB27</f>
        <v>Canal_26</v>
      </c>
      <c r="AR27" s="380" t="str">
        <f>Настройки!AC27</f>
        <v>-</v>
      </c>
      <c r="AS27" s="380" t="str">
        <f>Настройки!AD27</f>
        <v>-</v>
      </c>
      <c r="AT27" s="207" t="str">
        <f>Настройки!AB27</f>
        <v>Canal_26</v>
      </c>
      <c r="AU27" s="207" t="str">
        <f>Настройки!AC27</f>
        <v>-</v>
      </c>
      <c r="AV27" s="207" t="str">
        <f>Настройки!AD27</f>
        <v>-</v>
      </c>
      <c r="AW27" s="207" t="str">
        <f>Настройки!AE27</f>
        <v>-</v>
      </c>
      <c r="AX27" s="207" t="str">
        <f>Настройки!AF27</f>
        <v>IDIG_7_2</v>
      </c>
      <c r="AY27" s="207" t="str">
        <f>Настройки!AG27</f>
        <v>Canal_26</v>
      </c>
      <c r="AZ27" s="207" t="str">
        <f>Настройки!AH27</f>
        <v>Canal_26</v>
      </c>
      <c r="BA27" s="207" t="str">
        <f>Настройки!AI27</f>
        <v>Canal_26</v>
      </c>
      <c r="BB27" s="207" t="str">
        <f>Настройки!AJ27</f>
        <v>-</v>
      </c>
      <c r="BC27" s="207" t="str">
        <f>Настройки!AK27</f>
        <v>-</v>
      </c>
      <c r="BD27" s="207" t="str">
        <f>Настройки!AL27</f>
        <v>Canal_26</v>
      </c>
      <c r="BE27" s="207" t="str">
        <f>Настройки!AM27</f>
        <v>-</v>
      </c>
    </row>
    <row r="28" spans="1:57">
      <c r="A28" s="82"/>
      <c r="B28" s="82"/>
      <c r="C28" s="81"/>
      <c r="D28" s="81"/>
      <c r="E28" s="81"/>
      <c r="F28" s="81"/>
      <c r="G28" s="445"/>
      <c r="H28" s="447"/>
      <c r="I28" s="1"/>
      <c r="M28" s="424" t="str">
        <f>'Конфигурация TREI'!A29</f>
        <v>BR27</v>
      </c>
      <c r="N28" s="424" t="str">
        <f>'Конфигурация TREI'!B29</f>
        <v>M558D</v>
      </c>
      <c r="AE28" s="428">
        <f>Настройки!P28</f>
        <v>27</v>
      </c>
      <c r="AF28" s="380">
        <f>Настройки!Q28</f>
        <v>0</v>
      </c>
      <c r="AG28" s="380" t="str">
        <f>Настройки!R28</f>
        <v>-</v>
      </c>
      <c r="AH28" s="380" t="str">
        <f>Настройки!S28</f>
        <v>-</v>
      </c>
      <c r="AI28" s="380" t="str">
        <f>Настройки!T28</f>
        <v>out26</v>
      </c>
      <c r="AJ28" s="380" t="str">
        <f>Настройки!U28</f>
        <v>out26</v>
      </c>
      <c r="AK28" s="380" t="str">
        <f>Настройки!V28</f>
        <v>-</v>
      </c>
      <c r="AL28" s="380" t="str">
        <f>Настройки!W28</f>
        <v>-</v>
      </c>
      <c r="AM28" s="380" t="str">
        <f>Настройки!X28</f>
        <v>-</v>
      </c>
      <c r="AN28" s="380" t="str">
        <f>Настройки!Y28</f>
        <v>-</v>
      </c>
      <c r="AO28" s="380" t="str">
        <f>Настройки!Z28</f>
        <v>-</v>
      </c>
      <c r="AP28" s="380" t="str">
        <f>Настройки!AA28</f>
        <v>Canal_27</v>
      </c>
      <c r="AQ28" s="380" t="str">
        <f>Настройки!AB28</f>
        <v>Canal_27</v>
      </c>
      <c r="AR28" s="380" t="str">
        <f>Настройки!AC28</f>
        <v>-</v>
      </c>
      <c r="AS28" s="380" t="str">
        <f>Настройки!AD28</f>
        <v>-</v>
      </c>
      <c r="AT28" s="207" t="str">
        <f>Настройки!AB28</f>
        <v>Canal_27</v>
      </c>
      <c r="AU28" s="207" t="str">
        <f>Настройки!AC28</f>
        <v>-</v>
      </c>
      <c r="AV28" s="207" t="str">
        <f>Настройки!AD28</f>
        <v>-</v>
      </c>
      <c r="AW28" s="207" t="str">
        <f>Настройки!AE28</f>
        <v>-</v>
      </c>
      <c r="AX28" s="207" t="str">
        <f>Настройки!AF28</f>
        <v>IDIG_7_3</v>
      </c>
      <c r="AY28" s="207" t="str">
        <f>Настройки!AG28</f>
        <v>Canal_27</v>
      </c>
      <c r="AZ28" s="207" t="str">
        <f>Настройки!AH28</f>
        <v>Canal_27</v>
      </c>
      <c r="BA28" s="207" t="str">
        <f>Настройки!AI28</f>
        <v>Canal_27</v>
      </c>
      <c r="BB28" s="207" t="str">
        <f>Настройки!AJ28</f>
        <v>-</v>
      </c>
      <c r="BC28" s="207" t="str">
        <f>Настройки!AK28</f>
        <v>-</v>
      </c>
      <c r="BD28" s="207" t="str">
        <f>Настройки!AL28</f>
        <v>Canal_27</v>
      </c>
      <c r="BE28" s="207" t="str">
        <f>Настройки!AM28</f>
        <v>-</v>
      </c>
    </row>
    <row r="29" spans="1:57">
      <c r="A29" s="82"/>
      <c r="B29" s="82"/>
      <c r="C29" s="81"/>
      <c r="D29" s="81"/>
      <c r="E29" s="81"/>
      <c r="F29" s="81"/>
      <c r="G29" s="445"/>
      <c r="H29" s="447"/>
      <c r="I29" s="1"/>
      <c r="M29" s="424" t="str">
        <f>'Конфигурация TREI'!A30</f>
        <v>BR28</v>
      </c>
      <c r="N29" s="424" t="str">
        <f>'Конфигурация TREI'!B30</f>
        <v>M558D</v>
      </c>
      <c r="AE29" s="428">
        <f>Настройки!P29</f>
        <v>28</v>
      </c>
      <c r="AF29" s="380">
        <f>Настройки!Q29</f>
        <v>0</v>
      </c>
      <c r="AG29" s="380" t="str">
        <f>Настройки!R29</f>
        <v>-</v>
      </c>
      <c r="AH29" s="380" t="str">
        <f>Настройки!S29</f>
        <v>-</v>
      </c>
      <c r="AI29" s="380" t="str">
        <f>Настройки!T29</f>
        <v>out27</v>
      </c>
      <c r="AJ29" s="380" t="str">
        <f>Настройки!U29</f>
        <v>out27</v>
      </c>
      <c r="AK29" s="380" t="str">
        <f>Настройки!V29</f>
        <v>-</v>
      </c>
      <c r="AL29" s="380" t="str">
        <f>Настройки!W29</f>
        <v>-</v>
      </c>
      <c r="AM29" s="380" t="str">
        <f>Настройки!X29</f>
        <v>-</v>
      </c>
      <c r="AN29" s="380" t="str">
        <f>Настройки!Y29</f>
        <v>-</v>
      </c>
      <c r="AO29" s="380" t="str">
        <f>Настройки!Z29</f>
        <v>-</v>
      </c>
      <c r="AP29" s="380" t="str">
        <f>Настройки!AA29</f>
        <v>Canal_28</v>
      </c>
      <c r="AQ29" s="380" t="str">
        <f>Настройки!AB29</f>
        <v>Canal_28</v>
      </c>
      <c r="AR29" s="380" t="str">
        <f>Настройки!AC29</f>
        <v>-</v>
      </c>
      <c r="AS29" s="380" t="str">
        <f>Настройки!AD29</f>
        <v>-</v>
      </c>
      <c r="AT29" s="207" t="str">
        <f>Настройки!AB29</f>
        <v>Canal_28</v>
      </c>
      <c r="AU29" s="207" t="str">
        <f>Настройки!AC29</f>
        <v>-</v>
      </c>
      <c r="AV29" s="207" t="str">
        <f>Настройки!AD29</f>
        <v>-</v>
      </c>
      <c r="AW29" s="207" t="str">
        <f>Настройки!AE29</f>
        <v>-</v>
      </c>
      <c r="AX29" s="207" t="str">
        <f>Настройки!AF29</f>
        <v>IDIG_7_4</v>
      </c>
      <c r="AY29" s="207" t="str">
        <f>Настройки!AG29</f>
        <v>Canal_28</v>
      </c>
      <c r="AZ29" s="207" t="str">
        <f>Настройки!AH29</f>
        <v>Canal_28</v>
      </c>
      <c r="BA29" s="207" t="str">
        <f>Настройки!AI29</f>
        <v>Canal_28</v>
      </c>
      <c r="BB29" s="207" t="str">
        <f>Настройки!AJ29</f>
        <v>-</v>
      </c>
      <c r="BC29" s="207" t="str">
        <f>Настройки!AK29</f>
        <v>-</v>
      </c>
      <c r="BD29" s="207" t="str">
        <f>Настройки!AL29</f>
        <v>Canal_28</v>
      </c>
      <c r="BE29" s="207" t="str">
        <f>Настройки!AM29</f>
        <v>-</v>
      </c>
    </row>
    <row r="30" spans="1:57">
      <c r="A30" s="11"/>
      <c r="B30" s="11"/>
      <c r="C30" s="11"/>
      <c r="D30" s="11"/>
      <c r="E30" s="11"/>
      <c r="F30" s="11"/>
      <c r="G30" s="11"/>
      <c r="H30" s="1"/>
      <c r="I30" s="1"/>
      <c r="M30" s="424" t="str">
        <f>'Конфигурация TREI'!A31</f>
        <v>BR29</v>
      </c>
      <c r="N30" s="424" t="str">
        <f>'Конфигурация TREI'!B31</f>
        <v>M558O</v>
      </c>
      <c r="AE30" s="428">
        <f>Настройки!P30</f>
        <v>29</v>
      </c>
      <c r="AF30" s="380">
        <f>Настройки!Q30</f>
        <v>0</v>
      </c>
      <c r="AG30" s="380" t="str">
        <f>Настройки!R30</f>
        <v>-</v>
      </c>
      <c r="AH30" s="380" t="str">
        <f>Настройки!S30</f>
        <v>-</v>
      </c>
      <c r="AI30" s="380" t="str">
        <f>Настройки!T30</f>
        <v>out28</v>
      </c>
      <c r="AJ30" s="380" t="str">
        <f>Настройки!U30</f>
        <v>out28</v>
      </c>
      <c r="AK30" s="380" t="str">
        <f>Настройки!V30</f>
        <v>-</v>
      </c>
      <c r="AL30" s="380" t="str">
        <f>Настройки!W30</f>
        <v>-</v>
      </c>
      <c r="AM30" s="380" t="str">
        <f>Настройки!X30</f>
        <v>-</v>
      </c>
      <c r="AN30" s="380" t="str">
        <f>Настройки!Y30</f>
        <v>-</v>
      </c>
      <c r="AO30" s="380" t="str">
        <f>Настройки!Z30</f>
        <v>-</v>
      </c>
      <c r="AP30" s="380" t="str">
        <f>Настройки!AA30</f>
        <v>Canal_29</v>
      </c>
      <c r="AQ30" s="380" t="str">
        <f>Настройки!AB30</f>
        <v>Canal_29</v>
      </c>
      <c r="AR30" s="380" t="str">
        <f>Настройки!AC30</f>
        <v>-</v>
      </c>
      <c r="AS30" s="380" t="str">
        <f>Настройки!AD30</f>
        <v>-</v>
      </c>
      <c r="AT30" s="207" t="str">
        <f>Настройки!AB30</f>
        <v>Canal_29</v>
      </c>
      <c r="AU30" s="207" t="str">
        <f>Настройки!AC30</f>
        <v>-</v>
      </c>
      <c r="AV30" s="207" t="str">
        <f>Настройки!AD30</f>
        <v>-</v>
      </c>
      <c r="AW30" s="207" t="str">
        <f>Настройки!AE30</f>
        <v>-</v>
      </c>
      <c r="AX30" s="207" t="str">
        <f>Настройки!AF30</f>
        <v>IDIG_8_1</v>
      </c>
      <c r="AY30" s="207" t="str">
        <f>Настройки!AG30</f>
        <v>Canal_29</v>
      </c>
      <c r="AZ30" s="207" t="str">
        <f>Настройки!AH30</f>
        <v>Canal_29</v>
      </c>
      <c r="BA30" s="207" t="str">
        <f>Настройки!AI30</f>
        <v>Canal_29</v>
      </c>
      <c r="BB30" s="207" t="str">
        <f>Настройки!AJ30</f>
        <v>-</v>
      </c>
      <c r="BC30" s="207" t="str">
        <f>Настройки!AK30</f>
        <v>-</v>
      </c>
      <c r="BD30" s="207" t="str">
        <f>Настройки!AL30</f>
        <v>Canal_29</v>
      </c>
      <c r="BE30" s="207" t="str">
        <f>Настройки!AM30</f>
        <v>-</v>
      </c>
    </row>
    <row r="31" spans="1:57">
      <c r="A31" s="82"/>
      <c r="B31" s="82"/>
      <c r="C31" s="81"/>
      <c r="D31" s="81"/>
      <c r="E31" s="81"/>
      <c r="F31" s="81"/>
      <c r="G31" s="445"/>
      <c r="H31" s="445"/>
      <c r="I31" s="1"/>
      <c r="M31" s="424" t="str">
        <f>'Конфигурация TREI'!A32</f>
        <v>BR30</v>
      </c>
      <c r="N31" s="424" t="str">
        <f>'Конфигурация TREI'!B32</f>
        <v>M558D</v>
      </c>
      <c r="AE31" s="428">
        <f>Настройки!P31</f>
        <v>30</v>
      </c>
      <c r="AF31" s="380">
        <f>Настройки!Q31</f>
        <v>0</v>
      </c>
      <c r="AG31" s="380" t="str">
        <f>Настройки!R31</f>
        <v>-</v>
      </c>
      <c r="AH31" s="380" t="str">
        <f>Настройки!S31</f>
        <v>-</v>
      </c>
      <c r="AI31" s="380" t="str">
        <f>Настройки!T31</f>
        <v>out29</v>
      </c>
      <c r="AJ31" s="380" t="str">
        <f>Настройки!U31</f>
        <v>out29</v>
      </c>
      <c r="AK31" s="380" t="str">
        <f>Настройки!V31</f>
        <v>-</v>
      </c>
      <c r="AL31" s="380" t="str">
        <f>Настройки!W31</f>
        <v>-</v>
      </c>
      <c r="AM31" s="380" t="str">
        <f>Настройки!X31</f>
        <v>-</v>
      </c>
      <c r="AN31" s="380" t="str">
        <f>Настройки!Y31</f>
        <v>-</v>
      </c>
      <c r="AO31" s="380" t="str">
        <f>Настройки!Z31</f>
        <v>-</v>
      </c>
      <c r="AP31" s="380" t="str">
        <f>Настройки!AA31</f>
        <v>Canal_30</v>
      </c>
      <c r="AQ31" s="380" t="str">
        <f>Настройки!AB31</f>
        <v>Canal_30</v>
      </c>
      <c r="AR31" s="380" t="str">
        <f>Настройки!AC31</f>
        <v>-</v>
      </c>
      <c r="AS31" s="380" t="str">
        <f>Настройки!AD31</f>
        <v>-</v>
      </c>
      <c r="AT31" s="207" t="str">
        <f>Настройки!AB31</f>
        <v>Canal_30</v>
      </c>
      <c r="AU31" s="207" t="str">
        <f>Настройки!AC31</f>
        <v>-</v>
      </c>
      <c r="AV31" s="207" t="str">
        <f>Настройки!AD31</f>
        <v>-</v>
      </c>
      <c r="AW31" s="207" t="str">
        <f>Настройки!AE31</f>
        <v>-</v>
      </c>
      <c r="AX31" s="207" t="str">
        <f>Настройки!AF31</f>
        <v>IDIG_8_2</v>
      </c>
      <c r="AY31" s="207" t="str">
        <f>Настройки!AG31</f>
        <v>Canal_30</v>
      </c>
      <c r="AZ31" s="207" t="str">
        <f>Настройки!AH31</f>
        <v>Canal_30</v>
      </c>
      <c r="BA31" s="207" t="str">
        <f>Настройки!AI31</f>
        <v>Canal_30</v>
      </c>
      <c r="BB31" s="207" t="str">
        <f>Настройки!AJ31</f>
        <v>-</v>
      </c>
      <c r="BC31" s="207" t="str">
        <f>Настройки!AK31</f>
        <v>-</v>
      </c>
      <c r="BD31" s="207" t="str">
        <f>Настройки!AL31</f>
        <v>Canal_30</v>
      </c>
      <c r="BE31" s="207" t="str">
        <f>Настройки!AM31</f>
        <v>-</v>
      </c>
    </row>
    <row r="32" spans="1:57">
      <c r="A32" s="82"/>
      <c r="B32" s="82"/>
      <c r="C32" s="81"/>
      <c r="D32" s="81"/>
      <c r="E32" s="81"/>
      <c r="F32" s="81"/>
      <c r="G32" s="445"/>
      <c r="H32" s="445"/>
      <c r="I32" s="1"/>
      <c r="M32" s="424" t="str">
        <f>'Конфигурация TREI'!A33</f>
        <v>BR31</v>
      </c>
      <c r="N32" s="424" t="str">
        <f>'Конфигурация TREI'!B33</f>
        <v>M558D</v>
      </c>
      <c r="AE32" s="428">
        <f>Настройки!P32</f>
        <v>31</v>
      </c>
      <c r="AF32" s="380">
        <f>Настройки!Q32</f>
        <v>0</v>
      </c>
      <c r="AG32" s="380" t="str">
        <f>Настройки!R32</f>
        <v>-</v>
      </c>
      <c r="AH32" s="380" t="str">
        <f>Настройки!S32</f>
        <v>-</v>
      </c>
      <c r="AI32" s="380" t="str">
        <f>Настройки!T32</f>
        <v>out30</v>
      </c>
      <c r="AJ32" s="380" t="str">
        <f>Настройки!U32</f>
        <v>out30</v>
      </c>
      <c r="AK32" s="380" t="str">
        <f>Настройки!V32</f>
        <v>-</v>
      </c>
      <c r="AL32" s="380" t="str">
        <f>Настройки!W32</f>
        <v>-</v>
      </c>
      <c r="AM32" s="380" t="str">
        <f>Настройки!X32</f>
        <v>-</v>
      </c>
      <c r="AN32" s="380" t="str">
        <f>Настройки!Y32</f>
        <v>-</v>
      </c>
      <c r="AO32" s="380" t="str">
        <f>Настройки!Z32</f>
        <v>-</v>
      </c>
      <c r="AP32" s="380" t="str">
        <f>Настройки!AA32</f>
        <v>Canal_31</v>
      </c>
      <c r="AQ32" s="380" t="str">
        <f>Настройки!AB32</f>
        <v>Canal_31</v>
      </c>
      <c r="AR32" s="380" t="str">
        <f>Настройки!AC32</f>
        <v>-</v>
      </c>
      <c r="AS32" s="380" t="str">
        <f>Настройки!AD32</f>
        <v>-</v>
      </c>
      <c r="AT32" s="207" t="str">
        <f>Настройки!AB32</f>
        <v>Canal_31</v>
      </c>
      <c r="AU32" s="207" t="str">
        <f>Настройки!AC32</f>
        <v>-</v>
      </c>
      <c r="AV32" s="207" t="str">
        <f>Настройки!AD32</f>
        <v>-</v>
      </c>
      <c r="AW32" s="207" t="str">
        <f>Настройки!AE32</f>
        <v>-</v>
      </c>
      <c r="AX32" s="207" t="str">
        <f>Настройки!AF32</f>
        <v>IDIG_8_3</v>
      </c>
      <c r="AY32" s="207" t="str">
        <f>Настройки!AG32</f>
        <v>Canal_31</v>
      </c>
      <c r="AZ32" s="207" t="str">
        <f>Настройки!AH32</f>
        <v>Canal_31</v>
      </c>
      <c r="BA32" s="207" t="str">
        <f>Настройки!AI32</f>
        <v>Canal_31</v>
      </c>
      <c r="BB32" s="207" t="str">
        <f>Настройки!AJ32</f>
        <v>-</v>
      </c>
      <c r="BC32" s="207" t="str">
        <f>Настройки!AK32</f>
        <v>-</v>
      </c>
      <c r="BD32" s="207" t="str">
        <f>Настройки!AL32</f>
        <v>Canal_31</v>
      </c>
      <c r="BE32" s="207" t="str">
        <f>Настройки!AM32</f>
        <v>-</v>
      </c>
    </row>
    <row r="33" spans="1:58">
      <c r="A33" s="82"/>
      <c r="B33" s="82"/>
      <c r="C33" s="81"/>
      <c r="D33" s="81"/>
      <c r="E33" s="81"/>
      <c r="F33" s="81"/>
      <c r="G33" s="445"/>
      <c r="H33" s="445"/>
      <c r="I33" s="1"/>
      <c r="M33" s="424" t="str">
        <f>'Конфигурация TREI'!A34</f>
        <v>BR32</v>
      </c>
      <c r="N33" s="424" t="str">
        <f>'Конфигурация TREI'!B34</f>
        <v>M558D</v>
      </c>
      <c r="AE33" s="620">
        <f>Настройки!P33</f>
        <v>32</v>
      </c>
      <c r="AF33" s="621">
        <f>Настройки!Q33</f>
        <v>0</v>
      </c>
      <c r="AG33" s="621" t="str">
        <f>Настройки!R33</f>
        <v>-</v>
      </c>
      <c r="AH33" s="621" t="str">
        <f>Настройки!S33</f>
        <v>-</v>
      </c>
      <c r="AI33" s="621" t="str">
        <f>Настройки!T33</f>
        <v>out31</v>
      </c>
      <c r="AJ33" s="621" t="str">
        <f>Настройки!U33</f>
        <v>out31</v>
      </c>
      <c r="AK33" s="621" t="str">
        <f>Настройки!V33</f>
        <v>-</v>
      </c>
      <c r="AL33" s="621" t="str">
        <f>Настройки!W33</f>
        <v>-</v>
      </c>
      <c r="AM33" s="621" t="str">
        <f>Настройки!X33</f>
        <v>-</v>
      </c>
      <c r="AN33" s="621" t="str">
        <f>Настройки!Y33</f>
        <v>-</v>
      </c>
      <c r="AO33" s="621" t="str">
        <f>Настройки!Z33</f>
        <v>-</v>
      </c>
      <c r="AP33" s="621" t="str">
        <f>Настройки!AA33</f>
        <v>Canal_32</v>
      </c>
      <c r="AQ33" s="621" t="str">
        <f>Настройки!AB33</f>
        <v>Canal_32</v>
      </c>
      <c r="AR33" s="621" t="str">
        <f>Настройки!AC33</f>
        <v>-</v>
      </c>
      <c r="AS33" s="621" t="str">
        <f>Настройки!AD33</f>
        <v>-</v>
      </c>
      <c r="AT33" s="622" t="str">
        <f>Настройки!AB33</f>
        <v>Canal_32</v>
      </c>
      <c r="AU33" s="622" t="str">
        <f>Настройки!AC33</f>
        <v>-</v>
      </c>
      <c r="AV33" s="622" t="str">
        <f>Настройки!AD33</f>
        <v>-</v>
      </c>
      <c r="AW33" s="622" t="str">
        <f>Настройки!AE33</f>
        <v>-</v>
      </c>
      <c r="AX33" s="622" t="str">
        <f>Настройки!AF33</f>
        <v>IDIG_8_4</v>
      </c>
      <c r="AY33" s="622" t="str">
        <f>Настройки!AG33</f>
        <v>Canal_32</v>
      </c>
      <c r="AZ33" s="622" t="str">
        <f>Настройки!AH33</f>
        <v>Canal_32</v>
      </c>
      <c r="BA33" s="622" t="str">
        <f>Настройки!AI33</f>
        <v>Canal_32</v>
      </c>
      <c r="BB33" s="622" t="str">
        <f>Настройки!AJ33</f>
        <v>-</v>
      </c>
      <c r="BC33" s="622" t="str">
        <f>Настройки!AK33</f>
        <v>-</v>
      </c>
      <c r="BD33" s="622" t="str">
        <f>Настройки!AL33</f>
        <v>Canal_32</v>
      </c>
      <c r="BE33" s="622" t="str">
        <f>Настройки!AM33</f>
        <v>-</v>
      </c>
    </row>
    <row r="34" spans="1:58">
      <c r="A34" s="82"/>
      <c r="B34" s="82"/>
      <c r="C34" s="81"/>
      <c r="D34" s="81"/>
      <c r="E34" s="81"/>
      <c r="F34" s="81"/>
      <c r="G34" s="445"/>
      <c r="H34" s="445"/>
      <c r="I34" s="1"/>
      <c r="M34" s="424" t="str">
        <f>'Конфигурация TREI'!A35</f>
        <v>BR33</v>
      </c>
      <c r="N34" s="424" t="str">
        <f>'Конфигурация TREI'!B35</f>
        <v>M558D</v>
      </c>
      <c r="AC34" s="626"/>
      <c r="AD34" s="626"/>
      <c r="AE34" s="624"/>
      <c r="AF34" s="624"/>
      <c r="AG34" s="624"/>
      <c r="AH34" s="624"/>
      <c r="AI34" s="624"/>
      <c r="AJ34" s="624"/>
      <c r="AK34" s="624"/>
      <c r="AL34" s="624"/>
      <c r="AM34" s="624"/>
      <c r="AN34" s="624"/>
      <c r="AO34" s="624"/>
      <c r="AP34" s="624"/>
      <c r="AQ34" s="624"/>
      <c r="AR34" s="624"/>
      <c r="AS34" s="624"/>
      <c r="AT34" s="625"/>
      <c r="AU34" s="625"/>
      <c r="AV34" s="625"/>
      <c r="AW34" s="625"/>
      <c r="AX34" s="625"/>
      <c r="AY34" s="625"/>
      <c r="AZ34" s="625"/>
      <c r="BA34" s="625"/>
      <c r="BB34" s="625"/>
      <c r="BC34" s="625"/>
      <c r="BD34" s="625"/>
      <c r="BE34" s="625"/>
      <c r="BF34" s="17"/>
    </row>
    <row r="35" spans="1:58">
      <c r="A35" s="82"/>
      <c r="B35" s="82"/>
      <c r="C35" s="81"/>
      <c r="D35" s="81"/>
      <c r="E35" s="81"/>
      <c r="F35" s="81"/>
      <c r="G35" s="445"/>
      <c r="H35" s="445"/>
      <c r="I35" s="1"/>
      <c r="M35" s="424" t="str">
        <f>'Конфигурация TREI'!A36</f>
        <v>BR34</v>
      </c>
      <c r="N35" s="424" t="str">
        <f>'Конфигурация TREI'!B36</f>
        <v>M558D</v>
      </c>
      <c r="AC35" s="310"/>
      <c r="AD35" s="310"/>
      <c r="AE35" s="505"/>
      <c r="AF35" s="505"/>
      <c r="AG35" s="505"/>
      <c r="AH35" s="505"/>
      <c r="AI35" s="505"/>
      <c r="AJ35" s="505"/>
      <c r="AK35" s="505"/>
      <c r="AL35" s="505"/>
      <c r="AM35" s="505"/>
      <c r="AN35" s="505"/>
      <c r="AO35" s="505"/>
      <c r="AP35" s="505"/>
      <c r="AQ35" s="505"/>
      <c r="AR35" s="505"/>
      <c r="AS35" s="505"/>
      <c r="AT35" s="623"/>
      <c r="AU35" s="623"/>
      <c r="AV35" s="623"/>
      <c r="AW35" s="623"/>
      <c r="AX35" s="623"/>
      <c r="AY35" s="623"/>
      <c r="AZ35" s="623"/>
      <c r="BA35" s="623"/>
      <c r="BB35" s="623"/>
      <c r="BC35" s="623"/>
      <c r="BD35" s="623"/>
      <c r="BE35" s="623"/>
      <c r="BF35" s="11"/>
    </row>
    <row r="36" spans="1:58">
      <c r="A36" s="82"/>
      <c r="B36" s="82"/>
      <c r="C36" s="81"/>
      <c r="D36" s="81"/>
      <c r="E36" s="81"/>
      <c r="F36" s="81"/>
      <c r="G36" s="445"/>
      <c r="H36" s="445"/>
      <c r="I36" s="1"/>
      <c r="M36" s="424" t="str">
        <f>'Конфигурация TREI'!A37</f>
        <v>BR35</v>
      </c>
      <c r="N36" s="424" t="str">
        <f>'Конфигурация TREI'!B37</f>
        <v>M558D</v>
      </c>
      <c r="AC36" s="310"/>
      <c r="AD36" s="310"/>
      <c r="AE36" s="505"/>
      <c r="AF36" s="505"/>
      <c r="AG36" s="505"/>
      <c r="AH36" s="505"/>
      <c r="AI36" s="505"/>
      <c r="AJ36" s="505"/>
      <c r="AK36" s="505"/>
      <c r="AL36" s="505"/>
      <c r="AM36" s="505"/>
      <c r="AN36" s="505"/>
      <c r="AO36" s="505"/>
      <c r="AP36" s="505"/>
      <c r="AQ36" s="505"/>
      <c r="AR36" s="505"/>
      <c r="AS36" s="505"/>
      <c r="AT36" s="623"/>
      <c r="AU36" s="623"/>
      <c r="AV36" s="623"/>
      <c r="AW36" s="623"/>
      <c r="AX36" s="623"/>
      <c r="AY36" s="623"/>
      <c r="AZ36" s="623"/>
      <c r="BA36" s="623"/>
      <c r="BB36" s="623"/>
      <c r="BC36" s="623"/>
      <c r="BD36" s="623"/>
      <c r="BE36" s="623"/>
      <c r="BF36" s="11"/>
    </row>
    <row r="37" spans="1:58" ht="15.75" customHeight="1">
      <c r="A37" s="82"/>
      <c r="B37" s="82"/>
      <c r="C37" s="81"/>
      <c r="D37" s="81"/>
      <c r="E37" s="81"/>
      <c r="F37" s="81"/>
      <c r="G37" s="445"/>
      <c r="H37" s="445"/>
      <c r="I37" s="1"/>
      <c r="M37" s="424" t="str">
        <f>'Конфигурация TREI'!A38</f>
        <v>BR36</v>
      </c>
      <c r="N37" s="424">
        <f>'Конфигурация TREI'!B38</f>
        <v>0</v>
      </c>
      <c r="AC37" s="310"/>
      <c r="AD37" s="310"/>
      <c r="AE37" s="505"/>
      <c r="AF37" s="505"/>
      <c r="AG37" s="505"/>
      <c r="AH37" s="505"/>
      <c r="AI37" s="505"/>
      <c r="AJ37" s="505"/>
      <c r="AK37" s="505"/>
      <c r="AL37" s="505"/>
      <c r="AM37" s="505"/>
      <c r="AN37" s="505"/>
      <c r="AO37" s="505"/>
      <c r="AP37" s="505"/>
      <c r="AQ37" s="505"/>
      <c r="AR37" s="505"/>
      <c r="AS37" s="505"/>
      <c r="AT37" s="623"/>
      <c r="AU37" s="623"/>
      <c r="AV37" s="623"/>
      <c r="AW37" s="623"/>
      <c r="AX37" s="623"/>
      <c r="AY37" s="623"/>
      <c r="AZ37" s="623"/>
      <c r="BA37" s="623"/>
      <c r="BB37" s="623"/>
      <c r="BC37" s="623"/>
      <c r="BD37" s="623"/>
      <c r="BE37" s="623"/>
      <c r="BF37" s="11"/>
    </row>
    <row r="38" spans="1:58">
      <c r="A38" s="82"/>
      <c r="B38" s="82"/>
      <c r="C38" s="81"/>
      <c r="D38" s="81"/>
      <c r="E38" s="81"/>
      <c r="F38" s="81"/>
      <c r="G38" s="445"/>
      <c r="H38" s="445"/>
      <c r="I38" s="1"/>
      <c r="M38" s="424" t="str">
        <f>'Конфигурация TREI'!A39</f>
        <v>BR37</v>
      </c>
      <c r="N38" s="424">
        <f>'Конфигурация TREI'!B39</f>
        <v>0</v>
      </c>
      <c r="AC38" s="310"/>
      <c r="AD38" s="310"/>
      <c r="AE38" s="505"/>
      <c r="AF38" s="505"/>
      <c r="AG38" s="505"/>
      <c r="AH38" s="505"/>
      <c r="AI38" s="505"/>
      <c r="AJ38" s="505"/>
      <c r="AK38" s="505"/>
      <c r="AL38" s="505"/>
      <c r="AM38" s="505"/>
      <c r="AN38" s="505"/>
      <c r="AO38" s="505"/>
      <c r="AP38" s="505"/>
      <c r="AQ38" s="505"/>
      <c r="AR38" s="505"/>
      <c r="AS38" s="505"/>
      <c r="AT38" s="623"/>
      <c r="AU38" s="623"/>
      <c r="AV38" s="623"/>
      <c r="AW38" s="623"/>
      <c r="AX38" s="623"/>
      <c r="AY38" s="623"/>
      <c r="AZ38" s="623"/>
      <c r="BA38" s="623"/>
      <c r="BB38" s="623"/>
      <c r="BC38" s="623"/>
      <c r="BD38" s="623"/>
      <c r="BE38" s="623"/>
      <c r="BF38" s="11"/>
    </row>
    <row r="39" spans="1:58">
      <c r="A39" s="82"/>
      <c r="B39" s="82"/>
      <c r="C39" s="81"/>
      <c r="D39" s="81"/>
      <c r="E39" s="81"/>
      <c r="F39" s="81"/>
      <c r="G39" s="445"/>
      <c r="H39" s="445"/>
      <c r="I39" s="1"/>
      <c r="M39" s="424" t="str">
        <f>'Конфигурация TREI'!A40</f>
        <v>BR38</v>
      </c>
      <c r="N39" s="424">
        <f>'Конфигурация TREI'!B40</f>
        <v>0</v>
      </c>
      <c r="AC39" s="310"/>
      <c r="AD39" s="310"/>
      <c r="AE39" s="505"/>
      <c r="AF39" s="505"/>
      <c r="AG39" s="505"/>
      <c r="AH39" s="505"/>
      <c r="AI39" s="505"/>
      <c r="AJ39" s="505"/>
      <c r="AK39" s="505"/>
      <c r="AL39" s="505"/>
      <c r="AM39" s="505"/>
      <c r="AN39" s="505"/>
      <c r="AO39" s="505"/>
      <c r="AP39" s="505"/>
      <c r="AQ39" s="505"/>
      <c r="AR39" s="505"/>
      <c r="AS39" s="505"/>
      <c r="AT39" s="623"/>
      <c r="AU39" s="623"/>
      <c r="AV39" s="623"/>
      <c r="AW39" s="623"/>
      <c r="AX39" s="623"/>
      <c r="AY39" s="623"/>
      <c r="AZ39" s="623"/>
      <c r="BA39" s="623"/>
      <c r="BB39" s="623"/>
      <c r="BC39" s="623"/>
      <c r="BD39" s="623"/>
      <c r="BE39" s="623"/>
      <c r="BF39" s="11"/>
    </row>
    <row r="40" spans="1:58">
      <c r="A40" s="82"/>
      <c r="B40" s="82"/>
      <c r="C40" s="81"/>
      <c r="D40" s="81"/>
      <c r="E40" s="81"/>
      <c r="F40" s="81"/>
      <c r="G40" s="445"/>
      <c r="H40" s="445"/>
      <c r="I40" s="1"/>
      <c r="M40" s="424" t="str">
        <f>'Конфигурация TREI'!A41</f>
        <v>BR39</v>
      </c>
      <c r="N40" s="424">
        <f>'Конфигурация TREI'!B41</f>
        <v>0</v>
      </c>
      <c r="AC40" s="310"/>
      <c r="AD40" s="310"/>
      <c r="AE40" s="505"/>
      <c r="AF40" s="505"/>
      <c r="AG40" s="505"/>
      <c r="AH40" s="505"/>
      <c r="AI40" s="505"/>
      <c r="AJ40" s="505"/>
      <c r="AK40" s="505"/>
      <c r="AL40" s="505"/>
      <c r="AM40" s="505"/>
      <c r="AN40" s="505"/>
      <c r="AO40" s="505"/>
      <c r="AP40" s="505"/>
      <c r="AQ40" s="505"/>
      <c r="AR40" s="505"/>
      <c r="AS40" s="505"/>
      <c r="AT40" s="623"/>
      <c r="AU40" s="623"/>
      <c r="AV40" s="623"/>
      <c r="AW40" s="623"/>
      <c r="AX40" s="623"/>
      <c r="AY40" s="623"/>
      <c r="AZ40" s="623"/>
      <c r="BA40" s="623"/>
      <c r="BB40" s="623"/>
      <c r="BC40" s="623"/>
      <c r="BD40" s="623"/>
      <c r="BE40" s="623"/>
      <c r="BF40" s="11"/>
    </row>
    <row r="41" spans="1:58">
      <c r="A41" s="82"/>
      <c r="B41" s="82"/>
      <c r="C41" s="81"/>
      <c r="D41" s="81"/>
      <c r="E41" s="81"/>
      <c r="F41" s="81"/>
      <c r="G41" s="445"/>
      <c r="H41" s="445"/>
      <c r="I41" s="1"/>
      <c r="M41" s="424" t="str">
        <f>'Конфигурация TREI'!A42</f>
        <v>BR40</v>
      </c>
      <c r="N41" s="424">
        <f>'Конфигурация TREI'!B42</f>
        <v>0</v>
      </c>
      <c r="AC41" s="310"/>
      <c r="AD41" s="310"/>
      <c r="AE41" s="505"/>
      <c r="AF41" s="505"/>
      <c r="AG41" s="505"/>
      <c r="AH41" s="505"/>
      <c r="AI41" s="505"/>
      <c r="AJ41" s="505"/>
      <c r="AK41" s="505"/>
      <c r="AL41" s="505"/>
      <c r="AM41" s="505"/>
      <c r="AN41" s="505"/>
      <c r="AO41" s="505"/>
      <c r="AP41" s="505"/>
      <c r="AQ41" s="505"/>
      <c r="AR41" s="505"/>
      <c r="AS41" s="505"/>
      <c r="AT41" s="623"/>
      <c r="AU41" s="623"/>
      <c r="AV41" s="623"/>
      <c r="AW41" s="623"/>
      <c r="AX41" s="623"/>
      <c r="AY41" s="623"/>
      <c r="AZ41" s="623"/>
      <c r="BA41" s="623"/>
      <c r="BB41" s="623"/>
      <c r="BC41" s="623"/>
      <c r="BD41" s="623"/>
      <c r="BE41" s="623"/>
      <c r="BF41" s="11"/>
    </row>
    <row r="42" spans="1:58">
      <c r="A42" s="82"/>
      <c r="B42" s="82"/>
      <c r="C42" s="81"/>
      <c r="D42" s="81"/>
      <c r="E42" s="81"/>
      <c r="F42" s="81"/>
      <c r="G42" s="445"/>
      <c r="H42" s="445"/>
      <c r="I42" s="1"/>
      <c r="M42" s="424" t="str">
        <f>'Конфигурация TREI'!A43</f>
        <v>BR41</v>
      </c>
      <c r="N42" s="424">
        <f>'Конфигурация TREI'!B43</f>
        <v>0</v>
      </c>
      <c r="AC42" s="310"/>
      <c r="AD42" s="310"/>
      <c r="AE42" s="505"/>
      <c r="AF42" s="505"/>
      <c r="AG42" s="505"/>
      <c r="AH42" s="505"/>
      <c r="AI42" s="505"/>
      <c r="AJ42" s="505"/>
      <c r="AK42" s="505"/>
      <c r="AL42" s="505"/>
      <c r="AM42" s="505"/>
      <c r="AN42" s="505"/>
      <c r="AO42" s="505"/>
      <c r="AP42" s="505"/>
      <c r="AQ42" s="505"/>
      <c r="AR42" s="505"/>
      <c r="AS42" s="505"/>
      <c r="AT42" s="623"/>
      <c r="AU42" s="623"/>
      <c r="AV42" s="623"/>
      <c r="AW42" s="623"/>
      <c r="AX42" s="623"/>
      <c r="AY42" s="623"/>
      <c r="AZ42" s="623"/>
      <c r="BA42" s="623"/>
      <c r="BB42" s="623"/>
      <c r="BC42" s="623"/>
      <c r="BD42" s="623"/>
      <c r="BE42" s="623"/>
      <c r="BF42" s="11"/>
    </row>
    <row r="43" spans="1:58">
      <c r="A43" s="82"/>
      <c r="B43" s="82"/>
      <c r="C43" s="81"/>
      <c r="D43" s="81"/>
      <c r="E43" s="81"/>
      <c r="F43" s="81"/>
      <c r="G43" s="445"/>
      <c r="H43" s="445"/>
      <c r="I43" s="1"/>
      <c r="M43" s="424" t="str">
        <f>'Конфигурация TREI'!A44</f>
        <v>BR42</v>
      </c>
      <c r="N43" s="424">
        <f>'Конфигурация TREI'!B44</f>
        <v>0</v>
      </c>
      <c r="AC43" s="310"/>
      <c r="AD43" s="310"/>
      <c r="AE43" s="505"/>
      <c r="AF43" s="505"/>
      <c r="AG43" s="505"/>
      <c r="AH43" s="505"/>
      <c r="AI43" s="505"/>
      <c r="AJ43" s="505"/>
      <c r="AK43" s="505"/>
      <c r="AL43" s="505"/>
      <c r="AM43" s="505"/>
      <c r="AN43" s="505"/>
      <c r="AO43" s="505"/>
      <c r="AP43" s="505"/>
      <c r="AQ43" s="505"/>
      <c r="AR43" s="505"/>
      <c r="AS43" s="505"/>
      <c r="AT43" s="623"/>
      <c r="AU43" s="623"/>
      <c r="AV43" s="623"/>
      <c r="AW43" s="623"/>
      <c r="AX43" s="623"/>
      <c r="AY43" s="623"/>
      <c r="AZ43" s="623"/>
      <c r="BA43" s="623"/>
      <c r="BB43" s="623"/>
      <c r="BC43" s="623"/>
      <c r="BD43" s="623"/>
      <c r="BE43" s="623"/>
      <c r="BF43" s="11"/>
    </row>
    <row r="44" spans="1:58">
      <c r="A44" s="82"/>
      <c r="B44" s="82"/>
      <c r="C44" s="81"/>
      <c r="D44" s="81"/>
      <c r="E44" s="81"/>
      <c r="F44" s="81"/>
      <c r="G44" s="445"/>
      <c r="H44" s="445"/>
      <c r="I44" s="1"/>
      <c r="M44" s="424" t="str">
        <f>'Конфигурация TREI'!A45</f>
        <v>BR43</v>
      </c>
      <c r="N44" s="424">
        <f>'Конфигурация TREI'!B45</f>
        <v>0</v>
      </c>
      <c r="AC44" s="310"/>
      <c r="AD44" s="310"/>
      <c r="AE44" s="505"/>
      <c r="AF44" s="505"/>
      <c r="AG44" s="505"/>
      <c r="AH44" s="505"/>
      <c r="AI44" s="505"/>
      <c r="AJ44" s="505"/>
      <c r="AK44" s="505"/>
      <c r="AL44" s="505"/>
      <c r="AM44" s="505"/>
      <c r="AN44" s="505"/>
      <c r="AO44" s="505"/>
      <c r="AP44" s="505"/>
      <c r="AQ44" s="505"/>
      <c r="AR44" s="505"/>
      <c r="AS44" s="505"/>
      <c r="AT44" s="623"/>
      <c r="AU44" s="623"/>
      <c r="AV44" s="623"/>
      <c r="AW44" s="623"/>
      <c r="AX44" s="623"/>
      <c r="AY44" s="623"/>
      <c r="AZ44" s="623"/>
      <c r="BA44" s="623"/>
      <c r="BB44" s="623"/>
      <c r="BC44" s="623"/>
      <c r="BD44" s="623"/>
      <c r="BE44" s="623"/>
      <c r="BF44" s="11"/>
    </row>
    <row r="45" spans="1:58">
      <c r="A45" s="82"/>
      <c r="B45" s="82"/>
      <c r="C45" s="81"/>
      <c r="D45" s="81"/>
      <c r="E45" s="81"/>
      <c r="F45" s="81"/>
      <c r="G45" s="445"/>
      <c r="H45" s="445"/>
      <c r="I45" s="1"/>
      <c r="M45" s="424" t="str">
        <f>'Конфигурация TREI'!A46</f>
        <v>BR44</v>
      </c>
      <c r="N45" s="424">
        <f>'Конфигурация TREI'!B46</f>
        <v>0</v>
      </c>
      <c r="AC45" s="310"/>
      <c r="AD45" s="310"/>
      <c r="AE45" s="505"/>
      <c r="AF45" s="505"/>
      <c r="AG45" s="505"/>
      <c r="AH45" s="505"/>
      <c r="AI45" s="505"/>
      <c r="AJ45" s="505"/>
      <c r="AK45" s="505"/>
      <c r="AL45" s="505"/>
      <c r="AM45" s="505"/>
      <c r="AN45" s="505"/>
      <c r="AO45" s="505"/>
      <c r="AP45" s="505"/>
      <c r="AQ45" s="505"/>
      <c r="AR45" s="505"/>
      <c r="AS45" s="505"/>
      <c r="AT45" s="623"/>
      <c r="AU45" s="623"/>
      <c r="AV45" s="623"/>
      <c r="AW45" s="623"/>
      <c r="AX45" s="623"/>
      <c r="AY45" s="623"/>
      <c r="AZ45" s="623"/>
      <c r="BA45" s="623"/>
      <c r="BB45" s="623"/>
      <c r="BC45" s="623"/>
      <c r="BD45" s="623"/>
      <c r="BE45" s="623"/>
      <c r="BF45" s="11"/>
    </row>
    <row r="46" spans="1:58">
      <c r="A46" s="82"/>
      <c r="B46" s="82"/>
      <c r="C46" s="81"/>
      <c r="D46" s="81"/>
      <c r="E46" s="81"/>
      <c r="F46" s="81"/>
      <c r="G46" s="445"/>
      <c r="H46" s="445"/>
      <c r="I46" s="1"/>
      <c r="M46" s="424" t="str">
        <f>'Конфигурация TREI'!A47</f>
        <v>BR45</v>
      </c>
      <c r="N46" s="424">
        <f>'Конфигурация TREI'!B47</f>
        <v>0</v>
      </c>
      <c r="AE46" s="505"/>
      <c r="AF46" s="505"/>
      <c r="AG46" s="505"/>
      <c r="AH46" s="505"/>
      <c r="AI46" s="505"/>
      <c r="AJ46" s="505"/>
      <c r="AK46" s="505"/>
      <c r="AL46" s="505"/>
      <c r="AM46" s="505"/>
      <c r="AN46" s="505"/>
      <c r="AO46" s="505"/>
      <c r="AP46" s="505"/>
      <c r="AQ46" s="505"/>
      <c r="AR46" s="505"/>
      <c r="AS46" s="505"/>
      <c r="AT46" s="623"/>
      <c r="AU46" s="623"/>
      <c r="AV46" s="623"/>
      <c r="AW46" s="623"/>
      <c r="AX46" s="623"/>
      <c r="AY46" s="623"/>
      <c r="AZ46" s="623"/>
      <c r="BA46" s="623"/>
      <c r="BB46" s="623"/>
      <c r="BC46" s="623"/>
      <c r="BD46" s="623"/>
      <c r="BE46" s="623"/>
    </row>
    <row r="47" spans="1:58">
      <c r="A47" s="82"/>
      <c r="B47" s="82"/>
      <c r="C47" s="81"/>
      <c r="D47" s="81"/>
      <c r="E47" s="81"/>
      <c r="F47" s="81"/>
      <c r="G47" s="445"/>
      <c r="H47" s="445"/>
      <c r="I47" s="1"/>
      <c r="M47" s="424" t="str">
        <f>'Конфигурация TREI'!A48</f>
        <v>BR46</v>
      </c>
      <c r="N47" s="424">
        <f>'Конфигурация TREI'!B48</f>
        <v>0</v>
      </c>
      <c r="AE47" s="505"/>
      <c r="AF47" s="505"/>
      <c r="AG47" s="505"/>
      <c r="AH47" s="505"/>
      <c r="AI47" s="505"/>
      <c r="AJ47" s="505"/>
      <c r="AK47" s="505"/>
      <c r="AL47" s="505"/>
      <c r="AM47" s="505"/>
      <c r="AN47" s="505"/>
      <c r="AO47" s="505"/>
      <c r="AP47" s="505"/>
      <c r="AQ47" s="505"/>
      <c r="AR47" s="505"/>
      <c r="AS47" s="505"/>
      <c r="AT47" s="623"/>
      <c r="AU47" s="623"/>
      <c r="AV47" s="623"/>
      <c r="AW47" s="623"/>
      <c r="AX47" s="623"/>
      <c r="AY47" s="623"/>
      <c r="AZ47" s="623"/>
      <c r="BA47" s="623"/>
      <c r="BB47" s="623"/>
      <c r="BC47" s="623"/>
      <c r="BD47" s="623"/>
      <c r="BE47" s="623"/>
    </row>
    <row r="48" spans="1:58">
      <c r="A48" s="82"/>
      <c r="B48" s="82"/>
      <c r="C48" s="81"/>
      <c r="D48" s="81"/>
      <c r="E48" s="81"/>
      <c r="F48" s="81"/>
      <c r="G48" s="445"/>
      <c r="H48" s="445"/>
      <c r="I48" s="1"/>
      <c r="M48" s="424" t="str">
        <f>'Конфигурация TREI'!A49</f>
        <v>BR47</v>
      </c>
      <c r="N48" s="424">
        <f>'Конфигурация TREI'!B49</f>
        <v>0</v>
      </c>
      <c r="AE48" s="505"/>
      <c r="AF48" s="505"/>
      <c r="AG48" s="505"/>
      <c r="AH48" s="505"/>
      <c r="AI48" s="505"/>
      <c r="AJ48" s="505"/>
      <c r="AK48" s="505"/>
      <c r="AL48" s="505"/>
      <c r="AM48" s="505"/>
      <c r="AN48" s="505"/>
      <c r="AO48" s="505"/>
      <c r="AP48" s="505"/>
      <c r="AQ48" s="505"/>
      <c r="AR48" s="505"/>
      <c r="AS48" s="505"/>
      <c r="AT48" s="623"/>
      <c r="AU48" s="623"/>
      <c r="AV48" s="623"/>
      <c r="AW48" s="623"/>
      <c r="AX48" s="623"/>
      <c r="AY48" s="623"/>
      <c r="AZ48" s="623"/>
      <c r="BA48" s="623"/>
      <c r="BB48" s="623"/>
      <c r="BC48" s="623"/>
      <c r="BD48" s="623"/>
      <c r="BE48" s="623"/>
    </row>
    <row r="49" spans="1:57">
      <c r="A49" s="1"/>
      <c r="B49" s="1"/>
      <c r="C49" s="1"/>
      <c r="D49" s="1"/>
      <c r="E49" s="1"/>
      <c r="F49" s="1"/>
      <c r="G49" s="1"/>
      <c r="H49" s="1"/>
      <c r="I49" s="1"/>
      <c r="M49" s="424" t="str">
        <f>'Конфигурация TREI'!A50</f>
        <v>BR48</v>
      </c>
      <c r="N49" s="424">
        <f>'Конфигурация TREI'!B50</f>
        <v>0</v>
      </c>
      <c r="AE49" s="505"/>
      <c r="AF49" s="505"/>
      <c r="AG49" s="505"/>
      <c r="AH49" s="505"/>
      <c r="AI49" s="505"/>
      <c r="AJ49" s="505"/>
      <c r="AK49" s="505"/>
      <c r="AL49" s="505"/>
      <c r="AM49" s="505"/>
      <c r="AN49" s="505"/>
      <c r="AO49" s="505"/>
      <c r="AP49" s="505"/>
      <c r="AQ49" s="505"/>
      <c r="AR49" s="505"/>
      <c r="AS49" s="505"/>
      <c r="AT49" s="623"/>
      <c r="AU49" s="623"/>
      <c r="AV49" s="623"/>
      <c r="AW49" s="623"/>
      <c r="AX49" s="623"/>
      <c r="AY49" s="623"/>
      <c r="AZ49" s="623"/>
      <c r="BA49" s="623"/>
      <c r="BB49" s="623"/>
      <c r="BC49" s="623"/>
      <c r="BD49" s="623"/>
      <c r="BE49" s="623"/>
    </row>
    <row r="50" spans="1:57" s="4" customFormat="1">
      <c r="A50" s="446" t="str">
        <f>"//*********** "&amp;Q2&amp;" ***********"</f>
        <v>//*********** Дискретный выход (XVLX+DVXX) ***********</v>
      </c>
      <c r="B50" s="446"/>
      <c r="C50" s="446"/>
      <c r="D50" s="446"/>
      <c r="E50" s="446"/>
      <c r="F50" s="446" t="s">
        <v>1031</v>
      </c>
      <c r="G50" s="489"/>
      <c r="H50" s="489"/>
      <c r="I50" s="490"/>
      <c r="J50" s="490" t="s">
        <v>1311</v>
      </c>
      <c r="K50" s="490" t="s">
        <v>1309</v>
      </c>
      <c r="L50" s="491" t="s">
        <v>1310</v>
      </c>
      <c r="M50" s="424" t="str">
        <f>'Конфигурация TREI'!A51</f>
        <v>BR49</v>
      </c>
      <c r="N50" s="424">
        <f>'Конфигурация TREI'!B51</f>
        <v>0</v>
      </c>
      <c r="R50" s="381"/>
      <c r="S50" s="381"/>
      <c r="T50" s="381"/>
      <c r="U50" s="381"/>
      <c r="V50" s="381"/>
      <c r="W50" s="381"/>
      <c r="X50" s="381"/>
      <c r="Y50" s="381"/>
      <c r="Z50" s="381"/>
      <c r="AA50" s="381"/>
      <c r="AB50" s="381"/>
      <c r="AC50" s="381"/>
      <c r="AD50" s="381"/>
      <c r="AE50" s="505"/>
      <c r="AF50" s="505"/>
      <c r="AG50" s="505"/>
      <c r="AH50" s="505"/>
      <c r="AI50" s="505"/>
      <c r="AJ50" s="505"/>
      <c r="AK50" s="505"/>
      <c r="AL50" s="505"/>
      <c r="AM50" s="505"/>
      <c r="AN50" s="505"/>
      <c r="AO50" s="505"/>
      <c r="AP50" s="505"/>
      <c r="AQ50" s="505"/>
      <c r="AR50" s="505"/>
      <c r="AS50" s="505"/>
      <c r="AT50" s="623"/>
      <c r="AU50" s="623"/>
      <c r="AV50" s="623"/>
      <c r="AW50" s="623"/>
      <c r="AX50" s="623"/>
      <c r="AY50" s="623"/>
      <c r="AZ50" s="623"/>
      <c r="BA50" s="623"/>
      <c r="BB50" s="623"/>
      <c r="BC50" s="623"/>
      <c r="BD50" s="623"/>
      <c r="BE50" s="623"/>
    </row>
    <row r="51" spans="1:57">
      <c r="A51" s="457"/>
      <c r="B51" s="457" t="s">
        <v>1213</v>
      </c>
      <c r="C51" s="455" t="str">
        <f>LEFT($L51,FIND("+",$L51,1)-1)</f>
        <v>2</v>
      </c>
      <c r="D51" s="455" t="s">
        <v>178</v>
      </c>
      <c r="E51" s="446" t="str">
        <f ca="1">IFERROR(IF(OR($I51="-", $H51="0"),"КАНАЛ ОТСУТСТВУЕТ",IF($I51=0,"МОДУЛЬ ОТСУТСТВУЕТ",IF(LEFT($I51,3)="out","УДАЛИТЬ",I51))),IF($K51=0,"УДАЛИТЬ","ОШИБКА ФОРМАТА"))</f>
        <v>Canal_16</v>
      </c>
      <c r="F51" s="455" t="str">
        <f>" :="&amp;IF(LEFT(SUBSTITUTE($K51," ",""),1)="!","NOT  ","")&amp;SUBSTITUTE($P$2,"\","|")&amp;"|"&amp; $J51 &amp;";"</f>
        <v xml:space="preserve"> :=DO_DIAG|XVLX;</v>
      </c>
      <c r="G51" s="445" t="str">
        <f>INDEX($N$2:$N$61,C51)</f>
        <v>M548A</v>
      </c>
      <c r="H51" s="445" t="str">
        <f>RIGHT($L51,LEN($L51)-FIND("+",$L51,1))</f>
        <v>16</v>
      </c>
      <c r="I51" s="460" t="str">
        <f ca="1">INDIRECT(ADDRESS($H51+1,MATCH($G51,$1:$1,),1))</f>
        <v>Canal_16</v>
      </c>
      <c r="J51" s="502" t="str">
        <f>$R$1</f>
        <v>XVLX</v>
      </c>
      <c r="K51" s="503" t="str">
        <f>$R$2</f>
        <v>2+16</v>
      </c>
      <c r="L51" s="504" t="str">
        <f>$R$3</f>
        <v>2+16</v>
      </c>
      <c r="M51" s="424" t="str">
        <f>'Конфигурация TREI'!A52</f>
        <v>BR50</v>
      </c>
      <c r="N51" s="424">
        <f>'Конфигурация TREI'!B52</f>
        <v>0</v>
      </c>
      <c r="AE51" s="505"/>
      <c r="AF51" s="505"/>
      <c r="AG51" s="505"/>
      <c r="AH51" s="505"/>
      <c r="AI51" s="505"/>
      <c r="AJ51" s="505"/>
      <c r="AK51" s="505"/>
      <c r="AL51" s="505"/>
      <c r="AM51" s="505"/>
      <c r="AN51" s="505"/>
      <c r="AO51" s="505"/>
      <c r="AP51" s="505"/>
      <c r="AQ51" s="505"/>
      <c r="AR51" s="505"/>
      <c r="AS51" s="505"/>
      <c r="AT51" s="623"/>
      <c r="AU51" s="623"/>
      <c r="AV51" s="623"/>
      <c r="AW51" s="623"/>
      <c r="AX51" s="623"/>
      <c r="AY51" s="623"/>
      <c r="AZ51" s="623"/>
      <c r="BA51" s="623"/>
      <c r="BB51" s="623"/>
      <c r="BC51" s="623"/>
      <c r="BD51" s="623"/>
      <c r="BE51" s="623"/>
    </row>
    <row r="52" spans="1:57">
      <c r="A52" s="457"/>
      <c r="B52" s="457" t="s">
        <v>1213</v>
      </c>
      <c r="C52" s="455" t="str">
        <f>LEFT($L52,FIND("+",$L52,1)-1)</f>
        <v>2</v>
      </c>
      <c r="D52" s="455"/>
      <c r="E52" s="446" t="str">
        <f ca="1">IFERROR(IF(OR($I51="-", $H51="0"),"КАНАЛ ОТСУТСТВУЕТ",IF($I51=0,"МОДУЛЬ ОТСУТСТВУЕТ",IF(LEFT($I51,3)="out",".ODIG_MASK:=SETBIT("&amp;IF(LEFT(SUBSTITUTE($K51," ",""),1)="!","NOT  ","")&amp;SUBSTITUTE($P$2,"\","|")&amp;"|"&amp; $J51&amp;"@"&amp;REPLACE($I51,1,3,"")&amp;"@BR"&amp;$C51,"УДАЛИТЬ"))),"УДАЛИТЬ")</f>
        <v>УДАЛИТЬ</v>
      </c>
      <c r="F52" s="455" t="str">
        <f>".ODIG_MASK);"</f>
        <v>.ODIG_MASK);</v>
      </c>
      <c r="G52" s="445" t="str">
        <f>INDEX($N$2:$N$61,C52)</f>
        <v>M548A</v>
      </c>
      <c r="H52" s="445" t="str">
        <f>RIGHT($L52,LEN($L52)-FIND("+",$L52,1))</f>
        <v>16</v>
      </c>
      <c r="I52" s="460" t="str">
        <f ca="1">INDIRECT(ADDRESS($H52+1,MATCH($G52,$1:$1,),1))</f>
        <v>Canal_16</v>
      </c>
      <c r="J52" s="502" t="str">
        <f>$R$1</f>
        <v>XVLX</v>
      </c>
      <c r="K52" s="503" t="str">
        <f>$R$2</f>
        <v>2+16</v>
      </c>
      <c r="L52" s="504" t="str">
        <f>$R$3</f>
        <v>2+16</v>
      </c>
      <c r="M52" s="424" t="str">
        <f>'Конфигурация TREI'!A53</f>
        <v>BR51</v>
      </c>
      <c r="N52" s="424">
        <f>'Конфигурация TREI'!B53</f>
        <v>0</v>
      </c>
      <c r="AE52" s="505"/>
      <c r="AF52" s="505"/>
      <c r="AG52" s="505"/>
      <c r="AH52" s="505"/>
      <c r="AI52" s="505"/>
      <c r="AJ52" s="505"/>
      <c r="AK52" s="505"/>
      <c r="AL52" s="505"/>
      <c r="AM52" s="505"/>
      <c r="AN52" s="505"/>
      <c r="AO52" s="505"/>
      <c r="AP52" s="505"/>
      <c r="AQ52" s="505"/>
      <c r="AR52" s="505"/>
      <c r="AS52" s="505"/>
      <c r="AT52" s="623"/>
      <c r="AU52" s="623"/>
      <c r="AV52" s="623"/>
      <c r="AW52" s="623"/>
      <c r="AX52" s="623"/>
      <c r="AY52" s="623"/>
      <c r="AZ52" s="623"/>
      <c r="BA52" s="623"/>
      <c r="BB52" s="623"/>
      <c r="BC52" s="623"/>
      <c r="BD52" s="623"/>
      <c r="BE52" s="623"/>
    </row>
    <row r="53" spans="1:57">
      <c r="A53" s="457" t="str">
        <f>SUBSTITUTE($P$2,"\","|")&amp;"|"&amp;"DVXX:="&amp;P4&amp;"NOT_LINK_BR"</f>
        <v>DO_DIAG|DVXX:=NOT_LINK_BR</v>
      </c>
      <c r="B53" s="457"/>
      <c r="C53" s="455"/>
      <c r="D53" s="455"/>
      <c r="E53" s="455" t="str">
        <f>IFERROR(LEFT($L53,FIND("+",$L53,1)-1),"УДАЛИТЬ")</f>
        <v>2</v>
      </c>
      <c r="F53" s="455" t="s">
        <v>845</v>
      </c>
      <c r="G53" s="445"/>
      <c r="H53" s="445"/>
      <c r="I53" s="459"/>
      <c r="J53" s="502" t="str">
        <f>$R$1</f>
        <v>XVLX</v>
      </c>
      <c r="K53" s="503" t="str">
        <f>$R$2</f>
        <v>2+16</v>
      </c>
      <c r="L53" s="504" t="str">
        <f>$R$3</f>
        <v>2+16</v>
      </c>
      <c r="M53" s="424" t="str">
        <f>'Конфигурация TREI'!A54</f>
        <v>BR52</v>
      </c>
      <c r="N53" s="424">
        <f>'Конфигурация TREI'!B54</f>
        <v>0</v>
      </c>
      <c r="AE53" s="505"/>
      <c r="AF53" s="505"/>
      <c r="AG53" s="505"/>
      <c r="AH53" s="505"/>
      <c r="AI53" s="505"/>
      <c r="AJ53" s="505"/>
      <c r="AK53" s="505"/>
      <c r="AL53" s="505"/>
      <c r="AM53" s="505"/>
      <c r="AN53" s="505"/>
      <c r="AO53" s="505"/>
      <c r="AP53" s="505"/>
      <c r="AQ53" s="505"/>
      <c r="AR53" s="505"/>
      <c r="AS53" s="505"/>
      <c r="AT53" s="623"/>
      <c r="AU53" s="623"/>
      <c r="AV53" s="623"/>
      <c r="AW53" s="623"/>
      <c r="AX53" s="623"/>
      <c r="AY53" s="623"/>
      <c r="AZ53" s="623"/>
      <c r="BA53" s="623"/>
      <c r="BB53" s="623"/>
      <c r="BC53" s="623"/>
      <c r="BD53" s="623"/>
      <c r="BE53" s="623"/>
    </row>
    <row r="54" spans="1:57">
      <c r="M54" s="424" t="str">
        <f>'Конфигурация TREI'!A55</f>
        <v>BR53</v>
      </c>
      <c r="N54" s="424">
        <f>'Конфигурация TREI'!B55</f>
        <v>0</v>
      </c>
    </row>
    <row r="55" spans="1:57">
      <c r="M55" s="424" t="str">
        <f>'Конфигурация TREI'!A56</f>
        <v>BR54</v>
      </c>
      <c r="N55" s="424">
        <f>'Конфигурация TREI'!B56</f>
        <v>0</v>
      </c>
    </row>
    <row r="56" spans="1:57">
      <c r="M56" s="424" t="str">
        <f>'Конфигурация TREI'!A57</f>
        <v>BR55</v>
      </c>
      <c r="N56" s="424">
        <f>'Конфигурация TREI'!B57</f>
        <v>0</v>
      </c>
    </row>
    <row r="57" spans="1:57">
      <c r="M57" s="424" t="str">
        <f>'Конфигурация TREI'!A58</f>
        <v>BR56</v>
      </c>
      <c r="N57" s="424">
        <f>'Конфигурация TREI'!B58</f>
        <v>0</v>
      </c>
    </row>
    <row r="58" spans="1:57">
      <c r="M58" s="424" t="str">
        <f>'Конфигурация TREI'!A59</f>
        <v>BR57</v>
      </c>
      <c r="N58" s="424">
        <f>'Конфигурация TREI'!B59</f>
        <v>0</v>
      </c>
    </row>
    <row r="59" spans="1:57">
      <c r="M59" s="424" t="str">
        <f>'Конфигурация TREI'!A60</f>
        <v>BR58</v>
      </c>
      <c r="N59" s="424">
        <f>'Конфигурация TREI'!B60</f>
        <v>0</v>
      </c>
    </row>
    <row r="60" spans="1:57">
      <c r="M60" s="424" t="str">
        <f>'Конфигурация TREI'!A61</f>
        <v>BR59</v>
      </c>
      <c r="N60" s="424">
        <f>'Конфигурация TREI'!B61</f>
        <v>0</v>
      </c>
    </row>
    <row r="61" spans="1:57">
      <c r="M61" s="424" t="str">
        <f>'Конфигурация TREI'!A62</f>
        <v>BR60</v>
      </c>
      <c r="N61" s="424">
        <f>'Конфигурация TREI'!B62</f>
        <v>0</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sheetPr codeName="Лист111">
    <tabColor theme="2" tint="-0.249977111117893"/>
  </sheetPr>
  <dimension ref="A1:BL61"/>
  <sheetViews>
    <sheetView workbookViewId="0">
      <selection activeCell="P2" sqref="P2:AD2"/>
    </sheetView>
  </sheetViews>
  <sheetFormatPr defaultRowHeight="14.4"/>
  <cols>
    <col min="1" max="1" width="35.44140625" customWidth="1"/>
    <col min="2" max="2" width="21.44140625" customWidth="1"/>
    <col min="3" max="3" width="3.44140625" customWidth="1"/>
    <col min="4" max="4" width="1.109375" customWidth="1"/>
    <col min="5" max="5" width="33.44140625" customWidth="1"/>
    <col min="6" max="6" width="17.6640625" customWidth="1"/>
    <col min="7" max="7" width="10.5546875" customWidth="1"/>
    <col min="8" max="8" width="14.33203125" customWidth="1"/>
    <col min="9" max="9" width="19.33203125" style="456" customWidth="1"/>
    <col min="10" max="10" width="9.109375" style="456" customWidth="1"/>
    <col min="11" max="11" width="10.88671875" customWidth="1"/>
    <col min="12" max="12" width="11.5546875" customWidth="1"/>
    <col min="13" max="13" width="10.6640625" bestFit="1" customWidth="1"/>
    <col min="14" max="14" width="8.109375" bestFit="1" customWidth="1"/>
    <col min="15" max="15" width="9.109375" customWidth="1"/>
    <col min="16" max="16" width="34.6640625" customWidth="1"/>
    <col min="17" max="17" width="39.33203125" customWidth="1"/>
    <col min="18" max="30" width="26.109375" style="55" customWidth="1"/>
    <col min="31" max="31" width="4.5546875" style="427" customWidth="1"/>
    <col min="32" max="32" width="11.109375" customWidth="1"/>
    <col min="47" max="64" width="9.109375" style="456"/>
  </cols>
  <sheetData>
    <row r="1" spans="1:57">
      <c r="A1" s="425"/>
      <c r="B1" s="425"/>
      <c r="C1" s="425"/>
      <c r="D1" s="425"/>
      <c r="E1" s="425"/>
      <c r="F1" s="425"/>
      <c r="G1" s="426" t="s">
        <v>846</v>
      </c>
      <c r="H1" s="426" t="s">
        <v>847</v>
      </c>
      <c r="I1" s="424" t="s">
        <v>1181</v>
      </c>
      <c r="J1" s="493"/>
      <c r="M1" s="424" t="str">
        <f>'Конфигурация TREI'!A1</f>
        <v>№ Модуля</v>
      </c>
      <c r="N1" s="461" t="str">
        <f>'Конфигурация TREI'!B2</f>
        <v>M501E(рез)</v>
      </c>
      <c r="O1" s="425"/>
      <c r="P1" s="425" t="str">
        <f>Таблица!D1</f>
        <v>Префикс для TREI
Тэг ОРС для INFINITY</v>
      </c>
      <c r="Q1" s="425" t="str">
        <f>Таблица!E1</f>
        <v>Комментарий для TREI и INFINITY</v>
      </c>
      <c r="R1" s="428"/>
      <c r="S1" s="428" t="s">
        <v>858</v>
      </c>
      <c r="T1" s="428" t="s">
        <v>859</v>
      </c>
      <c r="U1" s="428" t="s">
        <v>848</v>
      </c>
      <c r="V1" s="428" t="s">
        <v>849</v>
      </c>
      <c r="W1" s="428" t="s">
        <v>850</v>
      </c>
      <c r="X1" s="428" t="s">
        <v>851</v>
      </c>
      <c r="Y1" s="428" t="s">
        <v>852</v>
      </c>
      <c r="Z1" s="428" t="s">
        <v>1033</v>
      </c>
      <c r="AA1" s="428"/>
      <c r="AB1" s="428"/>
      <c r="AC1" s="428"/>
      <c r="AD1" s="429"/>
      <c r="AE1" s="438"/>
      <c r="AF1" s="438">
        <f>Настройки!Q1</f>
        <v>0</v>
      </c>
      <c r="AG1" s="438" t="str">
        <f>Настройки!R1</f>
        <v>M943DR</v>
      </c>
      <c r="AH1" s="438" t="str">
        <f>Настройки!S1</f>
        <v>M942A</v>
      </c>
      <c r="AI1" s="438" t="str">
        <f>Настройки!T1</f>
        <v>M957D</v>
      </c>
      <c r="AJ1" s="438" t="str">
        <f>Настройки!U1</f>
        <v>M957O</v>
      </c>
      <c r="AK1" s="438" t="str">
        <f>Настройки!V1</f>
        <v>M947R</v>
      </c>
      <c r="AL1" s="438" t="str">
        <f>Настройки!W1</f>
        <v>M931V</v>
      </c>
      <c r="AM1" s="438" t="str">
        <f>Настройки!X1</f>
        <v>M931T</v>
      </c>
      <c r="AN1" s="438" t="str">
        <f>Настройки!Y1</f>
        <v>M547A</v>
      </c>
      <c r="AO1" s="438" t="str">
        <f>Настройки!Z1</f>
        <v>M537V</v>
      </c>
      <c r="AP1" s="438" t="str">
        <f>Настройки!AA1</f>
        <v>M557D</v>
      </c>
      <c r="AQ1" s="438" t="str">
        <f>Настройки!AB1</f>
        <v>M557O</v>
      </c>
      <c r="AR1" s="438" t="str">
        <f>Настройки!AC1</f>
        <v>MOPS</v>
      </c>
      <c r="AS1" s="438" t="str">
        <f>Настройки!AD1</f>
        <v>MUPS</v>
      </c>
      <c r="AT1" s="439" t="str">
        <f>Настройки!AB1</f>
        <v>M557O</v>
      </c>
      <c r="AU1" s="439" t="str">
        <f>Настройки!AC1</f>
        <v>MOPS</v>
      </c>
      <c r="AV1" s="439" t="str">
        <f>Настройки!AD1</f>
        <v>MUPS</v>
      </c>
      <c r="AW1" s="439" t="str">
        <f>Настройки!AE1</f>
        <v>M941A</v>
      </c>
      <c r="AX1" s="439" t="str">
        <f>Настройки!AF1</f>
        <v>M954D</v>
      </c>
      <c r="AY1" s="439" t="str">
        <f>Настройки!AG1</f>
        <v>M557DR</v>
      </c>
      <c r="AZ1" s="439" t="str">
        <f>Настройки!AH1</f>
        <v>M558D</v>
      </c>
      <c r="BA1" s="439" t="str">
        <f>Настройки!AI1</f>
        <v>M558O</v>
      </c>
      <c r="BB1" s="439" t="str">
        <f>Настройки!AJ1</f>
        <v>M548A</v>
      </c>
      <c r="BC1" s="439" t="str">
        <f>Настройки!AK1</f>
        <v>M538V</v>
      </c>
      <c r="BD1" s="439" t="str">
        <f>Настройки!AL1</f>
        <v>M558DR</v>
      </c>
      <c r="BE1" s="439" t="str">
        <f>Настройки!AM1</f>
        <v>*</v>
      </c>
    </row>
    <row r="2" spans="1:57">
      <c r="A2" s="446" t="str">
        <f>"//*********** "&amp;Q2&amp;" ***********"</f>
        <v>//*********** ГП 450. Вентилятор В14 ***********</v>
      </c>
      <c r="B2" s="446"/>
      <c r="C2" s="446"/>
      <c r="D2" s="446"/>
      <c r="E2" s="446"/>
      <c r="F2" s="446" t="s">
        <v>1031</v>
      </c>
      <c r="G2" s="447"/>
      <c r="H2" s="447"/>
      <c r="I2" s="459"/>
      <c r="J2" s="459"/>
      <c r="M2" s="424" t="str">
        <f>'Конфигурация TREI'!A3</f>
        <v>BR1</v>
      </c>
      <c r="N2" s="461" t="str">
        <f>'Конфигурация TREI'!B3</f>
        <v>M558D</v>
      </c>
      <c r="P2" s="2" t="s">
        <v>4714</v>
      </c>
      <c r="Q2" s="449" t="s">
        <v>4715</v>
      </c>
      <c r="R2" s="379"/>
      <c r="S2" s="379" t="s">
        <v>4716</v>
      </c>
      <c r="T2" s="379" t="s">
        <v>4960</v>
      </c>
      <c r="U2" s="379"/>
      <c r="V2" s="379" t="s">
        <v>3142</v>
      </c>
      <c r="W2" s="379"/>
      <c r="X2" s="379" t="s">
        <v>4717</v>
      </c>
      <c r="Y2" s="379" t="s">
        <v>4718</v>
      </c>
      <c r="Z2" s="379"/>
      <c r="AA2" s="379"/>
      <c r="AB2" s="379"/>
      <c r="AC2" s="379"/>
      <c r="AD2" s="378"/>
      <c r="AE2" s="431">
        <f>Настройки!P2</f>
        <v>1</v>
      </c>
      <c r="AF2" s="380">
        <f>Настройки!Q2</f>
        <v>0</v>
      </c>
      <c r="AG2" s="380" t="str">
        <f>Настройки!R2</f>
        <v>IDIG_1_1</v>
      </c>
      <c r="AH2" s="380" t="str">
        <f>Настройки!S2</f>
        <v>IANS_1_3</v>
      </c>
      <c r="AI2" s="380" t="str">
        <f>Настройки!T2</f>
        <v>out0</v>
      </c>
      <c r="AJ2" s="380" t="str">
        <f>Настройки!U2</f>
        <v>out0</v>
      </c>
      <c r="AK2" s="380" t="str">
        <f>Настройки!V2</f>
        <v>ODIG_1</v>
      </c>
      <c r="AL2" s="380" t="str">
        <f>Настройки!W2</f>
        <v>OAN_1_1</v>
      </c>
      <c r="AM2" s="380" t="str">
        <f>Настройки!X2</f>
        <v>IANS_1_1</v>
      </c>
      <c r="AN2" s="380" t="str">
        <f>Настройки!Y2</f>
        <v>Canal_01</v>
      </c>
      <c r="AO2" s="380" t="str">
        <f>Настройки!Z2</f>
        <v>Canal_01</v>
      </c>
      <c r="AP2" s="380" t="str">
        <f>Настройки!AA2</f>
        <v>Canal_01</v>
      </c>
      <c r="AQ2" s="380" t="str">
        <f>Настройки!AB2</f>
        <v>Canal_01</v>
      </c>
      <c r="AR2" s="380" t="str">
        <f>Настройки!AC2</f>
        <v>IVXX[0]</v>
      </c>
      <c r="AS2" s="380" t="str">
        <f>Настройки!AD2</f>
        <v>IVXX[0]</v>
      </c>
      <c r="AT2" s="207" t="str">
        <f>Настройки!AB2</f>
        <v>Canal_01</v>
      </c>
      <c r="AU2" s="207" t="str">
        <f>Настройки!AC2</f>
        <v>IVXX[0]</v>
      </c>
      <c r="AV2" s="207" t="str">
        <f>Настройки!AD2</f>
        <v>IVXX[0]</v>
      </c>
      <c r="AW2" s="207" t="str">
        <f>Настройки!AE2</f>
        <v>IANS_1_1</v>
      </c>
      <c r="AX2" s="207" t="str">
        <f>Настройки!AF2</f>
        <v>IDIG_1_1</v>
      </c>
      <c r="AY2" s="207" t="str">
        <f>Настройки!AG2</f>
        <v>Canal_01</v>
      </c>
      <c r="AZ2" s="207" t="str">
        <f>Настройки!AH2</f>
        <v>Canal_01</v>
      </c>
      <c r="BA2" s="207" t="str">
        <f>Настройки!AI2</f>
        <v>Canal_01</v>
      </c>
      <c r="BB2" s="207" t="str">
        <f>Настройки!AJ2</f>
        <v>Canal_01</v>
      </c>
      <c r="BC2" s="207" t="str">
        <f>Настройки!AK2</f>
        <v>Canal_01</v>
      </c>
      <c r="BD2" s="207" t="str">
        <f>Настройки!AL2</f>
        <v>Canal_01</v>
      </c>
      <c r="BE2" s="207" t="str">
        <f>Настройки!AM2</f>
        <v>-</v>
      </c>
    </row>
    <row r="3" spans="1:57">
      <c r="A3" s="82"/>
      <c r="B3" s="82"/>
      <c r="C3" s="81"/>
      <c r="D3" s="81"/>
      <c r="E3" s="448" t="str">
        <f ca="1">IF(LEFT(E8,3)="out","INT_TO_BIT_BR"&amp;C8&amp;"(BR"&amp;C8&amp;".IDIG_MASK)","УДАЛИТЬ")</f>
        <v>УДАЛИТЬ</v>
      </c>
      <c r="F3" s="446" t="s">
        <v>845</v>
      </c>
      <c r="G3" s="447"/>
      <c r="H3" s="447"/>
      <c r="I3" s="459"/>
      <c r="J3" s="459"/>
      <c r="M3" s="424" t="str">
        <f>'Конфигурация TREI'!A4</f>
        <v>BR2</v>
      </c>
      <c r="N3" s="461" t="str">
        <f>'Конфигурация TREI'!B4</f>
        <v>M548A</v>
      </c>
      <c r="P3" s="425" t="str">
        <f>'Конфигурация TREI'!D1</f>
        <v>Путь TREI для сигналов NOT_LINK</v>
      </c>
      <c r="R3" s="378"/>
      <c r="S3" s="454" t="str">
        <f>SUBSTITUTE(SUBSTITUTE($S$2,"!","")," ","")</f>
        <v>28+18</v>
      </c>
      <c r="T3" s="454" t="str">
        <f>SUBSTITUTE(SUBSTITUTE($T$2,"!","")," ","")</f>
        <v>28+18</v>
      </c>
      <c r="U3" s="454" t="str">
        <f>SUBSTITUTE(SUBSTITUTE($U$2,"!","")," ","")</f>
        <v/>
      </c>
      <c r="V3" s="454" t="str">
        <f>SUBSTITUTE(SUBSTITUTE($V$2,"!","")," ","")</f>
        <v>13+19</v>
      </c>
      <c r="W3" s="454" t="str">
        <f>SUBSTITUTE(SUBSTITUTE($W$2,"!","")," ","")</f>
        <v/>
      </c>
      <c r="X3" s="454" t="str">
        <f>SUBSTITUTE(SUBSTITUTE($X$2,"!","")," ","")</f>
        <v>15+32</v>
      </c>
      <c r="Y3" s="454" t="str">
        <f>SUBSTITUTE(SUBSTITUTE($Y$2,"!","")," ","")</f>
        <v>15+31</v>
      </c>
      <c r="Z3" s="454" t="str">
        <f>SUBSTITUTE(SUBSTITUTE($Z$2,"!","")," ","")</f>
        <v/>
      </c>
      <c r="AA3" s="454" t="str">
        <f>SUBSTITUTE(SUBSTITUTE($AA$2,"!","")," ","")</f>
        <v/>
      </c>
      <c r="AB3" s="454" t="str">
        <f>SUBSTITUTE(SUBSTITUTE($AB$2,"!","")," ","")</f>
        <v/>
      </c>
      <c r="AC3" s="454" t="str">
        <f>SUBSTITUTE(SUBSTITUTE($AC$2,"!","")," ","")</f>
        <v/>
      </c>
      <c r="AD3" s="378"/>
      <c r="AE3" s="431">
        <f>Настройки!P3</f>
        <v>2</v>
      </c>
      <c r="AF3" s="380">
        <f>Настройки!Q3</f>
        <v>0</v>
      </c>
      <c r="AG3" s="380" t="str">
        <f>Настройки!R3</f>
        <v>IDIG_1_2</v>
      </c>
      <c r="AH3" s="380" t="str">
        <f>Настройки!S3</f>
        <v>IANS_1_4</v>
      </c>
      <c r="AI3" s="380" t="str">
        <f>Настройки!T3</f>
        <v>out1</v>
      </c>
      <c r="AJ3" s="380" t="str">
        <f>Настройки!U3</f>
        <v>out1</v>
      </c>
      <c r="AK3" s="380" t="str">
        <f>Настройки!V3</f>
        <v>ODIG_2</v>
      </c>
      <c r="AL3" s="380" t="str">
        <f>Настройки!W3</f>
        <v>OAN_2_1</v>
      </c>
      <c r="AM3" s="380" t="str">
        <f>Настройки!X3</f>
        <v>IANS_2_1</v>
      </c>
      <c r="AN3" s="380" t="str">
        <f>Настройки!Y3</f>
        <v>Canal_02</v>
      </c>
      <c r="AO3" s="380" t="str">
        <f>Настройки!Z3</f>
        <v>Canal_02</v>
      </c>
      <c r="AP3" s="380" t="str">
        <f>Настройки!AA3</f>
        <v>Canal_02</v>
      </c>
      <c r="AQ3" s="380" t="str">
        <f>Настройки!AB3</f>
        <v>Canal_02</v>
      </c>
      <c r="AR3" s="380" t="str">
        <f>Настройки!AC3</f>
        <v>IVXX[1]</v>
      </c>
      <c r="AS3" s="380" t="str">
        <f>Настройки!AD3</f>
        <v>IVXX[1]</v>
      </c>
      <c r="AT3" s="207" t="str">
        <f>Настройки!AB3</f>
        <v>Canal_02</v>
      </c>
      <c r="AU3" s="207" t="str">
        <f>Настройки!AC3</f>
        <v>IVXX[1]</v>
      </c>
      <c r="AV3" s="207" t="str">
        <f>Настройки!AD3</f>
        <v>IVXX[1]</v>
      </c>
      <c r="AW3" s="207" t="str">
        <f>Настройки!AE3</f>
        <v>IANS_1_2</v>
      </c>
      <c r="AX3" s="207" t="str">
        <f>Настройки!AF3</f>
        <v>IDIG_1_2</v>
      </c>
      <c r="AY3" s="207" t="str">
        <f>Настройки!AG3</f>
        <v>Canal_02</v>
      </c>
      <c r="AZ3" s="207" t="str">
        <f>Настройки!AH3</f>
        <v>Canal_02</v>
      </c>
      <c r="BA3" s="207" t="str">
        <f>Настройки!AI3</f>
        <v>Canal_02</v>
      </c>
      <c r="BB3" s="207" t="str">
        <f>Настройки!AJ3</f>
        <v>Canal_02</v>
      </c>
      <c r="BC3" s="207" t="str">
        <f>Настройки!AK3</f>
        <v>Canal_02</v>
      </c>
      <c r="BD3" s="207" t="str">
        <f>Настройки!AL3</f>
        <v>Canal_02</v>
      </c>
      <c r="BE3" s="207" t="str">
        <f>Настройки!AM3</f>
        <v>-</v>
      </c>
    </row>
    <row r="4" spans="1:57">
      <c r="A4" s="82"/>
      <c r="B4" s="82"/>
      <c r="C4" s="81"/>
      <c r="D4" s="81"/>
      <c r="E4" s="448" t="str">
        <f ca="1">IF(LEFT(E9,3)="out","INT_TO_BIT_BR"&amp;C9&amp;"(BR"&amp;C9&amp;".IDIG_MASK)","УДАЛИТЬ")</f>
        <v>УДАЛИТЬ</v>
      </c>
      <c r="F4" s="446" t="s">
        <v>845</v>
      </c>
      <c r="G4" s="447"/>
      <c r="H4" s="447"/>
      <c r="I4" s="459"/>
      <c r="J4" s="459"/>
      <c r="M4" s="424" t="str">
        <f>'Конфигурация TREI'!A5</f>
        <v>BR3</v>
      </c>
      <c r="N4" s="461" t="str">
        <f>'Конфигурация TREI'!B5</f>
        <v>M548A</v>
      </c>
      <c r="P4" s="3" t="str">
        <f>Настройки!D2</f>
        <v/>
      </c>
      <c r="AE4" s="431">
        <f>Настройки!P4</f>
        <v>3</v>
      </c>
      <c r="AF4" s="380">
        <f>Настройки!Q4</f>
        <v>0</v>
      </c>
      <c r="AG4" s="380" t="str">
        <f>Настройки!R4</f>
        <v>IDIG_2_1</v>
      </c>
      <c r="AH4" s="380" t="str">
        <f>Настройки!S4</f>
        <v>IANS_2_3</v>
      </c>
      <c r="AI4" s="380" t="str">
        <f>Настройки!T4</f>
        <v>out2</v>
      </c>
      <c r="AJ4" s="380" t="str">
        <f>Настройки!U4</f>
        <v>out2</v>
      </c>
      <c r="AK4" s="380" t="str">
        <f>Настройки!V4</f>
        <v>ODIG_3</v>
      </c>
      <c r="AL4" s="380" t="str">
        <f>Настройки!W4</f>
        <v>OAN_3_1</v>
      </c>
      <c r="AM4" s="380" t="str">
        <f>Настройки!X4</f>
        <v>IANS_3_1</v>
      </c>
      <c r="AN4" s="380" t="str">
        <f>Настройки!Y4</f>
        <v>Canal_03</v>
      </c>
      <c r="AO4" s="380" t="str">
        <f>Настройки!Z4</f>
        <v>Canal_03</v>
      </c>
      <c r="AP4" s="380" t="str">
        <f>Настройки!AA4</f>
        <v>Canal_03</v>
      </c>
      <c r="AQ4" s="380" t="str">
        <f>Настройки!AB4</f>
        <v>Canal_03</v>
      </c>
      <c r="AR4" s="380" t="str">
        <f>Настройки!AC4</f>
        <v>IVXX[2]</v>
      </c>
      <c r="AS4" s="380" t="str">
        <f>Настройки!AD4</f>
        <v>IVXX[2]</v>
      </c>
      <c r="AT4" s="207" t="str">
        <f>Настройки!AB4</f>
        <v>Canal_03</v>
      </c>
      <c r="AU4" s="207" t="str">
        <f>Настройки!AC4</f>
        <v>IVXX[2]</v>
      </c>
      <c r="AV4" s="207" t="str">
        <f>Настройки!AD4</f>
        <v>IVXX[2]</v>
      </c>
      <c r="AW4" s="207" t="str">
        <f>Настройки!AE4</f>
        <v>IANS_2_1</v>
      </c>
      <c r="AX4" s="207" t="str">
        <f>Настройки!AF4</f>
        <v>IDIG_1_3</v>
      </c>
      <c r="AY4" s="207" t="str">
        <f>Настройки!AG4</f>
        <v>Canal_03</v>
      </c>
      <c r="AZ4" s="207" t="str">
        <f>Настройки!AH4</f>
        <v>Canal_03</v>
      </c>
      <c r="BA4" s="207" t="str">
        <f>Настройки!AI4</f>
        <v>Canal_03</v>
      </c>
      <c r="BB4" s="207" t="str">
        <f>Настройки!AJ4</f>
        <v>Canal_03</v>
      </c>
      <c r="BC4" s="207" t="str">
        <f>Настройки!AK4</f>
        <v>Canal_03</v>
      </c>
      <c r="BD4" s="207" t="str">
        <f>Настройки!AL4</f>
        <v>Canal_03</v>
      </c>
      <c r="BE4" s="207" t="str">
        <f>Настройки!AM4</f>
        <v>-</v>
      </c>
    </row>
    <row r="5" spans="1:57">
      <c r="A5" s="82"/>
      <c r="B5" s="82"/>
      <c r="C5" s="81"/>
      <c r="D5" s="81"/>
      <c r="E5" s="448" t="str">
        <f>IF(LEFT(E10,3)="out","INT_TO_BIT_BR"&amp;C10&amp;"(BR"&amp;C10&amp;".IDIG_MASK)","УДАЛИТЬ")</f>
        <v>УДАЛИТЬ</v>
      </c>
      <c r="F5" s="446" t="s">
        <v>845</v>
      </c>
      <c r="G5" s="447"/>
      <c r="H5" s="447"/>
      <c r="I5" s="459"/>
      <c r="J5" s="459"/>
      <c r="M5" s="424" t="str">
        <f>'Конфигурация TREI'!A6</f>
        <v>BR4</v>
      </c>
      <c r="N5" s="461" t="str">
        <f>'Конфигурация TREI'!B6</f>
        <v>M558D</v>
      </c>
      <c r="AE5" s="431">
        <f>Настройки!P5</f>
        <v>4</v>
      </c>
      <c r="AF5" s="380">
        <f>Настройки!Q5</f>
        <v>0</v>
      </c>
      <c r="AG5" s="380" t="str">
        <f>Настройки!R5</f>
        <v>IDIG_2_2</v>
      </c>
      <c r="AH5" s="380" t="str">
        <f>Настройки!S5</f>
        <v>IANS_2_4</v>
      </c>
      <c r="AI5" s="380" t="str">
        <f>Настройки!T5</f>
        <v>out3</v>
      </c>
      <c r="AJ5" s="380" t="str">
        <f>Настройки!U5</f>
        <v>out3</v>
      </c>
      <c r="AK5" s="380" t="str">
        <f>Настройки!V5</f>
        <v>ODIG_4</v>
      </c>
      <c r="AL5" s="380" t="str">
        <f>Настройки!W5</f>
        <v>OAN_4_1</v>
      </c>
      <c r="AM5" s="380" t="str">
        <f>Настройки!X5</f>
        <v>IANS_4_1</v>
      </c>
      <c r="AN5" s="380" t="str">
        <f>Настройки!Y5</f>
        <v>Canal_04</v>
      </c>
      <c r="AO5" s="380" t="str">
        <f>Настройки!Z5</f>
        <v>Canal_04</v>
      </c>
      <c r="AP5" s="380" t="str">
        <f>Настройки!AA5</f>
        <v>Canal_04</v>
      </c>
      <c r="AQ5" s="380" t="str">
        <f>Настройки!AB5</f>
        <v>Canal_04</v>
      </c>
      <c r="AR5" s="380" t="str">
        <f>Настройки!AC5</f>
        <v>IVXX[3]</v>
      </c>
      <c r="AS5" s="380" t="str">
        <f>Настройки!AD5</f>
        <v>IVXX[3]</v>
      </c>
      <c r="AT5" s="207" t="str">
        <f>Настройки!AB5</f>
        <v>Canal_04</v>
      </c>
      <c r="AU5" s="207" t="str">
        <f>Настройки!AC5</f>
        <v>IVXX[3]</v>
      </c>
      <c r="AV5" s="207" t="str">
        <f>Настройки!AD5</f>
        <v>IVXX[3]</v>
      </c>
      <c r="AW5" s="207" t="str">
        <f>Настройки!AE5</f>
        <v>IANS_2_2</v>
      </c>
      <c r="AX5" s="207" t="str">
        <f>Настройки!AF5</f>
        <v>IDIG_1_4</v>
      </c>
      <c r="AY5" s="207" t="str">
        <f>Настройки!AG5</f>
        <v>Canal_04</v>
      </c>
      <c r="AZ5" s="207" t="str">
        <f>Настройки!AH5</f>
        <v>Canal_04</v>
      </c>
      <c r="BA5" s="207" t="str">
        <f>Настройки!AI5</f>
        <v>Canal_04</v>
      </c>
      <c r="BB5" s="207" t="str">
        <f>Настройки!AJ5</f>
        <v>Canal_04</v>
      </c>
      <c r="BC5" s="207" t="str">
        <f>Настройки!AK5</f>
        <v>Canal_04</v>
      </c>
      <c r="BD5" s="207" t="str">
        <f>Настройки!AL5</f>
        <v>Canal_04</v>
      </c>
      <c r="BE5" s="207" t="str">
        <f>Настройки!AM5</f>
        <v>-</v>
      </c>
    </row>
    <row r="6" spans="1:57">
      <c r="A6" s="82"/>
      <c r="B6" s="82"/>
      <c r="C6" s="81"/>
      <c r="D6" s="81"/>
      <c r="E6" s="448" t="str">
        <f ca="1">IF(LEFT(E11,3)="out","INT_TO_BIT_BR"&amp;C11&amp;"(BR"&amp;C11&amp;".IDIG_MASK)","УДАЛИТЬ")</f>
        <v>УДАЛИТЬ</v>
      </c>
      <c r="F6" s="446" t="s">
        <v>845</v>
      </c>
      <c r="G6" s="447"/>
      <c r="H6" s="447"/>
      <c r="I6" s="459"/>
      <c r="J6" s="459"/>
      <c r="M6" s="424" t="str">
        <f>'Конфигурация TREI'!A7</f>
        <v>BR5</v>
      </c>
      <c r="N6" s="461" t="str">
        <f>'Конфигурация TREI'!B7</f>
        <v>M558O</v>
      </c>
      <c r="AE6" s="431">
        <f>Настройки!P6</f>
        <v>5</v>
      </c>
      <c r="AF6" s="380">
        <f>Настройки!Q6</f>
        <v>0</v>
      </c>
      <c r="AG6" s="380" t="str">
        <f>Настройки!R6</f>
        <v>IDIG_3_1</v>
      </c>
      <c r="AH6" s="380" t="str">
        <f>Настройки!S6</f>
        <v>IANS_3_3</v>
      </c>
      <c r="AI6" s="380" t="str">
        <f>Настройки!T6</f>
        <v>out4</v>
      </c>
      <c r="AJ6" s="380" t="str">
        <f>Настройки!U6</f>
        <v>out4</v>
      </c>
      <c r="AK6" s="380" t="str">
        <f>Настройки!V6</f>
        <v>ODIG_5</v>
      </c>
      <c r="AL6" s="380" t="str">
        <f>Настройки!W6</f>
        <v>OAN_5_1</v>
      </c>
      <c r="AM6" s="380" t="str">
        <f>Настройки!X6</f>
        <v>IANS_5_1</v>
      </c>
      <c r="AN6" s="380" t="str">
        <f>Настройки!Y6</f>
        <v>Canal_05</v>
      </c>
      <c r="AO6" s="380" t="str">
        <f>Настройки!Z6</f>
        <v>Canal_05</v>
      </c>
      <c r="AP6" s="380" t="str">
        <f>Настройки!AA6</f>
        <v>Canal_05</v>
      </c>
      <c r="AQ6" s="380" t="str">
        <f>Настройки!AB6</f>
        <v>Canal_05</v>
      </c>
      <c r="AR6" s="380" t="str">
        <f>Настройки!AC6</f>
        <v>IVXX[4]</v>
      </c>
      <c r="AS6" s="380" t="str">
        <f>Настройки!AD6</f>
        <v>IVXX[4]</v>
      </c>
      <c r="AT6" s="207" t="str">
        <f>Настройки!AB6</f>
        <v>Canal_05</v>
      </c>
      <c r="AU6" s="207" t="str">
        <f>Настройки!AC6</f>
        <v>IVXX[4]</v>
      </c>
      <c r="AV6" s="207" t="str">
        <f>Настройки!AD6</f>
        <v>IVXX[4]</v>
      </c>
      <c r="AW6" s="207" t="str">
        <f>Настройки!AE6</f>
        <v>IANS_3_1</v>
      </c>
      <c r="AX6" s="207" t="str">
        <f>Настройки!AF6</f>
        <v>IDIG_2_1</v>
      </c>
      <c r="AY6" s="207" t="str">
        <f>Настройки!AG6</f>
        <v>Canal_05</v>
      </c>
      <c r="AZ6" s="207" t="str">
        <f>Настройки!AH6</f>
        <v>Canal_05</v>
      </c>
      <c r="BA6" s="207" t="str">
        <f>Настройки!AI6</f>
        <v>Canal_05</v>
      </c>
      <c r="BB6" s="207" t="str">
        <f>Настройки!AJ6</f>
        <v>Canal_05</v>
      </c>
      <c r="BC6" s="207" t="str">
        <f>Настройки!AK6</f>
        <v>Canal_05</v>
      </c>
      <c r="BD6" s="207" t="str">
        <f>Настройки!AL6</f>
        <v>Canal_05</v>
      </c>
      <c r="BE6" s="207" t="str">
        <f>Настройки!AM6</f>
        <v>-</v>
      </c>
    </row>
    <row r="7" spans="1:57">
      <c r="A7" s="82"/>
      <c r="B7" s="82"/>
      <c r="C7" s="81"/>
      <c r="D7" s="81"/>
      <c r="E7" s="448" t="str">
        <f>IF(LEFT(E12,3)="out","INT_TO_BIT_BR"&amp;C12&amp;"(BR"&amp;C12&amp;".IDIG_MASK)","УДАЛИТЬ")</f>
        <v>УДАЛИТЬ</v>
      </c>
      <c r="F7" s="446" t="s">
        <v>845</v>
      </c>
      <c r="G7" s="447"/>
      <c r="H7" s="447"/>
      <c r="I7" s="459"/>
      <c r="J7" s="459"/>
      <c r="M7" s="424" t="str">
        <f>'Конфигурация TREI'!A8</f>
        <v>BR6</v>
      </c>
      <c r="N7" s="461" t="str">
        <f>'Конфигурация TREI'!B8</f>
        <v>M558O</v>
      </c>
      <c r="AE7" s="431">
        <f>Настройки!P7</f>
        <v>6</v>
      </c>
      <c r="AF7" s="380">
        <f>Настройки!Q7</f>
        <v>0</v>
      </c>
      <c r="AG7" s="380" t="str">
        <f>Настройки!R7</f>
        <v>IDIG_3_2</v>
      </c>
      <c r="AH7" s="380" t="str">
        <f>Настройки!S7</f>
        <v>IANS_3_4</v>
      </c>
      <c r="AI7" s="380" t="str">
        <f>Настройки!T7</f>
        <v>out5</v>
      </c>
      <c r="AJ7" s="380" t="str">
        <f>Настройки!U7</f>
        <v>out5</v>
      </c>
      <c r="AK7" s="380" t="str">
        <f>Настройки!V7</f>
        <v>ODIG_6</v>
      </c>
      <c r="AL7" s="380" t="str">
        <f>Настройки!W7</f>
        <v>OAN_6_1</v>
      </c>
      <c r="AM7" s="380" t="str">
        <f>Настройки!X7</f>
        <v>IANS_6_1</v>
      </c>
      <c r="AN7" s="380" t="str">
        <f>Настройки!Y7</f>
        <v>Canal_06</v>
      </c>
      <c r="AO7" s="380" t="str">
        <f>Настройки!Z7</f>
        <v>Canal_06</v>
      </c>
      <c r="AP7" s="380" t="str">
        <f>Настройки!AA7</f>
        <v>Canal_06</v>
      </c>
      <c r="AQ7" s="380" t="str">
        <f>Настройки!AB7</f>
        <v>Canal_06</v>
      </c>
      <c r="AR7" s="380" t="str">
        <f>Настройки!AC7</f>
        <v>IVXX[5]</v>
      </c>
      <c r="AS7" s="380" t="str">
        <f>Настройки!AD7</f>
        <v>IVXX[5]</v>
      </c>
      <c r="AT7" s="207" t="str">
        <f>Настройки!AB7</f>
        <v>Canal_06</v>
      </c>
      <c r="AU7" s="207" t="str">
        <f>Настройки!AC7</f>
        <v>IVXX[5]</v>
      </c>
      <c r="AV7" s="207" t="str">
        <f>Настройки!AD7</f>
        <v>IVXX[5]</v>
      </c>
      <c r="AW7" s="207" t="str">
        <f>Настройки!AE7</f>
        <v>IANS_3_2</v>
      </c>
      <c r="AX7" s="207" t="str">
        <f>Настройки!AF7</f>
        <v>IDIG_2_2</v>
      </c>
      <c r="AY7" s="207" t="str">
        <f>Настройки!AG7</f>
        <v>Canal_06</v>
      </c>
      <c r="AZ7" s="207" t="str">
        <f>Настройки!AH7</f>
        <v>Canal_06</v>
      </c>
      <c r="BA7" s="207" t="str">
        <f>Настройки!AI7</f>
        <v>Canal_06</v>
      </c>
      <c r="BB7" s="207" t="str">
        <f>Настройки!AJ7</f>
        <v>Canal_06</v>
      </c>
      <c r="BC7" s="207" t="str">
        <f>Настройки!AK7</f>
        <v>Canal_06</v>
      </c>
      <c r="BD7" s="207" t="str">
        <f>Настройки!AL7</f>
        <v>Canal_06</v>
      </c>
      <c r="BE7" s="207" t="str">
        <f>Настройки!AM7</f>
        <v>-</v>
      </c>
    </row>
    <row r="8" spans="1:57">
      <c r="A8" s="448" t="str">
        <f>SUBSTITUTE($P$2,"\","|")&amp;"|"&amp; $S$1 &amp;":="&amp;IF(LEFT(SUBSTITUTE($S$2," ",""),1)="!","NOT  ","")</f>
        <v>GP450_V_14|IONX:=</v>
      </c>
      <c r="B8" s="448" t="str">
        <f ca="1">IF(LEFT(E8,3)="out","INT_TO_BIT_BR","BR")</f>
        <v>BR</v>
      </c>
      <c r="C8" s="446" t="str">
        <f>LEFT($S$3,FIND("+",$S$3,1)-1)</f>
        <v>28</v>
      </c>
      <c r="D8" s="446" t="s">
        <v>178</v>
      </c>
      <c r="E8" s="446" t="str">
        <f ca="1">IF($S$2=0,"УДАЛИТЬ",IFERROR(IF(OR($I8="-",$H8="0"),"КАНАЛ ОТСУТСТВУЕТ",IF($I8=0,"МОДУЛЬ ОТСУТСТВУЕТ",$I8)),"ОШИБКА ФОРМАТА"))</f>
        <v>Canal_18</v>
      </c>
      <c r="F8" s="446" t="s">
        <v>845</v>
      </c>
      <c r="G8" s="447" t="str">
        <f>INDEX($N$2:$N$61,C8)</f>
        <v>M558D</v>
      </c>
      <c r="H8" s="447" t="str">
        <f>RIGHT(S$3,LEN(S$3)-FIND("+",S$3,1))</f>
        <v>18</v>
      </c>
      <c r="I8" s="460" t="str">
        <f ca="1">INDIRECT(ADDRESS($H8+1,MATCH($G8,$1:$1,),1))</f>
        <v>Canal_18</v>
      </c>
      <c r="J8" s="459"/>
      <c r="M8" s="424" t="str">
        <f>'Конфигурация TREI'!A9</f>
        <v>BR7</v>
      </c>
      <c r="N8" s="461" t="str">
        <f>'Конфигурация TREI'!B9</f>
        <v>M558O</v>
      </c>
      <c r="AE8" s="431">
        <f>Настройки!P8</f>
        <v>7</v>
      </c>
      <c r="AF8" s="380">
        <f>Настройки!Q8</f>
        <v>0</v>
      </c>
      <c r="AG8" s="380" t="str">
        <f>Настройки!R8</f>
        <v>IDIG_4_1</v>
      </c>
      <c r="AH8" s="380" t="str">
        <f>Настройки!S8</f>
        <v>IANS_4_3</v>
      </c>
      <c r="AI8" s="380" t="str">
        <f>Настройки!T8</f>
        <v>out6</v>
      </c>
      <c r="AJ8" s="380" t="str">
        <f>Настройки!U8</f>
        <v>out6</v>
      </c>
      <c r="AK8" s="380" t="str">
        <f>Настройки!V8</f>
        <v>ODIG_7</v>
      </c>
      <c r="AL8" s="380" t="str">
        <f>Настройки!W8</f>
        <v>OAN_7_1</v>
      </c>
      <c r="AM8" s="380" t="str">
        <f>Настройки!X8</f>
        <v>IANS_7_1</v>
      </c>
      <c r="AN8" s="380" t="str">
        <f>Настройки!Y8</f>
        <v>Canal_07</v>
      </c>
      <c r="AO8" s="380" t="str">
        <f>Настройки!Z8</f>
        <v>Canal_07</v>
      </c>
      <c r="AP8" s="380" t="str">
        <f>Настройки!AA8</f>
        <v>Canal_07</v>
      </c>
      <c r="AQ8" s="380" t="str">
        <f>Настройки!AB8</f>
        <v>Canal_07</v>
      </c>
      <c r="AR8" s="380" t="str">
        <f>Настройки!AC8</f>
        <v>IVXX[6]</v>
      </c>
      <c r="AS8" s="380" t="str">
        <f>Настройки!AD8</f>
        <v>IVXX[6]</v>
      </c>
      <c r="AT8" s="207" t="str">
        <f>Настройки!AB8</f>
        <v>Canal_07</v>
      </c>
      <c r="AU8" s="207" t="str">
        <f>Настройки!AC8</f>
        <v>IVXX[6]</v>
      </c>
      <c r="AV8" s="207" t="str">
        <f>Настройки!AD8</f>
        <v>IVXX[6]</v>
      </c>
      <c r="AW8" s="207" t="str">
        <f>Настройки!AE8</f>
        <v>IANS_4_1</v>
      </c>
      <c r="AX8" s="207" t="str">
        <f>Настройки!AF8</f>
        <v>IDIG_2_3</v>
      </c>
      <c r="AY8" s="207" t="str">
        <f>Настройки!AG8</f>
        <v>Canal_07</v>
      </c>
      <c r="AZ8" s="207" t="str">
        <f>Настройки!AH8</f>
        <v>Canal_07</v>
      </c>
      <c r="BA8" s="207" t="str">
        <f>Настройки!AI8</f>
        <v>Canal_07</v>
      </c>
      <c r="BB8" s="207" t="str">
        <f>Настройки!AJ8</f>
        <v>Canal_07</v>
      </c>
      <c r="BC8" s="207" t="str">
        <f>Настройки!AK8</f>
        <v>Canal_07</v>
      </c>
      <c r="BD8" s="207" t="str">
        <f>Настройки!AL8</f>
        <v>Canal_07</v>
      </c>
      <c r="BE8" s="207" t="str">
        <f>Настройки!AM8</f>
        <v>-</v>
      </c>
    </row>
    <row r="9" spans="1:57">
      <c r="A9" s="448" t="str">
        <f>SUBSTITUTE($P$2,"\","|")&amp;"|"&amp; $T$1 &amp;":="&amp;IF(LEFT(SUBSTITUTE($T$2," ",""),1)="!","NOT  ","")</f>
        <v xml:space="preserve">GP450_V_14|IOFX:=NOT  </v>
      </c>
      <c r="B9" s="448" t="str">
        <f ca="1">IF(LEFT(E9,3)="out","INT_TO_BIT_BR","BR")</f>
        <v>BR</v>
      </c>
      <c r="C9" s="446" t="str">
        <f>LEFT($T$3,FIND("+",$T$3,1)-1)</f>
        <v>28</v>
      </c>
      <c r="D9" s="446" t="s">
        <v>178</v>
      </c>
      <c r="E9" s="446" t="str">
        <f ca="1">IF($T$2=0,"УДАЛИТЬ",IFERROR(IF(OR($I9="-",$H9="0"),"КАНАЛ ОТСУТСТВУЕТ",IF($I9=0,"МОДУЛЬ ОТСУТСТВУЕТ",$I9)),"ОШИБКА ФОРМАТА"))</f>
        <v>Canal_18</v>
      </c>
      <c r="F9" s="446" t="s">
        <v>845</v>
      </c>
      <c r="G9" s="447" t="str">
        <f>INDEX($N$2:$N$61,C9)</f>
        <v>M558D</v>
      </c>
      <c r="H9" s="447" t="str">
        <f>RIGHT(T$3,LEN(T$3)-FIND("+",T$3,1))</f>
        <v>18</v>
      </c>
      <c r="I9" s="460" t="str">
        <f ca="1">INDIRECT(ADDRESS($H9+1,MATCH($G9,$1:$1,),1))</f>
        <v>Canal_18</v>
      </c>
      <c r="J9" s="459"/>
      <c r="M9" s="424" t="str">
        <f>'Конфигурация TREI'!A10</f>
        <v>BR8</v>
      </c>
      <c r="N9" s="461" t="str">
        <f>'Конфигурация TREI'!B10</f>
        <v>M558O</v>
      </c>
      <c r="AE9" s="431">
        <f>Настройки!P9</f>
        <v>8</v>
      </c>
      <c r="AF9" s="380">
        <f>Настройки!Q9</f>
        <v>0</v>
      </c>
      <c r="AG9" s="380" t="str">
        <f>Настройки!R9</f>
        <v>IDIG_4_2</v>
      </c>
      <c r="AH9" s="380" t="str">
        <f>Настройки!S9</f>
        <v>IANS_4_4</v>
      </c>
      <c r="AI9" s="380" t="str">
        <f>Настройки!T9</f>
        <v>out7</v>
      </c>
      <c r="AJ9" s="380" t="str">
        <f>Настройки!U9</f>
        <v>out7</v>
      </c>
      <c r="AK9" s="380" t="str">
        <f>Настройки!V9</f>
        <v>ODIG_8</v>
      </c>
      <c r="AL9" s="380" t="str">
        <f>Настройки!W9</f>
        <v>OAN_8_1</v>
      </c>
      <c r="AM9" s="380" t="str">
        <f>Настройки!X9</f>
        <v>IANS_8_1</v>
      </c>
      <c r="AN9" s="380" t="str">
        <f>Настройки!Y9</f>
        <v>Canal_08</v>
      </c>
      <c r="AO9" s="380" t="str">
        <f>Настройки!Z9</f>
        <v>Canal_08</v>
      </c>
      <c r="AP9" s="380" t="str">
        <f>Настройки!AA9</f>
        <v>Canal_08</v>
      </c>
      <c r="AQ9" s="380" t="str">
        <f>Настройки!AB9</f>
        <v>Canal_08</v>
      </c>
      <c r="AR9" s="380" t="str">
        <f>Настройки!AC9</f>
        <v>IVXX[7]</v>
      </c>
      <c r="AS9" s="380" t="str">
        <f>Настройки!AD9</f>
        <v>IVXX[7]</v>
      </c>
      <c r="AT9" s="207" t="str">
        <f>Настройки!AB9</f>
        <v>Canal_08</v>
      </c>
      <c r="AU9" s="207" t="str">
        <f>Настройки!AC9</f>
        <v>IVXX[7]</v>
      </c>
      <c r="AV9" s="207" t="str">
        <f>Настройки!AD9</f>
        <v>IVXX[7]</v>
      </c>
      <c r="AW9" s="207" t="str">
        <f>Настройки!AE9</f>
        <v>IANS_4_2</v>
      </c>
      <c r="AX9" s="207" t="str">
        <f>Настройки!AF9</f>
        <v>IDIG_2_4</v>
      </c>
      <c r="AY9" s="207" t="str">
        <f>Настройки!AG9</f>
        <v>Canal_08</v>
      </c>
      <c r="AZ9" s="207" t="str">
        <f>Настройки!AH9</f>
        <v>Canal_08</v>
      </c>
      <c r="BA9" s="207" t="str">
        <f>Настройки!AI9</f>
        <v>Canal_08</v>
      </c>
      <c r="BB9" s="207" t="str">
        <f>Настройки!AJ9</f>
        <v>Canal_08</v>
      </c>
      <c r="BC9" s="207" t="str">
        <f>Настройки!AK9</f>
        <v>Canal_08</v>
      </c>
      <c r="BD9" s="207" t="str">
        <f>Настройки!AL9</f>
        <v>Canal_08</v>
      </c>
      <c r="BE9" s="207" t="str">
        <f>Настройки!AM9</f>
        <v>-</v>
      </c>
    </row>
    <row r="10" spans="1:57">
      <c r="A10" s="448" t="str">
        <f>SUBSTITUTE($P$2,"\","|")&amp;"|"&amp; $U$1 &amp;":="&amp;IF(LEFT(SUBSTITUTE($U$2," ",""),1)="!","NOT  ","")</f>
        <v>GP450_V_14|ILCX:=</v>
      </c>
      <c r="B10" s="448" t="str">
        <f>IF(LEFT(E10,3)="out","INT_TO_BIT_BR","BR")</f>
        <v>BR</v>
      </c>
      <c r="C10" s="446" t="e">
        <f>LEFT($U$3,FIND("+",$U$3,1)-1)</f>
        <v>#VALUE!</v>
      </c>
      <c r="D10" s="446" t="s">
        <v>178</v>
      </c>
      <c r="E10" s="446" t="str">
        <f>IF($U$2=0,"УДАЛИТЬ",IFERROR(IF(OR($I10="-",$H10="0"),"КАНАЛ ОТСУТСТВУЕТ",IF($I10=0,"МОДУЛЬ ОТСУТСТВУЕТ",$I10)),"ОШИБКА ФОРМАТА"))</f>
        <v>УДАЛИТЬ</v>
      </c>
      <c r="F10" s="446" t="s">
        <v>845</v>
      </c>
      <c r="G10" s="447" t="e">
        <f>INDEX($N$2:$N$61,C10)</f>
        <v>#VALUE!</v>
      </c>
      <c r="H10" s="447" t="e">
        <f>RIGHT($U$3,LEN($U$3)-FIND("+",$U$3,1))</f>
        <v>#VALUE!</v>
      </c>
      <c r="I10" s="460" t="e">
        <f ca="1">INDIRECT(ADDRESS($H10+1,MATCH($G10,$1:$1,),1))</f>
        <v>#VALUE!</v>
      </c>
      <c r="J10" s="459"/>
      <c r="M10" s="424" t="str">
        <f>'Конфигурация TREI'!A11</f>
        <v>BR9</v>
      </c>
      <c r="N10" s="461" t="str">
        <f>'Конфигурация TREI'!B11</f>
        <v>M558D</v>
      </c>
      <c r="AE10" s="431">
        <f>Настройки!P10</f>
        <v>9</v>
      </c>
      <c r="AF10" s="380">
        <f>Настройки!Q10</f>
        <v>0</v>
      </c>
      <c r="AG10" s="380" t="str">
        <f>Настройки!R10</f>
        <v>IDIG_5_1</v>
      </c>
      <c r="AH10" s="380" t="str">
        <f>Настройки!S10</f>
        <v>IANS_5_3</v>
      </c>
      <c r="AI10" s="380" t="str">
        <f>Настройки!T10</f>
        <v>out8</v>
      </c>
      <c r="AJ10" s="380" t="str">
        <f>Настройки!U10</f>
        <v>out8</v>
      </c>
      <c r="AK10" s="380" t="str">
        <f>Настройки!V10</f>
        <v>ODIG_9</v>
      </c>
      <c r="AL10" s="380" t="str">
        <f>Настройки!W10</f>
        <v>-</v>
      </c>
      <c r="AM10" s="380" t="str">
        <f>Настройки!X10</f>
        <v>-</v>
      </c>
      <c r="AN10" s="380" t="str">
        <f>Настройки!Y10</f>
        <v>Canal_09</v>
      </c>
      <c r="AO10" s="380" t="str">
        <f>Настройки!Z10</f>
        <v>-</v>
      </c>
      <c r="AP10" s="380" t="str">
        <f>Настройки!AA10</f>
        <v>Canal_09</v>
      </c>
      <c r="AQ10" s="380" t="str">
        <f>Настройки!AB10</f>
        <v>Canal_09</v>
      </c>
      <c r="AR10" s="380" t="str">
        <f>Настройки!AC10</f>
        <v>OCCH[0]</v>
      </c>
      <c r="AS10" s="380" t="str">
        <f>Настройки!AD10</f>
        <v>OCCH[0]</v>
      </c>
      <c r="AT10" s="207" t="str">
        <f>Настройки!AB10</f>
        <v>Canal_09</v>
      </c>
      <c r="AU10" s="207" t="str">
        <f>Настройки!AC10</f>
        <v>OCCH[0]</v>
      </c>
      <c r="AV10" s="207" t="str">
        <f>Настройки!AD10</f>
        <v>OCCH[0]</v>
      </c>
      <c r="AW10" s="207" t="str">
        <f>Настройки!AE10</f>
        <v>IANS_5_1</v>
      </c>
      <c r="AX10" s="207" t="str">
        <f>Настройки!AF10</f>
        <v>IDIG_3_1</v>
      </c>
      <c r="AY10" s="207" t="str">
        <f>Настройки!AG10</f>
        <v>Canal_09</v>
      </c>
      <c r="AZ10" s="207" t="str">
        <f>Настройки!AH10</f>
        <v>Canal_09</v>
      </c>
      <c r="BA10" s="207" t="str">
        <f>Настройки!AI10</f>
        <v>Canal_09</v>
      </c>
      <c r="BB10" s="207" t="str">
        <f>Настройки!AJ10</f>
        <v>Canal_09</v>
      </c>
      <c r="BC10" s="207" t="str">
        <f>Настройки!AK10</f>
        <v>-</v>
      </c>
      <c r="BD10" s="207" t="str">
        <f>Настройки!AL10</f>
        <v>Canal_09</v>
      </c>
      <c r="BE10" s="207" t="str">
        <f>Настройки!AM10</f>
        <v>-</v>
      </c>
    </row>
    <row r="11" spans="1:57">
      <c r="A11" s="448" t="str">
        <f>SUBSTITUTE($P$2,"\","|")&amp;"|"&amp; $V$1 &amp;":="&amp;IF(LEFT(SUBSTITUTE($V$2," ",""),1)="!","NOT  ","")</f>
        <v>GP450_V_14|IRCX:=</v>
      </c>
      <c r="B11" s="448" t="str">
        <f ca="1">IF(LEFT(E11,3)="out","INT_TO_BIT_BR","BR")</f>
        <v>BR</v>
      </c>
      <c r="C11" s="446" t="str">
        <f>LEFT($V$3,FIND("+",$V$3,1)-1)</f>
        <v>13</v>
      </c>
      <c r="D11" s="446" t="s">
        <v>178</v>
      </c>
      <c r="E11" s="446" t="str">
        <f ca="1">IF($V$2=0,"УДАЛИТЬ",IFERROR(IF(OR($I11="-",$H11="0"),"КАНАЛ ОТСУТСТВУЕТ",IF($I11=0,"МОДУЛЬ ОТСУТСТВУЕТ",$I11)),"ОШИБКА ФОРМАТА"))</f>
        <v>Canal_19</v>
      </c>
      <c r="F11" s="446" t="s">
        <v>845</v>
      </c>
      <c r="G11" s="447" t="str">
        <f>INDEX($N$2:$N$61,C11)</f>
        <v>M558D</v>
      </c>
      <c r="H11" s="447" t="str">
        <f>RIGHT($V$3,LEN($V$3)-FIND("+",$V$3,1))</f>
        <v>19</v>
      </c>
      <c r="I11" s="460" t="str">
        <f ca="1">INDIRECT(ADDRESS($H11+1,MATCH($G11,$1:$1,),1))</f>
        <v>Canal_19</v>
      </c>
      <c r="J11" s="459"/>
      <c r="M11" s="424" t="str">
        <f>'Конфигурация TREI'!A12</f>
        <v>BR10</v>
      </c>
      <c r="N11" s="461" t="str">
        <f>'Конфигурация TREI'!B12</f>
        <v>M558O</v>
      </c>
      <c r="AE11" s="431">
        <f>Настройки!P11</f>
        <v>10</v>
      </c>
      <c r="AF11" s="380">
        <f>Настройки!Q11</f>
        <v>0</v>
      </c>
      <c r="AG11" s="380" t="str">
        <f>Настройки!R11</f>
        <v>IDIG_5_2</v>
      </c>
      <c r="AH11" s="380" t="str">
        <f>Настройки!S11</f>
        <v>IANS_5_4</v>
      </c>
      <c r="AI11" s="380" t="str">
        <f>Настройки!T11</f>
        <v>out9</v>
      </c>
      <c r="AJ11" s="380" t="str">
        <f>Настройки!U11</f>
        <v>out9</v>
      </c>
      <c r="AK11" s="380" t="str">
        <f>Настройки!V11</f>
        <v>ODIG_10</v>
      </c>
      <c r="AL11" s="380" t="str">
        <f>Настройки!W11</f>
        <v>-</v>
      </c>
      <c r="AM11" s="380" t="str">
        <f>Настройки!X11</f>
        <v>-</v>
      </c>
      <c r="AN11" s="380" t="str">
        <f>Настройки!Y11</f>
        <v>Canal_10</v>
      </c>
      <c r="AO11" s="380" t="str">
        <f>Настройки!Z11</f>
        <v>-</v>
      </c>
      <c r="AP11" s="380" t="str">
        <f>Настройки!AA11</f>
        <v>Canal_10</v>
      </c>
      <c r="AQ11" s="380" t="str">
        <f>Настройки!AB11</f>
        <v>Canal_10</v>
      </c>
      <c r="AR11" s="380" t="str">
        <f>Настройки!AC11</f>
        <v>OCCH[1]</v>
      </c>
      <c r="AS11" s="380" t="str">
        <f>Настройки!AD11</f>
        <v>OCCH[1]</v>
      </c>
      <c r="AT11" s="207" t="str">
        <f>Настройки!AB11</f>
        <v>Canal_10</v>
      </c>
      <c r="AU11" s="207" t="str">
        <f>Настройки!AC11</f>
        <v>OCCH[1]</v>
      </c>
      <c r="AV11" s="207" t="str">
        <f>Настройки!AD11</f>
        <v>OCCH[1]</v>
      </c>
      <c r="AW11" s="207" t="str">
        <f>Настройки!AE11</f>
        <v>IANS_5_2</v>
      </c>
      <c r="AX11" s="207" t="str">
        <f>Настройки!AF11</f>
        <v>IDIG_3_2</v>
      </c>
      <c r="AY11" s="207" t="str">
        <f>Настройки!AG11</f>
        <v>Canal_10</v>
      </c>
      <c r="AZ11" s="207" t="str">
        <f>Настройки!AH11</f>
        <v>Canal_10</v>
      </c>
      <c r="BA11" s="207" t="str">
        <f>Настройки!AI11</f>
        <v>Canal_10</v>
      </c>
      <c r="BB11" s="207" t="str">
        <f>Настройки!AJ11</f>
        <v>Canal_10</v>
      </c>
      <c r="BC11" s="207" t="str">
        <f>Настройки!AK11</f>
        <v>-</v>
      </c>
      <c r="BD11" s="207" t="str">
        <f>Настройки!AL11</f>
        <v>Canal_10</v>
      </c>
      <c r="BE11" s="207" t="str">
        <f>Настройки!AM11</f>
        <v>-</v>
      </c>
    </row>
    <row r="12" spans="1:57">
      <c r="A12" s="448" t="str">
        <f>SUBSTITUTE($P$2,"\","|")&amp;"|"&amp; $W$1 &amp;":="&amp;IF(LEFT(SUBSTITUTE($W$2," ",""),1)="!","NOT  ","")</f>
        <v>GP450_V_14|IFXX:=</v>
      </c>
      <c r="B12" s="448" t="str">
        <f>IF(LEFT(E12,3)="out","INT_TO_BIT_BR","BR")</f>
        <v>BR</v>
      </c>
      <c r="C12" s="446" t="e">
        <f>LEFT($W$3,FIND("+",$W$3,1)-1)</f>
        <v>#VALUE!</v>
      </c>
      <c r="D12" s="446" t="s">
        <v>178</v>
      </c>
      <c r="E12" s="446" t="str">
        <f>IF($W$2=0,"УДАЛИТЬ",IFERROR(IF(OR($I12="-",$H12="0"),"КАНАЛ ОТСУТСТВУЕТ",IF($I12=0,"МОДУЛЬ ОТСУТСТВУЕТ",$I12)),"ОШИБКА ФОРМАТА"))</f>
        <v>УДАЛИТЬ</v>
      </c>
      <c r="F12" s="446" t="s">
        <v>845</v>
      </c>
      <c r="G12" s="447" t="e">
        <f>INDEX($N$2:$N$61,C12)</f>
        <v>#VALUE!</v>
      </c>
      <c r="H12" s="447" t="e">
        <f>RIGHT($W$3,LEN($W$3)-FIND("+",$W$3,1))</f>
        <v>#VALUE!</v>
      </c>
      <c r="I12" s="460" t="e">
        <f ca="1">INDIRECT(ADDRESS($H12+1,MATCH($G12,$1:$1,),1))</f>
        <v>#VALUE!</v>
      </c>
      <c r="J12" s="459"/>
      <c r="M12" s="424" t="str">
        <f>'Конфигурация TREI'!A13</f>
        <v>BR11</v>
      </c>
      <c r="N12" s="461" t="str">
        <f>'Конфигурация TREI'!B13</f>
        <v>M558D</v>
      </c>
      <c r="AE12" s="431">
        <f>Настройки!P12</f>
        <v>11</v>
      </c>
      <c r="AF12" s="380">
        <f>Настройки!Q12</f>
        <v>0</v>
      </c>
      <c r="AG12" s="380" t="str">
        <f>Настройки!R12</f>
        <v>IDIG_6_1</v>
      </c>
      <c r="AH12" s="380" t="str">
        <f>Настройки!S12</f>
        <v>IANS_6_3</v>
      </c>
      <c r="AI12" s="380" t="str">
        <f>Настройки!T12</f>
        <v>out10</v>
      </c>
      <c r="AJ12" s="380" t="str">
        <f>Настройки!U12</f>
        <v>out10</v>
      </c>
      <c r="AK12" s="380" t="str">
        <f>Настройки!V12</f>
        <v>ODIG_11</v>
      </c>
      <c r="AL12" s="380" t="str">
        <f>Настройки!W12</f>
        <v>-</v>
      </c>
      <c r="AM12" s="380" t="str">
        <f>Настройки!X12</f>
        <v>-</v>
      </c>
      <c r="AN12" s="380" t="str">
        <f>Настройки!Y12</f>
        <v>Canal_11</v>
      </c>
      <c r="AO12" s="380" t="str">
        <f>Настройки!Z12</f>
        <v>-</v>
      </c>
      <c r="AP12" s="380" t="str">
        <f>Настройки!AA12</f>
        <v>Canal_11</v>
      </c>
      <c r="AQ12" s="380" t="str">
        <f>Настройки!AB12</f>
        <v>Canal_11</v>
      </c>
      <c r="AR12" s="380" t="str">
        <f>Настройки!AC12</f>
        <v>OCCH[2]</v>
      </c>
      <c r="AS12" s="380" t="str">
        <f>Настройки!AD12</f>
        <v>OCCH[2]</v>
      </c>
      <c r="AT12" s="207" t="str">
        <f>Настройки!AB12</f>
        <v>Canal_11</v>
      </c>
      <c r="AU12" s="207" t="str">
        <f>Настройки!AC12</f>
        <v>OCCH[2]</v>
      </c>
      <c r="AV12" s="207" t="str">
        <f>Настройки!AD12</f>
        <v>OCCH[2]</v>
      </c>
      <c r="AW12" s="207" t="str">
        <f>Настройки!AE12</f>
        <v>IANS_6_1</v>
      </c>
      <c r="AX12" s="207" t="str">
        <f>Настройки!AF12</f>
        <v>IDIG_3_3</v>
      </c>
      <c r="AY12" s="207" t="str">
        <f>Настройки!AG12</f>
        <v>Canal_11</v>
      </c>
      <c r="AZ12" s="207" t="str">
        <f>Настройки!AH12</f>
        <v>Canal_11</v>
      </c>
      <c r="BA12" s="207" t="str">
        <f>Настройки!AI12</f>
        <v>Canal_11</v>
      </c>
      <c r="BB12" s="207" t="str">
        <f>Настройки!AJ12</f>
        <v>Canal_11</v>
      </c>
      <c r="BC12" s="207" t="str">
        <f>Настройки!AK12</f>
        <v>-</v>
      </c>
      <c r="BD12" s="207" t="str">
        <f>Настройки!AL12</f>
        <v>Canal_11</v>
      </c>
      <c r="BE12" s="207" t="str">
        <f>Настройки!AM12</f>
        <v>-</v>
      </c>
    </row>
    <row r="13" spans="1:57">
      <c r="A13" s="448" t="str">
        <f>SUBSTITUTE($P$2,"\","|")&amp;"|"&amp;"D"&amp; RIGHT($S$1,3)&amp;":="&amp;P4&amp;"NOT_LINK_BR"</f>
        <v>GP450_V_14|DONX:=NOT_LINK_BR</v>
      </c>
      <c r="B13" s="448"/>
      <c r="C13" s="455"/>
      <c r="D13" s="446"/>
      <c r="E13" s="446" t="str">
        <f>IFERROR(LEFT($S$3,FIND("+",$S$3,1)-1),"УДАЛИТЬ")</f>
        <v>28</v>
      </c>
      <c r="F13" s="446" t="s">
        <v>845</v>
      </c>
      <c r="G13" s="447"/>
      <c r="H13" s="447"/>
      <c r="I13" s="459"/>
      <c r="J13" s="459"/>
      <c r="M13" s="424" t="str">
        <f>'Конфигурация TREI'!A14</f>
        <v>BR12</v>
      </c>
      <c r="N13" s="461" t="str">
        <f>'Конфигурация TREI'!B14</f>
        <v>M558D</v>
      </c>
      <c r="AE13" s="431">
        <f>Настройки!P13</f>
        <v>12</v>
      </c>
      <c r="AF13" s="380">
        <f>Настройки!Q13</f>
        <v>0</v>
      </c>
      <c r="AG13" s="380" t="str">
        <f>Настройки!R13</f>
        <v>IDIG_6_2</v>
      </c>
      <c r="AH13" s="380" t="str">
        <f>Настройки!S13</f>
        <v>IANS_6_4</v>
      </c>
      <c r="AI13" s="380" t="str">
        <f>Настройки!T13</f>
        <v>out11</v>
      </c>
      <c r="AJ13" s="380" t="str">
        <f>Настройки!U13</f>
        <v>out11</v>
      </c>
      <c r="AK13" s="380" t="str">
        <f>Настройки!V13</f>
        <v>ODIG_12</v>
      </c>
      <c r="AL13" s="380" t="str">
        <f>Настройки!W13</f>
        <v>-</v>
      </c>
      <c r="AM13" s="380" t="str">
        <f>Настройки!X13</f>
        <v>-</v>
      </c>
      <c r="AN13" s="380" t="str">
        <f>Настройки!Y13</f>
        <v>Canal_12</v>
      </c>
      <c r="AO13" s="380" t="str">
        <f>Настройки!Z13</f>
        <v>-</v>
      </c>
      <c r="AP13" s="380" t="str">
        <f>Настройки!AA13</f>
        <v>Canal_12</v>
      </c>
      <c r="AQ13" s="380" t="str">
        <f>Настройки!AB13</f>
        <v>Canal_12</v>
      </c>
      <c r="AR13" s="380" t="str">
        <f>Настройки!AC13</f>
        <v>OCCH[3]</v>
      </c>
      <c r="AS13" s="380" t="str">
        <f>Настройки!AD13</f>
        <v>OCCH[3]</v>
      </c>
      <c r="AT13" s="207" t="str">
        <f>Настройки!AB13</f>
        <v>Canal_12</v>
      </c>
      <c r="AU13" s="207" t="str">
        <f>Настройки!AC13</f>
        <v>OCCH[3]</v>
      </c>
      <c r="AV13" s="207" t="str">
        <f>Настройки!AD13</f>
        <v>OCCH[3]</v>
      </c>
      <c r="AW13" s="207" t="str">
        <f>Настройки!AE13</f>
        <v>IANS_6_2</v>
      </c>
      <c r="AX13" s="207" t="str">
        <f>Настройки!AF13</f>
        <v>IDIG_3_4</v>
      </c>
      <c r="AY13" s="207" t="str">
        <f>Настройки!AG13</f>
        <v>Canal_12</v>
      </c>
      <c r="AZ13" s="207" t="str">
        <f>Настройки!AH13</f>
        <v>Canal_12</v>
      </c>
      <c r="BA13" s="207" t="str">
        <f>Настройки!AI13</f>
        <v>Canal_12</v>
      </c>
      <c r="BB13" s="207" t="str">
        <f>Настройки!AJ13</f>
        <v>Canal_12</v>
      </c>
      <c r="BC13" s="207" t="str">
        <f>Настройки!AK13</f>
        <v>-</v>
      </c>
      <c r="BD13" s="207" t="str">
        <f>Настройки!AL13</f>
        <v>Canal_12</v>
      </c>
      <c r="BE13" s="207" t="str">
        <f>Настройки!AM13</f>
        <v>-</v>
      </c>
    </row>
    <row r="14" spans="1:57">
      <c r="A14" s="448" t="str">
        <f>SUBSTITUTE($P$2,"\","|")&amp;"|"&amp;"D"&amp; RIGHT($T$1,3)&amp;":="&amp;P4&amp;"NOT_LINK_BR"</f>
        <v>GP450_V_14|DOFX:=NOT_LINK_BR</v>
      </c>
      <c r="B14" s="448"/>
      <c r="C14" s="455"/>
      <c r="D14" s="446"/>
      <c r="E14" s="446" t="str">
        <f>IFERROR(LEFT($T$3,FIND("+",$T$3,1)-1),"УДАЛИТЬ")</f>
        <v>28</v>
      </c>
      <c r="F14" s="446" t="s">
        <v>845</v>
      </c>
      <c r="G14" s="447"/>
      <c r="H14" s="447"/>
      <c r="I14" s="459"/>
      <c r="J14" s="459"/>
      <c r="M14" s="424" t="str">
        <f>'Конфигурация TREI'!A15</f>
        <v>BR13</v>
      </c>
      <c r="N14" s="461" t="str">
        <f>'Конфигурация TREI'!B15</f>
        <v>M558D</v>
      </c>
      <c r="AE14" s="431">
        <f>Настройки!P14</f>
        <v>13</v>
      </c>
      <c r="AF14" s="380">
        <f>Настройки!Q14</f>
        <v>0</v>
      </c>
      <c r="AG14" s="380" t="str">
        <f>Настройки!R14</f>
        <v>IDIG_7_1</v>
      </c>
      <c r="AH14" s="380" t="str">
        <f>Настройки!S14</f>
        <v>IANS_7_3</v>
      </c>
      <c r="AI14" s="380" t="str">
        <f>Настройки!T14</f>
        <v>out12</v>
      </c>
      <c r="AJ14" s="380" t="str">
        <f>Настройки!U14</f>
        <v>out12</v>
      </c>
      <c r="AK14" s="380" t="str">
        <f>Настройки!V14</f>
        <v>ODIG_13</v>
      </c>
      <c r="AL14" s="380" t="str">
        <f>Настройки!W14</f>
        <v>-</v>
      </c>
      <c r="AM14" s="380" t="str">
        <f>Настройки!X14</f>
        <v>-</v>
      </c>
      <c r="AN14" s="380" t="str">
        <f>Настройки!Y14</f>
        <v>Canal_13</v>
      </c>
      <c r="AO14" s="380" t="str">
        <f>Настройки!Z14</f>
        <v>-</v>
      </c>
      <c r="AP14" s="380" t="str">
        <f>Настройки!AA14</f>
        <v>Canal_13</v>
      </c>
      <c r="AQ14" s="380" t="str">
        <f>Настройки!AB14</f>
        <v>Canal_13</v>
      </c>
      <c r="AR14" s="380" t="str">
        <f>Настройки!AC14</f>
        <v>OCCH[4]</v>
      </c>
      <c r="AS14" s="380" t="str">
        <f>Настройки!AD14</f>
        <v>OCCH[4]</v>
      </c>
      <c r="AT14" s="207" t="str">
        <f>Настройки!AB14</f>
        <v>Canal_13</v>
      </c>
      <c r="AU14" s="207" t="str">
        <f>Настройки!AC14</f>
        <v>OCCH[4]</v>
      </c>
      <c r="AV14" s="207" t="str">
        <f>Настройки!AD14</f>
        <v>OCCH[4]</v>
      </c>
      <c r="AW14" s="207" t="str">
        <f>Настройки!AE14</f>
        <v>IANS_7_1</v>
      </c>
      <c r="AX14" s="207" t="str">
        <f>Настройки!AF14</f>
        <v>IDIG_4_1</v>
      </c>
      <c r="AY14" s="207" t="str">
        <f>Настройки!AG14</f>
        <v>Canal_13</v>
      </c>
      <c r="AZ14" s="207" t="str">
        <f>Настройки!AH14</f>
        <v>Canal_13</v>
      </c>
      <c r="BA14" s="207" t="str">
        <f>Настройки!AI14</f>
        <v>Canal_13</v>
      </c>
      <c r="BB14" s="207" t="str">
        <f>Настройки!AJ14</f>
        <v>Canal_13</v>
      </c>
      <c r="BC14" s="207" t="str">
        <f>Настройки!AK14</f>
        <v>-</v>
      </c>
      <c r="BD14" s="207" t="str">
        <f>Настройки!AL14</f>
        <v>Canal_13</v>
      </c>
      <c r="BE14" s="207" t="str">
        <f>Настройки!AM14</f>
        <v>-</v>
      </c>
    </row>
    <row r="15" spans="1:57">
      <c r="A15" s="448" t="str">
        <f>SUBSTITUTE($P$2,"\","|")&amp;"|"&amp;"D"&amp; RIGHT($U$1,3)&amp;":="&amp;P4&amp;"NOT_LINK_BR"</f>
        <v>GP450_V_14|DLCX:=NOT_LINK_BR</v>
      </c>
      <c r="B15" s="448"/>
      <c r="C15" s="455"/>
      <c r="D15" s="446"/>
      <c r="E15" s="446" t="str">
        <f>IFERROR(LEFT($U$3,FIND("+",$U$3,1)-1),"УДАЛИТЬ")</f>
        <v>УДАЛИТЬ</v>
      </c>
      <c r="F15" s="446" t="s">
        <v>845</v>
      </c>
      <c r="G15" s="447"/>
      <c r="H15" s="447"/>
      <c r="I15" s="459"/>
      <c r="J15" s="459"/>
      <c r="M15" s="424" t="str">
        <f>'Конфигурация TREI'!A16</f>
        <v>BR14</v>
      </c>
      <c r="N15" s="461" t="str">
        <f>'Конфигурация TREI'!B16</f>
        <v>M558D</v>
      </c>
      <c r="AE15" s="431">
        <f>Настройки!P15</f>
        <v>14</v>
      </c>
      <c r="AF15" s="380">
        <f>Настройки!Q15</f>
        <v>0</v>
      </c>
      <c r="AG15" s="380" t="str">
        <f>Настройки!R15</f>
        <v>IDIG_7_2</v>
      </c>
      <c r="AH15" s="380" t="str">
        <f>Настройки!S15</f>
        <v>IANS_7_4</v>
      </c>
      <c r="AI15" s="380" t="str">
        <f>Настройки!T15</f>
        <v>out13</v>
      </c>
      <c r="AJ15" s="380" t="str">
        <f>Настройки!U15</f>
        <v>out13</v>
      </c>
      <c r="AK15" s="380" t="str">
        <f>Настройки!V15</f>
        <v>ODIG_14</v>
      </c>
      <c r="AL15" s="380" t="str">
        <f>Настройки!W15</f>
        <v>-</v>
      </c>
      <c r="AM15" s="380" t="str">
        <f>Настройки!X15</f>
        <v>-</v>
      </c>
      <c r="AN15" s="380" t="str">
        <f>Настройки!Y15</f>
        <v>Canal_14</v>
      </c>
      <c r="AO15" s="380" t="str">
        <f>Настройки!Z15</f>
        <v>-</v>
      </c>
      <c r="AP15" s="380" t="str">
        <f>Настройки!AA15</f>
        <v>Canal_14</v>
      </c>
      <c r="AQ15" s="380" t="str">
        <f>Настройки!AB15</f>
        <v>Canal_14</v>
      </c>
      <c r="AR15" s="380" t="str">
        <f>Настройки!AC15</f>
        <v>OCCH[5]</v>
      </c>
      <c r="AS15" s="380" t="str">
        <f>Настройки!AD15</f>
        <v>OCCH[5]</v>
      </c>
      <c r="AT15" s="207" t="str">
        <f>Настройки!AB15</f>
        <v>Canal_14</v>
      </c>
      <c r="AU15" s="207" t="str">
        <f>Настройки!AC15</f>
        <v>OCCH[5]</v>
      </c>
      <c r="AV15" s="207" t="str">
        <f>Настройки!AD15</f>
        <v>OCCH[5]</v>
      </c>
      <c r="AW15" s="207" t="str">
        <f>Настройки!AE15</f>
        <v>IANS_7_2</v>
      </c>
      <c r="AX15" s="207" t="str">
        <f>Настройки!AF15</f>
        <v>IDIG_4_2</v>
      </c>
      <c r="AY15" s="207" t="str">
        <f>Настройки!AG15</f>
        <v>Canal_14</v>
      </c>
      <c r="AZ15" s="207" t="str">
        <f>Настройки!AH15</f>
        <v>Canal_14</v>
      </c>
      <c r="BA15" s="207" t="str">
        <f>Настройки!AI15</f>
        <v>Canal_14</v>
      </c>
      <c r="BB15" s="207" t="str">
        <f>Настройки!AJ15</f>
        <v>Canal_14</v>
      </c>
      <c r="BC15" s="207" t="str">
        <f>Настройки!AK15</f>
        <v>-</v>
      </c>
      <c r="BD15" s="207" t="str">
        <f>Настройки!AL15</f>
        <v>Canal_14</v>
      </c>
      <c r="BE15" s="207" t="str">
        <f>Настройки!AM15</f>
        <v>-</v>
      </c>
    </row>
    <row r="16" spans="1:57">
      <c r="A16" s="448" t="str">
        <f>SUBSTITUTE($P$2,"\","|")&amp;"|"&amp;"D"&amp; RIGHT($V$1,3)&amp;":="&amp;P4&amp;"NOT_LINK_BR"</f>
        <v>GP450_V_14|DRCX:=NOT_LINK_BR</v>
      </c>
      <c r="B16" s="448"/>
      <c r="C16" s="455"/>
      <c r="D16" s="446"/>
      <c r="E16" s="446" t="str">
        <f>IFERROR(LEFT($V$3,FIND("+",$V$3,1)-1),"УДАЛИТЬ")</f>
        <v>13</v>
      </c>
      <c r="F16" s="446" t="s">
        <v>845</v>
      </c>
      <c r="G16" s="447"/>
      <c r="H16" s="447"/>
      <c r="I16" s="459"/>
      <c r="J16" s="459"/>
      <c r="M16" s="424" t="str">
        <f>'Конфигурация TREI'!A17</f>
        <v>BR15</v>
      </c>
      <c r="N16" s="461" t="str">
        <f>'Конфигурация TREI'!B17</f>
        <v>M558O</v>
      </c>
      <c r="AE16" s="431">
        <f>Настройки!P16</f>
        <v>15</v>
      </c>
      <c r="AF16" s="380">
        <f>Настройки!Q16</f>
        <v>0</v>
      </c>
      <c r="AG16" s="380" t="str">
        <f>Настройки!R16</f>
        <v>IDIG_8_1</v>
      </c>
      <c r="AH16" s="380" t="str">
        <f>Настройки!S16</f>
        <v>IANS_8_3</v>
      </c>
      <c r="AI16" s="380" t="str">
        <f>Настройки!T16</f>
        <v>out14</v>
      </c>
      <c r="AJ16" s="380" t="str">
        <f>Настройки!U16</f>
        <v>out14</v>
      </c>
      <c r="AK16" s="380" t="str">
        <f>Настройки!V16</f>
        <v>ODIG_15</v>
      </c>
      <c r="AL16" s="380" t="str">
        <f>Настройки!W16</f>
        <v>-</v>
      </c>
      <c r="AM16" s="380" t="str">
        <f>Настройки!X16</f>
        <v>-</v>
      </c>
      <c r="AN16" s="380" t="str">
        <f>Настройки!Y16</f>
        <v>Canal_15</v>
      </c>
      <c r="AO16" s="380" t="str">
        <f>Настройки!Z16</f>
        <v>-</v>
      </c>
      <c r="AP16" s="380" t="str">
        <f>Настройки!AA16</f>
        <v>Canal_15</v>
      </c>
      <c r="AQ16" s="380" t="str">
        <f>Настройки!AB16</f>
        <v>Canal_15</v>
      </c>
      <c r="AR16" s="380" t="str">
        <f>Настройки!AC16</f>
        <v>OCCH[6]</v>
      </c>
      <c r="AS16" s="380" t="str">
        <f>Настройки!AD16</f>
        <v>OCCH[6]</v>
      </c>
      <c r="AT16" s="207" t="str">
        <f>Настройки!AB16</f>
        <v>Canal_15</v>
      </c>
      <c r="AU16" s="207" t="str">
        <f>Настройки!AC16</f>
        <v>OCCH[6]</v>
      </c>
      <c r="AV16" s="207" t="str">
        <f>Настройки!AD16</f>
        <v>OCCH[6]</v>
      </c>
      <c r="AW16" s="207" t="str">
        <f>Настройки!AE16</f>
        <v>IANS_8_1</v>
      </c>
      <c r="AX16" s="207" t="str">
        <f>Настройки!AF16</f>
        <v>IDIG_4_3</v>
      </c>
      <c r="AY16" s="207" t="str">
        <f>Настройки!AG16</f>
        <v>Canal_15</v>
      </c>
      <c r="AZ16" s="207" t="str">
        <f>Настройки!AH16</f>
        <v>Canal_15</v>
      </c>
      <c r="BA16" s="207" t="str">
        <f>Настройки!AI16</f>
        <v>Canal_15</v>
      </c>
      <c r="BB16" s="207" t="str">
        <f>Настройки!AJ16</f>
        <v>Canal_15</v>
      </c>
      <c r="BC16" s="207" t="str">
        <f>Настройки!AK16</f>
        <v>-</v>
      </c>
      <c r="BD16" s="207" t="str">
        <f>Настройки!AL16</f>
        <v>Canal_15</v>
      </c>
      <c r="BE16" s="207" t="str">
        <f>Настройки!AM16</f>
        <v>-</v>
      </c>
    </row>
    <row r="17" spans="1:57">
      <c r="A17" s="448" t="str">
        <f>SUBSTITUTE($P$2,"\","|")&amp;"|"&amp;"D"&amp; RIGHT($W$1,3)&amp;":="&amp;P4&amp;"NOT_LINK_BR"</f>
        <v>GP450_V_14|DFXX:=NOT_LINK_BR</v>
      </c>
      <c r="B17" s="448"/>
      <c r="C17" s="455"/>
      <c r="D17" s="446"/>
      <c r="E17" s="446" t="str">
        <f>IFERROR(LEFT($W$3,FIND("+",$W$3,1)-1),"УДАЛИТЬ")</f>
        <v>УДАЛИТЬ</v>
      </c>
      <c r="F17" s="446" t="s">
        <v>845</v>
      </c>
      <c r="G17" s="447"/>
      <c r="H17" s="447"/>
      <c r="I17" s="459"/>
      <c r="J17" s="459"/>
      <c r="M17" s="424" t="str">
        <f>'Конфигурация TREI'!A18</f>
        <v>BR16</v>
      </c>
      <c r="N17" s="461" t="str">
        <f>'Конфигурация TREI'!B18</f>
        <v>M558O</v>
      </c>
      <c r="AE17" s="431">
        <f>Настройки!P17</f>
        <v>16</v>
      </c>
      <c r="AF17" s="380">
        <f>Настройки!Q17</f>
        <v>0</v>
      </c>
      <c r="AG17" s="380" t="str">
        <f>Настройки!R17</f>
        <v>IDIG_8_2</v>
      </c>
      <c r="AH17" s="380" t="str">
        <f>Настройки!S17</f>
        <v>IANS_8_4</v>
      </c>
      <c r="AI17" s="380" t="str">
        <f>Настройки!T17</f>
        <v>out15</v>
      </c>
      <c r="AJ17" s="380" t="str">
        <f>Настройки!U17</f>
        <v>out15</v>
      </c>
      <c r="AK17" s="380" t="str">
        <f>Настройки!V17</f>
        <v>ODIG_16</v>
      </c>
      <c r="AL17" s="380" t="str">
        <f>Настройки!W17</f>
        <v>-</v>
      </c>
      <c r="AM17" s="380" t="str">
        <f>Настройки!X17</f>
        <v>-</v>
      </c>
      <c r="AN17" s="380" t="str">
        <f>Настройки!Y17</f>
        <v>Canal_16</v>
      </c>
      <c r="AO17" s="380" t="str">
        <f>Настройки!Z17</f>
        <v>-</v>
      </c>
      <c r="AP17" s="380" t="str">
        <f>Настройки!AA17</f>
        <v>Canal_16</v>
      </c>
      <c r="AQ17" s="380" t="str">
        <f>Настройки!AB17</f>
        <v>Canal_16</v>
      </c>
      <c r="AR17" s="380" t="str">
        <f>Настройки!AC17</f>
        <v>OCCH[7]</v>
      </c>
      <c r="AS17" s="380" t="str">
        <f>Настройки!AD17</f>
        <v>OCCH[7]</v>
      </c>
      <c r="AT17" s="207" t="str">
        <f>Настройки!AB17</f>
        <v>Canal_16</v>
      </c>
      <c r="AU17" s="207" t="str">
        <f>Настройки!AC17</f>
        <v>OCCH[7]</v>
      </c>
      <c r="AV17" s="207" t="str">
        <f>Настройки!AD17</f>
        <v>OCCH[7]</v>
      </c>
      <c r="AW17" s="207" t="str">
        <f>Настройки!AE17</f>
        <v>IANS_8_2</v>
      </c>
      <c r="AX17" s="207" t="str">
        <f>Настройки!AF17</f>
        <v>IDIG_4_4</v>
      </c>
      <c r="AY17" s="207" t="str">
        <f>Настройки!AG17</f>
        <v>Canal_16</v>
      </c>
      <c r="AZ17" s="207" t="str">
        <f>Настройки!AH17</f>
        <v>Canal_16</v>
      </c>
      <c r="BA17" s="207" t="str">
        <f>Настройки!AI17</f>
        <v>Canal_16</v>
      </c>
      <c r="BB17" s="207" t="str">
        <f>Настройки!AJ17</f>
        <v>Canal_16</v>
      </c>
      <c r="BC17" s="207" t="str">
        <f>Настройки!AK17</f>
        <v>-</v>
      </c>
      <c r="BD17" s="207" t="str">
        <f>Настройки!AL17</f>
        <v>Canal_16</v>
      </c>
      <c r="BE17" s="207" t="str">
        <f>Настройки!AM17</f>
        <v>-</v>
      </c>
    </row>
    <row r="18" spans="1:57">
      <c r="A18" s="82"/>
      <c r="B18" s="82"/>
      <c r="C18" s="11"/>
      <c r="D18" s="81"/>
      <c r="E18" s="81"/>
      <c r="F18" s="81"/>
      <c r="G18" s="445"/>
      <c r="H18" s="445"/>
      <c r="I18" s="459"/>
      <c r="J18" s="459"/>
      <c r="M18" s="424" t="str">
        <f>'Конфигурация TREI'!A19</f>
        <v>BR17</v>
      </c>
      <c r="N18" s="461" t="str">
        <f>'Конфигурация TREI'!B19</f>
        <v>M558O</v>
      </c>
      <c r="AE18" s="428">
        <f>Настройки!P18</f>
        <v>17</v>
      </c>
      <c r="AF18" s="380">
        <f>Настройки!Q18</f>
        <v>0</v>
      </c>
      <c r="AG18" s="380" t="str">
        <f>Настройки!R18</f>
        <v>-</v>
      </c>
      <c r="AH18" s="380" t="str">
        <f>Настройки!S18</f>
        <v>-</v>
      </c>
      <c r="AI18" s="380" t="str">
        <f>Настройки!T18</f>
        <v>out16</v>
      </c>
      <c r="AJ18" s="380" t="str">
        <f>Настройки!U18</f>
        <v>out16</v>
      </c>
      <c r="AK18" s="380" t="str">
        <f>Настройки!V18</f>
        <v>-</v>
      </c>
      <c r="AL18" s="380" t="str">
        <f>Настройки!W18</f>
        <v>-</v>
      </c>
      <c r="AM18" s="380" t="str">
        <f>Настройки!X18</f>
        <v>-</v>
      </c>
      <c r="AN18" s="380" t="str">
        <f>Настройки!Y18</f>
        <v>-</v>
      </c>
      <c r="AO18" s="380" t="str">
        <f>Настройки!Z18</f>
        <v>-</v>
      </c>
      <c r="AP18" s="380" t="str">
        <f>Настройки!AA18</f>
        <v>Canal_17</v>
      </c>
      <c r="AQ18" s="380" t="str">
        <f>Настройки!AB18</f>
        <v>Canal_17</v>
      </c>
      <c r="AR18" s="380" t="str">
        <f>Настройки!AC18</f>
        <v>-</v>
      </c>
      <c r="AS18" s="380" t="str">
        <f>Настройки!AD18</f>
        <v>-</v>
      </c>
      <c r="AT18" s="207" t="str">
        <f>Настройки!AB18</f>
        <v>Canal_17</v>
      </c>
      <c r="AU18" s="207" t="str">
        <f>Настройки!AC18</f>
        <v>-</v>
      </c>
      <c r="AV18" s="207" t="str">
        <f>Настройки!AD18</f>
        <v>-</v>
      </c>
      <c r="AW18" s="207" t="str">
        <f>Настройки!AE18</f>
        <v>-</v>
      </c>
      <c r="AX18" s="207" t="str">
        <f>Настройки!AF18</f>
        <v>IDIG_5_1</v>
      </c>
      <c r="AY18" s="207" t="str">
        <f>Настройки!AG18</f>
        <v>Canal_17</v>
      </c>
      <c r="AZ18" s="207" t="str">
        <f>Настройки!AH18</f>
        <v>Canal_17</v>
      </c>
      <c r="BA18" s="207" t="str">
        <f>Настройки!AI18</f>
        <v>Canal_17</v>
      </c>
      <c r="BB18" s="207" t="str">
        <f>Настройки!AJ18</f>
        <v>-</v>
      </c>
      <c r="BC18" s="207" t="str">
        <f>Настройки!AK18</f>
        <v>-</v>
      </c>
      <c r="BD18" s="207" t="str">
        <f>Настройки!AL18</f>
        <v>Canal_17</v>
      </c>
      <c r="BE18" s="207" t="str">
        <f>Настройки!AM18</f>
        <v>-</v>
      </c>
    </row>
    <row r="19" spans="1:57">
      <c r="A19" s="82"/>
      <c r="B19" s="82"/>
      <c r="C19" s="11"/>
      <c r="D19" s="81"/>
      <c r="E19" s="81"/>
      <c r="F19" s="81"/>
      <c r="G19" s="445"/>
      <c r="H19" s="445"/>
      <c r="I19" s="459"/>
      <c r="J19" s="459"/>
      <c r="M19" s="424" t="str">
        <f>'Конфигурация TREI'!A20</f>
        <v>BR18</v>
      </c>
      <c r="N19" s="461" t="str">
        <f>'Конфигурация TREI'!B20</f>
        <v>M558O</v>
      </c>
      <c r="AE19" s="428">
        <f>Настройки!P19</f>
        <v>18</v>
      </c>
      <c r="AF19" s="380">
        <f>Настройки!Q19</f>
        <v>0</v>
      </c>
      <c r="AG19" s="380" t="str">
        <f>Настройки!R19</f>
        <v>-</v>
      </c>
      <c r="AH19" s="380" t="str">
        <f>Настройки!S19</f>
        <v>-</v>
      </c>
      <c r="AI19" s="380" t="str">
        <f>Настройки!T19</f>
        <v>out17</v>
      </c>
      <c r="AJ19" s="380" t="str">
        <f>Настройки!U19</f>
        <v>out17</v>
      </c>
      <c r="AK19" s="380" t="str">
        <f>Настройки!V19</f>
        <v>-</v>
      </c>
      <c r="AL19" s="380" t="str">
        <f>Настройки!W19</f>
        <v>-</v>
      </c>
      <c r="AM19" s="380" t="str">
        <f>Настройки!X19</f>
        <v>-</v>
      </c>
      <c r="AN19" s="380" t="str">
        <f>Настройки!Y19</f>
        <v>-</v>
      </c>
      <c r="AO19" s="380" t="str">
        <f>Настройки!Z19</f>
        <v>-</v>
      </c>
      <c r="AP19" s="380" t="str">
        <f>Настройки!AA19</f>
        <v>Canal_18</v>
      </c>
      <c r="AQ19" s="380" t="str">
        <f>Настройки!AB19</f>
        <v>Canal_18</v>
      </c>
      <c r="AR19" s="380" t="str">
        <f>Настройки!AC19</f>
        <v>-</v>
      </c>
      <c r="AS19" s="380" t="str">
        <f>Настройки!AD19</f>
        <v>-</v>
      </c>
      <c r="AT19" s="207" t="str">
        <f>Настройки!AB19</f>
        <v>Canal_18</v>
      </c>
      <c r="AU19" s="207" t="str">
        <f>Настройки!AC19</f>
        <v>-</v>
      </c>
      <c r="AV19" s="207" t="str">
        <f>Настройки!AD19</f>
        <v>-</v>
      </c>
      <c r="AW19" s="207" t="str">
        <f>Настройки!AE19</f>
        <v>-</v>
      </c>
      <c r="AX19" s="207" t="str">
        <f>Настройки!AF19</f>
        <v>IDIG_5_2</v>
      </c>
      <c r="AY19" s="207" t="str">
        <f>Настройки!AG19</f>
        <v>Canal_18</v>
      </c>
      <c r="AZ19" s="207" t="str">
        <f>Настройки!AH19</f>
        <v>Canal_18</v>
      </c>
      <c r="BA19" s="207" t="str">
        <f>Настройки!AI19</f>
        <v>Canal_18</v>
      </c>
      <c r="BB19" s="207" t="str">
        <f>Настройки!AJ19</f>
        <v>-</v>
      </c>
      <c r="BC19" s="207" t="str">
        <f>Настройки!AK19</f>
        <v>-</v>
      </c>
      <c r="BD19" s="207" t="str">
        <f>Настройки!AL19</f>
        <v>Canal_18</v>
      </c>
      <c r="BE19" s="207" t="str">
        <f>Настройки!AM19</f>
        <v>-</v>
      </c>
    </row>
    <row r="20" spans="1:57">
      <c r="A20" s="82"/>
      <c r="B20" s="82"/>
      <c r="C20" s="11"/>
      <c r="D20" s="81"/>
      <c r="E20" s="81"/>
      <c r="F20" s="81"/>
      <c r="G20" s="445"/>
      <c r="H20" s="445"/>
      <c r="I20" s="459"/>
      <c r="J20" s="459"/>
      <c r="M20" s="424" t="str">
        <f>'Конфигурация TREI'!A21</f>
        <v>BR19</v>
      </c>
      <c r="N20" s="461" t="str">
        <f>'Конфигурация TREI'!B21</f>
        <v>M558O</v>
      </c>
      <c r="AE20" s="428">
        <f>Настройки!P20</f>
        <v>19</v>
      </c>
      <c r="AF20" s="380">
        <f>Настройки!Q20</f>
        <v>0</v>
      </c>
      <c r="AG20" s="380" t="str">
        <f>Настройки!R20</f>
        <v>-</v>
      </c>
      <c r="AH20" s="380" t="str">
        <f>Настройки!S20</f>
        <v>-</v>
      </c>
      <c r="AI20" s="380" t="str">
        <f>Настройки!T20</f>
        <v>out18</v>
      </c>
      <c r="AJ20" s="380" t="str">
        <f>Настройки!U20</f>
        <v>out18</v>
      </c>
      <c r="AK20" s="380" t="str">
        <f>Настройки!V20</f>
        <v>-</v>
      </c>
      <c r="AL20" s="380" t="str">
        <f>Настройки!W20</f>
        <v>-</v>
      </c>
      <c r="AM20" s="380" t="str">
        <f>Настройки!X20</f>
        <v>-</v>
      </c>
      <c r="AN20" s="380" t="str">
        <f>Настройки!Y20</f>
        <v>-</v>
      </c>
      <c r="AO20" s="380" t="str">
        <f>Настройки!Z20</f>
        <v>-</v>
      </c>
      <c r="AP20" s="380" t="str">
        <f>Настройки!AA20</f>
        <v>Canal_19</v>
      </c>
      <c r="AQ20" s="380" t="str">
        <f>Настройки!AB20</f>
        <v>Canal_19</v>
      </c>
      <c r="AR20" s="380" t="str">
        <f>Настройки!AC20</f>
        <v>-</v>
      </c>
      <c r="AS20" s="380" t="str">
        <f>Настройки!AD20</f>
        <v>-</v>
      </c>
      <c r="AT20" s="207" t="str">
        <f>Настройки!AB20</f>
        <v>Canal_19</v>
      </c>
      <c r="AU20" s="207" t="str">
        <f>Настройки!AC20</f>
        <v>-</v>
      </c>
      <c r="AV20" s="207" t="str">
        <f>Настройки!AD20</f>
        <v>-</v>
      </c>
      <c r="AW20" s="207" t="str">
        <f>Настройки!AE20</f>
        <v>-</v>
      </c>
      <c r="AX20" s="207" t="str">
        <f>Настройки!AF20</f>
        <v>IDIG_5_3</v>
      </c>
      <c r="AY20" s="207" t="str">
        <f>Настройки!AG20</f>
        <v>Canal_19</v>
      </c>
      <c r="AZ20" s="207" t="str">
        <f>Настройки!AH20</f>
        <v>Canal_19</v>
      </c>
      <c r="BA20" s="207" t="str">
        <f>Настройки!AI20</f>
        <v>Canal_19</v>
      </c>
      <c r="BB20" s="207" t="str">
        <f>Настройки!AJ20</f>
        <v>-</v>
      </c>
      <c r="BC20" s="207" t="str">
        <f>Настройки!AK20</f>
        <v>-</v>
      </c>
      <c r="BD20" s="207" t="str">
        <f>Настройки!AL20</f>
        <v>Canal_19</v>
      </c>
      <c r="BE20" s="207" t="str">
        <f>Настройки!AM20</f>
        <v>-</v>
      </c>
    </row>
    <row r="21" spans="1:57">
      <c r="A21" s="82"/>
      <c r="B21" s="82"/>
      <c r="C21" s="11"/>
      <c r="D21" s="81"/>
      <c r="E21" s="81"/>
      <c r="F21" s="81"/>
      <c r="G21" s="445"/>
      <c r="H21" s="445"/>
      <c r="I21" s="459"/>
      <c r="J21" s="459"/>
      <c r="M21" s="424" t="str">
        <f>'Конфигурация TREI'!A22</f>
        <v>BR20</v>
      </c>
      <c r="N21" s="461" t="str">
        <f>'Конфигурация TREI'!B22</f>
        <v>M558D</v>
      </c>
      <c r="AE21" s="428">
        <f>Настройки!P21</f>
        <v>20</v>
      </c>
      <c r="AF21" s="380">
        <f>Настройки!Q21</f>
        <v>0</v>
      </c>
      <c r="AG21" s="380" t="str">
        <f>Настройки!R21</f>
        <v>-</v>
      </c>
      <c r="AH21" s="380" t="str">
        <f>Настройки!S21</f>
        <v>-</v>
      </c>
      <c r="AI21" s="380" t="str">
        <f>Настройки!T21</f>
        <v>out19</v>
      </c>
      <c r="AJ21" s="380" t="str">
        <f>Настройки!U21</f>
        <v>out19</v>
      </c>
      <c r="AK21" s="380" t="str">
        <f>Настройки!V21</f>
        <v>-</v>
      </c>
      <c r="AL21" s="380" t="str">
        <f>Настройки!W21</f>
        <v>-</v>
      </c>
      <c r="AM21" s="380" t="str">
        <f>Настройки!X21</f>
        <v>-</v>
      </c>
      <c r="AN21" s="380" t="str">
        <f>Настройки!Y21</f>
        <v>-</v>
      </c>
      <c r="AO21" s="380" t="str">
        <f>Настройки!Z21</f>
        <v>-</v>
      </c>
      <c r="AP21" s="380" t="str">
        <f>Настройки!AA21</f>
        <v>Canal_20</v>
      </c>
      <c r="AQ21" s="380" t="str">
        <f>Настройки!AB21</f>
        <v>Canal_20</v>
      </c>
      <c r="AR21" s="380" t="str">
        <f>Настройки!AC21</f>
        <v>-</v>
      </c>
      <c r="AS21" s="380" t="str">
        <f>Настройки!AD21</f>
        <v>-</v>
      </c>
      <c r="AT21" s="207" t="str">
        <f>Настройки!AB21</f>
        <v>Canal_20</v>
      </c>
      <c r="AU21" s="207" t="str">
        <f>Настройки!AC21</f>
        <v>-</v>
      </c>
      <c r="AV21" s="207" t="str">
        <f>Настройки!AD21</f>
        <v>-</v>
      </c>
      <c r="AW21" s="207" t="str">
        <f>Настройки!AE21</f>
        <v>-</v>
      </c>
      <c r="AX21" s="207" t="str">
        <f>Настройки!AF21</f>
        <v>IDIG_5_4</v>
      </c>
      <c r="AY21" s="207" t="str">
        <f>Настройки!AG21</f>
        <v>Canal_20</v>
      </c>
      <c r="AZ21" s="207" t="str">
        <f>Настройки!AH21</f>
        <v>Canal_20</v>
      </c>
      <c r="BA21" s="207" t="str">
        <f>Настройки!AI21</f>
        <v>Canal_20</v>
      </c>
      <c r="BB21" s="207" t="str">
        <f>Настройки!AJ21</f>
        <v>-</v>
      </c>
      <c r="BC21" s="207" t="str">
        <f>Настройки!AK21</f>
        <v>-</v>
      </c>
      <c r="BD21" s="207" t="str">
        <f>Настройки!AL21</f>
        <v>Canal_20</v>
      </c>
      <c r="BE21" s="207" t="str">
        <f>Настройки!AM21</f>
        <v>-</v>
      </c>
    </row>
    <row r="22" spans="1:57">
      <c r="A22" s="82"/>
      <c r="B22" s="82"/>
      <c r="C22" s="11"/>
      <c r="D22" s="81"/>
      <c r="E22" s="81"/>
      <c r="F22" s="81"/>
      <c r="G22" s="445"/>
      <c r="H22" s="445"/>
      <c r="I22" s="459"/>
      <c r="J22" s="459"/>
      <c r="M22" s="424" t="str">
        <f>'Конфигурация TREI'!A23</f>
        <v>BR21</v>
      </c>
      <c r="N22" s="461" t="str">
        <f>'Конфигурация TREI'!B23</f>
        <v>M558O</v>
      </c>
      <c r="AE22" s="428">
        <f>Настройки!P22</f>
        <v>21</v>
      </c>
      <c r="AF22" s="380">
        <f>Настройки!Q22</f>
        <v>0</v>
      </c>
      <c r="AG22" s="380" t="str">
        <f>Настройки!R22</f>
        <v>-</v>
      </c>
      <c r="AH22" s="380" t="str">
        <f>Настройки!S22</f>
        <v>-</v>
      </c>
      <c r="AI22" s="380" t="str">
        <f>Настройки!T22</f>
        <v>out20</v>
      </c>
      <c r="AJ22" s="380" t="str">
        <f>Настройки!U22</f>
        <v>out20</v>
      </c>
      <c r="AK22" s="380" t="str">
        <f>Настройки!V22</f>
        <v>-</v>
      </c>
      <c r="AL22" s="380" t="str">
        <f>Настройки!W22</f>
        <v>-</v>
      </c>
      <c r="AM22" s="380" t="str">
        <f>Настройки!X22</f>
        <v>-</v>
      </c>
      <c r="AN22" s="380" t="str">
        <f>Настройки!Y22</f>
        <v>-</v>
      </c>
      <c r="AO22" s="380" t="str">
        <f>Настройки!Z22</f>
        <v>-</v>
      </c>
      <c r="AP22" s="380" t="str">
        <f>Настройки!AA22</f>
        <v>Canal_21</v>
      </c>
      <c r="AQ22" s="380" t="str">
        <f>Настройки!AB22</f>
        <v>Canal_21</v>
      </c>
      <c r="AR22" s="380" t="str">
        <f>Настройки!AC22</f>
        <v>-</v>
      </c>
      <c r="AS22" s="380" t="str">
        <f>Настройки!AD22</f>
        <v>-</v>
      </c>
      <c r="AT22" s="207" t="str">
        <f>Настройки!AB22</f>
        <v>Canal_21</v>
      </c>
      <c r="AU22" s="207" t="str">
        <f>Настройки!AC22</f>
        <v>-</v>
      </c>
      <c r="AV22" s="207" t="str">
        <f>Настройки!AD22</f>
        <v>-</v>
      </c>
      <c r="AW22" s="207" t="str">
        <f>Настройки!AE22</f>
        <v>-</v>
      </c>
      <c r="AX22" s="207" t="str">
        <f>Настройки!AF22</f>
        <v>IDIG_6_1</v>
      </c>
      <c r="AY22" s="207" t="str">
        <f>Настройки!AG22</f>
        <v>Canal_21</v>
      </c>
      <c r="AZ22" s="207" t="str">
        <f>Настройки!AH22</f>
        <v>Canal_21</v>
      </c>
      <c r="BA22" s="207" t="str">
        <f>Настройки!AI22</f>
        <v>Canal_21</v>
      </c>
      <c r="BB22" s="207" t="str">
        <f>Настройки!AJ22</f>
        <v>-</v>
      </c>
      <c r="BC22" s="207" t="str">
        <f>Настройки!AK22</f>
        <v>-</v>
      </c>
      <c r="BD22" s="207" t="str">
        <f>Настройки!AL22</f>
        <v>Canal_21</v>
      </c>
      <c r="BE22" s="207" t="str">
        <f>Настройки!AM22</f>
        <v>-</v>
      </c>
    </row>
    <row r="23" spans="1:57">
      <c r="A23" s="82"/>
      <c r="B23" s="82"/>
      <c r="C23" s="11"/>
      <c r="D23" s="81"/>
      <c r="E23" s="81"/>
      <c r="F23" s="81"/>
      <c r="G23" s="445"/>
      <c r="H23" s="445"/>
      <c r="I23" s="459"/>
      <c r="J23" s="459"/>
      <c r="M23" s="424" t="str">
        <f>'Конфигурация TREI'!A24</f>
        <v>BR22</v>
      </c>
      <c r="N23" s="461" t="str">
        <f>'Конфигурация TREI'!B24</f>
        <v>M558D</v>
      </c>
      <c r="AE23" s="428">
        <f>Настройки!P23</f>
        <v>22</v>
      </c>
      <c r="AF23" s="380">
        <f>Настройки!Q23</f>
        <v>0</v>
      </c>
      <c r="AG23" s="380" t="str">
        <f>Настройки!R23</f>
        <v>-</v>
      </c>
      <c r="AH23" s="380" t="str">
        <f>Настройки!S23</f>
        <v>-</v>
      </c>
      <c r="AI23" s="380" t="str">
        <f>Настройки!T23</f>
        <v>out21</v>
      </c>
      <c r="AJ23" s="380" t="str">
        <f>Настройки!U23</f>
        <v>out21</v>
      </c>
      <c r="AK23" s="380" t="str">
        <f>Настройки!V23</f>
        <v>-</v>
      </c>
      <c r="AL23" s="380" t="str">
        <f>Настройки!W23</f>
        <v>-</v>
      </c>
      <c r="AM23" s="380" t="str">
        <f>Настройки!X23</f>
        <v>-</v>
      </c>
      <c r="AN23" s="380" t="str">
        <f>Настройки!Y23</f>
        <v>-</v>
      </c>
      <c r="AO23" s="380" t="str">
        <f>Настройки!Z23</f>
        <v>-</v>
      </c>
      <c r="AP23" s="380" t="str">
        <f>Настройки!AA23</f>
        <v>Canal_22</v>
      </c>
      <c r="AQ23" s="380" t="str">
        <f>Настройки!AB23</f>
        <v>Canal_22</v>
      </c>
      <c r="AR23" s="380" t="str">
        <f>Настройки!AC23</f>
        <v>-</v>
      </c>
      <c r="AS23" s="380" t="str">
        <f>Настройки!AD23</f>
        <v>-</v>
      </c>
      <c r="AT23" s="207" t="str">
        <f>Настройки!AB23</f>
        <v>Canal_22</v>
      </c>
      <c r="AU23" s="207" t="str">
        <f>Настройки!AC23</f>
        <v>-</v>
      </c>
      <c r="AV23" s="207" t="str">
        <f>Настройки!AD23</f>
        <v>-</v>
      </c>
      <c r="AW23" s="207" t="str">
        <f>Настройки!AE23</f>
        <v>-</v>
      </c>
      <c r="AX23" s="207" t="str">
        <f>Настройки!AF23</f>
        <v>IDIG_6_2</v>
      </c>
      <c r="AY23" s="207" t="str">
        <f>Настройки!AG23</f>
        <v>Canal_22</v>
      </c>
      <c r="AZ23" s="207" t="str">
        <f>Настройки!AH23</f>
        <v>Canal_22</v>
      </c>
      <c r="BA23" s="207" t="str">
        <f>Настройки!AI23</f>
        <v>Canal_22</v>
      </c>
      <c r="BB23" s="207" t="str">
        <f>Настройки!AJ23</f>
        <v>-</v>
      </c>
      <c r="BC23" s="207" t="str">
        <f>Настройки!AK23</f>
        <v>-</v>
      </c>
      <c r="BD23" s="207" t="str">
        <f>Настройки!AL23</f>
        <v>Canal_22</v>
      </c>
      <c r="BE23" s="207" t="str">
        <f>Настройки!AM23</f>
        <v>-</v>
      </c>
    </row>
    <row r="24" spans="1:57">
      <c r="A24" s="82"/>
      <c r="B24" s="82"/>
      <c r="C24" s="11"/>
      <c r="D24" s="81"/>
      <c r="E24" s="81"/>
      <c r="F24" s="81"/>
      <c r="G24" s="445"/>
      <c r="H24" s="445"/>
      <c r="I24" s="459"/>
      <c r="J24" s="459"/>
      <c r="M24" s="424" t="str">
        <f>'Конфигурация TREI'!A25</f>
        <v>BR23</v>
      </c>
      <c r="N24" s="461" t="str">
        <f>'Конфигурация TREI'!B25</f>
        <v>M558O</v>
      </c>
      <c r="AE24" s="428">
        <f>Настройки!P24</f>
        <v>23</v>
      </c>
      <c r="AF24" s="380">
        <f>Настройки!Q24</f>
        <v>0</v>
      </c>
      <c r="AG24" s="380" t="str">
        <f>Настройки!R24</f>
        <v>-</v>
      </c>
      <c r="AH24" s="380" t="str">
        <f>Настройки!S24</f>
        <v>-</v>
      </c>
      <c r="AI24" s="380" t="str">
        <f>Настройки!T24</f>
        <v>out22</v>
      </c>
      <c r="AJ24" s="380" t="str">
        <f>Настройки!U24</f>
        <v>out22</v>
      </c>
      <c r="AK24" s="380" t="str">
        <f>Настройки!V24</f>
        <v>-</v>
      </c>
      <c r="AL24" s="380" t="str">
        <f>Настройки!W24</f>
        <v>-</v>
      </c>
      <c r="AM24" s="380" t="str">
        <f>Настройки!X24</f>
        <v>-</v>
      </c>
      <c r="AN24" s="380" t="str">
        <f>Настройки!Y24</f>
        <v>-</v>
      </c>
      <c r="AO24" s="380" t="str">
        <f>Настройки!Z24</f>
        <v>-</v>
      </c>
      <c r="AP24" s="380" t="str">
        <f>Настройки!AA24</f>
        <v>Canal_23</v>
      </c>
      <c r="AQ24" s="380" t="str">
        <f>Настройки!AB24</f>
        <v>Canal_23</v>
      </c>
      <c r="AR24" s="380" t="str">
        <f>Настройки!AC24</f>
        <v>-</v>
      </c>
      <c r="AS24" s="380" t="str">
        <f>Настройки!AD24</f>
        <v>-</v>
      </c>
      <c r="AT24" s="207" t="str">
        <f>Настройки!AB24</f>
        <v>Canal_23</v>
      </c>
      <c r="AU24" s="207" t="str">
        <f>Настройки!AC24</f>
        <v>-</v>
      </c>
      <c r="AV24" s="207" t="str">
        <f>Настройки!AD24</f>
        <v>-</v>
      </c>
      <c r="AW24" s="207" t="str">
        <f>Настройки!AE24</f>
        <v>-</v>
      </c>
      <c r="AX24" s="207" t="str">
        <f>Настройки!AF24</f>
        <v>IDIG_6_3</v>
      </c>
      <c r="AY24" s="207" t="str">
        <f>Настройки!AG24</f>
        <v>Canal_23</v>
      </c>
      <c r="AZ24" s="207" t="str">
        <f>Настройки!AH24</f>
        <v>Canal_23</v>
      </c>
      <c r="BA24" s="207" t="str">
        <f>Настройки!AI24</f>
        <v>Canal_23</v>
      </c>
      <c r="BB24" s="207" t="str">
        <f>Настройки!AJ24</f>
        <v>-</v>
      </c>
      <c r="BC24" s="207" t="str">
        <f>Настройки!AK24</f>
        <v>-</v>
      </c>
      <c r="BD24" s="207" t="str">
        <f>Настройки!AL24</f>
        <v>Canal_23</v>
      </c>
      <c r="BE24" s="207" t="str">
        <f>Настройки!AM24</f>
        <v>-</v>
      </c>
    </row>
    <row r="25" spans="1:57">
      <c r="A25" s="82"/>
      <c r="B25" s="82"/>
      <c r="C25" s="11"/>
      <c r="D25" s="81"/>
      <c r="E25" s="81"/>
      <c r="F25" s="81"/>
      <c r="G25" s="445"/>
      <c r="H25" s="445"/>
      <c r="I25" s="459"/>
      <c r="J25" s="459"/>
      <c r="M25" s="424" t="str">
        <f>'Конфигурация TREI'!A26</f>
        <v>BR24</v>
      </c>
      <c r="N25" s="461" t="str">
        <f>'Конфигурация TREI'!B26</f>
        <v>M558D</v>
      </c>
      <c r="AE25" s="428">
        <f>Настройки!P25</f>
        <v>24</v>
      </c>
      <c r="AF25" s="380">
        <f>Настройки!Q25</f>
        <v>0</v>
      </c>
      <c r="AG25" s="380" t="str">
        <f>Настройки!R25</f>
        <v>-</v>
      </c>
      <c r="AH25" s="380" t="str">
        <f>Настройки!S25</f>
        <v>-</v>
      </c>
      <c r="AI25" s="380" t="str">
        <f>Настройки!T25</f>
        <v>out23</v>
      </c>
      <c r="AJ25" s="380" t="str">
        <f>Настройки!U25</f>
        <v>out23</v>
      </c>
      <c r="AK25" s="380" t="str">
        <f>Настройки!V25</f>
        <v>-</v>
      </c>
      <c r="AL25" s="380" t="str">
        <f>Настройки!W25</f>
        <v>-</v>
      </c>
      <c r="AM25" s="380" t="str">
        <f>Настройки!X25</f>
        <v>-</v>
      </c>
      <c r="AN25" s="380" t="str">
        <f>Настройки!Y25</f>
        <v>-</v>
      </c>
      <c r="AO25" s="380" t="str">
        <f>Настройки!Z25</f>
        <v>-</v>
      </c>
      <c r="AP25" s="380" t="str">
        <f>Настройки!AA25</f>
        <v>Canal_24</v>
      </c>
      <c r="AQ25" s="380" t="str">
        <f>Настройки!AB25</f>
        <v>Canal_24</v>
      </c>
      <c r="AR25" s="380" t="str">
        <f>Настройки!AC25</f>
        <v>-</v>
      </c>
      <c r="AS25" s="380" t="str">
        <f>Настройки!AD25</f>
        <v>-</v>
      </c>
      <c r="AT25" s="207" t="str">
        <f>Настройки!AB25</f>
        <v>Canal_24</v>
      </c>
      <c r="AU25" s="207" t="str">
        <f>Настройки!AC25</f>
        <v>-</v>
      </c>
      <c r="AV25" s="207" t="str">
        <f>Настройки!AD25</f>
        <v>-</v>
      </c>
      <c r="AW25" s="207" t="str">
        <f>Настройки!AE25</f>
        <v>-</v>
      </c>
      <c r="AX25" s="207" t="str">
        <f>Настройки!AF25</f>
        <v>IDIG_6_4</v>
      </c>
      <c r="AY25" s="207" t="str">
        <f>Настройки!AG25</f>
        <v>Canal_24</v>
      </c>
      <c r="AZ25" s="207" t="str">
        <f>Настройки!AH25</f>
        <v>Canal_24</v>
      </c>
      <c r="BA25" s="207" t="str">
        <f>Настройки!AI25</f>
        <v>Canal_24</v>
      </c>
      <c r="BB25" s="207" t="str">
        <f>Настройки!AJ25</f>
        <v>-</v>
      </c>
      <c r="BC25" s="207" t="str">
        <f>Настройки!AK25</f>
        <v>-</v>
      </c>
      <c r="BD25" s="207" t="str">
        <f>Настройки!AL25</f>
        <v>Canal_24</v>
      </c>
      <c r="BE25" s="207" t="str">
        <f>Настройки!AM25</f>
        <v>-</v>
      </c>
    </row>
    <row r="26" spans="1:57">
      <c r="A26" s="82"/>
      <c r="B26" s="82"/>
      <c r="C26" s="11"/>
      <c r="D26" s="81"/>
      <c r="E26" s="81"/>
      <c r="F26" s="81"/>
      <c r="G26" s="445"/>
      <c r="H26" s="445"/>
      <c r="I26" s="459"/>
      <c r="J26" s="459"/>
      <c r="M26" s="424" t="str">
        <f>'Конфигурация TREI'!A27</f>
        <v>BR25</v>
      </c>
      <c r="N26" s="461" t="str">
        <f>'Конфигурация TREI'!B27</f>
        <v>M558D</v>
      </c>
      <c r="AE26" s="428">
        <f>Настройки!P26</f>
        <v>25</v>
      </c>
      <c r="AF26" s="380">
        <f>Настройки!Q26</f>
        <v>0</v>
      </c>
      <c r="AG26" s="380" t="str">
        <f>Настройки!R26</f>
        <v>-</v>
      </c>
      <c r="AH26" s="380" t="str">
        <f>Настройки!S26</f>
        <v>-</v>
      </c>
      <c r="AI26" s="380" t="str">
        <f>Настройки!T26</f>
        <v>out24</v>
      </c>
      <c r="AJ26" s="380" t="str">
        <f>Настройки!U26</f>
        <v>out24</v>
      </c>
      <c r="AK26" s="380" t="str">
        <f>Настройки!V26</f>
        <v>-</v>
      </c>
      <c r="AL26" s="380" t="str">
        <f>Настройки!W26</f>
        <v>-</v>
      </c>
      <c r="AM26" s="380" t="str">
        <f>Настройки!X26</f>
        <v>-</v>
      </c>
      <c r="AN26" s="380" t="str">
        <f>Настройки!Y26</f>
        <v>-</v>
      </c>
      <c r="AO26" s="380" t="str">
        <f>Настройки!Z26</f>
        <v>-</v>
      </c>
      <c r="AP26" s="380" t="str">
        <f>Настройки!AA26</f>
        <v>Canal_25</v>
      </c>
      <c r="AQ26" s="380" t="str">
        <f>Настройки!AB26</f>
        <v>Canal_25</v>
      </c>
      <c r="AR26" s="380" t="str">
        <f>Настройки!AC26</f>
        <v>-</v>
      </c>
      <c r="AS26" s="380" t="str">
        <f>Настройки!AD26</f>
        <v>-</v>
      </c>
      <c r="AT26" s="207" t="str">
        <f>Настройки!AB26</f>
        <v>Canal_25</v>
      </c>
      <c r="AU26" s="207" t="str">
        <f>Настройки!AC26</f>
        <v>-</v>
      </c>
      <c r="AV26" s="207" t="str">
        <f>Настройки!AD26</f>
        <v>-</v>
      </c>
      <c r="AW26" s="207" t="str">
        <f>Настройки!AE26</f>
        <v>-</v>
      </c>
      <c r="AX26" s="207" t="str">
        <f>Настройки!AF26</f>
        <v>IDIG_7_1</v>
      </c>
      <c r="AY26" s="207" t="str">
        <f>Настройки!AG26</f>
        <v>Canal_25</v>
      </c>
      <c r="AZ26" s="207" t="str">
        <f>Настройки!AH26</f>
        <v>Canal_25</v>
      </c>
      <c r="BA26" s="207" t="str">
        <f>Настройки!AI26</f>
        <v>Canal_25</v>
      </c>
      <c r="BB26" s="207" t="str">
        <f>Настройки!AJ26</f>
        <v>-</v>
      </c>
      <c r="BC26" s="207" t="str">
        <f>Настройки!AK26</f>
        <v>-</v>
      </c>
      <c r="BD26" s="207" t="str">
        <f>Настройки!AL26</f>
        <v>Canal_25</v>
      </c>
      <c r="BE26" s="207" t="str">
        <f>Настройки!AM26</f>
        <v>-</v>
      </c>
    </row>
    <row r="27" spans="1:57">
      <c r="A27" s="82"/>
      <c r="B27" s="82"/>
      <c r="C27" s="11"/>
      <c r="D27" s="81"/>
      <c r="E27" s="81"/>
      <c r="F27" s="81"/>
      <c r="G27" s="445"/>
      <c r="H27" s="445"/>
      <c r="I27" s="459"/>
      <c r="J27" s="459"/>
      <c r="M27" s="424" t="str">
        <f>'Конфигурация TREI'!A28</f>
        <v>BR26</v>
      </c>
      <c r="N27" s="461" t="str">
        <f>'Конфигурация TREI'!B28</f>
        <v>M558D</v>
      </c>
      <c r="AE27" s="428">
        <f>Настройки!P27</f>
        <v>26</v>
      </c>
      <c r="AF27" s="380">
        <f>Настройки!Q27</f>
        <v>0</v>
      </c>
      <c r="AG27" s="380" t="str">
        <f>Настройки!R27</f>
        <v>-</v>
      </c>
      <c r="AH27" s="380" t="str">
        <f>Настройки!S27</f>
        <v>-</v>
      </c>
      <c r="AI27" s="380" t="str">
        <f>Настройки!T27</f>
        <v>out25</v>
      </c>
      <c r="AJ27" s="380" t="str">
        <f>Настройки!U27</f>
        <v>out25</v>
      </c>
      <c r="AK27" s="380" t="str">
        <f>Настройки!V27</f>
        <v>-</v>
      </c>
      <c r="AL27" s="380" t="str">
        <f>Настройки!W27</f>
        <v>-</v>
      </c>
      <c r="AM27" s="380" t="str">
        <f>Настройки!X27</f>
        <v>-</v>
      </c>
      <c r="AN27" s="380" t="str">
        <f>Настройки!Y27</f>
        <v>-</v>
      </c>
      <c r="AO27" s="380" t="str">
        <f>Настройки!Z27</f>
        <v>-</v>
      </c>
      <c r="AP27" s="380" t="str">
        <f>Настройки!AA27</f>
        <v>Canal_26</v>
      </c>
      <c r="AQ27" s="380" t="str">
        <f>Настройки!AB27</f>
        <v>Canal_26</v>
      </c>
      <c r="AR27" s="380" t="str">
        <f>Настройки!AC27</f>
        <v>-</v>
      </c>
      <c r="AS27" s="380" t="str">
        <f>Настройки!AD27</f>
        <v>-</v>
      </c>
      <c r="AT27" s="207" t="str">
        <f>Настройки!AB27</f>
        <v>Canal_26</v>
      </c>
      <c r="AU27" s="207" t="str">
        <f>Настройки!AC27</f>
        <v>-</v>
      </c>
      <c r="AV27" s="207" t="str">
        <f>Настройки!AD27</f>
        <v>-</v>
      </c>
      <c r="AW27" s="207" t="str">
        <f>Настройки!AE27</f>
        <v>-</v>
      </c>
      <c r="AX27" s="207" t="str">
        <f>Настройки!AF27</f>
        <v>IDIG_7_2</v>
      </c>
      <c r="AY27" s="207" t="str">
        <f>Настройки!AG27</f>
        <v>Canal_26</v>
      </c>
      <c r="AZ27" s="207" t="str">
        <f>Настройки!AH27</f>
        <v>Canal_26</v>
      </c>
      <c r="BA27" s="207" t="str">
        <f>Настройки!AI27</f>
        <v>Canal_26</v>
      </c>
      <c r="BB27" s="207" t="str">
        <f>Настройки!AJ27</f>
        <v>-</v>
      </c>
      <c r="BC27" s="207" t="str">
        <f>Настройки!AK27</f>
        <v>-</v>
      </c>
      <c r="BD27" s="207" t="str">
        <f>Настройки!AL27</f>
        <v>Canal_26</v>
      </c>
      <c r="BE27" s="207" t="str">
        <f>Настройки!AM27</f>
        <v>-</v>
      </c>
    </row>
    <row r="28" spans="1:57">
      <c r="A28" s="82"/>
      <c r="B28" s="82"/>
      <c r="C28" s="11"/>
      <c r="D28" s="81"/>
      <c r="E28" s="81"/>
      <c r="F28" s="81"/>
      <c r="G28" s="445"/>
      <c r="H28" s="445"/>
      <c r="I28" s="459"/>
      <c r="J28" s="459"/>
      <c r="M28" s="424" t="str">
        <f>'Конфигурация TREI'!A29</f>
        <v>BR27</v>
      </c>
      <c r="N28" s="461" t="str">
        <f>'Конфигурация TREI'!B29</f>
        <v>M558D</v>
      </c>
      <c r="AE28" s="428">
        <f>Настройки!P28</f>
        <v>27</v>
      </c>
      <c r="AF28" s="380">
        <f>Настройки!Q28</f>
        <v>0</v>
      </c>
      <c r="AG28" s="380" t="str">
        <f>Настройки!R28</f>
        <v>-</v>
      </c>
      <c r="AH28" s="380" t="str">
        <f>Настройки!S28</f>
        <v>-</v>
      </c>
      <c r="AI28" s="380" t="str">
        <f>Настройки!T28</f>
        <v>out26</v>
      </c>
      <c r="AJ28" s="380" t="str">
        <f>Настройки!U28</f>
        <v>out26</v>
      </c>
      <c r="AK28" s="380" t="str">
        <f>Настройки!V28</f>
        <v>-</v>
      </c>
      <c r="AL28" s="380" t="str">
        <f>Настройки!W28</f>
        <v>-</v>
      </c>
      <c r="AM28" s="380" t="str">
        <f>Настройки!X28</f>
        <v>-</v>
      </c>
      <c r="AN28" s="380" t="str">
        <f>Настройки!Y28</f>
        <v>-</v>
      </c>
      <c r="AO28" s="380" t="str">
        <f>Настройки!Z28</f>
        <v>-</v>
      </c>
      <c r="AP28" s="380" t="str">
        <f>Настройки!AA28</f>
        <v>Canal_27</v>
      </c>
      <c r="AQ28" s="380" t="str">
        <f>Настройки!AB28</f>
        <v>Canal_27</v>
      </c>
      <c r="AR28" s="380" t="str">
        <f>Настройки!AC28</f>
        <v>-</v>
      </c>
      <c r="AS28" s="380" t="str">
        <f>Настройки!AD28</f>
        <v>-</v>
      </c>
      <c r="AT28" s="207" t="str">
        <f>Настройки!AB28</f>
        <v>Canal_27</v>
      </c>
      <c r="AU28" s="207" t="str">
        <f>Настройки!AC28</f>
        <v>-</v>
      </c>
      <c r="AV28" s="207" t="str">
        <f>Настройки!AD28</f>
        <v>-</v>
      </c>
      <c r="AW28" s="207" t="str">
        <f>Настройки!AE28</f>
        <v>-</v>
      </c>
      <c r="AX28" s="207" t="str">
        <f>Настройки!AF28</f>
        <v>IDIG_7_3</v>
      </c>
      <c r="AY28" s="207" t="str">
        <f>Настройки!AG28</f>
        <v>Canal_27</v>
      </c>
      <c r="AZ28" s="207" t="str">
        <f>Настройки!AH28</f>
        <v>Canal_27</v>
      </c>
      <c r="BA28" s="207" t="str">
        <f>Настройки!AI28</f>
        <v>Canal_27</v>
      </c>
      <c r="BB28" s="207" t="str">
        <f>Настройки!AJ28</f>
        <v>-</v>
      </c>
      <c r="BC28" s="207" t="str">
        <f>Настройки!AK28</f>
        <v>-</v>
      </c>
      <c r="BD28" s="207" t="str">
        <f>Настройки!AL28</f>
        <v>Canal_27</v>
      </c>
      <c r="BE28" s="207" t="str">
        <f>Настройки!AM28</f>
        <v>-</v>
      </c>
    </row>
    <row r="29" spans="1:57">
      <c r="A29" s="82"/>
      <c r="B29" s="82"/>
      <c r="C29" s="11"/>
      <c r="D29" s="81"/>
      <c r="E29" s="81"/>
      <c r="F29" s="81"/>
      <c r="G29" s="445"/>
      <c r="H29" s="445"/>
      <c r="I29" s="459"/>
      <c r="J29" s="459"/>
      <c r="M29" s="424" t="str">
        <f>'Конфигурация TREI'!A30</f>
        <v>BR28</v>
      </c>
      <c r="N29" s="461" t="str">
        <f>'Конфигурация TREI'!B30</f>
        <v>M558D</v>
      </c>
      <c r="AE29" s="428">
        <f>Настройки!P29</f>
        <v>28</v>
      </c>
      <c r="AF29" s="380">
        <f>Настройки!Q29</f>
        <v>0</v>
      </c>
      <c r="AG29" s="380" t="str">
        <f>Настройки!R29</f>
        <v>-</v>
      </c>
      <c r="AH29" s="380" t="str">
        <f>Настройки!S29</f>
        <v>-</v>
      </c>
      <c r="AI29" s="380" t="str">
        <f>Настройки!T29</f>
        <v>out27</v>
      </c>
      <c r="AJ29" s="380" t="str">
        <f>Настройки!U29</f>
        <v>out27</v>
      </c>
      <c r="AK29" s="380" t="str">
        <f>Настройки!V29</f>
        <v>-</v>
      </c>
      <c r="AL29" s="380" t="str">
        <f>Настройки!W29</f>
        <v>-</v>
      </c>
      <c r="AM29" s="380" t="str">
        <f>Настройки!X29</f>
        <v>-</v>
      </c>
      <c r="AN29" s="380" t="str">
        <f>Настройки!Y29</f>
        <v>-</v>
      </c>
      <c r="AO29" s="380" t="str">
        <f>Настройки!Z29</f>
        <v>-</v>
      </c>
      <c r="AP29" s="380" t="str">
        <f>Настройки!AA29</f>
        <v>Canal_28</v>
      </c>
      <c r="AQ29" s="380" t="str">
        <f>Настройки!AB29</f>
        <v>Canal_28</v>
      </c>
      <c r="AR29" s="380" t="str">
        <f>Настройки!AC29</f>
        <v>-</v>
      </c>
      <c r="AS29" s="380" t="str">
        <f>Настройки!AD29</f>
        <v>-</v>
      </c>
      <c r="AT29" s="207" t="str">
        <f>Настройки!AB29</f>
        <v>Canal_28</v>
      </c>
      <c r="AU29" s="207" t="str">
        <f>Настройки!AC29</f>
        <v>-</v>
      </c>
      <c r="AV29" s="207" t="str">
        <f>Настройки!AD29</f>
        <v>-</v>
      </c>
      <c r="AW29" s="207" t="str">
        <f>Настройки!AE29</f>
        <v>-</v>
      </c>
      <c r="AX29" s="207" t="str">
        <f>Настройки!AF29</f>
        <v>IDIG_7_4</v>
      </c>
      <c r="AY29" s="207" t="str">
        <f>Настройки!AG29</f>
        <v>Canal_28</v>
      </c>
      <c r="AZ29" s="207" t="str">
        <f>Настройки!AH29</f>
        <v>Canal_28</v>
      </c>
      <c r="BA29" s="207" t="str">
        <f>Настройки!AI29</f>
        <v>Canal_28</v>
      </c>
      <c r="BB29" s="207" t="str">
        <f>Настройки!AJ29</f>
        <v>-</v>
      </c>
      <c r="BC29" s="207" t="str">
        <f>Настройки!AK29</f>
        <v>-</v>
      </c>
      <c r="BD29" s="207" t="str">
        <f>Настройки!AL29</f>
        <v>Canal_28</v>
      </c>
      <c r="BE29" s="207" t="str">
        <f>Настройки!AM29</f>
        <v>-</v>
      </c>
    </row>
    <row r="30" spans="1:57">
      <c r="A30" s="11"/>
      <c r="B30" s="11"/>
      <c r="C30" s="11"/>
      <c r="D30" s="11"/>
      <c r="E30" s="11"/>
      <c r="F30" s="11"/>
      <c r="G30" s="11"/>
      <c r="H30" s="11"/>
      <c r="I30" s="459"/>
      <c r="J30" s="459"/>
      <c r="M30" s="424" t="str">
        <f>'Конфигурация TREI'!A31</f>
        <v>BR29</v>
      </c>
      <c r="N30" s="461" t="str">
        <f>'Конфигурация TREI'!B31</f>
        <v>M558O</v>
      </c>
      <c r="AE30" s="428">
        <f>Настройки!P30</f>
        <v>29</v>
      </c>
      <c r="AF30" s="380">
        <f>Настройки!Q30</f>
        <v>0</v>
      </c>
      <c r="AG30" s="380" t="str">
        <f>Настройки!R30</f>
        <v>-</v>
      </c>
      <c r="AH30" s="380" t="str">
        <f>Настройки!S30</f>
        <v>-</v>
      </c>
      <c r="AI30" s="380" t="str">
        <f>Настройки!T30</f>
        <v>out28</v>
      </c>
      <c r="AJ30" s="380" t="str">
        <f>Настройки!U30</f>
        <v>out28</v>
      </c>
      <c r="AK30" s="380" t="str">
        <f>Настройки!V30</f>
        <v>-</v>
      </c>
      <c r="AL30" s="380" t="str">
        <f>Настройки!W30</f>
        <v>-</v>
      </c>
      <c r="AM30" s="380" t="str">
        <f>Настройки!X30</f>
        <v>-</v>
      </c>
      <c r="AN30" s="380" t="str">
        <f>Настройки!Y30</f>
        <v>-</v>
      </c>
      <c r="AO30" s="380" t="str">
        <f>Настройки!Z30</f>
        <v>-</v>
      </c>
      <c r="AP30" s="380" t="str">
        <f>Настройки!AA30</f>
        <v>Canal_29</v>
      </c>
      <c r="AQ30" s="380" t="str">
        <f>Настройки!AB30</f>
        <v>Canal_29</v>
      </c>
      <c r="AR30" s="380" t="str">
        <f>Настройки!AC30</f>
        <v>-</v>
      </c>
      <c r="AS30" s="380" t="str">
        <f>Настройки!AD30</f>
        <v>-</v>
      </c>
      <c r="AT30" s="207" t="str">
        <f>Настройки!AB30</f>
        <v>Canal_29</v>
      </c>
      <c r="AU30" s="207" t="str">
        <f>Настройки!AC30</f>
        <v>-</v>
      </c>
      <c r="AV30" s="207" t="str">
        <f>Настройки!AD30</f>
        <v>-</v>
      </c>
      <c r="AW30" s="207" t="str">
        <f>Настройки!AE30</f>
        <v>-</v>
      </c>
      <c r="AX30" s="207" t="str">
        <f>Настройки!AF30</f>
        <v>IDIG_8_1</v>
      </c>
      <c r="AY30" s="207" t="str">
        <f>Настройки!AG30</f>
        <v>Canal_29</v>
      </c>
      <c r="AZ30" s="207" t="str">
        <f>Настройки!AH30</f>
        <v>Canal_29</v>
      </c>
      <c r="BA30" s="207" t="str">
        <f>Настройки!AI30</f>
        <v>Canal_29</v>
      </c>
      <c r="BB30" s="207" t="str">
        <f>Настройки!AJ30</f>
        <v>-</v>
      </c>
      <c r="BC30" s="207" t="str">
        <f>Настройки!AK30</f>
        <v>-</v>
      </c>
      <c r="BD30" s="207" t="str">
        <f>Настройки!AL30</f>
        <v>Canal_29</v>
      </c>
      <c r="BE30" s="207" t="str">
        <f>Настройки!AM30</f>
        <v>-</v>
      </c>
    </row>
    <row r="31" spans="1:57">
      <c r="A31" s="82"/>
      <c r="B31" s="82"/>
      <c r="C31" s="81"/>
      <c r="D31" s="81"/>
      <c r="E31" s="81"/>
      <c r="F31" s="81"/>
      <c r="G31" s="445"/>
      <c r="H31" s="445"/>
      <c r="I31" s="459"/>
      <c r="J31" s="459"/>
      <c r="M31" s="424" t="str">
        <f>'Конфигурация TREI'!A32</f>
        <v>BR30</v>
      </c>
      <c r="N31" s="461" t="str">
        <f>'Конфигурация TREI'!B32</f>
        <v>M558D</v>
      </c>
      <c r="AE31" s="428">
        <f>Настройки!P31</f>
        <v>30</v>
      </c>
      <c r="AF31" s="380">
        <f>Настройки!Q31</f>
        <v>0</v>
      </c>
      <c r="AG31" s="380" t="str">
        <f>Настройки!R31</f>
        <v>-</v>
      </c>
      <c r="AH31" s="380" t="str">
        <f>Настройки!S31</f>
        <v>-</v>
      </c>
      <c r="AI31" s="380" t="str">
        <f>Настройки!T31</f>
        <v>out29</v>
      </c>
      <c r="AJ31" s="380" t="str">
        <f>Настройки!U31</f>
        <v>out29</v>
      </c>
      <c r="AK31" s="380" t="str">
        <f>Настройки!V31</f>
        <v>-</v>
      </c>
      <c r="AL31" s="380" t="str">
        <f>Настройки!W31</f>
        <v>-</v>
      </c>
      <c r="AM31" s="380" t="str">
        <f>Настройки!X31</f>
        <v>-</v>
      </c>
      <c r="AN31" s="380" t="str">
        <f>Настройки!Y31</f>
        <v>-</v>
      </c>
      <c r="AO31" s="380" t="str">
        <f>Настройки!Z31</f>
        <v>-</v>
      </c>
      <c r="AP31" s="380" t="str">
        <f>Настройки!AA31</f>
        <v>Canal_30</v>
      </c>
      <c r="AQ31" s="380" t="str">
        <f>Настройки!AB31</f>
        <v>Canal_30</v>
      </c>
      <c r="AR31" s="380" t="str">
        <f>Настройки!AC31</f>
        <v>-</v>
      </c>
      <c r="AS31" s="380" t="str">
        <f>Настройки!AD31</f>
        <v>-</v>
      </c>
      <c r="AT31" s="207" t="str">
        <f>Настройки!AB31</f>
        <v>Canal_30</v>
      </c>
      <c r="AU31" s="207" t="str">
        <f>Настройки!AC31</f>
        <v>-</v>
      </c>
      <c r="AV31" s="207" t="str">
        <f>Настройки!AD31</f>
        <v>-</v>
      </c>
      <c r="AW31" s="207" t="str">
        <f>Настройки!AE31</f>
        <v>-</v>
      </c>
      <c r="AX31" s="207" t="str">
        <f>Настройки!AF31</f>
        <v>IDIG_8_2</v>
      </c>
      <c r="AY31" s="207" t="str">
        <f>Настройки!AG31</f>
        <v>Canal_30</v>
      </c>
      <c r="AZ31" s="207" t="str">
        <f>Настройки!AH31</f>
        <v>Canal_30</v>
      </c>
      <c r="BA31" s="207" t="str">
        <f>Настройки!AI31</f>
        <v>Canal_30</v>
      </c>
      <c r="BB31" s="207" t="str">
        <f>Настройки!AJ31</f>
        <v>-</v>
      </c>
      <c r="BC31" s="207" t="str">
        <f>Настройки!AK31</f>
        <v>-</v>
      </c>
      <c r="BD31" s="207" t="str">
        <f>Настройки!AL31</f>
        <v>Canal_30</v>
      </c>
      <c r="BE31" s="207" t="str">
        <f>Настройки!AM31</f>
        <v>-</v>
      </c>
    </row>
    <row r="32" spans="1:57">
      <c r="A32" s="82"/>
      <c r="B32" s="82"/>
      <c r="C32" s="81"/>
      <c r="D32" s="81"/>
      <c r="E32" s="81"/>
      <c r="F32" s="81"/>
      <c r="G32" s="445"/>
      <c r="H32" s="445"/>
      <c r="I32" s="459"/>
      <c r="J32" s="459"/>
      <c r="M32" s="424" t="str">
        <f>'Конфигурация TREI'!A33</f>
        <v>BR31</v>
      </c>
      <c r="N32" s="461" t="str">
        <f>'Конфигурация TREI'!B33</f>
        <v>M558D</v>
      </c>
      <c r="AE32" s="428">
        <f>Настройки!P32</f>
        <v>31</v>
      </c>
      <c r="AF32" s="380">
        <f>Настройки!Q32</f>
        <v>0</v>
      </c>
      <c r="AG32" s="380" t="str">
        <f>Настройки!R32</f>
        <v>-</v>
      </c>
      <c r="AH32" s="380" t="str">
        <f>Настройки!S32</f>
        <v>-</v>
      </c>
      <c r="AI32" s="380" t="str">
        <f>Настройки!T32</f>
        <v>out30</v>
      </c>
      <c r="AJ32" s="380" t="str">
        <f>Настройки!U32</f>
        <v>out30</v>
      </c>
      <c r="AK32" s="380" t="str">
        <f>Настройки!V32</f>
        <v>-</v>
      </c>
      <c r="AL32" s="380" t="str">
        <f>Настройки!W32</f>
        <v>-</v>
      </c>
      <c r="AM32" s="380" t="str">
        <f>Настройки!X32</f>
        <v>-</v>
      </c>
      <c r="AN32" s="380" t="str">
        <f>Настройки!Y32</f>
        <v>-</v>
      </c>
      <c r="AO32" s="380" t="str">
        <f>Настройки!Z32</f>
        <v>-</v>
      </c>
      <c r="AP32" s="380" t="str">
        <f>Настройки!AA32</f>
        <v>Canal_31</v>
      </c>
      <c r="AQ32" s="380" t="str">
        <f>Настройки!AB32</f>
        <v>Canal_31</v>
      </c>
      <c r="AR32" s="380" t="str">
        <f>Настройки!AC32</f>
        <v>-</v>
      </c>
      <c r="AS32" s="380" t="str">
        <f>Настройки!AD32</f>
        <v>-</v>
      </c>
      <c r="AT32" s="207" t="str">
        <f>Настройки!AB32</f>
        <v>Canal_31</v>
      </c>
      <c r="AU32" s="207" t="str">
        <f>Настройки!AC32</f>
        <v>-</v>
      </c>
      <c r="AV32" s="207" t="str">
        <f>Настройки!AD32</f>
        <v>-</v>
      </c>
      <c r="AW32" s="207" t="str">
        <f>Настройки!AE32</f>
        <v>-</v>
      </c>
      <c r="AX32" s="207" t="str">
        <f>Настройки!AF32</f>
        <v>IDIG_8_3</v>
      </c>
      <c r="AY32" s="207" t="str">
        <f>Настройки!AG32</f>
        <v>Canal_31</v>
      </c>
      <c r="AZ32" s="207" t="str">
        <f>Настройки!AH32</f>
        <v>Canal_31</v>
      </c>
      <c r="BA32" s="207" t="str">
        <f>Настройки!AI32</f>
        <v>Canal_31</v>
      </c>
      <c r="BB32" s="207" t="str">
        <f>Настройки!AJ32</f>
        <v>-</v>
      </c>
      <c r="BC32" s="207" t="str">
        <f>Настройки!AK32</f>
        <v>-</v>
      </c>
      <c r="BD32" s="207" t="str">
        <f>Настройки!AL32</f>
        <v>Canal_31</v>
      </c>
      <c r="BE32" s="207" t="str">
        <f>Настройки!AM32</f>
        <v>-</v>
      </c>
    </row>
    <row r="33" spans="1:58">
      <c r="A33" s="82"/>
      <c r="B33" s="82"/>
      <c r="C33" s="81"/>
      <c r="D33" s="81"/>
      <c r="E33" s="81"/>
      <c r="F33" s="81"/>
      <c r="G33" s="445"/>
      <c r="H33" s="445"/>
      <c r="I33" s="459"/>
      <c r="J33" s="459"/>
      <c r="M33" s="424" t="str">
        <f>'Конфигурация TREI'!A34</f>
        <v>BR32</v>
      </c>
      <c r="N33" s="461" t="str">
        <f>'Конфигурация TREI'!B34</f>
        <v>M558D</v>
      </c>
      <c r="AE33" s="620">
        <f>Настройки!P33</f>
        <v>32</v>
      </c>
      <c r="AF33" s="621">
        <f>Настройки!Q33</f>
        <v>0</v>
      </c>
      <c r="AG33" s="621" t="str">
        <f>Настройки!R33</f>
        <v>-</v>
      </c>
      <c r="AH33" s="621" t="str">
        <f>Настройки!S33</f>
        <v>-</v>
      </c>
      <c r="AI33" s="621" t="str">
        <f>Настройки!T33</f>
        <v>out31</v>
      </c>
      <c r="AJ33" s="621" t="str">
        <f>Настройки!U33</f>
        <v>out31</v>
      </c>
      <c r="AK33" s="621" t="str">
        <f>Настройки!V33</f>
        <v>-</v>
      </c>
      <c r="AL33" s="621" t="str">
        <f>Настройки!W33</f>
        <v>-</v>
      </c>
      <c r="AM33" s="621" t="str">
        <f>Настройки!X33</f>
        <v>-</v>
      </c>
      <c r="AN33" s="621" t="str">
        <f>Настройки!Y33</f>
        <v>-</v>
      </c>
      <c r="AO33" s="621" t="str">
        <f>Настройки!Z33</f>
        <v>-</v>
      </c>
      <c r="AP33" s="621" t="str">
        <f>Настройки!AA33</f>
        <v>Canal_32</v>
      </c>
      <c r="AQ33" s="621" t="str">
        <f>Настройки!AB33</f>
        <v>Canal_32</v>
      </c>
      <c r="AR33" s="621" t="str">
        <f>Настройки!AC33</f>
        <v>-</v>
      </c>
      <c r="AS33" s="621" t="str">
        <f>Настройки!AD33</f>
        <v>-</v>
      </c>
      <c r="AT33" s="622" t="str">
        <f>Настройки!AB33</f>
        <v>Canal_32</v>
      </c>
      <c r="AU33" s="622" t="str">
        <f>Настройки!AC33</f>
        <v>-</v>
      </c>
      <c r="AV33" s="622" t="str">
        <f>Настройки!AD33</f>
        <v>-</v>
      </c>
      <c r="AW33" s="622" t="str">
        <f>Настройки!AE33</f>
        <v>-</v>
      </c>
      <c r="AX33" s="622" t="str">
        <f>Настройки!AF33</f>
        <v>IDIG_8_4</v>
      </c>
      <c r="AY33" s="622" t="str">
        <f>Настройки!AG33</f>
        <v>Canal_32</v>
      </c>
      <c r="AZ33" s="622" t="str">
        <f>Настройки!AH33</f>
        <v>Canal_32</v>
      </c>
      <c r="BA33" s="622" t="str">
        <f>Настройки!AI33</f>
        <v>Canal_32</v>
      </c>
      <c r="BB33" s="622" t="str">
        <f>Настройки!AJ33</f>
        <v>-</v>
      </c>
      <c r="BC33" s="622" t="str">
        <f>Настройки!AK33</f>
        <v>-</v>
      </c>
      <c r="BD33" s="622" t="str">
        <f>Настройки!AL33</f>
        <v>Canal_32</v>
      </c>
      <c r="BE33" s="622" t="str">
        <f>Настройки!AM33</f>
        <v>-</v>
      </c>
    </row>
    <row r="34" spans="1:58">
      <c r="A34" s="82"/>
      <c r="B34" s="82"/>
      <c r="C34" s="81"/>
      <c r="D34" s="81"/>
      <c r="E34" s="81"/>
      <c r="F34" s="81"/>
      <c r="G34" s="445"/>
      <c r="H34" s="445"/>
      <c r="I34" s="459"/>
      <c r="J34" s="459"/>
      <c r="M34" s="424" t="str">
        <f>'Конфигурация TREI'!A35</f>
        <v>BR33</v>
      </c>
      <c r="N34" s="461" t="str">
        <f>'Конфигурация TREI'!B35</f>
        <v>M558D</v>
      </c>
      <c r="AD34" s="626"/>
      <c r="AE34" s="624"/>
      <c r="AF34" s="624"/>
      <c r="AG34" s="624"/>
      <c r="AH34" s="624"/>
      <c r="AI34" s="624"/>
      <c r="AJ34" s="624"/>
      <c r="AK34" s="624"/>
      <c r="AL34" s="624"/>
      <c r="AM34" s="624"/>
      <c r="AN34" s="624"/>
      <c r="AO34" s="624"/>
      <c r="AP34" s="624"/>
      <c r="AQ34" s="624"/>
      <c r="AR34" s="624"/>
      <c r="AS34" s="624"/>
      <c r="AT34" s="625"/>
      <c r="AU34" s="625"/>
      <c r="AV34" s="625"/>
      <c r="AW34" s="625"/>
      <c r="AX34" s="625"/>
      <c r="AY34" s="625"/>
      <c r="AZ34" s="625"/>
      <c r="BA34" s="625"/>
      <c r="BB34" s="625"/>
      <c r="BC34" s="625"/>
      <c r="BD34" s="625"/>
      <c r="BE34" s="625"/>
      <c r="BF34" s="627"/>
    </row>
    <row r="35" spans="1:58">
      <c r="A35" s="82"/>
      <c r="B35" s="82"/>
      <c r="C35" s="81"/>
      <c r="D35" s="81"/>
      <c r="E35" s="81"/>
      <c r="F35" s="81"/>
      <c r="G35" s="445"/>
      <c r="H35" s="445"/>
      <c r="I35" s="459"/>
      <c r="J35" s="459"/>
      <c r="M35" s="424" t="str">
        <f>'Конфигурация TREI'!A36</f>
        <v>BR34</v>
      </c>
      <c r="N35" s="461" t="str">
        <f>'Конфигурация TREI'!B36</f>
        <v>M558D</v>
      </c>
      <c r="AD35" s="310"/>
      <c r="AE35" s="505"/>
      <c r="AF35" s="505"/>
      <c r="AG35" s="505"/>
      <c r="AH35" s="505"/>
      <c r="AI35" s="505"/>
      <c r="AJ35" s="505"/>
      <c r="AK35" s="505"/>
      <c r="AL35" s="505"/>
      <c r="AM35" s="505"/>
      <c r="AN35" s="505"/>
      <c r="AO35" s="505"/>
      <c r="AP35" s="505"/>
      <c r="AQ35" s="505"/>
      <c r="AR35" s="505"/>
      <c r="AS35" s="505"/>
      <c r="AT35" s="623"/>
      <c r="AU35" s="623"/>
      <c r="AV35" s="623"/>
      <c r="AW35" s="623"/>
      <c r="AX35" s="623"/>
      <c r="AY35" s="623"/>
      <c r="AZ35" s="623"/>
      <c r="BA35" s="623"/>
      <c r="BB35" s="623"/>
      <c r="BC35" s="623"/>
      <c r="BD35" s="623"/>
      <c r="BE35" s="623"/>
      <c r="BF35" s="462"/>
    </row>
    <row r="36" spans="1:58">
      <c r="A36" s="82"/>
      <c r="B36" s="82"/>
      <c r="C36" s="81"/>
      <c r="D36" s="81"/>
      <c r="E36" s="81"/>
      <c r="F36" s="81"/>
      <c r="G36" s="445"/>
      <c r="H36" s="445"/>
      <c r="I36" s="459"/>
      <c r="J36" s="459"/>
      <c r="M36" s="424" t="str">
        <f>'Конфигурация TREI'!A37</f>
        <v>BR35</v>
      </c>
      <c r="N36" s="461" t="str">
        <f>'Конфигурация TREI'!B37</f>
        <v>M558D</v>
      </c>
      <c r="AD36" s="310"/>
      <c r="AE36" s="505"/>
      <c r="AF36" s="505"/>
      <c r="AG36" s="505"/>
      <c r="AH36" s="505"/>
      <c r="AI36" s="505"/>
      <c r="AJ36" s="505"/>
      <c r="AK36" s="505"/>
      <c r="AL36" s="505"/>
      <c r="AM36" s="505"/>
      <c r="AN36" s="505"/>
      <c r="AO36" s="505"/>
      <c r="AP36" s="505"/>
      <c r="AQ36" s="505"/>
      <c r="AR36" s="505"/>
      <c r="AS36" s="505"/>
      <c r="AT36" s="623"/>
      <c r="AU36" s="623"/>
      <c r="AV36" s="623"/>
      <c r="AW36" s="623"/>
      <c r="AX36" s="623"/>
      <c r="AY36" s="623"/>
      <c r="AZ36" s="623"/>
      <c r="BA36" s="623"/>
      <c r="BB36" s="623"/>
      <c r="BC36" s="623"/>
      <c r="BD36" s="623"/>
      <c r="BE36" s="623"/>
      <c r="BF36" s="462"/>
    </row>
    <row r="37" spans="1:58" ht="15.75" customHeight="1">
      <c r="A37" s="82"/>
      <c r="B37" s="82"/>
      <c r="C37" s="81"/>
      <c r="D37" s="81"/>
      <c r="E37" s="81"/>
      <c r="F37" s="81"/>
      <c r="G37" s="445"/>
      <c r="H37" s="445"/>
      <c r="I37" s="459"/>
      <c r="J37" s="459"/>
      <c r="M37" s="424" t="str">
        <f>'Конфигурация TREI'!A38</f>
        <v>BR36</v>
      </c>
      <c r="N37" s="461">
        <f>'Конфигурация TREI'!B38</f>
        <v>0</v>
      </c>
      <c r="AD37" s="310"/>
      <c r="AE37" s="505"/>
      <c r="AF37" s="505"/>
      <c r="AG37" s="505"/>
      <c r="AH37" s="505"/>
      <c r="AI37" s="505"/>
      <c r="AJ37" s="505"/>
      <c r="AK37" s="505"/>
      <c r="AL37" s="505"/>
      <c r="AM37" s="505"/>
      <c r="AN37" s="505"/>
      <c r="AO37" s="505"/>
      <c r="AP37" s="505"/>
      <c r="AQ37" s="505"/>
      <c r="AR37" s="505"/>
      <c r="AS37" s="505"/>
      <c r="AT37" s="623"/>
      <c r="AU37" s="623"/>
      <c r="AV37" s="623"/>
      <c r="AW37" s="623"/>
      <c r="AX37" s="623"/>
      <c r="AY37" s="623"/>
      <c r="AZ37" s="623"/>
      <c r="BA37" s="623"/>
      <c r="BB37" s="623"/>
      <c r="BC37" s="623"/>
      <c r="BD37" s="623"/>
      <c r="BE37" s="623"/>
      <c r="BF37" s="462"/>
    </row>
    <row r="38" spans="1:58">
      <c r="A38" s="82"/>
      <c r="B38" s="82"/>
      <c r="C38" s="81"/>
      <c r="D38" s="81"/>
      <c r="E38" s="81"/>
      <c r="F38" s="81"/>
      <c r="G38" s="445"/>
      <c r="H38" s="445"/>
      <c r="I38" s="459"/>
      <c r="J38" s="459"/>
      <c r="M38" s="424" t="str">
        <f>'Конфигурация TREI'!A39</f>
        <v>BR37</v>
      </c>
      <c r="N38" s="461">
        <f>'Конфигурация TREI'!B39</f>
        <v>0</v>
      </c>
      <c r="AD38" s="310"/>
      <c r="AE38" s="505"/>
      <c r="AF38" s="505"/>
      <c r="AG38" s="505"/>
      <c r="AH38" s="505"/>
      <c r="AI38" s="505"/>
      <c r="AJ38" s="505"/>
      <c r="AK38" s="505"/>
      <c r="AL38" s="505"/>
      <c r="AM38" s="505"/>
      <c r="AN38" s="505"/>
      <c r="AO38" s="505"/>
      <c r="AP38" s="505"/>
      <c r="AQ38" s="505"/>
      <c r="AR38" s="505"/>
      <c r="AS38" s="505"/>
      <c r="AT38" s="623"/>
      <c r="AU38" s="623"/>
      <c r="AV38" s="623"/>
      <c r="AW38" s="623"/>
      <c r="AX38" s="623"/>
      <c r="AY38" s="623"/>
      <c r="AZ38" s="623"/>
      <c r="BA38" s="623"/>
      <c r="BB38" s="623"/>
      <c r="BC38" s="623"/>
      <c r="BD38" s="623"/>
      <c r="BE38" s="623"/>
      <c r="BF38" s="462"/>
    </row>
    <row r="39" spans="1:58">
      <c r="A39" s="82"/>
      <c r="B39" s="82"/>
      <c r="C39" s="81"/>
      <c r="D39" s="81"/>
      <c r="E39" s="81"/>
      <c r="F39" s="81"/>
      <c r="G39" s="445"/>
      <c r="H39" s="445"/>
      <c r="I39" s="459"/>
      <c r="J39" s="459"/>
      <c r="M39" s="424" t="str">
        <f>'Конфигурация TREI'!A40</f>
        <v>BR38</v>
      </c>
      <c r="N39" s="461">
        <f>'Конфигурация TREI'!B40</f>
        <v>0</v>
      </c>
      <c r="AD39" s="310"/>
      <c r="AE39" s="505"/>
      <c r="AF39" s="505"/>
      <c r="AG39" s="505"/>
      <c r="AH39" s="505"/>
      <c r="AI39" s="505"/>
      <c r="AJ39" s="505"/>
      <c r="AK39" s="505"/>
      <c r="AL39" s="505"/>
      <c r="AM39" s="505"/>
      <c r="AN39" s="505"/>
      <c r="AO39" s="505"/>
      <c r="AP39" s="505"/>
      <c r="AQ39" s="505"/>
      <c r="AR39" s="505"/>
      <c r="AS39" s="505"/>
      <c r="AT39" s="623"/>
      <c r="AU39" s="623"/>
      <c r="AV39" s="623"/>
      <c r="AW39" s="623"/>
      <c r="AX39" s="623"/>
      <c r="AY39" s="623"/>
      <c r="AZ39" s="623"/>
      <c r="BA39" s="623"/>
      <c r="BB39" s="623"/>
      <c r="BC39" s="623"/>
      <c r="BD39" s="623"/>
      <c r="BE39" s="623"/>
      <c r="BF39" s="462"/>
    </row>
    <row r="40" spans="1:58">
      <c r="A40" s="82"/>
      <c r="B40" s="82"/>
      <c r="C40" s="81"/>
      <c r="D40" s="81"/>
      <c r="E40" s="81"/>
      <c r="F40" s="81"/>
      <c r="G40" s="445"/>
      <c r="H40" s="445"/>
      <c r="I40" s="459"/>
      <c r="J40" s="459"/>
      <c r="M40" s="424" t="str">
        <f>'Конфигурация TREI'!A41</f>
        <v>BR39</v>
      </c>
      <c r="N40" s="461">
        <f>'Конфигурация TREI'!B41</f>
        <v>0</v>
      </c>
      <c r="AD40" s="310"/>
      <c r="AE40" s="505"/>
      <c r="AF40" s="505"/>
      <c r="AG40" s="505"/>
      <c r="AH40" s="505"/>
      <c r="AI40" s="505"/>
      <c r="AJ40" s="505"/>
      <c r="AK40" s="505"/>
      <c r="AL40" s="505"/>
      <c r="AM40" s="505"/>
      <c r="AN40" s="505"/>
      <c r="AO40" s="505"/>
      <c r="AP40" s="505"/>
      <c r="AQ40" s="505"/>
      <c r="AR40" s="505"/>
      <c r="AS40" s="505"/>
      <c r="AT40" s="623"/>
      <c r="AU40" s="623"/>
      <c r="AV40" s="623"/>
      <c r="AW40" s="623"/>
      <c r="AX40" s="623"/>
      <c r="AY40" s="623"/>
      <c r="AZ40" s="623"/>
      <c r="BA40" s="623"/>
      <c r="BB40" s="623"/>
      <c r="BC40" s="623"/>
      <c r="BD40" s="623"/>
      <c r="BE40" s="623"/>
      <c r="BF40" s="462"/>
    </row>
    <row r="41" spans="1:58">
      <c r="A41" s="82"/>
      <c r="B41" s="82"/>
      <c r="C41" s="81"/>
      <c r="D41" s="81"/>
      <c r="E41" s="81"/>
      <c r="F41" s="81"/>
      <c r="G41" s="445"/>
      <c r="H41" s="445"/>
      <c r="I41" s="459"/>
      <c r="J41" s="459"/>
      <c r="M41" s="424" t="str">
        <f>'Конфигурация TREI'!A42</f>
        <v>BR40</v>
      </c>
      <c r="N41" s="461">
        <f>'Конфигурация TREI'!B42</f>
        <v>0</v>
      </c>
      <c r="AD41" s="310"/>
      <c r="AE41" s="505"/>
      <c r="AF41" s="505"/>
      <c r="AG41" s="505"/>
      <c r="AH41" s="505"/>
      <c r="AI41" s="505"/>
      <c r="AJ41" s="505"/>
      <c r="AK41" s="505"/>
      <c r="AL41" s="505"/>
      <c r="AM41" s="505"/>
      <c r="AN41" s="505"/>
      <c r="AO41" s="505"/>
      <c r="AP41" s="505"/>
      <c r="AQ41" s="505"/>
      <c r="AR41" s="505"/>
      <c r="AS41" s="505"/>
      <c r="AT41" s="623"/>
      <c r="AU41" s="623"/>
      <c r="AV41" s="623"/>
      <c r="AW41" s="623"/>
      <c r="AX41" s="623"/>
      <c r="AY41" s="623"/>
      <c r="AZ41" s="623"/>
      <c r="BA41" s="623"/>
      <c r="BB41" s="623"/>
      <c r="BC41" s="623"/>
      <c r="BD41" s="623"/>
      <c r="BE41" s="623"/>
      <c r="BF41" s="462"/>
    </row>
    <row r="42" spans="1:58">
      <c r="A42" s="82"/>
      <c r="B42" s="82"/>
      <c r="C42" s="81"/>
      <c r="D42" s="81"/>
      <c r="E42" s="81"/>
      <c r="F42" s="81"/>
      <c r="G42" s="445"/>
      <c r="H42" s="445"/>
      <c r="I42" s="459"/>
      <c r="J42" s="459"/>
      <c r="K42" s="1"/>
      <c r="M42" s="424" t="str">
        <f>'Конфигурация TREI'!A43</f>
        <v>BR41</v>
      </c>
      <c r="N42" s="461">
        <f>'Конфигурация TREI'!B43</f>
        <v>0</v>
      </c>
      <c r="AD42" s="310"/>
      <c r="AE42" s="505"/>
      <c r="AF42" s="505"/>
      <c r="AG42" s="505"/>
      <c r="AH42" s="505"/>
      <c r="AI42" s="505"/>
      <c r="AJ42" s="505"/>
      <c r="AK42" s="505"/>
      <c r="AL42" s="505"/>
      <c r="AM42" s="505"/>
      <c r="AN42" s="505"/>
      <c r="AO42" s="505"/>
      <c r="AP42" s="505"/>
      <c r="AQ42" s="505"/>
      <c r="AR42" s="505"/>
      <c r="AS42" s="505"/>
      <c r="AT42" s="623"/>
      <c r="AU42" s="623"/>
      <c r="AV42" s="623"/>
      <c r="AW42" s="623"/>
      <c r="AX42" s="623"/>
      <c r="AY42" s="623"/>
      <c r="AZ42" s="623"/>
      <c r="BA42" s="623"/>
      <c r="BB42" s="623"/>
      <c r="BC42" s="623"/>
      <c r="BD42" s="623"/>
      <c r="BE42" s="623"/>
      <c r="BF42" s="462"/>
    </row>
    <row r="43" spans="1:58">
      <c r="A43" s="82"/>
      <c r="B43" s="82"/>
      <c r="C43" s="81"/>
      <c r="D43" s="81"/>
      <c r="E43" s="81"/>
      <c r="F43" s="81"/>
      <c r="G43" s="445"/>
      <c r="H43" s="445"/>
      <c r="I43" s="459"/>
      <c r="J43" s="459"/>
      <c r="K43" s="1"/>
      <c r="M43" s="424" t="str">
        <f>'Конфигурация TREI'!A44</f>
        <v>BR42</v>
      </c>
      <c r="N43" s="461">
        <f>'Конфигурация TREI'!B44</f>
        <v>0</v>
      </c>
      <c r="AD43" s="310"/>
      <c r="AE43" s="505"/>
      <c r="AF43" s="505"/>
      <c r="AG43" s="505"/>
      <c r="AH43" s="505"/>
      <c r="AI43" s="505"/>
      <c r="AJ43" s="505"/>
      <c r="AK43" s="505"/>
      <c r="AL43" s="505"/>
      <c r="AM43" s="505"/>
      <c r="AN43" s="505"/>
      <c r="AO43" s="505"/>
      <c r="AP43" s="505"/>
      <c r="AQ43" s="505"/>
      <c r="AR43" s="505"/>
      <c r="AS43" s="505"/>
      <c r="AT43" s="623"/>
      <c r="AU43" s="623"/>
      <c r="AV43" s="623"/>
      <c r="AW43" s="623"/>
      <c r="AX43" s="623"/>
      <c r="AY43" s="623"/>
      <c r="AZ43" s="623"/>
      <c r="BA43" s="623"/>
      <c r="BB43" s="623"/>
      <c r="BC43" s="623"/>
      <c r="BD43" s="623"/>
      <c r="BE43" s="623"/>
      <c r="BF43" s="462"/>
    </row>
    <row r="44" spans="1:58">
      <c r="A44" s="82"/>
      <c r="B44" s="82"/>
      <c r="C44" s="81"/>
      <c r="D44" s="81"/>
      <c r="E44" s="81"/>
      <c r="F44" s="81"/>
      <c r="G44" s="445"/>
      <c r="H44" s="445"/>
      <c r="I44" s="459"/>
      <c r="J44" s="459"/>
      <c r="K44" s="1"/>
      <c r="M44" s="424" t="str">
        <f>'Конфигурация TREI'!A45</f>
        <v>BR43</v>
      </c>
      <c r="N44" s="461">
        <f>'Конфигурация TREI'!B45</f>
        <v>0</v>
      </c>
      <c r="AD44" s="310"/>
      <c r="AE44" s="505"/>
      <c r="AF44" s="505"/>
      <c r="AG44" s="505"/>
      <c r="AH44" s="505"/>
      <c r="AI44" s="505"/>
      <c r="AJ44" s="505"/>
      <c r="AK44" s="505"/>
      <c r="AL44" s="505"/>
      <c r="AM44" s="505"/>
      <c r="AN44" s="505"/>
      <c r="AO44" s="505"/>
      <c r="AP44" s="505"/>
      <c r="AQ44" s="505"/>
      <c r="AR44" s="505"/>
      <c r="AS44" s="505"/>
      <c r="AT44" s="623"/>
      <c r="AU44" s="623"/>
      <c r="AV44" s="623"/>
      <c r="AW44" s="623"/>
      <c r="AX44" s="623"/>
      <c r="AY44" s="623"/>
      <c r="AZ44" s="623"/>
      <c r="BA44" s="623"/>
      <c r="BB44" s="623"/>
      <c r="BC44" s="623"/>
      <c r="BD44" s="623"/>
      <c r="BE44" s="623"/>
      <c r="BF44" s="462"/>
    </row>
    <row r="45" spans="1:58">
      <c r="A45" s="82"/>
      <c r="B45" s="82"/>
      <c r="C45" s="81"/>
      <c r="D45" s="81"/>
      <c r="E45" s="81"/>
      <c r="F45" s="81"/>
      <c r="G45" s="445"/>
      <c r="H45" s="445"/>
      <c r="I45" s="459"/>
      <c r="J45" s="459"/>
      <c r="K45" s="1"/>
      <c r="M45" s="424" t="str">
        <f>'Конфигурация TREI'!A46</f>
        <v>BR44</v>
      </c>
      <c r="N45" s="461">
        <f>'Конфигурация TREI'!B46</f>
        <v>0</v>
      </c>
      <c r="AD45" s="310"/>
      <c r="AE45" s="505"/>
      <c r="AF45" s="505"/>
      <c r="AG45" s="505"/>
      <c r="AH45" s="505"/>
      <c r="AI45" s="505"/>
      <c r="AJ45" s="505"/>
      <c r="AK45" s="505"/>
      <c r="AL45" s="505"/>
      <c r="AM45" s="505"/>
      <c r="AN45" s="505"/>
      <c r="AO45" s="505"/>
      <c r="AP45" s="505"/>
      <c r="AQ45" s="505"/>
      <c r="AR45" s="505"/>
      <c r="AS45" s="505"/>
      <c r="AT45" s="623"/>
      <c r="AU45" s="623"/>
      <c r="AV45" s="623"/>
      <c r="AW45" s="623"/>
      <c r="AX45" s="623"/>
      <c r="AY45" s="623"/>
      <c r="AZ45" s="623"/>
      <c r="BA45" s="623"/>
      <c r="BB45" s="623"/>
      <c r="BC45" s="623"/>
      <c r="BD45" s="623"/>
      <c r="BE45" s="623"/>
      <c r="BF45" s="462"/>
    </row>
    <row r="46" spans="1:58">
      <c r="A46" s="82"/>
      <c r="B46" s="82"/>
      <c r="C46" s="81"/>
      <c r="D46" s="81"/>
      <c r="E46" s="81"/>
      <c r="F46" s="81"/>
      <c r="G46" s="445"/>
      <c r="H46" s="445"/>
      <c r="I46" s="459"/>
      <c r="J46" s="459"/>
      <c r="K46" s="1"/>
      <c r="M46" s="424" t="str">
        <f>'Конфигурация TREI'!A47</f>
        <v>BR45</v>
      </c>
      <c r="N46" s="461">
        <f>'Конфигурация TREI'!B47</f>
        <v>0</v>
      </c>
      <c r="AD46" s="310"/>
      <c r="AE46" s="505"/>
      <c r="AF46" s="505"/>
      <c r="AG46" s="505"/>
      <c r="AH46" s="505"/>
      <c r="AI46" s="505"/>
      <c r="AJ46" s="505"/>
      <c r="AK46" s="505"/>
      <c r="AL46" s="505"/>
      <c r="AM46" s="505"/>
      <c r="AN46" s="505"/>
      <c r="AO46" s="505"/>
      <c r="AP46" s="505"/>
      <c r="AQ46" s="505"/>
      <c r="AR46" s="505"/>
      <c r="AS46" s="505"/>
      <c r="AT46" s="623"/>
      <c r="AU46" s="623"/>
      <c r="AV46" s="623"/>
      <c r="AW46" s="623"/>
      <c r="AX46" s="623"/>
      <c r="AY46" s="623"/>
      <c r="AZ46" s="623"/>
      <c r="BA46" s="623"/>
      <c r="BB46" s="623"/>
      <c r="BC46" s="623"/>
      <c r="BD46" s="623"/>
      <c r="BE46" s="623"/>
      <c r="BF46" s="462"/>
    </row>
    <row r="47" spans="1:58">
      <c r="A47" s="82"/>
      <c r="B47" s="82"/>
      <c r="C47" s="81"/>
      <c r="D47" s="81"/>
      <c r="E47" s="81"/>
      <c r="F47" s="81"/>
      <c r="G47" s="445"/>
      <c r="H47" s="445"/>
      <c r="I47" s="459"/>
      <c r="J47" s="459"/>
      <c r="K47" s="1"/>
      <c r="M47" s="424" t="str">
        <f>'Конфигурация TREI'!A48</f>
        <v>BR46</v>
      </c>
      <c r="N47" s="461">
        <f>'Конфигурация TREI'!B48</f>
        <v>0</v>
      </c>
      <c r="AD47" s="310"/>
      <c r="AE47" s="505"/>
      <c r="AF47" s="505"/>
      <c r="AG47" s="505"/>
      <c r="AH47" s="505"/>
      <c r="AI47" s="505"/>
      <c r="AJ47" s="505"/>
      <c r="AK47" s="505"/>
      <c r="AL47" s="505"/>
      <c r="AM47" s="505"/>
      <c r="AN47" s="505"/>
      <c r="AO47" s="505"/>
      <c r="AP47" s="505"/>
      <c r="AQ47" s="505"/>
      <c r="AR47" s="505"/>
      <c r="AS47" s="505"/>
      <c r="AT47" s="623"/>
      <c r="AU47" s="623"/>
      <c r="AV47" s="623"/>
      <c r="AW47" s="623"/>
      <c r="AX47" s="623"/>
      <c r="AY47" s="623"/>
      <c r="AZ47" s="623"/>
      <c r="BA47" s="623"/>
      <c r="BB47" s="623"/>
      <c r="BC47" s="623"/>
      <c r="BD47" s="623"/>
      <c r="BE47" s="623"/>
      <c r="BF47" s="462"/>
    </row>
    <row r="48" spans="1:58">
      <c r="A48" s="82"/>
      <c r="B48" s="82"/>
      <c r="C48" s="81"/>
      <c r="D48" s="81"/>
      <c r="E48" s="81"/>
      <c r="F48" s="81"/>
      <c r="G48" s="445"/>
      <c r="H48" s="445"/>
      <c r="I48" s="459"/>
      <c r="J48" s="459"/>
      <c r="K48" s="1"/>
      <c r="M48" s="424" t="str">
        <f>'Конфигурация TREI'!A49</f>
        <v>BR47</v>
      </c>
      <c r="N48" s="461">
        <f>'Конфигурация TREI'!B49</f>
        <v>0</v>
      </c>
      <c r="AD48" s="310"/>
      <c r="AE48" s="505"/>
      <c r="AF48" s="505"/>
      <c r="AG48" s="505"/>
      <c r="AH48" s="505"/>
      <c r="AI48" s="505"/>
      <c r="AJ48" s="505"/>
      <c r="AK48" s="505"/>
      <c r="AL48" s="505"/>
      <c r="AM48" s="505"/>
      <c r="AN48" s="505"/>
      <c r="AO48" s="505"/>
      <c r="AP48" s="505"/>
      <c r="AQ48" s="505"/>
      <c r="AR48" s="505"/>
      <c r="AS48" s="505"/>
      <c r="AT48" s="623"/>
      <c r="AU48" s="623"/>
      <c r="AV48" s="623"/>
      <c r="AW48" s="623"/>
      <c r="AX48" s="623"/>
      <c r="AY48" s="623"/>
      <c r="AZ48" s="623"/>
      <c r="BA48" s="623"/>
      <c r="BB48" s="623"/>
      <c r="BC48" s="623"/>
      <c r="BD48" s="623"/>
      <c r="BE48" s="623"/>
      <c r="BF48" s="462"/>
    </row>
    <row r="49" spans="1:64">
      <c r="A49" s="1"/>
      <c r="B49" s="1"/>
      <c r="C49" s="1"/>
      <c r="D49" s="1"/>
      <c r="E49" s="1"/>
      <c r="F49" s="1"/>
      <c r="G49" s="1"/>
      <c r="H49" s="1"/>
      <c r="I49" s="459"/>
      <c r="J49" s="459"/>
      <c r="K49" s="1"/>
      <c r="M49" s="424" t="str">
        <f>'Конфигурация TREI'!A50</f>
        <v>BR48</v>
      </c>
      <c r="N49" s="461">
        <f>'Конфигурация TREI'!B50</f>
        <v>0</v>
      </c>
      <c r="AE49" s="505"/>
      <c r="AF49" s="505"/>
      <c r="AG49" s="505"/>
      <c r="AH49" s="505"/>
      <c r="AI49" s="505"/>
      <c r="AJ49" s="505"/>
      <c r="AK49" s="505"/>
      <c r="AL49" s="505"/>
      <c r="AM49" s="505"/>
      <c r="AN49" s="505"/>
      <c r="AO49" s="505"/>
      <c r="AP49" s="505"/>
      <c r="AQ49" s="505"/>
      <c r="AR49" s="505"/>
      <c r="AS49" s="505"/>
      <c r="AT49" s="623"/>
      <c r="AU49" s="623"/>
      <c r="AV49" s="623"/>
      <c r="AW49" s="623"/>
      <c r="AX49" s="623"/>
      <c r="AY49" s="623"/>
      <c r="AZ49" s="623"/>
      <c r="BA49" s="623"/>
      <c r="BB49" s="623"/>
      <c r="BC49" s="623"/>
      <c r="BD49" s="623"/>
      <c r="BE49" s="623"/>
    </row>
    <row r="50" spans="1:64" s="4" customFormat="1">
      <c r="A50" s="446" t="str">
        <f>"//*********** "&amp;Q2&amp;" ***********"</f>
        <v>//*********** ГП 450. Вентилятор В14 ***********</v>
      </c>
      <c r="B50" s="446"/>
      <c r="C50" s="446"/>
      <c r="D50" s="446"/>
      <c r="E50" s="446"/>
      <c r="F50" s="446" t="s">
        <v>1031</v>
      </c>
      <c r="G50" s="489"/>
      <c r="H50" s="489"/>
      <c r="I50" s="490"/>
      <c r="J50" s="490" t="s">
        <v>1311</v>
      </c>
      <c r="K50" s="490" t="s">
        <v>1309</v>
      </c>
      <c r="L50" s="491" t="s">
        <v>1310</v>
      </c>
      <c r="M50" s="424" t="str">
        <f>'Конфигурация TREI'!A51</f>
        <v>BR49</v>
      </c>
      <c r="N50" s="461">
        <f>'Конфигурация TREI'!B51</f>
        <v>0</v>
      </c>
      <c r="R50" s="381"/>
      <c r="S50" s="381"/>
      <c r="T50" s="381"/>
      <c r="U50" s="381"/>
      <c r="V50" s="381"/>
      <c r="W50" s="381"/>
      <c r="X50" s="381"/>
      <c r="Y50" s="381"/>
      <c r="Z50" s="381"/>
      <c r="AA50" s="381"/>
      <c r="AB50" s="381"/>
      <c r="AC50" s="381"/>
      <c r="AD50" s="381"/>
      <c r="AE50" s="505"/>
      <c r="AF50" s="505"/>
      <c r="AG50" s="505"/>
      <c r="AH50" s="505"/>
      <c r="AI50" s="505"/>
      <c r="AJ50" s="505"/>
      <c r="AK50" s="505"/>
      <c r="AL50" s="505"/>
      <c r="AM50" s="505"/>
      <c r="AN50" s="505"/>
      <c r="AO50" s="505"/>
      <c r="AP50" s="505"/>
      <c r="AQ50" s="505"/>
      <c r="AR50" s="505"/>
      <c r="AS50" s="505"/>
      <c r="AT50" s="623"/>
      <c r="AU50" s="623"/>
      <c r="AV50" s="623"/>
      <c r="AW50" s="623"/>
      <c r="AX50" s="623"/>
      <c r="AY50" s="623"/>
      <c r="AZ50" s="623"/>
      <c r="BA50" s="623"/>
      <c r="BB50" s="623"/>
      <c r="BC50" s="623"/>
      <c r="BD50" s="623"/>
      <c r="BE50" s="623"/>
      <c r="BF50" s="458"/>
      <c r="BG50" s="458"/>
      <c r="BH50" s="458"/>
      <c r="BI50" s="458"/>
      <c r="BJ50" s="458"/>
      <c r="BK50" s="458"/>
      <c r="BL50" s="458"/>
    </row>
    <row r="51" spans="1:64">
      <c r="A51" s="457"/>
      <c r="B51" s="457" t="s">
        <v>1213</v>
      </c>
      <c r="C51" s="455" t="str">
        <f t="shared" ref="C51:C56" si="0">LEFT($L51,FIND("+",$L51,1)-1)</f>
        <v>15</v>
      </c>
      <c r="D51" s="455" t="s">
        <v>178</v>
      </c>
      <c r="E51" s="446" t="str">
        <f ca="1">IFERROR(IF(OR($I51="-", $H51="0"),"КАНАЛ ОТСУТСТВУЕТ",IF($I51=0,"МОДУЛЬ ОТСУТСТВУЕТ",IF(LEFT($I51,3)="out","УДАЛИТЬ",I51))),IF($K51=0,"УДАЛИТЬ","ОШИБКА ФОРМАТА"))</f>
        <v>Canal_32</v>
      </c>
      <c r="F51" s="455" t="str">
        <f>" :="&amp;IF(LEFT(SUBSTITUTE($K51," ",""),1)="!","NOT  ","")&amp;SUBSTITUTE($P$2,"\","|")&amp;"|"&amp; $J51 &amp;";"</f>
        <v xml:space="preserve"> :=GP450_V_14|OXON;</v>
      </c>
      <c r="G51" s="445" t="str">
        <f t="shared" ref="G51:G56" si="1">INDEX($N$2:$N$61,C51)</f>
        <v>M558O</v>
      </c>
      <c r="H51" s="445" t="str">
        <f t="shared" ref="H51:H56" si="2">RIGHT($L51,LEN($L51)-FIND("+",$L51,1))</f>
        <v>32</v>
      </c>
      <c r="I51" s="460" t="str">
        <f t="shared" ref="I51:I56" ca="1" si="3">INDIRECT(ADDRESS($H51+1,MATCH($G51,$1:$1,),1))</f>
        <v>Canal_32</v>
      </c>
      <c r="J51" s="494" t="str">
        <f>$X$1</f>
        <v>OXON</v>
      </c>
      <c r="K51" s="495" t="str">
        <f>$X$2</f>
        <v>15+32</v>
      </c>
      <c r="L51" s="496" t="str">
        <f>$X$3</f>
        <v>15+32</v>
      </c>
      <c r="M51" s="424" t="str">
        <f>'Конфигурация TREI'!A52</f>
        <v>BR50</v>
      </c>
      <c r="N51" s="461">
        <f>'Конфигурация TREI'!B52</f>
        <v>0</v>
      </c>
      <c r="P51" s="4"/>
      <c r="AE51" s="505"/>
      <c r="AF51" s="505"/>
      <c r="AG51" s="505"/>
      <c r="AH51" s="505"/>
      <c r="AI51" s="505"/>
      <c r="AJ51" s="505"/>
      <c r="AK51" s="505"/>
      <c r="AL51" s="505"/>
      <c r="AM51" s="505"/>
      <c r="AN51" s="505"/>
      <c r="AO51" s="505"/>
      <c r="AP51" s="505"/>
      <c r="AQ51" s="505"/>
      <c r="AR51" s="505"/>
      <c r="AS51" s="505"/>
      <c r="AT51" s="623"/>
      <c r="AU51" s="623"/>
      <c r="AV51" s="623"/>
      <c r="AW51" s="623"/>
      <c r="AX51" s="623"/>
      <c r="AY51" s="623"/>
      <c r="AZ51" s="623"/>
      <c r="BA51" s="623"/>
      <c r="BB51" s="623"/>
      <c r="BC51" s="623"/>
      <c r="BD51" s="623"/>
      <c r="BE51" s="623"/>
    </row>
    <row r="52" spans="1:64">
      <c r="A52" s="457"/>
      <c r="B52" s="457" t="s">
        <v>1213</v>
      </c>
      <c r="C52" s="455" t="str">
        <f t="shared" si="0"/>
        <v>15</v>
      </c>
      <c r="D52" s="455" t="s">
        <v>178</v>
      </c>
      <c r="E52" s="446" t="str">
        <f ca="1">IFERROR(IF(OR($I52="-", $H52="0"),"КАНАЛ ОТСУТСТВУЕТ",IF($I52=0,"МОДУЛЬ ОТСУТСТВУЕТ",IF(LEFT($I52,3)="out","УДАЛИТЬ",I52))),IF($K52=0,"УДАЛИТЬ","ОШИБКА ФОРМАТА"))</f>
        <v>Canal_31</v>
      </c>
      <c r="F52" s="455" t="str">
        <f>" :="&amp;IF(LEFT(SUBSTITUTE($K52," ",""),1)="!","NOT  ","")&amp;SUBSTITUTE($P$2,"\","|")&amp;"|"&amp; $J52 &amp;";"</f>
        <v xml:space="preserve"> :=GP450_V_14|OXOF;</v>
      </c>
      <c r="G52" s="445" t="str">
        <f t="shared" si="1"/>
        <v>M558O</v>
      </c>
      <c r="H52" s="445" t="str">
        <f t="shared" si="2"/>
        <v>31</v>
      </c>
      <c r="I52" s="460" t="str">
        <f t="shared" ca="1" si="3"/>
        <v>Canal_31</v>
      </c>
      <c r="J52" s="497" t="str">
        <f xml:space="preserve"> $Y$1</f>
        <v>OXOF</v>
      </c>
      <c r="K52" s="492" t="str">
        <f>$Y$2</f>
        <v>15+31</v>
      </c>
      <c r="L52" s="498" t="str">
        <f>$Y$3</f>
        <v>15+31</v>
      </c>
      <c r="M52" s="424" t="str">
        <f>'Конфигурация TREI'!A53</f>
        <v>BR51</v>
      </c>
      <c r="N52" s="461">
        <f>'Конфигурация TREI'!B53</f>
        <v>0</v>
      </c>
      <c r="P52" s="4"/>
      <c r="AE52" s="505"/>
      <c r="AF52" s="505"/>
      <c r="AG52" s="505"/>
      <c r="AH52" s="505"/>
      <c r="AI52" s="505"/>
      <c r="AJ52" s="505"/>
      <c r="AK52" s="505"/>
      <c r="AL52" s="505"/>
      <c r="AM52" s="505"/>
      <c r="AN52" s="505"/>
      <c r="AO52" s="505"/>
      <c r="AP52" s="505"/>
      <c r="AQ52" s="505"/>
      <c r="AR52" s="505"/>
      <c r="AS52" s="505"/>
      <c r="AT52" s="623"/>
      <c r="AU52" s="623"/>
      <c r="AV52" s="623"/>
      <c r="AW52" s="623"/>
      <c r="AX52" s="623"/>
      <c r="AY52" s="623"/>
      <c r="AZ52" s="623"/>
      <c r="BA52" s="623"/>
      <c r="BB52" s="623"/>
      <c r="BC52" s="623"/>
      <c r="BD52" s="623"/>
      <c r="BE52" s="623"/>
    </row>
    <row r="53" spans="1:64">
      <c r="A53" s="457"/>
      <c r="B53" s="457" t="s">
        <v>1213</v>
      </c>
      <c r="C53" s="455" t="e">
        <f t="shared" si="0"/>
        <v>#VALUE!</v>
      </c>
      <c r="D53" s="455" t="s">
        <v>178</v>
      </c>
      <c r="E53" s="446" t="str">
        <f ca="1">IFERROR(IF(OR($I53="-", $H53="0"),"КАНАЛ ОТСУТСТВУЕТ",IF($I53=0,"МОДУЛЬ ОТСУТСТВУЕТ",IF(LEFT($I53,3)="out","УДАЛИТЬ",I53))),IF($K53=0,"УДАЛИТЬ","ОШИБКА ФОРМАТА"))</f>
        <v>УДАЛИТЬ</v>
      </c>
      <c r="F53" s="455" t="str">
        <f>" :="&amp;IF(LEFT(SUBSTITUTE($K53," ",""),1)="!","NOT  ","")&amp;SUBSTITUTE($P$2,"\","|")&amp;"|"&amp; $J53 &amp;";"</f>
        <v xml:space="preserve"> :=GP450_V_14|OXSP;</v>
      </c>
      <c r="G53" s="445" t="e">
        <f t="shared" si="1"/>
        <v>#VALUE!</v>
      </c>
      <c r="H53" s="445" t="e">
        <f t="shared" si="2"/>
        <v>#VALUE!</v>
      </c>
      <c r="I53" s="460" t="e">
        <f t="shared" ca="1" si="3"/>
        <v>#VALUE!</v>
      </c>
      <c r="J53" s="499" t="str">
        <f>$Z$1</f>
        <v>OXSP</v>
      </c>
      <c r="K53" s="500">
        <f>$Z$2</f>
        <v>0</v>
      </c>
      <c r="L53" s="501" t="str">
        <f>$Z$3</f>
        <v/>
      </c>
      <c r="M53" s="424" t="str">
        <f>'Конфигурация TREI'!A54</f>
        <v>BR52</v>
      </c>
      <c r="N53" s="461">
        <f>'Конфигурация TREI'!B54</f>
        <v>0</v>
      </c>
      <c r="P53" s="4"/>
      <c r="AE53" s="505"/>
      <c r="AF53" s="505"/>
      <c r="AG53" s="505"/>
      <c r="AH53" s="505"/>
      <c r="AI53" s="505"/>
      <c r="AJ53" s="505"/>
      <c r="AK53" s="505"/>
      <c r="AL53" s="505"/>
      <c r="AM53" s="505"/>
      <c r="AN53" s="505"/>
      <c r="AO53" s="505"/>
      <c r="AP53" s="505"/>
      <c r="AQ53" s="505"/>
      <c r="AR53" s="505"/>
      <c r="AS53" s="505"/>
      <c r="AT53" s="623"/>
      <c r="AU53" s="623"/>
      <c r="AV53" s="623"/>
      <c r="AW53" s="623"/>
      <c r="AX53" s="623"/>
      <c r="AY53" s="623"/>
      <c r="AZ53" s="623"/>
      <c r="BA53" s="623"/>
      <c r="BB53" s="623"/>
      <c r="BC53" s="623"/>
      <c r="BD53" s="623"/>
      <c r="BE53" s="623"/>
    </row>
    <row r="54" spans="1:64">
      <c r="A54" s="457"/>
      <c r="B54" s="457" t="s">
        <v>1213</v>
      </c>
      <c r="C54" s="455" t="str">
        <f t="shared" si="0"/>
        <v>15</v>
      </c>
      <c r="D54" s="455"/>
      <c r="E54" s="446" t="str">
        <f ca="1">IFERROR(IF(OR($I54="-", $H54="0"),"КАНАЛ ОТСУТСТВУЕТ",IF($I54=0,"МОДУЛЬ ОТСУТСТВУЕТ",IF(LEFT($I54,3)="out",".ODIG_MASK:=SETBIT("&amp;IF(LEFT(SUBSTITUTE($K54," ",""),1)="!","NOT  ","")&amp;SUBSTITUTE($P$2,"\","|")&amp;"|"&amp; $J54&amp;"@"&amp;REPLACE($I54,1,3,"")&amp;"@BR"&amp;$C54,"УДАЛИТЬ"))),"УДАЛИТЬ")</f>
        <v>УДАЛИТЬ</v>
      </c>
      <c r="F54" s="455" t="str">
        <f>".ODIG_MASK);"</f>
        <v>.ODIG_MASK);</v>
      </c>
      <c r="G54" s="445" t="str">
        <f t="shared" si="1"/>
        <v>M558O</v>
      </c>
      <c r="H54" s="445" t="str">
        <f t="shared" si="2"/>
        <v>32</v>
      </c>
      <c r="I54" s="460" t="str">
        <f t="shared" ca="1" si="3"/>
        <v>Canal_32</v>
      </c>
      <c r="J54" s="494" t="str">
        <f>$X$1</f>
        <v>OXON</v>
      </c>
      <c r="K54" s="495" t="str">
        <f>$X$2</f>
        <v>15+32</v>
      </c>
      <c r="L54" s="496" t="str">
        <f>$X$3</f>
        <v>15+32</v>
      </c>
      <c r="M54" s="424" t="str">
        <f>'Конфигурация TREI'!A55</f>
        <v>BR53</v>
      </c>
      <c r="N54" s="461">
        <f>'Конфигурация TREI'!B55</f>
        <v>0</v>
      </c>
      <c r="P54" s="4"/>
      <c r="AE54" s="505"/>
      <c r="AF54" s="505"/>
      <c r="AG54" s="505"/>
      <c r="AH54" s="505"/>
      <c r="AI54" s="505"/>
      <c r="AJ54" s="505"/>
      <c r="AK54" s="505"/>
      <c r="AL54" s="505"/>
      <c r="AM54" s="505"/>
      <c r="AN54" s="505"/>
      <c r="AO54" s="505"/>
      <c r="AP54" s="505"/>
      <c r="AQ54" s="505"/>
      <c r="AR54" s="505"/>
      <c r="AS54" s="505"/>
      <c r="AT54" s="623"/>
      <c r="AU54" s="623"/>
      <c r="AV54" s="623"/>
      <c r="AW54" s="623"/>
      <c r="AX54" s="623"/>
      <c r="AY54" s="623"/>
      <c r="AZ54" s="623"/>
      <c r="BA54" s="623"/>
      <c r="BB54" s="623"/>
      <c r="BC54" s="623"/>
      <c r="BD54" s="623"/>
      <c r="BE54" s="623"/>
    </row>
    <row r="55" spans="1:64">
      <c r="A55" s="457"/>
      <c r="B55" s="457" t="s">
        <v>1213</v>
      </c>
      <c r="C55" s="455" t="str">
        <f t="shared" si="0"/>
        <v>15</v>
      </c>
      <c r="D55" s="455"/>
      <c r="E55" s="446" t="str">
        <f ca="1">IFERROR(IF(OR($I55="-", $H55="0"),"КАНАЛ ОТСУТСТВУЕТ",IF($I55=0,"МОДУЛЬ ОТСУТСТВУЕТ",IF(LEFT($I55,3)="out",".ODIG_MASK:=SETBIT("&amp;IF(LEFT(SUBSTITUTE($K55," ",""),1)="!","NOT  ","")&amp;SUBSTITUTE($P$2,"\","|")&amp;"|"&amp; $J55&amp;"@"&amp;REPLACE($I55,1,3,"")&amp;"@BR"&amp;$C55,"УДАЛИТЬ"))),"УДАЛИТЬ")</f>
        <v>УДАЛИТЬ</v>
      </c>
      <c r="F55" s="455" t="str">
        <f>".ODIG_MASK);"</f>
        <v>.ODIG_MASK);</v>
      </c>
      <c r="G55" s="445" t="str">
        <f t="shared" si="1"/>
        <v>M558O</v>
      </c>
      <c r="H55" s="445" t="str">
        <f t="shared" si="2"/>
        <v>31</v>
      </c>
      <c r="I55" s="460" t="str">
        <f t="shared" ca="1" si="3"/>
        <v>Canal_31</v>
      </c>
      <c r="J55" s="497" t="str">
        <f xml:space="preserve"> $Y$1</f>
        <v>OXOF</v>
      </c>
      <c r="K55" s="492" t="str">
        <f>$Y$2</f>
        <v>15+31</v>
      </c>
      <c r="L55" s="498" t="str">
        <f>$Y$3</f>
        <v>15+31</v>
      </c>
      <c r="M55" s="424" t="str">
        <f>'Конфигурация TREI'!A56</f>
        <v>BR54</v>
      </c>
      <c r="N55" s="461">
        <f>'Конфигурация TREI'!B56</f>
        <v>0</v>
      </c>
      <c r="P55" s="4"/>
      <c r="AE55" s="505"/>
      <c r="AF55" s="505"/>
      <c r="AG55" s="505"/>
      <c r="AH55" s="505"/>
      <c r="AI55" s="505"/>
      <c r="AJ55" s="505"/>
      <c r="AK55" s="505"/>
      <c r="AL55" s="505"/>
      <c r="AM55" s="505"/>
      <c r="AN55" s="505"/>
      <c r="AO55" s="505"/>
      <c r="AP55" s="505"/>
      <c r="AQ55" s="505"/>
      <c r="AR55" s="505"/>
      <c r="AS55" s="505"/>
      <c r="AT55" s="623"/>
      <c r="AU55" s="623"/>
      <c r="AV55" s="623"/>
      <c r="AW55" s="623"/>
      <c r="AX55" s="623"/>
      <c r="AY55" s="623"/>
      <c r="AZ55" s="623"/>
      <c r="BA55" s="623"/>
      <c r="BB55" s="623"/>
      <c r="BC55" s="623"/>
      <c r="BD55" s="623"/>
      <c r="BE55" s="623"/>
    </row>
    <row r="56" spans="1:64">
      <c r="A56" s="457"/>
      <c r="B56" s="457" t="s">
        <v>1213</v>
      </c>
      <c r="C56" s="455" t="e">
        <f t="shared" si="0"/>
        <v>#VALUE!</v>
      </c>
      <c r="D56" s="455"/>
      <c r="E56" s="446" t="str">
        <f ca="1">IFERROR(IF(OR($I56="-", $H56="0"),"КАНАЛ ОТСУТСТВУЕТ",IF($I56=0,"МОДУЛЬ ОТСУТСТВУЕТ",IF(LEFT($I56,3)="out",".ODIG_MASK:=SETBIT("&amp;IF(LEFT(SUBSTITUTE($K56," ",""),1)="!","NOT  ","")&amp;SUBSTITUTE($P$2,"\","|")&amp;"|"&amp; $J56&amp;"@"&amp;REPLACE($I56,1,3,"")&amp;"@BR"&amp;$C56,"УДАЛИТЬ"))),"УДАЛИТЬ")</f>
        <v>УДАЛИТЬ</v>
      </c>
      <c r="F56" s="455" t="str">
        <f>".ODIG_MASK);"</f>
        <v>.ODIG_MASK);</v>
      </c>
      <c r="G56" s="445" t="e">
        <f t="shared" si="1"/>
        <v>#VALUE!</v>
      </c>
      <c r="H56" s="445" t="e">
        <f t="shared" si="2"/>
        <v>#VALUE!</v>
      </c>
      <c r="I56" s="460" t="e">
        <f t="shared" ca="1" si="3"/>
        <v>#VALUE!</v>
      </c>
      <c r="J56" s="499" t="str">
        <f>$Z$1</f>
        <v>OXSP</v>
      </c>
      <c r="K56" s="500">
        <f>$Z$2</f>
        <v>0</v>
      </c>
      <c r="L56" s="501" t="str">
        <f>$Z$3</f>
        <v/>
      </c>
      <c r="M56" s="424" t="str">
        <f>'Конфигурация TREI'!A57</f>
        <v>BR55</v>
      </c>
      <c r="N56" s="461">
        <f>'Конфигурация TREI'!B57</f>
        <v>0</v>
      </c>
      <c r="P56" s="4"/>
      <c r="AE56" s="505"/>
      <c r="AF56" s="505"/>
      <c r="AG56" s="505"/>
      <c r="AH56" s="505"/>
      <c r="AI56" s="505"/>
      <c r="AJ56" s="505"/>
      <c r="AK56" s="505"/>
      <c r="AL56" s="505"/>
      <c r="AM56" s="505"/>
      <c r="AN56" s="505"/>
      <c r="AO56" s="505"/>
      <c r="AP56" s="505"/>
      <c r="AQ56" s="505"/>
      <c r="AR56" s="505"/>
      <c r="AS56" s="505"/>
      <c r="AT56" s="623"/>
      <c r="AU56" s="623"/>
      <c r="AV56" s="623"/>
      <c r="AW56" s="623"/>
      <c r="AX56" s="623"/>
      <c r="AY56" s="623"/>
      <c r="AZ56" s="623"/>
      <c r="BA56" s="623"/>
      <c r="BB56" s="623"/>
      <c r="BC56" s="623"/>
      <c r="BD56" s="623"/>
      <c r="BE56" s="623"/>
    </row>
    <row r="57" spans="1:64">
      <c r="A57" s="457" t="str">
        <f>SUBSTITUTE($P$2,"\","|")&amp;"|"&amp;"DOON:="&amp;P4&amp;"NOT_LINK_BR"</f>
        <v>GP450_V_14|DOON:=NOT_LINK_BR</v>
      </c>
      <c r="B57" s="457"/>
      <c r="C57" s="455"/>
      <c r="D57" s="455"/>
      <c r="E57" s="455" t="str">
        <f>IFERROR(LEFT($L57,FIND("+",$L57,1)-1),"УДАЛИТЬ")</f>
        <v>15</v>
      </c>
      <c r="F57" s="455" t="s">
        <v>845</v>
      </c>
      <c r="G57" s="445"/>
      <c r="H57" s="445"/>
      <c r="I57" s="460"/>
      <c r="J57" s="494" t="str">
        <f>$X$1</f>
        <v>OXON</v>
      </c>
      <c r="K57" s="495" t="str">
        <f>$X$2</f>
        <v>15+32</v>
      </c>
      <c r="L57" s="496" t="str">
        <f>$X$3</f>
        <v>15+32</v>
      </c>
      <c r="M57" s="424" t="str">
        <f>'Конфигурация TREI'!A58</f>
        <v>BR56</v>
      </c>
      <c r="N57" s="461">
        <f>'Конфигурация TREI'!B58</f>
        <v>0</v>
      </c>
      <c r="AE57" s="505"/>
      <c r="AF57" s="505"/>
      <c r="AG57" s="505"/>
      <c r="AH57" s="505"/>
      <c r="AI57" s="505"/>
      <c r="AJ57" s="505"/>
      <c r="AK57" s="505"/>
      <c r="AL57" s="505"/>
      <c r="AM57" s="505"/>
      <c r="AN57" s="505"/>
      <c r="AO57" s="505"/>
      <c r="AP57" s="505"/>
      <c r="AQ57" s="505"/>
      <c r="AR57" s="505"/>
      <c r="AS57" s="505"/>
      <c r="AT57" s="623"/>
      <c r="AU57" s="623"/>
      <c r="AV57" s="623"/>
      <c r="AW57" s="623"/>
      <c r="AX57" s="623"/>
      <c r="AY57" s="623"/>
      <c r="AZ57" s="623"/>
      <c r="BA57" s="623"/>
      <c r="BB57" s="623"/>
      <c r="BC57" s="623"/>
      <c r="BD57" s="623"/>
      <c r="BE57" s="623"/>
    </row>
    <row r="58" spans="1:64">
      <c r="A58" s="457" t="str">
        <f>SUBSTITUTE($P$2,"\","|")&amp;"|"&amp;"DOOF:="&amp;P4&amp;"NOT_LINK_BR"</f>
        <v>GP450_V_14|DOOF:=NOT_LINK_BR</v>
      </c>
      <c r="B58" s="457"/>
      <c r="C58" s="455"/>
      <c r="D58" s="455"/>
      <c r="E58" s="455" t="str">
        <f>IFERROR(LEFT($L58,FIND("+",$L58,1)-1),"УДАЛИТЬ")</f>
        <v>15</v>
      </c>
      <c r="F58" s="455" t="s">
        <v>845</v>
      </c>
      <c r="G58" s="1"/>
      <c r="H58" s="1"/>
      <c r="I58" s="460"/>
      <c r="J58" s="497" t="str">
        <f xml:space="preserve"> $Y$1</f>
        <v>OXOF</v>
      </c>
      <c r="K58" s="492" t="str">
        <f>$Y$2</f>
        <v>15+31</v>
      </c>
      <c r="L58" s="498" t="str">
        <f>$Y$3</f>
        <v>15+31</v>
      </c>
      <c r="M58" s="424" t="str">
        <f>'Конфигурация TREI'!A59</f>
        <v>BR57</v>
      </c>
      <c r="N58" s="461">
        <f>'Конфигурация TREI'!B59</f>
        <v>0</v>
      </c>
      <c r="AE58" s="505"/>
      <c r="AF58" s="505"/>
      <c r="AG58" s="505"/>
      <c r="AH58" s="505"/>
      <c r="AI58" s="505"/>
      <c r="AJ58" s="505"/>
      <c r="AK58" s="505"/>
      <c r="AL58" s="505"/>
      <c r="AM58" s="505"/>
      <c r="AN58" s="505"/>
      <c r="AO58" s="505"/>
      <c r="AP58" s="505"/>
      <c r="AQ58" s="505"/>
      <c r="AR58" s="505"/>
      <c r="AS58" s="505"/>
      <c r="AT58" s="623"/>
      <c r="AU58" s="623"/>
      <c r="AV58" s="623"/>
      <c r="AW58" s="623"/>
      <c r="AX58" s="623"/>
      <c r="AY58" s="623"/>
      <c r="AZ58" s="623"/>
      <c r="BA58" s="623"/>
      <c r="BB58" s="623"/>
      <c r="BC58" s="623"/>
      <c r="BD58" s="623"/>
      <c r="BE58" s="623"/>
    </row>
    <row r="59" spans="1:64">
      <c r="A59" s="457" t="str">
        <f>SUBSTITUTE($P$2,"\","|")&amp;"|"&amp;"DOSP:="&amp;P4&amp;"NOT_LINK_BR"</f>
        <v>GP450_V_14|DOSP:=NOT_LINK_BR</v>
      </c>
      <c r="B59" s="457"/>
      <c r="C59" s="455"/>
      <c r="D59" s="455"/>
      <c r="E59" s="455" t="str">
        <f>IFERROR(LEFT($L59,FIND("+",$L59,1)-1),"УДАЛИТЬ")</f>
        <v>УДАЛИТЬ</v>
      </c>
      <c r="F59" s="455" t="s">
        <v>845</v>
      </c>
      <c r="G59" s="11"/>
      <c r="H59" s="11"/>
      <c r="I59" s="462"/>
      <c r="J59" s="499" t="str">
        <f>$Z$1</f>
        <v>OXSP</v>
      </c>
      <c r="K59" s="500">
        <f>$Z$2</f>
        <v>0</v>
      </c>
      <c r="L59" s="501" t="str">
        <f>$Z$3</f>
        <v/>
      </c>
      <c r="M59" s="424" t="str">
        <f>'Конфигурация TREI'!A60</f>
        <v>BR58</v>
      </c>
      <c r="N59" s="461">
        <f>'Конфигурация TREI'!B60</f>
        <v>0</v>
      </c>
      <c r="AE59" s="505"/>
      <c r="AF59" s="505"/>
      <c r="AG59" s="505"/>
      <c r="AH59" s="505"/>
      <c r="AI59" s="505"/>
      <c r="AJ59" s="505"/>
      <c r="AK59" s="505"/>
      <c r="AL59" s="505"/>
      <c r="AM59" s="505"/>
      <c r="AN59" s="505"/>
      <c r="AO59" s="505"/>
      <c r="AP59" s="505"/>
      <c r="AQ59" s="505"/>
      <c r="AR59" s="505"/>
      <c r="AS59" s="505"/>
      <c r="AT59" s="623"/>
      <c r="AU59" s="623"/>
      <c r="AV59" s="623"/>
      <c r="AW59" s="623"/>
      <c r="AX59" s="623"/>
      <c r="AY59" s="623"/>
      <c r="AZ59" s="623"/>
      <c r="BA59" s="623"/>
      <c r="BB59" s="623"/>
      <c r="BC59" s="623"/>
      <c r="BD59" s="623"/>
      <c r="BE59" s="623"/>
    </row>
    <row r="60" spans="1:64">
      <c r="M60" s="424" t="str">
        <f>'Конфигурация TREI'!A61</f>
        <v>BR59</v>
      </c>
      <c r="N60" s="461">
        <f>'Конфигурация TREI'!B61</f>
        <v>0</v>
      </c>
    </row>
    <row r="61" spans="1:64">
      <c r="M61" s="424" t="str">
        <f>'Конфигурация TREI'!A62</f>
        <v>BR60</v>
      </c>
      <c r="N61" s="461">
        <f>'Конфигурация TREI'!B62</f>
        <v>0</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sheetPr codeName="Лист129">
    <tabColor theme="2" tint="-0.249977111117893"/>
  </sheetPr>
  <dimension ref="A1:BE61"/>
  <sheetViews>
    <sheetView workbookViewId="0">
      <selection activeCell="D2" sqref="D2:D4"/>
    </sheetView>
  </sheetViews>
  <sheetFormatPr defaultRowHeight="14.4"/>
  <cols>
    <col min="1" max="1" width="35.44140625" customWidth="1"/>
    <col min="2" max="2" width="21.44140625" customWidth="1"/>
    <col min="3" max="3" width="3.44140625" customWidth="1"/>
    <col min="4" max="4" width="1.109375" customWidth="1"/>
    <col min="5" max="5" width="33.44140625" customWidth="1"/>
    <col min="6" max="6" width="17.6640625" customWidth="1"/>
    <col min="7" max="7" width="10.5546875" customWidth="1"/>
    <col min="8" max="8" width="14.33203125" customWidth="1"/>
    <col min="9" max="9" width="11.44140625" customWidth="1"/>
    <col min="10" max="10" width="10.5546875" customWidth="1"/>
    <col min="11" max="11" width="10.88671875" customWidth="1"/>
    <col min="12" max="12" width="11.5546875" customWidth="1"/>
    <col min="13" max="15" width="9.109375" customWidth="1"/>
    <col min="16" max="16" width="34.6640625" customWidth="1"/>
    <col min="17" max="17" width="39.33203125" customWidth="1"/>
    <col min="18" max="30" width="26.109375" style="55" customWidth="1"/>
    <col min="31" max="31" width="4.5546875" style="427" customWidth="1"/>
    <col min="32" max="32" width="11.109375" customWidth="1"/>
  </cols>
  <sheetData>
    <row r="1" spans="1:57">
      <c r="A1" s="425"/>
      <c r="B1" s="425"/>
      <c r="C1" s="425"/>
      <c r="D1" s="425"/>
      <c r="E1" s="425"/>
      <c r="F1" s="425"/>
      <c r="G1" s="426" t="s">
        <v>846</v>
      </c>
      <c r="H1" s="426" t="s">
        <v>847</v>
      </c>
      <c r="I1" s="424" t="s">
        <v>1181</v>
      </c>
      <c r="J1" s="425"/>
      <c r="M1" s="424" t="str">
        <f>'Конфигурация TREI'!A1</f>
        <v>№ Модуля</v>
      </c>
      <c r="N1" s="424" t="str">
        <f>'Конфигурация TREI'!B2</f>
        <v>M501E(рез)</v>
      </c>
      <c r="O1" s="425"/>
      <c r="P1" s="425" t="str">
        <f>Таблица!D1</f>
        <v>Префикс для TREI
Тэг ОРС для INFINITY</v>
      </c>
      <c r="Q1" s="425" t="str">
        <f>Таблица!E1</f>
        <v>Комментарий для TREI и INFINITY</v>
      </c>
      <c r="R1" s="452" t="s">
        <v>1032</v>
      </c>
      <c r="S1" s="452"/>
      <c r="T1" s="452"/>
      <c r="U1" s="452"/>
      <c r="V1" s="452" t="s">
        <v>849</v>
      </c>
      <c r="W1" s="452"/>
      <c r="X1" s="452" t="s">
        <v>851</v>
      </c>
      <c r="Y1" s="452" t="s">
        <v>852</v>
      </c>
      <c r="Z1" s="452"/>
      <c r="AA1" s="452"/>
      <c r="AB1" s="452"/>
      <c r="AC1" s="452"/>
      <c r="AD1" s="453"/>
      <c r="AE1" s="438"/>
      <c r="AF1" s="438">
        <f>Настройки!Q1</f>
        <v>0</v>
      </c>
      <c r="AG1" s="438" t="str">
        <f>Настройки!R1</f>
        <v>M943DR</v>
      </c>
      <c r="AH1" s="438" t="str">
        <f>Настройки!S1</f>
        <v>M942A</v>
      </c>
      <c r="AI1" s="438" t="str">
        <f>Настройки!T1</f>
        <v>M957D</v>
      </c>
      <c r="AJ1" s="438" t="str">
        <f>Настройки!U1</f>
        <v>M957O</v>
      </c>
      <c r="AK1" s="438" t="str">
        <f>Настройки!V1</f>
        <v>M947R</v>
      </c>
      <c r="AL1" s="438" t="str">
        <f>Настройки!W1</f>
        <v>M931V</v>
      </c>
      <c r="AM1" s="438" t="str">
        <f>Настройки!X1</f>
        <v>M931T</v>
      </c>
      <c r="AN1" s="438" t="str">
        <f>Настройки!Y1</f>
        <v>M547A</v>
      </c>
      <c r="AO1" s="438" t="str">
        <f>Настройки!Z1</f>
        <v>M537V</v>
      </c>
      <c r="AP1" s="438" t="str">
        <f>Настройки!AA1</f>
        <v>M557D</v>
      </c>
      <c r="AQ1" s="438" t="str">
        <f>Настройки!AB1</f>
        <v>M557O</v>
      </c>
      <c r="AR1" s="438" t="str">
        <f>Настройки!AC1</f>
        <v>MOPS</v>
      </c>
      <c r="AS1" s="438" t="str">
        <f>Настройки!AD1</f>
        <v>MUPS</v>
      </c>
      <c r="AT1" s="439" t="str">
        <f>Настройки!AB1</f>
        <v>M557O</v>
      </c>
      <c r="AU1" s="439" t="str">
        <f>Настройки!AC1</f>
        <v>MOPS</v>
      </c>
      <c r="AV1" s="439" t="str">
        <f>Настройки!AD1</f>
        <v>MUPS</v>
      </c>
      <c r="AW1" s="439" t="str">
        <f>Настройки!AE1</f>
        <v>M941A</v>
      </c>
      <c r="AX1" s="439" t="str">
        <f>Настройки!AF1</f>
        <v>M954D</v>
      </c>
      <c r="AY1" s="439" t="str">
        <f>Настройки!AG1</f>
        <v>M557DR</v>
      </c>
      <c r="AZ1" s="439" t="str">
        <f>Настройки!AH1</f>
        <v>M558D</v>
      </c>
      <c r="BA1" s="439" t="str">
        <f>Настройки!AI1</f>
        <v>M558O</v>
      </c>
      <c r="BB1" s="439" t="str">
        <f>Настройки!AJ1</f>
        <v>M548A</v>
      </c>
      <c r="BC1" s="439" t="str">
        <f>Настройки!AK1</f>
        <v>M538V</v>
      </c>
      <c r="BD1" s="439" t="str">
        <f>Настройки!AL1</f>
        <v>M558DR</v>
      </c>
      <c r="BE1" s="439" t="str">
        <f>Настройки!AM1</f>
        <v>*</v>
      </c>
    </row>
    <row r="2" spans="1:57">
      <c r="A2" s="446" t="str">
        <f>"//*********** "&amp;Q2&amp;" ***********"</f>
        <v>//*********** Дискретный выход FB с буферизацией ***********</v>
      </c>
      <c r="B2" s="446"/>
      <c r="C2" s="446"/>
      <c r="D2" s="446"/>
      <c r="E2" s="446"/>
      <c r="F2" s="446" t="s">
        <v>1031</v>
      </c>
      <c r="G2" s="447"/>
      <c r="H2" s="447"/>
      <c r="I2" s="459"/>
      <c r="M2" s="424" t="str">
        <f>'Конфигурация TREI'!A3</f>
        <v>BR1</v>
      </c>
      <c r="N2" s="424" t="str">
        <f>'Конфигурация TREI'!B3</f>
        <v>M558D</v>
      </c>
      <c r="P2" s="2" t="s">
        <v>1400</v>
      </c>
      <c r="Q2" s="2" t="s">
        <v>1811</v>
      </c>
      <c r="R2" s="451" t="s">
        <v>1346</v>
      </c>
      <c r="S2" s="454"/>
      <c r="T2" s="454"/>
      <c r="U2" s="454"/>
      <c r="V2" s="454" t="s">
        <v>1347</v>
      </c>
      <c r="W2" s="454"/>
      <c r="X2" s="454" t="s">
        <v>1344</v>
      </c>
      <c r="Y2" s="454" t="s">
        <v>1345</v>
      </c>
      <c r="Z2" s="454"/>
      <c r="AA2" s="454"/>
      <c r="AB2" s="454"/>
      <c r="AC2" s="454"/>
      <c r="AD2" s="454"/>
      <c r="AE2" s="431">
        <f>Настройки!P2</f>
        <v>1</v>
      </c>
      <c r="AF2" s="380">
        <f>Настройки!Q2</f>
        <v>0</v>
      </c>
      <c r="AG2" s="380" t="str">
        <f>Настройки!R2</f>
        <v>IDIG_1_1</v>
      </c>
      <c r="AH2" s="380" t="str">
        <f>Настройки!S2</f>
        <v>IANS_1_3</v>
      </c>
      <c r="AI2" s="380" t="str">
        <f>Настройки!T2</f>
        <v>out0</v>
      </c>
      <c r="AJ2" s="380" t="str">
        <f>Настройки!U2</f>
        <v>out0</v>
      </c>
      <c r="AK2" s="380" t="str">
        <f>Настройки!V2</f>
        <v>ODIG_1</v>
      </c>
      <c r="AL2" s="380" t="str">
        <f>Настройки!W2</f>
        <v>OAN_1_1</v>
      </c>
      <c r="AM2" s="380" t="str">
        <f>Настройки!X2</f>
        <v>IANS_1_1</v>
      </c>
      <c r="AN2" s="380" t="str">
        <f>Настройки!Y2</f>
        <v>Canal_01</v>
      </c>
      <c r="AO2" s="380" t="str">
        <f>Настройки!Z2</f>
        <v>Canal_01</v>
      </c>
      <c r="AP2" s="380" t="str">
        <f>Настройки!AA2</f>
        <v>Canal_01</v>
      </c>
      <c r="AQ2" s="380" t="str">
        <f>Настройки!AB2</f>
        <v>Canal_01</v>
      </c>
      <c r="AR2" s="380" t="str">
        <f>Настройки!AC2</f>
        <v>IVXX[0]</v>
      </c>
      <c r="AS2" s="380" t="str">
        <f>Настройки!AD2</f>
        <v>IVXX[0]</v>
      </c>
      <c r="AT2" s="207" t="str">
        <f>Настройки!AB2</f>
        <v>Canal_01</v>
      </c>
      <c r="AU2" s="207" t="str">
        <f>Настройки!AC2</f>
        <v>IVXX[0]</v>
      </c>
      <c r="AV2" s="207" t="str">
        <f>Настройки!AD2</f>
        <v>IVXX[0]</v>
      </c>
      <c r="AW2" s="207" t="str">
        <f>Настройки!AE2</f>
        <v>IANS_1_1</v>
      </c>
      <c r="AX2" s="207" t="str">
        <f>Настройки!AF2</f>
        <v>IDIG_1_1</v>
      </c>
      <c r="AY2" s="207" t="str">
        <f>Настройки!AG2</f>
        <v>Canal_01</v>
      </c>
      <c r="AZ2" s="207" t="str">
        <f>Настройки!AH2</f>
        <v>Canal_01</v>
      </c>
      <c r="BA2" s="207" t="str">
        <f>Настройки!AI2</f>
        <v>Canal_01</v>
      </c>
      <c r="BB2" s="207" t="str">
        <f>Настройки!AJ2</f>
        <v>Canal_01</v>
      </c>
      <c r="BC2" s="207" t="str">
        <f>Настройки!AK2</f>
        <v>Canal_01</v>
      </c>
      <c r="BD2" s="207" t="str">
        <f>Настройки!AL2</f>
        <v>Canal_01</v>
      </c>
      <c r="BE2" s="207" t="str">
        <f>Настройки!AM2</f>
        <v>-</v>
      </c>
    </row>
    <row r="3" spans="1:57">
      <c r="A3" s="82"/>
      <c r="B3" s="82"/>
      <c r="C3" s="81"/>
      <c r="D3" s="81"/>
      <c r="E3" s="448" t="str">
        <f ca="1">IF(LEFT(E5,3)="out","INT_TO_BIT_BR"&amp;C5&amp;"(BR"&amp;C5&amp;".IDIG_MASK)","УДАЛИТЬ")</f>
        <v>УДАЛИТЬ</v>
      </c>
      <c r="F3" s="446" t="s">
        <v>845</v>
      </c>
      <c r="G3" s="447"/>
      <c r="H3" s="447"/>
      <c r="I3" s="459"/>
      <c r="M3" s="424" t="str">
        <f>'Конфигурация TREI'!A4</f>
        <v>BR2</v>
      </c>
      <c r="N3" s="424" t="str">
        <f>'Конфигурация TREI'!B4</f>
        <v>M548A</v>
      </c>
      <c r="P3" s="425" t="str">
        <f>'Конфигурация TREI'!D1</f>
        <v>Путь TREI для сигналов NOT_LINK</v>
      </c>
      <c r="R3" s="451" t="str">
        <f>SUBSTITUTE(SUBSTITUTE($R$2,"!","")," ","")</f>
        <v>10+10</v>
      </c>
      <c r="S3" s="454"/>
      <c r="T3" s="454"/>
      <c r="U3" s="454"/>
      <c r="V3" s="454" t="str">
        <f>SUBSTITUTE(SUBSTITUTE($V$2,"!","")," ","")</f>
        <v>10+11</v>
      </c>
      <c r="W3" s="454"/>
      <c r="X3" s="454" t="str">
        <f>SUBSTITUTE(SUBSTITUTE($X$2,"!","")," ","")</f>
        <v>11+5</v>
      </c>
      <c r="Y3" s="454" t="str">
        <f>SUBSTITUTE(SUBSTITUTE($Y$2,"!","")," ","")</f>
        <v>11+6</v>
      </c>
      <c r="Z3" s="454" t="str">
        <f>SUBSTITUTE(SUBSTITUTE($Z$2,"!","")," ","")</f>
        <v/>
      </c>
      <c r="AA3" s="454" t="str">
        <f>SUBSTITUTE(SUBSTITUTE($AA$2,"!","")," ","")</f>
        <v/>
      </c>
      <c r="AB3" s="454" t="str">
        <f>SUBSTITUTE(SUBSTITUTE($AB$2,"!","")," ","")</f>
        <v/>
      </c>
      <c r="AC3" s="454" t="str">
        <f>SUBSTITUTE(SUBSTITUTE($AC$2,"!","")," ","")</f>
        <v/>
      </c>
      <c r="AD3" s="454"/>
      <c r="AE3" s="431">
        <f>Настройки!P3</f>
        <v>2</v>
      </c>
      <c r="AF3" s="380">
        <f>Настройки!Q3</f>
        <v>0</v>
      </c>
      <c r="AG3" s="380" t="str">
        <f>Настройки!R3</f>
        <v>IDIG_1_2</v>
      </c>
      <c r="AH3" s="380" t="str">
        <f>Настройки!S3</f>
        <v>IANS_1_4</v>
      </c>
      <c r="AI3" s="380" t="str">
        <f>Настройки!T3</f>
        <v>out1</v>
      </c>
      <c r="AJ3" s="380" t="str">
        <f>Настройки!U3</f>
        <v>out1</v>
      </c>
      <c r="AK3" s="380" t="str">
        <f>Настройки!V3</f>
        <v>ODIG_2</v>
      </c>
      <c r="AL3" s="380" t="str">
        <f>Настройки!W3</f>
        <v>OAN_2_1</v>
      </c>
      <c r="AM3" s="380" t="str">
        <f>Настройки!X3</f>
        <v>IANS_2_1</v>
      </c>
      <c r="AN3" s="380" t="str">
        <f>Настройки!Y3</f>
        <v>Canal_02</v>
      </c>
      <c r="AO3" s="380" t="str">
        <f>Настройки!Z3</f>
        <v>Canal_02</v>
      </c>
      <c r="AP3" s="380" t="str">
        <f>Настройки!AA3</f>
        <v>Canal_02</v>
      </c>
      <c r="AQ3" s="380" t="str">
        <f>Настройки!AB3</f>
        <v>Canal_02</v>
      </c>
      <c r="AR3" s="380" t="str">
        <f>Настройки!AC3</f>
        <v>IVXX[1]</v>
      </c>
      <c r="AS3" s="380" t="str">
        <f>Настройки!AD3</f>
        <v>IVXX[1]</v>
      </c>
      <c r="AT3" s="207" t="str">
        <f>Настройки!AB3</f>
        <v>Canal_02</v>
      </c>
      <c r="AU3" s="207" t="str">
        <f>Настройки!AC3</f>
        <v>IVXX[1]</v>
      </c>
      <c r="AV3" s="207" t="str">
        <f>Настройки!AD3</f>
        <v>IVXX[1]</v>
      </c>
      <c r="AW3" s="207" t="str">
        <f>Настройки!AE3</f>
        <v>IANS_1_2</v>
      </c>
      <c r="AX3" s="207" t="str">
        <f>Настройки!AF3</f>
        <v>IDIG_1_2</v>
      </c>
      <c r="AY3" s="207" t="str">
        <f>Настройки!AG3</f>
        <v>Canal_02</v>
      </c>
      <c r="AZ3" s="207" t="str">
        <f>Настройки!AH3</f>
        <v>Canal_02</v>
      </c>
      <c r="BA3" s="207" t="str">
        <f>Настройки!AI3</f>
        <v>Canal_02</v>
      </c>
      <c r="BB3" s="207" t="str">
        <f>Настройки!AJ3</f>
        <v>Canal_02</v>
      </c>
      <c r="BC3" s="207" t="str">
        <f>Настройки!AK3</f>
        <v>Canal_02</v>
      </c>
      <c r="BD3" s="207" t="str">
        <f>Настройки!AL3</f>
        <v>Canal_02</v>
      </c>
      <c r="BE3" s="207" t="str">
        <f>Настройки!AM3</f>
        <v>-</v>
      </c>
    </row>
    <row r="4" spans="1:57">
      <c r="A4" s="82"/>
      <c r="B4" s="82"/>
      <c r="C4" s="81"/>
      <c r="D4" s="81"/>
      <c r="E4" s="448" t="str">
        <f ca="1">IF(LEFT(E6,3)="out","INT_TO_BIT_BR"&amp;C6&amp;"(BR"&amp;C6&amp;".IDIG_MASK)","УДАЛИТЬ")</f>
        <v>УДАЛИТЬ</v>
      </c>
      <c r="F4" s="446" t="s">
        <v>845</v>
      </c>
      <c r="G4" s="447"/>
      <c r="H4" s="447"/>
      <c r="I4" s="459"/>
      <c r="M4" s="424" t="str">
        <f>'Конфигурация TREI'!A5</f>
        <v>BR3</v>
      </c>
      <c r="N4" s="424" t="str">
        <f>'Конфигурация TREI'!B5</f>
        <v>M548A</v>
      </c>
      <c r="P4" s="3" t="str">
        <f>Настройки!D2</f>
        <v/>
      </c>
      <c r="AE4" s="431">
        <f>Настройки!P4</f>
        <v>3</v>
      </c>
      <c r="AF4" s="380">
        <f>Настройки!Q4</f>
        <v>0</v>
      </c>
      <c r="AG4" s="380" t="str">
        <f>Настройки!R4</f>
        <v>IDIG_2_1</v>
      </c>
      <c r="AH4" s="380" t="str">
        <f>Настройки!S4</f>
        <v>IANS_2_3</v>
      </c>
      <c r="AI4" s="380" t="str">
        <f>Настройки!T4</f>
        <v>out2</v>
      </c>
      <c r="AJ4" s="380" t="str">
        <f>Настройки!U4</f>
        <v>out2</v>
      </c>
      <c r="AK4" s="380" t="str">
        <f>Настройки!V4</f>
        <v>ODIG_3</v>
      </c>
      <c r="AL4" s="380" t="str">
        <f>Настройки!W4</f>
        <v>OAN_3_1</v>
      </c>
      <c r="AM4" s="380" t="str">
        <f>Настройки!X4</f>
        <v>IANS_3_1</v>
      </c>
      <c r="AN4" s="380" t="str">
        <f>Настройки!Y4</f>
        <v>Canal_03</v>
      </c>
      <c r="AO4" s="380" t="str">
        <f>Настройки!Z4</f>
        <v>Canal_03</v>
      </c>
      <c r="AP4" s="380" t="str">
        <f>Настройки!AA4</f>
        <v>Canal_03</v>
      </c>
      <c r="AQ4" s="380" t="str">
        <f>Настройки!AB4</f>
        <v>Canal_03</v>
      </c>
      <c r="AR4" s="380" t="str">
        <f>Настройки!AC4</f>
        <v>IVXX[2]</v>
      </c>
      <c r="AS4" s="380" t="str">
        <f>Настройки!AD4</f>
        <v>IVXX[2]</v>
      </c>
      <c r="AT4" s="207" t="str">
        <f>Настройки!AB4</f>
        <v>Canal_03</v>
      </c>
      <c r="AU4" s="207" t="str">
        <f>Настройки!AC4</f>
        <v>IVXX[2]</v>
      </c>
      <c r="AV4" s="207" t="str">
        <f>Настройки!AD4</f>
        <v>IVXX[2]</v>
      </c>
      <c r="AW4" s="207" t="str">
        <f>Настройки!AE4</f>
        <v>IANS_2_1</v>
      </c>
      <c r="AX4" s="207" t="str">
        <f>Настройки!AF4</f>
        <v>IDIG_1_3</v>
      </c>
      <c r="AY4" s="207" t="str">
        <f>Настройки!AG4</f>
        <v>Canal_03</v>
      </c>
      <c r="AZ4" s="207" t="str">
        <f>Настройки!AH4</f>
        <v>Canal_03</v>
      </c>
      <c r="BA4" s="207" t="str">
        <f>Настройки!AI4</f>
        <v>Canal_03</v>
      </c>
      <c r="BB4" s="207" t="str">
        <f>Настройки!AJ4</f>
        <v>Canal_03</v>
      </c>
      <c r="BC4" s="207" t="str">
        <f>Настройки!AK4</f>
        <v>Canal_03</v>
      </c>
      <c r="BD4" s="207" t="str">
        <f>Настройки!AL4</f>
        <v>Canal_03</v>
      </c>
      <c r="BE4" s="207" t="str">
        <f>Настройки!AM4</f>
        <v>-</v>
      </c>
    </row>
    <row r="5" spans="1:57">
      <c r="A5" s="448" t="str">
        <f>SUBSTITUTE($P$2,"\","|")&amp;"|"&amp; $R$1 &amp;":="&amp;IF(LEFT(SUBSTITUTE($R$2," ",""),1)="!","NOT  ","")</f>
        <v>ALARM_SOUND|IVXX:=</v>
      </c>
      <c r="B5" s="448" t="str">
        <f ca="1">IF(LEFT(E5,3)="out","INT_TO_BIT_BR","BR")</f>
        <v>BR</v>
      </c>
      <c r="C5" s="446" t="str">
        <f>LEFT($R$3,FIND("+",$R$3,1)-1)</f>
        <v>10</v>
      </c>
      <c r="D5" s="446" t="s">
        <v>178</v>
      </c>
      <c r="E5" s="446" t="str">
        <f ca="1">IF($R$2=0,"УДАЛИТЬ",IFERROR(IF(OR($I5="-",$H5="0"),"КАНАЛ ОТСУТСТВУЕТ",IF($I5=0,"МОДУЛЬ ОТСУТСТВУЕТ",$I5)),"ОШИБКА ФОРМАТА"))</f>
        <v>Canal_10</v>
      </c>
      <c r="F5" s="446" t="s">
        <v>845</v>
      </c>
      <c r="G5" s="447" t="str">
        <f>INDEX($N$2:$N$61,C5)</f>
        <v>M558O</v>
      </c>
      <c r="H5" s="447" t="str">
        <f>RIGHT(R$3,LEN(R$3)-FIND("+",R$3,1))</f>
        <v>10</v>
      </c>
      <c r="I5" s="460" t="str">
        <f ca="1">INDIRECT(ADDRESS($H5+1,MATCH($G5,$1:$1,),1))</f>
        <v>Canal_10</v>
      </c>
      <c r="M5" s="424" t="str">
        <f>'Конфигурация TREI'!A6</f>
        <v>BR4</v>
      </c>
      <c r="N5" s="424" t="str">
        <f>'Конфигурация TREI'!B6</f>
        <v>M558D</v>
      </c>
      <c r="AE5" s="431">
        <f>Настройки!P5</f>
        <v>4</v>
      </c>
      <c r="AF5" s="380">
        <f>Настройки!Q5</f>
        <v>0</v>
      </c>
      <c r="AG5" s="380" t="str">
        <f>Настройки!R5</f>
        <v>IDIG_2_2</v>
      </c>
      <c r="AH5" s="380" t="str">
        <f>Настройки!S5</f>
        <v>IANS_2_4</v>
      </c>
      <c r="AI5" s="380" t="str">
        <f>Настройки!T5</f>
        <v>out3</v>
      </c>
      <c r="AJ5" s="380" t="str">
        <f>Настройки!U5</f>
        <v>out3</v>
      </c>
      <c r="AK5" s="380" t="str">
        <f>Настройки!V5</f>
        <v>ODIG_4</v>
      </c>
      <c r="AL5" s="380" t="str">
        <f>Настройки!W5</f>
        <v>OAN_4_1</v>
      </c>
      <c r="AM5" s="380" t="str">
        <f>Настройки!X5</f>
        <v>IANS_4_1</v>
      </c>
      <c r="AN5" s="380" t="str">
        <f>Настройки!Y5</f>
        <v>Canal_04</v>
      </c>
      <c r="AO5" s="380" t="str">
        <f>Настройки!Z5</f>
        <v>Canal_04</v>
      </c>
      <c r="AP5" s="380" t="str">
        <f>Настройки!AA5</f>
        <v>Canal_04</v>
      </c>
      <c r="AQ5" s="380" t="str">
        <f>Настройки!AB5</f>
        <v>Canal_04</v>
      </c>
      <c r="AR5" s="380" t="str">
        <f>Настройки!AC5</f>
        <v>IVXX[3]</v>
      </c>
      <c r="AS5" s="380" t="str">
        <f>Настройки!AD5</f>
        <v>IVXX[3]</v>
      </c>
      <c r="AT5" s="207" t="str">
        <f>Настройки!AB5</f>
        <v>Canal_04</v>
      </c>
      <c r="AU5" s="207" t="str">
        <f>Настройки!AC5</f>
        <v>IVXX[3]</v>
      </c>
      <c r="AV5" s="207" t="str">
        <f>Настройки!AD5</f>
        <v>IVXX[3]</v>
      </c>
      <c r="AW5" s="207" t="str">
        <f>Настройки!AE5</f>
        <v>IANS_2_2</v>
      </c>
      <c r="AX5" s="207" t="str">
        <f>Настройки!AF5</f>
        <v>IDIG_1_4</v>
      </c>
      <c r="AY5" s="207" t="str">
        <f>Настройки!AG5</f>
        <v>Canal_04</v>
      </c>
      <c r="AZ5" s="207" t="str">
        <f>Настройки!AH5</f>
        <v>Canal_04</v>
      </c>
      <c r="BA5" s="207" t="str">
        <f>Настройки!AI5</f>
        <v>Canal_04</v>
      </c>
      <c r="BB5" s="207" t="str">
        <f>Настройки!AJ5</f>
        <v>Canal_04</v>
      </c>
      <c r="BC5" s="207" t="str">
        <f>Настройки!AK5</f>
        <v>Canal_04</v>
      </c>
      <c r="BD5" s="207" t="str">
        <f>Настройки!AL5</f>
        <v>Canal_04</v>
      </c>
      <c r="BE5" s="207" t="str">
        <f>Настройки!AM5</f>
        <v>-</v>
      </c>
    </row>
    <row r="6" spans="1:57">
      <c r="A6" s="448" t="str">
        <f>SUBSTITUTE($P$2,"\","|")&amp;"|"&amp; $V$1 &amp;":="&amp;IF(LEFT(SUBSTITUTE($V$2," ",""),1)="!","NOT  ","")</f>
        <v>ALARM_SOUND|IRCX:=</v>
      </c>
      <c r="B6" s="448" t="str">
        <f ca="1">IF(LEFT(E6,3)="out","INT_TO_BIT_BR","BR")</f>
        <v>BR</v>
      </c>
      <c r="C6" s="446" t="str">
        <f>LEFT($V$3,FIND("+",$V$3,1)-1)</f>
        <v>10</v>
      </c>
      <c r="D6" s="446" t="s">
        <v>178</v>
      </c>
      <c r="E6" s="446" t="str">
        <f ca="1">IF($V$2=0,"УДАЛИТЬ",IFERROR(IF(OR($I6="-",$H6="0"),"КАНАЛ ОТСУТСТВУЕТ",IF($I6=0,"МОДУЛЬ ОТСУТСТВУЕТ",$I6)),"ОШИБКА ФОРМАТА"))</f>
        <v>Canal_11</v>
      </c>
      <c r="F6" s="446" t="s">
        <v>845</v>
      </c>
      <c r="G6" s="447" t="str">
        <f>INDEX($N$2:$N$61,C6)</f>
        <v>M558O</v>
      </c>
      <c r="H6" s="447" t="str">
        <f>RIGHT(V$3,LEN(V$3)-FIND("+",V$3,1))</f>
        <v>11</v>
      </c>
      <c r="I6" s="460" t="str">
        <f ca="1">INDIRECT(ADDRESS($H6+1,MATCH($G6,$1:$1,),1))</f>
        <v>Canal_11</v>
      </c>
      <c r="M6" s="424" t="str">
        <f>'Конфигурация TREI'!A7</f>
        <v>BR5</v>
      </c>
      <c r="N6" s="424" t="str">
        <f>'Конфигурация TREI'!B7</f>
        <v>M558O</v>
      </c>
      <c r="AE6" s="431">
        <f>Настройки!P6</f>
        <v>5</v>
      </c>
      <c r="AF6" s="380">
        <f>Настройки!Q6</f>
        <v>0</v>
      </c>
      <c r="AG6" s="380" t="str">
        <f>Настройки!R6</f>
        <v>IDIG_3_1</v>
      </c>
      <c r="AH6" s="380" t="str">
        <f>Настройки!S6</f>
        <v>IANS_3_3</v>
      </c>
      <c r="AI6" s="380" t="str">
        <f>Настройки!T6</f>
        <v>out4</v>
      </c>
      <c r="AJ6" s="380" t="str">
        <f>Настройки!U6</f>
        <v>out4</v>
      </c>
      <c r="AK6" s="380" t="str">
        <f>Настройки!V6</f>
        <v>ODIG_5</v>
      </c>
      <c r="AL6" s="380" t="str">
        <f>Настройки!W6</f>
        <v>OAN_5_1</v>
      </c>
      <c r="AM6" s="380" t="str">
        <f>Настройки!X6</f>
        <v>IANS_5_1</v>
      </c>
      <c r="AN6" s="380" t="str">
        <f>Настройки!Y6</f>
        <v>Canal_05</v>
      </c>
      <c r="AO6" s="380" t="str">
        <f>Настройки!Z6</f>
        <v>Canal_05</v>
      </c>
      <c r="AP6" s="380" t="str">
        <f>Настройки!AA6</f>
        <v>Canal_05</v>
      </c>
      <c r="AQ6" s="380" t="str">
        <f>Настройки!AB6</f>
        <v>Canal_05</v>
      </c>
      <c r="AR6" s="380" t="str">
        <f>Настройки!AC6</f>
        <v>IVXX[4]</v>
      </c>
      <c r="AS6" s="380" t="str">
        <f>Настройки!AD6</f>
        <v>IVXX[4]</v>
      </c>
      <c r="AT6" s="207" t="str">
        <f>Настройки!AB6</f>
        <v>Canal_05</v>
      </c>
      <c r="AU6" s="207" t="str">
        <f>Настройки!AC6</f>
        <v>IVXX[4]</v>
      </c>
      <c r="AV6" s="207" t="str">
        <f>Настройки!AD6</f>
        <v>IVXX[4]</v>
      </c>
      <c r="AW6" s="207" t="str">
        <f>Настройки!AE6</f>
        <v>IANS_3_1</v>
      </c>
      <c r="AX6" s="207" t="str">
        <f>Настройки!AF6</f>
        <v>IDIG_2_1</v>
      </c>
      <c r="AY6" s="207" t="str">
        <f>Настройки!AG6</f>
        <v>Canal_05</v>
      </c>
      <c r="AZ6" s="207" t="str">
        <f>Настройки!AH6</f>
        <v>Canal_05</v>
      </c>
      <c r="BA6" s="207" t="str">
        <f>Настройки!AI6</f>
        <v>Canal_05</v>
      </c>
      <c r="BB6" s="207" t="str">
        <f>Настройки!AJ6</f>
        <v>Canal_05</v>
      </c>
      <c r="BC6" s="207" t="str">
        <f>Настройки!AK6</f>
        <v>Canal_05</v>
      </c>
      <c r="BD6" s="207" t="str">
        <f>Настройки!AL6</f>
        <v>Canal_05</v>
      </c>
      <c r="BE6" s="207" t="str">
        <f>Настройки!AM6</f>
        <v>-</v>
      </c>
    </row>
    <row r="7" spans="1:57">
      <c r="A7" s="448" t="str">
        <f>SUBSTITUTE($P$2,"\","|")&amp;"|"&amp;"D"&amp; RIGHT($R$1,3)&amp;":="&amp;P4&amp;"NOT_LINK_BR"</f>
        <v>ALARM_SOUND|DVXX:=NOT_LINK_BR</v>
      </c>
      <c r="B7" s="448"/>
      <c r="C7" s="455"/>
      <c r="D7" s="446"/>
      <c r="E7" s="446" t="str">
        <f>IFERROR(LEFT($R$3,FIND("+",$R$3,1)-1),"УДАЛИТЬ")</f>
        <v>10</v>
      </c>
      <c r="F7" s="446" t="s">
        <v>845</v>
      </c>
      <c r="G7" s="447"/>
      <c r="H7" s="447"/>
      <c r="I7" s="459"/>
      <c r="M7" s="424" t="str">
        <f>'Конфигурация TREI'!A8</f>
        <v>BR6</v>
      </c>
      <c r="N7" s="424" t="str">
        <f>'Конфигурация TREI'!B8</f>
        <v>M558O</v>
      </c>
      <c r="AE7" s="431">
        <f>Настройки!P7</f>
        <v>6</v>
      </c>
      <c r="AF7" s="380">
        <f>Настройки!Q7</f>
        <v>0</v>
      </c>
      <c r="AG7" s="380" t="str">
        <f>Настройки!R7</f>
        <v>IDIG_3_2</v>
      </c>
      <c r="AH7" s="380" t="str">
        <f>Настройки!S7</f>
        <v>IANS_3_4</v>
      </c>
      <c r="AI7" s="380" t="str">
        <f>Настройки!T7</f>
        <v>out5</v>
      </c>
      <c r="AJ7" s="380" t="str">
        <f>Настройки!U7</f>
        <v>out5</v>
      </c>
      <c r="AK7" s="380" t="str">
        <f>Настройки!V7</f>
        <v>ODIG_6</v>
      </c>
      <c r="AL7" s="380" t="str">
        <f>Настройки!W7</f>
        <v>OAN_6_1</v>
      </c>
      <c r="AM7" s="380" t="str">
        <f>Настройки!X7</f>
        <v>IANS_6_1</v>
      </c>
      <c r="AN7" s="380" t="str">
        <f>Настройки!Y7</f>
        <v>Canal_06</v>
      </c>
      <c r="AO7" s="380" t="str">
        <f>Настройки!Z7</f>
        <v>Canal_06</v>
      </c>
      <c r="AP7" s="380" t="str">
        <f>Настройки!AA7</f>
        <v>Canal_06</v>
      </c>
      <c r="AQ7" s="380" t="str">
        <f>Настройки!AB7</f>
        <v>Canal_06</v>
      </c>
      <c r="AR7" s="380" t="str">
        <f>Настройки!AC7</f>
        <v>IVXX[5]</v>
      </c>
      <c r="AS7" s="380" t="str">
        <f>Настройки!AD7</f>
        <v>IVXX[5]</v>
      </c>
      <c r="AT7" s="207" t="str">
        <f>Настройки!AB7</f>
        <v>Canal_06</v>
      </c>
      <c r="AU7" s="207" t="str">
        <f>Настройки!AC7</f>
        <v>IVXX[5]</v>
      </c>
      <c r="AV7" s="207" t="str">
        <f>Настройки!AD7</f>
        <v>IVXX[5]</v>
      </c>
      <c r="AW7" s="207" t="str">
        <f>Настройки!AE7</f>
        <v>IANS_3_2</v>
      </c>
      <c r="AX7" s="207" t="str">
        <f>Настройки!AF7</f>
        <v>IDIG_2_2</v>
      </c>
      <c r="AY7" s="207" t="str">
        <f>Настройки!AG7</f>
        <v>Canal_06</v>
      </c>
      <c r="AZ7" s="207" t="str">
        <f>Настройки!AH7</f>
        <v>Canal_06</v>
      </c>
      <c r="BA7" s="207" t="str">
        <f>Настройки!AI7</f>
        <v>Canal_06</v>
      </c>
      <c r="BB7" s="207" t="str">
        <f>Настройки!AJ7</f>
        <v>Canal_06</v>
      </c>
      <c r="BC7" s="207" t="str">
        <f>Настройки!AK7</f>
        <v>Canal_06</v>
      </c>
      <c r="BD7" s="207" t="str">
        <f>Настройки!AL7</f>
        <v>Canal_06</v>
      </c>
      <c r="BE7" s="207" t="str">
        <f>Настройки!AM7</f>
        <v>-</v>
      </c>
    </row>
    <row r="8" spans="1:57">
      <c r="A8" s="448" t="str">
        <f>SUBSTITUTE($P$2,"\","|")&amp;"|"&amp;"D"&amp; RIGHT($V$1,3)&amp;":="&amp;P4&amp;"NOT_LINK_BR"</f>
        <v>ALARM_SOUND|DRCX:=NOT_LINK_BR</v>
      </c>
      <c r="B8" s="448"/>
      <c r="C8" s="455"/>
      <c r="D8" s="446"/>
      <c r="E8" s="446" t="str">
        <f>IFERROR(LEFT($V$3,FIND("+",$V$3,1)-1),"УДАЛИТЬ")</f>
        <v>10</v>
      </c>
      <c r="F8" s="446" t="s">
        <v>845</v>
      </c>
      <c r="G8" s="447"/>
      <c r="H8" s="447"/>
      <c r="I8" s="460"/>
      <c r="M8" s="424" t="str">
        <f>'Конфигурация TREI'!A9</f>
        <v>BR7</v>
      </c>
      <c r="N8" s="424" t="str">
        <f>'Конфигурация TREI'!B9</f>
        <v>M558O</v>
      </c>
      <c r="AE8" s="431">
        <f>Настройки!P8</f>
        <v>7</v>
      </c>
      <c r="AF8" s="380">
        <f>Настройки!Q8</f>
        <v>0</v>
      </c>
      <c r="AG8" s="380" t="str">
        <f>Настройки!R8</f>
        <v>IDIG_4_1</v>
      </c>
      <c r="AH8" s="380" t="str">
        <f>Настройки!S8</f>
        <v>IANS_4_3</v>
      </c>
      <c r="AI8" s="380" t="str">
        <f>Настройки!T8</f>
        <v>out6</v>
      </c>
      <c r="AJ8" s="380" t="str">
        <f>Настройки!U8</f>
        <v>out6</v>
      </c>
      <c r="AK8" s="380" t="str">
        <f>Настройки!V8</f>
        <v>ODIG_7</v>
      </c>
      <c r="AL8" s="380" t="str">
        <f>Настройки!W8</f>
        <v>OAN_7_1</v>
      </c>
      <c r="AM8" s="380" t="str">
        <f>Настройки!X8</f>
        <v>IANS_7_1</v>
      </c>
      <c r="AN8" s="380" t="str">
        <f>Настройки!Y8</f>
        <v>Canal_07</v>
      </c>
      <c r="AO8" s="380" t="str">
        <f>Настройки!Z8</f>
        <v>Canal_07</v>
      </c>
      <c r="AP8" s="380" t="str">
        <f>Настройки!AA8</f>
        <v>Canal_07</v>
      </c>
      <c r="AQ8" s="380" t="str">
        <f>Настройки!AB8</f>
        <v>Canal_07</v>
      </c>
      <c r="AR8" s="380" t="str">
        <f>Настройки!AC8</f>
        <v>IVXX[6]</v>
      </c>
      <c r="AS8" s="380" t="str">
        <f>Настройки!AD8</f>
        <v>IVXX[6]</v>
      </c>
      <c r="AT8" s="207" t="str">
        <f>Настройки!AB8</f>
        <v>Canal_07</v>
      </c>
      <c r="AU8" s="207" t="str">
        <f>Настройки!AC8</f>
        <v>IVXX[6]</v>
      </c>
      <c r="AV8" s="207" t="str">
        <f>Настройки!AD8</f>
        <v>IVXX[6]</v>
      </c>
      <c r="AW8" s="207" t="str">
        <f>Настройки!AE8</f>
        <v>IANS_4_1</v>
      </c>
      <c r="AX8" s="207" t="str">
        <f>Настройки!AF8</f>
        <v>IDIG_2_3</v>
      </c>
      <c r="AY8" s="207" t="str">
        <f>Настройки!AG8</f>
        <v>Canal_07</v>
      </c>
      <c r="AZ8" s="207" t="str">
        <f>Настройки!AH8</f>
        <v>Canal_07</v>
      </c>
      <c r="BA8" s="207" t="str">
        <f>Настройки!AI8</f>
        <v>Canal_07</v>
      </c>
      <c r="BB8" s="207" t="str">
        <f>Настройки!AJ8</f>
        <v>Canal_07</v>
      </c>
      <c r="BC8" s="207" t="str">
        <f>Настройки!AK8</f>
        <v>Canal_07</v>
      </c>
      <c r="BD8" s="207" t="str">
        <f>Настройки!AL8</f>
        <v>Canal_07</v>
      </c>
      <c r="BE8" s="207" t="str">
        <f>Настройки!AM8</f>
        <v>-</v>
      </c>
    </row>
    <row r="9" spans="1:57">
      <c r="A9" s="448"/>
      <c r="B9" s="448"/>
      <c r="C9" s="446"/>
      <c r="D9" s="446"/>
      <c r="E9" s="446"/>
      <c r="F9" s="446"/>
      <c r="G9" s="447"/>
      <c r="H9" s="447"/>
      <c r="I9" s="460"/>
      <c r="M9" s="424" t="str">
        <f>'Конфигурация TREI'!A10</f>
        <v>BR8</v>
      </c>
      <c r="N9" s="424" t="str">
        <f>'Конфигурация TREI'!B10</f>
        <v>M558O</v>
      </c>
      <c r="AE9" s="431">
        <f>Настройки!P9</f>
        <v>8</v>
      </c>
      <c r="AF9" s="380">
        <f>Настройки!Q9</f>
        <v>0</v>
      </c>
      <c r="AG9" s="380" t="str">
        <f>Настройки!R9</f>
        <v>IDIG_4_2</v>
      </c>
      <c r="AH9" s="380" t="str">
        <f>Настройки!S9</f>
        <v>IANS_4_4</v>
      </c>
      <c r="AI9" s="380" t="str">
        <f>Настройки!T9</f>
        <v>out7</v>
      </c>
      <c r="AJ9" s="380" t="str">
        <f>Настройки!U9</f>
        <v>out7</v>
      </c>
      <c r="AK9" s="380" t="str">
        <f>Настройки!V9</f>
        <v>ODIG_8</v>
      </c>
      <c r="AL9" s="380" t="str">
        <f>Настройки!W9</f>
        <v>OAN_8_1</v>
      </c>
      <c r="AM9" s="380" t="str">
        <f>Настройки!X9</f>
        <v>IANS_8_1</v>
      </c>
      <c r="AN9" s="380" t="str">
        <f>Настройки!Y9</f>
        <v>Canal_08</v>
      </c>
      <c r="AO9" s="380" t="str">
        <f>Настройки!Z9</f>
        <v>Canal_08</v>
      </c>
      <c r="AP9" s="380" t="str">
        <f>Настройки!AA9</f>
        <v>Canal_08</v>
      </c>
      <c r="AQ9" s="380" t="str">
        <f>Настройки!AB9</f>
        <v>Canal_08</v>
      </c>
      <c r="AR9" s="380" t="str">
        <f>Настройки!AC9</f>
        <v>IVXX[7]</v>
      </c>
      <c r="AS9" s="380" t="str">
        <f>Настройки!AD9</f>
        <v>IVXX[7]</v>
      </c>
      <c r="AT9" s="207" t="str">
        <f>Настройки!AB9</f>
        <v>Canal_08</v>
      </c>
      <c r="AU9" s="207" t="str">
        <f>Настройки!AC9</f>
        <v>IVXX[7]</v>
      </c>
      <c r="AV9" s="207" t="str">
        <f>Настройки!AD9</f>
        <v>IVXX[7]</v>
      </c>
      <c r="AW9" s="207" t="str">
        <f>Настройки!AE9</f>
        <v>IANS_4_2</v>
      </c>
      <c r="AX9" s="207" t="str">
        <f>Настройки!AF9</f>
        <v>IDIG_2_4</v>
      </c>
      <c r="AY9" s="207" t="str">
        <f>Настройки!AG9</f>
        <v>Canal_08</v>
      </c>
      <c r="AZ9" s="207" t="str">
        <f>Настройки!AH9</f>
        <v>Canal_08</v>
      </c>
      <c r="BA9" s="207" t="str">
        <f>Настройки!AI9</f>
        <v>Canal_08</v>
      </c>
      <c r="BB9" s="207" t="str">
        <f>Настройки!AJ9</f>
        <v>Canal_08</v>
      </c>
      <c r="BC9" s="207" t="str">
        <f>Настройки!AK9</f>
        <v>Canal_08</v>
      </c>
      <c r="BD9" s="207" t="str">
        <f>Настройки!AL9</f>
        <v>Canal_08</v>
      </c>
      <c r="BE9" s="207" t="str">
        <f>Настройки!AM9</f>
        <v>-</v>
      </c>
    </row>
    <row r="10" spans="1:57">
      <c r="A10" s="448"/>
      <c r="B10" s="448"/>
      <c r="C10" s="446"/>
      <c r="D10" s="446"/>
      <c r="E10" s="446"/>
      <c r="F10" s="446"/>
      <c r="G10" s="447"/>
      <c r="H10" s="447"/>
      <c r="I10" s="460"/>
      <c r="M10" s="424" t="str">
        <f>'Конфигурация TREI'!A11</f>
        <v>BR9</v>
      </c>
      <c r="N10" s="424" t="str">
        <f>'Конфигурация TREI'!B11</f>
        <v>M558D</v>
      </c>
      <c r="AE10" s="431">
        <f>Настройки!P10</f>
        <v>9</v>
      </c>
      <c r="AF10" s="380">
        <f>Настройки!Q10</f>
        <v>0</v>
      </c>
      <c r="AG10" s="380" t="str">
        <f>Настройки!R10</f>
        <v>IDIG_5_1</v>
      </c>
      <c r="AH10" s="380" t="str">
        <f>Настройки!S10</f>
        <v>IANS_5_3</v>
      </c>
      <c r="AI10" s="380" t="str">
        <f>Настройки!T10</f>
        <v>out8</v>
      </c>
      <c r="AJ10" s="380" t="str">
        <f>Настройки!U10</f>
        <v>out8</v>
      </c>
      <c r="AK10" s="380" t="str">
        <f>Настройки!V10</f>
        <v>ODIG_9</v>
      </c>
      <c r="AL10" s="380" t="str">
        <f>Настройки!W10</f>
        <v>-</v>
      </c>
      <c r="AM10" s="380" t="str">
        <f>Настройки!X10</f>
        <v>-</v>
      </c>
      <c r="AN10" s="380" t="str">
        <f>Настройки!Y10</f>
        <v>Canal_09</v>
      </c>
      <c r="AO10" s="380" t="str">
        <f>Настройки!Z10</f>
        <v>-</v>
      </c>
      <c r="AP10" s="380" t="str">
        <f>Настройки!AA10</f>
        <v>Canal_09</v>
      </c>
      <c r="AQ10" s="380" t="str">
        <f>Настройки!AB10</f>
        <v>Canal_09</v>
      </c>
      <c r="AR10" s="380" t="str">
        <f>Настройки!AC10</f>
        <v>OCCH[0]</v>
      </c>
      <c r="AS10" s="380" t="str">
        <f>Настройки!AD10</f>
        <v>OCCH[0]</v>
      </c>
      <c r="AT10" s="207" t="str">
        <f>Настройки!AB10</f>
        <v>Canal_09</v>
      </c>
      <c r="AU10" s="207" t="str">
        <f>Настройки!AC10</f>
        <v>OCCH[0]</v>
      </c>
      <c r="AV10" s="207" t="str">
        <f>Настройки!AD10</f>
        <v>OCCH[0]</v>
      </c>
      <c r="AW10" s="207" t="str">
        <f>Настройки!AE10</f>
        <v>IANS_5_1</v>
      </c>
      <c r="AX10" s="207" t="str">
        <f>Настройки!AF10</f>
        <v>IDIG_3_1</v>
      </c>
      <c r="AY10" s="207" t="str">
        <f>Настройки!AG10</f>
        <v>Canal_09</v>
      </c>
      <c r="AZ10" s="207" t="str">
        <f>Настройки!AH10</f>
        <v>Canal_09</v>
      </c>
      <c r="BA10" s="207" t="str">
        <f>Настройки!AI10</f>
        <v>Canal_09</v>
      </c>
      <c r="BB10" s="207" t="str">
        <f>Настройки!AJ10</f>
        <v>Canal_09</v>
      </c>
      <c r="BC10" s="207" t="str">
        <f>Настройки!AK10</f>
        <v>-</v>
      </c>
      <c r="BD10" s="207" t="str">
        <f>Настройки!AL10</f>
        <v>Canal_09</v>
      </c>
      <c r="BE10" s="207" t="str">
        <f>Настройки!AM10</f>
        <v>-</v>
      </c>
    </row>
    <row r="11" spans="1:57">
      <c r="A11" s="448"/>
      <c r="B11" s="448"/>
      <c r="C11" s="446"/>
      <c r="D11" s="446"/>
      <c r="E11" s="446"/>
      <c r="F11" s="446"/>
      <c r="G11" s="447"/>
      <c r="H11" s="447"/>
      <c r="I11" s="460"/>
      <c r="M11" s="424" t="str">
        <f>'Конфигурация TREI'!A12</f>
        <v>BR10</v>
      </c>
      <c r="N11" s="424" t="str">
        <f>'Конфигурация TREI'!B12</f>
        <v>M558O</v>
      </c>
      <c r="AE11" s="431">
        <f>Настройки!P11</f>
        <v>10</v>
      </c>
      <c r="AF11" s="380">
        <f>Настройки!Q11</f>
        <v>0</v>
      </c>
      <c r="AG11" s="380" t="str">
        <f>Настройки!R11</f>
        <v>IDIG_5_2</v>
      </c>
      <c r="AH11" s="380" t="str">
        <f>Настройки!S11</f>
        <v>IANS_5_4</v>
      </c>
      <c r="AI11" s="380" t="str">
        <f>Настройки!T11</f>
        <v>out9</v>
      </c>
      <c r="AJ11" s="380" t="str">
        <f>Настройки!U11</f>
        <v>out9</v>
      </c>
      <c r="AK11" s="380" t="str">
        <f>Настройки!V11</f>
        <v>ODIG_10</v>
      </c>
      <c r="AL11" s="380" t="str">
        <f>Настройки!W11</f>
        <v>-</v>
      </c>
      <c r="AM11" s="380" t="str">
        <f>Настройки!X11</f>
        <v>-</v>
      </c>
      <c r="AN11" s="380" t="str">
        <f>Настройки!Y11</f>
        <v>Canal_10</v>
      </c>
      <c r="AO11" s="380" t="str">
        <f>Настройки!Z11</f>
        <v>-</v>
      </c>
      <c r="AP11" s="380" t="str">
        <f>Настройки!AA11</f>
        <v>Canal_10</v>
      </c>
      <c r="AQ11" s="380" t="str">
        <f>Настройки!AB11</f>
        <v>Canal_10</v>
      </c>
      <c r="AR11" s="380" t="str">
        <f>Настройки!AC11</f>
        <v>OCCH[1]</v>
      </c>
      <c r="AS11" s="380" t="str">
        <f>Настройки!AD11</f>
        <v>OCCH[1]</v>
      </c>
      <c r="AT11" s="207" t="str">
        <f>Настройки!AB11</f>
        <v>Canal_10</v>
      </c>
      <c r="AU11" s="207" t="str">
        <f>Настройки!AC11</f>
        <v>OCCH[1]</v>
      </c>
      <c r="AV11" s="207" t="str">
        <f>Настройки!AD11</f>
        <v>OCCH[1]</v>
      </c>
      <c r="AW11" s="207" t="str">
        <f>Настройки!AE11</f>
        <v>IANS_5_2</v>
      </c>
      <c r="AX11" s="207" t="str">
        <f>Настройки!AF11</f>
        <v>IDIG_3_2</v>
      </c>
      <c r="AY11" s="207" t="str">
        <f>Настройки!AG11</f>
        <v>Canal_10</v>
      </c>
      <c r="AZ11" s="207" t="str">
        <f>Настройки!AH11</f>
        <v>Canal_10</v>
      </c>
      <c r="BA11" s="207" t="str">
        <f>Настройки!AI11</f>
        <v>Canal_10</v>
      </c>
      <c r="BB11" s="207" t="str">
        <f>Настройки!AJ11</f>
        <v>Canal_10</v>
      </c>
      <c r="BC11" s="207" t="str">
        <f>Настройки!AK11</f>
        <v>-</v>
      </c>
      <c r="BD11" s="207" t="str">
        <f>Настройки!AL11</f>
        <v>Canal_10</v>
      </c>
      <c r="BE11" s="207" t="str">
        <f>Настройки!AM11</f>
        <v>-</v>
      </c>
    </row>
    <row r="12" spans="1:57">
      <c r="A12" s="448"/>
      <c r="B12" s="448"/>
      <c r="C12" s="446"/>
      <c r="D12" s="446"/>
      <c r="E12" s="446"/>
      <c r="F12" s="446"/>
      <c r="G12" s="447"/>
      <c r="H12" s="447"/>
      <c r="I12" s="460"/>
      <c r="M12" s="424" t="str">
        <f>'Конфигурация TREI'!A13</f>
        <v>BR11</v>
      </c>
      <c r="N12" s="424" t="str">
        <f>'Конфигурация TREI'!B13</f>
        <v>M558D</v>
      </c>
      <c r="AE12" s="431">
        <f>Настройки!P12</f>
        <v>11</v>
      </c>
      <c r="AF12" s="380">
        <f>Настройки!Q12</f>
        <v>0</v>
      </c>
      <c r="AG12" s="380" t="str">
        <f>Настройки!R12</f>
        <v>IDIG_6_1</v>
      </c>
      <c r="AH12" s="380" t="str">
        <f>Настройки!S12</f>
        <v>IANS_6_3</v>
      </c>
      <c r="AI12" s="380" t="str">
        <f>Настройки!T12</f>
        <v>out10</v>
      </c>
      <c r="AJ12" s="380" t="str">
        <f>Настройки!U12</f>
        <v>out10</v>
      </c>
      <c r="AK12" s="380" t="str">
        <f>Настройки!V12</f>
        <v>ODIG_11</v>
      </c>
      <c r="AL12" s="380" t="str">
        <f>Настройки!W12</f>
        <v>-</v>
      </c>
      <c r="AM12" s="380" t="str">
        <f>Настройки!X12</f>
        <v>-</v>
      </c>
      <c r="AN12" s="380" t="str">
        <f>Настройки!Y12</f>
        <v>Canal_11</v>
      </c>
      <c r="AO12" s="380" t="str">
        <f>Настройки!Z12</f>
        <v>-</v>
      </c>
      <c r="AP12" s="380" t="str">
        <f>Настройки!AA12</f>
        <v>Canal_11</v>
      </c>
      <c r="AQ12" s="380" t="str">
        <f>Настройки!AB12</f>
        <v>Canal_11</v>
      </c>
      <c r="AR12" s="380" t="str">
        <f>Настройки!AC12</f>
        <v>OCCH[2]</v>
      </c>
      <c r="AS12" s="380" t="str">
        <f>Настройки!AD12</f>
        <v>OCCH[2]</v>
      </c>
      <c r="AT12" s="207" t="str">
        <f>Настройки!AB12</f>
        <v>Canal_11</v>
      </c>
      <c r="AU12" s="207" t="str">
        <f>Настройки!AC12</f>
        <v>OCCH[2]</v>
      </c>
      <c r="AV12" s="207" t="str">
        <f>Настройки!AD12</f>
        <v>OCCH[2]</v>
      </c>
      <c r="AW12" s="207" t="str">
        <f>Настройки!AE12</f>
        <v>IANS_6_1</v>
      </c>
      <c r="AX12" s="207" t="str">
        <f>Настройки!AF12</f>
        <v>IDIG_3_3</v>
      </c>
      <c r="AY12" s="207" t="str">
        <f>Настройки!AG12</f>
        <v>Canal_11</v>
      </c>
      <c r="AZ12" s="207" t="str">
        <f>Настройки!AH12</f>
        <v>Canal_11</v>
      </c>
      <c r="BA12" s="207" t="str">
        <f>Настройки!AI12</f>
        <v>Canal_11</v>
      </c>
      <c r="BB12" s="207" t="str">
        <f>Настройки!AJ12</f>
        <v>Canal_11</v>
      </c>
      <c r="BC12" s="207" t="str">
        <f>Настройки!AK12</f>
        <v>-</v>
      </c>
      <c r="BD12" s="207" t="str">
        <f>Настройки!AL12</f>
        <v>Canal_11</v>
      </c>
      <c r="BE12" s="207" t="str">
        <f>Настройки!AM12</f>
        <v>-</v>
      </c>
    </row>
    <row r="13" spans="1:57">
      <c r="A13" s="448"/>
      <c r="B13" s="448"/>
      <c r="C13" s="455"/>
      <c r="D13" s="446"/>
      <c r="E13" s="446"/>
      <c r="F13" s="446"/>
      <c r="G13" s="447"/>
      <c r="H13" s="447"/>
      <c r="I13" s="1"/>
      <c r="M13" s="424" t="str">
        <f>'Конфигурация TREI'!A14</f>
        <v>BR12</v>
      </c>
      <c r="N13" s="424" t="str">
        <f>'Конфигурация TREI'!B14</f>
        <v>M558D</v>
      </c>
      <c r="AE13" s="431">
        <f>Настройки!P13</f>
        <v>12</v>
      </c>
      <c r="AF13" s="380">
        <f>Настройки!Q13</f>
        <v>0</v>
      </c>
      <c r="AG13" s="380" t="str">
        <f>Настройки!R13</f>
        <v>IDIG_6_2</v>
      </c>
      <c r="AH13" s="380" t="str">
        <f>Настройки!S13</f>
        <v>IANS_6_4</v>
      </c>
      <c r="AI13" s="380" t="str">
        <f>Настройки!T13</f>
        <v>out11</v>
      </c>
      <c r="AJ13" s="380" t="str">
        <f>Настройки!U13</f>
        <v>out11</v>
      </c>
      <c r="AK13" s="380" t="str">
        <f>Настройки!V13</f>
        <v>ODIG_12</v>
      </c>
      <c r="AL13" s="380" t="str">
        <f>Настройки!W13</f>
        <v>-</v>
      </c>
      <c r="AM13" s="380" t="str">
        <f>Настройки!X13</f>
        <v>-</v>
      </c>
      <c r="AN13" s="380" t="str">
        <f>Настройки!Y13</f>
        <v>Canal_12</v>
      </c>
      <c r="AO13" s="380" t="str">
        <f>Настройки!Z13</f>
        <v>-</v>
      </c>
      <c r="AP13" s="380" t="str">
        <f>Настройки!AA13</f>
        <v>Canal_12</v>
      </c>
      <c r="AQ13" s="380" t="str">
        <f>Настройки!AB13</f>
        <v>Canal_12</v>
      </c>
      <c r="AR13" s="380" t="str">
        <f>Настройки!AC13</f>
        <v>OCCH[3]</v>
      </c>
      <c r="AS13" s="380" t="str">
        <f>Настройки!AD13</f>
        <v>OCCH[3]</v>
      </c>
      <c r="AT13" s="207" t="str">
        <f>Настройки!AB13</f>
        <v>Canal_12</v>
      </c>
      <c r="AU13" s="207" t="str">
        <f>Настройки!AC13</f>
        <v>OCCH[3]</v>
      </c>
      <c r="AV13" s="207" t="str">
        <f>Настройки!AD13</f>
        <v>OCCH[3]</v>
      </c>
      <c r="AW13" s="207" t="str">
        <f>Настройки!AE13</f>
        <v>IANS_6_2</v>
      </c>
      <c r="AX13" s="207" t="str">
        <f>Настройки!AF13</f>
        <v>IDIG_3_4</v>
      </c>
      <c r="AY13" s="207" t="str">
        <f>Настройки!AG13</f>
        <v>Canal_12</v>
      </c>
      <c r="AZ13" s="207" t="str">
        <f>Настройки!AH13</f>
        <v>Canal_12</v>
      </c>
      <c r="BA13" s="207" t="str">
        <f>Настройки!AI13</f>
        <v>Canal_12</v>
      </c>
      <c r="BB13" s="207" t="str">
        <f>Настройки!AJ13</f>
        <v>Canal_12</v>
      </c>
      <c r="BC13" s="207" t="str">
        <f>Настройки!AK13</f>
        <v>-</v>
      </c>
      <c r="BD13" s="207" t="str">
        <f>Настройки!AL13</f>
        <v>Canal_12</v>
      </c>
      <c r="BE13" s="207" t="str">
        <f>Настройки!AM13</f>
        <v>-</v>
      </c>
    </row>
    <row r="14" spans="1:57">
      <c r="A14" s="448"/>
      <c r="B14" s="448"/>
      <c r="C14" s="455"/>
      <c r="D14" s="446"/>
      <c r="E14" s="446"/>
      <c r="F14" s="446"/>
      <c r="G14" s="447"/>
      <c r="H14" s="447"/>
      <c r="I14" s="1"/>
      <c r="M14" s="424" t="str">
        <f>'Конфигурация TREI'!A15</f>
        <v>BR13</v>
      </c>
      <c r="N14" s="424" t="str">
        <f>'Конфигурация TREI'!B15</f>
        <v>M558D</v>
      </c>
      <c r="AE14" s="431">
        <f>Настройки!P14</f>
        <v>13</v>
      </c>
      <c r="AF14" s="380">
        <f>Настройки!Q14</f>
        <v>0</v>
      </c>
      <c r="AG14" s="380" t="str">
        <f>Настройки!R14</f>
        <v>IDIG_7_1</v>
      </c>
      <c r="AH14" s="380" t="str">
        <f>Настройки!S14</f>
        <v>IANS_7_3</v>
      </c>
      <c r="AI14" s="380" t="str">
        <f>Настройки!T14</f>
        <v>out12</v>
      </c>
      <c r="AJ14" s="380" t="str">
        <f>Настройки!U14</f>
        <v>out12</v>
      </c>
      <c r="AK14" s="380" t="str">
        <f>Настройки!V14</f>
        <v>ODIG_13</v>
      </c>
      <c r="AL14" s="380" t="str">
        <f>Настройки!W14</f>
        <v>-</v>
      </c>
      <c r="AM14" s="380" t="str">
        <f>Настройки!X14</f>
        <v>-</v>
      </c>
      <c r="AN14" s="380" t="str">
        <f>Настройки!Y14</f>
        <v>Canal_13</v>
      </c>
      <c r="AO14" s="380" t="str">
        <f>Настройки!Z14</f>
        <v>-</v>
      </c>
      <c r="AP14" s="380" t="str">
        <f>Настройки!AA14</f>
        <v>Canal_13</v>
      </c>
      <c r="AQ14" s="380" t="str">
        <f>Настройки!AB14</f>
        <v>Canal_13</v>
      </c>
      <c r="AR14" s="380" t="str">
        <f>Настройки!AC14</f>
        <v>OCCH[4]</v>
      </c>
      <c r="AS14" s="380" t="str">
        <f>Настройки!AD14</f>
        <v>OCCH[4]</v>
      </c>
      <c r="AT14" s="207" t="str">
        <f>Настройки!AB14</f>
        <v>Canal_13</v>
      </c>
      <c r="AU14" s="207" t="str">
        <f>Настройки!AC14</f>
        <v>OCCH[4]</v>
      </c>
      <c r="AV14" s="207" t="str">
        <f>Настройки!AD14</f>
        <v>OCCH[4]</v>
      </c>
      <c r="AW14" s="207" t="str">
        <f>Настройки!AE14</f>
        <v>IANS_7_1</v>
      </c>
      <c r="AX14" s="207" t="str">
        <f>Настройки!AF14</f>
        <v>IDIG_4_1</v>
      </c>
      <c r="AY14" s="207" t="str">
        <f>Настройки!AG14</f>
        <v>Canal_13</v>
      </c>
      <c r="AZ14" s="207" t="str">
        <f>Настройки!AH14</f>
        <v>Canal_13</v>
      </c>
      <c r="BA14" s="207" t="str">
        <f>Настройки!AI14</f>
        <v>Canal_13</v>
      </c>
      <c r="BB14" s="207" t="str">
        <f>Настройки!AJ14</f>
        <v>Canal_13</v>
      </c>
      <c r="BC14" s="207" t="str">
        <f>Настройки!AK14</f>
        <v>-</v>
      </c>
      <c r="BD14" s="207" t="str">
        <f>Настройки!AL14</f>
        <v>Canal_13</v>
      </c>
      <c r="BE14" s="207" t="str">
        <f>Настройки!AM14</f>
        <v>-</v>
      </c>
    </row>
    <row r="15" spans="1:57">
      <c r="A15" s="448"/>
      <c r="B15" s="448"/>
      <c r="C15" s="455"/>
      <c r="D15" s="446"/>
      <c r="E15" s="446"/>
      <c r="F15" s="446"/>
      <c r="G15" s="447"/>
      <c r="H15" s="447"/>
      <c r="I15" s="1"/>
      <c r="M15" s="424" t="str">
        <f>'Конфигурация TREI'!A16</f>
        <v>BR14</v>
      </c>
      <c r="N15" s="424" t="str">
        <f>'Конфигурация TREI'!B16</f>
        <v>M558D</v>
      </c>
      <c r="AE15" s="431">
        <f>Настройки!P15</f>
        <v>14</v>
      </c>
      <c r="AF15" s="380">
        <f>Настройки!Q15</f>
        <v>0</v>
      </c>
      <c r="AG15" s="380" t="str">
        <f>Настройки!R15</f>
        <v>IDIG_7_2</v>
      </c>
      <c r="AH15" s="380" t="str">
        <f>Настройки!S15</f>
        <v>IANS_7_4</v>
      </c>
      <c r="AI15" s="380" t="str">
        <f>Настройки!T15</f>
        <v>out13</v>
      </c>
      <c r="AJ15" s="380" t="str">
        <f>Настройки!U15</f>
        <v>out13</v>
      </c>
      <c r="AK15" s="380" t="str">
        <f>Настройки!V15</f>
        <v>ODIG_14</v>
      </c>
      <c r="AL15" s="380" t="str">
        <f>Настройки!W15</f>
        <v>-</v>
      </c>
      <c r="AM15" s="380" t="str">
        <f>Настройки!X15</f>
        <v>-</v>
      </c>
      <c r="AN15" s="380" t="str">
        <f>Настройки!Y15</f>
        <v>Canal_14</v>
      </c>
      <c r="AO15" s="380" t="str">
        <f>Настройки!Z15</f>
        <v>-</v>
      </c>
      <c r="AP15" s="380" t="str">
        <f>Настройки!AA15</f>
        <v>Canal_14</v>
      </c>
      <c r="AQ15" s="380" t="str">
        <f>Настройки!AB15</f>
        <v>Canal_14</v>
      </c>
      <c r="AR15" s="380" t="str">
        <f>Настройки!AC15</f>
        <v>OCCH[5]</v>
      </c>
      <c r="AS15" s="380" t="str">
        <f>Настройки!AD15</f>
        <v>OCCH[5]</v>
      </c>
      <c r="AT15" s="207" t="str">
        <f>Настройки!AB15</f>
        <v>Canal_14</v>
      </c>
      <c r="AU15" s="207" t="str">
        <f>Настройки!AC15</f>
        <v>OCCH[5]</v>
      </c>
      <c r="AV15" s="207" t="str">
        <f>Настройки!AD15</f>
        <v>OCCH[5]</v>
      </c>
      <c r="AW15" s="207" t="str">
        <f>Настройки!AE15</f>
        <v>IANS_7_2</v>
      </c>
      <c r="AX15" s="207" t="str">
        <f>Настройки!AF15</f>
        <v>IDIG_4_2</v>
      </c>
      <c r="AY15" s="207" t="str">
        <f>Настройки!AG15</f>
        <v>Canal_14</v>
      </c>
      <c r="AZ15" s="207" t="str">
        <f>Настройки!AH15</f>
        <v>Canal_14</v>
      </c>
      <c r="BA15" s="207" t="str">
        <f>Настройки!AI15</f>
        <v>Canal_14</v>
      </c>
      <c r="BB15" s="207" t="str">
        <f>Настройки!AJ15</f>
        <v>Canal_14</v>
      </c>
      <c r="BC15" s="207" t="str">
        <f>Настройки!AK15</f>
        <v>-</v>
      </c>
      <c r="BD15" s="207" t="str">
        <f>Настройки!AL15</f>
        <v>Canal_14</v>
      </c>
      <c r="BE15" s="207" t="str">
        <f>Настройки!AM15</f>
        <v>-</v>
      </c>
    </row>
    <row r="16" spans="1:57">
      <c r="A16" s="448"/>
      <c r="B16" s="448"/>
      <c r="C16" s="455"/>
      <c r="D16" s="446"/>
      <c r="E16" s="446"/>
      <c r="F16" s="446"/>
      <c r="G16" s="447"/>
      <c r="H16" s="447"/>
      <c r="I16" s="1"/>
      <c r="M16" s="424" t="str">
        <f>'Конфигурация TREI'!A17</f>
        <v>BR15</v>
      </c>
      <c r="N16" s="424" t="str">
        <f>'Конфигурация TREI'!B17</f>
        <v>M558O</v>
      </c>
      <c r="AE16" s="431">
        <f>Настройки!P16</f>
        <v>15</v>
      </c>
      <c r="AF16" s="380">
        <f>Настройки!Q16</f>
        <v>0</v>
      </c>
      <c r="AG16" s="380" t="str">
        <f>Настройки!R16</f>
        <v>IDIG_8_1</v>
      </c>
      <c r="AH16" s="380" t="str">
        <f>Настройки!S16</f>
        <v>IANS_8_3</v>
      </c>
      <c r="AI16" s="380" t="str">
        <f>Настройки!T16</f>
        <v>out14</v>
      </c>
      <c r="AJ16" s="380" t="str">
        <f>Настройки!U16</f>
        <v>out14</v>
      </c>
      <c r="AK16" s="380" t="str">
        <f>Настройки!V16</f>
        <v>ODIG_15</v>
      </c>
      <c r="AL16" s="380" t="str">
        <f>Настройки!W16</f>
        <v>-</v>
      </c>
      <c r="AM16" s="380" t="str">
        <f>Настройки!X16</f>
        <v>-</v>
      </c>
      <c r="AN16" s="380" t="str">
        <f>Настройки!Y16</f>
        <v>Canal_15</v>
      </c>
      <c r="AO16" s="380" t="str">
        <f>Настройки!Z16</f>
        <v>-</v>
      </c>
      <c r="AP16" s="380" t="str">
        <f>Настройки!AA16</f>
        <v>Canal_15</v>
      </c>
      <c r="AQ16" s="380" t="str">
        <f>Настройки!AB16</f>
        <v>Canal_15</v>
      </c>
      <c r="AR16" s="380" t="str">
        <f>Настройки!AC16</f>
        <v>OCCH[6]</v>
      </c>
      <c r="AS16" s="380" t="str">
        <f>Настройки!AD16</f>
        <v>OCCH[6]</v>
      </c>
      <c r="AT16" s="207" t="str">
        <f>Настройки!AB16</f>
        <v>Canal_15</v>
      </c>
      <c r="AU16" s="207" t="str">
        <f>Настройки!AC16</f>
        <v>OCCH[6]</v>
      </c>
      <c r="AV16" s="207" t="str">
        <f>Настройки!AD16</f>
        <v>OCCH[6]</v>
      </c>
      <c r="AW16" s="207" t="str">
        <f>Настройки!AE16</f>
        <v>IANS_8_1</v>
      </c>
      <c r="AX16" s="207" t="str">
        <f>Настройки!AF16</f>
        <v>IDIG_4_3</v>
      </c>
      <c r="AY16" s="207" t="str">
        <f>Настройки!AG16</f>
        <v>Canal_15</v>
      </c>
      <c r="AZ16" s="207" t="str">
        <f>Настройки!AH16</f>
        <v>Canal_15</v>
      </c>
      <c r="BA16" s="207" t="str">
        <f>Настройки!AI16</f>
        <v>Canal_15</v>
      </c>
      <c r="BB16" s="207" t="str">
        <f>Настройки!AJ16</f>
        <v>Canal_15</v>
      </c>
      <c r="BC16" s="207" t="str">
        <f>Настройки!AK16</f>
        <v>-</v>
      </c>
      <c r="BD16" s="207" t="str">
        <f>Настройки!AL16</f>
        <v>Canal_15</v>
      </c>
      <c r="BE16" s="207" t="str">
        <f>Настройки!AM16</f>
        <v>-</v>
      </c>
    </row>
    <row r="17" spans="1:57">
      <c r="A17" s="448"/>
      <c r="B17" s="448"/>
      <c r="C17" s="455"/>
      <c r="D17" s="446"/>
      <c r="E17" s="446"/>
      <c r="F17" s="446"/>
      <c r="G17" s="447"/>
      <c r="H17" s="447"/>
      <c r="I17" s="1"/>
      <c r="M17" s="424" t="str">
        <f>'Конфигурация TREI'!A18</f>
        <v>BR16</v>
      </c>
      <c r="N17" s="424" t="str">
        <f>'Конфигурация TREI'!B18</f>
        <v>M558O</v>
      </c>
      <c r="AE17" s="431">
        <f>Настройки!P17</f>
        <v>16</v>
      </c>
      <c r="AF17" s="380">
        <f>Настройки!Q17</f>
        <v>0</v>
      </c>
      <c r="AG17" s="380" t="str">
        <f>Настройки!R17</f>
        <v>IDIG_8_2</v>
      </c>
      <c r="AH17" s="380" t="str">
        <f>Настройки!S17</f>
        <v>IANS_8_4</v>
      </c>
      <c r="AI17" s="380" t="str">
        <f>Настройки!T17</f>
        <v>out15</v>
      </c>
      <c r="AJ17" s="380" t="str">
        <f>Настройки!U17</f>
        <v>out15</v>
      </c>
      <c r="AK17" s="380" t="str">
        <f>Настройки!V17</f>
        <v>ODIG_16</v>
      </c>
      <c r="AL17" s="380" t="str">
        <f>Настройки!W17</f>
        <v>-</v>
      </c>
      <c r="AM17" s="380" t="str">
        <f>Настройки!X17</f>
        <v>-</v>
      </c>
      <c r="AN17" s="380" t="str">
        <f>Настройки!Y17</f>
        <v>Canal_16</v>
      </c>
      <c r="AO17" s="380" t="str">
        <f>Настройки!Z17</f>
        <v>-</v>
      </c>
      <c r="AP17" s="380" t="str">
        <f>Настройки!AA17</f>
        <v>Canal_16</v>
      </c>
      <c r="AQ17" s="380" t="str">
        <f>Настройки!AB17</f>
        <v>Canal_16</v>
      </c>
      <c r="AR17" s="380" t="str">
        <f>Настройки!AC17</f>
        <v>OCCH[7]</v>
      </c>
      <c r="AS17" s="380" t="str">
        <f>Настройки!AD17</f>
        <v>OCCH[7]</v>
      </c>
      <c r="AT17" s="207" t="str">
        <f>Настройки!AB17</f>
        <v>Canal_16</v>
      </c>
      <c r="AU17" s="207" t="str">
        <f>Настройки!AC17</f>
        <v>OCCH[7]</v>
      </c>
      <c r="AV17" s="207" t="str">
        <f>Настройки!AD17</f>
        <v>OCCH[7]</v>
      </c>
      <c r="AW17" s="207" t="str">
        <f>Настройки!AE17</f>
        <v>IANS_8_2</v>
      </c>
      <c r="AX17" s="207" t="str">
        <f>Настройки!AF17</f>
        <v>IDIG_4_4</v>
      </c>
      <c r="AY17" s="207" t="str">
        <f>Настройки!AG17</f>
        <v>Canal_16</v>
      </c>
      <c r="AZ17" s="207" t="str">
        <f>Настройки!AH17</f>
        <v>Canal_16</v>
      </c>
      <c r="BA17" s="207" t="str">
        <f>Настройки!AI17</f>
        <v>Canal_16</v>
      </c>
      <c r="BB17" s="207" t="str">
        <f>Настройки!AJ17</f>
        <v>Canal_16</v>
      </c>
      <c r="BC17" s="207" t="str">
        <f>Настройки!AK17</f>
        <v>-</v>
      </c>
      <c r="BD17" s="207" t="str">
        <f>Настройки!AL17</f>
        <v>Canal_16</v>
      </c>
      <c r="BE17" s="207" t="str">
        <f>Настройки!AM17</f>
        <v>-</v>
      </c>
    </row>
    <row r="18" spans="1:57">
      <c r="A18" s="82"/>
      <c r="B18" s="82"/>
      <c r="C18" s="11"/>
      <c r="D18" s="81"/>
      <c r="E18" s="81"/>
      <c r="F18" s="81"/>
      <c r="G18" s="447"/>
      <c r="H18" s="447"/>
      <c r="I18" s="1"/>
      <c r="M18" s="424" t="str">
        <f>'Конфигурация TREI'!A19</f>
        <v>BR17</v>
      </c>
      <c r="N18" s="424" t="str">
        <f>'Конфигурация TREI'!B19</f>
        <v>M558O</v>
      </c>
      <c r="AE18" s="428">
        <f>Настройки!P18</f>
        <v>17</v>
      </c>
      <c r="AF18" s="380">
        <f>Настройки!Q18</f>
        <v>0</v>
      </c>
      <c r="AG18" s="380" t="str">
        <f>Настройки!R18</f>
        <v>-</v>
      </c>
      <c r="AH18" s="380" t="str">
        <f>Настройки!S18</f>
        <v>-</v>
      </c>
      <c r="AI18" s="380" t="str">
        <f>Настройки!T18</f>
        <v>out16</v>
      </c>
      <c r="AJ18" s="380" t="str">
        <f>Настройки!U18</f>
        <v>out16</v>
      </c>
      <c r="AK18" s="380" t="str">
        <f>Настройки!V18</f>
        <v>-</v>
      </c>
      <c r="AL18" s="380" t="str">
        <f>Настройки!W18</f>
        <v>-</v>
      </c>
      <c r="AM18" s="380" t="str">
        <f>Настройки!X18</f>
        <v>-</v>
      </c>
      <c r="AN18" s="380" t="str">
        <f>Настройки!Y18</f>
        <v>-</v>
      </c>
      <c r="AO18" s="380" t="str">
        <f>Настройки!Z18</f>
        <v>-</v>
      </c>
      <c r="AP18" s="380" t="str">
        <f>Настройки!AA18</f>
        <v>Canal_17</v>
      </c>
      <c r="AQ18" s="380" t="str">
        <f>Настройки!AB18</f>
        <v>Canal_17</v>
      </c>
      <c r="AR18" s="380" t="str">
        <f>Настройки!AC18</f>
        <v>-</v>
      </c>
      <c r="AS18" s="380" t="str">
        <f>Настройки!AD18</f>
        <v>-</v>
      </c>
      <c r="AT18" s="207" t="str">
        <f>Настройки!AB18</f>
        <v>Canal_17</v>
      </c>
      <c r="AU18" s="207" t="str">
        <f>Настройки!AC18</f>
        <v>-</v>
      </c>
      <c r="AV18" s="207" t="str">
        <f>Настройки!AD18</f>
        <v>-</v>
      </c>
      <c r="AW18" s="207" t="str">
        <f>Настройки!AE18</f>
        <v>-</v>
      </c>
      <c r="AX18" s="207" t="str">
        <f>Настройки!AF18</f>
        <v>IDIG_5_1</v>
      </c>
      <c r="AY18" s="207" t="str">
        <f>Настройки!AG18</f>
        <v>Canal_17</v>
      </c>
      <c r="AZ18" s="207" t="str">
        <f>Настройки!AH18</f>
        <v>Canal_17</v>
      </c>
      <c r="BA18" s="207" t="str">
        <f>Настройки!AI18</f>
        <v>Canal_17</v>
      </c>
      <c r="BB18" s="207" t="str">
        <f>Настройки!AJ18</f>
        <v>-</v>
      </c>
      <c r="BC18" s="207" t="str">
        <f>Настройки!AK18</f>
        <v>-</v>
      </c>
      <c r="BD18" s="207" t="str">
        <f>Настройки!AL18</f>
        <v>Canal_17</v>
      </c>
      <c r="BE18" s="207" t="str">
        <f>Настройки!AM18</f>
        <v>-</v>
      </c>
    </row>
    <row r="19" spans="1:57">
      <c r="A19" s="82"/>
      <c r="B19" s="82"/>
      <c r="C19" s="11"/>
      <c r="D19" s="81"/>
      <c r="E19" s="81"/>
      <c r="F19" s="81"/>
      <c r="G19" s="447"/>
      <c r="H19" s="447"/>
      <c r="I19" s="1"/>
      <c r="M19" s="424" t="str">
        <f>'Конфигурация TREI'!A20</f>
        <v>BR18</v>
      </c>
      <c r="N19" s="424" t="str">
        <f>'Конфигурация TREI'!B20</f>
        <v>M558O</v>
      </c>
      <c r="AE19" s="428">
        <f>Настройки!P19</f>
        <v>18</v>
      </c>
      <c r="AF19" s="380">
        <f>Настройки!Q19</f>
        <v>0</v>
      </c>
      <c r="AG19" s="380" t="str">
        <f>Настройки!R19</f>
        <v>-</v>
      </c>
      <c r="AH19" s="380" t="str">
        <f>Настройки!S19</f>
        <v>-</v>
      </c>
      <c r="AI19" s="380" t="str">
        <f>Настройки!T19</f>
        <v>out17</v>
      </c>
      <c r="AJ19" s="380" t="str">
        <f>Настройки!U19</f>
        <v>out17</v>
      </c>
      <c r="AK19" s="380" t="str">
        <f>Настройки!V19</f>
        <v>-</v>
      </c>
      <c r="AL19" s="380" t="str">
        <f>Настройки!W19</f>
        <v>-</v>
      </c>
      <c r="AM19" s="380" t="str">
        <f>Настройки!X19</f>
        <v>-</v>
      </c>
      <c r="AN19" s="380" t="str">
        <f>Настройки!Y19</f>
        <v>-</v>
      </c>
      <c r="AO19" s="380" t="str">
        <f>Настройки!Z19</f>
        <v>-</v>
      </c>
      <c r="AP19" s="380" t="str">
        <f>Настройки!AA19</f>
        <v>Canal_18</v>
      </c>
      <c r="AQ19" s="380" t="str">
        <f>Настройки!AB19</f>
        <v>Canal_18</v>
      </c>
      <c r="AR19" s="380" t="str">
        <f>Настройки!AC19</f>
        <v>-</v>
      </c>
      <c r="AS19" s="380" t="str">
        <f>Настройки!AD19</f>
        <v>-</v>
      </c>
      <c r="AT19" s="207" t="str">
        <f>Настройки!AB19</f>
        <v>Canal_18</v>
      </c>
      <c r="AU19" s="207" t="str">
        <f>Настройки!AC19</f>
        <v>-</v>
      </c>
      <c r="AV19" s="207" t="str">
        <f>Настройки!AD19</f>
        <v>-</v>
      </c>
      <c r="AW19" s="207" t="str">
        <f>Настройки!AE19</f>
        <v>-</v>
      </c>
      <c r="AX19" s="207" t="str">
        <f>Настройки!AF19</f>
        <v>IDIG_5_2</v>
      </c>
      <c r="AY19" s="207" t="str">
        <f>Настройки!AG19</f>
        <v>Canal_18</v>
      </c>
      <c r="AZ19" s="207" t="str">
        <f>Настройки!AH19</f>
        <v>Canal_18</v>
      </c>
      <c r="BA19" s="207" t="str">
        <f>Настройки!AI19</f>
        <v>Canal_18</v>
      </c>
      <c r="BB19" s="207" t="str">
        <f>Настройки!AJ19</f>
        <v>-</v>
      </c>
      <c r="BC19" s="207" t="str">
        <f>Настройки!AK19</f>
        <v>-</v>
      </c>
      <c r="BD19" s="207" t="str">
        <f>Настройки!AL19</f>
        <v>Canal_18</v>
      </c>
      <c r="BE19" s="207" t="str">
        <f>Настройки!AM19</f>
        <v>-</v>
      </c>
    </row>
    <row r="20" spans="1:57">
      <c r="A20" s="82"/>
      <c r="B20" s="82"/>
      <c r="C20" s="11"/>
      <c r="D20" s="81"/>
      <c r="E20" s="81"/>
      <c r="F20" s="81"/>
      <c r="G20" s="447"/>
      <c r="H20" s="447"/>
      <c r="I20" s="1"/>
      <c r="M20" s="424" t="str">
        <f>'Конфигурация TREI'!A21</f>
        <v>BR19</v>
      </c>
      <c r="N20" s="424" t="str">
        <f>'Конфигурация TREI'!B21</f>
        <v>M558O</v>
      </c>
      <c r="AE20" s="428">
        <f>Настройки!P20</f>
        <v>19</v>
      </c>
      <c r="AF20" s="380">
        <f>Настройки!Q20</f>
        <v>0</v>
      </c>
      <c r="AG20" s="380" t="str">
        <f>Настройки!R20</f>
        <v>-</v>
      </c>
      <c r="AH20" s="380" t="str">
        <f>Настройки!S20</f>
        <v>-</v>
      </c>
      <c r="AI20" s="380" t="str">
        <f>Настройки!T20</f>
        <v>out18</v>
      </c>
      <c r="AJ20" s="380" t="str">
        <f>Настройки!U20</f>
        <v>out18</v>
      </c>
      <c r="AK20" s="380" t="str">
        <f>Настройки!V20</f>
        <v>-</v>
      </c>
      <c r="AL20" s="380" t="str">
        <f>Настройки!W20</f>
        <v>-</v>
      </c>
      <c r="AM20" s="380" t="str">
        <f>Настройки!X20</f>
        <v>-</v>
      </c>
      <c r="AN20" s="380" t="str">
        <f>Настройки!Y20</f>
        <v>-</v>
      </c>
      <c r="AO20" s="380" t="str">
        <f>Настройки!Z20</f>
        <v>-</v>
      </c>
      <c r="AP20" s="380" t="str">
        <f>Настройки!AA20</f>
        <v>Canal_19</v>
      </c>
      <c r="AQ20" s="380" t="str">
        <f>Настройки!AB20</f>
        <v>Canal_19</v>
      </c>
      <c r="AR20" s="380" t="str">
        <f>Настройки!AC20</f>
        <v>-</v>
      </c>
      <c r="AS20" s="380" t="str">
        <f>Настройки!AD20</f>
        <v>-</v>
      </c>
      <c r="AT20" s="207" t="str">
        <f>Настройки!AB20</f>
        <v>Canal_19</v>
      </c>
      <c r="AU20" s="207" t="str">
        <f>Настройки!AC20</f>
        <v>-</v>
      </c>
      <c r="AV20" s="207" t="str">
        <f>Настройки!AD20</f>
        <v>-</v>
      </c>
      <c r="AW20" s="207" t="str">
        <f>Настройки!AE20</f>
        <v>-</v>
      </c>
      <c r="AX20" s="207" t="str">
        <f>Настройки!AF20</f>
        <v>IDIG_5_3</v>
      </c>
      <c r="AY20" s="207" t="str">
        <f>Настройки!AG20</f>
        <v>Canal_19</v>
      </c>
      <c r="AZ20" s="207" t="str">
        <f>Настройки!AH20</f>
        <v>Canal_19</v>
      </c>
      <c r="BA20" s="207" t="str">
        <f>Настройки!AI20</f>
        <v>Canal_19</v>
      </c>
      <c r="BB20" s="207" t="str">
        <f>Настройки!AJ20</f>
        <v>-</v>
      </c>
      <c r="BC20" s="207" t="str">
        <f>Настройки!AK20</f>
        <v>-</v>
      </c>
      <c r="BD20" s="207" t="str">
        <f>Настройки!AL20</f>
        <v>Canal_19</v>
      </c>
      <c r="BE20" s="207" t="str">
        <f>Настройки!AM20</f>
        <v>-</v>
      </c>
    </row>
    <row r="21" spans="1:57">
      <c r="A21" s="82"/>
      <c r="B21" s="82"/>
      <c r="C21" s="11"/>
      <c r="D21" s="81"/>
      <c r="E21" s="81"/>
      <c r="F21" s="81"/>
      <c r="G21" s="447"/>
      <c r="H21" s="447"/>
      <c r="I21" s="1"/>
      <c r="M21" s="424" t="str">
        <f>'Конфигурация TREI'!A22</f>
        <v>BR20</v>
      </c>
      <c r="N21" s="424" t="str">
        <f>'Конфигурация TREI'!B22</f>
        <v>M558D</v>
      </c>
      <c r="AE21" s="428">
        <f>Настройки!P21</f>
        <v>20</v>
      </c>
      <c r="AF21" s="380">
        <f>Настройки!Q21</f>
        <v>0</v>
      </c>
      <c r="AG21" s="380" t="str">
        <f>Настройки!R21</f>
        <v>-</v>
      </c>
      <c r="AH21" s="380" t="str">
        <f>Настройки!S21</f>
        <v>-</v>
      </c>
      <c r="AI21" s="380" t="str">
        <f>Настройки!T21</f>
        <v>out19</v>
      </c>
      <c r="AJ21" s="380" t="str">
        <f>Настройки!U21</f>
        <v>out19</v>
      </c>
      <c r="AK21" s="380" t="str">
        <f>Настройки!V21</f>
        <v>-</v>
      </c>
      <c r="AL21" s="380" t="str">
        <f>Настройки!W21</f>
        <v>-</v>
      </c>
      <c r="AM21" s="380" t="str">
        <f>Настройки!X21</f>
        <v>-</v>
      </c>
      <c r="AN21" s="380" t="str">
        <f>Настройки!Y21</f>
        <v>-</v>
      </c>
      <c r="AO21" s="380" t="str">
        <f>Настройки!Z21</f>
        <v>-</v>
      </c>
      <c r="AP21" s="380" t="str">
        <f>Настройки!AA21</f>
        <v>Canal_20</v>
      </c>
      <c r="AQ21" s="380" t="str">
        <f>Настройки!AB21</f>
        <v>Canal_20</v>
      </c>
      <c r="AR21" s="380" t="str">
        <f>Настройки!AC21</f>
        <v>-</v>
      </c>
      <c r="AS21" s="380" t="str">
        <f>Настройки!AD21</f>
        <v>-</v>
      </c>
      <c r="AT21" s="207" t="str">
        <f>Настройки!AB21</f>
        <v>Canal_20</v>
      </c>
      <c r="AU21" s="207" t="str">
        <f>Настройки!AC21</f>
        <v>-</v>
      </c>
      <c r="AV21" s="207" t="str">
        <f>Настройки!AD21</f>
        <v>-</v>
      </c>
      <c r="AW21" s="207" t="str">
        <f>Настройки!AE21</f>
        <v>-</v>
      </c>
      <c r="AX21" s="207" t="str">
        <f>Настройки!AF21</f>
        <v>IDIG_5_4</v>
      </c>
      <c r="AY21" s="207" t="str">
        <f>Настройки!AG21</f>
        <v>Canal_20</v>
      </c>
      <c r="AZ21" s="207" t="str">
        <f>Настройки!AH21</f>
        <v>Canal_20</v>
      </c>
      <c r="BA21" s="207" t="str">
        <f>Настройки!AI21</f>
        <v>Canal_20</v>
      </c>
      <c r="BB21" s="207" t="str">
        <f>Настройки!AJ21</f>
        <v>-</v>
      </c>
      <c r="BC21" s="207" t="str">
        <f>Настройки!AK21</f>
        <v>-</v>
      </c>
      <c r="BD21" s="207" t="str">
        <f>Настройки!AL21</f>
        <v>Canal_20</v>
      </c>
      <c r="BE21" s="207" t="str">
        <f>Настройки!AM21</f>
        <v>-</v>
      </c>
    </row>
    <row r="22" spans="1:57">
      <c r="A22" s="82"/>
      <c r="B22" s="82"/>
      <c r="C22" s="11"/>
      <c r="D22" s="81"/>
      <c r="E22" s="81"/>
      <c r="F22" s="81"/>
      <c r="G22" s="447"/>
      <c r="H22" s="447"/>
      <c r="I22" s="1"/>
      <c r="M22" s="424" t="str">
        <f>'Конфигурация TREI'!A23</f>
        <v>BR21</v>
      </c>
      <c r="N22" s="424" t="str">
        <f>'Конфигурация TREI'!B23</f>
        <v>M558O</v>
      </c>
      <c r="AE22" s="428">
        <f>Настройки!P22</f>
        <v>21</v>
      </c>
      <c r="AF22" s="380">
        <f>Настройки!Q22</f>
        <v>0</v>
      </c>
      <c r="AG22" s="380" t="str">
        <f>Настройки!R22</f>
        <v>-</v>
      </c>
      <c r="AH22" s="380" t="str">
        <f>Настройки!S22</f>
        <v>-</v>
      </c>
      <c r="AI22" s="380" t="str">
        <f>Настройки!T22</f>
        <v>out20</v>
      </c>
      <c r="AJ22" s="380" t="str">
        <f>Настройки!U22</f>
        <v>out20</v>
      </c>
      <c r="AK22" s="380" t="str">
        <f>Настройки!V22</f>
        <v>-</v>
      </c>
      <c r="AL22" s="380" t="str">
        <f>Настройки!W22</f>
        <v>-</v>
      </c>
      <c r="AM22" s="380" t="str">
        <f>Настройки!X22</f>
        <v>-</v>
      </c>
      <c r="AN22" s="380" t="str">
        <f>Настройки!Y22</f>
        <v>-</v>
      </c>
      <c r="AO22" s="380" t="str">
        <f>Настройки!Z22</f>
        <v>-</v>
      </c>
      <c r="AP22" s="380" t="str">
        <f>Настройки!AA22</f>
        <v>Canal_21</v>
      </c>
      <c r="AQ22" s="380" t="str">
        <f>Настройки!AB22</f>
        <v>Canal_21</v>
      </c>
      <c r="AR22" s="380" t="str">
        <f>Настройки!AC22</f>
        <v>-</v>
      </c>
      <c r="AS22" s="380" t="str">
        <f>Настройки!AD22</f>
        <v>-</v>
      </c>
      <c r="AT22" s="207" t="str">
        <f>Настройки!AB22</f>
        <v>Canal_21</v>
      </c>
      <c r="AU22" s="207" t="str">
        <f>Настройки!AC22</f>
        <v>-</v>
      </c>
      <c r="AV22" s="207" t="str">
        <f>Настройки!AD22</f>
        <v>-</v>
      </c>
      <c r="AW22" s="207" t="str">
        <f>Настройки!AE22</f>
        <v>-</v>
      </c>
      <c r="AX22" s="207" t="str">
        <f>Настройки!AF22</f>
        <v>IDIG_6_1</v>
      </c>
      <c r="AY22" s="207" t="str">
        <f>Настройки!AG22</f>
        <v>Canal_21</v>
      </c>
      <c r="AZ22" s="207" t="str">
        <f>Настройки!AH22</f>
        <v>Canal_21</v>
      </c>
      <c r="BA22" s="207" t="str">
        <f>Настройки!AI22</f>
        <v>Canal_21</v>
      </c>
      <c r="BB22" s="207" t="str">
        <f>Настройки!AJ22</f>
        <v>-</v>
      </c>
      <c r="BC22" s="207" t="str">
        <f>Настройки!AK22</f>
        <v>-</v>
      </c>
      <c r="BD22" s="207" t="str">
        <f>Настройки!AL22</f>
        <v>Canal_21</v>
      </c>
      <c r="BE22" s="207" t="str">
        <f>Настройки!AM22</f>
        <v>-</v>
      </c>
    </row>
    <row r="23" spans="1:57">
      <c r="A23" s="82"/>
      <c r="B23" s="82"/>
      <c r="C23" s="11"/>
      <c r="D23" s="81"/>
      <c r="E23" s="81"/>
      <c r="F23" s="81"/>
      <c r="G23" s="447"/>
      <c r="H23" s="447"/>
      <c r="I23" s="1"/>
      <c r="M23" s="424" t="str">
        <f>'Конфигурация TREI'!A24</f>
        <v>BR22</v>
      </c>
      <c r="N23" s="424" t="str">
        <f>'Конфигурация TREI'!B24</f>
        <v>M558D</v>
      </c>
      <c r="AE23" s="428">
        <f>Настройки!P23</f>
        <v>22</v>
      </c>
      <c r="AF23" s="380">
        <f>Настройки!Q23</f>
        <v>0</v>
      </c>
      <c r="AG23" s="380" t="str">
        <f>Настройки!R23</f>
        <v>-</v>
      </c>
      <c r="AH23" s="380" t="str">
        <f>Настройки!S23</f>
        <v>-</v>
      </c>
      <c r="AI23" s="380" t="str">
        <f>Настройки!T23</f>
        <v>out21</v>
      </c>
      <c r="AJ23" s="380" t="str">
        <f>Настройки!U23</f>
        <v>out21</v>
      </c>
      <c r="AK23" s="380" t="str">
        <f>Настройки!V23</f>
        <v>-</v>
      </c>
      <c r="AL23" s="380" t="str">
        <f>Настройки!W23</f>
        <v>-</v>
      </c>
      <c r="AM23" s="380" t="str">
        <f>Настройки!X23</f>
        <v>-</v>
      </c>
      <c r="AN23" s="380" t="str">
        <f>Настройки!Y23</f>
        <v>-</v>
      </c>
      <c r="AO23" s="380" t="str">
        <f>Настройки!Z23</f>
        <v>-</v>
      </c>
      <c r="AP23" s="380" t="str">
        <f>Настройки!AA23</f>
        <v>Canal_22</v>
      </c>
      <c r="AQ23" s="380" t="str">
        <f>Настройки!AB23</f>
        <v>Canal_22</v>
      </c>
      <c r="AR23" s="380" t="str">
        <f>Настройки!AC23</f>
        <v>-</v>
      </c>
      <c r="AS23" s="380" t="str">
        <f>Настройки!AD23</f>
        <v>-</v>
      </c>
      <c r="AT23" s="207" t="str">
        <f>Настройки!AB23</f>
        <v>Canal_22</v>
      </c>
      <c r="AU23" s="207" t="str">
        <f>Настройки!AC23</f>
        <v>-</v>
      </c>
      <c r="AV23" s="207" t="str">
        <f>Настройки!AD23</f>
        <v>-</v>
      </c>
      <c r="AW23" s="207" t="str">
        <f>Настройки!AE23</f>
        <v>-</v>
      </c>
      <c r="AX23" s="207" t="str">
        <f>Настройки!AF23</f>
        <v>IDIG_6_2</v>
      </c>
      <c r="AY23" s="207" t="str">
        <f>Настройки!AG23</f>
        <v>Canal_22</v>
      </c>
      <c r="AZ23" s="207" t="str">
        <f>Настройки!AH23</f>
        <v>Canal_22</v>
      </c>
      <c r="BA23" s="207" t="str">
        <f>Настройки!AI23</f>
        <v>Canal_22</v>
      </c>
      <c r="BB23" s="207" t="str">
        <f>Настройки!AJ23</f>
        <v>-</v>
      </c>
      <c r="BC23" s="207" t="str">
        <f>Настройки!AK23</f>
        <v>-</v>
      </c>
      <c r="BD23" s="207" t="str">
        <f>Настройки!AL23</f>
        <v>Canal_22</v>
      </c>
      <c r="BE23" s="207" t="str">
        <f>Настройки!AM23</f>
        <v>-</v>
      </c>
    </row>
    <row r="24" spans="1:57">
      <c r="A24" s="82"/>
      <c r="B24" s="82"/>
      <c r="C24" s="11"/>
      <c r="D24" s="81"/>
      <c r="E24" s="81"/>
      <c r="F24" s="81"/>
      <c r="G24" s="447"/>
      <c r="H24" s="447"/>
      <c r="I24" s="1"/>
      <c r="M24" s="424" t="str">
        <f>'Конфигурация TREI'!A25</f>
        <v>BR23</v>
      </c>
      <c r="N24" s="424" t="str">
        <f>'Конфигурация TREI'!B25</f>
        <v>M558O</v>
      </c>
      <c r="AE24" s="428">
        <f>Настройки!P24</f>
        <v>23</v>
      </c>
      <c r="AF24" s="380">
        <f>Настройки!Q24</f>
        <v>0</v>
      </c>
      <c r="AG24" s="380" t="str">
        <f>Настройки!R24</f>
        <v>-</v>
      </c>
      <c r="AH24" s="380" t="str">
        <f>Настройки!S24</f>
        <v>-</v>
      </c>
      <c r="AI24" s="380" t="str">
        <f>Настройки!T24</f>
        <v>out22</v>
      </c>
      <c r="AJ24" s="380" t="str">
        <f>Настройки!U24</f>
        <v>out22</v>
      </c>
      <c r="AK24" s="380" t="str">
        <f>Настройки!V24</f>
        <v>-</v>
      </c>
      <c r="AL24" s="380" t="str">
        <f>Настройки!W24</f>
        <v>-</v>
      </c>
      <c r="AM24" s="380" t="str">
        <f>Настройки!X24</f>
        <v>-</v>
      </c>
      <c r="AN24" s="380" t="str">
        <f>Настройки!Y24</f>
        <v>-</v>
      </c>
      <c r="AO24" s="380" t="str">
        <f>Настройки!Z24</f>
        <v>-</v>
      </c>
      <c r="AP24" s="380" t="str">
        <f>Настройки!AA24</f>
        <v>Canal_23</v>
      </c>
      <c r="AQ24" s="380" t="str">
        <f>Настройки!AB24</f>
        <v>Canal_23</v>
      </c>
      <c r="AR24" s="380" t="str">
        <f>Настройки!AC24</f>
        <v>-</v>
      </c>
      <c r="AS24" s="380" t="str">
        <f>Настройки!AD24</f>
        <v>-</v>
      </c>
      <c r="AT24" s="207" t="str">
        <f>Настройки!AB24</f>
        <v>Canal_23</v>
      </c>
      <c r="AU24" s="207" t="str">
        <f>Настройки!AC24</f>
        <v>-</v>
      </c>
      <c r="AV24" s="207" t="str">
        <f>Настройки!AD24</f>
        <v>-</v>
      </c>
      <c r="AW24" s="207" t="str">
        <f>Настройки!AE24</f>
        <v>-</v>
      </c>
      <c r="AX24" s="207" t="str">
        <f>Настройки!AF24</f>
        <v>IDIG_6_3</v>
      </c>
      <c r="AY24" s="207" t="str">
        <f>Настройки!AG24</f>
        <v>Canal_23</v>
      </c>
      <c r="AZ24" s="207" t="str">
        <f>Настройки!AH24</f>
        <v>Canal_23</v>
      </c>
      <c r="BA24" s="207" t="str">
        <f>Настройки!AI24</f>
        <v>Canal_23</v>
      </c>
      <c r="BB24" s="207" t="str">
        <f>Настройки!AJ24</f>
        <v>-</v>
      </c>
      <c r="BC24" s="207" t="str">
        <f>Настройки!AK24</f>
        <v>-</v>
      </c>
      <c r="BD24" s="207" t="str">
        <f>Настройки!AL24</f>
        <v>Canal_23</v>
      </c>
      <c r="BE24" s="207" t="str">
        <f>Настройки!AM24</f>
        <v>-</v>
      </c>
    </row>
    <row r="25" spans="1:57">
      <c r="A25" s="82"/>
      <c r="B25" s="82"/>
      <c r="C25" s="11"/>
      <c r="D25" s="81"/>
      <c r="E25" s="81"/>
      <c r="F25" s="81"/>
      <c r="G25" s="447"/>
      <c r="H25" s="447"/>
      <c r="I25" s="1"/>
      <c r="M25" s="424" t="str">
        <f>'Конфигурация TREI'!A26</f>
        <v>BR24</v>
      </c>
      <c r="N25" s="424" t="str">
        <f>'Конфигурация TREI'!B26</f>
        <v>M558D</v>
      </c>
      <c r="AE25" s="428">
        <f>Настройки!P25</f>
        <v>24</v>
      </c>
      <c r="AF25" s="380">
        <f>Настройки!Q25</f>
        <v>0</v>
      </c>
      <c r="AG25" s="380" t="str">
        <f>Настройки!R25</f>
        <v>-</v>
      </c>
      <c r="AH25" s="380" t="str">
        <f>Настройки!S25</f>
        <v>-</v>
      </c>
      <c r="AI25" s="380" t="str">
        <f>Настройки!T25</f>
        <v>out23</v>
      </c>
      <c r="AJ25" s="380" t="str">
        <f>Настройки!U25</f>
        <v>out23</v>
      </c>
      <c r="AK25" s="380" t="str">
        <f>Настройки!V25</f>
        <v>-</v>
      </c>
      <c r="AL25" s="380" t="str">
        <f>Настройки!W25</f>
        <v>-</v>
      </c>
      <c r="AM25" s="380" t="str">
        <f>Настройки!X25</f>
        <v>-</v>
      </c>
      <c r="AN25" s="380" t="str">
        <f>Настройки!Y25</f>
        <v>-</v>
      </c>
      <c r="AO25" s="380" t="str">
        <f>Настройки!Z25</f>
        <v>-</v>
      </c>
      <c r="AP25" s="380" t="str">
        <f>Настройки!AA25</f>
        <v>Canal_24</v>
      </c>
      <c r="AQ25" s="380" t="str">
        <f>Настройки!AB25</f>
        <v>Canal_24</v>
      </c>
      <c r="AR25" s="380" t="str">
        <f>Настройки!AC25</f>
        <v>-</v>
      </c>
      <c r="AS25" s="380" t="str">
        <f>Настройки!AD25</f>
        <v>-</v>
      </c>
      <c r="AT25" s="207" t="str">
        <f>Настройки!AB25</f>
        <v>Canal_24</v>
      </c>
      <c r="AU25" s="207" t="str">
        <f>Настройки!AC25</f>
        <v>-</v>
      </c>
      <c r="AV25" s="207" t="str">
        <f>Настройки!AD25</f>
        <v>-</v>
      </c>
      <c r="AW25" s="207" t="str">
        <f>Настройки!AE25</f>
        <v>-</v>
      </c>
      <c r="AX25" s="207" t="str">
        <f>Настройки!AF25</f>
        <v>IDIG_6_4</v>
      </c>
      <c r="AY25" s="207" t="str">
        <f>Настройки!AG25</f>
        <v>Canal_24</v>
      </c>
      <c r="AZ25" s="207" t="str">
        <f>Настройки!AH25</f>
        <v>Canal_24</v>
      </c>
      <c r="BA25" s="207" t="str">
        <f>Настройки!AI25</f>
        <v>Canal_24</v>
      </c>
      <c r="BB25" s="207" t="str">
        <f>Настройки!AJ25</f>
        <v>-</v>
      </c>
      <c r="BC25" s="207" t="str">
        <f>Настройки!AK25</f>
        <v>-</v>
      </c>
      <c r="BD25" s="207" t="str">
        <f>Настройки!AL25</f>
        <v>Canal_24</v>
      </c>
      <c r="BE25" s="207" t="str">
        <f>Настройки!AM25</f>
        <v>-</v>
      </c>
    </row>
    <row r="26" spans="1:57">
      <c r="A26" s="82"/>
      <c r="B26" s="82"/>
      <c r="C26" s="11"/>
      <c r="D26" s="81"/>
      <c r="E26" s="81"/>
      <c r="F26" s="81"/>
      <c r="G26" s="447"/>
      <c r="H26" s="447"/>
      <c r="I26" s="1"/>
      <c r="M26" s="424" t="str">
        <f>'Конфигурация TREI'!A27</f>
        <v>BR25</v>
      </c>
      <c r="N26" s="424" t="str">
        <f>'Конфигурация TREI'!B27</f>
        <v>M558D</v>
      </c>
      <c r="AE26" s="428">
        <f>Настройки!P26</f>
        <v>25</v>
      </c>
      <c r="AF26" s="380">
        <f>Настройки!Q26</f>
        <v>0</v>
      </c>
      <c r="AG26" s="380" t="str">
        <f>Настройки!R26</f>
        <v>-</v>
      </c>
      <c r="AH26" s="380" t="str">
        <f>Настройки!S26</f>
        <v>-</v>
      </c>
      <c r="AI26" s="380" t="str">
        <f>Настройки!T26</f>
        <v>out24</v>
      </c>
      <c r="AJ26" s="380" t="str">
        <f>Настройки!U26</f>
        <v>out24</v>
      </c>
      <c r="AK26" s="380" t="str">
        <f>Настройки!V26</f>
        <v>-</v>
      </c>
      <c r="AL26" s="380" t="str">
        <f>Настройки!W26</f>
        <v>-</v>
      </c>
      <c r="AM26" s="380" t="str">
        <f>Настройки!X26</f>
        <v>-</v>
      </c>
      <c r="AN26" s="380" t="str">
        <f>Настройки!Y26</f>
        <v>-</v>
      </c>
      <c r="AO26" s="380" t="str">
        <f>Настройки!Z26</f>
        <v>-</v>
      </c>
      <c r="AP26" s="380" t="str">
        <f>Настройки!AA26</f>
        <v>Canal_25</v>
      </c>
      <c r="AQ26" s="380" t="str">
        <f>Настройки!AB26</f>
        <v>Canal_25</v>
      </c>
      <c r="AR26" s="380" t="str">
        <f>Настройки!AC26</f>
        <v>-</v>
      </c>
      <c r="AS26" s="380" t="str">
        <f>Настройки!AD26</f>
        <v>-</v>
      </c>
      <c r="AT26" s="207" t="str">
        <f>Настройки!AB26</f>
        <v>Canal_25</v>
      </c>
      <c r="AU26" s="207" t="str">
        <f>Настройки!AC26</f>
        <v>-</v>
      </c>
      <c r="AV26" s="207" t="str">
        <f>Настройки!AD26</f>
        <v>-</v>
      </c>
      <c r="AW26" s="207" t="str">
        <f>Настройки!AE26</f>
        <v>-</v>
      </c>
      <c r="AX26" s="207" t="str">
        <f>Настройки!AF26</f>
        <v>IDIG_7_1</v>
      </c>
      <c r="AY26" s="207" t="str">
        <f>Настройки!AG26</f>
        <v>Canal_25</v>
      </c>
      <c r="AZ26" s="207" t="str">
        <f>Настройки!AH26</f>
        <v>Canal_25</v>
      </c>
      <c r="BA26" s="207" t="str">
        <f>Настройки!AI26</f>
        <v>Canal_25</v>
      </c>
      <c r="BB26" s="207" t="str">
        <f>Настройки!AJ26</f>
        <v>-</v>
      </c>
      <c r="BC26" s="207" t="str">
        <f>Настройки!AK26</f>
        <v>-</v>
      </c>
      <c r="BD26" s="207" t="str">
        <f>Настройки!AL26</f>
        <v>Canal_25</v>
      </c>
      <c r="BE26" s="207" t="str">
        <f>Настройки!AM26</f>
        <v>-</v>
      </c>
    </row>
    <row r="27" spans="1:57">
      <c r="A27" s="82"/>
      <c r="B27" s="82"/>
      <c r="C27" s="11"/>
      <c r="D27" s="81"/>
      <c r="E27" s="81"/>
      <c r="F27" s="81"/>
      <c r="G27" s="447"/>
      <c r="H27" s="447"/>
      <c r="I27" s="1"/>
      <c r="M27" s="424" t="str">
        <f>'Конфигурация TREI'!A28</f>
        <v>BR26</v>
      </c>
      <c r="N27" s="424" t="str">
        <f>'Конфигурация TREI'!B28</f>
        <v>M558D</v>
      </c>
      <c r="AE27" s="428">
        <f>Настройки!P27</f>
        <v>26</v>
      </c>
      <c r="AF27" s="380">
        <f>Настройки!Q27</f>
        <v>0</v>
      </c>
      <c r="AG27" s="380" t="str">
        <f>Настройки!R27</f>
        <v>-</v>
      </c>
      <c r="AH27" s="380" t="str">
        <f>Настройки!S27</f>
        <v>-</v>
      </c>
      <c r="AI27" s="380" t="str">
        <f>Настройки!T27</f>
        <v>out25</v>
      </c>
      <c r="AJ27" s="380" t="str">
        <f>Настройки!U27</f>
        <v>out25</v>
      </c>
      <c r="AK27" s="380" t="str">
        <f>Настройки!V27</f>
        <v>-</v>
      </c>
      <c r="AL27" s="380" t="str">
        <f>Настройки!W27</f>
        <v>-</v>
      </c>
      <c r="AM27" s="380" t="str">
        <f>Настройки!X27</f>
        <v>-</v>
      </c>
      <c r="AN27" s="380" t="str">
        <f>Настройки!Y27</f>
        <v>-</v>
      </c>
      <c r="AO27" s="380" t="str">
        <f>Настройки!Z27</f>
        <v>-</v>
      </c>
      <c r="AP27" s="380" t="str">
        <f>Настройки!AA27</f>
        <v>Canal_26</v>
      </c>
      <c r="AQ27" s="380" t="str">
        <f>Настройки!AB27</f>
        <v>Canal_26</v>
      </c>
      <c r="AR27" s="380" t="str">
        <f>Настройки!AC27</f>
        <v>-</v>
      </c>
      <c r="AS27" s="380" t="str">
        <f>Настройки!AD27</f>
        <v>-</v>
      </c>
      <c r="AT27" s="207" t="str">
        <f>Настройки!AB27</f>
        <v>Canal_26</v>
      </c>
      <c r="AU27" s="207" t="str">
        <f>Настройки!AC27</f>
        <v>-</v>
      </c>
      <c r="AV27" s="207" t="str">
        <f>Настройки!AD27</f>
        <v>-</v>
      </c>
      <c r="AW27" s="207" t="str">
        <f>Настройки!AE27</f>
        <v>-</v>
      </c>
      <c r="AX27" s="207" t="str">
        <f>Настройки!AF27</f>
        <v>IDIG_7_2</v>
      </c>
      <c r="AY27" s="207" t="str">
        <f>Настройки!AG27</f>
        <v>Canal_26</v>
      </c>
      <c r="AZ27" s="207" t="str">
        <f>Настройки!AH27</f>
        <v>Canal_26</v>
      </c>
      <c r="BA27" s="207" t="str">
        <f>Настройки!AI27</f>
        <v>Canal_26</v>
      </c>
      <c r="BB27" s="207" t="str">
        <f>Настройки!AJ27</f>
        <v>-</v>
      </c>
      <c r="BC27" s="207" t="str">
        <f>Настройки!AK27</f>
        <v>-</v>
      </c>
      <c r="BD27" s="207" t="str">
        <f>Настройки!AL27</f>
        <v>Canal_26</v>
      </c>
      <c r="BE27" s="207" t="str">
        <f>Настройки!AM27</f>
        <v>-</v>
      </c>
    </row>
    <row r="28" spans="1:57">
      <c r="A28" s="82"/>
      <c r="B28" s="82"/>
      <c r="C28" s="11"/>
      <c r="D28" s="81"/>
      <c r="E28" s="81"/>
      <c r="F28" s="81"/>
      <c r="G28" s="447"/>
      <c r="H28" s="447"/>
      <c r="I28" s="1"/>
      <c r="M28" s="424" t="str">
        <f>'Конфигурация TREI'!A29</f>
        <v>BR27</v>
      </c>
      <c r="N28" s="424" t="str">
        <f>'Конфигурация TREI'!B29</f>
        <v>M558D</v>
      </c>
      <c r="AE28" s="428">
        <f>Настройки!P28</f>
        <v>27</v>
      </c>
      <c r="AF28" s="380">
        <f>Настройки!Q28</f>
        <v>0</v>
      </c>
      <c r="AG28" s="380" t="str">
        <f>Настройки!R28</f>
        <v>-</v>
      </c>
      <c r="AH28" s="380" t="str">
        <f>Настройки!S28</f>
        <v>-</v>
      </c>
      <c r="AI28" s="380" t="str">
        <f>Настройки!T28</f>
        <v>out26</v>
      </c>
      <c r="AJ28" s="380" t="str">
        <f>Настройки!U28</f>
        <v>out26</v>
      </c>
      <c r="AK28" s="380" t="str">
        <f>Настройки!V28</f>
        <v>-</v>
      </c>
      <c r="AL28" s="380" t="str">
        <f>Настройки!W28</f>
        <v>-</v>
      </c>
      <c r="AM28" s="380" t="str">
        <f>Настройки!X28</f>
        <v>-</v>
      </c>
      <c r="AN28" s="380" t="str">
        <f>Настройки!Y28</f>
        <v>-</v>
      </c>
      <c r="AO28" s="380" t="str">
        <f>Настройки!Z28</f>
        <v>-</v>
      </c>
      <c r="AP28" s="380" t="str">
        <f>Настройки!AA28</f>
        <v>Canal_27</v>
      </c>
      <c r="AQ28" s="380" t="str">
        <f>Настройки!AB28</f>
        <v>Canal_27</v>
      </c>
      <c r="AR28" s="380" t="str">
        <f>Настройки!AC28</f>
        <v>-</v>
      </c>
      <c r="AS28" s="380" t="str">
        <f>Настройки!AD28</f>
        <v>-</v>
      </c>
      <c r="AT28" s="207" t="str">
        <f>Настройки!AB28</f>
        <v>Canal_27</v>
      </c>
      <c r="AU28" s="207" t="str">
        <f>Настройки!AC28</f>
        <v>-</v>
      </c>
      <c r="AV28" s="207" t="str">
        <f>Настройки!AD28</f>
        <v>-</v>
      </c>
      <c r="AW28" s="207" t="str">
        <f>Настройки!AE28</f>
        <v>-</v>
      </c>
      <c r="AX28" s="207" t="str">
        <f>Настройки!AF28</f>
        <v>IDIG_7_3</v>
      </c>
      <c r="AY28" s="207" t="str">
        <f>Настройки!AG28</f>
        <v>Canal_27</v>
      </c>
      <c r="AZ28" s="207" t="str">
        <f>Настройки!AH28</f>
        <v>Canal_27</v>
      </c>
      <c r="BA28" s="207" t="str">
        <f>Настройки!AI28</f>
        <v>Canal_27</v>
      </c>
      <c r="BB28" s="207" t="str">
        <f>Настройки!AJ28</f>
        <v>-</v>
      </c>
      <c r="BC28" s="207" t="str">
        <f>Настройки!AK28</f>
        <v>-</v>
      </c>
      <c r="BD28" s="207" t="str">
        <f>Настройки!AL28</f>
        <v>Canal_27</v>
      </c>
      <c r="BE28" s="207" t="str">
        <f>Настройки!AM28</f>
        <v>-</v>
      </c>
    </row>
    <row r="29" spans="1:57">
      <c r="A29" s="82"/>
      <c r="B29" s="82"/>
      <c r="C29" s="11"/>
      <c r="D29" s="81"/>
      <c r="E29" s="81"/>
      <c r="F29" s="81"/>
      <c r="G29" s="447"/>
      <c r="H29" s="447"/>
      <c r="I29" s="1"/>
      <c r="M29" s="424" t="str">
        <f>'Конфигурация TREI'!A30</f>
        <v>BR28</v>
      </c>
      <c r="N29" s="424" t="str">
        <f>'Конфигурация TREI'!B30</f>
        <v>M558D</v>
      </c>
      <c r="AE29" s="428">
        <f>Настройки!P29</f>
        <v>28</v>
      </c>
      <c r="AF29" s="380">
        <f>Настройки!Q29</f>
        <v>0</v>
      </c>
      <c r="AG29" s="380" t="str">
        <f>Настройки!R29</f>
        <v>-</v>
      </c>
      <c r="AH29" s="380" t="str">
        <f>Настройки!S29</f>
        <v>-</v>
      </c>
      <c r="AI29" s="380" t="str">
        <f>Настройки!T29</f>
        <v>out27</v>
      </c>
      <c r="AJ29" s="380" t="str">
        <f>Настройки!U29</f>
        <v>out27</v>
      </c>
      <c r="AK29" s="380" t="str">
        <f>Настройки!V29</f>
        <v>-</v>
      </c>
      <c r="AL29" s="380" t="str">
        <f>Настройки!W29</f>
        <v>-</v>
      </c>
      <c r="AM29" s="380" t="str">
        <f>Настройки!X29</f>
        <v>-</v>
      </c>
      <c r="AN29" s="380" t="str">
        <f>Настройки!Y29</f>
        <v>-</v>
      </c>
      <c r="AO29" s="380" t="str">
        <f>Настройки!Z29</f>
        <v>-</v>
      </c>
      <c r="AP29" s="380" t="str">
        <f>Настройки!AA29</f>
        <v>Canal_28</v>
      </c>
      <c r="AQ29" s="380" t="str">
        <f>Настройки!AB29</f>
        <v>Canal_28</v>
      </c>
      <c r="AR29" s="380" t="str">
        <f>Настройки!AC29</f>
        <v>-</v>
      </c>
      <c r="AS29" s="380" t="str">
        <f>Настройки!AD29</f>
        <v>-</v>
      </c>
      <c r="AT29" s="207" t="str">
        <f>Настройки!AB29</f>
        <v>Canal_28</v>
      </c>
      <c r="AU29" s="207" t="str">
        <f>Настройки!AC29</f>
        <v>-</v>
      </c>
      <c r="AV29" s="207" t="str">
        <f>Настройки!AD29</f>
        <v>-</v>
      </c>
      <c r="AW29" s="207" t="str">
        <f>Настройки!AE29</f>
        <v>-</v>
      </c>
      <c r="AX29" s="207" t="str">
        <f>Настройки!AF29</f>
        <v>IDIG_7_4</v>
      </c>
      <c r="AY29" s="207" t="str">
        <f>Настройки!AG29</f>
        <v>Canal_28</v>
      </c>
      <c r="AZ29" s="207" t="str">
        <f>Настройки!AH29</f>
        <v>Canal_28</v>
      </c>
      <c r="BA29" s="207" t="str">
        <f>Настройки!AI29</f>
        <v>Canal_28</v>
      </c>
      <c r="BB29" s="207" t="str">
        <f>Настройки!AJ29</f>
        <v>-</v>
      </c>
      <c r="BC29" s="207" t="str">
        <f>Настройки!AK29</f>
        <v>-</v>
      </c>
      <c r="BD29" s="207" t="str">
        <f>Настройки!AL29</f>
        <v>Canal_28</v>
      </c>
      <c r="BE29" s="207" t="str">
        <f>Настройки!AM29</f>
        <v>-</v>
      </c>
    </row>
    <row r="30" spans="1:57">
      <c r="A30" s="1"/>
      <c r="B30" s="1"/>
      <c r="C30" s="1"/>
      <c r="D30" s="1"/>
      <c r="E30" s="1"/>
      <c r="F30" s="1"/>
      <c r="G30" s="1"/>
      <c r="H30" s="1"/>
      <c r="I30" s="1"/>
      <c r="M30" s="424" t="str">
        <f>'Конфигурация TREI'!A31</f>
        <v>BR29</v>
      </c>
      <c r="N30" s="424" t="str">
        <f>'Конфигурация TREI'!B31</f>
        <v>M558O</v>
      </c>
      <c r="AE30" s="428">
        <f>Настройки!P30</f>
        <v>29</v>
      </c>
      <c r="AF30" s="380">
        <f>Настройки!Q30</f>
        <v>0</v>
      </c>
      <c r="AG30" s="380" t="str">
        <f>Настройки!R30</f>
        <v>-</v>
      </c>
      <c r="AH30" s="380" t="str">
        <f>Настройки!S30</f>
        <v>-</v>
      </c>
      <c r="AI30" s="380" t="str">
        <f>Настройки!T30</f>
        <v>out28</v>
      </c>
      <c r="AJ30" s="380" t="str">
        <f>Настройки!U30</f>
        <v>out28</v>
      </c>
      <c r="AK30" s="380" t="str">
        <f>Настройки!V30</f>
        <v>-</v>
      </c>
      <c r="AL30" s="380" t="str">
        <f>Настройки!W30</f>
        <v>-</v>
      </c>
      <c r="AM30" s="380" t="str">
        <f>Настройки!X30</f>
        <v>-</v>
      </c>
      <c r="AN30" s="380" t="str">
        <f>Настройки!Y30</f>
        <v>-</v>
      </c>
      <c r="AO30" s="380" t="str">
        <f>Настройки!Z30</f>
        <v>-</v>
      </c>
      <c r="AP30" s="380" t="str">
        <f>Настройки!AA30</f>
        <v>Canal_29</v>
      </c>
      <c r="AQ30" s="380" t="str">
        <f>Настройки!AB30</f>
        <v>Canal_29</v>
      </c>
      <c r="AR30" s="380" t="str">
        <f>Настройки!AC30</f>
        <v>-</v>
      </c>
      <c r="AS30" s="380" t="str">
        <f>Настройки!AD30</f>
        <v>-</v>
      </c>
      <c r="AT30" s="207" t="str">
        <f>Настройки!AB30</f>
        <v>Canal_29</v>
      </c>
      <c r="AU30" s="207" t="str">
        <f>Настройки!AC30</f>
        <v>-</v>
      </c>
      <c r="AV30" s="207" t="str">
        <f>Настройки!AD30</f>
        <v>-</v>
      </c>
      <c r="AW30" s="207" t="str">
        <f>Настройки!AE30</f>
        <v>-</v>
      </c>
      <c r="AX30" s="207" t="str">
        <f>Настройки!AF30</f>
        <v>IDIG_8_1</v>
      </c>
      <c r="AY30" s="207" t="str">
        <f>Настройки!AG30</f>
        <v>Canal_29</v>
      </c>
      <c r="AZ30" s="207" t="str">
        <f>Настройки!AH30</f>
        <v>Canal_29</v>
      </c>
      <c r="BA30" s="207" t="str">
        <f>Настройки!AI30</f>
        <v>Canal_29</v>
      </c>
      <c r="BB30" s="207" t="str">
        <f>Настройки!AJ30</f>
        <v>-</v>
      </c>
      <c r="BC30" s="207" t="str">
        <f>Настройки!AK30</f>
        <v>-</v>
      </c>
      <c r="BD30" s="207" t="str">
        <f>Настройки!AL30</f>
        <v>Canal_29</v>
      </c>
      <c r="BE30" s="207" t="str">
        <f>Настройки!AM30</f>
        <v>-</v>
      </c>
    </row>
    <row r="31" spans="1:57">
      <c r="A31" s="82"/>
      <c r="B31" s="82"/>
      <c r="C31" s="81"/>
      <c r="D31" s="81"/>
      <c r="E31" s="81"/>
      <c r="F31" s="81"/>
      <c r="G31" s="445"/>
      <c r="H31" s="445"/>
      <c r="I31" s="1"/>
      <c r="M31" s="424" t="str">
        <f>'Конфигурация TREI'!A32</f>
        <v>BR30</v>
      </c>
      <c r="N31" s="424" t="str">
        <f>'Конфигурация TREI'!B32</f>
        <v>M558D</v>
      </c>
      <c r="AE31" s="428">
        <f>Настройки!P31</f>
        <v>30</v>
      </c>
      <c r="AF31" s="380">
        <f>Настройки!Q31</f>
        <v>0</v>
      </c>
      <c r="AG31" s="380" t="str">
        <f>Настройки!R31</f>
        <v>-</v>
      </c>
      <c r="AH31" s="380" t="str">
        <f>Настройки!S31</f>
        <v>-</v>
      </c>
      <c r="AI31" s="380" t="str">
        <f>Настройки!T31</f>
        <v>out29</v>
      </c>
      <c r="AJ31" s="380" t="str">
        <f>Настройки!U31</f>
        <v>out29</v>
      </c>
      <c r="AK31" s="380" t="str">
        <f>Настройки!V31</f>
        <v>-</v>
      </c>
      <c r="AL31" s="380" t="str">
        <f>Настройки!W31</f>
        <v>-</v>
      </c>
      <c r="AM31" s="380" t="str">
        <f>Настройки!X31</f>
        <v>-</v>
      </c>
      <c r="AN31" s="380" t="str">
        <f>Настройки!Y31</f>
        <v>-</v>
      </c>
      <c r="AO31" s="380" t="str">
        <f>Настройки!Z31</f>
        <v>-</v>
      </c>
      <c r="AP31" s="380" t="str">
        <f>Настройки!AA31</f>
        <v>Canal_30</v>
      </c>
      <c r="AQ31" s="380" t="str">
        <f>Настройки!AB31</f>
        <v>Canal_30</v>
      </c>
      <c r="AR31" s="380" t="str">
        <f>Настройки!AC31</f>
        <v>-</v>
      </c>
      <c r="AS31" s="380" t="str">
        <f>Настройки!AD31</f>
        <v>-</v>
      </c>
      <c r="AT31" s="207" t="str">
        <f>Настройки!AB31</f>
        <v>Canal_30</v>
      </c>
      <c r="AU31" s="207" t="str">
        <f>Настройки!AC31</f>
        <v>-</v>
      </c>
      <c r="AV31" s="207" t="str">
        <f>Настройки!AD31</f>
        <v>-</v>
      </c>
      <c r="AW31" s="207" t="str">
        <f>Настройки!AE31</f>
        <v>-</v>
      </c>
      <c r="AX31" s="207" t="str">
        <f>Настройки!AF31</f>
        <v>IDIG_8_2</v>
      </c>
      <c r="AY31" s="207" t="str">
        <f>Настройки!AG31</f>
        <v>Canal_30</v>
      </c>
      <c r="AZ31" s="207" t="str">
        <f>Настройки!AH31</f>
        <v>Canal_30</v>
      </c>
      <c r="BA31" s="207" t="str">
        <f>Настройки!AI31</f>
        <v>Canal_30</v>
      </c>
      <c r="BB31" s="207" t="str">
        <f>Настройки!AJ31</f>
        <v>-</v>
      </c>
      <c r="BC31" s="207" t="str">
        <f>Настройки!AK31</f>
        <v>-</v>
      </c>
      <c r="BD31" s="207" t="str">
        <f>Настройки!AL31</f>
        <v>Canal_30</v>
      </c>
      <c r="BE31" s="207" t="str">
        <f>Настройки!AM31</f>
        <v>-</v>
      </c>
    </row>
    <row r="32" spans="1:57">
      <c r="A32" s="82"/>
      <c r="B32" s="82"/>
      <c r="C32" s="81"/>
      <c r="D32" s="81"/>
      <c r="E32" s="81"/>
      <c r="F32" s="81"/>
      <c r="G32" s="445"/>
      <c r="H32" s="445"/>
      <c r="I32" s="1"/>
      <c r="M32" s="424" t="str">
        <f>'Конфигурация TREI'!A33</f>
        <v>BR31</v>
      </c>
      <c r="N32" s="424" t="str">
        <f>'Конфигурация TREI'!B33</f>
        <v>M558D</v>
      </c>
      <c r="AE32" s="428">
        <f>Настройки!P32</f>
        <v>31</v>
      </c>
      <c r="AF32" s="380">
        <f>Настройки!Q32</f>
        <v>0</v>
      </c>
      <c r="AG32" s="380" t="str">
        <f>Настройки!R32</f>
        <v>-</v>
      </c>
      <c r="AH32" s="380" t="str">
        <f>Настройки!S32</f>
        <v>-</v>
      </c>
      <c r="AI32" s="380" t="str">
        <f>Настройки!T32</f>
        <v>out30</v>
      </c>
      <c r="AJ32" s="380" t="str">
        <f>Настройки!U32</f>
        <v>out30</v>
      </c>
      <c r="AK32" s="380" t="str">
        <f>Настройки!V32</f>
        <v>-</v>
      </c>
      <c r="AL32" s="380" t="str">
        <f>Настройки!W32</f>
        <v>-</v>
      </c>
      <c r="AM32" s="380" t="str">
        <f>Настройки!X32</f>
        <v>-</v>
      </c>
      <c r="AN32" s="380" t="str">
        <f>Настройки!Y32</f>
        <v>-</v>
      </c>
      <c r="AO32" s="380" t="str">
        <f>Настройки!Z32</f>
        <v>-</v>
      </c>
      <c r="AP32" s="380" t="str">
        <f>Настройки!AA32</f>
        <v>Canal_31</v>
      </c>
      <c r="AQ32" s="380" t="str">
        <f>Настройки!AB32</f>
        <v>Canal_31</v>
      </c>
      <c r="AR32" s="380" t="str">
        <f>Настройки!AC32</f>
        <v>-</v>
      </c>
      <c r="AS32" s="380" t="str">
        <f>Настройки!AD32</f>
        <v>-</v>
      </c>
      <c r="AT32" s="207" t="str">
        <f>Настройки!AB32</f>
        <v>Canal_31</v>
      </c>
      <c r="AU32" s="207" t="str">
        <f>Настройки!AC32</f>
        <v>-</v>
      </c>
      <c r="AV32" s="207" t="str">
        <f>Настройки!AD32</f>
        <v>-</v>
      </c>
      <c r="AW32" s="207" t="str">
        <f>Настройки!AE32</f>
        <v>-</v>
      </c>
      <c r="AX32" s="207" t="str">
        <f>Настройки!AF32</f>
        <v>IDIG_8_3</v>
      </c>
      <c r="AY32" s="207" t="str">
        <f>Настройки!AG32</f>
        <v>Canal_31</v>
      </c>
      <c r="AZ32" s="207" t="str">
        <f>Настройки!AH32</f>
        <v>Canal_31</v>
      </c>
      <c r="BA32" s="207" t="str">
        <f>Настройки!AI32</f>
        <v>Canal_31</v>
      </c>
      <c r="BB32" s="207" t="str">
        <f>Настройки!AJ32</f>
        <v>-</v>
      </c>
      <c r="BC32" s="207" t="str">
        <f>Настройки!AK32</f>
        <v>-</v>
      </c>
      <c r="BD32" s="207" t="str">
        <f>Настройки!AL32</f>
        <v>Canal_31</v>
      </c>
      <c r="BE32" s="207" t="str">
        <f>Настройки!AM32</f>
        <v>-</v>
      </c>
    </row>
    <row r="33" spans="1:57">
      <c r="A33" s="82"/>
      <c r="B33" s="82"/>
      <c r="C33" s="81"/>
      <c r="D33" s="81"/>
      <c r="E33" s="81"/>
      <c r="F33" s="81"/>
      <c r="G33" s="445"/>
      <c r="H33" s="445"/>
      <c r="I33" s="1"/>
      <c r="M33" s="424" t="str">
        <f>'Конфигурация TREI'!A34</f>
        <v>BR32</v>
      </c>
      <c r="N33" s="424" t="str">
        <f>'Конфигурация TREI'!B34</f>
        <v>M558D</v>
      </c>
      <c r="AE33" s="620">
        <f>Настройки!P33</f>
        <v>32</v>
      </c>
      <c r="AF33" s="621">
        <f>Настройки!Q33</f>
        <v>0</v>
      </c>
      <c r="AG33" s="621" t="str">
        <f>Настройки!R33</f>
        <v>-</v>
      </c>
      <c r="AH33" s="621" t="str">
        <f>Настройки!S33</f>
        <v>-</v>
      </c>
      <c r="AI33" s="621" t="str">
        <f>Настройки!T33</f>
        <v>out31</v>
      </c>
      <c r="AJ33" s="621" t="str">
        <f>Настройки!U33</f>
        <v>out31</v>
      </c>
      <c r="AK33" s="621" t="str">
        <f>Настройки!V33</f>
        <v>-</v>
      </c>
      <c r="AL33" s="621" t="str">
        <f>Настройки!W33</f>
        <v>-</v>
      </c>
      <c r="AM33" s="621" t="str">
        <f>Настройки!X33</f>
        <v>-</v>
      </c>
      <c r="AN33" s="621" t="str">
        <f>Настройки!Y33</f>
        <v>-</v>
      </c>
      <c r="AO33" s="621" t="str">
        <f>Настройки!Z33</f>
        <v>-</v>
      </c>
      <c r="AP33" s="621" t="str">
        <f>Настройки!AA33</f>
        <v>Canal_32</v>
      </c>
      <c r="AQ33" s="621" t="str">
        <f>Настройки!AB33</f>
        <v>Canal_32</v>
      </c>
      <c r="AR33" s="621" t="str">
        <f>Настройки!AC33</f>
        <v>-</v>
      </c>
      <c r="AS33" s="621" t="str">
        <f>Настройки!AD33</f>
        <v>-</v>
      </c>
      <c r="AT33" s="622" t="str">
        <f>Настройки!AB33</f>
        <v>Canal_32</v>
      </c>
      <c r="AU33" s="622" t="str">
        <f>Настройки!AC33</f>
        <v>-</v>
      </c>
      <c r="AV33" s="622" t="str">
        <f>Настройки!AD33</f>
        <v>-</v>
      </c>
      <c r="AW33" s="622" t="str">
        <f>Настройки!AE33</f>
        <v>-</v>
      </c>
      <c r="AX33" s="622" t="str">
        <f>Настройки!AF33</f>
        <v>IDIG_8_4</v>
      </c>
      <c r="AY33" s="622" t="str">
        <f>Настройки!AG33</f>
        <v>Canal_32</v>
      </c>
      <c r="AZ33" s="622" t="str">
        <f>Настройки!AH33</f>
        <v>Canal_32</v>
      </c>
      <c r="BA33" s="622" t="str">
        <f>Настройки!AI33</f>
        <v>Canal_32</v>
      </c>
      <c r="BB33" s="622" t="str">
        <f>Настройки!AJ33</f>
        <v>-</v>
      </c>
      <c r="BC33" s="622" t="str">
        <f>Настройки!AK33</f>
        <v>-</v>
      </c>
      <c r="BD33" s="622" t="str">
        <f>Настройки!AL33</f>
        <v>Canal_32</v>
      </c>
      <c r="BE33" s="622" t="str">
        <f>Настройки!AM33</f>
        <v>-</v>
      </c>
    </row>
    <row r="34" spans="1:57">
      <c r="A34" s="82"/>
      <c r="B34" s="82"/>
      <c r="C34" s="81"/>
      <c r="D34" s="81"/>
      <c r="E34" s="81"/>
      <c r="F34" s="81"/>
      <c r="G34" s="445"/>
      <c r="H34" s="445"/>
      <c r="I34" s="1"/>
      <c r="M34" s="424" t="str">
        <f>'Конфигурация TREI'!A35</f>
        <v>BR33</v>
      </c>
      <c r="N34" s="424" t="str">
        <f>'Конфигурация TREI'!B35</f>
        <v>M558D</v>
      </c>
      <c r="AE34" s="624"/>
      <c r="AF34" s="624"/>
      <c r="AG34" s="624"/>
      <c r="AH34" s="624"/>
      <c r="AI34" s="624"/>
      <c r="AJ34" s="624"/>
      <c r="AK34" s="624"/>
      <c r="AL34" s="624"/>
      <c r="AM34" s="624"/>
      <c r="AN34" s="624"/>
      <c r="AO34" s="624"/>
      <c r="AP34" s="624"/>
      <c r="AQ34" s="624"/>
      <c r="AR34" s="624"/>
      <c r="AS34" s="624"/>
      <c r="AT34" s="625"/>
      <c r="AU34" s="625"/>
      <c r="AV34" s="625"/>
      <c r="AW34" s="625"/>
      <c r="AX34" s="625"/>
      <c r="AY34" s="625"/>
      <c r="AZ34" s="625"/>
      <c r="BA34" s="625"/>
      <c r="BB34" s="625"/>
      <c r="BC34" s="625"/>
      <c r="BD34" s="625"/>
      <c r="BE34" s="625"/>
    </row>
    <row r="35" spans="1:57">
      <c r="A35" s="82"/>
      <c r="B35" s="82"/>
      <c r="C35" s="81"/>
      <c r="D35" s="81"/>
      <c r="E35" s="81"/>
      <c r="F35" s="81"/>
      <c r="G35" s="445"/>
      <c r="H35" s="445"/>
      <c r="I35" s="1"/>
      <c r="M35" s="424" t="str">
        <f>'Конфигурация TREI'!A36</f>
        <v>BR34</v>
      </c>
      <c r="N35" s="424" t="str">
        <f>'Конфигурация TREI'!B36</f>
        <v>M558D</v>
      </c>
      <c r="AE35" s="505"/>
      <c r="AF35" s="505"/>
      <c r="AG35" s="505"/>
      <c r="AH35" s="505"/>
      <c r="AI35" s="505"/>
      <c r="AJ35" s="505"/>
      <c r="AK35" s="505"/>
      <c r="AL35" s="505"/>
      <c r="AM35" s="505"/>
      <c r="AN35" s="505"/>
      <c r="AO35" s="505"/>
      <c r="AP35" s="505"/>
      <c r="AQ35" s="505"/>
      <c r="AR35" s="505"/>
      <c r="AS35" s="505"/>
      <c r="AT35" s="623"/>
      <c r="AU35" s="623"/>
      <c r="AV35" s="623"/>
      <c r="AW35" s="623"/>
      <c r="AX35" s="623"/>
      <c r="AY35" s="623"/>
      <c r="AZ35" s="623"/>
      <c r="BA35" s="623"/>
      <c r="BB35" s="623"/>
      <c r="BC35" s="623"/>
      <c r="BD35" s="623"/>
      <c r="BE35" s="623"/>
    </row>
    <row r="36" spans="1:57">
      <c r="A36" s="82"/>
      <c r="B36" s="82"/>
      <c r="C36" s="81"/>
      <c r="D36" s="81"/>
      <c r="E36" s="81"/>
      <c r="F36" s="81"/>
      <c r="G36" s="445"/>
      <c r="H36" s="445"/>
      <c r="I36" s="1"/>
      <c r="M36" s="424" t="str">
        <f>'Конфигурация TREI'!A37</f>
        <v>BR35</v>
      </c>
      <c r="N36" s="424" t="str">
        <f>'Конфигурация TREI'!B37</f>
        <v>M558D</v>
      </c>
      <c r="AE36" s="505"/>
      <c r="AF36" s="505"/>
      <c r="AG36" s="505"/>
      <c r="AH36" s="505"/>
      <c r="AI36" s="505"/>
      <c r="AJ36" s="505"/>
      <c r="AK36" s="505"/>
      <c r="AL36" s="505"/>
      <c r="AM36" s="505"/>
      <c r="AN36" s="505"/>
      <c r="AO36" s="505"/>
      <c r="AP36" s="505"/>
      <c r="AQ36" s="505"/>
      <c r="AR36" s="505"/>
      <c r="AS36" s="505"/>
      <c r="AT36" s="623"/>
      <c r="AU36" s="623"/>
      <c r="AV36" s="623"/>
      <c r="AW36" s="623"/>
      <c r="AX36" s="623"/>
      <c r="AY36" s="623"/>
      <c r="AZ36" s="623"/>
      <c r="BA36" s="623"/>
      <c r="BB36" s="623"/>
      <c r="BC36" s="623"/>
      <c r="BD36" s="623"/>
      <c r="BE36" s="623"/>
    </row>
    <row r="37" spans="1:57" ht="15.75" customHeight="1">
      <c r="A37" s="82"/>
      <c r="B37" s="82"/>
      <c r="C37" s="81"/>
      <c r="D37" s="81"/>
      <c r="E37" s="81"/>
      <c r="F37" s="81"/>
      <c r="G37" s="445"/>
      <c r="H37" s="445"/>
      <c r="I37" s="1"/>
      <c r="M37" s="424" t="str">
        <f>'Конфигурация TREI'!A38</f>
        <v>BR36</v>
      </c>
      <c r="N37" s="424">
        <f>'Конфигурация TREI'!B38</f>
        <v>0</v>
      </c>
      <c r="AE37" s="505"/>
      <c r="AF37" s="505"/>
      <c r="AG37" s="505"/>
      <c r="AH37" s="505"/>
      <c r="AI37" s="505"/>
      <c r="AJ37" s="505"/>
      <c r="AK37" s="505"/>
      <c r="AL37" s="505"/>
      <c r="AM37" s="505"/>
      <c r="AN37" s="505"/>
      <c r="AO37" s="505"/>
      <c r="AP37" s="505"/>
      <c r="AQ37" s="505"/>
      <c r="AR37" s="505"/>
      <c r="AS37" s="505"/>
      <c r="AT37" s="623"/>
      <c r="AU37" s="623"/>
      <c r="AV37" s="623"/>
      <c r="AW37" s="623"/>
      <c r="AX37" s="623"/>
      <c r="AY37" s="623"/>
      <c r="AZ37" s="623"/>
      <c r="BA37" s="623"/>
      <c r="BB37" s="623"/>
      <c r="BC37" s="623"/>
      <c r="BD37" s="623"/>
      <c r="BE37" s="623"/>
    </row>
    <row r="38" spans="1:57">
      <c r="A38" s="82"/>
      <c r="B38" s="82"/>
      <c r="C38" s="81"/>
      <c r="D38" s="81"/>
      <c r="E38" s="81"/>
      <c r="F38" s="81"/>
      <c r="G38" s="445"/>
      <c r="H38" s="445"/>
      <c r="I38" s="1"/>
      <c r="M38" s="424" t="str">
        <f>'Конфигурация TREI'!A39</f>
        <v>BR37</v>
      </c>
      <c r="N38" s="424">
        <f>'Конфигурация TREI'!B39</f>
        <v>0</v>
      </c>
      <c r="AE38" s="505"/>
      <c r="AF38" s="505"/>
      <c r="AG38" s="505"/>
      <c r="AH38" s="505"/>
      <c r="AI38" s="505"/>
      <c r="AJ38" s="505"/>
      <c r="AK38" s="505"/>
      <c r="AL38" s="505"/>
      <c r="AM38" s="505"/>
      <c r="AN38" s="505"/>
      <c r="AO38" s="505"/>
      <c r="AP38" s="505"/>
      <c r="AQ38" s="505"/>
      <c r="AR38" s="505"/>
      <c r="AS38" s="505"/>
      <c r="AT38" s="623"/>
      <c r="AU38" s="623"/>
      <c r="AV38" s="623"/>
      <c r="AW38" s="623"/>
      <c r="AX38" s="623"/>
      <c r="AY38" s="623"/>
      <c r="AZ38" s="623"/>
      <c r="BA38" s="623"/>
      <c r="BB38" s="623"/>
      <c r="BC38" s="623"/>
      <c r="BD38" s="623"/>
      <c r="BE38" s="623"/>
    </row>
    <row r="39" spans="1:57">
      <c r="A39" s="82"/>
      <c r="B39" s="82"/>
      <c r="C39" s="81"/>
      <c r="D39" s="81"/>
      <c r="E39" s="81"/>
      <c r="F39" s="81"/>
      <c r="G39" s="445"/>
      <c r="H39" s="445"/>
      <c r="I39" s="1"/>
      <c r="M39" s="424" t="str">
        <f>'Конфигурация TREI'!A40</f>
        <v>BR38</v>
      </c>
      <c r="N39" s="424">
        <f>'Конфигурация TREI'!B40</f>
        <v>0</v>
      </c>
      <c r="AE39" s="505"/>
      <c r="AF39" s="505"/>
      <c r="AG39" s="505"/>
      <c r="AH39" s="505"/>
      <c r="AI39" s="505"/>
      <c r="AJ39" s="505"/>
      <c r="AK39" s="505"/>
      <c r="AL39" s="505"/>
      <c r="AM39" s="505"/>
      <c r="AN39" s="505"/>
      <c r="AO39" s="505"/>
      <c r="AP39" s="505"/>
      <c r="AQ39" s="505"/>
      <c r="AR39" s="505"/>
      <c r="AS39" s="505"/>
      <c r="AT39" s="623"/>
      <c r="AU39" s="623"/>
      <c r="AV39" s="623"/>
      <c r="AW39" s="623"/>
      <c r="AX39" s="623"/>
      <c r="AY39" s="623"/>
      <c r="AZ39" s="623"/>
      <c r="BA39" s="623"/>
      <c r="BB39" s="623"/>
      <c r="BC39" s="623"/>
      <c r="BD39" s="623"/>
      <c r="BE39" s="623"/>
    </row>
    <row r="40" spans="1:57">
      <c r="A40" s="82"/>
      <c r="B40" s="82"/>
      <c r="C40" s="81"/>
      <c r="D40" s="81"/>
      <c r="E40" s="81"/>
      <c r="F40" s="81"/>
      <c r="G40" s="445"/>
      <c r="H40" s="445"/>
      <c r="I40" s="1"/>
      <c r="M40" s="424" t="str">
        <f>'Конфигурация TREI'!A41</f>
        <v>BR39</v>
      </c>
      <c r="N40" s="424">
        <f>'Конфигурация TREI'!B41</f>
        <v>0</v>
      </c>
      <c r="AE40" s="505"/>
      <c r="AF40" s="505"/>
      <c r="AG40" s="505"/>
      <c r="AH40" s="505"/>
      <c r="AI40" s="505"/>
      <c r="AJ40" s="505"/>
      <c r="AK40" s="505"/>
      <c r="AL40" s="505"/>
      <c r="AM40" s="505"/>
      <c r="AN40" s="505"/>
      <c r="AO40" s="505"/>
      <c r="AP40" s="505"/>
      <c r="AQ40" s="505"/>
      <c r="AR40" s="505"/>
      <c r="AS40" s="505"/>
      <c r="AT40" s="623"/>
      <c r="AU40" s="623"/>
      <c r="AV40" s="623"/>
      <c r="AW40" s="623"/>
      <c r="AX40" s="623"/>
      <c r="AY40" s="623"/>
      <c r="AZ40" s="623"/>
      <c r="BA40" s="623"/>
      <c r="BB40" s="623"/>
      <c r="BC40" s="623"/>
      <c r="BD40" s="623"/>
      <c r="BE40" s="623"/>
    </row>
    <row r="41" spans="1:57">
      <c r="A41" s="82"/>
      <c r="B41" s="82"/>
      <c r="C41" s="81"/>
      <c r="D41" s="81"/>
      <c r="E41" s="81"/>
      <c r="F41" s="81"/>
      <c r="G41" s="445"/>
      <c r="H41" s="445"/>
      <c r="I41" s="1"/>
      <c r="M41" s="424" t="str">
        <f>'Конфигурация TREI'!A42</f>
        <v>BR40</v>
      </c>
      <c r="N41" s="424">
        <f>'Конфигурация TREI'!B42</f>
        <v>0</v>
      </c>
      <c r="AE41" s="505"/>
      <c r="AF41" s="505"/>
      <c r="AG41" s="505"/>
      <c r="AH41" s="505"/>
      <c r="AI41" s="505"/>
      <c r="AJ41" s="505"/>
      <c r="AK41" s="505"/>
      <c r="AL41" s="505"/>
      <c r="AM41" s="505"/>
      <c r="AN41" s="505"/>
      <c r="AO41" s="505"/>
      <c r="AP41" s="505"/>
      <c r="AQ41" s="505"/>
      <c r="AR41" s="505"/>
      <c r="AS41" s="505"/>
      <c r="AT41" s="623"/>
      <c r="AU41" s="623"/>
      <c r="AV41" s="623"/>
      <c r="AW41" s="623"/>
      <c r="AX41" s="623"/>
      <c r="AY41" s="623"/>
      <c r="AZ41" s="623"/>
      <c r="BA41" s="623"/>
      <c r="BB41" s="623"/>
      <c r="BC41" s="623"/>
      <c r="BD41" s="623"/>
      <c r="BE41" s="623"/>
    </row>
    <row r="42" spans="1:57">
      <c r="A42" s="82"/>
      <c r="B42" s="82"/>
      <c r="C42" s="81"/>
      <c r="D42" s="81"/>
      <c r="E42" s="81"/>
      <c r="F42" s="81"/>
      <c r="G42" s="445"/>
      <c r="H42" s="445"/>
      <c r="I42" s="1"/>
      <c r="M42" s="424" t="str">
        <f>'Конфигурация TREI'!A42</f>
        <v>BR40</v>
      </c>
      <c r="N42" s="424">
        <f>'Конфигурация TREI'!B43</f>
        <v>0</v>
      </c>
      <c r="AE42" s="505"/>
      <c r="AF42" s="505"/>
      <c r="AG42" s="505"/>
      <c r="AH42" s="505"/>
      <c r="AI42" s="505"/>
      <c r="AJ42" s="505"/>
      <c r="AK42" s="505"/>
      <c r="AL42" s="505"/>
      <c r="AM42" s="505"/>
      <c r="AN42" s="505"/>
      <c r="AO42" s="505"/>
      <c r="AP42" s="505"/>
      <c r="AQ42" s="505"/>
      <c r="AR42" s="505"/>
      <c r="AS42" s="505"/>
      <c r="AT42" s="623"/>
      <c r="AU42" s="623"/>
      <c r="AV42" s="623"/>
      <c r="AW42" s="623"/>
      <c r="AX42" s="623"/>
      <c r="AY42" s="623"/>
      <c r="AZ42" s="623"/>
      <c r="BA42" s="623"/>
      <c r="BB42" s="623"/>
      <c r="BC42" s="623"/>
      <c r="BD42" s="623"/>
      <c r="BE42" s="623"/>
    </row>
    <row r="43" spans="1:57">
      <c r="A43" s="82"/>
      <c r="B43" s="82"/>
      <c r="C43" s="81"/>
      <c r="D43" s="81"/>
      <c r="E43" s="81"/>
      <c r="F43" s="81"/>
      <c r="G43" s="445"/>
      <c r="H43" s="445"/>
      <c r="I43" s="1"/>
      <c r="M43" s="424" t="str">
        <f>'Конфигурация TREI'!A44</f>
        <v>BR42</v>
      </c>
      <c r="N43" s="424">
        <f>'Конфигурация TREI'!B44</f>
        <v>0</v>
      </c>
      <c r="AE43" s="505"/>
      <c r="AF43" s="505"/>
      <c r="AG43" s="505"/>
      <c r="AH43" s="505"/>
      <c r="AI43" s="505"/>
      <c r="AJ43" s="505"/>
      <c r="AK43" s="505"/>
      <c r="AL43" s="505"/>
      <c r="AM43" s="505"/>
      <c r="AN43" s="505"/>
      <c r="AO43" s="505"/>
      <c r="AP43" s="505"/>
      <c r="AQ43" s="505"/>
      <c r="AR43" s="505"/>
      <c r="AS43" s="505"/>
      <c r="AT43" s="623"/>
      <c r="AU43" s="623"/>
      <c r="AV43" s="623"/>
      <c r="AW43" s="623"/>
      <c r="AX43" s="623"/>
      <c r="AY43" s="623"/>
      <c r="AZ43" s="623"/>
      <c r="BA43" s="623"/>
      <c r="BB43" s="623"/>
      <c r="BC43" s="623"/>
      <c r="BD43" s="623"/>
      <c r="BE43" s="623"/>
    </row>
    <row r="44" spans="1:57">
      <c r="A44" s="82"/>
      <c r="B44" s="82"/>
      <c r="C44" s="81"/>
      <c r="D44" s="81"/>
      <c r="E44" s="81"/>
      <c r="F44" s="81"/>
      <c r="G44" s="445"/>
      <c r="H44" s="445"/>
      <c r="I44" s="1"/>
      <c r="M44" s="424" t="str">
        <f>'Конфигурация TREI'!A45</f>
        <v>BR43</v>
      </c>
      <c r="N44" s="424">
        <f>'Конфигурация TREI'!B45</f>
        <v>0</v>
      </c>
      <c r="AE44" s="505"/>
      <c r="AF44" s="505"/>
      <c r="AG44" s="505"/>
      <c r="AH44" s="505"/>
      <c r="AI44" s="505"/>
      <c r="AJ44" s="505"/>
      <c r="AK44" s="505"/>
      <c r="AL44" s="505"/>
      <c r="AM44" s="505"/>
      <c r="AN44" s="505"/>
      <c r="AO44" s="505"/>
      <c r="AP44" s="505"/>
      <c r="AQ44" s="505"/>
      <c r="AR44" s="505"/>
      <c r="AS44" s="505"/>
      <c r="AT44" s="623"/>
      <c r="AU44" s="623"/>
      <c r="AV44" s="623"/>
      <c r="AW44" s="623"/>
      <c r="AX44" s="623"/>
      <c r="AY44" s="623"/>
      <c r="AZ44" s="623"/>
      <c r="BA44" s="623"/>
      <c r="BB44" s="623"/>
      <c r="BC44" s="623"/>
      <c r="BD44" s="623"/>
      <c r="BE44" s="623"/>
    </row>
    <row r="45" spans="1:57">
      <c r="A45" s="82"/>
      <c r="B45" s="82"/>
      <c r="C45" s="81"/>
      <c r="D45" s="81"/>
      <c r="E45" s="81"/>
      <c r="F45" s="81"/>
      <c r="G45" s="445"/>
      <c r="H45" s="445"/>
      <c r="I45" s="1"/>
      <c r="M45" s="424" t="str">
        <f>'Конфигурация TREI'!A46</f>
        <v>BR44</v>
      </c>
      <c r="N45" s="424">
        <f>'Конфигурация TREI'!B46</f>
        <v>0</v>
      </c>
      <c r="AE45" s="505"/>
      <c r="AF45" s="505"/>
      <c r="AG45" s="505"/>
      <c r="AH45" s="505"/>
      <c r="AI45" s="505"/>
      <c r="AJ45" s="505"/>
      <c r="AK45" s="505"/>
      <c r="AL45" s="505"/>
      <c r="AM45" s="505"/>
      <c r="AN45" s="505"/>
      <c r="AO45" s="505"/>
      <c r="AP45" s="505"/>
      <c r="AQ45" s="505"/>
      <c r="AR45" s="505"/>
      <c r="AS45" s="505"/>
      <c r="AT45" s="623"/>
      <c r="AU45" s="623"/>
      <c r="AV45" s="623"/>
      <c r="AW45" s="623"/>
      <c r="AX45" s="623"/>
      <c r="AY45" s="623"/>
      <c r="AZ45" s="623"/>
      <c r="BA45" s="623"/>
      <c r="BB45" s="623"/>
      <c r="BC45" s="623"/>
      <c r="BD45" s="623"/>
      <c r="BE45" s="623"/>
    </row>
    <row r="46" spans="1:57">
      <c r="A46" s="82"/>
      <c r="B46" s="82"/>
      <c r="C46" s="81"/>
      <c r="D46" s="81"/>
      <c r="E46" s="81"/>
      <c r="F46" s="81"/>
      <c r="G46" s="445"/>
      <c r="H46" s="445"/>
      <c r="I46" s="1"/>
      <c r="M46" s="424" t="str">
        <f>'Конфигурация TREI'!A47</f>
        <v>BR45</v>
      </c>
      <c r="N46" s="424">
        <f>'Конфигурация TREI'!B47</f>
        <v>0</v>
      </c>
      <c r="AE46" s="505"/>
      <c r="AF46" s="505"/>
      <c r="AG46" s="505"/>
      <c r="AH46" s="505"/>
      <c r="AI46" s="505"/>
      <c r="AJ46" s="505"/>
      <c r="AK46" s="505"/>
      <c r="AL46" s="505"/>
      <c r="AM46" s="505"/>
      <c r="AN46" s="505"/>
      <c r="AO46" s="505"/>
      <c r="AP46" s="505"/>
      <c r="AQ46" s="505"/>
      <c r="AR46" s="505"/>
      <c r="AS46" s="505"/>
      <c r="AT46" s="623"/>
      <c r="AU46" s="623"/>
      <c r="AV46" s="623"/>
      <c r="AW46" s="623"/>
      <c r="AX46" s="623"/>
      <c r="AY46" s="623"/>
      <c r="AZ46" s="623"/>
      <c r="BA46" s="623"/>
      <c r="BB46" s="623"/>
      <c r="BC46" s="623"/>
      <c r="BD46" s="623"/>
      <c r="BE46" s="623"/>
    </row>
    <row r="47" spans="1:57">
      <c r="A47" s="82"/>
      <c r="B47" s="82"/>
      <c r="C47" s="81"/>
      <c r="D47" s="81"/>
      <c r="E47" s="81"/>
      <c r="F47" s="81"/>
      <c r="G47" s="445"/>
      <c r="H47" s="445"/>
      <c r="I47" s="1"/>
      <c r="M47" s="424" t="str">
        <f>'Конфигурация TREI'!A48</f>
        <v>BR46</v>
      </c>
      <c r="N47" s="424">
        <f>'Конфигурация TREI'!B48</f>
        <v>0</v>
      </c>
      <c r="AE47" s="505"/>
      <c r="AF47" s="505"/>
      <c r="AG47" s="505"/>
      <c r="AH47" s="505"/>
      <c r="AI47" s="505"/>
      <c r="AJ47" s="505"/>
      <c r="AK47" s="505"/>
      <c r="AL47" s="505"/>
      <c r="AM47" s="505"/>
      <c r="AN47" s="505"/>
      <c r="AO47" s="505"/>
      <c r="AP47" s="505"/>
      <c r="AQ47" s="505"/>
      <c r="AR47" s="505"/>
      <c r="AS47" s="505"/>
      <c r="AT47" s="623"/>
      <c r="AU47" s="623"/>
      <c r="AV47" s="623"/>
      <c r="AW47" s="623"/>
      <c r="AX47" s="623"/>
      <c r="AY47" s="623"/>
      <c r="AZ47" s="623"/>
      <c r="BA47" s="623"/>
      <c r="BB47" s="623"/>
      <c r="BC47" s="623"/>
      <c r="BD47" s="623"/>
      <c r="BE47" s="623"/>
    </row>
    <row r="48" spans="1:57">
      <c r="A48" s="82"/>
      <c r="B48" s="82"/>
      <c r="C48" s="81"/>
      <c r="D48" s="81"/>
      <c r="E48" s="81"/>
      <c r="F48" s="81"/>
      <c r="G48" s="445"/>
      <c r="H48" s="445"/>
      <c r="I48" s="1"/>
      <c r="M48" s="424" t="str">
        <f>'Конфигурация TREI'!A49</f>
        <v>BR47</v>
      </c>
      <c r="N48" s="424">
        <f>'Конфигурация TREI'!B49</f>
        <v>0</v>
      </c>
      <c r="AE48" s="505"/>
      <c r="AF48" s="505"/>
      <c r="AG48" s="505"/>
      <c r="AH48" s="505"/>
      <c r="AI48" s="505"/>
      <c r="AJ48" s="505"/>
      <c r="AK48" s="505"/>
      <c r="AL48" s="505"/>
      <c r="AM48" s="505"/>
      <c r="AN48" s="505"/>
      <c r="AO48" s="505"/>
      <c r="AP48" s="505"/>
      <c r="AQ48" s="505"/>
      <c r="AR48" s="505"/>
      <c r="AS48" s="505"/>
      <c r="AT48" s="623"/>
      <c r="AU48" s="623"/>
      <c r="AV48" s="623"/>
      <c r="AW48" s="623"/>
      <c r="AX48" s="623"/>
      <c r="AY48" s="623"/>
      <c r="AZ48" s="623"/>
      <c r="BA48" s="623"/>
      <c r="BB48" s="623"/>
      <c r="BC48" s="623"/>
      <c r="BD48" s="623"/>
      <c r="BE48" s="623"/>
    </row>
    <row r="49" spans="1:57">
      <c r="A49" s="1"/>
      <c r="B49" s="1"/>
      <c r="C49" s="1"/>
      <c r="D49" s="1"/>
      <c r="E49" s="1"/>
      <c r="F49" s="1"/>
      <c r="G49" s="1"/>
      <c r="H49" s="1"/>
      <c r="I49" s="1"/>
      <c r="M49" s="424" t="str">
        <f>'Конфигурация TREI'!A50</f>
        <v>BR48</v>
      </c>
      <c r="N49" s="424">
        <f>'Конфигурация TREI'!B50</f>
        <v>0</v>
      </c>
      <c r="AE49" s="505"/>
      <c r="AF49" s="505"/>
      <c r="AG49" s="505"/>
      <c r="AH49" s="505"/>
      <c r="AI49" s="505"/>
      <c r="AJ49" s="505"/>
      <c r="AK49" s="505"/>
      <c r="AL49" s="505"/>
      <c r="AM49" s="505"/>
      <c r="AN49" s="505"/>
      <c r="AO49" s="505"/>
      <c r="AP49" s="505"/>
      <c r="AQ49" s="505"/>
      <c r="AR49" s="505"/>
      <c r="AS49" s="505"/>
      <c r="AT49" s="623"/>
      <c r="AU49" s="623"/>
      <c r="AV49" s="623"/>
      <c r="AW49" s="623"/>
      <c r="AX49" s="623"/>
      <c r="AY49" s="623"/>
      <c r="AZ49" s="623"/>
      <c r="BA49" s="623"/>
      <c r="BB49" s="623"/>
      <c r="BC49" s="623"/>
      <c r="BD49" s="623"/>
      <c r="BE49" s="623"/>
    </row>
    <row r="50" spans="1:57" s="4" customFormat="1">
      <c r="A50" s="446" t="str">
        <f>"//*********** "&amp;Q2&amp;" ***********"</f>
        <v>//*********** Дискретный выход FB с буферизацией ***********</v>
      </c>
      <c r="B50" s="446"/>
      <c r="C50" s="446"/>
      <c r="D50" s="446"/>
      <c r="E50" s="446"/>
      <c r="F50" s="446" t="s">
        <v>1031</v>
      </c>
      <c r="G50" s="489"/>
      <c r="H50" s="489"/>
      <c r="I50" s="490"/>
      <c r="J50" s="490" t="s">
        <v>1311</v>
      </c>
      <c r="K50" s="490" t="s">
        <v>1309</v>
      </c>
      <c r="L50" s="491" t="s">
        <v>1310</v>
      </c>
      <c r="M50" s="424" t="str">
        <f>'Конфигурация TREI'!A51</f>
        <v>BR49</v>
      </c>
      <c r="N50" s="424">
        <f>'Конфигурация TREI'!B51</f>
        <v>0</v>
      </c>
      <c r="R50" s="381"/>
      <c r="S50" s="381"/>
      <c r="T50" s="381"/>
      <c r="U50" s="381"/>
      <c r="V50" s="381"/>
      <c r="W50" s="381"/>
      <c r="X50" s="381"/>
      <c r="Y50" s="381"/>
      <c r="Z50" s="381"/>
      <c r="AA50" s="381"/>
      <c r="AB50" s="381"/>
      <c r="AC50" s="381"/>
      <c r="AD50" s="381"/>
      <c r="AE50" s="505"/>
      <c r="AF50" s="505"/>
      <c r="AG50" s="505"/>
      <c r="AH50" s="505"/>
      <c r="AI50" s="505"/>
      <c r="AJ50" s="505"/>
      <c r="AK50" s="505"/>
      <c r="AL50" s="505"/>
      <c r="AM50" s="505"/>
      <c r="AN50" s="505"/>
      <c r="AO50" s="505"/>
      <c r="AP50" s="505"/>
      <c r="AQ50" s="505"/>
      <c r="AR50" s="505"/>
      <c r="AS50" s="505"/>
      <c r="AT50" s="623"/>
      <c r="AU50" s="623"/>
      <c r="AV50" s="623"/>
      <c r="AW50" s="623"/>
      <c r="AX50" s="623"/>
      <c r="AY50" s="623"/>
      <c r="AZ50" s="623"/>
      <c r="BA50" s="623"/>
      <c r="BB50" s="623"/>
      <c r="BC50" s="623"/>
      <c r="BD50" s="623"/>
      <c r="BE50" s="623"/>
    </row>
    <row r="51" spans="1:57">
      <c r="A51" s="457"/>
      <c r="B51" s="457" t="s">
        <v>1213</v>
      </c>
      <c r="C51" s="455" t="str">
        <f>LEFT($L51,FIND("+",$L51,1)-1)</f>
        <v>11</v>
      </c>
      <c r="D51" s="455" t="s">
        <v>178</v>
      </c>
      <c r="E51" s="446" t="str">
        <f ca="1">IFERROR(IF(OR($I51="-", $H51="0"),"КАНАЛ ОТСУТСТВУЕТ",IF($I51=0,"МОДУЛЬ ОТСУТСТВУЕТ",IF(LEFT($I51,3)="out","УДАЛИТЬ",I51))),IF($K51=0,"УДАЛИТЬ","ОШИБКА ФОРМАТА"))</f>
        <v>Canal_05</v>
      </c>
      <c r="F51" s="455" t="str">
        <f>" :="&amp;IF(LEFT(SUBSTITUTE($K51," ",""),1)="!","NOT  ","")&amp;SUBSTITUTE($P$2,"\","|")&amp;"|"&amp; $J51 &amp;";"</f>
        <v xml:space="preserve"> :=ALARM_SOUND|OXON;</v>
      </c>
      <c r="G51" s="445" t="str">
        <f>INDEX($N$2:$N$61,C51)</f>
        <v>M558D</v>
      </c>
      <c r="H51" s="445" t="str">
        <f>RIGHT($L51,LEN($L51)-FIND("+",$L51,1))</f>
        <v>5</v>
      </c>
      <c r="I51" s="460" t="str">
        <f ca="1">INDIRECT(ADDRESS($H51+1,MATCH($G51,$1:$1,),1))</f>
        <v>Canal_05</v>
      </c>
      <c r="J51" s="494" t="str">
        <f>$X$1</f>
        <v>OXON</v>
      </c>
      <c r="K51" s="495" t="str">
        <f>$X$2</f>
        <v>11+5</v>
      </c>
      <c r="L51" s="496" t="str">
        <f>$X$3</f>
        <v>11+5</v>
      </c>
      <c r="M51" s="424" t="str">
        <f>'Конфигурация TREI'!A52</f>
        <v>BR50</v>
      </c>
      <c r="N51" s="424">
        <f>'Конфигурация TREI'!B52</f>
        <v>0</v>
      </c>
      <c r="AE51" s="505"/>
      <c r="AF51" s="505"/>
      <c r="AG51" s="505"/>
      <c r="AH51" s="505"/>
      <c r="AI51" s="505"/>
      <c r="AJ51" s="505"/>
      <c r="AK51" s="505"/>
      <c r="AL51" s="505"/>
      <c r="AM51" s="505"/>
      <c r="AN51" s="505"/>
      <c r="AO51" s="505"/>
      <c r="AP51" s="505"/>
      <c r="AQ51" s="505"/>
      <c r="AR51" s="505"/>
      <c r="AS51" s="505"/>
      <c r="AT51" s="623"/>
      <c r="AU51" s="623"/>
      <c r="AV51" s="623"/>
      <c r="AW51" s="623"/>
      <c r="AX51" s="623"/>
      <c r="AY51" s="623"/>
      <c r="AZ51" s="623"/>
      <c r="BA51" s="623"/>
      <c r="BB51" s="623"/>
      <c r="BC51" s="623"/>
      <c r="BD51" s="623"/>
      <c r="BE51" s="623"/>
    </row>
    <row r="52" spans="1:57">
      <c r="A52" s="457"/>
      <c r="B52" s="457" t="s">
        <v>1213</v>
      </c>
      <c r="C52" s="455" t="str">
        <f>LEFT($L52,FIND("+",$L52,1)-1)</f>
        <v>11</v>
      </c>
      <c r="D52" s="455" t="s">
        <v>178</v>
      </c>
      <c r="E52" s="446" t="str">
        <f ca="1">IFERROR(IF(OR($I52="-", $H52="0"),"КАНАЛ ОТСУТСТВУЕТ",IF($I52=0,"МОДУЛЬ ОТСУТСТВУЕТ",IF(LEFT($I52,3)="out","УДАЛИТЬ",I52))),IF($K52=0,"УДАЛИТЬ","ОШИБКА ФОРМАТА"))</f>
        <v>Canal_06</v>
      </c>
      <c r="F52" s="455" t="str">
        <f>" :="&amp;IF(LEFT(SUBSTITUTE($K52," ",""),1)="!","NOT  ","")&amp;SUBSTITUTE($P$2,"\","|")&amp;"|"&amp; $J52 &amp;";"</f>
        <v xml:space="preserve"> :=ALARM_SOUND|OXOF;</v>
      </c>
      <c r="G52" s="445" t="str">
        <f>INDEX($N$2:$N$61,C52)</f>
        <v>M558D</v>
      </c>
      <c r="H52" s="445" t="str">
        <f>RIGHT($L52,LEN($L52)-FIND("+",$L52,1))</f>
        <v>6</v>
      </c>
      <c r="I52" s="460" t="str">
        <f ca="1">INDIRECT(ADDRESS($H52+1,MATCH($G52,$1:$1,),1))</f>
        <v>Canal_06</v>
      </c>
      <c r="J52" s="497" t="str">
        <f xml:space="preserve"> $Y$1</f>
        <v>OXOF</v>
      </c>
      <c r="K52" s="492" t="str">
        <f>$Y$2</f>
        <v>11+6</v>
      </c>
      <c r="L52" s="498" t="str">
        <f>$Y$3</f>
        <v>11+6</v>
      </c>
      <c r="M52" s="424" t="str">
        <f>'Конфигурация TREI'!A53</f>
        <v>BR51</v>
      </c>
      <c r="N52" s="424">
        <f>'Конфигурация TREI'!B53</f>
        <v>0</v>
      </c>
      <c r="AE52" s="505"/>
      <c r="AF52" s="505"/>
      <c r="AG52" s="505"/>
      <c r="AH52" s="505"/>
      <c r="AI52" s="505"/>
      <c r="AJ52" s="505"/>
      <c r="AK52" s="505"/>
      <c r="AL52" s="505"/>
      <c r="AM52" s="505"/>
      <c r="AN52" s="505"/>
      <c r="AO52" s="505"/>
      <c r="AP52" s="505"/>
      <c r="AQ52" s="505"/>
      <c r="AR52" s="505"/>
      <c r="AS52" s="505"/>
      <c r="AT52" s="623"/>
      <c r="AU52" s="623"/>
      <c r="AV52" s="623"/>
      <c r="AW52" s="623"/>
      <c r="AX52" s="623"/>
      <c r="AY52" s="623"/>
      <c r="AZ52" s="623"/>
      <c r="BA52" s="623"/>
      <c r="BB52" s="623"/>
      <c r="BC52" s="623"/>
      <c r="BD52" s="623"/>
      <c r="BE52" s="623"/>
    </row>
    <row r="53" spans="1:57">
      <c r="A53" s="457"/>
      <c r="B53" s="457" t="s">
        <v>1213</v>
      </c>
      <c r="C53" s="455" t="str">
        <f>LEFT($L53,FIND("+",$L53,1)-1)</f>
        <v>11</v>
      </c>
      <c r="D53" s="455"/>
      <c r="E53" s="446" t="str">
        <f ca="1">IFERROR(IF(OR($I53="-", $H53="0"),"КАНАЛ ОТСУТСТВУЕТ",IF($I53=0,"МОДУЛЬ ОТСУТСТВУЕТ",IF(LEFT($I53,3)="out",".ODIG_MASK:=SETBIT("&amp;IF(LEFT(SUBSTITUTE($K53," ",""),1)="!","NOT  ","")&amp;SUBSTITUTE($P$2,"\","|")&amp;"|"&amp; $J53&amp;"@"&amp;REPLACE($I53,1,3,"")&amp;"@BR"&amp;$C53,"УДАЛИТЬ"))),"УДАЛИТЬ")</f>
        <v>УДАЛИТЬ</v>
      </c>
      <c r="F53" s="455" t="str">
        <f>".ODIG_MASK);"</f>
        <v>.ODIG_MASK);</v>
      </c>
      <c r="G53" s="445" t="str">
        <f>INDEX($N$2:$N$61,C53)</f>
        <v>M558D</v>
      </c>
      <c r="H53" s="445" t="str">
        <f>RIGHT($L53,LEN($L53)-FIND("+",$L53,1))</f>
        <v>5</v>
      </c>
      <c r="I53" s="460" t="str">
        <f ca="1">INDIRECT(ADDRESS($H53+1,MATCH($G53,$1:$1,),1))</f>
        <v>Canal_05</v>
      </c>
      <c r="J53" s="494" t="str">
        <f>$X$1</f>
        <v>OXON</v>
      </c>
      <c r="K53" s="495" t="str">
        <f>$X$2</f>
        <v>11+5</v>
      </c>
      <c r="L53" s="496" t="str">
        <f>$X$3</f>
        <v>11+5</v>
      </c>
      <c r="M53" s="424" t="str">
        <f>'Конфигурация TREI'!A54</f>
        <v>BR52</v>
      </c>
      <c r="N53" s="424">
        <f>'Конфигурация TREI'!B54</f>
        <v>0</v>
      </c>
      <c r="AE53" s="505"/>
      <c r="AF53" s="505"/>
      <c r="AG53" s="505"/>
      <c r="AH53" s="505"/>
      <c r="AI53" s="505"/>
      <c r="AJ53" s="505"/>
      <c r="AK53" s="505"/>
      <c r="AL53" s="505"/>
      <c r="AM53" s="505"/>
      <c r="AN53" s="505"/>
      <c r="AO53" s="505"/>
      <c r="AP53" s="505"/>
      <c r="AQ53" s="505"/>
      <c r="AR53" s="505"/>
      <c r="AS53" s="505"/>
      <c r="AT53" s="623"/>
      <c r="AU53" s="623"/>
      <c r="AV53" s="623"/>
      <c r="AW53" s="623"/>
      <c r="AX53" s="623"/>
      <c r="AY53" s="623"/>
      <c r="AZ53" s="623"/>
      <c r="BA53" s="623"/>
      <c r="BB53" s="623"/>
      <c r="BC53" s="623"/>
      <c r="BD53" s="623"/>
      <c r="BE53" s="623"/>
    </row>
    <row r="54" spans="1:57">
      <c r="A54" s="457"/>
      <c r="B54" s="457" t="s">
        <v>1213</v>
      </c>
      <c r="C54" s="455" t="str">
        <f>LEFT($L54,FIND("+",$L54,1)-1)</f>
        <v>11</v>
      </c>
      <c r="D54" s="455"/>
      <c r="E54" s="446" t="str">
        <f ca="1">IFERROR(IF(OR($I54="-", $H54="0"),"КАНАЛ ОТСУТСТВУЕТ",IF($I54=0,"МОДУЛЬ ОТСУТСТВУЕТ",IF(LEFT($I54,3)="out",".ODIG_MASK:=SETBIT("&amp;IF(LEFT(SUBSTITUTE($K54," ",""),1)="!","NOT  ","")&amp;SUBSTITUTE($P$2,"\","|")&amp;"|"&amp; $J54&amp;"@"&amp;REPLACE($I54,1,3,"")&amp;"@BR"&amp;$C54,"УДАЛИТЬ"))),"УДАЛИТЬ")</f>
        <v>УДАЛИТЬ</v>
      </c>
      <c r="F54" s="455" t="str">
        <f>".ODIG_MASK);"</f>
        <v>.ODIG_MASK);</v>
      </c>
      <c r="G54" s="445" t="str">
        <f>INDEX($N$2:$N$61,C54)</f>
        <v>M558D</v>
      </c>
      <c r="H54" s="445" t="str">
        <f>RIGHT($L54,LEN($L54)-FIND("+",$L54,1))</f>
        <v>6</v>
      </c>
      <c r="I54" s="460" t="str">
        <f ca="1">INDIRECT(ADDRESS($H54+1,MATCH($G54,$1:$1,),1))</f>
        <v>Canal_06</v>
      </c>
      <c r="J54" s="497" t="str">
        <f xml:space="preserve"> $Y$1</f>
        <v>OXOF</v>
      </c>
      <c r="K54" s="492" t="str">
        <f>$Y$2</f>
        <v>11+6</v>
      </c>
      <c r="L54" s="498" t="str">
        <f>$Y$3</f>
        <v>11+6</v>
      </c>
      <c r="M54" s="424" t="str">
        <f>'Конфигурация TREI'!A55</f>
        <v>BR53</v>
      </c>
      <c r="N54" s="424">
        <f>'Конфигурация TREI'!B55</f>
        <v>0</v>
      </c>
      <c r="AE54" s="505"/>
      <c r="AF54" s="505"/>
      <c r="AG54" s="505"/>
      <c r="AH54" s="505"/>
      <c r="AI54" s="505"/>
      <c r="AJ54" s="505"/>
      <c r="AK54" s="505"/>
      <c r="AL54" s="505"/>
      <c r="AM54" s="505"/>
      <c r="AN54" s="505"/>
      <c r="AO54" s="505"/>
      <c r="AP54" s="505"/>
      <c r="AQ54" s="505"/>
      <c r="AR54" s="505"/>
      <c r="AS54" s="505"/>
      <c r="AT54" s="623"/>
      <c r="AU54" s="623"/>
      <c r="AV54" s="623"/>
      <c r="AW54" s="623"/>
      <c r="AX54" s="623"/>
      <c r="AY54" s="623"/>
      <c r="AZ54" s="623"/>
      <c r="BA54" s="623"/>
      <c r="BB54" s="623"/>
      <c r="BC54" s="623"/>
      <c r="BD54" s="623"/>
      <c r="BE54" s="623"/>
    </row>
    <row r="55" spans="1:57" s="527" customFormat="1">
      <c r="A55" s="526" t="str">
        <f>SUBSTITUTE($P$2,"\","|")&amp;"|"&amp;"DOON:="&amp;P4&amp;"NOT_LINK_BR"</f>
        <v>ALARM_SOUND|DOON:=NOT_LINK_BR</v>
      </c>
      <c r="B55" s="526"/>
      <c r="C55" s="526"/>
      <c r="D55" s="526"/>
      <c r="E55" s="526" t="str">
        <f>IFERROR(LEFT($L55,FIND("+",$L55,1)-1),"УДАЛИТЬ")</f>
        <v>11</v>
      </c>
      <c r="F55" s="526" t="s">
        <v>845</v>
      </c>
      <c r="G55" s="445"/>
      <c r="H55" s="445"/>
      <c r="I55" s="460"/>
      <c r="J55" s="494" t="str">
        <f>$X$1</f>
        <v>OXON</v>
      </c>
      <c r="K55" s="495" t="str">
        <f>$X$2</f>
        <v>11+5</v>
      </c>
      <c r="L55" s="496" t="str">
        <f>$X$3</f>
        <v>11+5</v>
      </c>
      <c r="M55" s="424" t="str">
        <f>'Конфигурация TREI'!A56</f>
        <v>BR54</v>
      </c>
      <c r="N55" s="424">
        <f>'Конфигурация TREI'!B56</f>
        <v>0</v>
      </c>
      <c r="R55" s="528"/>
      <c r="S55" s="528"/>
      <c r="T55" s="528"/>
      <c r="U55" s="528"/>
      <c r="V55" s="528"/>
      <c r="W55" s="528"/>
      <c r="X55" s="528"/>
      <c r="Y55" s="528"/>
      <c r="Z55" s="528"/>
      <c r="AA55" s="528"/>
      <c r="AB55" s="528"/>
      <c r="AC55" s="528"/>
      <c r="AD55" s="528"/>
      <c r="AE55" s="505"/>
      <c r="AF55" s="505"/>
      <c r="AG55" s="505"/>
      <c r="AH55" s="505"/>
      <c r="AI55" s="505"/>
      <c r="AJ55" s="505"/>
      <c r="AK55" s="505"/>
      <c r="AL55" s="505"/>
      <c r="AM55" s="505"/>
      <c r="AN55" s="505"/>
      <c r="AO55" s="505"/>
      <c r="AP55" s="505"/>
      <c r="AQ55" s="505"/>
      <c r="AR55" s="505"/>
      <c r="AS55" s="505"/>
      <c r="AT55" s="623"/>
      <c r="AU55" s="623"/>
      <c r="AV55" s="623"/>
      <c r="AW55" s="623"/>
      <c r="AX55" s="623"/>
      <c r="AY55" s="623"/>
      <c r="AZ55" s="623"/>
      <c r="BA55" s="623"/>
      <c r="BB55" s="623"/>
      <c r="BC55" s="623"/>
      <c r="BD55" s="623"/>
      <c r="BE55" s="623"/>
    </row>
    <row r="56" spans="1:57" s="527" customFormat="1">
      <c r="A56" s="526" t="str">
        <f>SUBSTITUTE($P$2,"\","|")&amp;"|"&amp;"DOOF:="&amp;P4&amp;"NOT_LINK_BR"</f>
        <v>ALARM_SOUND|DOOF:=NOT_LINK_BR</v>
      </c>
      <c r="B56" s="526"/>
      <c r="C56" s="526"/>
      <c r="D56" s="526"/>
      <c r="E56" s="526" t="str">
        <f>IFERROR(LEFT($L56,FIND("+",$L56,1)-1),"УДАЛИТЬ")</f>
        <v>11</v>
      </c>
      <c r="F56" s="526" t="s">
        <v>845</v>
      </c>
      <c r="G56" s="529"/>
      <c r="H56" s="529"/>
      <c r="I56" s="460"/>
      <c r="J56" s="499" t="str">
        <f xml:space="preserve"> $Y$1</f>
        <v>OXOF</v>
      </c>
      <c r="K56" s="500" t="str">
        <f>$Y$2</f>
        <v>11+6</v>
      </c>
      <c r="L56" s="501" t="str">
        <f>$Y$3</f>
        <v>11+6</v>
      </c>
      <c r="M56" s="424" t="str">
        <f>'Конфигурация TREI'!A57</f>
        <v>BR55</v>
      </c>
      <c r="N56" s="424">
        <f>'Конфигурация TREI'!B57</f>
        <v>0</v>
      </c>
      <c r="R56" s="528"/>
      <c r="S56" s="528"/>
      <c r="T56" s="528"/>
      <c r="U56" s="528"/>
      <c r="V56" s="528"/>
      <c r="W56" s="528"/>
      <c r="X56" s="528"/>
      <c r="Y56" s="528"/>
      <c r="Z56" s="528"/>
      <c r="AA56" s="528"/>
      <c r="AB56" s="528"/>
      <c r="AC56" s="528"/>
      <c r="AD56" s="528"/>
      <c r="AE56" s="505"/>
      <c r="AF56" s="505"/>
      <c r="AG56" s="505"/>
      <c r="AH56" s="505"/>
      <c r="AI56" s="505"/>
      <c r="AJ56" s="505"/>
      <c r="AK56" s="505"/>
      <c r="AL56" s="505"/>
      <c r="AM56" s="505"/>
      <c r="AN56" s="505"/>
      <c r="AO56" s="505"/>
      <c r="AP56" s="505"/>
      <c r="AQ56" s="505"/>
      <c r="AR56" s="505"/>
      <c r="AS56" s="505"/>
      <c r="AT56" s="623"/>
      <c r="AU56" s="623"/>
      <c r="AV56" s="623"/>
      <c r="AW56" s="623"/>
      <c r="AX56" s="623"/>
      <c r="AY56" s="623"/>
      <c r="AZ56" s="623"/>
      <c r="BA56" s="623"/>
      <c r="BB56" s="623"/>
      <c r="BC56" s="623"/>
      <c r="BD56" s="623"/>
      <c r="BE56" s="623"/>
    </row>
    <row r="57" spans="1:57">
      <c r="M57" s="424" t="str">
        <f>'Конфигурация TREI'!A58</f>
        <v>BR56</v>
      </c>
      <c r="N57" s="424">
        <f>'Конфигурация TREI'!B58</f>
        <v>0</v>
      </c>
    </row>
    <row r="58" spans="1:57">
      <c r="M58" s="424" t="str">
        <f>'Конфигурация TREI'!A59</f>
        <v>BR57</v>
      </c>
      <c r="N58" s="424">
        <f>'Конфигурация TREI'!B59</f>
        <v>0</v>
      </c>
    </row>
    <row r="59" spans="1:57">
      <c r="M59" s="424" t="str">
        <f>'Конфигурация TREI'!A60</f>
        <v>BR58</v>
      </c>
      <c r="N59" s="424">
        <f>'Конфигурация TREI'!B60</f>
        <v>0</v>
      </c>
    </row>
    <row r="60" spans="1:57">
      <c r="M60" s="424" t="str">
        <f>'Конфигурация TREI'!A60</f>
        <v>BR58</v>
      </c>
      <c r="N60" s="424">
        <f>'Конфигурация TREI'!B61</f>
        <v>0</v>
      </c>
    </row>
    <row r="61" spans="1:57">
      <c r="M61" s="424" t="str">
        <f>'Конфигурация TREI'!A62</f>
        <v>BR60</v>
      </c>
      <c r="N61" s="424">
        <f>'Конфигурация TREI'!B62</f>
        <v>0</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sheetPr codeName="Лист113">
    <tabColor theme="2" tint="-0.249977111117893"/>
  </sheetPr>
  <dimension ref="A1:BL135"/>
  <sheetViews>
    <sheetView workbookViewId="0">
      <selection activeCell="D2" sqref="D2:D4"/>
    </sheetView>
  </sheetViews>
  <sheetFormatPr defaultRowHeight="14.4"/>
  <cols>
    <col min="1" max="1" width="35.44140625" customWidth="1"/>
    <col min="2" max="2" width="21.44140625" customWidth="1"/>
    <col min="3" max="3" width="3.44140625" customWidth="1"/>
    <col min="4" max="4" width="1.109375" customWidth="1"/>
    <col min="5" max="5" width="33.44140625" customWidth="1"/>
    <col min="6" max="6" width="17.6640625" customWidth="1"/>
    <col min="7" max="7" width="10.5546875" customWidth="1"/>
    <col min="8" max="8" width="14.33203125" customWidth="1"/>
    <col min="9" max="9" width="19.33203125" style="456" customWidth="1"/>
    <col min="10" max="10" width="9.109375" style="456" customWidth="1"/>
    <col min="11" max="11" width="10.88671875" customWidth="1"/>
    <col min="12" max="12" width="11.5546875" customWidth="1"/>
    <col min="13" max="13" width="10.6640625" bestFit="1" customWidth="1"/>
    <col min="14" max="14" width="8.109375" bestFit="1" customWidth="1"/>
    <col min="15" max="15" width="9.109375" customWidth="1"/>
    <col min="16" max="16" width="34.6640625" customWidth="1"/>
    <col min="17" max="17" width="39.33203125" customWidth="1"/>
    <col min="18" max="30" width="26.109375" style="55" customWidth="1"/>
    <col min="31" max="31" width="4.5546875" style="427" customWidth="1"/>
    <col min="32" max="32" width="11.109375" customWidth="1"/>
    <col min="47" max="64" width="9.109375" style="456"/>
  </cols>
  <sheetData>
    <row r="1" spans="1:57">
      <c r="A1" s="425"/>
      <c r="B1" s="425"/>
      <c r="C1" s="425"/>
      <c r="D1" s="425"/>
      <c r="E1" s="425"/>
      <c r="F1" s="425"/>
      <c r="G1" s="426" t="s">
        <v>846</v>
      </c>
      <c r="H1" s="426" t="s">
        <v>847</v>
      </c>
      <c r="I1" s="424" t="s">
        <v>1181</v>
      </c>
      <c r="J1" s="493"/>
      <c r="M1" s="424" t="str">
        <f>'Конфигурация TREI'!A1</f>
        <v>№ Модуля</v>
      </c>
      <c r="N1" s="461" t="str">
        <f>'Конфигурация TREI'!B2</f>
        <v>M501E(рез)</v>
      </c>
      <c r="O1" s="425"/>
      <c r="P1" s="425" t="str">
        <f>Таблица!D1</f>
        <v>Префикс для TREI
Тэг ОРС для INFINITY</v>
      </c>
      <c r="Q1" s="425" t="str">
        <f>Таблица!E1</f>
        <v>Комментарий для TREI и INFINITY</v>
      </c>
      <c r="R1" s="428"/>
      <c r="S1" s="428" t="s">
        <v>858</v>
      </c>
      <c r="T1" s="428" t="s">
        <v>859</v>
      </c>
      <c r="U1" s="428" t="s">
        <v>848</v>
      </c>
      <c r="V1" s="428" t="s">
        <v>849</v>
      </c>
      <c r="W1" s="428" t="s">
        <v>850</v>
      </c>
      <c r="X1" s="428" t="s">
        <v>851</v>
      </c>
      <c r="Y1" s="428" t="s">
        <v>852</v>
      </c>
      <c r="Z1" s="428" t="s">
        <v>1033</v>
      </c>
      <c r="AA1" s="428"/>
      <c r="AB1" s="428"/>
      <c r="AC1" s="428"/>
      <c r="AD1" s="429"/>
      <c r="AE1" s="438"/>
      <c r="AF1" s="438">
        <f>Настройки!Q1</f>
        <v>0</v>
      </c>
      <c r="AG1" s="438" t="str">
        <f>Настройки!R1</f>
        <v>M943DR</v>
      </c>
      <c r="AH1" s="438" t="str">
        <f>Настройки!S1</f>
        <v>M942A</v>
      </c>
      <c r="AI1" s="438" t="str">
        <f>Настройки!T1</f>
        <v>M957D</v>
      </c>
      <c r="AJ1" s="438" t="str">
        <f>Настройки!U1</f>
        <v>M957O</v>
      </c>
      <c r="AK1" s="438" t="str">
        <f>Настройки!V1</f>
        <v>M947R</v>
      </c>
      <c r="AL1" s="438" t="str">
        <f>Настройки!W1</f>
        <v>M931V</v>
      </c>
      <c r="AM1" s="438" t="str">
        <f>Настройки!X1</f>
        <v>M931T</v>
      </c>
      <c r="AN1" s="438" t="str">
        <f>Настройки!Y1</f>
        <v>M547A</v>
      </c>
      <c r="AO1" s="438" t="str">
        <f>Настройки!Z1</f>
        <v>M537V</v>
      </c>
      <c r="AP1" s="438" t="str">
        <f>Настройки!AA1</f>
        <v>M557D</v>
      </c>
      <c r="AQ1" s="438" t="str">
        <f>Настройки!AB1</f>
        <v>M557O</v>
      </c>
      <c r="AR1" s="438" t="str">
        <f>Настройки!AC1</f>
        <v>MOPS</v>
      </c>
      <c r="AS1" s="438" t="str">
        <f>Настройки!AD1</f>
        <v>MUPS</v>
      </c>
      <c r="AT1" s="439" t="str">
        <f>Настройки!AB1</f>
        <v>M557O</v>
      </c>
      <c r="AU1" s="439" t="str">
        <f>Настройки!AC1</f>
        <v>MOPS</v>
      </c>
      <c r="AV1" s="439" t="str">
        <f>Настройки!AD1</f>
        <v>MUPS</v>
      </c>
      <c r="AW1" s="439" t="str">
        <f>Настройки!AE1</f>
        <v>M941A</v>
      </c>
      <c r="AX1" s="439" t="str">
        <f>Настройки!AF1</f>
        <v>M954D</v>
      </c>
      <c r="AY1" s="439" t="str">
        <f>Настройки!AG1</f>
        <v>M557DR</v>
      </c>
      <c r="AZ1" s="439" t="str">
        <f>Настройки!AH1</f>
        <v>M558D</v>
      </c>
      <c r="BA1" s="439" t="str">
        <f>Настройки!AI1</f>
        <v>M558O</v>
      </c>
      <c r="BB1" s="439" t="str">
        <f>Настройки!AJ1</f>
        <v>M548A</v>
      </c>
      <c r="BC1" s="439" t="str">
        <f>Настройки!AK1</f>
        <v>M538V</v>
      </c>
      <c r="BD1" s="439" t="str">
        <f>Настройки!AL1</f>
        <v>M558DR</v>
      </c>
      <c r="BE1" s="439" t="str">
        <f>Настройки!AM1</f>
        <v>*</v>
      </c>
    </row>
    <row r="2" spans="1:57">
      <c r="A2" s="446" t="str">
        <f>"//*********** "&amp;Q2&amp;" ***********"</f>
        <v>//*********** Задвижка FB с буферизацией ***********</v>
      </c>
      <c r="B2" s="446"/>
      <c r="C2" s="446"/>
      <c r="D2" s="446"/>
      <c r="E2" s="446"/>
      <c r="F2" s="446" t="s">
        <v>1031</v>
      </c>
      <c r="G2" s="447"/>
      <c r="H2" s="447"/>
      <c r="I2" s="459"/>
      <c r="J2" s="459"/>
      <c r="M2" s="424" t="str">
        <f>'Конфигурация TREI'!A3</f>
        <v>BR1</v>
      </c>
      <c r="N2" s="461" t="str">
        <f>'Конфигурация TREI'!B3</f>
        <v>M558D</v>
      </c>
      <c r="P2" s="2" t="s">
        <v>1821</v>
      </c>
      <c r="Q2" s="449" t="s">
        <v>1810</v>
      </c>
      <c r="R2" s="379"/>
      <c r="S2" s="379" t="s">
        <v>1223</v>
      </c>
      <c r="T2" s="379" t="s">
        <v>1224</v>
      </c>
      <c r="U2" s="379" t="s">
        <v>1225</v>
      </c>
      <c r="V2" s="379" t="s">
        <v>1226</v>
      </c>
      <c r="W2" s="379" t="s">
        <v>1227</v>
      </c>
      <c r="X2" s="379" t="s">
        <v>1228</v>
      </c>
      <c r="Y2" s="379" t="s">
        <v>1229</v>
      </c>
      <c r="Z2" s="379" t="s">
        <v>1866</v>
      </c>
      <c r="AA2" s="379"/>
      <c r="AB2" s="379"/>
      <c r="AC2" s="379"/>
      <c r="AD2" s="378"/>
      <c r="AE2" s="431">
        <f>Настройки!P2</f>
        <v>1</v>
      </c>
      <c r="AF2" s="380">
        <f>Настройки!Q2</f>
        <v>0</v>
      </c>
      <c r="AG2" s="380" t="str">
        <f>Настройки!R2</f>
        <v>IDIG_1_1</v>
      </c>
      <c r="AH2" s="380" t="str">
        <f>Настройки!S2</f>
        <v>IANS_1_3</v>
      </c>
      <c r="AI2" s="380" t="str">
        <f>Настройки!T2</f>
        <v>out0</v>
      </c>
      <c r="AJ2" s="380" t="str">
        <f>Настройки!U2</f>
        <v>out0</v>
      </c>
      <c r="AK2" s="380" t="str">
        <f>Настройки!V2</f>
        <v>ODIG_1</v>
      </c>
      <c r="AL2" s="380" t="str">
        <f>Настройки!W2</f>
        <v>OAN_1_1</v>
      </c>
      <c r="AM2" s="380" t="str">
        <f>Настройки!X2</f>
        <v>IANS_1_1</v>
      </c>
      <c r="AN2" s="380" t="str">
        <f>Настройки!Y2</f>
        <v>Canal_01</v>
      </c>
      <c r="AO2" s="380" t="str">
        <f>Настройки!Z2</f>
        <v>Canal_01</v>
      </c>
      <c r="AP2" s="380" t="str">
        <f>Настройки!AA2</f>
        <v>Canal_01</v>
      </c>
      <c r="AQ2" s="380" t="str">
        <f>Настройки!AB2</f>
        <v>Canal_01</v>
      </c>
      <c r="AR2" s="380" t="str">
        <f>Настройки!AC2</f>
        <v>IVXX[0]</v>
      </c>
      <c r="AS2" s="380" t="str">
        <f>Настройки!AD2</f>
        <v>IVXX[0]</v>
      </c>
      <c r="AT2" s="207" t="str">
        <f>Настройки!AB2</f>
        <v>Canal_01</v>
      </c>
      <c r="AU2" s="207" t="str">
        <f>Настройки!AC2</f>
        <v>IVXX[0]</v>
      </c>
      <c r="AV2" s="207" t="str">
        <f>Настройки!AD2</f>
        <v>IVXX[0]</v>
      </c>
      <c r="AW2" s="207" t="str">
        <f>Настройки!AE2</f>
        <v>IANS_1_1</v>
      </c>
      <c r="AX2" s="207" t="str">
        <f>Настройки!AF2</f>
        <v>IDIG_1_1</v>
      </c>
      <c r="AY2" s="207" t="str">
        <f>Настройки!AG2</f>
        <v>Canal_01</v>
      </c>
      <c r="AZ2" s="207" t="str">
        <f>Настройки!AH2</f>
        <v>Canal_01</v>
      </c>
      <c r="BA2" s="207" t="str">
        <f>Настройки!AI2</f>
        <v>Canal_01</v>
      </c>
      <c r="BB2" s="207" t="str">
        <f>Настройки!AJ2</f>
        <v>Canal_01</v>
      </c>
      <c r="BC2" s="207" t="str">
        <f>Настройки!AK2</f>
        <v>Canal_01</v>
      </c>
      <c r="BD2" s="207" t="str">
        <f>Настройки!AL2</f>
        <v>Canal_01</v>
      </c>
      <c r="BE2" s="207" t="str">
        <f>Настройки!AM2</f>
        <v>-</v>
      </c>
    </row>
    <row r="3" spans="1:57">
      <c r="A3" s="82"/>
      <c r="B3" s="82"/>
      <c r="C3" s="81"/>
      <c r="D3" s="81"/>
      <c r="E3" s="448" t="str">
        <f ca="1">IF(LEFT(E8,3)="out","INT_TO_BIT_BR"&amp;C8&amp;"(BR"&amp;C8&amp;".IDIG_MASK)","УДАЛИТЬ")</f>
        <v>УДАЛИТЬ</v>
      </c>
      <c r="F3" s="446" t="s">
        <v>845</v>
      </c>
      <c r="G3" s="447"/>
      <c r="H3" s="447"/>
      <c r="I3" s="459"/>
      <c r="J3" s="459"/>
      <c r="M3" s="424" t="str">
        <f>'Конфигурация TREI'!A4</f>
        <v>BR2</v>
      </c>
      <c r="N3" s="461" t="str">
        <f>'Конфигурация TREI'!B4</f>
        <v>M548A</v>
      </c>
      <c r="P3" s="425" t="str">
        <f>'Конфигурация TREI'!D1</f>
        <v>Путь TREI для сигналов NOT_LINK</v>
      </c>
      <c r="R3" s="378"/>
      <c r="S3" s="454" t="str">
        <f>SUBSTITUTE(SUBSTITUTE($S$2,"!","")," ","")</f>
        <v>7+6</v>
      </c>
      <c r="T3" s="454" t="str">
        <f>SUBSTITUTE(SUBSTITUTE($T$2,"!","")," ","")</f>
        <v>7+7</v>
      </c>
      <c r="U3" s="454" t="str">
        <f>SUBSTITUTE(SUBSTITUTE($U$2,"!","")," ","")</f>
        <v>7+8</v>
      </c>
      <c r="V3" s="454" t="str">
        <f>SUBSTITUTE(SUBSTITUTE($V$2,"!","")," ","")</f>
        <v>7+9</v>
      </c>
      <c r="W3" s="454" t="str">
        <f>SUBSTITUTE(SUBSTITUTE($W$2,"!","")," ","")</f>
        <v>7+11</v>
      </c>
      <c r="X3" s="454" t="str">
        <f>SUBSTITUTE(SUBSTITUTE($X$2,"!","")," ","")</f>
        <v>2+4</v>
      </c>
      <c r="Y3" s="454" t="str">
        <f>SUBSTITUTE(SUBSTITUTE($Y$2,"!","")," ","")</f>
        <v>2+5</v>
      </c>
      <c r="Z3" s="454" t="str">
        <f>SUBSTITUTE(SUBSTITUTE($Z$2,"!","")," ","")</f>
        <v>2+6</v>
      </c>
      <c r="AA3" s="454" t="str">
        <f>SUBSTITUTE(SUBSTITUTE($AA$2,"!","")," ","")</f>
        <v/>
      </c>
      <c r="AB3" s="454" t="str">
        <f>SUBSTITUTE(SUBSTITUTE($AB$2,"!","")," ","")</f>
        <v/>
      </c>
      <c r="AC3" s="454" t="str">
        <f>SUBSTITUTE(SUBSTITUTE($AC$2,"!","")," ","")</f>
        <v/>
      </c>
      <c r="AD3" s="378"/>
      <c r="AE3" s="431">
        <f>Настройки!P3</f>
        <v>2</v>
      </c>
      <c r="AF3" s="380">
        <f>Настройки!Q3</f>
        <v>0</v>
      </c>
      <c r="AG3" s="380" t="str">
        <f>Настройки!R3</f>
        <v>IDIG_1_2</v>
      </c>
      <c r="AH3" s="380" t="str">
        <f>Настройки!S3</f>
        <v>IANS_1_4</v>
      </c>
      <c r="AI3" s="380" t="str">
        <f>Настройки!T3</f>
        <v>out1</v>
      </c>
      <c r="AJ3" s="380" t="str">
        <f>Настройки!U3</f>
        <v>out1</v>
      </c>
      <c r="AK3" s="380" t="str">
        <f>Настройки!V3</f>
        <v>ODIG_2</v>
      </c>
      <c r="AL3" s="380" t="str">
        <f>Настройки!W3</f>
        <v>OAN_2_1</v>
      </c>
      <c r="AM3" s="380" t="str">
        <f>Настройки!X3</f>
        <v>IANS_2_1</v>
      </c>
      <c r="AN3" s="380" t="str">
        <f>Настройки!Y3</f>
        <v>Canal_02</v>
      </c>
      <c r="AO3" s="380" t="str">
        <f>Настройки!Z3</f>
        <v>Canal_02</v>
      </c>
      <c r="AP3" s="380" t="str">
        <f>Настройки!AA3</f>
        <v>Canal_02</v>
      </c>
      <c r="AQ3" s="380" t="str">
        <f>Настройки!AB3</f>
        <v>Canal_02</v>
      </c>
      <c r="AR3" s="380" t="str">
        <f>Настройки!AC3</f>
        <v>IVXX[1]</v>
      </c>
      <c r="AS3" s="380" t="str">
        <f>Настройки!AD3</f>
        <v>IVXX[1]</v>
      </c>
      <c r="AT3" s="207" t="str">
        <f>Настройки!AB3</f>
        <v>Canal_02</v>
      </c>
      <c r="AU3" s="207" t="str">
        <f>Настройки!AC3</f>
        <v>IVXX[1]</v>
      </c>
      <c r="AV3" s="207" t="str">
        <f>Настройки!AD3</f>
        <v>IVXX[1]</v>
      </c>
      <c r="AW3" s="207" t="str">
        <f>Настройки!AE3</f>
        <v>IANS_1_2</v>
      </c>
      <c r="AX3" s="207" t="str">
        <f>Настройки!AF3</f>
        <v>IDIG_1_2</v>
      </c>
      <c r="AY3" s="207" t="str">
        <f>Настройки!AG3</f>
        <v>Canal_02</v>
      </c>
      <c r="AZ3" s="207" t="str">
        <f>Настройки!AH3</f>
        <v>Canal_02</v>
      </c>
      <c r="BA3" s="207" t="str">
        <f>Настройки!AI3</f>
        <v>Canal_02</v>
      </c>
      <c r="BB3" s="207" t="str">
        <f>Настройки!AJ3</f>
        <v>Canal_02</v>
      </c>
      <c r="BC3" s="207" t="str">
        <f>Настройки!AK3</f>
        <v>Canal_02</v>
      </c>
      <c r="BD3" s="207" t="str">
        <f>Настройки!AL3</f>
        <v>Canal_02</v>
      </c>
      <c r="BE3" s="207" t="str">
        <f>Настройки!AM3</f>
        <v>-</v>
      </c>
    </row>
    <row r="4" spans="1:57">
      <c r="A4" s="82"/>
      <c r="B4" s="82"/>
      <c r="C4" s="81"/>
      <c r="D4" s="81"/>
      <c r="E4" s="448" t="str">
        <f ca="1">IF(LEFT(E9,3)="out","INT_TO_BIT_BR"&amp;C9&amp;"(BR"&amp;C9&amp;".IDIG_MASK)","УДАЛИТЬ")</f>
        <v>УДАЛИТЬ</v>
      </c>
      <c r="F4" s="446" t="s">
        <v>845</v>
      </c>
      <c r="G4" s="447"/>
      <c r="H4" s="447"/>
      <c r="I4" s="459"/>
      <c r="J4" s="459"/>
      <c r="M4" s="424" t="str">
        <f>'Конфигурация TREI'!A5</f>
        <v>BR3</v>
      </c>
      <c r="N4" s="461" t="str">
        <f>'Конфигурация TREI'!B5</f>
        <v>M548A</v>
      </c>
      <c r="P4" s="3" t="str">
        <f>Настройки!D2</f>
        <v/>
      </c>
      <c r="AE4" s="431">
        <f>Настройки!P4</f>
        <v>3</v>
      </c>
      <c r="AF4" s="380">
        <f>Настройки!Q4</f>
        <v>0</v>
      </c>
      <c r="AG4" s="380" t="str">
        <f>Настройки!R4</f>
        <v>IDIG_2_1</v>
      </c>
      <c r="AH4" s="380" t="str">
        <f>Настройки!S4</f>
        <v>IANS_2_3</v>
      </c>
      <c r="AI4" s="380" t="str">
        <f>Настройки!T4</f>
        <v>out2</v>
      </c>
      <c r="AJ4" s="380" t="str">
        <f>Настройки!U4</f>
        <v>out2</v>
      </c>
      <c r="AK4" s="380" t="str">
        <f>Настройки!V4</f>
        <v>ODIG_3</v>
      </c>
      <c r="AL4" s="380" t="str">
        <f>Настройки!W4</f>
        <v>OAN_3_1</v>
      </c>
      <c r="AM4" s="380" t="str">
        <f>Настройки!X4</f>
        <v>IANS_3_1</v>
      </c>
      <c r="AN4" s="380" t="str">
        <f>Настройки!Y4</f>
        <v>Canal_03</v>
      </c>
      <c r="AO4" s="380" t="str">
        <f>Настройки!Z4</f>
        <v>Canal_03</v>
      </c>
      <c r="AP4" s="380" t="str">
        <f>Настройки!AA4</f>
        <v>Canal_03</v>
      </c>
      <c r="AQ4" s="380" t="str">
        <f>Настройки!AB4</f>
        <v>Canal_03</v>
      </c>
      <c r="AR4" s="380" t="str">
        <f>Настройки!AC4</f>
        <v>IVXX[2]</v>
      </c>
      <c r="AS4" s="380" t="str">
        <f>Настройки!AD4</f>
        <v>IVXX[2]</v>
      </c>
      <c r="AT4" s="207" t="str">
        <f>Настройки!AB4</f>
        <v>Canal_03</v>
      </c>
      <c r="AU4" s="207" t="str">
        <f>Настройки!AC4</f>
        <v>IVXX[2]</v>
      </c>
      <c r="AV4" s="207" t="str">
        <f>Настройки!AD4</f>
        <v>IVXX[2]</v>
      </c>
      <c r="AW4" s="207" t="str">
        <f>Настройки!AE4</f>
        <v>IANS_2_1</v>
      </c>
      <c r="AX4" s="207" t="str">
        <f>Настройки!AF4</f>
        <v>IDIG_1_3</v>
      </c>
      <c r="AY4" s="207" t="str">
        <f>Настройки!AG4</f>
        <v>Canal_03</v>
      </c>
      <c r="AZ4" s="207" t="str">
        <f>Настройки!AH4</f>
        <v>Canal_03</v>
      </c>
      <c r="BA4" s="207" t="str">
        <f>Настройки!AI4</f>
        <v>Canal_03</v>
      </c>
      <c r="BB4" s="207" t="str">
        <f>Настройки!AJ4</f>
        <v>Canal_03</v>
      </c>
      <c r="BC4" s="207" t="str">
        <f>Настройки!AK4</f>
        <v>Canal_03</v>
      </c>
      <c r="BD4" s="207" t="str">
        <f>Настройки!AL4</f>
        <v>Canal_03</v>
      </c>
      <c r="BE4" s="207" t="str">
        <f>Настройки!AM4</f>
        <v>-</v>
      </c>
    </row>
    <row r="5" spans="1:57">
      <c r="A5" s="82"/>
      <c r="B5" s="82"/>
      <c r="C5" s="81"/>
      <c r="D5" s="81"/>
      <c r="E5" s="448" t="str">
        <f ca="1">IF(LEFT(E10,3)="out","INT_TO_BIT_BR"&amp;C10&amp;"(BR"&amp;C10&amp;".IDIG_MASK)","УДАЛИТЬ")</f>
        <v>УДАЛИТЬ</v>
      </c>
      <c r="F5" s="446" t="s">
        <v>845</v>
      </c>
      <c r="G5" s="447"/>
      <c r="H5" s="447"/>
      <c r="I5" s="459"/>
      <c r="J5" s="459"/>
      <c r="M5" s="424" t="str">
        <f>'Конфигурация TREI'!A6</f>
        <v>BR4</v>
      </c>
      <c r="N5" s="461" t="str">
        <f>'Конфигурация TREI'!B6</f>
        <v>M558D</v>
      </c>
      <c r="AE5" s="431">
        <f>Настройки!P5</f>
        <v>4</v>
      </c>
      <c r="AF5" s="380">
        <f>Настройки!Q5</f>
        <v>0</v>
      </c>
      <c r="AG5" s="380" t="str">
        <f>Настройки!R5</f>
        <v>IDIG_2_2</v>
      </c>
      <c r="AH5" s="380" t="str">
        <f>Настройки!S5</f>
        <v>IANS_2_4</v>
      </c>
      <c r="AI5" s="380" t="str">
        <f>Настройки!T5</f>
        <v>out3</v>
      </c>
      <c r="AJ5" s="380" t="str">
        <f>Настройки!U5</f>
        <v>out3</v>
      </c>
      <c r="AK5" s="380" t="str">
        <f>Настройки!V5</f>
        <v>ODIG_4</v>
      </c>
      <c r="AL5" s="380" t="str">
        <f>Настройки!W5</f>
        <v>OAN_4_1</v>
      </c>
      <c r="AM5" s="380" t="str">
        <f>Настройки!X5</f>
        <v>IANS_4_1</v>
      </c>
      <c r="AN5" s="380" t="str">
        <f>Настройки!Y5</f>
        <v>Canal_04</v>
      </c>
      <c r="AO5" s="380" t="str">
        <f>Настройки!Z5</f>
        <v>Canal_04</v>
      </c>
      <c r="AP5" s="380" t="str">
        <f>Настройки!AA5</f>
        <v>Canal_04</v>
      </c>
      <c r="AQ5" s="380" t="str">
        <f>Настройки!AB5</f>
        <v>Canal_04</v>
      </c>
      <c r="AR5" s="380" t="str">
        <f>Настройки!AC5</f>
        <v>IVXX[3]</v>
      </c>
      <c r="AS5" s="380" t="str">
        <f>Настройки!AD5</f>
        <v>IVXX[3]</v>
      </c>
      <c r="AT5" s="207" t="str">
        <f>Настройки!AB5</f>
        <v>Canal_04</v>
      </c>
      <c r="AU5" s="207" t="str">
        <f>Настройки!AC5</f>
        <v>IVXX[3]</v>
      </c>
      <c r="AV5" s="207" t="str">
        <f>Настройки!AD5</f>
        <v>IVXX[3]</v>
      </c>
      <c r="AW5" s="207" t="str">
        <f>Настройки!AE5</f>
        <v>IANS_2_2</v>
      </c>
      <c r="AX5" s="207" t="str">
        <f>Настройки!AF5</f>
        <v>IDIG_1_4</v>
      </c>
      <c r="AY5" s="207" t="str">
        <f>Настройки!AG5</f>
        <v>Canal_04</v>
      </c>
      <c r="AZ5" s="207" t="str">
        <f>Настройки!AH5</f>
        <v>Canal_04</v>
      </c>
      <c r="BA5" s="207" t="str">
        <f>Настройки!AI5</f>
        <v>Canal_04</v>
      </c>
      <c r="BB5" s="207" t="str">
        <f>Настройки!AJ5</f>
        <v>Canal_04</v>
      </c>
      <c r="BC5" s="207" t="str">
        <f>Настройки!AK5</f>
        <v>Canal_04</v>
      </c>
      <c r="BD5" s="207" t="str">
        <f>Настройки!AL5</f>
        <v>Canal_04</v>
      </c>
      <c r="BE5" s="207" t="str">
        <f>Настройки!AM5</f>
        <v>-</v>
      </c>
    </row>
    <row r="6" spans="1:57">
      <c r="A6" s="82"/>
      <c r="B6" s="82"/>
      <c r="C6" s="81"/>
      <c r="D6" s="81"/>
      <c r="E6" s="448" t="str">
        <f ca="1">IF(LEFT(E11,3)="out","INT_TO_BIT_BR"&amp;C11&amp;"(BR"&amp;C11&amp;".IDIG_MASK)","УДАЛИТЬ")</f>
        <v>УДАЛИТЬ</v>
      </c>
      <c r="F6" s="446" t="s">
        <v>845</v>
      </c>
      <c r="G6" s="447"/>
      <c r="H6" s="447"/>
      <c r="I6" s="459"/>
      <c r="J6" s="459"/>
      <c r="M6" s="424" t="str">
        <f>'Конфигурация TREI'!A7</f>
        <v>BR5</v>
      </c>
      <c r="N6" s="461" t="str">
        <f>'Конфигурация TREI'!B7</f>
        <v>M558O</v>
      </c>
      <c r="AE6" s="431">
        <f>Настройки!P6</f>
        <v>5</v>
      </c>
      <c r="AF6" s="380">
        <f>Настройки!Q6</f>
        <v>0</v>
      </c>
      <c r="AG6" s="380" t="str">
        <f>Настройки!R6</f>
        <v>IDIG_3_1</v>
      </c>
      <c r="AH6" s="380" t="str">
        <f>Настройки!S6</f>
        <v>IANS_3_3</v>
      </c>
      <c r="AI6" s="380" t="str">
        <f>Настройки!T6</f>
        <v>out4</v>
      </c>
      <c r="AJ6" s="380" t="str">
        <f>Настройки!U6</f>
        <v>out4</v>
      </c>
      <c r="AK6" s="380" t="str">
        <f>Настройки!V6</f>
        <v>ODIG_5</v>
      </c>
      <c r="AL6" s="380" t="str">
        <f>Настройки!W6</f>
        <v>OAN_5_1</v>
      </c>
      <c r="AM6" s="380" t="str">
        <f>Настройки!X6</f>
        <v>IANS_5_1</v>
      </c>
      <c r="AN6" s="380" t="str">
        <f>Настройки!Y6</f>
        <v>Canal_05</v>
      </c>
      <c r="AO6" s="380" t="str">
        <f>Настройки!Z6</f>
        <v>Canal_05</v>
      </c>
      <c r="AP6" s="380" t="str">
        <f>Настройки!AA6</f>
        <v>Canal_05</v>
      </c>
      <c r="AQ6" s="380" t="str">
        <f>Настройки!AB6</f>
        <v>Canal_05</v>
      </c>
      <c r="AR6" s="380" t="str">
        <f>Настройки!AC6</f>
        <v>IVXX[4]</v>
      </c>
      <c r="AS6" s="380" t="str">
        <f>Настройки!AD6</f>
        <v>IVXX[4]</v>
      </c>
      <c r="AT6" s="207" t="str">
        <f>Настройки!AB6</f>
        <v>Canal_05</v>
      </c>
      <c r="AU6" s="207" t="str">
        <f>Настройки!AC6</f>
        <v>IVXX[4]</v>
      </c>
      <c r="AV6" s="207" t="str">
        <f>Настройки!AD6</f>
        <v>IVXX[4]</v>
      </c>
      <c r="AW6" s="207" t="str">
        <f>Настройки!AE6</f>
        <v>IANS_3_1</v>
      </c>
      <c r="AX6" s="207" t="str">
        <f>Настройки!AF6</f>
        <v>IDIG_2_1</v>
      </c>
      <c r="AY6" s="207" t="str">
        <f>Настройки!AG6</f>
        <v>Canal_05</v>
      </c>
      <c r="AZ6" s="207" t="str">
        <f>Настройки!AH6</f>
        <v>Canal_05</v>
      </c>
      <c r="BA6" s="207" t="str">
        <f>Настройки!AI6</f>
        <v>Canal_05</v>
      </c>
      <c r="BB6" s="207" t="str">
        <f>Настройки!AJ6</f>
        <v>Canal_05</v>
      </c>
      <c r="BC6" s="207" t="str">
        <f>Настройки!AK6</f>
        <v>Canal_05</v>
      </c>
      <c r="BD6" s="207" t="str">
        <f>Настройки!AL6</f>
        <v>Canal_05</v>
      </c>
      <c r="BE6" s="207" t="str">
        <f>Настройки!AM6</f>
        <v>-</v>
      </c>
    </row>
    <row r="7" spans="1:57">
      <c r="A7" s="82"/>
      <c r="B7" s="82"/>
      <c r="C7" s="81"/>
      <c r="D7" s="81"/>
      <c r="E7" s="448" t="str">
        <f ca="1">IF(LEFT(E12,3)="out","INT_TO_BIT_BR"&amp;C12&amp;"(BR"&amp;C12&amp;".IDIG_MASK)","УДАЛИТЬ")</f>
        <v>УДАЛИТЬ</v>
      </c>
      <c r="F7" s="446" t="s">
        <v>845</v>
      </c>
      <c r="G7" s="447"/>
      <c r="H7" s="447"/>
      <c r="I7" s="459"/>
      <c r="J7" s="459"/>
      <c r="M7" s="424" t="str">
        <f>'Конфигурация TREI'!A8</f>
        <v>BR6</v>
      </c>
      <c r="N7" s="461" t="str">
        <f>'Конфигурация TREI'!B8</f>
        <v>M558O</v>
      </c>
      <c r="AE7" s="431">
        <f>Настройки!P7</f>
        <v>6</v>
      </c>
      <c r="AF7" s="380">
        <f>Настройки!Q7</f>
        <v>0</v>
      </c>
      <c r="AG7" s="380" t="str">
        <f>Настройки!R7</f>
        <v>IDIG_3_2</v>
      </c>
      <c r="AH7" s="380" t="str">
        <f>Настройки!S7</f>
        <v>IANS_3_4</v>
      </c>
      <c r="AI7" s="380" t="str">
        <f>Настройки!T7</f>
        <v>out5</v>
      </c>
      <c r="AJ7" s="380" t="str">
        <f>Настройки!U7</f>
        <v>out5</v>
      </c>
      <c r="AK7" s="380" t="str">
        <f>Настройки!V7</f>
        <v>ODIG_6</v>
      </c>
      <c r="AL7" s="380" t="str">
        <f>Настройки!W7</f>
        <v>OAN_6_1</v>
      </c>
      <c r="AM7" s="380" t="str">
        <f>Настройки!X7</f>
        <v>IANS_6_1</v>
      </c>
      <c r="AN7" s="380" t="str">
        <f>Настройки!Y7</f>
        <v>Canal_06</v>
      </c>
      <c r="AO7" s="380" t="str">
        <f>Настройки!Z7</f>
        <v>Canal_06</v>
      </c>
      <c r="AP7" s="380" t="str">
        <f>Настройки!AA7</f>
        <v>Canal_06</v>
      </c>
      <c r="AQ7" s="380" t="str">
        <f>Настройки!AB7</f>
        <v>Canal_06</v>
      </c>
      <c r="AR7" s="380" t="str">
        <f>Настройки!AC7</f>
        <v>IVXX[5]</v>
      </c>
      <c r="AS7" s="380" t="str">
        <f>Настройки!AD7</f>
        <v>IVXX[5]</v>
      </c>
      <c r="AT7" s="207" t="str">
        <f>Настройки!AB7</f>
        <v>Canal_06</v>
      </c>
      <c r="AU7" s="207" t="str">
        <f>Настройки!AC7</f>
        <v>IVXX[5]</v>
      </c>
      <c r="AV7" s="207" t="str">
        <f>Настройки!AD7</f>
        <v>IVXX[5]</v>
      </c>
      <c r="AW7" s="207" t="str">
        <f>Настройки!AE7</f>
        <v>IANS_3_2</v>
      </c>
      <c r="AX7" s="207" t="str">
        <f>Настройки!AF7</f>
        <v>IDIG_2_2</v>
      </c>
      <c r="AY7" s="207" t="str">
        <f>Настройки!AG7</f>
        <v>Canal_06</v>
      </c>
      <c r="AZ7" s="207" t="str">
        <f>Настройки!AH7</f>
        <v>Canal_06</v>
      </c>
      <c r="BA7" s="207" t="str">
        <f>Настройки!AI7</f>
        <v>Canal_06</v>
      </c>
      <c r="BB7" s="207" t="str">
        <f>Настройки!AJ7</f>
        <v>Canal_06</v>
      </c>
      <c r="BC7" s="207" t="str">
        <f>Настройки!AK7</f>
        <v>Canal_06</v>
      </c>
      <c r="BD7" s="207" t="str">
        <f>Настройки!AL7</f>
        <v>Canal_06</v>
      </c>
      <c r="BE7" s="207" t="str">
        <f>Настройки!AM7</f>
        <v>-</v>
      </c>
    </row>
    <row r="8" spans="1:57">
      <c r="A8" s="448" t="str">
        <f>SUBSTITUTE($P$2,"\","|")&amp;"|"&amp; $S$1 &amp;":="&amp;IF(LEFT(SUBSTITUTE($S$2," ",""),1)="!","NOT  ","")</f>
        <v>KMZ1_BUF|IONX:=</v>
      </c>
      <c r="B8" s="448" t="str">
        <f ca="1">IF(LEFT(E8,3)="out","INT_TO_BIT_BR","BR")</f>
        <v>BR</v>
      </c>
      <c r="C8" s="446" t="str">
        <f>LEFT($S$3,FIND("+",$S$3,1)-1)</f>
        <v>7</v>
      </c>
      <c r="D8" s="446" t="s">
        <v>178</v>
      </c>
      <c r="E8" s="446" t="str">
        <f ca="1">IF($S$2=0,"УДАЛИТЬ",IFERROR(IF(OR($I8="-",$H8="0"),"КАНАЛ ОТСУТСТВУЕТ",IF($I8=0,"МОДУЛЬ ОТСУТСТВУЕТ",$I8)),"ОШИБКА ФОРМАТА"))</f>
        <v>Canal_06</v>
      </c>
      <c r="F8" s="446" t="s">
        <v>845</v>
      </c>
      <c r="G8" s="447" t="str">
        <f>INDEX($N$2:$N$61,C8)</f>
        <v>M558O</v>
      </c>
      <c r="H8" s="447" t="str">
        <f>RIGHT(S$3,LEN(S$3)-FIND("+",S$3,1))</f>
        <v>6</v>
      </c>
      <c r="I8" s="460" t="str">
        <f ca="1">INDIRECT(ADDRESS($H8+1,MATCH($G8,$1:$1,),1))</f>
        <v>Canal_06</v>
      </c>
      <c r="J8" s="459"/>
      <c r="M8" s="424" t="str">
        <f>'Конфигурация TREI'!A9</f>
        <v>BR7</v>
      </c>
      <c r="N8" s="461" t="str">
        <f>'Конфигурация TREI'!B9</f>
        <v>M558O</v>
      </c>
      <c r="AE8" s="431">
        <f>Настройки!P8</f>
        <v>7</v>
      </c>
      <c r="AF8" s="380">
        <f>Настройки!Q8</f>
        <v>0</v>
      </c>
      <c r="AG8" s="380" t="str">
        <f>Настройки!R8</f>
        <v>IDIG_4_1</v>
      </c>
      <c r="AH8" s="380" t="str">
        <f>Настройки!S8</f>
        <v>IANS_4_3</v>
      </c>
      <c r="AI8" s="380" t="str">
        <f>Настройки!T8</f>
        <v>out6</v>
      </c>
      <c r="AJ8" s="380" t="str">
        <f>Настройки!U8</f>
        <v>out6</v>
      </c>
      <c r="AK8" s="380" t="str">
        <f>Настройки!V8</f>
        <v>ODIG_7</v>
      </c>
      <c r="AL8" s="380" t="str">
        <f>Настройки!W8</f>
        <v>OAN_7_1</v>
      </c>
      <c r="AM8" s="380" t="str">
        <f>Настройки!X8</f>
        <v>IANS_7_1</v>
      </c>
      <c r="AN8" s="380" t="str">
        <f>Настройки!Y8</f>
        <v>Canal_07</v>
      </c>
      <c r="AO8" s="380" t="str">
        <f>Настройки!Z8</f>
        <v>Canal_07</v>
      </c>
      <c r="AP8" s="380" t="str">
        <f>Настройки!AA8</f>
        <v>Canal_07</v>
      </c>
      <c r="AQ8" s="380" t="str">
        <f>Настройки!AB8</f>
        <v>Canal_07</v>
      </c>
      <c r="AR8" s="380" t="str">
        <f>Настройки!AC8</f>
        <v>IVXX[6]</v>
      </c>
      <c r="AS8" s="380" t="str">
        <f>Настройки!AD8</f>
        <v>IVXX[6]</v>
      </c>
      <c r="AT8" s="207" t="str">
        <f>Настройки!AB8</f>
        <v>Canal_07</v>
      </c>
      <c r="AU8" s="207" t="str">
        <f>Настройки!AC8</f>
        <v>IVXX[6]</v>
      </c>
      <c r="AV8" s="207" t="str">
        <f>Настройки!AD8</f>
        <v>IVXX[6]</v>
      </c>
      <c r="AW8" s="207" t="str">
        <f>Настройки!AE8</f>
        <v>IANS_4_1</v>
      </c>
      <c r="AX8" s="207" t="str">
        <f>Настройки!AF8</f>
        <v>IDIG_2_3</v>
      </c>
      <c r="AY8" s="207" t="str">
        <f>Настройки!AG8</f>
        <v>Canal_07</v>
      </c>
      <c r="AZ8" s="207" t="str">
        <f>Настройки!AH8</f>
        <v>Canal_07</v>
      </c>
      <c r="BA8" s="207" t="str">
        <f>Настройки!AI8</f>
        <v>Canal_07</v>
      </c>
      <c r="BB8" s="207" t="str">
        <f>Настройки!AJ8</f>
        <v>Canal_07</v>
      </c>
      <c r="BC8" s="207" t="str">
        <f>Настройки!AK8</f>
        <v>Canal_07</v>
      </c>
      <c r="BD8" s="207" t="str">
        <f>Настройки!AL8</f>
        <v>Canal_07</v>
      </c>
      <c r="BE8" s="207" t="str">
        <f>Настройки!AM8</f>
        <v>-</v>
      </c>
    </row>
    <row r="9" spans="1:57">
      <c r="A9" s="448" t="str">
        <f>SUBSTITUTE($P$2,"\","|")&amp;"|"&amp; $T$1 &amp;":="&amp;IF(LEFT(SUBSTITUTE($T$2," ",""),1)="!","NOT  ","")</f>
        <v>KMZ1_BUF|IOFX:=</v>
      </c>
      <c r="B9" s="448" t="str">
        <f ca="1">IF(LEFT(E9,3)="out","INT_TO_BIT_BR","BR")</f>
        <v>BR</v>
      </c>
      <c r="C9" s="446" t="str">
        <f>LEFT($T$3,FIND("+",$T$3,1)-1)</f>
        <v>7</v>
      </c>
      <c r="D9" s="446" t="s">
        <v>178</v>
      </c>
      <c r="E9" s="446" t="str">
        <f ca="1">IF($T$2=0,"УДАЛИТЬ",IFERROR(IF(OR($I9="-",$H9="0"),"КАНАЛ ОТСУТСТВУЕТ",IF($I9=0,"МОДУЛЬ ОТСУТСТВУЕТ",$I9)),"ОШИБКА ФОРМАТА"))</f>
        <v>Canal_07</v>
      </c>
      <c r="F9" s="446" t="s">
        <v>845</v>
      </c>
      <c r="G9" s="447" t="str">
        <f>INDEX($N$2:$N$61,C9)</f>
        <v>M558O</v>
      </c>
      <c r="H9" s="447" t="str">
        <f>RIGHT(T$3,LEN(T$3)-FIND("+",T$3,1))</f>
        <v>7</v>
      </c>
      <c r="I9" s="460" t="str">
        <f ca="1">INDIRECT(ADDRESS($H9+1,MATCH($G9,$1:$1,),1))</f>
        <v>Canal_07</v>
      </c>
      <c r="J9" s="459"/>
      <c r="M9" s="424" t="str">
        <f>'Конфигурация TREI'!A10</f>
        <v>BR8</v>
      </c>
      <c r="N9" s="461" t="str">
        <f>'Конфигурация TREI'!B10</f>
        <v>M558O</v>
      </c>
      <c r="AE9" s="431">
        <f>Настройки!P9</f>
        <v>8</v>
      </c>
      <c r="AF9" s="380">
        <f>Настройки!Q9</f>
        <v>0</v>
      </c>
      <c r="AG9" s="380" t="str">
        <f>Настройки!R9</f>
        <v>IDIG_4_2</v>
      </c>
      <c r="AH9" s="380" t="str">
        <f>Настройки!S9</f>
        <v>IANS_4_4</v>
      </c>
      <c r="AI9" s="380" t="str">
        <f>Настройки!T9</f>
        <v>out7</v>
      </c>
      <c r="AJ9" s="380" t="str">
        <f>Настройки!U9</f>
        <v>out7</v>
      </c>
      <c r="AK9" s="380" t="str">
        <f>Настройки!V9</f>
        <v>ODIG_8</v>
      </c>
      <c r="AL9" s="380" t="str">
        <f>Настройки!W9</f>
        <v>OAN_8_1</v>
      </c>
      <c r="AM9" s="380" t="str">
        <f>Настройки!X9</f>
        <v>IANS_8_1</v>
      </c>
      <c r="AN9" s="380" t="str">
        <f>Настройки!Y9</f>
        <v>Canal_08</v>
      </c>
      <c r="AO9" s="380" t="str">
        <f>Настройки!Z9</f>
        <v>Canal_08</v>
      </c>
      <c r="AP9" s="380" t="str">
        <f>Настройки!AA9</f>
        <v>Canal_08</v>
      </c>
      <c r="AQ9" s="380" t="str">
        <f>Настройки!AB9</f>
        <v>Canal_08</v>
      </c>
      <c r="AR9" s="380" t="str">
        <f>Настройки!AC9</f>
        <v>IVXX[7]</v>
      </c>
      <c r="AS9" s="380" t="str">
        <f>Настройки!AD9</f>
        <v>IVXX[7]</v>
      </c>
      <c r="AT9" s="207" t="str">
        <f>Настройки!AB9</f>
        <v>Canal_08</v>
      </c>
      <c r="AU9" s="207" t="str">
        <f>Настройки!AC9</f>
        <v>IVXX[7]</v>
      </c>
      <c r="AV9" s="207" t="str">
        <f>Настройки!AD9</f>
        <v>IVXX[7]</v>
      </c>
      <c r="AW9" s="207" t="str">
        <f>Настройки!AE9</f>
        <v>IANS_4_2</v>
      </c>
      <c r="AX9" s="207" t="str">
        <f>Настройки!AF9</f>
        <v>IDIG_2_4</v>
      </c>
      <c r="AY9" s="207" t="str">
        <f>Настройки!AG9</f>
        <v>Canal_08</v>
      </c>
      <c r="AZ9" s="207" t="str">
        <f>Настройки!AH9</f>
        <v>Canal_08</v>
      </c>
      <c r="BA9" s="207" t="str">
        <f>Настройки!AI9</f>
        <v>Canal_08</v>
      </c>
      <c r="BB9" s="207" t="str">
        <f>Настройки!AJ9</f>
        <v>Canal_08</v>
      </c>
      <c r="BC9" s="207" t="str">
        <f>Настройки!AK9</f>
        <v>Canal_08</v>
      </c>
      <c r="BD9" s="207" t="str">
        <f>Настройки!AL9</f>
        <v>Canal_08</v>
      </c>
      <c r="BE9" s="207" t="str">
        <f>Настройки!AM9</f>
        <v>-</v>
      </c>
    </row>
    <row r="10" spans="1:57">
      <c r="A10" s="448" t="str">
        <f>SUBSTITUTE($P$2,"\","|")&amp;"|"&amp; $U$1 &amp;":="&amp;IF(LEFT(SUBSTITUTE($U$2," ",""),1)="!","NOT  ","")</f>
        <v>KMZ1_BUF|ILCX:=</v>
      </c>
      <c r="B10" s="448" t="str">
        <f ca="1">IF(LEFT(E10,3)="out","INT_TO_BIT_BR","BR")</f>
        <v>BR</v>
      </c>
      <c r="C10" s="446" t="str">
        <f>LEFT($U$3,FIND("+",$U$3,1)-1)</f>
        <v>7</v>
      </c>
      <c r="D10" s="446" t="s">
        <v>178</v>
      </c>
      <c r="E10" s="446" t="str">
        <f ca="1">IF($U$2=0,"УДАЛИТЬ",IFERROR(IF(OR($I10="-",$H10="0"),"КАНАЛ ОТСУТСТВУЕТ",IF($I10=0,"МОДУЛЬ ОТСУТСТВУЕТ",$I10)),"ОШИБКА ФОРМАТА"))</f>
        <v>Canal_08</v>
      </c>
      <c r="F10" s="446" t="s">
        <v>845</v>
      </c>
      <c r="G10" s="447" t="str">
        <f>INDEX($N$2:$N$61,C10)</f>
        <v>M558O</v>
      </c>
      <c r="H10" s="447" t="str">
        <f>RIGHT($U$3,LEN($U$3)-FIND("+",$U$3,1))</f>
        <v>8</v>
      </c>
      <c r="I10" s="460" t="str">
        <f ca="1">INDIRECT(ADDRESS($H10+1,MATCH($G10,$1:$1,),1))</f>
        <v>Canal_08</v>
      </c>
      <c r="J10" s="459"/>
      <c r="M10" s="424" t="str">
        <f>'Конфигурация TREI'!A11</f>
        <v>BR9</v>
      </c>
      <c r="N10" s="461" t="str">
        <f>'Конфигурация TREI'!B11</f>
        <v>M558D</v>
      </c>
      <c r="AE10" s="431">
        <f>Настройки!P10</f>
        <v>9</v>
      </c>
      <c r="AF10" s="380">
        <f>Настройки!Q10</f>
        <v>0</v>
      </c>
      <c r="AG10" s="380" t="str">
        <f>Настройки!R10</f>
        <v>IDIG_5_1</v>
      </c>
      <c r="AH10" s="380" t="str">
        <f>Настройки!S10</f>
        <v>IANS_5_3</v>
      </c>
      <c r="AI10" s="380" t="str">
        <f>Настройки!T10</f>
        <v>out8</v>
      </c>
      <c r="AJ10" s="380" t="str">
        <f>Настройки!U10</f>
        <v>out8</v>
      </c>
      <c r="AK10" s="380" t="str">
        <f>Настройки!V10</f>
        <v>ODIG_9</v>
      </c>
      <c r="AL10" s="380" t="str">
        <f>Настройки!W10</f>
        <v>-</v>
      </c>
      <c r="AM10" s="380" t="str">
        <f>Настройки!X10</f>
        <v>-</v>
      </c>
      <c r="AN10" s="380" t="str">
        <f>Настройки!Y10</f>
        <v>Canal_09</v>
      </c>
      <c r="AO10" s="380" t="str">
        <f>Настройки!Z10</f>
        <v>-</v>
      </c>
      <c r="AP10" s="380" t="str">
        <f>Настройки!AA10</f>
        <v>Canal_09</v>
      </c>
      <c r="AQ10" s="380" t="str">
        <f>Настройки!AB10</f>
        <v>Canal_09</v>
      </c>
      <c r="AR10" s="380" t="str">
        <f>Настройки!AC10</f>
        <v>OCCH[0]</v>
      </c>
      <c r="AS10" s="380" t="str">
        <f>Настройки!AD10</f>
        <v>OCCH[0]</v>
      </c>
      <c r="AT10" s="207" t="str">
        <f>Настройки!AB10</f>
        <v>Canal_09</v>
      </c>
      <c r="AU10" s="207" t="str">
        <f>Настройки!AC10</f>
        <v>OCCH[0]</v>
      </c>
      <c r="AV10" s="207" t="str">
        <f>Настройки!AD10</f>
        <v>OCCH[0]</v>
      </c>
      <c r="AW10" s="207" t="str">
        <f>Настройки!AE10</f>
        <v>IANS_5_1</v>
      </c>
      <c r="AX10" s="207" t="str">
        <f>Настройки!AF10</f>
        <v>IDIG_3_1</v>
      </c>
      <c r="AY10" s="207" t="str">
        <f>Настройки!AG10</f>
        <v>Canal_09</v>
      </c>
      <c r="AZ10" s="207" t="str">
        <f>Настройки!AH10</f>
        <v>Canal_09</v>
      </c>
      <c r="BA10" s="207" t="str">
        <f>Настройки!AI10</f>
        <v>Canal_09</v>
      </c>
      <c r="BB10" s="207" t="str">
        <f>Настройки!AJ10</f>
        <v>Canal_09</v>
      </c>
      <c r="BC10" s="207" t="str">
        <f>Настройки!AK10</f>
        <v>-</v>
      </c>
      <c r="BD10" s="207" t="str">
        <f>Настройки!AL10</f>
        <v>Canal_09</v>
      </c>
      <c r="BE10" s="207" t="str">
        <f>Настройки!AM10</f>
        <v>-</v>
      </c>
    </row>
    <row r="11" spans="1:57">
      <c r="A11" s="448" t="str">
        <f>SUBSTITUTE($P$2,"\","|")&amp;"|"&amp; $V$1 &amp;":="&amp;IF(LEFT(SUBSTITUTE($V$2," ",""),1)="!","NOT  ","")</f>
        <v>KMZ1_BUF|IRCX:=</v>
      </c>
      <c r="B11" s="448" t="str">
        <f ca="1">IF(LEFT(E11,3)="out","INT_TO_BIT_BR","BR")</f>
        <v>BR</v>
      </c>
      <c r="C11" s="446" t="str">
        <f>LEFT($V$3,FIND("+",$V$3,1)-1)</f>
        <v>7</v>
      </c>
      <c r="D11" s="446" t="s">
        <v>178</v>
      </c>
      <c r="E11" s="446" t="str">
        <f ca="1">IF($V$2=0,"УДАЛИТЬ",IFERROR(IF(OR($I11="-",$H11="0"),"КАНАЛ ОТСУТСТВУЕТ",IF($I11=0,"МОДУЛЬ ОТСУТСТВУЕТ",$I11)),"ОШИБКА ФОРМАТА"))</f>
        <v>Canal_09</v>
      </c>
      <c r="F11" s="446" t="s">
        <v>845</v>
      </c>
      <c r="G11" s="447" t="str">
        <f>INDEX($N$2:$N$61,C11)</f>
        <v>M558O</v>
      </c>
      <c r="H11" s="447" t="str">
        <f>RIGHT($V$3,LEN($V$3)-FIND("+",$V$3,1))</f>
        <v>9</v>
      </c>
      <c r="I11" s="460" t="str">
        <f ca="1">INDIRECT(ADDRESS($H11+1,MATCH($G11,$1:$1,),1))</f>
        <v>Canal_09</v>
      </c>
      <c r="J11" s="459"/>
      <c r="M11" s="424" t="str">
        <f>'Конфигурация TREI'!A12</f>
        <v>BR10</v>
      </c>
      <c r="N11" s="461" t="str">
        <f>'Конфигурация TREI'!B12</f>
        <v>M558O</v>
      </c>
      <c r="AE11" s="431">
        <f>Настройки!P11</f>
        <v>10</v>
      </c>
      <c r="AF11" s="380">
        <f>Настройки!Q11</f>
        <v>0</v>
      </c>
      <c r="AG11" s="380" t="str">
        <f>Настройки!R11</f>
        <v>IDIG_5_2</v>
      </c>
      <c r="AH11" s="380" t="str">
        <f>Настройки!S11</f>
        <v>IANS_5_4</v>
      </c>
      <c r="AI11" s="380" t="str">
        <f>Настройки!T11</f>
        <v>out9</v>
      </c>
      <c r="AJ11" s="380" t="str">
        <f>Настройки!U11</f>
        <v>out9</v>
      </c>
      <c r="AK11" s="380" t="str">
        <f>Настройки!V11</f>
        <v>ODIG_10</v>
      </c>
      <c r="AL11" s="380" t="str">
        <f>Настройки!W11</f>
        <v>-</v>
      </c>
      <c r="AM11" s="380" t="str">
        <f>Настройки!X11</f>
        <v>-</v>
      </c>
      <c r="AN11" s="380" t="str">
        <f>Настройки!Y11</f>
        <v>Canal_10</v>
      </c>
      <c r="AO11" s="380" t="str">
        <f>Настройки!Z11</f>
        <v>-</v>
      </c>
      <c r="AP11" s="380" t="str">
        <f>Настройки!AA11</f>
        <v>Canal_10</v>
      </c>
      <c r="AQ11" s="380" t="str">
        <f>Настройки!AB11</f>
        <v>Canal_10</v>
      </c>
      <c r="AR11" s="380" t="str">
        <f>Настройки!AC11</f>
        <v>OCCH[1]</v>
      </c>
      <c r="AS11" s="380" t="str">
        <f>Настройки!AD11</f>
        <v>OCCH[1]</v>
      </c>
      <c r="AT11" s="207" t="str">
        <f>Настройки!AB11</f>
        <v>Canal_10</v>
      </c>
      <c r="AU11" s="207" t="str">
        <f>Настройки!AC11</f>
        <v>OCCH[1]</v>
      </c>
      <c r="AV11" s="207" t="str">
        <f>Настройки!AD11</f>
        <v>OCCH[1]</v>
      </c>
      <c r="AW11" s="207" t="str">
        <f>Настройки!AE11</f>
        <v>IANS_5_2</v>
      </c>
      <c r="AX11" s="207" t="str">
        <f>Настройки!AF11</f>
        <v>IDIG_3_2</v>
      </c>
      <c r="AY11" s="207" t="str">
        <f>Настройки!AG11</f>
        <v>Canal_10</v>
      </c>
      <c r="AZ11" s="207" t="str">
        <f>Настройки!AH11</f>
        <v>Canal_10</v>
      </c>
      <c r="BA11" s="207" t="str">
        <f>Настройки!AI11</f>
        <v>Canal_10</v>
      </c>
      <c r="BB11" s="207" t="str">
        <f>Настройки!AJ11</f>
        <v>Canal_10</v>
      </c>
      <c r="BC11" s="207" t="str">
        <f>Настройки!AK11</f>
        <v>-</v>
      </c>
      <c r="BD11" s="207" t="str">
        <f>Настройки!AL11</f>
        <v>Canal_10</v>
      </c>
      <c r="BE11" s="207" t="str">
        <f>Настройки!AM11</f>
        <v>-</v>
      </c>
    </row>
    <row r="12" spans="1:57">
      <c r="A12" s="448" t="str">
        <f>SUBSTITUTE($P$2,"\","|")&amp;"|"&amp; $W$1 &amp;":="&amp;IF(LEFT(SUBSTITUTE($W$2," ",""),1)="!","NOT  ","")</f>
        <v>KMZ1_BUF|IFXX:=</v>
      </c>
      <c r="B12" s="448" t="str">
        <f ca="1">IF(LEFT(E12,3)="out","INT_TO_BIT_BR","BR")</f>
        <v>BR</v>
      </c>
      <c r="C12" s="446" t="str">
        <f>LEFT($W$3,FIND("+",$W$3,1)-1)</f>
        <v>7</v>
      </c>
      <c r="D12" s="446" t="s">
        <v>178</v>
      </c>
      <c r="E12" s="446" t="str">
        <f ca="1">IF($W$2=0,"УДАЛИТЬ",IFERROR(IF(OR($I12="-",$H12="0"),"КАНАЛ ОТСУТСТВУЕТ",IF($I12=0,"МОДУЛЬ ОТСУТСТВУЕТ",$I12)),"ОШИБКА ФОРМАТА"))</f>
        <v>Canal_11</v>
      </c>
      <c r="F12" s="446" t="s">
        <v>845</v>
      </c>
      <c r="G12" s="447" t="str">
        <f>INDEX($N$2:$N$61,C12)</f>
        <v>M558O</v>
      </c>
      <c r="H12" s="447" t="str">
        <f>RIGHT($W$3,LEN($W$3)-FIND("+",$W$3,1))</f>
        <v>11</v>
      </c>
      <c r="I12" s="460" t="str">
        <f ca="1">INDIRECT(ADDRESS($H12+1,MATCH($G12,$1:$1,),1))</f>
        <v>Canal_11</v>
      </c>
      <c r="J12" s="459"/>
      <c r="M12" s="424" t="str">
        <f>'Конфигурация TREI'!A13</f>
        <v>BR11</v>
      </c>
      <c r="N12" s="461" t="str">
        <f>'Конфигурация TREI'!B13</f>
        <v>M558D</v>
      </c>
      <c r="AE12" s="431">
        <f>Настройки!P12</f>
        <v>11</v>
      </c>
      <c r="AF12" s="380">
        <f>Настройки!Q12</f>
        <v>0</v>
      </c>
      <c r="AG12" s="380" t="str">
        <f>Настройки!R12</f>
        <v>IDIG_6_1</v>
      </c>
      <c r="AH12" s="380" t="str">
        <f>Настройки!S12</f>
        <v>IANS_6_3</v>
      </c>
      <c r="AI12" s="380" t="str">
        <f>Настройки!T12</f>
        <v>out10</v>
      </c>
      <c r="AJ12" s="380" t="str">
        <f>Настройки!U12</f>
        <v>out10</v>
      </c>
      <c r="AK12" s="380" t="str">
        <f>Настройки!V12</f>
        <v>ODIG_11</v>
      </c>
      <c r="AL12" s="380" t="str">
        <f>Настройки!W12</f>
        <v>-</v>
      </c>
      <c r="AM12" s="380" t="str">
        <f>Настройки!X12</f>
        <v>-</v>
      </c>
      <c r="AN12" s="380" t="str">
        <f>Настройки!Y12</f>
        <v>Canal_11</v>
      </c>
      <c r="AO12" s="380" t="str">
        <f>Настройки!Z12</f>
        <v>-</v>
      </c>
      <c r="AP12" s="380" t="str">
        <f>Настройки!AA12</f>
        <v>Canal_11</v>
      </c>
      <c r="AQ12" s="380" t="str">
        <f>Настройки!AB12</f>
        <v>Canal_11</v>
      </c>
      <c r="AR12" s="380" t="str">
        <f>Настройки!AC12</f>
        <v>OCCH[2]</v>
      </c>
      <c r="AS12" s="380" t="str">
        <f>Настройки!AD12</f>
        <v>OCCH[2]</v>
      </c>
      <c r="AT12" s="207" t="str">
        <f>Настройки!AB12</f>
        <v>Canal_11</v>
      </c>
      <c r="AU12" s="207" t="str">
        <f>Настройки!AC12</f>
        <v>OCCH[2]</v>
      </c>
      <c r="AV12" s="207" t="str">
        <f>Настройки!AD12</f>
        <v>OCCH[2]</v>
      </c>
      <c r="AW12" s="207" t="str">
        <f>Настройки!AE12</f>
        <v>IANS_6_1</v>
      </c>
      <c r="AX12" s="207" t="str">
        <f>Настройки!AF12</f>
        <v>IDIG_3_3</v>
      </c>
      <c r="AY12" s="207" t="str">
        <f>Настройки!AG12</f>
        <v>Canal_11</v>
      </c>
      <c r="AZ12" s="207" t="str">
        <f>Настройки!AH12</f>
        <v>Canal_11</v>
      </c>
      <c r="BA12" s="207" t="str">
        <f>Настройки!AI12</f>
        <v>Canal_11</v>
      </c>
      <c r="BB12" s="207" t="str">
        <f>Настройки!AJ12</f>
        <v>Canal_11</v>
      </c>
      <c r="BC12" s="207" t="str">
        <f>Настройки!AK12</f>
        <v>-</v>
      </c>
      <c r="BD12" s="207" t="str">
        <f>Настройки!AL12</f>
        <v>Canal_11</v>
      </c>
      <c r="BE12" s="207" t="str">
        <f>Настройки!AM12</f>
        <v>-</v>
      </c>
    </row>
    <row r="13" spans="1:57">
      <c r="A13" s="448" t="str">
        <f>SUBSTITUTE($P$2,"\","|")&amp;"|"&amp;"D"&amp; RIGHT($S$1,3)&amp;":="&amp;P4&amp;"NOT_LINK_BR"</f>
        <v>KMZ1_BUF|DONX:=NOT_LINK_BR</v>
      </c>
      <c r="B13" s="448"/>
      <c r="C13" s="455"/>
      <c r="D13" s="446"/>
      <c r="E13" s="446" t="str">
        <f>IFERROR(LEFT($S$3,FIND("+",$S$3,1)-1),"УДАЛИТЬ")</f>
        <v>7</v>
      </c>
      <c r="F13" s="446" t="s">
        <v>845</v>
      </c>
      <c r="G13" s="447"/>
      <c r="H13" s="447"/>
      <c r="I13" s="459"/>
      <c r="J13" s="459"/>
      <c r="M13" s="424" t="str">
        <f>'Конфигурация TREI'!A14</f>
        <v>BR12</v>
      </c>
      <c r="N13" s="461" t="str">
        <f>'Конфигурация TREI'!B14</f>
        <v>M558D</v>
      </c>
      <c r="AE13" s="431">
        <f>Настройки!P13</f>
        <v>12</v>
      </c>
      <c r="AF13" s="380">
        <f>Настройки!Q13</f>
        <v>0</v>
      </c>
      <c r="AG13" s="380" t="str">
        <f>Настройки!R13</f>
        <v>IDIG_6_2</v>
      </c>
      <c r="AH13" s="380" t="str">
        <f>Настройки!S13</f>
        <v>IANS_6_4</v>
      </c>
      <c r="AI13" s="380" t="str">
        <f>Настройки!T13</f>
        <v>out11</v>
      </c>
      <c r="AJ13" s="380" t="str">
        <f>Настройки!U13</f>
        <v>out11</v>
      </c>
      <c r="AK13" s="380" t="str">
        <f>Настройки!V13</f>
        <v>ODIG_12</v>
      </c>
      <c r="AL13" s="380" t="str">
        <f>Настройки!W13</f>
        <v>-</v>
      </c>
      <c r="AM13" s="380" t="str">
        <f>Настройки!X13</f>
        <v>-</v>
      </c>
      <c r="AN13" s="380" t="str">
        <f>Настройки!Y13</f>
        <v>Canal_12</v>
      </c>
      <c r="AO13" s="380" t="str">
        <f>Настройки!Z13</f>
        <v>-</v>
      </c>
      <c r="AP13" s="380" t="str">
        <f>Настройки!AA13</f>
        <v>Canal_12</v>
      </c>
      <c r="AQ13" s="380" t="str">
        <f>Настройки!AB13</f>
        <v>Canal_12</v>
      </c>
      <c r="AR13" s="380" t="str">
        <f>Настройки!AC13</f>
        <v>OCCH[3]</v>
      </c>
      <c r="AS13" s="380" t="str">
        <f>Настройки!AD13</f>
        <v>OCCH[3]</v>
      </c>
      <c r="AT13" s="207" t="str">
        <f>Настройки!AB13</f>
        <v>Canal_12</v>
      </c>
      <c r="AU13" s="207" t="str">
        <f>Настройки!AC13</f>
        <v>OCCH[3]</v>
      </c>
      <c r="AV13" s="207" t="str">
        <f>Настройки!AD13</f>
        <v>OCCH[3]</v>
      </c>
      <c r="AW13" s="207" t="str">
        <f>Настройки!AE13</f>
        <v>IANS_6_2</v>
      </c>
      <c r="AX13" s="207" t="str">
        <f>Настройки!AF13</f>
        <v>IDIG_3_4</v>
      </c>
      <c r="AY13" s="207" t="str">
        <f>Настройки!AG13</f>
        <v>Canal_12</v>
      </c>
      <c r="AZ13" s="207" t="str">
        <f>Настройки!AH13</f>
        <v>Canal_12</v>
      </c>
      <c r="BA13" s="207" t="str">
        <f>Настройки!AI13</f>
        <v>Canal_12</v>
      </c>
      <c r="BB13" s="207" t="str">
        <f>Настройки!AJ13</f>
        <v>Canal_12</v>
      </c>
      <c r="BC13" s="207" t="str">
        <f>Настройки!AK13</f>
        <v>-</v>
      </c>
      <c r="BD13" s="207" t="str">
        <f>Настройки!AL13</f>
        <v>Canal_12</v>
      </c>
      <c r="BE13" s="207" t="str">
        <f>Настройки!AM13</f>
        <v>-</v>
      </c>
    </row>
    <row r="14" spans="1:57">
      <c r="A14" s="448" t="str">
        <f>SUBSTITUTE($P$2,"\","|")&amp;"|"&amp;"D"&amp; RIGHT($T$1,3)&amp;":="&amp;P4&amp;"NOT_LINK_BR"</f>
        <v>KMZ1_BUF|DOFX:=NOT_LINK_BR</v>
      </c>
      <c r="B14" s="448"/>
      <c r="C14" s="455"/>
      <c r="D14" s="446"/>
      <c r="E14" s="446" t="str">
        <f>IFERROR(LEFT($T$3,FIND("+",$T$3,1)-1),"УДАЛИТЬ")</f>
        <v>7</v>
      </c>
      <c r="F14" s="446" t="s">
        <v>845</v>
      </c>
      <c r="G14" s="447"/>
      <c r="H14" s="447"/>
      <c r="I14" s="459"/>
      <c r="J14" s="459"/>
      <c r="M14" s="424" t="str">
        <f>'Конфигурация TREI'!A15</f>
        <v>BR13</v>
      </c>
      <c r="N14" s="461" t="str">
        <f>'Конфигурация TREI'!B15</f>
        <v>M558D</v>
      </c>
      <c r="AE14" s="431">
        <f>Настройки!P14</f>
        <v>13</v>
      </c>
      <c r="AF14" s="380">
        <f>Настройки!Q14</f>
        <v>0</v>
      </c>
      <c r="AG14" s="380" t="str">
        <f>Настройки!R14</f>
        <v>IDIG_7_1</v>
      </c>
      <c r="AH14" s="380" t="str">
        <f>Настройки!S14</f>
        <v>IANS_7_3</v>
      </c>
      <c r="AI14" s="380" t="str">
        <f>Настройки!T14</f>
        <v>out12</v>
      </c>
      <c r="AJ14" s="380" t="str">
        <f>Настройки!U14</f>
        <v>out12</v>
      </c>
      <c r="AK14" s="380" t="str">
        <f>Настройки!V14</f>
        <v>ODIG_13</v>
      </c>
      <c r="AL14" s="380" t="str">
        <f>Настройки!W14</f>
        <v>-</v>
      </c>
      <c r="AM14" s="380" t="str">
        <f>Настройки!X14</f>
        <v>-</v>
      </c>
      <c r="AN14" s="380" t="str">
        <f>Настройки!Y14</f>
        <v>Canal_13</v>
      </c>
      <c r="AO14" s="380" t="str">
        <f>Настройки!Z14</f>
        <v>-</v>
      </c>
      <c r="AP14" s="380" t="str">
        <f>Настройки!AA14</f>
        <v>Canal_13</v>
      </c>
      <c r="AQ14" s="380" t="str">
        <f>Настройки!AB14</f>
        <v>Canal_13</v>
      </c>
      <c r="AR14" s="380" t="str">
        <f>Настройки!AC14</f>
        <v>OCCH[4]</v>
      </c>
      <c r="AS14" s="380" t="str">
        <f>Настройки!AD14</f>
        <v>OCCH[4]</v>
      </c>
      <c r="AT14" s="207" t="str">
        <f>Настройки!AB14</f>
        <v>Canal_13</v>
      </c>
      <c r="AU14" s="207" t="str">
        <f>Настройки!AC14</f>
        <v>OCCH[4]</v>
      </c>
      <c r="AV14" s="207" t="str">
        <f>Настройки!AD14</f>
        <v>OCCH[4]</v>
      </c>
      <c r="AW14" s="207" t="str">
        <f>Настройки!AE14</f>
        <v>IANS_7_1</v>
      </c>
      <c r="AX14" s="207" t="str">
        <f>Настройки!AF14</f>
        <v>IDIG_4_1</v>
      </c>
      <c r="AY14" s="207" t="str">
        <f>Настройки!AG14</f>
        <v>Canal_13</v>
      </c>
      <c r="AZ14" s="207" t="str">
        <f>Настройки!AH14</f>
        <v>Canal_13</v>
      </c>
      <c r="BA14" s="207" t="str">
        <f>Настройки!AI14</f>
        <v>Canal_13</v>
      </c>
      <c r="BB14" s="207" t="str">
        <f>Настройки!AJ14</f>
        <v>Canal_13</v>
      </c>
      <c r="BC14" s="207" t="str">
        <f>Настройки!AK14</f>
        <v>-</v>
      </c>
      <c r="BD14" s="207" t="str">
        <f>Настройки!AL14</f>
        <v>Canal_13</v>
      </c>
      <c r="BE14" s="207" t="str">
        <f>Настройки!AM14</f>
        <v>-</v>
      </c>
    </row>
    <row r="15" spans="1:57">
      <c r="A15" s="448" t="str">
        <f>SUBSTITUTE($P$2,"\","|")&amp;"|"&amp;"D"&amp; RIGHT($U$1,3)&amp;":="&amp;P4&amp;"NOT_LINK_BR"</f>
        <v>KMZ1_BUF|DLCX:=NOT_LINK_BR</v>
      </c>
      <c r="B15" s="448"/>
      <c r="C15" s="455"/>
      <c r="D15" s="446"/>
      <c r="E15" s="446" t="str">
        <f>IFERROR(LEFT($U$3,FIND("+",$U$3,1)-1),"УДАЛИТЬ")</f>
        <v>7</v>
      </c>
      <c r="F15" s="446" t="s">
        <v>845</v>
      </c>
      <c r="G15" s="447"/>
      <c r="H15" s="447"/>
      <c r="I15" s="459"/>
      <c r="J15" s="459"/>
      <c r="M15" s="424" t="str">
        <f>'Конфигурация TREI'!A16</f>
        <v>BR14</v>
      </c>
      <c r="N15" s="461" t="str">
        <f>'Конфигурация TREI'!B16</f>
        <v>M558D</v>
      </c>
      <c r="AE15" s="431">
        <f>Настройки!P15</f>
        <v>14</v>
      </c>
      <c r="AF15" s="380">
        <f>Настройки!Q15</f>
        <v>0</v>
      </c>
      <c r="AG15" s="380" t="str">
        <f>Настройки!R15</f>
        <v>IDIG_7_2</v>
      </c>
      <c r="AH15" s="380" t="str">
        <f>Настройки!S15</f>
        <v>IANS_7_4</v>
      </c>
      <c r="AI15" s="380" t="str">
        <f>Настройки!T15</f>
        <v>out13</v>
      </c>
      <c r="AJ15" s="380" t="str">
        <f>Настройки!U15</f>
        <v>out13</v>
      </c>
      <c r="AK15" s="380" t="str">
        <f>Настройки!V15</f>
        <v>ODIG_14</v>
      </c>
      <c r="AL15" s="380" t="str">
        <f>Настройки!W15</f>
        <v>-</v>
      </c>
      <c r="AM15" s="380" t="str">
        <f>Настройки!X15</f>
        <v>-</v>
      </c>
      <c r="AN15" s="380" t="str">
        <f>Настройки!Y15</f>
        <v>Canal_14</v>
      </c>
      <c r="AO15" s="380" t="str">
        <f>Настройки!Z15</f>
        <v>-</v>
      </c>
      <c r="AP15" s="380" t="str">
        <f>Настройки!AA15</f>
        <v>Canal_14</v>
      </c>
      <c r="AQ15" s="380" t="str">
        <f>Настройки!AB15</f>
        <v>Canal_14</v>
      </c>
      <c r="AR15" s="380" t="str">
        <f>Настройки!AC15</f>
        <v>OCCH[5]</v>
      </c>
      <c r="AS15" s="380" t="str">
        <f>Настройки!AD15</f>
        <v>OCCH[5]</v>
      </c>
      <c r="AT15" s="207" t="str">
        <f>Настройки!AB15</f>
        <v>Canal_14</v>
      </c>
      <c r="AU15" s="207" t="str">
        <f>Настройки!AC15</f>
        <v>OCCH[5]</v>
      </c>
      <c r="AV15" s="207" t="str">
        <f>Настройки!AD15</f>
        <v>OCCH[5]</v>
      </c>
      <c r="AW15" s="207" t="str">
        <f>Настройки!AE15</f>
        <v>IANS_7_2</v>
      </c>
      <c r="AX15" s="207" t="str">
        <f>Настройки!AF15</f>
        <v>IDIG_4_2</v>
      </c>
      <c r="AY15" s="207" t="str">
        <f>Настройки!AG15</f>
        <v>Canal_14</v>
      </c>
      <c r="AZ15" s="207" t="str">
        <f>Настройки!AH15</f>
        <v>Canal_14</v>
      </c>
      <c r="BA15" s="207" t="str">
        <f>Настройки!AI15</f>
        <v>Canal_14</v>
      </c>
      <c r="BB15" s="207" t="str">
        <f>Настройки!AJ15</f>
        <v>Canal_14</v>
      </c>
      <c r="BC15" s="207" t="str">
        <f>Настройки!AK15</f>
        <v>-</v>
      </c>
      <c r="BD15" s="207" t="str">
        <f>Настройки!AL15</f>
        <v>Canal_14</v>
      </c>
      <c r="BE15" s="207" t="str">
        <f>Настройки!AM15</f>
        <v>-</v>
      </c>
    </row>
    <row r="16" spans="1:57">
      <c r="A16" s="448" t="str">
        <f>SUBSTITUTE($P$2,"\","|")&amp;"|"&amp;"D"&amp; RIGHT($V$1,3)&amp;":="&amp;P4&amp;"NOT_LINK_BR"</f>
        <v>KMZ1_BUF|DRCX:=NOT_LINK_BR</v>
      </c>
      <c r="B16" s="448"/>
      <c r="C16" s="455"/>
      <c r="D16" s="446"/>
      <c r="E16" s="446" t="str">
        <f>IFERROR(LEFT($V$3,FIND("+",$V$3,1)-1),"УДАЛИТЬ")</f>
        <v>7</v>
      </c>
      <c r="F16" s="446" t="s">
        <v>845</v>
      </c>
      <c r="G16" s="447"/>
      <c r="H16" s="447"/>
      <c r="I16" s="459"/>
      <c r="J16" s="459"/>
      <c r="M16" s="424" t="str">
        <f>'Конфигурация TREI'!A17</f>
        <v>BR15</v>
      </c>
      <c r="N16" s="461" t="str">
        <f>'Конфигурация TREI'!B17</f>
        <v>M558O</v>
      </c>
      <c r="AE16" s="431">
        <f>Настройки!P16</f>
        <v>15</v>
      </c>
      <c r="AF16" s="380">
        <f>Настройки!Q16</f>
        <v>0</v>
      </c>
      <c r="AG16" s="380" t="str">
        <f>Настройки!R16</f>
        <v>IDIG_8_1</v>
      </c>
      <c r="AH16" s="380" t="str">
        <f>Настройки!S16</f>
        <v>IANS_8_3</v>
      </c>
      <c r="AI16" s="380" t="str">
        <f>Настройки!T16</f>
        <v>out14</v>
      </c>
      <c r="AJ16" s="380" t="str">
        <f>Настройки!U16</f>
        <v>out14</v>
      </c>
      <c r="AK16" s="380" t="str">
        <f>Настройки!V16</f>
        <v>ODIG_15</v>
      </c>
      <c r="AL16" s="380" t="str">
        <f>Настройки!W16</f>
        <v>-</v>
      </c>
      <c r="AM16" s="380" t="str">
        <f>Настройки!X16</f>
        <v>-</v>
      </c>
      <c r="AN16" s="380" t="str">
        <f>Настройки!Y16</f>
        <v>Canal_15</v>
      </c>
      <c r="AO16" s="380" t="str">
        <f>Настройки!Z16</f>
        <v>-</v>
      </c>
      <c r="AP16" s="380" t="str">
        <f>Настройки!AA16</f>
        <v>Canal_15</v>
      </c>
      <c r="AQ16" s="380" t="str">
        <f>Настройки!AB16</f>
        <v>Canal_15</v>
      </c>
      <c r="AR16" s="380" t="str">
        <f>Настройки!AC16</f>
        <v>OCCH[6]</v>
      </c>
      <c r="AS16" s="380" t="str">
        <f>Настройки!AD16</f>
        <v>OCCH[6]</v>
      </c>
      <c r="AT16" s="207" t="str">
        <f>Настройки!AB16</f>
        <v>Canal_15</v>
      </c>
      <c r="AU16" s="207" t="str">
        <f>Настройки!AC16</f>
        <v>OCCH[6]</v>
      </c>
      <c r="AV16" s="207" t="str">
        <f>Настройки!AD16</f>
        <v>OCCH[6]</v>
      </c>
      <c r="AW16" s="207" t="str">
        <f>Настройки!AE16</f>
        <v>IANS_8_1</v>
      </c>
      <c r="AX16" s="207" t="str">
        <f>Настройки!AF16</f>
        <v>IDIG_4_3</v>
      </c>
      <c r="AY16" s="207" t="str">
        <f>Настройки!AG16</f>
        <v>Canal_15</v>
      </c>
      <c r="AZ16" s="207" t="str">
        <f>Настройки!AH16</f>
        <v>Canal_15</v>
      </c>
      <c r="BA16" s="207" t="str">
        <f>Настройки!AI16</f>
        <v>Canal_15</v>
      </c>
      <c r="BB16" s="207" t="str">
        <f>Настройки!AJ16</f>
        <v>Canal_15</v>
      </c>
      <c r="BC16" s="207" t="str">
        <f>Настройки!AK16</f>
        <v>-</v>
      </c>
      <c r="BD16" s="207" t="str">
        <f>Настройки!AL16</f>
        <v>Canal_15</v>
      </c>
      <c r="BE16" s="207" t="str">
        <f>Настройки!AM16</f>
        <v>-</v>
      </c>
    </row>
    <row r="17" spans="1:57">
      <c r="A17" s="448" t="str">
        <f>SUBSTITUTE($P$2,"\","|")&amp;"|"&amp;"D"&amp; RIGHT($W$1,3)&amp;":="&amp;P4&amp;"NOT_LINK_BR"</f>
        <v>KMZ1_BUF|DFXX:=NOT_LINK_BR</v>
      </c>
      <c r="B17" s="448"/>
      <c r="C17" s="455"/>
      <c r="D17" s="446"/>
      <c r="E17" s="446" t="str">
        <f>IFERROR(LEFT($W$3,FIND("+",$W$3,1)-1),"УДАЛИТЬ")</f>
        <v>7</v>
      </c>
      <c r="F17" s="446" t="s">
        <v>845</v>
      </c>
      <c r="G17" s="447"/>
      <c r="H17" s="447"/>
      <c r="I17" s="459"/>
      <c r="J17" s="459"/>
      <c r="M17" s="424" t="str">
        <f>'Конфигурация TREI'!A18</f>
        <v>BR16</v>
      </c>
      <c r="N17" s="461" t="str">
        <f>'Конфигурация TREI'!B18</f>
        <v>M558O</v>
      </c>
      <c r="AE17" s="431">
        <f>Настройки!P17</f>
        <v>16</v>
      </c>
      <c r="AF17" s="380">
        <f>Настройки!Q17</f>
        <v>0</v>
      </c>
      <c r="AG17" s="380" t="str">
        <f>Настройки!R17</f>
        <v>IDIG_8_2</v>
      </c>
      <c r="AH17" s="380" t="str">
        <f>Настройки!S17</f>
        <v>IANS_8_4</v>
      </c>
      <c r="AI17" s="380" t="str">
        <f>Настройки!T17</f>
        <v>out15</v>
      </c>
      <c r="AJ17" s="380" t="str">
        <f>Настройки!U17</f>
        <v>out15</v>
      </c>
      <c r="AK17" s="380" t="str">
        <f>Настройки!V17</f>
        <v>ODIG_16</v>
      </c>
      <c r="AL17" s="380" t="str">
        <f>Настройки!W17</f>
        <v>-</v>
      </c>
      <c r="AM17" s="380" t="str">
        <f>Настройки!X17</f>
        <v>-</v>
      </c>
      <c r="AN17" s="380" t="str">
        <f>Настройки!Y17</f>
        <v>Canal_16</v>
      </c>
      <c r="AO17" s="380" t="str">
        <f>Настройки!Z17</f>
        <v>-</v>
      </c>
      <c r="AP17" s="380" t="str">
        <f>Настройки!AA17</f>
        <v>Canal_16</v>
      </c>
      <c r="AQ17" s="380" t="str">
        <f>Настройки!AB17</f>
        <v>Canal_16</v>
      </c>
      <c r="AR17" s="380" t="str">
        <f>Настройки!AC17</f>
        <v>OCCH[7]</v>
      </c>
      <c r="AS17" s="380" t="str">
        <f>Настройки!AD17</f>
        <v>OCCH[7]</v>
      </c>
      <c r="AT17" s="207" t="str">
        <f>Настройки!AB17</f>
        <v>Canal_16</v>
      </c>
      <c r="AU17" s="207" t="str">
        <f>Настройки!AC17</f>
        <v>OCCH[7]</v>
      </c>
      <c r="AV17" s="207" t="str">
        <f>Настройки!AD17</f>
        <v>OCCH[7]</v>
      </c>
      <c r="AW17" s="207" t="str">
        <f>Настройки!AE17</f>
        <v>IANS_8_2</v>
      </c>
      <c r="AX17" s="207" t="str">
        <f>Настройки!AF17</f>
        <v>IDIG_4_4</v>
      </c>
      <c r="AY17" s="207" t="str">
        <f>Настройки!AG17</f>
        <v>Canal_16</v>
      </c>
      <c r="AZ17" s="207" t="str">
        <f>Настройки!AH17</f>
        <v>Canal_16</v>
      </c>
      <c r="BA17" s="207" t="str">
        <f>Настройки!AI17</f>
        <v>Canal_16</v>
      </c>
      <c r="BB17" s="207" t="str">
        <f>Настройки!AJ17</f>
        <v>Canal_16</v>
      </c>
      <c r="BC17" s="207" t="str">
        <f>Настройки!AK17</f>
        <v>-</v>
      </c>
      <c r="BD17" s="207" t="str">
        <f>Настройки!AL17</f>
        <v>Canal_16</v>
      </c>
      <c r="BE17" s="207" t="str">
        <f>Настройки!AM17</f>
        <v>-</v>
      </c>
    </row>
    <row r="18" spans="1:57">
      <c r="A18" s="82"/>
      <c r="B18" s="82"/>
      <c r="C18" s="11"/>
      <c r="D18" s="81"/>
      <c r="E18" s="81"/>
      <c r="F18" s="81"/>
      <c r="G18" s="445"/>
      <c r="H18" s="445"/>
      <c r="I18" s="459"/>
      <c r="J18" s="459"/>
      <c r="M18" s="424" t="str">
        <f>'Конфигурация TREI'!A19</f>
        <v>BR17</v>
      </c>
      <c r="N18" s="461" t="str">
        <f>'Конфигурация TREI'!B19</f>
        <v>M558O</v>
      </c>
      <c r="AE18" s="428">
        <f>Настройки!P18</f>
        <v>17</v>
      </c>
      <c r="AF18" s="380">
        <f>Настройки!Q18</f>
        <v>0</v>
      </c>
      <c r="AG18" s="380" t="str">
        <f>Настройки!R18</f>
        <v>-</v>
      </c>
      <c r="AH18" s="380" t="str">
        <f>Настройки!S18</f>
        <v>-</v>
      </c>
      <c r="AI18" s="380" t="str">
        <f>Настройки!T18</f>
        <v>out16</v>
      </c>
      <c r="AJ18" s="380" t="str">
        <f>Настройки!U18</f>
        <v>out16</v>
      </c>
      <c r="AK18" s="380" t="str">
        <f>Настройки!V18</f>
        <v>-</v>
      </c>
      <c r="AL18" s="380" t="str">
        <f>Настройки!W18</f>
        <v>-</v>
      </c>
      <c r="AM18" s="380" t="str">
        <f>Настройки!X18</f>
        <v>-</v>
      </c>
      <c r="AN18" s="380" t="str">
        <f>Настройки!Y18</f>
        <v>-</v>
      </c>
      <c r="AO18" s="380" t="str">
        <f>Настройки!Z18</f>
        <v>-</v>
      </c>
      <c r="AP18" s="380" t="str">
        <f>Настройки!AA18</f>
        <v>Canal_17</v>
      </c>
      <c r="AQ18" s="380" t="str">
        <f>Настройки!AB18</f>
        <v>Canal_17</v>
      </c>
      <c r="AR18" s="380" t="str">
        <f>Настройки!AC18</f>
        <v>-</v>
      </c>
      <c r="AS18" s="380" t="str">
        <f>Настройки!AD18</f>
        <v>-</v>
      </c>
      <c r="AT18" s="207" t="str">
        <f>Настройки!AB18</f>
        <v>Canal_17</v>
      </c>
      <c r="AU18" s="207" t="str">
        <f>Настройки!AC18</f>
        <v>-</v>
      </c>
      <c r="AV18" s="207" t="str">
        <f>Настройки!AD18</f>
        <v>-</v>
      </c>
      <c r="AW18" s="207" t="str">
        <f>Настройки!AE18</f>
        <v>-</v>
      </c>
      <c r="AX18" s="207" t="str">
        <f>Настройки!AF18</f>
        <v>IDIG_5_1</v>
      </c>
      <c r="AY18" s="207" t="str">
        <f>Настройки!AG18</f>
        <v>Canal_17</v>
      </c>
      <c r="AZ18" s="207" t="str">
        <f>Настройки!AH18</f>
        <v>Canal_17</v>
      </c>
      <c r="BA18" s="207" t="str">
        <f>Настройки!AI18</f>
        <v>Canal_17</v>
      </c>
      <c r="BB18" s="207" t="str">
        <f>Настройки!AJ18</f>
        <v>-</v>
      </c>
      <c r="BC18" s="207" t="str">
        <f>Настройки!AK18</f>
        <v>-</v>
      </c>
      <c r="BD18" s="207" t="str">
        <f>Настройки!AL18</f>
        <v>Canal_17</v>
      </c>
      <c r="BE18" s="207" t="str">
        <f>Настройки!AM18</f>
        <v>-</v>
      </c>
    </row>
    <row r="19" spans="1:57">
      <c r="A19" s="82"/>
      <c r="B19" s="82"/>
      <c r="C19" s="11"/>
      <c r="D19" s="81"/>
      <c r="E19" s="81"/>
      <c r="F19" s="81"/>
      <c r="G19" s="445"/>
      <c r="H19" s="445"/>
      <c r="I19" s="459"/>
      <c r="J19" s="459"/>
      <c r="M19" s="424" t="str">
        <f>'Конфигурация TREI'!A20</f>
        <v>BR18</v>
      </c>
      <c r="N19" s="461" t="str">
        <f>'Конфигурация TREI'!B20</f>
        <v>M558O</v>
      </c>
      <c r="AE19" s="428">
        <f>Настройки!P19</f>
        <v>18</v>
      </c>
      <c r="AF19" s="380">
        <f>Настройки!Q19</f>
        <v>0</v>
      </c>
      <c r="AG19" s="380" t="str">
        <f>Настройки!R19</f>
        <v>-</v>
      </c>
      <c r="AH19" s="380" t="str">
        <f>Настройки!S19</f>
        <v>-</v>
      </c>
      <c r="AI19" s="380" t="str">
        <f>Настройки!T19</f>
        <v>out17</v>
      </c>
      <c r="AJ19" s="380" t="str">
        <f>Настройки!U19</f>
        <v>out17</v>
      </c>
      <c r="AK19" s="380" t="str">
        <f>Настройки!V19</f>
        <v>-</v>
      </c>
      <c r="AL19" s="380" t="str">
        <f>Настройки!W19</f>
        <v>-</v>
      </c>
      <c r="AM19" s="380" t="str">
        <f>Настройки!X19</f>
        <v>-</v>
      </c>
      <c r="AN19" s="380" t="str">
        <f>Настройки!Y19</f>
        <v>-</v>
      </c>
      <c r="AO19" s="380" t="str">
        <f>Настройки!Z19</f>
        <v>-</v>
      </c>
      <c r="AP19" s="380" t="str">
        <f>Настройки!AA19</f>
        <v>Canal_18</v>
      </c>
      <c r="AQ19" s="380" t="str">
        <f>Настройки!AB19</f>
        <v>Canal_18</v>
      </c>
      <c r="AR19" s="380" t="str">
        <f>Настройки!AC19</f>
        <v>-</v>
      </c>
      <c r="AS19" s="380" t="str">
        <f>Настройки!AD19</f>
        <v>-</v>
      </c>
      <c r="AT19" s="207" t="str">
        <f>Настройки!AB19</f>
        <v>Canal_18</v>
      </c>
      <c r="AU19" s="207" t="str">
        <f>Настройки!AC19</f>
        <v>-</v>
      </c>
      <c r="AV19" s="207" t="str">
        <f>Настройки!AD19</f>
        <v>-</v>
      </c>
      <c r="AW19" s="207" t="str">
        <f>Настройки!AE19</f>
        <v>-</v>
      </c>
      <c r="AX19" s="207" t="str">
        <f>Настройки!AF19</f>
        <v>IDIG_5_2</v>
      </c>
      <c r="AY19" s="207" t="str">
        <f>Настройки!AG19</f>
        <v>Canal_18</v>
      </c>
      <c r="AZ19" s="207" t="str">
        <f>Настройки!AH19</f>
        <v>Canal_18</v>
      </c>
      <c r="BA19" s="207" t="str">
        <f>Настройки!AI19</f>
        <v>Canal_18</v>
      </c>
      <c r="BB19" s="207" t="str">
        <f>Настройки!AJ19</f>
        <v>-</v>
      </c>
      <c r="BC19" s="207" t="str">
        <f>Настройки!AK19</f>
        <v>-</v>
      </c>
      <c r="BD19" s="207" t="str">
        <f>Настройки!AL19</f>
        <v>Canal_18</v>
      </c>
      <c r="BE19" s="207" t="str">
        <f>Настройки!AM19</f>
        <v>-</v>
      </c>
    </row>
    <row r="20" spans="1:57">
      <c r="A20" s="82"/>
      <c r="B20" s="82"/>
      <c r="C20" s="11"/>
      <c r="D20" s="81"/>
      <c r="E20" s="81"/>
      <c r="F20" s="81"/>
      <c r="G20" s="445"/>
      <c r="H20" s="445"/>
      <c r="I20" s="459"/>
      <c r="J20" s="459"/>
      <c r="M20" s="424" t="str">
        <f>'Конфигурация TREI'!A21</f>
        <v>BR19</v>
      </c>
      <c r="N20" s="461" t="str">
        <f>'Конфигурация TREI'!B21</f>
        <v>M558O</v>
      </c>
      <c r="AE20" s="428">
        <f>Настройки!P20</f>
        <v>19</v>
      </c>
      <c r="AF20" s="380">
        <f>Настройки!Q20</f>
        <v>0</v>
      </c>
      <c r="AG20" s="380" t="str">
        <f>Настройки!R20</f>
        <v>-</v>
      </c>
      <c r="AH20" s="380" t="str">
        <f>Настройки!S20</f>
        <v>-</v>
      </c>
      <c r="AI20" s="380" t="str">
        <f>Настройки!T20</f>
        <v>out18</v>
      </c>
      <c r="AJ20" s="380" t="str">
        <f>Настройки!U20</f>
        <v>out18</v>
      </c>
      <c r="AK20" s="380" t="str">
        <f>Настройки!V20</f>
        <v>-</v>
      </c>
      <c r="AL20" s="380" t="str">
        <f>Настройки!W20</f>
        <v>-</v>
      </c>
      <c r="AM20" s="380" t="str">
        <f>Настройки!X20</f>
        <v>-</v>
      </c>
      <c r="AN20" s="380" t="str">
        <f>Настройки!Y20</f>
        <v>-</v>
      </c>
      <c r="AO20" s="380" t="str">
        <f>Настройки!Z20</f>
        <v>-</v>
      </c>
      <c r="AP20" s="380" t="str">
        <f>Настройки!AA20</f>
        <v>Canal_19</v>
      </c>
      <c r="AQ20" s="380" t="str">
        <f>Настройки!AB20</f>
        <v>Canal_19</v>
      </c>
      <c r="AR20" s="380" t="str">
        <f>Настройки!AC20</f>
        <v>-</v>
      </c>
      <c r="AS20" s="380" t="str">
        <f>Настройки!AD20</f>
        <v>-</v>
      </c>
      <c r="AT20" s="207" t="str">
        <f>Настройки!AB20</f>
        <v>Canal_19</v>
      </c>
      <c r="AU20" s="207" t="str">
        <f>Настройки!AC20</f>
        <v>-</v>
      </c>
      <c r="AV20" s="207" t="str">
        <f>Настройки!AD20</f>
        <v>-</v>
      </c>
      <c r="AW20" s="207" t="str">
        <f>Настройки!AE20</f>
        <v>-</v>
      </c>
      <c r="AX20" s="207" t="str">
        <f>Настройки!AF20</f>
        <v>IDIG_5_3</v>
      </c>
      <c r="AY20" s="207" t="str">
        <f>Настройки!AG20</f>
        <v>Canal_19</v>
      </c>
      <c r="AZ20" s="207" t="str">
        <f>Настройки!AH20</f>
        <v>Canal_19</v>
      </c>
      <c r="BA20" s="207" t="str">
        <f>Настройки!AI20</f>
        <v>Canal_19</v>
      </c>
      <c r="BB20" s="207" t="str">
        <f>Настройки!AJ20</f>
        <v>-</v>
      </c>
      <c r="BC20" s="207" t="str">
        <f>Настройки!AK20</f>
        <v>-</v>
      </c>
      <c r="BD20" s="207" t="str">
        <f>Настройки!AL20</f>
        <v>Canal_19</v>
      </c>
      <c r="BE20" s="207" t="str">
        <f>Настройки!AM20</f>
        <v>-</v>
      </c>
    </row>
    <row r="21" spans="1:57">
      <c r="A21" s="82"/>
      <c r="B21" s="82"/>
      <c r="C21" s="11"/>
      <c r="D21" s="81"/>
      <c r="E21" s="81"/>
      <c r="F21" s="81"/>
      <c r="G21" s="445"/>
      <c r="H21" s="445"/>
      <c r="I21" s="459"/>
      <c r="J21" s="459"/>
      <c r="M21" s="424" t="str">
        <f>'Конфигурация TREI'!A22</f>
        <v>BR20</v>
      </c>
      <c r="N21" s="461" t="str">
        <f>'Конфигурация TREI'!B22</f>
        <v>M558D</v>
      </c>
      <c r="AE21" s="428">
        <f>Настройки!P21</f>
        <v>20</v>
      </c>
      <c r="AF21" s="380">
        <f>Настройки!Q21</f>
        <v>0</v>
      </c>
      <c r="AG21" s="380" t="str">
        <f>Настройки!R21</f>
        <v>-</v>
      </c>
      <c r="AH21" s="380" t="str">
        <f>Настройки!S21</f>
        <v>-</v>
      </c>
      <c r="AI21" s="380" t="str">
        <f>Настройки!T21</f>
        <v>out19</v>
      </c>
      <c r="AJ21" s="380" t="str">
        <f>Настройки!U21</f>
        <v>out19</v>
      </c>
      <c r="AK21" s="380" t="str">
        <f>Настройки!V21</f>
        <v>-</v>
      </c>
      <c r="AL21" s="380" t="str">
        <f>Настройки!W21</f>
        <v>-</v>
      </c>
      <c r="AM21" s="380" t="str">
        <f>Настройки!X21</f>
        <v>-</v>
      </c>
      <c r="AN21" s="380" t="str">
        <f>Настройки!Y21</f>
        <v>-</v>
      </c>
      <c r="AO21" s="380" t="str">
        <f>Настройки!Z21</f>
        <v>-</v>
      </c>
      <c r="AP21" s="380" t="str">
        <f>Настройки!AA21</f>
        <v>Canal_20</v>
      </c>
      <c r="AQ21" s="380" t="str">
        <f>Настройки!AB21</f>
        <v>Canal_20</v>
      </c>
      <c r="AR21" s="380" t="str">
        <f>Настройки!AC21</f>
        <v>-</v>
      </c>
      <c r="AS21" s="380" t="str">
        <f>Настройки!AD21</f>
        <v>-</v>
      </c>
      <c r="AT21" s="207" t="str">
        <f>Настройки!AB21</f>
        <v>Canal_20</v>
      </c>
      <c r="AU21" s="207" t="str">
        <f>Настройки!AC21</f>
        <v>-</v>
      </c>
      <c r="AV21" s="207" t="str">
        <f>Настройки!AD21</f>
        <v>-</v>
      </c>
      <c r="AW21" s="207" t="str">
        <f>Настройки!AE21</f>
        <v>-</v>
      </c>
      <c r="AX21" s="207" t="str">
        <f>Настройки!AF21</f>
        <v>IDIG_5_4</v>
      </c>
      <c r="AY21" s="207" t="str">
        <f>Настройки!AG21</f>
        <v>Canal_20</v>
      </c>
      <c r="AZ21" s="207" t="str">
        <f>Настройки!AH21</f>
        <v>Canal_20</v>
      </c>
      <c r="BA21" s="207" t="str">
        <f>Настройки!AI21</f>
        <v>Canal_20</v>
      </c>
      <c r="BB21" s="207" t="str">
        <f>Настройки!AJ21</f>
        <v>-</v>
      </c>
      <c r="BC21" s="207" t="str">
        <f>Настройки!AK21</f>
        <v>-</v>
      </c>
      <c r="BD21" s="207" t="str">
        <f>Настройки!AL21</f>
        <v>Canal_20</v>
      </c>
      <c r="BE21" s="207" t="str">
        <f>Настройки!AM21</f>
        <v>-</v>
      </c>
    </row>
    <row r="22" spans="1:57">
      <c r="A22" s="82"/>
      <c r="B22" s="82"/>
      <c r="C22" s="11"/>
      <c r="D22" s="81"/>
      <c r="E22" s="81"/>
      <c r="F22" s="81"/>
      <c r="G22" s="445"/>
      <c r="H22" s="445"/>
      <c r="I22" s="459"/>
      <c r="J22" s="459"/>
      <c r="M22" s="424" t="str">
        <f>'Конфигурация TREI'!A23</f>
        <v>BR21</v>
      </c>
      <c r="N22" s="461" t="str">
        <f>'Конфигурация TREI'!B23</f>
        <v>M558O</v>
      </c>
      <c r="AE22" s="428">
        <f>Настройки!P22</f>
        <v>21</v>
      </c>
      <c r="AF22" s="380">
        <f>Настройки!Q22</f>
        <v>0</v>
      </c>
      <c r="AG22" s="380" t="str">
        <f>Настройки!R22</f>
        <v>-</v>
      </c>
      <c r="AH22" s="380" t="str">
        <f>Настройки!S22</f>
        <v>-</v>
      </c>
      <c r="AI22" s="380" t="str">
        <f>Настройки!T22</f>
        <v>out20</v>
      </c>
      <c r="AJ22" s="380" t="str">
        <f>Настройки!U22</f>
        <v>out20</v>
      </c>
      <c r="AK22" s="380" t="str">
        <f>Настройки!V22</f>
        <v>-</v>
      </c>
      <c r="AL22" s="380" t="str">
        <f>Настройки!W22</f>
        <v>-</v>
      </c>
      <c r="AM22" s="380" t="str">
        <f>Настройки!X22</f>
        <v>-</v>
      </c>
      <c r="AN22" s="380" t="str">
        <f>Настройки!Y22</f>
        <v>-</v>
      </c>
      <c r="AO22" s="380" t="str">
        <f>Настройки!Z22</f>
        <v>-</v>
      </c>
      <c r="AP22" s="380" t="str">
        <f>Настройки!AA22</f>
        <v>Canal_21</v>
      </c>
      <c r="AQ22" s="380" t="str">
        <f>Настройки!AB22</f>
        <v>Canal_21</v>
      </c>
      <c r="AR22" s="380" t="str">
        <f>Настройки!AC22</f>
        <v>-</v>
      </c>
      <c r="AS22" s="380" t="str">
        <f>Настройки!AD22</f>
        <v>-</v>
      </c>
      <c r="AT22" s="207" t="str">
        <f>Настройки!AB22</f>
        <v>Canal_21</v>
      </c>
      <c r="AU22" s="207" t="str">
        <f>Настройки!AC22</f>
        <v>-</v>
      </c>
      <c r="AV22" s="207" t="str">
        <f>Настройки!AD22</f>
        <v>-</v>
      </c>
      <c r="AW22" s="207" t="str">
        <f>Настройки!AE22</f>
        <v>-</v>
      </c>
      <c r="AX22" s="207" t="str">
        <f>Настройки!AF22</f>
        <v>IDIG_6_1</v>
      </c>
      <c r="AY22" s="207" t="str">
        <f>Настройки!AG22</f>
        <v>Canal_21</v>
      </c>
      <c r="AZ22" s="207" t="str">
        <f>Настройки!AH22</f>
        <v>Canal_21</v>
      </c>
      <c r="BA22" s="207" t="str">
        <f>Настройки!AI22</f>
        <v>Canal_21</v>
      </c>
      <c r="BB22" s="207" t="str">
        <f>Настройки!AJ22</f>
        <v>-</v>
      </c>
      <c r="BC22" s="207" t="str">
        <f>Настройки!AK22</f>
        <v>-</v>
      </c>
      <c r="BD22" s="207" t="str">
        <f>Настройки!AL22</f>
        <v>Canal_21</v>
      </c>
      <c r="BE22" s="207" t="str">
        <f>Настройки!AM22</f>
        <v>-</v>
      </c>
    </row>
    <row r="23" spans="1:57">
      <c r="A23" s="82"/>
      <c r="B23" s="82"/>
      <c r="C23" s="11"/>
      <c r="D23" s="81"/>
      <c r="E23" s="81"/>
      <c r="F23" s="81"/>
      <c r="G23" s="445"/>
      <c r="H23" s="445"/>
      <c r="I23" s="459"/>
      <c r="J23" s="459"/>
      <c r="M23" s="424" t="str">
        <f>'Конфигурация TREI'!A24</f>
        <v>BR22</v>
      </c>
      <c r="N23" s="461" t="str">
        <f>'Конфигурация TREI'!B24</f>
        <v>M558D</v>
      </c>
      <c r="AE23" s="428">
        <f>Настройки!P23</f>
        <v>22</v>
      </c>
      <c r="AF23" s="380">
        <f>Настройки!Q23</f>
        <v>0</v>
      </c>
      <c r="AG23" s="380" t="str">
        <f>Настройки!R23</f>
        <v>-</v>
      </c>
      <c r="AH23" s="380" t="str">
        <f>Настройки!S23</f>
        <v>-</v>
      </c>
      <c r="AI23" s="380" t="str">
        <f>Настройки!T23</f>
        <v>out21</v>
      </c>
      <c r="AJ23" s="380" t="str">
        <f>Настройки!U23</f>
        <v>out21</v>
      </c>
      <c r="AK23" s="380" t="str">
        <f>Настройки!V23</f>
        <v>-</v>
      </c>
      <c r="AL23" s="380" t="str">
        <f>Настройки!W23</f>
        <v>-</v>
      </c>
      <c r="AM23" s="380" t="str">
        <f>Настройки!X23</f>
        <v>-</v>
      </c>
      <c r="AN23" s="380" t="str">
        <f>Настройки!Y23</f>
        <v>-</v>
      </c>
      <c r="AO23" s="380" t="str">
        <f>Настройки!Z23</f>
        <v>-</v>
      </c>
      <c r="AP23" s="380" t="str">
        <f>Настройки!AA23</f>
        <v>Canal_22</v>
      </c>
      <c r="AQ23" s="380" t="str">
        <f>Настройки!AB23</f>
        <v>Canal_22</v>
      </c>
      <c r="AR23" s="380" t="str">
        <f>Настройки!AC23</f>
        <v>-</v>
      </c>
      <c r="AS23" s="380" t="str">
        <f>Настройки!AD23</f>
        <v>-</v>
      </c>
      <c r="AT23" s="207" t="str">
        <f>Настройки!AB23</f>
        <v>Canal_22</v>
      </c>
      <c r="AU23" s="207" t="str">
        <f>Настройки!AC23</f>
        <v>-</v>
      </c>
      <c r="AV23" s="207" t="str">
        <f>Настройки!AD23</f>
        <v>-</v>
      </c>
      <c r="AW23" s="207" t="str">
        <f>Настройки!AE23</f>
        <v>-</v>
      </c>
      <c r="AX23" s="207" t="str">
        <f>Настройки!AF23</f>
        <v>IDIG_6_2</v>
      </c>
      <c r="AY23" s="207" t="str">
        <f>Настройки!AG23</f>
        <v>Canal_22</v>
      </c>
      <c r="AZ23" s="207" t="str">
        <f>Настройки!AH23</f>
        <v>Canal_22</v>
      </c>
      <c r="BA23" s="207" t="str">
        <f>Настройки!AI23</f>
        <v>Canal_22</v>
      </c>
      <c r="BB23" s="207" t="str">
        <f>Настройки!AJ23</f>
        <v>-</v>
      </c>
      <c r="BC23" s="207" t="str">
        <f>Настройки!AK23</f>
        <v>-</v>
      </c>
      <c r="BD23" s="207" t="str">
        <f>Настройки!AL23</f>
        <v>Canal_22</v>
      </c>
      <c r="BE23" s="207" t="str">
        <f>Настройки!AM23</f>
        <v>-</v>
      </c>
    </row>
    <row r="24" spans="1:57">
      <c r="A24" s="82"/>
      <c r="B24" s="82"/>
      <c r="C24" s="11"/>
      <c r="D24" s="81"/>
      <c r="E24" s="81"/>
      <c r="F24" s="81"/>
      <c r="G24" s="445"/>
      <c r="H24" s="445"/>
      <c r="I24" s="459"/>
      <c r="J24" s="459"/>
      <c r="M24" s="424" t="str">
        <f>'Конфигурация TREI'!A25</f>
        <v>BR23</v>
      </c>
      <c r="N24" s="461" t="str">
        <f>'Конфигурация TREI'!B25</f>
        <v>M558O</v>
      </c>
      <c r="AE24" s="428">
        <f>Настройки!P24</f>
        <v>23</v>
      </c>
      <c r="AF24" s="380">
        <f>Настройки!Q24</f>
        <v>0</v>
      </c>
      <c r="AG24" s="380" t="str">
        <f>Настройки!R24</f>
        <v>-</v>
      </c>
      <c r="AH24" s="380" t="str">
        <f>Настройки!S24</f>
        <v>-</v>
      </c>
      <c r="AI24" s="380" t="str">
        <f>Настройки!T24</f>
        <v>out22</v>
      </c>
      <c r="AJ24" s="380" t="str">
        <f>Настройки!U24</f>
        <v>out22</v>
      </c>
      <c r="AK24" s="380" t="str">
        <f>Настройки!V24</f>
        <v>-</v>
      </c>
      <c r="AL24" s="380" t="str">
        <f>Настройки!W24</f>
        <v>-</v>
      </c>
      <c r="AM24" s="380" t="str">
        <f>Настройки!X24</f>
        <v>-</v>
      </c>
      <c r="AN24" s="380" t="str">
        <f>Настройки!Y24</f>
        <v>-</v>
      </c>
      <c r="AO24" s="380" t="str">
        <f>Настройки!Z24</f>
        <v>-</v>
      </c>
      <c r="AP24" s="380" t="str">
        <f>Настройки!AA24</f>
        <v>Canal_23</v>
      </c>
      <c r="AQ24" s="380" t="str">
        <f>Настройки!AB24</f>
        <v>Canal_23</v>
      </c>
      <c r="AR24" s="380" t="str">
        <f>Настройки!AC24</f>
        <v>-</v>
      </c>
      <c r="AS24" s="380" t="str">
        <f>Настройки!AD24</f>
        <v>-</v>
      </c>
      <c r="AT24" s="207" t="str">
        <f>Настройки!AB24</f>
        <v>Canal_23</v>
      </c>
      <c r="AU24" s="207" t="str">
        <f>Настройки!AC24</f>
        <v>-</v>
      </c>
      <c r="AV24" s="207" t="str">
        <f>Настройки!AD24</f>
        <v>-</v>
      </c>
      <c r="AW24" s="207" t="str">
        <f>Настройки!AE24</f>
        <v>-</v>
      </c>
      <c r="AX24" s="207" t="str">
        <f>Настройки!AF24</f>
        <v>IDIG_6_3</v>
      </c>
      <c r="AY24" s="207" t="str">
        <f>Настройки!AG24</f>
        <v>Canal_23</v>
      </c>
      <c r="AZ24" s="207" t="str">
        <f>Настройки!AH24</f>
        <v>Canal_23</v>
      </c>
      <c r="BA24" s="207" t="str">
        <f>Настройки!AI24</f>
        <v>Canal_23</v>
      </c>
      <c r="BB24" s="207" t="str">
        <f>Настройки!AJ24</f>
        <v>-</v>
      </c>
      <c r="BC24" s="207" t="str">
        <f>Настройки!AK24</f>
        <v>-</v>
      </c>
      <c r="BD24" s="207" t="str">
        <f>Настройки!AL24</f>
        <v>Canal_23</v>
      </c>
      <c r="BE24" s="207" t="str">
        <f>Настройки!AM24</f>
        <v>-</v>
      </c>
    </row>
    <row r="25" spans="1:57">
      <c r="A25" s="82"/>
      <c r="B25" s="82"/>
      <c r="C25" s="11"/>
      <c r="D25" s="81"/>
      <c r="E25" s="81"/>
      <c r="F25" s="81"/>
      <c r="G25" s="445"/>
      <c r="H25" s="445"/>
      <c r="I25" s="459"/>
      <c r="J25" s="459"/>
      <c r="M25" s="424" t="str">
        <f>'Конфигурация TREI'!A26</f>
        <v>BR24</v>
      </c>
      <c r="N25" s="461" t="str">
        <f>'Конфигурация TREI'!B26</f>
        <v>M558D</v>
      </c>
      <c r="AE25" s="428">
        <f>Настройки!P25</f>
        <v>24</v>
      </c>
      <c r="AF25" s="380">
        <f>Настройки!Q25</f>
        <v>0</v>
      </c>
      <c r="AG25" s="380" t="str">
        <f>Настройки!R25</f>
        <v>-</v>
      </c>
      <c r="AH25" s="380" t="str">
        <f>Настройки!S25</f>
        <v>-</v>
      </c>
      <c r="AI25" s="380" t="str">
        <f>Настройки!T25</f>
        <v>out23</v>
      </c>
      <c r="AJ25" s="380" t="str">
        <f>Настройки!U25</f>
        <v>out23</v>
      </c>
      <c r="AK25" s="380" t="str">
        <f>Настройки!V25</f>
        <v>-</v>
      </c>
      <c r="AL25" s="380" t="str">
        <f>Настройки!W25</f>
        <v>-</v>
      </c>
      <c r="AM25" s="380" t="str">
        <f>Настройки!X25</f>
        <v>-</v>
      </c>
      <c r="AN25" s="380" t="str">
        <f>Настройки!Y25</f>
        <v>-</v>
      </c>
      <c r="AO25" s="380" t="str">
        <f>Настройки!Z25</f>
        <v>-</v>
      </c>
      <c r="AP25" s="380" t="str">
        <f>Настройки!AA25</f>
        <v>Canal_24</v>
      </c>
      <c r="AQ25" s="380" t="str">
        <f>Настройки!AB25</f>
        <v>Canal_24</v>
      </c>
      <c r="AR25" s="380" t="str">
        <f>Настройки!AC25</f>
        <v>-</v>
      </c>
      <c r="AS25" s="380" t="str">
        <f>Настройки!AD25</f>
        <v>-</v>
      </c>
      <c r="AT25" s="207" t="str">
        <f>Настройки!AB25</f>
        <v>Canal_24</v>
      </c>
      <c r="AU25" s="207" t="str">
        <f>Настройки!AC25</f>
        <v>-</v>
      </c>
      <c r="AV25" s="207" t="str">
        <f>Настройки!AD25</f>
        <v>-</v>
      </c>
      <c r="AW25" s="207" t="str">
        <f>Настройки!AE25</f>
        <v>-</v>
      </c>
      <c r="AX25" s="207" t="str">
        <f>Настройки!AF25</f>
        <v>IDIG_6_4</v>
      </c>
      <c r="AY25" s="207" t="str">
        <f>Настройки!AG25</f>
        <v>Canal_24</v>
      </c>
      <c r="AZ25" s="207" t="str">
        <f>Настройки!AH25</f>
        <v>Canal_24</v>
      </c>
      <c r="BA25" s="207" t="str">
        <f>Настройки!AI25</f>
        <v>Canal_24</v>
      </c>
      <c r="BB25" s="207" t="str">
        <f>Настройки!AJ25</f>
        <v>-</v>
      </c>
      <c r="BC25" s="207" t="str">
        <f>Настройки!AK25</f>
        <v>-</v>
      </c>
      <c r="BD25" s="207" t="str">
        <f>Настройки!AL25</f>
        <v>Canal_24</v>
      </c>
      <c r="BE25" s="207" t="str">
        <f>Настройки!AM25</f>
        <v>-</v>
      </c>
    </row>
    <row r="26" spans="1:57">
      <c r="A26" s="82"/>
      <c r="B26" s="82"/>
      <c r="C26" s="11"/>
      <c r="D26" s="81"/>
      <c r="E26" s="81"/>
      <c r="F26" s="81"/>
      <c r="G26" s="445"/>
      <c r="H26" s="445"/>
      <c r="I26" s="459"/>
      <c r="J26" s="459"/>
      <c r="M26" s="424" t="str">
        <f>'Конфигурация TREI'!A27</f>
        <v>BR25</v>
      </c>
      <c r="N26" s="461" t="str">
        <f>'Конфигурация TREI'!B27</f>
        <v>M558D</v>
      </c>
      <c r="AE26" s="428">
        <f>Настройки!P26</f>
        <v>25</v>
      </c>
      <c r="AF26" s="380">
        <f>Настройки!Q26</f>
        <v>0</v>
      </c>
      <c r="AG26" s="380" t="str">
        <f>Настройки!R26</f>
        <v>-</v>
      </c>
      <c r="AH26" s="380" t="str">
        <f>Настройки!S26</f>
        <v>-</v>
      </c>
      <c r="AI26" s="380" t="str">
        <f>Настройки!T26</f>
        <v>out24</v>
      </c>
      <c r="AJ26" s="380" t="str">
        <f>Настройки!U26</f>
        <v>out24</v>
      </c>
      <c r="AK26" s="380" t="str">
        <f>Настройки!V26</f>
        <v>-</v>
      </c>
      <c r="AL26" s="380" t="str">
        <f>Настройки!W26</f>
        <v>-</v>
      </c>
      <c r="AM26" s="380" t="str">
        <f>Настройки!X26</f>
        <v>-</v>
      </c>
      <c r="AN26" s="380" t="str">
        <f>Настройки!Y26</f>
        <v>-</v>
      </c>
      <c r="AO26" s="380" t="str">
        <f>Настройки!Z26</f>
        <v>-</v>
      </c>
      <c r="AP26" s="380" t="str">
        <f>Настройки!AA26</f>
        <v>Canal_25</v>
      </c>
      <c r="AQ26" s="380" t="str">
        <f>Настройки!AB26</f>
        <v>Canal_25</v>
      </c>
      <c r="AR26" s="380" t="str">
        <f>Настройки!AC26</f>
        <v>-</v>
      </c>
      <c r="AS26" s="380" t="str">
        <f>Настройки!AD26</f>
        <v>-</v>
      </c>
      <c r="AT26" s="207" t="str">
        <f>Настройки!AB26</f>
        <v>Canal_25</v>
      </c>
      <c r="AU26" s="207" t="str">
        <f>Настройки!AC26</f>
        <v>-</v>
      </c>
      <c r="AV26" s="207" t="str">
        <f>Настройки!AD26</f>
        <v>-</v>
      </c>
      <c r="AW26" s="207" t="str">
        <f>Настройки!AE26</f>
        <v>-</v>
      </c>
      <c r="AX26" s="207" t="str">
        <f>Настройки!AF26</f>
        <v>IDIG_7_1</v>
      </c>
      <c r="AY26" s="207" t="str">
        <f>Настройки!AG26</f>
        <v>Canal_25</v>
      </c>
      <c r="AZ26" s="207" t="str">
        <f>Настройки!AH26</f>
        <v>Canal_25</v>
      </c>
      <c r="BA26" s="207" t="str">
        <f>Настройки!AI26</f>
        <v>Canal_25</v>
      </c>
      <c r="BB26" s="207" t="str">
        <f>Настройки!AJ26</f>
        <v>-</v>
      </c>
      <c r="BC26" s="207" t="str">
        <f>Настройки!AK26</f>
        <v>-</v>
      </c>
      <c r="BD26" s="207" t="str">
        <f>Настройки!AL26</f>
        <v>Canal_25</v>
      </c>
      <c r="BE26" s="207" t="str">
        <f>Настройки!AM26</f>
        <v>-</v>
      </c>
    </row>
    <row r="27" spans="1:57">
      <c r="A27" s="82"/>
      <c r="B27" s="82"/>
      <c r="C27" s="11"/>
      <c r="D27" s="81"/>
      <c r="E27" s="81"/>
      <c r="F27" s="81"/>
      <c r="G27" s="445"/>
      <c r="H27" s="445"/>
      <c r="I27" s="459"/>
      <c r="J27" s="459"/>
      <c r="M27" s="424" t="str">
        <f>'Конфигурация TREI'!A28</f>
        <v>BR26</v>
      </c>
      <c r="N27" s="461" t="str">
        <f>'Конфигурация TREI'!B28</f>
        <v>M558D</v>
      </c>
      <c r="AE27" s="428">
        <f>Настройки!P27</f>
        <v>26</v>
      </c>
      <c r="AF27" s="380">
        <f>Настройки!Q27</f>
        <v>0</v>
      </c>
      <c r="AG27" s="380" t="str">
        <f>Настройки!R27</f>
        <v>-</v>
      </c>
      <c r="AH27" s="380" t="str">
        <f>Настройки!S27</f>
        <v>-</v>
      </c>
      <c r="AI27" s="380" t="str">
        <f>Настройки!T27</f>
        <v>out25</v>
      </c>
      <c r="AJ27" s="380" t="str">
        <f>Настройки!U27</f>
        <v>out25</v>
      </c>
      <c r="AK27" s="380" t="str">
        <f>Настройки!V27</f>
        <v>-</v>
      </c>
      <c r="AL27" s="380" t="str">
        <f>Настройки!W27</f>
        <v>-</v>
      </c>
      <c r="AM27" s="380" t="str">
        <f>Настройки!X27</f>
        <v>-</v>
      </c>
      <c r="AN27" s="380" t="str">
        <f>Настройки!Y27</f>
        <v>-</v>
      </c>
      <c r="AO27" s="380" t="str">
        <f>Настройки!Z27</f>
        <v>-</v>
      </c>
      <c r="AP27" s="380" t="str">
        <f>Настройки!AA27</f>
        <v>Canal_26</v>
      </c>
      <c r="AQ27" s="380" t="str">
        <f>Настройки!AB27</f>
        <v>Canal_26</v>
      </c>
      <c r="AR27" s="380" t="str">
        <f>Настройки!AC27</f>
        <v>-</v>
      </c>
      <c r="AS27" s="380" t="str">
        <f>Настройки!AD27</f>
        <v>-</v>
      </c>
      <c r="AT27" s="207" t="str">
        <f>Настройки!AB27</f>
        <v>Canal_26</v>
      </c>
      <c r="AU27" s="207" t="str">
        <f>Настройки!AC27</f>
        <v>-</v>
      </c>
      <c r="AV27" s="207" t="str">
        <f>Настройки!AD27</f>
        <v>-</v>
      </c>
      <c r="AW27" s="207" t="str">
        <f>Настройки!AE27</f>
        <v>-</v>
      </c>
      <c r="AX27" s="207" t="str">
        <f>Настройки!AF27</f>
        <v>IDIG_7_2</v>
      </c>
      <c r="AY27" s="207" t="str">
        <f>Настройки!AG27</f>
        <v>Canal_26</v>
      </c>
      <c r="AZ27" s="207" t="str">
        <f>Настройки!AH27</f>
        <v>Canal_26</v>
      </c>
      <c r="BA27" s="207" t="str">
        <f>Настройки!AI27</f>
        <v>Canal_26</v>
      </c>
      <c r="BB27" s="207" t="str">
        <f>Настройки!AJ27</f>
        <v>-</v>
      </c>
      <c r="BC27" s="207" t="str">
        <f>Настройки!AK27</f>
        <v>-</v>
      </c>
      <c r="BD27" s="207" t="str">
        <f>Настройки!AL27</f>
        <v>Canal_26</v>
      </c>
      <c r="BE27" s="207" t="str">
        <f>Настройки!AM27</f>
        <v>-</v>
      </c>
    </row>
    <row r="28" spans="1:57">
      <c r="A28" s="82"/>
      <c r="B28" s="82"/>
      <c r="C28" s="11"/>
      <c r="D28" s="81"/>
      <c r="E28" s="81"/>
      <c r="F28" s="81"/>
      <c r="G28" s="445"/>
      <c r="H28" s="445"/>
      <c r="I28" s="459"/>
      <c r="J28" s="459"/>
      <c r="M28" s="424" t="str">
        <f>'Конфигурация TREI'!A29</f>
        <v>BR27</v>
      </c>
      <c r="N28" s="461" t="str">
        <f>'Конфигурация TREI'!B29</f>
        <v>M558D</v>
      </c>
      <c r="AE28" s="428">
        <f>Настройки!P28</f>
        <v>27</v>
      </c>
      <c r="AF28" s="380">
        <f>Настройки!Q28</f>
        <v>0</v>
      </c>
      <c r="AG28" s="380" t="str">
        <f>Настройки!R28</f>
        <v>-</v>
      </c>
      <c r="AH28" s="380" t="str">
        <f>Настройки!S28</f>
        <v>-</v>
      </c>
      <c r="AI28" s="380" t="str">
        <f>Настройки!T28</f>
        <v>out26</v>
      </c>
      <c r="AJ28" s="380" t="str">
        <f>Настройки!U28</f>
        <v>out26</v>
      </c>
      <c r="AK28" s="380" t="str">
        <f>Настройки!V28</f>
        <v>-</v>
      </c>
      <c r="AL28" s="380" t="str">
        <f>Настройки!W28</f>
        <v>-</v>
      </c>
      <c r="AM28" s="380" t="str">
        <f>Настройки!X28</f>
        <v>-</v>
      </c>
      <c r="AN28" s="380" t="str">
        <f>Настройки!Y28</f>
        <v>-</v>
      </c>
      <c r="AO28" s="380" t="str">
        <f>Настройки!Z28</f>
        <v>-</v>
      </c>
      <c r="AP28" s="380" t="str">
        <f>Настройки!AA28</f>
        <v>Canal_27</v>
      </c>
      <c r="AQ28" s="380" t="str">
        <f>Настройки!AB28</f>
        <v>Canal_27</v>
      </c>
      <c r="AR28" s="380" t="str">
        <f>Настройки!AC28</f>
        <v>-</v>
      </c>
      <c r="AS28" s="380" t="str">
        <f>Настройки!AD28</f>
        <v>-</v>
      </c>
      <c r="AT28" s="207" t="str">
        <f>Настройки!AB28</f>
        <v>Canal_27</v>
      </c>
      <c r="AU28" s="207" t="str">
        <f>Настройки!AC28</f>
        <v>-</v>
      </c>
      <c r="AV28" s="207" t="str">
        <f>Настройки!AD28</f>
        <v>-</v>
      </c>
      <c r="AW28" s="207" t="str">
        <f>Настройки!AE28</f>
        <v>-</v>
      </c>
      <c r="AX28" s="207" t="str">
        <f>Настройки!AF28</f>
        <v>IDIG_7_3</v>
      </c>
      <c r="AY28" s="207" t="str">
        <f>Настройки!AG28</f>
        <v>Canal_27</v>
      </c>
      <c r="AZ28" s="207" t="str">
        <f>Настройки!AH28</f>
        <v>Canal_27</v>
      </c>
      <c r="BA28" s="207" t="str">
        <f>Настройки!AI28</f>
        <v>Canal_27</v>
      </c>
      <c r="BB28" s="207" t="str">
        <f>Настройки!AJ28</f>
        <v>-</v>
      </c>
      <c r="BC28" s="207" t="str">
        <f>Настройки!AK28</f>
        <v>-</v>
      </c>
      <c r="BD28" s="207" t="str">
        <f>Настройки!AL28</f>
        <v>Canal_27</v>
      </c>
      <c r="BE28" s="207" t="str">
        <f>Настройки!AM28</f>
        <v>-</v>
      </c>
    </row>
    <row r="29" spans="1:57">
      <c r="A29" s="82"/>
      <c r="B29" s="82"/>
      <c r="C29" s="11"/>
      <c r="D29" s="81"/>
      <c r="E29" s="81"/>
      <c r="F29" s="81"/>
      <c r="G29" s="445"/>
      <c r="H29" s="445"/>
      <c r="I29" s="459"/>
      <c r="J29" s="459"/>
      <c r="M29" s="424" t="str">
        <f>'Конфигурация TREI'!A30</f>
        <v>BR28</v>
      </c>
      <c r="N29" s="461" t="str">
        <f>'Конфигурация TREI'!B30</f>
        <v>M558D</v>
      </c>
      <c r="AE29" s="428">
        <f>Настройки!P29</f>
        <v>28</v>
      </c>
      <c r="AF29" s="380">
        <f>Настройки!Q29</f>
        <v>0</v>
      </c>
      <c r="AG29" s="380" t="str">
        <f>Настройки!R29</f>
        <v>-</v>
      </c>
      <c r="AH29" s="380" t="str">
        <f>Настройки!S29</f>
        <v>-</v>
      </c>
      <c r="AI29" s="380" t="str">
        <f>Настройки!T29</f>
        <v>out27</v>
      </c>
      <c r="AJ29" s="380" t="str">
        <f>Настройки!U29</f>
        <v>out27</v>
      </c>
      <c r="AK29" s="380" t="str">
        <f>Настройки!V29</f>
        <v>-</v>
      </c>
      <c r="AL29" s="380" t="str">
        <f>Настройки!W29</f>
        <v>-</v>
      </c>
      <c r="AM29" s="380" t="str">
        <f>Настройки!X29</f>
        <v>-</v>
      </c>
      <c r="AN29" s="380" t="str">
        <f>Настройки!Y29</f>
        <v>-</v>
      </c>
      <c r="AO29" s="380" t="str">
        <f>Настройки!Z29</f>
        <v>-</v>
      </c>
      <c r="AP29" s="380" t="str">
        <f>Настройки!AA29</f>
        <v>Canal_28</v>
      </c>
      <c r="AQ29" s="380" t="str">
        <f>Настройки!AB29</f>
        <v>Canal_28</v>
      </c>
      <c r="AR29" s="380" t="str">
        <f>Настройки!AC29</f>
        <v>-</v>
      </c>
      <c r="AS29" s="380" t="str">
        <f>Настройки!AD29</f>
        <v>-</v>
      </c>
      <c r="AT29" s="207" t="str">
        <f>Настройки!AB29</f>
        <v>Canal_28</v>
      </c>
      <c r="AU29" s="207" t="str">
        <f>Настройки!AC29</f>
        <v>-</v>
      </c>
      <c r="AV29" s="207" t="str">
        <f>Настройки!AD29</f>
        <v>-</v>
      </c>
      <c r="AW29" s="207" t="str">
        <f>Настройки!AE29</f>
        <v>-</v>
      </c>
      <c r="AX29" s="207" t="str">
        <f>Настройки!AF29</f>
        <v>IDIG_7_4</v>
      </c>
      <c r="AY29" s="207" t="str">
        <f>Настройки!AG29</f>
        <v>Canal_28</v>
      </c>
      <c r="AZ29" s="207" t="str">
        <f>Настройки!AH29</f>
        <v>Canal_28</v>
      </c>
      <c r="BA29" s="207" t="str">
        <f>Настройки!AI29</f>
        <v>Canal_28</v>
      </c>
      <c r="BB29" s="207" t="str">
        <f>Настройки!AJ29</f>
        <v>-</v>
      </c>
      <c r="BC29" s="207" t="str">
        <f>Настройки!AK29</f>
        <v>-</v>
      </c>
      <c r="BD29" s="207" t="str">
        <f>Настройки!AL29</f>
        <v>Canal_28</v>
      </c>
      <c r="BE29" s="207" t="str">
        <f>Настройки!AM29</f>
        <v>-</v>
      </c>
    </row>
    <row r="30" spans="1:57">
      <c r="A30" s="11"/>
      <c r="B30" s="11"/>
      <c r="C30" s="11"/>
      <c r="D30" s="11"/>
      <c r="E30" s="11"/>
      <c r="F30" s="11"/>
      <c r="G30" s="11"/>
      <c r="H30" s="11"/>
      <c r="I30" s="459"/>
      <c r="J30" s="459"/>
      <c r="M30" s="424" t="str">
        <f>'Конфигурация TREI'!A31</f>
        <v>BR29</v>
      </c>
      <c r="N30" s="461" t="str">
        <f>'Конфигурация TREI'!B31</f>
        <v>M558O</v>
      </c>
      <c r="AE30" s="428">
        <f>Настройки!P30</f>
        <v>29</v>
      </c>
      <c r="AF30" s="380">
        <f>Настройки!Q30</f>
        <v>0</v>
      </c>
      <c r="AG30" s="380" t="str">
        <f>Настройки!R30</f>
        <v>-</v>
      </c>
      <c r="AH30" s="380" t="str">
        <f>Настройки!S30</f>
        <v>-</v>
      </c>
      <c r="AI30" s="380" t="str">
        <f>Настройки!T30</f>
        <v>out28</v>
      </c>
      <c r="AJ30" s="380" t="str">
        <f>Настройки!U30</f>
        <v>out28</v>
      </c>
      <c r="AK30" s="380" t="str">
        <f>Настройки!V30</f>
        <v>-</v>
      </c>
      <c r="AL30" s="380" t="str">
        <f>Настройки!W30</f>
        <v>-</v>
      </c>
      <c r="AM30" s="380" t="str">
        <f>Настройки!X30</f>
        <v>-</v>
      </c>
      <c r="AN30" s="380" t="str">
        <f>Настройки!Y30</f>
        <v>-</v>
      </c>
      <c r="AO30" s="380" t="str">
        <f>Настройки!Z30</f>
        <v>-</v>
      </c>
      <c r="AP30" s="380" t="str">
        <f>Настройки!AA30</f>
        <v>Canal_29</v>
      </c>
      <c r="AQ30" s="380" t="str">
        <f>Настройки!AB30</f>
        <v>Canal_29</v>
      </c>
      <c r="AR30" s="380" t="str">
        <f>Настройки!AC30</f>
        <v>-</v>
      </c>
      <c r="AS30" s="380" t="str">
        <f>Настройки!AD30</f>
        <v>-</v>
      </c>
      <c r="AT30" s="207" t="str">
        <f>Настройки!AB30</f>
        <v>Canal_29</v>
      </c>
      <c r="AU30" s="207" t="str">
        <f>Настройки!AC30</f>
        <v>-</v>
      </c>
      <c r="AV30" s="207" t="str">
        <f>Настройки!AD30</f>
        <v>-</v>
      </c>
      <c r="AW30" s="207" t="str">
        <f>Настройки!AE30</f>
        <v>-</v>
      </c>
      <c r="AX30" s="207" t="str">
        <f>Настройки!AF30</f>
        <v>IDIG_8_1</v>
      </c>
      <c r="AY30" s="207" t="str">
        <f>Настройки!AG30</f>
        <v>Canal_29</v>
      </c>
      <c r="AZ30" s="207" t="str">
        <f>Настройки!AH30</f>
        <v>Canal_29</v>
      </c>
      <c r="BA30" s="207" t="str">
        <f>Настройки!AI30</f>
        <v>Canal_29</v>
      </c>
      <c r="BB30" s="207" t="str">
        <f>Настройки!AJ30</f>
        <v>-</v>
      </c>
      <c r="BC30" s="207" t="str">
        <f>Настройки!AK30</f>
        <v>-</v>
      </c>
      <c r="BD30" s="207" t="str">
        <f>Настройки!AL30</f>
        <v>Canal_29</v>
      </c>
      <c r="BE30" s="207" t="str">
        <f>Настройки!AM30</f>
        <v>-</v>
      </c>
    </row>
    <row r="31" spans="1:57">
      <c r="A31" s="82"/>
      <c r="B31" s="82"/>
      <c r="C31" s="81"/>
      <c r="D31" s="81"/>
      <c r="E31" s="81"/>
      <c r="F31" s="81"/>
      <c r="G31" s="445"/>
      <c r="H31" s="445"/>
      <c r="I31" s="459"/>
      <c r="J31" s="459"/>
      <c r="M31" s="424" t="str">
        <f>'Конфигурация TREI'!A32</f>
        <v>BR30</v>
      </c>
      <c r="N31" s="461" t="str">
        <f>'Конфигурация TREI'!B32</f>
        <v>M558D</v>
      </c>
      <c r="AE31" s="428">
        <f>Настройки!P31</f>
        <v>30</v>
      </c>
      <c r="AF31" s="380">
        <f>Настройки!Q31</f>
        <v>0</v>
      </c>
      <c r="AG31" s="380" t="str">
        <f>Настройки!R31</f>
        <v>-</v>
      </c>
      <c r="AH31" s="380" t="str">
        <f>Настройки!S31</f>
        <v>-</v>
      </c>
      <c r="AI31" s="380" t="str">
        <f>Настройки!T31</f>
        <v>out29</v>
      </c>
      <c r="AJ31" s="380" t="str">
        <f>Настройки!U31</f>
        <v>out29</v>
      </c>
      <c r="AK31" s="380" t="str">
        <f>Настройки!V31</f>
        <v>-</v>
      </c>
      <c r="AL31" s="380" t="str">
        <f>Настройки!W31</f>
        <v>-</v>
      </c>
      <c r="AM31" s="380" t="str">
        <f>Настройки!X31</f>
        <v>-</v>
      </c>
      <c r="AN31" s="380" t="str">
        <f>Настройки!Y31</f>
        <v>-</v>
      </c>
      <c r="AO31" s="380" t="str">
        <f>Настройки!Z31</f>
        <v>-</v>
      </c>
      <c r="AP31" s="380" t="str">
        <f>Настройки!AA31</f>
        <v>Canal_30</v>
      </c>
      <c r="AQ31" s="380" t="str">
        <f>Настройки!AB31</f>
        <v>Canal_30</v>
      </c>
      <c r="AR31" s="380" t="str">
        <f>Настройки!AC31</f>
        <v>-</v>
      </c>
      <c r="AS31" s="380" t="str">
        <f>Настройки!AD31</f>
        <v>-</v>
      </c>
      <c r="AT31" s="207" t="str">
        <f>Настройки!AB31</f>
        <v>Canal_30</v>
      </c>
      <c r="AU31" s="207" t="str">
        <f>Настройки!AC31</f>
        <v>-</v>
      </c>
      <c r="AV31" s="207" t="str">
        <f>Настройки!AD31</f>
        <v>-</v>
      </c>
      <c r="AW31" s="207" t="str">
        <f>Настройки!AE31</f>
        <v>-</v>
      </c>
      <c r="AX31" s="207" t="str">
        <f>Настройки!AF31</f>
        <v>IDIG_8_2</v>
      </c>
      <c r="AY31" s="207" t="str">
        <f>Настройки!AG31</f>
        <v>Canal_30</v>
      </c>
      <c r="AZ31" s="207" t="str">
        <f>Настройки!AH31</f>
        <v>Canal_30</v>
      </c>
      <c r="BA31" s="207" t="str">
        <f>Настройки!AI31</f>
        <v>Canal_30</v>
      </c>
      <c r="BB31" s="207" t="str">
        <f>Настройки!AJ31</f>
        <v>-</v>
      </c>
      <c r="BC31" s="207" t="str">
        <f>Настройки!AK31</f>
        <v>-</v>
      </c>
      <c r="BD31" s="207" t="str">
        <f>Настройки!AL31</f>
        <v>Canal_30</v>
      </c>
      <c r="BE31" s="207" t="str">
        <f>Настройки!AM31</f>
        <v>-</v>
      </c>
    </row>
    <row r="32" spans="1:57">
      <c r="A32" s="82"/>
      <c r="B32" s="82"/>
      <c r="C32" s="81"/>
      <c r="D32" s="81"/>
      <c r="E32" s="81"/>
      <c r="F32" s="81"/>
      <c r="G32" s="445"/>
      <c r="H32" s="445"/>
      <c r="I32" s="459"/>
      <c r="J32" s="459"/>
      <c r="M32" s="424" t="str">
        <f>'Конфигурация TREI'!A33</f>
        <v>BR31</v>
      </c>
      <c r="N32" s="461" t="str">
        <f>'Конфигурация TREI'!B33</f>
        <v>M558D</v>
      </c>
      <c r="AE32" s="428">
        <f>Настройки!P32</f>
        <v>31</v>
      </c>
      <c r="AF32" s="380">
        <f>Настройки!Q32</f>
        <v>0</v>
      </c>
      <c r="AG32" s="380" t="str">
        <f>Настройки!R32</f>
        <v>-</v>
      </c>
      <c r="AH32" s="380" t="str">
        <f>Настройки!S32</f>
        <v>-</v>
      </c>
      <c r="AI32" s="380" t="str">
        <f>Настройки!T32</f>
        <v>out30</v>
      </c>
      <c r="AJ32" s="380" t="str">
        <f>Настройки!U32</f>
        <v>out30</v>
      </c>
      <c r="AK32" s="380" t="str">
        <f>Настройки!V32</f>
        <v>-</v>
      </c>
      <c r="AL32" s="380" t="str">
        <f>Настройки!W32</f>
        <v>-</v>
      </c>
      <c r="AM32" s="380" t="str">
        <f>Настройки!X32</f>
        <v>-</v>
      </c>
      <c r="AN32" s="380" t="str">
        <f>Настройки!Y32</f>
        <v>-</v>
      </c>
      <c r="AO32" s="380" t="str">
        <f>Настройки!Z32</f>
        <v>-</v>
      </c>
      <c r="AP32" s="380" t="str">
        <f>Настройки!AA32</f>
        <v>Canal_31</v>
      </c>
      <c r="AQ32" s="380" t="str">
        <f>Настройки!AB32</f>
        <v>Canal_31</v>
      </c>
      <c r="AR32" s="380" t="str">
        <f>Настройки!AC32</f>
        <v>-</v>
      </c>
      <c r="AS32" s="380" t="str">
        <f>Настройки!AD32</f>
        <v>-</v>
      </c>
      <c r="AT32" s="207" t="str">
        <f>Настройки!AB32</f>
        <v>Canal_31</v>
      </c>
      <c r="AU32" s="207" t="str">
        <f>Настройки!AC32</f>
        <v>-</v>
      </c>
      <c r="AV32" s="207" t="str">
        <f>Настройки!AD32</f>
        <v>-</v>
      </c>
      <c r="AW32" s="207" t="str">
        <f>Настройки!AE32</f>
        <v>-</v>
      </c>
      <c r="AX32" s="207" t="str">
        <f>Настройки!AF32</f>
        <v>IDIG_8_3</v>
      </c>
      <c r="AY32" s="207" t="str">
        <f>Настройки!AG32</f>
        <v>Canal_31</v>
      </c>
      <c r="AZ32" s="207" t="str">
        <f>Настройки!AH32</f>
        <v>Canal_31</v>
      </c>
      <c r="BA32" s="207" t="str">
        <f>Настройки!AI32</f>
        <v>Canal_31</v>
      </c>
      <c r="BB32" s="207" t="str">
        <f>Настройки!AJ32</f>
        <v>-</v>
      </c>
      <c r="BC32" s="207" t="str">
        <f>Настройки!AK32</f>
        <v>-</v>
      </c>
      <c r="BD32" s="207" t="str">
        <f>Настройки!AL32</f>
        <v>Canal_31</v>
      </c>
      <c r="BE32" s="207" t="str">
        <f>Настройки!AM32</f>
        <v>-</v>
      </c>
    </row>
    <row r="33" spans="1:57">
      <c r="A33" s="82"/>
      <c r="B33" s="82"/>
      <c r="C33" s="81"/>
      <c r="D33" s="81"/>
      <c r="E33" s="81"/>
      <c r="F33" s="81"/>
      <c r="G33" s="445"/>
      <c r="H33" s="445"/>
      <c r="I33" s="459"/>
      <c r="J33" s="459"/>
      <c r="M33" s="424" t="str">
        <f>'Конфигурация TREI'!A34</f>
        <v>BR32</v>
      </c>
      <c r="N33" s="461" t="str">
        <f>'Конфигурация TREI'!B34</f>
        <v>M558D</v>
      </c>
      <c r="AE33" s="428">
        <f>Настройки!P33</f>
        <v>32</v>
      </c>
      <c r="AF33" s="380">
        <f>Настройки!Q33</f>
        <v>0</v>
      </c>
      <c r="AG33" s="380" t="str">
        <f>Настройки!R33</f>
        <v>-</v>
      </c>
      <c r="AH33" s="380" t="str">
        <f>Настройки!S33</f>
        <v>-</v>
      </c>
      <c r="AI33" s="380" t="str">
        <f>Настройки!T33</f>
        <v>out31</v>
      </c>
      <c r="AJ33" s="380" t="str">
        <f>Настройки!U33</f>
        <v>out31</v>
      </c>
      <c r="AK33" s="380" t="str">
        <f>Настройки!V33</f>
        <v>-</v>
      </c>
      <c r="AL33" s="380" t="str">
        <f>Настройки!W33</f>
        <v>-</v>
      </c>
      <c r="AM33" s="380" t="str">
        <f>Настройки!X33</f>
        <v>-</v>
      </c>
      <c r="AN33" s="380" t="str">
        <f>Настройки!Y33</f>
        <v>-</v>
      </c>
      <c r="AO33" s="380" t="str">
        <f>Настройки!Z33</f>
        <v>-</v>
      </c>
      <c r="AP33" s="380" t="str">
        <f>Настройки!AA33</f>
        <v>Canal_32</v>
      </c>
      <c r="AQ33" s="380" t="str">
        <f>Настройки!AB33</f>
        <v>Canal_32</v>
      </c>
      <c r="AR33" s="380" t="str">
        <f>Настройки!AC33</f>
        <v>-</v>
      </c>
      <c r="AS33" s="380" t="str">
        <f>Настройки!AD33</f>
        <v>-</v>
      </c>
      <c r="AT33" s="207" t="str">
        <f>Настройки!AB33</f>
        <v>Canal_32</v>
      </c>
      <c r="AU33" s="207" t="str">
        <f>Настройки!AC33</f>
        <v>-</v>
      </c>
      <c r="AV33" s="207" t="str">
        <f>Настройки!AD33</f>
        <v>-</v>
      </c>
      <c r="AW33" s="207" t="str">
        <f>Настройки!AE33</f>
        <v>-</v>
      </c>
      <c r="AX33" s="207" t="str">
        <f>Настройки!AF33</f>
        <v>IDIG_8_4</v>
      </c>
      <c r="AY33" s="207" t="str">
        <f>Настройки!AG33</f>
        <v>Canal_32</v>
      </c>
      <c r="AZ33" s="207" t="str">
        <f>Настройки!AH33</f>
        <v>Canal_32</v>
      </c>
      <c r="BA33" s="207" t="str">
        <f>Настройки!AI33</f>
        <v>Canal_32</v>
      </c>
      <c r="BB33" s="207" t="str">
        <f>Настройки!AJ33</f>
        <v>-</v>
      </c>
      <c r="BC33" s="207" t="str">
        <f>Настройки!AK33</f>
        <v>-</v>
      </c>
      <c r="BD33" s="207" t="str">
        <f>Настройки!AL33</f>
        <v>Canal_32</v>
      </c>
      <c r="BE33" s="207" t="str">
        <f>Настройки!AM33</f>
        <v>-</v>
      </c>
    </row>
    <row r="34" spans="1:57">
      <c r="A34" s="82"/>
      <c r="B34" s="82"/>
      <c r="C34" s="81"/>
      <c r="D34" s="81"/>
      <c r="E34" s="81"/>
      <c r="F34" s="81"/>
      <c r="G34" s="445"/>
      <c r="H34" s="445"/>
      <c r="I34" s="459"/>
      <c r="J34" s="459"/>
      <c r="M34" s="424" t="str">
        <f>'Конфигурация TREI'!A35</f>
        <v>BR33</v>
      </c>
      <c r="N34" s="461" t="str">
        <f>'Конфигурация TREI'!B35</f>
        <v>M558D</v>
      </c>
      <c r="AE34" s="505"/>
      <c r="AF34" s="505"/>
      <c r="AG34" s="505"/>
      <c r="AH34" s="505"/>
      <c r="AI34" s="505"/>
      <c r="AJ34" s="505"/>
      <c r="AK34" s="505"/>
      <c r="AL34" s="505"/>
      <c r="AM34" s="505"/>
      <c r="AN34" s="505"/>
      <c r="AO34" s="505"/>
      <c r="AP34" s="505"/>
      <c r="AQ34" s="505"/>
      <c r="AR34" s="505"/>
      <c r="AS34" s="505"/>
      <c r="AT34" s="623"/>
      <c r="AU34" s="623"/>
      <c r="AV34" s="623"/>
      <c r="AW34" s="623"/>
      <c r="AX34" s="623"/>
      <c r="AY34" s="623"/>
      <c r="AZ34" s="623"/>
      <c r="BA34" s="623"/>
      <c r="BB34" s="623"/>
      <c r="BC34" s="623"/>
      <c r="BD34" s="623"/>
      <c r="BE34" s="623"/>
    </row>
    <row r="35" spans="1:57">
      <c r="A35" s="82"/>
      <c r="B35" s="82"/>
      <c r="C35" s="81"/>
      <c r="D35" s="81"/>
      <c r="E35" s="81"/>
      <c r="F35" s="81"/>
      <c r="G35" s="445"/>
      <c r="H35" s="445"/>
      <c r="I35" s="459"/>
      <c r="J35" s="459"/>
      <c r="M35" s="424" t="str">
        <f>'Конфигурация TREI'!A36</f>
        <v>BR34</v>
      </c>
      <c r="N35" s="461" t="str">
        <f>'Конфигурация TREI'!B36</f>
        <v>M558D</v>
      </c>
      <c r="AE35" s="505"/>
      <c r="AF35" s="505"/>
      <c r="AG35" s="505"/>
      <c r="AH35" s="505"/>
      <c r="AI35" s="505"/>
      <c r="AJ35" s="505"/>
      <c r="AK35" s="505"/>
      <c r="AL35" s="505"/>
      <c r="AM35" s="505"/>
      <c r="AN35" s="505"/>
      <c r="AO35" s="505"/>
      <c r="AP35" s="505"/>
      <c r="AQ35" s="505"/>
      <c r="AR35" s="505"/>
      <c r="AS35" s="505"/>
      <c r="AT35" s="623"/>
      <c r="AU35" s="623"/>
      <c r="AV35" s="623"/>
      <c r="AW35" s="623"/>
      <c r="AX35" s="623"/>
      <c r="AY35" s="623"/>
      <c r="AZ35" s="623"/>
      <c r="BA35" s="623"/>
      <c r="BB35" s="623"/>
      <c r="BC35" s="623"/>
      <c r="BD35" s="623"/>
      <c r="BE35" s="623"/>
    </row>
    <row r="36" spans="1:57">
      <c r="A36" s="82"/>
      <c r="B36" s="82"/>
      <c r="C36" s="81"/>
      <c r="D36" s="81"/>
      <c r="E36" s="81"/>
      <c r="F36" s="81"/>
      <c r="G36" s="445"/>
      <c r="H36" s="445"/>
      <c r="I36" s="459"/>
      <c r="J36" s="459"/>
      <c r="M36" s="424" t="str">
        <f>'Конфигурация TREI'!A37</f>
        <v>BR35</v>
      </c>
      <c r="N36" s="461" t="str">
        <f>'Конфигурация TREI'!B37</f>
        <v>M558D</v>
      </c>
      <c r="AE36" s="505"/>
      <c r="AF36" s="505"/>
      <c r="AG36" s="505"/>
      <c r="AH36" s="505"/>
      <c r="AI36" s="505"/>
      <c r="AJ36" s="505"/>
      <c r="AK36" s="505"/>
      <c r="AL36" s="505"/>
      <c r="AM36" s="505"/>
      <c r="AN36" s="505"/>
      <c r="AO36" s="505"/>
      <c r="AP36" s="505"/>
      <c r="AQ36" s="505"/>
      <c r="AR36" s="505"/>
      <c r="AS36" s="505"/>
      <c r="AT36" s="623"/>
      <c r="AU36" s="623"/>
      <c r="AV36" s="623"/>
      <c r="AW36" s="623"/>
      <c r="AX36" s="623"/>
      <c r="AY36" s="623"/>
      <c r="AZ36" s="623"/>
      <c r="BA36" s="623"/>
      <c r="BB36" s="623"/>
      <c r="BC36" s="623"/>
      <c r="BD36" s="623"/>
      <c r="BE36" s="623"/>
    </row>
    <row r="37" spans="1:57" ht="15.75" customHeight="1">
      <c r="A37" s="82"/>
      <c r="B37" s="82"/>
      <c r="C37" s="81"/>
      <c r="D37" s="81"/>
      <c r="E37" s="81"/>
      <c r="F37" s="81"/>
      <c r="G37" s="445"/>
      <c r="H37" s="445"/>
      <c r="I37" s="459"/>
      <c r="J37" s="459"/>
      <c r="M37" s="424" t="str">
        <f>'Конфигурация TREI'!A38</f>
        <v>BR36</v>
      </c>
      <c r="N37" s="461">
        <f>'Конфигурация TREI'!B38</f>
        <v>0</v>
      </c>
      <c r="AE37" s="505"/>
      <c r="AF37" s="505"/>
      <c r="AG37" s="505"/>
      <c r="AH37" s="505"/>
      <c r="AI37" s="505"/>
      <c r="AJ37" s="505"/>
      <c r="AK37" s="505"/>
      <c r="AL37" s="505"/>
      <c r="AM37" s="505"/>
      <c r="AN37" s="505"/>
      <c r="AO37" s="505"/>
      <c r="AP37" s="505"/>
      <c r="AQ37" s="505"/>
      <c r="AR37" s="505"/>
      <c r="AS37" s="505"/>
      <c r="AT37" s="623"/>
      <c r="AU37" s="623"/>
      <c r="AV37" s="623"/>
      <c r="AW37" s="623"/>
      <c r="AX37" s="623"/>
      <c r="AY37" s="623"/>
      <c r="AZ37" s="623"/>
      <c r="BA37" s="623"/>
      <c r="BB37" s="623"/>
      <c r="BC37" s="623"/>
      <c r="BD37" s="623"/>
      <c r="BE37" s="623"/>
    </row>
    <row r="38" spans="1:57">
      <c r="A38" s="82"/>
      <c r="B38" s="82"/>
      <c r="C38" s="81"/>
      <c r="D38" s="81"/>
      <c r="E38" s="81"/>
      <c r="F38" s="81"/>
      <c r="G38" s="445"/>
      <c r="H38" s="445"/>
      <c r="I38" s="459"/>
      <c r="J38" s="459"/>
      <c r="M38" s="424" t="str">
        <f>'Конфигурация TREI'!A39</f>
        <v>BR37</v>
      </c>
      <c r="N38" s="461">
        <f>'Конфигурация TREI'!B39</f>
        <v>0</v>
      </c>
      <c r="AE38" s="505"/>
      <c r="AF38" s="505"/>
      <c r="AG38" s="505"/>
      <c r="AH38" s="505"/>
      <c r="AI38" s="505"/>
      <c r="AJ38" s="505"/>
      <c r="AK38" s="505"/>
      <c r="AL38" s="505"/>
      <c r="AM38" s="505"/>
      <c r="AN38" s="505"/>
      <c r="AO38" s="505"/>
      <c r="AP38" s="505"/>
      <c r="AQ38" s="505"/>
      <c r="AR38" s="505"/>
      <c r="AS38" s="505"/>
      <c r="AT38" s="623"/>
      <c r="AU38" s="623"/>
      <c r="AV38" s="623"/>
      <c r="AW38" s="623"/>
      <c r="AX38" s="623"/>
      <c r="AY38" s="623"/>
      <c r="AZ38" s="623"/>
      <c r="BA38" s="623"/>
      <c r="BB38" s="623"/>
      <c r="BC38" s="623"/>
      <c r="BD38" s="623"/>
      <c r="BE38" s="623"/>
    </row>
    <row r="39" spans="1:57">
      <c r="A39" s="82"/>
      <c r="B39" s="82"/>
      <c r="C39" s="81"/>
      <c r="D39" s="81"/>
      <c r="E39" s="81"/>
      <c r="F39" s="81"/>
      <c r="G39" s="445"/>
      <c r="H39" s="445"/>
      <c r="I39" s="459"/>
      <c r="J39" s="459"/>
      <c r="M39" s="424" t="str">
        <f>'Конфигурация TREI'!A40</f>
        <v>BR38</v>
      </c>
      <c r="N39" s="461">
        <f>'Конфигурация TREI'!B40</f>
        <v>0</v>
      </c>
      <c r="AE39" s="505"/>
      <c r="AF39" s="505"/>
      <c r="AG39" s="505"/>
      <c r="AH39" s="505"/>
      <c r="AI39" s="505"/>
      <c r="AJ39" s="505"/>
      <c r="AK39" s="505"/>
      <c r="AL39" s="505"/>
      <c r="AM39" s="505"/>
      <c r="AN39" s="505"/>
      <c r="AO39" s="505"/>
      <c r="AP39" s="505"/>
      <c r="AQ39" s="505"/>
      <c r="AR39" s="505"/>
      <c r="AS39" s="505"/>
      <c r="AT39" s="623"/>
      <c r="AU39" s="623"/>
      <c r="AV39" s="623"/>
      <c r="AW39" s="623"/>
      <c r="AX39" s="623"/>
      <c r="AY39" s="623"/>
      <c r="AZ39" s="623"/>
      <c r="BA39" s="623"/>
      <c r="BB39" s="623"/>
      <c r="BC39" s="623"/>
      <c r="BD39" s="623"/>
      <c r="BE39" s="623"/>
    </row>
    <row r="40" spans="1:57">
      <c r="A40" s="82"/>
      <c r="B40" s="82"/>
      <c r="C40" s="81"/>
      <c r="D40" s="81"/>
      <c r="E40" s="81"/>
      <c r="F40" s="81"/>
      <c r="G40" s="445"/>
      <c r="H40" s="445"/>
      <c r="I40" s="459"/>
      <c r="J40" s="459"/>
      <c r="M40" s="424" t="str">
        <f>'Конфигурация TREI'!A41</f>
        <v>BR39</v>
      </c>
      <c r="N40" s="461">
        <f>'Конфигурация TREI'!B41</f>
        <v>0</v>
      </c>
      <c r="AE40" s="505"/>
      <c r="AF40" s="505"/>
      <c r="AG40" s="505"/>
      <c r="AH40" s="505"/>
      <c r="AI40" s="505"/>
      <c r="AJ40" s="505"/>
      <c r="AK40" s="505"/>
      <c r="AL40" s="505"/>
      <c r="AM40" s="505"/>
      <c r="AN40" s="505"/>
      <c r="AO40" s="505"/>
      <c r="AP40" s="505"/>
      <c r="AQ40" s="505"/>
      <c r="AR40" s="505"/>
      <c r="AS40" s="505"/>
      <c r="AT40" s="623"/>
      <c r="AU40" s="623"/>
      <c r="AV40" s="623"/>
      <c r="AW40" s="623"/>
      <c r="AX40" s="623"/>
      <c r="AY40" s="623"/>
      <c r="AZ40" s="623"/>
      <c r="BA40" s="623"/>
      <c r="BB40" s="623"/>
      <c r="BC40" s="623"/>
      <c r="BD40" s="623"/>
      <c r="BE40" s="623"/>
    </row>
    <row r="41" spans="1:57">
      <c r="A41" s="82"/>
      <c r="B41" s="82"/>
      <c r="C41" s="81"/>
      <c r="D41" s="81"/>
      <c r="E41" s="81"/>
      <c r="F41" s="81"/>
      <c r="G41" s="445"/>
      <c r="H41" s="445"/>
      <c r="I41" s="459"/>
      <c r="J41" s="459"/>
      <c r="M41" s="424" t="str">
        <f>'Конфигурация TREI'!A42</f>
        <v>BR40</v>
      </c>
      <c r="N41" s="461">
        <f>'Конфигурация TREI'!B42</f>
        <v>0</v>
      </c>
      <c r="AE41" s="505"/>
      <c r="AF41" s="505"/>
      <c r="AG41" s="505"/>
      <c r="AH41" s="505"/>
      <c r="AI41" s="505"/>
      <c r="AJ41" s="505"/>
      <c r="AK41" s="505"/>
      <c r="AL41" s="505"/>
      <c r="AM41" s="505"/>
      <c r="AN41" s="505"/>
      <c r="AO41" s="505"/>
      <c r="AP41" s="505"/>
      <c r="AQ41" s="505"/>
      <c r="AR41" s="505"/>
      <c r="AS41" s="505"/>
      <c r="AT41" s="623"/>
      <c r="AU41" s="623"/>
      <c r="AV41" s="623"/>
      <c r="AW41" s="623"/>
      <c r="AX41" s="623"/>
      <c r="AY41" s="623"/>
      <c r="AZ41" s="623"/>
      <c r="BA41" s="623"/>
      <c r="BB41" s="623"/>
      <c r="BC41" s="623"/>
      <c r="BD41" s="623"/>
      <c r="BE41" s="623"/>
    </row>
    <row r="42" spans="1:57">
      <c r="A42" s="82"/>
      <c r="B42" s="82"/>
      <c r="C42" s="81"/>
      <c r="D42" s="81"/>
      <c r="E42" s="81"/>
      <c r="F42" s="81"/>
      <c r="G42" s="445"/>
      <c r="H42" s="445"/>
      <c r="I42" s="459"/>
      <c r="J42" s="459"/>
      <c r="K42" s="1"/>
      <c r="M42" s="424" t="str">
        <f>'Конфигурация TREI'!A43</f>
        <v>BR41</v>
      </c>
      <c r="N42" s="461">
        <f>'Конфигурация TREI'!B43</f>
        <v>0</v>
      </c>
      <c r="AE42" s="505"/>
      <c r="AF42" s="505"/>
      <c r="AG42" s="505"/>
      <c r="AH42" s="505"/>
      <c r="AI42" s="505"/>
      <c r="AJ42" s="505"/>
      <c r="AK42" s="505"/>
      <c r="AL42" s="505"/>
      <c r="AM42" s="505"/>
      <c r="AN42" s="505"/>
      <c r="AO42" s="505"/>
      <c r="AP42" s="505"/>
      <c r="AQ42" s="505"/>
      <c r="AR42" s="505"/>
      <c r="AS42" s="505"/>
      <c r="AT42" s="623"/>
      <c r="AU42" s="623"/>
      <c r="AV42" s="623"/>
      <c r="AW42" s="623"/>
      <c r="AX42" s="623"/>
      <c r="AY42" s="623"/>
      <c r="AZ42" s="623"/>
      <c r="BA42" s="623"/>
      <c r="BB42" s="623"/>
      <c r="BC42" s="623"/>
      <c r="BD42" s="623"/>
      <c r="BE42" s="623"/>
    </row>
    <row r="43" spans="1:57">
      <c r="A43" s="82"/>
      <c r="B43" s="82"/>
      <c r="C43" s="81"/>
      <c r="D43" s="81"/>
      <c r="E43" s="81"/>
      <c r="F43" s="81"/>
      <c r="G43" s="445"/>
      <c r="H43" s="445"/>
      <c r="I43" s="459"/>
      <c r="J43" s="459"/>
      <c r="K43" s="1"/>
      <c r="M43" s="424" t="str">
        <f>'Конфигурация TREI'!A44</f>
        <v>BR42</v>
      </c>
      <c r="N43" s="461">
        <f>'Конфигурация TREI'!B44</f>
        <v>0</v>
      </c>
      <c r="AE43" s="505"/>
      <c r="AF43" s="505"/>
      <c r="AG43" s="505"/>
      <c r="AH43" s="505"/>
      <c r="AI43" s="505"/>
      <c r="AJ43" s="505"/>
      <c r="AK43" s="505"/>
      <c r="AL43" s="505"/>
      <c r="AM43" s="505"/>
      <c r="AN43" s="505"/>
      <c r="AO43" s="505"/>
      <c r="AP43" s="505"/>
      <c r="AQ43" s="505"/>
      <c r="AR43" s="505"/>
      <c r="AS43" s="505"/>
      <c r="AT43" s="623"/>
      <c r="AU43" s="623"/>
      <c r="AV43" s="623"/>
      <c r="AW43" s="623"/>
      <c r="AX43" s="623"/>
      <c r="AY43" s="623"/>
      <c r="AZ43" s="623"/>
      <c r="BA43" s="623"/>
      <c r="BB43" s="623"/>
      <c r="BC43" s="623"/>
      <c r="BD43" s="623"/>
      <c r="BE43" s="623"/>
    </row>
    <row r="44" spans="1:57">
      <c r="A44" s="82"/>
      <c r="B44" s="82"/>
      <c r="C44" s="81"/>
      <c r="D44" s="81"/>
      <c r="E44" s="81"/>
      <c r="F44" s="81"/>
      <c r="G44" s="445"/>
      <c r="H44" s="445"/>
      <c r="I44" s="459"/>
      <c r="J44" s="459"/>
      <c r="K44" s="1"/>
      <c r="M44" s="424" t="str">
        <f>'Конфигурация TREI'!A45</f>
        <v>BR43</v>
      </c>
      <c r="N44" s="461">
        <f>'Конфигурация TREI'!B45</f>
        <v>0</v>
      </c>
      <c r="AE44" s="505"/>
      <c r="AF44" s="505"/>
      <c r="AG44" s="505"/>
      <c r="AH44" s="505"/>
      <c r="AI44" s="505"/>
      <c r="AJ44" s="505"/>
      <c r="AK44" s="505"/>
      <c r="AL44" s="505"/>
      <c r="AM44" s="505"/>
      <c r="AN44" s="505"/>
      <c r="AO44" s="505"/>
      <c r="AP44" s="505"/>
      <c r="AQ44" s="505"/>
      <c r="AR44" s="505"/>
      <c r="AS44" s="505"/>
      <c r="AT44" s="623"/>
      <c r="AU44" s="623"/>
      <c r="AV44" s="623"/>
      <c r="AW44" s="623"/>
      <c r="AX44" s="623"/>
      <c r="AY44" s="623"/>
      <c r="AZ44" s="623"/>
      <c r="BA44" s="623"/>
      <c r="BB44" s="623"/>
      <c r="BC44" s="623"/>
      <c r="BD44" s="623"/>
      <c r="BE44" s="623"/>
    </row>
    <row r="45" spans="1:57">
      <c r="A45" s="82"/>
      <c r="B45" s="82"/>
      <c r="C45" s="81"/>
      <c r="D45" s="81"/>
      <c r="E45" s="81"/>
      <c r="F45" s="81"/>
      <c r="G45" s="445"/>
      <c r="H45" s="445"/>
      <c r="I45" s="459"/>
      <c r="J45" s="459"/>
      <c r="K45" s="1"/>
      <c r="M45" s="424" t="str">
        <f>'Конфигурация TREI'!A46</f>
        <v>BR44</v>
      </c>
      <c r="N45" s="461">
        <f>'Конфигурация TREI'!B46</f>
        <v>0</v>
      </c>
      <c r="AE45" s="505"/>
      <c r="AF45" s="505"/>
      <c r="AG45" s="505"/>
      <c r="AH45" s="505"/>
      <c r="AI45" s="505"/>
      <c r="AJ45" s="505"/>
      <c r="AK45" s="505"/>
      <c r="AL45" s="505"/>
      <c r="AM45" s="505"/>
      <c r="AN45" s="505"/>
      <c r="AO45" s="505"/>
      <c r="AP45" s="505"/>
      <c r="AQ45" s="505"/>
      <c r="AR45" s="505"/>
      <c r="AS45" s="505"/>
      <c r="AT45" s="623"/>
      <c r="AU45" s="623"/>
      <c r="AV45" s="623"/>
      <c r="AW45" s="623"/>
      <c r="AX45" s="623"/>
      <c r="AY45" s="623"/>
      <c r="AZ45" s="623"/>
      <c r="BA45" s="623"/>
      <c r="BB45" s="623"/>
      <c r="BC45" s="623"/>
      <c r="BD45" s="623"/>
      <c r="BE45" s="623"/>
    </row>
    <row r="46" spans="1:57">
      <c r="A46" s="82"/>
      <c r="B46" s="82"/>
      <c r="C46" s="81"/>
      <c r="D46" s="81"/>
      <c r="E46" s="81"/>
      <c r="F46" s="81"/>
      <c r="G46" s="445"/>
      <c r="H46" s="445"/>
      <c r="I46" s="459"/>
      <c r="J46" s="459"/>
      <c r="K46" s="1"/>
      <c r="M46" s="424" t="str">
        <f>'Конфигурация TREI'!A47</f>
        <v>BR45</v>
      </c>
      <c r="N46" s="461">
        <f>'Конфигурация TREI'!B47</f>
        <v>0</v>
      </c>
      <c r="AE46" s="505"/>
      <c r="AF46" s="505"/>
      <c r="AG46" s="505"/>
      <c r="AH46" s="505"/>
      <c r="AI46" s="505"/>
      <c r="AJ46" s="505"/>
      <c r="AK46" s="505"/>
      <c r="AL46" s="505"/>
      <c r="AM46" s="505"/>
      <c r="AN46" s="505"/>
      <c r="AO46" s="505"/>
      <c r="AP46" s="505"/>
      <c r="AQ46" s="505"/>
      <c r="AR46" s="505"/>
      <c r="AS46" s="505"/>
      <c r="AT46" s="623"/>
      <c r="AU46" s="623"/>
      <c r="AV46" s="623"/>
      <c r="AW46" s="623"/>
      <c r="AX46" s="623"/>
      <c r="AY46" s="623"/>
      <c r="AZ46" s="623"/>
      <c r="BA46" s="623"/>
      <c r="BB46" s="623"/>
      <c r="BC46" s="623"/>
      <c r="BD46" s="623"/>
      <c r="BE46" s="623"/>
    </row>
    <row r="47" spans="1:57">
      <c r="A47" s="82"/>
      <c r="B47" s="82"/>
      <c r="C47" s="81"/>
      <c r="D47" s="81"/>
      <c r="E47" s="81"/>
      <c r="F47" s="81"/>
      <c r="G47" s="445"/>
      <c r="H47" s="445"/>
      <c r="I47" s="459"/>
      <c r="J47" s="459"/>
      <c r="K47" s="1"/>
      <c r="M47" s="424" t="str">
        <f>'Конфигурация TREI'!A48</f>
        <v>BR46</v>
      </c>
      <c r="N47" s="461">
        <f>'Конфигурация TREI'!B48</f>
        <v>0</v>
      </c>
      <c r="AE47" s="505"/>
      <c r="AF47" s="505"/>
      <c r="AG47" s="505"/>
      <c r="AH47" s="505"/>
      <c r="AI47" s="505"/>
      <c r="AJ47" s="505"/>
      <c r="AK47" s="505"/>
      <c r="AL47" s="505"/>
      <c r="AM47" s="505"/>
      <c r="AN47" s="505"/>
      <c r="AO47" s="505"/>
      <c r="AP47" s="505"/>
      <c r="AQ47" s="505"/>
      <c r="AR47" s="505"/>
      <c r="AS47" s="505"/>
      <c r="AT47" s="623"/>
      <c r="AU47" s="623"/>
      <c r="AV47" s="623"/>
      <c r="AW47" s="623"/>
      <c r="AX47" s="623"/>
      <c r="AY47" s="623"/>
      <c r="AZ47" s="623"/>
      <c r="BA47" s="623"/>
      <c r="BB47" s="623"/>
      <c r="BC47" s="623"/>
      <c r="BD47" s="623"/>
      <c r="BE47" s="623"/>
    </row>
    <row r="48" spans="1:57">
      <c r="A48" s="82"/>
      <c r="B48" s="82"/>
      <c r="C48" s="81"/>
      <c r="D48" s="81"/>
      <c r="E48" s="81"/>
      <c r="F48" s="81"/>
      <c r="G48" s="445"/>
      <c r="H48" s="445"/>
      <c r="I48" s="459"/>
      <c r="J48" s="459"/>
      <c r="K48" s="1"/>
      <c r="M48" s="424" t="str">
        <f>'Конфигурация TREI'!A49</f>
        <v>BR47</v>
      </c>
      <c r="N48" s="461">
        <f>'Конфигурация TREI'!B49</f>
        <v>0</v>
      </c>
      <c r="AE48" s="505"/>
      <c r="AF48" s="505"/>
      <c r="AG48" s="505"/>
      <c r="AH48" s="505"/>
      <c r="AI48" s="505"/>
      <c r="AJ48" s="505"/>
      <c r="AK48" s="505"/>
      <c r="AL48" s="505"/>
      <c r="AM48" s="505"/>
      <c r="AN48" s="505"/>
      <c r="AO48" s="505"/>
      <c r="AP48" s="505"/>
      <c r="AQ48" s="505"/>
      <c r="AR48" s="505"/>
      <c r="AS48" s="505"/>
      <c r="AT48" s="623"/>
      <c r="AU48" s="623"/>
      <c r="AV48" s="623"/>
      <c r="AW48" s="623"/>
      <c r="AX48" s="623"/>
      <c r="AY48" s="623"/>
      <c r="AZ48" s="623"/>
      <c r="BA48" s="623"/>
      <c r="BB48" s="623"/>
      <c r="BC48" s="623"/>
      <c r="BD48" s="623"/>
      <c r="BE48" s="623"/>
    </row>
    <row r="49" spans="1:64">
      <c r="A49" s="1"/>
      <c r="B49" s="1"/>
      <c r="C49" s="1"/>
      <c r="D49" s="1"/>
      <c r="E49" s="1"/>
      <c r="F49" s="1"/>
      <c r="G49" s="1"/>
      <c r="H49" s="1"/>
      <c r="I49" s="459"/>
      <c r="J49" s="459"/>
      <c r="K49" s="1"/>
      <c r="M49" s="424" t="str">
        <f>'Конфигурация TREI'!A50</f>
        <v>BR48</v>
      </c>
      <c r="N49" s="461">
        <f>'Конфигурация TREI'!B50</f>
        <v>0</v>
      </c>
      <c r="AE49" s="505"/>
      <c r="AF49" s="505"/>
      <c r="AG49" s="505"/>
      <c r="AH49" s="505"/>
      <c r="AI49" s="505"/>
      <c r="AJ49" s="505"/>
      <c r="AK49" s="505"/>
      <c r="AL49" s="505"/>
      <c r="AM49" s="505"/>
      <c r="AN49" s="505"/>
      <c r="AO49" s="505"/>
      <c r="AP49" s="505"/>
      <c r="AQ49" s="505"/>
      <c r="AR49" s="505"/>
      <c r="AS49" s="505"/>
      <c r="AT49" s="623"/>
      <c r="AU49" s="623"/>
      <c r="AV49" s="623"/>
      <c r="AW49" s="623"/>
      <c r="AX49" s="623"/>
      <c r="AY49" s="623"/>
      <c r="AZ49" s="623"/>
      <c r="BA49" s="623"/>
      <c r="BB49" s="623"/>
      <c r="BC49" s="623"/>
      <c r="BD49" s="623"/>
      <c r="BE49" s="623"/>
    </row>
    <row r="50" spans="1:64" s="4" customFormat="1">
      <c r="A50" s="446" t="str">
        <f>"//*********** "&amp;Q2&amp;" ***********"</f>
        <v>//*********** Задвижка FB с буферизацией ***********</v>
      </c>
      <c r="B50" s="446"/>
      <c r="C50" s="446"/>
      <c r="D50" s="446"/>
      <c r="E50" s="446"/>
      <c r="F50" s="446" t="s">
        <v>1031</v>
      </c>
      <c r="G50" s="489"/>
      <c r="H50" s="489"/>
      <c r="I50" s="490"/>
      <c r="J50" s="490" t="s">
        <v>1311</v>
      </c>
      <c r="K50" s="490" t="s">
        <v>1309</v>
      </c>
      <c r="L50" s="491" t="s">
        <v>1310</v>
      </c>
      <c r="M50" s="424" t="str">
        <f>'Конфигурация TREI'!A51</f>
        <v>BR49</v>
      </c>
      <c r="N50" s="461">
        <f>'Конфигурация TREI'!B51</f>
        <v>0</v>
      </c>
      <c r="R50" s="381"/>
      <c r="S50" s="381"/>
      <c r="T50" s="381"/>
      <c r="U50" s="381"/>
      <c r="V50" s="381"/>
      <c r="W50" s="381"/>
      <c r="X50" s="381"/>
      <c r="Y50" s="381"/>
      <c r="Z50" s="381"/>
      <c r="AA50" s="381"/>
      <c r="AB50" s="381"/>
      <c r="AC50" s="381"/>
      <c r="AD50" s="381"/>
      <c r="AE50" s="505"/>
      <c r="AF50" s="505"/>
      <c r="AG50" s="505"/>
      <c r="AH50" s="505"/>
      <c r="AI50" s="505"/>
      <c r="AJ50" s="505"/>
      <c r="AK50" s="505"/>
      <c r="AL50" s="505"/>
      <c r="AM50" s="505"/>
      <c r="AN50" s="505"/>
      <c r="AO50" s="505"/>
      <c r="AP50" s="505"/>
      <c r="AQ50" s="505"/>
      <c r="AR50" s="505"/>
      <c r="AS50" s="505"/>
      <c r="AT50" s="623"/>
      <c r="AU50" s="623"/>
      <c r="AV50" s="623"/>
      <c r="AW50" s="623"/>
      <c r="AX50" s="623"/>
      <c r="AY50" s="623"/>
      <c r="AZ50" s="623"/>
      <c r="BA50" s="623"/>
      <c r="BB50" s="623"/>
      <c r="BC50" s="623"/>
      <c r="BD50" s="623"/>
      <c r="BE50" s="623"/>
      <c r="BF50" s="458"/>
      <c r="BG50" s="458"/>
      <c r="BH50" s="458"/>
      <c r="BI50" s="458"/>
      <c r="BJ50" s="458"/>
      <c r="BK50" s="458"/>
      <c r="BL50" s="458"/>
    </row>
    <row r="51" spans="1:64">
      <c r="A51" s="457"/>
      <c r="B51" s="457" t="s">
        <v>1213</v>
      </c>
      <c r="C51" s="455" t="str">
        <f t="shared" ref="C51:C56" si="0">LEFT($L51,FIND("+",$L51,1)-1)</f>
        <v>2</v>
      </c>
      <c r="D51" s="455" t="s">
        <v>178</v>
      </c>
      <c r="E51" s="446" t="str">
        <f ca="1">IFERROR(IF(OR($I51="-", $H51="0"),"КАНАЛ ОТСУТСТВУЕТ",IF($I51=0,"МОДУЛЬ ОТСУТСТВУЕТ",IF(LEFT($I51,3)="out","УДАЛИТЬ",I51))),IF($K51=0,"УДАЛИТЬ","ОШИБКА ФОРМАТА"))</f>
        <v>Canal_04</v>
      </c>
      <c r="F51" s="455" t="str">
        <f>" :="&amp;IF(LEFT(SUBSTITUTE($K51," ",""),1)="!","NOT  ","")&amp;SUBSTITUTE($P$2,"\","|")&amp;"|"&amp; $J51 &amp;";"</f>
        <v xml:space="preserve"> :=KMZ1_BUF|OXON;</v>
      </c>
      <c r="G51" s="445" t="str">
        <f t="shared" ref="G51:G56" si="1">INDEX($N$2:$N$61,C51)</f>
        <v>M548A</v>
      </c>
      <c r="H51" s="445" t="str">
        <f t="shared" ref="H51:H56" si="2">RIGHT($L51,LEN($L51)-FIND("+",$L51,1))</f>
        <v>4</v>
      </c>
      <c r="I51" s="460" t="str">
        <f t="shared" ref="I51:I56" ca="1" si="3">INDIRECT(ADDRESS($H51+1,MATCH($G51,$1:$1,),1))</f>
        <v>Canal_04</v>
      </c>
      <c r="J51" s="494" t="str">
        <f>$X$1</f>
        <v>OXON</v>
      </c>
      <c r="K51" s="495" t="str">
        <f>$X$2</f>
        <v>2+4</v>
      </c>
      <c r="L51" s="496" t="str">
        <f>$X$3</f>
        <v>2+4</v>
      </c>
      <c r="M51" s="424" t="str">
        <f>'Конфигурация TREI'!A52</f>
        <v>BR50</v>
      </c>
      <c r="N51" s="461">
        <f>'Конфигурация TREI'!B52</f>
        <v>0</v>
      </c>
      <c r="P51" s="4"/>
      <c r="AE51" s="505"/>
      <c r="AF51" s="505"/>
      <c r="AG51" s="505"/>
      <c r="AH51" s="505"/>
      <c r="AI51" s="505"/>
      <c r="AJ51" s="505"/>
      <c r="AK51" s="505"/>
      <c r="AL51" s="505"/>
      <c r="AM51" s="505"/>
      <c r="AN51" s="505"/>
      <c r="AO51" s="505"/>
      <c r="AP51" s="505"/>
      <c r="AQ51" s="505"/>
      <c r="AR51" s="505"/>
      <c r="AS51" s="505"/>
      <c r="AT51" s="623"/>
      <c r="AU51" s="623"/>
      <c r="AV51" s="623"/>
      <c r="AW51" s="623"/>
      <c r="AX51" s="623"/>
      <c r="AY51" s="623"/>
      <c r="AZ51" s="623"/>
      <c r="BA51" s="623"/>
      <c r="BB51" s="623"/>
      <c r="BC51" s="623"/>
      <c r="BD51" s="623"/>
      <c r="BE51" s="623"/>
    </row>
    <row r="52" spans="1:64">
      <c r="A52" s="457"/>
      <c r="B52" s="457" t="s">
        <v>1213</v>
      </c>
      <c r="C52" s="455" t="str">
        <f t="shared" si="0"/>
        <v>2</v>
      </c>
      <c r="D52" s="455" t="s">
        <v>178</v>
      </c>
      <c r="E52" s="446" t="str">
        <f ca="1">IFERROR(IF(OR($I52="-", $H52="0"),"КАНАЛ ОТСУТСТВУЕТ",IF($I52=0,"МОДУЛЬ ОТСУТСТВУЕТ",IF(LEFT($I52,3)="out","УДАЛИТЬ",I52))),IF($K52=0,"УДАЛИТЬ","ОШИБКА ФОРМАТА"))</f>
        <v>Canal_05</v>
      </c>
      <c r="F52" s="455" t="str">
        <f>" :="&amp;IF(LEFT(SUBSTITUTE($K52," ",""),1)="!","NOT  ","")&amp;SUBSTITUTE($P$2,"\","|")&amp;"|"&amp; $J52 &amp;";"</f>
        <v xml:space="preserve"> :=KMZ1_BUF|OXOF;</v>
      </c>
      <c r="G52" s="445" t="str">
        <f t="shared" si="1"/>
        <v>M548A</v>
      </c>
      <c r="H52" s="445" t="str">
        <f t="shared" si="2"/>
        <v>5</v>
      </c>
      <c r="I52" s="460" t="str">
        <f t="shared" ca="1" si="3"/>
        <v>Canal_05</v>
      </c>
      <c r="J52" s="497" t="str">
        <f xml:space="preserve"> $Y$1</f>
        <v>OXOF</v>
      </c>
      <c r="K52" s="492" t="str">
        <f>$Y$2</f>
        <v>2+5</v>
      </c>
      <c r="L52" s="498" t="str">
        <f>$Y$3</f>
        <v>2+5</v>
      </c>
      <c r="M52" s="424" t="str">
        <f>'Конфигурация TREI'!A53</f>
        <v>BR51</v>
      </c>
      <c r="N52" s="461">
        <f>'Конфигурация TREI'!B53</f>
        <v>0</v>
      </c>
      <c r="P52" s="4"/>
      <c r="AE52" s="505"/>
      <c r="AF52" s="505"/>
      <c r="AG52" s="505"/>
      <c r="AH52" s="505"/>
      <c r="AI52" s="505"/>
      <c r="AJ52" s="505"/>
      <c r="AK52" s="505"/>
      <c r="AL52" s="505"/>
      <c r="AM52" s="505"/>
      <c r="AN52" s="505"/>
      <c r="AO52" s="505"/>
      <c r="AP52" s="505"/>
      <c r="AQ52" s="505"/>
      <c r="AR52" s="505"/>
      <c r="AS52" s="505"/>
      <c r="AT52" s="623"/>
      <c r="AU52" s="623"/>
      <c r="AV52" s="623"/>
      <c r="AW52" s="623"/>
      <c r="AX52" s="623"/>
      <c r="AY52" s="623"/>
      <c r="AZ52" s="623"/>
      <c r="BA52" s="623"/>
      <c r="BB52" s="623"/>
      <c r="BC52" s="623"/>
      <c r="BD52" s="623"/>
      <c r="BE52" s="623"/>
    </row>
    <row r="53" spans="1:64">
      <c r="A53" s="457"/>
      <c r="B53" s="457" t="s">
        <v>1213</v>
      </c>
      <c r="C53" s="455" t="str">
        <f>LEFT($L53,FIND("+",$L53,1)-1)</f>
        <v>2</v>
      </c>
      <c r="D53" s="455" t="s">
        <v>178</v>
      </c>
      <c r="E53" s="446" t="str">
        <f ca="1">IFERROR(IF(OR($I53="-", $H53="0"),"КАНАЛ ОТСУТСТВУЕТ",IF($I53=0,"МОДУЛЬ ОТСУТСТВУЕТ",IF(LEFT($I53,3)="out","УДАЛИТЬ",I53))),IF($K53=0,"УДАЛИТЬ","ОШИБКА ФОРМАТА"))</f>
        <v>Canal_06</v>
      </c>
      <c r="F53" s="455" t="str">
        <f>" :="&amp;IF(LEFT(SUBSTITUTE($K53," ",""),1)="!","NOT  ","")&amp;SUBSTITUTE($P$2,"\","|")&amp;"|"&amp; $J53 &amp;";"</f>
        <v xml:space="preserve"> :=KMZ1_BUF|OXSP;</v>
      </c>
      <c r="G53" s="445" t="str">
        <f t="shared" si="1"/>
        <v>M548A</v>
      </c>
      <c r="H53" s="445" t="str">
        <f t="shared" si="2"/>
        <v>6</v>
      </c>
      <c r="I53" s="460" t="str">
        <f t="shared" ca="1" si="3"/>
        <v>Canal_06</v>
      </c>
      <c r="J53" s="499" t="str">
        <f>$Z$1</f>
        <v>OXSP</v>
      </c>
      <c r="K53" s="500" t="str">
        <f>$Z$2</f>
        <v>2+6</v>
      </c>
      <c r="L53" s="501" t="str">
        <f>$Z$3</f>
        <v>2+6</v>
      </c>
      <c r="M53" s="424" t="str">
        <f>'Конфигурация TREI'!A54</f>
        <v>BR52</v>
      </c>
      <c r="N53" s="461">
        <f>'Конфигурация TREI'!B54</f>
        <v>0</v>
      </c>
      <c r="P53" s="4"/>
      <c r="AE53" s="505"/>
      <c r="AF53" s="505"/>
      <c r="AG53" s="505"/>
      <c r="AH53" s="505"/>
      <c r="AI53" s="505"/>
      <c r="AJ53" s="505"/>
      <c r="AK53" s="505"/>
      <c r="AL53" s="505"/>
      <c r="AM53" s="505"/>
      <c r="AN53" s="505"/>
      <c r="AO53" s="505"/>
      <c r="AP53" s="505"/>
      <c r="AQ53" s="505"/>
      <c r="AR53" s="505"/>
      <c r="AS53" s="505"/>
      <c r="AT53" s="623"/>
      <c r="AU53" s="623"/>
      <c r="AV53" s="623"/>
      <c r="AW53" s="623"/>
      <c r="AX53" s="623"/>
      <c r="AY53" s="623"/>
      <c r="AZ53" s="623"/>
      <c r="BA53" s="623"/>
      <c r="BB53" s="623"/>
      <c r="BC53" s="623"/>
      <c r="BD53" s="623"/>
      <c r="BE53" s="623"/>
    </row>
    <row r="54" spans="1:64">
      <c r="A54" s="457"/>
      <c r="B54" s="457" t="s">
        <v>1213</v>
      </c>
      <c r="C54" s="455" t="str">
        <f t="shared" si="0"/>
        <v>2</v>
      </c>
      <c r="D54" s="455"/>
      <c r="E54" s="446" t="str">
        <f ca="1">IFERROR(IF(OR($I54="-", $H54="0"),"КАНАЛ ОТСУТСТВУЕТ",IF($I54=0,"МОДУЛЬ ОТСУТСТВУЕТ",IF(LEFT($I54,3)="out",".ODIG_MASK:=SETBIT("&amp;IF(LEFT(SUBSTITUTE($K54," ",""),1)="!","NOT  ","")&amp;SUBSTITUTE($P$2,"\","|")&amp;"|"&amp; $J54&amp;"@"&amp;REPLACE($I54,1,3,"")&amp;"@BR"&amp;$C54,"УДАЛИТЬ"))),"УДАЛИТЬ")</f>
        <v>УДАЛИТЬ</v>
      </c>
      <c r="F54" s="455" t="str">
        <f>".ODIG_MASK);"</f>
        <v>.ODIG_MASK);</v>
      </c>
      <c r="G54" s="445" t="str">
        <f t="shared" si="1"/>
        <v>M548A</v>
      </c>
      <c r="H54" s="445" t="str">
        <f t="shared" si="2"/>
        <v>4</v>
      </c>
      <c r="I54" s="460" t="str">
        <f t="shared" ca="1" si="3"/>
        <v>Canal_04</v>
      </c>
      <c r="J54" s="494" t="str">
        <f>$X$1</f>
        <v>OXON</v>
      </c>
      <c r="K54" s="495" t="str">
        <f>$X$2</f>
        <v>2+4</v>
      </c>
      <c r="L54" s="496" t="str">
        <f>$X$3</f>
        <v>2+4</v>
      </c>
      <c r="M54" s="424" t="str">
        <f>'Конфигурация TREI'!A55</f>
        <v>BR53</v>
      </c>
      <c r="N54" s="461">
        <f>'Конфигурация TREI'!B55</f>
        <v>0</v>
      </c>
      <c r="P54" s="4"/>
      <c r="AE54" s="505"/>
      <c r="AF54" s="505"/>
      <c r="AG54" s="505"/>
      <c r="AH54" s="505"/>
      <c r="AI54" s="505"/>
      <c r="AJ54" s="505"/>
      <c r="AK54" s="505"/>
      <c r="AL54" s="505"/>
      <c r="AM54" s="505"/>
      <c r="AN54" s="505"/>
      <c r="AO54" s="505"/>
      <c r="AP54" s="505"/>
      <c r="AQ54" s="505"/>
      <c r="AR54" s="505"/>
      <c r="AS54" s="505"/>
      <c r="AT54" s="623"/>
      <c r="AU54" s="623"/>
      <c r="AV54" s="623"/>
      <c r="AW54" s="623"/>
      <c r="AX54" s="623"/>
      <c r="AY54" s="623"/>
      <c r="AZ54" s="623"/>
      <c r="BA54" s="623"/>
      <c r="BB54" s="623"/>
      <c r="BC54" s="623"/>
      <c r="BD54" s="623"/>
      <c r="BE54" s="623"/>
    </row>
    <row r="55" spans="1:64">
      <c r="A55" s="457"/>
      <c r="B55" s="457" t="s">
        <v>1213</v>
      </c>
      <c r="C55" s="455" t="str">
        <f t="shared" si="0"/>
        <v>2</v>
      </c>
      <c r="D55" s="455"/>
      <c r="E55" s="446" t="str">
        <f ca="1">IFERROR(IF(OR($I55="-", $H55="0"),"КАНАЛ ОТСУТСТВУЕТ",IF($I55=0,"МОДУЛЬ ОТСУТСТВУЕТ",IF(LEFT($I55,3)="out",".ODIG_MASK:=SETBIT("&amp;IF(LEFT(SUBSTITUTE($K55," ",""),1)="!","NOT  ","")&amp;SUBSTITUTE($P$2,"\","|")&amp;"|"&amp; $J55&amp;"@"&amp;REPLACE($I55,1,3,"")&amp;"@BR"&amp;$C55,"УДАЛИТЬ"))),"УДАЛИТЬ")</f>
        <v>УДАЛИТЬ</v>
      </c>
      <c r="F55" s="455" t="str">
        <f>".ODIG_MASK);"</f>
        <v>.ODIG_MASK);</v>
      </c>
      <c r="G55" s="445" t="str">
        <f t="shared" si="1"/>
        <v>M548A</v>
      </c>
      <c r="H55" s="445" t="str">
        <f t="shared" si="2"/>
        <v>5</v>
      </c>
      <c r="I55" s="460" t="str">
        <f t="shared" ca="1" si="3"/>
        <v>Canal_05</v>
      </c>
      <c r="J55" s="497" t="str">
        <f xml:space="preserve"> $Y$1</f>
        <v>OXOF</v>
      </c>
      <c r="K55" s="492" t="str">
        <f>$Y$2</f>
        <v>2+5</v>
      </c>
      <c r="L55" s="498" t="str">
        <f>$Y$3</f>
        <v>2+5</v>
      </c>
      <c r="M55" s="424" t="str">
        <f>'Конфигурация TREI'!A56</f>
        <v>BR54</v>
      </c>
      <c r="N55" s="461">
        <f>'Конфигурация TREI'!B56</f>
        <v>0</v>
      </c>
      <c r="P55" s="4"/>
      <c r="AE55" s="505"/>
      <c r="AF55" s="505"/>
      <c r="AG55" s="505"/>
      <c r="AH55" s="505"/>
      <c r="AI55" s="505"/>
      <c r="AJ55" s="505"/>
      <c r="AK55" s="505"/>
      <c r="AL55" s="505"/>
      <c r="AM55" s="505"/>
      <c r="AN55" s="505"/>
      <c r="AO55" s="505"/>
      <c r="AP55" s="505"/>
      <c r="AQ55" s="505"/>
      <c r="AR55" s="505"/>
      <c r="AS55" s="505"/>
      <c r="AT55" s="623"/>
      <c r="AU55" s="623"/>
      <c r="AV55" s="623"/>
      <c r="AW55" s="623"/>
      <c r="AX55" s="623"/>
      <c r="AY55" s="623"/>
      <c r="AZ55" s="623"/>
      <c r="BA55" s="623"/>
      <c r="BB55" s="623"/>
      <c r="BC55" s="623"/>
      <c r="BD55" s="623"/>
      <c r="BE55" s="623"/>
    </row>
    <row r="56" spans="1:64">
      <c r="A56" s="457"/>
      <c r="B56" s="457" t="s">
        <v>1213</v>
      </c>
      <c r="C56" s="455" t="str">
        <f t="shared" si="0"/>
        <v>2</v>
      </c>
      <c r="D56" s="455"/>
      <c r="E56" s="446" t="str">
        <f ca="1">IFERROR(IF(OR($I56="-", $H56="0"),"КАНАЛ ОТСУТСТВУЕТ",IF($I56=0,"МОДУЛЬ ОТСУТСТВУЕТ",IF(LEFT($I56,3)="out",".ODIG_MASK:=SETBIT("&amp;IF(LEFT(SUBSTITUTE($K56," ",""),1)="!","NOT  ","")&amp;SUBSTITUTE($P$2,"\","|")&amp;"|"&amp; $J56&amp;"@"&amp;REPLACE($I56,1,3,"")&amp;"@BR"&amp;$C56,"УДАЛИТЬ"))),"УДАЛИТЬ")</f>
        <v>УДАЛИТЬ</v>
      </c>
      <c r="F56" s="455" t="str">
        <f>".ODIG_MASK);"</f>
        <v>.ODIG_MASK);</v>
      </c>
      <c r="G56" s="445" t="str">
        <f t="shared" si="1"/>
        <v>M548A</v>
      </c>
      <c r="H56" s="445" t="str">
        <f t="shared" si="2"/>
        <v>6</v>
      </c>
      <c r="I56" s="460" t="str">
        <f t="shared" ca="1" si="3"/>
        <v>Canal_06</v>
      </c>
      <c r="J56" s="499" t="str">
        <f>$Z$1</f>
        <v>OXSP</v>
      </c>
      <c r="K56" s="500" t="str">
        <f>$Z$2</f>
        <v>2+6</v>
      </c>
      <c r="L56" s="501" t="str">
        <f>$Z$3</f>
        <v>2+6</v>
      </c>
      <c r="M56" s="424" t="str">
        <f>'Конфигурация TREI'!A57</f>
        <v>BR55</v>
      </c>
      <c r="N56" s="461">
        <f>'Конфигурация TREI'!B57</f>
        <v>0</v>
      </c>
      <c r="P56" s="4"/>
      <c r="AE56" s="505"/>
      <c r="AF56" s="505"/>
      <c r="AG56" s="505"/>
      <c r="AH56" s="505"/>
      <c r="AI56" s="505"/>
      <c r="AJ56" s="505"/>
      <c r="AK56" s="505"/>
      <c r="AL56" s="505"/>
      <c r="AM56" s="505"/>
      <c r="AN56" s="505"/>
      <c r="AO56" s="505"/>
      <c r="AP56" s="505"/>
      <c r="AQ56" s="505"/>
      <c r="AR56" s="505"/>
      <c r="AS56" s="505"/>
      <c r="AT56" s="623"/>
      <c r="AU56" s="623"/>
      <c r="AV56" s="623"/>
      <c r="AW56" s="623"/>
      <c r="AX56" s="623"/>
      <c r="AY56" s="623"/>
      <c r="AZ56" s="623"/>
      <c r="BA56" s="623"/>
      <c r="BB56" s="623"/>
      <c r="BC56" s="623"/>
      <c r="BD56" s="623"/>
      <c r="BE56" s="623"/>
    </row>
    <row r="57" spans="1:64">
      <c r="A57" s="457" t="str">
        <f>SUBSTITUTE($P$2,"\","|")&amp;"|"&amp;"DOON:="&amp;P4&amp;"NOT_LINK_BR"</f>
        <v>KMZ1_BUF|DOON:=NOT_LINK_BR</v>
      </c>
      <c r="B57" s="457"/>
      <c r="C57" s="455"/>
      <c r="D57" s="455"/>
      <c r="E57" s="455" t="str">
        <f>IFERROR(LEFT($L57,FIND("+",$L57,1)-1),"УДАЛИТЬ")</f>
        <v>2</v>
      </c>
      <c r="F57" s="455" t="s">
        <v>845</v>
      </c>
      <c r="G57" s="445"/>
      <c r="H57" s="445"/>
      <c r="I57" s="460"/>
      <c r="J57" s="494" t="str">
        <f>$X$1</f>
        <v>OXON</v>
      </c>
      <c r="K57" s="495" t="str">
        <f>$X$2</f>
        <v>2+4</v>
      </c>
      <c r="L57" s="496" t="str">
        <f>$X$3</f>
        <v>2+4</v>
      </c>
      <c r="M57" s="424" t="str">
        <f>'Конфигурация TREI'!A58</f>
        <v>BR56</v>
      </c>
      <c r="N57" s="461">
        <f>'Конфигурация TREI'!B58</f>
        <v>0</v>
      </c>
      <c r="AE57" s="505"/>
      <c r="AF57" s="505"/>
      <c r="AG57" s="505"/>
      <c r="AH57" s="505"/>
      <c r="AI57" s="505"/>
      <c r="AJ57" s="505"/>
      <c r="AK57" s="505"/>
      <c r="AL57" s="505"/>
      <c r="AM57" s="505"/>
      <c r="AN57" s="505"/>
      <c r="AO57" s="505"/>
      <c r="AP57" s="505"/>
      <c r="AQ57" s="505"/>
      <c r="AR57" s="505"/>
      <c r="AS57" s="505"/>
      <c r="AT57" s="623"/>
      <c r="AU57" s="623"/>
      <c r="AV57" s="623"/>
      <c r="AW57" s="623"/>
      <c r="AX57" s="623"/>
      <c r="AY57" s="623"/>
      <c r="AZ57" s="623"/>
      <c r="BA57" s="623"/>
      <c r="BB57" s="623"/>
      <c r="BC57" s="623"/>
      <c r="BD57" s="623"/>
      <c r="BE57" s="623"/>
    </row>
    <row r="58" spans="1:64">
      <c r="A58" s="457" t="str">
        <f>SUBSTITUTE($P$2,"\","|")&amp;"|"&amp;"DOOF:="&amp;P4&amp;"NOT_LINK_BR"</f>
        <v>KMZ1_BUF|DOOF:=NOT_LINK_BR</v>
      </c>
      <c r="B58" s="457"/>
      <c r="C58" s="455"/>
      <c r="D58" s="455"/>
      <c r="E58" s="455" t="str">
        <f>IFERROR(LEFT($L58,FIND("+",$L58,1)-1),"УДАЛИТЬ")</f>
        <v>2</v>
      </c>
      <c r="F58" s="455" t="s">
        <v>845</v>
      </c>
      <c r="G58" s="1"/>
      <c r="H58" s="1"/>
      <c r="I58" s="460"/>
      <c r="J58" s="497" t="str">
        <f xml:space="preserve"> $Y$1</f>
        <v>OXOF</v>
      </c>
      <c r="K58" s="492" t="str">
        <f>$Y$2</f>
        <v>2+5</v>
      </c>
      <c r="L58" s="498" t="str">
        <f>$Y$3</f>
        <v>2+5</v>
      </c>
      <c r="M58" s="424" t="str">
        <f>'Конфигурация TREI'!A59</f>
        <v>BR57</v>
      </c>
      <c r="N58" s="461">
        <f>'Конфигурация TREI'!B59</f>
        <v>0</v>
      </c>
      <c r="AE58" s="505"/>
      <c r="AF58" s="505"/>
      <c r="AG58" s="505"/>
      <c r="AH58" s="505"/>
      <c r="AI58" s="505"/>
      <c r="AJ58" s="505"/>
      <c r="AK58" s="505"/>
      <c r="AL58" s="505"/>
      <c r="AM58" s="505"/>
      <c r="AN58" s="505"/>
      <c r="AO58" s="505"/>
      <c r="AP58" s="505"/>
      <c r="AQ58" s="505"/>
      <c r="AR58" s="505"/>
      <c r="AS58" s="505"/>
      <c r="AT58" s="623"/>
      <c r="AU58" s="623"/>
      <c r="AV58" s="623"/>
      <c r="AW58" s="623"/>
      <c r="AX58" s="623"/>
      <c r="AY58" s="623"/>
      <c r="AZ58" s="623"/>
      <c r="BA58" s="623"/>
      <c r="BB58" s="623"/>
      <c r="BC58" s="623"/>
      <c r="BD58" s="623"/>
      <c r="BE58" s="623"/>
    </row>
    <row r="59" spans="1:64">
      <c r="A59" s="457" t="str">
        <f>SUBSTITUTE($P$2,"\","|")&amp;"|"&amp;"DOSP:="&amp;P4&amp;"NOT_LINK_BR"</f>
        <v>KMZ1_BUF|DOSP:=NOT_LINK_BR</v>
      </c>
      <c r="B59" s="457"/>
      <c r="C59" s="455"/>
      <c r="D59" s="455"/>
      <c r="E59" s="455" t="str">
        <f>IFERROR(LEFT($L59,FIND("+",$L59,1)-1),"УДАЛИТЬ")</f>
        <v>2</v>
      </c>
      <c r="F59" s="455" t="s">
        <v>845</v>
      </c>
      <c r="G59" s="11"/>
      <c r="H59" s="11"/>
      <c r="I59" s="462"/>
      <c r="J59" s="499" t="str">
        <f>$Z$1</f>
        <v>OXSP</v>
      </c>
      <c r="K59" s="500" t="str">
        <f>$Z$2</f>
        <v>2+6</v>
      </c>
      <c r="L59" s="501" t="str">
        <f>$Z$3</f>
        <v>2+6</v>
      </c>
      <c r="M59" s="424" t="str">
        <f>'Конфигурация TREI'!A60</f>
        <v>BR58</v>
      </c>
      <c r="N59" s="461">
        <f>'Конфигурация TREI'!B60</f>
        <v>0</v>
      </c>
      <c r="AE59" s="505"/>
      <c r="AF59" s="505"/>
      <c r="AG59" s="505"/>
      <c r="AH59" s="505"/>
      <c r="AI59" s="505"/>
      <c r="AJ59" s="505"/>
      <c r="AK59" s="505"/>
      <c r="AL59" s="505"/>
      <c r="AM59" s="505"/>
      <c r="AN59" s="505"/>
      <c r="AO59" s="505"/>
      <c r="AP59" s="505"/>
      <c r="AQ59" s="505"/>
      <c r="AR59" s="505"/>
      <c r="AS59" s="505"/>
      <c r="AT59" s="623"/>
      <c r="AU59" s="623"/>
      <c r="AV59" s="623"/>
      <c r="AW59" s="623"/>
      <c r="AX59" s="623"/>
      <c r="AY59" s="623"/>
      <c r="AZ59" s="623"/>
      <c r="BA59" s="623"/>
      <c r="BB59" s="623"/>
      <c r="BC59" s="623"/>
      <c r="BD59" s="623"/>
      <c r="BE59" s="623"/>
    </row>
    <row r="60" spans="1:64">
      <c r="M60" s="424" t="str">
        <f>'Конфигурация TREI'!A61</f>
        <v>BR59</v>
      </c>
      <c r="N60" s="461">
        <f>'Конфигурация TREI'!B61</f>
        <v>0</v>
      </c>
      <c r="AE60" s="505"/>
      <c r="AF60" s="11"/>
      <c r="AG60" s="11"/>
      <c r="AH60" s="11"/>
      <c r="AI60" s="11"/>
      <c r="AJ60" s="11"/>
      <c r="AK60" s="11"/>
      <c r="AL60" s="11"/>
      <c r="AM60" s="11"/>
      <c r="AN60" s="11"/>
      <c r="AO60" s="11"/>
      <c r="AP60" s="11"/>
      <c r="AQ60" s="11"/>
      <c r="AR60" s="11"/>
      <c r="AS60" s="11"/>
      <c r="AT60" s="11"/>
      <c r="AU60" s="462"/>
      <c r="AV60" s="462"/>
      <c r="AW60" s="462"/>
      <c r="AX60" s="462"/>
      <c r="AY60" s="462"/>
      <c r="AZ60" s="462"/>
      <c r="BA60" s="462"/>
      <c r="BB60" s="462"/>
      <c r="BC60" s="462"/>
      <c r="BD60" s="462"/>
      <c r="BE60" s="462"/>
    </row>
    <row r="61" spans="1:64">
      <c r="M61" s="424" t="str">
        <f>'Конфигурация TREI'!A62</f>
        <v>BR60</v>
      </c>
      <c r="N61" s="461">
        <f>'Конфигурация TREI'!B62</f>
        <v>0</v>
      </c>
      <c r="AE61" s="505"/>
      <c r="AF61" s="11"/>
      <c r="AG61" s="11"/>
      <c r="AH61" s="11"/>
      <c r="AI61" s="11"/>
      <c r="AJ61" s="11"/>
      <c r="AK61" s="11"/>
      <c r="AL61" s="11"/>
      <c r="AM61" s="11"/>
      <c r="AN61" s="11"/>
      <c r="AO61" s="11"/>
      <c r="AP61" s="11"/>
      <c r="AQ61" s="11"/>
      <c r="AR61" s="11"/>
      <c r="AS61" s="11"/>
      <c r="AT61" s="11"/>
      <c r="AU61" s="462"/>
      <c r="AV61" s="462"/>
      <c r="AW61" s="462"/>
      <c r="AX61" s="462"/>
      <c r="AY61" s="462"/>
      <c r="AZ61" s="462"/>
      <c r="BA61" s="462"/>
      <c r="BB61" s="462"/>
      <c r="BC61" s="462"/>
      <c r="BD61" s="462"/>
      <c r="BE61" s="462"/>
    </row>
    <row r="62" spans="1:64">
      <c r="AE62" s="505"/>
      <c r="AF62" s="11"/>
      <c r="AG62" s="11"/>
      <c r="AH62" s="11"/>
      <c r="AI62" s="11"/>
      <c r="AJ62" s="11"/>
      <c r="AK62" s="11"/>
      <c r="AL62" s="11"/>
      <c r="AM62" s="11"/>
      <c r="AN62" s="11"/>
      <c r="AO62" s="11"/>
      <c r="AP62" s="11"/>
      <c r="AQ62" s="11"/>
      <c r="AR62" s="11"/>
      <c r="AS62" s="11"/>
      <c r="AT62" s="11"/>
      <c r="AU62" s="462"/>
      <c r="AV62" s="462"/>
      <c r="AW62" s="462"/>
      <c r="AX62" s="462"/>
      <c r="AY62" s="462"/>
      <c r="AZ62" s="462"/>
      <c r="BA62" s="462"/>
      <c r="BB62" s="462"/>
      <c r="BC62" s="462"/>
      <c r="BD62" s="462"/>
      <c r="BE62" s="462"/>
    </row>
    <row r="63" spans="1:64">
      <c r="AE63" s="505"/>
      <c r="AF63" s="11"/>
      <c r="AG63" s="11"/>
      <c r="AH63" s="11"/>
      <c r="AI63" s="11"/>
      <c r="AJ63" s="11"/>
      <c r="AK63" s="11"/>
      <c r="AL63" s="11"/>
      <c r="AM63" s="11"/>
      <c r="AN63" s="11"/>
      <c r="AO63" s="11"/>
      <c r="AP63" s="11"/>
      <c r="AQ63" s="11"/>
      <c r="AR63" s="11"/>
      <c r="AS63" s="11"/>
      <c r="AT63" s="11"/>
      <c r="AU63" s="462"/>
      <c r="AV63" s="462"/>
      <c r="AW63" s="462"/>
      <c r="AX63" s="462"/>
      <c r="AY63" s="462"/>
      <c r="AZ63" s="462"/>
      <c r="BA63" s="462"/>
      <c r="BB63" s="462"/>
      <c r="BC63" s="462"/>
      <c r="BD63" s="462"/>
      <c r="BE63" s="462"/>
    </row>
    <row r="64" spans="1:64">
      <c r="AE64" s="505"/>
      <c r="AF64" s="11"/>
      <c r="AG64" s="11"/>
      <c r="AH64" s="11"/>
      <c r="AI64" s="11"/>
      <c r="AJ64" s="11"/>
      <c r="AK64" s="11"/>
      <c r="AL64" s="11"/>
      <c r="AM64" s="11"/>
      <c r="AN64" s="11"/>
      <c r="AO64" s="11"/>
      <c r="AP64" s="11"/>
      <c r="AQ64" s="11"/>
      <c r="AR64" s="11"/>
      <c r="AS64" s="11"/>
      <c r="AT64" s="11"/>
      <c r="AU64" s="462"/>
      <c r="AV64" s="462"/>
      <c r="AW64" s="462"/>
      <c r="AX64" s="462"/>
      <c r="AY64" s="462"/>
      <c r="AZ64" s="462"/>
      <c r="BA64" s="462"/>
      <c r="BB64" s="462"/>
      <c r="BC64" s="462"/>
      <c r="BD64" s="462"/>
      <c r="BE64" s="458"/>
    </row>
    <row r="65" spans="31:57">
      <c r="AE65" s="505"/>
      <c r="AF65" s="11"/>
      <c r="AG65" s="11"/>
      <c r="AH65" s="11"/>
      <c r="AI65" s="11"/>
      <c r="AJ65" s="11"/>
      <c r="AK65" s="11"/>
      <c r="AL65" s="11"/>
      <c r="AM65" s="11"/>
      <c r="AN65" s="11"/>
      <c r="AO65" s="11"/>
      <c r="AP65" s="11"/>
      <c r="AQ65" s="11"/>
      <c r="AR65" s="11"/>
      <c r="AS65" s="11"/>
      <c r="AT65" s="11"/>
      <c r="AU65" s="462"/>
      <c r="AV65" s="462"/>
      <c r="AW65" s="462"/>
      <c r="AX65" s="462"/>
      <c r="AY65" s="462"/>
      <c r="AZ65" s="462"/>
      <c r="BA65" s="462"/>
      <c r="BB65" s="462"/>
      <c r="BC65" s="462"/>
      <c r="BD65" s="462"/>
      <c r="BE65" s="458"/>
    </row>
    <row r="66" spans="31:57">
      <c r="AE66" s="505"/>
      <c r="AF66" s="11"/>
      <c r="AG66" s="11"/>
      <c r="AH66" s="11"/>
      <c r="AI66" s="11"/>
      <c r="AJ66" s="11"/>
      <c r="AK66" s="11"/>
      <c r="AL66" s="11"/>
      <c r="AM66" s="11"/>
      <c r="AN66" s="11"/>
      <c r="AO66" s="11"/>
      <c r="AP66" s="11"/>
      <c r="AQ66" s="11"/>
      <c r="AR66" s="11"/>
      <c r="AS66" s="11"/>
      <c r="AT66" s="11"/>
      <c r="AU66" s="462"/>
      <c r="AV66" s="462"/>
      <c r="AW66" s="462"/>
      <c r="AX66" s="462"/>
      <c r="AY66" s="462"/>
      <c r="AZ66" s="462"/>
      <c r="BA66" s="462"/>
      <c r="BB66" s="462"/>
      <c r="BC66" s="462"/>
      <c r="BD66" s="462"/>
      <c r="BE66" s="458"/>
    </row>
    <row r="67" spans="31:57">
      <c r="AE67" s="505"/>
      <c r="AF67" s="11"/>
      <c r="AG67" s="11"/>
      <c r="AH67" s="11"/>
      <c r="AI67" s="11"/>
      <c r="AJ67" s="11"/>
      <c r="AK67" s="11"/>
      <c r="AL67" s="11"/>
      <c r="AM67" s="11"/>
      <c r="AN67" s="11"/>
      <c r="AO67" s="11"/>
      <c r="AP67" s="11"/>
      <c r="AQ67" s="11"/>
      <c r="AR67" s="11"/>
      <c r="AS67" s="11"/>
      <c r="AT67" s="11"/>
      <c r="AU67" s="462"/>
      <c r="AV67" s="462"/>
      <c r="AW67" s="462"/>
      <c r="AX67" s="462"/>
      <c r="AY67" s="462"/>
      <c r="AZ67" s="462"/>
      <c r="BA67" s="462"/>
      <c r="BB67" s="462"/>
      <c r="BC67" s="462"/>
      <c r="BD67" s="462"/>
      <c r="BE67" s="458"/>
    </row>
    <row r="68" spans="31:57">
      <c r="AE68" s="505"/>
      <c r="AF68" s="11"/>
      <c r="AG68" s="11"/>
      <c r="AH68" s="11"/>
      <c r="AI68" s="11"/>
      <c r="AJ68" s="11"/>
      <c r="AK68" s="11"/>
      <c r="AL68" s="11"/>
      <c r="AM68" s="11"/>
      <c r="AN68" s="11"/>
      <c r="AO68" s="11"/>
      <c r="AP68" s="11"/>
      <c r="AQ68" s="11"/>
      <c r="AR68" s="11"/>
      <c r="AS68" s="11"/>
      <c r="AT68" s="11"/>
      <c r="AU68" s="462"/>
      <c r="AV68" s="462"/>
      <c r="AW68" s="462"/>
      <c r="AX68" s="462"/>
      <c r="AY68" s="462"/>
      <c r="AZ68" s="462"/>
      <c r="BA68" s="462"/>
      <c r="BB68" s="462"/>
      <c r="BC68" s="462"/>
      <c r="BD68" s="462"/>
      <c r="BE68" s="458"/>
    </row>
    <row r="69" spans="31:57">
      <c r="AE69" s="505"/>
      <c r="AF69" s="11"/>
      <c r="AG69" s="11"/>
      <c r="AH69" s="11"/>
      <c r="AI69" s="11"/>
      <c r="AJ69" s="11"/>
      <c r="AK69" s="11"/>
      <c r="AL69" s="11"/>
      <c r="AM69" s="11"/>
      <c r="AN69" s="11"/>
      <c r="AO69" s="11"/>
      <c r="AP69" s="11"/>
      <c r="AQ69" s="11"/>
      <c r="AR69" s="11"/>
      <c r="AS69" s="11"/>
      <c r="AT69" s="11"/>
      <c r="AU69" s="462"/>
      <c r="AV69" s="462"/>
      <c r="AW69" s="462"/>
      <c r="AX69" s="462"/>
      <c r="AY69" s="462"/>
      <c r="AZ69" s="462"/>
      <c r="BA69" s="462"/>
      <c r="BB69" s="462"/>
      <c r="BC69" s="462"/>
      <c r="BD69" s="462"/>
      <c r="BE69" s="458"/>
    </row>
    <row r="70" spans="31:57">
      <c r="AE70" s="505"/>
      <c r="AF70" s="11"/>
      <c r="AG70" s="11"/>
      <c r="AH70" s="11"/>
      <c r="AI70" s="11"/>
      <c r="AJ70" s="11"/>
      <c r="AK70" s="11"/>
      <c r="AL70" s="11"/>
      <c r="AM70" s="11"/>
      <c r="AN70" s="11"/>
      <c r="AO70" s="11"/>
      <c r="AP70" s="11"/>
      <c r="AQ70" s="11"/>
      <c r="AR70" s="11"/>
      <c r="AS70" s="11"/>
      <c r="AT70" s="11"/>
      <c r="AU70" s="462"/>
      <c r="AV70" s="462"/>
      <c r="AW70" s="462"/>
      <c r="AX70" s="462"/>
      <c r="AY70" s="462"/>
      <c r="AZ70" s="462"/>
      <c r="BA70" s="462"/>
      <c r="BB70" s="462"/>
      <c r="BC70" s="462"/>
      <c r="BD70" s="462"/>
      <c r="BE70" s="458"/>
    </row>
    <row r="71" spans="31:57">
      <c r="AE71" s="505"/>
      <c r="AF71" s="11"/>
      <c r="AG71" s="11"/>
      <c r="AH71" s="11"/>
      <c r="AI71" s="11"/>
      <c r="AJ71" s="11"/>
      <c r="AK71" s="11"/>
      <c r="AL71" s="11"/>
      <c r="AM71" s="11"/>
      <c r="AN71" s="11"/>
      <c r="AO71" s="11"/>
      <c r="AP71" s="11"/>
      <c r="AQ71" s="11"/>
      <c r="AR71" s="11"/>
      <c r="AS71" s="11"/>
      <c r="AT71" s="11"/>
      <c r="AU71" s="462"/>
      <c r="AV71" s="462"/>
      <c r="AW71" s="462"/>
      <c r="AX71" s="462"/>
      <c r="AY71" s="462"/>
      <c r="AZ71" s="462"/>
      <c r="BA71" s="462"/>
      <c r="BB71" s="462"/>
      <c r="BC71" s="462"/>
      <c r="BD71" s="462"/>
      <c r="BE71" s="458"/>
    </row>
    <row r="72" spans="31:57">
      <c r="AE72" s="505"/>
      <c r="AF72" s="11"/>
      <c r="AG72" s="11"/>
      <c r="AH72" s="11"/>
      <c r="AI72" s="11"/>
      <c r="AJ72" s="11"/>
      <c r="AK72" s="11"/>
      <c r="AL72" s="11"/>
      <c r="AM72" s="11"/>
      <c r="AN72" s="11"/>
      <c r="AO72" s="11"/>
      <c r="AP72" s="11"/>
      <c r="AQ72" s="11"/>
      <c r="AR72" s="11"/>
      <c r="AS72" s="11"/>
      <c r="AT72" s="11"/>
      <c r="AU72" s="462"/>
      <c r="AV72" s="462"/>
      <c r="AW72" s="462"/>
      <c r="AX72" s="462"/>
      <c r="AY72" s="462"/>
      <c r="AZ72" s="462"/>
      <c r="BA72" s="462"/>
      <c r="BB72" s="462"/>
      <c r="BC72" s="462"/>
      <c r="BD72" s="462"/>
      <c r="BE72" s="458"/>
    </row>
    <row r="73" spans="31:57">
      <c r="AE73" s="505"/>
      <c r="AF73" s="11"/>
      <c r="AG73" s="11"/>
      <c r="AH73" s="11"/>
      <c r="AI73" s="11"/>
      <c r="AJ73" s="11"/>
      <c r="AK73" s="11"/>
      <c r="AL73" s="11"/>
      <c r="AM73" s="11"/>
      <c r="AN73" s="11"/>
      <c r="AO73" s="11"/>
      <c r="AP73" s="11"/>
      <c r="AQ73" s="11"/>
      <c r="AR73" s="11"/>
      <c r="AS73" s="11"/>
      <c r="AT73" s="11"/>
      <c r="AU73" s="462"/>
      <c r="AV73" s="462"/>
      <c r="AW73" s="462"/>
      <c r="AX73" s="462"/>
      <c r="AY73" s="462"/>
      <c r="AZ73" s="462"/>
      <c r="BA73" s="462"/>
      <c r="BB73" s="462"/>
      <c r="BC73" s="462"/>
      <c r="BD73" s="462"/>
      <c r="BE73" s="458"/>
    </row>
    <row r="74" spans="31:57">
      <c r="AE74" s="505"/>
      <c r="AF74" s="11"/>
      <c r="AG74" s="11"/>
      <c r="AH74" s="11"/>
      <c r="AI74" s="11"/>
      <c r="AJ74" s="11"/>
      <c r="AK74" s="11"/>
      <c r="AL74" s="11"/>
      <c r="AM74" s="11"/>
      <c r="AN74" s="11"/>
      <c r="AO74" s="11"/>
      <c r="AP74" s="11"/>
      <c r="AQ74" s="11"/>
      <c r="AR74" s="11"/>
      <c r="AS74" s="11"/>
      <c r="AT74" s="11"/>
      <c r="AU74" s="462"/>
      <c r="AV74" s="462"/>
      <c r="AW74" s="462"/>
      <c r="AX74" s="462"/>
      <c r="AY74" s="462"/>
      <c r="AZ74" s="462"/>
      <c r="BA74" s="462"/>
      <c r="BB74" s="462"/>
      <c r="BC74" s="462"/>
      <c r="BD74" s="462"/>
      <c r="BE74" s="458"/>
    </row>
    <row r="75" spans="31:57">
      <c r="AE75" s="505"/>
      <c r="AF75" s="11"/>
      <c r="AG75" s="11"/>
      <c r="AH75" s="11"/>
      <c r="AI75" s="11"/>
      <c r="AJ75" s="11"/>
      <c r="AK75" s="11"/>
      <c r="AL75" s="11"/>
      <c r="AM75" s="11"/>
      <c r="AN75" s="11"/>
      <c r="AO75" s="11"/>
      <c r="AP75" s="11"/>
      <c r="AQ75" s="11"/>
      <c r="AR75" s="11"/>
      <c r="AS75" s="11"/>
      <c r="AT75" s="11"/>
      <c r="AU75" s="462"/>
      <c r="AV75" s="462"/>
      <c r="AW75" s="462"/>
      <c r="AX75" s="462"/>
      <c r="AY75" s="462"/>
      <c r="AZ75" s="462"/>
      <c r="BA75" s="462"/>
      <c r="BB75" s="462"/>
      <c r="BC75" s="462"/>
      <c r="BD75" s="462"/>
      <c r="BE75" s="458"/>
    </row>
    <row r="76" spans="31:57">
      <c r="AE76" s="505"/>
      <c r="AF76" s="11"/>
      <c r="AG76" s="11"/>
      <c r="AH76" s="11"/>
      <c r="AI76" s="11"/>
      <c r="AJ76" s="11"/>
      <c r="AK76" s="11"/>
      <c r="AL76" s="11"/>
      <c r="AM76" s="11"/>
      <c r="AN76" s="11"/>
      <c r="AO76" s="11"/>
      <c r="AP76" s="11"/>
      <c r="AQ76" s="11"/>
      <c r="AR76" s="11"/>
      <c r="AS76" s="11"/>
      <c r="AT76" s="11"/>
      <c r="AU76" s="462"/>
      <c r="AV76" s="462"/>
      <c r="AW76" s="462"/>
      <c r="AX76" s="462"/>
      <c r="AY76" s="462"/>
      <c r="AZ76" s="462"/>
      <c r="BA76" s="462"/>
      <c r="BB76" s="462"/>
      <c r="BC76" s="462"/>
      <c r="BD76" s="462"/>
      <c r="BE76" s="458"/>
    </row>
    <row r="77" spans="31:57">
      <c r="AE77" s="505"/>
      <c r="AF77" s="11"/>
      <c r="AG77" s="11"/>
      <c r="AH77" s="11"/>
      <c r="AI77" s="11"/>
      <c r="AJ77" s="11"/>
      <c r="AK77" s="11"/>
      <c r="AL77" s="11"/>
      <c r="AM77" s="11"/>
      <c r="AN77" s="11"/>
      <c r="AO77" s="11"/>
      <c r="AP77" s="11"/>
      <c r="AQ77" s="11"/>
      <c r="AR77" s="11"/>
      <c r="AS77" s="11"/>
      <c r="AT77" s="11"/>
      <c r="AU77" s="462"/>
      <c r="AV77" s="462"/>
      <c r="AW77" s="462"/>
      <c r="AX77" s="462"/>
      <c r="AY77" s="462"/>
      <c r="AZ77" s="462"/>
      <c r="BA77" s="462"/>
      <c r="BB77" s="462"/>
      <c r="BC77" s="462"/>
      <c r="BD77" s="462"/>
      <c r="BE77" s="458"/>
    </row>
    <row r="78" spans="31:57">
      <c r="AE78" s="505"/>
      <c r="AF78" s="11"/>
      <c r="AG78" s="11"/>
      <c r="AH78" s="11"/>
      <c r="AI78" s="11"/>
      <c r="AJ78" s="11"/>
      <c r="AK78" s="11"/>
      <c r="AL78" s="11"/>
      <c r="AM78" s="11"/>
      <c r="AN78" s="11"/>
      <c r="AO78" s="11"/>
      <c r="AP78" s="11"/>
      <c r="AQ78" s="11"/>
      <c r="AR78" s="11"/>
      <c r="AS78" s="11"/>
      <c r="AT78" s="11"/>
      <c r="AU78" s="462"/>
      <c r="AV78" s="462"/>
      <c r="AW78" s="462"/>
      <c r="AX78" s="462"/>
      <c r="AY78" s="462"/>
      <c r="AZ78" s="462"/>
      <c r="BA78" s="462"/>
      <c r="BB78" s="462"/>
      <c r="BC78" s="462"/>
      <c r="BD78" s="462"/>
      <c r="BE78" s="458"/>
    </row>
    <row r="79" spans="31:57">
      <c r="AE79" s="505"/>
      <c r="AF79" s="11"/>
      <c r="AG79" s="11"/>
      <c r="AH79" s="11"/>
      <c r="AI79" s="11"/>
      <c r="AJ79" s="11"/>
      <c r="AK79" s="11"/>
      <c r="AL79" s="11"/>
      <c r="AM79" s="11"/>
      <c r="AN79" s="11"/>
      <c r="AO79" s="11"/>
      <c r="AP79" s="11"/>
      <c r="AQ79" s="11"/>
      <c r="AR79" s="11"/>
      <c r="AS79" s="11"/>
      <c r="AT79" s="11"/>
      <c r="AU79" s="462"/>
      <c r="AV79" s="462"/>
      <c r="AW79" s="462"/>
      <c r="AX79" s="462"/>
      <c r="AY79" s="462"/>
      <c r="AZ79" s="462"/>
      <c r="BA79" s="462"/>
      <c r="BB79" s="462"/>
      <c r="BC79" s="462"/>
      <c r="BD79" s="462"/>
      <c r="BE79" s="458"/>
    </row>
    <row r="80" spans="31:57">
      <c r="AE80" s="505"/>
      <c r="AF80" s="11"/>
      <c r="AG80" s="11"/>
      <c r="AH80" s="11"/>
      <c r="AI80" s="11"/>
      <c r="AJ80" s="11"/>
      <c r="AK80" s="11"/>
      <c r="AL80" s="11"/>
      <c r="AM80" s="11"/>
      <c r="AN80" s="11"/>
      <c r="AO80" s="11"/>
      <c r="AP80" s="11"/>
      <c r="AQ80" s="11"/>
      <c r="AR80" s="11"/>
      <c r="AS80" s="11"/>
      <c r="AT80" s="11"/>
      <c r="AU80" s="462"/>
      <c r="AV80" s="462"/>
      <c r="AW80" s="462"/>
      <c r="AX80" s="462"/>
      <c r="AY80" s="462"/>
      <c r="AZ80" s="462"/>
      <c r="BA80" s="462"/>
      <c r="BB80" s="462"/>
      <c r="BC80" s="462"/>
      <c r="BD80" s="462"/>
      <c r="BE80" s="458"/>
    </row>
    <row r="81" spans="31:57">
      <c r="AE81" s="505"/>
      <c r="AF81" s="11"/>
      <c r="AG81" s="11"/>
      <c r="AH81" s="11"/>
      <c r="AI81" s="11"/>
      <c r="AJ81" s="11"/>
      <c r="AK81" s="11"/>
      <c r="AL81" s="11"/>
      <c r="AM81" s="11"/>
      <c r="AN81" s="11"/>
      <c r="AO81" s="11"/>
      <c r="AP81" s="11"/>
      <c r="AQ81" s="11"/>
      <c r="AR81" s="11"/>
      <c r="AS81" s="11"/>
      <c r="AT81" s="11"/>
      <c r="AU81" s="462"/>
      <c r="AV81" s="462"/>
      <c r="AW81" s="462"/>
      <c r="AX81" s="462"/>
      <c r="AY81" s="462"/>
      <c r="AZ81" s="462"/>
      <c r="BA81" s="462"/>
      <c r="BB81" s="462"/>
      <c r="BC81" s="462"/>
      <c r="BD81" s="462"/>
      <c r="BE81" s="458"/>
    </row>
    <row r="82" spans="31:57">
      <c r="AE82" s="505"/>
      <c r="AF82" s="11"/>
      <c r="AG82" s="11"/>
      <c r="AH82" s="11"/>
      <c r="AI82" s="11"/>
      <c r="AJ82" s="11"/>
      <c r="AK82" s="11"/>
      <c r="AL82" s="11"/>
      <c r="AM82" s="11"/>
      <c r="AN82" s="11"/>
      <c r="AO82" s="11"/>
      <c r="AP82" s="11"/>
      <c r="AQ82" s="11"/>
      <c r="AR82" s="11"/>
      <c r="AS82" s="11"/>
      <c r="AT82" s="11"/>
      <c r="AU82" s="462"/>
      <c r="AV82" s="462"/>
      <c r="AW82" s="462"/>
      <c r="AX82" s="462"/>
      <c r="AY82" s="462"/>
      <c r="AZ82" s="462"/>
      <c r="BA82" s="462"/>
      <c r="BB82" s="462"/>
      <c r="BC82" s="462"/>
      <c r="BD82" s="462"/>
      <c r="BE82" s="458"/>
    </row>
    <row r="83" spans="31:57">
      <c r="AE83" s="505"/>
      <c r="AF83" s="11"/>
      <c r="AG83" s="11"/>
      <c r="AH83" s="11"/>
      <c r="AI83" s="11"/>
      <c r="AJ83" s="11"/>
      <c r="AK83" s="11"/>
      <c r="AL83" s="11"/>
      <c r="AM83" s="11"/>
      <c r="AN83" s="11"/>
      <c r="AO83" s="11"/>
      <c r="AP83" s="11"/>
      <c r="AQ83" s="11"/>
      <c r="AR83" s="11"/>
      <c r="AS83" s="11"/>
      <c r="AT83" s="11"/>
      <c r="AU83" s="462"/>
      <c r="AV83" s="462"/>
      <c r="AW83" s="462"/>
      <c r="AX83" s="462"/>
      <c r="AY83" s="462"/>
      <c r="AZ83" s="462"/>
      <c r="BA83" s="462"/>
      <c r="BB83" s="462"/>
      <c r="BC83" s="462"/>
      <c r="BD83" s="462"/>
      <c r="BE83" s="458"/>
    </row>
    <row r="84" spans="31:57">
      <c r="AE84" s="505"/>
      <c r="AF84" s="11"/>
      <c r="AG84" s="11"/>
      <c r="AH84" s="11"/>
      <c r="AI84" s="11"/>
      <c r="AJ84" s="11"/>
      <c r="AK84" s="11"/>
      <c r="AL84" s="11"/>
      <c r="AM84" s="11"/>
      <c r="AN84" s="11"/>
      <c r="AO84" s="11"/>
      <c r="AP84" s="11"/>
      <c r="AQ84" s="11"/>
      <c r="AR84" s="11"/>
      <c r="AS84" s="11"/>
      <c r="AT84" s="11"/>
      <c r="AU84" s="462"/>
      <c r="AV84" s="462"/>
      <c r="AW84" s="462"/>
      <c r="AX84" s="462"/>
      <c r="AY84" s="462"/>
      <c r="AZ84" s="462"/>
      <c r="BA84" s="462"/>
      <c r="BB84" s="462"/>
      <c r="BC84" s="462"/>
      <c r="BD84" s="462"/>
      <c r="BE84" s="458"/>
    </row>
    <row r="85" spans="31:57">
      <c r="AE85" s="505"/>
      <c r="AF85" s="11"/>
      <c r="AG85" s="11"/>
      <c r="AH85" s="11"/>
      <c r="AI85" s="11"/>
      <c r="AJ85" s="11"/>
      <c r="AK85" s="11"/>
      <c r="AL85" s="11"/>
      <c r="AM85" s="11"/>
      <c r="AN85" s="11"/>
      <c r="AO85" s="11"/>
      <c r="AP85" s="11"/>
      <c r="AQ85" s="11"/>
      <c r="AR85" s="11"/>
      <c r="AS85" s="11"/>
      <c r="AT85" s="11"/>
      <c r="AU85" s="462"/>
      <c r="AV85" s="462"/>
      <c r="AW85" s="462"/>
      <c r="AX85" s="462"/>
      <c r="AY85" s="462"/>
      <c r="AZ85" s="462"/>
      <c r="BA85" s="462"/>
      <c r="BB85" s="462"/>
      <c r="BC85" s="462"/>
      <c r="BD85" s="462"/>
      <c r="BE85" s="458"/>
    </row>
    <row r="86" spans="31:57">
      <c r="AE86" s="505"/>
      <c r="AF86" s="11"/>
      <c r="AG86" s="11"/>
      <c r="AH86" s="11"/>
      <c r="AI86" s="11"/>
      <c r="AJ86" s="11"/>
      <c r="AK86" s="11"/>
      <c r="AL86" s="11"/>
      <c r="AM86" s="11"/>
      <c r="AN86" s="11"/>
      <c r="AO86" s="11"/>
      <c r="AP86" s="11"/>
      <c r="AQ86" s="11"/>
      <c r="AR86" s="11"/>
      <c r="AS86" s="11"/>
      <c r="AT86" s="11"/>
      <c r="AU86" s="462"/>
      <c r="AV86" s="462"/>
      <c r="AW86" s="462"/>
      <c r="AX86" s="462"/>
      <c r="AY86" s="462"/>
      <c r="AZ86" s="462"/>
      <c r="BA86" s="462"/>
      <c r="BB86" s="462"/>
      <c r="BC86" s="462"/>
      <c r="BD86" s="462"/>
      <c r="BE86" s="458"/>
    </row>
    <row r="87" spans="31:57">
      <c r="AE87" s="505"/>
      <c r="AF87" s="11"/>
      <c r="AG87" s="11"/>
      <c r="AH87" s="11"/>
      <c r="AI87" s="11"/>
      <c r="AJ87" s="11"/>
      <c r="AK87" s="11"/>
      <c r="AL87" s="11"/>
      <c r="AM87" s="11"/>
      <c r="AN87" s="11"/>
      <c r="AO87" s="11"/>
      <c r="AP87" s="11"/>
      <c r="AQ87" s="11"/>
      <c r="AR87" s="11"/>
      <c r="AS87" s="11"/>
      <c r="AT87" s="11"/>
      <c r="AU87" s="462"/>
      <c r="AV87" s="462"/>
      <c r="AW87" s="462"/>
      <c r="AX87" s="462"/>
      <c r="AY87" s="462"/>
      <c r="AZ87" s="462"/>
      <c r="BA87" s="462"/>
      <c r="BB87" s="462"/>
      <c r="BC87" s="462"/>
      <c r="BD87" s="462"/>
      <c r="BE87" s="458"/>
    </row>
    <row r="88" spans="31:57">
      <c r="AE88" s="505"/>
      <c r="AF88" s="11"/>
      <c r="AG88" s="11"/>
      <c r="AH88" s="11"/>
      <c r="AI88" s="11"/>
      <c r="AJ88" s="11"/>
      <c r="AK88" s="11"/>
      <c r="AL88" s="11"/>
      <c r="AM88" s="11"/>
      <c r="AN88" s="11"/>
      <c r="AO88" s="11"/>
      <c r="AP88" s="11"/>
      <c r="AQ88" s="11"/>
      <c r="AR88" s="11"/>
      <c r="AS88" s="11"/>
      <c r="AT88" s="11"/>
      <c r="AU88" s="462"/>
      <c r="AV88" s="462"/>
      <c r="AW88" s="462"/>
      <c r="AX88" s="462"/>
      <c r="AY88" s="462"/>
      <c r="AZ88" s="462"/>
      <c r="BA88" s="462"/>
      <c r="BB88" s="462"/>
      <c r="BC88" s="462"/>
      <c r="BD88" s="462"/>
      <c r="BE88" s="458"/>
    </row>
    <row r="89" spans="31:57">
      <c r="AE89" s="505"/>
      <c r="AF89" s="11"/>
      <c r="AG89" s="11"/>
      <c r="AH89" s="11"/>
      <c r="AI89" s="11"/>
      <c r="AJ89" s="11"/>
      <c r="AK89" s="11"/>
      <c r="AL89" s="11"/>
      <c r="AM89" s="11"/>
      <c r="AN89" s="11"/>
      <c r="AO89" s="11"/>
      <c r="AP89" s="11"/>
      <c r="AQ89" s="11"/>
      <c r="AR89" s="11"/>
      <c r="AS89" s="11"/>
      <c r="AT89" s="11"/>
      <c r="AU89" s="462"/>
      <c r="AV89" s="462"/>
      <c r="AW89" s="462"/>
      <c r="AX89" s="462"/>
      <c r="AY89" s="462"/>
      <c r="AZ89" s="462"/>
      <c r="BA89" s="462"/>
      <c r="BB89" s="462"/>
      <c r="BC89" s="462"/>
      <c r="BD89" s="462"/>
    </row>
    <row r="90" spans="31:57">
      <c r="AE90" s="505"/>
      <c r="AF90" s="11"/>
      <c r="AG90" s="11"/>
      <c r="AH90" s="11"/>
      <c r="AI90" s="11"/>
      <c r="AJ90" s="11"/>
      <c r="AK90" s="11"/>
      <c r="AL90" s="11"/>
      <c r="AM90" s="11"/>
      <c r="AN90" s="11"/>
      <c r="AO90" s="11"/>
      <c r="AP90" s="11"/>
      <c r="AQ90" s="11"/>
      <c r="AR90" s="11"/>
      <c r="AS90" s="11"/>
      <c r="AT90" s="11"/>
      <c r="AU90" s="462"/>
      <c r="AV90" s="462"/>
      <c r="AW90" s="462"/>
      <c r="AX90" s="462"/>
      <c r="AY90" s="462"/>
      <c r="AZ90" s="462"/>
      <c r="BA90" s="462"/>
      <c r="BB90" s="462"/>
      <c r="BC90" s="462"/>
      <c r="BD90" s="462"/>
    </row>
    <row r="91" spans="31:57">
      <c r="AE91" s="505"/>
      <c r="AF91" s="11"/>
      <c r="AG91" s="11"/>
      <c r="AH91" s="11"/>
      <c r="AI91" s="11"/>
      <c r="AJ91" s="11"/>
      <c r="AK91" s="11"/>
      <c r="AL91" s="11"/>
      <c r="AM91" s="11"/>
      <c r="AN91" s="11"/>
      <c r="AO91" s="11"/>
      <c r="AP91" s="11"/>
      <c r="AQ91" s="11"/>
      <c r="AR91" s="11"/>
      <c r="AS91" s="11"/>
      <c r="AT91" s="11"/>
      <c r="AU91" s="462"/>
      <c r="AV91" s="462"/>
      <c r="AW91" s="462"/>
      <c r="AX91" s="462"/>
      <c r="AY91" s="462"/>
      <c r="AZ91" s="462"/>
      <c r="BA91" s="462"/>
      <c r="BB91" s="462"/>
      <c r="BC91" s="462"/>
      <c r="BD91" s="462"/>
    </row>
    <row r="92" spans="31:57">
      <c r="AE92" s="505"/>
      <c r="AF92" s="11"/>
      <c r="AG92" s="11"/>
      <c r="AH92" s="11"/>
      <c r="AI92" s="11"/>
      <c r="AJ92" s="11"/>
      <c r="AK92" s="11"/>
      <c r="AL92" s="11"/>
      <c r="AM92" s="11"/>
      <c r="AN92" s="11"/>
      <c r="AO92" s="11"/>
      <c r="AP92" s="11"/>
      <c r="AQ92" s="11"/>
      <c r="AR92" s="11"/>
      <c r="AS92" s="11"/>
      <c r="AT92" s="11"/>
      <c r="AU92" s="462"/>
      <c r="AV92" s="462"/>
      <c r="AW92" s="462"/>
      <c r="AX92" s="462"/>
      <c r="AY92" s="462"/>
      <c r="AZ92" s="462"/>
      <c r="BA92" s="462"/>
      <c r="BB92" s="462"/>
      <c r="BC92" s="462"/>
      <c r="BD92" s="462"/>
    </row>
    <row r="93" spans="31:57">
      <c r="AE93" s="505"/>
      <c r="AF93" s="11"/>
      <c r="AG93" s="11"/>
      <c r="AH93" s="11"/>
      <c r="AI93" s="11"/>
      <c r="AJ93" s="11"/>
      <c r="AK93" s="11"/>
      <c r="AL93" s="11"/>
      <c r="AM93" s="11"/>
      <c r="AN93" s="11"/>
      <c r="AO93" s="11"/>
      <c r="AP93" s="11"/>
      <c r="AQ93" s="11"/>
      <c r="AR93" s="11"/>
      <c r="AS93" s="11"/>
      <c r="AT93" s="11"/>
      <c r="AU93" s="462"/>
      <c r="AV93" s="462"/>
      <c r="AW93" s="462"/>
      <c r="AX93" s="462"/>
      <c r="AY93" s="462"/>
      <c r="AZ93" s="462"/>
      <c r="BA93" s="462"/>
      <c r="BB93" s="462"/>
      <c r="BC93" s="462"/>
      <c r="BD93" s="462"/>
    </row>
    <row r="94" spans="31:57">
      <c r="AE94" s="505"/>
      <c r="AF94" s="11"/>
      <c r="AG94" s="11"/>
      <c r="AH94" s="11"/>
      <c r="AI94" s="11"/>
      <c r="AJ94" s="11"/>
      <c r="AK94" s="11"/>
      <c r="AL94" s="11"/>
      <c r="AM94" s="11"/>
      <c r="AN94" s="11"/>
      <c r="AO94" s="11"/>
      <c r="AP94" s="11"/>
      <c r="AQ94" s="11"/>
      <c r="AR94" s="11"/>
      <c r="AS94" s="11"/>
      <c r="AT94" s="11"/>
      <c r="AU94" s="462"/>
      <c r="AV94" s="462"/>
      <c r="AW94" s="462"/>
      <c r="AX94" s="462"/>
      <c r="AY94" s="462"/>
      <c r="AZ94" s="462"/>
      <c r="BA94" s="462"/>
      <c r="BB94" s="462"/>
      <c r="BC94" s="462"/>
      <c r="BD94" s="462"/>
    </row>
    <row r="95" spans="31:57">
      <c r="AE95" s="505"/>
      <c r="AF95" s="11"/>
      <c r="AG95" s="11"/>
      <c r="AH95" s="11"/>
      <c r="AI95" s="11"/>
      <c r="AJ95" s="11"/>
      <c r="AK95" s="11"/>
      <c r="AL95" s="11"/>
      <c r="AM95" s="11"/>
      <c r="AN95" s="11"/>
      <c r="AO95" s="11"/>
      <c r="AP95" s="11"/>
      <c r="AQ95" s="11"/>
      <c r="AR95" s="11"/>
      <c r="AS95" s="11"/>
      <c r="AT95" s="11"/>
      <c r="AU95" s="462"/>
      <c r="AV95" s="462"/>
      <c r="AW95" s="462"/>
      <c r="AX95" s="462"/>
      <c r="AY95" s="462"/>
      <c r="AZ95" s="462"/>
      <c r="BA95" s="462"/>
      <c r="BB95" s="462"/>
      <c r="BC95" s="462"/>
      <c r="BD95" s="462"/>
    </row>
    <row r="96" spans="31:57">
      <c r="AE96" s="505"/>
      <c r="AF96" s="11"/>
      <c r="AG96" s="11"/>
      <c r="AH96" s="11"/>
      <c r="AI96" s="11"/>
      <c r="AJ96" s="11"/>
      <c r="AK96" s="11"/>
      <c r="AL96" s="11"/>
      <c r="AM96" s="11"/>
      <c r="AN96" s="11"/>
      <c r="AO96" s="11"/>
      <c r="AP96" s="11"/>
      <c r="AQ96" s="11"/>
      <c r="AR96" s="11"/>
      <c r="AS96" s="11"/>
      <c r="AT96" s="11"/>
      <c r="AU96" s="462"/>
      <c r="AV96" s="462"/>
      <c r="AW96" s="462"/>
      <c r="AX96" s="462"/>
      <c r="AY96" s="462"/>
      <c r="AZ96" s="462"/>
      <c r="BA96" s="462"/>
      <c r="BB96" s="462"/>
      <c r="BC96" s="462"/>
      <c r="BD96" s="462"/>
    </row>
    <row r="97" spans="31:56">
      <c r="AE97" s="505"/>
      <c r="AF97" s="11"/>
      <c r="AG97" s="11"/>
      <c r="AH97" s="11"/>
      <c r="AI97" s="11"/>
      <c r="AJ97" s="11"/>
      <c r="AK97" s="11"/>
      <c r="AL97" s="11"/>
      <c r="AM97" s="11"/>
      <c r="AN97" s="11"/>
      <c r="AO97" s="11"/>
      <c r="AP97" s="11"/>
      <c r="AQ97" s="11"/>
      <c r="AR97" s="11"/>
      <c r="AS97" s="11"/>
      <c r="AT97" s="11"/>
      <c r="AU97" s="462"/>
      <c r="AV97" s="462"/>
      <c r="AW97" s="462"/>
      <c r="AX97" s="462"/>
      <c r="AY97" s="462"/>
      <c r="AZ97" s="462"/>
      <c r="BA97" s="462"/>
      <c r="BB97" s="462"/>
      <c r="BC97" s="462"/>
      <c r="BD97" s="462"/>
    </row>
    <row r="98" spans="31:56">
      <c r="AE98" s="505"/>
      <c r="AF98" s="11"/>
      <c r="AG98" s="11"/>
      <c r="AH98" s="11"/>
      <c r="AI98" s="11"/>
      <c r="AJ98" s="11"/>
      <c r="AK98" s="11"/>
      <c r="AL98" s="11"/>
      <c r="AM98" s="11"/>
      <c r="AN98" s="11"/>
      <c r="AO98" s="11"/>
      <c r="AP98" s="11"/>
      <c r="AQ98" s="11"/>
      <c r="AR98" s="11"/>
      <c r="AS98" s="11"/>
      <c r="AT98" s="11"/>
      <c r="AU98" s="462"/>
      <c r="AV98" s="462"/>
      <c r="AW98" s="462"/>
      <c r="AX98" s="462"/>
      <c r="AY98" s="462"/>
      <c r="AZ98" s="462"/>
      <c r="BA98" s="462"/>
      <c r="BB98" s="462"/>
      <c r="BC98" s="462"/>
      <c r="BD98" s="462"/>
    </row>
    <row r="99" spans="31:56">
      <c r="AE99" s="505"/>
      <c r="AF99" s="11"/>
      <c r="AG99" s="11"/>
      <c r="AH99" s="11"/>
      <c r="AI99" s="11"/>
      <c r="AJ99" s="11"/>
      <c r="AK99" s="11"/>
      <c r="AL99" s="11"/>
      <c r="AM99" s="11"/>
      <c r="AN99" s="11"/>
      <c r="AO99" s="11"/>
      <c r="AP99" s="11"/>
      <c r="AQ99" s="11"/>
      <c r="AR99" s="11"/>
      <c r="AS99" s="11"/>
      <c r="AT99" s="11"/>
      <c r="AU99" s="462"/>
      <c r="AV99" s="462"/>
      <c r="AW99" s="462"/>
      <c r="AX99" s="462"/>
      <c r="AY99" s="462"/>
      <c r="AZ99" s="462"/>
      <c r="BA99" s="462"/>
      <c r="BB99" s="462"/>
      <c r="BC99" s="462"/>
      <c r="BD99" s="462"/>
    </row>
    <row r="100" spans="31:56">
      <c r="AE100" s="505"/>
      <c r="AF100" s="11"/>
      <c r="AG100" s="11"/>
      <c r="AH100" s="11"/>
      <c r="AI100" s="11"/>
      <c r="AJ100" s="11"/>
      <c r="AK100" s="11"/>
      <c r="AL100" s="11"/>
      <c r="AM100" s="11"/>
      <c r="AN100" s="11"/>
      <c r="AO100" s="11"/>
      <c r="AP100" s="11"/>
      <c r="AQ100" s="11"/>
      <c r="AR100" s="11"/>
      <c r="AS100" s="11"/>
      <c r="AT100" s="11"/>
      <c r="AU100" s="462"/>
      <c r="AV100" s="462"/>
      <c r="AW100" s="462"/>
      <c r="AX100" s="462"/>
      <c r="AY100" s="462"/>
      <c r="AZ100" s="462"/>
      <c r="BA100" s="462"/>
      <c r="BB100" s="462"/>
      <c r="BC100" s="462"/>
      <c r="BD100" s="462"/>
    </row>
    <row r="101" spans="31:56">
      <c r="AE101" s="505"/>
      <c r="AF101" s="11"/>
      <c r="AG101" s="11"/>
      <c r="AH101" s="11"/>
      <c r="AI101" s="11"/>
      <c r="AJ101" s="11"/>
      <c r="AK101" s="11"/>
      <c r="AL101" s="11"/>
      <c r="AM101" s="11"/>
      <c r="AN101" s="11"/>
      <c r="AO101" s="11"/>
      <c r="AP101" s="11"/>
      <c r="AQ101" s="11"/>
      <c r="AR101" s="11"/>
      <c r="AS101" s="11"/>
      <c r="AT101" s="11"/>
      <c r="AU101" s="462"/>
      <c r="AV101" s="462"/>
      <c r="AW101" s="462"/>
      <c r="AX101" s="462"/>
      <c r="AY101" s="462"/>
      <c r="AZ101" s="462"/>
      <c r="BA101" s="462"/>
      <c r="BB101" s="462"/>
      <c r="BC101" s="462"/>
      <c r="BD101" s="462"/>
    </row>
    <row r="102" spans="31:56">
      <c r="AE102" s="505"/>
      <c r="AF102" s="11"/>
      <c r="AG102" s="11"/>
      <c r="AH102" s="11"/>
      <c r="AI102" s="11"/>
      <c r="AJ102" s="11"/>
      <c r="AK102" s="11"/>
      <c r="AL102" s="11"/>
      <c r="AM102" s="11"/>
      <c r="AN102" s="11"/>
      <c r="AO102" s="11"/>
      <c r="AP102" s="11"/>
      <c r="AQ102" s="11"/>
      <c r="AR102" s="11"/>
      <c r="AS102" s="11"/>
      <c r="AT102" s="11"/>
      <c r="AU102" s="462"/>
      <c r="AV102" s="462"/>
      <c r="AW102" s="462"/>
      <c r="AX102" s="462"/>
      <c r="AY102" s="462"/>
      <c r="AZ102" s="462"/>
      <c r="BA102" s="462"/>
      <c r="BB102" s="462"/>
      <c r="BC102" s="462"/>
      <c r="BD102" s="462"/>
    </row>
    <row r="103" spans="31:56">
      <c r="AE103" s="505"/>
      <c r="AF103" s="11"/>
      <c r="AG103" s="11"/>
      <c r="AH103" s="11"/>
      <c r="AI103" s="11"/>
      <c r="AJ103" s="11"/>
      <c r="AK103" s="11"/>
      <c r="AL103" s="11"/>
      <c r="AM103" s="11"/>
      <c r="AN103" s="11"/>
      <c r="AO103" s="11"/>
      <c r="AP103" s="11"/>
      <c r="AQ103" s="11"/>
      <c r="AR103" s="11"/>
      <c r="AS103" s="11"/>
      <c r="AT103" s="11"/>
      <c r="AU103" s="462"/>
      <c r="AV103" s="462"/>
      <c r="AW103" s="462"/>
      <c r="AX103" s="462"/>
      <c r="AY103" s="462"/>
      <c r="AZ103" s="462"/>
      <c r="BA103" s="462"/>
      <c r="BB103" s="462"/>
      <c r="BC103" s="462"/>
      <c r="BD103" s="462"/>
    </row>
    <row r="104" spans="31:56">
      <c r="AE104" s="505"/>
      <c r="AF104" s="11"/>
      <c r="AG104" s="11"/>
      <c r="AH104" s="11"/>
      <c r="AI104" s="11"/>
      <c r="AJ104" s="11"/>
      <c r="AK104" s="11"/>
      <c r="AL104" s="11"/>
      <c r="AM104" s="11"/>
      <c r="AN104" s="11"/>
      <c r="AO104" s="11"/>
      <c r="AP104" s="11"/>
      <c r="AQ104" s="11"/>
      <c r="AR104" s="11"/>
      <c r="AS104" s="11"/>
      <c r="AT104" s="11"/>
      <c r="AU104" s="462"/>
      <c r="AV104" s="462"/>
      <c r="AW104" s="462"/>
      <c r="AX104" s="462"/>
      <c r="AY104" s="462"/>
      <c r="AZ104" s="462"/>
      <c r="BA104" s="462"/>
      <c r="BB104" s="462"/>
      <c r="BC104" s="462"/>
      <c r="BD104" s="462"/>
    </row>
    <row r="105" spans="31:56">
      <c r="AE105" s="505"/>
      <c r="AF105" s="11"/>
      <c r="AG105" s="11"/>
      <c r="AH105" s="11"/>
      <c r="AI105" s="11"/>
      <c r="AJ105" s="11"/>
      <c r="AK105" s="11"/>
      <c r="AL105" s="11"/>
      <c r="AM105" s="11"/>
      <c r="AN105" s="11"/>
      <c r="AO105" s="11"/>
      <c r="AP105" s="11"/>
      <c r="AQ105" s="11"/>
      <c r="AR105" s="11"/>
      <c r="AS105" s="11"/>
      <c r="AT105" s="11"/>
      <c r="AU105" s="462"/>
      <c r="AV105" s="462"/>
      <c r="AW105" s="462"/>
      <c r="AX105" s="462"/>
      <c r="AY105" s="462"/>
      <c r="AZ105" s="462"/>
      <c r="BA105" s="462"/>
      <c r="BB105" s="462"/>
      <c r="BC105" s="462"/>
      <c r="BD105" s="462"/>
    </row>
    <row r="106" spans="31:56">
      <c r="AE106" s="505"/>
      <c r="AF106" s="11"/>
      <c r="AG106" s="11"/>
      <c r="AH106" s="11"/>
      <c r="AI106" s="11"/>
      <c r="AJ106" s="11"/>
      <c r="AK106" s="11"/>
      <c r="AL106" s="11"/>
      <c r="AM106" s="11"/>
      <c r="AN106" s="11"/>
      <c r="AO106" s="11"/>
      <c r="AP106" s="11"/>
      <c r="AQ106" s="11"/>
      <c r="AR106" s="11"/>
      <c r="AS106" s="11"/>
      <c r="AT106" s="11"/>
      <c r="AU106" s="462"/>
      <c r="AV106" s="462"/>
      <c r="AW106" s="462"/>
      <c r="AX106" s="462"/>
      <c r="AY106" s="462"/>
      <c r="AZ106" s="462"/>
      <c r="BA106" s="462"/>
      <c r="BB106" s="462"/>
      <c r="BC106" s="462"/>
      <c r="BD106" s="462"/>
    </row>
    <row r="107" spans="31:56">
      <c r="AE107" s="505"/>
      <c r="AF107" s="11"/>
      <c r="AG107" s="11"/>
      <c r="AH107" s="11"/>
      <c r="AI107" s="11"/>
      <c r="AJ107" s="11"/>
      <c r="AK107" s="11"/>
      <c r="AL107" s="11"/>
      <c r="AM107" s="11"/>
      <c r="AN107" s="11"/>
      <c r="AO107" s="11"/>
      <c r="AP107" s="11"/>
      <c r="AQ107" s="11"/>
      <c r="AR107" s="11"/>
      <c r="AS107" s="11"/>
      <c r="AT107" s="11"/>
      <c r="AU107" s="462"/>
      <c r="AV107" s="462"/>
      <c r="AW107" s="462"/>
      <c r="AX107" s="462"/>
      <c r="AY107" s="462"/>
      <c r="AZ107" s="462"/>
      <c r="BA107" s="462"/>
      <c r="BB107" s="462"/>
      <c r="BC107" s="462"/>
      <c r="BD107" s="462"/>
    </row>
    <row r="108" spans="31:56">
      <c r="AE108" s="505"/>
      <c r="AF108" s="11"/>
      <c r="AG108" s="11"/>
      <c r="AH108" s="11"/>
      <c r="AI108" s="11"/>
      <c r="AJ108" s="11"/>
      <c r="AK108" s="11"/>
      <c r="AL108" s="11"/>
      <c r="AM108" s="11"/>
      <c r="AN108" s="11"/>
      <c r="AO108" s="11"/>
      <c r="AP108" s="11"/>
      <c r="AQ108" s="11"/>
      <c r="AR108" s="11"/>
      <c r="AS108" s="11"/>
      <c r="AT108" s="11"/>
      <c r="AU108" s="462"/>
      <c r="AV108" s="462"/>
      <c r="AW108" s="462"/>
      <c r="AX108" s="462"/>
      <c r="AY108" s="462"/>
      <c r="AZ108" s="462"/>
      <c r="BA108" s="462"/>
      <c r="BB108" s="462"/>
      <c r="BC108" s="462"/>
      <c r="BD108" s="462"/>
    </row>
    <row r="109" spans="31:56">
      <c r="AE109" s="505"/>
      <c r="AF109" s="11"/>
      <c r="AG109" s="11"/>
      <c r="AH109" s="11"/>
      <c r="AI109" s="11"/>
      <c r="AJ109" s="11"/>
      <c r="AK109" s="11"/>
      <c r="AL109" s="11"/>
      <c r="AM109" s="11"/>
      <c r="AN109" s="11"/>
      <c r="AO109" s="11"/>
      <c r="AP109" s="11"/>
      <c r="AQ109" s="11"/>
      <c r="AR109" s="11"/>
      <c r="AS109" s="11"/>
      <c r="AT109" s="11"/>
      <c r="AU109" s="462"/>
      <c r="AV109" s="462"/>
      <c r="AW109" s="462"/>
      <c r="AX109" s="462"/>
      <c r="AY109" s="462"/>
      <c r="AZ109" s="462"/>
      <c r="BA109" s="462"/>
      <c r="BB109" s="462"/>
      <c r="BC109" s="462"/>
      <c r="BD109" s="462"/>
    </row>
    <row r="110" spans="31:56">
      <c r="AE110" s="505"/>
      <c r="AF110" s="11"/>
      <c r="AG110" s="11"/>
      <c r="AH110" s="11"/>
      <c r="AI110" s="11"/>
      <c r="AJ110" s="11"/>
      <c r="AK110" s="11"/>
      <c r="AL110" s="11"/>
      <c r="AM110" s="11"/>
      <c r="AN110" s="11"/>
      <c r="AO110" s="11"/>
      <c r="AP110" s="11"/>
      <c r="AQ110" s="11"/>
      <c r="AR110" s="11"/>
      <c r="AS110" s="11"/>
      <c r="AT110" s="11"/>
      <c r="AU110" s="462"/>
      <c r="AV110" s="462"/>
      <c r="AW110" s="462"/>
      <c r="AX110" s="462"/>
      <c r="AY110" s="462"/>
      <c r="AZ110" s="462"/>
      <c r="BA110" s="462"/>
      <c r="BB110" s="462"/>
      <c r="BC110" s="462"/>
      <c r="BD110" s="462"/>
    </row>
    <row r="111" spans="31:56">
      <c r="AE111" s="505"/>
      <c r="AF111" s="11"/>
      <c r="AG111" s="11"/>
      <c r="AH111" s="11"/>
      <c r="AI111" s="11"/>
      <c r="AJ111" s="11"/>
      <c r="AK111" s="11"/>
      <c r="AL111" s="11"/>
      <c r="AM111" s="11"/>
      <c r="AN111" s="11"/>
      <c r="AO111" s="11"/>
      <c r="AP111" s="11"/>
      <c r="AQ111" s="11"/>
      <c r="AR111" s="11"/>
      <c r="AS111" s="11"/>
      <c r="AT111" s="11"/>
      <c r="AU111" s="462"/>
      <c r="AV111" s="462"/>
      <c r="AW111" s="462"/>
      <c r="AX111" s="462"/>
      <c r="AY111" s="462"/>
      <c r="AZ111" s="462"/>
      <c r="BA111" s="462"/>
      <c r="BB111" s="462"/>
      <c r="BC111" s="462"/>
      <c r="BD111" s="462"/>
    </row>
    <row r="112" spans="31:56">
      <c r="AE112" s="505"/>
      <c r="AF112" s="11"/>
      <c r="AG112" s="11"/>
      <c r="AH112" s="11"/>
      <c r="AI112" s="11"/>
      <c r="AJ112" s="11"/>
      <c r="AK112" s="11"/>
      <c r="AL112" s="11"/>
      <c r="AM112" s="11"/>
      <c r="AN112" s="11"/>
      <c r="AO112" s="11"/>
      <c r="AP112" s="11"/>
      <c r="AQ112" s="11"/>
      <c r="AR112" s="11"/>
      <c r="AS112" s="11"/>
      <c r="AT112" s="11"/>
      <c r="AU112" s="462"/>
      <c r="AV112" s="462"/>
      <c r="AW112" s="462"/>
      <c r="AX112" s="462"/>
      <c r="AY112" s="462"/>
      <c r="AZ112" s="462"/>
      <c r="BA112" s="462"/>
      <c r="BB112" s="462"/>
      <c r="BC112" s="462"/>
      <c r="BD112" s="462"/>
    </row>
    <row r="113" spans="31:56">
      <c r="AE113" s="505"/>
      <c r="AF113" s="11"/>
      <c r="AG113" s="11"/>
      <c r="AH113" s="11"/>
      <c r="AI113" s="11"/>
      <c r="AJ113" s="11"/>
      <c r="AK113" s="11"/>
      <c r="AL113" s="11"/>
      <c r="AM113" s="11"/>
      <c r="AN113" s="11"/>
      <c r="AO113" s="11"/>
      <c r="AP113" s="11"/>
      <c r="AQ113" s="11"/>
      <c r="AR113" s="11"/>
      <c r="AS113" s="11"/>
      <c r="AT113" s="11"/>
      <c r="AU113" s="462"/>
      <c r="AV113" s="462"/>
      <c r="AW113" s="462"/>
      <c r="AX113" s="462"/>
      <c r="AY113" s="462"/>
      <c r="AZ113" s="462"/>
      <c r="BA113" s="462"/>
      <c r="BB113" s="462"/>
      <c r="BC113" s="462"/>
      <c r="BD113" s="462"/>
    </row>
    <row r="114" spans="31:56">
      <c r="AE114" s="505"/>
      <c r="AF114" s="11"/>
      <c r="AG114" s="11"/>
      <c r="AH114" s="11"/>
      <c r="AI114" s="11"/>
      <c r="AJ114" s="11"/>
      <c r="AK114" s="11"/>
      <c r="AL114" s="11"/>
      <c r="AM114" s="11"/>
      <c r="AN114" s="11"/>
      <c r="AO114" s="11"/>
      <c r="AP114" s="11"/>
      <c r="AQ114" s="11"/>
      <c r="AR114" s="11"/>
      <c r="AS114" s="11"/>
      <c r="AT114" s="11"/>
      <c r="AU114" s="462"/>
      <c r="AV114" s="462"/>
      <c r="AW114" s="462"/>
      <c r="AX114" s="462"/>
      <c r="AY114" s="462"/>
      <c r="AZ114" s="462"/>
      <c r="BA114" s="462"/>
      <c r="BB114" s="462"/>
      <c r="BC114" s="462"/>
      <c r="BD114" s="462"/>
    </row>
    <row r="115" spans="31:56">
      <c r="AE115" s="505"/>
      <c r="AF115" s="11"/>
      <c r="AG115" s="11"/>
      <c r="AH115" s="11"/>
      <c r="AI115" s="11"/>
      <c r="AJ115" s="11"/>
      <c r="AK115" s="11"/>
      <c r="AL115" s="11"/>
      <c r="AM115" s="11"/>
      <c r="AN115" s="11"/>
      <c r="AO115" s="11"/>
      <c r="AP115" s="11"/>
      <c r="AQ115" s="11"/>
      <c r="AR115" s="11"/>
      <c r="AS115" s="11"/>
      <c r="AT115" s="11"/>
      <c r="AU115" s="462"/>
      <c r="AV115" s="462"/>
      <c r="AW115" s="462"/>
      <c r="AX115" s="462"/>
      <c r="AY115" s="462"/>
      <c r="AZ115" s="462"/>
      <c r="BA115" s="462"/>
      <c r="BB115" s="462"/>
      <c r="BC115" s="462"/>
      <c r="BD115" s="462"/>
    </row>
    <row r="116" spans="31:56">
      <c r="AE116" s="505"/>
      <c r="AF116" s="11"/>
      <c r="AG116" s="11"/>
      <c r="AH116" s="11"/>
      <c r="AI116" s="11"/>
      <c r="AJ116" s="11"/>
      <c r="AK116" s="11"/>
      <c r="AL116" s="11"/>
      <c r="AM116" s="11"/>
      <c r="AN116" s="11"/>
      <c r="AO116" s="11"/>
      <c r="AP116" s="11"/>
      <c r="AQ116" s="11"/>
      <c r="AR116" s="11"/>
      <c r="AS116" s="11"/>
      <c r="AT116" s="11"/>
      <c r="AU116" s="462"/>
      <c r="AV116" s="462"/>
      <c r="AW116" s="462"/>
      <c r="AX116" s="462"/>
      <c r="AY116" s="462"/>
      <c r="AZ116" s="462"/>
      <c r="BA116" s="462"/>
      <c r="BB116" s="462"/>
      <c r="BC116" s="462"/>
      <c r="BD116" s="462"/>
    </row>
    <row r="117" spans="31:56">
      <c r="AE117" s="505"/>
      <c r="AF117" s="11"/>
      <c r="AG117" s="11"/>
      <c r="AH117" s="11"/>
      <c r="AI117" s="11"/>
      <c r="AJ117" s="11"/>
      <c r="AK117" s="11"/>
      <c r="AL117" s="11"/>
      <c r="AM117" s="11"/>
      <c r="AN117" s="11"/>
      <c r="AO117" s="11"/>
      <c r="AP117" s="11"/>
      <c r="AQ117" s="11"/>
      <c r="AR117" s="11"/>
      <c r="AS117" s="11"/>
      <c r="AT117" s="11"/>
      <c r="AU117" s="462"/>
      <c r="AV117" s="462"/>
      <c r="AW117" s="462"/>
      <c r="AX117" s="462"/>
      <c r="AY117" s="462"/>
      <c r="AZ117" s="462"/>
      <c r="BA117" s="462"/>
      <c r="BB117" s="462"/>
      <c r="BC117" s="462"/>
      <c r="BD117" s="462"/>
    </row>
    <row r="118" spans="31:56">
      <c r="AE118" s="505"/>
      <c r="AF118" s="11"/>
      <c r="AG118" s="11"/>
      <c r="AH118" s="11"/>
      <c r="AI118" s="11"/>
      <c r="AJ118" s="11"/>
      <c r="AK118" s="11"/>
      <c r="AL118" s="11"/>
      <c r="AM118" s="11"/>
      <c r="AN118" s="11"/>
      <c r="AO118" s="11"/>
      <c r="AP118" s="11"/>
      <c r="AQ118" s="11"/>
      <c r="AR118" s="11"/>
      <c r="AS118" s="11"/>
      <c r="AT118" s="11"/>
      <c r="AU118" s="462"/>
      <c r="AV118" s="462"/>
      <c r="AW118" s="462"/>
      <c r="AX118" s="462"/>
      <c r="AY118" s="462"/>
      <c r="AZ118" s="462"/>
      <c r="BA118" s="462"/>
      <c r="BB118" s="462"/>
      <c r="BC118" s="462"/>
      <c r="BD118" s="462"/>
    </row>
    <row r="119" spans="31:56">
      <c r="AE119" s="505"/>
      <c r="AF119" s="11"/>
      <c r="AG119" s="11"/>
      <c r="AH119" s="11"/>
      <c r="AI119" s="11"/>
      <c r="AJ119" s="11"/>
      <c r="AK119" s="11"/>
      <c r="AL119" s="11"/>
      <c r="AM119" s="11"/>
      <c r="AN119" s="11"/>
      <c r="AO119" s="11"/>
      <c r="AP119" s="11"/>
      <c r="AQ119" s="11"/>
      <c r="AR119" s="11"/>
      <c r="AS119" s="11"/>
      <c r="AT119" s="11"/>
      <c r="AU119" s="462"/>
      <c r="AV119" s="462"/>
      <c r="AW119" s="462"/>
      <c r="AX119" s="462"/>
      <c r="AY119" s="462"/>
      <c r="AZ119" s="462"/>
      <c r="BA119" s="462"/>
      <c r="BB119" s="462"/>
      <c r="BC119" s="462"/>
      <c r="BD119" s="462"/>
    </row>
    <row r="120" spans="31:56">
      <c r="AE120" s="505"/>
      <c r="AF120" s="11"/>
      <c r="AG120" s="11"/>
      <c r="AH120" s="11"/>
      <c r="AI120" s="11"/>
      <c r="AJ120" s="11"/>
      <c r="AK120" s="11"/>
      <c r="AL120" s="11"/>
      <c r="AM120" s="11"/>
      <c r="AN120" s="11"/>
      <c r="AO120" s="11"/>
      <c r="AP120" s="11"/>
      <c r="AQ120" s="11"/>
      <c r="AR120" s="11"/>
      <c r="AS120" s="11"/>
      <c r="AT120" s="11"/>
      <c r="AU120" s="462"/>
      <c r="AV120" s="462"/>
      <c r="AW120" s="462"/>
      <c r="AX120" s="462"/>
      <c r="AY120" s="462"/>
      <c r="AZ120" s="462"/>
      <c r="BA120" s="462"/>
      <c r="BB120" s="462"/>
      <c r="BC120" s="462"/>
      <c r="BD120" s="462"/>
    </row>
    <row r="121" spans="31:56">
      <c r="AE121" s="505"/>
      <c r="AF121" s="11"/>
      <c r="AG121" s="11"/>
      <c r="AH121" s="11"/>
      <c r="AI121" s="11"/>
      <c r="AJ121" s="11"/>
      <c r="AK121" s="11"/>
      <c r="AL121" s="11"/>
      <c r="AM121" s="11"/>
      <c r="AN121" s="11"/>
      <c r="AO121" s="11"/>
      <c r="AP121" s="11"/>
      <c r="AQ121" s="11"/>
      <c r="AR121" s="11"/>
      <c r="AS121" s="11"/>
      <c r="AT121" s="11"/>
      <c r="AU121" s="462"/>
      <c r="AV121" s="462"/>
      <c r="AW121" s="462"/>
      <c r="AX121" s="462"/>
      <c r="AY121" s="462"/>
      <c r="AZ121" s="462"/>
      <c r="BA121" s="462"/>
      <c r="BB121" s="462"/>
      <c r="BC121" s="462"/>
      <c r="BD121" s="462"/>
    </row>
    <row r="122" spans="31:56">
      <c r="AE122" s="505"/>
      <c r="AF122" s="11"/>
      <c r="AG122" s="11"/>
      <c r="AH122" s="11"/>
      <c r="AI122" s="11"/>
      <c r="AJ122" s="11"/>
      <c r="AK122" s="11"/>
      <c r="AL122" s="11"/>
      <c r="AM122" s="11"/>
      <c r="AN122" s="11"/>
      <c r="AO122" s="11"/>
      <c r="AP122" s="11"/>
      <c r="AQ122" s="11"/>
      <c r="AR122" s="11"/>
      <c r="AS122" s="11"/>
      <c r="AT122" s="11"/>
      <c r="AU122" s="462"/>
      <c r="AV122" s="462"/>
      <c r="AW122" s="462"/>
      <c r="AX122" s="462"/>
      <c r="AY122" s="462"/>
      <c r="AZ122" s="462"/>
      <c r="BA122" s="462"/>
      <c r="BB122" s="462"/>
      <c r="BC122" s="462"/>
      <c r="BD122" s="462"/>
    </row>
    <row r="123" spans="31:56">
      <c r="AE123" s="505"/>
      <c r="AF123" s="11"/>
      <c r="AG123" s="11"/>
      <c r="AH123" s="11"/>
      <c r="AI123" s="11"/>
      <c r="AJ123" s="11"/>
      <c r="AK123" s="11"/>
      <c r="AL123" s="11"/>
      <c r="AM123" s="11"/>
      <c r="AN123" s="11"/>
      <c r="AO123" s="11"/>
      <c r="AP123" s="11"/>
      <c r="AQ123" s="11"/>
      <c r="AR123" s="11"/>
      <c r="AS123" s="11"/>
      <c r="AT123" s="11"/>
      <c r="AU123" s="462"/>
      <c r="AV123" s="462"/>
      <c r="AW123" s="462"/>
      <c r="AX123" s="462"/>
      <c r="AY123" s="462"/>
      <c r="AZ123" s="462"/>
      <c r="BA123" s="462"/>
      <c r="BB123" s="462"/>
      <c r="BC123" s="462"/>
      <c r="BD123" s="462"/>
    </row>
    <row r="124" spans="31:56">
      <c r="AE124" s="505"/>
      <c r="AF124" s="11"/>
      <c r="AG124" s="11"/>
      <c r="AH124" s="11"/>
      <c r="AI124" s="11"/>
      <c r="AJ124" s="11"/>
      <c r="AK124" s="11"/>
      <c r="AL124" s="11"/>
      <c r="AM124" s="11"/>
      <c r="AN124" s="11"/>
      <c r="AO124" s="11"/>
      <c r="AP124" s="11"/>
      <c r="AQ124" s="11"/>
      <c r="AR124" s="11"/>
      <c r="AS124" s="11"/>
      <c r="AT124" s="11"/>
      <c r="AU124" s="462"/>
      <c r="AV124" s="462"/>
      <c r="AW124" s="462"/>
      <c r="AX124" s="462"/>
      <c r="AY124" s="462"/>
      <c r="AZ124" s="462"/>
      <c r="BA124" s="462"/>
      <c r="BB124" s="462"/>
      <c r="BC124" s="462"/>
      <c r="BD124" s="462"/>
    </row>
    <row r="125" spans="31:56">
      <c r="AE125" s="505"/>
      <c r="AF125" s="11"/>
      <c r="AG125" s="11"/>
      <c r="AH125" s="11"/>
      <c r="AI125" s="11"/>
      <c r="AJ125" s="11"/>
      <c r="AK125" s="11"/>
      <c r="AL125" s="11"/>
      <c r="AM125" s="11"/>
      <c r="AN125" s="11"/>
      <c r="AO125" s="11"/>
      <c r="AP125" s="11"/>
      <c r="AQ125" s="11"/>
      <c r="AR125" s="11"/>
      <c r="AS125" s="11"/>
      <c r="AT125" s="11"/>
      <c r="AU125" s="462"/>
      <c r="AV125" s="462"/>
      <c r="AW125" s="462"/>
      <c r="AX125" s="462"/>
      <c r="AY125" s="462"/>
      <c r="AZ125" s="462"/>
      <c r="BA125" s="462"/>
      <c r="BB125" s="462"/>
      <c r="BC125" s="462"/>
      <c r="BD125" s="462"/>
    </row>
    <row r="126" spans="31:56">
      <c r="AE126" s="505"/>
      <c r="AF126" s="11"/>
      <c r="AG126" s="11"/>
      <c r="AH126" s="11"/>
      <c r="AI126" s="11"/>
      <c r="AJ126" s="11"/>
      <c r="AK126" s="11"/>
      <c r="AL126" s="11"/>
      <c r="AM126" s="11"/>
      <c r="AN126" s="11"/>
      <c r="AO126" s="11"/>
      <c r="AP126" s="11"/>
      <c r="AQ126" s="11"/>
      <c r="AR126" s="11"/>
      <c r="AS126" s="11"/>
      <c r="AT126" s="11"/>
      <c r="AU126" s="462"/>
      <c r="AV126" s="462"/>
      <c r="AW126" s="462"/>
      <c r="AX126" s="462"/>
      <c r="AY126" s="462"/>
      <c r="AZ126" s="462"/>
      <c r="BA126" s="462"/>
      <c r="BB126" s="462"/>
      <c r="BC126" s="462"/>
      <c r="BD126" s="462"/>
    </row>
    <row r="127" spans="31:56">
      <c r="AE127" s="505"/>
      <c r="AF127" s="11"/>
      <c r="AG127" s="11"/>
      <c r="AH127" s="11"/>
      <c r="AI127" s="11"/>
      <c r="AJ127" s="11"/>
      <c r="AK127" s="11"/>
      <c r="AL127" s="11"/>
      <c r="AM127" s="11"/>
      <c r="AN127" s="11"/>
      <c r="AO127" s="11"/>
      <c r="AP127" s="11"/>
      <c r="AQ127" s="11"/>
      <c r="AR127" s="11"/>
      <c r="AS127" s="11"/>
      <c r="AT127" s="11"/>
      <c r="AU127" s="462"/>
      <c r="AV127" s="462"/>
      <c r="AW127" s="462"/>
      <c r="AX127" s="462"/>
      <c r="AY127" s="462"/>
      <c r="AZ127" s="462"/>
      <c r="BA127" s="462"/>
      <c r="BB127" s="462"/>
      <c r="BC127" s="462"/>
      <c r="BD127" s="462"/>
    </row>
    <row r="128" spans="31:56">
      <c r="AE128" s="505"/>
      <c r="AF128" s="11"/>
      <c r="AG128" s="11"/>
      <c r="AH128" s="11"/>
      <c r="AI128" s="11"/>
      <c r="AJ128" s="11"/>
      <c r="AK128" s="11"/>
      <c r="AL128" s="11"/>
      <c r="AM128" s="11"/>
      <c r="AN128" s="11"/>
      <c r="AO128" s="11"/>
      <c r="AP128" s="11"/>
      <c r="AQ128" s="11"/>
      <c r="AR128" s="11"/>
      <c r="AS128" s="11"/>
      <c r="AT128" s="11"/>
      <c r="AU128" s="462"/>
      <c r="AV128" s="462"/>
      <c r="AW128" s="462"/>
      <c r="AX128" s="462"/>
      <c r="AY128" s="462"/>
      <c r="AZ128" s="462"/>
      <c r="BA128" s="462"/>
      <c r="BB128" s="462"/>
      <c r="BC128" s="462"/>
      <c r="BD128" s="462"/>
    </row>
    <row r="129" spans="31:56">
      <c r="AE129" s="505"/>
      <c r="AF129" s="11"/>
      <c r="AG129" s="11"/>
      <c r="AH129" s="11"/>
      <c r="AI129" s="11"/>
      <c r="AJ129" s="11"/>
      <c r="AK129" s="11"/>
      <c r="AL129" s="11"/>
      <c r="AM129" s="11"/>
      <c r="AN129" s="11"/>
      <c r="AO129" s="11"/>
      <c r="AP129" s="11"/>
      <c r="AQ129" s="11"/>
      <c r="AR129" s="11"/>
      <c r="AS129" s="11"/>
      <c r="AT129" s="11"/>
      <c r="AU129" s="462"/>
      <c r="AV129" s="462"/>
      <c r="AW129" s="462"/>
      <c r="AX129" s="462"/>
      <c r="AY129" s="462"/>
      <c r="AZ129" s="462"/>
      <c r="BA129" s="462"/>
      <c r="BB129" s="462"/>
      <c r="BC129" s="462"/>
      <c r="BD129" s="462"/>
    </row>
    <row r="130" spans="31:56">
      <c r="AE130" s="505"/>
      <c r="AF130" s="11"/>
      <c r="AG130" s="11"/>
      <c r="AH130" s="11"/>
      <c r="AI130" s="11"/>
      <c r="AJ130" s="11"/>
      <c r="AK130" s="11"/>
      <c r="AL130" s="11"/>
      <c r="AM130" s="11"/>
      <c r="AN130" s="11"/>
      <c r="AO130" s="11"/>
      <c r="AP130" s="11"/>
      <c r="AQ130" s="11"/>
      <c r="AR130" s="11"/>
      <c r="AS130" s="11"/>
      <c r="AT130" s="11"/>
      <c r="AU130" s="462"/>
      <c r="AV130" s="462"/>
      <c r="AW130" s="462"/>
      <c r="AX130" s="462"/>
      <c r="AY130" s="462"/>
      <c r="AZ130" s="462"/>
      <c r="BA130" s="462"/>
      <c r="BB130" s="462"/>
      <c r="BC130" s="462"/>
      <c r="BD130" s="462"/>
    </row>
    <row r="131" spans="31:56">
      <c r="AE131" s="505"/>
      <c r="AF131" s="11"/>
      <c r="AG131" s="11"/>
      <c r="AH131" s="11"/>
      <c r="AI131" s="11"/>
      <c r="AJ131" s="11"/>
      <c r="AK131" s="11"/>
      <c r="AL131" s="11"/>
      <c r="AM131" s="11"/>
      <c r="AN131" s="11"/>
      <c r="AO131" s="11"/>
      <c r="AP131" s="11"/>
      <c r="AQ131" s="11"/>
      <c r="AR131" s="11"/>
      <c r="AS131" s="11"/>
      <c r="AT131" s="11"/>
      <c r="AU131" s="462"/>
      <c r="AV131" s="462"/>
      <c r="AW131" s="462"/>
      <c r="AX131" s="462"/>
      <c r="AY131" s="462"/>
      <c r="AZ131" s="462"/>
      <c r="BA131" s="462"/>
      <c r="BB131" s="462"/>
      <c r="BC131" s="462"/>
      <c r="BD131" s="462"/>
    </row>
    <row r="132" spans="31:56">
      <c r="AE132" s="505"/>
      <c r="AF132" s="11"/>
      <c r="AG132" s="11"/>
      <c r="AH132" s="11"/>
      <c r="AI132" s="11"/>
      <c r="AJ132" s="11"/>
      <c r="AK132" s="11"/>
      <c r="AL132" s="11"/>
      <c r="AM132" s="11"/>
      <c r="AN132" s="11"/>
      <c r="AO132" s="11"/>
      <c r="AP132" s="11"/>
      <c r="AQ132" s="11"/>
      <c r="AR132" s="11"/>
      <c r="AS132" s="11"/>
      <c r="AT132" s="11"/>
      <c r="AU132" s="462"/>
      <c r="AV132" s="462"/>
      <c r="AW132" s="462"/>
      <c r="AX132" s="462"/>
      <c r="AY132" s="462"/>
      <c r="AZ132" s="462"/>
      <c r="BA132" s="462"/>
      <c r="BB132" s="462"/>
      <c r="BC132" s="462"/>
      <c r="BD132" s="462"/>
    </row>
    <row r="133" spans="31:56">
      <c r="AE133" s="505"/>
      <c r="AF133" s="11"/>
      <c r="AG133" s="11"/>
      <c r="AH133" s="11"/>
      <c r="AI133" s="11"/>
      <c r="AJ133" s="11"/>
      <c r="AK133" s="11"/>
      <c r="AL133" s="11"/>
      <c r="AM133" s="11"/>
      <c r="AN133" s="11"/>
      <c r="AO133" s="11"/>
      <c r="AP133" s="11"/>
      <c r="AQ133" s="11"/>
      <c r="AR133" s="11"/>
      <c r="AS133" s="11"/>
      <c r="AT133" s="11"/>
      <c r="AU133" s="462"/>
      <c r="AV133" s="462"/>
      <c r="AW133" s="462"/>
      <c r="AX133" s="462"/>
      <c r="AY133" s="462"/>
      <c r="AZ133" s="462"/>
      <c r="BA133" s="462"/>
      <c r="BB133" s="462"/>
      <c r="BC133" s="462"/>
      <c r="BD133" s="462"/>
    </row>
    <row r="134" spans="31:56">
      <c r="AE134" s="505"/>
      <c r="AF134" s="11"/>
      <c r="AG134" s="11"/>
      <c r="AH134" s="11"/>
      <c r="AI134" s="11"/>
      <c r="AJ134" s="11"/>
      <c r="AK134" s="11"/>
      <c r="AL134" s="11"/>
      <c r="AM134" s="11"/>
      <c r="AN134" s="11"/>
      <c r="AO134" s="11"/>
      <c r="AP134" s="11"/>
      <c r="AQ134" s="11"/>
      <c r="AR134" s="11"/>
      <c r="AS134" s="11"/>
      <c r="AT134" s="11"/>
      <c r="AU134" s="462"/>
      <c r="AV134" s="462"/>
      <c r="AW134" s="462"/>
      <c r="AX134" s="462"/>
      <c r="AY134" s="462"/>
      <c r="AZ134" s="462"/>
      <c r="BA134" s="462"/>
      <c r="BB134" s="462"/>
      <c r="BC134" s="462"/>
      <c r="BD134" s="462"/>
    </row>
    <row r="135" spans="31:56">
      <c r="AE135" s="505"/>
      <c r="AF135" s="11"/>
      <c r="AG135" s="11"/>
      <c r="AH135" s="11"/>
      <c r="AI135" s="11"/>
      <c r="AJ135" s="11"/>
      <c r="AK135" s="11"/>
      <c r="AL135" s="11"/>
      <c r="AM135" s="11"/>
      <c r="AN135" s="11"/>
      <c r="AO135" s="11"/>
      <c r="AP135" s="11"/>
      <c r="AQ135" s="11"/>
      <c r="AR135" s="11"/>
      <c r="AS135" s="11"/>
      <c r="AT135" s="11"/>
      <c r="AU135" s="462"/>
      <c r="AV135" s="462"/>
      <c r="AW135" s="462"/>
      <c r="AX135" s="462"/>
      <c r="AY135" s="462"/>
      <c r="AZ135" s="462"/>
      <c r="BA135" s="462"/>
      <c r="BB135" s="462"/>
      <c r="BC135" s="462"/>
      <c r="BD135" s="462"/>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sheetPr codeName="Лист114">
    <tabColor theme="2" tint="-0.249977111117893"/>
  </sheetPr>
  <dimension ref="A1:BE61"/>
  <sheetViews>
    <sheetView workbookViewId="0">
      <selection activeCell="D2" sqref="D2:D4"/>
    </sheetView>
  </sheetViews>
  <sheetFormatPr defaultRowHeight="14.4"/>
  <cols>
    <col min="1" max="1" width="35.44140625" customWidth="1"/>
    <col min="2" max="2" width="21.44140625" customWidth="1"/>
    <col min="3" max="3" width="3.44140625" customWidth="1"/>
    <col min="4" max="4" width="1.109375" customWidth="1"/>
    <col min="5" max="5" width="33.44140625" customWidth="1"/>
    <col min="6" max="6" width="22.6640625" customWidth="1"/>
    <col min="7" max="7" width="10.5546875" customWidth="1"/>
    <col min="8" max="8" width="14.33203125" customWidth="1"/>
    <col min="9" max="9" width="11.44140625" customWidth="1"/>
    <col min="10" max="10" width="9.109375" customWidth="1"/>
    <col min="11" max="11" width="10.88671875" customWidth="1"/>
    <col min="12" max="12" width="11.5546875" customWidth="1"/>
    <col min="13" max="13" width="10.6640625" bestFit="1" customWidth="1"/>
    <col min="14" max="14" width="8.109375" bestFit="1" customWidth="1"/>
    <col min="15" max="15" width="9.109375" customWidth="1"/>
    <col min="16" max="16" width="34.6640625" customWidth="1"/>
    <col min="17" max="17" width="39.33203125" customWidth="1"/>
    <col min="18" max="30" width="26.109375" style="55" customWidth="1"/>
    <col min="31" max="31" width="4.5546875" style="427" customWidth="1"/>
    <col min="32" max="32" width="11.109375" customWidth="1"/>
  </cols>
  <sheetData>
    <row r="1" spans="1:57">
      <c r="A1" s="425"/>
      <c r="B1" s="425"/>
      <c r="C1" s="425"/>
      <c r="D1" s="425"/>
      <c r="E1" s="425"/>
      <c r="F1" s="425"/>
      <c r="G1" s="426" t="s">
        <v>846</v>
      </c>
      <c r="H1" s="426" t="s">
        <v>847</v>
      </c>
      <c r="I1" s="424" t="s">
        <v>1181</v>
      </c>
      <c r="J1" s="425"/>
      <c r="M1" s="424" t="str">
        <f>'Конфигурация TREI'!A1</f>
        <v>№ Модуля</v>
      </c>
      <c r="N1" s="424" t="str">
        <f>'Конфигурация TREI'!B2</f>
        <v>M501E(рез)</v>
      </c>
      <c r="O1" s="425"/>
      <c r="P1" s="425" t="str">
        <f>Таблица!D1</f>
        <v>Префикс для TREI
Тэг ОРС для INFINITY</v>
      </c>
      <c r="Q1" s="425" t="str">
        <f>Таблица!E1</f>
        <v>Комментарий для TREI и INFINITY</v>
      </c>
      <c r="R1" s="428"/>
      <c r="S1" s="428" t="s">
        <v>858</v>
      </c>
      <c r="T1" s="428" t="s">
        <v>859</v>
      </c>
      <c r="U1" s="428" t="s">
        <v>848</v>
      </c>
      <c r="V1" s="428" t="s">
        <v>849</v>
      </c>
      <c r="W1" s="428" t="s">
        <v>850</v>
      </c>
      <c r="X1" s="428" t="s">
        <v>851</v>
      </c>
      <c r="Y1" s="428" t="s">
        <v>852</v>
      </c>
      <c r="Z1" s="428" t="s">
        <v>1033</v>
      </c>
      <c r="AA1" s="428" t="s">
        <v>1034</v>
      </c>
      <c r="AB1" s="428" t="s">
        <v>1035</v>
      </c>
      <c r="AC1" s="428" t="s">
        <v>856</v>
      </c>
      <c r="AD1" s="429"/>
      <c r="AE1" s="438"/>
      <c r="AF1" s="438">
        <f>Настройки!Q1</f>
        <v>0</v>
      </c>
      <c r="AG1" s="438" t="str">
        <f>Настройки!R1</f>
        <v>M943DR</v>
      </c>
      <c r="AH1" s="438" t="str">
        <f>Настройки!S1</f>
        <v>M942A</v>
      </c>
      <c r="AI1" s="438" t="str">
        <f>Настройки!T1</f>
        <v>M957D</v>
      </c>
      <c r="AJ1" s="438" t="str">
        <f>Настройки!U1</f>
        <v>M957O</v>
      </c>
      <c r="AK1" s="438" t="str">
        <f>Настройки!V1</f>
        <v>M947R</v>
      </c>
      <c r="AL1" s="438" t="str">
        <f>Настройки!W1</f>
        <v>M931V</v>
      </c>
      <c r="AM1" s="438" t="str">
        <f>Настройки!X1</f>
        <v>M931T</v>
      </c>
      <c r="AN1" s="438" t="str">
        <f>Настройки!Y1</f>
        <v>M547A</v>
      </c>
      <c r="AO1" s="438" t="str">
        <f>Настройки!Z1</f>
        <v>M537V</v>
      </c>
      <c r="AP1" s="438" t="str">
        <f>Настройки!AA1</f>
        <v>M557D</v>
      </c>
      <c r="AQ1" s="438" t="str">
        <f>Настройки!AB1</f>
        <v>M557O</v>
      </c>
      <c r="AR1" s="438" t="str">
        <f>Настройки!AC1</f>
        <v>MOPS</v>
      </c>
      <c r="AS1" s="438" t="str">
        <f>Настройки!AD1</f>
        <v>MUPS</v>
      </c>
      <c r="AT1" s="439" t="str">
        <f>Настройки!AB1</f>
        <v>M557O</v>
      </c>
      <c r="AU1" s="439" t="str">
        <f>Настройки!AC1</f>
        <v>MOPS</v>
      </c>
      <c r="AV1" s="439" t="str">
        <f>Настройки!AD1</f>
        <v>MUPS</v>
      </c>
      <c r="AW1" s="439" t="str">
        <f>Настройки!AE1</f>
        <v>M941A</v>
      </c>
      <c r="AX1" s="439" t="str">
        <f>Настройки!AF1</f>
        <v>M954D</v>
      </c>
      <c r="AY1" s="439" t="str">
        <f>Настройки!AG1</f>
        <v>M557DR</v>
      </c>
      <c r="AZ1" s="439" t="str">
        <f>Настройки!AH1</f>
        <v>M558D</v>
      </c>
      <c r="BA1" s="439" t="str">
        <f>Настройки!AI1</f>
        <v>M558O</v>
      </c>
      <c r="BB1" s="439" t="str">
        <f>Настройки!AJ1</f>
        <v>M548A</v>
      </c>
      <c r="BC1" s="439" t="str">
        <f>Настройки!AK1</f>
        <v>M538V</v>
      </c>
      <c r="BD1" s="439" t="str">
        <f>Настройки!AL1</f>
        <v>M558DR</v>
      </c>
      <c r="BE1" s="439" t="str">
        <f>Настройки!AM1</f>
        <v>*</v>
      </c>
    </row>
    <row r="2" spans="1:57">
      <c r="A2" s="446" t="str">
        <f>"//*********** "&amp;Q2&amp;" ***********"</f>
        <v>//*********** АДЭС FB ***********</v>
      </c>
      <c r="B2" s="446"/>
      <c r="C2" s="446"/>
      <c r="D2" s="446"/>
      <c r="E2" s="446"/>
      <c r="F2" s="446" t="s">
        <v>1031</v>
      </c>
      <c r="G2" s="447"/>
      <c r="H2" s="447"/>
      <c r="I2" s="459"/>
      <c r="M2" s="424" t="str">
        <f>'Конфигурация TREI'!A3</f>
        <v>BR1</v>
      </c>
      <c r="N2" s="424" t="str">
        <f>'Конфигурация TREI'!B3</f>
        <v>M558D</v>
      </c>
      <c r="P2" s="2" t="s">
        <v>505</v>
      </c>
      <c r="Q2" s="2" t="s">
        <v>766</v>
      </c>
      <c r="R2" s="379"/>
      <c r="S2" s="379" t="s">
        <v>1230</v>
      </c>
      <c r="T2" s="379" t="s">
        <v>1231</v>
      </c>
      <c r="U2" s="379" t="s">
        <v>1232</v>
      </c>
      <c r="V2" s="379" t="s">
        <v>1233</v>
      </c>
      <c r="W2" s="379" t="s">
        <v>1234</v>
      </c>
      <c r="X2" s="379" t="s">
        <v>1235</v>
      </c>
      <c r="Y2" s="379" t="s">
        <v>1236</v>
      </c>
      <c r="Z2" s="379" t="s">
        <v>1237</v>
      </c>
      <c r="AA2" s="379" t="s">
        <v>1238</v>
      </c>
      <c r="AB2" s="379" t="s">
        <v>1239</v>
      </c>
      <c r="AC2" s="379" t="s">
        <v>1240</v>
      </c>
      <c r="AD2" s="427"/>
      <c r="AE2" s="431">
        <f>Настройки!P2</f>
        <v>1</v>
      </c>
      <c r="AF2" s="380">
        <f>Настройки!Q2</f>
        <v>0</v>
      </c>
      <c r="AG2" s="380" t="str">
        <f>Настройки!R2</f>
        <v>IDIG_1_1</v>
      </c>
      <c r="AH2" s="380" t="str">
        <f>Настройки!S2</f>
        <v>IANS_1_3</v>
      </c>
      <c r="AI2" s="380" t="str">
        <f>Настройки!T2</f>
        <v>out0</v>
      </c>
      <c r="AJ2" s="380" t="str">
        <f>Настройки!U2</f>
        <v>out0</v>
      </c>
      <c r="AK2" s="380" t="str">
        <f>Настройки!V2</f>
        <v>ODIG_1</v>
      </c>
      <c r="AL2" s="380" t="str">
        <f>Настройки!W2</f>
        <v>OAN_1_1</v>
      </c>
      <c r="AM2" s="380" t="str">
        <f>Настройки!X2</f>
        <v>IANS_1_1</v>
      </c>
      <c r="AN2" s="380" t="str">
        <f>Настройки!Y2</f>
        <v>Canal_01</v>
      </c>
      <c r="AO2" s="380" t="str">
        <f>Настройки!Z2</f>
        <v>Canal_01</v>
      </c>
      <c r="AP2" s="380" t="str">
        <f>Настройки!AA2</f>
        <v>Canal_01</v>
      </c>
      <c r="AQ2" s="380" t="str">
        <f>Настройки!AB2</f>
        <v>Canal_01</v>
      </c>
      <c r="AR2" s="380" t="str">
        <f>Настройки!AC2</f>
        <v>IVXX[0]</v>
      </c>
      <c r="AS2" s="380" t="str">
        <f>Настройки!AD2</f>
        <v>IVXX[0]</v>
      </c>
      <c r="AT2" s="207" t="str">
        <f>Настройки!AB2</f>
        <v>Canal_01</v>
      </c>
      <c r="AU2" s="207" t="str">
        <f>Настройки!AC2</f>
        <v>IVXX[0]</v>
      </c>
      <c r="AV2" s="207" t="str">
        <f>Настройки!AD2</f>
        <v>IVXX[0]</v>
      </c>
      <c r="AW2" s="207" t="str">
        <f>Настройки!AE2</f>
        <v>IANS_1_1</v>
      </c>
      <c r="AX2" s="207" t="str">
        <f>Настройки!AF2</f>
        <v>IDIG_1_1</v>
      </c>
      <c r="AY2" s="207" t="str">
        <f>Настройки!AG2</f>
        <v>Canal_01</v>
      </c>
      <c r="AZ2" s="207" t="str">
        <f>Настройки!AH2</f>
        <v>Canal_01</v>
      </c>
      <c r="BA2" s="207" t="str">
        <f>Настройки!AI2</f>
        <v>Canal_01</v>
      </c>
      <c r="BB2" s="207" t="str">
        <f>Настройки!AJ2</f>
        <v>Canal_01</v>
      </c>
      <c r="BC2" s="207" t="str">
        <f>Настройки!AK2</f>
        <v>Canal_01</v>
      </c>
      <c r="BD2" s="207" t="str">
        <f>Настройки!AL2</f>
        <v>Canal_01</v>
      </c>
      <c r="BE2" s="207" t="str">
        <f>Настройки!AM2</f>
        <v>-</v>
      </c>
    </row>
    <row r="3" spans="1:57">
      <c r="A3" s="82"/>
      <c r="B3" s="82"/>
      <c r="C3" s="81"/>
      <c r="D3" s="81"/>
      <c r="E3" s="448" t="str">
        <f ca="1">IF(LEFT(E11,3)="out","INT_TO_BIT_BR"&amp;C11&amp;"(BR"&amp;C11&amp;".IDIG_MASK)","УДАЛИТЬ")</f>
        <v>УДАЛИТЬ</v>
      </c>
      <c r="F3" s="446" t="s">
        <v>845</v>
      </c>
      <c r="G3" s="447"/>
      <c r="H3" s="447"/>
      <c r="I3" s="459"/>
      <c r="M3" s="424" t="str">
        <f>'Конфигурация TREI'!A4</f>
        <v>BR2</v>
      </c>
      <c r="N3" s="424" t="str">
        <f>'Конфигурация TREI'!B4</f>
        <v>M548A</v>
      </c>
      <c r="P3" s="425" t="str">
        <f>'Конфигурация TREI'!D1</f>
        <v>Путь TREI для сигналов NOT_LINK</v>
      </c>
      <c r="R3" s="378"/>
      <c r="S3" s="454" t="str">
        <f>SUBSTITUTE(SUBSTITUTE($S$2,"!","")," ","")</f>
        <v>1+7</v>
      </c>
      <c r="T3" s="454" t="str">
        <f>SUBSTITUTE(SUBSTITUTE($T$2,"!","")," ","")</f>
        <v>1+8</v>
      </c>
      <c r="U3" s="454" t="str">
        <f>SUBSTITUTE(SUBSTITUTE($U$2,"!","")," ","")</f>
        <v>1+9</v>
      </c>
      <c r="V3" s="454" t="str">
        <f>SUBSTITUTE(SUBSTITUTE($V$2,"!","")," ","")</f>
        <v>1+10</v>
      </c>
      <c r="W3" s="454" t="str">
        <f>SUBSTITUTE(SUBSTITUTE($W$2,"!","")," ","")</f>
        <v>1+11</v>
      </c>
      <c r="X3" s="454" t="str">
        <f>SUBSTITUTE(SUBSTITUTE($X$2,"!","")," ","")</f>
        <v>2+7</v>
      </c>
      <c r="Y3" s="454" t="str">
        <f>SUBSTITUTE(SUBSTITUTE($Y$2,"!","")," ","")</f>
        <v>2+8</v>
      </c>
      <c r="Z3" s="454" t="str">
        <f>SUBSTITUTE(SUBSTITUTE($Z$2,"!","")," ","")</f>
        <v>2+9</v>
      </c>
      <c r="AA3" s="454" t="str">
        <f>SUBSTITUTE(SUBSTITUTE($AA$2,"!","")," ","")</f>
        <v>1+12</v>
      </c>
      <c r="AB3" s="454" t="str">
        <f>SUBSTITUTE(SUBSTITUTE($AB$2,"!","")," ","")</f>
        <v>1+13</v>
      </c>
      <c r="AC3" s="454" t="str">
        <f>SUBSTITUTE(SUBSTITUTE($AC$2,"!","")," ","")</f>
        <v>1+14</v>
      </c>
      <c r="AD3" s="378"/>
      <c r="AE3" s="431">
        <f>Настройки!P3</f>
        <v>2</v>
      </c>
      <c r="AF3" s="380">
        <f>Настройки!Q3</f>
        <v>0</v>
      </c>
      <c r="AG3" s="380" t="str">
        <f>Настройки!R3</f>
        <v>IDIG_1_2</v>
      </c>
      <c r="AH3" s="380" t="str">
        <f>Настройки!S3</f>
        <v>IANS_1_4</v>
      </c>
      <c r="AI3" s="380" t="str">
        <f>Настройки!T3</f>
        <v>out1</v>
      </c>
      <c r="AJ3" s="380" t="str">
        <f>Настройки!U3</f>
        <v>out1</v>
      </c>
      <c r="AK3" s="380" t="str">
        <f>Настройки!V3</f>
        <v>ODIG_2</v>
      </c>
      <c r="AL3" s="380" t="str">
        <f>Настройки!W3</f>
        <v>OAN_2_1</v>
      </c>
      <c r="AM3" s="380" t="str">
        <f>Настройки!X3</f>
        <v>IANS_2_1</v>
      </c>
      <c r="AN3" s="380" t="str">
        <f>Настройки!Y3</f>
        <v>Canal_02</v>
      </c>
      <c r="AO3" s="380" t="str">
        <f>Настройки!Z3</f>
        <v>Canal_02</v>
      </c>
      <c r="AP3" s="380" t="str">
        <f>Настройки!AA3</f>
        <v>Canal_02</v>
      </c>
      <c r="AQ3" s="380" t="str">
        <f>Настройки!AB3</f>
        <v>Canal_02</v>
      </c>
      <c r="AR3" s="380" t="str">
        <f>Настройки!AC3</f>
        <v>IVXX[1]</v>
      </c>
      <c r="AS3" s="380" t="str">
        <f>Настройки!AD3</f>
        <v>IVXX[1]</v>
      </c>
      <c r="AT3" s="207" t="str">
        <f>Настройки!AB3</f>
        <v>Canal_02</v>
      </c>
      <c r="AU3" s="207" t="str">
        <f>Настройки!AC3</f>
        <v>IVXX[1]</v>
      </c>
      <c r="AV3" s="207" t="str">
        <f>Настройки!AD3</f>
        <v>IVXX[1]</v>
      </c>
      <c r="AW3" s="207" t="str">
        <f>Настройки!AE3</f>
        <v>IANS_1_2</v>
      </c>
      <c r="AX3" s="207" t="str">
        <f>Настройки!AF3</f>
        <v>IDIG_1_2</v>
      </c>
      <c r="AY3" s="207" t="str">
        <f>Настройки!AG3</f>
        <v>Canal_02</v>
      </c>
      <c r="AZ3" s="207" t="str">
        <f>Настройки!AH3</f>
        <v>Canal_02</v>
      </c>
      <c r="BA3" s="207" t="str">
        <f>Настройки!AI3</f>
        <v>Canal_02</v>
      </c>
      <c r="BB3" s="207" t="str">
        <f>Настройки!AJ3</f>
        <v>Canal_02</v>
      </c>
      <c r="BC3" s="207" t="str">
        <f>Настройки!AK3</f>
        <v>Canal_02</v>
      </c>
      <c r="BD3" s="207" t="str">
        <f>Настройки!AL3</f>
        <v>Canal_02</v>
      </c>
      <c r="BE3" s="207" t="str">
        <f>Настройки!AM3</f>
        <v>-</v>
      </c>
    </row>
    <row r="4" spans="1:57">
      <c r="A4" s="82"/>
      <c r="B4" s="82"/>
      <c r="C4" s="81"/>
      <c r="D4" s="81"/>
      <c r="E4" s="448" t="str">
        <f t="shared" ref="E4:E10" ca="1" si="0">IF(LEFT(E12,3)="out","INT_TO_BIT_BR"&amp;C12&amp;"(BR"&amp;C12&amp;".IDIG_MASK)","УДАЛИТЬ")</f>
        <v>УДАЛИТЬ</v>
      </c>
      <c r="F4" s="446" t="s">
        <v>845</v>
      </c>
      <c r="G4" s="447"/>
      <c r="H4" s="447"/>
      <c r="I4" s="459"/>
      <c r="M4" s="424" t="str">
        <f>'Конфигурация TREI'!A5</f>
        <v>BR3</v>
      </c>
      <c r="N4" s="424" t="str">
        <f>'Конфигурация TREI'!B5</f>
        <v>M548A</v>
      </c>
      <c r="P4" s="3" t="str">
        <f>Настройки!D2</f>
        <v/>
      </c>
      <c r="AE4" s="431">
        <f>Настройки!P4</f>
        <v>3</v>
      </c>
      <c r="AF4" s="380">
        <f>Настройки!Q4</f>
        <v>0</v>
      </c>
      <c r="AG4" s="380" t="str">
        <f>Настройки!R4</f>
        <v>IDIG_2_1</v>
      </c>
      <c r="AH4" s="380" t="str">
        <f>Настройки!S4</f>
        <v>IANS_2_3</v>
      </c>
      <c r="AI4" s="380" t="str">
        <f>Настройки!T4</f>
        <v>out2</v>
      </c>
      <c r="AJ4" s="380" t="str">
        <f>Настройки!U4</f>
        <v>out2</v>
      </c>
      <c r="AK4" s="380" t="str">
        <f>Настройки!V4</f>
        <v>ODIG_3</v>
      </c>
      <c r="AL4" s="380" t="str">
        <f>Настройки!W4</f>
        <v>OAN_3_1</v>
      </c>
      <c r="AM4" s="380" t="str">
        <f>Настройки!X4</f>
        <v>IANS_3_1</v>
      </c>
      <c r="AN4" s="380" t="str">
        <f>Настройки!Y4</f>
        <v>Canal_03</v>
      </c>
      <c r="AO4" s="380" t="str">
        <f>Настройки!Z4</f>
        <v>Canal_03</v>
      </c>
      <c r="AP4" s="380" t="str">
        <f>Настройки!AA4</f>
        <v>Canal_03</v>
      </c>
      <c r="AQ4" s="380" t="str">
        <f>Настройки!AB4</f>
        <v>Canal_03</v>
      </c>
      <c r="AR4" s="380" t="str">
        <f>Настройки!AC4</f>
        <v>IVXX[2]</v>
      </c>
      <c r="AS4" s="380" t="str">
        <f>Настройки!AD4</f>
        <v>IVXX[2]</v>
      </c>
      <c r="AT4" s="207" t="str">
        <f>Настройки!AB4</f>
        <v>Canal_03</v>
      </c>
      <c r="AU4" s="207" t="str">
        <f>Настройки!AC4</f>
        <v>IVXX[2]</v>
      </c>
      <c r="AV4" s="207" t="str">
        <f>Настройки!AD4</f>
        <v>IVXX[2]</v>
      </c>
      <c r="AW4" s="207" t="str">
        <f>Настройки!AE4</f>
        <v>IANS_2_1</v>
      </c>
      <c r="AX4" s="207" t="str">
        <f>Настройки!AF4</f>
        <v>IDIG_1_3</v>
      </c>
      <c r="AY4" s="207" t="str">
        <f>Настройки!AG4</f>
        <v>Canal_03</v>
      </c>
      <c r="AZ4" s="207" t="str">
        <f>Настройки!AH4</f>
        <v>Canal_03</v>
      </c>
      <c r="BA4" s="207" t="str">
        <f>Настройки!AI4</f>
        <v>Canal_03</v>
      </c>
      <c r="BB4" s="207" t="str">
        <f>Настройки!AJ4</f>
        <v>Canal_03</v>
      </c>
      <c r="BC4" s="207" t="str">
        <f>Настройки!AK4</f>
        <v>Canal_03</v>
      </c>
      <c r="BD4" s="207" t="str">
        <f>Настройки!AL4</f>
        <v>Canal_03</v>
      </c>
      <c r="BE4" s="207" t="str">
        <f>Настройки!AM4</f>
        <v>-</v>
      </c>
    </row>
    <row r="5" spans="1:57">
      <c r="A5" s="82"/>
      <c r="B5" s="82"/>
      <c r="C5" s="81"/>
      <c r="D5" s="81"/>
      <c r="E5" s="448" t="str">
        <f t="shared" ca="1" si="0"/>
        <v>УДАЛИТЬ</v>
      </c>
      <c r="F5" s="446" t="s">
        <v>845</v>
      </c>
      <c r="G5" s="447"/>
      <c r="H5" s="447"/>
      <c r="I5" s="459"/>
      <c r="M5" s="424" t="str">
        <f>'Конфигурация TREI'!A6</f>
        <v>BR4</v>
      </c>
      <c r="N5" s="424" t="str">
        <f>'Конфигурация TREI'!B6</f>
        <v>M558D</v>
      </c>
      <c r="AE5" s="431">
        <f>Настройки!P5</f>
        <v>4</v>
      </c>
      <c r="AF5" s="380">
        <f>Настройки!Q5</f>
        <v>0</v>
      </c>
      <c r="AG5" s="380" t="str">
        <f>Настройки!R5</f>
        <v>IDIG_2_2</v>
      </c>
      <c r="AH5" s="380" t="str">
        <f>Настройки!S5</f>
        <v>IANS_2_4</v>
      </c>
      <c r="AI5" s="380" t="str">
        <f>Настройки!T5</f>
        <v>out3</v>
      </c>
      <c r="AJ5" s="380" t="str">
        <f>Настройки!U5</f>
        <v>out3</v>
      </c>
      <c r="AK5" s="380" t="str">
        <f>Настройки!V5</f>
        <v>ODIG_4</v>
      </c>
      <c r="AL5" s="380" t="str">
        <f>Настройки!W5</f>
        <v>OAN_4_1</v>
      </c>
      <c r="AM5" s="380" t="str">
        <f>Настройки!X5</f>
        <v>IANS_4_1</v>
      </c>
      <c r="AN5" s="380" t="str">
        <f>Настройки!Y5</f>
        <v>Canal_04</v>
      </c>
      <c r="AO5" s="380" t="str">
        <f>Настройки!Z5</f>
        <v>Canal_04</v>
      </c>
      <c r="AP5" s="380" t="str">
        <f>Настройки!AA5</f>
        <v>Canal_04</v>
      </c>
      <c r="AQ5" s="380" t="str">
        <f>Настройки!AB5</f>
        <v>Canal_04</v>
      </c>
      <c r="AR5" s="380" t="str">
        <f>Настройки!AC5</f>
        <v>IVXX[3]</v>
      </c>
      <c r="AS5" s="380" t="str">
        <f>Настройки!AD5</f>
        <v>IVXX[3]</v>
      </c>
      <c r="AT5" s="207" t="str">
        <f>Настройки!AB5</f>
        <v>Canal_04</v>
      </c>
      <c r="AU5" s="207" t="str">
        <f>Настройки!AC5</f>
        <v>IVXX[3]</v>
      </c>
      <c r="AV5" s="207" t="str">
        <f>Настройки!AD5</f>
        <v>IVXX[3]</v>
      </c>
      <c r="AW5" s="207" t="str">
        <f>Настройки!AE5</f>
        <v>IANS_2_2</v>
      </c>
      <c r="AX5" s="207" t="str">
        <f>Настройки!AF5</f>
        <v>IDIG_1_4</v>
      </c>
      <c r="AY5" s="207" t="str">
        <f>Настройки!AG5</f>
        <v>Canal_04</v>
      </c>
      <c r="AZ5" s="207" t="str">
        <f>Настройки!AH5</f>
        <v>Canal_04</v>
      </c>
      <c r="BA5" s="207" t="str">
        <f>Настройки!AI5</f>
        <v>Canal_04</v>
      </c>
      <c r="BB5" s="207" t="str">
        <f>Настройки!AJ5</f>
        <v>Canal_04</v>
      </c>
      <c r="BC5" s="207" t="str">
        <f>Настройки!AK5</f>
        <v>Canal_04</v>
      </c>
      <c r="BD5" s="207" t="str">
        <f>Настройки!AL5</f>
        <v>Canal_04</v>
      </c>
      <c r="BE5" s="207" t="str">
        <f>Настройки!AM5</f>
        <v>-</v>
      </c>
    </row>
    <row r="6" spans="1:57">
      <c r="A6" s="82"/>
      <c r="B6" s="82"/>
      <c r="C6" s="81"/>
      <c r="D6" s="81"/>
      <c r="E6" s="448" t="str">
        <f t="shared" ca="1" si="0"/>
        <v>УДАЛИТЬ</v>
      </c>
      <c r="F6" s="446" t="s">
        <v>845</v>
      </c>
      <c r="G6" s="447"/>
      <c r="H6" s="447"/>
      <c r="I6" s="459"/>
      <c r="M6" s="424" t="str">
        <f>'Конфигурация TREI'!A7</f>
        <v>BR5</v>
      </c>
      <c r="N6" s="424" t="str">
        <f>'Конфигурация TREI'!B7</f>
        <v>M558O</v>
      </c>
      <c r="AE6" s="431">
        <f>Настройки!P6</f>
        <v>5</v>
      </c>
      <c r="AF6" s="380">
        <f>Настройки!Q6</f>
        <v>0</v>
      </c>
      <c r="AG6" s="380" t="str">
        <f>Настройки!R6</f>
        <v>IDIG_3_1</v>
      </c>
      <c r="AH6" s="380" t="str">
        <f>Настройки!S6</f>
        <v>IANS_3_3</v>
      </c>
      <c r="AI6" s="380" t="str">
        <f>Настройки!T6</f>
        <v>out4</v>
      </c>
      <c r="AJ6" s="380" t="str">
        <f>Настройки!U6</f>
        <v>out4</v>
      </c>
      <c r="AK6" s="380" t="str">
        <f>Настройки!V6</f>
        <v>ODIG_5</v>
      </c>
      <c r="AL6" s="380" t="str">
        <f>Настройки!W6</f>
        <v>OAN_5_1</v>
      </c>
      <c r="AM6" s="380" t="str">
        <f>Настройки!X6</f>
        <v>IANS_5_1</v>
      </c>
      <c r="AN6" s="380" t="str">
        <f>Настройки!Y6</f>
        <v>Canal_05</v>
      </c>
      <c r="AO6" s="380" t="str">
        <f>Настройки!Z6</f>
        <v>Canal_05</v>
      </c>
      <c r="AP6" s="380" t="str">
        <f>Настройки!AA6</f>
        <v>Canal_05</v>
      </c>
      <c r="AQ6" s="380" t="str">
        <f>Настройки!AB6</f>
        <v>Canal_05</v>
      </c>
      <c r="AR6" s="380" t="str">
        <f>Настройки!AC6</f>
        <v>IVXX[4]</v>
      </c>
      <c r="AS6" s="380" t="str">
        <f>Настройки!AD6</f>
        <v>IVXX[4]</v>
      </c>
      <c r="AT6" s="207" t="str">
        <f>Настройки!AB6</f>
        <v>Canal_05</v>
      </c>
      <c r="AU6" s="207" t="str">
        <f>Настройки!AC6</f>
        <v>IVXX[4]</v>
      </c>
      <c r="AV6" s="207" t="str">
        <f>Настройки!AD6</f>
        <v>IVXX[4]</v>
      </c>
      <c r="AW6" s="207" t="str">
        <f>Настройки!AE6</f>
        <v>IANS_3_1</v>
      </c>
      <c r="AX6" s="207" t="str">
        <f>Настройки!AF6</f>
        <v>IDIG_2_1</v>
      </c>
      <c r="AY6" s="207" t="str">
        <f>Настройки!AG6</f>
        <v>Canal_05</v>
      </c>
      <c r="AZ6" s="207" t="str">
        <f>Настройки!AH6</f>
        <v>Canal_05</v>
      </c>
      <c r="BA6" s="207" t="str">
        <f>Настройки!AI6</f>
        <v>Canal_05</v>
      </c>
      <c r="BB6" s="207" t="str">
        <f>Настройки!AJ6</f>
        <v>Canal_05</v>
      </c>
      <c r="BC6" s="207" t="str">
        <f>Настройки!AK6</f>
        <v>Canal_05</v>
      </c>
      <c r="BD6" s="207" t="str">
        <f>Настройки!AL6</f>
        <v>Canal_05</v>
      </c>
      <c r="BE6" s="207" t="str">
        <f>Настройки!AM6</f>
        <v>-</v>
      </c>
    </row>
    <row r="7" spans="1:57">
      <c r="A7" s="82"/>
      <c r="B7" s="82"/>
      <c r="C7" s="81"/>
      <c r="D7" s="81"/>
      <c r="E7" s="448" t="str">
        <f t="shared" ca="1" si="0"/>
        <v>УДАЛИТЬ</v>
      </c>
      <c r="F7" s="446" t="s">
        <v>845</v>
      </c>
      <c r="G7" s="447"/>
      <c r="H7" s="447"/>
      <c r="I7" s="459"/>
      <c r="M7" s="424" t="str">
        <f>'Конфигурация TREI'!A8</f>
        <v>BR6</v>
      </c>
      <c r="N7" s="424" t="str">
        <f>'Конфигурация TREI'!B8</f>
        <v>M558O</v>
      </c>
      <c r="AE7" s="431">
        <f>Настройки!P7</f>
        <v>6</v>
      </c>
      <c r="AF7" s="380">
        <f>Настройки!Q7</f>
        <v>0</v>
      </c>
      <c r="AG7" s="380" t="str">
        <f>Настройки!R7</f>
        <v>IDIG_3_2</v>
      </c>
      <c r="AH7" s="380" t="str">
        <f>Настройки!S7</f>
        <v>IANS_3_4</v>
      </c>
      <c r="AI7" s="380" t="str">
        <f>Настройки!T7</f>
        <v>out5</v>
      </c>
      <c r="AJ7" s="380" t="str">
        <f>Настройки!U7</f>
        <v>out5</v>
      </c>
      <c r="AK7" s="380" t="str">
        <f>Настройки!V7</f>
        <v>ODIG_6</v>
      </c>
      <c r="AL7" s="380" t="str">
        <f>Настройки!W7</f>
        <v>OAN_6_1</v>
      </c>
      <c r="AM7" s="380" t="str">
        <f>Настройки!X7</f>
        <v>IANS_6_1</v>
      </c>
      <c r="AN7" s="380" t="str">
        <f>Настройки!Y7</f>
        <v>Canal_06</v>
      </c>
      <c r="AO7" s="380" t="str">
        <f>Настройки!Z7</f>
        <v>Canal_06</v>
      </c>
      <c r="AP7" s="380" t="str">
        <f>Настройки!AA7</f>
        <v>Canal_06</v>
      </c>
      <c r="AQ7" s="380" t="str">
        <f>Настройки!AB7</f>
        <v>Canal_06</v>
      </c>
      <c r="AR7" s="380" t="str">
        <f>Настройки!AC7</f>
        <v>IVXX[5]</v>
      </c>
      <c r="AS7" s="380" t="str">
        <f>Настройки!AD7</f>
        <v>IVXX[5]</v>
      </c>
      <c r="AT7" s="207" t="str">
        <f>Настройки!AB7</f>
        <v>Canal_06</v>
      </c>
      <c r="AU7" s="207" t="str">
        <f>Настройки!AC7</f>
        <v>IVXX[5]</v>
      </c>
      <c r="AV7" s="207" t="str">
        <f>Настройки!AD7</f>
        <v>IVXX[5]</v>
      </c>
      <c r="AW7" s="207" t="str">
        <f>Настройки!AE7</f>
        <v>IANS_3_2</v>
      </c>
      <c r="AX7" s="207" t="str">
        <f>Настройки!AF7</f>
        <v>IDIG_2_2</v>
      </c>
      <c r="AY7" s="207" t="str">
        <f>Настройки!AG7</f>
        <v>Canal_06</v>
      </c>
      <c r="AZ7" s="207" t="str">
        <f>Настройки!AH7</f>
        <v>Canal_06</v>
      </c>
      <c r="BA7" s="207" t="str">
        <f>Настройки!AI7</f>
        <v>Canal_06</v>
      </c>
      <c r="BB7" s="207" t="str">
        <f>Настройки!AJ7</f>
        <v>Canal_06</v>
      </c>
      <c r="BC7" s="207" t="str">
        <f>Настройки!AK7</f>
        <v>Canal_06</v>
      </c>
      <c r="BD7" s="207" t="str">
        <f>Настройки!AL7</f>
        <v>Canal_06</v>
      </c>
      <c r="BE7" s="207" t="str">
        <f>Настройки!AM7</f>
        <v>-</v>
      </c>
    </row>
    <row r="8" spans="1:57">
      <c r="A8" s="82"/>
      <c r="B8" s="82"/>
      <c r="C8" s="81"/>
      <c r="D8" s="81"/>
      <c r="E8" s="448" t="str">
        <f t="shared" ca="1" si="0"/>
        <v>УДАЛИТЬ</v>
      </c>
      <c r="F8" s="446" t="s">
        <v>845</v>
      </c>
      <c r="G8" s="447"/>
      <c r="H8" s="447"/>
      <c r="I8" s="460"/>
      <c r="M8" s="424" t="str">
        <f>'Конфигурация TREI'!A9</f>
        <v>BR7</v>
      </c>
      <c r="N8" s="424" t="str">
        <f>'Конфигурация TREI'!B9</f>
        <v>M558O</v>
      </c>
      <c r="AE8" s="431">
        <f>Настройки!P8</f>
        <v>7</v>
      </c>
      <c r="AF8" s="380">
        <f>Настройки!Q8</f>
        <v>0</v>
      </c>
      <c r="AG8" s="380" t="str">
        <f>Настройки!R8</f>
        <v>IDIG_4_1</v>
      </c>
      <c r="AH8" s="380" t="str">
        <f>Настройки!S8</f>
        <v>IANS_4_3</v>
      </c>
      <c r="AI8" s="380" t="str">
        <f>Настройки!T8</f>
        <v>out6</v>
      </c>
      <c r="AJ8" s="380" t="str">
        <f>Настройки!U8</f>
        <v>out6</v>
      </c>
      <c r="AK8" s="380" t="str">
        <f>Настройки!V8</f>
        <v>ODIG_7</v>
      </c>
      <c r="AL8" s="380" t="str">
        <f>Настройки!W8</f>
        <v>OAN_7_1</v>
      </c>
      <c r="AM8" s="380" t="str">
        <f>Настройки!X8</f>
        <v>IANS_7_1</v>
      </c>
      <c r="AN8" s="380" t="str">
        <f>Настройки!Y8</f>
        <v>Canal_07</v>
      </c>
      <c r="AO8" s="380" t="str">
        <f>Настройки!Z8</f>
        <v>Canal_07</v>
      </c>
      <c r="AP8" s="380" t="str">
        <f>Настройки!AA8</f>
        <v>Canal_07</v>
      </c>
      <c r="AQ8" s="380" t="str">
        <f>Настройки!AB8</f>
        <v>Canal_07</v>
      </c>
      <c r="AR8" s="380" t="str">
        <f>Настройки!AC8</f>
        <v>IVXX[6]</v>
      </c>
      <c r="AS8" s="380" t="str">
        <f>Настройки!AD8</f>
        <v>IVXX[6]</v>
      </c>
      <c r="AT8" s="207" t="str">
        <f>Настройки!AB8</f>
        <v>Canal_07</v>
      </c>
      <c r="AU8" s="207" t="str">
        <f>Настройки!AC8</f>
        <v>IVXX[6]</v>
      </c>
      <c r="AV8" s="207" t="str">
        <f>Настройки!AD8</f>
        <v>IVXX[6]</v>
      </c>
      <c r="AW8" s="207" t="str">
        <f>Настройки!AE8</f>
        <v>IANS_4_1</v>
      </c>
      <c r="AX8" s="207" t="str">
        <f>Настройки!AF8</f>
        <v>IDIG_2_3</v>
      </c>
      <c r="AY8" s="207" t="str">
        <f>Настройки!AG8</f>
        <v>Canal_07</v>
      </c>
      <c r="AZ8" s="207" t="str">
        <f>Настройки!AH8</f>
        <v>Canal_07</v>
      </c>
      <c r="BA8" s="207" t="str">
        <f>Настройки!AI8</f>
        <v>Canal_07</v>
      </c>
      <c r="BB8" s="207" t="str">
        <f>Настройки!AJ8</f>
        <v>Canal_07</v>
      </c>
      <c r="BC8" s="207" t="str">
        <f>Настройки!AK8</f>
        <v>Canal_07</v>
      </c>
      <c r="BD8" s="207" t="str">
        <f>Настройки!AL8</f>
        <v>Canal_07</v>
      </c>
      <c r="BE8" s="207" t="str">
        <f>Настройки!AM8</f>
        <v>-</v>
      </c>
    </row>
    <row r="9" spans="1:57">
      <c r="A9" s="82"/>
      <c r="B9" s="82"/>
      <c r="C9" s="81"/>
      <c r="D9" s="81"/>
      <c r="E9" s="448" t="str">
        <f t="shared" ca="1" si="0"/>
        <v>УДАЛИТЬ</v>
      </c>
      <c r="F9" s="446" t="s">
        <v>845</v>
      </c>
      <c r="G9" s="447"/>
      <c r="H9" s="447"/>
      <c r="I9" s="460"/>
      <c r="M9" s="424" t="str">
        <f>'Конфигурация TREI'!A10</f>
        <v>BR8</v>
      </c>
      <c r="N9" s="424" t="str">
        <f>'Конфигурация TREI'!B10</f>
        <v>M558O</v>
      </c>
      <c r="AE9" s="431">
        <f>Настройки!P9</f>
        <v>8</v>
      </c>
      <c r="AF9" s="380">
        <f>Настройки!Q9</f>
        <v>0</v>
      </c>
      <c r="AG9" s="380" t="str">
        <f>Настройки!R9</f>
        <v>IDIG_4_2</v>
      </c>
      <c r="AH9" s="380" t="str">
        <f>Настройки!S9</f>
        <v>IANS_4_4</v>
      </c>
      <c r="AI9" s="380" t="str">
        <f>Настройки!T9</f>
        <v>out7</v>
      </c>
      <c r="AJ9" s="380" t="str">
        <f>Настройки!U9</f>
        <v>out7</v>
      </c>
      <c r="AK9" s="380" t="str">
        <f>Настройки!V9</f>
        <v>ODIG_8</v>
      </c>
      <c r="AL9" s="380" t="str">
        <f>Настройки!W9</f>
        <v>OAN_8_1</v>
      </c>
      <c r="AM9" s="380" t="str">
        <f>Настройки!X9</f>
        <v>IANS_8_1</v>
      </c>
      <c r="AN9" s="380" t="str">
        <f>Настройки!Y9</f>
        <v>Canal_08</v>
      </c>
      <c r="AO9" s="380" t="str">
        <f>Настройки!Z9</f>
        <v>Canal_08</v>
      </c>
      <c r="AP9" s="380" t="str">
        <f>Настройки!AA9</f>
        <v>Canal_08</v>
      </c>
      <c r="AQ9" s="380" t="str">
        <f>Настройки!AB9</f>
        <v>Canal_08</v>
      </c>
      <c r="AR9" s="380" t="str">
        <f>Настройки!AC9</f>
        <v>IVXX[7]</v>
      </c>
      <c r="AS9" s="380" t="str">
        <f>Настройки!AD9</f>
        <v>IVXX[7]</v>
      </c>
      <c r="AT9" s="207" t="str">
        <f>Настройки!AB9</f>
        <v>Canal_08</v>
      </c>
      <c r="AU9" s="207" t="str">
        <f>Настройки!AC9</f>
        <v>IVXX[7]</v>
      </c>
      <c r="AV9" s="207" t="str">
        <f>Настройки!AD9</f>
        <v>IVXX[7]</v>
      </c>
      <c r="AW9" s="207" t="str">
        <f>Настройки!AE9</f>
        <v>IANS_4_2</v>
      </c>
      <c r="AX9" s="207" t="str">
        <f>Настройки!AF9</f>
        <v>IDIG_2_4</v>
      </c>
      <c r="AY9" s="207" t="str">
        <f>Настройки!AG9</f>
        <v>Canal_08</v>
      </c>
      <c r="AZ9" s="207" t="str">
        <f>Настройки!AH9</f>
        <v>Canal_08</v>
      </c>
      <c r="BA9" s="207" t="str">
        <f>Настройки!AI9</f>
        <v>Canal_08</v>
      </c>
      <c r="BB9" s="207" t="str">
        <f>Настройки!AJ9</f>
        <v>Canal_08</v>
      </c>
      <c r="BC9" s="207" t="str">
        <f>Настройки!AK9</f>
        <v>Canal_08</v>
      </c>
      <c r="BD9" s="207" t="str">
        <f>Настройки!AL9</f>
        <v>Canal_08</v>
      </c>
      <c r="BE9" s="207" t="str">
        <f>Настройки!AM9</f>
        <v>-</v>
      </c>
    </row>
    <row r="10" spans="1:57">
      <c r="A10" s="82"/>
      <c r="B10" s="82"/>
      <c r="C10" s="81"/>
      <c r="D10" s="81"/>
      <c r="E10" s="448" t="str">
        <f t="shared" ca="1" si="0"/>
        <v>УДАЛИТЬ</v>
      </c>
      <c r="F10" s="446" t="s">
        <v>845</v>
      </c>
      <c r="G10" s="447"/>
      <c r="H10" s="447"/>
      <c r="I10" s="460"/>
      <c r="M10" s="424" t="str">
        <f>'Конфигурация TREI'!A11</f>
        <v>BR9</v>
      </c>
      <c r="N10" s="424" t="str">
        <f>'Конфигурация TREI'!B11</f>
        <v>M558D</v>
      </c>
      <c r="AE10" s="431">
        <f>Настройки!P10</f>
        <v>9</v>
      </c>
      <c r="AF10" s="380">
        <f>Настройки!Q10</f>
        <v>0</v>
      </c>
      <c r="AG10" s="380" t="str">
        <f>Настройки!R10</f>
        <v>IDIG_5_1</v>
      </c>
      <c r="AH10" s="380" t="str">
        <f>Настройки!S10</f>
        <v>IANS_5_3</v>
      </c>
      <c r="AI10" s="380" t="str">
        <f>Настройки!T10</f>
        <v>out8</v>
      </c>
      <c r="AJ10" s="380" t="str">
        <f>Настройки!U10</f>
        <v>out8</v>
      </c>
      <c r="AK10" s="380" t="str">
        <f>Настройки!V10</f>
        <v>ODIG_9</v>
      </c>
      <c r="AL10" s="380" t="str">
        <f>Настройки!W10</f>
        <v>-</v>
      </c>
      <c r="AM10" s="380" t="str">
        <f>Настройки!X10</f>
        <v>-</v>
      </c>
      <c r="AN10" s="380" t="str">
        <f>Настройки!Y10</f>
        <v>Canal_09</v>
      </c>
      <c r="AO10" s="380" t="str">
        <f>Настройки!Z10</f>
        <v>-</v>
      </c>
      <c r="AP10" s="380" t="str">
        <f>Настройки!AA10</f>
        <v>Canal_09</v>
      </c>
      <c r="AQ10" s="380" t="str">
        <f>Настройки!AB10</f>
        <v>Canal_09</v>
      </c>
      <c r="AR10" s="380" t="str">
        <f>Настройки!AC10</f>
        <v>OCCH[0]</v>
      </c>
      <c r="AS10" s="380" t="str">
        <f>Настройки!AD10</f>
        <v>OCCH[0]</v>
      </c>
      <c r="AT10" s="207" t="str">
        <f>Настройки!AB10</f>
        <v>Canal_09</v>
      </c>
      <c r="AU10" s="207" t="str">
        <f>Настройки!AC10</f>
        <v>OCCH[0]</v>
      </c>
      <c r="AV10" s="207" t="str">
        <f>Настройки!AD10</f>
        <v>OCCH[0]</v>
      </c>
      <c r="AW10" s="207" t="str">
        <f>Настройки!AE10</f>
        <v>IANS_5_1</v>
      </c>
      <c r="AX10" s="207" t="str">
        <f>Настройки!AF10</f>
        <v>IDIG_3_1</v>
      </c>
      <c r="AY10" s="207" t="str">
        <f>Настройки!AG10</f>
        <v>Canal_09</v>
      </c>
      <c r="AZ10" s="207" t="str">
        <f>Настройки!AH10</f>
        <v>Canal_09</v>
      </c>
      <c r="BA10" s="207" t="str">
        <f>Настройки!AI10</f>
        <v>Canal_09</v>
      </c>
      <c r="BB10" s="207" t="str">
        <f>Настройки!AJ10</f>
        <v>Canal_09</v>
      </c>
      <c r="BC10" s="207" t="str">
        <f>Настройки!AK10</f>
        <v>-</v>
      </c>
      <c r="BD10" s="207" t="str">
        <f>Настройки!AL10</f>
        <v>Canal_09</v>
      </c>
      <c r="BE10" s="207" t="str">
        <f>Настройки!AM10</f>
        <v>-</v>
      </c>
    </row>
    <row r="11" spans="1:57">
      <c r="A11" s="448" t="str">
        <f>SUBSTITUTE($P$2,"\","|")&amp;"|"&amp; $S$1 &amp;":="&amp;IF(LEFT(SUBSTITUTE($S$2," ",""),1)="!","NOT  ","")</f>
        <v>S_IM_ADES|IONX:=</v>
      </c>
      <c r="B11" s="448" t="str">
        <f ca="1">IF(LEFT(E11,3)="out","INT_TO_BIT_BR","BR")</f>
        <v>BR</v>
      </c>
      <c r="C11" s="446" t="str">
        <f>LEFT($S$3,FIND("+",$S$3,1)-1)</f>
        <v>1</v>
      </c>
      <c r="D11" s="446" t="s">
        <v>178</v>
      </c>
      <c r="E11" s="446" t="str">
        <f ca="1">IF($S$2=0,"УДАЛИТЬ",IFERROR(IF(OR($I11="-",$H11="0"),"КАНАЛ ОТСУТСТВУЕТ",IF($I11=0,"МОДУЛЬ ОТСУТСТВУЕТ",$I11)),"ОШИБКА ФОРМАТА"))</f>
        <v>Canal_07</v>
      </c>
      <c r="F11" s="446" t="s">
        <v>845</v>
      </c>
      <c r="G11" s="447" t="str">
        <f t="shared" ref="G11:G18" si="1">INDEX($N$2:$N$61,C11)</f>
        <v>M558D</v>
      </c>
      <c r="H11" s="447" t="str">
        <f>RIGHT(S$3,LEN(S$3)-FIND("+",S$3,1))</f>
        <v>7</v>
      </c>
      <c r="I11" s="460" t="str">
        <f t="shared" ref="I11:I18" ca="1" si="2">INDIRECT(ADDRESS($H11+1,MATCH($G11,$1:$1,),1))</f>
        <v>Canal_07</v>
      </c>
      <c r="M11" s="424" t="str">
        <f>'Конфигурация TREI'!A12</f>
        <v>BR10</v>
      </c>
      <c r="N11" s="424" t="str">
        <f>'Конфигурация TREI'!B12</f>
        <v>M558O</v>
      </c>
      <c r="AE11" s="431">
        <f>Настройки!P11</f>
        <v>10</v>
      </c>
      <c r="AF11" s="380">
        <f>Настройки!Q11</f>
        <v>0</v>
      </c>
      <c r="AG11" s="380" t="str">
        <f>Настройки!R11</f>
        <v>IDIG_5_2</v>
      </c>
      <c r="AH11" s="380" t="str">
        <f>Настройки!S11</f>
        <v>IANS_5_4</v>
      </c>
      <c r="AI11" s="380" t="str">
        <f>Настройки!T11</f>
        <v>out9</v>
      </c>
      <c r="AJ11" s="380" t="str">
        <f>Настройки!U11</f>
        <v>out9</v>
      </c>
      <c r="AK11" s="380" t="str">
        <f>Настройки!V11</f>
        <v>ODIG_10</v>
      </c>
      <c r="AL11" s="380" t="str">
        <f>Настройки!W11</f>
        <v>-</v>
      </c>
      <c r="AM11" s="380" t="str">
        <f>Настройки!X11</f>
        <v>-</v>
      </c>
      <c r="AN11" s="380" t="str">
        <f>Настройки!Y11</f>
        <v>Canal_10</v>
      </c>
      <c r="AO11" s="380" t="str">
        <f>Настройки!Z11</f>
        <v>-</v>
      </c>
      <c r="AP11" s="380" t="str">
        <f>Настройки!AA11</f>
        <v>Canal_10</v>
      </c>
      <c r="AQ11" s="380" t="str">
        <f>Настройки!AB11</f>
        <v>Canal_10</v>
      </c>
      <c r="AR11" s="380" t="str">
        <f>Настройки!AC11</f>
        <v>OCCH[1]</v>
      </c>
      <c r="AS11" s="380" t="str">
        <f>Настройки!AD11</f>
        <v>OCCH[1]</v>
      </c>
      <c r="AT11" s="207" t="str">
        <f>Настройки!AB11</f>
        <v>Canal_10</v>
      </c>
      <c r="AU11" s="207" t="str">
        <f>Настройки!AC11</f>
        <v>OCCH[1]</v>
      </c>
      <c r="AV11" s="207" t="str">
        <f>Настройки!AD11</f>
        <v>OCCH[1]</v>
      </c>
      <c r="AW11" s="207" t="str">
        <f>Настройки!AE11</f>
        <v>IANS_5_2</v>
      </c>
      <c r="AX11" s="207" t="str">
        <f>Настройки!AF11</f>
        <v>IDIG_3_2</v>
      </c>
      <c r="AY11" s="207" t="str">
        <f>Настройки!AG11</f>
        <v>Canal_10</v>
      </c>
      <c r="AZ11" s="207" t="str">
        <f>Настройки!AH11</f>
        <v>Canal_10</v>
      </c>
      <c r="BA11" s="207" t="str">
        <f>Настройки!AI11</f>
        <v>Canal_10</v>
      </c>
      <c r="BB11" s="207" t="str">
        <f>Настройки!AJ11</f>
        <v>Canal_10</v>
      </c>
      <c r="BC11" s="207" t="str">
        <f>Настройки!AK11</f>
        <v>-</v>
      </c>
      <c r="BD11" s="207" t="str">
        <f>Настройки!AL11</f>
        <v>Canal_10</v>
      </c>
      <c r="BE11" s="207" t="str">
        <f>Настройки!AM11</f>
        <v>-</v>
      </c>
    </row>
    <row r="12" spans="1:57">
      <c r="A12" s="448" t="str">
        <f>SUBSTITUTE($P$2,"\","|")&amp;"|"&amp; $T$1 &amp;":="&amp;IF(LEFT(SUBSTITUTE($T$2," ",""),1)="!","NOT  ","")</f>
        <v>S_IM_ADES|IOFX:=</v>
      </c>
      <c r="B12" s="448" t="str">
        <f t="shared" ref="B12:B18" ca="1" si="3">IF(LEFT(E12,3)="out","INT_TO_BIT_BR","BR")</f>
        <v>BR</v>
      </c>
      <c r="C12" s="446" t="str">
        <f>LEFT($T$3,FIND("+",$T$3,1)-1)</f>
        <v>1</v>
      </c>
      <c r="D12" s="446" t="s">
        <v>178</v>
      </c>
      <c r="E12" s="446" t="str">
        <f ca="1">IF($T$2=0,"УДАЛИТЬ",IFERROR(IF(OR($I12="-",$H12="0"),"КАНАЛ ОТСУТСТВУЕТ",IF($I12=0,"МОДУЛЬ ОТСУТСТВУЕТ",$I12)),"ОШИБКА ФОРМАТА"))</f>
        <v>Canal_08</v>
      </c>
      <c r="F12" s="446" t="s">
        <v>845</v>
      </c>
      <c r="G12" s="447" t="str">
        <f t="shared" si="1"/>
        <v>M558D</v>
      </c>
      <c r="H12" s="447" t="str">
        <f>RIGHT(T$3,LEN(T$3)-FIND("+",T$3,1))</f>
        <v>8</v>
      </c>
      <c r="I12" s="460" t="str">
        <f t="shared" ca="1" si="2"/>
        <v>Canal_08</v>
      </c>
      <c r="M12" s="424" t="str">
        <f>'Конфигурация TREI'!A13</f>
        <v>BR11</v>
      </c>
      <c r="N12" s="424" t="str">
        <f>'Конфигурация TREI'!B13</f>
        <v>M558D</v>
      </c>
      <c r="AE12" s="431">
        <f>Настройки!P12</f>
        <v>11</v>
      </c>
      <c r="AF12" s="380">
        <f>Настройки!Q12</f>
        <v>0</v>
      </c>
      <c r="AG12" s="380" t="str">
        <f>Настройки!R12</f>
        <v>IDIG_6_1</v>
      </c>
      <c r="AH12" s="380" t="str">
        <f>Настройки!S12</f>
        <v>IANS_6_3</v>
      </c>
      <c r="AI12" s="380" t="str">
        <f>Настройки!T12</f>
        <v>out10</v>
      </c>
      <c r="AJ12" s="380" t="str">
        <f>Настройки!U12</f>
        <v>out10</v>
      </c>
      <c r="AK12" s="380" t="str">
        <f>Настройки!V12</f>
        <v>ODIG_11</v>
      </c>
      <c r="AL12" s="380" t="str">
        <f>Настройки!W12</f>
        <v>-</v>
      </c>
      <c r="AM12" s="380" t="str">
        <f>Настройки!X12</f>
        <v>-</v>
      </c>
      <c r="AN12" s="380" t="str">
        <f>Настройки!Y12</f>
        <v>Canal_11</v>
      </c>
      <c r="AO12" s="380" t="str">
        <f>Настройки!Z12</f>
        <v>-</v>
      </c>
      <c r="AP12" s="380" t="str">
        <f>Настройки!AA12</f>
        <v>Canal_11</v>
      </c>
      <c r="AQ12" s="380" t="str">
        <f>Настройки!AB12</f>
        <v>Canal_11</v>
      </c>
      <c r="AR12" s="380" t="str">
        <f>Настройки!AC12</f>
        <v>OCCH[2]</v>
      </c>
      <c r="AS12" s="380" t="str">
        <f>Настройки!AD12</f>
        <v>OCCH[2]</v>
      </c>
      <c r="AT12" s="207" t="str">
        <f>Настройки!AB12</f>
        <v>Canal_11</v>
      </c>
      <c r="AU12" s="207" t="str">
        <f>Настройки!AC12</f>
        <v>OCCH[2]</v>
      </c>
      <c r="AV12" s="207" t="str">
        <f>Настройки!AD12</f>
        <v>OCCH[2]</v>
      </c>
      <c r="AW12" s="207" t="str">
        <f>Настройки!AE12</f>
        <v>IANS_6_1</v>
      </c>
      <c r="AX12" s="207" t="str">
        <f>Настройки!AF12</f>
        <v>IDIG_3_3</v>
      </c>
      <c r="AY12" s="207" t="str">
        <f>Настройки!AG12</f>
        <v>Canal_11</v>
      </c>
      <c r="AZ12" s="207" t="str">
        <f>Настройки!AH12</f>
        <v>Canal_11</v>
      </c>
      <c r="BA12" s="207" t="str">
        <f>Настройки!AI12</f>
        <v>Canal_11</v>
      </c>
      <c r="BB12" s="207" t="str">
        <f>Настройки!AJ12</f>
        <v>Canal_11</v>
      </c>
      <c r="BC12" s="207" t="str">
        <f>Настройки!AK12</f>
        <v>-</v>
      </c>
      <c r="BD12" s="207" t="str">
        <f>Настройки!AL12</f>
        <v>Canal_11</v>
      </c>
      <c r="BE12" s="207" t="str">
        <f>Настройки!AM12</f>
        <v>-</v>
      </c>
    </row>
    <row r="13" spans="1:57">
      <c r="A13" s="448" t="str">
        <f>SUBSTITUTE($P$2,"\","|")&amp;"|"&amp; $U$1 &amp;":="&amp;IF(LEFT(SUBSTITUTE($U$2," ",""),1)="!","NOT  ","")</f>
        <v>S_IM_ADES|ILCX:=</v>
      </c>
      <c r="B13" s="448" t="str">
        <f t="shared" ca="1" si="3"/>
        <v>BR</v>
      </c>
      <c r="C13" s="446" t="str">
        <f>LEFT($U$3,FIND("+",$U$3,1)-1)</f>
        <v>1</v>
      </c>
      <c r="D13" s="446" t="s">
        <v>178</v>
      </c>
      <c r="E13" s="446" t="str">
        <f ca="1">IF($U$2=0,"УДАЛИТЬ",IFERROR(IF(OR($I13="-",$H13="0"),"КАНАЛ ОТСУТСТВУЕТ",IF($I13=0,"МОДУЛЬ ОТСУТСТВУЕТ",$I13)),"ОШИБКА ФОРМАТА"))</f>
        <v>Canal_09</v>
      </c>
      <c r="F13" s="446" t="s">
        <v>845</v>
      </c>
      <c r="G13" s="447" t="str">
        <f t="shared" si="1"/>
        <v>M558D</v>
      </c>
      <c r="H13" s="447" t="str">
        <f>RIGHT($U$3,LEN($U$3)-FIND("+",$U$3,1))</f>
        <v>9</v>
      </c>
      <c r="I13" s="460" t="str">
        <f t="shared" ca="1" si="2"/>
        <v>Canal_09</v>
      </c>
      <c r="M13" s="424" t="str">
        <f>'Конфигурация TREI'!A14</f>
        <v>BR12</v>
      </c>
      <c r="N13" s="424" t="str">
        <f>'Конфигурация TREI'!B14</f>
        <v>M558D</v>
      </c>
      <c r="AE13" s="431">
        <f>Настройки!P13</f>
        <v>12</v>
      </c>
      <c r="AF13" s="380">
        <f>Настройки!Q13</f>
        <v>0</v>
      </c>
      <c r="AG13" s="380" t="str">
        <f>Настройки!R13</f>
        <v>IDIG_6_2</v>
      </c>
      <c r="AH13" s="380" t="str">
        <f>Настройки!S13</f>
        <v>IANS_6_4</v>
      </c>
      <c r="AI13" s="380" t="str">
        <f>Настройки!T13</f>
        <v>out11</v>
      </c>
      <c r="AJ13" s="380" t="str">
        <f>Настройки!U13</f>
        <v>out11</v>
      </c>
      <c r="AK13" s="380" t="str">
        <f>Настройки!V13</f>
        <v>ODIG_12</v>
      </c>
      <c r="AL13" s="380" t="str">
        <f>Настройки!W13</f>
        <v>-</v>
      </c>
      <c r="AM13" s="380" t="str">
        <f>Настройки!X13</f>
        <v>-</v>
      </c>
      <c r="AN13" s="380" t="str">
        <f>Настройки!Y13</f>
        <v>Canal_12</v>
      </c>
      <c r="AO13" s="380" t="str">
        <f>Настройки!Z13</f>
        <v>-</v>
      </c>
      <c r="AP13" s="380" t="str">
        <f>Настройки!AA13</f>
        <v>Canal_12</v>
      </c>
      <c r="AQ13" s="380" t="str">
        <f>Настройки!AB13</f>
        <v>Canal_12</v>
      </c>
      <c r="AR13" s="380" t="str">
        <f>Настройки!AC13</f>
        <v>OCCH[3]</v>
      </c>
      <c r="AS13" s="380" t="str">
        <f>Настройки!AD13</f>
        <v>OCCH[3]</v>
      </c>
      <c r="AT13" s="207" t="str">
        <f>Настройки!AB13</f>
        <v>Canal_12</v>
      </c>
      <c r="AU13" s="207" t="str">
        <f>Настройки!AC13</f>
        <v>OCCH[3]</v>
      </c>
      <c r="AV13" s="207" t="str">
        <f>Настройки!AD13</f>
        <v>OCCH[3]</v>
      </c>
      <c r="AW13" s="207" t="str">
        <f>Настройки!AE13</f>
        <v>IANS_6_2</v>
      </c>
      <c r="AX13" s="207" t="str">
        <f>Настройки!AF13</f>
        <v>IDIG_3_4</v>
      </c>
      <c r="AY13" s="207" t="str">
        <f>Настройки!AG13</f>
        <v>Canal_12</v>
      </c>
      <c r="AZ13" s="207" t="str">
        <f>Настройки!AH13</f>
        <v>Canal_12</v>
      </c>
      <c r="BA13" s="207" t="str">
        <f>Настройки!AI13</f>
        <v>Canal_12</v>
      </c>
      <c r="BB13" s="207" t="str">
        <f>Настройки!AJ13</f>
        <v>Canal_12</v>
      </c>
      <c r="BC13" s="207" t="str">
        <f>Настройки!AK13</f>
        <v>-</v>
      </c>
      <c r="BD13" s="207" t="str">
        <f>Настройки!AL13</f>
        <v>Canal_12</v>
      </c>
      <c r="BE13" s="207" t="str">
        <f>Настройки!AM13</f>
        <v>-</v>
      </c>
    </row>
    <row r="14" spans="1:57">
      <c r="A14" s="448" t="str">
        <f>SUBSTITUTE($P$2,"\","|")&amp;"|"&amp; $V$1 &amp;":="&amp;IF(LEFT(SUBSTITUTE($V$2," ",""),1)="!","NOT  ","")</f>
        <v>S_IM_ADES|IRCX:=</v>
      </c>
      <c r="B14" s="448" t="str">
        <f t="shared" ca="1" si="3"/>
        <v>BR</v>
      </c>
      <c r="C14" s="446" t="str">
        <f>LEFT($V$3,FIND("+",$V$3,1)-1)</f>
        <v>1</v>
      </c>
      <c r="D14" s="446" t="s">
        <v>178</v>
      </c>
      <c r="E14" s="446" t="str">
        <f ca="1">IF($V$2=0,"УДАЛИТЬ",IFERROR(IF(OR($I14="-",$H14="0"),"КАНАЛ ОТСУТСТВУЕТ",IF($I14=0,"МОДУЛЬ ОТСУТСТВУЕТ",$I14)),"ОШИБКА ФОРМАТА"))</f>
        <v>Canal_10</v>
      </c>
      <c r="F14" s="446" t="s">
        <v>845</v>
      </c>
      <c r="G14" s="447" t="str">
        <f t="shared" si="1"/>
        <v>M558D</v>
      </c>
      <c r="H14" s="447" t="str">
        <f>RIGHT($V$3,LEN($V$3)-FIND("+",$V$3,1))</f>
        <v>10</v>
      </c>
      <c r="I14" s="460" t="str">
        <f t="shared" ca="1" si="2"/>
        <v>Canal_10</v>
      </c>
      <c r="M14" s="424" t="str">
        <f>'Конфигурация TREI'!A15</f>
        <v>BR13</v>
      </c>
      <c r="N14" s="424" t="str">
        <f>'Конфигурация TREI'!B15</f>
        <v>M558D</v>
      </c>
      <c r="AE14" s="431">
        <f>Настройки!P14</f>
        <v>13</v>
      </c>
      <c r="AF14" s="380">
        <f>Настройки!Q14</f>
        <v>0</v>
      </c>
      <c r="AG14" s="380" t="str">
        <f>Настройки!R14</f>
        <v>IDIG_7_1</v>
      </c>
      <c r="AH14" s="380" t="str">
        <f>Настройки!S14</f>
        <v>IANS_7_3</v>
      </c>
      <c r="AI14" s="380" t="str">
        <f>Настройки!T14</f>
        <v>out12</v>
      </c>
      <c r="AJ14" s="380" t="str">
        <f>Настройки!U14</f>
        <v>out12</v>
      </c>
      <c r="AK14" s="380" t="str">
        <f>Настройки!V14</f>
        <v>ODIG_13</v>
      </c>
      <c r="AL14" s="380" t="str">
        <f>Настройки!W14</f>
        <v>-</v>
      </c>
      <c r="AM14" s="380" t="str">
        <f>Настройки!X14</f>
        <v>-</v>
      </c>
      <c r="AN14" s="380" t="str">
        <f>Настройки!Y14</f>
        <v>Canal_13</v>
      </c>
      <c r="AO14" s="380" t="str">
        <f>Настройки!Z14</f>
        <v>-</v>
      </c>
      <c r="AP14" s="380" t="str">
        <f>Настройки!AA14</f>
        <v>Canal_13</v>
      </c>
      <c r="AQ14" s="380" t="str">
        <f>Настройки!AB14</f>
        <v>Canal_13</v>
      </c>
      <c r="AR14" s="380" t="str">
        <f>Настройки!AC14</f>
        <v>OCCH[4]</v>
      </c>
      <c r="AS14" s="380" t="str">
        <f>Настройки!AD14</f>
        <v>OCCH[4]</v>
      </c>
      <c r="AT14" s="207" t="str">
        <f>Настройки!AB14</f>
        <v>Canal_13</v>
      </c>
      <c r="AU14" s="207" t="str">
        <f>Настройки!AC14</f>
        <v>OCCH[4]</v>
      </c>
      <c r="AV14" s="207" t="str">
        <f>Настройки!AD14</f>
        <v>OCCH[4]</v>
      </c>
      <c r="AW14" s="207" t="str">
        <f>Настройки!AE14</f>
        <v>IANS_7_1</v>
      </c>
      <c r="AX14" s="207" t="str">
        <f>Настройки!AF14</f>
        <v>IDIG_4_1</v>
      </c>
      <c r="AY14" s="207" t="str">
        <f>Настройки!AG14</f>
        <v>Canal_13</v>
      </c>
      <c r="AZ14" s="207" t="str">
        <f>Настройки!AH14</f>
        <v>Canal_13</v>
      </c>
      <c r="BA14" s="207" t="str">
        <f>Настройки!AI14</f>
        <v>Canal_13</v>
      </c>
      <c r="BB14" s="207" t="str">
        <f>Настройки!AJ14</f>
        <v>Canal_13</v>
      </c>
      <c r="BC14" s="207" t="str">
        <f>Настройки!AK14</f>
        <v>-</v>
      </c>
      <c r="BD14" s="207" t="str">
        <f>Настройки!AL14</f>
        <v>Canal_13</v>
      </c>
      <c r="BE14" s="207" t="str">
        <f>Настройки!AM14</f>
        <v>-</v>
      </c>
    </row>
    <row r="15" spans="1:57">
      <c r="A15" s="448" t="str">
        <f>SUBSTITUTE($P$2,"\","|")&amp;"|"&amp; $W$1 &amp;":="&amp;IF(LEFT(SUBSTITUTE($W$2," ",""),1)="!","NOT  ","")</f>
        <v>S_IM_ADES|IFXX:=</v>
      </c>
      <c r="B15" s="448" t="str">
        <f t="shared" ca="1" si="3"/>
        <v>BR</v>
      </c>
      <c r="C15" s="446" t="str">
        <f>LEFT($W$3,FIND("+",$W$3,1)-1)</f>
        <v>1</v>
      </c>
      <c r="D15" s="446" t="s">
        <v>178</v>
      </c>
      <c r="E15" s="446" t="str">
        <f ca="1">IF($W$2=0,"УДАЛИТЬ",IFERROR(IF(OR($I15="-",$H15="0"),"КАНАЛ ОТСУТСТВУЕТ",IF($I15=0,"МОДУЛЬ ОТСУТСТВУЕТ",$I15)),"ОШИБКА ФОРМАТА"))</f>
        <v>Canal_11</v>
      </c>
      <c r="F15" s="446" t="s">
        <v>845</v>
      </c>
      <c r="G15" s="447" t="str">
        <f t="shared" si="1"/>
        <v>M558D</v>
      </c>
      <c r="H15" s="447" t="str">
        <f>RIGHT($W$3,LEN($W$3)-FIND("+",$W$3,1))</f>
        <v>11</v>
      </c>
      <c r="I15" s="460" t="str">
        <f t="shared" ca="1" si="2"/>
        <v>Canal_11</v>
      </c>
      <c r="M15" s="424" t="str">
        <f>'Конфигурация TREI'!A16</f>
        <v>BR14</v>
      </c>
      <c r="N15" s="424" t="str">
        <f>'Конфигурация TREI'!B16</f>
        <v>M558D</v>
      </c>
      <c r="AE15" s="431">
        <f>Настройки!P15</f>
        <v>14</v>
      </c>
      <c r="AF15" s="380">
        <f>Настройки!Q15</f>
        <v>0</v>
      </c>
      <c r="AG15" s="380" t="str">
        <f>Настройки!R15</f>
        <v>IDIG_7_2</v>
      </c>
      <c r="AH15" s="380" t="str">
        <f>Настройки!S15</f>
        <v>IANS_7_4</v>
      </c>
      <c r="AI15" s="380" t="str">
        <f>Настройки!T15</f>
        <v>out13</v>
      </c>
      <c r="AJ15" s="380" t="str">
        <f>Настройки!U15</f>
        <v>out13</v>
      </c>
      <c r="AK15" s="380" t="str">
        <f>Настройки!V15</f>
        <v>ODIG_14</v>
      </c>
      <c r="AL15" s="380" t="str">
        <f>Настройки!W15</f>
        <v>-</v>
      </c>
      <c r="AM15" s="380" t="str">
        <f>Настройки!X15</f>
        <v>-</v>
      </c>
      <c r="AN15" s="380" t="str">
        <f>Настройки!Y15</f>
        <v>Canal_14</v>
      </c>
      <c r="AO15" s="380" t="str">
        <f>Настройки!Z15</f>
        <v>-</v>
      </c>
      <c r="AP15" s="380" t="str">
        <f>Настройки!AA15</f>
        <v>Canal_14</v>
      </c>
      <c r="AQ15" s="380" t="str">
        <f>Настройки!AB15</f>
        <v>Canal_14</v>
      </c>
      <c r="AR15" s="380" t="str">
        <f>Настройки!AC15</f>
        <v>OCCH[5]</v>
      </c>
      <c r="AS15" s="380" t="str">
        <f>Настройки!AD15</f>
        <v>OCCH[5]</v>
      </c>
      <c r="AT15" s="207" t="str">
        <f>Настройки!AB15</f>
        <v>Canal_14</v>
      </c>
      <c r="AU15" s="207" t="str">
        <f>Настройки!AC15</f>
        <v>OCCH[5]</v>
      </c>
      <c r="AV15" s="207" t="str">
        <f>Настройки!AD15</f>
        <v>OCCH[5]</v>
      </c>
      <c r="AW15" s="207" t="str">
        <f>Настройки!AE15</f>
        <v>IANS_7_2</v>
      </c>
      <c r="AX15" s="207" t="str">
        <f>Настройки!AF15</f>
        <v>IDIG_4_2</v>
      </c>
      <c r="AY15" s="207" t="str">
        <f>Настройки!AG15</f>
        <v>Canal_14</v>
      </c>
      <c r="AZ15" s="207" t="str">
        <f>Настройки!AH15</f>
        <v>Canal_14</v>
      </c>
      <c r="BA15" s="207" t="str">
        <f>Настройки!AI15</f>
        <v>Canal_14</v>
      </c>
      <c r="BB15" s="207" t="str">
        <f>Настройки!AJ15</f>
        <v>Canal_14</v>
      </c>
      <c r="BC15" s="207" t="str">
        <f>Настройки!AK15</f>
        <v>-</v>
      </c>
      <c r="BD15" s="207" t="str">
        <f>Настройки!AL15</f>
        <v>Canal_14</v>
      </c>
      <c r="BE15" s="207" t="str">
        <f>Настройки!AM15</f>
        <v>-</v>
      </c>
    </row>
    <row r="16" spans="1:57">
      <c r="A16" s="448" t="str">
        <f>SUBSTITUTE($P$2,"\","|")&amp;"|"&amp; $AA$1 &amp;":="&amp;IF(LEFT(SUBSTITUTE($AA$2," ",""),1)="!","NOT  ","")</f>
        <v>S_IM_ADES|IOLD:=</v>
      </c>
      <c r="B16" s="448" t="str">
        <f t="shared" ca="1" si="3"/>
        <v>BR</v>
      </c>
      <c r="C16" s="446" t="str">
        <f>LEFT($AA$3,FIND("+",$AA$3,1)-1)</f>
        <v>1</v>
      </c>
      <c r="D16" s="446" t="s">
        <v>178</v>
      </c>
      <c r="E16" s="446" t="str">
        <f ca="1">IF($AA$2=0,"УДАЛИТЬ",IFERROR(IF(OR($I16="-",$H16="0"),"КАНАЛ ОТСУТСТВУЕТ",IF($I16=0,"МОДУЛЬ ОТСУТСТВУЕТ",$I16)),"ОШИБКА ФОРМАТА"))</f>
        <v>Canal_12</v>
      </c>
      <c r="F16" s="446" t="s">
        <v>845</v>
      </c>
      <c r="G16" s="447" t="str">
        <f t="shared" si="1"/>
        <v>M558D</v>
      </c>
      <c r="H16" s="447" t="str">
        <f>RIGHT($AA$3,LEN($AA$3)-FIND("+",$AA$3,1))</f>
        <v>12</v>
      </c>
      <c r="I16" s="460" t="str">
        <f t="shared" ca="1" si="2"/>
        <v>Canal_12</v>
      </c>
      <c r="M16" s="424" t="str">
        <f>'Конфигурация TREI'!A17</f>
        <v>BR15</v>
      </c>
      <c r="N16" s="424" t="str">
        <f>'Конфигурация TREI'!B17</f>
        <v>M558O</v>
      </c>
      <c r="AE16" s="431">
        <f>Настройки!P16</f>
        <v>15</v>
      </c>
      <c r="AF16" s="380">
        <f>Настройки!Q16</f>
        <v>0</v>
      </c>
      <c r="AG16" s="380" t="str">
        <f>Настройки!R16</f>
        <v>IDIG_8_1</v>
      </c>
      <c r="AH16" s="380" t="str">
        <f>Настройки!S16</f>
        <v>IANS_8_3</v>
      </c>
      <c r="AI16" s="380" t="str">
        <f>Настройки!T16</f>
        <v>out14</v>
      </c>
      <c r="AJ16" s="380" t="str">
        <f>Настройки!U16</f>
        <v>out14</v>
      </c>
      <c r="AK16" s="380" t="str">
        <f>Настройки!V16</f>
        <v>ODIG_15</v>
      </c>
      <c r="AL16" s="380" t="str">
        <f>Настройки!W16</f>
        <v>-</v>
      </c>
      <c r="AM16" s="380" t="str">
        <f>Настройки!X16</f>
        <v>-</v>
      </c>
      <c r="AN16" s="380" t="str">
        <f>Настройки!Y16</f>
        <v>Canal_15</v>
      </c>
      <c r="AO16" s="380" t="str">
        <f>Настройки!Z16</f>
        <v>-</v>
      </c>
      <c r="AP16" s="380" t="str">
        <f>Настройки!AA16</f>
        <v>Canal_15</v>
      </c>
      <c r="AQ16" s="380" t="str">
        <f>Настройки!AB16</f>
        <v>Canal_15</v>
      </c>
      <c r="AR16" s="380" t="str">
        <f>Настройки!AC16</f>
        <v>OCCH[6]</v>
      </c>
      <c r="AS16" s="380" t="str">
        <f>Настройки!AD16</f>
        <v>OCCH[6]</v>
      </c>
      <c r="AT16" s="207" t="str">
        <f>Настройки!AB16</f>
        <v>Canal_15</v>
      </c>
      <c r="AU16" s="207" t="str">
        <f>Настройки!AC16</f>
        <v>OCCH[6]</v>
      </c>
      <c r="AV16" s="207" t="str">
        <f>Настройки!AD16</f>
        <v>OCCH[6]</v>
      </c>
      <c r="AW16" s="207" t="str">
        <f>Настройки!AE16</f>
        <v>IANS_8_1</v>
      </c>
      <c r="AX16" s="207" t="str">
        <f>Настройки!AF16</f>
        <v>IDIG_4_3</v>
      </c>
      <c r="AY16" s="207" t="str">
        <f>Настройки!AG16</f>
        <v>Canal_15</v>
      </c>
      <c r="AZ16" s="207" t="str">
        <f>Настройки!AH16</f>
        <v>Canal_15</v>
      </c>
      <c r="BA16" s="207" t="str">
        <f>Настройки!AI16</f>
        <v>Canal_15</v>
      </c>
      <c r="BB16" s="207" t="str">
        <f>Настройки!AJ16</f>
        <v>Canal_15</v>
      </c>
      <c r="BC16" s="207" t="str">
        <f>Настройки!AK16</f>
        <v>-</v>
      </c>
      <c r="BD16" s="207" t="str">
        <f>Настройки!AL16</f>
        <v>Canal_15</v>
      </c>
      <c r="BE16" s="207" t="str">
        <f>Настройки!AM16</f>
        <v>-</v>
      </c>
    </row>
    <row r="17" spans="1:57">
      <c r="A17" s="448" t="str">
        <f>SUBSTITUTE($P$2,"\","|")&amp;"|"&amp; $AB$1 &amp;":="&amp;IF(LEFT(SUBSTITUTE($AB$2," ",""),1)="!","NOT  ","")</f>
        <v>S_IM_ADES|IRAD:=</v>
      </c>
      <c r="B17" s="448" t="str">
        <f t="shared" ca="1" si="3"/>
        <v>BR</v>
      </c>
      <c r="C17" s="446" t="str">
        <f>LEFT($AB$3,FIND("+",$AB$3,1)-1)</f>
        <v>1</v>
      </c>
      <c r="D17" s="446" t="s">
        <v>178</v>
      </c>
      <c r="E17" s="446" t="str">
        <f ca="1">IF($AB$2=0,"УДАЛИТЬ",IFERROR(IF(OR($I17="-",$H17="0"),"КАНАЛ ОТСУТСТВУЕТ",IF($I17=0,"МОДУЛЬ ОТСУТСТВУЕТ",$I17)),"ОШИБКА ФОРМАТА"))</f>
        <v>Canal_13</v>
      </c>
      <c r="F17" s="446" t="s">
        <v>845</v>
      </c>
      <c r="G17" s="447" t="str">
        <f t="shared" si="1"/>
        <v>M558D</v>
      </c>
      <c r="H17" s="447" t="str">
        <f>RIGHT($AB$3,LEN($AB$3)-FIND("+",$AB$3,1))</f>
        <v>13</v>
      </c>
      <c r="I17" s="460" t="str">
        <f t="shared" ca="1" si="2"/>
        <v>Canal_13</v>
      </c>
      <c r="M17" s="424" t="str">
        <f>'Конфигурация TREI'!A18</f>
        <v>BR16</v>
      </c>
      <c r="N17" s="424" t="str">
        <f>'Конфигурация TREI'!B18</f>
        <v>M558O</v>
      </c>
      <c r="AE17" s="431">
        <f>Настройки!P17</f>
        <v>16</v>
      </c>
      <c r="AF17" s="380">
        <f>Настройки!Q17</f>
        <v>0</v>
      </c>
      <c r="AG17" s="380" t="str">
        <f>Настройки!R17</f>
        <v>IDIG_8_2</v>
      </c>
      <c r="AH17" s="380" t="str">
        <f>Настройки!S17</f>
        <v>IANS_8_4</v>
      </c>
      <c r="AI17" s="380" t="str">
        <f>Настройки!T17</f>
        <v>out15</v>
      </c>
      <c r="AJ17" s="380" t="str">
        <f>Настройки!U17</f>
        <v>out15</v>
      </c>
      <c r="AK17" s="380" t="str">
        <f>Настройки!V17</f>
        <v>ODIG_16</v>
      </c>
      <c r="AL17" s="380" t="str">
        <f>Настройки!W17</f>
        <v>-</v>
      </c>
      <c r="AM17" s="380" t="str">
        <f>Настройки!X17</f>
        <v>-</v>
      </c>
      <c r="AN17" s="380" t="str">
        <f>Настройки!Y17</f>
        <v>Canal_16</v>
      </c>
      <c r="AO17" s="380" t="str">
        <f>Настройки!Z17</f>
        <v>-</v>
      </c>
      <c r="AP17" s="380" t="str">
        <f>Настройки!AA17</f>
        <v>Canal_16</v>
      </c>
      <c r="AQ17" s="380" t="str">
        <f>Настройки!AB17</f>
        <v>Canal_16</v>
      </c>
      <c r="AR17" s="380" t="str">
        <f>Настройки!AC17</f>
        <v>OCCH[7]</v>
      </c>
      <c r="AS17" s="380" t="str">
        <f>Настройки!AD17</f>
        <v>OCCH[7]</v>
      </c>
      <c r="AT17" s="207" t="str">
        <f>Настройки!AB17</f>
        <v>Canal_16</v>
      </c>
      <c r="AU17" s="207" t="str">
        <f>Настройки!AC17</f>
        <v>OCCH[7]</v>
      </c>
      <c r="AV17" s="207" t="str">
        <f>Настройки!AD17</f>
        <v>OCCH[7]</v>
      </c>
      <c r="AW17" s="207" t="str">
        <f>Настройки!AE17</f>
        <v>IANS_8_2</v>
      </c>
      <c r="AX17" s="207" t="str">
        <f>Настройки!AF17</f>
        <v>IDIG_4_4</v>
      </c>
      <c r="AY17" s="207" t="str">
        <f>Настройки!AG17</f>
        <v>Canal_16</v>
      </c>
      <c r="AZ17" s="207" t="str">
        <f>Настройки!AH17</f>
        <v>Canal_16</v>
      </c>
      <c r="BA17" s="207" t="str">
        <f>Настройки!AI17</f>
        <v>Canal_16</v>
      </c>
      <c r="BB17" s="207" t="str">
        <f>Настройки!AJ17</f>
        <v>Canal_16</v>
      </c>
      <c r="BC17" s="207" t="str">
        <f>Настройки!AK17</f>
        <v>-</v>
      </c>
      <c r="BD17" s="207" t="str">
        <f>Настройки!AL17</f>
        <v>Canal_16</v>
      </c>
      <c r="BE17" s="207" t="str">
        <f>Настройки!AM17</f>
        <v>-</v>
      </c>
    </row>
    <row r="18" spans="1:57">
      <c r="A18" s="448" t="str">
        <f>SUBSTITUTE($P$2,"\","|")&amp;"|"&amp; $AC$1 &amp;":="&amp;IF(LEFT(SUBSTITUTE($AC$2," ",""),1)="!","NOT  ","")</f>
        <v>S_IM_ADES|IPTO:=</v>
      </c>
      <c r="B18" s="448" t="str">
        <f t="shared" ca="1" si="3"/>
        <v>BR</v>
      </c>
      <c r="C18" s="446" t="str">
        <f>LEFT($AC$3,FIND("+",$AC$3,1)-1)</f>
        <v>1</v>
      </c>
      <c r="D18" s="446" t="s">
        <v>178</v>
      </c>
      <c r="E18" s="446" t="str">
        <f ca="1">IF($AC$2=0,"УДАЛИТЬ",IFERROR(IF(OR($I18="-",$H18="0"),"КАНАЛ ОТСУТСТВУЕТ",IF($I18=0,"МОДУЛЬ ОТСУТСТВУЕТ",$I18)),"ОШИБКА ФОРМАТА"))</f>
        <v>Canal_14</v>
      </c>
      <c r="F18" s="446" t="s">
        <v>845</v>
      </c>
      <c r="G18" s="447" t="str">
        <f t="shared" si="1"/>
        <v>M558D</v>
      </c>
      <c r="H18" s="447" t="str">
        <f>RIGHT($AC$3,LEN($AC$3)-FIND("+",$AC$3,1))</f>
        <v>14</v>
      </c>
      <c r="I18" s="460" t="str">
        <f t="shared" ca="1" si="2"/>
        <v>Canal_14</v>
      </c>
      <c r="M18" s="424" t="str">
        <f>'Конфигурация TREI'!A19</f>
        <v>BR17</v>
      </c>
      <c r="N18" s="424" t="str">
        <f>'Конфигурация TREI'!B19</f>
        <v>M558O</v>
      </c>
      <c r="AE18" s="428">
        <f>Настройки!P18</f>
        <v>17</v>
      </c>
      <c r="AF18" s="380">
        <f>Настройки!Q18</f>
        <v>0</v>
      </c>
      <c r="AG18" s="380" t="str">
        <f>Настройки!R18</f>
        <v>-</v>
      </c>
      <c r="AH18" s="380" t="str">
        <f>Настройки!S18</f>
        <v>-</v>
      </c>
      <c r="AI18" s="380" t="str">
        <f>Настройки!T18</f>
        <v>out16</v>
      </c>
      <c r="AJ18" s="380" t="str">
        <f>Настройки!U18</f>
        <v>out16</v>
      </c>
      <c r="AK18" s="380" t="str">
        <f>Настройки!V18</f>
        <v>-</v>
      </c>
      <c r="AL18" s="380" t="str">
        <f>Настройки!W18</f>
        <v>-</v>
      </c>
      <c r="AM18" s="380" t="str">
        <f>Настройки!X18</f>
        <v>-</v>
      </c>
      <c r="AN18" s="380" t="str">
        <f>Настройки!Y18</f>
        <v>-</v>
      </c>
      <c r="AO18" s="380" t="str">
        <f>Настройки!Z18</f>
        <v>-</v>
      </c>
      <c r="AP18" s="380" t="str">
        <f>Настройки!AA18</f>
        <v>Canal_17</v>
      </c>
      <c r="AQ18" s="380" t="str">
        <f>Настройки!AB18</f>
        <v>Canal_17</v>
      </c>
      <c r="AR18" s="380" t="str">
        <f>Настройки!AC18</f>
        <v>-</v>
      </c>
      <c r="AS18" s="380" t="str">
        <f>Настройки!AD18</f>
        <v>-</v>
      </c>
      <c r="AT18" s="207" t="str">
        <f>Настройки!AB18</f>
        <v>Canal_17</v>
      </c>
      <c r="AU18" s="207" t="str">
        <f>Настройки!AC18</f>
        <v>-</v>
      </c>
      <c r="AV18" s="207" t="str">
        <f>Настройки!AD18</f>
        <v>-</v>
      </c>
      <c r="AW18" s="207" t="str">
        <f>Настройки!AE18</f>
        <v>-</v>
      </c>
      <c r="AX18" s="207" t="str">
        <f>Настройки!AF18</f>
        <v>IDIG_5_1</v>
      </c>
      <c r="AY18" s="207" t="str">
        <f>Настройки!AG18</f>
        <v>Canal_17</v>
      </c>
      <c r="AZ18" s="207" t="str">
        <f>Настройки!AH18</f>
        <v>Canal_17</v>
      </c>
      <c r="BA18" s="207" t="str">
        <f>Настройки!AI18</f>
        <v>Canal_17</v>
      </c>
      <c r="BB18" s="207" t="str">
        <f>Настройки!AJ18</f>
        <v>-</v>
      </c>
      <c r="BC18" s="207" t="str">
        <f>Настройки!AK18</f>
        <v>-</v>
      </c>
      <c r="BD18" s="207" t="str">
        <f>Настройки!AL18</f>
        <v>Canal_17</v>
      </c>
      <c r="BE18" s="207" t="str">
        <f>Настройки!AM18</f>
        <v>-</v>
      </c>
    </row>
    <row r="19" spans="1:57">
      <c r="A19" s="448" t="str">
        <f>SUBSTITUTE($P$2,"\","|")&amp;"|"&amp;"D"&amp; RIGHT($S$1,3)&amp;":="&amp;P4&amp;"NOT_LINK_BR"</f>
        <v>S_IM_ADES|DONX:=NOT_LINK_BR</v>
      </c>
      <c r="B19" s="448"/>
      <c r="C19" s="455"/>
      <c r="D19" s="446"/>
      <c r="E19" s="446" t="str">
        <f>IFERROR(LEFT($S$3,FIND("+",$S$3,1)-1),"УДАЛИТЬ")</f>
        <v>1</v>
      </c>
      <c r="F19" s="446" t="s">
        <v>845</v>
      </c>
      <c r="G19" s="447"/>
      <c r="H19" s="447"/>
      <c r="I19" s="1"/>
      <c r="M19" s="424" t="str">
        <f>'Конфигурация TREI'!A20</f>
        <v>BR18</v>
      </c>
      <c r="N19" s="424" t="str">
        <f>'Конфигурация TREI'!B20</f>
        <v>M558O</v>
      </c>
      <c r="AE19" s="428">
        <f>Настройки!P19</f>
        <v>18</v>
      </c>
      <c r="AF19" s="380">
        <f>Настройки!Q19</f>
        <v>0</v>
      </c>
      <c r="AG19" s="380" t="str">
        <f>Настройки!R19</f>
        <v>-</v>
      </c>
      <c r="AH19" s="380" t="str">
        <f>Настройки!S19</f>
        <v>-</v>
      </c>
      <c r="AI19" s="380" t="str">
        <f>Настройки!T19</f>
        <v>out17</v>
      </c>
      <c r="AJ19" s="380" t="str">
        <f>Настройки!U19</f>
        <v>out17</v>
      </c>
      <c r="AK19" s="380" t="str">
        <f>Настройки!V19</f>
        <v>-</v>
      </c>
      <c r="AL19" s="380" t="str">
        <f>Настройки!W19</f>
        <v>-</v>
      </c>
      <c r="AM19" s="380" t="str">
        <f>Настройки!X19</f>
        <v>-</v>
      </c>
      <c r="AN19" s="380" t="str">
        <f>Настройки!Y19</f>
        <v>-</v>
      </c>
      <c r="AO19" s="380" t="str">
        <f>Настройки!Z19</f>
        <v>-</v>
      </c>
      <c r="AP19" s="380" t="str">
        <f>Настройки!AA19</f>
        <v>Canal_18</v>
      </c>
      <c r="AQ19" s="380" t="str">
        <f>Настройки!AB19</f>
        <v>Canal_18</v>
      </c>
      <c r="AR19" s="380" t="str">
        <f>Настройки!AC19</f>
        <v>-</v>
      </c>
      <c r="AS19" s="380" t="str">
        <f>Настройки!AD19</f>
        <v>-</v>
      </c>
      <c r="AT19" s="207" t="str">
        <f>Настройки!AB19</f>
        <v>Canal_18</v>
      </c>
      <c r="AU19" s="207" t="str">
        <f>Настройки!AC19</f>
        <v>-</v>
      </c>
      <c r="AV19" s="207" t="str">
        <f>Настройки!AD19</f>
        <v>-</v>
      </c>
      <c r="AW19" s="207" t="str">
        <f>Настройки!AE19</f>
        <v>-</v>
      </c>
      <c r="AX19" s="207" t="str">
        <f>Настройки!AF19</f>
        <v>IDIG_5_2</v>
      </c>
      <c r="AY19" s="207" t="str">
        <f>Настройки!AG19</f>
        <v>Canal_18</v>
      </c>
      <c r="AZ19" s="207" t="str">
        <f>Настройки!AH19</f>
        <v>Canal_18</v>
      </c>
      <c r="BA19" s="207" t="str">
        <f>Настройки!AI19</f>
        <v>Canal_18</v>
      </c>
      <c r="BB19" s="207" t="str">
        <f>Настройки!AJ19</f>
        <v>-</v>
      </c>
      <c r="BC19" s="207" t="str">
        <f>Настройки!AK19</f>
        <v>-</v>
      </c>
      <c r="BD19" s="207" t="str">
        <f>Настройки!AL19</f>
        <v>Canal_18</v>
      </c>
      <c r="BE19" s="207" t="str">
        <f>Настройки!AM19</f>
        <v>-</v>
      </c>
    </row>
    <row r="20" spans="1:57">
      <c r="A20" s="448" t="str">
        <f>SUBSTITUTE($P$2,"\","|")&amp;"|"&amp;"D"&amp; RIGHT($T$1,3)&amp;":="&amp;P4&amp;"NOT_LINK_BR"</f>
        <v>S_IM_ADES|DOFX:=NOT_LINK_BR</v>
      </c>
      <c r="B20" s="448"/>
      <c r="C20" s="455"/>
      <c r="D20" s="446"/>
      <c r="E20" s="446" t="str">
        <f>IFERROR(LEFT($T$3,FIND("+",$T$3,1)-1),"УДАЛИТЬ")</f>
        <v>1</v>
      </c>
      <c r="F20" s="446" t="s">
        <v>845</v>
      </c>
      <c r="G20" s="447"/>
      <c r="H20" s="447"/>
      <c r="I20" s="1"/>
      <c r="M20" s="424" t="str">
        <f>'Конфигурация TREI'!A21</f>
        <v>BR19</v>
      </c>
      <c r="N20" s="424" t="str">
        <f>'Конфигурация TREI'!B21</f>
        <v>M558O</v>
      </c>
      <c r="AE20" s="428">
        <f>Настройки!P20</f>
        <v>19</v>
      </c>
      <c r="AF20" s="380">
        <f>Настройки!Q20</f>
        <v>0</v>
      </c>
      <c r="AG20" s="380" t="str">
        <f>Настройки!R20</f>
        <v>-</v>
      </c>
      <c r="AH20" s="380" t="str">
        <f>Настройки!S20</f>
        <v>-</v>
      </c>
      <c r="AI20" s="380" t="str">
        <f>Настройки!T20</f>
        <v>out18</v>
      </c>
      <c r="AJ20" s="380" t="str">
        <f>Настройки!U20</f>
        <v>out18</v>
      </c>
      <c r="AK20" s="380" t="str">
        <f>Настройки!V20</f>
        <v>-</v>
      </c>
      <c r="AL20" s="380" t="str">
        <f>Настройки!W20</f>
        <v>-</v>
      </c>
      <c r="AM20" s="380" t="str">
        <f>Настройки!X20</f>
        <v>-</v>
      </c>
      <c r="AN20" s="380" t="str">
        <f>Настройки!Y20</f>
        <v>-</v>
      </c>
      <c r="AO20" s="380" t="str">
        <f>Настройки!Z20</f>
        <v>-</v>
      </c>
      <c r="AP20" s="380" t="str">
        <f>Настройки!AA20</f>
        <v>Canal_19</v>
      </c>
      <c r="AQ20" s="380" t="str">
        <f>Настройки!AB20</f>
        <v>Canal_19</v>
      </c>
      <c r="AR20" s="380" t="str">
        <f>Настройки!AC20</f>
        <v>-</v>
      </c>
      <c r="AS20" s="380" t="str">
        <f>Настройки!AD20</f>
        <v>-</v>
      </c>
      <c r="AT20" s="207" t="str">
        <f>Настройки!AB20</f>
        <v>Canal_19</v>
      </c>
      <c r="AU20" s="207" t="str">
        <f>Настройки!AC20</f>
        <v>-</v>
      </c>
      <c r="AV20" s="207" t="str">
        <f>Настройки!AD20</f>
        <v>-</v>
      </c>
      <c r="AW20" s="207" t="str">
        <f>Настройки!AE20</f>
        <v>-</v>
      </c>
      <c r="AX20" s="207" t="str">
        <f>Настройки!AF20</f>
        <v>IDIG_5_3</v>
      </c>
      <c r="AY20" s="207" t="str">
        <f>Настройки!AG20</f>
        <v>Canal_19</v>
      </c>
      <c r="AZ20" s="207" t="str">
        <f>Настройки!AH20</f>
        <v>Canal_19</v>
      </c>
      <c r="BA20" s="207" t="str">
        <f>Настройки!AI20</f>
        <v>Canal_19</v>
      </c>
      <c r="BB20" s="207" t="str">
        <f>Настройки!AJ20</f>
        <v>-</v>
      </c>
      <c r="BC20" s="207" t="str">
        <f>Настройки!AK20</f>
        <v>-</v>
      </c>
      <c r="BD20" s="207" t="str">
        <f>Настройки!AL20</f>
        <v>Canal_19</v>
      </c>
      <c r="BE20" s="207" t="str">
        <f>Настройки!AM20</f>
        <v>-</v>
      </c>
    </row>
    <row r="21" spans="1:57">
      <c r="A21" s="448" t="str">
        <f>SUBSTITUTE($P$2,"\","|")&amp;"|"&amp;"D"&amp; RIGHT($U$1,3)&amp;":="&amp;P4&amp;"NOT_LINK_BR"</f>
        <v>S_IM_ADES|DLCX:=NOT_LINK_BR</v>
      </c>
      <c r="B21" s="448"/>
      <c r="C21" s="455"/>
      <c r="D21" s="446"/>
      <c r="E21" s="446" t="str">
        <f>IFERROR(LEFT($U$3,FIND("+",$U$3,1)-1),"УДАЛИТЬ")</f>
        <v>1</v>
      </c>
      <c r="F21" s="446" t="s">
        <v>845</v>
      </c>
      <c r="G21" s="447"/>
      <c r="H21" s="447"/>
      <c r="I21" s="1"/>
      <c r="M21" s="424" t="str">
        <f>'Конфигурация TREI'!A22</f>
        <v>BR20</v>
      </c>
      <c r="N21" s="424" t="str">
        <f>'Конфигурация TREI'!B22</f>
        <v>M558D</v>
      </c>
      <c r="AE21" s="428">
        <f>Настройки!P21</f>
        <v>20</v>
      </c>
      <c r="AF21" s="380">
        <f>Настройки!Q21</f>
        <v>0</v>
      </c>
      <c r="AG21" s="380" t="str">
        <f>Настройки!R21</f>
        <v>-</v>
      </c>
      <c r="AH21" s="380" t="str">
        <f>Настройки!S21</f>
        <v>-</v>
      </c>
      <c r="AI21" s="380" t="str">
        <f>Настройки!T21</f>
        <v>out19</v>
      </c>
      <c r="AJ21" s="380" t="str">
        <f>Настройки!U21</f>
        <v>out19</v>
      </c>
      <c r="AK21" s="380" t="str">
        <f>Настройки!V21</f>
        <v>-</v>
      </c>
      <c r="AL21" s="380" t="str">
        <f>Настройки!W21</f>
        <v>-</v>
      </c>
      <c r="AM21" s="380" t="str">
        <f>Настройки!X21</f>
        <v>-</v>
      </c>
      <c r="AN21" s="380" t="str">
        <f>Настройки!Y21</f>
        <v>-</v>
      </c>
      <c r="AO21" s="380" t="str">
        <f>Настройки!Z21</f>
        <v>-</v>
      </c>
      <c r="AP21" s="380" t="str">
        <f>Настройки!AA21</f>
        <v>Canal_20</v>
      </c>
      <c r="AQ21" s="380" t="str">
        <f>Настройки!AB21</f>
        <v>Canal_20</v>
      </c>
      <c r="AR21" s="380" t="str">
        <f>Настройки!AC21</f>
        <v>-</v>
      </c>
      <c r="AS21" s="380" t="str">
        <f>Настройки!AD21</f>
        <v>-</v>
      </c>
      <c r="AT21" s="207" t="str">
        <f>Настройки!AB21</f>
        <v>Canal_20</v>
      </c>
      <c r="AU21" s="207" t="str">
        <f>Настройки!AC21</f>
        <v>-</v>
      </c>
      <c r="AV21" s="207" t="str">
        <f>Настройки!AD21</f>
        <v>-</v>
      </c>
      <c r="AW21" s="207" t="str">
        <f>Настройки!AE21</f>
        <v>-</v>
      </c>
      <c r="AX21" s="207" t="str">
        <f>Настройки!AF21</f>
        <v>IDIG_5_4</v>
      </c>
      <c r="AY21" s="207" t="str">
        <f>Настройки!AG21</f>
        <v>Canal_20</v>
      </c>
      <c r="AZ21" s="207" t="str">
        <f>Настройки!AH21</f>
        <v>Canal_20</v>
      </c>
      <c r="BA21" s="207" t="str">
        <f>Настройки!AI21</f>
        <v>Canal_20</v>
      </c>
      <c r="BB21" s="207" t="str">
        <f>Настройки!AJ21</f>
        <v>-</v>
      </c>
      <c r="BC21" s="207" t="str">
        <f>Настройки!AK21</f>
        <v>-</v>
      </c>
      <c r="BD21" s="207" t="str">
        <f>Настройки!AL21</f>
        <v>Canal_20</v>
      </c>
      <c r="BE21" s="207" t="str">
        <f>Настройки!AM21</f>
        <v>-</v>
      </c>
    </row>
    <row r="22" spans="1:57">
      <c r="A22" s="448" t="str">
        <f>SUBSTITUTE($P$2,"\","|")&amp;"|"&amp;"D"&amp; RIGHT($V$1,3)&amp;":="&amp;P4&amp;"NOT_LINK_BR"</f>
        <v>S_IM_ADES|DRCX:=NOT_LINK_BR</v>
      </c>
      <c r="B22" s="448"/>
      <c r="C22" s="455"/>
      <c r="D22" s="446"/>
      <c r="E22" s="446" t="str">
        <f>IFERROR(LEFT($V$3,FIND("+",$V$3,1)-1),"УДАЛИТЬ")</f>
        <v>1</v>
      </c>
      <c r="F22" s="446" t="s">
        <v>845</v>
      </c>
      <c r="G22" s="447"/>
      <c r="H22" s="447"/>
      <c r="I22" s="1"/>
      <c r="M22" s="424" t="str">
        <f>'Конфигурация TREI'!A23</f>
        <v>BR21</v>
      </c>
      <c r="N22" s="424" t="str">
        <f>'Конфигурация TREI'!B23</f>
        <v>M558O</v>
      </c>
      <c r="AE22" s="428">
        <f>Настройки!P22</f>
        <v>21</v>
      </c>
      <c r="AF22" s="380">
        <f>Настройки!Q22</f>
        <v>0</v>
      </c>
      <c r="AG22" s="380" t="str">
        <f>Настройки!R22</f>
        <v>-</v>
      </c>
      <c r="AH22" s="380" t="str">
        <f>Настройки!S22</f>
        <v>-</v>
      </c>
      <c r="AI22" s="380" t="str">
        <f>Настройки!T22</f>
        <v>out20</v>
      </c>
      <c r="AJ22" s="380" t="str">
        <f>Настройки!U22</f>
        <v>out20</v>
      </c>
      <c r="AK22" s="380" t="str">
        <f>Настройки!V22</f>
        <v>-</v>
      </c>
      <c r="AL22" s="380" t="str">
        <f>Настройки!W22</f>
        <v>-</v>
      </c>
      <c r="AM22" s="380" t="str">
        <f>Настройки!X22</f>
        <v>-</v>
      </c>
      <c r="AN22" s="380" t="str">
        <f>Настройки!Y22</f>
        <v>-</v>
      </c>
      <c r="AO22" s="380" t="str">
        <f>Настройки!Z22</f>
        <v>-</v>
      </c>
      <c r="AP22" s="380" t="str">
        <f>Настройки!AA22</f>
        <v>Canal_21</v>
      </c>
      <c r="AQ22" s="380" t="str">
        <f>Настройки!AB22</f>
        <v>Canal_21</v>
      </c>
      <c r="AR22" s="380" t="str">
        <f>Настройки!AC22</f>
        <v>-</v>
      </c>
      <c r="AS22" s="380" t="str">
        <f>Настройки!AD22</f>
        <v>-</v>
      </c>
      <c r="AT22" s="207" t="str">
        <f>Настройки!AB22</f>
        <v>Canal_21</v>
      </c>
      <c r="AU22" s="207" t="str">
        <f>Настройки!AC22</f>
        <v>-</v>
      </c>
      <c r="AV22" s="207" t="str">
        <f>Настройки!AD22</f>
        <v>-</v>
      </c>
      <c r="AW22" s="207" t="str">
        <f>Настройки!AE22</f>
        <v>-</v>
      </c>
      <c r="AX22" s="207" t="str">
        <f>Настройки!AF22</f>
        <v>IDIG_6_1</v>
      </c>
      <c r="AY22" s="207" t="str">
        <f>Настройки!AG22</f>
        <v>Canal_21</v>
      </c>
      <c r="AZ22" s="207" t="str">
        <f>Настройки!AH22</f>
        <v>Canal_21</v>
      </c>
      <c r="BA22" s="207" t="str">
        <f>Настройки!AI22</f>
        <v>Canal_21</v>
      </c>
      <c r="BB22" s="207" t="str">
        <f>Настройки!AJ22</f>
        <v>-</v>
      </c>
      <c r="BC22" s="207" t="str">
        <f>Настройки!AK22</f>
        <v>-</v>
      </c>
      <c r="BD22" s="207" t="str">
        <f>Настройки!AL22</f>
        <v>Canal_21</v>
      </c>
      <c r="BE22" s="207" t="str">
        <f>Настройки!AM22</f>
        <v>-</v>
      </c>
    </row>
    <row r="23" spans="1:57">
      <c r="A23" s="448" t="str">
        <f>SUBSTITUTE($P$2,"\","|")&amp;"|"&amp;"D"&amp; RIGHT($W$1,3)&amp;":="&amp;P4&amp;"NOT_LINK_BR"</f>
        <v>S_IM_ADES|DFXX:=NOT_LINK_BR</v>
      </c>
      <c r="B23" s="448"/>
      <c r="C23" s="455"/>
      <c r="D23" s="446"/>
      <c r="E23" s="446" t="str">
        <f>IFERROR(LEFT($W$3,FIND("+",$W$3,1)-1),"УДАЛИТЬ")</f>
        <v>1</v>
      </c>
      <c r="F23" s="446" t="s">
        <v>845</v>
      </c>
      <c r="G23" s="447"/>
      <c r="H23" s="447"/>
      <c r="I23" s="1"/>
      <c r="M23" s="424" t="str">
        <f>'Конфигурация TREI'!A24</f>
        <v>BR22</v>
      </c>
      <c r="N23" s="424" t="str">
        <f>'Конфигурация TREI'!B24</f>
        <v>M558D</v>
      </c>
      <c r="AE23" s="428">
        <f>Настройки!P23</f>
        <v>22</v>
      </c>
      <c r="AF23" s="380">
        <f>Настройки!Q23</f>
        <v>0</v>
      </c>
      <c r="AG23" s="380" t="str">
        <f>Настройки!R23</f>
        <v>-</v>
      </c>
      <c r="AH23" s="380" t="str">
        <f>Настройки!S23</f>
        <v>-</v>
      </c>
      <c r="AI23" s="380" t="str">
        <f>Настройки!T23</f>
        <v>out21</v>
      </c>
      <c r="AJ23" s="380" t="str">
        <f>Настройки!U23</f>
        <v>out21</v>
      </c>
      <c r="AK23" s="380" t="str">
        <f>Настройки!V23</f>
        <v>-</v>
      </c>
      <c r="AL23" s="380" t="str">
        <f>Настройки!W23</f>
        <v>-</v>
      </c>
      <c r="AM23" s="380" t="str">
        <f>Настройки!X23</f>
        <v>-</v>
      </c>
      <c r="AN23" s="380" t="str">
        <f>Настройки!Y23</f>
        <v>-</v>
      </c>
      <c r="AO23" s="380" t="str">
        <f>Настройки!Z23</f>
        <v>-</v>
      </c>
      <c r="AP23" s="380" t="str">
        <f>Настройки!AA23</f>
        <v>Canal_22</v>
      </c>
      <c r="AQ23" s="380" t="str">
        <f>Настройки!AB23</f>
        <v>Canal_22</v>
      </c>
      <c r="AR23" s="380" t="str">
        <f>Настройки!AC23</f>
        <v>-</v>
      </c>
      <c r="AS23" s="380" t="str">
        <f>Настройки!AD23</f>
        <v>-</v>
      </c>
      <c r="AT23" s="207" t="str">
        <f>Настройки!AB23</f>
        <v>Canal_22</v>
      </c>
      <c r="AU23" s="207" t="str">
        <f>Настройки!AC23</f>
        <v>-</v>
      </c>
      <c r="AV23" s="207" t="str">
        <f>Настройки!AD23</f>
        <v>-</v>
      </c>
      <c r="AW23" s="207" t="str">
        <f>Настройки!AE23</f>
        <v>-</v>
      </c>
      <c r="AX23" s="207" t="str">
        <f>Настройки!AF23</f>
        <v>IDIG_6_2</v>
      </c>
      <c r="AY23" s="207" t="str">
        <f>Настройки!AG23</f>
        <v>Canal_22</v>
      </c>
      <c r="AZ23" s="207" t="str">
        <f>Настройки!AH23</f>
        <v>Canal_22</v>
      </c>
      <c r="BA23" s="207" t="str">
        <f>Настройки!AI23</f>
        <v>Canal_22</v>
      </c>
      <c r="BB23" s="207" t="str">
        <f>Настройки!AJ23</f>
        <v>-</v>
      </c>
      <c r="BC23" s="207" t="str">
        <f>Настройки!AK23</f>
        <v>-</v>
      </c>
      <c r="BD23" s="207" t="str">
        <f>Настройки!AL23</f>
        <v>Canal_22</v>
      </c>
      <c r="BE23" s="207" t="str">
        <f>Настройки!AM23</f>
        <v>-</v>
      </c>
    </row>
    <row r="24" spans="1:57">
      <c r="A24" s="448" t="str">
        <f>SUBSTITUTE($P$2,"\","|")&amp;"|"&amp;"D"&amp; RIGHT($AA$1,3)&amp;":="&amp;P4&amp;"NOT_LINK_BR"</f>
        <v>S_IM_ADES|DOLD:=NOT_LINK_BR</v>
      </c>
      <c r="B24" s="448"/>
      <c r="C24" s="455"/>
      <c r="D24" s="446"/>
      <c r="E24" s="446" t="str">
        <f>IFERROR(LEFT($AA$3,FIND("+",$AA$3,1)-1),"УДАЛИТЬ")</f>
        <v>1</v>
      </c>
      <c r="F24" s="446" t="s">
        <v>845</v>
      </c>
      <c r="G24" s="447"/>
      <c r="H24" s="447"/>
      <c r="I24" s="1"/>
      <c r="M24" s="424" t="str">
        <f>'Конфигурация TREI'!A25</f>
        <v>BR23</v>
      </c>
      <c r="N24" s="424" t="str">
        <f>'Конфигурация TREI'!B25</f>
        <v>M558O</v>
      </c>
      <c r="AE24" s="428">
        <f>Настройки!P24</f>
        <v>23</v>
      </c>
      <c r="AF24" s="380">
        <f>Настройки!Q24</f>
        <v>0</v>
      </c>
      <c r="AG24" s="380" t="str">
        <f>Настройки!R24</f>
        <v>-</v>
      </c>
      <c r="AH24" s="380" t="str">
        <f>Настройки!S24</f>
        <v>-</v>
      </c>
      <c r="AI24" s="380" t="str">
        <f>Настройки!T24</f>
        <v>out22</v>
      </c>
      <c r="AJ24" s="380" t="str">
        <f>Настройки!U24</f>
        <v>out22</v>
      </c>
      <c r="AK24" s="380" t="str">
        <f>Настройки!V24</f>
        <v>-</v>
      </c>
      <c r="AL24" s="380" t="str">
        <f>Настройки!W24</f>
        <v>-</v>
      </c>
      <c r="AM24" s="380" t="str">
        <f>Настройки!X24</f>
        <v>-</v>
      </c>
      <c r="AN24" s="380" t="str">
        <f>Настройки!Y24</f>
        <v>-</v>
      </c>
      <c r="AO24" s="380" t="str">
        <f>Настройки!Z24</f>
        <v>-</v>
      </c>
      <c r="AP24" s="380" t="str">
        <f>Настройки!AA24</f>
        <v>Canal_23</v>
      </c>
      <c r="AQ24" s="380" t="str">
        <f>Настройки!AB24</f>
        <v>Canal_23</v>
      </c>
      <c r="AR24" s="380" t="str">
        <f>Настройки!AC24</f>
        <v>-</v>
      </c>
      <c r="AS24" s="380" t="str">
        <f>Настройки!AD24</f>
        <v>-</v>
      </c>
      <c r="AT24" s="207" t="str">
        <f>Настройки!AB24</f>
        <v>Canal_23</v>
      </c>
      <c r="AU24" s="207" t="str">
        <f>Настройки!AC24</f>
        <v>-</v>
      </c>
      <c r="AV24" s="207" t="str">
        <f>Настройки!AD24</f>
        <v>-</v>
      </c>
      <c r="AW24" s="207" t="str">
        <f>Настройки!AE24</f>
        <v>-</v>
      </c>
      <c r="AX24" s="207" t="str">
        <f>Настройки!AF24</f>
        <v>IDIG_6_3</v>
      </c>
      <c r="AY24" s="207" t="str">
        <f>Настройки!AG24</f>
        <v>Canal_23</v>
      </c>
      <c r="AZ24" s="207" t="str">
        <f>Настройки!AH24</f>
        <v>Canal_23</v>
      </c>
      <c r="BA24" s="207" t="str">
        <f>Настройки!AI24</f>
        <v>Canal_23</v>
      </c>
      <c r="BB24" s="207" t="str">
        <f>Настройки!AJ24</f>
        <v>-</v>
      </c>
      <c r="BC24" s="207" t="str">
        <f>Настройки!AK24</f>
        <v>-</v>
      </c>
      <c r="BD24" s="207" t="str">
        <f>Настройки!AL24</f>
        <v>Canal_23</v>
      </c>
      <c r="BE24" s="207" t="str">
        <f>Настройки!AM24</f>
        <v>-</v>
      </c>
    </row>
    <row r="25" spans="1:57">
      <c r="A25" s="448" t="str">
        <f>SUBSTITUTE($P$2,"\","|")&amp;"|"&amp;"D"&amp; RIGHT($AB$1,3)&amp;":="&amp;P4&amp;"NOT_LINK_BR"</f>
        <v>S_IM_ADES|DRAD:=NOT_LINK_BR</v>
      </c>
      <c r="B25" s="448"/>
      <c r="C25" s="455"/>
      <c r="D25" s="446"/>
      <c r="E25" s="446" t="str">
        <f>IFERROR(LEFT($AA$3,FIND("+",$AA$3,1)-1),"УДАЛИТЬ")</f>
        <v>1</v>
      </c>
      <c r="F25" s="446" t="s">
        <v>845</v>
      </c>
      <c r="G25" s="447"/>
      <c r="H25" s="447"/>
      <c r="I25" s="1"/>
      <c r="M25" s="424" t="str">
        <f>'Конфигурация TREI'!A26</f>
        <v>BR24</v>
      </c>
      <c r="N25" s="424" t="str">
        <f>'Конфигурация TREI'!B26</f>
        <v>M558D</v>
      </c>
      <c r="AE25" s="428">
        <f>Настройки!P25</f>
        <v>24</v>
      </c>
      <c r="AF25" s="380">
        <f>Настройки!Q25</f>
        <v>0</v>
      </c>
      <c r="AG25" s="380" t="str">
        <f>Настройки!R25</f>
        <v>-</v>
      </c>
      <c r="AH25" s="380" t="str">
        <f>Настройки!S25</f>
        <v>-</v>
      </c>
      <c r="AI25" s="380" t="str">
        <f>Настройки!T25</f>
        <v>out23</v>
      </c>
      <c r="AJ25" s="380" t="str">
        <f>Настройки!U25</f>
        <v>out23</v>
      </c>
      <c r="AK25" s="380" t="str">
        <f>Настройки!V25</f>
        <v>-</v>
      </c>
      <c r="AL25" s="380" t="str">
        <f>Настройки!W25</f>
        <v>-</v>
      </c>
      <c r="AM25" s="380" t="str">
        <f>Настройки!X25</f>
        <v>-</v>
      </c>
      <c r="AN25" s="380" t="str">
        <f>Настройки!Y25</f>
        <v>-</v>
      </c>
      <c r="AO25" s="380" t="str">
        <f>Настройки!Z25</f>
        <v>-</v>
      </c>
      <c r="AP25" s="380" t="str">
        <f>Настройки!AA25</f>
        <v>Canal_24</v>
      </c>
      <c r="AQ25" s="380" t="str">
        <f>Настройки!AB25</f>
        <v>Canal_24</v>
      </c>
      <c r="AR25" s="380" t="str">
        <f>Настройки!AC25</f>
        <v>-</v>
      </c>
      <c r="AS25" s="380" t="str">
        <f>Настройки!AD25</f>
        <v>-</v>
      </c>
      <c r="AT25" s="207" t="str">
        <f>Настройки!AB25</f>
        <v>Canal_24</v>
      </c>
      <c r="AU25" s="207" t="str">
        <f>Настройки!AC25</f>
        <v>-</v>
      </c>
      <c r="AV25" s="207" t="str">
        <f>Настройки!AD25</f>
        <v>-</v>
      </c>
      <c r="AW25" s="207" t="str">
        <f>Настройки!AE25</f>
        <v>-</v>
      </c>
      <c r="AX25" s="207" t="str">
        <f>Настройки!AF25</f>
        <v>IDIG_6_4</v>
      </c>
      <c r="AY25" s="207" t="str">
        <f>Настройки!AG25</f>
        <v>Canal_24</v>
      </c>
      <c r="AZ25" s="207" t="str">
        <f>Настройки!AH25</f>
        <v>Canal_24</v>
      </c>
      <c r="BA25" s="207" t="str">
        <f>Настройки!AI25</f>
        <v>Canal_24</v>
      </c>
      <c r="BB25" s="207" t="str">
        <f>Настройки!AJ25</f>
        <v>-</v>
      </c>
      <c r="BC25" s="207" t="str">
        <f>Настройки!AK25</f>
        <v>-</v>
      </c>
      <c r="BD25" s="207" t="str">
        <f>Настройки!AL25</f>
        <v>Canal_24</v>
      </c>
      <c r="BE25" s="207" t="str">
        <f>Настройки!AM25</f>
        <v>-</v>
      </c>
    </row>
    <row r="26" spans="1:57">
      <c r="A26" s="448" t="str">
        <f>SUBSTITUTE($P$2,"\","|")&amp;"|"&amp;"D"&amp; RIGHT($AC$1,3)&amp;":="&amp;P4&amp;"NOT_LINK_BR"</f>
        <v>S_IM_ADES|DPTO:=NOT_LINK_BR</v>
      </c>
      <c r="B26" s="448"/>
      <c r="C26" s="455"/>
      <c r="D26" s="446"/>
      <c r="E26" s="446" t="str">
        <f>IFERROR(LEFT($AB$3,FIND("+",$AB$3,1)-1),"УДАЛИТЬ")</f>
        <v>1</v>
      </c>
      <c r="F26" s="446" t="s">
        <v>845</v>
      </c>
      <c r="G26" s="447"/>
      <c r="H26" s="447"/>
      <c r="I26" s="1"/>
      <c r="M26" s="424" t="str">
        <f>'Конфигурация TREI'!A27</f>
        <v>BR25</v>
      </c>
      <c r="N26" s="424" t="str">
        <f>'Конфигурация TREI'!B27</f>
        <v>M558D</v>
      </c>
      <c r="AE26" s="428">
        <f>Настройки!P26</f>
        <v>25</v>
      </c>
      <c r="AF26" s="380">
        <f>Настройки!Q26</f>
        <v>0</v>
      </c>
      <c r="AG26" s="380" t="str">
        <f>Настройки!R26</f>
        <v>-</v>
      </c>
      <c r="AH26" s="380" t="str">
        <f>Настройки!S26</f>
        <v>-</v>
      </c>
      <c r="AI26" s="380" t="str">
        <f>Настройки!T26</f>
        <v>out24</v>
      </c>
      <c r="AJ26" s="380" t="str">
        <f>Настройки!U26</f>
        <v>out24</v>
      </c>
      <c r="AK26" s="380" t="str">
        <f>Настройки!V26</f>
        <v>-</v>
      </c>
      <c r="AL26" s="380" t="str">
        <f>Настройки!W26</f>
        <v>-</v>
      </c>
      <c r="AM26" s="380" t="str">
        <f>Настройки!X26</f>
        <v>-</v>
      </c>
      <c r="AN26" s="380" t="str">
        <f>Настройки!Y26</f>
        <v>-</v>
      </c>
      <c r="AO26" s="380" t="str">
        <f>Настройки!Z26</f>
        <v>-</v>
      </c>
      <c r="AP26" s="380" t="str">
        <f>Настройки!AA26</f>
        <v>Canal_25</v>
      </c>
      <c r="AQ26" s="380" t="str">
        <f>Настройки!AB26</f>
        <v>Canal_25</v>
      </c>
      <c r="AR26" s="380" t="str">
        <f>Настройки!AC26</f>
        <v>-</v>
      </c>
      <c r="AS26" s="380" t="str">
        <f>Настройки!AD26</f>
        <v>-</v>
      </c>
      <c r="AT26" s="207" t="str">
        <f>Настройки!AB26</f>
        <v>Canal_25</v>
      </c>
      <c r="AU26" s="207" t="str">
        <f>Настройки!AC26</f>
        <v>-</v>
      </c>
      <c r="AV26" s="207" t="str">
        <f>Настройки!AD26</f>
        <v>-</v>
      </c>
      <c r="AW26" s="207" t="str">
        <f>Настройки!AE26</f>
        <v>-</v>
      </c>
      <c r="AX26" s="207" t="str">
        <f>Настройки!AF26</f>
        <v>IDIG_7_1</v>
      </c>
      <c r="AY26" s="207" t="str">
        <f>Настройки!AG26</f>
        <v>Canal_25</v>
      </c>
      <c r="AZ26" s="207" t="str">
        <f>Настройки!AH26</f>
        <v>Canal_25</v>
      </c>
      <c r="BA26" s="207" t="str">
        <f>Настройки!AI26</f>
        <v>Canal_25</v>
      </c>
      <c r="BB26" s="207" t="str">
        <f>Настройки!AJ26</f>
        <v>-</v>
      </c>
      <c r="BC26" s="207" t="str">
        <f>Настройки!AK26</f>
        <v>-</v>
      </c>
      <c r="BD26" s="207" t="str">
        <f>Настройки!AL26</f>
        <v>Canal_25</v>
      </c>
      <c r="BE26" s="207" t="str">
        <f>Настройки!AM26</f>
        <v>-</v>
      </c>
    </row>
    <row r="27" spans="1:57">
      <c r="A27" s="82"/>
      <c r="B27" s="82"/>
      <c r="C27" s="11"/>
      <c r="D27" s="81"/>
      <c r="E27" s="81"/>
      <c r="F27" s="81"/>
      <c r="G27" s="447"/>
      <c r="H27" s="447"/>
      <c r="I27" s="1"/>
      <c r="M27" s="424" t="str">
        <f>'Конфигурация TREI'!A28</f>
        <v>BR26</v>
      </c>
      <c r="N27" s="424" t="str">
        <f>'Конфигурация TREI'!B28</f>
        <v>M558D</v>
      </c>
      <c r="AE27" s="428">
        <f>Настройки!P27</f>
        <v>26</v>
      </c>
      <c r="AF27" s="380">
        <f>Настройки!Q27</f>
        <v>0</v>
      </c>
      <c r="AG27" s="380" t="str">
        <f>Настройки!R27</f>
        <v>-</v>
      </c>
      <c r="AH27" s="380" t="str">
        <f>Настройки!S27</f>
        <v>-</v>
      </c>
      <c r="AI27" s="380" t="str">
        <f>Настройки!T27</f>
        <v>out25</v>
      </c>
      <c r="AJ27" s="380" t="str">
        <f>Настройки!U27</f>
        <v>out25</v>
      </c>
      <c r="AK27" s="380" t="str">
        <f>Настройки!V27</f>
        <v>-</v>
      </c>
      <c r="AL27" s="380" t="str">
        <f>Настройки!W27</f>
        <v>-</v>
      </c>
      <c r="AM27" s="380" t="str">
        <f>Настройки!X27</f>
        <v>-</v>
      </c>
      <c r="AN27" s="380" t="str">
        <f>Настройки!Y27</f>
        <v>-</v>
      </c>
      <c r="AO27" s="380" t="str">
        <f>Настройки!Z27</f>
        <v>-</v>
      </c>
      <c r="AP27" s="380" t="str">
        <f>Настройки!AA27</f>
        <v>Canal_26</v>
      </c>
      <c r="AQ27" s="380" t="str">
        <f>Настройки!AB27</f>
        <v>Canal_26</v>
      </c>
      <c r="AR27" s="380" t="str">
        <f>Настройки!AC27</f>
        <v>-</v>
      </c>
      <c r="AS27" s="380" t="str">
        <f>Настройки!AD27</f>
        <v>-</v>
      </c>
      <c r="AT27" s="207" t="str">
        <f>Настройки!AB27</f>
        <v>Canal_26</v>
      </c>
      <c r="AU27" s="207" t="str">
        <f>Настройки!AC27</f>
        <v>-</v>
      </c>
      <c r="AV27" s="207" t="str">
        <f>Настройки!AD27</f>
        <v>-</v>
      </c>
      <c r="AW27" s="207" t="str">
        <f>Настройки!AE27</f>
        <v>-</v>
      </c>
      <c r="AX27" s="207" t="str">
        <f>Настройки!AF27</f>
        <v>IDIG_7_2</v>
      </c>
      <c r="AY27" s="207" t="str">
        <f>Настройки!AG27</f>
        <v>Canal_26</v>
      </c>
      <c r="AZ27" s="207" t="str">
        <f>Настройки!AH27</f>
        <v>Canal_26</v>
      </c>
      <c r="BA27" s="207" t="str">
        <f>Настройки!AI27</f>
        <v>Canal_26</v>
      </c>
      <c r="BB27" s="207" t="str">
        <f>Настройки!AJ27</f>
        <v>-</v>
      </c>
      <c r="BC27" s="207" t="str">
        <f>Настройки!AK27</f>
        <v>-</v>
      </c>
      <c r="BD27" s="207" t="str">
        <f>Настройки!AL27</f>
        <v>Canal_26</v>
      </c>
      <c r="BE27" s="207" t="str">
        <f>Настройки!AM27</f>
        <v>-</v>
      </c>
    </row>
    <row r="28" spans="1:57">
      <c r="A28" s="82"/>
      <c r="B28" s="82"/>
      <c r="C28" s="11"/>
      <c r="D28" s="81"/>
      <c r="E28" s="81"/>
      <c r="F28" s="81"/>
      <c r="G28" s="445"/>
      <c r="H28" s="445"/>
      <c r="I28" s="1"/>
      <c r="M28" s="424" t="str">
        <f>'Конфигурация TREI'!A29</f>
        <v>BR27</v>
      </c>
      <c r="N28" s="424" t="str">
        <f>'Конфигурация TREI'!B29</f>
        <v>M558D</v>
      </c>
      <c r="AE28" s="428">
        <f>Настройки!P28</f>
        <v>27</v>
      </c>
      <c r="AF28" s="380">
        <f>Настройки!Q28</f>
        <v>0</v>
      </c>
      <c r="AG28" s="380" t="str">
        <f>Настройки!R28</f>
        <v>-</v>
      </c>
      <c r="AH28" s="380" t="str">
        <f>Настройки!S28</f>
        <v>-</v>
      </c>
      <c r="AI28" s="380" t="str">
        <f>Настройки!T28</f>
        <v>out26</v>
      </c>
      <c r="AJ28" s="380" t="str">
        <f>Настройки!U28</f>
        <v>out26</v>
      </c>
      <c r="AK28" s="380" t="str">
        <f>Настройки!V28</f>
        <v>-</v>
      </c>
      <c r="AL28" s="380" t="str">
        <f>Настройки!W28</f>
        <v>-</v>
      </c>
      <c r="AM28" s="380" t="str">
        <f>Настройки!X28</f>
        <v>-</v>
      </c>
      <c r="AN28" s="380" t="str">
        <f>Настройки!Y28</f>
        <v>-</v>
      </c>
      <c r="AO28" s="380" t="str">
        <f>Настройки!Z28</f>
        <v>-</v>
      </c>
      <c r="AP28" s="380" t="str">
        <f>Настройки!AA28</f>
        <v>Canal_27</v>
      </c>
      <c r="AQ28" s="380" t="str">
        <f>Настройки!AB28</f>
        <v>Canal_27</v>
      </c>
      <c r="AR28" s="380" t="str">
        <f>Настройки!AC28</f>
        <v>-</v>
      </c>
      <c r="AS28" s="380" t="str">
        <f>Настройки!AD28</f>
        <v>-</v>
      </c>
      <c r="AT28" s="207" t="str">
        <f>Настройки!AB28</f>
        <v>Canal_27</v>
      </c>
      <c r="AU28" s="207" t="str">
        <f>Настройки!AC28</f>
        <v>-</v>
      </c>
      <c r="AV28" s="207" t="str">
        <f>Настройки!AD28</f>
        <v>-</v>
      </c>
      <c r="AW28" s="207" t="str">
        <f>Настройки!AE28</f>
        <v>-</v>
      </c>
      <c r="AX28" s="207" t="str">
        <f>Настройки!AF28</f>
        <v>IDIG_7_3</v>
      </c>
      <c r="AY28" s="207" t="str">
        <f>Настройки!AG28</f>
        <v>Canal_27</v>
      </c>
      <c r="AZ28" s="207" t="str">
        <f>Настройки!AH28</f>
        <v>Canal_27</v>
      </c>
      <c r="BA28" s="207" t="str">
        <f>Настройки!AI28</f>
        <v>Canal_27</v>
      </c>
      <c r="BB28" s="207" t="str">
        <f>Настройки!AJ28</f>
        <v>-</v>
      </c>
      <c r="BC28" s="207" t="str">
        <f>Настройки!AK28</f>
        <v>-</v>
      </c>
      <c r="BD28" s="207" t="str">
        <f>Настройки!AL28</f>
        <v>Canal_27</v>
      </c>
      <c r="BE28" s="207" t="str">
        <f>Настройки!AM28</f>
        <v>-</v>
      </c>
    </row>
    <row r="29" spans="1:57">
      <c r="A29" s="82"/>
      <c r="B29" s="82"/>
      <c r="C29" s="11"/>
      <c r="D29" s="81"/>
      <c r="E29" s="81"/>
      <c r="F29" s="81"/>
      <c r="G29" s="445"/>
      <c r="H29" s="445"/>
      <c r="I29" s="1"/>
      <c r="M29" s="424" t="str">
        <f>'Конфигурация TREI'!A30</f>
        <v>BR28</v>
      </c>
      <c r="N29" s="424" t="str">
        <f>'Конфигурация TREI'!B30</f>
        <v>M558D</v>
      </c>
      <c r="AE29" s="428">
        <f>Настройки!P29</f>
        <v>28</v>
      </c>
      <c r="AF29" s="380">
        <f>Настройки!Q29</f>
        <v>0</v>
      </c>
      <c r="AG29" s="380" t="str">
        <f>Настройки!R29</f>
        <v>-</v>
      </c>
      <c r="AH29" s="380" t="str">
        <f>Настройки!S29</f>
        <v>-</v>
      </c>
      <c r="AI29" s="380" t="str">
        <f>Настройки!T29</f>
        <v>out27</v>
      </c>
      <c r="AJ29" s="380" t="str">
        <f>Настройки!U29</f>
        <v>out27</v>
      </c>
      <c r="AK29" s="380" t="str">
        <f>Настройки!V29</f>
        <v>-</v>
      </c>
      <c r="AL29" s="380" t="str">
        <f>Настройки!W29</f>
        <v>-</v>
      </c>
      <c r="AM29" s="380" t="str">
        <f>Настройки!X29</f>
        <v>-</v>
      </c>
      <c r="AN29" s="380" t="str">
        <f>Настройки!Y29</f>
        <v>-</v>
      </c>
      <c r="AO29" s="380" t="str">
        <f>Настройки!Z29</f>
        <v>-</v>
      </c>
      <c r="AP29" s="380" t="str">
        <f>Настройки!AA29</f>
        <v>Canal_28</v>
      </c>
      <c r="AQ29" s="380" t="str">
        <f>Настройки!AB29</f>
        <v>Canal_28</v>
      </c>
      <c r="AR29" s="380" t="str">
        <f>Настройки!AC29</f>
        <v>-</v>
      </c>
      <c r="AS29" s="380" t="str">
        <f>Настройки!AD29</f>
        <v>-</v>
      </c>
      <c r="AT29" s="207" t="str">
        <f>Настройки!AB29</f>
        <v>Canal_28</v>
      </c>
      <c r="AU29" s="207" t="str">
        <f>Настройки!AC29</f>
        <v>-</v>
      </c>
      <c r="AV29" s="207" t="str">
        <f>Настройки!AD29</f>
        <v>-</v>
      </c>
      <c r="AW29" s="207" t="str">
        <f>Настройки!AE29</f>
        <v>-</v>
      </c>
      <c r="AX29" s="207" t="str">
        <f>Настройки!AF29</f>
        <v>IDIG_7_4</v>
      </c>
      <c r="AY29" s="207" t="str">
        <f>Настройки!AG29</f>
        <v>Canal_28</v>
      </c>
      <c r="AZ29" s="207" t="str">
        <f>Настройки!AH29</f>
        <v>Canal_28</v>
      </c>
      <c r="BA29" s="207" t="str">
        <f>Настройки!AI29</f>
        <v>Canal_28</v>
      </c>
      <c r="BB29" s="207" t="str">
        <f>Настройки!AJ29</f>
        <v>-</v>
      </c>
      <c r="BC29" s="207" t="str">
        <f>Настройки!AK29</f>
        <v>-</v>
      </c>
      <c r="BD29" s="207" t="str">
        <f>Настройки!AL29</f>
        <v>Canal_28</v>
      </c>
      <c r="BE29" s="207" t="str">
        <f>Настройки!AM29</f>
        <v>-</v>
      </c>
    </row>
    <row r="30" spans="1:57">
      <c r="A30" s="11"/>
      <c r="B30" s="11"/>
      <c r="C30" s="11"/>
      <c r="D30" s="11"/>
      <c r="E30" s="11"/>
      <c r="F30" s="11"/>
      <c r="G30" s="11"/>
      <c r="H30" s="11"/>
      <c r="I30" s="1"/>
      <c r="M30" s="424" t="str">
        <f>'Конфигурация TREI'!A31</f>
        <v>BR29</v>
      </c>
      <c r="N30" s="424" t="str">
        <f>'Конфигурация TREI'!B31</f>
        <v>M558O</v>
      </c>
      <c r="AE30" s="428">
        <f>Настройки!P30</f>
        <v>29</v>
      </c>
      <c r="AF30" s="380">
        <f>Настройки!Q30</f>
        <v>0</v>
      </c>
      <c r="AG30" s="380" t="str">
        <f>Настройки!R30</f>
        <v>-</v>
      </c>
      <c r="AH30" s="380" t="str">
        <f>Настройки!S30</f>
        <v>-</v>
      </c>
      <c r="AI30" s="380" t="str">
        <f>Настройки!T30</f>
        <v>out28</v>
      </c>
      <c r="AJ30" s="380" t="str">
        <f>Настройки!U30</f>
        <v>out28</v>
      </c>
      <c r="AK30" s="380" t="str">
        <f>Настройки!V30</f>
        <v>-</v>
      </c>
      <c r="AL30" s="380" t="str">
        <f>Настройки!W30</f>
        <v>-</v>
      </c>
      <c r="AM30" s="380" t="str">
        <f>Настройки!X30</f>
        <v>-</v>
      </c>
      <c r="AN30" s="380" t="str">
        <f>Настройки!Y30</f>
        <v>-</v>
      </c>
      <c r="AO30" s="380" t="str">
        <f>Настройки!Z30</f>
        <v>-</v>
      </c>
      <c r="AP30" s="380" t="str">
        <f>Настройки!AA30</f>
        <v>Canal_29</v>
      </c>
      <c r="AQ30" s="380" t="str">
        <f>Настройки!AB30</f>
        <v>Canal_29</v>
      </c>
      <c r="AR30" s="380" t="str">
        <f>Настройки!AC30</f>
        <v>-</v>
      </c>
      <c r="AS30" s="380" t="str">
        <f>Настройки!AD30</f>
        <v>-</v>
      </c>
      <c r="AT30" s="207" t="str">
        <f>Настройки!AB30</f>
        <v>Canal_29</v>
      </c>
      <c r="AU30" s="207" t="str">
        <f>Настройки!AC30</f>
        <v>-</v>
      </c>
      <c r="AV30" s="207" t="str">
        <f>Настройки!AD30</f>
        <v>-</v>
      </c>
      <c r="AW30" s="207" t="str">
        <f>Настройки!AE30</f>
        <v>-</v>
      </c>
      <c r="AX30" s="207" t="str">
        <f>Настройки!AF30</f>
        <v>IDIG_8_1</v>
      </c>
      <c r="AY30" s="207" t="str">
        <f>Настройки!AG30</f>
        <v>Canal_29</v>
      </c>
      <c r="AZ30" s="207" t="str">
        <f>Настройки!AH30</f>
        <v>Canal_29</v>
      </c>
      <c r="BA30" s="207" t="str">
        <f>Настройки!AI30</f>
        <v>Canal_29</v>
      </c>
      <c r="BB30" s="207" t="str">
        <f>Настройки!AJ30</f>
        <v>-</v>
      </c>
      <c r="BC30" s="207" t="str">
        <f>Настройки!AK30</f>
        <v>-</v>
      </c>
      <c r="BD30" s="207" t="str">
        <f>Настройки!AL30</f>
        <v>Canal_29</v>
      </c>
      <c r="BE30" s="207" t="str">
        <f>Настройки!AM30</f>
        <v>-</v>
      </c>
    </row>
    <row r="31" spans="1:57">
      <c r="A31" s="82"/>
      <c r="B31" s="82"/>
      <c r="C31" s="81"/>
      <c r="D31" s="81"/>
      <c r="E31" s="81"/>
      <c r="F31" s="81"/>
      <c r="G31" s="445"/>
      <c r="H31" s="445"/>
      <c r="I31" s="1"/>
      <c r="M31" s="424" t="str">
        <f>'Конфигурация TREI'!A32</f>
        <v>BR30</v>
      </c>
      <c r="N31" s="424" t="str">
        <f>'Конфигурация TREI'!B32</f>
        <v>M558D</v>
      </c>
      <c r="AE31" s="428">
        <f>Настройки!P31</f>
        <v>30</v>
      </c>
      <c r="AF31" s="380">
        <f>Настройки!Q31</f>
        <v>0</v>
      </c>
      <c r="AG31" s="380" t="str">
        <f>Настройки!R31</f>
        <v>-</v>
      </c>
      <c r="AH31" s="380" t="str">
        <f>Настройки!S31</f>
        <v>-</v>
      </c>
      <c r="AI31" s="380" t="str">
        <f>Настройки!T31</f>
        <v>out29</v>
      </c>
      <c r="AJ31" s="380" t="str">
        <f>Настройки!U31</f>
        <v>out29</v>
      </c>
      <c r="AK31" s="380" t="str">
        <f>Настройки!V31</f>
        <v>-</v>
      </c>
      <c r="AL31" s="380" t="str">
        <f>Настройки!W31</f>
        <v>-</v>
      </c>
      <c r="AM31" s="380" t="str">
        <f>Настройки!X31</f>
        <v>-</v>
      </c>
      <c r="AN31" s="380" t="str">
        <f>Настройки!Y31</f>
        <v>-</v>
      </c>
      <c r="AO31" s="380" t="str">
        <f>Настройки!Z31</f>
        <v>-</v>
      </c>
      <c r="AP31" s="380" t="str">
        <f>Настройки!AA31</f>
        <v>Canal_30</v>
      </c>
      <c r="AQ31" s="380" t="str">
        <f>Настройки!AB31</f>
        <v>Canal_30</v>
      </c>
      <c r="AR31" s="380" t="str">
        <f>Настройки!AC31</f>
        <v>-</v>
      </c>
      <c r="AS31" s="380" t="str">
        <f>Настройки!AD31</f>
        <v>-</v>
      </c>
      <c r="AT31" s="207" t="str">
        <f>Настройки!AB31</f>
        <v>Canal_30</v>
      </c>
      <c r="AU31" s="207" t="str">
        <f>Настройки!AC31</f>
        <v>-</v>
      </c>
      <c r="AV31" s="207" t="str">
        <f>Настройки!AD31</f>
        <v>-</v>
      </c>
      <c r="AW31" s="207" t="str">
        <f>Настройки!AE31</f>
        <v>-</v>
      </c>
      <c r="AX31" s="207" t="str">
        <f>Настройки!AF31</f>
        <v>IDIG_8_2</v>
      </c>
      <c r="AY31" s="207" t="str">
        <f>Настройки!AG31</f>
        <v>Canal_30</v>
      </c>
      <c r="AZ31" s="207" t="str">
        <f>Настройки!AH31</f>
        <v>Canal_30</v>
      </c>
      <c r="BA31" s="207" t="str">
        <f>Настройки!AI31</f>
        <v>Canal_30</v>
      </c>
      <c r="BB31" s="207" t="str">
        <f>Настройки!AJ31</f>
        <v>-</v>
      </c>
      <c r="BC31" s="207" t="str">
        <f>Настройки!AK31</f>
        <v>-</v>
      </c>
      <c r="BD31" s="207" t="str">
        <f>Настройки!AL31</f>
        <v>Canal_30</v>
      </c>
      <c r="BE31" s="207" t="str">
        <f>Настройки!AM31</f>
        <v>-</v>
      </c>
    </row>
    <row r="32" spans="1:57">
      <c r="A32" s="82"/>
      <c r="B32" s="82"/>
      <c r="C32" s="81"/>
      <c r="D32" s="81"/>
      <c r="E32" s="81"/>
      <c r="F32" s="81"/>
      <c r="G32" s="445"/>
      <c r="H32" s="445"/>
      <c r="I32" s="1"/>
      <c r="M32" s="424" t="str">
        <f>'Конфигурация TREI'!A33</f>
        <v>BR31</v>
      </c>
      <c r="N32" s="424" t="str">
        <f>'Конфигурация TREI'!B33</f>
        <v>M558D</v>
      </c>
      <c r="AE32" s="428">
        <f>Настройки!P32</f>
        <v>31</v>
      </c>
      <c r="AF32" s="380">
        <f>Настройки!Q32</f>
        <v>0</v>
      </c>
      <c r="AG32" s="380" t="str">
        <f>Настройки!R32</f>
        <v>-</v>
      </c>
      <c r="AH32" s="380" t="str">
        <f>Настройки!S32</f>
        <v>-</v>
      </c>
      <c r="AI32" s="380" t="str">
        <f>Настройки!T32</f>
        <v>out30</v>
      </c>
      <c r="AJ32" s="380" t="str">
        <f>Настройки!U32</f>
        <v>out30</v>
      </c>
      <c r="AK32" s="380" t="str">
        <f>Настройки!V32</f>
        <v>-</v>
      </c>
      <c r="AL32" s="380" t="str">
        <f>Настройки!W32</f>
        <v>-</v>
      </c>
      <c r="AM32" s="380" t="str">
        <f>Настройки!X32</f>
        <v>-</v>
      </c>
      <c r="AN32" s="380" t="str">
        <f>Настройки!Y32</f>
        <v>-</v>
      </c>
      <c r="AO32" s="380" t="str">
        <f>Настройки!Z32</f>
        <v>-</v>
      </c>
      <c r="AP32" s="380" t="str">
        <f>Настройки!AA32</f>
        <v>Canal_31</v>
      </c>
      <c r="AQ32" s="380" t="str">
        <f>Настройки!AB32</f>
        <v>Canal_31</v>
      </c>
      <c r="AR32" s="380" t="str">
        <f>Настройки!AC32</f>
        <v>-</v>
      </c>
      <c r="AS32" s="380" t="str">
        <f>Настройки!AD32</f>
        <v>-</v>
      </c>
      <c r="AT32" s="207" t="str">
        <f>Настройки!AB32</f>
        <v>Canal_31</v>
      </c>
      <c r="AU32" s="207" t="str">
        <f>Настройки!AC32</f>
        <v>-</v>
      </c>
      <c r="AV32" s="207" t="str">
        <f>Настройки!AD32</f>
        <v>-</v>
      </c>
      <c r="AW32" s="207" t="str">
        <f>Настройки!AE32</f>
        <v>-</v>
      </c>
      <c r="AX32" s="207" t="str">
        <f>Настройки!AF32</f>
        <v>IDIG_8_3</v>
      </c>
      <c r="AY32" s="207" t="str">
        <f>Настройки!AG32</f>
        <v>Canal_31</v>
      </c>
      <c r="AZ32" s="207" t="str">
        <f>Настройки!AH32</f>
        <v>Canal_31</v>
      </c>
      <c r="BA32" s="207" t="str">
        <f>Настройки!AI32</f>
        <v>Canal_31</v>
      </c>
      <c r="BB32" s="207" t="str">
        <f>Настройки!AJ32</f>
        <v>-</v>
      </c>
      <c r="BC32" s="207" t="str">
        <f>Настройки!AK32</f>
        <v>-</v>
      </c>
      <c r="BD32" s="207" t="str">
        <f>Настройки!AL32</f>
        <v>Canal_31</v>
      </c>
      <c r="BE32" s="207" t="str">
        <f>Настройки!AM32</f>
        <v>-</v>
      </c>
    </row>
    <row r="33" spans="1:57">
      <c r="A33" s="82"/>
      <c r="B33" s="82"/>
      <c r="C33" s="81"/>
      <c r="D33" s="81"/>
      <c r="E33" s="81"/>
      <c r="F33" s="81"/>
      <c r="G33" s="445"/>
      <c r="H33" s="445"/>
      <c r="I33" s="1"/>
      <c r="M33" s="424" t="str">
        <f>'Конфигурация TREI'!A34</f>
        <v>BR32</v>
      </c>
      <c r="N33" s="424" t="str">
        <f>'Конфигурация TREI'!B34</f>
        <v>M558D</v>
      </c>
      <c r="AE33" s="620">
        <f>Настройки!P33</f>
        <v>32</v>
      </c>
      <c r="AF33" s="621">
        <f>Настройки!Q33</f>
        <v>0</v>
      </c>
      <c r="AG33" s="621" t="str">
        <f>Настройки!R33</f>
        <v>-</v>
      </c>
      <c r="AH33" s="621" t="str">
        <f>Настройки!S33</f>
        <v>-</v>
      </c>
      <c r="AI33" s="621" t="str">
        <f>Настройки!T33</f>
        <v>out31</v>
      </c>
      <c r="AJ33" s="621" t="str">
        <f>Настройки!U33</f>
        <v>out31</v>
      </c>
      <c r="AK33" s="621" t="str">
        <f>Настройки!V33</f>
        <v>-</v>
      </c>
      <c r="AL33" s="621" t="str">
        <f>Настройки!W33</f>
        <v>-</v>
      </c>
      <c r="AM33" s="621" t="str">
        <f>Настройки!X33</f>
        <v>-</v>
      </c>
      <c r="AN33" s="621" t="str">
        <f>Настройки!Y33</f>
        <v>-</v>
      </c>
      <c r="AO33" s="621" t="str">
        <f>Настройки!Z33</f>
        <v>-</v>
      </c>
      <c r="AP33" s="621" t="str">
        <f>Настройки!AA33</f>
        <v>Canal_32</v>
      </c>
      <c r="AQ33" s="621" t="str">
        <f>Настройки!AB33</f>
        <v>Canal_32</v>
      </c>
      <c r="AR33" s="621" t="str">
        <f>Настройки!AC33</f>
        <v>-</v>
      </c>
      <c r="AS33" s="621" t="str">
        <f>Настройки!AD33</f>
        <v>-</v>
      </c>
      <c r="AT33" s="622" t="str">
        <f>Настройки!AB33</f>
        <v>Canal_32</v>
      </c>
      <c r="AU33" s="622" t="str">
        <f>Настройки!AC33</f>
        <v>-</v>
      </c>
      <c r="AV33" s="622" t="str">
        <f>Настройки!AD33</f>
        <v>-</v>
      </c>
      <c r="AW33" s="622" t="str">
        <f>Настройки!AE33</f>
        <v>-</v>
      </c>
      <c r="AX33" s="622" t="str">
        <f>Настройки!AF33</f>
        <v>IDIG_8_4</v>
      </c>
      <c r="AY33" s="622" t="str">
        <f>Настройки!AG33</f>
        <v>Canal_32</v>
      </c>
      <c r="AZ33" s="622" t="str">
        <f>Настройки!AH33</f>
        <v>Canal_32</v>
      </c>
      <c r="BA33" s="622" t="str">
        <f>Настройки!AI33</f>
        <v>Canal_32</v>
      </c>
      <c r="BB33" s="622" t="str">
        <f>Настройки!AJ33</f>
        <v>-</v>
      </c>
      <c r="BC33" s="622" t="str">
        <f>Настройки!AK33</f>
        <v>-</v>
      </c>
      <c r="BD33" s="622" t="str">
        <f>Настройки!AL33</f>
        <v>Canal_32</v>
      </c>
      <c r="BE33" s="622" t="str">
        <f>Настройки!AM33</f>
        <v>-</v>
      </c>
    </row>
    <row r="34" spans="1:57">
      <c r="A34" s="82"/>
      <c r="B34" s="82"/>
      <c r="C34" s="81"/>
      <c r="D34" s="81"/>
      <c r="E34" s="81"/>
      <c r="F34" s="81"/>
      <c r="G34" s="445"/>
      <c r="H34" s="445"/>
      <c r="I34" s="1"/>
      <c r="M34" s="424" t="str">
        <f>'Конфигурация TREI'!A35</f>
        <v>BR33</v>
      </c>
      <c r="N34" s="424" t="str">
        <f>'Конфигурация TREI'!B35</f>
        <v>M558D</v>
      </c>
      <c r="AE34" s="624"/>
      <c r="AF34" s="624"/>
      <c r="AG34" s="624"/>
      <c r="AH34" s="624"/>
      <c r="AI34" s="624"/>
      <c r="AJ34" s="624"/>
      <c r="AK34" s="624"/>
      <c r="AL34" s="624"/>
      <c r="AM34" s="624"/>
      <c r="AN34" s="624"/>
      <c r="AO34" s="624"/>
      <c r="AP34" s="624"/>
      <c r="AQ34" s="624"/>
      <c r="AR34" s="624"/>
      <c r="AS34" s="624"/>
      <c r="AT34" s="625"/>
      <c r="AU34" s="625"/>
      <c r="AV34" s="625"/>
      <c r="AW34" s="625"/>
      <c r="AX34" s="625"/>
      <c r="AY34" s="625"/>
      <c r="AZ34" s="625"/>
      <c r="BA34" s="625"/>
      <c r="BB34" s="625"/>
      <c r="BC34" s="625"/>
      <c r="BD34" s="625"/>
      <c r="BE34" s="625"/>
    </row>
    <row r="35" spans="1:57">
      <c r="A35" s="82"/>
      <c r="B35" s="82"/>
      <c r="C35" s="81"/>
      <c r="D35" s="81"/>
      <c r="E35" s="81"/>
      <c r="F35" s="81"/>
      <c r="G35" s="445"/>
      <c r="H35" s="445"/>
      <c r="I35" s="1"/>
      <c r="M35" s="424" t="str">
        <f>'Конфигурация TREI'!A36</f>
        <v>BR34</v>
      </c>
      <c r="N35" s="424" t="str">
        <f>'Конфигурация TREI'!B36</f>
        <v>M558D</v>
      </c>
      <c r="AE35" s="505"/>
      <c r="AF35" s="505"/>
      <c r="AG35" s="505"/>
      <c r="AH35" s="505"/>
      <c r="AI35" s="505"/>
      <c r="AJ35" s="505"/>
      <c r="AK35" s="505"/>
      <c r="AL35" s="505"/>
      <c r="AM35" s="505"/>
      <c r="AN35" s="505"/>
      <c r="AO35" s="505"/>
      <c r="AP35" s="505"/>
      <c r="AQ35" s="505"/>
      <c r="AR35" s="505"/>
      <c r="AS35" s="505"/>
      <c r="AT35" s="623"/>
      <c r="AU35" s="623"/>
      <c r="AV35" s="623"/>
      <c r="AW35" s="623"/>
      <c r="AX35" s="623"/>
      <c r="AY35" s="623"/>
      <c r="AZ35" s="623"/>
      <c r="BA35" s="623"/>
      <c r="BB35" s="623"/>
      <c r="BC35" s="623"/>
      <c r="BD35" s="623"/>
      <c r="BE35" s="623"/>
    </row>
    <row r="36" spans="1:57">
      <c r="A36" s="82"/>
      <c r="B36" s="82"/>
      <c r="C36" s="81"/>
      <c r="D36" s="81"/>
      <c r="E36" s="81"/>
      <c r="F36" s="81"/>
      <c r="G36" s="445"/>
      <c r="H36" s="445"/>
      <c r="I36" s="1"/>
      <c r="M36" s="424" t="str">
        <f>'Конфигурация TREI'!A37</f>
        <v>BR35</v>
      </c>
      <c r="N36" s="424" t="str">
        <f>'Конфигурация TREI'!B37</f>
        <v>M558D</v>
      </c>
      <c r="AE36" s="505"/>
      <c r="AF36" s="505"/>
      <c r="AG36" s="505"/>
      <c r="AH36" s="505"/>
      <c r="AI36" s="505"/>
      <c r="AJ36" s="505"/>
      <c r="AK36" s="505"/>
      <c r="AL36" s="505"/>
      <c r="AM36" s="505"/>
      <c r="AN36" s="505"/>
      <c r="AO36" s="505"/>
      <c r="AP36" s="505"/>
      <c r="AQ36" s="505"/>
      <c r="AR36" s="505"/>
      <c r="AS36" s="505"/>
      <c r="AT36" s="623"/>
      <c r="AU36" s="623"/>
      <c r="AV36" s="623"/>
      <c r="AW36" s="623"/>
      <c r="AX36" s="623"/>
      <c r="AY36" s="623"/>
      <c r="AZ36" s="623"/>
      <c r="BA36" s="623"/>
      <c r="BB36" s="623"/>
      <c r="BC36" s="623"/>
      <c r="BD36" s="623"/>
      <c r="BE36" s="623"/>
    </row>
    <row r="37" spans="1:57" ht="15.75" customHeight="1">
      <c r="A37" s="82"/>
      <c r="B37" s="82"/>
      <c r="C37" s="81"/>
      <c r="D37" s="81"/>
      <c r="E37" s="81"/>
      <c r="F37" s="81"/>
      <c r="G37" s="445"/>
      <c r="H37" s="445"/>
      <c r="I37" s="1"/>
      <c r="M37" s="424" t="str">
        <f>'Конфигурация TREI'!A38</f>
        <v>BR36</v>
      </c>
      <c r="N37" s="424">
        <f>'Конфигурация TREI'!B38</f>
        <v>0</v>
      </c>
      <c r="AE37" s="505"/>
      <c r="AF37" s="505"/>
      <c r="AG37" s="505"/>
      <c r="AH37" s="505"/>
      <c r="AI37" s="505"/>
      <c r="AJ37" s="505"/>
      <c r="AK37" s="505"/>
      <c r="AL37" s="505"/>
      <c r="AM37" s="505"/>
      <c r="AN37" s="505"/>
      <c r="AO37" s="505"/>
      <c r="AP37" s="505"/>
      <c r="AQ37" s="505"/>
      <c r="AR37" s="505"/>
      <c r="AS37" s="505"/>
      <c r="AT37" s="623"/>
      <c r="AU37" s="623"/>
      <c r="AV37" s="623"/>
      <c r="AW37" s="623"/>
      <c r="AX37" s="623"/>
      <c r="AY37" s="623"/>
      <c r="AZ37" s="623"/>
      <c r="BA37" s="623"/>
      <c r="BB37" s="623"/>
      <c r="BC37" s="623"/>
      <c r="BD37" s="623"/>
      <c r="BE37" s="623"/>
    </row>
    <row r="38" spans="1:57">
      <c r="A38" s="82"/>
      <c r="B38" s="82"/>
      <c r="C38" s="81"/>
      <c r="D38" s="81"/>
      <c r="E38" s="81"/>
      <c r="F38" s="81"/>
      <c r="G38" s="445"/>
      <c r="H38" s="445"/>
      <c r="I38" s="1"/>
      <c r="M38" s="424" t="str">
        <f>'Конфигурация TREI'!A39</f>
        <v>BR37</v>
      </c>
      <c r="N38" s="424">
        <f>'Конфигурация TREI'!B39</f>
        <v>0</v>
      </c>
      <c r="AE38" s="505"/>
      <c r="AF38" s="505"/>
      <c r="AG38" s="505"/>
      <c r="AH38" s="505"/>
      <c r="AI38" s="505"/>
      <c r="AJ38" s="505"/>
      <c r="AK38" s="505"/>
      <c r="AL38" s="505"/>
      <c r="AM38" s="505"/>
      <c r="AN38" s="505"/>
      <c r="AO38" s="505"/>
      <c r="AP38" s="505"/>
      <c r="AQ38" s="505"/>
      <c r="AR38" s="505"/>
      <c r="AS38" s="505"/>
      <c r="AT38" s="623"/>
      <c r="AU38" s="623"/>
      <c r="AV38" s="623"/>
      <c r="AW38" s="623"/>
      <c r="AX38" s="623"/>
      <c r="AY38" s="623"/>
      <c r="AZ38" s="623"/>
      <c r="BA38" s="623"/>
      <c r="BB38" s="623"/>
      <c r="BC38" s="623"/>
      <c r="BD38" s="623"/>
      <c r="BE38" s="623"/>
    </row>
    <row r="39" spans="1:57">
      <c r="A39" s="82"/>
      <c r="B39" s="82"/>
      <c r="C39" s="81"/>
      <c r="D39" s="81"/>
      <c r="E39" s="81"/>
      <c r="F39" s="81"/>
      <c r="G39" s="445"/>
      <c r="H39" s="445"/>
      <c r="I39" s="1"/>
      <c r="M39" s="424" t="str">
        <f>'Конфигурация TREI'!A40</f>
        <v>BR38</v>
      </c>
      <c r="N39" s="424">
        <f>'Конфигурация TREI'!B40</f>
        <v>0</v>
      </c>
      <c r="AE39" s="505"/>
      <c r="AF39" s="505"/>
      <c r="AG39" s="505"/>
      <c r="AH39" s="505"/>
      <c r="AI39" s="505"/>
      <c r="AJ39" s="505"/>
      <c r="AK39" s="505"/>
      <c r="AL39" s="505"/>
      <c r="AM39" s="505"/>
      <c r="AN39" s="505"/>
      <c r="AO39" s="505"/>
      <c r="AP39" s="505"/>
      <c r="AQ39" s="505"/>
      <c r="AR39" s="505"/>
      <c r="AS39" s="505"/>
      <c r="AT39" s="623"/>
      <c r="AU39" s="623"/>
      <c r="AV39" s="623"/>
      <c r="AW39" s="623"/>
      <c r="AX39" s="623"/>
      <c r="AY39" s="623"/>
      <c r="AZ39" s="623"/>
      <c r="BA39" s="623"/>
      <c r="BB39" s="623"/>
      <c r="BC39" s="623"/>
      <c r="BD39" s="623"/>
      <c r="BE39" s="623"/>
    </row>
    <row r="40" spans="1:57">
      <c r="A40" s="82"/>
      <c r="B40" s="82"/>
      <c r="C40" s="81"/>
      <c r="D40" s="81"/>
      <c r="E40" s="81"/>
      <c r="F40" s="81"/>
      <c r="G40" s="445"/>
      <c r="H40" s="445"/>
      <c r="I40" s="1"/>
      <c r="M40" s="424" t="str">
        <f>'Конфигурация TREI'!A41</f>
        <v>BR39</v>
      </c>
      <c r="N40" s="424">
        <f>'Конфигурация TREI'!B41</f>
        <v>0</v>
      </c>
      <c r="AE40" s="505"/>
      <c r="AF40" s="505"/>
      <c r="AG40" s="505"/>
      <c r="AH40" s="505"/>
      <c r="AI40" s="505"/>
      <c r="AJ40" s="505"/>
      <c r="AK40" s="505"/>
      <c r="AL40" s="505"/>
      <c r="AM40" s="505"/>
      <c r="AN40" s="505"/>
      <c r="AO40" s="505"/>
      <c r="AP40" s="505"/>
      <c r="AQ40" s="505"/>
      <c r="AR40" s="505"/>
      <c r="AS40" s="505"/>
      <c r="AT40" s="623"/>
      <c r="AU40" s="623"/>
      <c r="AV40" s="623"/>
      <c r="AW40" s="623"/>
      <c r="AX40" s="623"/>
      <c r="AY40" s="623"/>
      <c r="AZ40" s="623"/>
      <c r="BA40" s="623"/>
      <c r="BB40" s="623"/>
      <c r="BC40" s="623"/>
      <c r="BD40" s="623"/>
      <c r="BE40" s="623"/>
    </row>
    <row r="41" spans="1:57">
      <c r="A41" s="82"/>
      <c r="B41" s="82"/>
      <c r="C41" s="81"/>
      <c r="D41" s="81"/>
      <c r="E41" s="81"/>
      <c r="F41" s="81"/>
      <c r="G41" s="445"/>
      <c r="H41" s="445"/>
      <c r="I41" s="1"/>
      <c r="M41" s="424" t="str">
        <f>'Конфигурация TREI'!A42</f>
        <v>BR40</v>
      </c>
      <c r="N41" s="424">
        <f>'Конфигурация TREI'!B42</f>
        <v>0</v>
      </c>
      <c r="AE41" s="505"/>
      <c r="AF41" s="505"/>
      <c r="AG41" s="505"/>
      <c r="AH41" s="505"/>
      <c r="AI41" s="505"/>
      <c r="AJ41" s="505"/>
      <c r="AK41" s="505"/>
      <c r="AL41" s="505"/>
      <c r="AM41" s="505"/>
      <c r="AN41" s="505"/>
      <c r="AO41" s="505"/>
      <c r="AP41" s="505"/>
      <c r="AQ41" s="505"/>
      <c r="AR41" s="505"/>
      <c r="AS41" s="505"/>
      <c r="AT41" s="623"/>
      <c r="AU41" s="623"/>
      <c r="AV41" s="623"/>
      <c r="AW41" s="623"/>
      <c r="AX41" s="623"/>
      <c r="AY41" s="623"/>
      <c r="AZ41" s="623"/>
      <c r="BA41" s="623"/>
      <c r="BB41" s="623"/>
      <c r="BC41" s="623"/>
      <c r="BD41" s="623"/>
      <c r="BE41" s="623"/>
    </row>
    <row r="42" spans="1:57">
      <c r="A42" s="82"/>
      <c r="B42" s="82"/>
      <c r="C42" s="81"/>
      <c r="D42" s="81"/>
      <c r="E42" s="81"/>
      <c r="F42" s="81"/>
      <c r="G42" s="445"/>
      <c r="H42" s="445"/>
      <c r="I42" s="1"/>
      <c r="M42" s="424" t="str">
        <f>'Конфигурация TREI'!A43</f>
        <v>BR41</v>
      </c>
      <c r="N42" s="424">
        <f>'Конфигурация TREI'!B43</f>
        <v>0</v>
      </c>
      <c r="AE42" s="505"/>
      <c r="AF42" s="505"/>
      <c r="AG42" s="505"/>
      <c r="AH42" s="505"/>
      <c r="AI42" s="505"/>
      <c r="AJ42" s="505"/>
      <c r="AK42" s="505"/>
      <c r="AL42" s="505"/>
      <c r="AM42" s="505"/>
      <c r="AN42" s="505"/>
      <c r="AO42" s="505"/>
      <c r="AP42" s="505"/>
      <c r="AQ42" s="505"/>
      <c r="AR42" s="505"/>
      <c r="AS42" s="505"/>
      <c r="AT42" s="623"/>
      <c r="AU42" s="623"/>
      <c r="AV42" s="623"/>
      <c r="AW42" s="623"/>
      <c r="AX42" s="623"/>
      <c r="AY42" s="623"/>
      <c r="AZ42" s="623"/>
      <c r="BA42" s="623"/>
      <c r="BB42" s="623"/>
      <c r="BC42" s="623"/>
      <c r="BD42" s="623"/>
      <c r="BE42" s="623"/>
    </row>
    <row r="43" spans="1:57">
      <c r="A43" s="82"/>
      <c r="B43" s="82"/>
      <c r="C43" s="81"/>
      <c r="D43" s="81"/>
      <c r="E43" s="81"/>
      <c r="F43" s="81"/>
      <c r="G43" s="445"/>
      <c r="H43" s="445"/>
      <c r="I43" s="1"/>
      <c r="M43" s="424" t="str">
        <f>'Конфигурация TREI'!A44</f>
        <v>BR42</v>
      </c>
      <c r="N43" s="424">
        <f>'Конфигурация TREI'!B44</f>
        <v>0</v>
      </c>
      <c r="AE43" s="505"/>
      <c r="AF43" s="505"/>
      <c r="AG43" s="505"/>
      <c r="AH43" s="505"/>
      <c r="AI43" s="505"/>
      <c r="AJ43" s="505"/>
      <c r="AK43" s="505"/>
      <c r="AL43" s="505"/>
      <c r="AM43" s="505"/>
      <c r="AN43" s="505"/>
      <c r="AO43" s="505"/>
      <c r="AP43" s="505"/>
      <c r="AQ43" s="505"/>
      <c r="AR43" s="505"/>
      <c r="AS43" s="505"/>
      <c r="AT43" s="623"/>
      <c r="AU43" s="623"/>
      <c r="AV43" s="623"/>
      <c r="AW43" s="623"/>
      <c r="AX43" s="623"/>
      <c r="AY43" s="623"/>
      <c r="AZ43" s="623"/>
      <c r="BA43" s="623"/>
      <c r="BB43" s="623"/>
      <c r="BC43" s="623"/>
      <c r="BD43" s="623"/>
      <c r="BE43" s="623"/>
    </row>
    <row r="44" spans="1:57">
      <c r="A44" s="82"/>
      <c r="B44" s="82"/>
      <c r="C44" s="81"/>
      <c r="D44" s="81"/>
      <c r="E44" s="81"/>
      <c r="F44" s="81"/>
      <c r="G44" s="445"/>
      <c r="H44" s="445"/>
      <c r="I44" s="1"/>
      <c r="M44" s="424" t="str">
        <f>'Конфигурация TREI'!A45</f>
        <v>BR43</v>
      </c>
      <c r="N44" s="424">
        <f>'Конфигурация TREI'!B45</f>
        <v>0</v>
      </c>
      <c r="AE44" s="505"/>
      <c r="AF44" s="505"/>
      <c r="AG44" s="505"/>
      <c r="AH44" s="505"/>
      <c r="AI44" s="505"/>
      <c r="AJ44" s="505"/>
      <c r="AK44" s="505"/>
      <c r="AL44" s="505"/>
      <c r="AM44" s="505"/>
      <c r="AN44" s="505"/>
      <c r="AO44" s="505"/>
      <c r="AP44" s="505"/>
      <c r="AQ44" s="505"/>
      <c r="AR44" s="505"/>
      <c r="AS44" s="505"/>
      <c r="AT44" s="623"/>
      <c r="AU44" s="623"/>
      <c r="AV44" s="623"/>
      <c r="AW44" s="623"/>
      <c r="AX44" s="623"/>
      <c r="AY44" s="623"/>
      <c r="AZ44" s="623"/>
      <c r="BA44" s="623"/>
      <c r="BB44" s="623"/>
      <c r="BC44" s="623"/>
      <c r="BD44" s="623"/>
      <c r="BE44" s="623"/>
    </row>
    <row r="45" spans="1:57">
      <c r="A45" s="82"/>
      <c r="B45" s="82"/>
      <c r="C45" s="81"/>
      <c r="D45" s="81"/>
      <c r="E45" s="81"/>
      <c r="F45" s="81"/>
      <c r="G45" s="445"/>
      <c r="H45" s="445"/>
      <c r="I45" s="1"/>
      <c r="M45" s="424" t="str">
        <f>'Конфигурация TREI'!A46</f>
        <v>BR44</v>
      </c>
      <c r="N45" s="424">
        <f>'Конфигурация TREI'!B46</f>
        <v>0</v>
      </c>
      <c r="AE45" s="505"/>
      <c r="AF45" s="505"/>
      <c r="AG45" s="505"/>
      <c r="AH45" s="505"/>
      <c r="AI45" s="505"/>
      <c r="AJ45" s="505"/>
      <c r="AK45" s="505"/>
      <c r="AL45" s="505"/>
      <c r="AM45" s="505"/>
      <c r="AN45" s="505"/>
      <c r="AO45" s="505"/>
      <c r="AP45" s="505"/>
      <c r="AQ45" s="505"/>
      <c r="AR45" s="505"/>
      <c r="AS45" s="505"/>
      <c r="AT45" s="623"/>
      <c r="AU45" s="623"/>
      <c r="AV45" s="623"/>
      <c r="AW45" s="623"/>
      <c r="AX45" s="623"/>
      <c r="AY45" s="623"/>
      <c r="AZ45" s="623"/>
      <c r="BA45" s="623"/>
      <c r="BB45" s="623"/>
      <c r="BC45" s="623"/>
      <c r="BD45" s="623"/>
      <c r="BE45" s="623"/>
    </row>
    <row r="46" spans="1:57">
      <c r="A46" s="82"/>
      <c r="B46" s="82"/>
      <c r="C46" s="81"/>
      <c r="D46" s="81"/>
      <c r="E46" s="81"/>
      <c r="F46" s="81"/>
      <c r="G46" s="445"/>
      <c r="H46" s="445"/>
      <c r="I46" s="1"/>
      <c r="M46" s="424" t="str">
        <f>'Конфигурация TREI'!A47</f>
        <v>BR45</v>
      </c>
      <c r="N46" s="424">
        <f>'Конфигурация TREI'!B47</f>
        <v>0</v>
      </c>
      <c r="AE46" s="505"/>
      <c r="AF46" s="505"/>
      <c r="AG46" s="505"/>
      <c r="AH46" s="505"/>
      <c r="AI46" s="505"/>
      <c r="AJ46" s="505"/>
      <c r="AK46" s="505"/>
      <c r="AL46" s="505"/>
      <c r="AM46" s="505"/>
      <c r="AN46" s="505"/>
      <c r="AO46" s="505"/>
      <c r="AP46" s="505"/>
      <c r="AQ46" s="505"/>
      <c r="AR46" s="505"/>
      <c r="AS46" s="505"/>
      <c r="AT46" s="623"/>
      <c r="AU46" s="623"/>
      <c r="AV46" s="623"/>
      <c r="AW46" s="623"/>
      <c r="AX46" s="623"/>
      <c r="AY46" s="623"/>
      <c r="AZ46" s="623"/>
      <c r="BA46" s="623"/>
      <c r="BB46" s="623"/>
      <c r="BC46" s="623"/>
      <c r="BD46" s="623"/>
      <c r="BE46" s="623"/>
    </row>
    <row r="47" spans="1:57">
      <c r="A47" s="82"/>
      <c r="B47" s="82"/>
      <c r="C47" s="81"/>
      <c r="D47" s="81"/>
      <c r="E47" s="81"/>
      <c r="F47" s="81"/>
      <c r="G47" s="445"/>
      <c r="H47" s="445"/>
      <c r="I47" s="1"/>
      <c r="M47" s="424" t="str">
        <f>'Конфигурация TREI'!A48</f>
        <v>BR46</v>
      </c>
      <c r="N47" s="424">
        <f>'Конфигурация TREI'!B48</f>
        <v>0</v>
      </c>
      <c r="AE47" s="505"/>
      <c r="AF47" s="505"/>
      <c r="AG47" s="505"/>
      <c r="AH47" s="505"/>
      <c r="AI47" s="505"/>
      <c r="AJ47" s="505"/>
      <c r="AK47" s="505"/>
      <c r="AL47" s="505"/>
      <c r="AM47" s="505"/>
      <c r="AN47" s="505"/>
      <c r="AO47" s="505"/>
      <c r="AP47" s="505"/>
      <c r="AQ47" s="505"/>
      <c r="AR47" s="505"/>
      <c r="AS47" s="505"/>
      <c r="AT47" s="623"/>
      <c r="AU47" s="623"/>
      <c r="AV47" s="623"/>
      <c r="AW47" s="623"/>
      <c r="AX47" s="623"/>
      <c r="AY47" s="623"/>
      <c r="AZ47" s="623"/>
      <c r="BA47" s="623"/>
      <c r="BB47" s="623"/>
      <c r="BC47" s="623"/>
      <c r="BD47" s="623"/>
      <c r="BE47" s="623"/>
    </row>
    <row r="48" spans="1:57">
      <c r="A48" s="82"/>
      <c r="B48" s="82"/>
      <c r="C48" s="81"/>
      <c r="D48" s="81"/>
      <c r="E48" s="81"/>
      <c r="F48" s="81"/>
      <c r="G48" s="445"/>
      <c r="H48" s="445"/>
      <c r="I48" s="1"/>
      <c r="M48" s="424" t="str">
        <f>'Конфигурация TREI'!A49</f>
        <v>BR47</v>
      </c>
      <c r="N48" s="424">
        <f>'Конфигурация TREI'!B49</f>
        <v>0</v>
      </c>
      <c r="AE48" s="505"/>
      <c r="AF48" s="505"/>
      <c r="AG48" s="505"/>
      <c r="AH48" s="505"/>
      <c r="AI48" s="505"/>
      <c r="AJ48" s="505"/>
      <c r="AK48" s="505"/>
      <c r="AL48" s="505"/>
      <c r="AM48" s="505"/>
      <c r="AN48" s="505"/>
      <c r="AO48" s="505"/>
      <c r="AP48" s="505"/>
      <c r="AQ48" s="505"/>
      <c r="AR48" s="505"/>
      <c r="AS48" s="505"/>
      <c r="AT48" s="623"/>
      <c r="AU48" s="623"/>
      <c r="AV48" s="623"/>
      <c r="AW48" s="623"/>
      <c r="AX48" s="623"/>
      <c r="AY48" s="623"/>
      <c r="AZ48" s="623"/>
      <c r="BA48" s="623"/>
      <c r="BB48" s="623"/>
      <c r="BC48" s="623"/>
      <c r="BD48" s="623"/>
      <c r="BE48" s="623"/>
    </row>
    <row r="49" spans="1:57">
      <c r="A49" s="1"/>
      <c r="B49" s="1"/>
      <c r="C49" s="1"/>
      <c r="D49" s="1"/>
      <c r="E49" s="1"/>
      <c r="F49" s="1"/>
      <c r="G49" s="1"/>
      <c r="H49" s="1"/>
      <c r="I49" s="1"/>
      <c r="M49" s="424" t="str">
        <f>'Конфигурация TREI'!A50</f>
        <v>BR48</v>
      </c>
      <c r="N49" s="424">
        <f>'Конфигурация TREI'!B50</f>
        <v>0</v>
      </c>
      <c r="AE49" s="505"/>
      <c r="AF49" s="505"/>
      <c r="AG49" s="505"/>
      <c r="AH49" s="505"/>
      <c r="AI49" s="505"/>
      <c r="AJ49" s="505"/>
      <c r="AK49" s="505"/>
      <c r="AL49" s="505"/>
      <c r="AM49" s="505"/>
      <c r="AN49" s="505"/>
      <c r="AO49" s="505"/>
      <c r="AP49" s="505"/>
      <c r="AQ49" s="505"/>
      <c r="AR49" s="505"/>
      <c r="AS49" s="505"/>
      <c r="AT49" s="623"/>
      <c r="AU49" s="623"/>
      <c r="AV49" s="623"/>
      <c r="AW49" s="623"/>
      <c r="AX49" s="623"/>
      <c r="AY49" s="623"/>
      <c r="AZ49" s="623"/>
      <c r="BA49" s="623"/>
      <c r="BB49" s="623"/>
      <c r="BC49" s="623"/>
      <c r="BD49" s="623"/>
      <c r="BE49" s="623"/>
    </row>
    <row r="50" spans="1:57" s="4" customFormat="1">
      <c r="A50" s="446" t="str">
        <f>"//*********** "&amp;Q2&amp;" ***********"</f>
        <v>//*********** АДЭС FB ***********</v>
      </c>
      <c r="B50" s="446"/>
      <c r="C50" s="446"/>
      <c r="D50" s="446"/>
      <c r="E50" s="446"/>
      <c r="F50" s="446" t="s">
        <v>1031</v>
      </c>
      <c r="G50" s="489"/>
      <c r="H50" s="489"/>
      <c r="I50" s="490"/>
      <c r="J50" s="490" t="s">
        <v>1311</v>
      </c>
      <c r="K50" s="490" t="s">
        <v>1309</v>
      </c>
      <c r="L50" s="491" t="s">
        <v>1310</v>
      </c>
      <c r="M50" s="424" t="str">
        <f>'Конфигурация TREI'!A51</f>
        <v>BR49</v>
      </c>
      <c r="N50" s="424">
        <f>'Конфигурация TREI'!B51</f>
        <v>0</v>
      </c>
      <c r="R50" s="381"/>
      <c r="S50" s="381"/>
      <c r="T50" s="381"/>
      <c r="U50" s="381"/>
      <c r="V50" s="381"/>
      <c r="W50" s="381"/>
      <c r="X50" s="381"/>
      <c r="Y50" s="381"/>
      <c r="Z50" s="381"/>
      <c r="AA50" s="381"/>
      <c r="AB50" s="381"/>
      <c r="AC50" s="381"/>
      <c r="AD50" s="381"/>
      <c r="AE50" s="505"/>
      <c r="AF50" s="505"/>
      <c r="AG50" s="505"/>
      <c r="AH50" s="505"/>
      <c r="AI50" s="505"/>
      <c r="AJ50" s="505"/>
      <c r="AK50" s="505"/>
      <c r="AL50" s="505"/>
      <c r="AM50" s="505"/>
      <c r="AN50" s="505"/>
      <c r="AO50" s="505"/>
      <c r="AP50" s="505"/>
      <c r="AQ50" s="505"/>
      <c r="AR50" s="505"/>
      <c r="AS50" s="505"/>
      <c r="AT50" s="623"/>
      <c r="AU50" s="623"/>
      <c r="AV50" s="623"/>
      <c r="AW50" s="623"/>
      <c r="AX50" s="623"/>
      <c r="AY50" s="623"/>
      <c r="AZ50" s="623"/>
      <c r="BA50" s="623"/>
      <c r="BB50" s="623"/>
      <c r="BC50" s="623"/>
      <c r="BD50" s="623"/>
      <c r="BE50" s="623"/>
    </row>
    <row r="51" spans="1:57">
      <c r="A51" s="457" t="str">
        <f ca="1">IF(LEFT(E53,3)="out","INT_TO_BIT_BR"&amp;C53&amp;"(BR"&amp;C53&amp;".IDIG_MASK);","")</f>
        <v/>
      </c>
      <c r="B51" s="457" t="s">
        <v>1213</v>
      </c>
      <c r="C51" s="455" t="str">
        <f t="shared" ref="C51:C56" si="4">LEFT($L51,FIND("+",$L51,1)-1)</f>
        <v>2</v>
      </c>
      <c r="D51" s="455" t="s">
        <v>178</v>
      </c>
      <c r="E51" s="446" t="str">
        <f ca="1">IFERROR(IF(OR($I51="-", $H51="0"),"КАНАЛ ОТСУТСТВУЕТ",IF($I51=0,"МОДУЛЬ ОТСУТСТВУЕТ",IF(LEFT($I51,3)="out","УДАЛИТЬ",I51))),IF($K51=0,"УДАЛИТЬ","ОШИБКА ФОРМАТА"))</f>
        <v>Canal_07</v>
      </c>
      <c r="F51" s="455" t="str">
        <f>" :="&amp;IF(LEFT(SUBSTITUTE($K51," ",""),1)="!","NOT  ","")&amp;SUBSTITUTE($P$2,"\","|")&amp;"|"&amp; $J51 &amp;";"</f>
        <v xml:space="preserve"> :=NOT  S_IM_ADES|OXON;</v>
      </c>
      <c r="G51" s="445" t="str">
        <f t="shared" ref="G51:G56" si="5">INDEX($N$2:$N$61,C51)</f>
        <v>M548A</v>
      </c>
      <c r="H51" s="445" t="str">
        <f t="shared" ref="H51:H56" si="6">RIGHT($L51,LEN($L51)-FIND("+",$L51,1))</f>
        <v>7</v>
      </c>
      <c r="I51" s="460" t="str">
        <f t="shared" ref="I51:I56" ca="1" si="7">INDIRECT(ADDRESS($H51+1,MATCH($G51,$1:$1,),1))</f>
        <v>Canal_07</v>
      </c>
      <c r="J51" s="494" t="str">
        <f>$X$1</f>
        <v>OXON</v>
      </c>
      <c r="K51" s="495" t="str">
        <f>$X$2</f>
        <v>!2+7</v>
      </c>
      <c r="L51" s="496" t="str">
        <f>$X$3</f>
        <v>2+7</v>
      </c>
      <c r="M51" s="424" t="str">
        <f>'Конфигурация TREI'!A52</f>
        <v>BR50</v>
      </c>
      <c r="N51" s="424">
        <f>'Конфигурация TREI'!B52</f>
        <v>0</v>
      </c>
      <c r="AE51" s="505"/>
      <c r="AF51" s="505"/>
      <c r="AG51" s="505"/>
      <c r="AH51" s="505"/>
      <c r="AI51" s="505"/>
      <c r="AJ51" s="505"/>
      <c r="AK51" s="505"/>
      <c r="AL51" s="505"/>
      <c r="AM51" s="505"/>
      <c r="AN51" s="505"/>
      <c r="AO51" s="505"/>
      <c r="AP51" s="505"/>
      <c r="AQ51" s="505"/>
      <c r="AR51" s="505"/>
      <c r="AS51" s="505"/>
      <c r="AT51" s="623"/>
      <c r="AU51" s="623"/>
      <c r="AV51" s="623"/>
      <c r="AW51" s="623"/>
      <c r="AX51" s="623"/>
      <c r="AY51" s="623"/>
      <c r="AZ51" s="623"/>
      <c r="BA51" s="623"/>
      <c r="BB51" s="623"/>
      <c r="BC51" s="623"/>
      <c r="BD51" s="623"/>
      <c r="BE51" s="623"/>
    </row>
    <row r="52" spans="1:57">
      <c r="A52" s="457"/>
      <c r="B52" s="457" t="s">
        <v>1213</v>
      </c>
      <c r="C52" s="455" t="str">
        <f t="shared" si="4"/>
        <v>2</v>
      </c>
      <c r="D52" s="455" t="s">
        <v>178</v>
      </c>
      <c r="E52" s="446" t="str">
        <f ca="1">IFERROR(IF(OR($I52="-", $H52="0"),"КАНАЛ ОТСУТСТВУЕТ",IF($I52=0,"МОДУЛЬ ОТСУТСТВУЕТ",IF(LEFT($I52,3)="out","УДАЛИТЬ",I52))),IF($K52=0,"УДАЛИТЬ","ОШИБКА ФОРМАТА"))</f>
        <v>Canal_08</v>
      </c>
      <c r="F52" s="455" t="str">
        <f>" :="&amp;IF(LEFT(SUBSTITUTE($K52," ",""),1)="!","NOT  ","")&amp;SUBSTITUTE($P$2,"\","|")&amp;"|"&amp; $J52 &amp;";"</f>
        <v xml:space="preserve"> :=S_IM_ADES|OXOF;</v>
      </c>
      <c r="G52" s="445" t="str">
        <f t="shared" si="5"/>
        <v>M548A</v>
      </c>
      <c r="H52" s="445" t="str">
        <f t="shared" si="6"/>
        <v>8</v>
      </c>
      <c r="I52" s="460" t="str">
        <f t="shared" ca="1" si="7"/>
        <v>Canal_08</v>
      </c>
      <c r="J52" s="497" t="str">
        <f xml:space="preserve"> $Y$1</f>
        <v>OXOF</v>
      </c>
      <c r="K52" s="492" t="str">
        <f>$Y$2</f>
        <v>2+8</v>
      </c>
      <c r="L52" s="498" t="str">
        <f>$Y$3</f>
        <v>2+8</v>
      </c>
      <c r="M52" s="424" t="str">
        <f>'Конфигурация TREI'!A53</f>
        <v>BR51</v>
      </c>
      <c r="N52" s="424">
        <f>'Конфигурация TREI'!B53</f>
        <v>0</v>
      </c>
      <c r="AE52" s="505"/>
      <c r="AF52" s="505"/>
      <c r="AG52" s="505"/>
      <c r="AH52" s="505"/>
      <c r="AI52" s="505"/>
      <c r="AJ52" s="505"/>
      <c r="AK52" s="505"/>
      <c r="AL52" s="505"/>
      <c r="AM52" s="505"/>
      <c r="AN52" s="505"/>
      <c r="AO52" s="505"/>
      <c r="AP52" s="505"/>
      <c r="AQ52" s="505"/>
      <c r="AR52" s="505"/>
      <c r="AS52" s="505"/>
      <c r="AT52" s="623"/>
      <c r="AU52" s="623"/>
      <c r="AV52" s="623"/>
      <c r="AW52" s="623"/>
      <c r="AX52" s="623"/>
      <c r="AY52" s="623"/>
      <c r="AZ52" s="623"/>
      <c r="BA52" s="623"/>
      <c r="BB52" s="623"/>
      <c r="BC52" s="623"/>
      <c r="BD52" s="623"/>
      <c r="BE52" s="623"/>
    </row>
    <row r="53" spans="1:57">
      <c r="A53" s="457"/>
      <c r="B53" s="457" t="s">
        <v>1213</v>
      </c>
      <c r="C53" s="455" t="str">
        <f t="shared" si="4"/>
        <v>2</v>
      </c>
      <c r="D53" s="455" t="s">
        <v>178</v>
      </c>
      <c r="E53" s="446" t="str">
        <f ca="1">IFERROR(IF(OR($I53="-", $H53="0"),"КАНАЛ ОТСУТСТВУЕТ",IF($I53=0,"МОДУЛЬ ОТСУТСТВУЕТ",IF(LEFT($I53,3)="out","УДАЛИТЬ",I53))),IF($K53=0,"УДАЛИТЬ","ОШИБКА ФОРМАТА"))</f>
        <v>Canal_09</v>
      </c>
      <c r="F53" s="455" t="str">
        <f>" :="&amp;IF(LEFT(SUBSTITUTE($K53," ",""),1)="!","NOT  ","")&amp;SUBSTITUTE($P$2,"\","|")&amp;"|"&amp; $J53 &amp;";"</f>
        <v xml:space="preserve"> :=S_IM_ADES|OXSP;</v>
      </c>
      <c r="G53" s="445" t="str">
        <f t="shared" si="5"/>
        <v>M548A</v>
      </c>
      <c r="H53" s="445" t="str">
        <f t="shared" si="6"/>
        <v>9</v>
      </c>
      <c r="I53" s="460" t="str">
        <f t="shared" ca="1" si="7"/>
        <v>Canal_09</v>
      </c>
      <c r="J53" s="499" t="str">
        <f>$Z$1</f>
        <v>OXSP</v>
      </c>
      <c r="K53" s="500" t="str">
        <f>$Z$2</f>
        <v>2+9</v>
      </c>
      <c r="L53" s="501" t="str">
        <f>$Z$3</f>
        <v>2+9</v>
      </c>
      <c r="M53" s="424" t="str">
        <f>'Конфигурация TREI'!A54</f>
        <v>BR52</v>
      </c>
      <c r="N53" s="424">
        <f>'Конфигурация TREI'!B54</f>
        <v>0</v>
      </c>
      <c r="AE53" s="505"/>
      <c r="AF53" s="505"/>
      <c r="AG53" s="505"/>
      <c r="AH53" s="505"/>
      <c r="AI53" s="505"/>
      <c r="AJ53" s="505"/>
      <c r="AK53" s="505"/>
      <c r="AL53" s="505"/>
      <c r="AM53" s="505"/>
      <c r="AN53" s="505"/>
      <c r="AO53" s="505"/>
      <c r="AP53" s="505"/>
      <c r="AQ53" s="505"/>
      <c r="AR53" s="505"/>
      <c r="AS53" s="505"/>
      <c r="AT53" s="623"/>
      <c r="AU53" s="623"/>
      <c r="AV53" s="623"/>
      <c r="AW53" s="623"/>
      <c r="AX53" s="623"/>
      <c r="AY53" s="623"/>
      <c r="AZ53" s="623"/>
      <c r="BA53" s="623"/>
      <c r="BB53" s="623"/>
      <c r="BC53" s="623"/>
      <c r="BD53" s="623"/>
      <c r="BE53" s="623"/>
    </row>
    <row r="54" spans="1:57">
      <c r="A54" s="457"/>
      <c r="B54" s="457" t="s">
        <v>1213</v>
      </c>
      <c r="C54" s="455" t="str">
        <f t="shared" si="4"/>
        <v>2</v>
      </c>
      <c r="D54" s="455"/>
      <c r="E54" s="446" t="str">
        <f ca="1">IFERROR(IF(OR($I54="-", $H54="0"),"КАНАЛ ОТСУТСТВУЕТ",IF($I54=0,"МОДУЛЬ ОТСУТСТВУЕТ",IF(LEFT($I54,3)="out",".ODIG_MASK:=SETBIT("&amp;IF(LEFT(SUBSTITUTE($K54," ",""),1)="!","NOT  ","")&amp;SUBSTITUTE($P$2,"\","|")&amp;"|"&amp; $J54&amp;"@"&amp;REPLACE($I54,1,3,"")&amp;"@BR"&amp;$C54,"УДАЛИТЬ"))),"УДАЛИТЬ")</f>
        <v>УДАЛИТЬ</v>
      </c>
      <c r="F54" s="455" t="str">
        <f>".ODIG_MASK);"</f>
        <v>.ODIG_MASK);</v>
      </c>
      <c r="G54" s="445" t="str">
        <f t="shared" si="5"/>
        <v>M548A</v>
      </c>
      <c r="H54" s="445" t="str">
        <f t="shared" si="6"/>
        <v>7</v>
      </c>
      <c r="I54" s="460" t="str">
        <f t="shared" ca="1" si="7"/>
        <v>Canal_07</v>
      </c>
      <c r="J54" s="494" t="str">
        <f>$X$1</f>
        <v>OXON</v>
      </c>
      <c r="K54" s="495" t="str">
        <f>$X$2</f>
        <v>!2+7</v>
      </c>
      <c r="L54" s="496" t="str">
        <f>$X$3</f>
        <v>2+7</v>
      </c>
      <c r="M54" s="424" t="str">
        <f>'Конфигурация TREI'!A55</f>
        <v>BR53</v>
      </c>
      <c r="N54" s="424">
        <f>'Конфигурация TREI'!B55</f>
        <v>0</v>
      </c>
      <c r="AE54" s="505"/>
      <c r="AF54" s="505"/>
      <c r="AG54" s="505"/>
      <c r="AH54" s="505"/>
      <c r="AI54" s="505"/>
      <c r="AJ54" s="505"/>
      <c r="AK54" s="505"/>
      <c r="AL54" s="505"/>
      <c r="AM54" s="505"/>
      <c r="AN54" s="505"/>
      <c r="AO54" s="505"/>
      <c r="AP54" s="505"/>
      <c r="AQ54" s="505"/>
      <c r="AR54" s="505"/>
      <c r="AS54" s="505"/>
      <c r="AT54" s="623"/>
      <c r="AU54" s="623"/>
      <c r="AV54" s="623"/>
      <c r="AW54" s="623"/>
      <c r="AX54" s="623"/>
      <c r="AY54" s="623"/>
      <c r="AZ54" s="623"/>
      <c r="BA54" s="623"/>
      <c r="BB54" s="623"/>
      <c r="BC54" s="623"/>
      <c r="BD54" s="623"/>
      <c r="BE54" s="623"/>
    </row>
    <row r="55" spans="1:57">
      <c r="A55" s="457"/>
      <c r="B55" s="457" t="s">
        <v>1213</v>
      </c>
      <c r="C55" s="455" t="str">
        <f t="shared" si="4"/>
        <v>2</v>
      </c>
      <c r="D55" s="455"/>
      <c r="E55" s="446" t="str">
        <f ca="1">IFERROR(IF(OR($I55="-", $H55="0"),"КАНАЛ ОТСУТСТВУЕТ",IF($I55=0,"МОДУЛЬ ОТСУТСТВУЕТ",IF(LEFT($I55,3)="out",".ODIG_MASK:=SETBIT("&amp;IF(LEFT(SUBSTITUTE($K55," ",""),1)="!","NOT  ","")&amp;SUBSTITUTE($P$2,"\","|")&amp;"|"&amp; $J55&amp;"@"&amp;REPLACE($I55,1,3,"")&amp;"@BR"&amp;$C55,"УДАЛИТЬ"))),"УДАЛИТЬ")</f>
        <v>УДАЛИТЬ</v>
      </c>
      <c r="F55" s="455" t="str">
        <f>".ODIG_MASK);"</f>
        <v>.ODIG_MASK);</v>
      </c>
      <c r="G55" s="445" t="str">
        <f t="shared" si="5"/>
        <v>M548A</v>
      </c>
      <c r="H55" s="445" t="str">
        <f t="shared" si="6"/>
        <v>8</v>
      </c>
      <c r="I55" s="460" t="str">
        <f t="shared" ca="1" si="7"/>
        <v>Canal_08</v>
      </c>
      <c r="J55" s="497" t="str">
        <f xml:space="preserve"> $Y$1</f>
        <v>OXOF</v>
      </c>
      <c r="K55" s="492" t="str">
        <f>$Y$2</f>
        <v>2+8</v>
      </c>
      <c r="L55" s="498" t="str">
        <f>$Y$3</f>
        <v>2+8</v>
      </c>
      <c r="M55" s="424" t="str">
        <f>'Конфигурация TREI'!A56</f>
        <v>BR54</v>
      </c>
      <c r="N55" s="424">
        <f>'Конфигурация TREI'!B56</f>
        <v>0</v>
      </c>
      <c r="AE55" s="505"/>
      <c r="AF55" s="505"/>
      <c r="AG55" s="505"/>
      <c r="AH55" s="505"/>
      <c r="AI55" s="505"/>
      <c r="AJ55" s="505"/>
      <c r="AK55" s="505"/>
      <c r="AL55" s="505"/>
      <c r="AM55" s="505"/>
      <c r="AN55" s="505"/>
      <c r="AO55" s="505"/>
      <c r="AP55" s="505"/>
      <c r="AQ55" s="505"/>
      <c r="AR55" s="505"/>
      <c r="AS55" s="505"/>
      <c r="AT55" s="623"/>
      <c r="AU55" s="623"/>
      <c r="AV55" s="623"/>
      <c r="AW55" s="623"/>
      <c r="AX55" s="623"/>
      <c r="AY55" s="623"/>
      <c r="AZ55" s="623"/>
      <c r="BA55" s="623"/>
      <c r="BB55" s="623"/>
      <c r="BC55" s="623"/>
      <c r="BD55" s="623"/>
      <c r="BE55" s="623"/>
    </row>
    <row r="56" spans="1:57">
      <c r="A56" s="457"/>
      <c r="B56" s="457" t="s">
        <v>1213</v>
      </c>
      <c r="C56" s="455" t="str">
        <f t="shared" si="4"/>
        <v>2</v>
      </c>
      <c r="D56" s="455"/>
      <c r="E56" s="446" t="str">
        <f ca="1">IFERROR(IF(OR($I56="-", $H56="0"),"КАНАЛ ОТСУТСТВУЕТ",IF($I56=0,"МОДУЛЬ ОТСУТСТВУЕТ",IF(LEFT($I56,3)="out",".ODIG_MASK:=SETBIT("&amp;IF(LEFT(SUBSTITUTE($K56," ",""),1)="!","NOT  ","")&amp;SUBSTITUTE($P$2,"\","|")&amp;"|"&amp; $J56&amp;"@"&amp;REPLACE($I56,1,3,"")&amp;"@BR"&amp;$C56,"УДАЛИТЬ"))),"УДАЛИТЬ")</f>
        <v>УДАЛИТЬ</v>
      </c>
      <c r="F56" s="455" t="str">
        <f>".ODIG_MASK);"</f>
        <v>.ODIG_MASK);</v>
      </c>
      <c r="G56" s="445" t="str">
        <f t="shared" si="5"/>
        <v>M548A</v>
      </c>
      <c r="H56" s="445" t="str">
        <f t="shared" si="6"/>
        <v>9</v>
      </c>
      <c r="I56" s="460" t="str">
        <f t="shared" ca="1" si="7"/>
        <v>Canal_09</v>
      </c>
      <c r="J56" s="499" t="str">
        <f>$Z$1</f>
        <v>OXSP</v>
      </c>
      <c r="K56" s="500" t="str">
        <f>$Z$2</f>
        <v>2+9</v>
      </c>
      <c r="L56" s="501" t="str">
        <f>$Z$3</f>
        <v>2+9</v>
      </c>
      <c r="M56" s="424" t="str">
        <f>'Конфигурация TREI'!A57</f>
        <v>BR55</v>
      </c>
      <c r="N56" s="424">
        <f>'Конфигурация TREI'!B57</f>
        <v>0</v>
      </c>
      <c r="AE56" s="505"/>
      <c r="AF56" s="505"/>
      <c r="AG56" s="505"/>
      <c r="AH56" s="505"/>
      <c r="AI56" s="505"/>
      <c r="AJ56" s="505"/>
      <c r="AK56" s="505"/>
      <c r="AL56" s="505"/>
      <c r="AM56" s="505"/>
      <c r="AN56" s="505"/>
      <c r="AO56" s="505"/>
      <c r="AP56" s="505"/>
      <c r="AQ56" s="505"/>
      <c r="AR56" s="505"/>
      <c r="AS56" s="505"/>
      <c r="AT56" s="623"/>
      <c r="AU56" s="623"/>
      <c r="AV56" s="623"/>
      <c r="AW56" s="623"/>
      <c r="AX56" s="623"/>
      <c r="AY56" s="623"/>
      <c r="AZ56" s="623"/>
      <c r="BA56" s="623"/>
      <c r="BB56" s="623"/>
      <c r="BC56" s="623"/>
      <c r="BD56" s="623"/>
      <c r="BE56" s="623"/>
    </row>
    <row r="57" spans="1:57">
      <c r="A57" s="457" t="str">
        <f>SUBSTITUTE($P$2,"\","|")&amp;"|"&amp;"DOON:="&amp;P4&amp;"NOT_LINK_BR"</f>
        <v>S_IM_ADES|DOON:=NOT_LINK_BR</v>
      </c>
      <c r="B57" s="457"/>
      <c r="C57" s="455"/>
      <c r="D57" s="455"/>
      <c r="E57" s="455" t="str">
        <f>IFERROR(LEFT($L57,FIND("+",$L57,1)-1),"УДАЛИТЬ")</f>
        <v>УДАЛИТЬ</v>
      </c>
      <c r="F57" s="455" t="s">
        <v>845</v>
      </c>
      <c r="G57" s="445"/>
      <c r="H57" s="445"/>
      <c r="I57" s="1"/>
      <c r="M57" s="424" t="str">
        <f>'Конфигурация TREI'!A58</f>
        <v>BR56</v>
      </c>
      <c r="N57" s="424">
        <f>'Конфигурация TREI'!B58</f>
        <v>0</v>
      </c>
      <c r="AE57" s="505"/>
      <c r="AF57" s="505"/>
      <c r="AG57" s="505"/>
      <c r="AH57" s="505"/>
      <c r="AI57" s="505"/>
      <c r="AJ57" s="505"/>
      <c r="AK57" s="505"/>
      <c r="AL57" s="505"/>
      <c r="AM57" s="505"/>
      <c r="AN57" s="505"/>
      <c r="AO57" s="505"/>
      <c r="AP57" s="505"/>
      <c r="AQ57" s="505"/>
      <c r="AR57" s="505"/>
      <c r="AS57" s="505"/>
      <c r="AT57" s="623"/>
      <c r="AU57" s="623"/>
      <c r="AV57" s="623"/>
      <c r="AW57" s="623"/>
      <c r="AX57" s="623"/>
      <c r="AY57" s="623"/>
      <c r="AZ57" s="623"/>
      <c r="BA57" s="623"/>
      <c r="BB57" s="623"/>
      <c r="BC57" s="623"/>
      <c r="BD57" s="623"/>
      <c r="BE57" s="623"/>
    </row>
    <row r="58" spans="1:57">
      <c r="A58" s="457" t="str">
        <f>SUBSTITUTE($P$2,"\","|")&amp;"|"&amp;"DOOF:="&amp;P4&amp;"NOT_LINK_BR"</f>
        <v>S_IM_ADES|DOOF:=NOT_LINK_BR</v>
      </c>
      <c r="B58" s="457"/>
      <c r="C58" s="455"/>
      <c r="D58" s="455"/>
      <c r="E58" s="455" t="str">
        <f>IFERROR(LEFT($L58,FIND("+",$L58,1)-1),"УДАЛИТЬ")</f>
        <v>УДАЛИТЬ</v>
      </c>
      <c r="F58" s="455" t="s">
        <v>845</v>
      </c>
      <c r="G58" s="1"/>
      <c r="H58" s="1"/>
      <c r="I58" s="1"/>
      <c r="M58" s="424" t="str">
        <f>'Конфигурация TREI'!A59</f>
        <v>BR57</v>
      </c>
      <c r="N58" s="424">
        <f>'Конфигурация TREI'!B59</f>
        <v>0</v>
      </c>
      <c r="AE58" s="505"/>
      <c r="AF58" s="505"/>
      <c r="AG58" s="505"/>
      <c r="AH58" s="505"/>
      <c r="AI58" s="505"/>
      <c r="AJ58" s="505"/>
      <c r="AK58" s="505"/>
      <c r="AL58" s="505"/>
      <c r="AM58" s="505"/>
      <c r="AN58" s="505"/>
      <c r="AO58" s="505"/>
      <c r="AP58" s="505"/>
      <c r="AQ58" s="505"/>
      <c r="AR58" s="505"/>
      <c r="AS58" s="505"/>
      <c r="AT58" s="623"/>
      <c r="AU58" s="623"/>
      <c r="AV58" s="623"/>
      <c r="AW58" s="623"/>
      <c r="AX58" s="623"/>
      <c r="AY58" s="623"/>
      <c r="AZ58" s="623"/>
      <c r="BA58" s="623"/>
      <c r="BB58" s="623"/>
      <c r="BC58" s="623"/>
      <c r="BD58" s="623"/>
      <c r="BE58" s="623"/>
    </row>
    <row r="59" spans="1:57">
      <c r="A59" s="457" t="str">
        <f>SUBSTITUTE($P$2,"\","|")&amp;"|"&amp;"DOSP:="&amp;P4&amp;"NOT_LINK_BR"</f>
        <v>S_IM_ADES|DOSP:=NOT_LINK_BR</v>
      </c>
      <c r="B59" s="457"/>
      <c r="C59" s="455"/>
      <c r="D59" s="455"/>
      <c r="E59" s="455" t="str">
        <f>IFERROR(LEFT($L59,FIND("+",$L59,1)-1),"УДАЛИТЬ")</f>
        <v>УДАЛИТЬ</v>
      </c>
      <c r="F59" s="455" t="s">
        <v>845</v>
      </c>
      <c r="G59" s="11"/>
      <c r="H59" s="11"/>
      <c r="I59" s="11"/>
      <c r="J59" s="4"/>
      <c r="K59" s="4"/>
      <c r="L59" s="4"/>
      <c r="M59" s="424" t="str">
        <f>'Конфигурация TREI'!A60</f>
        <v>BR58</v>
      </c>
      <c r="N59" s="424">
        <f>'Конфигурация TREI'!B60</f>
        <v>0</v>
      </c>
      <c r="AE59" s="505"/>
      <c r="AF59" s="505"/>
      <c r="AG59" s="505"/>
      <c r="AH59" s="505"/>
      <c r="AI59" s="505"/>
      <c r="AJ59" s="505"/>
      <c r="AK59" s="505"/>
      <c r="AL59" s="505"/>
      <c r="AM59" s="505"/>
      <c r="AN59" s="505"/>
      <c r="AO59" s="505"/>
      <c r="AP59" s="505"/>
      <c r="AQ59" s="505"/>
      <c r="AR59" s="505"/>
      <c r="AS59" s="505"/>
      <c r="AT59" s="623"/>
      <c r="AU59" s="623"/>
      <c r="AV59" s="623"/>
      <c r="AW59" s="623"/>
      <c r="AX59" s="623"/>
      <c r="AY59" s="623"/>
      <c r="AZ59" s="623"/>
      <c r="BA59" s="623"/>
      <c r="BB59" s="623"/>
      <c r="BC59" s="623"/>
      <c r="BD59" s="623"/>
      <c r="BE59" s="623"/>
    </row>
    <row r="60" spans="1:57">
      <c r="M60" s="424" t="str">
        <f>'Конфигурация TREI'!A61</f>
        <v>BR59</v>
      </c>
      <c r="N60" s="424">
        <f>'Конфигурация TREI'!B61</f>
        <v>0</v>
      </c>
    </row>
    <row r="61" spans="1:57">
      <c r="M61" s="424" t="str">
        <f>'Конфигурация TREI'!A62</f>
        <v>BR60</v>
      </c>
      <c r="N61" s="424">
        <f>'Конфигурация TREI'!B62</f>
        <v>0</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sheetPr codeName="Лист112">
    <tabColor theme="2" tint="-0.249977111117893"/>
  </sheetPr>
  <dimension ref="A1:BE61"/>
  <sheetViews>
    <sheetView workbookViewId="0">
      <selection activeCell="D2" sqref="D2:D4"/>
    </sheetView>
  </sheetViews>
  <sheetFormatPr defaultRowHeight="14.4"/>
  <cols>
    <col min="1" max="1" width="35.44140625" customWidth="1"/>
    <col min="2" max="2" width="21.44140625" customWidth="1"/>
    <col min="3" max="3" width="3.44140625" customWidth="1"/>
    <col min="4" max="4" width="1.109375" customWidth="1"/>
    <col min="5" max="5" width="33.44140625" customWidth="1"/>
    <col min="6" max="6" width="30.88671875" customWidth="1"/>
    <col min="7" max="7" width="10.5546875" customWidth="1"/>
    <col min="8" max="8" width="14.33203125" customWidth="1"/>
    <col min="9" max="9" width="11.44140625" customWidth="1"/>
    <col min="10" max="10" width="9.109375" customWidth="1"/>
    <col min="11" max="11" width="10.88671875" customWidth="1"/>
    <col min="12" max="12" width="11.5546875" customWidth="1"/>
    <col min="13" max="13" width="10.6640625" bestFit="1" customWidth="1"/>
    <col min="14" max="14" width="8.109375" bestFit="1" customWidth="1"/>
    <col min="15" max="15" width="9.109375" customWidth="1"/>
    <col min="16" max="16" width="34.6640625" customWidth="1"/>
    <col min="17" max="17" width="39.33203125" customWidth="1"/>
    <col min="18" max="30" width="26.109375" style="55" customWidth="1"/>
    <col min="31" max="31" width="4.5546875" style="427" customWidth="1"/>
    <col min="32" max="32" width="11.109375" customWidth="1"/>
  </cols>
  <sheetData>
    <row r="1" spans="1:57">
      <c r="A1" s="425"/>
      <c r="B1" s="425"/>
      <c r="C1" s="425"/>
      <c r="D1" s="425"/>
      <c r="E1" s="425"/>
      <c r="F1" s="425"/>
      <c r="G1" s="426" t="s">
        <v>846</v>
      </c>
      <c r="H1" s="426" t="s">
        <v>847</v>
      </c>
      <c r="I1" s="424" t="s">
        <v>1181</v>
      </c>
      <c r="J1" s="425"/>
      <c r="M1" s="424" t="str">
        <f>'Конфигурация TREI'!A1</f>
        <v>№ Модуля</v>
      </c>
      <c r="N1" s="424" t="str">
        <f>'Конфигурация TREI'!B2</f>
        <v>M501E(рез)</v>
      </c>
      <c r="O1" s="425"/>
      <c r="P1" s="425" t="str">
        <f>Таблица!D1</f>
        <v>Префикс для TREI
Тэг ОРС для INFINITY</v>
      </c>
      <c r="Q1" s="425" t="str">
        <f>Таблица!E1</f>
        <v>Комментарий для TREI и INFINITY</v>
      </c>
      <c r="R1" s="428"/>
      <c r="S1" s="428" t="s">
        <v>2743</v>
      </c>
      <c r="T1" s="428" t="s">
        <v>1036</v>
      </c>
      <c r="U1" s="428" t="s">
        <v>848</v>
      </c>
      <c r="V1" s="428" t="s">
        <v>849</v>
      </c>
      <c r="W1" s="428" t="s">
        <v>850</v>
      </c>
      <c r="X1" s="428" t="s">
        <v>2745</v>
      </c>
      <c r="Y1" s="428"/>
      <c r="Z1" s="428"/>
      <c r="AA1" s="428"/>
      <c r="AB1" s="428"/>
      <c r="AC1" s="428"/>
      <c r="AD1" s="429"/>
      <c r="AE1" s="438"/>
      <c r="AF1" s="438">
        <f>Настройки!Q1</f>
        <v>0</v>
      </c>
      <c r="AG1" s="438" t="str">
        <f>Настройки!R1</f>
        <v>M943DR</v>
      </c>
      <c r="AH1" s="438" t="str">
        <f>Настройки!S1</f>
        <v>M942A</v>
      </c>
      <c r="AI1" s="438" t="str">
        <f>Настройки!T1</f>
        <v>M957D</v>
      </c>
      <c r="AJ1" s="438" t="str">
        <f>Настройки!U1</f>
        <v>M957O</v>
      </c>
      <c r="AK1" s="438" t="str">
        <f>Настройки!V1</f>
        <v>M947R</v>
      </c>
      <c r="AL1" s="438" t="str">
        <f>Настройки!W1</f>
        <v>M931V</v>
      </c>
      <c r="AM1" s="438" t="str">
        <f>Настройки!X1</f>
        <v>M931T</v>
      </c>
      <c r="AN1" s="438" t="str">
        <f>Настройки!Y1</f>
        <v>M547A</v>
      </c>
      <c r="AO1" s="438" t="str">
        <f>Настройки!Z1</f>
        <v>M537V</v>
      </c>
      <c r="AP1" s="438" t="str">
        <f>Настройки!AA1</f>
        <v>M557D</v>
      </c>
      <c r="AQ1" s="438" t="str">
        <f>Настройки!AB1</f>
        <v>M557O</v>
      </c>
      <c r="AR1" s="438" t="str">
        <f>Настройки!AC1</f>
        <v>MOPS</v>
      </c>
      <c r="AS1" s="438" t="str">
        <f>Настройки!AD1</f>
        <v>MUPS</v>
      </c>
      <c r="AT1" s="439" t="str">
        <f>Настройки!AB1</f>
        <v>M557O</v>
      </c>
      <c r="AU1" s="439" t="str">
        <f>Настройки!AC1</f>
        <v>MOPS</v>
      </c>
      <c r="AV1" s="439" t="str">
        <f>Настройки!AD1</f>
        <v>MUPS</v>
      </c>
      <c r="AW1" s="439" t="str">
        <f>Настройки!AE1</f>
        <v>M941A</v>
      </c>
      <c r="AX1" s="439" t="str">
        <f>Настройки!AF1</f>
        <v>M954D</v>
      </c>
      <c r="AY1" s="439" t="str">
        <f>Настройки!AG1</f>
        <v>M557DR</v>
      </c>
      <c r="AZ1" s="439" t="str">
        <f>Настройки!AH1</f>
        <v>M558D</v>
      </c>
      <c r="BA1" s="439" t="str">
        <f>Настройки!AI1</f>
        <v>M558O</v>
      </c>
      <c r="BB1" s="439" t="str">
        <f>Настройки!AJ1</f>
        <v>M548A</v>
      </c>
      <c r="BC1" s="439" t="str">
        <f>Настройки!AK1</f>
        <v>M538V</v>
      </c>
      <c r="BD1" s="439" t="str">
        <f>Настройки!AL1</f>
        <v>M558DR</v>
      </c>
      <c r="BE1" s="439" t="str">
        <f>Настройки!AM1</f>
        <v>*</v>
      </c>
    </row>
    <row r="2" spans="1:57">
      <c r="A2" s="446" t="str">
        <f>"//*********** "&amp;Q2&amp;" ***********"</f>
        <v>//*********** Регулятор FB ***********</v>
      </c>
      <c r="B2" s="446"/>
      <c r="C2" s="446"/>
      <c r="D2" s="446"/>
      <c r="E2" s="446"/>
      <c r="F2" s="446" t="s">
        <v>1031</v>
      </c>
      <c r="G2" s="447"/>
      <c r="H2" s="447"/>
      <c r="I2" s="459"/>
      <c r="M2" s="424" t="str">
        <f>'Конфигурация TREI'!A3</f>
        <v>BR1</v>
      </c>
      <c r="N2" s="424" t="str">
        <f>'Конфигурация TREI'!B3</f>
        <v>M558D</v>
      </c>
      <c r="P2" s="2" t="s">
        <v>715</v>
      </c>
      <c r="Q2" s="2" t="s">
        <v>767</v>
      </c>
      <c r="R2" s="379"/>
      <c r="S2" s="379"/>
      <c r="T2" s="379" t="s">
        <v>1242</v>
      </c>
      <c r="U2" s="379" t="s">
        <v>1243</v>
      </c>
      <c r="V2" s="379" t="s">
        <v>1244</v>
      </c>
      <c r="W2" s="379" t="s">
        <v>1245</v>
      </c>
      <c r="X2" s="379" t="s">
        <v>1246</v>
      </c>
      <c r="Y2" s="379"/>
      <c r="Z2" s="379"/>
      <c r="AA2" s="379"/>
      <c r="AB2" s="379"/>
      <c r="AC2" s="379"/>
      <c r="AE2" s="431">
        <f>Настройки!P2</f>
        <v>1</v>
      </c>
      <c r="AF2" s="380">
        <f>Настройки!Q2</f>
        <v>0</v>
      </c>
      <c r="AG2" s="380" t="str">
        <f>Настройки!R2</f>
        <v>IDIG_1_1</v>
      </c>
      <c r="AH2" s="380" t="str">
        <f>Настройки!S2</f>
        <v>IANS_1_3</v>
      </c>
      <c r="AI2" s="380" t="str">
        <f>Настройки!T2</f>
        <v>out0</v>
      </c>
      <c r="AJ2" s="380" t="str">
        <f>Настройки!U2</f>
        <v>out0</v>
      </c>
      <c r="AK2" s="380" t="str">
        <f>Настройки!V2</f>
        <v>ODIG_1</v>
      </c>
      <c r="AL2" s="380" t="str">
        <f>Настройки!W2</f>
        <v>OAN_1_1</v>
      </c>
      <c r="AM2" s="380" t="str">
        <f>Настройки!X2</f>
        <v>IANS_1_1</v>
      </c>
      <c r="AN2" s="380" t="str">
        <f>Настройки!Y2</f>
        <v>Canal_01</v>
      </c>
      <c r="AO2" s="380" t="str">
        <f>Настройки!Z2</f>
        <v>Canal_01</v>
      </c>
      <c r="AP2" s="380" t="str">
        <f>Настройки!AA2</f>
        <v>Canal_01</v>
      </c>
      <c r="AQ2" s="380" t="str">
        <f>Настройки!AB2</f>
        <v>Canal_01</v>
      </c>
      <c r="AR2" s="380" t="str">
        <f>Настройки!AC2</f>
        <v>IVXX[0]</v>
      </c>
      <c r="AS2" s="380" t="str">
        <f>Настройки!AD2</f>
        <v>IVXX[0]</v>
      </c>
      <c r="AT2" s="207" t="str">
        <f>Настройки!AB2</f>
        <v>Canal_01</v>
      </c>
      <c r="AU2" s="207" t="str">
        <f>Настройки!AC2</f>
        <v>IVXX[0]</v>
      </c>
      <c r="AV2" s="207" t="str">
        <f>Настройки!AD2</f>
        <v>IVXX[0]</v>
      </c>
      <c r="AW2" s="207" t="str">
        <f>Настройки!AE2</f>
        <v>IANS_1_1</v>
      </c>
      <c r="AX2" s="207" t="str">
        <f>Настройки!AF2</f>
        <v>IDIG_1_1</v>
      </c>
      <c r="AY2" s="207" t="str">
        <f>Настройки!AG2</f>
        <v>Canal_01</v>
      </c>
      <c r="AZ2" s="207" t="str">
        <f>Настройки!AH2</f>
        <v>Canal_01</v>
      </c>
      <c r="BA2" s="207" t="str">
        <f>Настройки!AI2</f>
        <v>Canal_01</v>
      </c>
      <c r="BB2" s="207" t="str">
        <f>Настройки!AJ2</f>
        <v>Canal_01</v>
      </c>
      <c r="BC2" s="207" t="str">
        <f>Настройки!AK2</f>
        <v>Canal_01</v>
      </c>
      <c r="BD2" s="207" t="str">
        <f>Настройки!AL2</f>
        <v>Canal_01</v>
      </c>
      <c r="BE2" s="207" t="str">
        <f>Настройки!AM2</f>
        <v>-</v>
      </c>
    </row>
    <row r="3" spans="1:57">
      <c r="A3" s="82"/>
      <c r="B3" s="82"/>
      <c r="C3" s="81"/>
      <c r="D3" s="81"/>
      <c r="E3" s="448" t="str">
        <f ca="1">IF(LEFT(E7,3)="out","INT_TO_BIT_BR"&amp;C7&amp;"(BR"&amp;C7&amp;".IDIG_MASK)","УДАЛИТЬ")</f>
        <v>УДАЛИТЬ</v>
      </c>
      <c r="F3" s="446" t="s">
        <v>845</v>
      </c>
      <c r="G3" s="447"/>
      <c r="H3" s="447"/>
      <c r="I3" s="459"/>
      <c r="M3" s="424" t="str">
        <f>'Конфигурация TREI'!A4</f>
        <v>BR2</v>
      </c>
      <c r="N3" s="424" t="str">
        <f>'Конфигурация TREI'!B4</f>
        <v>M548A</v>
      </c>
      <c r="P3" s="425" t="str">
        <f>'Конфигурация TREI'!D1</f>
        <v>Путь TREI для сигналов NOT_LINK</v>
      </c>
      <c r="R3" s="378"/>
      <c r="S3" s="454" t="str">
        <f>SUBSTITUTE(SUBSTITUTE($S$2,"!","")," ","")</f>
        <v/>
      </c>
      <c r="T3" s="454" t="str">
        <f>SUBSTITUTE(SUBSTITUTE($T$2,"!","")," ","")</f>
        <v>3+3</v>
      </c>
      <c r="U3" s="454" t="str">
        <f>SUBSTITUTE(SUBSTITUTE($U$2,"!","")," ","")</f>
        <v>1+15</v>
      </c>
      <c r="V3" s="454" t="str">
        <f>SUBSTITUTE(SUBSTITUTE($V$2,"!","")," ","")</f>
        <v>1+16</v>
      </c>
      <c r="W3" s="454" t="str">
        <f>SUBSTITUTE(SUBSTITUTE($W$2,"!","")," ","")</f>
        <v>1+17</v>
      </c>
      <c r="X3" s="454" t="str">
        <f>SUBSTITUTE(SUBSTITUTE($X$2,"!","")," ","")</f>
        <v>4+1</v>
      </c>
      <c r="Y3" s="454" t="str">
        <f>SUBSTITUTE(SUBSTITUTE($Y$2,"!","")," ","")</f>
        <v/>
      </c>
      <c r="Z3" s="454" t="str">
        <f>SUBSTITUTE(SUBSTITUTE($Z$2,"!","")," ","")</f>
        <v/>
      </c>
      <c r="AA3" s="454" t="str">
        <f>SUBSTITUTE(SUBSTITUTE($AA$2,"!","")," ","")</f>
        <v/>
      </c>
      <c r="AB3" s="454" t="str">
        <f>SUBSTITUTE(SUBSTITUTE($AB$2,"!","")," ","")</f>
        <v/>
      </c>
      <c r="AC3" s="454" t="str">
        <f>SUBSTITUTE(SUBSTITUTE($AC$2,"!","")," ","")</f>
        <v/>
      </c>
      <c r="AE3" s="431">
        <f>Настройки!P3</f>
        <v>2</v>
      </c>
      <c r="AF3" s="380">
        <f>Настройки!Q3</f>
        <v>0</v>
      </c>
      <c r="AG3" s="380" t="str">
        <f>Настройки!R3</f>
        <v>IDIG_1_2</v>
      </c>
      <c r="AH3" s="380" t="str">
        <f>Настройки!S3</f>
        <v>IANS_1_4</v>
      </c>
      <c r="AI3" s="380" t="str">
        <f>Настройки!T3</f>
        <v>out1</v>
      </c>
      <c r="AJ3" s="380" t="str">
        <f>Настройки!U3</f>
        <v>out1</v>
      </c>
      <c r="AK3" s="380" t="str">
        <f>Настройки!V3</f>
        <v>ODIG_2</v>
      </c>
      <c r="AL3" s="380" t="str">
        <f>Настройки!W3</f>
        <v>OAN_2_1</v>
      </c>
      <c r="AM3" s="380" t="str">
        <f>Настройки!X3</f>
        <v>IANS_2_1</v>
      </c>
      <c r="AN3" s="380" t="str">
        <f>Настройки!Y3</f>
        <v>Canal_02</v>
      </c>
      <c r="AO3" s="380" t="str">
        <f>Настройки!Z3</f>
        <v>Canal_02</v>
      </c>
      <c r="AP3" s="380" t="str">
        <f>Настройки!AA3</f>
        <v>Canal_02</v>
      </c>
      <c r="AQ3" s="380" t="str">
        <f>Настройки!AB3</f>
        <v>Canal_02</v>
      </c>
      <c r="AR3" s="380" t="str">
        <f>Настройки!AC3</f>
        <v>IVXX[1]</v>
      </c>
      <c r="AS3" s="380" t="str">
        <f>Настройки!AD3</f>
        <v>IVXX[1]</v>
      </c>
      <c r="AT3" s="207" t="str">
        <f>Настройки!AB3</f>
        <v>Canal_02</v>
      </c>
      <c r="AU3" s="207" t="str">
        <f>Настройки!AC3</f>
        <v>IVXX[1]</v>
      </c>
      <c r="AV3" s="207" t="str">
        <f>Настройки!AD3</f>
        <v>IVXX[1]</v>
      </c>
      <c r="AW3" s="207" t="str">
        <f>Настройки!AE3</f>
        <v>IANS_1_2</v>
      </c>
      <c r="AX3" s="207" t="str">
        <f>Настройки!AF3</f>
        <v>IDIG_1_2</v>
      </c>
      <c r="AY3" s="207" t="str">
        <f>Настройки!AG3</f>
        <v>Canal_02</v>
      </c>
      <c r="AZ3" s="207" t="str">
        <f>Настройки!AH3</f>
        <v>Canal_02</v>
      </c>
      <c r="BA3" s="207" t="str">
        <f>Настройки!AI3</f>
        <v>Canal_02</v>
      </c>
      <c r="BB3" s="207" t="str">
        <f>Настройки!AJ3</f>
        <v>Canal_02</v>
      </c>
      <c r="BC3" s="207" t="str">
        <f>Настройки!AK3</f>
        <v>Canal_02</v>
      </c>
      <c r="BD3" s="207" t="str">
        <f>Настройки!AL3</f>
        <v>Canal_02</v>
      </c>
      <c r="BE3" s="207" t="str">
        <f>Настройки!AM3</f>
        <v>-</v>
      </c>
    </row>
    <row r="4" spans="1:57">
      <c r="A4" s="82"/>
      <c r="B4" s="82"/>
      <c r="C4" s="81"/>
      <c r="D4" s="81"/>
      <c r="E4" s="448" t="str">
        <f ca="1">IF(LEFT(E8,3)="out","INT_TO_BIT_BR"&amp;C8&amp;"(BR"&amp;C8&amp;".IDIG_MASK)","УДАЛИТЬ")</f>
        <v>УДАЛИТЬ</v>
      </c>
      <c r="F4" s="446" t="s">
        <v>845</v>
      </c>
      <c r="G4" s="447"/>
      <c r="H4" s="447"/>
      <c r="I4" s="459"/>
      <c r="M4" s="424" t="str">
        <f>'Конфигурация TREI'!A5</f>
        <v>BR3</v>
      </c>
      <c r="N4" s="424" t="str">
        <f>'Конфигурация TREI'!B5</f>
        <v>M548A</v>
      </c>
      <c r="P4" s="3" t="str">
        <f>Настройки!D2</f>
        <v/>
      </c>
      <c r="AE4" s="431">
        <f>Настройки!P4</f>
        <v>3</v>
      </c>
      <c r="AF4" s="380">
        <f>Настройки!Q4</f>
        <v>0</v>
      </c>
      <c r="AG4" s="380" t="str">
        <f>Настройки!R4</f>
        <v>IDIG_2_1</v>
      </c>
      <c r="AH4" s="380" t="str">
        <f>Настройки!S4</f>
        <v>IANS_2_3</v>
      </c>
      <c r="AI4" s="380" t="str">
        <f>Настройки!T4</f>
        <v>out2</v>
      </c>
      <c r="AJ4" s="380" t="str">
        <f>Настройки!U4</f>
        <v>out2</v>
      </c>
      <c r="AK4" s="380" t="str">
        <f>Настройки!V4</f>
        <v>ODIG_3</v>
      </c>
      <c r="AL4" s="380" t="str">
        <f>Настройки!W4</f>
        <v>OAN_3_1</v>
      </c>
      <c r="AM4" s="380" t="str">
        <f>Настройки!X4</f>
        <v>IANS_3_1</v>
      </c>
      <c r="AN4" s="380" t="str">
        <f>Настройки!Y4</f>
        <v>Canal_03</v>
      </c>
      <c r="AO4" s="380" t="str">
        <f>Настройки!Z4</f>
        <v>Canal_03</v>
      </c>
      <c r="AP4" s="380" t="str">
        <f>Настройки!AA4</f>
        <v>Canal_03</v>
      </c>
      <c r="AQ4" s="380" t="str">
        <f>Настройки!AB4</f>
        <v>Canal_03</v>
      </c>
      <c r="AR4" s="380" t="str">
        <f>Настройки!AC4</f>
        <v>IVXX[2]</v>
      </c>
      <c r="AS4" s="380" t="str">
        <f>Настройки!AD4</f>
        <v>IVXX[2]</v>
      </c>
      <c r="AT4" s="207" t="str">
        <f>Настройки!AB4</f>
        <v>Canal_03</v>
      </c>
      <c r="AU4" s="207" t="str">
        <f>Настройки!AC4</f>
        <v>IVXX[2]</v>
      </c>
      <c r="AV4" s="207" t="str">
        <f>Настройки!AD4</f>
        <v>IVXX[2]</v>
      </c>
      <c r="AW4" s="207" t="str">
        <f>Настройки!AE4</f>
        <v>IANS_2_1</v>
      </c>
      <c r="AX4" s="207" t="str">
        <f>Настройки!AF4</f>
        <v>IDIG_1_3</v>
      </c>
      <c r="AY4" s="207" t="str">
        <f>Настройки!AG4</f>
        <v>Canal_03</v>
      </c>
      <c r="AZ4" s="207" t="str">
        <f>Настройки!AH4</f>
        <v>Canal_03</v>
      </c>
      <c r="BA4" s="207" t="str">
        <f>Настройки!AI4</f>
        <v>Canal_03</v>
      </c>
      <c r="BB4" s="207" t="str">
        <f>Настройки!AJ4</f>
        <v>Canal_03</v>
      </c>
      <c r="BC4" s="207" t="str">
        <f>Настройки!AK4</f>
        <v>Canal_03</v>
      </c>
      <c r="BD4" s="207" t="str">
        <f>Настройки!AL4</f>
        <v>Canal_03</v>
      </c>
      <c r="BE4" s="207" t="str">
        <f>Настройки!AM4</f>
        <v>-</v>
      </c>
    </row>
    <row r="5" spans="1:57">
      <c r="A5" s="82"/>
      <c r="B5" s="82"/>
      <c r="C5" s="81"/>
      <c r="D5" s="81"/>
      <c r="E5" s="448" t="str">
        <f ca="1">IF(LEFT(E9,3)="out","INT_TO_BIT_BR"&amp;C9&amp;"(BR"&amp;C9&amp;".IDIG_MASK)","УДАЛИТЬ")</f>
        <v>УДАЛИТЬ</v>
      </c>
      <c r="F5" s="446" t="s">
        <v>845</v>
      </c>
      <c r="G5" s="447"/>
      <c r="H5" s="447"/>
      <c r="I5" s="459"/>
      <c r="M5" s="424" t="str">
        <f>'Конфигурация TREI'!A6</f>
        <v>BR4</v>
      </c>
      <c r="N5" s="424" t="str">
        <f>'Конфигурация TREI'!B6</f>
        <v>M558D</v>
      </c>
      <c r="AE5" s="431">
        <f>Настройки!P5</f>
        <v>4</v>
      </c>
      <c r="AF5" s="380">
        <f>Настройки!Q5</f>
        <v>0</v>
      </c>
      <c r="AG5" s="380" t="str">
        <f>Настройки!R5</f>
        <v>IDIG_2_2</v>
      </c>
      <c r="AH5" s="380" t="str">
        <f>Настройки!S5</f>
        <v>IANS_2_4</v>
      </c>
      <c r="AI5" s="380" t="str">
        <f>Настройки!T5</f>
        <v>out3</v>
      </c>
      <c r="AJ5" s="380" t="str">
        <f>Настройки!U5</f>
        <v>out3</v>
      </c>
      <c r="AK5" s="380" t="str">
        <f>Настройки!V5</f>
        <v>ODIG_4</v>
      </c>
      <c r="AL5" s="380" t="str">
        <f>Настройки!W5</f>
        <v>OAN_4_1</v>
      </c>
      <c r="AM5" s="380" t="str">
        <f>Настройки!X5</f>
        <v>IANS_4_1</v>
      </c>
      <c r="AN5" s="380" t="str">
        <f>Настройки!Y5</f>
        <v>Canal_04</v>
      </c>
      <c r="AO5" s="380" t="str">
        <f>Настройки!Z5</f>
        <v>Canal_04</v>
      </c>
      <c r="AP5" s="380" t="str">
        <f>Настройки!AA5</f>
        <v>Canal_04</v>
      </c>
      <c r="AQ5" s="380" t="str">
        <f>Настройки!AB5</f>
        <v>Canal_04</v>
      </c>
      <c r="AR5" s="380" t="str">
        <f>Настройки!AC5</f>
        <v>IVXX[3]</v>
      </c>
      <c r="AS5" s="380" t="str">
        <f>Настройки!AD5</f>
        <v>IVXX[3]</v>
      </c>
      <c r="AT5" s="207" t="str">
        <f>Настройки!AB5</f>
        <v>Canal_04</v>
      </c>
      <c r="AU5" s="207" t="str">
        <f>Настройки!AC5</f>
        <v>IVXX[3]</v>
      </c>
      <c r="AV5" s="207" t="str">
        <f>Настройки!AD5</f>
        <v>IVXX[3]</v>
      </c>
      <c r="AW5" s="207" t="str">
        <f>Настройки!AE5</f>
        <v>IANS_2_2</v>
      </c>
      <c r="AX5" s="207" t="str">
        <f>Настройки!AF5</f>
        <v>IDIG_1_4</v>
      </c>
      <c r="AY5" s="207" t="str">
        <f>Настройки!AG5</f>
        <v>Canal_04</v>
      </c>
      <c r="AZ5" s="207" t="str">
        <f>Настройки!AH5</f>
        <v>Canal_04</v>
      </c>
      <c r="BA5" s="207" t="str">
        <f>Настройки!AI5</f>
        <v>Canal_04</v>
      </c>
      <c r="BB5" s="207" t="str">
        <f>Настройки!AJ5</f>
        <v>Canal_04</v>
      </c>
      <c r="BC5" s="207" t="str">
        <f>Настройки!AK5</f>
        <v>Canal_04</v>
      </c>
      <c r="BD5" s="207" t="str">
        <f>Настройки!AL5</f>
        <v>Canal_04</v>
      </c>
      <c r="BE5" s="207" t="str">
        <f>Настройки!AM5</f>
        <v>-</v>
      </c>
    </row>
    <row r="6" spans="1:57">
      <c r="A6" s="82"/>
      <c r="B6" s="82"/>
      <c r="C6" s="81"/>
      <c r="D6" s="81"/>
      <c r="E6" s="448" t="str">
        <f ca="1">IF(LEFT(E10,3)="out","INT_TO_BIT_BR"&amp;C10&amp;"(BR"&amp;C10&amp;".IDIG_MASK)","УДАЛИТЬ")</f>
        <v>УДАЛИТЬ</v>
      </c>
      <c r="F6" s="446" t="s">
        <v>845</v>
      </c>
      <c r="G6" s="447"/>
      <c r="H6" s="447"/>
      <c r="I6" s="459"/>
      <c r="M6" s="424" t="str">
        <f>'Конфигурация TREI'!A7</f>
        <v>BR5</v>
      </c>
      <c r="N6" s="424" t="str">
        <f>'Конфигурация TREI'!B7</f>
        <v>M558O</v>
      </c>
      <c r="AE6" s="431">
        <f>Настройки!P6</f>
        <v>5</v>
      </c>
      <c r="AF6" s="380">
        <f>Настройки!Q6</f>
        <v>0</v>
      </c>
      <c r="AG6" s="380" t="str">
        <f>Настройки!R6</f>
        <v>IDIG_3_1</v>
      </c>
      <c r="AH6" s="380" t="str">
        <f>Настройки!S6</f>
        <v>IANS_3_3</v>
      </c>
      <c r="AI6" s="380" t="str">
        <f>Настройки!T6</f>
        <v>out4</v>
      </c>
      <c r="AJ6" s="380" t="str">
        <f>Настройки!U6</f>
        <v>out4</v>
      </c>
      <c r="AK6" s="380" t="str">
        <f>Настройки!V6</f>
        <v>ODIG_5</v>
      </c>
      <c r="AL6" s="380" t="str">
        <f>Настройки!W6</f>
        <v>OAN_5_1</v>
      </c>
      <c r="AM6" s="380" t="str">
        <f>Настройки!X6</f>
        <v>IANS_5_1</v>
      </c>
      <c r="AN6" s="380" t="str">
        <f>Настройки!Y6</f>
        <v>Canal_05</v>
      </c>
      <c r="AO6" s="380" t="str">
        <f>Настройки!Z6</f>
        <v>Canal_05</v>
      </c>
      <c r="AP6" s="380" t="str">
        <f>Настройки!AA6</f>
        <v>Canal_05</v>
      </c>
      <c r="AQ6" s="380" t="str">
        <f>Настройки!AB6</f>
        <v>Canal_05</v>
      </c>
      <c r="AR6" s="380" t="str">
        <f>Настройки!AC6</f>
        <v>IVXX[4]</v>
      </c>
      <c r="AS6" s="380" t="str">
        <f>Настройки!AD6</f>
        <v>IVXX[4]</v>
      </c>
      <c r="AT6" s="207" t="str">
        <f>Настройки!AB6</f>
        <v>Canal_05</v>
      </c>
      <c r="AU6" s="207" t="str">
        <f>Настройки!AC6</f>
        <v>IVXX[4]</v>
      </c>
      <c r="AV6" s="207" t="str">
        <f>Настройки!AD6</f>
        <v>IVXX[4]</v>
      </c>
      <c r="AW6" s="207" t="str">
        <f>Настройки!AE6</f>
        <v>IANS_3_1</v>
      </c>
      <c r="AX6" s="207" t="str">
        <f>Настройки!AF6</f>
        <v>IDIG_2_1</v>
      </c>
      <c r="AY6" s="207" t="str">
        <f>Настройки!AG6</f>
        <v>Canal_05</v>
      </c>
      <c r="AZ6" s="207" t="str">
        <f>Настройки!AH6</f>
        <v>Canal_05</v>
      </c>
      <c r="BA6" s="207" t="str">
        <f>Настройки!AI6</f>
        <v>Canal_05</v>
      </c>
      <c r="BB6" s="207" t="str">
        <f>Настройки!AJ6</f>
        <v>Canal_05</v>
      </c>
      <c r="BC6" s="207" t="str">
        <f>Настройки!AK6</f>
        <v>Canal_05</v>
      </c>
      <c r="BD6" s="207" t="str">
        <f>Настройки!AL6</f>
        <v>Canal_05</v>
      </c>
      <c r="BE6" s="207" t="str">
        <f>Настройки!AM6</f>
        <v>-</v>
      </c>
    </row>
    <row r="7" spans="1:57">
      <c r="A7" s="448" t="str">
        <f>SUBSTITUTE($P$2,"\","|")&amp;"|"&amp; $T$1 &amp;":="</f>
        <v>REG_test|ICPX:=</v>
      </c>
      <c r="B7" s="448" t="str">
        <f ca="1">IF(LEFT(E7,3)="out","INT_TO_BIT_BR","BR")</f>
        <v>BR</v>
      </c>
      <c r="C7" s="446" t="str">
        <f>LEFT($T$3,FIND("+",$T$3,1)-1)</f>
        <v>3</v>
      </c>
      <c r="D7" s="446" t="s">
        <v>178</v>
      </c>
      <c r="E7" s="446" t="str">
        <f ca="1">IF($T$2=0,"УДАЛИТЬ",IFERROR(IF(OR($I7="-",$H7="0"),"КАНАЛ ОТСУТСТВУЕТ",IF($I7=0,"МОДУЛЬ ОТСУТСТВУЕТ",$I7)),"ОШИБКА ФОРМАТА"))</f>
        <v>Canal_03</v>
      </c>
      <c r="F7" s="446" t="s">
        <v>845</v>
      </c>
      <c r="G7" s="447" t="str">
        <f>INDEX($N$2:$N$61,C7)</f>
        <v>M548A</v>
      </c>
      <c r="H7" s="447" t="str">
        <f>RIGHT(T$3,LEN(T$3)-FIND("+",T$3,1))</f>
        <v>3</v>
      </c>
      <c r="I7" s="460" t="str">
        <f ca="1">INDIRECT(ADDRESS($H7+1,MATCH($G7,$1:$1,),1))</f>
        <v>Canal_03</v>
      </c>
      <c r="M7" s="424" t="str">
        <f>'Конфигурация TREI'!A8</f>
        <v>BR6</v>
      </c>
      <c r="N7" s="424" t="str">
        <f>'Конфигурация TREI'!B8</f>
        <v>M558O</v>
      </c>
      <c r="AE7" s="431">
        <f>Настройки!P7</f>
        <v>6</v>
      </c>
      <c r="AF7" s="380">
        <f>Настройки!Q7</f>
        <v>0</v>
      </c>
      <c r="AG7" s="380" t="str">
        <f>Настройки!R7</f>
        <v>IDIG_3_2</v>
      </c>
      <c r="AH7" s="380" t="str">
        <f>Настройки!S7</f>
        <v>IANS_3_4</v>
      </c>
      <c r="AI7" s="380" t="str">
        <f>Настройки!T7</f>
        <v>out5</v>
      </c>
      <c r="AJ7" s="380" t="str">
        <f>Настройки!U7</f>
        <v>out5</v>
      </c>
      <c r="AK7" s="380" t="str">
        <f>Настройки!V7</f>
        <v>ODIG_6</v>
      </c>
      <c r="AL7" s="380" t="str">
        <f>Настройки!W7</f>
        <v>OAN_6_1</v>
      </c>
      <c r="AM7" s="380" t="str">
        <f>Настройки!X7</f>
        <v>IANS_6_1</v>
      </c>
      <c r="AN7" s="380" t="str">
        <f>Настройки!Y7</f>
        <v>Canal_06</v>
      </c>
      <c r="AO7" s="380" t="str">
        <f>Настройки!Z7</f>
        <v>Canal_06</v>
      </c>
      <c r="AP7" s="380" t="str">
        <f>Настройки!AA7</f>
        <v>Canal_06</v>
      </c>
      <c r="AQ7" s="380" t="str">
        <f>Настройки!AB7</f>
        <v>Canal_06</v>
      </c>
      <c r="AR7" s="380" t="str">
        <f>Настройки!AC7</f>
        <v>IVXX[5]</v>
      </c>
      <c r="AS7" s="380" t="str">
        <f>Настройки!AD7</f>
        <v>IVXX[5]</v>
      </c>
      <c r="AT7" s="207" t="str">
        <f>Настройки!AB7</f>
        <v>Canal_06</v>
      </c>
      <c r="AU7" s="207" t="str">
        <f>Настройки!AC7</f>
        <v>IVXX[5]</v>
      </c>
      <c r="AV7" s="207" t="str">
        <f>Настройки!AD7</f>
        <v>IVXX[5]</v>
      </c>
      <c r="AW7" s="207" t="str">
        <f>Настройки!AE7</f>
        <v>IANS_3_2</v>
      </c>
      <c r="AX7" s="207" t="str">
        <f>Настройки!AF7</f>
        <v>IDIG_2_2</v>
      </c>
      <c r="AY7" s="207" t="str">
        <f>Настройки!AG7</f>
        <v>Canal_06</v>
      </c>
      <c r="AZ7" s="207" t="str">
        <f>Настройки!AH7</f>
        <v>Canal_06</v>
      </c>
      <c r="BA7" s="207" t="str">
        <f>Настройки!AI7</f>
        <v>Canal_06</v>
      </c>
      <c r="BB7" s="207" t="str">
        <f>Настройки!AJ7</f>
        <v>Canal_06</v>
      </c>
      <c r="BC7" s="207" t="str">
        <f>Настройки!AK7</f>
        <v>Canal_06</v>
      </c>
      <c r="BD7" s="207" t="str">
        <f>Настройки!AL7</f>
        <v>Canal_06</v>
      </c>
      <c r="BE7" s="207" t="str">
        <f>Настройки!AM7</f>
        <v>-</v>
      </c>
    </row>
    <row r="8" spans="1:57">
      <c r="A8" s="448" t="str">
        <f>SUBSTITUTE($P$2,"\","|")&amp;"|"&amp; $U$1 &amp;":="&amp;IF(LEFT(SUBSTITUTE($U$2," ",""),1)="!","NOT  ","")</f>
        <v>REG_test|ILCX:=</v>
      </c>
      <c r="B8" s="448" t="str">
        <f ca="1">IF(LEFT(E8,3)="out","INT_TO_BIT_BR","BR")</f>
        <v>BR</v>
      </c>
      <c r="C8" s="446" t="str">
        <f>LEFT($U$3,FIND("+",$U$3,1)-1)</f>
        <v>1</v>
      </c>
      <c r="D8" s="446" t="s">
        <v>178</v>
      </c>
      <c r="E8" s="446" t="str">
        <f ca="1">IF($U$2=0,"УДАЛИТЬ",IFERROR(IF(OR($I8="-",$H8="0"),"КАНАЛ ОТСУТСТВУЕТ",IF($I8=0,"МОДУЛЬ ОТСУТСТВУЕТ",$I8)),"ОШИБКА ФОРМАТА"))</f>
        <v>Canal_15</v>
      </c>
      <c r="F8" s="446" t="s">
        <v>845</v>
      </c>
      <c r="G8" s="447" t="str">
        <f>INDEX($N$2:$N$61,C8)</f>
        <v>M558D</v>
      </c>
      <c r="H8" s="447" t="str">
        <f>RIGHT($U$3,LEN($U$3)-FIND("+",$U$3,1))</f>
        <v>15</v>
      </c>
      <c r="I8" s="460" t="str">
        <f ca="1">INDIRECT(ADDRESS($H8+1,MATCH($G8,$1:$1,),1))</f>
        <v>Canal_15</v>
      </c>
      <c r="M8" s="424" t="str">
        <f>'Конфигурация TREI'!A9</f>
        <v>BR7</v>
      </c>
      <c r="N8" s="424" t="str">
        <f>'Конфигурация TREI'!B9</f>
        <v>M558O</v>
      </c>
      <c r="AE8" s="431">
        <f>Настройки!P8</f>
        <v>7</v>
      </c>
      <c r="AF8" s="380">
        <f>Настройки!Q8</f>
        <v>0</v>
      </c>
      <c r="AG8" s="380" t="str">
        <f>Настройки!R8</f>
        <v>IDIG_4_1</v>
      </c>
      <c r="AH8" s="380" t="str">
        <f>Настройки!S8</f>
        <v>IANS_4_3</v>
      </c>
      <c r="AI8" s="380" t="str">
        <f>Настройки!T8</f>
        <v>out6</v>
      </c>
      <c r="AJ8" s="380" t="str">
        <f>Настройки!U8</f>
        <v>out6</v>
      </c>
      <c r="AK8" s="380" t="str">
        <f>Настройки!V8</f>
        <v>ODIG_7</v>
      </c>
      <c r="AL8" s="380" t="str">
        <f>Настройки!W8</f>
        <v>OAN_7_1</v>
      </c>
      <c r="AM8" s="380" t="str">
        <f>Настройки!X8</f>
        <v>IANS_7_1</v>
      </c>
      <c r="AN8" s="380" t="str">
        <f>Настройки!Y8</f>
        <v>Canal_07</v>
      </c>
      <c r="AO8" s="380" t="str">
        <f>Настройки!Z8</f>
        <v>Canal_07</v>
      </c>
      <c r="AP8" s="380" t="str">
        <f>Настройки!AA8</f>
        <v>Canal_07</v>
      </c>
      <c r="AQ8" s="380" t="str">
        <f>Настройки!AB8</f>
        <v>Canal_07</v>
      </c>
      <c r="AR8" s="380" t="str">
        <f>Настройки!AC8</f>
        <v>IVXX[6]</v>
      </c>
      <c r="AS8" s="380" t="str">
        <f>Настройки!AD8</f>
        <v>IVXX[6]</v>
      </c>
      <c r="AT8" s="207" t="str">
        <f>Настройки!AB8</f>
        <v>Canal_07</v>
      </c>
      <c r="AU8" s="207" t="str">
        <f>Настройки!AC8</f>
        <v>IVXX[6]</v>
      </c>
      <c r="AV8" s="207" t="str">
        <f>Настройки!AD8</f>
        <v>IVXX[6]</v>
      </c>
      <c r="AW8" s="207" t="str">
        <f>Настройки!AE8</f>
        <v>IANS_4_1</v>
      </c>
      <c r="AX8" s="207" t="str">
        <f>Настройки!AF8</f>
        <v>IDIG_2_3</v>
      </c>
      <c r="AY8" s="207" t="str">
        <f>Настройки!AG8</f>
        <v>Canal_07</v>
      </c>
      <c r="AZ8" s="207" t="str">
        <f>Настройки!AH8</f>
        <v>Canal_07</v>
      </c>
      <c r="BA8" s="207" t="str">
        <f>Настройки!AI8</f>
        <v>Canal_07</v>
      </c>
      <c r="BB8" s="207" t="str">
        <f>Настройки!AJ8</f>
        <v>Canal_07</v>
      </c>
      <c r="BC8" s="207" t="str">
        <f>Настройки!AK8</f>
        <v>Canal_07</v>
      </c>
      <c r="BD8" s="207" t="str">
        <f>Настройки!AL8</f>
        <v>Canal_07</v>
      </c>
      <c r="BE8" s="207" t="str">
        <f>Настройки!AM8</f>
        <v>-</v>
      </c>
    </row>
    <row r="9" spans="1:57">
      <c r="A9" s="448" t="str">
        <f>SUBSTITUTE($P$2,"\","|")&amp;"|"&amp; $V$1 &amp;":="&amp;IF(LEFT(SUBSTITUTE($V$2," ",""),1)="!","NOT  ","")</f>
        <v>REG_test|IRCX:=</v>
      </c>
      <c r="B9" s="448" t="str">
        <f ca="1">IF(LEFT(E9,3)="out","INT_TO_BIT_BR","BR")</f>
        <v>BR</v>
      </c>
      <c r="C9" s="446" t="str">
        <f>LEFT($V$3,FIND("+",$V$3,1)-1)</f>
        <v>1</v>
      </c>
      <c r="D9" s="446" t="s">
        <v>178</v>
      </c>
      <c r="E9" s="446" t="str">
        <f ca="1">IF($V$2=0,"УДАЛИТЬ",IFERROR(IF(OR($I9="-",$H9="0"),"КАНАЛ ОТСУТСТВУЕТ",IF($I9=0,"МОДУЛЬ ОТСУТСТВУЕТ",$I9)),"ОШИБКА ФОРМАТА"))</f>
        <v>Canal_16</v>
      </c>
      <c r="F9" s="446" t="s">
        <v>845</v>
      </c>
      <c r="G9" s="447" t="str">
        <f>INDEX($N$2:$N$61,C9)</f>
        <v>M558D</v>
      </c>
      <c r="H9" s="447" t="str">
        <f>RIGHT($V$3,LEN($V$3)-FIND("+",$V$3,1))</f>
        <v>16</v>
      </c>
      <c r="I9" s="460" t="str">
        <f ca="1">INDIRECT(ADDRESS($H9+1,MATCH($G9,$1:$1,),1))</f>
        <v>Canal_16</v>
      </c>
      <c r="M9" s="424" t="str">
        <f>'Конфигурация TREI'!A10</f>
        <v>BR8</v>
      </c>
      <c r="N9" s="424" t="str">
        <f>'Конфигурация TREI'!B10</f>
        <v>M558O</v>
      </c>
      <c r="AE9" s="431">
        <f>Настройки!P9</f>
        <v>8</v>
      </c>
      <c r="AF9" s="380">
        <f>Настройки!Q9</f>
        <v>0</v>
      </c>
      <c r="AG9" s="380" t="str">
        <f>Настройки!R9</f>
        <v>IDIG_4_2</v>
      </c>
      <c r="AH9" s="380" t="str">
        <f>Настройки!S9</f>
        <v>IANS_4_4</v>
      </c>
      <c r="AI9" s="380" t="str">
        <f>Настройки!T9</f>
        <v>out7</v>
      </c>
      <c r="AJ9" s="380" t="str">
        <f>Настройки!U9</f>
        <v>out7</v>
      </c>
      <c r="AK9" s="380" t="str">
        <f>Настройки!V9</f>
        <v>ODIG_8</v>
      </c>
      <c r="AL9" s="380" t="str">
        <f>Настройки!W9</f>
        <v>OAN_8_1</v>
      </c>
      <c r="AM9" s="380" t="str">
        <f>Настройки!X9</f>
        <v>IANS_8_1</v>
      </c>
      <c r="AN9" s="380" t="str">
        <f>Настройки!Y9</f>
        <v>Canal_08</v>
      </c>
      <c r="AO9" s="380" t="str">
        <f>Настройки!Z9</f>
        <v>Canal_08</v>
      </c>
      <c r="AP9" s="380" t="str">
        <f>Настройки!AA9</f>
        <v>Canal_08</v>
      </c>
      <c r="AQ9" s="380" t="str">
        <f>Настройки!AB9</f>
        <v>Canal_08</v>
      </c>
      <c r="AR9" s="380" t="str">
        <f>Настройки!AC9</f>
        <v>IVXX[7]</v>
      </c>
      <c r="AS9" s="380" t="str">
        <f>Настройки!AD9</f>
        <v>IVXX[7]</v>
      </c>
      <c r="AT9" s="207" t="str">
        <f>Настройки!AB9</f>
        <v>Canal_08</v>
      </c>
      <c r="AU9" s="207" t="str">
        <f>Настройки!AC9</f>
        <v>IVXX[7]</v>
      </c>
      <c r="AV9" s="207" t="str">
        <f>Настройки!AD9</f>
        <v>IVXX[7]</v>
      </c>
      <c r="AW9" s="207" t="str">
        <f>Настройки!AE9</f>
        <v>IANS_4_2</v>
      </c>
      <c r="AX9" s="207" t="str">
        <f>Настройки!AF9</f>
        <v>IDIG_2_4</v>
      </c>
      <c r="AY9" s="207" t="str">
        <f>Настройки!AG9</f>
        <v>Canal_08</v>
      </c>
      <c r="AZ9" s="207" t="str">
        <f>Настройки!AH9</f>
        <v>Canal_08</v>
      </c>
      <c r="BA9" s="207" t="str">
        <f>Настройки!AI9</f>
        <v>Canal_08</v>
      </c>
      <c r="BB9" s="207" t="str">
        <f>Настройки!AJ9</f>
        <v>Canal_08</v>
      </c>
      <c r="BC9" s="207" t="str">
        <f>Настройки!AK9</f>
        <v>Canal_08</v>
      </c>
      <c r="BD9" s="207" t="str">
        <f>Настройки!AL9</f>
        <v>Canal_08</v>
      </c>
      <c r="BE9" s="207" t="str">
        <f>Настройки!AM9</f>
        <v>-</v>
      </c>
    </row>
    <row r="10" spans="1:57">
      <c r="A10" s="448" t="str">
        <f>SUBSTITUTE($P$2,"\","|")&amp;"|"&amp; $W$1 &amp;":="&amp;IF(LEFT(SUBSTITUTE($W$2," ",""),1)="!","NOT  ","")</f>
        <v>REG_test|IFXX:=</v>
      </c>
      <c r="B10" s="448" t="str">
        <f ca="1">IF(LEFT(E10,3)="out","INT_TO_BIT_BR","BR")</f>
        <v>BR</v>
      </c>
      <c r="C10" s="446" t="str">
        <f>LEFT($W$3,FIND("+",$W$3,1)-1)</f>
        <v>1</v>
      </c>
      <c r="D10" s="446" t="s">
        <v>178</v>
      </c>
      <c r="E10" s="446" t="str">
        <f ca="1">IF($W$2=0,"УДАЛИТЬ",IFERROR(IF(OR($I10="-",$H10="0"),"КАНАЛ ОТСУТСТВУЕТ",IF($I10=0,"МОДУЛЬ ОТСУТСТВУЕТ",$I10)),"ОШИБКА ФОРМАТА"))</f>
        <v>Canal_17</v>
      </c>
      <c r="F10" s="446" t="s">
        <v>845</v>
      </c>
      <c r="G10" s="447" t="str">
        <f>INDEX($N$2:$N$61,C10)</f>
        <v>M558D</v>
      </c>
      <c r="H10" s="447" t="str">
        <f>RIGHT($W$3,LEN($W$3)-FIND("+",$W$3,1))</f>
        <v>17</v>
      </c>
      <c r="I10" s="460" t="str">
        <f ca="1">INDIRECT(ADDRESS($H10+1,MATCH($G10,$1:$1,),1))</f>
        <v>Canal_17</v>
      </c>
      <c r="M10" s="424" t="str">
        <f>'Конфигурация TREI'!A11</f>
        <v>BR9</v>
      </c>
      <c r="N10" s="424" t="str">
        <f>'Конфигурация TREI'!B11</f>
        <v>M558D</v>
      </c>
      <c r="AE10" s="431">
        <f>Настройки!P10</f>
        <v>9</v>
      </c>
      <c r="AF10" s="380">
        <f>Настройки!Q10</f>
        <v>0</v>
      </c>
      <c r="AG10" s="380" t="str">
        <f>Настройки!R10</f>
        <v>IDIG_5_1</v>
      </c>
      <c r="AH10" s="380" t="str">
        <f>Настройки!S10</f>
        <v>IANS_5_3</v>
      </c>
      <c r="AI10" s="380" t="str">
        <f>Настройки!T10</f>
        <v>out8</v>
      </c>
      <c r="AJ10" s="380" t="str">
        <f>Настройки!U10</f>
        <v>out8</v>
      </c>
      <c r="AK10" s="380" t="str">
        <f>Настройки!V10</f>
        <v>ODIG_9</v>
      </c>
      <c r="AL10" s="380" t="str">
        <f>Настройки!W10</f>
        <v>-</v>
      </c>
      <c r="AM10" s="380" t="str">
        <f>Настройки!X10</f>
        <v>-</v>
      </c>
      <c r="AN10" s="380" t="str">
        <f>Настройки!Y10</f>
        <v>Canal_09</v>
      </c>
      <c r="AO10" s="380" t="str">
        <f>Настройки!Z10</f>
        <v>-</v>
      </c>
      <c r="AP10" s="380" t="str">
        <f>Настройки!AA10</f>
        <v>Canal_09</v>
      </c>
      <c r="AQ10" s="380" t="str">
        <f>Настройки!AB10</f>
        <v>Canal_09</v>
      </c>
      <c r="AR10" s="380" t="str">
        <f>Настройки!AC10</f>
        <v>OCCH[0]</v>
      </c>
      <c r="AS10" s="380" t="str">
        <f>Настройки!AD10</f>
        <v>OCCH[0]</v>
      </c>
      <c r="AT10" s="207" t="str">
        <f>Настройки!AB10</f>
        <v>Canal_09</v>
      </c>
      <c r="AU10" s="207" t="str">
        <f>Настройки!AC10</f>
        <v>OCCH[0]</v>
      </c>
      <c r="AV10" s="207" t="str">
        <f>Настройки!AD10</f>
        <v>OCCH[0]</v>
      </c>
      <c r="AW10" s="207" t="str">
        <f>Настройки!AE10</f>
        <v>IANS_5_1</v>
      </c>
      <c r="AX10" s="207" t="str">
        <f>Настройки!AF10</f>
        <v>IDIG_3_1</v>
      </c>
      <c r="AY10" s="207" t="str">
        <f>Настройки!AG10</f>
        <v>Canal_09</v>
      </c>
      <c r="AZ10" s="207" t="str">
        <f>Настройки!AH10</f>
        <v>Canal_09</v>
      </c>
      <c r="BA10" s="207" t="str">
        <f>Настройки!AI10</f>
        <v>Canal_09</v>
      </c>
      <c r="BB10" s="207" t="str">
        <f>Настройки!AJ10</f>
        <v>Canal_09</v>
      </c>
      <c r="BC10" s="207" t="str">
        <f>Настройки!AK10</f>
        <v>-</v>
      </c>
      <c r="BD10" s="207" t="str">
        <f>Настройки!AL10</f>
        <v>Canal_09</v>
      </c>
      <c r="BE10" s="207" t="str">
        <f>Настройки!AM10</f>
        <v>-</v>
      </c>
    </row>
    <row r="11" spans="1:57">
      <c r="A11" s="448" t="str">
        <f>SUBSTITUTE($P$2,"\","|")&amp;"|"&amp;"D"&amp; RIGHT($T$1,3)&amp;":="&amp;P4&amp;"NOT_LINK_BR"</f>
        <v>REG_test|DCPX:=NOT_LINK_BR</v>
      </c>
      <c r="B11" s="446"/>
      <c r="C11" s="455"/>
      <c r="D11" s="446"/>
      <c r="E11" s="764" t="str">
        <f>IFERROR(LEFT($T$3,FIND("+",$T$3,1)-1),"УДАЛИТЬ")</f>
        <v>3</v>
      </c>
      <c r="F11" s="446" t="str">
        <f ca="1">IF(OR(G7="M547A",G7="M548A")," OR (BR"&amp;E11&amp;".Err_"&amp;I7&amp;" =3)","")&amp;";"</f>
        <v xml:space="preserve"> OR (BR3.Err_Canal_03 =3);</v>
      </c>
      <c r="M11" s="424" t="str">
        <f>'Конфигурация TREI'!A12</f>
        <v>BR10</v>
      </c>
      <c r="N11" s="424" t="str">
        <f>'Конфигурация TREI'!B12</f>
        <v>M558O</v>
      </c>
      <c r="AE11" s="431">
        <f>Настройки!P11</f>
        <v>10</v>
      </c>
      <c r="AF11" s="380">
        <f>Настройки!Q11</f>
        <v>0</v>
      </c>
      <c r="AG11" s="380" t="str">
        <f>Настройки!R11</f>
        <v>IDIG_5_2</v>
      </c>
      <c r="AH11" s="380" t="str">
        <f>Настройки!S11</f>
        <v>IANS_5_4</v>
      </c>
      <c r="AI11" s="380" t="str">
        <f>Настройки!T11</f>
        <v>out9</v>
      </c>
      <c r="AJ11" s="380" t="str">
        <f>Настройки!U11</f>
        <v>out9</v>
      </c>
      <c r="AK11" s="380" t="str">
        <f>Настройки!V11</f>
        <v>ODIG_10</v>
      </c>
      <c r="AL11" s="380" t="str">
        <f>Настройки!W11</f>
        <v>-</v>
      </c>
      <c r="AM11" s="380" t="str">
        <f>Настройки!X11</f>
        <v>-</v>
      </c>
      <c r="AN11" s="380" t="str">
        <f>Настройки!Y11</f>
        <v>Canal_10</v>
      </c>
      <c r="AO11" s="380" t="str">
        <f>Настройки!Z11</f>
        <v>-</v>
      </c>
      <c r="AP11" s="380" t="str">
        <f>Настройки!AA11</f>
        <v>Canal_10</v>
      </c>
      <c r="AQ11" s="380" t="str">
        <f>Настройки!AB11</f>
        <v>Canal_10</v>
      </c>
      <c r="AR11" s="380" t="str">
        <f>Настройки!AC11</f>
        <v>OCCH[1]</v>
      </c>
      <c r="AS11" s="380" t="str">
        <f>Настройки!AD11</f>
        <v>OCCH[1]</v>
      </c>
      <c r="AT11" s="207" t="str">
        <f>Настройки!AB11</f>
        <v>Canal_10</v>
      </c>
      <c r="AU11" s="207" t="str">
        <f>Настройки!AC11</f>
        <v>OCCH[1]</v>
      </c>
      <c r="AV11" s="207" t="str">
        <f>Настройки!AD11</f>
        <v>OCCH[1]</v>
      </c>
      <c r="AW11" s="207" t="str">
        <f>Настройки!AE11</f>
        <v>IANS_5_2</v>
      </c>
      <c r="AX11" s="207" t="str">
        <f>Настройки!AF11</f>
        <v>IDIG_3_2</v>
      </c>
      <c r="AY11" s="207" t="str">
        <f>Настройки!AG11</f>
        <v>Canal_10</v>
      </c>
      <c r="AZ11" s="207" t="str">
        <f>Настройки!AH11</f>
        <v>Canal_10</v>
      </c>
      <c r="BA11" s="207" t="str">
        <f>Настройки!AI11</f>
        <v>Canal_10</v>
      </c>
      <c r="BB11" s="207" t="str">
        <f>Настройки!AJ11</f>
        <v>Canal_10</v>
      </c>
      <c r="BC11" s="207" t="str">
        <f>Настройки!AK11</f>
        <v>-</v>
      </c>
      <c r="BD11" s="207" t="str">
        <f>Настройки!AL11</f>
        <v>Canal_10</v>
      </c>
      <c r="BE11" s="207" t="str">
        <f>Настройки!AM11</f>
        <v>-</v>
      </c>
    </row>
    <row r="12" spans="1:57">
      <c r="A12" s="448" t="str">
        <f>SUBSTITUTE($P$2,"\","|")&amp;"|"&amp;"D"&amp; RIGHT($U$1,3)&amp;":="&amp;P4&amp;"NOT_LINK_BR"</f>
        <v>REG_test|DLCX:=NOT_LINK_BR</v>
      </c>
      <c r="B12" s="448"/>
      <c r="C12" s="455"/>
      <c r="D12" s="446"/>
      <c r="E12" s="446" t="str">
        <f>IFERROR(LEFT($U$3,FIND("+",$U$3,1)-1),"УДАЛИТЬ")</f>
        <v>1</v>
      </c>
      <c r="F12" s="446" t="s">
        <v>845</v>
      </c>
      <c r="G12" s="447"/>
      <c r="H12" s="447"/>
      <c r="I12" s="1"/>
      <c r="M12" s="424" t="str">
        <f>'Конфигурация TREI'!A13</f>
        <v>BR11</v>
      </c>
      <c r="N12" s="424" t="str">
        <f>'Конфигурация TREI'!B13</f>
        <v>M558D</v>
      </c>
      <c r="AE12" s="431">
        <f>Настройки!P12</f>
        <v>11</v>
      </c>
      <c r="AF12" s="380">
        <f>Настройки!Q12</f>
        <v>0</v>
      </c>
      <c r="AG12" s="380" t="str">
        <f>Настройки!R12</f>
        <v>IDIG_6_1</v>
      </c>
      <c r="AH12" s="380" t="str">
        <f>Настройки!S12</f>
        <v>IANS_6_3</v>
      </c>
      <c r="AI12" s="380" t="str">
        <f>Настройки!T12</f>
        <v>out10</v>
      </c>
      <c r="AJ12" s="380" t="str">
        <f>Настройки!U12</f>
        <v>out10</v>
      </c>
      <c r="AK12" s="380" t="str">
        <f>Настройки!V12</f>
        <v>ODIG_11</v>
      </c>
      <c r="AL12" s="380" t="str">
        <f>Настройки!W12</f>
        <v>-</v>
      </c>
      <c r="AM12" s="380" t="str">
        <f>Настройки!X12</f>
        <v>-</v>
      </c>
      <c r="AN12" s="380" t="str">
        <f>Настройки!Y12</f>
        <v>Canal_11</v>
      </c>
      <c r="AO12" s="380" t="str">
        <f>Настройки!Z12</f>
        <v>-</v>
      </c>
      <c r="AP12" s="380" t="str">
        <f>Настройки!AA12</f>
        <v>Canal_11</v>
      </c>
      <c r="AQ12" s="380" t="str">
        <f>Настройки!AB12</f>
        <v>Canal_11</v>
      </c>
      <c r="AR12" s="380" t="str">
        <f>Настройки!AC12</f>
        <v>OCCH[2]</v>
      </c>
      <c r="AS12" s="380" t="str">
        <f>Настройки!AD12</f>
        <v>OCCH[2]</v>
      </c>
      <c r="AT12" s="207" t="str">
        <f>Настройки!AB12</f>
        <v>Canal_11</v>
      </c>
      <c r="AU12" s="207" t="str">
        <f>Настройки!AC12</f>
        <v>OCCH[2]</v>
      </c>
      <c r="AV12" s="207" t="str">
        <f>Настройки!AD12</f>
        <v>OCCH[2]</v>
      </c>
      <c r="AW12" s="207" t="str">
        <f>Настройки!AE12</f>
        <v>IANS_6_1</v>
      </c>
      <c r="AX12" s="207" t="str">
        <f>Настройки!AF12</f>
        <v>IDIG_3_3</v>
      </c>
      <c r="AY12" s="207" t="str">
        <f>Настройки!AG12</f>
        <v>Canal_11</v>
      </c>
      <c r="AZ12" s="207" t="str">
        <f>Настройки!AH12</f>
        <v>Canal_11</v>
      </c>
      <c r="BA12" s="207" t="str">
        <f>Настройки!AI12</f>
        <v>Canal_11</v>
      </c>
      <c r="BB12" s="207" t="str">
        <f>Настройки!AJ12</f>
        <v>Canal_11</v>
      </c>
      <c r="BC12" s="207" t="str">
        <f>Настройки!AK12</f>
        <v>-</v>
      </c>
      <c r="BD12" s="207" t="str">
        <f>Настройки!AL12</f>
        <v>Canal_11</v>
      </c>
      <c r="BE12" s="207" t="str">
        <f>Настройки!AM12</f>
        <v>-</v>
      </c>
    </row>
    <row r="13" spans="1:57">
      <c r="A13" s="448" t="str">
        <f>SUBSTITUTE($P$2,"\","|")&amp;"|"&amp;"D"&amp; RIGHT($V$1,3)&amp;":="&amp;P4&amp;"NOT_LINK_BR"</f>
        <v>REG_test|DRCX:=NOT_LINK_BR</v>
      </c>
      <c r="B13" s="448"/>
      <c r="C13" s="455"/>
      <c r="D13" s="446"/>
      <c r="E13" s="446" t="str">
        <f>IFERROR(LEFT($V$3,FIND("+",$V$3,1)-1),"УДАЛИТЬ")</f>
        <v>1</v>
      </c>
      <c r="F13" s="446" t="s">
        <v>845</v>
      </c>
      <c r="G13" s="447"/>
      <c r="H13" s="447"/>
      <c r="I13" s="1"/>
      <c r="M13" s="424" t="str">
        <f>'Конфигурация TREI'!A14</f>
        <v>BR12</v>
      </c>
      <c r="N13" s="424" t="str">
        <f>'Конфигурация TREI'!B14</f>
        <v>M558D</v>
      </c>
      <c r="AE13" s="431">
        <f>Настройки!P13</f>
        <v>12</v>
      </c>
      <c r="AF13" s="380">
        <f>Настройки!Q13</f>
        <v>0</v>
      </c>
      <c r="AG13" s="380" t="str">
        <f>Настройки!R13</f>
        <v>IDIG_6_2</v>
      </c>
      <c r="AH13" s="380" t="str">
        <f>Настройки!S13</f>
        <v>IANS_6_4</v>
      </c>
      <c r="AI13" s="380" t="str">
        <f>Настройки!T13</f>
        <v>out11</v>
      </c>
      <c r="AJ13" s="380" t="str">
        <f>Настройки!U13</f>
        <v>out11</v>
      </c>
      <c r="AK13" s="380" t="str">
        <f>Настройки!V13</f>
        <v>ODIG_12</v>
      </c>
      <c r="AL13" s="380" t="str">
        <f>Настройки!W13</f>
        <v>-</v>
      </c>
      <c r="AM13" s="380" t="str">
        <f>Настройки!X13</f>
        <v>-</v>
      </c>
      <c r="AN13" s="380" t="str">
        <f>Настройки!Y13</f>
        <v>Canal_12</v>
      </c>
      <c r="AO13" s="380" t="str">
        <f>Настройки!Z13</f>
        <v>-</v>
      </c>
      <c r="AP13" s="380" t="str">
        <f>Настройки!AA13</f>
        <v>Canal_12</v>
      </c>
      <c r="AQ13" s="380" t="str">
        <f>Настройки!AB13</f>
        <v>Canal_12</v>
      </c>
      <c r="AR13" s="380" t="str">
        <f>Настройки!AC13</f>
        <v>OCCH[3]</v>
      </c>
      <c r="AS13" s="380" t="str">
        <f>Настройки!AD13</f>
        <v>OCCH[3]</v>
      </c>
      <c r="AT13" s="207" t="str">
        <f>Настройки!AB13</f>
        <v>Canal_12</v>
      </c>
      <c r="AU13" s="207" t="str">
        <f>Настройки!AC13</f>
        <v>OCCH[3]</v>
      </c>
      <c r="AV13" s="207" t="str">
        <f>Настройки!AD13</f>
        <v>OCCH[3]</v>
      </c>
      <c r="AW13" s="207" t="str">
        <f>Настройки!AE13</f>
        <v>IANS_6_2</v>
      </c>
      <c r="AX13" s="207" t="str">
        <f>Настройки!AF13</f>
        <v>IDIG_3_4</v>
      </c>
      <c r="AY13" s="207" t="str">
        <f>Настройки!AG13</f>
        <v>Canal_12</v>
      </c>
      <c r="AZ13" s="207" t="str">
        <f>Настройки!AH13</f>
        <v>Canal_12</v>
      </c>
      <c r="BA13" s="207" t="str">
        <f>Настройки!AI13</f>
        <v>Canal_12</v>
      </c>
      <c r="BB13" s="207" t="str">
        <f>Настройки!AJ13</f>
        <v>Canal_12</v>
      </c>
      <c r="BC13" s="207" t="str">
        <f>Настройки!AK13</f>
        <v>-</v>
      </c>
      <c r="BD13" s="207" t="str">
        <f>Настройки!AL13</f>
        <v>Canal_12</v>
      </c>
      <c r="BE13" s="207" t="str">
        <f>Настройки!AM13</f>
        <v>-</v>
      </c>
    </row>
    <row r="14" spans="1:57">
      <c r="A14" s="448" t="str">
        <f>SUBSTITUTE($P$2,"\","|")&amp;"|"&amp;"D"&amp; RIGHT($W$1,3)&amp;":="&amp;P4&amp;"NOT_LINK_BR"</f>
        <v>REG_test|DFXX:=NOT_LINK_BR</v>
      </c>
      <c r="B14" s="448"/>
      <c r="C14" s="455"/>
      <c r="D14" s="446"/>
      <c r="E14" s="446" t="str">
        <f>IFERROR(LEFT($W$3,FIND("+",$W$3,1)-1),"УДАЛИТЬ")</f>
        <v>1</v>
      </c>
      <c r="F14" s="446" t="s">
        <v>845</v>
      </c>
      <c r="G14" s="447"/>
      <c r="H14" s="447"/>
      <c r="I14" s="1"/>
      <c r="M14" s="424" t="str">
        <f>'Конфигурация TREI'!A15</f>
        <v>BR13</v>
      </c>
      <c r="N14" s="424" t="str">
        <f>'Конфигурация TREI'!B15</f>
        <v>M558D</v>
      </c>
      <c r="AE14" s="431">
        <f>Настройки!P14</f>
        <v>13</v>
      </c>
      <c r="AF14" s="380">
        <f>Настройки!Q14</f>
        <v>0</v>
      </c>
      <c r="AG14" s="380" t="str">
        <f>Настройки!R14</f>
        <v>IDIG_7_1</v>
      </c>
      <c r="AH14" s="380" t="str">
        <f>Настройки!S14</f>
        <v>IANS_7_3</v>
      </c>
      <c r="AI14" s="380" t="str">
        <f>Настройки!T14</f>
        <v>out12</v>
      </c>
      <c r="AJ14" s="380" t="str">
        <f>Настройки!U14</f>
        <v>out12</v>
      </c>
      <c r="AK14" s="380" t="str">
        <f>Настройки!V14</f>
        <v>ODIG_13</v>
      </c>
      <c r="AL14" s="380" t="str">
        <f>Настройки!W14</f>
        <v>-</v>
      </c>
      <c r="AM14" s="380" t="str">
        <f>Настройки!X14</f>
        <v>-</v>
      </c>
      <c r="AN14" s="380" t="str">
        <f>Настройки!Y14</f>
        <v>Canal_13</v>
      </c>
      <c r="AO14" s="380" t="str">
        <f>Настройки!Z14</f>
        <v>-</v>
      </c>
      <c r="AP14" s="380" t="str">
        <f>Настройки!AA14</f>
        <v>Canal_13</v>
      </c>
      <c r="AQ14" s="380" t="str">
        <f>Настройки!AB14</f>
        <v>Canal_13</v>
      </c>
      <c r="AR14" s="380" t="str">
        <f>Настройки!AC14</f>
        <v>OCCH[4]</v>
      </c>
      <c r="AS14" s="380" t="str">
        <f>Настройки!AD14</f>
        <v>OCCH[4]</v>
      </c>
      <c r="AT14" s="207" t="str">
        <f>Настройки!AB14</f>
        <v>Canal_13</v>
      </c>
      <c r="AU14" s="207" t="str">
        <f>Настройки!AC14</f>
        <v>OCCH[4]</v>
      </c>
      <c r="AV14" s="207" t="str">
        <f>Настройки!AD14</f>
        <v>OCCH[4]</v>
      </c>
      <c r="AW14" s="207" t="str">
        <f>Настройки!AE14</f>
        <v>IANS_7_1</v>
      </c>
      <c r="AX14" s="207" t="str">
        <f>Настройки!AF14</f>
        <v>IDIG_4_1</v>
      </c>
      <c r="AY14" s="207" t="str">
        <f>Настройки!AG14</f>
        <v>Canal_13</v>
      </c>
      <c r="AZ14" s="207" t="str">
        <f>Настройки!AH14</f>
        <v>Canal_13</v>
      </c>
      <c r="BA14" s="207" t="str">
        <f>Настройки!AI14</f>
        <v>Canal_13</v>
      </c>
      <c r="BB14" s="207" t="str">
        <f>Настройки!AJ14</f>
        <v>Canal_13</v>
      </c>
      <c r="BC14" s="207" t="str">
        <f>Настройки!AK14</f>
        <v>-</v>
      </c>
      <c r="BD14" s="207" t="str">
        <f>Настройки!AL14</f>
        <v>Canal_13</v>
      </c>
      <c r="BE14" s="207" t="str">
        <f>Настройки!AM14</f>
        <v>-</v>
      </c>
    </row>
    <row r="15" spans="1:57">
      <c r="M15" s="424" t="str">
        <f>'Конфигурация TREI'!A16</f>
        <v>BR14</v>
      </c>
      <c r="N15" s="424" t="str">
        <f>'Конфигурация TREI'!B16</f>
        <v>M558D</v>
      </c>
      <c r="AE15" s="431">
        <f>Настройки!P15</f>
        <v>14</v>
      </c>
      <c r="AF15" s="380">
        <f>Настройки!Q15</f>
        <v>0</v>
      </c>
      <c r="AG15" s="380" t="str">
        <f>Настройки!R15</f>
        <v>IDIG_7_2</v>
      </c>
      <c r="AH15" s="380" t="str">
        <f>Настройки!S15</f>
        <v>IANS_7_4</v>
      </c>
      <c r="AI15" s="380" t="str">
        <f>Настройки!T15</f>
        <v>out13</v>
      </c>
      <c r="AJ15" s="380" t="str">
        <f>Настройки!U15</f>
        <v>out13</v>
      </c>
      <c r="AK15" s="380" t="str">
        <f>Настройки!V15</f>
        <v>ODIG_14</v>
      </c>
      <c r="AL15" s="380" t="str">
        <f>Настройки!W15</f>
        <v>-</v>
      </c>
      <c r="AM15" s="380" t="str">
        <f>Настройки!X15</f>
        <v>-</v>
      </c>
      <c r="AN15" s="380" t="str">
        <f>Настройки!Y15</f>
        <v>Canal_14</v>
      </c>
      <c r="AO15" s="380" t="str">
        <f>Настройки!Z15</f>
        <v>-</v>
      </c>
      <c r="AP15" s="380" t="str">
        <f>Настройки!AA15</f>
        <v>Canal_14</v>
      </c>
      <c r="AQ15" s="380" t="str">
        <f>Настройки!AB15</f>
        <v>Canal_14</v>
      </c>
      <c r="AR15" s="380" t="str">
        <f>Настройки!AC15</f>
        <v>OCCH[5]</v>
      </c>
      <c r="AS15" s="380" t="str">
        <f>Настройки!AD15</f>
        <v>OCCH[5]</v>
      </c>
      <c r="AT15" s="207" t="str">
        <f>Настройки!AB15</f>
        <v>Canal_14</v>
      </c>
      <c r="AU15" s="207" t="str">
        <f>Настройки!AC15</f>
        <v>OCCH[5]</v>
      </c>
      <c r="AV15" s="207" t="str">
        <f>Настройки!AD15</f>
        <v>OCCH[5]</v>
      </c>
      <c r="AW15" s="207" t="str">
        <f>Настройки!AE15</f>
        <v>IANS_7_2</v>
      </c>
      <c r="AX15" s="207" t="str">
        <f>Настройки!AF15</f>
        <v>IDIG_4_2</v>
      </c>
      <c r="AY15" s="207" t="str">
        <f>Настройки!AG15</f>
        <v>Canal_14</v>
      </c>
      <c r="AZ15" s="207" t="str">
        <f>Настройки!AH15</f>
        <v>Canal_14</v>
      </c>
      <c r="BA15" s="207" t="str">
        <f>Настройки!AI15</f>
        <v>Canal_14</v>
      </c>
      <c r="BB15" s="207" t="str">
        <f>Настройки!AJ15</f>
        <v>Canal_14</v>
      </c>
      <c r="BC15" s="207" t="str">
        <f>Настройки!AK15</f>
        <v>-</v>
      </c>
      <c r="BD15" s="207" t="str">
        <f>Настройки!AL15</f>
        <v>Canal_14</v>
      </c>
      <c r="BE15" s="207" t="str">
        <f>Настройки!AM15</f>
        <v>-</v>
      </c>
    </row>
    <row r="16" spans="1:57">
      <c r="G16" s="447"/>
      <c r="H16" s="447"/>
      <c r="I16" s="1"/>
      <c r="M16" s="424" t="str">
        <f>'Конфигурация TREI'!A17</f>
        <v>BR15</v>
      </c>
      <c r="N16" s="424" t="str">
        <f>'Конфигурация TREI'!B17</f>
        <v>M558O</v>
      </c>
      <c r="AE16" s="431">
        <f>Настройки!P16</f>
        <v>15</v>
      </c>
      <c r="AF16" s="380">
        <f>Настройки!Q16</f>
        <v>0</v>
      </c>
      <c r="AG16" s="380" t="str">
        <f>Настройки!R16</f>
        <v>IDIG_8_1</v>
      </c>
      <c r="AH16" s="380" t="str">
        <f>Настройки!S16</f>
        <v>IANS_8_3</v>
      </c>
      <c r="AI16" s="380" t="str">
        <f>Настройки!T16</f>
        <v>out14</v>
      </c>
      <c r="AJ16" s="380" t="str">
        <f>Настройки!U16</f>
        <v>out14</v>
      </c>
      <c r="AK16" s="380" t="str">
        <f>Настройки!V16</f>
        <v>ODIG_15</v>
      </c>
      <c r="AL16" s="380" t="str">
        <f>Настройки!W16</f>
        <v>-</v>
      </c>
      <c r="AM16" s="380" t="str">
        <f>Настройки!X16</f>
        <v>-</v>
      </c>
      <c r="AN16" s="380" t="str">
        <f>Настройки!Y16</f>
        <v>Canal_15</v>
      </c>
      <c r="AO16" s="380" t="str">
        <f>Настройки!Z16</f>
        <v>-</v>
      </c>
      <c r="AP16" s="380" t="str">
        <f>Настройки!AA16</f>
        <v>Canal_15</v>
      </c>
      <c r="AQ16" s="380" t="str">
        <f>Настройки!AB16</f>
        <v>Canal_15</v>
      </c>
      <c r="AR16" s="380" t="str">
        <f>Настройки!AC16</f>
        <v>OCCH[6]</v>
      </c>
      <c r="AS16" s="380" t="str">
        <f>Настройки!AD16</f>
        <v>OCCH[6]</v>
      </c>
      <c r="AT16" s="207" t="str">
        <f>Настройки!AB16</f>
        <v>Canal_15</v>
      </c>
      <c r="AU16" s="207" t="str">
        <f>Настройки!AC16</f>
        <v>OCCH[6]</v>
      </c>
      <c r="AV16" s="207" t="str">
        <f>Настройки!AD16</f>
        <v>OCCH[6]</v>
      </c>
      <c r="AW16" s="207" t="str">
        <f>Настройки!AE16</f>
        <v>IANS_8_1</v>
      </c>
      <c r="AX16" s="207" t="str">
        <f>Настройки!AF16</f>
        <v>IDIG_4_3</v>
      </c>
      <c r="AY16" s="207" t="str">
        <f>Настройки!AG16</f>
        <v>Canal_15</v>
      </c>
      <c r="AZ16" s="207" t="str">
        <f>Настройки!AH16</f>
        <v>Canal_15</v>
      </c>
      <c r="BA16" s="207" t="str">
        <f>Настройки!AI16</f>
        <v>Canal_15</v>
      </c>
      <c r="BB16" s="207" t="str">
        <f>Настройки!AJ16</f>
        <v>Canal_15</v>
      </c>
      <c r="BC16" s="207" t="str">
        <f>Настройки!AK16</f>
        <v>-</v>
      </c>
      <c r="BD16" s="207" t="str">
        <f>Настройки!AL16</f>
        <v>Canal_15</v>
      </c>
      <c r="BE16" s="207" t="str">
        <f>Настройки!AM16</f>
        <v>-</v>
      </c>
    </row>
    <row r="17" spans="1:57">
      <c r="G17" s="447"/>
      <c r="H17" s="447"/>
      <c r="I17" s="1"/>
      <c r="M17" s="424" t="str">
        <f>'Конфигурация TREI'!A18</f>
        <v>BR16</v>
      </c>
      <c r="N17" s="424" t="str">
        <f>'Конфигурация TREI'!B18</f>
        <v>M558O</v>
      </c>
      <c r="AE17" s="431">
        <f>Настройки!P17</f>
        <v>16</v>
      </c>
      <c r="AF17" s="380">
        <f>Настройки!Q17</f>
        <v>0</v>
      </c>
      <c r="AG17" s="380" t="str">
        <f>Настройки!R17</f>
        <v>IDIG_8_2</v>
      </c>
      <c r="AH17" s="380" t="str">
        <f>Настройки!S17</f>
        <v>IANS_8_4</v>
      </c>
      <c r="AI17" s="380" t="str">
        <f>Настройки!T17</f>
        <v>out15</v>
      </c>
      <c r="AJ17" s="380" t="str">
        <f>Настройки!U17</f>
        <v>out15</v>
      </c>
      <c r="AK17" s="380" t="str">
        <f>Настройки!V17</f>
        <v>ODIG_16</v>
      </c>
      <c r="AL17" s="380" t="str">
        <f>Настройки!W17</f>
        <v>-</v>
      </c>
      <c r="AM17" s="380" t="str">
        <f>Настройки!X17</f>
        <v>-</v>
      </c>
      <c r="AN17" s="380" t="str">
        <f>Настройки!Y17</f>
        <v>Canal_16</v>
      </c>
      <c r="AO17" s="380" t="str">
        <f>Настройки!Z17</f>
        <v>-</v>
      </c>
      <c r="AP17" s="380" t="str">
        <f>Настройки!AA17</f>
        <v>Canal_16</v>
      </c>
      <c r="AQ17" s="380" t="str">
        <f>Настройки!AB17</f>
        <v>Canal_16</v>
      </c>
      <c r="AR17" s="380" t="str">
        <f>Настройки!AC17</f>
        <v>OCCH[7]</v>
      </c>
      <c r="AS17" s="380" t="str">
        <f>Настройки!AD17</f>
        <v>OCCH[7]</v>
      </c>
      <c r="AT17" s="207" t="str">
        <f>Настройки!AB17</f>
        <v>Canal_16</v>
      </c>
      <c r="AU17" s="207" t="str">
        <f>Настройки!AC17</f>
        <v>OCCH[7]</v>
      </c>
      <c r="AV17" s="207" t="str">
        <f>Настройки!AD17</f>
        <v>OCCH[7]</v>
      </c>
      <c r="AW17" s="207" t="str">
        <f>Настройки!AE17</f>
        <v>IANS_8_2</v>
      </c>
      <c r="AX17" s="207" t="str">
        <f>Настройки!AF17</f>
        <v>IDIG_4_4</v>
      </c>
      <c r="AY17" s="207" t="str">
        <f>Настройки!AG17</f>
        <v>Canal_16</v>
      </c>
      <c r="AZ17" s="207" t="str">
        <f>Настройки!AH17</f>
        <v>Canal_16</v>
      </c>
      <c r="BA17" s="207" t="str">
        <f>Настройки!AI17</f>
        <v>Canal_16</v>
      </c>
      <c r="BB17" s="207" t="str">
        <f>Настройки!AJ17</f>
        <v>Canal_16</v>
      </c>
      <c r="BC17" s="207" t="str">
        <f>Настройки!AK17</f>
        <v>-</v>
      </c>
      <c r="BD17" s="207" t="str">
        <f>Настройки!AL17</f>
        <v>Canal_16</v>
      </c>
      <c r="BE17" s="207" t="str">
        <f>Настройки!AM17</f>
        <v>-</v>
      </c>
    </row>
    <row r="18" spans="1:57">
      <c r="A18" s="82"/>
      <c r="B18" s="82"/>
      <c r="C18" s="11"/>
      <c r="D18" s="81"/>
      <c r="E18" s="81"/>
      <c r="F18" s="81"/>
      <c r="G18" s="445"/>
      <c r="H18" s="445"/>
      <c r="I18" s="1"/>
      <c r="M18" s="424" t="str">
        <f>'Конфигурация TREI'!A19</f>
        <v>BR17</v>
      </c>
      <c r="N18" s="424" t="str">
        <f>'Конфигурация TREI'!B19</f>
        <v>M558O</v>
      </c>
      <c r="AE18" s="428">
        <f>Настройки!P18</f>
        <v>17</v>
      </c>
      <c r="AF18" s="380">
        <f>Настройки!Q18</f>
        <v>0</v>
      </c>
      <c r="AG18" s="380" t="str">
        <f>Настройки!R18</f>
        <v>-</v>
      </c>
      <c r="AH18" s="380" t="str">
        <f>Настройки!S18</f>
        <v>-</v>
      </c>
      <c r="AI18" s="380" t="str">
        <f>Настройки!T18</f>
        <v>out16</v>
      </c>
      <c r="AJ18" s="380" t="str">
        <f>Настройки!U18</f>
        <v>out16</v>
      </c>
      <c r="AK18" s="380" t="str">
        <f>Настройки!V18</f>
        <v>-</v>
      </c>
      <c r="AL18" s="380" t="str">
        <f>Настройки!W18</f>
        <v>-</v>
      </c>
      <c r="AM18" s="380" t="str">
        <f>Настройки!X18</f>
        <v>-</v>
      </c>
      <c r="AN18" s="380" t="str">
        <f>Настройки!Y18</f>
        <v>-</v>
      </c>
      <c r="AO18" s="380" t="str">
        <f>Настройки!Z18</f>
        <v>-</v>
      </c>
      <c r="AP18" s="380" t="str">
        <f>Настройки!AA18</f>
        <v>Canal_17</v>
      </c>
      <c r="AQ18" s="380" t="str">
        <f>Настройки!AB18</f>
        <v>Canal_17</v>
      </c>
      <c r="AR18" s="380" t="str">
        <f>Настройки!AC18</f>
        <v>-</v>
      </c>
      <c r="AS18" s="380" t="str">
        <f>Настройки!AD18</f>
        <v>-</v>
      </c>
      <c r="AT18" s="207" t="str">
        <f>Настройки!AB18</f>
        <v>Canal_17</v>
      </c>
      <c r="AU18" s="207" t="str">
        <f>Настройки!AC18</f>
        <v>-</v>
      </c>
      <c r="AV18" s="207" t="str">
        <f>Настройки!AD18</f>
        <v>-</v>
      </c>
      <c r="AW18" s="207" t="str">
        <f>Настройки!AE18</f>
        <v>-</v>
      </c>
      <c r="AX18" s="207" t="str">
        <f>Настройки!AF18</f>
        <v>IDIG_5_1</v>
      </c>
      <c r="AY18" s="207" t="str">
        <f>Настройки!AG18</f>
        <v>Canal_17</v>
      </c>
      <c r="AZ18" s="207" t="str">
        <f>Настройки!AH18</f>
        <v>Canal_17</v>
      </c>
      <c r="BA18" s="207" t="str">
        <f>Настройки!AI18</f>
        <v>Canal_17</v>
      </c>
      <c r="BB18" s="207" t="str">
        <f>Настройки!AJ18</f>
        <v>-</v>
      </c>
      <c r="BC18" s="207" t="str">
        <f>Настройки!AK18</f>
        <v>-</v>
      </c>
      <c r="BD18" s="207" t="str">
        <f>Настройки!AL18</f>
        <v>Canal_17</v>
      </c>
      <c r="BE18" s="207" t="str">
        <f>Настройки!AM18</f>
        <v>-</v>
      </c>
    </row>
    <row r="19" spans="1:57">
      <c r="A19" s="82"/>
      <c r="B19" s="82"/>
      <c r="C19" s="11"/>
      <c r="D19" s="81"/>
      <c r="E19" s="81"/>
      <c r="F19" s="81"/>
      <c r="G19" s="445"/>
      <c r="H19" s="445"/>
      <c r="I19" s="1"/>
      <c r="M19" s="424" t="str">
        <f>'Конфигурация TREI'!A20</f>
        <v>BR18</v>
      </c>
      <c r="N19" s="424" t="str">
        <f>'Конфигурация TREI'!B20</f>
        <v>M558O</v>
      </c>
      <c r="AE19" s="428">
        <f>Настройки!P19</f>
        <v>18</v>
      </c>
      <c r="AF19" s="380">
        <f>Настройки!Q19</f>
        <v>0</v>
      </c>
      <c r="AG19" s="380" t="str">
        <f>Настройки!R19</f>
        <v>-</v>
      </c>
      <c r="AH19" s="380" t="str">
        <f>Настройки!S19</f>
        <v>-</v>
      </c>
      <c r="AI19" s="380" t="str">
        <f>Настройки!T19</f>
        <v>out17</v>
      </c>
      <c r="AJ19" s="380" t="str">
        <f>Настройки!U19</f>
        <v>out17</v>
      </c>
      <c r="AK19" s="380" t="str">
        <f>Настройки!V19</f>
        <v>-</v>
      </c>
      <c r="AL19" s="380" t="str">
        <f>Настройки!W19</f>
        <v>-</v>
      </c>
      <c r="AM19" s="380" t="str">
        <f>Настройки!X19</f>
        <v>-</v>
      </c>
      <c r="AN19" s="380" t="str">
        <f>Настройки!Y19</f>
        <v>-</v>
      </c>
      <c r="AO19" s="380" t="str">
        <f>Настройки!Z19</f>
        <v>-</v>
      </c>
      <c r="AP19" s="380" t="str">
        <f>Настройки!AA19</f>
        <v>Canal_18</v>
      </c>
      <c r="AQ19" s="380" t="str">
        <f>Настройки!AB19</f>
        <v>Canal_18</v>
      </c>
      <c r="AR19" s="380" t="str">
        <f>Настройки!AC19</f>
        <v>-</v>
      </c>
      <c r="AS19" s="380" t="str">
        <f>Настройки!AD19</f>
        <v>-</v>
      </c>
      <c r="AT19" s="207" t="str">
        <f>Настройки!AB19</f>
        <v>Canal_18</v>
      </c>
      <c r="AU19" s="207" t="str">
        <f>Настройки!AC19</f>
        <v>-</v>
      </c>
      <c r="AV19" s="207" t="str">
        <f>Настройки!AD19</f>
        <v>-</v>
      </c>
      <c r="AW19" s="207" t="str">
        <f>Настройки!AE19</f>
        <v>-</v>
      </c>
      <c r="AX19" s="207" t="str">
        <f>Настройки!AF19</f>
        <v>IDIG_5_2</v>
      </c>
      <c r="AY19" s="207" t="str">
        <f>Настройки!AG19</f>
        <v>Canal_18</v>
      </c>
      <c r="AZ19" s="207" t="str">
        <f>Настройки!AH19</f>
        <v>Canal_18</v>
      </c>
      <c r="BA19" s="207" t="str">
        <f>Настройки!AI19</f>
        <v>Canal_18</v>
      </c>
      <c r="BB19" s="207" t="str">
        <f>Настройки!AJ19</f>
        <v>-</v>
      </c>
      <c r="BC19" s="207" t="str">
        <f>Настройки!AK19</f>
        <v>-</v>
      </c>
      <c r="BD19" s="207" t="str">
        <f>Настройки!AL19</f>
        <v>Canal_18</v>
      </c>
      <c r="BE19" s="207" t="str">
        <f>Настройки!AM19</f>
        <v>-</v>
      </c>
    </row>
    <row r="20" spans="1:57">
      <c r="A20" s="82"/>
      <c r="B20" s="82"/>
      <c r="C20" s="11"/>
      <c r="D20" s="81"/>
      <c r="E20" s="81"/>
      <c r="F20" s="81"/>
      <c r="G20" s="445"/>
      <c r="H20" s="445"/>
      <c r="I20" s="1"/>
      <c r="M20" s="424" t="str">
        <f>'Конфигурация TREI'!A21</f>
        <v>BR19</v>
      </c>
      <c r="N20" s="424" t="str">
        <f>'Конфигурация TREI'!B21</f>
        <v>M558O</v>
      </c>
      <c r="AE20" s="428">
        <f>Настройки!P20</f>
        <v>19</v>
      </c>
      <c r="AF20" s="380">
        <f>Настройки!Q20</f>
        <v>0</v>
      </c>
      <c r="AG20" s="380" t="str">
        <f>Настройки!R20</f>
        <v>-</v>
      </c>
      <c r="AH20" s="380" t="str">
        <f>Настройки!S20</f>
        <v>-</v>
      </c>
      <c r="AI20" s="380" t="str">
        <f>Настройки!T20</f>
        <v>out18</v>
      </c>
      <c r="AJ20" s="380" t="str">
        <f>Настройки!U20</f>
        <v>out18</v>
      </c>
      <c r="AK20" s="380" t="str">
        <f>Настройки!V20</f>
        <v>-</v>
      </c>
      <c r="AL20" s="380" t="str">
        <f>Настройки!W20</f>
        <v>-</v>
      </c>
      <c r="AM20" s="380" t="str">
        <f>Настройки!X20</f>
        <v>-</v>
      </c>
      <c r="AN20" s="380" t="str">
        <f>Настройки!Y20</f>
        <v>-</v>
      </c>
      <c r="AO20" s="380" t="str">
        <f>Настройки!Z20</f>
        <v>-</v>
      </c>
      <c r="AP20" s="380" t="str">
        <f>Настройки!AA20</f>
        <v>Canal_19</v>
      </c>
      <c r="AQ20" s="380" t="str">
        <f>Настройки!AB20</f>
        <v>Canal_19</v>
      </c>
      <c r="AR20" s="380" t="str">
        <f>Настройки!AC20</f>
        <v>-</v>
      </c>
      <c r="AS20" s="380" t="str">
        <f>Настройки!AD20</f>
        <v>-</v>
      </c>
      <c r="AT20" s="207" t="str">
        <f>Настройки!AB20</f>
        <v>Canal_19</v>
      </c>
      <c r="AU20" s="207" t="str">
        <f>Настройки!AC20</f>
        <v>-</v>
      </c>
      <c r="AV20" s="207" t="str">
        <f>Настройки!AD20</f>
        <v>-</v>
      </c>
      <c r="AW20" s="207" t="str">
        <f>Настройки!AE20</f>
        <v>-</v>
      </c>
      <c r="AX20" s="207" t="str">
        <f>Настройки!AF20</f>
        <v>IDIG_5_3</v>
      </c>
      <c r="AY20" s="207" t="str">
        <f>Настройки!AG20</f>
        <v>Canal_19</v>
      </c>
      <c r="AZ20" s="207" t="str">
        <f>Настройки!AH20</f>
        <v>Canal_19</v>
      </c>
      <c r="BA20" s="207" t="str">
        <f>Настройки!AI20</f>
        <v>Canal_19</v>
      </c>
      <c r="BB20" s="207" t="str">
        <f>Настройки!AJ20</f>
        <v>-</v>
      </c>
      <c r="BC20" s="207" t="str">
        <f>Настройки!AK20</f>
        <v>-</v>
      </c>
      <c r="BD20" s="207" t="str">
        <f>Настройки!AL20</f>
        <v>Canal_19</v>
      </c>
      <c r="BE20" s="207" t="str">
        <f>Настройки!AM20</f>
        <v>-</v>
      </c>
    </row>
    <row r="21" spans="1:57">
      <c r="A21" s="82"/>
      <c r="B21" s="82"/>
      <c r="C21" s="11"/>
      <c r="D21" s="81"/>
      <c r="E21" s="81"/>
      <c r="F21" s="81"/>
      <c r="G21" s="445"/>
      <c r="H21" s="445"/>
      <c r="I21" s="1"/>
      <c r="M21" s="424" t="str">
        <f>'Конфигурация TREI'!A22</f>
        <v>BR20</v>
      </c>
      <c r="N21" s="424" t="str">
        <f>'Конфигурация TREI'!B22</f>
        <v>M558D</v>
      </c>
      <c r="AE21" s="428">
        <f>Настройки!P21</f>
        <v>20</v>
      </c>
      <c r="AF21" s="380">
        <f>Настройки!Q21</f>
        <v>0</v>
      </c>
      <c r="AG21" s="380" t="str">
        <f>Настройки!R21</f>
        <v>-</v>
      </c>
      <c r="AH21" s="380" t="str">
        <f>Настройки!S21</f>
        <v>-</v>
      </c>
      <c r="AI21" s="380" t="str">
        <f>Настройки!T21</f>
        <v>out19</v>
      </c>
      <c r="AJ21" s="380" t="str">
        <f>Настройки!U21</f>
        <v>out19</v>
      </c>
      <c r="AK21" s="380" t="str">
        <f>Настройки!V21</f>
        <v>-</v>
      </c>
      <c r="AL21" s="380" t="str">
        <f>Настройки!W21</f>
        <v>-</v>
      </c>
      <c r="AM21" s="380" t="str">
        <f>Настройки!X21</f>
        <v>-</v>
      </c>
      <c r="AN21" s="380" t="str">
        <f>Настройки!Y21</f>
        <v>-</v>
      </c>
      <c r="AO21" s="380" t="str">
        <f>Настройки!Z21</f>
        <v>-</v>
      </c>
      <c r="AP21" s="380" t="str">
        <f>Настройки!AA21</f>
        <v>Canal_20</v>
      </c>
      <c r="AQ21" s="380" t="str">
        <f>Настройки!AB21</f>
        <v>Canal_20</v>
      </c>
      <c r="AR21" s="380" t="str">
        <f>Настройки!AC21</f>
        <v>-</v>
      </c>
      <c r="AS21" s="380" t="str">
        <f>Настройки!AD21</f>
        <v>-</v>
      </c>
      <c r="AT21" s="207" t="str">
        <f>Настройки!AB21</f>
        <v>Canal_20</v>
      </c>
      <c r="AU21" s="207" t="str">
        <f>Настройки!AC21</f>
        <v>-</v>
      </c>
      <c r="AV21" s="207" t="str">
        <f>Настройки!AD21</f>
        <v>-</v>
      </c>
      <c r="AW21" s="207" t="str">
        <f>Настройки!AE21</f>
        <v>-</v>
      </c>
      <c r="AX21" s="207" t="str">
        <f>Настройки!AF21</f>
        <v>IDIG_5_4</v>
      </c>
      <c r="AY21" s="207" t="str">
        <f>Настройки!AG21</f>
        <v>Canal_20</v>
      </c>
      <c r="AZ21" s="207" t="str">
        <f>Настройки!AH21</f>
        <v>Canal_20</v>
      </c>
      <c r="BA21" s="207" t="str">
        <f>Настройки!AI21</f>
        <v>Canal_20</v>
      </c>
      <c r="BB21" s="207" t="str">
        <f>Настройки!AJ21</f>
        <v>-</v>
      </c>
      <c r="BC21" s="207" t="str">
        <f>Настройки!AK21</f>
        <v>-</v>
      </c>
      <c r="BD21" s="207" t="str">
        <f>Настройки!AL21</f>
        <v>Canal_20</v>
      </c>
      <c r="BE21" s="207" t="str">
        <f>Настройки!AM21</f>
        <v>-</v>
      </c>
    </row>
    <row r="22" spans="1:57">
      <c r="A22" s="82"/>
      <c r="B22" s="82"/>
      <c r="C22" s="11"/>
      <c r="D22" s="81"/>
      <c r="E22" s="81"/>
      <c r="F22" s="81"/>
      <c r="G22" s="445"/>
      <c r="H22" s="445"/>
      <c r="I22" s="1"/>
      <c r="M22" s="424" t="str">
        <f>'Конфигурация TREI'!A23</f>
        <v>BR21</v>
      </c>
      <c r="N22" s="424" t="str">
        <f>'Конфигурация TREI'!B23</f>
        <v>M558O</v>
      </c>
      <c r="AE22" s="428">
        <f>Настройки!P22</f>
        <v>21</v>
      </c>
      <c r="AF22" s="380">
        <f>Настройки!Q22</f>
        <v>0</v>
      </c>
      <c r="AG22" s="380" t="str">
        <f>Настройки!R22</f>
        <v>-</v>
      </c>
      <c r="AH22" s="380" t="str">
        <f>Настройки!S22</f>
        <v>-</v>
      </c>
      <c r="AI22" s="380" t="str">
        <f>Настройки!T22</f>
        <v>out20</v>
      </c>
      <c r="AJ22" s="380" t="str">
        <f>Настройки!U22</f>
        <v>out20</v>
      </c>
      <c r="AK22" s="380" t="str">
        <f>Настройки!V22</f>
        <v>-</v>
      </c>
      <c r="AL22" s="380" t="str">
        <f>Настройки!W22</f>
        <v>-</v>
      </c>
      <c r="AM22" s="380" t="str">
        <f>Настройки!X22</f>
        <v>-</v>
      </c>
      <c r="AN22" s="380" t="str">
        <f>Настройки!Y22</f>
        <v>-</v>
      </c>
      <c r="AO22" s="380" t="str">
        <f>Настройки!Z22</f>
        <v>-</v>
      </c>
      <c r="AP22" s="380" t="str">
        <f>Настройки!AA22</f>
        <v>Canal_21</v>
      </c>
      <c r="AQ22" s="380" t="str">
        <f>Настройки!AB22</f>
        <v>Canal_21</v>
      </c>
      <c r="AR22" s="380" t="str">
        <f>Настройки!AC22</f>
        <v>-</v>
      </c>
      <c r="AS22" s="380" t="str">
        <f>Настройки!AD22</f>
        <v>-</v>
      </c>
      <c r="AT22" s="207" t="str">
        <f>Настройки!AB22</f>
        <v>Canal_21</v>
      </c>
      <c r="AU22" s="207" t="str">
        <f>Настройки!AC22</f>
        <v>-</v>
      </c>
      <c r="AV22" s="207" t="str">
        <f>Настройки!AD22</f>
        <v>-</v>
      </c>
      <c r="AW22" s="207" t="str">
        <f>Настройки!AE22</f>
        <v>-</v>
      </c>
      <c r="AX22" s="207" t="str">
        <f>Настройки!AF22</f>
        <v>IDIG_6_1</v>
      </c>
      <c r="AY22" s="207" t="str">
        <f>Настройки!AG22</f>
        <v>Canal_21</v>
      </c>
      <c r="AZ22" s="207" t="str">
        <f>Настройки!AH22</f>
        <v>Canal_21</v>
      </c>
      <c r="BA22" s="207" t="str">
        <f>Настройки!AI22</f>
        <v>Canal_21</v>
      </c>
      <c r="BB22" s="207" t="str">
        <f>Настройки!AJ22</f>
        <v>-</v>
      </c>
      <c r="BC22" s="207" t="str">
        <f>Настройки!AK22</f>
        <v>-</v>
      </c>
      <c r="BD22" s="207" t="str">
        <f>Настройки!AL22</f>
        <v>Canal_21</v>
      </c>
      <c r="BE22" s="207" t="str">
        <f>Настройки!AM22</f>
        <v>-</v>
      </c>
    </row>
    <row r="23" spans="1:57">
      <c r="A23" s="82"/>
      <c r="B23" s="82"/>
      <c r="C23" s="11"/>
      <c r="D23" s="81"/>
      <c r="E23" s="81"/>
      <c r="F23" s="81"/>
      <c r="G23" s="445"/>
      <c r="H23" s="445"/>
      <c r="I23" s="1"/>
      <c r="M23" s="424" t="str">
        <f>'Конфигурация TREI'!A24</f>
        <v>BR22</v>
      </c>
      <c r="N23" s="424" t="str">
        <f>'Конфигурация TREI'!B24</f>
        <v>M558D</v>
      </c>
      <c r="AE23" s="428">
        <f>Настройки!P23</f>
        <v>22</v>
      </c>
      <c r="AF23" s="380">
        <f>Настройки!Q23</f>
        <v>0</v>
      </c>
      <c r="AG23" s="380" t="str">
        <f>Настройки!R23</f>
        <v>-</v>
      </c>
      <c r="AH23" s="380" t="str">
        <f>Настройки!S23</f>
        <v>-</v>
      </c>
      <c r="AI23" s="380" t="str">
        <f>Настройки!T23</f>
        <v>out21</v>
      </c>
      <c r="AJ23" s="380" t="str">
        <f>Настройки!U23</f>
        <v>out21</v>
      </c>
      <c r="AK23" s="380" t="str">
        <f>Настройки!V23</f>
        <v>-</v>
      </c>
      <c r="AL23" s="380" t="str">
        <f>Настройки!W23</f>
        <v>-</v>
      </c>
      <c r="AM23" s="380" t="str">
        <f>Настройки!X23</f>
        <v>-</v>
      </c>
      <c r="AN23" s="380" t="str">
        <f>Настройки!Y23</f>
        <v>-</v>
      </c>
      <c r="AO23" s="380" t="str">
        <f>Настройки!Z23</f>
        <v>-</v>
      </c>
      <c r="AP23" s="380" t="str">
        <f>Настройки!AA23</f>
        <v>Canal_22</v>
      </c>
      <c r="AQ23" s="380" t="str">
        <f>Настройки!AB23</f>
        <v>Canal_22</v>
      </c>
      <c r="AR23" s="380" t="str">
        <f>Настройки!AC23</f>
        <v>-</v>
      </c>
      <c r="AS23" s="380" t="str">
        <f>Настройки!AD23</f>
        <v>-</v>
      </c>
      <c r="AT23" s="207" t="str">
        <f>Настройки!AB23</f>
        <v>Canal_22</v>
      </c>
      <c r="AU23" s="207" t="str">
        <f>Настройки!AC23</f>
        <v>-</v>
      </c>
      <c r="AV23" s="207" t="str">
        <f>Настройки!AD23</f>
        <v>-</v>
      </c>
      <c r="AW23" s="207" t="str">
        <f>Настройки!AE23</f>
        <v>-</v>
      </c>
      <c r="AX23" s="207" t="str">
        <f>Настройки!AF23</f>
        <v>IDIG_6_2</v>
      </c>
      <c r="AY23" s="207" t="str">
        <f>Настройки!AG23</f>
        <v>Canal_22</v>
      </c>
      <c r="AZ23" s="207" t="str">
        <f>Настройки!AH23</f>
        <v>Canal_22</v>
      </c>
      <c r="BA23" s="207" t="str">
        <f>Настройки!AI23</f>
        <v>Canal_22</v>
      </c>
      <c r="BB23" s="207" t="str">
        <f>Настройки!AJ23</f>
        <v>-</v>
      </c>
      <c r="BC23" s="207" t="str">
        <f>Настройки!AK23</f>
        <v>-</v>
      </c>
      <c r="BD23" s="207" t="str">
        <f>Настройки!AL23</f>
        <v>Canal_22</v>
      </c>
      <c r="BE23" s="207" t="str">
        <f>Настройки!AM23</f>
        <v>-</v>
      </c>
    </row>
    <row r="24" spans="1:57">
      <c r="A24" s="82"/>
      <c r="B24" s="82"/>
      <c r="C24" s="11"/>
      <c r="D24" s="81"/>
      <c r="E24" s="81"/>
      <c r="F24" s="81"/>
      <c r="G24" s="445"/>
      <c r="H24" s="445"/>
      <c r="I24" s="1"/>
      <c r="M24" s="424" t="str">
        <f>'Конфигурация TREI'!A25</f>
        <v>BR23</v>
      </c>
      <c r="N24" s="424" t="str">
        <f>'Конфигурация TREI'!B25</f>
        <v>M558O</v>
      </c>
      <c r="AE24" s="428">
        <f>Настройки!P24</f>
        <v>23</v>
      </c>
      <c r="AF24" s="380">
        <f>Настройки!Q24</f>
        <v>0</v>
      </c>
      <c r="AG24" s="380" t="str">
        <f>Настройки!R24</f>
        <v>-</v>
      </c>
      <c r="AH24" s="380" t="str">
        <f>Настройки!S24</f>
        <v>-</v>
      </c>
      <c r="AI24" s="380" t="str">
        <f>Настройки!T24</f>
        <v>out22</v>
      </c>
      <c r="AJ24" s="380" t="str">
        <f>Настройки!U24</f>
        <v>out22</v>
      </c>
      <c r="AK24" s="380" t="str">
        <f>Настройки!V24</f>
        <v>-</v>
      </c>
      <c r="AL24" s="380" t="str">
        <f>Настройки!W24</f>
        <v>-</v>
      </c>
      <c r="AM24" s="380" t="str">
        <f>Настройки!X24</f>
        <v>-</v>
      </c>
      <c r="AN24" s="380" t="str">
        <f>Настройки!Y24</f>
        <v>-</v>
      </c>
      <c r="AO24" s="380" t="str">
        <f>Настройки!Z24</f>
        <v>-</v>
      </c>
      <c r="AP24" s="380" t="str">
        <f>Настройки!AA24</f>
        <v>Canal_23</v>
      </c>
      <c r="AQ24" s="380" t="str">
        <f>Настройки!AB24</f>
        <v>Canal_23</v>
      </c>
      <c r="AR24" s="380" t="str">
        <f>Настройки!AC24</f>
        <v>-</v>
      </c>
      <c r="AS24" s="380" t="str">
        <f>Настройки!AD24</f>
        <v>-</v>
      </c>
      <c r="AT24" s="207" t="str">
        <f>Настройки!AB24</f>
        <v>Canal_23</v>
      </c>
      <c r="AU24" s="207" t="str">
        <f>Настройки!AC24</f>
        <v>-</v>
      </c>
      <c r="AV24" s="207" t="str">
        <f>Настройки!AD24</f>
        <v>-</v>
      </c>
      <c r="AW24" s="207" t="str">
        <f>Настройки!AE24</f>
        <v>-</v>
      </c>
      <c r="AX24" s="207" t="str">
        <f>Настройки!AF24</f>
        <v>IDIG_6_3</v>
      </c>
      <c r="AY24" s="207" t="str">
        <f>Настройки!AG24</f>
        <v>Canal_23</v>
      </c>
      <c r="AZ24" s="207" t="str">
        <f>Настройки!AH24</f>
        <v>Canal_23</v>
      </c>
      <c r="BA24" s="207" t="str">
        <f>Настройки!AI24</f>
        <v>Canal_23</v>
      </c>
      <c r="BB24" s="207" t="str">
        <f>Настройки!AJ24</f>
        <v>-</v>
      </c>
      <c r="BC24" s="207" t="str">
        <f>Настройки!AK24</f>
        <v>-</v>
      </c>
      <c r="BD24" s="207" t="str">
        <f>Настройки!AL24</f>
        <v>Canal_23</v>
      </c>
      <c r="BE24" s="207" t="str">
        <f>Настройки!AM24</f>
        <v>-</v>
      </c>
    </row>
    <row r="25" spans="1:57">
      <c r="A25" s="82"/>
      <c r="B25" s="82"/>
      <c r="C25" s="11"/>
      <c r="D25" s="81"/>
      <c r="E25" s="81"/>
      <c r="F25" s="81"/>
      <c r="G25" s="445"/>
      <c r="H25" s="445"/>
      <c r="I25" s="1"/>
      <c r="M25" s="424" t="str">
        <f>'Конфигурация TREI'!A26</f>
        <v>BR24</v>
      </c>
      <c r="N25" s="424" t="str">
        <f>'Конфигурация TREI'!B26</f>
        <v>M558D</v>
      </c>
      <c r="AE25" s="428">
        <f>Настройки!P25</f>
        <v>24</v>
      </c>
      <c r="AF25" s="380">
        <f>Настройки!Q25</f>
        <v>0</v>
      </c>
      <c r="AG25" s="380" t="str">
        <f>Настройки!R25</f>
        <v>-</v>
      </c>
      <c r="AH25" s="380" t="str">
        <f>Настройки!S25</f>
        <v>-</v>
      </c>
      <c r="AI25" s="380" t="str">
        <f>Настройки!T25</f>
        <v>out23</v>
      </c>
      <c r="AJ25" s="380" t="str">
        <f>Настройки!U25</f>
        <v>out23</v>
      </c>
      <c r="AK25" s="380" t="str">
        <f>Настройки!V25</f>
        <v>-</v>
      </c>
      <c r="AL25" s="380" t="str">
        <f>Настройки!W25</f>
        <v>-</v>
      </c>
      <c r="AM25" s="380" t="str">
        <f>Настройки!X25</f>
        <v>-</v>
      </c>
      <c r="AN25" s="380" t="str">
        <f>Настройки!Y25</f>
        <v>-</v>
      </c>
      <c r="AO25" s="380" t="str">
        <f>Настройки!Z25</f>
        <v>-</v>
      </c>
      <c r="AP25" s="380" t="str">
        <f>Настройки!AA25</f>
        <v>Canal_24</v>
      </c>
      <c r="AQ25" s="380" t="str">
        <f>Настройки!AB25</f>
        <v>Canal_24</v>
      </c>
      <c r="AR25" s="380" t="str">
        <f>Настройки!AC25</f>
        <v>-</v>
      </c>
      <c r="AS25" s="380" t="str">
        <f>Настройки!AD25</f>
        <v>-</v>
      </c>
      <c r="AT25" s="207" t="str">
        <f>Настройки!AB25</f>
        <v>Canal_24</v>
      </c>
      <c r="AU25" s="207" t="str">
        <f>Настройки!AC25</f>
        <v>-</v>
      </c>
      <c r="AV25" s="207" t="str">
        <f>Настройки!AD25</f>
        <v>-</v>
      </c>
      <c r="AW25" s="207" t="str">
        <f>Настройки!AE25</f>
        <v>-</v>
      </c>
      <c r="AX25" s="207" t="str">
        <f>Настройки!AF25</f>
        <v>IDIG_6_4</v>
      </c>
      <c r="AY25" s="207" t="str">
        <f>Настройки!AG25</f>
        <v>Canal_24</v>
      </c>
      <c r="AZ25" s="207" t="str">
        <f>Настройки!AH25</f>
        <v>Canal_24</v>
      </c>
      <c r="BA25" s="207" t="str">
        <f>Настройки!AI25</f>
        <v>Canal_24</v>
      </c>
      <c r="BB25" s="207" t="str">
        <f>Настройки!AJ25</f>
        <v>-</v>
      </c>
      <c r="BC25" s="207" t="str">
        <f>Настройки!AK25</f>
        <v>-</v>
      </c>
      <c r="BD25" s="207" t="str">
        <f>Настройки!AL25</f>
        <v>Canal_24</v>
      </c>
      <c r="BE25" s="207" t="str">
        <f>Настройки!AM25</f>
        <v>-</v>
      </c>
    </row>
    <row r="26" spans="1:57">
      <c r="A26" s="82"/>
      <c r="B26" s="82"/>
      <c r="C26" s="11"/>
      <c r="D26" s="81"/>
      <c r="E26" s="81"/>
      <c r="F26" s="81"/>
      <c r="G26" s="445"/>
      <c r="H26" s="445"/>
      <c r="I26" s="1"/>
      <c r="M26" s="424" t="str">
        <f>'Конфигурация TREI'!A27</f>
        <v>BR25</v>
      </c>
      <c r="N26" s="424" t="str">
        <f>'Конфигурация TREI'!B27</f>
        <v>M558D</v>
      </c>
      <c r="AE26" s="428">
        <f>Настройки!P26</f>
        <v>25</v>
      </c>
      <c r="AF26" s="380">
        <f>Настройки!Q26</f>
        <v>0</v>
      </c>
      <c r="AG26" s="380" t="str">
        <f>Настройки!R26</f>
        <v>-</v>
      </c>
      <c r="AH26" s="380" t="str">
        <f>Настройки!S26</f>
        <v>-</v>
      </c>
      <c r="AI26" s="380" t="str">
        <f>Настройки!T26</f>
        <v>out24</v>
      </c>
      <c r="AJ26" s="380" t="str">
        <f>Настройки!U26</f>
        <v>out24</v>
      </c>
      <c r="AK26" s="380" t="str">
        <f>Настройки!V26</f>
        <v>-</v>
      </c>
      <c r="AL26" s="380" t="str">
        <f>Настройки!W26</f>
        <v>-</v>
      </c>
      <c r="AM26" s="380" t="str">
        <f>Настройки!X26</f>
        <v>-</v>
      </c>
      <c r="AN26" s="380" t="str">
        <f>Настройки!Y26</f>
        <v>-</v>
      </c>
      <c r="AO26" s="380" t="str">
        <f>Настройки!Z26</f>
        <v>-</v>
      </c>
      <c r="AP26" s="380" t="str">
        <f>Настройки!AA26</f>
        <v>Canal_25</v>
      </c>
      <c r="AQ26" s="380" t="str">
        <f>Настройки!AB26</f>
        <v>Canal_25</v>
      </c>
      <c r="AR26" s="380" t="str">
        <f>Настройки!AC26</f>
        <v>-</v>
      </c>
      <c r="AS26" s="380" t="str">
        <f>Настройки!AD26</f>
        <v>-</v>
      </c>
      <c r="AT26" s="207" t="str">
        <f>Настройки!AB26</f>
        <v>Canal_25</v>
      </c>
      <c r="AU26" s="207" t="str">
        <f>Настройки!AC26</f>
        <v>-</v>
      </c>
      <c r="AV26" s="207" t="str">
        <f>Настройки!AD26</f>
        <v>-</v>
      </c>
      <c r="AW26" s="207" t="str">
        <f>Настройки!AE26</f>
        <v>-</v>
      </c>
      <c r="AX26" s="207" t="str">
        <f>Настройки!AF26</f>
        <v>IDIG_7_1</v>
      </c>
      <c r="AY26" s="207" t="str">
        <f>Настройки!AG26</f>
        <v>Canal_25</v>
      </c>
      <c r="AZ26" s="207" t="str">
        <f>Настройки!AH26</f>
        <v>Canal_25</v>
      </c>
      <c r="BA26" s="207" t="str">
        <f>Настройки!AI26</f>
        <v>Canal_25</v>
      </c>
      <c r="BB26" s="207" t="str">
        <f>Настройки!AJ26</f>
        <v>-</v>
      </c>
      <c r="BC26" s="207" t="str">
        <f>Настройки!AK26</f>
        <v>-</v>
      </c>
      <c r="BD26" s="207" t="str">
        <f>Настройки!AL26</f>
        <v>Canal_25</v>
      </c>
      <c r="BE26" s="207" t="str">
        <f>Настройки!AM26</f>
        <v>-</v>
      </c>
    </row>
    <row r="27" spans="1:57">
      <c r="A27" s="82"/>
      <c r="B27" s="82"/>
      <c r="C27" s="11"/>
      <c r="D27" s="81"/>
      <c r="E27" s="81"/>
      <c r="F27" s="81"/>
      <c r="G27" s="445"/>
      <c r="H27" s="445"/>
      <c r="I27" s="1"/>
      <c r="M27" s="424" t="str">
        <f>'Конфигурация TREI'!A28</f>
        <v>BR26</v>
      </c>
      <c r="N27" s="424" t="str">
        <f>'Конфигурация TREI'!B28</f>
        <v>M558D</v>
      </c>
      <c r="AE27" s="428">
        <f>Настройки!P27</f>
        <v>26</v>
      </c>
      <c r="AF27" s="380">
        <f>Настройки!Q27</f>
        <v>0</v>
      </c>
      <c r="AG27" s="380" t="str">
        <f>Настройки!R27</f>
        <v>-</v>
      </c>
      <c r="AH27" s="380" t="str">
        <f>Настройки!S27</f>
        <v>-</v>
      </c>
      <c r="AI27" s="380" t="str">
        <f>Настройки!T27</f>
        <v>out25</v>
      </c>
      <c r="AJ27" s="380" t="str">
        <f>Настройки!U27</f>
        <v>out25</v>
      </c>
      <c r="AK27" s="380" t="str">
        <f>Настройки!V27</f>
        <v>-</v>
      </c>
      <c r="AL27" s="380" t="str">
        <f>Настройки!W27</f>
        <v>-</v>
      </c>
      <c r="AM27" s="380" t="str">
        <f>Настройки!X27</f>
        <v>-</v>
      </c>
      <c r="AN27" s="380" t="str">
        <f>Настройки!Y27</f>
        <v>-</v>
      </c>
      <c r="AO27" s="380" t="str">
        <f>Настройки!Z27</f>
        <v>-</v>
      </c>
      <c r="AP27" s="380" t="str">
        <f>Настройки!AA27</f>
        <v>Canal_26</v>
      </c>
      <c r="AQ27" s="380" t="str">
        <f>Настройки!AB27</f>
        <v>Canal_26</v>
      </c>
      <c r="AR27" s="380" t="str">
        <f>Настройки!AC27</f>
        <v>-</v>
      </c>
      <c r="AS27" s="380" t="str">
        <f>Настройки!AD27</f>
        <v>-</v>
      </c>
      <c r="AT27" s="207" t="str">
        <f>Настройки!AB27</f>
        <v>Canal_26</v>
      </c>
      <c r="AU27" s="207" t="str">
        <f>Настройки!AC27</f>
        <v>-</v>
      </c>
      <c r="AV27" s="207" t="str">
        <f>Настройки!AD27</f>
        <v>-</v>
      </c>
      <c r="AW27" s="207" t="str">
        <f>Настройки!AE27</f>
        <v>-</v>
      </c>
      <c r="AX27" s="207" t="str">
        <f>Настройки!AF27</f>
        <v>IDIG_7_2</v>
      </c>
      <c r="AY27" s="207" t="str">
        <f>Настройки!AG27</f>
        <v>Canal_26</v>
      </c>
      <c r="AZ27" s="207" t="str">
        <f>Настройки!AH27</f>
        <v>Canal_26</v>
      </c>
      <c r="BA27" s="207" t="str">
        <f>Настройки!AI27</f>
        <v>Canal_26</v>
      </c>
      <c r="BB27" s="207" t="str">
        <f>Настройки!AJ27</f>
        <v>-</v>
      </c>
      <c r="BC27" s="207" t="str">
        <f>Настройки!AK27</f>
        <v>-</v>
      </c>
      <c r="BD27" s="207" t="str">
        <f>Настройки!AL27</f>
        <v>Canal_26</v>
      </c>
      <c r="BE27" s="207" t="str">
        <f>Настройки!AM27</f>
        <v>-</v>
      </c>
    </row>
    <row r="28" spans="1:57">
      <c r="A28" s="82"/>
      <c r="B28" s="82"/>
      <c r="C28" s="11"/>
      <c r="D28" s="81"/>
      <c r="E28" s="81"/>
      <c r="F28" s="81"/>
      <c r="G28" s="445"/>
      <c r="H28" s="445"/>
      <c r="I28" s="1"/>
      <c r="M28" s="424" t="str">
        <f>'Конфигурация TREI'!A29</f>
        <v>BR27</v>
      </c>
      <c r="N28" s="424" t="str">
        <f>'Конфигурация TREI'!B29</f>
        <v>M558D</v>
      </c>
      <c r="AE28" s="428">
        <f>Настройки!P28</f>
        <v>27</v>
      </c>
      <c r="AF28" s="380">
        <f>Настройки!Q28</f>
        <v>0</v>
      </c>
      <c r="AG28" s="380" t="str">
        <f>Настройки!R28</f>
        <v>-</v>
      </c>
      <c r="AH28" s="380" t="str">
        <f>Настройки!S28</f>
        <v>-</v>
      </c>
      <c r="AI28" s="380" t="str">
        <f>Настройки!T28</f>
        <v>out26</v>
      </c>
      <c r="AJ28" s="380" t="str">
        <f>Настройки!U28</f>
        <v>out26</v>
      </c>
      <c r="AK28" s="380" t="str">
        <f>Настройки!V28</f>
        <v>-</v>
      </c>
      <c r="AL28" s="380" t="str">
        <f>Настройки!W28</f>
        <v>-</v>
      </c>
      <c r="AM28" s="380" t="str">
        <f>Настройки!X28</f>
        <v>-</v>
      </c>
      <c r="AN28" s="380" t="str">
        <f>Настройки!Y28</f>
        <v>-</v>
      </c>
      <c r="AO28" s="380" t="str">
        <f>Настройки!Z28</f>
        <v>-</v>
      </c>
      <c r="AP28" s="380" t="str">
        <f>Настройки!AA28</f>
        <v>Canal_27</v>
      </c>
      <c r="AQ28" s="380" t="str">
        <f>Настройки!AB28</f>
        <v>Canal_27</v>
      </c>
      <c r="AR28" s="380" t="str">
        <f>Настройки!AC28</f>
        <v>-</v>
      </c>
      <c r="AS28" s="380" t="str">
        <f>Настройки!AD28</f>
        <v>-</v>
      </c>
      <c r="AT28" s="207" t="str">
        <f>Настройки!AB28</f>
        <v>Canal_27</v>
      </c>
      <c r="AU28" s="207" t="str">
        <f>Настройки!AC28</f>
        <v>-</v>
      </c>
      <c r="AV28" s="207" t="str">
        <f>Настройки!AD28</f>
        <v>-</v>
      </c>
      <c r="AW28" s="207" t="str">
        <f>Настройки!AE28</f>
        <v>-</v>
      </c>
      <c r="AX28" s="207" t="str">
        <f>Настройки!AF28</f>
        <v>IDIG_7_3</v>
      </c>
      <c r="AY28" s="207" t="str">
        <f>Настройки!AG28</f>
        <v>Canal_27</v>
      </c>
      <c r="AZ28" s="207" t="str">
        <f>Настройки!AH28</f>
        <v>Canal_27</v>
      </c>
      <c r="BA28" s="207" t="str">
        <f>Настройки!AI28</f>
        <v>Canal_27</v>
      </c>
      <c r="BB28" s="207" t="str">
        <f>Настройки!AJ28</f>
        <v>-</v>
      </c>
      <c r="BC28" s="207" t="str">
        <f>Настройки!AK28</f>
        <v>-</v>
      </c>
      <c r="BD28" s="207" t="str">
        <f>Настройки!AL28</f>
        <v>Canal_27</v>
      </c>
      <c r="BE28" s="207" t="str">
        <f>Настройки!AM28</f>
        <v>-</v>
      </c>
    </row>
    <row r="29" spans="1:57">
      <c r="A29" s="82"/>
      <c r="B29" s="82"/>
      <c r="C29" s="11"/>
      <c r="D29" s="81"/>
      <c r="E29" s="81"/>
      <c r="F29" s="81"/>
      <c r="G29" s="445"/>
      <c r="H29" s="445"/>
      <c r="I29" s="1"/>
      <c r="M29" s="424" t="str">
        <f>'Конфигурация TREI'!A30</f>
        <v>BR28</v>
      </c>
      <c r="N29" s="424" t="str">
        <f>'Конфигурация TREI'!B30</f>
        <v>M558D</v>
      </c>
      <c r="AE29" s="428">
        <f>Настройки!P29</f>
        <v>28</v>
      </c>
      <c r="AF29" s="380">
        <f>Настройки!Q29</f>
        <v>0</v>
      </c>
      <c r="AG29" s="380" t="str">
        <f>Настройки!R29</f>
        <v>-</v>
      </c>
      <c r="AH29" s="380" t="str">
        <f>Настройки!S29</f>
        <v>-</v>
      </c>
      <c r="AI29" s="380" t="str">
        <f>Настройки!T29</f>
        <v>out27</v>
      </c>
      <c r="AJ29" s="380" t="str">
        <f>Настройки!U29</f>
        <v>out27</v>
      </c>
      <c r="AK29" s="380" t="str">
        <f>Настройки!V29</f>
        <v>-</v>
      </c>
      <c r="AL29" s="380" t="str">
        <f>Настройки!W29</f>
        <v>-</v>
      </c>
      <c r="AM29" s="380" t="str">
        <f>Настройки!X29</f>
        <v>-</v>
      </c>
      <c r="AN29" s="380" t="str">
        <f>Настройки!Y29</f>
        <v>-</v>
      </c>
      <c r="AO29" s="380" t="str">
        <f>Настройки!Z29</f>
        <v>-</v>
      </c>
      <c r="AP29" s="380" t="str">
        <f>Настройки!AA29</f>
        <v>Canal_28</v>
      </c>
      <c r="AQ29" s="380" t="str">
        <f>Настройки!AB29</f>
        <v>Canal_28</v>
      </c>
      <c r="AR29" s="380" t="str">
        <f>Настройки!AC29</f>
        <v>-</v>
      </c>
      <c r="AS29" s="380" t="str">
        <f>Настройки!AD29</f>
        <v>-</v>
      </c>
      <c r="AT29" s="207" t="str">
        <f>Настройки!AB29</f>
        <v>Canal_28</v>
      </c>
      <c r="AU29" s="207" t="str">
        <f>Настройки!AC29</f>
        <v>-</v>
      </c>
      <c r="AV29" s="207" t="str">
        <f>Настройки!AD29</f>
        <v>-</v>
      </c>
      <c r="AW29" s="207" t="str">
        <f>Настройки!AE29</f>
        <v>-</v>
      </c>
      <c r="AX29" s="207" t="str">
        <f>Настройки!AF29</f>
        <v>IDIG_7_4</v>
      </c>
      <c r="AY29" s="207" t="str">
        <f>Настройки!AG29</f>
        <v>Canal_28</v>
      </c>
      <c r="AZ29" s="207" t="str">
        <f>Настройки!AH29</f>
        <v>Canal_28</v>
      </c>
      <c r="BA29" s="207" t="str">
        <f>Настройки!AI29</f>
        <v>Canal_28</v>
      </c>
      <c r="BB29" s="207" t="str">
        <f>Настройки!AJ29</f>
        <v>-</v>
      </c>
      <c r="BC29" s="207" t="str">
        <f>Настройки!AK29</f>
        <v>-</v>
      </c>
      <c r="BD29" s="207" t="str">
        <f>Настройки!AL29</f>
        <v>Canal_28</v>
      </c>
      <c r="BE29" s="207" t="str">
        <f>Настройки!AM29</f>
        <v>-</v>
      </c>
    </row>
    <row r="30" spans="1:57">
      <c r="A30" s="1"/>
      <c r="B30" s="1"/>
      <c r="C30" s="1"/>
      <c r="D30" s="1"/>
      <c r="E30" s="1"/>
      <c r="F30" s="1"/>
      <c r="G30" s="1"/>
      <c r="H30" s="1"/>
      <c r="I30" s="1"/>
      <c r="M30" s="424" t="str">
        <f>'Конфигурация TREI'!A31</f>
        <v>BR29</v>
      </c>
      <c r="N30" s="424" t="str">
        <f>'Конфигурация TREI'!B31</f>
        <v>M558O</v>
      </c>
      <c r="AE30" s="428">
        <f>Настройки!P30</f>
        <v>29</v>
      </c>
      <c r="AF30" s="380">
        <f>Настройки!Q30</f>
        <v>0</v>
      </c>
      <c r="AG30" s="380" t="str">
        <f>Настройки!R30</f>
        <v>-</v>
      </c>
      <c r="AH30" s="380" t="str">
        <f>Настройки!S30</f>
        <v>-</v>
      </c>
      <c r="AI30" s="380" t="str">
        <f>Настройки!T30</f>
        <v>out28</v>
      </c>
      <c r="AJ30" s="380" t="str">
        <f>Настройки!U30</f>
        <v>out28</v>
      </c>
      <c r="AK30" s="380" t="str">
        <f>Настройки!V30</f>
        <v>-</v>
      </c>
      <c r="AL30" s="380" t="str">
        <f>Настройки!W30</f>
        <v>-</v>
      </c>
      <c r="AM30" s="380" t="str">
        <f>Настройки!X30</f>
        <v>-</v>
      </c>
      <c r="AN30" s="380" t="str">
        <f>Настройки!Y30</f>
        <v>-</v>
      </c>
      <c r="AO30" s="380" t="str">
        <f>Настройки!Z30</f>
        <v>-</v>
      </c>
      <c r="AP30" s="380" t="str">
        <f>Настройки!AA30</f>
        <v>Canal_29</v>
      </c>
      <c r="AQ30" s="380" t="str">
        <f>Настройки!AB30</f>
        <v>Canal_29</v>
      </c>
      <c r="AR30" s="380" t="str">
        <f>Настройки!AC30</f>
        <v>-</v>
      </c>
      <c r="AS30" s="380" t="str">
        <f>Настройки!AD30</f>
        <v>-</v>
      </c>
      <c r="AT30" s="207" t="str">
        <f>Настройки!AB30</f>
        <v>Canal_29</v>
      </c>
      <c r="AU30" s="207" t="str">
        <f>Настройки!AC30</f>
        <v>-</v>
      </c>
      <c r="AV30" s="207" t="str">
        <f>Настройки!AD30</f>
        <v>-</v>
      </c>
      <c r="AW30" s="207" t="str">
        <f>Настройки!AE30</f>
        <v>-</v>
      </c>
      <c r="AX30" s="207" t="str">
        <f>Настройки!AF30</f>
        <v>IDIG_8_1</v>
      </c>
      <c r="AY30" s="207" t="str">
        <f>Настройки!AG30</f>
        <v>Canal_29</v>
      </c>
      <c r="AZ30" s="207" t="str">
        <f>Настройки!AH30</f>
        <v>Canal_29</v>
      </c>
      <c r="BA30" s="207" t="str">
        <f>Настройки!AI30</f>
        <v>Canal_29</v>
      </c>
      <c r="BB30" s="207" t="str">
        <f>Настройки!AJ30</f>
        <v>-</v>
      </c>
      <c r="BC30" s="207" t="str">
        <f>Настройки!AK30</f>
        <v>-</v>
      </c>
      <c r="BD30" s="207" t="str">
        <f>Настройки!AL30</f>
        <v>Canal_29</v>
      </c>
      <c r="BE30" s="207" t="str">
        <f>Настройки!AM30</f>
        <v>-</v>
      </c>
    </row>
    <row r="31" spans="1:57">
      <c r="A31" s="82"/>
      <c r="B31" s="82"/>
      <c r="C31" s="81"/>
      <c r="D31" s="81"/>
      <c r="E31" s="81"/>
      <c r="F31" s="81"/>
      <c r="G31" s="445"/>
      <c r="H31" s="445"/>
      <c r="I31" s="1"/>
      <c r="M31" s="424" t="str">
        <f>'Конфигурация TREI'!A32</f>
        <v>BR30</v>
      </c>
      <c r="N31" s="424" t="str">
        <f>'Конфигурация TREI'!B32</f>
        <v>M558D</v>
      </c>
      <c r="AE31" s="428">
        <f>Настройки!P31</f>
        <v>30</v>
      </c>
      <c r="AF31" s="380">
        <f>Настройки!Q31</f>
        <v>0</v>
      </c>
      <c r="AG31" s="380" t="str">
        <f>Настройки!R31</f>
        <v>-</v>
      </c>
      <c r="AH31" s="380" t="str">
        <f>Настройки!S31</f>
        <v>-</v>
      </c>
      <c r="AI31" s="380" t="str">
        <f>Настройки!T31</f>
        <v>out29</v>
      </c>
      <c r="AJ31" s="380" t="str">
        <f>Настройки!U31</f>
        <v>out29</v>
      </c>
      <c r="AK31" s="380" t="str">
        <f>Настройки!V31</f>
        <v>-</v>
      </c>
      <c r="AL31" s="380" t="str">
        <f>Настройки!W31</f>
        <v>-</v>
      </c>
      <c r="AM31" s="380" t="str">
        <f>Настройки!X31</f>
        <v>-</v>
      </c>
      <c r="AN31" s="380" t="str">
        <f>Настройки!Y31</f>
        <v>-</v>
      </c>
      <c r="AO31" s="380" t="str">
        <f>Настройки!Z31</f>
        <v>-</v>
      </c>
      <c r="AP31" s="380" t="str">
        <f>Настройки!AA31</f>
        <v>Canal_30</v>
      </c>
      <c r="AQ31" s="380" t="str">
        <f>Настройки!AB31</f>
        <v>Canal_30</v>
      </c>
      <c r="AR31" s="380" t="str">
        <f>Настройки!AC31</f>
        <v>-</v>
      </c>
      <c r="AS31" s="380" t="str">
        <f>Настройки!AD31</f>
        <v>-</v>
      </c>
      <c r="AT31" s="207" t="str">
        <f>Настройки!AB31</f>
        <v>Canal_30</v>
      </c>
      <c r="AU31" s="207" t="str">
        <f>Настройки!AC31</f>
        <v>-</v>
      </c>
      <c r="AV31" s="207" t="str">
        <f>Настройки!AD31</f>
        <v>-</v>
      </c>
      <c r="AW31" s="207" t="str">
        <f>Настройки!AE31</f>
        <v>-</v>
      </c>
      <c r="AX31" s="207" t="str">
        <f>Настройки!AF31</f>
        <v>IDIG_8_2</v>
      </c>
      <c r="AY31" s="207" t="str">
        <f>Настройки!AG31</f>
        <v>Canal_30</v>
      </c>
      <c r="AZ31" s="207" t="str">
        <f>Настройки!AH31</f>
        <v>Canal_30</v>
      </c>
      <c r="BA31" s="207" t="str">
        <f>Настройки!AI31</f>
        <v>Canal_30</v>
      </c>
      <c r="BB31" s="207" t="str">
        <f>Настройки!AJ31</f>
        <v>-</v>
      </c>
      <c r="BC31" s="207" t="str">
        <f>Настройки!AK31</f>
        <v>-</v>
      </c>
      <c r="BD31" s="207" t="str">
        <f>Настройки!AL31</f>
        <v>Canal_30</v>
      </c>
      <c r="BE31" s="207" t="str">
        <f>Настройки!AM31</f>
        <v>-</v>
      </c>
    </row>
    <row r="32" spans="1:57">
      <c r="A32" s="82"/>
      <c r="B32" s="82"/>
      <c r="C32" s="81"/>
      <c r="D32" s="81"/>
      <c r="E32" s="81"/>
      <c r="F32" s="81"/>
      <c r="G32" s="445"/>
      <c r="H32" s="445"/>
      <c r="I32" s="1"/>
      <c r="M32" s="424" t="str">
        <f>'Конфигурация TREI'!A33</f>
        <v>BR31</v>
      </c>
      <c r="N32" s="424" t="str">
        <f>'Конфигурация TREI'!B33</f>
        <v>M558D</v>
      </c>
      <c r="AE32" s="428">
        <f>Настройки!P32</f>
        <v>31</v>
      </c>
      <c r="AF32" s="380">
        <f>Настройки!Q32</f>
        <v>0</v>
      </c>
      <c r="AG32" s="380" t="str">
        <f>Настройки!R32</f>
        <v>-</v>
      </c>
      <c r="AH32" s="380" t="str">
        <f>Настройки!S32</f>
        <v>-</v>
      </c>
      <c r="AI32" s="380" t="str">
        <f>Настройки!T32</f>
        <v>out30</v>
      </c>
      <c r="AJ32" s="380" t="str">
        <f>Настройки!U32</f>
        <v>out30</v>
      </c>
      <c r="AK32" s="380" t="str">
        <f>Настройки!V32</f>
        <v>-</v>
      </c>
      <c r="AL32" s="380" t="str">
        <f>Настройки!W32</f>
        <v>-</v>
      </c>
      <c r="AM32" s="380" t="str">
        <f>Настройки!X32</f>
        <v>-</v>
      </c>
      <c r="AN32" s="380" t="str">
        <f>Настройки!Y32</f>
        <v>-</v>
      </c>
      <c r="AO32" s="380" t="str">
        <f>Настройки!Z32</f>
        <v>-</v>
      </c>
      <c r="AP32" s="380" t="str">
        <f>Настройки!AA32</f>
        <v>Canal_31</v>
      </c>
      <c r="AQ32" s="380" t="str">
        <f>Настройки!AB32</f>
        <v>Canal_31</v>
      </c>
      <c r="AR32" s="380" t="str">
        <f>Настройки!AC32</f>
        <v>-</v>
      </c>
      <c r="AS32" s="380" t="str">
        <f>Настройки!AD32</f>
        <v>-</v>
      </c>
      <c r="AT32" s="207" t="str">
        <f>Настройки!AB32</f>
        <v>Canal_31</v>
      </c>
      <c r="AU32" s="207" t="str">
        <f>Настройки!AC32</f>
        <v>-</v>
      </c>
      <c r="AV32" s="207" t="str">
        <f>Настройки!AD32</f>
        <v>-</v>
      </c>
      <c r="AW32" s="207" t="str">
        <f>Настройки!AE32</f>
        <v>-</v>
      </c>
      <c r="AX32" s="207" t="str">
        <f>Настройки!AF32</f>
        <v>IDIG_8_3</v>
      </c>
      <c r="AY32" s="207" t="str">
        <f>Настройки!AG32</f>
        <v>Canal_31</v>
      </c>
      <c r="AZ32" s="207" t="str">
        <f>Настройки!AH32</f>
        <v>Canal_31</v>
      </c>
      <c r="BA32" s="207" t="str">
        <f>Настройки!AI32</f>
        <v>Canal_31</v>
      </c>
      <c r="BB32" s="207" t="str">
        <f>Настройки!AJ32</f>
        <v>-</v>
      </c>
      <c r="BC32" s="207" t="str">
        <f>Настройки!AK32</f>
        <v>-</v>
      </c>
      <c r="BD32" s="207" t="str">
        <f>Настройки!AL32</f>
        <v>Canal_31</v>
      </c>
      <c r="BE32" s="207" t="str">
        <f>Настройки!AM32</f>
        <v>-</v>
      </c>
    </row>
    <row r="33" spans="1:57">
      <c r="A33" s="82"/>
      <c r="B33" s="82"/>
      <c r="C33" s="81"/>
      <c r="D33" s="81"/>
      <c r="E33" s="81"/>
      <c r="F33" s="81"/>
      <c r="G33" s="445"/>
      <c r="H33" s="445"/>
      <c r="I33" s="1"/>
      <c r="M33" s="424" t="str">
        <f>'Конфигурация TREI'!A34</f>
        <v>BR32</v>
      </c>
      <c r="N33" s="424" t="str">
        <f>'Конфигурация TREI'!B34</f>
        <v>M558D</v>
      </c>
      <c r="AE33" s="620">
        <f>Настройки!P33</f>
        <v>32</v>
      </c>
      <c r="AF33" s="621">
        <f>Настройки!Q33</f>
        <v>0</v>
      </c>
      <c r="AG33" s="621" t="str">
        <f>Настройки!R33</f>
        <v>-</v>
      </c>
      <c r="AH33" s="621" t="str">
        <f>Настройки!S33</f>
        <v>-</v>
      </c>
      <c r="AI33" s="621" t="str">
        <f>Настройки!T33</f>
        <v>out31</v>
      </c>
      <c r="AJ33" s="621" t="str">
        <f>Настройки!U33</f>
        <v>out31</v>
      </c>
      <c r="AK33" s="621" t="str">
        <f>Настройки!V33</f>
        <v>-</v>
      </c>
      <c r="AL33" s="621" t="str">
        <f>Настройки!W33</f>
        <v>-</v>
      </c>
      <c r="AM33" s="621" t="str">
        <f>Настройки!X33</f>
        <v>-</v>
      </c>
      <c r="AN33" s="621" t="str">
        <f>Настройки!Y33</f>
        <v>-</v>
      </c>
      <c r="AO33" s="621" t="str">
        <f>Настройки!Z33</f>
        <v>-</v>
      </c>
      <c r="AP33" s="621" t="str">
        <f>Настройки!AA33</f>
        <v>Canal_32</v>
      </c>
      <c r="AQ33" s="621" t="str">
        <f>Настройки!AB33</f>
        <v>Canal_32</v>
      </c>
      <c r="AR33" s="621" t="str">
        <f>Настройки!AC33</f>
        <v>-</v>
      </c>
      <c r="AS33" s="621" t="str">
        <f>Настройки!AD33</f>
        <v>-</v>
      </c>
      <c r="AT33" s="622" t="str">
        <f>Настройки!AB33</f>
        <v>Canal_32</v>
      </c>
      <c r="AU33" s="622" t="str">
        <f>Настройки!AC33</f>
        <v>-</v>
      </c>
      <c r="AV33" s="622" t="str">
        <f>Настройки!AD33</f>
        <v>-</v>
      </c>
      <c r="AW33" s="622" t="str">
        <f>Настройки!AE33</f>
        <v>-</v>
      </c>
      <c r="AX33" s="622" t="str">
        <f>Настройки!AF33</f>
        <v>IDIG_8_4</v>
      </c>
      <c r="AY33" s="622" t="str">
        <f>Настройки!AG33</f>
        <v>Canal_32</v>
      </c>
      <c r="AZ33" s="622" t="str">
        <f>Настройки!AH33</f>
        <v>Canal_32</v>
      </c>
      <c r="BA33" s="622" t="str">
        <f>Настройки!AI33</f>
        <v>Canal_32</v>
      </c>
      <c r="BB33" s="622" t="str">
        <f>Настройки!AJ33</f>
        <v>-</v>
      </c>
      <c r="BC33" s="622" t="str">
        <f>Настройки!AK33</f>
        <v>-</v>
      </c>
      <c r="BD33" s="622" t="str">
        <f>Настройки!AL33</f>
        <v>Canal_32</v>
      </c>
      <c r="BE33" s="622" t="str">
        <f>Настройки!AM33</f>
        <v>-</v>
      </c>
    </row>
    <row r="34" spans="1:57">
      <c r="A34" s="82"/>
      <c r="B34" s="82"/>
      <c r="C34" s="81"/>
      <c r="D34" s="81"/>
      <c r="E34" s="81"/>
      <c r="F34" s="81"/>
      <c r="G34" s="445"/>
      <c r="H34" s="445"/>
      <c r="I34" s="1"/>
      <c r="M34" s="424" t="str">
        <f>'Конфигурация TREI'!A35</f>
        <v>BR33</v>
      </c>
      <c r="N34" s="424" t="str">
        <f>'Конфигурация TREI'!B35</f>
        <v>M558D</v>
      </c>
      <c r="AE34" s="624"/>
      <c r="AF34" s="624"/>
      <c r="AG34" s="624"/>
      <c r="AH34" s="624"/>
      <c r="AI34" s="624"/>
      <c r="AJ34" s="624"/>
      <c r="AK34" s="624"/>
      <c r="AL34" s="624"/>
      <c r="AM34" s="624"/>
      <c r="AN34" s="624"/>
      <c r="AO34" s="624"/>
      <c r="AP34" s="624"/>
      <c r="AQ34" s="624"/>
      <c r="AR34" s="624"/>
      <c r="AS34" s="624"/>
      <c r="AT34" s="625"/>
      <c r="AU34" s="625"/>
      <c r="AV34" s="625"/>
      <c r="AW34" s="625"/>
      <c r="AX34" s="625"/>
      <c r="AY34" s="625"/>
      <c r="AZ34" s="625"/>
      <c r="BA34" s="625"/>
      <c r="BB34" s="625"/>
      <c r="BC34" s="625"/>
      <c r="BD34" s="625"/>
      <c r="BE34" s="625"/>
    </row>
    <row r="35" spans="1:57">
      <c r="A35" s="82"/>
      <c r="B35" s="82"/>
      <c r="C35" s="81"/>
      <c r="D35" s="81"/>
      <c r="E35" s="81"/>
      <c r="F35" s="81"/>
      <c r="G35" s="445"/>
      <c r="H35" s="445"/>
      <c r="I35" s="1"/>
      <c r="M35" s="424" t="str">
        <f>'Конфигурация TREI'!A36</f>
        <v>BR34</v>
      </c>
      <c r="N35" s="424" t="str">
        <f>'Конфигурация TREI'!B36</f>
        <v>M558D</v>
      </c>
      <c r="AE35" s="505"/>
      <c r="AF35" s="505"/>
      <c r="AG35" s="505"/>
      <c r="AH35" s="505"/>
      <c r="AI35" s="505"/>
      <c r="AJ35" s="505"/>
      <c r="AK35" s="505"/>
      <c r="AL35" s="505"/>
      <c r="AM35" s="505"/>
      <c r="AN35" s="505"/>
      <c r="AO35" s="505"/>
      <c r="AP35" s="505"/>
      <c r="AQ35" s="505"/>
      <c r="AR35" s="505"/>
      <c r="AS35" s="505"/>
      <c r="AT35" s="623"/>
      <c r="AU35" s="623"/>
      <c r="AV35" s="623"/>
      <c r="AW35" s="623"/>
      <c r="AX35" s="623"/>
      <c r="AY35" s="623"/>
      <c r="AZ35" s="623"/>
      <c r="BA35" s="623"/>
      <c r="BB35" s="623"/>
      <c r="BC35" s="623"/>
      <c r="BD35" s="623"/>
      <c r="BE35" s="623"/>
    </row>
    <row r="36" spans="1:57">
      <c r="A36" s="82"/>
      <c r="B36" s="82"/>
      <c r="C36" s="81"/>
      <c r="D36" s="81"/>
      <c r="E36" s="81"/>
      <c r="F36" s="81"/>
      <c r="G36" s="445"/>
      <c r="H36" s="445"/>
      <c r="I36" s="1"/>
      <c r="M36" s="424" t="str">
        <f>'Конфигурация TREI'!A37</f>
        <v>BR35</v>
      </c>
      <c r="N36" s="424" t="str">
        <f>'Конфигурация TREI'!B37</f>
        <v>M558D</v>
      </c>
      <c r="AE36" s="505"/>
      <c r="AF36" s="505"/>
      <c r="AG36" s="505"/>
      <c r="AH36" s="505"/>
      <c r="AI36" s="505"/>
      <c r="AJ36" s="505"/>
      <c r="AK36" s="505"/>
      <c r="AL36" s="505"/>
      <c r="AM36" s="505"/>
      <c r="AN36" s="505"/>
      <c r="AO36" s="505"/>
      <c r="AP36" s="505"/>
      <c r="AQ36" s="505"/>
      <c r="AR36" s="505"/>
      <c r="AS36" s="505"/>
      <c r="AT36" s="623"/>
      <c r="AU36" s="623"/>
      <c r="AV36" s="623"/>
      <c r="AW36" s="623"/>
      <c r="AX36" s="623"/>
      <c r="AY36" s="623"/>
      <c r="AZ36" s="623"/>
      <c r="BA36" s="623"/>
      <c r="BB36" s="623"/>
      <c r="BC36" s="623"/>
      <c r="BD36" s="623"/>
      <c r="BE36" s="623"/>
    </row>
    <row r="37" spans="1:57" ht="15.75" customHeight="1">
      <c r="A37" s="82"/>
      <c r="B37" s="82"/>
      <c r="C37" s="81"/>
      <c r="D37" s="81"/>
      <c r="E37" s="81"/>
      <c r="F37" s="81"/>
      <c r="G37" s="445"/>
      <c r="H37" s="445"/>
      <c r="I37" s="1"/>
      <c r="M37" s="424" t="str">
        <f>'Конфигурация TREI'!A38</f>
        <v>BR36</v>
      </c>
      <c r="N37" s="424">
        <f>'Конфигурация TREI'!B38</f>
        <v>0</v>
      </c>
      <c r="AE37" s="505"/>
      <c r="AF37" s="505"/>
      <c r="AG37" s="505"/>
      <c r="AH37" s="505"/>
      <c r="AI37" s="505"/>
      <c r="AJ37" s="505"/>
      <c r="AK37" s="505"/>
      <c r="AL37" s="505"/>
      <c r="AM37" s="505"/>
      <c r="AN37" s="505"/>
      <c r="AO37" s="505"/>
      <c r="AP37" s="505"/>
      <c r="AQ37" s="505"/>
      <c r="AR37" s="505"/>
      <c r="AS37" s="505"/>
      <c r="AT37" s="623"/>
      <c r="AU37" s="623"/>
      <c r="AV37" s="623"/>
      <c r="AW37" s="623"/>
      <c r="AX37" s="623"/>
      <c r="AY37" s="623"/>
      <c r="AZ37" s="623"/>
      <c r="BA37" s="623"/>
      <c r="BB37" s="623"/>
      <c r="BC37" s="623"/>
      <c r="BD37" s="623"/>
      <c r="BE37" s="623"/>
    </row>
    <row r="38" spans="1:57">
      <c r="A38" s="82"/>
      <c r="B38" s="82"/>
      <c r="C38" s="81"/>
      <c r="D38" s="81"/>
      <c r="E38" s="81"/>
      <c r="F38" s="81"/>
      <c r="G38" s="445"/>
      <c r="H38" s="445"/>
      <c r="I38" s="1"/>
      <c r="M38" s="424" t="str">
        <f>'Конфигурация TREI'!A39</f>
        <v>BR37</v>
      </c>
      <c r="N38" s="424">
        <f>'Конфигурация TREI'!B39</f>
        <v>0</v>
      </c>
      <c r="AE38" s="505"/>
      <c r="AF38" s="505"/>
      <c r="AG38" s="505"/>
      <c r="AH38" s="505"/>
      <c r="AI38" s="505"/>
      <c r="AJ38" s="505"/>
      <c r="AK38" s="505"/>
      <c r="AL38" s="505"/>
      <c r="AM38" s="505"/>
      <c r="AN38" s="505"/>
      <c r="AO38" s="505"/>
      <c r="AP38" s="505"/>
      <c r="AQ38" s="505"/>
      <c r="AR38" s="505"/>
      <c r="AS38" s="505"/>
      <c r="AT38" s="623"/>
      <c r="AU38" s="623"/>
      <c r="AV38" s="623"/>
      <c r="AW38" s="623"/>
      <c r="AX38" s="623"/>
      <c r="AY38" s="623"/>
      <c r="AZ38" s="623"/>
      <c r="BA38" s="623"/>
      <c r="BB38" s="623"/>
      <c r="BC38" s="623"/>
      <c r="BD38" s="623"/>
      <c r="BE38" s="623"/>
    </row>
    <row r="39" spans="1:57">
      <c r="A39" s="82"/>
      <c r="B39" s="82"/>
      <c r="C39" s="81"/>
      <c r="D39" s="81"/>
      <c r="E39" s="81"/>
      <c r="F39" s="81"/>
      <c r="G39" s="445"/>
      <c r="H39" s="445"/>
      <c r="I39" s="1"/>
      <c r="M39" s="424" t="str">
        <f>'Конфигурация TREI'!A40</f>
        <v>BR38</v>
      </c>
      <c r="N39" s="424">
        <f>'Конфигурация TREI'!B40</f>
        <v>0</v>
      </c>
      <c r="AE39" s="505"/>
      <c r="AF39" s="505"/>
      <c r="AG39" s="505"/>
      <c r="AH39" s="505"/>
      <c r="AI39" s="505"/>
      <c r="AJ39" s="505"/>
      <c r="AK39" s="505"/>
      <c r="AL39" s="505"/>
      <c r="AM39" s="505"/>
      <c r="AN39" s="505"/>
      <c r="AO39" s="505"/>
      <c r="AP39" s="505"/>
      <c r="AQ39" s="505"/>
      <c r="AR39" s="505"/>
      <c r="AS39" s="505"/>
      <c r="AT39" s="623"/>
      <c r="AU39" s="623"/>
      <c r="AV39" s="623"/>
      <c r="AW39" s="623"/>
      <c r="AX39" s="623"/>
      <c r="AY39" s="623"/>
      <c r="AZ39" s="623"/>
      <c r="BA39" s="623"/>
      <c r="BB39" s="623"/>
      <c r="BC39" s="623"/>
      <c r="BD39" s="623"/>
      <c r="BE39" s="623"/>
    </row>
    <row r="40" spans="1:57">
      <c r="A40" s="82"/>
      <c r="B40" s="82"/>
      <c r="C40" s="81"/>
      <c r="D40" s="81"/>
      <c r="E40" s="81"/>
      <c r="F40" s="81"/>
      <c r="G40" s="445"/>
      <c r="H40" s="445"/>
      <c r="I40" s="1"/>
      <c r="M40" s="424" t="str">
        <f>'Конфигурация TREI'!A41</f>
        <v>BR39</v>
      </c>
      <c r="N40" s="424">
        <f>'Конфигурация TREI'!B41</f>
        <v>0</v>
      </c>
      <c r="AE40" s="505"/>
      <c r="AF40" s="505"/>
      <c r="AG40" s="505"/>
      <c r="AH40" s="505"/>
      <c r="AI40" s="505"/>
      <c r="AJ40" s="505"/>
      <c r="AK40" s="505"/>
      <c r="AL40" s="505"/>
      <c r="AM40" s="505"/>
      <c r="AN40" s="505"/>
      <c r="AO40" s="505"/>
      <c r="AP40" s="505"/>
      <c r="AQ40" s="505"/>
      <c r="AR40" s="505"/>
      <c r="AS40" s="505"/>
      <c r="AT40" s="623"/>
      <c r="AU40" s="623"/>
      <c r="AV40" s="623"/>
      <c r="AW40" s="623"/>
      <c r="AX40" s="623"/>
      <c r="AY40" s="623"/>
      <c r="AZ40" s="623"/>
      <c r="BA40" s="623"/>
      <c r="BB40" s="623"/>
      <c r="BC40" s="623"/>
      <c r="BD40" s="623"/>
      <c r="BE40" s="623"/>
    </row>
    <row r="41" spans="1:57">
      <c r="A41" s="82"/>
      <c r="B41" s="82"/>
      <c r="C41" s="81"/>
      <c r="D41" s="81"/>
      <c r="E41" s="81"/>
      <c r="F41" s="81"/>
      <c r="G41" s="445"/>
      <c r="H41" s="445"/>
      <c r="I41" s="1"/>
      <c r="M41" s="424" t="str">
        <f>'Конфигурация TREI'!A42</f>
        <v>BR40</v>
      </c>
      <c r="N41" s="424">
        <f>'Конфигурация TREI'!B42</f>
        <v>0</v>
      </c>
      <c r="AE41" s="505"/>
      <c r="AF41" s="505"/>
      <c r="AG41" s="505"/>
      <c r="AH41" s="505"/>
      <c r="AI41" s="505"/>
      <c r="AJ41" s="505"/>
      <c r="AK41" s="505"/>
      <c r="AL41" s="505"/>
      <c r="AM41" s="505"/>
      <c r="AN41" s="505"/>
      <c r="AO41" s="505"/>
      <c r="AP41" s="505"/>
      <c r="AQ41" s="505"/>
      <c r="AR41" s="505"/>
      <c r="AS41" s="505"/>
      <c r="AT41" s="623"/>
      <c r="AU41" s="623"/>
      <c r="AV41" s="623"/>
      <c r="AW41" s="623"/>
      <c r="AX41" s="623"/>
      <c r="AY41" s="623"/>
      <c r="AZ41" s="623"/>
      <c r="BA41" s="623"/>
      <c r="BB41" s="623"/>
      <c r="BC41" s="623"/>
      <c r="BD41" s="623"/>
      <c r="BE41" s="623"/>
    </row>
    <row r="42" spans="1:57">
      <c r="A42" s="82"/>
      <c r="B42" s="82"/>
      <c r="C42" s="81"/>
      <c r="D42" s="81"/>
      <c r="E42" s="81"/>
      <c r="F42" s="81"/>
      <c r="G42" s="445"/>
      <c r="H42" s="445"/>
      <c r="I42" s="1"/>
      <c r="M42" s="424" t="str">
        <f>'Конфигурация TREI'!A43</f>
        <v>BR41</v>
      </c>
      <c r="N42" s="424">
        <f>'Конфигурация TREI'!B43</f>
        <v>0</v>
      </c>
      <c r="AE42" s="505"/>
      <c r="AF42" s="505"/>
      <c r="AG42" s="505"/>
      <c r="AH42" s="505"/>
      <c r="AI42" s="505"/>
      <c r="AJ42" s="505"/>
      <c r="AK42" s="505"/>
      <c r="AL42" s="505"/>
      <c r="AM42" s="505"/>
      <c r="AN42" s="505"/>
      <c r="AO42" s="505"/>
      <c r="AP42" s="505"/>
      <c r="AQ42" s="505"/>
      <c r="AR42" s="505"/>
      <c r="AS42" s="505"/>
      <c r="AT42" s="623"/>
      <c r="AU42" s="623"/>
      <c r="AV42" s="623"/>
      <c r="AW42" s="623"/>
      <c r="AX42" s="623"/>
      <c r="AY42" s="623"/>
      <c r="AZ42" s="623"/>
      <c r="BA42" s="623"/>
      <c r="BB42" s="623"/>
      <c r="BC42" s="623"/>
      <c r="BD42" s="623"/>
      <c r="BE42" s="623"/>
    </row>
    <row r="43" spans="1:57">
      <c r="A43" s="82"/>
      <c r="B43" s="82"/>
      <c r="C43" s="81"/>
      <c r="D43" s="81"/>
      <c r="E43" s="81"/>
      <c r="F43" s="81"/>
      <c r="G43" s="445"/>
      <c r="H43" s="445"/>
      <c r="I43" s="1"/>
      <c r="M43" s="424" t="str">
        <f>'Конфигурация TREI'!A44</f>
        <v>BR42</v>
      </c>
      <c r="N43" s="424">
        <f>'Конфигурация TREI'!B44</f>
        <v>0</v>
      </c>
      <c r="AE43" s="505"/>
      <c r="AF43" s="505"/>
      <c r="AG43" s="505"/>
      <c r="AH43" s="505"/>
      <c r="AI43" s="505"/>
      <c r="AJ43" s="505"/>
      <c r="AK43" s="505"/>
      <c r="AL43" s="505"/>
      <c r="AM43" s="505"/>
      <c r="AN43" s="505"/>
      <c r="AO43" s="505"/>
      <c r="AP43" s="505"/>
      <c r="AQ43" s="505"/>
      <c r="AR43" s="505"/>
      <c r="AS43" s="505"/>
      <c r="AT43" s="623"/>
      <c r="AU43" s="623"/>
      <c r="AV43" s="623"/>
      <c r="AW43" s="623"/>
      <c r="AX43" s="623"/>
      <c r="AY43" s="623"/>
      <c r="AZ43" s="623"/>
      <c r="BA43" s="623"/>
      <c r="BB43" s="623"/>
      <c r="BC43" s="623"/>
      <c r="BD43" s="623"/>
      <c r="BE43" s="623"/>
    </row>
    <row r="44" spans="1:57">
      <c r="A44" s="82"/>
      <c r="B44" s="82"/>
      <c r="C44" s="81"/>
      <c r="D44" s="81"/>
      <c r="E44" s="81"/>
      <c r="F44" s="81"/>
      <c r="G44" s="445"/>
      <c r="H44" s="445"/>
      <c r="I44" s="1"/>
      <c r="M44" s="424" t="str">
        <f>'Конфигурация TREI'!A45</f>
        <v>BR43</v>
      </c>
      <c r="N44" s="424">
        <f>'Конфигурация TREI'!B45</f>
        <v>0</v>
      </c>
      <c r="AE44" s="505"/>
      <c r="AF44" s="505"/>
      <c r="AG44" s="505"/>
      <c r="AH44" s="505"/>
      <c r="AI44" s="505"/>
      <c r="AJ44" s="505"/>
      <c r="AK44" s="505"/>
      <c r="AL44" s="505"/>
      <c r="AM44" s="505"/>
      <c r="AN44" s="505"/>
      <c r="AO44" s="505"/>
      <c r="AP44" s="505"/>
      <c r="AQ44" s="505"/>
      <c r="AR44" s="505"/>
      <c r="AS44" s="505"/>
      <c r="AT44" s="623"/>
      <c r="AU44" s="623"/>
      <c r="AV44" s="623"/>
      <c r="AW44" s="623"/>
      <c r="AX44" s="623"/>
      <c r="AY44" s="623"/>
      <c r="AZ44" s="623"/>
      <c r="BA44" s="623"/>
      <c r="BB44" s="623"/>
      <c r="BC44" s="623"/>
      <c r="BD44" s="623"/>
      <c r="BE44" s="623"/>
    </row>
    <row r="45" spans="1:57">
      <c r="A45" s="82"/>
      <c r="B45" s="82"/>
      <c r="C45" s="81"/>
      <c r="D45" s="81"/>
      <c r="E45" s="81"/>
      <c r="F45" s="81"/>
      <c r="G45" s="445"/>
      <c r="H45" s="445"/>
      <c r="I45" s="1"/>
      <c r="M45" s="424" t="str">
        <f>'Конфигурация TREI'!A46</f>
        <v>BR44</v>
      </c>
      <c r="N45" s="424">
        <f>'Конфигурация TREI'!B46</f>
        <v>0</v>
      </c>
      <c r="AE45" s="505"/>
      <c r="AF45" s="505"/>
      <c r="AG45" s="505"/>
      <c r="AH45" s="505"/>
      <c r="AI45" s="505"/>
      <c r="AJ45" s="505"/>
      <c r="AK45" s="505"/>
      <c r="AL45" s="505"/>
      <c r="AM45" s="505"/>
      <c r="AN45" s="505"/>
      <c r="AO45" s="505"/>
      <c r="AP45" s="505"/>
      <c r="AQ45" s="505"/>
      <c r="AR45" s="505"/>
      <c r="AS45" s="505"/>
      <c r="AT45" s="623"/>
      <c r="AU45" s="623"/>
      <c r="AV45" s="623"/>
      <c r="AW45" s="623"/>
      <c r="AX45" s="623"/>
      <c r="AY45" s="623"/>
      <c r="AZ45" s="623"/>
      <c r="BA45" s="623"/>
      <c r="BB45" s="623"/>
      <c r="BC45" s="623"/>
      <c r="BD45" s="623"/>
      <c r="BE45" s="623"/>
    </row>
    <row r="46" spans="1:57">
      <c r="A46" s="82"/>
      <c r="B46" s="82"/>
      <c r="C46" s="81"/>
      <c r="D46" s="81"/>
      <c r="E46" s="81"/>
      <c r="F46" s="81"/>
      <c r="G46" s="445"/>
      <c r="H46" s="445"/>
      <c r="I46" s="1"/>
      <c r="M46" s="424" t="str">
        <f>'Конфигурация TREI'!A47</f>
        <v>BR45</v>
      </c>
      <c r="N46" s="424">
        <f>'Конфигурация TREI'!B47</f>
        <v>0</v>
      </c>
      <c r="AE46" s="505"/>
      <c r="AF46" s="505"/>
      <c r="AG46" s="505"/>
      <c r="AH46" s="505"/>
      <c r="AI46" s="505"/>
      <c r="AJ46" s="505"/>
      <c r="AK46" s="505"/>
      <c r="AL46" s="505"/>
      <c r="AM46" s="505"/>
      <c r="AN46" s="505"/>
      <c r="AO46" s="505"/>
      <c r="AP46" s="505"/>
      <c r="AQ46" s="505"/>
      <c r="AR46" s="505"/>
      <c r="AS46" s="505"/>
      <c r="AT46" s="623"/>
      <c r="AU46" s="623"/>
      <c r="AV46" s="623"/>
      <c r="AW46" s="623"/>
      <c r="AX46" s="623"/>
      <c r="AY46" s="623"/>
      <c r="AZ46" s="623"/>
      <c r="BA46" s="623"/>
      <c r="BB46" s="623"/>
      <c r="BC46" s="623"/>
      <c r="BD46" s="623"/>
      <c r="BE46" s="623"/>
    </row>
    <row r="47" spans="1:57">
      <c r="A47" s="82"/>
      <c r="B47" s="82"/>
      <c r="C47" s="81"/>
      <c r="D47" s="81"/>
      <c r="E47" s="81"/>
      <c r="F47" s="81"/>
      <c r="G47" s="445"/>
      <c r="H47" s="445"/>
      <c r="I47" s="1"/>
      <c r="M47" s="424" t="str">
        <f>'Конфигурация TREI'!A48</f>
        <v>BR46</v>
      </c>
      <c r="N47" s="424">
        <f>'Конфигурация TREI'!B48</f>
        <v>0</v>
      </c>
      <c r="AE47" s="505"/>
      <c r="AF47" s="505"/>
      <c r="AG47" s="505"/>
      <c r="AH47" s="505"/>
      <c r="AI47" s="505"/>
      <c r="AJ47" s="505"/>
      <c r="AK47" s="505"/>
      <c r="AL47" s="505"/>
      <c r="AM47" s="505"/>
      <c r="AN47" s="505"/>
      <c r="AO47" s="505"/>
      <c r="AP47" s="505"/>
      <c r="AQ47" s="505"/>
      <c r="AR47" s="505"/>
      <c r="AS47" s="505"/>
      <c r="AT47" s="623"/>
      <c r="AU47" s="623"/>
      <c r="AV47" s="623"/>
      <c r="AW47" s="623"/>
      <c r="AX47" s="623"/>
      <c r="AY47" s="623"/>
      <c r="AZ47" s="623"/>
      <c r="BA47" s="623"/>
      <c r="BB47" s="623"/>
      <c r="BC47" s="623"/>
      <c r="BD47" s="623"/>
      <c r="BE47" s="623"/>
    </row>
    <row r="48" spans="1:57">
      <c r="A48" s="82"/>
      <c r="B48" s="82"/>
      <c r="C48" s="81"/>
      <c r="D48" s="81"/>
      <c r="E48" s="81"/>
      <c r="F48" s="81"/>
      <c r="G48" s="445"/>
      <c r="H48" s="445"/>
      <c r="I48" s="1"/>
      <c r="M48" s="424" t="str">
        <f>'Конфигурация TREI'!A49</f>
        <v>BR47</v>
      </c>
      <c r="N48" s="424">
        <f>'Конфигурация TREI'!B49</f>
        <v>0</v>
      </c>
      <c r="AE48" s="505"/>
      <c r="AF48" s="505"/>
      <c r="AG48" s="505"/>
      <c r="AH48" s="505"/>
      <c r="AI48" s="505"/>
      <c r="AJ48" s="505"/>
      <c r="AK48" s="505"/>
      <c r="AL48" s="505"/>
      <c r="AM48" s="505"/>
      <c r="AN48" s="505"/>
      <c r="AO48" s="505"/>
      <c r="AP48" s="505"/>
      <c r="AQ48" s="505"/>
      <c r="AR48" s="505"/>
      <c r="AS48" s="505"/>
      <c r="AT48" s="623"/>
      <c r="AU48" s="623"/>
      <c r="AV48" s="623"/>
      <c r="AW48" s="623"/>
      <c r="AX48" s="623"/>
      <c r="AY48" s="623"/>
      <c r="AZ48" s="623"/>
      <c r="BA48" s="623"/>
      <c r="BB48" s="623"/>
      <c r="BC48" s="623"/>
      <c r="BD48" s="623"/>
      <c r="BE48" s="623"/>
    </row>
    <row r="49" spans="1:57">
      <c r="A49" s="1"/>
      <c r="B49" s="1"/>
      <c r="C49" s="1"/>
      <c r="D49" s="1"/>
      <c r="E49" s="1"/>
      <c r="F49" s="1"/>
      <c r="G49" s="1"/>
      <c r="H49" s="1"/>
      <c r="I49" s="1"/>
      <c r="M49" s="424" t="str">
        <f>'Конфигурация TREI'!A50</f>
        <v>BR48</v>
      </c>
      <c r="N49" s="424">
        <f>'Конфигурация TREI'!B50</f>
        <v>0</v>
      </c>
      <c r="AE49" s="505"/>
      <c r="AF49" s="505"/>
      <c r="AG49" s="505"/>
      <c r="AH49" s="505"/>
      <c r="AI49" s="505"/>
      <c r="AJ49" s="505"/>
      <c r="AK49" s="505"/>
      <c r="AL49" s="505"/>
      <c r="AM49" s="505"/>
      <c r="AN49" s="505"/>
      <c r="AO49" s="505"/>
      <c r="AP49" s="505"/>
      <c r="AQ49" s="505"/>
      <c r="AR49" s="505"/>
      <c r="AS49" s="505"/>
      <c r="AT49" s="623"/>
      <c r="AU49" s="623"/>
      <c r="AV49" s="623"/>
      <c r="AW49" s="623"/>
      <c r="AX49" s="623"/>
      <c r="AY49" s="623"/>
      <c r="AZ49" s="623"/>
      <c r="BA49" s="623"/>
      <c r="BB49" s="623"/>
      <c r="BC49" s="623"/>
      <c r="BD49" s="623"/>
      <c r="BE49" s="623"/>
    </row>
    <row r="50" spans="1:57" s="4" customFormat="1">
      <c r="A50" s="446" t="str">
        <f>"//*********** "&amp;Q2&amp;" ***********"</f>
        <v>//*********** Регулятор FB ***********</v>
      </c>
      <c r="B50" s="446"/>
      <c r="C50" s="446"/>
      <c r="D50" s="446"/>
      <c r="E50" s="446"/>
      <c r="F50" s="446" t="s">
        <v>1031</v>
      </c>
      <c r="G50" s="489"/>
      <c r="H50" s="489"/>
      <c r="I50" s="490"/>
      <c r="J50" s="490" t="s">
        <v>1311</v>
      </c>
      <c r="K50" s="490" t="s">
        <v>1309</v>
      </c>
      <c r="L50" s="491" t="s">
        <v>1310</v>
      </c>
      <c r="M50" s="424" t="str">
        <f>'Конфигурация TREI'!A51</f>
        <v>BR49</v>
      </c>
      <c r="N50" s="424">
        <f>'Конфигурация TREI'!B51</f>
        <v>0</v>
      </c>
      <c r="R50" s="381"/>
      <c r="S50" s="381"/>
      <c r="T50" s="381"/>
      <c r="U50" s="381"/>
      <c r="V50" s="381"/>
      <c r="W50" s="381"/>
      <c r="X50" s="381"/>
      <c r="Y50" s="381"/>
      <c r="Z50" s="381"/>
      <c r="AA50" s="381"/>
      <c r="AB50" s="381"/>
      <c r="AC50" s="381"/>
      <c r="AD50" s="381"/>
      <c r="AE50" s="505"/>
      <c r="AF50" s="505"/>
      <c r="AG50" s="505"/>
      <c r="AH50" s="505"/>
      <c r="AI50" s="505"/>
      <c r="AJ50" s="505"/>
      <c r="AK50" s="505"/>
      <c r="AL50" s="505"/>
      <c r="AM50" s="505"/>
      <c r="AN50" s="505"/>
      <c r="AO50" s="505"/>
      <c r="AP50" s="505"/>
      <c r="AQ50" s="505"/>
      <c r="AR50" s="505"/>
      <c r="AS50" s="505"/>
      <c r="AT50" s="623"/>
      <c r="AU50" s="623"/>
      <c r="AV50" s="623"/>
      <c r="AW50" s="623"/>
      <c r="AX50" s="623"/>
      <c r="AY50" s="623"/>
      <c r="AZ50" s="623"/>
      <c r="BA50" s="623"/>
      <c r="BB50" s="623"/>
      <c r="BC50" s="623"/>
      <c r="BD50" s="623"/>
      <c r="BE50" s="623"/>
    </row>
    <row r="51" spans="1:57">
      <c r="A51" s="457"/>
      <c r="B51" s="457" t="s">
        <v>1213</v>
      </c>
      <c r="C51" s="455" t="str">
        <f>LEFT($L51,FIND("+",$L51,1)-1)</f>
        <v>4</v>
      </c>
      <c r="D51" s="455" t="s">
        <v>178</v>
      </c>
      <c r="E51" s="446" t="str">
        <f ca="1">IFERROR(IF(OR($I51="-", $H51="0"),"КАНАЛ ОТСУТСТВУЕТ",IF($I51=0,"МОДУЛЬ ОТСУТСТВУЕТ",IF(LEFT($I51,3)="out","УДАЛИТЬ",I51))),IF($K51=0,"УДАЛИТЬ","ОШИБКА ФОРМАТА"))</f>
        <v>Canal_01</v>
      </c>
      <c r="F51" s="455" t="str">
        <f>" :="&amp;IF(LEFT(SUBSTITUTE($K51," ",""),1)="!","NOT  ","")&amp;SUBSTITUTE($P$2,"\","|")&amp;"|"&amp; $J51 &amp;";"</f>
        <v xml:space="preserve"> :=REG_test|OCAX;</v>
      </c>
      <c r="G51" s="445" t="str">
        <f>INDEX($N$2:$N$61,C51)</f>
        <v>M558D</v>
      </c>
      <c r="H51" s="445" t="str">
        <f>RIGHT($L51,LEN($L51)-FIND("+",$L51,1))</f>
        <v>1</v>
      </c>
      <c r="I51" s="460" t="str">
        <f ca="1">INDIRECT(ADDRESS($H51+1,MATCH($G51,$1:$1,),1))</f>
        <v>Canal_01</v>
      </c>
      <c r="J51" s="502" t="str">
        <f>$X$1</f>
        <v>OCAX</v>
      </c>
      <c r="K51" s="503" t="str">
        <f>$X$2</f>
        <v>4+1</v>
      </c>
      <c r="L51" s="504" t="str">
        <f>$X$3</f>
        <v>4+1</v>
      </c>
      <c r="M51" s="424" t="str">
        <f>'Конфигурация TREI'!A52</f>
        <v>BR50</v>
      </c>
      <c r="N51" s="424">
        <f>'Конфигурация TREI'!B52</f>
        <v>0</v>
      </c>
      <c r="AE51" s="505"/>
      <c r="AF51" s="505"/>
      <c r="AG51" s="505"/>
      <c r="AH51" s="505"/>
      <c r="AI51" s="505"/>
      <c r="AJ51" s="505"/>
      <c r="AK51" s="505"/>
      <c r="AL51" s="505"/>
      <c r="AM51" s="505"/>
      <c r="AN51" s="505"/>
      <c r="AO51" s="505"/>
      <c r="AP51" s="505"/>
      <c r="AQ51" s="505"/>
      <c r="AR51" s="505"/>
      <c r="AS51" s="505"/>
      <c r="AT51" s="623"/>
      <c r="AU51" s="623"/>
      <c r="AV51" s="623"/>
      <c r="AW51" s="623"/>
      <c r="AX51" s="623"/>
      <c r="AY51" s="623"/>
      <c r="AZ51" s="623"/>
      <c r="BA51" s="623"/>
      <c r="BB51" s="623"/>
      <c r="BC51" s="623"/>
      <c r="BD51" s="623"/>
      <c r="BE51" s="623"/>
    </row>
    <row r="52" spans="1:57">
      <c r="A52" s="457"/>
      <c r="B52" s="457" t="s">
        <v>1213</v>
      </c>
      <c r="C52" s="455" t="str">
        <f>LEFT($L52,FIND("+",$L52,1)-1)</f>
        <v>4</v>
      </c>
      <c r="D52" s="455"/>
      <c r="E52" s="446" t="str">
        <f ca="1">IFERROR(IF(OR($I51="-", $H51="0"),"КАНАЛ ОТСУТСТВУЕТ",IF($I51=0,"МОДУЛЬ ОТСУТСТВУЕТ",IF(LEFT($I51,3)="out",".ODIG_MASK:=SETBIT("&amp;IF(LEFT(SUBSTITUTE($K51," ",""),1)="!","NOT  ","")&amp;SUBSTITUTE($P$2,"\","|")&amp;"|"&amp; $J51&amp;"@"&amp;REPLACE($I51,1,3,"")&amp;"@BR"&amp;$C51,"УДАЛИТЬ"))),"УДАЛИТЬ")</f>
        <v>УДАЛИТЬ</v>
      </c>
      <c r="F52" s="455" t="str">
        <f>".ODIG_MASK);"</f>
        <v>.ODIG_MASK);</v>
      </c>
      <c r="G52" s="445" t="str">
        <f>INDEX($N$2:$N$61,C52)</f>
        <v>M558D</v>
      </c>
      <c r="H52" s="445" t="str">
        <f>RIGHT($L52,LEN($L52)-FIND("+",$L52,1))</f>
        <v>1</v>
      </c>
      <c r="I52" s="460" t="str">
        <f ca="1">INDIRECT(ADDRESS($H52+1,MATCH($G52,$1:$1,),1))</f>
        <v>Canal_01</v>
      </c>
      <c r="J52" s="502" t="str">
        <f>$X$1</f>
        <v>OCAX</v>
      </c>
      <c r="K52" s="503" t="str">
        <f>$X$2</f>
        <v>4+1</v>
      </c>
      <c r="L52" s="504" t="str">
        <f>$X$3</f>
        <v>4+1</v>
      </c>
      <c r="M52" s="424" t="str">
        <f>'Конфигурация TREI'!A53</f>
        <v>BR51</v>
      </c>
      <c r="N52" s="424">
        <f>'Конфигурация TREI'!B53</f>
        <v>0</v>
      </c>
      <c r="AE52" s="505"/>
      <c r="AF52" s="505"/>
      <c r="AG52" s="505"/>
      <c r="AH52" s="505"/>
      <c r="AI52" s="505"/>
      <c r="AJ52" s="505"/>
      <c r="AK52" s="505"/>
      <c r="AL52" s="505"/>
      <c r="AM52" s="505"/>
      <c r="AN52" s="505"/>
      <c r="AO52" s="505"/>
      <c r="AP52" s="505"/>
      <c r="AQ52" s="505"/>
      <c r="AR52" s="505"/>
      <c r="AS52" s="505"/>
      <c r="AT52" s="623"/>
      <c r="AU52" s="623"/>
      <c r="AV52" s="623"/>
      <c r="AW52" s="623"/>
      <c r="AX52" s="623"/>
      <c r="AY52" s="623"/>
      <c r="AZ52" s="623"/>
      <c r="BA52" s="623"/>
      <c r="BB52" s="623"/>
      <c r="BC52" s="623"/>
      <c r="BD52" s="623"/>
      <c r="BE52" s="623"/>
    </row>
    <row r="53" spans="1:57">
      <c r="A53" s="457" t="str">
        <f>SUBSTITUTE($P$2,"\","|")&amp;"|"&amp;"DCAX:="&amp;P4&amp;"NOT_LINK_BR"</f>
        <v>REG_test|DCAX:=NOT_LINK_BR</v>
      </c>
      <c r="B53" s="455"/>
      <c r="C53" s="455"/>
      <c r="D53" s="455"/>
      <c r="E53" s="764" t="str">
        <f>IFERROR(LEFT($L53,FIND("+",$L53,1)-1),"УДАЛИТЬ")</f>
        <v>4</v>
      </c>
      <c r="F53" s="455" t="str">
        <f>IF(OR(G51="M537V",G51="M538V")," OR (BR"&amp;E53&amp;".Err_"&amp;I51&amp;" =3)","")&amp;";"</f>
        <v>;</v>
      </c>
      <c r="G53" s="445"/>
      <c r="H53" s="445"/>
      <c r="I53" s="459"/>
      <c r="J53" s="502" t="str">
        <f>$X$1</f>
        <v>OCAX</v>
      </c>
      <c r="K53" s="503" t="str">
        <f>$X$2</f>
        <v>4+1</v>
      </c>
      <c r="L53" s="504" t="str">
        <f>$X$3</f>
        <v>4+1</v>
      </c>
      <c r="M53" s="424" t="str">
        <f>'Конфигурация TREI'!A54</f>
        <v>BR52</v>
      </c>
      <c r="N53" s="424">
        <f>'Конфигурация TREI'!B54</f>
        <v>0</v>
      </c>
      <c r="AE53" s="505"/>
      <c r="AF53" s="505"/>
      <c r="AG53" s="505"/>
      <c r="AH53" s="505"/>
      <c r="AI53" s="505"/>
      <c r="AJ53" s="505"/>
      <c r="AK53" s="505"/>
      <c r="AL53" s="505"/>
      <c r="AM53" s="505"/>
      <c r="AN53" s="505"/>
      <c r="AO53" s="505"/>
      <c r="AP53" s="505"/>
      <c r="AQ53" s="505"/>
      <c r="AR53" s="505"/>
      <c r="AS53" s="505"/>
      <c r="AT53" s="623"/>
      <c r="AU53" s="623"/>
      <c r="AV53" s="623"/>
      <c r="AW53" s="623"/>
      <c r="AX53" s="623"/>
      <c r="AY53" s="623"/>
      <c r="AZ53" s="623"/>
      <c r="BA53" s="623"/>
      <c r="BB53" s="623"/>
      <c r="BC53" s="623"/>
      <c r="BD53" s="623"/>
      <c r="BE53" s="623"/>
    </row>
    <row r="54" spans="1:57">
      <c r="M54" s="424" t="str">
        <f>'Конфигурация TREI'!A55</f>
        <v>BR53</v>
      </c>
      <c r="N54" s="424">
        <f>'Конфигурация TREI'!B55</f>
        <v>0</v>
      </c>
    </row>
    <row r="55" spans="1:57">
      <c r="M55" s="424" t="str">
        <f>'Конфигурация TREI'!A56</f>
        <v>BR54</v>
      </c>
      <c r="N55" s="424">
        <f>'Конфигурация TREI'!B56</f>
        <v>0</v>
      </c>
    </row>
    <row r="56" spans="1:57">
      <c r="M56" s="424" t="str">
        <f>'Конфигурация TREI'!A57</f>
        <v>BR55</v>
      </c>
      <c r="N56" s="424">
        <f>'Конфигурация TREI'!B57</f>
        <v>0</v>
      </c>
    </row>
    <row r="57" spans="1:57">
      <c r="M57" s="424" t="str">
        <f>'Конфигурация TREI'!A58</f>
        <v>BR56</v>
      </c>
      <c r="N57" s="424">
        <f>'Конфигурация TREI'!B58</f>
        <v>0</v>
      </c>
    </row>
    <row r="58" spans="1:57">
      <c r="M58" s="424" t="str">
        <f>'Конфигурация TREI'!A59</f>
        <v>BR57</v>
      </c>
      <c r="N58" s="424">
        <f>'Конфигурация TREI'!B59</f>
        <v>0</v>
      </c>
    </row>
    <row r="59" spans="1:57">
      <c r="M59" s="424" t="str">
        <f>'Конфигурация TREI'!A60</f>
        <v>BR58</v>
      </c>
      <c r="N59" s="424">
        <f>'Конфигурация TREI'!B60</f>
        <v>0</v>
      </c>
    </row>
    <row r="60" spans="1:57">
      <c r="M60" s="424" t="str">
        <f>'Конфигурация TREI'!A61</f>
        <v>BR59</v>
      </c>
      <c r="N60" s="424">
        <f>'Конфигурация TREI'!B61</f>
        <v>0</v>
      </c>
    </row>
    <row r="61" spans="1:57">
      <c r="M61" s="424" t="str">
        <f>'Конфигурация TREI'!A62</f>
        <v>BR60</v>
      </c>
      <c r="N61" s="424">
        <f>'Конфигурация TREI'!B62</f>
        <v>0</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sheetPr codeName="Лист181">
    <tabColor theme="2" tint="-0.249977111117893"/>
  </sheetPr>
  <dimension ref="A1:BE61"/>
  <sheetViews>
    <sheetView topLeftCell="A31" workbookViewId="0">
      <selection activeCell="D2" sqref="D2:D4"/>
    </sheetView>
  </sheetViews>
  <sheetFormatPr defaultRowHeight="14.4"/>
  <cols>
    <col min="1" max="1" width="35.44140625" customWidth="1"/>
    <col min="2" max="2" width="21.44140625" customWidth="1"/>
    <col min="3" max="3" width="3.44140625" customWidth="1"/>
    <col min="4" max="4" width="1.109375" customWidth="1"/>
    <col min="5" max="5" width="33.44140625" customWidth="1"/>
    <col min="6" max="6" width="30.88671875" customWidth="1"/>
    <col min="7" max="7" width="10.5546875" customWidth="1"/>
    <col min="8" max="8" width="14.33203125" customWidth="1"/>
    <col min="9" max="9" width="11.44140625" customWidth="1"/>
    <col min="10" max="10" width="9.109375" customWidth="1"/>
    <col min="11" max="11" width="10.88671875" customWidth="1"/>
    <col min="12" max="12" width="11.5546875" customWidth="1"/>
    <col min="13" max="15" width="9.109375" customWidth="1"/>
    <col min="16" max="16" width="34.6640625" customWidth="1"/>
    <col min="17" max="17" width="39.33203125" customWidth="1"/>
    <col min="18" max="30" width="26.109375" style="55" customWidth="1"/>
    <col min="31" max="31" width="4.5546875" style="427" customWidth="1"/>
    <col min="32" max="32" width="11.109375" customWidth="1"/>
  </cols>
  <sheetData>
    <row r="1" spans="1:57">
      <c r="A1" s="425"/>
      <c r="B1" s="425"/>
      <c r="C1" s="425"/>
      <c r="D1" s="425"/>
      <c r="E1" s="425"/>
      <c r="F1" s="425"/>
      <c r="G1" s="426" t="s">
        <v>846</v>
      </c>
      <c r="H1" s="426" t="s">
        <v>847</v>
      </c>
      <c r="I1" s="424" t="s">
        <v>1181</v>
      </c>
      <c r="J1" s="425"/>
      <c r="M1" s="424" t="str">
        <f>'Конфигурация TREI'!A1</f>
        <v>№ Модуля</v>
      </c>
      <c r="N1" s="424" t="str">
        <f>'Конфигурация TREI'!B2</f>
        <v>M501E(рез)</v>
      </c>
      <c r="O1" s="425"/>
      <c r="P1" s="425" t="str">
        <f>Таблица!D1</f>
        <v>Префикс для TREI
Тэг ОРС для INFINITY</v>
      </c>
      <c r="Q1" s="425" t="str">
        <f>Таблица!E1</f>
        <v>Комментарий для TREI и INFINITY</v>
      </c>
      <c r="R1" s="428"/>
      <c r="S1" s="428" t="s">
        <v>2743</v>
      </c>
      <c r="T1" s="428" t="s">
        <v>1036</v>
      </c>
      <c r="U1" s="428" t="s">
        <v>848</v>
      </c>
      <c r="V1" s="428" t="s">
        <v>849</v>
      </c>
      <c r="W1" s="428" t="s">
        <v>850</v>
      </c>
      <c r="X1" s="428" t="s">
        <v>2745</v>
      </c>
      <c r="Y1" s="428" t="s">
        <v>852</v>
      </c>
      <c r="Z1" s="428" t="s">
        <v>853</v>
      </c>
      <c r="AA1" s="428" t="s">
        <v>854</v>
      </c>
      <c r="AB1" s="428" t="s">
        <v>855</v>
      </c>
      <c r="AC1" s="428" t="s">
        <v>856</v>
      </c>
      <c r="AD1" s="429"/>
      <c r="AE1" s="438"/>
      <c r="AF1" s="438">
        <f>Настройки!Q1</f>
        <v>0</v>
      </c>
      <c r="AG1" s="438" t="str">
        <f>Настройки!R1</f>
        <v>M943DR</v>
      </c>
      <c r="AH1" s="438" t="str">
        <f>Настройки!S1</f>
        <v>M942A</v>
      </c>
      <c r="AI1" s="438" t="str">
        <f>Настройки!T1</f>
        <v>M957D</v>
      </c>
      <c r="AJ1" s="438" t="str">
        <f>Настройки!U1</f>
        <v>M957O</v>
      </c>
      <c r="AK1" s="438" t="str">
        <f>Настройки!V1</f>
        <v>M947R</v>
      </c>
      <c r="AL1" s="438" t="str">
        <f>Настройки!W1</f>
        <v>M931V</v>
      </c>
      <c r="AM1" s="438" t="str">
        <f>Настройки!X1</f>
        <v>M931T</v>
      </c>
      <c r="AN1" s="438" t="str">
        <f>Настройки!Y1</f>
        <v>M547A</v>
      </c>
      <c r="AO1" s="438" t="str">
        <f>Настройки!Z1</f>
        <v>M537V</v>
      </c>
      <c r="AP1" s="438" t="str">
        <f>Настройки!AA1</f>
        <v>M557D</v>
      </c>
      <c r="AQ1" s="438" t="str">
        <f>Настройки!AB1</f>
        <v>M557O</v>
      </c>
      <c r="AR1" s="438" t="str">
        <f>Настройки!AC1</f>
        <v>MOPS</v>
      </c>
      <c r="AS1" s="438" t="str">
        <f>Настройки!AD1</f>
        <v>MUPS</v>
      </c>
      <c r="AT1" s="439" t="str">
        <f>Настройки!AB1</f>
        <v>M557O</v>
      </c>
      <c r="AU1" s="439" t="str">
        <f>Настройки!AC1</f>
        <v>MOPS</v>
      </c>
      <c r="AV1" s="439" t="str">
        <f>Настройки!AD1</f>
        <v>MUPS</v>
      </c>
      <c r="AW1" s="439" t="str">
        <f>Настройки!AE1</f>
        <v>M941A</v>
      </c>
      <c r="AX1" s="439" t="str">
        <f>Настройки!AF1</f>
        <v>M954D</v>
      </c>
      <c r="AY1" s="439" t="str">
        <f>Настройки!AG1</f>
        <v>M557DR</v>
      </c>
      <c r="AZ1" s="439" t="str">
        <f>Настройки!AH1</f>
        <v>M558D</v>
      </c>
      <c r="BA1" s="439" t="str">
        <f>Настройки!AI1</f>
        <v>M558O</v>
      </c>
      <c r="BB1" s="439" t="str">
        <f>Настройки!AJ1</f>
        <v>M548A</v>
      </c>
      <c r="BC1" s="439" t="str">
        <f>Настройки!AK1</f>
        <v>M538V</v>
      </c>
      <c r="BD1" s="439" t="str">
        <f>Настройки!AL1</f>
        <v>M558DR</v>
      </c>
      <c r="BE1" s="439" t="str">
        <f>Настройки!AM1</f>
        <v>*</v>
      </c>
    </row>
    <row r="2" spans="1:57">
      <c r="A2" s="446" t="str">
        <f>"//*********** "&amp;Q2&amp;" ***********"</f>
        <v>//*********** Дискретный регулятор FB с буферизацией ***********</v>
      </c>
      <c r="B2" s="446"/>
      <c r="C2" s="446"/>
      <c r="D2" s="446"/>
      <c r="E2" s="446"/>
      <c r="F2" s="446" t="s">
        <v>1031</v>
      </c>
      <c r="G2" s="447"/>
      <c r="H2" s="447"/>
      <c r="I2" s="459"/>
      <c r="M2" s="424" t="str">
        <f>'Конфигурация TREI'!A3</f>
        <v>BR1</v>
      </c>
      <c r="N2" s="424" t="str">
        <f>'Конфигурация TREI'!B3</f>
        <v>M558D</v>
      </c>
      <c r="P2" s="2" t="s">
        <v>1818</v>
      </c>
      <c r="Q2" s="2" t="s">
        <v>1819</v>
      </c>
      <c r="R2" s="379"/>
      <c r="S2" s="379" t="s">
        <v>1241</v>
      </c>
      <c r="T2" s="379" t="s">
        <v>1242</v>
      </c>
      <c r="U2" s="379" t="s">
        <v>1243</v>
      </c>
      <c r="V2" s="379" t="s">
        <v>1244</v>
      </c>
      <c r="W2" s="379" t="s">
        <v>1245</v>
      </c>
      <c r="X2" s="379" t="s">
        <v>1246</v>
      </c>
      <c r="Y2" s="379"/>
      <c r="Z2" s="379"/>
      <c r="AA2" s="379"/>
      <c r="AB2" s="379"/>
      <c r="AC2" s="379"/>
      <c r="AE2" s="431">
        <f>Настройки!P2</f>
        <v>1</v>
      </c>
      <c r="AF2" s="380">
        <f>Настройки!Q2</f>
        <v>0</v>
      </c>
      <c r="AG2" s="380" t="str">
        <f>Настройки!R2</f>
        <v>IDIG_1_1</v>
      </c>
      <c r="AH2" s="380" t="str">
        <f>Настройки!S2</f>
        <v>IANS_1_3</v>
      </c>
      <c r="AI2" s="380" t="str">
        <f>Настройки!T2</f>
        <v>out0</v>
      </c>
      <c r="AJ2" s="380" t="str">
        <f>Настройки!U2</f>
        <v>out0</v>
      </c>
      <c r="AK2" s="380" t="str">
        <f>Настройки!V2</f>
        <v>ODIG_1</v>
      </c>
      <c r="AL2" s="380" t="str">
        <f>Настройки!W2</f>
        <v>OAN_1_1</v>
      </c>
      <c r="AM2" s="380" t="str">
        <f>Настройки!X2</f>
        <v>IANS_1_1</v>
      </c>
      <c r="AN2" s="380" t="str">
        <f>Настройки!Y2</f>
        <v>Canal_01</v>
      </c>
      <c r="AO2" s="380" t="str">
        <f>Настройки!Z2</f>
        <v>Canal_01</v>
      </c>
      <c r="AP2" s="380" t="str">
        <f>Настройки!AA2</f>
        <v>Canal_01</v>
      </c>
      <c r="AQ2" s="380" t="str">
        <f>Настройки!AB2</f>
        <v>Canal_01</v>
      </c>
      <c r="AR2" s="380" t="str">
        <f>Настройки!AC2</f>
        <v>IVXX[0]</v>
      </c>
      <c r="AS2" s="380" t="str">
        <f>Настройки!AD2</f>
        <v>IVXX[0]</v>
      </c>
      <c r="AT2" s="207" t="str">
        <f>Настройки!AB2</f>
        <v>Canal_01</v>
      </c>
      <c r="AU2" s="207" t="str">
        <f>Настройки!AC2</f>
        <v>IVXX[0]</v>
      </c>
      <c r="AV2" s="207" t="str">
        <f>Настройки!AD2</f>
        <v>IVXX[0]</v>
      </c>
      <c r="AW2" s="207" t="str">
        <f>Настройки!AE2</f>
        <v>IANS_1_1</v>
      </c>
      <c r="AX2" s="207" t="str">
        <f>Настройки!AF2</f>
        <v>IDIG_1_1</v>
      </c>
      <c r="AY2" s="207" t="str">
        <f>Настройки!AG2</f>
        <v>Canal_01</v>
      </c>
      <c r="AZ2" s="207" t="str">
        <f>Настройки!AH2</f>
        <v>Canal_01</v>
      </c>
      <c r="BA2" s="207" t="str">
        <f>Настройки!AI2</f>
        <v>Canal_01</v>
      </c>
      <c r="BB2" s="207" t="str">
        <f>Настройки!AJ2</f>
        <v>Canal_01</v>
      </c>
      <c r="BC2" s="207" t="str">
        <f>Настройки!AK2</f>
        <v>Canal_01</v>
      </c>
      <c r="BD2" s="207" t="str">
        <f>Настройки!AL2</f>
        <v>Canal_01</v>
      </c>
      <c r="BE2" s="207" t="str">
        <f>Настройки!AM2</f>
        <v>-</v>
      </c>
    </row>
    <row r="3" spans="1:57">
      <c r="A3" s="82"/>
      <c r="B3" s="82"/>
      <c r="C3" s="81"/>
      <c r="D3" s="81"/>
      <c r="E3" s="448" t="str">
        <f ca="1">IF(LEFT(E8,3)="out","INT_TO_BIT_BR"&amp;C8&amp;"(BR"&amp;C8&amp;".IDIG_MASK)","УДАЛИТЬ")</f>
        <v>УДАЛИТЬ</v>
      </c>
      <c r="F3" s="446" t="s">
        <v>845</v>
      </c>
      <c r="G3" s="447"/>
      <c r="H3" s="447"/>
      <c r="I3" s="459"/>
      <c r="M3" s="424" t="str">
        <f>'Конфигурация TREI'!A4</f>
        <v>BR2</v>
      </c>
      <c r="N3" s="424" t="str">
        <f>'Конфигурация TREI'!B4</f>
        <v>M548A</v>
      </c>
      <c r="P3" s="425" t="str">
        <f>'Конфигурация TREI'!D1</f>
        <v>Путь TREI для сигналов NOT_LINK</v>
      </c>
      <c r="R3" s="378"/>
      <c r="S3" s="454" t="str">
        <f>SUBSTITUTE(SUBSTITUTE($S$2,"!","")," ","")</f>
        <v>3+2</v>
      </c>
      <c r="T3" s="454" t="str">
        <f>SUBSTITUTE(SUBSTITUTE($T$2,"!","")," ","")</f>
        <v>3+3</v>
      </c>
      <c r="U3" s="454" t="str">
        <f>SUBSTITUTE(SUBSTITUTE($U$2,"!","")," ","")</f>
        <v>1+15</v>
      </c>
      <c r="V3" s="454" t="str">
        <f>SUBSTITUTE(SUBSTITUTE($V$2,"!","")," ","")</f>
        <v>1+16</v>
      </c>
      <c r="W3" s="454" t="str">
        <f>SUBSTITUTE(SUBSTITUTE($W$2,"!","")," ","")</f>
        <v>1+17</v>
      </c>
      <c r="X3" s="454" t="str">
        <f>SUBSTITUTE(SUBSTITUTE($X$2,"!","")," ","")</f>
        <v>4+1</v>
      </c>
      <c r="Y3" s="454" t="str">
        <f>SUBSTITUTE(SUBSTITUTE($Y$2,"!","")," ","")</f>
        <v/>
      </c>
      <c r="Z3" s="454" t="str">
        <f>SUBSTITUTE(SUBSTITUTE($Z$2,"!","")," ","")</f>
        <v/>
      </c>
      <c r="AA3" s="454" t="str">
        <f>SUBSTITUTE(SUBSTITUTE($AA$2,"!","")," ","")</f>
        <v/>
      </c>
      <c r="AB3" s="454" t="str">
        <f>SUBSTITUTE(SUBSTITUTE($AB$2,"!","")," ","")</f>
        <v/>
      </c>
      <c r="AC3" s="454" t="str">
        <f>SUBSTITUTE(SUBSTITUTE($AC$2,"!","")," ","")</f>
        <v/>
      </c>
      <c r="AE3" s="431">
        <f>Настройки!P3</f>
        <v>2</v>
      </c>
      <c r="AF3" s="380">
        <f>Настройки!Q3</f>
        <v>0</v>
      </c>
      <c r="AG3" s="380" t="str">
        <f>Настройки!R3</f>
        <v>IDIG_1_2</v>
      </c>
      <c r="AH3" s="380" t="str">
        <f>Настройки!S3</f>
        <v>IANS_1_4</v>
      </c>
      <c r="AI3" s="380" t="str">
        <f>Настройки!T3</f>
        <v>out1</v>
      </c>
      <c r="AJ3" s="380" t="str">
        <f>Настройки!U3</f>
        <v>out1</v>
      </c>
      <c r="AK3" s="380" t="str">
        <f>Настройки!V3</f>
        <v>ODIG_2</v>
      </c>
      <c r="AL3" s="380" t="str">
        <f>Настройки!W3</f>
        <v>OAN_2_1</v>
      </c>
      <c r="AM3" s="380" t="str">
        <f>Настройки!X3</f>
        <v>IANS_2_1</v>
      </c>
      <c r="AN3" s="380" t="str">
        <f>Настройки!Y3</f>
        <v>Canal_02</v>
      </c>
      <c r="AO3" s="380" t="str">
        <f>Настройки!Z3</f>
        <v>Canal_02</v>
      </c>
      <c r="AP3" s="380" t="str">
        <f>Настройки!AA3</f>
        <v>Canal_02</v>
      </c>
      <c r="AQ3" s="380" t="str">
        <f>Настройки!AB3</f>
        <v>Canal_02</v>
      </c>
      <c r="AR3" s="380" t="str">
        <f>Настройки!AC3</f>
        <v>IVXX[1]</v>
      </c>
      <c r="AS3" s="380" t="str">
        <f>Настройки!AD3</f>
        <v>IVXX[1]</v>
      </c>
      <c r="AT3" s="207" t="str">
        <f>Настройки!AB3</f>
        <v>Canal_02</v>
      </c>
      <c r="AU3" s="207" t="str">
        <f>Настройки!AC3</f>
        <v>IVXX[1]</v>
      </c>
      <c r="AV3" s="207" t="str">
        <f>Настройки!AD3</f>
        <v>IVXX[1]</v>
      </c>
      <c r="AW3" s="207" t="str">
        <f>Настройки!AE3</f>
        <v>IANS_1_2</v>
      </c>
      <c r="AX3" s="207" t="str">
        <f>Настройки!AF3</f>
        <v>IDIG_1_2</v>
      </c>
      <c r="AY3" s="207" t="str">
        <f>Настройки!AG3</f>
        <v>Canal_02</v>
      </c>
      <c r="AZ3" s="207" t="str">
        <f>Настройки!AH3</f>
        <v>Canal_02</v>
      </c>
      <c r="BA3" s="207" t="str">
        <f>Настройки!AI3</f>
        <v>Canal_02</v>
      </c>
      <c r="BB3" s="207" t="str">
        <f>Настройки!AJ3</f>
        <v>Canal_02</v>
      </c>
      <c r="BC3" s="207" t="str">
        <f>Настройки!AK3</f>
        <v>Canal_02</v>
      </c>
      <c r="BD3" s="207" t="str">
        <f>Настройки!AL3</f>
        <v>Canal_02</v>
      </c>
      <c r="BE3" s="207" t="str">
        <f>Настройки!AM3</f>
        <v>-</v>
      </c>
    </row>
    <row r="4" spans="1:57">
      <c r="A4" s="82"/>
      <c r="B4" s="82"/>
      <c r="C4" s="81"/>
      <c r="D4" s="81"/>
      <c r="E4" s="448" t="str">
        <f ca="1">IF(LEFT(E9,3)="out","INT_TO_BIT_BR"&amp;C9&amp;"(BR"&amp;C9&amp;".IDIG_MASK)","УДАЛИТЬ")</f>
        <v>УДАЛИТЬ</v>
      </c>
      <c r="F4" s="446" t="s">
        <v>845</v>
      </c>
      <c r="G4" s="447"/>
      <c r="H4" s="447"/>
      <c r="I4" s="459"/>
      <c r="M4" s="424" t="str">
        <f>'Конфигурация TREI'!A5</f>
        <v>BR3</v>
      </c>
      <c r="N4" s="424" t="str">
        <f>'Конфигурация TREI'!B5</f>
        <v>M548A</v>
      </c>
      <c r="P4" s="3" t="str">
        <f>Настройки!D2</f>
        <v/>
      </c>
      <c r="AE4" s="431">
        <f>Настройки!P4</f>
        <v>3</v>
      </c>
      <c r="AF4" s="380">
        <f>Настройки!Q4</f>
        <v>0</v>
      </c>
      <c r="AG4" s="380" t="str">
        <f>Настройки!R4</f>
        <v>IDIG_2_1</v>
      </c>
      <c r="AH4" s="380" t="str">
        <f>Настройки!S4</f>
        <v>IANS_2_3</v>
      </c>
      <c r="AI4" s="380" t="str">
        <f>Настройки!T4</f>
        <v>out2</v>
      </c>
      <c r="AJ4" s="380" t="str">
        <f>Настройки!U4</f>
        <v>out2</v>
      </c>
      <c r="AK4" s="380" t="str">
        <f>Настройки!V4</f>
        <v>ODIG_3</v>
      </c>
      <c r="AL4" s="380" t="str">
        <f>Настройки!W4</f>
        <v>OAN_3_1</v>
      </c>
      <c r="AM4" s="380" t="str">
        <f>Настройки!X4</f>
        <v>IANS_3_1</v>
      </c>
      <c r="AN4" s="380" t="str">
        <f>Настройки!Y4</f>
        <v>Canal_03</v>
      </c>
      <c r="AO4" s="380" t="str">
        <f>Настройки!Z4</f>
        <v>Canal_03</v>
      </c>
      <c r="AP4" s="380" t="str">
        <f>Настройки!AA4</f>
        <v>Canal_03</v>
      </c>
      <c r="AQ4" s="380" t="str">
        <f>Настройки!AB4</f>
        <v>Canal_03</v>
      </c>
      <c r="AR4" s="380" t="str">
        <f>Настройки!AC4</f>
        <v>IVXX[2]</v>
      </c>
      <c r="AS4" s="380" t="str">
        <f>Настройки!AD4</f>
        <v>IVXX[2]</v>
      </c>
      <c r="AT4" s="207" t="str">
        <f>Настройки!AB4</f>
        <v>Canal_03</v>
      </c>
      <c r="AU4" s="207" t="str">
        <f>Настройки!AC4</f>
        <v>IVXX[2]</v>
      </c>
      <c r="AV4" s="207" t="str">
        <f>Настройки!AD4</f>
        <v>IVXX[2]</v>
      </c>
      <c r="AW4" s="207" t="str">
        <f>Настройки!AE4</f>
        <v>IANS_2_1</v>
      </c>
      <c r="AX4" s="207" t="str">
        <f>Настройки!AF4</f>
        <v>IDIG_1_3</v>
      </c>
      <c r="AY4" s="207" t="str">
        <f>Настройки!AG4</f>
        <v>Canal_03</v>
      </c>
      <c r="AZ4" s="207" t="str">
        <f>Настройки!AH4</f>
        <v>Canal_03</v>
      </c>
      <c r="BA4" s="207" t="str">
        <f>Настройки!AI4</f>
        <v>Canal_03</v>
      </c>
      <c r="BB4" s="207" t="str">
        <f>Настройки!AJ4</f>
        <v>Canal_03</v>
      </c>
      <c r="BC4" s="207" t="str">
        <f>Настройки!AK4</f>
        <v>Canal_03</v>
      </c>
      <c r="BD4" s="207" t="str">
        <f>Настройки!AL4</f>
        <v>Canal_03</v>
      </c>
      <c r="BE4" s="207" t="str">
        <f>Настройки!AM4</f>
        <v>-</v>
      </c>
    </row>
    <row r="5" spans="1:57">
      <c r="A5" s="82"/>
      <c r="B5" s="82"/>
      <c r="C5" s="81"/>
      <c r="D5" s="81"/>
      <c r="E5" s="448" t="str">
        <f ca="1">IF(LEFT(E10,3)="out","INT_TO_BIT_BR"&amp;C10&amp;"(BR"&amp;C10&amp;".IDIG_MASK)","УДАЛИТЬ")</f>
        <v>УДАЛИТЬ</v>
      </c>
      <c r="F5" s="446" t="s">
        <v>845</v>
      </c>
      <c r="G5" s="447"/>
      <c r="H5" s="447"/>
      <c r="I5" s="459"/>
      <c r="M5" s="424" t="str">
        <f>'Конфигурация TREI'!A6</f>
        <v>BR4</v>
      </c>
      <c r="N5" s="424" t="str">
        <f>'Конфигурация TREI'!B6</f>
        <v>M558D</v>
      </c>
      <c r="AE5" s="431">
        <f>Настройки!P5</f>
        <v>4</v>
      </c>
      <c r="AF5" s="380">
        <f>Настройки!Q5</f>
        <v>0</v>
      </c>
      <c r="AG5" s="380" t="str">
        <f>Настройки!R5</f>
        <v>IDIG_2_2</v>
      </c>
      <c r="AH5" s="380" t="str">
        <f>Настройки!S5</f>
        <v>IANS_2_4</v>
      </c>
      <c r="AI5" s="380" t="str">
        <f>Настройки!T5</f>
        <v>out3</v>
      </c>
      <c r="AJ5" s="380" t="str">
        <f>Настройки!U5</f>
        <v>out3</v>
      </c>
      <c r="AK5" s="380" t="str">
        <f>Настройки!V5</f>
        <v>ODIG_4</v>
      </c>
      <c r="AL5" s="380" t="str">
        <f>Настройки!W5</f>
        <v>OAN_4_1</v>
      </c>
      <c r="AM5" s="380" t="str">
        <f>Настройки!X5</f>
        <v>IANS_4_1</v>
      </c>
      <c r="AN5" s="380" t="str">
        <f>Настройки!Y5</f>
        <v>Canal_04</v>
      </c>
      <c r="AO5" s="380" t="str">
        <f>Настройки!Z5</f>
        <v>Canal_04</v>
      </c>
      <c r="AP5" s="380" t="str">
        <f>Настройки!AA5</f>
        <v>Canal_04</v>
      </c>
      <c r="AQ5" s="380" t="str">
        <f>Настройки!AB5</f>
        <v>Canal_04</v>
      </c>
      <c r="AR5" s="380" t="str">
        <f>Настройки!AC5</f>
        <v>IVXX[3]</v>
      </c>
      <c r="AS5" s="380" t="str">
        <f>Настройки!AD5</f>
        <v>IVXX[3]</v>
      </c>
      <c r="AT5" s="207" t="str">
        <f>Настройки!AB5</f>
        <v>Canal_04</v>
      </c>
      <c r="AU5" s="207" t="str">
        <f>Настройки!AC5</f>
        <v>IVXX[3]</v>
      </c>
      <c r="AV5" s="207" t="str">
        <f>Настройки!AD5</f>
        <v>IVXX[3]</v>
      </c>
      <c r="AW5" s="207" t="str">
        <f>Настройки!AE5</f>
        <v>IANS_2_2</v>
      </c>
      <c r="AX5" s="207" t="str">
        <f>Настройки!AF5</f>
        <v>IDIG_1_4</v>
      </c>
      <c r="AY5" s="207" t="str">
        <f>Настройки!AG5</f>
        <v>Canal_04</v>
      </c>
      <c r="AZ5" s="207" t="str">
        <f>Настройки!AH5</f>
        <v>Canal_04</v>
      </c>
      <c r="BA5" s="207" t="str">
        <f>Настройки!AI5</f>
        <v>Canal_04</v>
      </c>
      <c r="BB5" s="207" t="str">
        <f>Настройки!AJ5</f>
        <v>Canal_04</v>
      </c>
      <c r="BC5" s="207" t="str">
        <f>Настройки!AK5</f>
        <v>Canal_04</v>
      </c>
      <c r="BD5" s="207" t="str">
        <f>Настройки!AL5</f>
        <v>Canal_04</v>
      </c>
      <c r="BE5" s="207" t="str">
        <f>Настройки!AM5</f>
        <v>-</v>
      </c>
    </row>
    <row r="6" spans="1:57">
      <c r="A6" s="82"/>
      <c r="B6" s="82"/>
      <c r="C6" s="81"/>
      <c r="D6" s="81"/>
      <c r="E6" s="448" t="str">
        <f ca="1">IF(LEFT(E11,3)="out","INT_TO_BIT_BR"&amp;C11&amp;"(BR"&amp;C11&amp;".IDIG_MASK)","УДАЛИТЬ")</f>
        <v>УДАЛИТЬ</v>
      </c>
      <c r="F6" s="446" t="s">
        <v>845</v>
      </c>
      <c r="G6" s="447"/>
      <c r="H6" s="447"/>
      <c r="I6" s="459"/>
      <c r="M6" s="424" t="str">
        <f>'Конфигурация TREI'!A7</f>
        <v>BR5</v>
      </c>
      <c r="N6" s="424" t="str">
        <f>'Конфигурация TREI'!B7</f>
        <v>M558O</v>
      </c>
      <c r="AE6" s="431">
        <f>Настройки!P6</f>
        <v>5</v>
      </c>
      <c r="AF6" s="380">
        <f>Настройки!Q6</f>
        <v>0</v>
      </c>
      <c r="AG6" s="380" t="str">
        <f>Настройки!R6</f>
        <v>IDIG_3_1</v>
      </c>
      <c r="AH6" s="380" t="str">
        <f>Настройки!S6</f>
        <v>IANS_3_3</v>
      </c>
      <c r="AI6" s="380" t="str">
        <f>Настройки!T6</f>
        <v>out4</v>
      </c>
      <c r="AJ6" s="380" t="str">
        <f>Настройки!U6</f>
        <v>out4</v>
      </c>
      <c r="AK6" s="380" t="str">
        <f>Настройки!V6</f>
        <v>ODIG_5</v>
      </c>
      <c r="AL6" s="380" t="str">
        <f>Настройки!W6</f>
        <v>OAN_5_1</v>
      </c>
      <c r="AM6" s="380" t="str">
        <f>Настройки!X6</f>
        <v>IANS_5_1</v>
      </c>
      <c r="AN6" s="380" t="str">
        <f>Настройки!Y6</f>
        <v>Canal_05</v>
      </c>
      <c r="AO6" s="380" t="str">
        <f>Настройки!Z6</f>
        <v>Canal_05</v>
      </c>
      <c r="AP6" s="380" t="str">
        <f>Настройки!AA6</f>
        <v>Canal_05</v>
      </c>
      <c r="AQ6" s="380" t="str">
        <f>Настройки!AB6</f>
        <v>Canal_05</v>
      </c>
      <c r="AR6" s="380" t="str">
        <f>Настройки!AC6</f>
        <v>IVXX[4]</v>
      </c>
      <c r="AS6" s="380" t="str">
        <f>Настройки!AD6</f>
        <v>IVXX[4]</v>
      </c>
      <c r="AT6" s="207" t="str">
        <f>Настройки!AB6</f>
        <v>Canal_05</v>
      </c>
      <c r="AU6" s="207" t="str">
        <f>Настройки!AC6</f>
        <v>IVXX[4]</v>
      </c>
      <c r="AV6" s="207" t="str">
        <f>Настройки!AD6</f>
        <v>IVXX[4]</v>
      </c>
      <c r="AW6" s="207" t="str">
        <f>Настройки!AE6</f>
        <v>IANS_3_1</v>
      </c>
      <c r="AX6" s="207" t="str">
        <f>Настройки!AF6</f>
        <v>IDIG_2_1</v>
      </c>
      <c r="AY6" s="207" t="str">
        <f>Настройки!AG6</f>
        <v>Canal_05</v>
      </c>
      <c r="AZ6" s="207" t="str">
        <f>Настройки!AH6</f>
        <v>Canal_05</v>
      </c>
      <c r="BA6" s="207" t="str">
        <f>Настройки!AI6</f>
        <v>Canal_05</v>
      </c>
      <c r="BB6" s="207" t="str">
        <f>Настройки!AJ6</f>
        <v>Canal_05</v>
      </c>
      <c r="BC6" s="207" t="str">
        <f>Настройки!AK6</f>
        <v>Canal_05</v>
      </c>
      <c r="BD6" s="207" t="str">
        <f>Настройки!AL6</f>
        <v>Canal_05</v>
      </c>
      <c r="BE6" s="207" t="str">
        <f>Настройки!AM6</f>
        <v>-</v>
      </c>
    </row>
    <row r="7" spans="1:57">
      <c r="A7" s="82"/>
      <c r="B7" s="82"/>
      <c r="C7" s="81"/>
      <c r="D7" s="81"/>
      <c r="E7" s="448" t="str">
        <f ca="1">IF(LEFT(E12,3)="out","INT_TO_BIT_BR"&amp;C12&amp;"(BR"&amp;C12&amp;".IDIG_MASK)","УДАЛИТЬ")</f>
        <v>УДАЛИТЬ</v>
      </c>
      <c r="F7" s="446" t="s">
        <v>845</v>
      </c>
      <c r="G7" s="447"/>
      <c r="H7" s="447"/>
      <c r="I7" s="459"/>
      <c r="M7" s="424" t="str">
        <f>'Конфигурация TREI'!A8</f>
        <v>BR6</v>
      </c>
      <c r="N7" s="424" t="str">
        <f>'Конфигурация TREI'!B8</f>
        <v>M558O</v>
      </c>
      <c r="AE7" s="431">
        <f>Настройки!P7</f>
        <v>6</v>
      </c>
      <c r="AF7" s="380">
        <f>Настройки!Q7</f>
        <v>0</v>
      </c>
      <c r="AG7" s="380" t="str">
        <f>Настройки!R7</f>
        <v>IDIG_3_2</v>
      </c>
      <c r="AH7" s="380" t="str">
        <f>Настройки!S7</f>
        <v>IANS_3_4</v>
      </c>
      <c r="AI7" s="380" t="str">
        <f>Настройки!T7</f>
        <v>out5</v>
      </c>
      <c r="AJ7" s="380" t="str">
        <f>Настройки!U7</f>
        <v>out5</v>
      </c>
      <c r="AK7" s="380" t="str">
        <f>Настройки!V7</f>
        <v>ODIG_6</v>
      </c>
      <c r="AL7" s="380" t="str">
        <f>Настройки!W7</f>
        <v>OAN_6_1</v>
      </c>
      <c r="AM7" s="380" t="str">
        <f>Настройки!X7</f>
        <v>IANS_6_1</v>
      </c>
      <c r="AN7" s="380" t="str">
        <f>Настройки!Y7</f>
        <v>Canal_06</v>
      </c>
      <c r="AO7" s="380" t="str">
        <f>Настройки!Z7</f>
        <v>Canal_06</v>
      </c>
      <c r="AP7" s="380" t="str">
        <f>Настройки!AA7</f>
        <v>Canal_06</v>
      </c>
      <c r="AQ7" s="380" t="str">
        <f>Настройки!AB7</f>
        <v>Canal_06</v>
      </c>
      <c r="AR7" s="380" t="str">
        <f>Настройки!AC7</f>
        <v>IVXX[5]</v>
      </c>
      <c r="AS7" s="380" t="str">
        <f>Настройки!AD7</f>
        <v>IVXX[5]</v>
      </c>
      <c r="AT7" s="207" t="str">
        <f>Настройки!AB7</f>
        <v>Canal_06</v>
      </c>
      <c r="AU7" s="207" t="str">
        <f>Настройки!AC7</f>
        <v>IVXX[5]</v>
      </c>
      <c r="AV7" s="207" t="str">
        <f>Настройки!AD7</f>
        <v>IVXX[5]</v>
      </c>
      <c r="AW7" s="207" t="str">
        <f>Настройки!AE7</f>
        <v>IANS_3_2</v>
      </c>
      <c r="AX7" s="207" t="str">
        <f>Настройки!AF7</f>
        <v>IDIG_2_2</v>
      </c>
      <c r="AY7" s="207" t="str">
        <f>Настройки!AG7</f>
        <v>Canal_06</v>
      </c>
      <c r="AZ7" s="207" t="str">
        <f>Настройки!AH7</f>
        <v>Canal_06</v>
      </c>
      <c r="BA7" s="207" t="str">
        <f>Настройки!AI7</f>
        <v>Canal_06</v>
      </c>
      <c r="BB7" s="207" t="str">
        <f>Настройки!AJ7</f>
        <v>Canal_06</v>
      </c>
      <c r="BC7" s="207" t="str">
        <f>Настройки!AK7</f>
        <v>Canal_06</v>
      </c>
      <c r="BD7" s="207" t="str">
        <f>Настройки!AL7</f>
        <v>Canal_06</v>
      </c>
      <c r="BE7" s="207" t="str">
        <f>Настройки!AM7</f>
        <v>-</v>
      </c>
    </row>
    <row r="8" spans="1:57">
      <c r="A8" s="448" t="str">
        <f>SUBSTITUTE($P$2,"\","|")&amp;"|"&amp; $S$1 &amp;":="</f>
        <v>dREG_test|XPVX:=</v>
      </c>
      <c r="B8" s="448" t="str">
        <f ca="1">IF(LEFT(E8,3)="out","INT_TO_BIT_BR","BR")</f>
        <v>BR</v>
      </c>
      <c r="C8" s="446" t="str">
        <f>LEFT($S$3,FIND("+",$S$3,1)-1)</f>
        <v>3</v>
      </c>
      <c r="D8" s="446" t="s">
        <v>178</v>
      </c>
      <c r="E8" s="446" t="str">
        <f ca="1">IF($S$2=0,"УДАЛИТЬ",IFERROR(IF(OR($I8="-",$H8="0"),"КАНАЛ ОТСУТСТВУЕТ",IF($I8=0,"МОДУЛЬ ОТСУТСТВУЕТ",$I8)),"ОШИБКА ФОРМАТА"))</f>
        <v>Canal_02</v>
      </c>
      <c r="F8" s="446" t="s">
        <v>845</v>
      </c>
      <c r="G8" s="447" t="str">
        <f>INDEX($N$2:$N$61,C8)</f>
        <v>M548A</v>
      </c>
      <c r="H8" s="447" t="str">
        <f>RIGHT(S$3,LEN(S$3)-FIND("+",S$3,1))</f>
        <v>2</v>
      </c>
      <c r="I8" s="460" t="str">
        <f ca="1">INDIRECT(ADDRESS($H8+1,MATCH($G8,$1:$1,),1))</f>
        <v>Canal_02</v>
      </c>
      <c r="M8" s="424" t="str">
        <f>'Конфигурация TREI'!A9</f>
        <v>BR7</v>
      </c>
      <c r="N8" s="424" t="str">
        <f>'Конфигурация TREI'!B9</f>
        <v>M558O</v>
      </c>
      <c r="AE8" s="431">
        <f>Настройки!P8</f>
        <v>7</v>
      </c>
      <c r="AF8" s="380">
        <f>Настройки!Q8</f>
        <v>0</v>
      </c>
      <c r="AG8" s="380" t="str">
        <f>Настройки!R8</f>
        <v>IDIG_4_1</v>
      </c>
      <c r="AH8" s="380" t="str">
        <f>Настройки!S8</f>
        <v>IANS_4_3</v>
      </c>
      <c r="AI8" s="380" t="str">
        <f>Настройки!T8</f>
        <v>out6</v>
      </c>
      <c r="AJ8" s="380" t="str">
        <f>Настройки!U8</f>
        <v>out6</v>
      </c>
      <c r="AK8" s="380" t="str">
        <f>Настройки!V8</f>
        <v>ODIG_7</v>
      </c>
      <c r="AL8" s="380" t="str">
        <f>Настройки!W8</f>
        <v>OAN_7_1</v>
      </c>
      <c r="AM8" s="380" t="str">
        <f>Настройки!X8</f>
        <v>IANS_7_1</v>
      </c>
      <c r="AN8" s="380" t="str">
        <f>Настройки!Y8</f>
        <v>Canal_07</v>
      </c>
      <c r="AO8" s="380" t="str">
        <f>Настройки!Z8</f>
        <v>Canal_07</v>
      </c>
      <c r="AP8" s="380" t="str">
        <f>Настройки!AA8</f>
        <v>Canal_07</v>
      </c>
      <c r="AQ8" s="380" t="str">
        <f>Настройки!AB8</f>
        <v>Canal_07</v>
      </c>
      <c r="AR8" s="380" t="str">
        <f>Настройки!AC8</f>
        <v>IVXX[6]</v>
      </c>
      <c r="AS8" s="380" t="str">
        <f>Настройки!AD8</f>
        <v>IVXX[6]</v>
      </c>
      <c r="AT8" s="207" t="str">
        <f>Настройки!AB8</f>
        <v>Canal_07</v>
      </c>
      <c r="AU8" s="207" t="str">
        <f>Настройки!AC8</f>
        <v>IVXX[6]</v>
      </c>
      <c r="AV8" s="207" t="str">
        <f>Настройки!AD8</f>
        <v>IVXX[6]</v>
      </c>
      <c r="AW8" s="207" t="str">
        <f>Настройки!AE8</f>
        <v>IANS_4_1</v>
      </c>
      <c r="AX8" s="207" t="str">
        <f>Настройки!AF8</f>
        <v>IDIG_2_3</v>
      </c>
      <c r="AY8" s="207" t="str">
        <f>Настройки!AG8</f>
        <v>Canal_07</v>
      </c>
      <c r="AZ8" s="207" t="str">
        <f>Настройки!AH8</f>
        <v>Canal_07</v>
      </c>
      <c r="BA8" s="207" t="str">
        <f>Настройки!AI8</f>
        <v>Canal_07</v>
      </c>
      <c r="BB8" s="207" t="str">
        <f>Настройки!AJ8</f>
        <v>Canal_07</v>
      </c>
      <c r="BC8" s="207" t="str">
        <f>Настройки!AK8</f>
        <v>Canal_07</v>
      </c>
      <c r="BD8" s="207" t="str">
        <f>Настройки!AL8</f>
        <v>Canal_07</v>
      </c>
      <c r="BE8" s="207" t="str">
        <f>Настройки!AM8</f>
        <v>-</v>
      </c>
    </row>
    <row r="9" spans="1:57">
      <c r="A9" s="448" t="str">
        <f>SUBSTITUTE($P$2,"\","|")&amp;"|"&amp; $T$1 &amp;":="</f>
        <v>dREG_test|ICPX:=</v>
      </c>
      <c r="B9" s="448" t="str">
        <f ca="1">IF(LEFT(E9,3)="out","INT_TO_BIT_BR","BR")</f>
        <v>BR</v>
      </c>
      <c r="C9" s="446" t="str">
        <f>LEFT($T$3,FIND("+",$T$3,1)-1)</f>
        <v>3</v>
      </c>
      <c r="D9" s="446" t="s">
        <v>178</v>
      </c>
      <c r="E9" s="446" t="str">
        <f ca="1">IF($T$2=0,"УДАЛИТЬ",IFERROR(IF(OR($I9="-",$H9="0"),"КАНАЛ ОТСУТСТВУЕТ",IF($I9=0,"МОДУЛЬ ОТСУТСТВУЕТ",$I9)),"ОШИБКА ФОРМАТА"))</f>
        <v>Canal_03</v>
      </c>
      <c r="F9" s="446" t="s">
        <v>845</v>
      </c>
      <c r="G9" s="447" t="str">
        <f>INDEX($N$2:$N$61,C9)</f>
        <v>M548A</v>
      </c>
      <c r="H9" s="447" t="str">
        <f>RIGHT(T$3,LEN(T$3)-FIND("+",T$3,1))</f>
        <v>3</v>
      </c>
      <c r="I9" s="460" t="str">
        <f ca="1">INDIRECT(ADDRESS($H9+1,MATCH($G9,$1:$1,),1))</f>
        <v>Canal_03</v>
      </c>
      <c r="M9" s="424" t="str">
        <f>'Конфигурация TREI'!A10</f>
        <v>BR8</v>
      </c>
      <c r="N9" s="424" t="str">
        <f>'Конфигурация TREI'!B10</f>
        <v>M558O</v>
      </c>
      <c r="AE9" s="431">
        <f>Настройки!P9</f>
        <v>8</v>
      </c>
      <c r="AF9" s="380">
        <f>Настройки!Q9</f>
        <v>0</v>
      </c>
      <c r="AG9" s="380" t="str">
        <f>Настройки!R9</f>
        <v>IDIG_4_2</v>
      </c>
      <c r="AH9" s="380" t="str">
        <f>Настройки!S9</f>
        <v>IANS_4_4</v>
      </c>
      <c r="AI9" s="380" t="str">
        <f>Настройки!T9</f>
        <v>out7</v>
      </c>
      <c r="AJ9" s="380" t="str">
        <f>Настройки!U9</f>
        <v>out7</v>
      </c>
      <c r="AK9" s="380" t="str">
        <f>Настройки!V9</f>
        <v>ODIG_8</v>
      </c>
      <c r="AL9" s="380" t="str">
        <f>Настройки!W9</f>
        <v>OAN_8_1</v>
      </c>
      <c r="AM9" s="380" t="str">
        <f>Настройки!X9</f>
        <v>IANS_8_1</v>
      </c>
      <c r="AN9" s="380" t="str">
        <f>Настройки!Y9</f>
        <v>Canal_08</v>
      </c>
      <c r="AO9" s="380" t="str">
        <f>Настройки!Z9</f>
        <v>Canal_08</v>
      </c>
      <c r="AP9" s="380" t="str">
        <f>Настройки!AA9</f>
        <v>Canal_08</v>
      </c>
      <c r="AQ9" s="380" t="str">
        <f>Настройки!AB9</f>
        <v>Canal_08</v>
      </c>
      <c r="AR9" s="380" t="str">
        <f>Настройки!AC9</f>
        <v>IVXX[7]</v>
      </c>
      <c r="AS9" s="380" t="str">
        <f>Настройки!AD9</f>
        <v>IVXX[7]</v>
      </c>
      <c r="AT9" s="207" t="str">
        <f>Настройки!AB9</f>
        <v>Canal_08</v>
      </c>
      <c r="AU9" s="207" t="str">
        <f>Настройки!AC9</f>
        <v>IVXX[7]</v>
      </c>
      <c r="AV9" s="207" t="str">
        <f>Настройки!AD9</f>
        <v>IVXX[7]</v>
      </c>
      <c r="AW9" s="207" t="str">
        <f>Настройки!AE9</f>
        <v>IANS_4_2</v>
      </c>
      <c r="AX9" s="207" t="str">
        <f>Настройки!AF9</f>
        <v>IDIG_2_4</v>
      </c>
      <c r="AY9" s="207" t="str">
        <f>Настройки!AG9</f>
        <v>Canal_08</v>
      </c>
      <c r="AZ9" s="207" t="str">
        <f>Настройки!AH9</f>
        <v>Canal_08</v>
      </c>
      <c r="BA9" s="207" t="str">
        <f>Настройки!AI9</f>
        <v>Canal_08</v>
      </c>
      <c r="BB9" s="207" t="str">
        <f>Настройки!AJ9</f>
        <v>Canal_08</v>
      </c>
      <c r="BC9" s="207" t="str">
        <f>Настройки!AK9</f>
        <v>Canal_08</v>
      </c>
      <c r="BD9" s="207" t="str">
        <f>Настройки!AL9</f>
        <v>Canal_08</v>
      </c>
      <c r="BE9" s="207" t="str">
        <f>Настройки!AM9</f>
        <v>-</v>
      </c>
    </row>
    <row r="10" spans="1:57">
      <c r="A10" s="448" t="str">
        <f>SUBSTITUTE($P$2,"\","|")&amp;"|"&amp; $U$1 &amp;":="&amp;IF(LEFT(SUBSTITUTE($U$2," ",""),1)="!","NOT  ","")</f>
        <v>dREG_test|ILCX:=</v>
      </c>
      <c r="B10" s="448" t="str">
        <f ca="1">IF(LEFT(E10,3)="out","INT_TO_BIT_BR","BR")</f>
        <v>BR</v>
      </c>
      <c r="C10" s="446" t="str">
        <f>LEFT($U$3,FIND("+",$U$3,1)-1)</f>
        <v>1</v>
      </c>
      <c r="D10" s="446" t="s">
        <v>178</v>
      </c>
      <c r="E10" s="446" t="str">
        <f ca="1">IF($U$2=0,"УДАЛИТЬ",IFERROR(IF(OR($I10="-",$H10="0"),"КАНАЛ ОТСУТСТВУЕТ",IF($I10=0,"МОДУЛЬ ОТСУТСТВУЕТ",$I10)),"ОШИБКА ФОРМАТА"))</f>
        <v>Canal_15</v>
      </c>
      <c r="F10" s="446" t="s">
        <v>845</v>
      </c>
      <c r="G10" s="447" t="str">
        <f>INDEX($N$2:$N$61,C10)</f>
        <v>M558D</v>
      </c>
      <c r="H10" s="447" t="str">
        <f>RIGHT($U$3,LEN($U$3)-FIND("+",$U$3,1))</f>
        <v>15</v>
      </c>
      <c r="I10" s="460" t="str">
        <f ca="1">INDIRECT(ADDRESS($H10+1,MATCH($G10,$1:$1,),1))</f>
        <v>Canal_15</v>
      </c>
      <c r="M10" s="424" t="str">
        <f>'Конфигурация TREI'!A11</f>
        <v>BR9</v>
      </c>
      <c r="N10" s="424" t="str">
        <f>'Конфигурация TREI'!B11</f>
        <v>M558D</v>
      </c>
      <c r="AE10" s="431">
        <f>Настройки!P10</f>
        <v>9</v>
      </c>
      <c r="AF10" s="380">
        <f>Настройки!Q10</f>
        <v>0</v>
      </c>
      <c r="AG10" s="380" t="str">
        <f>Настройки!R10</f>
        <v>IDIG_5_1</v>
      </c>
      <c r="AH10" s="380" t="str">
        <f>Настройки!S10</f>
        <v>IANS_5_3</v>
      </c>
      <c r="AI10" s="380" t="str">
        <f>Настройки!T10</f>
        <v>out8</v>
      </c>
      <c r="AJ10" s="380" t="str">
        <f>Настройки!U10</f>
        <v>out8</v>
      </c>
      <c r="AK10" s="380" t="str">
        <f>Настройки!V10</f>
        <v>ODIG_9</v>
      </c>
      <c r="AL10" s="380" t="str">
        <f>Настройки!W10</f>
        <v>-</v>
      </c>
      <c r="AM10" s="380" t="str">
        <f>Настройки!X10</f>
        <v>-</v>
      </c>
      <c r="AN10" s="380" t="str">
        <f>Настройки!Y10</f>
        <v>Canal_09</v>
      </c>
      <c r="AO10" s="380" t="str">
        <f>Настройки!Z10</f>
        <v>-</v>
      </c>
      <c r="AP10" s="380" t="str">
        <f>Настройки!AA10</f>
        <v>Canal_09</v>
      </c>
      <c r="AQ10" s="380" t="str">
        <f>Настройки!AB10</f>
        <v>Canal_09</v>
      </c>
      <c r="AR10" s="380" t="str">
        <f>Настройки!AC10</f>
        <v>OCCH[0]</v>
      </c>
      <c r="AS10" s="380" t="str">
        <f>Настройки!AD10</f>
        <v>OCCH[0]</v>
      </c>
      <c r="AT10" s="207" t="str">
        <f>Настройки!AB10</f>
        <v>Canal_09</v>
      </c>
      <c r="AU10" s="207" t="str">
        <f>Настройки!AC10</f>
        <v>OCCH[0]</v>
      </c>
      <c r="AV10" s="207" t="str">
        <f>Настройки!AD10</f>
        <v>OCCH[0]</v>
      </c>
      <c r="AW10" s="207" t="str">
        <f>Настройки!AE10</f>
        <v>IANS_5_1</v>
      </c>
      <c r="AX10" s="207" t="str">
        <f>Настройки!AF10</f>
        <v>IDIG_3_1</v>
      </c>
      <c r="AY10" s="207" t="str">
        <f>Настройки!AG10</f>
        <v>Canal_09</v>
      </c>
      <c r="AZ10" s="207" t="str">
        <f>Настройки!AH10</f>
        <v>Canal_09</v>
      </c>
      <c r="BA10" s="207" t="str">
        <f>Настройки!AI10</f>
        <v>Canal_09</v>
      </c>
      <c r="BB10" s="207" t="str">
        <f>Настройки!AJ10</f>
        <v>Canal_09</v>
      </c>
      <c r="BC10" s="207" t="str">
        <f>Настройки!AK10</f>
        <v>-</v>
      </c>
      <c r="BD10" s="207" t="str">
        <f>Настройки!AL10</f>
        <v>Canal_09</v>
      </c>
      <c r="BE10" s="207" t="str">
        <f>Настройки!AM10</f>
        <v>-</v>
      </c>
    </row>
    <row r="11" spans="1:57">
      <c r="A11" s="448" t="str">
        <f>SUBSTITUTE($P$2,"\","|")&amp;"|"&amp; $V$1 &amp;":="&amp;IF(LEFT(SUBSTITUTE($V$2," ",""),1)="!","NOT  ","")</f>
        <v>dREG_test|IRCX:=</v>
      </c>
      <c r="B11" s="448" t="str">
        <f ca="1">IF(LEFT(E11,3)="out","INT_TO_BIT_BR","BR")</f>
        <v>BR</v>
      </c>
      <c r="C11" s="446" t="str">
        <f>LEFT($V$3,FIND("+",$V$3,1)-1)</f>
        <v>1</v>
      </c>
      <c r="D11" s="446" t="s">
        <v>178</v>
      </c>
      <c r="E11" s="446" t="str">
        <f ca="1">IF($V$2=0,"УДАЛИТЬ",IFERROR(IF(OR($I11="-",$H11="0"),"КАНАЛ ОТСУТСТВУЕТ",IF($I11=0,"МОДУЛЬ ОТСУТСТВУЕТ",$I11)),"ОШИБКА ФОРМАТА"))</f>
        <v>Canal_16</v>
      </c>
      <c r="F11" s="446" t="s">
        <v>845</v>
      </c>
      <c r="G11" s="447" t="str">
        <f>INDEX($N$2:$N$61,C11)</f>
        <v>M558D</v>
      </c>
      <c r="H11" s="447" t="str">
        <f>RIGHT($V$3,LEN($V$3)-FIND("+",$V$3,1))</f>
        <v>16</v>
      </c>
      <c r="I11" s="460" t="str">
        <f ca="1">INDIRECT(ADDRESS($H11+1,MATCH($G11,$1:$1,),1))</f>
        <v>Canal_16</v>
      </c>
      <c r="M11" s="424" t="str">
        <f>'Конфигурация TREI'!A12</f>
        <v>BR10</v>
      </c>
      <c r="N11" s="424" t="str">
        <f>'Конфигурация TREI'!B12</f>
        <v>M558O</v>
      </c>
      <c r="AE11" s="431">
        <f>Настройки!P11</f>
        <v>10</v>
      </c>
      <c r="AF11" s="380">
        <f>Настройки!Q11</f>
        <v>0</v>
      </c>
      <c r="AG11" s="380" t="str">
        <f>Настройки!R11</f>
        <v>IDIG_5_2</v>
      </c>
      <c r="AH11" s="380" t="str">
        <f>Настройки!S11</f>
        <v>IANS_5_4</v>
      </c>
      <c r="AI11" s="380" t="str">
        <f>Настройки!T11</f>
        <v>out9</v>
      </c>
      <c r="AJ11" s="380" t="str">
        <f>Настройки!U11</f>
        <v>out9</v>
      </c>
      <c r="AK11" s="380" t="str">
        <f>Настройки!V11</f>
        <v>ODIG_10</v>
      </c>
      <c r="AL11" s="380" t="str">
        <f>Настройки!W11</f>
        <v>-</v>
      </c>
      <c r="AM11" s="380" t="str">
        <f>Настройки!X11</f>
        <v>-</v>
      </c>
      <c r="AN11" s="380" t="str">
        <f>Настройки!Y11</f>
        <v>Canal_10</v>
      </c>
      <c r="AO11" s="380" t="str">
        <f>Настройки!Z11</f>
        <v>-</v>
      </c>
      <c r="AP11" s="380" t="str">
        <f>Настройки!AA11</f>
        <v>Canal_10</v>
      </c>
      <c r="AQ11" s="380" t="str">
        <f>Настройки!AB11</f>
        <v>Canal_10</v>
      </c>
      <c r="AR11" s="380" t="str">
        <f>Настройки!AC11</f>
        <v>OCCH[1]</v>
      </c>
      <c r="AS11" s="380" t="str">
        <f>Настройки!AD11</f>
        <v>OCCH[1]</v>
      </c>
      <c r="AT11" s="207" t="str">
        <f>Настройки!AB11</f>
        <v>Canal_10</v>
      </c>
      <c r="AU11" s="207" t="str">
        <f>Настройки!AC11</f>
        <v>OCCH[1]</v>
      </c>
      <c r="AV11" s="207" t="str">
        <f>Настройки!AD11</f>
        <v>OCCH[1]</v>
      </c>
      <c r="AW11" s="207" t="str">
        <f>Настройки!AE11</f>
        <v>IANS_5_2</v>
      </c>
      <c r="AX11" s="207" t="str">
        <f>Настройки!AF11</f>
        <v>IDIG_3_2</v>
      </c>
      <c r="AY11" s="207" t="str">
        <f>Настройки!AG11</f>
        <v>Canal_10</v>
      </c>
      <c r="AZ11" s="207" t="str">
        <f>Настройки!AH11</f>
        <v>Canal_10</v>
      </c>
      <c r="BA11" s="207" t="str">
        <f>Настройки!AI11</f>
        <v>Canal_10</v>
      </c>
      <c r="BB11" s="207" t="str">
        <f>Настройки!AJ11</f>
        <v>Canal_10</v>
      </c>
      <c r="BC11" s="207" t="str">
        <f>Настройки!AK11</f>
        <v>-</v>
      </c>
      <c r="BD11" s="207" t="str">
        <f>Настройки!AL11</f>
        <v>Canal_10</v>
      </c>
      <c r="BE11" s="207" t="str">
        <f>Настройки!AM11</f>
        <v>-</v>
      </c>
    </row>
    <row r="12" spans="1:57">
      <c r="A12" s="448" t="str">
        <f>SUBSTITUTE($P$2,"\","|")&amp;"|"&amp; $W$1 &amp;":="&amp;IF(LEFT(SUBSTITUTE($W$2," ",""),1)="!","NOT  ","")</f>
        <v>dREG_test|IFXX:=</v>
      </c>
      <c r="B12" s="448" t="str">
        <f ca="1">IF(LEFT(E12,3)="out","INT_TO_BIT_BR","BR")</f>
        <v>BR</v>
      </c>
      <c r="C12" s="446" t="str">
        <f>LEFT($W$3,FIND("+",$W$3,1)-1)</f>
        <v>1</v>
      </c>
      <c r="D12" s="446" t="s">
        <v>178</v>
      </c>
      <c r="E12" s="446" t="str">
        <f ca="1">IF($W$2=0,"УДАЛИТЬ",IFERROR(IF(OR($I12="-",$H12="0"),"КАНАЛ ОТСУТСТВУЕТ",IF($I12=0,"МОДУЛЬ ОТСУТСТВУЕТ",$I12)),"ОШИБКА ФОРМАТА"))</f>
        <v>Canal_17</v>
      </c>
      <c r="F12" s="446" t="s">
        <v>845</v>
      </c>
      <c r="G12" s="447" t="str">
        <f>INDEX($N$2:$N$61,C12)</f>
        <v>M558D</v>
      </c>
      <c r="H12" s="447" t="str">
        <f>RIGHT($W$3,LEN($W$3)-FIND("+",$W$3,1))</f>
        <v>17</v>
      </c>
      <c r="I12" s="460" t="str">
        <f ca="1">INDIRECT(ADDRESS($H12+1,MATCH($G12,$1:$1,),1))</f>
        <v>Canal_17</v>
      </c>
      <c r="M12" s="424" t="str">
        <f>'Конфигурация TREI'!A13</f>
        <v>BR11</v>
      </c>
      <c r="N12" s="424" t="str">
        <f>'Конфигурация TREI'!B13</f>
        <v>M558D</v>
      </c>
      <c r="AE12" s="431">
        <f>Настройки!P12</f>
        <v>11</v>
      </c>
      <c r="AF12" s="380">
        <f>Настройки!Q12</f>
        <v>0</v>
      </c>
      <c r="AG12" s="380" t="str">
        <f>Настройки!R12</f>
        <v>IDIG_6_1</v>
      </c>
      <c r="AH12" s="380" t="str">
        <f>Настройки!S12</f>
        <v>IANS_6_3</v>
      </c>
      <c r="AI12" s="380" t="str">
        <f>Настройки!T12</f>
        <v>out10</v>
      </c>
      <c r="AJ12" s="380" t="str">
        <f>Настройки!U12</f>
        <v>out10</v>
      </c>
      <c r="AK12" s="380" t="str">
        <f>Настройки!V12</f>
        <v>ODIG_11</v>
      </c>
      <c r="AL12" s="380" t="str">
        <f>Настройки!W12</f>
        <v>-</v>
      </c>
      <c r="AM12" s="380" t="str">
        <f>Настройки!X12</f>
        <v>-</v>
      </c>
      <c r="AN12" s="380" t="str">
        <f>Настройки!Y12</f>
        <v>Canal_11</v>
      </c>
      <c r="AO12" s="380" t="str">
        <f>Настройки!Z12</f>
        <v>-</v>
      </c>
      <c r="AP12" s="380" t="str">
        <f>Настройки!AA12</f>
        <v>Canal_11</v>
      </c>
      <c r="AQ12" s="380" t="str">
        <f>Настройки!AB12</f>
        <v>Canal_11</v>
      </c>
      <c r="AR12" s="380" t="str">
        <f>Настройки!AC12</f>
        <v>OCCH[2]</v>
      </c>
      <c r="AS12" s="380" t="str">
        <f>Настройки!AD12</f>
        <v>OCCH[2]</v>
      </c>
      <c r="AT12" s="207" t="str">
        <f>Настройки!AB12</f>
        <v>Canal_11</v>
      </c>
      <c r="AU12" s="207" t="str">
        <f>Настройки!AC12</f>
        <v>OCCH[2]</v>
      </c>
      <c r="AV12" s="207" t="str">
        <f>Настройки!AD12</f>
        <v>OCCH[2]</v>
      </c>
      <c r="AW12" s="207" t="str">
        <f>Настройки!AE12</f>
        <v>IANS_6_1</v>
      </c>
      <c r="AX12" s="207" t="str">
        <f>Настройки!AF12</f>
        <v>IDIG_3_3</v>
      </c>
      <c r="AY12" s="207" t="str">
        <f>Настройки!AG12</f>
        <v>Canal_11</v>
      </c>
      <c r="AZ12" s="207" t="str">
        <f>Настройки!AH12</f>
        <v>Canal_11</v>
      </c>
      <c r="BA12" s="207" t="str">
        <f>Настройки!AI12</f>
        <v>Canal_11</v>
      </c>
      <c r="BB12" s="207" t="str">
        <f>Настройки!AJ12</f>
        <v>Canal_11</v>
      </c>
      <c r="BC12" s="207" t="str">
        <f>Настройки!AK12</f>
        <v>-</v>
      </c>
      <c r="BD12" s="207" t="str">
        <f>Настройки!AL12</f>
        <v>Canal_11</v>
      </c>
      <c r="BE12" s="207" t="str">
        <f>Настройки!AM12</f>
        <v>-</v>
      </c>
    </row>
    <row r="13" spans="1:57">
      <c r="A13" s="448" t="str">
        <f>SUBSTITUTE($P$2,"\","|")&amp;"|"&amp;"D"&amp; RIGHT($S$1,3)&amp;":="&amp;P4&amp;"NOT_LINK_BR"</f>
        <v>dREG_test|DPVX:=NOT_LINK_BR</v>
      </c>
      <c r="B13" s="446" t="str">
        <f>IFERROR(LEFT($S$3,FIND("+",$S$3,1)-1),"УДАЛИТЬ")</f>
        <v>3</v>
      </c>
      <c r="C13" s="455"/>
      <c r="D13" s="446"/>
      <c r="E13" s="764" t="str">
        <f ca="1">IF(OR(G8="M547A",G8="M548A")," OR (BR"&amp;B13&amp;".Err_"&amp;I8&amp;" =3)","")</f>
        <v xml:space="preserve"> OR (BR3.Err_Canal_02 =3)</v>
      </c>
      <c r="F13" s="446" t="s">
        <v>845</v>
      </c>
      <c r="G13" s="447"/>
      <c r="H13" s="447"/>
      <c r="I13" s="1"/>
      <c r="M13" s="424" t="str">
        <f>'Конфигурация TREI'!A14</f>
        <v>BR12</v>
      </c>
      <c r="N13" s="424" t="str">
        <f>'Конфигурация TREI'!B14</f>
        <v>M558D</v>
      </c>
      <c r="AE13" s="431">
        <f>Настройки!P13</f>
        <v>12</v>
      </c>
      <c r="AF13" s="380">
        <f>Настройки!Q13</f>
        <v>0</v>
      </c>
      <c r="AG13" s="380" t="str">
        <f>Настройки!R13</f>
        <v>IDIG_6_2</v>
      </c>
      <c r="AH13" s="380" t="str">
        <f>Настройки!S13</f>
        <v>IANS_6_4</v>
      </c>
      <c r="AI13" s="380" t="str">
        <f>Настройки!T13</f>
        <v>out11</v>
      </c>
      <c r="AJ13" s="380" t="str">
        <f>Настройки!U13</f>
        <v>out11</v>
      </c>
      <c r="AK13" s="380" t="str">
        <f>Настройки!V13</f>
        <v>ODIG_12</v>
      </c>
      <c r="AL13" s="380" t="str">
        <f>Настройки!W13</f>
        <v>-</v>
      </c>
      <c r="AM13" s="380" t="str">
        <f>Настройки!X13</f>
        <v>-</v>
      </c>
      <c r="AN13" s="380" t="str">
        <f>Настройки!Y13</f>
        <v>Canal_12</v>
      </c>
      <c r="AO13" s="380" t="str">
        <f>Настройки!Z13</f>
        <v>-</v>
      </c>
      <c r="AP13" s="380" t="str">
        <f>Настройки!AA13</f>
        <v>Canal_12</v>
      </c>
      <c r="AQ13" s="380" t="str">
        <f>Настройки!AB13</f>
        <v>Canal_12</v>
      </c>
      <c r="AR13" s="380" t="str">
        <f>Настройки!AC13</f>
        <v>OCCH[3]</v>
      </c>
      <c r="AS13" s="380" t="str">
        <f>Настройки!AD13</f>
        <v>OCCH[3]</v>
      </c>
      <c r="AT13" s="207" t="str">
        <f>Настройки!AB13</f>
        <v>Canal_12</v>
      </c>
      <c r="AU13" s="207" t="str">
        <f>Настройки!AC13</f>
        <v>OCCH[3]</v>
      </c>
      <c r="AV13" s="207" t="str">
        <f>Настройки!AD13</f>
        <v>OCCH[3]</v>
      </c>
      <c r="AW13" s="207" t="str">
        <f>Настройки!AE13</f>
        <v>IANS_6_2</v>
      </c>
      <c r="AX13" s="207" t="str">
        <f>Настройки!AF13</f>
        <v>IDIG_3_4</v>
      </c>
      <c r="AY13" s="207" t="str">
        <f>Настройки!AG13</f>
        <v>Canal_12</v>
      </c>
      <c r="AZ13" s="207" t="str">
        <f>Настройки!AH13</f>
        <v>Canal_12</v>
      </c>
      <c r="BA13" s="207" t="str">
        <f>Настройки!AI13</f>
        <v>Canal_12</v>
      </c>
      <c r="BB13" s="207" t="str">
        <f>Настройки!AJ13</f>
        <v>Canal_12</v>
      </c>
      <c r="BC13" s="207" t="str">
        <f>Настройки!AK13</f>
        <v>-</v>
      </c>
      <c r="BD13" s="207" t="str">
        <f>Настройки!AL13</f>
        <v>Canal_12</v>
      </c>
      <c r="BE13" s="207" t="str">
        <f>Настройки!AM13</f>
        <v>-</v>
      </c>
    </row>
    <row r="14" spans="1:57">
      <c r="A14" s="448" t="str">
        <f>SUBSTITUTE($P$2,"\","|")&amp;"|"&amp;"D"&amp; RIGHT($T$1,3)&amp;":="&amp;P4&amp;"NOT_LINK_BR"</f>
        <v>dREG_test|DCPX:=NOT_LINK_BR</v>
      </c>
      <c r="B14" s="446" t="str">
        <f>IFERROR(LEFT($T$3,FIND("+",$T$3,1)-1),"УДАЛИТЬ")</f>
        <v>3</v>
      </c>
      <c r="C14" s="455"/>
      <c r="D14" s="446"/>
      <c r="E14" s="764" t="str">
        <f ca="1">IF(OR(G9="M547A",G9="M548A")," OR (BR"&amp;B14&amp;".Err_"&amp;I9&amp;" = 3)","")</f>
        <v xml:space="preserve"> OR (BR3.Err_Canal_03 = 3)</v>
      </c>
      <c r="F14" s="446" t="s">
        <v>845</v>
      </c>
      <c r="G14" s="447"/>
      <c r="H14" s="447"/>
      <c r="I14" s="1"/>
      <c r="M14" s="424" t="str">
        <f>'Конфигурация TREI'!A15</f>
        <v>BR13</v>
      </c>
      <c r="N14" s="424" t="str">
        <f>'Конфигурация TREI'!B15</f>
        <v>M558D</v>
      </c>
      <c r="AE14" s="431">
        <f>Настройки!P14</f>
        <v>13</v>
      </c>
      <c r="AF14" s="380">
        <f>Настройки!Q14</f>
        <v>0</v>
      </c>
      <c r="AG14" s="380" t="str">
        <f>Настройки!R14</f>
        <v>IDIG_7_1</v>
      </c>
      <c r="AH14" s="380" t="str">
        <f>Настройки!S14</f>
        <v>IANS_7_3</v>
      </c>
      <c r="AI14" s="380" t="str">
        <f>Настройки!T14</f>
        <v>out12</v>
      </c>
      <c r="AJ14" s="380" t="str">
        <f>Настройки!U14</f>
        <v>out12</v>
      </c>
      <c r="AK14" s="380" t="str">
        <f>Настройки!V14</f>
        <v>ODIG_13</v>
      </c>
      <c r="AL14" s="380" t="str">
        <f>Настройки!W14</f>
        <v>-</v>
      </c>
      <c r="AM14" s="380" t="str">
        <f>Настройки!X14</f>
        <v>-</v>
      </c>
      <c r="AN14" s="380" t="str">
        <f>Настройки!Y14</f>
        <v>Canal_13</v>
      </c>
      <c r="AO14" s="380" t="str">
        <f>Настройки!Z14</f>
        <v>-</v>
      </c>
      <c r="AP14" s="380" t="str">
        <f>Настройки!AA14</f>
        <v>Canal_13</v>
      </c>
      <c r="AQ14" s="380" t="str">
        <f>Настройки!AB14</f>
        <v>Canal_13</v>
      </c>
      <c r="AR14" s="380" t="str">
        <f>Настройки!AC14</f>
        <v>OCCH[4]</v>
      </c>
      <c r="AS14" s="380" t="str">
        <f>Настройки!AD14</f>
        <v>OCCH[4]</v>
      </c>
      <c r="AT14" s="207" t="str">
        <f>Настройки!AB14</f>
        <v>Canal_13</v>
      </c>
      <c r="AU14" s="207" t="str">
        <f>Настройки!AC14</f>
        <v>OCCH[4]</v>
      </c>
      <c r="AV14" s="207" t="str">
        <f>Настройки!AD14</f>
        <v>OCCH[4]</v>
      </c>
      <c r="AW14" s="207" t="str">
        <f>Настройки!AE14</f>
        <v>IANS_7_1</v>
      </c>
      <c r="AX14" s="207" t="str">
        <f>Настройки!AF14</f>
        <v>IDIG_4_1</v>
      </c>
      <c r="AY14" s="207" t="str">
        <f>Настройки!AG14</f>
        <v>Canal_13</v>
      </c>
      <c r="AZ14" s="207" t="str">
        <f>Настройки!AH14</f>
        <v>Canal_13</v>
      </c>
      <c r="BA14" s="207" t="str">
        <f>Настройки!AI14</f>
        <v>Canal_13</v>
      </c>
      <c r="BB14" s="207" t="str">
        <f>Настройки!AJ14</f>
        <v>Canal_13</v>
      </c>
      <c r="BC14" s="207" t="str">
        <f>Настройки!AK14</f>
        <v>-</v>
      </c>
      <c r="BD14" s="207" t="str">
        <f>Настройки!AL14</f>
        <v>Canal_13</v>
      </c>
      <c r="BE14" s="207" t="str">
        <f>Настройки!AM14</f>
        <v>-</v>
      </c>
    </row>
    <row r="15" spans="1:57">
      <c r="A15" s="448" t="str">
        <f>SUBSTITUTE($P$2,"\","|")&amp;"|"&amp;"D"&amp; RIGHT($U$1,3)&amp;":="&amp;P4&amp;"NOT_LINK_BR"</f>
        <v>dREG_test|DLCX:=NOT_LINK_BR</v>
      </c>
      <c r="B15" s="448"/>
      <c r="C15" s="455"/>
      <c r="D15" s="446"/>
      <c r="E15" s="446" t="str">
        <f>IFERROR(LEFT($U$3,FIND("+",$U$3,1)-1),"УДАЛИТЬ")</f>
        <v>1</v>
      </c>
      <c r="F15" s="446" t="s">
        <v>845</v>
      </c>
      <c r="G15" s="447"/>
      <c r="H15" s="447"/>
      <c r="I15" s="1"/>
      <c r="M15" s="424" t="str">
        <f>'Конфигурация TREI'!A16</f>
        <v>BR14</v>
      </c>
      <c r="N15" s="424" t="str">
        <f>'Конфигурация TREI'!B16</f>
        <v>M558D</v>
      </c>
      <c r="AE15" s="431">
        <f>Настройки!P15</f>
        <v>14</v>
      </c>
      <c r="AF15" s="380">
        <f>Настройки!Q15</f>
        <v>0</v>
      </c>
      <c r="AG15" s="380" t="str">
        <f>Настройки!R15</f>
        <v>IDIG_7_2</v>
      </c>
      <c r="AH15" s="380" t="str">
        <f>Настройки!S15</f>
        <v>IANS_7_4</v>
      </c>
      <c r="AI15" s="380" t="str">
        <f>Настройки!T15</f>
        <v>out13</v>
      </c>
      <c r="AJ15" s="380" t="str">
        <f>Настройки!U15</f>
        <v>out13</v>
      </c>
      <c r="AK15" s="380" t="str">
        <f>Настройки!V15</f>
        <v>ODIG_14</v>
      </c>
      <c r="AL15" s="380" t="str">
        <f>Настройки!W15</f>
        <v>-</v>
      </c>
      <c r="AM15" s="380" t="str">
        <f>Настройки!X15</f>
        <v>-</v>
      </c>
      <c r="AN15" s="380" t="str">
        <f>Настройки!Y15</f>
        <v>Canal_14</v>
      </c>
      <c r="AO15" s="380" t="str">
        <f>Настройки!Z15</f>
        <v>-</v>
      </c>
      <c r="AP15" s="380" t="str">
        <f>Настройки!AA15</f>
        <v>Canal_14</v>
      </c>
      <c r="AQ15" s="380" t="str">
        <f>Настройки!AB15</f>
        <v>Canal_14</v>
      </c>
      <c r="AR15" s="380" t="str">
        <f>Настройки!AC15</f>
        <v>OCCH[5]</v>
      </c>
      <c r="AS15" s="380" t="str">
        <f>Настройки!AD15</f>
        <v>OCCH[5]</v>
      </c>
      <c r="AT15" s="207" t="str">
        <f>Настройки!AB15</f>
        <v>Canal_14</v>
      </c>
      <c r="AU15" s="207" t="str">
        <f>Настройки!AC15</f>
        <v>OCCH[5]</v>
      </c>
      <c r="AV15" s="207" t="str">
        <f>Настройки!AD15</f>
        <v>OCCH[5]</v>
      </c>
      <c r="AW15" s="207" t="str">
        <f>Настройки!AE15</f>
        <v>IANS_7_2</v>
      </c>
      <c r="AX15" s="207" t="str">
        <f>Настройки!AF15</f>
        <v>IDIG_4_2</v>
      </c>
      <c r="AY15" s="207" t="str">
        <f>Настройки!AG15</f>
        <v>Canal_14</v>
      </c>
      <c r="AZ15" s="207" t="str">
        <f>Настройки!AH15</f>
        <v>Canal_14</v>
      </c>
      <c r="BA15" s="207" t="str">
        <f>Настройки!AI15</f>
        <v>Canal_14</v>
      </c>
      <c r="BB15" s="207" t="str">
        <f>Настройки!AJ15</f>
        <v>Canal_14</v>
      </c>
      <c r="BC15" s="207" t="str">
        <f>Настройки!AK15</f>
        <v>-</v>
      </c>
      <c r="BD15" s="207" t="str">
        <f>Настройки!AL15</f>
        <v>Canal_14</v>
      </c>
      <c r="BE15" s="207" t="str">
        <f>Настройки!AM15</f>
        <v>-</v>
      </c>
    </row>
    <row r="16" spans="1:57">
      <c r="A16" s="448" t="str">
        <f>SUBSTITUTE($P$2,"\","|")&amp;"|"&amp;"D"&amp; RIGHT($V$1,3)&amp;":="&amp;P4&amp;"NOT_LINK_BR"</f>
        <v>dREG_test|DRCX:=NOT_LINK_BR</v>
      </c>
      <c r="B16" s="448"/>
      <c r="C16" s="455"/>
      <c r="D16" s="446"/>
      <c r="E16" s="446" t="str">
        <f>IFERROR(LEFT($V$3,FIND("+",$V$3,1)-1),"УДАЛИТЬ")</f>
        <v>1</v>
      </c>
      <c r="F16" s="446" t="s">
        <v>845</v>
      </c>
      <c r="G16" s="447"/>
      <c r="H16" s="447"/>
      <c r="I16" s="1"/>
      <c r="M16" s="424" t="str">
        <f>'Конфигурация TREI'!A17</f>
        <v>BR15</v>
      </c>
      <c r="N16" s="424" t="str">
        <f>'Конфигурация TREI'!B17</f>
        <v>M558O</v>
      </c>
      <c r="AE16" s="431">
        <f>Настройки!P16</f>
        <v>15</v>
      </c>
      <c r="AF16" s="380">
        <f>Настройки!Q16</f>
        <v>0</v>
      </c>
      <c r="AG16" s="380" t="str">
        <f>Настройки!R16</f>
        <v>IDIG_8_1</v>
      </c>
      <c r="AH16" s="380" t="str">
        <f>Настройки!S16</f>
        <v>IANS_8_3</v>
      </c>
      <c r="AI16" s="380" t="str">
        <f>Настройки!T16</f>
        <v>out14</v>
      </c>
      <c r="AJ16" s="380" t="str">
        <f>Настройки!U16</f>
        <v>out14</v>
      </c>
      <c r="AK16" s="380" t="str">
        <f>Настройки!V16</f>
        <v>ODIG_15</v>
      </c>
      <c r="AL16" s="380" t="str">
        <f>Настройки!W16</f>
        <v>-</v>
      </c>
      <c r="AM16" s="380" t="str">
        <f>Настройки!X16</f>
        <v>-</v>
      </c>
      <c r="AN16" s="380" t="str">
        <f>Настройки!Y16</f>
        <v>Canal_15</v>
      </c>
      <c r="AO16" s="380" t="str">
        <f>Настройки!Z16</f>
        <v>-</v>
      </c>
      <c r="AP16" s="380" t="str">
        <f>Настройки!AA16</f>
        <v>Canal_15</v>
      </c>
      <c r="AQ16" s="380" t="str">
        <f>Настройки!AB16</f>
        <v>Canal_15</v>
      </c>
      <c r="AR16" s="380" t="str">
        <f>Настройки!AC16</f>
        <v>OCCH[6]</v>
      </c>
      <c r="AS16" s="380" t="str">
        <f>Настройки!AD16</f>
        <v>OCCH[6]</v>
      </c>
      <c r="AT16" s="207" t="str">
        <f>Настройки!AB16</f>
        <v>Canal_15</v>
      </c>
      <c r="AU16" s="207" t="str">
        <f>Настройки!AC16</f>
        <v>OCCH[6]</v>
      </c>
      <c r="AV16" s="207" t="str">
        <f>Настройки!AD16</f>
        <v>OCCH[6]</v>
      </c>
      <c r="AW16" s="207" t="str">
        <f>Настройки!AE16</f>
        <v>IANS_8_1</v>
      </c>
      <c r="AX16" s="207" t="str">
        <f>Настройки!AF16</f>
        <v>IDIG_4_3</v>
      </c>
      <c r="AY16" s="207" t="str">
        <f>Настройки!AG16</f>
        <v>Canal_15</v>
      </c>
      <c r="AZ16" s="207" t="str">
        <f>Настройки!AH16</f>
        <v>Canal_15</v>
      </c>
      <c r="BA16" s="207" t="str">
        <f>Настройки!AI16</f>
        <v>Canal_15</v>
      </c>
      <c r="BB16" s="207" t="str">
        <f>Настройки!AJ16</f>
        <v>Canal_15</v>
      </c>
      <c r="BC16" s="207" t="str">
        <f>Настройки!AK16</f>
        <v>-</v>
      </c>
      <c r="BD16" s="207" t="str">
        <f>Настройки!AL16</f>
        <v>Canal_15</v>
      </c>
      <c r="BE16" s="207" t="str">
        <f>Настройки!AM16</f>
        <v>-</v>
      </c>
    </row>
    <row r="17" spans="1:57">
      <c r="A17" s="448" t="str">
        <f>SUBSTITUTE($P$2,"\","|")&amp;"|"&amp;"D"&amp; RIGHT($W$1,3)&amp;":="&amp;P4&amp;"NOT_LINK_BR"</f>
        <v>dREG_test|DFXX:=NOT_LINK_BR</v>
      </c>
      <c r="B17" s="448"/>
      <c r="C17" s="455"/>
      <c r="D17" s="446"/>
      <c r="E17" s="446" t="str">
        <f>IFERROR(LEFT($W$3,FIND("+",$W$3,1)-1),"УДАЛИТЬ")</f>
        <v>1</v>
      </c>
      <c r="F17" s="446" t="s">
        <v>845</v>
      </c>
      <c r="G17" s="447"/>
      <c r="H17" s="447"/>
      <c r="I17" s="1"/>
      <c r="M17" s="424" t="str">
        <f>'Конфигурация TREI'!A18</f>
        <v>BR16</v>
      </c>
      <c r="N17" s="424" t="str">
        <f>'Конфигурация TREI'!B18</f>
        <v>M558O</v>
      </c>
      <c r="AE17" s="431">
        <f>Настройки!P17</f>
        <v>16</v>
      </c>
      <c r="AF17" s="380">
        <f>Настройки!Q17</f>
        <v>0</v>
      </c>
      <c r="AG17" s="380" t="str">
        <f>Настройки!R17</f>
        <v>IDIG_8_2</v>
      </c>
      <c r="AH17" s="380" t="str">
        <f>Настройки!S17</f>
        <v>IANS_8_4</v>
      </c>
      <c r="AI17" s="380" t="str">
        <f>Настройки!T17</f>
        <v>out15</v>
      </c>
      <c r="AJ17" s="380" t="str">
        <f>Настройки!U17</f>
        <v>out15</v>
      </c>
      <c r="AK17" s="380" t="str">
        <f>Настройки!V17</f>
        <v>ODIG_16</v>
      </c>
      <c r="AL17" s="380" t="str">
        <f>Настройки!W17</f>
        <v>-</v>
      </c>
      <c r="AM17" s="380" t="str">
        <f>Настройки!X17</f>
        <v>-</v>
      </c>
      <c r="AN17" s="380" t="str">
        <f>Настройки!Y17</f>
        <v>Canal_16</v>
      </c>
      <c r="AO17" s="380" t="str">
        <f>Настройки!Z17</f>
        <v>-</v>
      </c>
      <c r="AP17" s="380" t="str">
        <f>Настройки!AA17</f>
        <v>Canal_16</v>
      </c>
      <c r="AQ17" s="380" t="str">
        <f>Настройки!AB17</f>
        <v>Canal_16</v>
      </c>
      <c r="AR17" s="380" t="str">
        <f>Настройки!AC17</f>
        <v>OCCH[7]</v>
      </c>
      <c r="AS17" s="380" t="str">
        <f>Настройки!AD17</f>
        <v>OCCH[7]</v>
      </c>
      <c r="AT17" s="207" t="str">
        <f>Настройки!AB17</f>
        <v>Canal_16</v>
      </c>
      <c r="AU17" s="207" t="str">
        <f>Настройки!AC17</f>
        <v>OCCH[7]</v>
      </c>
      <c r="AV17" s="207" t="str">
        <f>Настройки!AD17</f>
        <v>OCCH[7]</v>
      </c>
      <c r="AW17" s="207" t="str">
        <f>Настройки!AE17</f>
        <v>IANS_8_2</v>
      </c>
      <c r="AX17" s="207" t="str">
        <f>Настройки!AF17</f>
        <v>IDIG_4_4</v>
      </c>
      <c r="AY17" s="207" t="str">
        <f>Настройки!AG17</f>
        <v>Canal_16</v>
      </c>
      <c r="AZ17" s="207" t="str">
        <f>Настройки!AH17</f>
        <v>Canal_16</v>
      </c>
      <c r="BA17" s="207" t="str">
        <f>Настройки!AI17</f>
        <v>Canal_16</v>
      </c>
      <c r="BB17" s="207" t="str">
        <f>Настройки!AJ17</f>
        <v>Canal_16</v>
      </c>
      <c r="BC17" s="207" t="str">
        <f>Настройки!AK17</f>
        <v>-</v>
      </c>
      <c r="BD17" s="207" t="str">
        <f>Настройки!AL17</f>
        <v>Canal_16</v>
      </c>
      <c r="BE17" s="207" t="str">
        <f>Настройки!AM17</f>
        <v>-</v>
      </c>
    </row>
    <row r="18" spans="1:57">
      <c r="A18" s="82"/>
      <c r="B18" s="82"/>
      <c r="C18" s="11"/>
      <c r="D18" s="81"/>
      <c r="E18" s="81"/>
      <c r="F18" s="81"/>
      <c r="G18" s="445"/>
      <c r="H18" s="445"/>
      <c r="I18" s="1"/>
      <c r="M18" s="424" t="str">
        <f>'Конфигурация TREI'!A19</f>
        <v>BR17</v>
      </c>
      <c r="N18" s="424" t="str">
        <f>'Конфигурация TREI'!B19</f>
        <v>M558O</v>
      </c>
      <c r="AE18" s="428">
        <f>Настройки!P18</f>
        <v>17</v>
      </c>
      <c r="AF18" s="380">
        <f>Настройки!Q18</f>
        <v>0</v>
      </c>
      <c r="AG18" s="380" t="str">
        <f>Настройки!R18</f>
        <v>-</v>
      </c>
      <c r="AH18" s="380" t="str">
        <f>Настройки!S18</f>
        <v>-</v>
      </c>
      <c r="AI18" s="380" t="str">
        <f>Настройки!T18</f>
        <v>out16</v>
      </c>
      <c r="AJ18" s="380" t="str">
        <f>Настройки!U18</f>
        <v>out16</v>
      </c>
      <c r="AK18" s="380" t="str">
        <f>Настройки!V18</f>
        <v>-</v>
      </c>
      <c r="AL18" s="380" t="str">
        <f>Настройки!W18</f>
        <v>-</v>
      </c>
      <c r="AM18" s="380" t="str">
        <f>Настройки!X18</f>
        <v>-</v>
      </c>
      <c r="AN18" s="380" t="str">
        <f>Настройки!Y18</f>
        <v>-</v>
      </c>
      <c r="AO18" s="380" t="str">
        <f>Настройки!Z18</f>
        <v>-</v>
      </c>
      <c r="AP18" s="380" t="str">
        <f>Настройки!AA18</f>
        <v>Canal_17</v>
      </c>
      <c r="AQ18" s="380" t="str">
        <f>Настройки!AB18</f>
        <v>Canal_17</v>
      </c>
      <c r="AR18" s="380" t="str">
        <f>Настройки!AC18</f>
        <v>-</v>
      </c>
      <c r="AS18" s="380" t="str">
        <f>Настройки!AD18</f>
        <v>-</v>
      </c>
      <c r="AT18" s="207" t="str">
        <f>Настройки!AB18</f>
        <v>Canal_17</v>
      </c>
      <c r="AU18" s="207" t="str">
        <f>Настройки!AC18</f>
        <v>-</v>
      </c>
      <c r="AV18" s="207" t="str">
        <f>Настройки!AD18</f>
        <v>-</v>
      </c>
      <c r="AW18" s="207" t="str">
        <f>Настройки!AE18</f>
        <v>-</v>
      </c>
      <c r="AX18" s="207" t="str">
        <f>Настройки!AF18</f>
        <v>IDIG_5_1</v>
      </c>
      <c r="AY18" s="207" t="str">
        <f>Настройки!AG18</f>
        <v>Canal_17</v>
      </c>
      <c r="AZ18" s="207" t="str">
        <f>Настройки!AH18</f>
        <v>Canal_17</v>
      </c>
      <c r="BA18" s="207" t="str">
        <f>Настройки!AI18</f>
        <v>Canal_17</v>
      </c>
      <c r="BB18" s="207" t="str">
        <f>Настройки!AJ18</f>
        <v>-</v>
      </c>
      <c r="BC18" s="207" t="str">
        <f>Настройки!AK18</f>
        <v>-</v>
      </c>
      <c r="BD18" s="207" t="str">
        <f>Настройки!AL18</f>
        <v>Canal_17</v>
      </c>
      <c r="BE18" s="207" t="str">
        <f>Настройки!AM18</f>
        <v>-</v>
      </c>
    </row>
    <row r="19" spans="1:57">
      <c r="A19" s="82"/>
      <c r="B19" s="82"/>
      <c r="C19" s="11"/>
      <c r="D19" s="81"/>
      <c r="E19" s="81"/>
      <c r="F19" s="81"/>
      <c r="G19" s="445"/>
      <c r="H19" s="445"/>
      <c r="I19" s="1"/>
      <c r="M19" s="424" t="str">
        <f>'Конфигурация TREI'!A20</f>
        <v>BR18</v>
      </c>
      <c r="N19" s="424" t="str">
        <f>'Конфигурация TREI'!B20</f>
        <v>M558O</v>
      </c>
      <c r="AE19" s="428">
        <f>Настройки!P19</f>
        <v>18</v>
      </c>
      <c r="AF19" s="380">
        <f>Настройки!Q19</f>
        <v>0</v>
      </c>
      <c r="AG19" s="380" t="str">
        <f>Настройки!R19</f>
        <v>-</v>
      </c>
      <c r="AH19" s="380" t="str">
        <f>Настройки!S19</f>
        <v>-</v>
      </c>
      <c r="AI19" s="380" t="str">
        <f>Настройки!T19</f>
        <v>out17</v>
      </c>
      <c r="AJ19" s="380" t="str">
        <f>Настройки!U19</f>
        <v>out17</v>
      </c>
      <c r="AK19" s="380" t="str">
        <f>Настройки!V19</f>
        <v>-</v>
      </c>
      <c r="AL19" s="380" t="str">
        <f>Настройки!W19</f>
        <v>-</v>
      </c>
      <c r="AM19" s="380" t="str">
        <f>Настройки!X19</f>
        <v>-</v>
      </c>
      <c r="AN19" s="380" t="str">
        <f>Настройки!Y19</f>
        <v>-</v>
      </c>
      <c r="AO19" s="380" t="str">
        <f>Настройки!Z19</f>
        <v>-</v>
      </c>
      <c r="AP19" s="380" t="str">
        <f>Настройки!AA19</f>
        <v>Canal_18</v>
      </c>
      <c r="AQ19" s="380" t="str">
        <f>Настройки!AB19</f>
        <v>Canal_18</v>
      </c>
      <c r="AR19" s="380" t="str">
        <f>Настройки!AC19</f>
        <v>-</v>
      </c>
      <c r="AS19" s="380" t="str">
        <f>Настройки!AD19</f>
        <v>-</v>
      </c>
      <c r="AT19" s="207" t="str">
        <f>Настройки!AB19</f>
        <v>Canal_18</v>
      </c>
      <c r="AU19" s="207" t="str">
        <f>Настройки!AC19</f>
        <v>-</v>
      </c>
      <c r="AV19" s="207" t="str">
        <f>Настройки!AD19</f>
        <v>-</v>
      </c>
      <c r="AW19" s="207" t="str">
        <f>Настройки!AE19</f>
        <v>-</v>
      </c>
      <c r="AX19" s="207" t="str">
        <f>Настройки!AF19</f>
        <v>IDIG_5_2</v>
      </c>
      <c r="AY19" s="207" t="str">
        <f>Настройки!AG19</f>
        <v>Canal_18</v>
      </c>
      <c r="AZ19" s="207" t="str">
        <f>Настройки!AH19</f>
        <v>Canal_18</v>
      </c>
      <c r="BA19" s="207" t="str">
        <f>Настройки!AI19</f>
        <v>Canal_18</v>
      </c>
      <c r="BB19" s="207" t="str">
        <f>Настройки!AJ19</f>
        <v>-</v>
      </c>
      <c r="BC19" s="207" t="str">
        <f>Настройки!AK19</f>
        <v>-</v>
      </c>
      <c r="BD19" s="207" t="str">
        <f>Настройки!AL19</f>
        <v>Canal_18</v>
      </c>
      <c r="BE19" s="207" t="str">
        <f>Настройки!AM19</f>
        <v>-</v>
      </c>
    </row>
    <row r="20" spans="1:57">
      <c r="A20" s="82"/>
      <c r="B20" s="82"/>
      <c r="C20" s="11"/>
      <c r="D20" s="81"/>
      <c r="E20" s="81"/>
      <c r="F20" s="81"/>
      <c r="G20" s="445"/>
      <c r="H20" s="445"/>
      <c r="I20" s="1"/>
      <c r="M20" s="424" t="str">
        <f>'Конфигурация TREI'!A21</f>
        <v>BR19</v>
      </c>
      <c r="N20" s="424" t="str">
        <f>'Конфигурация TREI'!B21</f>
        <v>M558O</v>
      </c>
      <c r="AE20" s="428">
        <f>Настройки!P20</f>
        <v>19</v>
      </c>
      <c r="AF20" s="380">
        <f>Настройки!Q20</f>
        <v>0</v>
      </c>
      <c r="AG20" s="380" t="str">
        <f>Настройки!R20</f>
        <v>-</v>
      </c>
      <c r="AH20" s="380" t="str">
        <f>Настройки!S20</f>
        <v>-</v>
      </c>
      <c r="AI20" s="380" t="str">
        <f>Настройки!T20</f>
        <v>out18</v>
      </c>
      <c r="AJ20" s="380" t="str">
        <f>Настройки!U20</f>
        <v>out18</v>
      </c>
      <c r="AK20" s="380" t="str">
        <f>Настройки!V20</f>
        <v>-</v>
      </c>
      <c r="AL20" s="380" t="str">
        <f>Настройки!W20</f>
        <v>-</v>
      </c>
      <c r="AM20" s="380" t="str">
        <f>Настройки!X20</f>
        <v>-</v>
      </c>
      <c r="AN20" s="380" t="str">
        <f>Настройки!Y20</f>
        <v>-</v>
      </c>
      <c r="AO20" s="380" t="str">
        <f>Настройки!Z20</f>
        <v>-</v>
      </c>
      <c r="AP20" s="380" t="str">
        <f>Настройки!AA20</f>
        <v>Canal_19</v>
      </c>
      <c r="AQ20" s="380" t="str">
        <f>Настройки!AB20</f>
        <v>Canal_19</v>
      </c>
      <c r="AR20" s="380" t="str">
        <f>Настройки!AC20</f>
        <v>-</v>
      </c>
      <c r="AS20" s="380" t="str">
        <f>Настройки!AD20</f>
        <v>-</v>
      </c>
      <c r="AT20" s="207" t="str">
        <f>Настройки!AB20</f>
        <v>Canal_19</v>
      </c>
      <c r="AU20" s="207" t="str">
        <f>Настройки!AC20</f>
        <v>-</v>
      </c>
      <c r="AV20" s="207" t="str">
        <f>Настройки!AD20</f>
        <v>-</v>
      </c>
      <c r="AW20" s="207" t="str">
        <f>Настройки!AE20</f>
        <v>-</v>
      </c>
      <c r="AX20" s="207" t="str">
        <f>Настройки!AF20</f>
        <v>IDIG_5_3</v>
      </c>
      <c r="AY20" s="207" t="str">
        <f>Настройки!AG20</f>
        <v>Canal_19</v>
      </c>
      <c r="AZ20" s="207" t="str">
        <f>Настройки!AH20</f>
        <v>Canal_19</v>
      </c>
      <c r="BA20" s="207" t="str">
        <f>Настройки!AI20</f>
        <v>Canal_19</v>
      </c>
      <c r="BB20" s="207" t="str">
        <f>Настройки!AJ20</f>
        <v>-</v>
      </c>
      <c r="BC20" s="207" t="str">
        <f>Настройки!AK20</f>
        <v>-</v>
      </c>
      <c r="BD20" s="207" t="str">
        <f>Настройки!AL20</f>
        <v>Canal_19</v>
      </c>
      <c r="BE20" s="207" t="str">
        <f>Настройки!AM20</f>
        <v>-</v>
      </c>
    </row>
    <row r="21" spans="1:57">
      <c r="A21" s="82"/>
      <c r="B21" s="82"/>
      <c r="C21" s="11"/>
      <c r="D21" s="81"/>
      <c r="E21" s="81"/>
      <c r="F21" s="81"/>
      <c r="G21" s="445"/>
      <c r="H21" s="445"/>
      <c r="I21" s="1"/>
      <c r="M21" s="424" t="str">
        <f>'Конфигурация TREI'!A22</f>
        <v>BR20</v>
      </c>
      <c r="N21" s="424" t="str">
        <f>'Конфигурация TREI'!B22</f>
        <v>M558D</v>
      </c>
      <c r="AE21" s="428">
        <f>Настройки!P21</f>
        <v>20</v>
      </c>
      <c r="AF21" s="380">
        <f>Настройки!Q21</f>
        <v>0</v>
      </c>
      <c r="AG21" s="380" t="str">
        <f>Настройки!R21</f>
        <v>-</v>
      </c>
      <c r="AH21" s="380" t="str">
        <f>Настройки!S21</f>
        <v>-</v>
      </c>
      <c r="AI21" s="380" t="str">
        <f>Настройки!T21</f>
        <v>out19</v>
      </c>
      <c r="AJ21" s="380" t="str">
        <f>Настройки!U21</f>
        <v>out19</v>
      </c>
      <c r="AK21" s="380" t="str">
        <f>Настройки!V21</f>
        <v>-</v>
      </c>
      <c r="AL21" s="380" t="str">
        <f>Настройки!W21</f>
        <v>-</v>
      </c>
      <c r="AM21" s="380" t="str">
        <f>Настройки!X21</f>
        <v>-</v>
      </c>
      <c r="AN21" s="380" t="str">
        <f>Настройки!Y21</f>
        <v>-</v>
      </c>
      <c r="AO21" s="380" t="str">
        <f>Настройки!Z21</f>
        <v>-</v>
      </c>
      <c r="AP21" s="380" t="str">
        <f>Настройки!AA21</f>
        <v>Canal_20</v>
      </c>
      <c r="AQ21" s="380" t="str">
        <f>Настройки!AB21</f>
        <v>Canal_20</v>
      </c>
      <c r="AR21" s="380" t="str">
        <f>Настройки!AC21</f>
        <v>-</v>
      </c>
      <c r="AS21" s="380" t="str">
        <f>Настройки!AD21</f>
        <v>-</v>
      </c>
      <c r="AT21" s="207" t="str">
        <f>Настройки!AB21</f>
        <v>Canal_20</v>
      </c>
      <c r="AU21" s="207" t="str">
        <f>Настройки!AC21</f>
        <v>-</v>
      </c>
      <c r="AV21" s="207" t="str">
        <f>Настройки!AD21</f>
        <v>-</v>
      </c>
      <c r="AW21" s="207" t="str">
        <f>Настройки!AE21</f>
        <v>-</v>
      </c>
      <c r="AX21" s="207" t="str">
        <f>Настройки!AF21</f>
        <v>IDIG_5_4</v>
      </c>
      <c r="AY21" s="207" t="str">
        <f>Настройки!AG21</f>
        <v>Canal_20</v>
      </c>
      <c r="AZ21" s="207" t="str">
        <f>Настройки!AH21</f>
        <v>Canal_20</v>
      </c>
      <c r="BA21" s="207" t="str">
        <f>Настройки!AI21</f>
        <v>Canal_20</v>
      </c>
      <c r="BB21" s="207" t="str">
        <f>Настройки!AJ21</f>
        <v>-</v>
      </c>
      <c r="BC21" s="207" t="str">
        <f>Настройки!AK21</f>
        <v>-</v>
      </c>
      <c r="BD21" s="207" t="str">
        <f>Настройки!AL21</f>
        <v>Canal_20</v>
      </c>
      <c r="BE21" s="207" t="str">
        <f>Настройки!AM21</f>
        <v>-</v>
      </c>
    </row>
    <row r="22" spans="1:57">
      <c r="A22" s="82"/>
      <c r="B22" s="82"/>
      <c r="C22" s="11"/>
      <c r="D22" s="81"/>
      <c r="E22" s="81"/>
      <c r="F22" s="81"/>
      <c r="G22" s="445"/>
      <c r="H22" s="445"/>
      <c r="I22" s="1"/>
      <c r="M22" s="424" t="str">
        <f>'Конфигурация TREI'!A23</f>
        <v>BR21</v>
      </c>
      <c r="N22" s="424" t="str">
        <f>'Конфигурация TREI'!B23</f>
        <v>M558O</v>
      </c>
      <c r="AE22" s="428">
        <f>Настройки!P22</f>
        <v>21</v>
      </c>
      <c r="AF22" s="380">
        <f>Настройки!Q22</f>
        <v>0</v>
      </c>
      <c r="AG22" s="380" t="str">
        <f>Настройки!R22</f>
        <v>-</v>
      </c>
      <c r="AH22" s="380" t="str">
        <f>Настройки!S22</f>
        <v>-</v>
      </c>
      <c r="AI22" s="380" t="str">
        <f>Настройки!T22</f>
        <v>out20</v>
      </c>
      <c r="AJ22" s="380" t="str">
        <f>Настройки!U22</f>
        <v>out20</v>
      </c>
      <c r="AK22" s="380" t="str">
        <f>Настройки!V22</f>
        <v>-</v>
      </c>
      <c r="AL22" s="380" t="str">
        <f>Настройки!W22</f>
        <v>-</v>
      </c>
      <c r="AM22" s="380" t="str">
        <f>Настройки!X22</f>
        <v>-</v>
      </c>
      <c r="AN22" s="380" t="str">
        <f>Настройки!Y22</f>
        <v>-</v>
      </c>
      <c r="AO22" s="380" t="str">
        <f>Настройки!Z22</f>
        <v>-</v>
      </c>
      <c r="AP22" s="380" t="str">
        <f>Настройки!AA22</f>
        <v>Canal_21</v>
      </c>
      <c r="AQ22" s="380" t="str">
        <f>Настройки!AB22</f>
        <v>Canal_21</v>
      </c>
      <c r="AR22" s="380" t="str">
        <f>Настройки!AC22</f>
        <v>-</v>
      </c>
      <c r="AS22" s="380" t="str">
        <f>Настройки!AD22</f>
        <v>-</v>
      </c>
      <c r="AT22" s="207" t="str">
        <f>Настройки!AB22</f>
        <v>Canal_21</v>
      </c>
      <c r="AU22" s="207" t="str">
        <f>Настройки!AC22</f>
        <v>-</v>
      </c>
      <c r="AV22" s="207" t="str">
        <f>Настройки!AD22</f>
        <v>-</v>
      </c>
      <c r="AW22" s="207" t="str">
        <f>Настройки!AE22</f>
        <v>-</v>
      </c>
      <c r="AX22" s="207" t="str">
        <f>Настройки!AF22</f>
        <v>IDIG_6_1</v>
      </c>
      <c r="AY22" s="207" t="str">
        <f>Настройки!AG22</f>
        <v>Canal_21</v>
      </c>
      <c r="AZ22" s="207" t="str">
        <f>Настройки!AH22</f>
        <v>Canal_21</v>
      </c>
      <c r="BA22" s="207" t="str">
        <f>Настройки!AI22</f>
        <v>Canal_21</v>
      </c>
      <c r="BB22" s="207" t="str">
        <f>Настройки!AJ22</f>
        <v>-</v>
      </c>
      <c r="BC22" s="207" t="str">
        <f>Настройки!AK22</f>
        <v>-</v>
      </c>
      <c r="BD22" s="207" t="str">
        <f>Настройки!AL22</f>
        <v>Canal_21</v>
      </c>
      <c r="BE22" s="207" t="str">
        <f>Настройки!AM22</f>
        <v>-</v>
      </c>
    </row>
    <row r="23" spans="1:57">
      <c r="A23" s="82"/>
      <c r="B23" s="82"/>
      <c r="C23" s="11"/>
      <c r="D23" s="81"/>
      <c r="E23" s="81"/>
      <c r="F23" s="81"/>
      <c r="G23" s="445"/>
      <c r="H23" s="445"/>
      <c r="I23" s="1"/>
      <c r="M23" s="424" t="str">
        <f>'Конфигурация TREI'!A24</f>
        <v>BR22</v>
      </c>
      <c r="N23" s="424" t="str">
        <f>'Конфигурация TREI'!B24</f>
        <v>M558D</v>
      </c>
      <c r="AE23" s="428">
        <f>Настройки!P23</f>
        <v>22</v>
      </c>
      <c r="AF23" s="380">
        <f>Настройки!Q23</f>
        <v>0</v>
      </c>
      <c r="AG23" s="380" t="str">
        <f>Настройки!R23</f>
        <v>-</v>
      </c>
      <c r="AH23" s="380" t="str">
        <f>Настройки!S23</f>
        <v>-</v>
      </c>
      <c r="AI23" s="380" t="str">
        <f>Настройки!T23</f>
        <v>out21</v>
      </c>
      <c r="AJ23" s="380" t="str">
        <f>Настройки!U23</f>
        <v>out21</v>
      </c>
      <c r="AK23" s="380" t="str">
        <f>Настройки!V23</f>
        <v>-</v>
      </c>
      <c r="AL23" s="380" t="str">
        <f>Настройки!W23</f>
        <v>-</v>
      </c>
      <c r="AM23" s="380" t="str">
        <f>Настройки!X23</f>
        <v>-</v>
      </c>
      <c r="AN23" s="380" t="str">
        <f>Настройки!Y23</f>
        <v>-</v>
      </c>
      <c r="AO23" s="380" t="str">
        <f>Настройки!Z23</f>
        <v>-</v>
      </c>
      <c r="AP23" s="380" t="str">
        <f>Настройки!AA23</f>
        <v>Canal_22</v>
      </c>
      <c r="AQ23" s="380" t="str">
        <f>Настройки!AB23</f>
        <v>Canal_22</v>
      </c>
      <c r="AR23" s="380" t="str">
        <f>Настройки!AC23</f>
        <v>-</v>
      </c>
      <c r="AS23" s="380" t="str">
        <f>Настройки!AD23</f>
        <v>-</v>
      </c>
      <c r="AT23" s="207" t="str">
        <f>Настройки!AB23</f>
        <v>Canal_22</v>
      </c>
      <c r="AU23" s="207" t="str">
        <f>Настройки!AC23</f>
        <v>-</v>
      </c>
      <c r="AV23" s="207" t="str">
        <f>Настройки!AD23</f>
        <v>-</v>
      </c>
      <c r="AW23" s="207" t="str">
        <f>Настройки!AE23</f>
        <v>-</v>
      </c>
      <c r="AX23" s="207" t="str">
        <f>Настройки!AF23</f>
        <v>IDIG_6_2</v>
      </c>
      <c r="AY23" s="207" t="str">
        <f>Настройки!AG23</f>
        <v>Canal_22</v>
      </c>
      <c r="AZ23" s="207" t="str">
        <f>Настройки!AH23</f>
        <v>Canal_22</v>
      </c>
      <c r="BA23" s="207" t="str">
        <f>Настройки!AI23</f>
        <v>Canal_22</v>
      </c>
      <c r="BB23" s="207" t="str">
        <f>Настройки!AJ23</f>
        <v>-</v>
      </c>
      <c r="BC23" s="207" t="str">
        <f>Настройки!AK23</f>
        <v>-</v>
      </c>
      <c r="BD23" s="207" t="str">
        <f>Настройки!AL23</f>
        <v>Canal_22</v>
      </c>
      <c r="BE23" s="207" t="str">
        <f>Настройки!AM23</f>
        <v>-</v>
      </c>
    </row>
    <row r="24" spans="1:57">
      <c r="A24" s="82"/>
      <c r="B24" s="82"/>
      <c r="C24" s="11"/>
      <c r="D24" s="81"/>
      <c r="E24" s="81"/>
      <c r="F24" s="81"/>
      <c r="G24" s="445"/>
      <c r="H24" s="445"/>
      <c r="I24" s="1"/>
      <c r="M24" s="424" t="str">
        <f>'Конфигурация TREI'!A25</f>
        <v>BR23</v>
      </c>
      <c r="N24" s="424" t="str">
        <f>'Конфигурация TREI'!B25</f>
        <v>M558O</v>
      </c>
      <c r="AE24" s="428">
        <f>Настройки!P24</f>
        <v>23</v>
      </c>
      <c r="AF24" s="380">
        <f>Настройки!Q24</f>
        <v>0</v>
      </c>
      <c r="AG24" s="380" t="str">
        <f>Настройки!R24</f>
        <v>-</v>
      </c>
      <c r="AH24" s="380" t="str">
        <f>Настройки!S24</f>
        <v>-</v>
      </c>
      <c r="AI24" s="380" t="str">
        <f>Настройки!T24</f>
        <v>out22</v>
      </c>
      <c r="AJ24" s="380" t="str">
        <f>Настройки!U24</f>
        <v>out22</v>
      </c>
      <c r="AK24" s="380" t="str">
        <f>Настройки!V24</f>
        <v>-</v>
      </c>
      <c r="AL24" s="380" t="str">
        <f>Настройки!W24</f>
        <v>-</v>
      </c>
      <c r="AM24" s="380" t="str">
        <f>Настройки!X24</f>
        <v>-</v>
      </c>
      <c r="AN24" s="380" t="str">
        <f>Настройки!Y24</f>
        <v>-</v>
      </c>
      <c r="AO24" s="380" t="str">
        <f>Настройки!Z24</f>
        <v>-</v>
      </c>
      <c r="AP24" s="380" t="str">
        <f>Настройки!AA24</f>
        <v>Canal_23</v>
      </c>
      <c r="AQ24" s="380" t="str">
        <f>Настройки!AB24</f>
        <v>Canal_23</v>
      </c>
      <c r="AR24" s="380" t="str">
        <f>Настройки!AC24</f>
        <v>-</v>
      </c>
      <c r="AS24" s="380" t="str">
        <f>Настройки!AD24</f>
        <v>-</v>
      </c>
      <c r="AT24" s="207" t="str">
        <f>Настройки!AB24</f>
        <v>Canal_23</v>
      </c>
      <c r="AU24" s="207" t="str">
        <f>Настройки!AC24</f>
        <v>-</v>
      </c>
      <c r="AV24" s="207" t="str">
        <f>Настройки!AD24</f>
        <v>-</v>
      </c>
      <c r="AW24" s="207" t="str">
        <f>Настройки!AE24</f>
        <v>-</v>
      </c>
      <c r="AX24" s="207" t="str">
        <f>Настройки!AF24</f>
        <v>IDIG_6_3</v>
      </c>
      <c r="AY24" s="207" t="str">
        <f>Настройки!AG24</f>
        <v>Canal_23</v>
      </c>
      <c r="AZ24" s="207" t="str">
        <f>Настройки!AH24</f>
        <v>Canal_23</v>
      </c>
      <c r="BA24" s="207" t="str">
        <f>Настройки!AI24</f>
        <v>Canal_23</v>
      </c>
      <c r="BB24" s="207" t="str">
        <f>Настройки!AJ24</f>
        <v>-</v>
      </c>
      <c r="BC24" s="207" t="str">
        <f>Настройки!AK24</f>
        <v>-</v>
      </c>
      <c r="BD24" s="207" t="str">
        <f>Настройки!AL24</f>
        <v>Canal_23</v>
      </c>
      <c r="BE24" s="207" t="str">
        <f>Настройки!AM24</f>
        <v>-</v>
      </c>
    </row>
    <row r="25" spans="1:57">
      <c r="A25" s="82"/>
      <c r="B25" s="82"/>
      <c r="C25" s="11"/>
      <c r="D25" s="81"/>
      <c r="E25" s="81"/>
      <c r="F25" s="81"/>
      <c r="G25" s="445"/>
      <c r="H25" s="445"/>
      <c r="I25" s="1"/>
      <c r="M25" s="424" t="str">
        <f>'Конфигурация TREI'!A26</f>
        <v>BR24</v>
      </c>
      <c r="N25" s="424" t="str">
        <f>'Конфигурация TREI'!B26</f>
        <v>M558D</v>
      </c>
      <c r="AE25" s="428">
        <f>Настройки!P25</f>
        <v>24</v>
      </c>
      <c r="AF25" s="380">
        <f>Настройки!Q25</f>
        <v>0</v>
      </c>
      <c r="AG25" s="380" t="str">
        <f>Настройки!R25</f>
        <v>-</v>
      </c>
      <c r="AH25" s="380" t="str">
        <f>Настройки!S25</f>
        <v>-</v>
      </c>
      <c r="AI25" s="380" t="str">
        <f>Настройки!T25</f>
        <v>out23</v>
      </c>
      <c r="AJ25" s="380" t="str">
        <f>Настройки!U25</f>
        <v>out23</v>
      </c>
      <c r="AK25" s="380" t="str">
        <f>Настройки!V25</f>
        <v>-</v>
      </c>
      <c r="AL25" s="380" t="str">
        <f>Настройки!W25</f>
        <v>-</v>
      </c>
      <c r="AM25" s="380" t="str">
        <f>Настройки!X25</f>
        <v>-</v>
      </c>
      <c r="AN25" s="380" t="str">
        <f>Настройки!Y25</f>
        <v>-</v>
      </c>
      <c r="AO25" s="380" t="str">
        <f>Настройки!Z25</f>
        <v>-</v>
      </c>
      <c r="AP25" s="380" t="str">
        <f>Настройки!AA25</f>
        <v>Canal_24</v>
      </c>
      <c r="AQ25" s="380" t="str">
        <f>Настройки!AB25</f>
        <v>Canal_24</v>
      </c>
      <c r="AR25" s="380" t="str">
        <f>Настройки!AC25</f>
        <v>-</v>
      </c>
      <c r="AS25" s="380" t="str">
        <f>Настройки!AD25</f>
        <v>-</v>
      </c>
      <c r="AT25" s="207" t="str">
        <f>Настройки!AB25</f>
        <v>Canal_24</v>
      </c>
      <c r="AU25" s="207" t="str">
        <f>Настройки!AC25</f>
        <v>-</v>
      </c>
      <c r="AV25" s="207" t="str">
        <f>Настройки!AD25</f>
        <v>-</v>
      </c>
      <c r="AW25" s="207" t="str">
        <f>Настройки!AE25</f>
        <v>-</v>
      </c>
      <c r="AX25" s="207" t="str">
        <f>Настройки!AF25</f>
        <v>IDIG_6_4</v>
      </c>
      <c r="AY25" s="207" t="str">
        <f>Настройки!AG25</f>
        <v>Canal_24</v>
      </c>
      <c r="AZ25" s="207" t="str">
        <f>Настройки!AH25</f>
        <v>Canal_24</v>
      </c>
      <c r="BA25" s="207" t="str">
        <f>Настройки!AI25</f>
        <v>Canal_24</v>
      </c>
      <c r="BB25" s="207" t="str">
        <f>Настройки!AJ25</f>
        <v>-</v>
      </c>
      <c r="BC25" s="207" t="str">
        <f>Настройки!AK25</f>
        <v>-</v>
      </c>
      <c r="BD25" s="207" t="str">
        <f>Настройки!AL25</f>
        <v>Canal_24</v>
      </c>
      <c r="BE25" s="207" t="str">
        <f>Настройки!AM25</f>
        <v>-</v>
      </c>
    </row>
    <row r="26" spans="1:57">
      <c r="A26" s="82"/>
      <c r="B26" s="82"/>
      <c r="C26" s="11"/>
      <c r="D26" s="81"/>
      <c r="E26" s="81"/>
      <c r="F26" s="81"/>
      <c r="G26" s="445"/>
      <c r="H26" s="445"/>
      <c r="I26" s="1"/>
      <c r="M26" s="424" t="str">
        <f>'Конфигурация TREI'!A27</f>
        <v>BR25</v>
      </c>
      <c r="N26" s="424" t="str">
        <f>'Конфигурация TREI'!B27</f>
        <v>M558D</v>
      </c>
      <c r="AE26" s="428">
        <f>Настройки!P26</f>
        <v>25</v>
      </c>
      <c r="AF26" s="380">
        <f>Настройки!Q26</f>
        <v>0</v>
      </c>
      <c r="AG26" s="380" t="str">
        <f>Настройки!R26</f>
        <v>-</v>
      </c>
      <c r="AH26" s="380" t="str">
        <f>Настройки!S26</f>
        <v>-</v>
      </c>
      <c r="AI26" s="380" t="str">
        <f>Настройки!T26</f>
        <v>out24</v>
      </c>
      <c r="AJ26" s="380" t="str">
        <f>Настройки!U26</f>
        <v>out24</v>
      </c>
      <c r="AK26" s="380" t="str">
        <f>Настройки!V26</f>
        <v>-</v>
      </c>
      <c r="AL26" s="380" t="str">
        <f>Настройки!W26</f>
        <v>-</v>
      </c>
      <c r="AM26" s="380" t="str">
        <f>Настройки!X26</f>
        <v>-</v>
      </c>
      <c r="AN26" s="380" t="str">
        <f>Настройки!Y26</f>
        <v>-</v>
      </c>
      <c r="AO26" s="380" t="str">
        <f>Настройки!Z26</f>
        <v>-</v>
      </c>
      <c r="AP26" s="380" t="str">
        <f>Настройки!AA26</f>
        <v>Canal_25</v>
      </c>
      <c r="AQ26" s="380" t="str">
        <f>Настройки!AB26</f>
        <v>Canal_25</v>
      </c>
      <c r="AR26" s="380" t="str">
        <f>Настройки!AC26</f>
        <v>-</v>
      </c>
      <c r="AS26" s="380" t="str">
        <f>Настройки!AD26</f>
        <v>-</v>
      </c>
      <c r="AT26" s="207" t="str">
        <f>Настройки!AB26</f>
        <v>Canal_25</v>
      </c>
      <c r="AU26" s="207" t="str">
        <f>Настройки!AC26</f>
        <v>-</v>
      </c>
      <c r="AV26" s="207" t="str">
        <f>Настройки!AD26</f>
        <v>-</v>
      </c>
      <c r="AW26" s="207" t="str">
        <f>Настройки!AE26</f>
        <v>-</v>
      </c>
      <c r="AX26" s="207" t="str">
        <f>Настройки!AF26</f>
        <v>IDIG_7_1</v>
      </c>
      <c r="AY26" s="207" t="str">
        <f>Настройки!AG26</f>
        <v>Canal_25</v>
      </c>
      <c r="AZ26" s="207" t="str">
        <f>Настройки!AH26</f>
        <v>Canal_25</v>
      </c>
      <c r="BA26" s="207" t="str">
        <f>Настройки!AI26</f>
        <v>Canal_25</v>
      </c>
      <c r="BB26" s="207" t="str">
        <f>Настройки!AJ26</f>
        <v>-</v>
      </c>
      <c r="BC26" s="207" t="str">
        <f>Настройки!AK26</f>
        <v>-</v>
      </c>
      <c r="BD26" s="207" t="str">
        <f>Настройки!AL26</f>
        <v>Canal_25</v>
      </c>
      <c r="BE26" s="207" t="str">
        <f>Настройки!AM26</f>
        <v>-</v>
      </c>
    </row>
    <row r="27" spans="1:57">
      <c r="A27" s="82"/>
      <c r="B27" s="82"/>
      <c r="C27" s="11"/>
      <c r="D27" s="81"/>
      <c r="E27" s="81"/>
      <c r="F27" s="81"/>
      <c r="G27" s="445"/>
      <c r="H27" s="445"/>
      <c r="I27" s="1"/>
      <c r="M27" s="424" t="str">
        <f>'Конфигурация TREI'!A28</f>
        <v>BR26</v>
      </c>
      <c r="N27" s="424" t="str">
        <f>'Конфигурация TREI'!B28</f>
        <v>M558D</v>
      </c>
      <c r="AE27" s="428">
        <f>Настройки!P27</f>
        <v>26</v>
      </c>
      <c r="AF27" s="380">
        <f>Настройки!Q27</f>
        <v>0</v>
      </c>
      <c r="AG27" s="380" t="str">
        <f>Настройки!R27</f>
        <v>-</v>
      </c>
      <c r="AH27" s="380" t="str">
        <f>Настройки!S27</f>
        <v>-</v>
      </c>
      <c r="AI27" s="380" t="str">
        <f>Настройки!T27</f>
        <v>out25</v>
      </c>
      <c r="AJ27" s="380" t="str">
        <f>Настройки!U27</f>
        <v>out25</v>
      </c>
      <c r="AK27" s="380" t="str">
        <f>Настройки!V27</f>
        <v>-</v>
      </c>
      <c r="AL27" s="380" t="str">
        <f>Настройки!W27</f>
        <v>-</v>
      </c>
      <c r="AM27" s="380" t="str">
        <f>Настройки!X27</f>
        <v>-</v>
      </c>
      <c r="AN27" s="380" t="str">
        <f>Настройки!Y27</f>
        <v>-</v>
      </c>
      <c r="AO27" s="380" t="str">
        <f>Настройки!Z27</f>
        <v>-</v>
      </c>
      <c r="AP27" s="380" t="str">
        <f>Настройки!AA27</f>
        <v>Canal_26</v>
      </c>
      <c r="AQ27" s="380" t="str">
        <f>Настройки!AB27</f>
        <v>Canal_26</v>
      </c>
      <c r="AR27" s="380" t="str">
        <f>Настройки!AC27</f>
        <v>-</v>
      </c>
      <c r="AS27" s="380" t="str">
        <f>Настройки!AD27</f>
        <v>-</v>
      </c>
      <c r="AT27" s="207" t="str">
        <f>Настройки!AB27</f>
        <v>Canal_26</v>
      </c>
      <c r="AU27" s="207" t="str">
        <f>Настройки!AC27</f>
        <v>-</v>
      </c>
      <c r="AV27" s="207" t="str">
        <f>Настройки!AD27</f>
        <v>-</v>
      </c>
      <c r="AW27" s="207" t="str">
        <f>Настройки!AE27</f>
        <v>-</v>
      </c>
      <c r="AX27" s="207" t="str">
        <f>Настройки!AF27</f>
        <v>IDIG_7_2</v>
      </c>
      <c r="AY27" s="207" t="str">
        <f>Настройки!AG27</f>
        <v>Canal_26</v>
      </c>
      <c r="AZ27" s="207" t="str">
        <f>Настройки!AH27</f>
        <v>Canal_26</v>
      </c>
      <c r="BA27" s="207" t="str">
        <f>Настройки!AI27</f>
        <v>Canal_26</v>
      </c>
      <c r="BB27" s="207" t="str">
        <f>Настройки!AJ27</f>
        <v>-</v>
      </c>
      <c r="BC27" s="207" t="str">
        <f>Настройки!AK27</f>
        <v>-</v>
      </c>
      <c r="BD27" s="207" t="str">
        <f>Настройки!AL27</f>
        <v>Canal_26</v>
      </c>
      <c r="BE27" s="207" t="str">
        <f>Настройки!AM27</f>
        <v>-</v>
      </c>
    </row>
    <row r="28" spans="1:57">
      <c r="A28" s="82"/>
      <c r="B28" s="82"/>
      <c r="C28" s="11"/>
      <c r="D28" s="81"/>
      <c r="E28" s="81"/>
      <c r="F28" s="81"/>
      <c r="G28" s="445"/>
      <c r="H28" s="445"/>
      <c r="I28" s="1"/>
      <c r="M28" s="424" t="str">
        <f>'Конфигурация TREI'!A29</f>
        <v>BR27</v>
      </c>
      <c r="N28" s="424" t="str">
        <f>'Конфигурация TREI'!B29</f>
        <v>M558D</v>
      </c>
      <c r="AE28" s="428">
        <f>Настройки!P28</f>
        <v>27</v>
      </c>
      <c r="AF28" s="380">
        <f>Настройки!Q28</f>
        <v>0</v>
      </c>
      <c r="AG28" s="380" t="str">
        <f>Настройки!R28</f>
        <v>-</v>
      </c>
      <c r="AH28" s="380" t="str">
        <f>Настройки!S28</f>
        <v>-</v>
      </c>
      <c r="AI28" s="380" t="str">
        <f>Настройки!T28</f>
        <v>out26</v>
      </c>
      <c r="AJ28" s="380" t="str">
        <f>Настройки!U28</f>
        <v>out26</v>
      </c>
      <c r="AK28" s="380" t="str">
        <f>Настройки!V28</f>
        <v>-</v>
      </c>
      <c r="AL28" s="380" t="str">
        <f>Настройки!W28</f>
        <v>-</v>
      </c>
      <c r="AM28" s="380" t="str">
        <f>Настройки!X28</f>
        <v>-</v>
      </c>
      <c r="AN28" s="380" t="str">
        <f>Настройки!Y28</f>
        <v>-</v>
      </c>
      <c r="AO28" s="380" t="str">
        <f>Настройки!Z28</f>
        <v>-</v>
      </c>
      <c r="AP28" s="380" t="str">
        <f>Настройки!AA28</f>
        <v>Canal_27</v>
      </c>
      <c r="AQ28" s="380" t="str">
        <f>Настройки!AB28</f>
        <v>Canal_27</v>
      </c>
      <c r="AR28" s="380" t="str">
        <f>Настройки!AC28</f>
        <v>-</v>
      </c>
      <c r="AS28" s="380" t="str">
        <f>Настройки!AD28</f>
        <v>-</v>
      </c>
      <c r="AT28" s="207" t="str">
        <f>Настройки!AB28</f>
        <v>Canal_27</v>
      </c>
      <c r="AU28" s="207" t="str">
        <f>Настройки!AC28</f>
        <v>-</v>
      </c>
      <c r="AV28" s="207" t="str">
        <f>Настройки!AD28</f>
        <v>-</v>
      </c>
      <c r="AW28" s="207" t="str">
        <f>Настройки!AE28</f>
        <v>-</v>
      </c>
      <c r="AX28" s="207" t="str">
        <f>Настройки!AF28</f>
        <v>IDIG_7_3</v>
      </c>
      <c r="AY28" s="207" t="str">
        <f>Настройки!AG28</f>
        <v>Canal_27</v>
      </c>
      <c r="AZ28" s="207" t="str">
        <f>Настройки!AH28</f>
        <v>Canal_27</v>
      </c>
      <c r="BA28" s="207" t="str">
        <f>Настройки!AI28</f>
        <v>Canal_27</v>
      </c>
      <c r="BB28" s="207" t="str">
        <f>Настройки!AJ28</f>
        <v>-</v>
      </c>
      <c r="BC28" s="207" t="str">
        <f>Настройки!AK28</f>
        <v>-</v>
      </c>
      <c r="BD28" s="207" t="str">
        <f>Настройки!AL28</f>
        <v>Canal_27</v>
      </c>
      <c r="BE28" s="207" t="str">
        <f>Настройки!AM28</f>
        <v>-</v>
      </c>
    </row>
    <row r="29" spans="1:57">
      <c r="A29" s="82"/>
      <c r="B29" s="82"/>
      <c r="C29" s="11"/>
      <c r="D29" s="81"/>
      <c r="E29" s="81"/>
      <c r="F29" s="81"/>
      <c r="G29" s="445"/>
      <c r="H29" s="445"/>
      <c r="I29" s="1"/>
      <c r="M29" s="424" t="str">
        <f>'Конфигурация TREI'!A30</f>
        <v>BR28</v>
      </c>
      <c r="N29" s="424" t="str">
        <f>'Конфигурация TREI'!B30</f>
        <v>M558D</v>
      </c>
      <c r="AE29" s="428">
        <f>Настройки!P29</f>
        <v>28</v>
      </c>
      <c r="AF29" s="380">
        <f>Настройки!Q29</f>
        <v>0</v>
      </c>
      <c r="AG29" s="380" t="str">
        <f>Настройки!R29</f>
        <v>-</v>
      </c>
      <c r="AH29" s="380" t="str">
        <f>Настройки!S29</f>
        <v>-</v>
      </c>
      <c r="AI29" s="380" t="str">
        <f>Настройки!T29</f>
        <v>out27</v>
      </c>
      <c r="AJ29" s="380" t="str">
        <f>Настройки!U29</f>
        <v>out27</v>
      </c>
      <c r="AK29" s="380" t="str">
        <f>Настройки!V29</f>
        <v>-</v>
      </c>
      <c r="AL29" s="380" t="str">
        <f>Настройки!W29</f>
        <v>-</v>
      </c>
      <c r="AM29" s="380" t="str">
        <f>Настройки!X29</f>
        <v>-</v>
      </c>
      <c r="AN29" s="380" t="str">
        <f>Настройки!Y29</f>
        <v>-</v>
      </c>
      <c r="AO29" s="380" t="str">
        <f>Настройки!Z29</f>
        <v>-</v>
      </c>
      <c r="AP29" s="380" t="str">
        <f>Настройки!AA29</f>
        <v>Canal_28</v>
      </c>
      <c r="AQ29" s="380" t="str">
        <f>Настройки!AB29</f>
        <v>Canal_28</v>
      </c>
      <c r="AR29" s="380" t="str">
        <f>Настройки!AC29</f>
        <v>-</v>
      </c>
      <c r="AS29" s="380" t="str">
        <f>Настройки!AD29</f>
        <v>-</v>
      </c>
      <c r="AT29" s="207" t="str">
        <f>Настройки!AB29</f>
        <v>Canal_28</v>
      </c>
      <c r="AU29" s="207" t="str">
        <f>Настройки!AC29</f>
        <v>-</v>
      </c>
      <c r="AV29" s="207" t="str">
        <f>Настройки!AD29</f>
        <v>-</v>
      </c>
      <c r="AW29" s="207" t="str">
        <f>Настройки!AE29</f>
        <v>-</v>
      </c>
      <c r="AX29" s="207" t="str">
        <f>Настройки!AF29</f>
        <v>IDIG_7_4</v>
      </c>
      <c r="AY29" s="207" t="str">
        <f>Настройки!AG29</f>
        <v>Canal_28</v>
      </c>
      <c r="AZ29" s="207" t="str">
        <f>Настройки!AH29</f>
        <v>Canal_28</v>
      </c>
      <c r="BA29" s="207" t="str">
        <f>Настройки!AI29</f>
        <v>Canal_28</v>
      </c>
      <c r="BB29" s="207" t="str">
        <f>Настройки!AJ29</f>
        <v>-</v>
      </c>
      <c r="BC29" s="207" t="str">
        <f>Настройки!AK29</f>
        <v>-</v>
      </c>
      <c r="BD29" s="207" t="str">
        <f>Настройки!AL29</f>
        <v>Canal_28</v>
      </c>
      <c r="BE29" s="207" t="str">
        <f>Настройки!AM29</f>
        <v>-</v>
      </c>
    </row>
    <row r="30" spans="1:57">
      <c r="A30" s="1"/>
      <c r="B30" s="1"/>
      <c r="C30" s="1"/>
      <c r="D30" s="1"/>
      <c r="E30" s="1"/>
      <c r="F30" s="1"/>
      <c r="G30" s="1"/>
      <c r="H30" s="1"/>
      <c r="I30" s="1"/>
      <c r="M30" s="424" t="str">
        <f>'Конфигурация TREI'!A31</f>
        <v>BR29</v>
      </c>
      <c r="N30" s="424" t="str">
        <f>'Конфигурация TREI'!B31</f>
        <v>M558O</v>
      </c>
      <c r="AE30" s="428">
        <f>Настройки!P30</f>
        <v>29</v>
      </c>
      <c r="AF30" s="380">
        <f>Настройки!Q30</f>
        <v>0</v>
      </c>
      <c r="AG30" s="380" t="str">
        <f>Настройки!R30</f>
        <v>-</v>
      </c>
      <c r="AH30" s="380" t="str">
        <f>Настройки!S30</f>
        <v>-</v>
      </c>
      <c r="AI30" s="380" t="str">
        <f>Настройки!T30</f>
        <v>out28</v>
      </c>
      <c r="AJ30" s="380" t="str">
        <f>Настройки!U30</f>
        <v>out28</v>
      </c>
      <c r="AK30" s="380" t="str">
        <f>Настройки!V30</f>
        <v>-</v>
      </c>
      <c r="AL30" s="380" t="str">
        <f>Настройки!W30</f>
        <v>-</v>
      </c>
      <c r="AM30" s="380" t="str">
        <f>Настройки!X30</f>
        <v>-</v>
      </c>
      <c r="AN30" s="380" t="str">
        <f>Настройки!Y30</f>
        <v>-</v>
      </c>
      <c r="AO30" s="380" t="str">
        <f>Настройки!Z30</f>
        <v>-</v>
      </c>
      <c r="AP30" s="380" t="str">
        <f>Настройки!AA30</f>
        <v>Canal_29</v>
      </c>
      <c r="AQ30" s="380" t="str">
        <f>Настройки!AB30</f>
        <v>Canal_29</v>
      </c>
      <c r="AR30" s="380" t="str">
        <f>Настройки!AC30</f>
        <v>-</v>
      </c>
      <c r="AS30" s="380" t="str">
        <f>Настройки!AD30</f>
        <v>-</v>
      </c>
      <c r="AT30" s="207" t="str">
        <f>Настройки!AB30</f>
        <v>Canal_29</v>
      </c>
      <c r="AU30" s="207" t="str">
        <f>Настройки!AC30</f>
        <v>-</v>
      </c>
      <c r="AV30" s="207" t="str">
        <f>Настройки!AD30</f>
        <v>-</v>
      </c>
      <c r="AW30" s="207" t="str">
        <f>Настройки!AE30</f>
        <v>-</v>
      </c>
      <c r="AX30" s="207" t="str">
        <f>Настройки!AF30</f>
        <v>IDIG_8_1</v>
      </c>
      <c r="AY30" s="207" t="str">
        <f>Настройки!AG30</f>
        <v>Canal_29</v>
      </c>
      <c r="AZ30" s="207" t="str">
        <f>Настройки!AH30</f>
        <v>Canal_29</v>
      </c>
      <c r="BA30" s="207" t="str">
        <f>Настройки!AI30</f>
        <v>Canal_29</v>
      </c>
      <c r="BB30" s="207" t="str">
        <f>Настройки!AJ30</f>
        <v>-</v>
      </c>
      <c r="BC30" s="207" t="str">
        <f>Настройки!AK30</f>
        <v>-</v>
      </c>
      <c r="BD30" s="207" t="str">
        <f>Настройки!AL30</f>
        <v>Canal_29</v>
      </c>
      <c r="BE30" s="207" t="str">
        <f>Настройки!AM30</f>
        <v>-</v>
      </c>
    </row>
    <row r="31" spans="1:57">
      <c r="A31" s="82"/>
      <c r="B31" s="82"/>
      <c r="C31" s="81"/>
      <c r="D31" s="81"/>
      <c r="E31" s="81"/>
      <c r="F31" s="81"/>
      <c r="G31" s="445"/>
      <c r="H31" s="445"/>
      <c r="I31" s="1"/>
      <c r="M31" s="424" t="str">
        <f>'Конфигурация TREI'!A32</f>
        <v>BR30</v>
      </c>
      <c r="N31" s="424" t="str">
        <f>'Конфигурация TREI'!B32</f>
        <v>M558D</v>
      </c>
      <c r="AE31" s="428">
        <f>Настройки!P31</f>
        <v>30</v>
      </c>
      <c r="AF31" s="380">
        <f>Настройки!Q31</f>
        <v>0</v>
      </c>
      <c r="AG31" s="380" t="str">
        <f>Настройки!R31</f>
        <v>-</v>
      </c>
      <c r="AH31" s="380" t="str">
        <f>Настройки!S31</f>
        <v>-</v>
      </c>
      <c r="AI31" s="380" t="str">
        <f>Настройки!T31</f>
        <v>out29</v>
      </c>
      <c r="AJ31" s="380" t="str">
        <f>Настройки!U31</f>
        <v>out29</v>
      </c>
      <c r="AK31" s="380" t="str">
        <f>Настройки!V31</f>
        <v>-</v>
      </c>
      <c r="AL31" s="380" t="str">
        <f>Настройки!W31</f>
        <v>-</v>
      </c>
      <c r="AM31" s="380" t="str">
        <f>Настройки!X31</f>
        <v>-</v>
      </c>
      <c r="AN31" s="380" t="str">
        <f>Настройки!Y31</f>
        <v>-</v>
      </c>
      <c r="AO31" s="380" t="str">
        <f>Настройки!Z31</f>
        <v>-</v>
      </c>
      <c r="AP31" s="380" t="str">
        <f>Настройки!AA31</f>
        <v>Canal_30</v>
      </c>
      <c r="AQ31" s="380" t="str">
        <f>Настройки!AB31</f>
        <v>Canal_30</v>
      </c>
      <c r="AR31" s="380" t="str">
        <f>Настройки!AC31</f>
        <v>-</v>
      </c>
      <c r="AS31" s="380" t="str">
        <f>Настройки!AD31</f>
        <v>-</v>
      </c>
      <c r="AT31" s="207" t="str">
        <f>Настройки!AB31</f>
        <v>Canal_30</v>
      </c>
      <c r="AU31" s="207" t="str">
        <f>Настройки!AC31</f>
        <v>-</v>
      </c>
      <c r="AV31" s="207" t="str">
        <f>Настройки!AD31</f>
        <v>-</v>
      </c>
      <c r="AW31" s="207" t="str">
        <f>Настройки!AE31</f>
        <v>-</v>
      </c>
      <c r="AX31" s="207" t="str">
        <f>Настройки!AF31</f>
        <v>IDIG_8_2</v>
      </c>
      <c r="AY31" s="207" t="str">
        <f>Настройки!AG31</f>
        <v>Canal_30</v>
      </c>
      <c r="AZ31" s="207" t="str">
        <f>Настройки!AH31</f>
        <v>Canal_30</v>
      </c>
      <c r="BA31" s="207" t="str">
        <f>Настройки!AI31</f>
        <v>Canal_30</v>
      </c>
      <c r="BB31" s="207" t="str">
        <f>Настройки!AJ31</f>
        <v>-</v>
      </c>
      <c r="BC31" s="207" t="str">
        <f>Настройки!AK31</f>
        <v>-</v>
      </c>
      <c r="BD31" s="207" t="str">
        <f>Настройки!AL31</f>
        <v>Canal_30</v>
      </c>
      <c r="BE31" s="207" t="str">
        <f>Настройки!AM31</f>
        <v>-</v>
      </c>
    </row>
    <row r="32" spans="1:57">
      <c r="A32" s="82"/>
      <c r="B32" s="82"/>
      <c r="C32" s="81"/>
      <c r="D32" s="81"/>
      <c r="E32" s="81"/>
      <c r="F32" s="81"/>
      <c r="G32" s="445"/>
      <c r="H32" s="445"/>
      <c r="I32" s="1"/>
      <c r="M32" s="424" t="str">
        <f>'Конфигурация TREI'!A33</f>
        <v>BR31</v>
      </c>
      <c r="N32" s="424" t="str">
        <f>'Конфигурация TREI'!B33</f>
        <v>M558D</v>
      </c>
      <c r="AE32" s="428">
        <f>Настройки!P32</f>
        <v>31</v>
      </c>
      <c r="AF32" s="380">
        <f>Настройки!Q32</f>
        <v>0</v>
      </c>
      <c r="AG32" s="380" t="str">
        <f>Настройки!R32</f>
        <v>-</v>
      </c>
      <c r="AH32" s="380" t="str">
        <f>Настройки!S32</f>
        <v>-</v>
      </c>
      <c r="AI32" s="380" t="str">
        <f>Настройки!T32</f>
        <v>out30</v>
      </c>
      <c r="AJ32" s="380" t="str">
        <f>Настройки!U32</f>
        <v>out30</v>
      </c>
      <c r="AK32" s="380" t="str">
        <f>Настройки!V32</f>
        <v>-</v>
      </c>
      <c r="AL32" s="380" t="str">
        <f>Настройки!W32</f>
        <v>-</v>
      </c>
      <c r="AM32" s="380" t="str">
        <f>Настройки!X32</f>
        <v>-</v>
      </c>
      <c r="AN32" s="380" t="str">
        <f>Настройки!Y32</f>
        <v>-</v>
      </c>
      <c r="AO32" s="380" t="str">
        <f>Настройки!Z32</f>
        <v>-</v>
      </c>
      <c r="AP32" s="380" t="str">
        <f>Настройки!AA32</f>
        <v>Canal_31</v>
      </c>
      <c r="AQ32" s="380" t="str">
        <f>Настройки!AB32</f>
        <v>Canal_31</v>
      </c>
      <c r="AR32" s="380" t="str">
        <f>Настройки!AC32</f>
        <v>-</v>
      </c>
      <c r="AS32" s="380" t="str">
        <f>Настройки!AD32</f>
        <v>-</v>
      </c>
      <c r="AT32" s="207" t="str">
        <f>Настройки!AB32</f>
        <v>Canal_31</v>
      </c>
      <c r="AU32" s="207" t="str">
        <f>Настройки!AC32</f>
        <v>-</v>
      </c>
      <c r="AV32" s="207" t="str">
        <f>Настройки!AD32</f>
        <v>-</v>
      </c>
      <c r="AW32" s="207" t="str">
        <f>Настройки!AE32</f>
        <v>-</v>
      </c>
      <c r="AX32" s="207" t="str">
        <f>Настройки!AF32</f>
        <v>IDIG_8_3</v>
      </c>
      <c r="AY32" s="207" t="str">
        <f>Настройки!AG32</f>
        <v>Canal_31</v>
      </c>
      <c r="AZ32" s="207" t="str">
        <f>Настройки!AH32</f>
        <v>Canal_31</v>
      </c>
      <c r="BA32" s="207" t="str">
        <f>Настройки!AI32</f>
        <v>Canal_31</v>
      </c>
      <c r="BB32" s="207" t="str">
        <f>Настройки!AJ32</f>
        <v>-</v>
      </c>
      <c r="BC32" s="207" t="str">
        <f>Настройки!AK32</f>
        <v>-</v>
      </c>
      <c r="BD32" s="207" t="str">
        <f>Настройки!AL32</f>
        <v>Canal_31</v>
      </c>
      <c r="BE32" s="207" t="str">
        <f>Настройки!AM32</f>
        <v>-</v>
      </c>
    </row>
    <row r="33" spans="1:57">
      <c r="A33" s="82"/>
      <c r="B33" s="82"/>
      <c r="C33" s="81"/>
      <c r="D33" s="81"/>
      <c r="E33" s="81"/>
      <c r="F33" s="81"/>
      <c r="G33" s="445"/>
      <c r="H33" s="445"/>
      <c r="I33" s="1"/>
      <c r="M33" s="424" t="str">
        <f>'Конфигурация TREI'!A34</f>
        <v>BR32</v>
      </c>
      <c r="N33" s="424" t="str">
        <f>'Конфигурация TREI'!B34</f>
        <v>M558D</v>
      </c>
      <c r="AE33" s="620">
        <f>Настройки!P33</f>
        <v>32</v>
      </c>
      <c r="AF33" s="621">
        <f>Настройки!Q33</f>
        <v>0</v>
      </c>
      <c r="AG33" s="621" t="str">
        <f>Настройки!R33</f>
        <v>-</v>
      </c>
      <c r="AH33" s="621" t="str">
        <f>Настройки!S33</f>
        <v>-</v>
      </c>
      <c r="AI33" s="621" t="str">
        <f>Настройки!T33</f>
        <v>out31</v>
      </c>
      <c r="AJ33" s="621" t="str">
        <f>Настройки!U33</f>
        <v>out31</v>
      </c>
      <c r="AK33" s="621" t="str">
        <f>Настройки!V33</f>
        <v>-</v>
      </c>
      <c r="AL33" s="621" t="str">
        <f>Настройки!W33</f>
        <v>-</v>
      </c>
      <c r="AM33" s="621" t="str">
        <f>Настройки!X33</f>
        <v>-</v>
      </c>
      <c r="AN33" s="621" t="str">
        <f>Настройки!Y33</f>
        <v>-</v>
      </c>
      <c r="AO33" s="621" t="str">
        <f>Настройки!Z33</f>
        <v>-</v>
      </c>
      <c r="AP33" s="621" t="str">
        <f>Настройки!AA33</f>
        <v>Canal_32</v>
      </c>
      <c r="AQ33" s="621" t="str">
        <f>Настройки!AB33</f>
        <v>Canal_32</v>
      </c>
      <c r="AR33" s="621" t="str">
        <f>Настройки!AC33</f>
        <v>-</v>
      </c>
      <c r="AS33" s="621" t="str">
        <f>Настройки!AD33</f>
        <v>-</v>
      </c>
      <c r="AT33" s="622" t="str">
        <f>Настройки!AB33</f>
        <v>Canal_32</v>
      </c>
      <c r="AU33" s="622" t="str">
        <f>Настройки!AC33</f>
        <v>-</v>
      </c>
      <c r="AV33" s="622" t="str">
        <f>Настройки!AD33</f>
        <v>-</v>
      </c>
      <c r="AW33" s="622" t="str">
        <f>Настройки!AE33</f>
        <v>-</v>
      </c>
      <c r="AX33" s="622" t="str">
        <f>Настройки!AF33</f>
        <v>IDIG_8_4</v>
      </c>
      <c r="AY33" s="622" t="str">
        <f>Настройки!AG33</f>
        <v>Canal_32</v>
      </c>
      <c r="AZ33" s="622" t="str">
        <f>Настройки!AH33</f>
        <v>Canal_32</v>
      </c>
      <c r="BA33" s="622" t="str">
        <f>Настройки!AI33</f>
        <v>Canal_32</v>
      </c>
      <c r="BB33" s="622" t="str">
        <f>Настройки!AJ33</f>
        <v>-</v>
      </c>
      <c r="BC33" s="622" t="str">
        <f>Настройки!AK33</f>
        <v>-</v>
      </c>
      <c r="BD33" s="622" t="str">
        <f>Настройки!AL33</f>
        <v>Canal_32</v>
      </c>
      <c r="BE33" s="622" t="str">
        <f>Настройки!AM33</f>
        <v>-</v>
      </c>
    </row>
    <row r="34" spans="1:57">
      <c r="A34" s="82"/>
      <c r="B34" s="82"/>
      <c r="C34" s="81"/>
      <c r="D34" s="81"/>
      <c r="E34" s="81"/>
      <c r="F34" s="81"/>
      <c r="G34" s="445"/>
      <c r="H34" s="445"/>
      <c r="I34" s="1"/>
      <c r="M34" s="424" t="str">
        <f>'Конфигурация TREI'!A35</f>
        <v>BR33</v>
      </c>
      <c r="N34" s="424" t="str">
        <f>'Конфигурация TREI'!B35</f>
        <v>M558D</v>
      </c>
      <c r="AE34" s="624"/>
      <c r="AF34" s="624"/>
      <c r="AG34" s="624"/>
      <c r="AH34" s="624"/>
      <c r="AI34" s="624"/>
      <c r="AJ34" s="624"/>
      <c r="AK34" s="624"/>
      <c r="AL34" s="624"/>
      <c r="AM34" s="624"/>
      <c r="AN34" s="624"/>
      <c r="AO34" s="624"/>
      <c r="AP34" s="624"/>
      <c r="AQ34" s="624"/>
      <c r="AR34" s="624"/>
      <c r="AS34" s="624"/>
      <c r="AT34" s="625"/>
      <c r="AU34" s="625"/>
      <c r="AV34" s="625"/>
      <c r="AW34" s="625"/>
      <c r="AX34" s="625"/>
      <c r="AY34" s="625"/>
      <c r="AZ34" s="625"/>
      <c r="BA34" s="625"/>
      <c r="BB34" s="625"/>
      <c r="BC34" s="625"/>
      <c r="BD34" s="625"/>
      <c r="BE34" s="625"/>
    </row>
    <row r="35" spans="1:57">
      <c r="A35" s="82"/>
      <c r="B35" s="82"/>
      <c r="C35" s="81"/>
      <c r="D35" s="81"/>
      <c r="E35" s="81"/>
      <c r="F35" s="81"/>
      <c r="G35" s="445"/>
      <c r="H35" s="445"/>
      <c r="I35" s="1"/>
      <c r="M35" s="424" t="str">
        <f>'Конфигурация TREI'!A36</f>
        <v>BR34</v>
      </c>
      <c r="N35" s="424" t="str">
        <f>'Конфигурация TREI'!B36</f>
        <v>M558D</v>
      </c>
      <c r="AE35" s="505"/>
      <c r="AF35" s="505"/>
      <c r="AG35" s="505"/>
      <c r="AH35" s="505"/>
      <c r="AI35" s="505"/>
      <c r="AJ35" s="505"/>
      <c r="AK35" s="505"/>
      <c r="AL35" s="505"/>
      <c r="AM35" s="505"/>
      <c r="AN35" s="505"/>
      <c r="AO35" s="505"/>
      <c r="AP35" s="505"/>
      <c r="AQ35" s="505"/>
      <c r="AR35" s="505"/>
      <c r="AS35" s="505"/>
      <c r="AT35" s="623"/>
      <c r="AU35" s="623"/>
      <c r="AV35" s="623"/>
      <c r="AW35" s="623"/>
      <c r="AX35" s="623"/>
      <c r="AY35" s="623"/>
      <c r="AZ35" s="623"/>
      <c r="BA35" s="623"/>
      <c r="BB35" s="623"/>
      <c r="BC35" s="623"/>
      <c r="BD35" s="623"/>
      <c r="BE35" s="623"/>
    </row>
    <row r="36" spans="1:57">
      <c r="A36" s="82"/>
      <c r="B36" s="82"/>
      <c r="C36" s="81"/>
      <c r="D36" s="81"/>
      <c r="E36" s="81"/>
      <c r="F36" s="81"/>
      <c r="G36" s="445"/>
      <c r="H36" s="445"/>
      <c r="I36" s="1"/>
      <c r="M36" s="424" t="str">
        <f>'Конфигурация TREI'!A37</f>
        <v>BR35</v>
      </c>
      <c r="N36" s="424" t="str">
        <f>'Конфигурация TREI'!B37</f>
        <v>M558D</v>
      </c>
      <c r="AE36" s="505"/>
      <c r="AF36" s="505"/>
      <c r="AG36" s="505"/>
      <c r="AH36" s="505"/>
      <c r="AI36" s="505"/>
      <c r="AJ36" s="505"/>
      <c r="AK36" s="505"/>
      <c r="AL36" s="505"/>
      <c r="AM36" s="505"/>
      <c r="AN36" s="505"/>
      <c r="AO36" s="505"/>
      <c r="AP36" s="505"/>
      <c r="AQ36" s="505"/>
      <c r="AR36" s="505"/>
      <c r="AS36" s="505"/>
      <c r="AT36" s="623"/>
      <c r="AU36" s="623"/>
      <c r="AV36" s="623"/>
      <c r="AW36" s="623"/>
      <c r="AX36" s="623"/>
      <c r="AY36" s="623"/>
      <c r="AZ36" s="623"/>
      <c r="BA36" s="623"/>
      <c r="BB36" s="623"/>
      <c r="BC36" s="623"/>
      <c r="BD36" s="623"/>
      <c r="BE36" s="623"/>
    </row>
    <row r="37" spans="1:57" ht="15.75" customHeight="1">
      <c r="A37" s="82"/>
      <c r="B37" s="82"/>
      <c r="C37" s="81"/>
      <c r="D37" s="81"/>
      <c r="E37" s="81"/>
      <c r="F37" s="81"/>
      <c r="G37" s="445"/>
      <c r="H37" s="445"/>
      <c r="I37" s="1"/>
      <c r="M37" s="424" t="str">
        <f>'Конфигурация TREI'!A38</f>
        <v>BR36</v>
      </c>
      <c r="N37" s="424">
        <f>'Конфигурация TREI'!B38</f>
        <v>0</v>
      </c>
      <c r="AE37" s="505"/>
      <c r="AF37" s="505"/>
      <c r="AG37" s="505"/>
      <c r="AH37" s="505"/>
      <c r="AI37" s="505"/>
      <c r="AJ37" s="505"/>
      <c r="AK37" s="505"/>
      <c r="AL37" s="505"/>
      <c r="AM37" s="505"/>
      <c r="AN37" s="505"/>
      <c r="AO37" s="505"/>
      <c r="AP37" s="505"/>
      <c r="AQ37" s="505"/>
      <c r="AR37" s="505"/>
      <c r="AS37" s="505"/>
      <c r="AT37" s="623"/>
      <c r="AU37" s="623"/>
      <c r="AV37" s="623"/>
      <c r="AW37" s="623"/>
      <c r="AX37" s="623"/>
      <c r="AY37" s="623"/>
      <c r="AZ37" s="623"/>
      <c r="BA37" s="623"/>
      <c r="BB37" s="623"/>
      <c r="BC37" s="623"/>
      <c r="BD37" s="623"/>
      <c r="BE37" s="623"/>
    </row>
    <row r="38" spans="1:57">
      <c r="A38" s="82"/>
      <c r="B38" s="82"/>
      <c r="C38" s="81"/>
      <c r="D38" s="81"/>
      <c r="E38" s="81"/>
      <c r="F38" s="81"/>
      <c r="G38" s="445"/>
      <c r="H38" s="445"/>
      <c r="I38" s="1"/>
      <c r="M38" s="424" t="str">
        <f>'Конфигурация TREI'!A39</f>
        <v>BR37</v>
      </c>
      <c r="N38" s="424">
        <f>'Конфигурация TREI'!B39</f>
        <v>0</v>
      </c>
      <c r="AE38" s="505"/>
      <c r="AF38" s="505"/>
      <c r="AG38" s="505"/>
      <c r="AH38" s="505"/>
      <c r="AI38" s="505"/>
      <c r="AJ38" s="505"/>
      <c r="AK38" s="505"/>
      <c r="AL38" s="505"/>
      <c r="AM38" s="505"/>
      <c r="AN38" s="505"/>
      <c r="AO38" s="505"/>
      <c r="AP38" s="505"/>
      <c r="AQ38" s="505"/>
      <c r="AR38" s="505"/>
      <c r="AS38" s="505"/>
      <c r="AT38" s="623"/>
      <c r="AU38" s="623"/>
      <c r="AV38" s="623"/>
      <c r="AW38" s="623"/>
      <c r="AX38" s="623"/>
      <c r="AY38" s="623"/>
      <c r="AZ38" s="623"/>
      <c r="BA38" s="623"/>
      <c r="BB38" s="623"/>
      <c r="BC38" s="623"/>
      <c r="BD38" s="623"/>
      <c r="BE38" s="623"/>
    </row>
    <row r="39" spans="1:57">
      <c r="A39" s="82"/>
      <c r="B39" s="82"/>
      <c r="C39" s="81"/>
      <c r="D39" s="81"/>
      <c r="E39" s="81"/>
      <c r="F39" s="81"/>
      <c r="G39" s="445"/>
      <c r="H39" s="445"/>
      <c r="I39" s="1"/>
      <c r="M39" s="424" t="str">
        <f>'Конфигурация TREI'!A40</f>
        <v>BR38</v>
      </c>
      <c r="N39" s="424">
        <f>'Конфигурация TREI'!B40</f>
        <v>0</v>
      </c>
      <c r="AE39" s="505"/>
      <c r="AF39" s="505"/>
      <c r="AG39" s="505"/>
      <c r="AH39" s="505"/>
      <c r="AI39" s="505"/>
      <c r="AJ39" s="505"/>
      <c r="AK39" s="505"/>
      <c r="AL39" s="505"/>
      <c r="AM39" s="505"/>
      <c r="AN39" s="505"/>
      <c r="AO39" s="505"/>
      <c r="AP39" s="505"/>
      <c r="AQ39" s="505"/>
      <c r="AR39" s="505"/>
      <c r="AS39" s="505"/>
      <c r="AT39" s="623"/>
      <c r="AU39" s="623"/>
      <c r="AV39" s="623"/>
      <c r="AW39" s="623"/>
      <c r="AX39" s="623"/>
      <c r="AY39" s="623"/>
      <c r="AZ39" s="623"/>
      <c r="BA39" s="623"/>
      <c r="BB39" s="623"/>
      <c r="BC39" s="623"/>
      <c r="BD39" s="623"/>
      <c r="BE39" s="623"/>
    </row>
    <row r="40" spans="1:57">
      <c r="A40" s="82"/>
      <c r="B40" s="82"/>
      <c r="C40" s="81"/>
      <c r="D40" s="81"/>
      <c r="E40" s="81"/>
      <c r="F40" s="81"/>
      <c r="G40" s="445"/>
      <c r="H40" s="445"/>
      <c r="I40" s="1"/>
      <c r="M40" s="424" t="str">
        <f>'Конфигурация TREI'!A41</f>
        <v>BR39</v>
      </c>
      <c r="N40" s="424">
        <f>'Конфигурация TREI'!B41</f>
        <v>0</v>
      </c>
      <c r="AE40" s="505"/>
      <c r="AF40" s="505"/>
      <c r="AG40" s="505"/>
      <c r="AH40" s="505"/>
      <c r="AI40" s="505"/>
      <c r="AJ40" s="505"/>
      <c r="AK40" s="505"/>
      <c r="AL40" s="505"/>
      <c r="AM40" s="505"/>
      <c r="AN40" s="505"/>
      <c r="AO40" s="505"/>
      <c r="AP40" s="505"/>
      <c r="AQ40" s="505"/>
      <c r="AR40" s="505"/>
      <c r="AS40" s="505"/>
      <c r="AT40" s="623"/>
      <c r="AU40" s="623"/>
      <c r="AV40" s="623"/>
      <c r="AW40" s="623"/>
      <c r="AX40" s="623"/>
      <c r="AY40" s="623"/>
      <c r="AZ40" s="623"/>
      <c r="BA40" s="623"/>
      <c r="BB40" s="623"/>
      <c r="BC40" s="623"/>
      <c r="BD40" s="623"/>
      <c r="BE40" s="623"/>
    </row>
    <row r="41" spans="1:57">
      <c r="A41" s="82"/>
      <c r="B41" s="82"/>
      <c r="C41" s="81"/>
      <c r="D41" s="81"/>
      <c r="E41" s="81"/>
      <c r="F41" s="81"/>
      <c r="G41" s="445"/>
      <c r="H41" s="445"/>
      <c r="I41" s="1"/>
      <c r="M41" s="424" t="str">
        <f>'Конфигурация TREI'!A42</f>
        <v>BR40</v>
      </c>
      <c r="N41" s="424">
        <f>'Конфигурация TREI'!B42</f>
        <v>0</v>
      </c>
      <c r="AE41" s="505"/>
      <c r="AF41" s="505"/>
      <c r="AG41" s="505"/>
      <c r="AH41" s="505"/>
      <c r="AI41" s="505"/>
      <c r="AJ41" s="505"/>
      <c r="AK41" s="505"/>
      <c r="AL41" s="505"/>
      <c r="AM41" s="505"/>
      <c r="AN41" s="505"/>
      <c r="AO41" s="505"/>
      <c r="AP41" s="505"/>
      <c r="AQ41" s="505"/>
      <c r="AR41" s="505"/>
      <c r="AS41" s="505"/>
      <c r="AT41" s="623"/>
      <c r="AU41" s="623"/>
      <c r="AV41" s="623"/>
      <c r="AW41" s="623"/>
      <c r="AX41" s="623"/>
      <c r="AY41" s="623"/>
      <c r="AZ41" s="623"/>
      <c r="BA41" s="623"/>
      <c r="BB41" s="623"/>
      <c r="BC41" s="623"/>
      <c r="BD41" s="623"/>
      <c r="BE41" s="623"/>
    </row>
    <row r="42" spans="1:57">
      <c r="A42" s="82"/>
      <c r="B42" s="82"/>
      <c r="C42" s="81"/>
      <c r="D42" s="81"/>
      <c r="E42" s="81"/>
      <c r="F42" s="81"/>
      <c r="G42" s="445"/>
      <c r="H42" s="445"/>
      <c r="I42" s="1"/>
      <c r="M42" s="424" t="str">
        <f>'Конфигурация TREI'!A43</f>
        <v>BR41</v>
      </c>
      <c r="N42" s="424">
        <f>'Конфигурация TREI'!B43</f>
        <v>0</v>
      </c>
      <c r="AE42" s="505"/>
      <c r="AF42" s="505"/>
      <c r="AG42" s="505"/>
      <c r="AH42" s="505"/>
      <c r="AI42" s="505"/>
      <c r="AJ42" s="505"/>
      <c r="AK42" s="505"/>
      <c r="AL42" s="505"/>
      <c r="AM42" s="505"/>
      <c r="AN42" s="505"/>
      <c r="AO42" s="505"/>
      <c r="AP42" s="505"/>
      <c r="AQ42" s="505"/>
      <c r="AR42" s="505"/>
      <c r="AS42" s="505"/>
      <c r="AT42" s="623"/>
      <c r="AU42" s="623"/>
      <c r="AV42" s="623"/>
      <c r="AW42" s="623"/>
      <c r="AX42" s="623"/>
      <c r="AY42" s="623"/>
      <c r="AZ42" s="623"/>
      <c r="BA42" s="623"/>
      <c r="BB42" s="623"/>
      <c r="BC42" s="623"/>
      <c r="BD42" s="623"/>
      <c r="BE42" s="623"/>
    </row>
    <row r="43" spans="1:57">
      <c r="A43" s="82"/>
      <c r="B43" s="82"/>
      <c r="C43" s="81"/>
      <c r="D43" s="81"/>
      <c r="E43" s="81"/>
      <c r="F43" s="81"/>
      <c r="G43" s="445"/>
      <c r="H43" s="445"/>
      <c r="I43" s="1"/>
      <c r="M43" s="424" t="str">
        <f>'Конфигурация TREI'!A44</f>
        <v>BR42</v>
      </c>
      <c r="N43" s="424">
        <f>'Конфигурация TREI'!B44</f>
        <v>0</v>
      </c>
      <c r="AE43" s="505"/>
      <c r="AF43" s="505"/>
      <c r="AG43" s="505"/>
      <c r="AH43" s="505"/>
      <c r="AI43" s="505"/>
      <c r="AJ43" s="505"/>
      <c r="AK43" s="505"/>
      <c r="AL43" s="505"/>
      <c r="AM43" s="505"/>
      <c r="AN43" s="505"/>
      <c r="AO43" s="505"/>
      <c r="AP43" s="505"/>
      <c r="AQ43" s="505"/>
      <c r="AR43" s="505"/>
      <c r="AS43" s="505"/>
      <c r="AT43" s="623"/>
      <c r="AU43" s="623"/>
      <c r="AV43" s="623"/>
      <c r="AW43" s="623"/>
      <c r="AX43" s="623"/>
      <c r="AY43" s="623"/>
      <c r="AZ43" s="623"/>
      <c r="BA43" s="623"/>
      <c r="BB43" s="623"/>
      <c r="BC43" s="623"/>
      <c r="BD43" s="623"/>
      <c r="BE43" s="623"/>
    </row>
    <row r="44" spans="1:57">
      <c r="A44" s="82"/>
      <c r="B44" s="82"/>
      <c r="C44" s="81"/>
      <c r="D44" s="81"/>
      <c r="E44" s="81"/>
      <c r="F44" s="81"/>
      <c r="G44" s="445"/>
      <c r="H44" s="445"/>
      <c r="I44" s="1"/>
      <c r="M44" s="424" t="str">
        <f>'Конфигурация TREI'!A45</f>
        <v>BR43</v>
      </c>
      <c r="N44" s="424">
        <f>'Конфигурация TREI'!B45</f>
        <v>0</v>
      </c>
      <c r="AE44" s="505"/>
      <c r="AF44" s="505"/>
      <c r="AG44" s="505"/>
      <c r="AH44" s="505"/>
      <c r="AI44" s="505"/>
      <c r="AJ44" s="505"/>
      <c r="AK44" s="505"/>
      <c r="AL44" s="505"/>
      <c r="AM44" s="505"/>
      <c r="AN44" s="505"/>
      <c r="AO44" s="505"/>
      <c r="AP44" s="505"/>
      <c r="AQ44" s="505"/>
      <c r="AR44" s="505"/>
      <c r="AS44" s="505"/>
      <c r="AT44" s="623"/>
      <c r="AU44" s="623"/>
      <c r="AV44" s="623"/>
      <c r="AW44" s="623"/>
      <c r="AX44" s="623"/>
      <c r="AY44" s="623"/>
      <c r="AZ44" s="623"/>
      <c r="BA44" s="623"/>
      <c r="BB44" s="623"/>
      <c r="BC44" s="623"/>
      <c r="BD44" s="623"/>
      <c r="BE44" s="623"/>
    </row>
    <row r="45" spans="1:57">
      <c r="A45" s="82"/>
      <c r="B45" s="82"/>
      <c r="C45" s="81"/>
      <c r="D45" s="81"/>
      <c r="E45" s="81"/>
      <c r="F45" s="81"/>
      <c r="G45" s="445"/>
      <c r="H45" s="445"/>
      <c r="I45" s="1"/>
      <c r="M45" s="424" t="str">
        <f>'Конфигурация TREI'!A46</f>
        <v>BR44</v>
      </c>
      <c r="N45" s="424">
        <f>'Конфигурация TREI'!B46</f>
        <v>0</v>
      </c>
      <c r="AE45" s="505"/>
      <c r="AF45" s="505"/>
      <c r="AG45" s="505"/>
      <c r="AH45" s="505"/>
      <c r="AI45" s="505"/>
      <c r="AJ45" s="505"/>
      <c r="AK45" s="505"/>
      <c r="AL45" s="505"/>
      <c r="AM45" s="505"/>
      <c r="AN45" s="505"/>
      <c r="AO45" s="505"/>
      <c r="AP45" s="505"/>
      <c r="AQ45" s="505"/>
      <c r="AR45" s="505"/>
      <c r="AS45" s="505"/>
      <c r="AT45" s="623"/>
      <c r="AU45" s="623"/>
      <c r="AV45" s="623"/>
      <c r="AW45" s="623"/>
      <c r="AX45" s="623"/>
      <c r="AY45" s="623"/>
      <c r="AZ45" s="623"/>
      <c r="BA45" s="623"/>
      <c r="BB45" s="623"/>
      <c r="BC45" s="623"/>
      <c r="BD45" s="623"/>
      <c r="BE45" s="623"/>
    </row>
    <row r="46" spans="1:57">
      <c r="A46" s="82"/>
      <c r="B46" s="82"/>
      <c r="C46" s="81"/>
      <c r="D46" s="81"/>
      <c r="E46" s="81"/>
      <c r="F46" s="81"/>
      <c r="G46" s="445"/>
      <c r="H46" s="445"/>
      <c r="I46" s="1"/>
      <c r="M46" s="424" t="str">
        <f>'Конфигурация TREI'!A47</f>
        <v>BR45</v>
      </c>
      <c r="N46" s="424">
        <f>'Конфигурация TREI'!B47</f>
        <v>0</v>
      </c>
      <c r="AE46" s="505"/>
      <c r="AF46" s="505"/>
      <c r="AG46" s="505"/>
      <c r="AH46" s="505"/>
      <c r="AI46" s="505"/>
      <c r="AJ46" s="505"/>
      <c r="AK46" s="505"/>
      <c r="AL46" s="505"/>
      <c r="AM46" s="505"/>
      <c r="AN46" s="505"/>
      <c r="AO46" s="505"/>
      <c r="AP46" s="505"/>
      <c r="AQ46" s="505"/>
      <c r="AR46" s="505"/>
      <c r="AS46" s="505"/>
      <c r="AT46" s="623"/>
      <c r="AU46" s="623"/>
      <c r="AV46" s="623"/>
      <c r="AW46" s="623"/>
      <c r="AX46" s="623"/>
      <c r="AY46" s="623"/>
      <c r="AZ46" s="623"/>
      <c r="BA46" s="623"/>
      <c r="BB46" s="623"/>
      <c r="BC46" s="623"/>
      <c r="BD46" s="623"/>
      <c r="BE46" s="623"/>
    </row>
    <row r="47" spans="1:57">
      <c r="A47" s="82"/>
      <c r="B47" s="82"/>
      <c r="C47" s="81"/>
      <c r="D47" s="81"/>
      <c r="E47" s="81"/>
      <c r="F47" s="81"/>
      <c r="G47" s="445"/>
      <c r="H47" s="445"/>
      <c r="I47" s="1"/>
      <c r="M47" s="424" t="str">
        <f>'Конфигурация TREI'!A48</f>
        <v>BR46</v>
      </c>
      <c r="N47" s="424">
        <f>'Конфигурация TREI'!B48</f>
        <v>0</v>
      </c>
      <c r="AE47" s="505"/>
      <c r="AF47" s="505"/>
      <c r="AG47" s="505"/>
      <c r="AH47" s="505"/>
      <c r="AI47" s="505"/>
      <c r="AJ47" s="505"/>
      <c r="AK47" s="505"/>
      <c r="AL47" s="505"/>
      <c r="AM47" s="505"/>
      <c r="AN47" s="505"/>
      <c r="AO47" s="505"/>
      <c r="AP47" s="505"/>
      <c r="AQ47" s="505"/>
      <c r="AR47" s="505"/>
      <c r="AS47" s="505"/>
      <c r="AT47" s="623"/>
      <c r="AU47" s="623"/>
      <c r="AV47" s="623"/>
      <c r="AW47" s="623"/>
      <c r="AX47" s="623"/>
      <c r="AY47" s="623"/>
      <c r="AZ47" s="623"/>
      <c r="BA47" s="623"/>
      <c r="BB47" s="623"/>
      <c r="BC47" s="623"/>
      <c r="BD47" s="623"/>
      <c r="BE47" s="623"/>
    </row>
    <row r="48" spans="1:57">
      <c r="A48" s="82"/>
      <c r="B48" s="82"/>
      <c r="C48" s="81"/>
      <c r="D48" s="81"/>
      <c r="E48" s="81"/>
      <c r="F48" s="81"/>
      <c r="G48" s="445"/>
      <c r="H48" s="445"/>
      <c r="I48" s="1"/>
      <c r="M48" s="424" t="str">
        <f>'Конфигурация TREI'!A49</f>
        <v>BR47</v>
      </c>
      <c r="N48" s="424">
        <f>'Конфигурация TREI'!B49</f>
        <v>0</v>
      </c>
      <c r="AE48" s="505"/>
      <c r="AF48" s="505"/>
      <c r="AG48" s="505"/>
      <c r="AH48" s="505"/>
      <c r="AI48" s="505"/>
      <c r="AJ48" s="505"/>
      <c r="AK48" s="505"/>
      <c r="AL48" s="505"/>
      <c r="AM48" s="505"/>
      <c r="AN48" s="505"/>
      <c r="AO48" s="505"/>
      <c r="AP48" s="505"/>
      <c r="AQ48" s="505"/>
      <c r="AR48" s="505"/>
      <c r="AS48" s="505"/>
      <c r="AT48" s="623"/>
      <c r="AU48" s="623"/>
      <c r="AV48" s="623"/>
      <c r="AW48" s="623"/>
      <c r="AX48" s="623"/>
      <c r="AY48" s="623"/>
      <c r="AZ48" s="623"/>
      <c r="BA48" s="623"/>
      <c r="BB48" s="623"/>
      <c r="BC48" s="623"/>
      <c r="BD48" s="623"/>
      <c r="BE48" s="623"/>
    </row>
    <row r="49" spans="1:57">
      <c r="A49" s="1"/>
      <c r="B49" s="1"/>
      <c r="C49" s="1"/>
      <c r="D49" s="1"/>
      <c r="E49" s="1"/>
      <c r="F49" s="1"/>
      <c r="G49" s="1"/>
      <c r="H49" s="1"/>
      <c r="I49" s="1"/>
      <c r="M49" s="424" t="str">
        <f>'Конфигурация TREI'!A50</f>
        <v>BR48</v>
      </c>
      <c r="N49" s="424">
        <f>'Конфигурация TREI'!B50</f>
        <v>0</v>
      </c>
      <c r="AE49" s="505"/>
      <c r="AF49" s="505"/>
      <c r="AG49" s="505"/>
      <c r="AH49" s="505"/>
      <c r="AI49" s="505"/>
      <c r="AJ49" s="505"/>
      <c r="AK49" s="505"/>
      <c r="AL49" s="505"/>
      <c r="AM49" s="505"/>
      <c r="AN49" s="505"/>
      <c r="AO49" s="505"/>
      <c r="AP49" s="505"/>
      <c r="AQ49" s="505"/>
      <c r="AR49" s="505"/>
      <c r="AS49" s="505"/>
      <c r="AT49" s="623"/>
      <c r="AU49" s="623"/>
      <c r="AV49" s="623"/>
      <c r="AW49" s="623"/>
      <c r="AX49" s="623"/>
      <c r="AY49" s="623"/>
      <c r="AZ49" s="623"/>
      <c r="BA49" s="623"/>
      <c r="BB49" s="623"/>
      <c r="BC49" s="623"/>
      <c r="BD49" s="623"/>
      <c r="BE49" s="623"/>
    </row>
    <row r="50" spans="1:57" s="4" customFormat="1">
      <c r="A50" s="446" t="str">
        <f>"//*********** "&amp;Q2&amp;" ***********"</f>
        <v>//*********** Дискретный регулятор FB с буферизацией ***********</v>
      </c>
      <c r="B50" s="446"/>
      <c r="C50" s="446"/>
      <c r="D50" s="446"/>
      <c r="E50" s="446"/>
      <c r="F50" s="446" t="s">
        <v>1031</v>
      </c>
      <c r="G50" s="489"/>
      <c r="H50" s="489"/>
      <c r="I50" s="490"/>
      <c r="J50" s="490" t="s">
        <v>1311</v>
      </c>
      <c r="K50" s="490" t="s">
        <v>1309</v>
      </c>
      <c r="L50" s="491" t="s">
        <v>1310</v>
      </c>
      <c r="M50" s="424" t="str">
        <f>'Конфигурация TREI'!A51</f>
        <v>BR49</v>
      </c>
      <c r="N50" s="424">
        <f>'Конфигурация TREI'!B51</f>
        <v>0</v>
      </c>
      <c r="R50" s="381"/>
      <c r="S50" s="381"/>
      <c r="T50" s="381"/>
      <c r="U50" s="381"/>
      <c r="V50" s="381"/>
      <c r="W50" s="381"/>
      <c r="X50" s="381"/>
      <c r="Y50" s="381"/>
      <c r="Z50" s="381"/>
      <c r="AA50" s="381"/>
      <c r="AB50" s="381"/>
      <c r="AC50" s="381"/>
      <c r="AD50" s="381"/>
      <c r="AE50" s="505"/>
      <c r="AF50" s="505"/>
      <c r="AG50" s="505"/>
      <c r="AH50" s="505"/>
      <c r="AI50" s="505"/>
      <c r="AJ50" s="505"/>
      <c r="AK50" s="505"/>
      <c r="AL50" s="505"/>
      <c r="AM50" s="505"/>
      <c r="AN50" s="505"/>
      <c r="AO50" s="505"/>
      <c r="AP50" s="505"/>
      <c r="AQ50" s="505"/>
      <c r="AR50" s="505"/>
      <c r="AS50" s="505"/>
      <c r="AT50" s="623"/>
      <c r="AU50" s="623"/>
      <c r="AV50" s="623"/>
      <c r="AW50" s="623"/>
      <c r="AX50" s="623"/>
      <c r="AY50" s="623"/>
      <c r="AZ50" s="623"/>
      <c r="BA50" s="623"/>
      <c r="BB50" s="623"/>
      <c r="BC50" s="623"/>
      <c r="BD50" s="623"/>
      <c r="BE50" s="623"/>
    </row>
    <row r="51" spans="1:57">
      <c r="A51" s="457"/>
      <c r="B51" s="457" t="s">
        <v>1213</v>
      </c>
      <c r="C51" s="455" t="str">
        <f>LEFT($L51,FIND("+",$L51,1)-1)</f>
        <v>4</v>
      </c>
      <c r="D51" s="455" t="s">
        <v>178</v>
      </c>
      <c r="E51" s="446" t="str">
        <f ca="1">IFERROR(IF(OR($I51="-", $H51="0"),"КАНАЛ ОТСУТСТВУЕТ",IF($I51=0,"МОДУЛЬ ОТСУТСТВУЕТ",IF(LEFT($I51,3)="out","УДАЛИТЬ",I51))),IF($K51=0,"УДАЛИТЬ","ОШИБКА ФОРМАТА"))</f>
        <v>Canal_01</v>
      </c>
      <c r="F51" s="455" t="str">
        <f>" :="&amp;IF(LEFT(SUBSTITUTE($K51," ",""),1)="!","NOT  ","")&amp;SUBSTITUTE($P$2,"\","|")&amp;"|"&amp; $J51 &amp;";"</f>
        <v xml:space="preserve"> :=dREG_test|OCAX;</v>
      </c>
      <c r="G51" s="445" t="str">
        <f>INDEX($N$2:$N$61,C51)</f>
        <v>M558D</v>
      </c>
      <c r="H51" s="445" t="str">
        <f>RIGHT($L51,LEN($L51)-FIND("+",$L51,1))</f>
        <v>1</v>
      </c>
      <c r="I51" s="460" t="str">
        <f ca="1">INDIRECT(ADDRESS($H51+1,MATCH($G51,$1:$1,),1))</f>
        <v>Canal_01</v>
      </c>
      <c r="J51" s="502" t="str">
        <f>$X$1</f>
        <v>OCAX</v>
      </c>
      <c r="K51" s="503" t="str">
        <f>$X$2</f>
        <v>4+1</v>
      </c>
      <c r="L51" s="504" t="str">
        <f>$X$3</f>
        <v>4+1</v>
      </c>
      <c r="M51" s="424" t="str">
        <f>'Конфигурация TREI'!A52</f>
        <v>BR50</v>
      </c>
      <c r="N51" s="424">
        <f>'Конфигурация TREI'!B52</f>
        <v>0</v>
      </c>
      <c r="AE51" s="505"/>
      <c r="AF51" s="505"/>
      <c r="AG51" s="505"/>
      <c r="AH51" s="505"/>
      <c r="AI51" s="505"/>
      <c r="AJ51" s="505"/>
      <c r="AK51" s="505"/>
      <c r="AL51" s="505"/>
      <c r="AM51" s="505"/>
      <c r="AN51" s="505"/>
      <c r="AO51" s="505"/>
      <c r="AP51" s="505"/>
      <c r="AQ51" s="505"/>
      <c r="AR51" s="505"/>
      <c r="AS51" s="505"/>
      <c r="AT51" s="623"/>
      <c r="AU51" s="623"/>
      <c r="AV51" s="623"/>
      <c r="AW51" s="623"/>
      <c r="AX51" s="623"/>
      <c r="AY51" s="623"/>
      <c r="AZ51" s="623"/>
      <c r="BA51" s="623"/>
      <c r="BB51" s="623"/>
      <c r="BC51" s="623"/>
      <c r="BD51" s="623"/>
      <c r="BE51" s="623"/>
    </row>
    <row r="52" spans="1:57">
      <c r="A52" s="457"/>
      <c r="B52" s="457" t="s">
        <v>1213</v>
      </c>
      <c r="C52" s="455" t="str">
        <f>LEFT($L52,FIND("+",$L52,1)-1)</f>
        <v>4</v>
      </c>
      <c r="D52" s="455"/>
      <c r="E52" s="446" t="str">
        <f ca="1">IFERROR(IF(OR($I51="-", $H51="0"),"КАНАЛ ОТСУТСТВУЕТ",IF($I51=0,"МОДУЛЬ ОТСУТСТВУЕТ",IF(LEFT($I51,3)="out",".ODIG_MASK:=SETBIT("&amp;IF(LEFT(SUBSTITUTE($K51," ",""),1)="!","NOT  ","")&amp;SUBSTITUTE($P$2,"\","|")&amp;"|"&amp; $J51&amp;"@"&amp;REPLACE($I51,1,3,"")&amp;"@BR"&amp;$C51,"УДАЛИТЬ"))),"УДАЛИТЬ")</f>
        <v>УДАЛИТЬ</v>
      </c>
      <c r="F52" s="455" t="str">
        <f>".ODIG_MASK);"</f>
        <v>.ODIG_MASK);</v>
      </c>
      <c r="G52" s="445" t="str">
        <f>INDEX($N$2:$N$61,C52)</f>
        <v>M558D</v>
      </c>
      <c r="H52" s="445" t="str">
        <f>RIGHT($L52,LEN($L52)-FIND("+",$L52,1))</f>
        <v>1</v>
      </c>
      <c r="I52" s="460" t="str">
        <f ca="1">INDIRECT(ADDRESS($H52+1,MATCH($G52,$1:$1,),1))</f>
        <v>Canal_01</v>
      </c>
      <c r="J52" s="502" t="str">
        <f>$X$1</f>
        <v>OCAX</v>
      </c>
      <c r="K52" s="503" t="str">
        <f>$X$2</f>
        <v>4+1</v>
      </c>
      <c r="L52" s="504" t="str">
        <f>$X$3</f>
        <v>4+1</v>
      </c>
      <c r="M52" s="424" t="str">
        <f>'Конфигурация TREI'!A53</f>
        <v>BR51</v>
      </c>
      <c r="N52" s="424">
        <f>'Конфигурация TREI'!B53</f>
        <v>0</v>
      </c>
      <c r="AE52" s="505"/>
      <c r="AF52" s="505"/>
      <c r="AG52" s="505"/>
      <c r="AH52" s="505"/>
      <c r="AI52" s="505"/>
      <c r="AJ52" s="505"/>
      <c r="AK52" s="505"/>
      <c r="AL52" s="505"/>
      <c r="AM52" s="505"/>
      <c r="AN52" s="505"/>
      <c r="AO52" s="505"/>
      <c r="AP52" s="505"/>
      <c r="AQ52" s="505"/>
      <c r="AR52" s="505"/>
      <c r="AS52" s="505"/>
      <c r="AT52" s="623"/>
      <c r="AU52" s="623"/>
      <c r="AV52" s="623"/>
      <c r="AW52" s="623"/>
      <c r="AX52" s="623"/>
      <c r="AY52" s="623"/>
      <c r="AZ52" s="623"/>
      <c r="BA52" s="623"/>
      <c r="BB52" s="623"/>
      <c r="BC52" s="623"/>
      <c r="BD52" s="623"/>
      <c r="BE52" s="623"/>
    </row>
    <row r="53" spans="1:57">
      <c r="A53" s="457" t="str">
        <f>SUBSTITUTE($P$2,"\","|")&amp;"|"&amp;"DCAX:="&amp;P4&amp;"NOT_LINK_BR"</f>
        <v>dREG_test|DCAX:=NOT_LINK_BR</v>
      </c>
      <c r="B53" s="455" t="str">
        <f>IFERROR(LEFT($L53,FIND("+",$L53,1)-1),"УДАЛИТЬ")</f>
        <v>4</v>
      </c>
      <c r="C53" s="455"/>
      <c r="D53" s="455"/>
      <c r="E53" s="764" t="str">
        <f>IF(OR(G51="M537V",G51="M538V")," OR (BR"&amp;B53&amp;".Err_"&amp;I51&amp;" =3)","")</f>
        <v/>
      </c>
      <c r="F53" s="455" t="s">
        <v>845</v>
      </c>
      <c r="G53" s="445"/>
      <c r="H53" s="445"/>
      <c r="I53" s="459"/>
      <c r="J53" s="502" t="str">
        <f>$X$1</f>
        <v>OCAX</v>
      </c>
      <c r="K53" s="503" t="str">
        <f>$X$2</f>
        <v>4+1</v>
      </c>
      <c r="L53" s="504" t="str">
        <f>$X$3</f>
        <v>4+1</v>
      </c>
      <c r="M53" s="424" t="str">
        <f>'Конфигурация TREI'!A54</f>
        <v>BR52</v>
      </c>
      <c r="N53" s="424">
        <f>'Конфигурация TREI'!B54</f>
        <v>0</v>
      </c>
      <c r="AE53" s="505"/>
      <c r="AF53" s="505"/>
      <c r="AG53" s="505"/>
      <c r="AH53" s="505"/>
      <c r="AI53" s="505"/>
      <c r="AJ53" s="505"/>
      <c r="AK53" s="505"/>
      <c r="AL53" s="505"/>
      <c r="AM53" s="505"/>
      <c r="AN53" s="505"/>
      <c r="AO53" s="505"/>
      <c r="AP53" s="505"/>
      <c r="AQ53" s="505"/>
      <c r="AR53" s="505"/>
      <c r="AS53" s="505"/>
      <c r="AT53" s="623"/>
      <c r="AU53" s="623"/>
      <c r="AV53" s="623"/>
      <c r="AW53" s="623"/>
      <c r="AX53" s="623"/>
      <c r="AY53" s="623"/>
      <c r="AZ53" s="623"/>
      <c r="BA53" s="623"/>
      <c r="BB53" s="623"/>
      <c r="BC53" s="623"/>
      <c r="BD53" s="623"/>
      <c r="BE53" s="623"/>
    </row>
    <row r="54" spans="1:57">
      <c r="M54" s="424" t="str">
        <f>'Конфигурация TREI'!A55</f>
        <v>BR53</v>
      </c>
      <c r="N54" s="424">
        <f>'Конфигурация TREI'!B55</f>
        <v>0</v>
      </c>
    </row>
    <row r="55" spans="1:57">
      <c r="M55" s="424" t="str">
        <f>'Конфигурация TREI'!A56</f>
        <v>BR54</v>
      </c>
      <c r="N55" s="424">
        <f>'Конфигурация TREI'!B56</f>
        <v>0</v>
      </c>
    </row>
    <row r="56" spans="1:57">
      <c r="M56" s="424" t="str">
        <f>'Конфигурация TREI'!A57</f>
        <v>BR55</v>
      </c>
      <c r="N56" s="424">
        <f>'Конфигурация TREI'!B57</f>
        <v>0</v>
      </c>
    </row>
    <row r="57" spans="1:57">
      <c r="M57" s="424" t="str">
        <f>'Конфигурация TREI'!A58</f>
        <v>BR56</v>
      </c>
      <c r="N57" s="424">
        <f>'Конфигурация TREI'!B58</f>
        <v>0</v>
      </c>
    </row>
    <row r="58" spans="1:57">
      <c r="M58" s="424" t="str">
        <f>'Конфигурация TREI'!A59</f>
        <v>BR57</v>
      </c>
      <c r="N58" s="424">
        <f>'Конфигурация TREI'!B59</f>
        <v>0</v>
      </c>
    </row>
    <row r="59" spans="1:57">
      <c r="M59" s="424" t="str">
        <f>'Конфигурация TREI'!A60</f>
        <v>BR58</v>
      </c>
      <c r="N59" s="424">
        <f>'Конфигурация TREI'!B60</f>
        <v>0</v>
      </c>
    </row>
    <row r="60" spans="1:57">
      <c r="M60" s="424" t="str">
        <f>'Конфигурация TREI'!A61</f>
        <v>BR59</v>
      </c>
      <c r="N60" s="424">
        <f>'Конфигурация TREI'!B61</f>
        <v>0</v>
      </c>
    </row>
    <row r="61" spans="1:57">
      <c r="M61" s="424" t="str">
        <f>'Конфигурация TREI'!A62</f>
        <v>BR60</v>
      </c>
      <c r="N61" s="424">
        <f>'Конфигурация TREI'!B62</f>
        <v>0</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sheetPr codeName="Лист105">
    <tabColor theme="2" tint="-0.249977111117893"/>
  </sheetPr>
  <dimension ref="A1:BE61"/>
  <sheetViews>
    <sheetView topLeftCell="A28" workbookViewId="0">
      <selection activeCell="D2" sqref="D2:D4"/>
    </sheetView>
  </sheetViews>
  <sheetFormatPr defaultRowHeight="14.4"/>
  <cols>
    <col min="1" max="1" width="35.44140625" customWidth="1"/>
    <col min="2" max="2" width="21.44140625" customWidth="1"/>
    <col min="3" max="3" width="3.44140625" customWidth="1"/>
    <col min="4" max="4" width="1.109375" customWidth="1"/>
    <col min="5" max="5" width="33.44140625" customWidth="1"/>
    <col min="6" max="6" width="17.6640625" customWidth="1"/>
    <col min="7" max="7" width="10.5546875" customWidth="1"/>
    <col min="8" max="8" width="14.33203125" customWidth="1"/>
    <col min="9" max="9" width="11.44140625" customWidth="1"/>
    <col min="10" max="10" width="9.109375" customWidth="1"/>
    <col min="11" max="11" width="10.88671875" customWidth="1"/>
    <col min="12" max="12" width="11.5546875" customWidth="1"/>
    <col min="13" max="13" width="10.6640625" bestFit="1" customWidth="1"/>
    <col min="14" max="14" width="8.109375" bestFit="1" customWidth="1"/>
    <col min="15" max="15" width="9.109375" customWidth="1"/>
    <col min="16" max="16" width="34.6640625" customWidth="1"/>
    <col min="17" max="17" width="39.33203125" customWidth="1"/>
    <col min="18" max="30" width="26.109375" style="55" customWidth="1"/>
    <col min="31" max="31" width="4.5546875" style="427" customWidth="1"/>
    <col min="32" max="32" width="11.109375" customWidth="1"/>
  </cols>
  <sheetData>
    <row r="1" spans="1:57">
      <c r="A1" s="425"/>
      <c r="B1" s="425"/>
      <c r="C1" s="425"/>
      <c r="D1" s="425"/>
      <c r="E1" s="425"/>
      <c r="F1" s="425"/>
      <c r="G1" s="426" t="s">
        <v>846</v>
      </c>
      <c r="H1" s="426" t="s">
        <v>847</v>
      </c>
      <c r="I1" s="424" t="s">
        <v>1181</v>
      </c>
      <c r="J1" s="425"/>
      <c r="M1" s="424" t="str">
        <f>'Конфигурация TREI'!A1</f>
        <v>№ Модуля</v>
      </c>
      <c r="N1" s="424" t="str">
        <f>'Конфигурация TREI'!B2</f>
        <v>M501E(рез)</v>
      </c>
      <c r="O1" s="425"/>
      <c r="P1" s="425" t="str">
        <f>Таблица!D1</f>
        <v>Префикс для TREI
Тэг ОРС для INFINITY</v>
      </c>
      <c r="Q1" s="425" t="str">
        <f>Таблица!E1</f>
        <v>Комментарий для TREI и INFINITY</v>
      </c>
      <c r="R1" s="452"/>
      <c r="S1" s="452" t="s">
        <v>858</v>
      </c>
      <c r="T1" s="452" t="s">
        <v>859</v>
      </c>
      <c r="U1" s="452" t="s">
        <v>848</v>
      </c>
      <c r="V1" s="452" t="s">
        <v>849</v>
      </c>
      <c r="W1" s="452" t="s">
        <v>850</v>
      </c>
      <c r="X1" s="452" t="s">
        <v>851</v>
      </c>
      <c r="Y1" s="452" t="s">
        <v>852</v>
      </c>
      <c r="Z1" s="452" t="s">
        <v>853</v>
      </c>
      <c r="AA1" s="452" t="s">
        <v>854</v>
      </c>
      <c r="AB1" s="452" t="s">
        <v>855</v>
      </c>
      <c r="AC1" s="452" t="s">
        <v>856</v>
      </c>
      <c r="AD1" s="453"/>
      <c r="AE1" s="438"/>
      <c r="AF1" s="438">
        <f>Настройки!Q1</f>
        <v>0</v>
      </c>
      <c r="AG1" s="438" t="str">
        <f>Настройки!R1</f>
        <v>M943DR</v>
      </c>
      <c r="AH1" s="438" t="str">
        <f>Настройки!S1</f>
        <v>M942A</v>
      </c>
      <c r="AI1" s="438" t="str">
        <f>Настройки!T1</f>
        <v>M957D</v>
      </c>
      <c r="AJ1" s="438" t="str">
        <f>Настройки!U1</f>
        <v>M957O</v>
      </c>
      <c r="AK1" s="438" t="str">
        <f>Настройки!V1</f>
        <v>M947R</v>
      </c>
      <c r="AL1" s="438" t="str">
        <f>Настройки!W1</f>
        <v>M931V</v>
      </c>
      <c r="AM1" s="438" t="str">
        <f>Настройки!X1</f>
        <v>M931T</v>
      </c>
      <c r="AN1" s="438" t="str">
        <f>Настройки!Y1</f>
        <v>M547A</v>
      </c>
      <c r="AO1" s="438" t="str">
        <f>Настройки!Z1</f>
        <v>M537V</v>
      </c>
      <c r="AP1" s="438" t="str">
        <f>Настройки!AA1</f>
        <v>M557D</v>
      </c>
      <c r="AQ1" s="438" t="str">
        <f>Настройки!AB1</f>
        <v>M557O</v>
      </c>
      <c r="AR1" s="438" t="str">
        <f>Настройки!AC1</f>
        <v>MOPS</v>
      </c>
      <c r="AS1" s="438" t="str">
        <f>Настройки!AD1</f>
        <v>MUPS</v>
      </c>
      <c r="AT1" s="439" t="str">
        <f>Настройки!AB1</f>
        <v>M557O</v>
      </c>
      <c r="AU1" s="439" t="str">
        <f>Настройки!AC1</f>
        <v>MOPS</v>
      </c>
      <c r="AV1" s="439" t="str">
        <f>Настройки!AD1</f>
        <v>MUPS</v>
      </c>
      <c r="AW1" s="439" t="str">
        <f>Настройки!AE1</f>
        <v>M941A</v>
      </c>
      <c r="AX1" s="439" t="str">
        <f>Настройки!AF1</f>
        <v>M954D</v>
      </c>
      <c r="AY1" s="439" t="str">
        <f>Настройки!AG1</f>
        <v>M557DR</v>
      </c>
      <c r="AZ1" s="439" t="str">
        <f>Настройки!AH1</f>
        <v>M558D</v>
      </c>
      <c r="BA1" s="439" t="str">
        <f>Настройки!AI1</f>
        <v>M558O</v>
      </c>
      <c r="BB1" s="439" t="str">
        <f>Настройки!AJ1</f>
        <v>M548A</v>
      </c>
      <c r="BC1" s="439" t="str">
        <f>Настройки!AK1</f>
        <v>M538V</v>
      </c>
      <c r="BD1" s="439" t="str">
        <f>Настройки!AL1</f>
        <v>M558DR</v>
      </c>
      <c r="BE1" s="439" t="str">
        <f>Настройки!AM1</f>
        <v>*</v>
      </c>
    </row>
    <row r="2" spans="1:57">
      <c r="A2" s="446" t="str">
        <f>"//*********** "&amp;Q2&amp;" ***********"</f>
        <v>//*********** Выключатель электрический ***********</v>
      </c>
      <c r="B2" s="446"/>
      <c r="C2" s="446"/>
      <c r="D2" s="446"/>
      <c r="E2" s="446"/>
      <c r="F2" s="446" t="s">
        <v>1031</v>
      </c>
      <c r="G2" s="447"/>
      <c r="H2" s="447"/>
      <c r="I2" s="459"/>
      <c r="M2" s="424" t="str">
        <f>'Конфигурация TREI'!A3</f>
        <v>BR1</v>
      </c>
      <c r="N2" s="424" t="str">
        <f>'Конфигурация TREI'!B3</f>
        <v>M558D</v>
      </c>
      <c r="P2" s="2" t="s">
        <v>246</v>
      </c>
      <c r="Q2" s="449" t="s">
        <v>768</v>
      </c>
      <c r="R2" s="451"/>
      <c r="S2" s="454" t="s">
        <v>1247</v>
      </c>
      <c r="T2" s="454" t="s">
        <v>1248</v>
      </c>
      <c r="U2" s="454" t="s">
        <v>1249</v>
      </c>
      <c r="V2" s="454" t="s">
        <v>1250</v>
      </c>
      <c r="W2" s="454" t="s">
        <v>1251</v>
      </c>
      <c r="X2" s="454" t="s">
        <v>1252</v>
      </c>
      <c r="Y2" s="454" t="s">
        <v>1253</v>
      </c>
      <c r="Z2" s="454" t="s">
        <v>1254</v>
      </c>
      <c r="AA2" s="454" t="s">
        <v>1255</v>
      </c>
      <c r="AB2" s="454" t="s">
        <v>1256</v>
      </c>
      <c r="AC2" s="454" t="s">
        <v>1257</v>
      </c>
      <c r="AD2" s="454"/>
      <c r="AE2" s="431">
        <f>Настройки!P2</f>
        <v>1</v>
      </c>
      <c r="AF2" s="380">
        <f>Настройки!Q2</f>
        <v>0</v>
      </c>
      <c r="AG2" s="380" t="str">
        <f>Настройки!R2</f>
        <v>IDIG_1_1</v>
      </c>
      <c r="AH2" s="380" t="str">
        <f>Настройки!S2</f>
        <v>IANS_1_3</v>
      </c>
      <c r="AI2" s="380" t="str">
        <f>Настройки!T2</f>
        <v>out0</v>
      </c>
      <c r="AJ2" s="380" t="str">
        <f>Настройки!U2</f>
        <v>out0</v>
      </c>
      <c r="AK2" s="380" t="str">
        <f>Настройки!V2</f>
        <v>ODIG_1</v>
      </c>
      <c r="AL2" s="380" t="str">
        <f>Настройки!W2</f>
        <v>OAN_1_1</v>
      </c>
      <c r="AM2" s="380" t="str">
        <f>Настройки!X2</f>
        <v>IANS_1_1</v>
      </c>
      <c r="AN2" s="380" t="str">
        <f>Настройки!Y2</f>
        <v>Canal_01</v>
      </c>
      <c r="AO2" s="380" t="str">
        <f>Настройки!Z2</f>
        <v>Canal_01</v>
      </c>
      <c r="AP2" s="380" t="str">
        <f>Настройки!AA2</f>
        <v>Canal_01</v>
      </c>
      <c r="AQ2" s="380" t="str">
        <f>Настройки!AB2</f>
        <v>Canal_01</v>
      </c>
      <c r="AR2" s="380" t="str">
        <f>Настройки!AC2</f>
        <v>IVXX[0]</v>
      </c>
      <c r="AS2" s="380" t="str">
        <f>Настройки!AD2</f>
        <v>IVXX[0]</v>
      </c>
      <c r="AT2" s="207" t="str">
        <f>Настройки!AB2</f>
        <v>Canal_01</v>
      </c>
      <c r="AU2" s="207" t="str">
        <f>Настройки!AC2</f>
        <v>IVXX[0]</v>
      </c>
      <c r="AV2" s="207" t="str">
        <f>Настройки!AD2</f>
        <v>IVXX[0]</v>
      </c>
      <c r="AW2" s="207" t="str">
        <f>Настройки!AE2</f>
        <v>IANS_1_1</v>
      </c>
      <c r="AX2" s="207" t="str">
        <f>Настройки!AF2</f>
        <v>IDIG_1_1</v>
      </c>
      <c r="AY2" s="207" t="str">
        <f>Настройки!AG2</f>
        <v>Canal_01</v>
      </c>
      <c r="AZ2" s="207" t="str">
        <f>Настройки!AH2</f>
        <v>Canal_01</v>
      </c>
      <c r="BA2" s="207" t="str">
        <f>Настройки!AI2</f>
        <v>Canal_01</v>
      </c>
      <c r="BB2" s="207" t="str">
        <f>Настройки!AJ2</f>
        <v>Canal_01</v>
      </c>
      <c r="BC2" s="207" t="str">
        <f>Настройки!AK2</f>
        <v>Canal_01</v>
      </c>
      <c r="BD2" s="207" t="str">
        <f>Настройки!AL2</f>
        <v>Canal_01</v>
      </c>
      <c r="BE2" s="207" t="str">
        <f>Настройки!AM2</f>
        <v>-</v>
      </c>
    </row>
    <row r="3" spans="1:57">
      <c r="A3" s="82"/>
      <c r="B3" s="82"/>
      <c r="C3" s="81"/>
      <c r="D3" s="81"/>
      <c r="E3" s="448" t="str">
        <f ca="1">IF(LEFT(E12,3)="out","INT_TO_BIT_BR"&amp;C12&amp;"(BR"&amp;C12&amp;".IDIG_MASK)","УДАЛИТЬ")</f>
        <v>УДАЛИТЬ</v>
      </c>
      <c r="F3" s="446" t="s">
        <v>845</v>
      </c>
      <c r="G3" s="447"/>
      <c r="H3" s="447"/>
      <c r="I3" s="459"/>
      <c r="M3" s="424" t="str">
        <f>'Конфигурация TREI'!A4</f>
        <v>BR2</v>
      </c>
      <c r="N3" s="424" t="str">
        <f>'Конфигурация TREI'!B4</f>
        <v>M548A</v>
      </c>
      <c r="P3" s="425" t="str">
        <f>'Конфигурация TREI'!D1</f>
        <v>Путь TREI для сигналов NOT_LINK</v>
      </c>
      <c r="R3" s="450"/>
      <c r="S3" s="454" t="str">
        <f>SUBSTITUTE(SUBSTITUTE($S$2,"!","")," ","")</f>
        <v>1+18</v>
      </c>
      <c r="T3" s="454" t="str">
        <f>SUBSTITUTE(SUBSTITUTE($T$2,"!","")," ","")</f>
        <v>1+19</v>
      </c>
      <c r="U3" s="454" t="str">
        <f>SUBSTITUTE(SUBSTITUTE($U$2,"!","")," ","")</f>
        <v>1+20</v>
      </c>
      <c r="V3" s="454" t="str">
        <f>SUBSTITUTE(SUBSTITUTE($V$2,"!","")," ","")</f>
        <v>1+21</v>
      </c>
      <c r="W3" s="454" t="str">
        <f>SUBSTITUTE(SUBSTITUTE($W$2,"!","")," ","")</f>
        <v>1+22</v>
      </c>
      <c r="X3" s="454" t="str">
        <f>SUBSTITUTE(SUBSTITUTE($X$2,"!","")," ","")</f>
        <v>2+10</v>
      </c>
      <c r="Y3" s="454" t="str">
        <f>SUBSTITUTE(SUBSTITUTE($Y$2,"!","")," ","")</f>
        <v>2+11</v>
      </c>
      <c r="Z3" s="454" t="str">
        <f>SUBSTITUTE(SUBSTITUTE($Z$2,"!","")," ","")</f>
        <v>1+23</v>
      </c>
      <c r="AA3" s="454" t="str">
        <f>SUBSTITUTE(SUBSTITUTE($AA$2,"!","")," ","")</f>
        <v>1+24</v>
      </c>
      <c r="AB3" s="454" t="str">
        <f>SUBSTITUTE(SUBSTITUTE($AB$2,"!","")," ","")</f>
        <v>1+25</v>
      </c>
      <c r="AC3" s="454" t="str">
        <f>SUBSTITUTE(SUBSTITUTE($AC$2,"!","")," ","")</f>
        <v>1+26</v>
      </c>
      <c r="AD3" s="454"/>
      <c r="AE3" s="431">
        <f>Настройки!P3</f>
        <v>2</v>
      </c>
      <c r="AF3" s="380">
        <f>Настройки!Q3</f>
        <v>0</v>
      </c>
      <c r="AG3" s="380" t="str">
        <f>Настройки!R3</f>
        <v>IDIG_1_2</v>
      </c>
      <c r="AH3" s="380" t="str">
        <f>Настройки!S3</f>
        <v>IANS_1_4</v>
      </c>
      <c r="AI3" s="380" t="str">
        <f>Настройки!T3</f>
        <v>out1</v>
      </c>
      <c r="AJ3" s="380" t="str">
        <f>Настройки!U3</f>
        <v>out1</v>
      </c>
      <c r="AK3" s="380" t="str">
        <f>Настройки!V3</f>
        <v>ODIG_2</v>
      </c>
      <c r="AL3" s="380" t="str">
        <f>Настройки!W3</f>
        <v>OAN_2_1</v>
      </c>
      <c r="AM3" s="380" t="str">
        <f>Настройки!X3</f>
        <v>IANS_2_1</v>
      </c>
      <c r="AN3" s="380" t="str">
        <f>Настройки!Y3</f>
        <v>Canal_02</v>
      </c>
      <c r="AO3" s="380" t="str">
        <f>Настройки!Z3</f>
        <v>Canal_02</v>
      </c>
      <c r="AP3" s="380" t="str">
        <f>Настройки!AA3</f>
        <v>Canal_02</v>
      </c>
      <c r="AQ3" s="380" t="str">
        <f>Настройки!AB3</f>
        <v>Canal_02</v>
      </c>
      <c r="AR3" s="380" t="str">
        <f>Настройки!AC3</f>
        <v>IVXX[1]</v>
      </c>
      <c r="AS3" s="380" t="str">
        <f>Настройки!AD3</f>
        <v>IVXX[1]</v>
      </c>
      <c r="AT3" s="207" t="str">
        <f>Настройки!AB3</f>
        <v>Canal_02</v>
      </c>
      <c r="AU3" s="207" t="str">
        <f>Настройки!AC3</f>
        <v>IVXX[1]</v>
      </c>
      <c r="AV3" s="207" t="str">
        <f>Настройки!AD3</f>
        <v>IVXX[1]</v>
      </c>
      <c r="AW3" s="207" t="str">
        <f>Настройки!AE3</f>
        <v>IANS_1_2</v>
      </c>
      <c r="AX3" s="207" t="str">
        <f>Настройки!AF3</f>
        <v>IDIG_1_2</v>
      </c>
      <c r="AY3" s="207" t="str">
        <f>Настройки!AG3</f>
        <v>Canal_02</v>
      </c>
      <c r="AZ3" s="207" t="str">
        <f>Настройки!AH3</f>
        <v>Canal_02</v>
      </c>
      <c r="BA3" s="207" t="str">
        <f>Настройки!AI3</f>
        <v>Canal_02</v>
      </c>
      <c r="BB3" s="207" t="str">
        <f>Настройки!AJ3</f>
        <v>Canal_02</v>
      </c>
      <c r="BC3" s="207" t="str">
        <f>Настройки!AK3</f>
        <v>Canal_02</v>
      </c>
      <c r="BD3" s="207" t="str">
        <f>Настройки!AL3</f>
        <v>Canal_02</v>
      </c>
      <c r="BE3" s="207" t="str">
        <f>Настройки!AM3</f>
        <v>-</v>
      </c>
    </row>
    <row r="4" spans="1:57">
      <c r="A4" s="82"/>
      <c r="B4" s="82"/>
      <c r="C4" s="81"/>
      <c r="D4" s="81"/>
      <c r="E4" s="448" t="str">
        <f t="shared" ref="E4:E10" ca="1" si="0">IF(LEFT(E13,3)="out","INT_TO_BIT_BR"&amp;C13&amp;"(BR"&amp;C13&amp;".IDIG_MASK)","УДАЛИТЬ")</f>
        <v>УДАЛИТЬ</v>
      </c>
      <c r="F4" s="446" t="s">
        <v>845</v>
      </c>
      <c r="G4" s="447"/>
      <c r="H4" s="447"/>
      <c r="I4" s="459"/>
      <c r="M4" s="424" t="str">
        <f>'Конфигурация TREI'!A5</f>
        <v>BR3</v>
      </c>
      <c r="N4" s="424" t="str">
        <f>'Конфигурация TREI'!B5</f>
        <v>M548A</v>
      </c>
      <c r="P4" s="3" t="str">
        <f>Настройки!D2</f>
        <v/>
      </c>
      <c r="AE4" s="431">
        <f>Настройки!P4</f>
        <v>3</v>
      </c>
      <c r="AF4" s="380">
        <f>Настройки!Q4</f>
        <v>0</v>
      </c>
      <c r="AG4" s="380" t="str">
        <f>Настройки!R4</f>
        <v>IDIG_2_1</v>
      </c>
      <c r="AH4" s="380" t="str">
        <f>Настройки!S4</f>
        <v>IANS_2_3</v>
      </c>
      <c r="AI4" s="380" t="str">
        <f>Настройки!T4</f>
        <v>out2</v>
      </c>
      <c r="AJ4" s="380" t="str">
        <f>Настройки!U4</f>
        <v>out2</v>
      </c>
      <c r="AK4" s="380" t="str">
        <f>Настройки!V4</f>
        <v>ODIG_3</v>
      </c>
      <c r="AL4" s="380" t="str">
        <f>Настройки!W4</f>
        <v>OAN_3_1</v>
      </c>
      <c r="AM4" s="380" t="str">
        <f>Настройки!X4</f>
        <v>IANS_3_1</v>
      </c>
      <c r="AN4" s="380" t="str">
        <f>Настройки!Y4</f>
        <v>Canal_03</v>
      </c>
      <c r="AO4" s="380" t="str">
        <f>Настройки!Z4</f>
        <v>Canal_03</v>
      </c>
      <c r="AP4" s="380" t="str">
        <f>Настройки!AA4</f>
        <v>Canal_03</v>
      </c>
      <c r="AQ4" s="380" t="str">
        <f>Настройки!AB4</f>
        <v>Canal_03</v>
      </c>
      <c r="AR4" s="380" t="str">
        <f>Настройки!AC4</f>
        <v>IVXX[2]</v>
      </c>
      <c r="AS4" s="380" t="str">
        <f>Настройки!AD4</f>
        <v>IVXX[2]</v>
      </c>
      <c r="AT4" s="207" t="str">
        <f>Настройки!AB4</f>
        <v>Canal_03</v>
      </c>
      <c r="AU4" s="207" t="str">
        <f>Настройки!AC4</f>
        <v>IVXX[2]</v>
      </c>
      <c r="AV4" s="207" t="str">
        <f>Настройки!AD4</f>
        <v>IVXX[2]</v>
      </c>
      <c r="AW4" s="207" t="str">
        <f>Настройки!AE4</f>
        <v>IANS_2_1</v>
      </c>
      <c r="AX4" s="207" t="str">
        <f>Настройки!AF4</f>
        <v>IDIG_1_3</v>
      </c>
      <c r="AY4" s="207" t="str">
        <f>Настройки!AG4</f>
        <v>Canal_03</v>
      </c>
      <c r="AZ4" s="207" t="str">
        <f>Настройки!AH4</f>
        <v>Canal_03</v>
      </c>
      <c r="BA4" s="207" t="str">
        <f>Настройки!AI4</f>
        <v>Canal_03</v>
      </c>
      <c r="BB4" s="207" t="str">
        <f>Настройки!AJ4</f>
        <v>Canal_03</v>
      </c>
      <c r="BC4" s="207" t="str">
        <f>Настройки!AK4</f>
        <v>Canal_03</v>
      </c>
      <c r="BD4" s="207" t="str">
        <f>Настройки!AL4</f>
        <v>Canal_03</v>
      </c>
      <c r="BE4" s="207" t="str">
        <f>Настройки!AM4</f>
        <v>-</v>
      </c>
    </row>
    <row r="5" spans="1:57">
      <c r="A5" s="82"/>
      <c r="B5" s="82"/>
      <c r="C5" s="81"/>
      <c r="D5" s="81"/>
      <c r="E5" s="448" t="str">
        <f ca="1">IF(LEFT(E14,3)="out","INT_TO_BIT_BR"&amp;C14&amp;"(BR"&amp;C14&amp;".IDIG_MASK)","УДАЛИТЬ")</f>
        <v>УДАЛИТЬ</v>
      </c>
      <c r="F5" s="446" t="s">
        <v>845</v>
      </c>
      <c r="G5" s="447"/>
      <c r="H5" s="447"/>
      <c r="I5" s="459"/>
      <c r="M5" s="424" t="str">
        <f>'Конфигурация TREI'!A6</f>
        <v>BR4</v>
      </c>
      <c r="N5" s="424" t="str">
        <f>'Конфигурация TREI'!B6</f>
        <v>M558D</v>
      </c>
      <c r="AE5" s="431">
        <f>Настройки!P5</f>
        <v>4</v>
      </c>
      <c r="AF5" s="380">
        <f>Настройки!Q5</f>
        <v>0</v>
      </c>
      <c r="AG5" s="380" t="str">
        <f>Настройки!R5</f>
        <v>IDIG_2_2</v>
      </c>
      <c r="AH5" s="380" t="str">
        <f>Настройки!S5</f>
        <v>IANS_2_4</v>
      </c>
      <c r="AI5" s="380" t="str">
        <f>Настройки!T5</f>
        <v>out3</v>
      </c>
      <c r="AJ5" s="380" t="str">
        <f>Настройки!U5</f>
        <v>out3</v>
      </c>
      <c r="AK5" s="380" t="str">
        <f>Настройки!V5</f>
        <v>ODIG_4</v>
      </c>
      <c r="AL5" s="380" t="str">
        <f>Настройки!W5</f>
        <v>OAN_4_1</v>
      </c>
      <c r="AM5" s="380" t="str">
        <f>Настройки!X5</f>
        <v>IANS_4_1</v>
      </c>
      <c r="AN5" s="380" t="str">
        <f>Настройки!Y5</f>
        <v>Canal_04</v>
      </c>
      <c r="AO5" s="380" t="str">
        <f>Настройки!Z5</f>
        <v>Canal_04</v>
      </c>
      <c r="AP5" s="380" t="str">
        <f>Настройки!AA5</f>
        <v>Canal_04</v>
      </c>
      <c r="AQ5" s="380" t="str">
        <f>Настройки!AB5</f>
        <v>Canal_04</v>
      </c>
      <c r="AR5" s="380" t="str">
        <f>Настройки!AC5</f>
        <v>IVXX[3]</v>
      </c>
      <c r="AS5" s="380" t="str">
        <f>Настройки!AD5</f>
        <v>IVXX[3]</v>
      </c>
      <c r="AT5" s="207" t="str">
        <f>Настройки!AB5</f>
        <v>Canal_04</v>
      </c>
      <c r="AU5" s="207" t="str">
        <f>Настройки!AC5</f>
        <v>IVXX[3]</v>
      </c>
      <c r="AV5" s="207" t="str">
        <f>Настройки!AD5</f>
        <v>IVXX[3]</v>
      </c>
      <c r="AW5" s="207" t="str">
        <f>Настройки!AE5</f>
        <v>IANS_2_2</v>
      </c>
      <c r="AX5" s="207" t="str">
        <f>Настройки!AF5</f>
        <v>IDIG_1_4</v>
      </c>
      <c r="AY5" s="207" t="str">
        <f>Настройки!AG5</f>
        <v>Canal_04</v>
      </c>
      <c r="AZ5" s="207" t="str">
        <f>Настройки!AH5</f>
        <v>Canal_04</v>
      </c>
      <c r="BA5" s="207" t="str">
        <f>Настройки!AI5</f>
        <v>Canal_04</v>
      </c>
      <c r="BB5" s="207" t="str">
        <f>Настройки!AJ5</f>
        <v>Canal_04</v>
      </c>
      <c r="BC5" s="207" t="str">
        <f>Настройки!AK5</f>
        <v>Canal_04</v>
      </c>
      <c r="BD5" s="207" t="str">
        <f>Настройки!AL5</f>
        <v>Canal_04</v>
      </c>
      <c r="BE5" s="207" t="str">
        <f>Настройки!AM5</f>
        <v>-</v>
      </c>
    </row>
    <row r="6" spans="1:57">
      <c r="A6" s="82"/>
      <c r="B6" s="82"/>
      <c r="C6" s="81"/>
      <c r="D6" s="81"/>
      <c r="E6" s="448" t="str">
        <f t="shared" ca="1" si="0"/>
        <v>УДАЛИТЬ</v>
      </c>
      <c r="F6" s="446" t="s">
        <v>845</v>
      </c>
      <c r="G6" s="447"/>
      <c r="H6" s="447"/>
      <c r="I6" s="459"/>
      <c r="M6" s="424" t="str">
        <f>'Конфигурация TREI'!A7</f>
        <v>BR5</v>
      </c>
      <c r="N6" s="424" t="str">
        <f>'Конфигурация TREI'!B7</f>
        <v>M558O</v>
      </c>
      <c r="AE6" s="431">
        <f>Настройки!P6</f>
        <v>5</v>
      </c>
      <c r="AF6" s="380">
        <f>Настройки!Q6</f>
        <v>0</v>
      </c>
      <c r="AG6" s="380" t="str">
        <f>Настройки!R6</f>
        <v>IDIG_3_1</v>
      </c>
      <c r="AH6" s="380" t="str">
        <f>Настройки!S6</f>
        <v>IANS_3_3</v>
      </c>
      <c r="AI6" s="380" t="str">
        <f>Настройки!T6</f>
        <v>out4</v>
      </c>
      <c r="AJ6" s="380" t="str">
        <f>Настройки!U6</f>
        <v>out4</v>
      </c>
      <c r="AK6" s="380" t="str">
        <f>Настройки!V6</f>
        <v>ODIG_5</v>
      </c>
      <c r="AL6" s="380" t="str">
        <f>Настройки!W6</f>
        <v>OAN_5_1</v>
      </c>
      <c r="AM6" s="380" t="str">
        <f>Настройки!X6</f>
        <v>IANS_5_1</v>
      </c>
      <c r="AN6" s="380" t="str">
        <f>Настройки!Y6</f>
        <v>Canal_05</v>
      </c>
      <c r="AO6" s="380" t="str">
        <f>Настройки!Z6</f>
        <v>Canal_05</v>
      </c>
      <c r="AP6" s="380" t="str">
        <f>Настройки!AA6</f>
        <v>Canal_05</v>
      </c>
      <c r="AQ6" s="380" t="str">
        <f>Настройки!AB6</f>
        <v>Canal_05</v>
      </c>
      <c r="AR6" s="380" t="str">
        <f>Настройки!AC6</f>
        <v>IVXX[4]</v>
      </c>
      <c r="AS6" s="380" t="str">
        <f>Настройки!AD6</f>
        <v>IVXX[4]</v>
      </c>
      <c r="AT6" s="207" t="str">
        <f>Настройки!AB6</f>
        <v>Canal_05</v>
      </c>
      <c r="AU6" s="207" t="str">
        <f>Настройки!AC6</f>
        <v>IVXX[4]</v>
      </c>
      <c r="AV6" s="207" t="str">
        <f>Настройки!AD6</f>
        <v>IVXX[4]</v>
      </c>
      <c r="AW6" s="207" t="str">
        <f>Настройки!AE6</f>
        <v>IANS_3_1</v>
      </c>
      <c r="AX6" s="207" t="str">
        <f>Настройки!AF6</f>
        <v>IDIG_2_1</v>
      </c>
      <c r="AY6" s="207" t="str">
        <f>Настройки!AG6</f>
        <v>Canal_05</v>
      </c>
      <c r="AZ6" s="207" t="str">
        <f>Настройки!AH6</f>
        <v>Canal_05</v>
      </c>
      <c r="BA6" s="207" t="str">
        <f>Настройки!AI6</f>
        <v>Canal_05</v>
      </c>
      <c r="BB6" s="207" t="str">
        <f>Настройки!AJ6</f>
        <v>Canal_05</v>
      </c>
      <c r="BC6" s="207" t="str">
        <f>Настройки!AK6</f>
        <v>Canal_05</v>
      </c>
      <c r="BD6" s="207" t="str">
        <f>Настройки!AL6</f>
        <v>Canal_05</v>
      </c>
      <c r="BE6" s="207" t="str">
        <f>Настройки!AM6</f>
        <v>-</v>
      </c>
    </row>
    <row r="7" spans="1:57">
      <c r="A7" s="82"/>
      <c r="B7" s="82"/>
      <c r="C7" s="81"/>
      <c r="D7" s="81"/>
      <c r="E7" s="448" t="str">
        <f t="shared" ca="1" si="0"/>
        <v>УДАЛИТЬ</v>
      </c>
      <c r="F7" s="446" t="s">
        <v>845</v>
      </c>
      <c r="G7" s="447"/>
      <c r="H7" s="447"/>
      <c r="I7" s="459"/>
      <c r="M7" s="424" t="str">
        <f>'Конфигурация TREI'!A8</f>
        <v>BR6</v>
      </c>
      <c r="N7" s="424" t="str">
        <f>'Конфигурация TREI'!B8</f>
        <v>M558O</v>
      </c>
      <c r="AE7" s="431">
        <f>Настройки!P7</f>
        <v>6</v>
      </c>
      <c r="AF7" s="380">
        <f>Настройки!Q7</f>
        <v>0</v>
      </c>
      <c r="AG7" s="380" t="str">
        <f>Настройки!R7</f>
        <v>IDIG_3_2</v>
      </c>
      <c r="AH7" s="380" t="str">
        <f>Настройки!S7</f>
        <v>IANS_3_4</v>
      </c>
      <c r="AI7" s="380" t="str">
        <f>Настройки!T7</f>
        <v>out5</v>
      </c>
      <c r="AJ7" s="380" t="str">
        <f>Настройки!U7</f>
        <v>out5</v>
      </c>
      <c r="AK7" s="380" t="str">
        <f>Настройки!V7</f>
        <v>ODIG_6</v>
      </c>
      <c r="AL7" s="380" t="str">
        <f>Настройки!W7</f>
        <v>OAN_6_1</v>
      </c>
      <c r="AM7" s="380" t="str">
        <f>Настройки!X7</f>
        <v>IANS_6_1</v>
      </c>
      <c r="AN7" s="380" t="str">
        <f>Настройки!Y7</f>
        <v>Canal_06</v>
      </c>
      <c r="AO7" s="380" t="str">
        <f>Настройки!Z7</f>
        <v>Canal_06</v>
      </c>
      <c r="AP7" s="380" t="str">
        <f>Настройки!AA7</f>
        <v>Canal_06</v>
      </c>
      <c r="AQ7" s="380" t="str">
        <f>Настройки!AB7</f>
        <v>Canal_06</v>
      </c>
      <c r="AR7" s="380" t="str">
        <f>Настройки!AC7</f>
        <v>IVXX[5]</v>
      </c>
      <c r="AS7" s="380" t="str">
        <f>Настройки!AD7</f>
        <v>IVXX[5]</v>
      </c>
      <c r="AT7" s="207" t="str">
        <f>Настройки!AB7</f>
        <v>Canal_06</v>
      </c>
      <c r="AU7" s="207" t="str">
        <f>Настройки!AC7</f>
        <v>IVXX[5]</v>
      </c>
      <c r="AV7" s="207" t="str">
        <f>Настройки!AD7</f>
        <v>IVXX[5]</v>
      </c>
      <c r="AW7" s="207" t="str">
        <f>Настройки!AE7</f>
        <v>IANS_3_2</v>
      </c>
      <c r="AX7" s="207" t="str">
        <f>Настройки!AF7</f>
        <v>IDIG_2_2</v>
      </c>
      <c r="AY7" s="207" t="str">
        <f>Настройки!AG7</f>
        <v>Canal_06</v>
      </c>
      <c r="AZ7" s="207" t="str">
        <f>Настройки!AH7</f>
        <v>Canal_06</v>
      </c>
      <c r="BA7" s="207" t="str">
        <f>Настройки!AI7</f>
        <v>Canal_06</v>
      </c>
      <c r="BB7" s="207" t="str">
        <f>Настройки!AJ7</f>
        <v>Canal_06</v>
      </c>
      <c r="BC7" s="207" t="str">
        <f>Настройки!AK7</f>
        <v>Canal_06</v>
      </c>
      <c r="BD7" s="207" t="str">
        <f>Настройки!AL7</f>
        <v>Canal_06</v>
      </c>
      <c r="BE7" s="207" t="str">
        <f>Настройки!AM7</f>
        <v>-</v>
      </c>
    </row>
    <row r="8" spans="1:57">
      <c r="A8" s="82"/>
      <c r="B8" s="82"/>
      <c r="C8" s="81"/>
      <c r="D8" s="81"/>
      <c r="E8" s="448" t="str">
        <f t="shared" ca="1" si="0"/>
        <v>УДАЛИТЬ</v>
      </c>
      <c r="F8" s="446" t="s">
        <v>845</v>
      </c>
      <c r="G8" s="447"/>
      <c r="H8" s="447"/>
      <c r="I8" s="460"/>
      <c r="M8" s="424" t="str">
        <f>'Конфигурация TREI'!A9</f>
        <v>BR7</v>
      </c>
      <c r="N8" s="424" t="str">
        <f>'Конфигурация TREI'!B9</f>
        <v>M558O</v>
      </c>
      <c r="AE8" s="431">
        <f>Настройки!P8</f>
        <v>7</v>
      </c>
      <c r="AF8" s="380">
        <f>Настройки!Q8</f>
        <v>0</v>
      </c>
      <c r="AG8" s="380" t="str">
        <f>Настройки!R8</f>
        <v>IDIG_4_1</v>
      </c>
      <c r="AH8" s="380" t="str">
        <f>Настройки!S8</f>
        <v>IANS_4_3</v>
      </c>
      <c r="AI8" s="380" t="str">
        <f>Настройки!T8</f>
        <v>out6</v>
      </c>
      <c r="AJ8" s="380" t="str">
        <f>Настройки!U8</f>
        <v>out6</v>
      </c>
      <c r="AK8" s="380" t="str">
        <f>Настройки!V8</f>
        <v>ODIG_7</v>
      </c>
      <c r="AL8" s="380" t="str">
        <f>Настройки!W8</f>
        <v>OAN_7_1</v>
      </c>
      <c r="AM8" s="380" t="str">
        <f>Настройки!X8</f>
        <v>IANS_7_1</v>
      </c>
      <c r="AN8" s="380" t="str">
        <f>Настройки!Y8</f>
        <v>Canal_07</v>
      </c>
      <c r="AO8" s="380" t="str">
        <f>Настройки!Z8</f>
        <v>Canal_07</v>
      </c>
      <c r="AP8" s="380" t="str">
        <f>Настройки!AA8</f>
        <v>Canal_07</v>
      </c>
      <c r="AQ8" s="380" t="str">
        <f>Настройки!AB8</f>
        <v>Canal_07</v>
      </c>
      <c r="AR8" s="380" t="str">
        <f>Настройки!AC8</f>
        <v>IVXX[6]</v>
      </c>
      <c r="AS8" s="380" t="str">
        <f>Настройки!AD8</f>
        <v>IVXX[6]</v>
      </c>
      <c r="AT8" s="207" t="str">
        <f>Настройки!AB8</f>
        <v>Canal_07</v>
      </c>
      <c r="AU8" s="207" t="str">
        <f>Настройки!AC8</f>
        <v>IVXX[6]</v>
      </c>
      <c r="AV8" s="207" t="str">
        <f>Настройки!AD8</f>
        <v>IVXX[6]</v>
      </c>
      <c r="AW8" s="207" t="str">
        <f>Настройки!AE8</f>
        <v>IANS_4_1</v>
      </c>
      <c r="AX8" s="207" t="str">
        <f>Настройки!AF8</f>
        <v>IDIG_2_3</v>
      </c>
      <c r="AY8" s="207" t="str">
        <f>Настройки!AG8</f>
        <v>Canal_07</v>
      </c>
      <c r="AZ8" s="207" t="str">
        <f>Настройки!AH8</f>
        <v>Canal_07</v>
      </c>
      <c r="BA8" s="207" t="str">
        <f>Настройки!AI8</f>
        <v>Canal_07</v>
      </c>
      <c r="BB8" s="207" t="str">
        <f>Настройки!AJ8</f>
        <v>Canal_07</v>
      </c>
      <c r="BC8" s="207" t="str">
        <f>Настройки!AK8</f>
        <v>Canal_07</v>
      </c>
      <c r="BD8" s="207" t="str">
        <f>Настройки!AL8</f>
        <v>Canal_07</v>
      </c>
      <c r="BE8" s="207" t="str">
        <f>Настройки!AM8</f>
        <v>-</v>
      </c>
    </row>
    <row r="9" spans="1:57">
      <c r="A9" s="82"/>
      <c r="B9" s="82"/>
      <c r="C9" s="81"/>
      <c r="D9" s="81"/>
      <c r="E9" s="448" t="str">
        <f t="shared" ca="1" si="0"/>
        <v>УДАЛИТЬ</v>
      </c>
      <c r="F9" s="446" t="s">
        <v>845</v>
      </c>
      <c r="G9" s="447"/>
      <c r="H9" s="447"/>
      <c r="I9" s="460"/>
      <c r="M9" s="424" t="str">
        <f>'Конфигурация TREI'!A10</f>
        <v>BR8</v>
      </c>
      <c r="N9" s="424" t="str">
        <f>'Конфигурация TREI'!B10</f>
        <v>M558O</v>
      </c>
      <c r="AE9" s="431">
        <f>Настройки!P9</f>
        <v>8</v>
      </c>
      <c r="AF9" s="380">
        <f>Настройки!Q9</f>
        <v>0</v>
      </c>
      <c r="AG9" s="380" t="str">
        <f>Настройки!R9</f>
        <v>IDIG_4_2</v>
      </c>
      <c r="AH9" s="380" t="str">
        <f>Настройки!S9</f>
        <v>IANS_4_4</v>
      </c>
      <c r="AI9" s="380" t="str">
        <f>Настройки!T9</f>
        <v>out7</v>
      </c>
      <c r="AJ9" s="380" t="str">
        <f>Настройки!U9</f>
        <v>out7</v>
      </c>
      <c r="AK9" s="380" t="str">
        <f>Настройки!V9</f>
        <v>ODIG_8</v>
      </c>
      <c r="AL9" s="380" t="str">
        <f>Настройки!W9</f>
        <v>OAN_8_1</v>
      </c>
      <c r="AM9" s="380" t="str">
        <f>Настройки!X9</f>
        <v>IANS_8_1</v>
      </c>
      <c r="AN9" s="380" t="str">
        <f>Настройки!Y9</f>
        <v>Canal_08</v>
      </c>
      <c r="AO9" s="380" t="str">
        <f>Настройки!Z9</f>
        <v>Canal_08</v>
      </c>
      <c r="AP9" s="380" t="str">
        <f>Настройки!AA9</f>
        <v>Canal_08</v>
      </c>
      <c r="AQ9" s="380" t="str">
        <f>Настройки!AB9</f>
        <v>Canal_08</v>
      </c>
      <c r="AR9" s="380" t="str">
        <f>Настройки!AC9</f>
        <v>IVXX[7]</v>
      </c>
      <c r="AS9" s="380" t="str">
        <f>Настройки!AD9</f>
        <v>IVXX[7]</v>
      </c>
      <c r="AT9" s="207" t="str">
        <f>Настройки!AB9</f>
        <v>Canal_08</v>
      </c>
      <c r="AU9" s="207" t="str">
        <f>Настройки!AC9</f>
        <v>IVXX[7]</v>
      </c>
      <c r="AV9" s="207" t="str">
        <f>Настройки!AD9</f>
        <v>IVXX[7]</v>
      </c>
      <c r="AW9" s="207" t="str">
        <f>Настройки!AE9</f>
        <v>IANS_4_2</v>
      </c>
      <c r="AX9" s="207" t="str">
        <f>Настройки!AF9</f>
        <v>IDIG_2_4</v>
      </c>
      <c r="AY9" s="207" t="str">
        <f>Настройки!AG9</f>
        <v>Canal_08</v>
      </c>
      <c r="AZ9" s="207" t="str">
        <f>Настройки!AH9</f>
        <v>Canal_08</v>
      </c>
      <c r="BA9" s="207" t="str">
        <f>Настройки!AI9</f>
        <v>Canal_08</v>
      </c>
      <c r="BB9" s="207" t="str">
        <f>Настройки!AJ9</f>
        <v>Canal_08</v>
      </c>
      <c r="BC9" s="207" t="str">
        <f>Настройки!AK9</f>
        <v>Canal_08</v>
      </c>
      <c r="BD9" s="207" t="str">
        <f>Настройки!AL9</f>
        <v>Canal_08</v>
      </c>
      <c r="BE9" s="207" t="str">
        <f>Настройки!AM9</f>
        <v>-</v>
      </c>
    </row>
    <row r="10" spans="1:57">
      <c r="A10" s="82"/>
      <c r="B10" s="82"/>
      <c r="C10" s="81"/>
      <c r="D10" s="81"/>
      <c r="E10" s="448" t="str">
        <f t="shared" ca="1" si="0"/>
        <v>УДАЛИТЬ</v>
      </c>
      <c r="F10" s="446" t="s">
        <v>845</v>
      </c>
      <c r="G10" s="447"/>
      <c r="H10" s="447"/>
      <c r="I10" s="460"/>
      <c r="M10" s="424" t="str">
        <f>'Конфигурация TREI'!A11</f>
        <v>BR9</v>
      </c>
      <c r="N10" s="424" t="str">
        <f>'Конфигурация TREI'!B11</f>
        <v>M558D</v>
      </c>
      <c r="AE10" s="431">
        <f>Настройки!P10</f>
        <v>9</v>
      </c>
      <c r="AF10" s="380">
        <f>Настройки!Q10</f>
        <v>0</v>
      </c>
      <c r="AG10" s="380" t="str">
        <f>Настройки!R10</f>
        <v>IDIG_5_1</v>
      </c>
      <c r="AH10" s="380" t="str">
        <f>Настройки!S10</f>
        <v>IANS_5_3</v>
      </c>
      <c r="AI10" s="380" t="str">
        <f>Настройки!T10</f>
        <v>out8</v>
      </c>
      <c r="AJ10" s="380" t="str">
        <f>Настройки!U10</f>
        <v>out8</v>
      </c>
      <c r="AK10" s="380" t="str">
        <f>Настройки!V10</f>
        <v>ODIG_9</v>
      </c>
      <c r="AL10" s="380" t="str">
        <f>Настройки!W10</f>
        <v>-</v>
      </c>
      <c r="AM10" s="380" t="str">
        <f>Настройки!X10</f>
        <v>-</v>
      </c>
      <c r="AN10" s="380" t="str">
        <f>Настройки!Y10</f>
        <v>Canal_09</v>
      </c>
      <c r="AO10" s="380" t="str">
        <f>Настройки!Z10</f>
        <v>-</v>
      </c>
      <c r="AP10" s="380" t="str">
        <f>Настройки!AA10</f>
        <v>Canal_09</v>
      </c>
      <c r="AQ10" s="380" t="str">
        <f>Настройки!AB10</f>
        <v>Canal_09</v>
      </c>
      <c r="AR10" s="380" t="str">
        <f>Настройки!AC10</f>
        <v>OCCH[0]</v>
      </c>
      <c r="AS10" s="380" t="str">
        <f>Настройки!AD10</f>
        <v>OCCH[0]</v>
      </c>
      <c r="AT10" s="207" t="str">
        <f>Настройки!AB10</f>
        <v>Canal_09</v>
      </c>
      <c r="AU10" s="207" t="str">
        <f>Настройки!AC10</f>
        <v>OCCH[0]</v>
      </c>
      <c r="AV10" s="207" t="str">
        <f>Настройки!AD10</f>
        <v>OCCH[0]</v>
      </c>
      <c r="AW10" s="207" t="str">
        <f>Настройки!AE10</f>
        <v>IANS_5_1</v>
      </c>
      <c r="AX10" s="207" t="str">
        <f>Настройки!AF10</f>
        <v>IDIG_3_1</v>
      </c>
      <c r="AY10" s="207" t="str">
        <f>Настройки!AG10</f>
        <v>Canal_09</v>
      </c>
      <c r="AZ10" s="207" t="str">
        <f>Настройки!AH10</f>
        <v>Canal_09</v>
      </c>
      <c r="BA10" s="207" t="str">
        <f>Настройки!AI10</f>
        <v>Canal_09</v>
      </c>
      <c r="BB10" s="207" t="str">
        <f>Настройки!AJ10</f>
        <v>Canal_09</v>
      </c>
      <c r="BC10" s="207" t="str">
        <f>Настройки!AK10</f>
        <v>-</v>
      </c>
      <c r="BD10" s="207" t="str">
        <f>Настройки!AL10</f>
        <v>Canal_09</v>
      </c>
      <c r="BE10" s="207" t="str">
        <f>Настройки!AM10</f>
        <v>-</v>
      </c>
    </row>
    <row r="11" spans="1:57">
      <c r="A11" s="82"/>
      <c r="B11" s="82"/>
      <c r="C11" s="81"/>
      <c r="D11" s="81"/>
      <c r="E11" s="448" t="str">
        <f ca="1">IF(LEFT(E20,3)="out","INT_TO_BIT_BR"&amp;C20&amp;"(BR"&amp;C20&amp;".IDIG_MASK)","УДАЛИТЬ")</f>
        <v>УДАЛИТЬ</v>
      </c>
      <c r="F11" s="446" t="s">
        <v>845</v>
      </c>
      <c r="G11" s="447"/>
      <c r="H11" s="447"/>
      <c r="I11" s="460"/>
      <c r="M11" s="424" t="str">
        <f>'Конфигурация TREI'!A12</f>
        <v>BR10</v>
      </c>
      <c r="N11" s="424" t="str">
        <f>'Конфигурация TREI'!B12</f>
        <v>M558O</v>
      </c>
      <c r="AE11" s="431">
        <f>Настройки!P11</f>
        <v>10</v>
      </c>
      <c r="AF11" s="380">
        <f>Настройки!Q11</f>
        <v>0</v>
      </c>
      <c r="AG11" s="380" t="str">
        <f>Настройки!R11</f>
        <v>IDIG_5_2</v>
      </c>
      <c r="AH11" s="380" t="str">
        <f>Настройки!S11</f>
        <v>IANS_5_4</v>
      </c>
      <c r="AI11" s="380" t="str">
        <f>Настройки!T11</f>
        <v>out9</v>
      </c>
      <c r="AJ11" s="380" t="str">
        <f>Настройки!U11</f>
        <v>out9</v>
      </c>
      <c r="AK11" s="380" t="str">
        <f>Настройки!V11</f>
        <v>ODIG_10</v>
      </c>
      <c r="AL11" s="380" t="str">
        <f>Настройки!W11</f>
        <v>-</v>
      </c>
      <c r="AM11" s="380" t="str">
        <f>Настройки!X11</f>
        <v>-</v>
      </c>
      <c r="AN11" s="380" t="str">
        <f>Настройки!Y11</f>
        <v>Canal_10</v>
      </c>
      <c r="AO11" s="380" t="str">
        <f>Настройки!Z11</f>
        <v>-</v>
      </c>
      <c r="AP11" s="380" t="str">
        <f>Настройки!AA11</f>
        <v>Canal_10</v>
      </c>
      <c r="AQ11" s="380" t="str">
        <f>Настройки!AB11</f>
        <v>Canal_10</v>
      </c>
      <c r="AR11" s="380" t="str">
        <f>Настройки!AC11</f>
        <v>OCCH[1]</v>
      </c>
      <c r="AS11" s="380" t="str">
        <f>Настройки!AD11</f>
        <v>OCCH[1]</v>
      </c>
      <c r="AT11" s="207" t="str">
        <f>Настройки!AB11</f>
        <v>Canal_10</v>
      </c>
      <c r="AU11" s="207" t="str">
        <f>Настройки!AC11</f>
        <v>OCCH[1]</v>
      </c>
      <c r="AV11" s="207" t="str">
        <f>Настройки!AD11</f>
        <v>OCCH[1]</v>
      </c>
      <c r="AW11" s="207" t="str">
        <f>Настройки!AE11</f>
        <v>IANS_5_2</v>
      </c>
      <c r="AX11" s="207" t="str">
        <f>Настройки!AF11</f>
        <v>IDIG_3_2</v>
      </c>
      <c r="AY11" s="207" t="str">
        <f>Настройки!AG11</f>
        <v>Canal_10</v>
      </c>
      <c r="AZ11" s="207" t="str">
        <f>Настройки!AH11</f>
        <v>Canal_10</v>
      </c>
      <c r="BA11" s="207" t="str">
        <f>Настройки!AI11</f>
        <v>Canal_10</v>
      </c>
      <c r="BB11" s="207" t="str">
        <f>Настройки!AJ11</f>
        <v>Canal_10</v>
      </c>
      <c r="BC11" s="207" t="str">
        <f>Настройки!AK11</f>
        <v>-</v>
      </c>
      <c r="BD11" s="207" t="str">
        <f>Настройки!AL11</f>
        <v>Canal_10</v>
      </c>
      <c r="BE11" s="207" t="str">
        <f>Настройки!AM11</f>
        <v>-</v>
      </c>
    </row>
    <row r="12" spans="1:57">
      <c r="A12" s="448" t="str">
        <f>SUBSTITUTE($P$2,"\","|")&amp;"|"&amp; $S$1 &amp;":="&amp;IF(LEFT(SUBSTITUTE($S$2," ",""),1)="!","NOT  ","")</f>
        <v>ZRU_OL1|IONX:=</v>
      </c>
      <c r="B12" s="448" t="str">
        <f t="shared" ref="B12:B20" ca="1" si="1">IF(LEFT(E12,3)="out","INT_TO_BIT_BR","BR")</f>
        <v>BR</v>
      </c>
      <c r="C12" s="446" t="str">
        <f>LEFT($S$3,FIND("+",$S$3,1)-1)</f>
        <v>1</v>
      </c>
      <c r="D12" s="446" t="s">
        <v>178</v>
      </c>
      <c r="E12" s="446" t="str">
        <f ca="1">IF($S$2=0,"УДАЛИТЬ",IFERROR(IF(OR($I12="-",$H12="0"),"КАНАЛ ОТСУТСТВУЕТ",IF($I12=0,"МОДУЛЬ ОТСУТСТВУЕТ",$I12)),"ОШИБКА ФОРМАТА"))</f>
        <v>Canal_18</v>
      </c>
      <c r="F12" s="446" t="s">
        <v>845</v>
      </c>
      <c r="G12" s="447" t="str">
        <f t="shared" ref="G12:G20" si="2">INDEX($N$2:$N$61,C12)</f>
        <v>M558D</v>
      </c>
      <c r="H12" s="447" t="str">
        <f>RIGHT(S$3,LEN(S$3)-FIND("+",S$3,1))</f>
        <v>18</v>
      </c>
      <c r="I12" s="460" t="str">
        <f t="shared" ref="I12:I20" ca="1" si="3">INDIRECT(ADDRESS($H12+1,MATCH($G12,$1:$1,),1))</f>
        <v>Canal_18</v>
      </c>
      <c r="M12" s="424" t="str">
        <f>'Конфигурация TREI'!A13</f>
        <v>BR11</v>
      </c>
      <c r="N12" s="424" t="str">
        <f>'Конфигурация TREI'!B13</f>
        <v>M558D</v>
      </c>
      <c r="AE12" s="431">
        <f>Настройки!P12</f>
        <v>11</v>
      </c>
      <c r="AF12" s="380">
        <f>Настройки!Q12</f>
        <v>0</v>
      </c>
      <c r="AG12" s="380" t="str">
        <f>Настройки!R12</f>
        <v>IDIG_6_1</v>
      </c>
      <c r="AH12" s="380" t="str">
        <f>Настройки!S12</f>
        <v>IANS_6_3</v>
      </c>
      <c r="AI12" s="380" t="str">
        <f>Настройки!T12</f>
        <v>out10</v>
      </c>
      <c r="AJ12" s="380" t="str">
        <f>Настройки!U12</f>
        <v>out10</v>
      </c>
      <c r="AK12" s="380" t="str">
        <f>Настройки!V12</f>
        <v>ODIG_11</v>
      </c>
      <c r="AL12" s="380" t="str">
        <f>Настройки!W12</f>
        <v>-</v>
      </c>
      <c r="AM12" s="380" t="str">
        <f>Настройки!X12</f>
        <v>-</v>
      </c>
      <c r="AN12" s="380" t="str">
        <f>Настройки!Y12</f>
        <v>Canal_11</v>
      </c>
      <c r="AO12" s="380" t="str">
        <f>Настройки!Z12</f>
        <v>-</v>
      </c>
      <c r="AP12" s="380" t="str">
        <f>Настройки!AA12</f>
        <v>Canal_11</v>
      </c>
      <c r="AQ12" s="380" t="str">
        <f>Настройки!AB12</f>
        <v>Canal_11</v>
      </c>
      <c r="AR12" s="380" t="str">
        <f>Настройки!AC12</f>
        <v>OCCH[2]</v>
      </c>
      <c r="AS12" s="380" t="str">
        <f>Настройки!AD12</f>
        <v>OCCH[2]</v>
      </c>
      <c r="AT12" s="207" t="str">
        <f>Настройки!AB12</f>
        <v>Canal_11</v>
      </c>
      <c r="AU12" s="207" t="str">
        <f>Настройки!AC12</f>
        <v>OCCH[2]</v>
      </c>
      <c r="AV12" s="207" t="str">
        <f>Настройки!AD12</f>
        <v>OCCH[2]</v>
      </c>
      <c r="AW12" s="207" t="str">
        <f>Настройки!AE12</f>
        <v>IANS_6_1</v>
      </c>
      <c r="AX12" s="207" t="str">
        <f>Настройки!AF12</f>
        <v>IDIG_3_3</v>
      </c>
      <c r="AY12" s="207" t="str">
        <f>Настройки!AG12</f>
        <v>Canal_11</v>
      </c>
      <c r="AZ12" s="207" t="str">
        <f>Настройки!AH12</f>
        <v>Canal_11</v>
      </c>
      <c r="BA12" s="207" t="str">
        <f>Настройки!AI12</f>
        <v>Canal_11</v>
      </c>
      <c r="BB12" s="207" t="str">
        <f>Настройки!AJ12</f>
        <v>Canal_11</v>
      </c>
      <c r="BC12" s="207" t="str">
        <f>Настройки!AK12</f>
        <v>-</v>
      </c>
      <c r="BD12" s="207" t="str">
        <f>Настройки!AL12</f>
        <v>Canal_11</v>
      </c>
      <c r="BE12" s="207" t="str">
        <f>Настройки!AM12</f>
        <v>-</v>
      </c>
    </row>
    <row r="13" spans="1:57">
      <c r="A13" s="448" t="str">
        <f>SUBSTITUTE($P$2,"\","|")&amp;"|"&amp; $T$1 &amp;":="&amp;IF(LEFT(SUBSTITUTE($T$2," ",""),1)="!","NOT  ","")</f>
        <v>ZRU_OL1|IOFX:=</v>
      </c>
      <c r="B13" s="448" t="str">
        <f t="shared" ca="1" si="1"/>
        <v>BR</v>
      </c>
      <c r="C13" s="446" t="str">
        <f>LEFT($T$3,FIND("+",$T$3,1)-1)</f>
        <v>1</v>
      </c>
      <c r="D13" s="446" t="s">
        <v>178</v>
      </c>
      <c r="E13" s="446" t="str">
        <f ca="1">IF($T$2=0,"УДАЛИТЬ",IFERROR(IF(OR($I13="-",$H13="0"),"КАНАЛ ОТСУТСТВУЕТ",IF($I13=0,"МОДУЛЬ ОТСУТСТВУЕТ",$I13)),"ОШИБКА ФОРМАТА"))</f>
        <v>Canal_19</v>
      </c>
      <c r="F13" s="446" t="s">
        <v>845</v>
      </c>
      <c r="G13" s="447" t="str">
        <f t="shared" si="2"/>
        <v>M558D</v>
      </c>
      <c r="H13" s="447" t="str">
        <f>RIGHT(T$3,LEN(T$3)-FIND("+",T$3,1))</f>
        <v>19</v>
      </c>
      <c r="I13" s="460" t="str">
        <f t="shared" ca="1" si="3"/>
        <v>Canal_19</v>
      </c>
      <c r="M13" s="424" t="str">
        <f>'Конфигурация TREI'!A14</f>
        <v>BR12</v>
      </c>
      <c r="N13" s="424" t="str">
        <f>'Конфигурация TREI'!B14</f>
        <v>M558D</v>
      </c>
      <c r="AE13" s="431">
        <f>Настройки!P13</f>
        <v>12</v>
      </c>
      <c r="AF13" s="380">
        <f>Настройки!Q13</f>
        <v>0</v>
      </c>
      <c r="AG13" s="380" t="str">
        <f>Настройки!R13</f>
        <v>IDIG_6_2</v>
      </c>
      <c r="AH13" s="380" t="str">
        <f>Настройки!S13</f>
        <v>IANS_6_4</v>
      </c>
      <c r="AI13" s="380" t="str">
        <f>Настройки!T13</f>
        <v>out11</v>
      </c>
      <c r="AJ13" s="380" t="str">
        <f>Настройки!U13</f>
        <v>out11</v>
      </c>
      <c r="AK13" s="380" t="str">
        <f>Настройки!V13</f>
        <v>ODIG_12</v>
      </c>
      <c r="AL13" s="380" t="str">
        <f>Настройки!W13</f>
        <v>-</v>
      </c>
      <c r="AM13" s="380" t="str">
        <f>Настройки!X13</f>
        <v>-</v>
      </c>
      <c r="AN13" s="380" t="str">
        <f>Настройки!Y13</f>
        <v>Canal_12</v>
      </c>
      <c r="AO13" s="380" t="str">
        <f>Настройки!Z13</f>
        <v>-</v>
      </c>
      <c r="AP13" s="380" t="str">
        <f>Настройки!AA13</f>
        <v>Canal_12</v>
      </c>
      <c r="AQ13" s="380" t="str">
        <f>Настройки!AB13</f>
        <v>Canal_12</v>
      </c>
      <c r="AR13" s="380" t="str">
        <f>Настройки!AC13</f>
        <v>OCCH[3]</v>
      </c>
      <c r="AS13" s="380" t="str">
        <f>Настройки!AD13</f>
        <v>OCCH[3]</v>
      </c>
      <c r="AT13" s="207" t="str">
        <f>Настройки!AB13</f>
        <v>Canal_12</v>
      </c>
      <c r="AU13" s="207" t="str">
        <f>Настройки!AC13</f>
        <v>OCCH[3]</v>
      </c>
      <c r="AV13" s="207" t="str">
        <f>Настройки!AD13</f>
        <v>OCCH[3]</v>
      </c>
      <c r="AW13" s="207" t="str">
        <f>Настройки!AE13</f>
        <v>IANS_6_2</v>
      </c>
      <c r="AX13" s="207" t="str">
        <f>Настройки!AF13</f>
        <v>IDIG_3_4</v>
      </c>
      <c r="AY13" s="207" t="str">
        <f>Настройки!AG13</f>
        <v>Canal_12</v>
      </c>
      <c r="AZ13" s="207" t="str">
        <f>Настройки!AH13</f>
        <v>Canal_12</v>
      </c>
      <c r="BA13" s="207" t="str">
        <f>Настройки!AI13</f>
        <v>Canal_12</v>
      </c>
      <c r="BB13" s="207" t="str">
        <f>Настройки!AJ13</f>
        <v>Canal_12</v>
      </c>
      <c r="BC13" s="207" t="str">
        <f>Настройки!AK13</f>
        <v>-</v>
      </c>
      <c r="BD13" s="207" t="str">
        <f>Настройки!AL13</f>
        <v>Canal_12</v>
      </c>
      <c r="BE13" s="207" t="str">
        <f>Настройки!AM13</f>
        <v>-</v>
      </c>
    </row>
    <row r="14" spans="1:57">
      <c r="A14" s="448" t="str">
        <f>SUBSTITUTE($P$2,"\","|")&amp;"|"&amp; $U$1 &amp;":="&amp;IF(LEFT(SUBSTITUTE($U$2," ",""),1)="!","NOT  ","")</f>
        <v>ZRU_OL1|ILCX:=</v>
      </c>
      <c r="B14" s="448" t="str">
        <f t="shared" ca="1" si="1"/>
        <v>BR</v>
      </c>
      <c r="C14" s="446" t="str">
        <f>LEFT($U$3,FIND("+",$U$3,1)-1)</f>
        <v>1</v>
      </c>
      <c r="D14" s="446" t="s">
        <v>178</v>
      </c>
      <c r="E14" s="446" t="str">
        <f ca="1">IF($U$2=0,"УДАЛИТЬ",IFERROR(IF(OR($I14="-",$H14="0"),"КАНАЛ ОТСУТСТВУЕТ",IF($I14=0,"МОДУЛЬ ОТСУТСТВУЕТ",$I14)),"ОШИБКА ФОРМАТА"))</f>
        <v>Canal_20</v>
      </c>
      <c r="F14" s="446" t="s">
        <v>845</v>
      </c>
      <c r="G14" s="447" t="str">
        <f t="shared" si="2"/>
        <v>M558D</v>
      </c>
      <c r="H14" s="447" t="str">
        <f>RIGHT($U$3,LEN($U$3)-FIND("+",$U$3,1))</f>
        <v>20</v>
      </c>
      <c r="I14" s="460" t="str">
        <f t="shared" ca="1" si="3"/>
        <v>Canal_20</v>
      </c>
      <c r="M14" s="424" t="str">
        <f>'Конфигурация TREI'!A15</f>
        <v>BR13</v>
      </c>
      <c r="N14" s="424" t="str">
        <f>'Конфигурация TREI'!B15</f>
        <v>M558D</v>
      </c>
      <c r="AE14" s="431">
        <f>Настройки!P14</f>
        <v>13</v>
      </c>
      <c r="AF14" s="380">
        <f>Настройки!Q14</f>
        <v>0</v>
      </c>
      <c r="AG14" s="380" t="str">
        <f>Настройки!R14</f>
        <v>IDIG_7_1</v>
      </c>
      <c r="AH14" s="380" t="str">
        <f>Настройки!S14</f>
        <v>IANS_7_3</v>
      </c>
      <c r="AI14" s="380" t="str">
        <f>Настройки!T14</f>
        <v>out12</v>
      </c>
      <c r="AJ14" s="380" t="str">
        <f>Настройки!U14</f>
        <v>out12</v>
      </c>
      <c r="AK14" s="380" t="str">
        <f>Настройки!V14</f>
        <v>ODIG_13</v>
      </c>
      <c r="AL14" s="380" t="str">
        <f>Настройки!W14</f>
        <v>-</v>
      </c>
      <c r="AM14" s="380" t="str">
        <f>Настройки!X14</f>
        <v>-</v>
      </c>
      <c r="AN14" s="380" t="str">
        <f>Настройки!Y14</f>
        <v>Canal_13</v>
      </c>
      <c r="AO14" s="380" t="str">
        <f>Настройки!Z14</f>
        <v>-</v>
      </c>
      <c r="AP14" s="380" t="str">
        <f>Настройки!AA14</f>
        <v>Canal_13</v>
      </c>
      <c r="AQ14" s="380" t="str">
        <f>Настройки!AB14</f>
        <v>Canal_13</v>
      </c>
      <c r="AR14" s="380" t="str">
        <f>Настройки!AC14</f>
        <v>OCCH[4]</v>
      </c>
      <c r="AS14" s="380" t="str">
        <f>Настройки!AD14</f>
        <v>OCCH[4]</v>
      </c>
      <c r="AT14" s="207" t="str">
        <f>Настройки!AB14</f>
        <v>Canal_13</v>
      </c>
      <c r="AU14" s="207" t="str">
        <f>Настройки!AC14</f>
        <v>OCCH[4]</v>
      </c>
      <c r="AV14" s="207" t="str">
        <f>Настройки!AD14</f>
        <v>OCCH[4]</v>
      </c>
      <c r="AW14" s="207" t="str">
        <f>Настройки!AE14</f>
        <v>IANS_7_1</v>
      </c>
      <c r="AX14" s="207" t="str">
        <f>Настройки!AF14</f>
        <v>IDIG_4_1</v>
      </c>
      <c r="AY14" s="207" t="str">
        <f>Настройки!AG14</f>
        <v>Canal_13</v>
      </c>
      <c r="AZ14" s="207" t="str">
        <f>Настройки!AH14</f>
        <v>Canal_13</v>
      </c>
      <c r="BA14" s="207" t="str">
        <f>Настройки!AI14</f>
        <v>Canal_13</v>
      </c>
      <c r="BB14" s="207" t="str">
        <f>Настройки!AJ14</f>
        <v>Canal_13</v>
      </c>
      <c r="BC14" s="207" t="str">
        <f>Настройки!AK14</f>
        <v>-</v>
      </c>
      <c r="BD14" s="207" t="str">
        <f>Настройки!AL14</f>
        <v>Canal_13</v>
      </c>
      <c r="BE14" s="207" t="str">
        <f>Настройки!AM14</f>
        <v>-</v>
      </c>
    </row>
    <row r="15" spans="1:57">
      <c r="A15" s="448" t="str">
        <f>SUBSTITUTE($P$2,"\","|")&amp;"|"&amp; $V$1 &amp;":="&amp;IF(LEFT(SUBSTITUTE($V$2," ",""),1)="!","NOT  ","")</f>
        <v>ZRU_OL1|IRCX:=</v>
      </c>
      <c r="B15" s="448" t="str">
        <f t="shared" ca="1" si="1"/>
        <v>BR</v>
      </c>
      <c r="C15" s="446" t="str">
        <f>LEFT($V$3,FIND("+",$V$3,1)-1)</f>
        <v>1</v>
      </c>
      <c r="D15" s="446" t="s">
        <v>178</v>
      </c>
      <c r="E15" s="446" t="str">
        <f ca="1">IF($V$2=0,"УДАЛИТЬ",IFERROR(IF(OR($I15="-",$H15="0"),"КАНАЛ ОТСУТСТВУЕТ",IF($I15=0,"МОДУЛЬ ОТСУТСТВУЕТ",$I15)),"ОШИБКА ФОРМАТА"))</f>
        <v>Canal_21</v>
      </c>
      <c r="F15" s="446" t="s">
        <v>845</v>
      </c>
      <c r="G15" s="447" t="str">
        <f t="shared" si="2"/>
        <v>M558D</v>
      </c>
      <c r="H15" s="447" t="str">
        <f>RIGHT($V$3,LEN($V$3)-FIND("+",$V$3,1))</f>
        <v>21</v>
      </c>
      <c r="I15" s="460" t="str">
        <f t="shared" ca="1" si="3"/>
        <v>Canal_21</v>
      </c>
      <c r="M15" s="424" t="str">
        <f>'Конфигурация TREI'!A16</f>
        <v>BR14</v>
      </c>
      <c r="N15" s="424" t="str">
        <f>'Конфигурация TREI'!B16</f>
        <v>M558D</v>
      </c>
      <c r="AE15" s="431">
        <f>Настройки!P15</f>
        <v>14</v>
      </c>
      <c r="AF15" s="380">
        <f>Настройки!Q15</f>
        <v>0</v>
      </c>
      <c r="AG15" s="380" t="str">
        <f>Настройки!R15</f>
        <v>IDIG_7_2</v>
      </c>
      <c r="AH15" s="380" t="str">
        <f>Настройки!S15</f>
        <v>IANS_7_4</v>
      </c>
      <c r="AI15" s="380" t="str">
        <f>Настройки!T15</f>
        <v>out13</v>
      </c>
      <c r="AJ15" s="380" t="str">
        <f>Настройки!U15</f>
        <v>out13</v>
      </c>
      <c r="AK15" s="380" t="str">
        <f>Настройки!V15</f>
        <v>ODIG_14</v>
      </c>
      <c r="AL15" s="380" t="str">
        <f>Настройки!W15</f>
        <v>-</v>
      </c>
      <c r="AM15" s="380" t="str">
        <f>Настройки!X15</f>
        <v>-</v>
      </c>
      <c r="AN15" s="380" t="str">
        <f>Настройки!Y15</f>
        <v>Canal_14</v>
      </c>
      <c r="AO15" s="380" t="str">
        <f>Настройки!Z15</f>
        <v>-</v>
      </c>
      <c r="AP15" s="380" t="str">
        <f>Настройки!AA15</f>
        <v>Canal_14</v>
      </c>
      <c r="AQ15" s="380" t="str">
        <f>Настройки!AB15</f>
        <v>Canal_14</v>
      </c>
      <c r="AR15" s="380" t="str">
        <f>Настройки!AC15</f>
        <v>OCCH[5]</v>
      </c>
      <c r="AS15" s="380" t="str">
        <f>Настройки!AD15</f>
        <v>OCCH[5]</v>
      </c>
      <c r="AT15" s="207" t="str">
        <f>Настройки!AB15</f>
        <v>Canal_14</v>
      </c>
      <c r="AU15" s="207" t="str">
        <f>Настройки!AC15</f>
        <v>OCCH[5]</v>
      </c>
      <c r="AV15" s="207" t="str">
        <f>Настройки!AD15</f>
        <v>OCCH[5]</v>
      </c>
      <c r="AW15" s="207" t="str">
        <f>Настройки!AE15</f>
        <v>IANS_7_2</v>
      </c>
      <c r="AX15" s="207" t="str">
        <f>Настройки!AF15</f>
        <v>IDIG_4_2</v>
      </c>
      <c r="AY15" s="207" t="str">
        <f>Настройки!AG15</f>
        <v>Canal_14</v>
      </c>
      <c r="AZ15" s="207" t="str">
        <f>Настройки!AH15</f>
        <v>Canal_14</v>
      </c>
      <c r="BA15" s="207" t="str">
        <f>Настройки!AI15</f>
        <v>Canal_14</v>
      </c>
      <c r="BB15" s="207" t="str">
        <f>Настройки!AJ15</f>
        <v>Canal_14</v>
      </c>
      <c r="BC15" s="207" t="str">
        <f>Настройки!AK15</f>
        <v>-</v>
      </c>
      <c r="BD15" s="207" t="str">
        <f>Настройки!AL15</f>
        <v>Canal_14</v>
      </c>
      <c r="BE15" s="207" t="str">
        <f>Настройки!AM15</f>
        <v>-</v>
      </c>
    </row>
    <row r="16" spans="1:57">
      <c r="A16" s="448" t="str">
        <f>SUBSTITUTE($P$2,"\","|")&amp;"|"&amp; $W$1 &amp;":="&amp;IF(LEFT(SUBSTITUTE($W$2," ",""),1)="!","NOT  ","")</f>
        <v>ZRU_OL1|IFXX:=</v>
      </c>
      <c r="B16" s="448" t="str">
        <f t="shared" ca="1" si="1"/>
        <v>BR</v>
      </c>
      <c r="C16" s="446" t="str">
        <f>LEFT($W$3,FIND("+",$W$3,1)-1)</f>
        <v>1</v>
      </c>
      <c r="D16" s="446" t="s">
        <v>178</v>
      </c>
      <c r="E16" s="446" t="str">
        <f ca="1">IF($W$2=0,"УДАЛИТЬ",IFERROR(IF(OR($I16="-",$H16="0"),"КАНАЛ ОТСУТСТВУЕТ",IF($I16=0,"МОДУЛЬ ОТСУТСТВУЕТ",$I16)),"ОШИБКА ФОРМАТА"))</f>
        <v>Canal_22</v>
      </c>
      <c r="F16" s="446" t="s">
        <v>845</v>
      </c>
      <c r="G16" s="447" t="str">
        <f t="shared" si="2"/>
        <v>M558D</v>
      </c>
      <c r="H16" s="447" t="str">
        <f>RIGHT($W$3,LEN($W$3)-FIND("+",$W$3,1))</f>
        <v>22</v>
      </c>
      <c r="I16" s="460" t="str">
        <f t="shared" ca="1" si="3"/>
        <v>Canal_22</v>
      </c>
      <c r="M16" s="424" t="str">
        <f>'Конфигурация TREI'!A17</f>
        <v>BR15</v>
      </c>
      <c r="N16" s="424" t="str">
        <f>'Конфигурация TREI'!B17</f>
        <v>M558O</v>
      </c>
      <c r="AE16" s="431">
        <f>Настройки!P16</f>
        <v>15</v>
      </c>
      <c r="AF16" s="380">
        <f>Настройки!Q16</f>
        <v>0</v>
      </c>
      <c r="AG16" s="380" t="str">
        <f>Настройки!R16</f>
        <v>IDIG_8_1</v>
      </c>
      <c r="AH16" s="380" t="str">
        <f>Настройки!S16</f>
        <v>IANS_8_3</v>
      </c>
      <c r="AI16" s="380" t="str">
        <f>Настройки!T16</f>
        <v>out14</v>
      </c>
      <c r="AJ16" s="380" t="str">
        <f>Настройки!U16</f>
        <v>out14</v>
      </c>
      <c r="AK16" s="380" t="str">
        <f>Настройки!V16</f>
        <v>ODIG_15</v>
      </c>
      <c r="AL16" s="380" t="str">
        <f>Настройки!W16</f>
        <v>-</v>
      </c>
      <c r="AM16" s="380" t="str">
        <f>Настройки!X16</f>
        <v>-</v>
      </c>
      <c r="AN16" s="380" t="str">
        <f>Настройки!Y16</f>
        <v>Canal_15</v>
      </c>
      <c r="AO16" s="380" t="str">
        <f>Настройки!Z16</f>
        <v>-</v>
      </c>
      <c r="AP16" s="380" t="str">
        <f>Настройки!AA16</f>
        <v>Canal_15</v>
      </c>
      <c r="AQ16" s="380" t="str">
        <f>Настройки!AB16</f>
        <v>Canal_15</v>
      </c>
      <c r="AR16" s="380" t="str">
        <f>Настройки!AC16</f>
        <v>OCCH[6]</v>
      </c>
      <c r="AS16" s="380" t="str">
        <f>Настройки!AD16</f>
        <v>OCCH[6]</v>
      </c>
      <c r="AT16" s="207" t="str">
        <f>Настройки!AB16</f>
        <v>Canal_15</v>
      </c>
      <c r="AU16" s="207" t="str">
        <f>Настройки!AC16</f>
        <v>OCCH[6]</v>
      </c>
      <c r="AV16" s="207" t="str">
        <f>Настройки!AD16</f>
        <v>OCCH[6]</v>
      </c>
      <c r="AW16" s="207" t="str">
        <f>Настройки!AE16</f>
        <v>IANS_8_1</v>
      </c>
      <c r="AX16" s="207" t="str">
        <f>Настройки!AF16</f>
        <v>IDIG_4_3</v>
      </c>
      <c r="AY16" s="207" t="str">
        <f>Настройки!AG16</f>
        <v>Canal_15</v>
      </c>
      <c r="AZ16" s="207" t="str">
        <f>Настройки!AH16</f>
        <v>Canal_15</v>
      </c>
      <c r="BA16" s="207" t="str">
        <f>Настройки!AI16</f>
        <v>Canal_15</v>
      </c>
      <c r="BB16" s="207" t="str">
        <f>Настройки!AJ16</f>
        <v>Canal_15</v>
      </c>
      <c r="BC16" s="207" t="str">
        <f>Настройки!AK16</f>
        <v>-</v>
      </c>
      <c r="BD16" s="207" t="str">
        <f>Настройки!AL16</f>
        <v>Canal_15</v>
      </c>
      <c r="BE16" s="207" t="str">
        <f>Настройки!AM16</f>
        <v>-</v>
      </c>
    </row>
    <row r="17" spans="1:57">
      <c r="A17" s="448" t="str">
        <f>SUBSTITUTE($P$2,"\","|")&amp;"|"&amp; $Z$1 &amp;":="&amp;IF(LEFT(SUBSTITUTE($Z$2," ",""),1)="!","NOT  ","")</f>
        <v>ZRU_OL1|IPTC:=</v>
      </c>
      <c r="B17" s="448" t="str">
        <f t="shared" ca="1" si="1"/>
        <v>BR</v>
      </c>
      <c r="C17" s="446" t="str">
        <f>LEFT($Z$3,FIND("+",$Z$3,1)-1)</f>
        <v>1</v>
      </c>
      <c r="D17" s="446" t="s">
        <v>178</v>
      </c>
      <c r="E17" s="446" t="str">
        <f ca="1">IF($Z$2=0,"УДАЛИТЬ",IFERROR(IF(OR($I17="-",$H17="0"),"КАНАЛ ОТСУТСТВУЕТ",IF($I17=0,"МОДУЛЬ ОТСУТСТВУЕТ",$I17)),"ОШИБКА ФОРМАТА"))</f>
        <v>Canal_23</v>
      </c>
      <c r="F17" s="446" t="s">
        <v>845</v>
      </c>
      <c r="G17" s="447" t="str">
        <f t="shared" si="2"/>
        <v>M558D</v>
      </c>
      <c r="H17" s="447" t="str">
        <f>RIGHT($Z$3,LEN($Z$3)-FIND("+",$Z$3,1))</f>
        <v>23</v>
      </c>
      <c r="I17" s="460" t="str">
        <f t="shared" ca="1" si="3"/>
        <v>Canal_23</v>
      </c>
      <c r="M17" s="424" t="str">
        <f>'Конфигурация TREI'!A18</f>
        <v>BR16</v>
      </c>
      <c r="N17" s="424" t="str">
        <f>'Конфигурация TREI'!B18</f>
        <v>M558O</v>
      </c>
      <c r="AE17" s="431">
        <f>Настройки!P17</f>
        <v>16</v>
      </c>
      <c r="AF17" s="380">
        <f>Настройки!Q17</f>
        <v>0</v>
      </c>
      <c r="AG17" s="380" t="str">
        <f>Настройки!R17</f>
        <v>IDIG_8_2</v>
      </c>
      <c r="AH17" s="380" t="str">
        <f>Настройки!S17</f>
        <v>IANS_8_4</v>
      </c>
      <c r="AI17" s="380" t="str">
        <f>Настройки!T17</f>
        <v>out15</v>
      </c>
      <c r="AJ17" s="380" t="str">
        <f>Настройки!U17</f>
        <v>out15</v>
      </c>
      <c r="AK17" s="380" t="str">
        <f>Настройки!V17</f>
        <v>ODIG_16</v>
      </c>
      <c r="AL17" s="380" t="str">
        <f>Настройки!W17</f>
        <v>-</v>
      </c>
      <c r="AM17" s="380" t="str">
        <f>Настройки!X17</f>
        <v>-</v>
      </c>
      <c r="AN17" s="380" t="str">
        <f>Настройки!Y17</f>
        <v>Canal_16</v>
      </c>
      <c r="AO17" s="380" t="str">
        <f>Настройки!Z17</f>
        <v>-</v>
      </c>
      <c r="AP17" s="380" t="str">
        <f>Настройки!AA17</f>
        <v>Canal_16</v>
      </c>
      <c r="AQ17" s="380" t="str">
        <f>Настройки!AB17</f>
        <v>Canal_16</v>
      </c>
      <c r="AR17" s="380" t="str">
        <f>Настройки!AC17</f>
        <v>OCCH[7]</v>
      </c>
      <c r="AS17" s="380" t="str">
        <f>Настройки!AD17</f>
        <v>OCCH[7]</v>
      </c>
      <c r="AT17" s="207" t="str">
        <f>Настройки!AB17</f>
        <v>Canal_16</v>
      </c>
      <c r="AU17" s="207" t="str">
        <f>Настройки!AC17</f>
        <v>OCCH[7]</v>
      </c>
      <c r="AV17" s="207" t="str">
        <f>Настройки!AD17</f>
        <v>OCCH[7]</v>
      </c>
      <c r="AW17" s="207" t="str">
        <f>Настройки!AE17</f>
        <v>IANS_8_2</v>
      </c>
      <c r="AX17" s="207" t="str">
        <f>Настройки!AF17</f>
        <v>IDIG_4_4</v>
      </c>
      <c r="AY17" s="207" t="str">
        <f>Настройки!AG17</f>
        <v>Canal_16</v>
      </c>
      <c r="AZ17" s="207" t="str">
        <f>Настройки!AH17</f>
        <v>Canal_16</v>
      </c>
      <c r="BA17" s="207" t="str">
        <f>Настройки!AI17</f>
        <v>Canal_16</v>
      </c>
      <c r="BB17" s="207" t="str">
        <f>Настройки!AJ17</f>
        <v>Canal_16</v>
      </c>
      <c r="BC17" s="207" t="str">
        <f>Настройки!AK17</f>
        <v>-</v>
      </c>
      <c r="BD17" s="207" t="str">
        <f>Настройки!AL17</f>
        <v>Canal_16</v>
      </c>
      <c r="BE17" s="207" t="str">
        <f>Настройки!AM17</f>
        <v>-</v>
      </c>
    </row>
    <row r="18" spans="1:57">
      <c r="A18" s="448" t="str">
        <f>SUBSTITUTE($P$2,"\","|")&amp;"|"&amp; $AA$1 &amp;":="&amp;IF(LEFT(SUBSTITUTE($AA$2," ",""),1)="!","NOT  ","")</f>
        <v>ZRU_OL1|ITON:=</v>
      </c>
      <c r="B18" s="448" t="str">
        <f t="shared" ca="1" si="1"/>
        <v>BR</v>
      </c>
      <c r="C18" s="446" t="str">
        <f>LEFT($AA$3,FIND("+",$AA$3,1)-1)</f>
        <v>1</v>
      </c>
      <c r="D18" s="446" t="s">
        <v>178</v>
      </c>
      <c r="E18" s="446" t="str">
        <f ca="1">IF($AA$2=0,"УДАЛИТЬ",IFERROR(IF(OR($I18="-",$H18="0"),"КАНАЛ ОТСУТСТВУЕТ",IF($I18=0,"МОДУЛЬ ОТСУТСТВУЕТ",$I18)),"ОШИБКА ФОРМАТА"))</f>
        <v>Canal_24</v>
      </c>
      <c r="F18" s="446" t="s">
        <v>845</v>
      </c>
      <c r="G18" s="447" t="str">
        <f t="shared" si="2"/>
        <v>M558D</v>
      </c>
      <c r="H18" s="447" t="str">
        <f>RIGHT($AA$3,LEN($AA$3)-FIND("+",$AA$3,1))</f>
        <v>24</v>
      </c>
      <c r="I18" s="460" t="str">
        <f t="shared" ca="1" si="3"/>
        <v>Canal_24</v>
      </c>
      <c r="M18" s="424" t="str">
        <f>'Конфигурация TREI'!A19</f>
        <v>BR17</v>
      </c>
      <c r="N18" s="424" t="str">
        <f>'Конфигурация TREI'!B19</f>
        <v>M558O</v>
      </c>
      <c r="AE18" s="428">
        <f>Настройки!P18</f>
        <v>17</v>
      </c>
      <c r="AF18" s="380">
        <f>Настройки!Q18</f>
        <v>0</v>
      </c>
      <c r="AG18" s="380" t="str">
        <f>Настройки!R18</f>
        <v>-</v>
      </c>
      <c r="AH18" s="380" t="str">
        <f>Настройки!S18</f>
        <v>-</v>
      </c>
      <c r="AI18" s="380" t="str">
        <f>Настройки!T18</f>
        <v>out16</v>
      </c>
      <c r="AJ18" s="380" t="str">
        <f>Настройки!U18</f>
        <v>out16</v>
      </c>
      <c r="AK18" s="380" t="str">
        <f>Настройки!V18</f>
        <v>-</v>
      </c>
      <c r="AL18" s="380" t="str">
        <f>Настройки!W18</f>
        <v>-</v>
      </c>
      <c r="AM18" s="380" t="str">
        <f>Настройки!X18</f>
        <v>-</v>
      </c>
      <c r="AN18" s="380" t="str">
        <f>Настройки!Y18</f>
        <v>-</v>
      </c>
      <c r="AO18" s="380" t="str">
        <f>Настройки!Z18</f>
        <v>-</v>
      </c>
      <c r="AP18" s="380" t="str">
        <f>Настройки!AA18</f>
        <v>Canal_17</v>
      </c>
      <c r="AQ18" s="380" t="str">
        <f>Настройки!AB18</f>
        <v>Canal_17</v>
      </c>
      <c r="AR18" s="380" t="str">
        <f>Настройки!AC18</f>
        <v>-</v>
      </c>
      <c r="AS18" s="380" t="str">
        <f>Настройки!AD18</f>
        <v>-</v>
      </c>
      <c r="AT18" s="207" t="str">
        <f>Настройки!AB18</f>
        <v>Canal_17</v>
      </c>
      <c r="AU18" s="207" t="str">
        <f>Настройки!AC18</f>
        <v>-</v>
      </c>
      <c r="AV18" s="207" t="str">
        <f>Настройки!AD18</f>
        <v>-</v>
      </c>
      <c r="AW18" s="207" t="str">
        <f>Настройки!AE18</f>
        <v>-</v>
      </c>
      <c r="AX18" s="207" t="str">
        <f>Настройки!AF18</f>
        <v>IDIG_5_1</v>
      </c>
      <c r="AY18" s="207" t="str">
        <f>Настройки!AG18</f>
        <v>Canal_17</v>
      </c>
      <c r="AZ18" s="207" t="str">
        <f>Настройки!AH18</f>
        <v>Canal_17</v>
      </c>
      <c r="BA18" s="207" t="str">
        <f>Настройки!AI18</f>
        <v>Canal_17</v>
      </c>
      <c r="BB18" s="207" t="str">
        <f>Настройки!AJ18</f>
        <v>-</v>
      </c>
      <c r="BC18" s="207" t="str">
        <f>Настройки!AK18</f>
        <v>-</v>
      </c>
      <c r="BD18" s="207" t="str">
        <f>Настройки!AL18</f>
        <v>Canal_17</v>
      </c>
      <c r="BE18" s="207" t="str">
        <f>Настройки!AM18</f>
        <v>-</v>
      </c>
    </row>
    <row r="19" spans="1:57">
      <c r="A19" s="448" t="str">
        <f>SUBSTITUTE($P$2,"\","|")&amp;"|"&amp; $AB$1 &amp;":="&amp;IF(LEFT(SUBSTITUTE($AB$2," ",""),1)="!","NOT  ","")</f>
        <v>ZRU_OL1|ITOF:=</v>
      </c>
      <c r="B19" s="448" t="str">
        <f t="shared" ca="1" si="1"/>
        <v>BR</v>
      </c>
      <c r="C19" s="446" t="str">
        <f>LEFT($AB$3,FIND("+",$AB$3,1)-1)</f>
        <v>1</v>
      </c>
      <c r="D19" s="446" t="s">
        <v>178</v>
      </c>
      <c r="E19" s="446" t="str">
        <f ca="1">IF($AB$2=0,"УДАЛИТЬ",IFERROR(IF(OR($I19="-",$H19="0"),"КАНАЛ ОТСУТСТВУЕТ",IF($I19=0,"МОДУЛЬ ОТСУТСТВУЕТ",$I19)),"ОШИБКА ФОРМАТА"))</f>
        <v>Canal_25</v>
      </c>
      <c r="F19" s="446" t="s">
        <v>845</v>
      </c>
      <c r="G19" s="447" t="str">
        <f t="shared" si="2"/>
        <v>M558D</v>
      </c>
      <c r="H19" s="447" t="str">
        <f>RIGHT($AB$3,LEN($AB$3)-FIND("+",$AB$3,1))</f>
        <v>25</v>
      </c>
      <c r="I19" s="460" t="str">
        <f t="shared" ca="1" si="3"/>
        <v>Canal_25</v>
      </c>
      <c r="M19" s="424" t="str">
        <f>'Конфигурация TREI'!A20</f>
        <v>BR18</v>
      </c>
      <c r="N19" s="424" t="str">
        <f>'Конфигурация TREI'!B20</f>
        <v>M558O</v>
      </c>
      <c r="AE19" s="428">
        <f>Настройки!P19</f>
        <v>18</v>
      </c>
      <c r="AF19" s="380">
        <f>Настройки!Q19</f>
        <v>0</v>
      </c>
      <c r="AG19" s="380" t="str">
        <f>Настройки!R19</f>
        <v>-</v>
      </c>
      <c r="AH19" s="380" t="str">
        <f>Настройки!S19</f>
        <v>-</v>
      </c>
      <c r="AI19" s="380" t="str">
        <f>Настройки!T19</f>
        <v>out17</v>
      </c>
      <c r="AJ19" s="380" t="str">
        <f>Настройки!U19</f>
        <v>out17</v>
      </c>
      <c r="AK19" s="380" t="str">
        <f>Настройки!V19</f>
        <v>-</v>
      </c>
      <c r="AL19" s="380" t="str">
        <f>Настройки!W19</f>
        <v>-</v>
      </c>
      <c r="AM19" s="380" t="str">
        <f>Настройки!X19</f>
        <v>-</v>
      </c>
      <c r="AN19" s="380" t="str">
        <f>Настройки!Y19</f>
        <v>-</v>
      </c>
      <c r="AO19" s="380" t="str">
        <f>Настройки!Z19</f>
        <v>-</v>
      </c>
      <c r="AP19" s="380" t="str">
        <f>Настройки!AA19</f>
        <v>Canal_18</v>
      </c>
      <c r="AQ19" s="380" t="str">
        <f>Настройки!AB19</f>
        <v>Canal_18</v>
      </c>
      <c r="AR19" s="380" t="str">
        <f>Настройки!AC19</f>
        <v>-</v>
      </c>
      <c r="AS19" s="380" t="str">
        <f>Настройки!AD19</f>
        <v>-</v>
      </c>
      <c r="AT19" s="207" t="str">
        <f>Настройки!AB19</f>
        <v>Canal_18</v>
      </c>
      <c r="AU19" s="207" t="str">
        <f>Настройки!AC19</f>
        <v>-</v>
      </c>
      <c r="AV19" s="207" t="str">
        <f>Настройки!AD19</f>
        <v>-</v>
      </c>
      <c r="AW19" s="207" t="str">
        <f>Настройки!AE19</f>
        <v>-</v>
      </c>
      <c r="AX19" s="207" t="str">
        <f>Настройки!AF19</f>
        <v>IDIG_5_2</v>
      </c>
      <c r="AY19" s="207" t="str">
        <f>Настройки!AG19</f>
        <v>Canal_18</v>
      </c>
      <c r="AZ19" s="207" t="str">
        <f>Настройки!AH19</f>
        <v>Canal_18</v>
      </c>
      <c r="BA19" s="207" t="str">
        <f>Настройки!AI19</f>
        <v>Canal_18</v>
      </c>
      <c r="BB19" s="207" t="str">
        <f>Настройки!AJ19</f>
        <v>-</v>
      </c>
      <c r="BC19" s="207" t="str">
        <f>Настройки!AK19</f>
        <v>-</v>
      </c>
      <c r="BD19" s="207" t="str">
        <f>Настройки!AL19</f>
        <v>Canal_18</v>
      </c>
      <c r="BE19" s="207" t="str">
        <f>Настройки!AM19</f>
        <v>-</v>
      </c>
    </row>
    <row r="20" spans="1:57">
      <c r="A20" s="448" t="str">
        <f>SUBSTITUTE($P$2,"\","|")&amp;"|"&amp; $AC$1 &amp;":="&amp;IF(LEFT(SUBSTITUTE($AC$2," ",""),1)="!","NOT  ","")</f>
        <v>ZRU_OL1|IPTO:=</v>
      </c>
      <c r="B20" s="448" t="str">
        <f t="shared" ca="1" si="1"/>
        <v>BR</v>
      </c>
      <c r="C20" s="446" t="str">
        <f>LEFT($AC$3,FIND("+",$AC$3,1)-1)</f>
        <v>1</v>
      </c>
      <c r="D20" s="446" t="s">
        <v>178</v>
      </c>
      <c r="E20" s="446" t="str">
        <f ca="1">IF($AC$2=0,"УДАЛИТЬ",IFERROR(IF(OR($I20="-",$H20="0"),"КАНАЛ ОТСУТСТВУЕТ",IF($I20=0,"МОДУЛЬ ОТСУТСТВУЕТ",$I20)),"ОШИБКА ФОРМАТА"))</f>
        <v>Canal_26</v>
      </c>
      <c r="F20" s="446" t="s">
        <v>845</v>
      </c>
      <c r="G20" s="447" t="str">
        <f t="shared" si="2"/>
        <v>M558D</v>
      </c>
      <c r="H20" s="447" t="str">
        <f>RIGHT($AC$3,LEN($AC$3)-FIND("+",$AC$3,1))</f>
        <v>26</v>
      </c>
      <c r="I20" s="460" t="str">
        <f t="shared" ca="1" si="3"/>
        <v>Canal_26</v>
      </c>
      <c r="M20" s="424" t="str">
        <f>'Конфигурация TREI'!A21</f>
        <v>BR19</v>
      </c>
      <c r="N20" s="424" t="str">
        <f>'Конфигурация TREI'!B21</f>
        <v>M558O</v>
      </c>
      <c r="AE20" s="428">
        <f>Настройки!P20</f>
        <v>19</v>
      </c>
      <c r="AF20" s="380">
        <f>Настройки!Q20</f>
        <v>0</v>
      </c>
      <c r="AG20" s="380" t="str">
        <f>Настройки!R20</f>
        <v>-</v>
      </c>
      <c r="AH20" s="380" t="str">
        <f>Настройки!S20</f>
        <v>-</v>
      </c>
      <c r="AI20" s="380" t="str">
        <f>Настройки!T20</f>
        <v>out18</v>
      </c>
      <c r="AJ20" s="380" t="str">
        <f>Настройки!U20</f>
        <v>out18</v>
      </c>
      <c r="AK20" s="380" t="str">
        <f>Настройки!V20</f>
        <v>-</v>
      </c>
      <c r="AL20" s="380" t="str">
        <f>Настройки!W20</f>
        <v>-</v>
      </c>
      <c r="AM20" s="380" t="str">
        <f>Настройки!X20</f>
        <v>-</v>
      </c>
      <c r="AN20" s="380" t="str">
        <f>Настройки!Y20</f>
        <v>-</v>
      </c>
      <c r="AO20" s="380" t="str">
        <f>Настройки!Z20</f>
        <v>-</v>
      </c>
      <c r="AP20" s="380" t="str">
        <f>Настройки!AA20</f>
        <v>Canal_19</v>
      </c>
      <c r="AQ20" s="380" t="str">
        <f>Настройки!AB20</f>
        <v>Canal_19</v>
      </c>
      <c r="AR20" s="380" t="str">
        <f>Настройки!AC20</f>
        <v>-</v>
      </c>
      <c r="AS20" s="380" t="str">
        <f>Настройки!AD20</f>
        <v>-</v>
      </c>
      <c r="AT20" s="207" t="str">
        <f>Настройки!AB20</f>
        <v>Canal_19</v>
      </c>
      <c r="AU20" s="207" t="str">
        <f>Настройки!AC20</f>
        <v>-</v>
      </c>
      <c r="AV20" s="207" t="str">
        <f>Настройки!AD20</f>
        <v>-</v>
      </c>
      <c r="AW20" s="207" t="str">
        <f>Настройки!AE20</f>
        <v>-</v>
      </c>
      <c r="AX20" s="207" t="str">
        <f>Настройки!AF20</f>
        <v>IDIG_5_3</v>
      </c>
      <c r="AY20" s="207" t="str">
        <f>Настройки!AG20</f>
        <v>Canal_19</v>
      </c>
      <c r="AZ20" s="207" t="str">
        <f>Настройки!AH20</f>
        <v>Canal_19</v>
      </c>
      <c r="BA20" s="207" t="str">
        <f>Настройки!AI20</f>
        <v>Canal_19</v>
      </c>
      <c r="BB20" s="207" t="str">
        <f>Настройки!AJ20</f>
        <v>-</v>
      </c>
      <c r="BC20" s="207" t="str">
        <f>Настройки!AK20</f>
        <v>-</v>
      </c>
      <c r="BD20" s="207" t="str">
        <f>Настройки!AL20</f>
        <v>Canal_19</v>
      </c>
      <c r="BE20" s="207" t="str">
        <f>Настройки!AM20</f>
        <v>-</v>
      </c>
    </row>
    <row r="21" spans="1:57">
      <c r="A21" s="448" t="str">
        <f>SUBSTITUTE($P$2,"\","|")&amp;"|"&amp;"D"&amp; RIGHT($S$1,3)&amp;":="&amp;P4&amp;"NOT_LINK_BR"</f>
        <v>ZRU_OL1|DONX:=NOT_LINK_BR</v>
      </c>
      <c r="B21" s="448"/>
      <c r="C21" s="455"/>
      <c r="D21" s="446"/>
      <c r="E21" s="446" t="str">
        <f>IFERROR(LEFT($S$3,FIND("+",$S$3,1)-1),"УДАЛИТЬ")</f>
        <v>1</v>
      </c>
      <c r="F21" s="446" t="s">
        <v>845</v>
      </c>
      <c r="G21" s="447"/>
      <c r="H21" s="447"/>
      <c r="I21" s="1"/>
      <c r="M21" s="424" t="str">
        <f>'Конфигурация TREI'!A22</f>
        <v>BR20</v>
      </c>
      <c r="N21" s="424" t="str">
        <f>'Конфигурация TREI'!B22</f>
        <v>M558D</v>
      </c>
      <c r="AE21" s="428">
        <f>Настройки!P21</f>
        <v>20</v>
      </c>
      <c r="AF21" s="380">
        <f>Настройки!Q21</f>
        <v>0</v>
      </c>
      <c r="AG21" s="380" t="str">
        <f>Настройки!R21</f>
        <v>-</v>
      </c>
      <c r="AH21" s="380" t="str">
        <f>Настройки!S21</f>
        <v>-</v>
      </c>
      <c r="AI21" s="380" t="str">
        <f>Настройки!T21</f>
        <v>out19</v>
      </c>
      <c r="AJ21" s="380" t="str">
        <f>Настройки!U21</f>
        <v>out19</v>
      </c>
      <c r="AK21" s="380" t="str">
        <f>Настройки!V21</f>
        <v>-</v>
      </c>
      <c r="AL21" s="380" t="str">
        <f>Настройки!W21</f>
        <v>-</v>
      </c>
      <c r="AM21" s="380" t="str">
        <f>Настройки!X21</f>
        <v>-</v>
      </c>
      <c r="AN21" s="380" t="str">
        <f>Настройки!Y21</f>
        <v>-</v>
      </c>
      <c r="AO21" s="380" t="str">
        <f>Настройки!Z21</f>
        <v>-</v>
      </c>
      <c r="AP21" s="380" t="str">
        <f>Настройки!AA21</f>
        <v>Canal_20</v>
      </c>
      <c r="AQ21" s="380" t="str">
        <f>Настройки!AB21</f>
        <v>Canal_20</v>
      </c>
      <c r="AR21" s="380" t="str">
        <f>Настройки!AC21</f>
        <v>-</v>
      </c>
      <c r="AS21" s="380" t="str">
        <f>Настройки!AD21</f>
        <v>-</v>
      </c>
      <c r="AT21" s="207" t="str">
        <f>Настройки!AB21</f>
        <v>Canal_20</v>
      </c>
      <c r="AU21" s="207" t="str">
        <f>Настройки!AC21</f>
        <v>-</v>
      </c>
      <c r="AV21" s="207" t="str">
        <f>Настройки!AD21</f>
        <v>-</v>
      </c>
      <c r="AW21" s="207" t="str">
        <f>Настройки!AE21</f>
        <v>-</v>
      </c>
      <c r="AX21" s="207" t="str">
        <f>Настройки!AF21</f>
        <v>IDIG_5_4</v>
      </c>
      <c r="AY21" s="207" t="str">
        <f>Настройки!AG21</f>
        <v>Canal_20</v>
      </c>
      <c r="AZ21" s="207" t="str">
        <f>Настройки!AH21</f>
        <v>Canal_20</v>
      </c>
      <c r="BA21" s="207" t="str">
        <f>Настройки!AI21</f>
        <v>Canal_20</v>
      </c>
      <c r="BB21" s="207" t="str">
        <f>Настройки!AJ21</f>
        <v>-</v>
      </c>
      <c r="BC21" s="207" t="str">
        <f>Настройки!AK21</f>
        <v>-</v>
      </c>
      <c r="BD21" s="207" t="str">
        <f>Настройки!AL21</f>
        <v>Canal_20</v>
      </c>
      <c r="BE21" s="207" t="str">
        <f>Настройки!AM21</f>
        <v>-</v>
      </c>
    </row>
    <row r="22" spans="1:57">
      <c r="A22" s="448" t="str">
        <f>SUBSTITUTE($P$2,"\","|")&amp;"|"&amp;"D"&amp; RIGHT($T$1,3)&amp;":="&amp;P4&amp;"NOT_LINK_BR"</f>
        <v>ZRU_OL1|DOFX:=NOT_LINK_BR</v>
      </c>
      <c r="B22" s="448"/>
      <c r="C22" s="455"/>
      <c r="D22" s="446"/>
      <c r="E22" s="446" t="str">
        <f>IFERROR(LEFT($T$3,FIND("+",$T$3,1)-1),"УДАЛИТЬ")</f>
        <v>1</v>
      </c>
      <c r="F22" s="446" t="s">
        <v>845</v>
      </c>
      <c r="G22" s="447"/>
      <c r="H22" s="447"/>
      <c r="I22" s="1"/>
      <c r="M22" s="424" t="str">
        <f>'Конфигурация TREI'!A23</f>
        <v>BR21</v>
      </c>
      <c r="N22" s="424" t="str">
        <f>'Конфигурация TREI'!B23</f>
        <v>M558O</v>
      </c>
      <c r="AE22" s="428">
        <f>Настройки!P22</f>
        <v>21</v>
      </c>
      <c r="AF22" s="380">
        <f>Настройки!Q22</f>
        <v>0</v>
      </c>
      <c r="AG22" s="380" t="str">
        <f>Настройки!R22</f>
        <v>-</v>
      </c>
      <c r="AH22" s="380" t="str">
        <f>Настройки!S22</f>
        <v>-</v>
      </c>
      <c r="AI22" s="380" t="str">
        <f>Настройки!T22</f>
        <v>out20</v>
      </c>
      <c r="AJ22" s="380" t="str">
        <f>Настройки!U22</f>
        <v>out20</v>
      </c>
      <c r="AK22" s="380" t="str">
        <f>Настройки!V22</f>
        <v>-</v>
      </c>
      <c r="AL22" s="380" t="str">
        <f>Настройки!W22</f>
        <v>-</v>
      </c>
      <c r="AM22" s="380" t="str">
        <f>Настройки!X22</f>
        <v>-</v>
      </c>
      <c r="AN22" s="380" t="str">
        <f>Настройки!Y22</f>
        <v>-</v>
      </c>
      <c r="AO22" s="380" t="str">
        <f>Настройки!Z22</f>
        <v>-</v>
      </c>
      <c r="AP22" s="380" t="str">
        <f>Настройки!AA22</f>
        <v>Canal_21</v>
      </c>
      <c r="AQ22" s="380" t="str">
        <f>Настройки!AB22</f>
        <v>Canal_21</v>
      </c>
      <c r="AR22" s="380" t="str">
        <f>Настройки!AC22</f>
        <v>-</v>
      </c>
      <c r="AS22" s="380" t="str">
        <f>Настройки!AD22</f>
        <v>-</v>
      </c>
      <c r="AT22" s="207" t="str">
        <f>Настройки!AB22</f>
        <v>Canal_21</v>
      </c>
      <c r="AU22" s="207" t="str">
        <f>Настройки!AC22</f>
        <v>-</v>
      </c>
      <c r="AV22" s="207" t="str">
        <f>Настройки!AD22</f>
        <v>-</v>
      </c>
      <c r="AW22" s="207" t="str">
        <f>Настройки!AE22</f>
        <v>-</v>
      </c>
      <c r="AX22" s="207" t="str">
        <f>Настройки!AF22</f>
        <v>IDIG_6_1</v>
      </c>
      <c r="AY22" s="207" t="str">
        <f>Настройки!AG22</f>
        <v>Canal_21</v>
      </c>
      <c r="AZ22" s="207" t="str">
        <f>Настройки!AH22</f>
        <v>Canal_21</v>
      </c>
      <c r="BA22" s="207" t="str">
        <f>Настройки!AI22</f>
        <v>Canal_21</v>
      </c>
      <c r="BB22" s="207" t="str">
        <f>Настройки!AJ22</f>
        <v>-</v>
      </c>
      <c r="BC22" s="207" t="str">
        <f>Настройки!AK22</f>
        <v>-</v>
      </c>
      <c r="BD22" s="207" t="str">
        <f>Настройки!AL22</f>
        <v>Canal_21</v>
      </c>
      <c r="BE22" s="207" t="str">
        <f>Настройки!AM22</f>
        <v>-</v>
      </c>
    </row>
    <row r="23" spans="1:57">
      <c r="A23" s="448" t="str">
        <f>SUBSTITUTE($P$2,"\","|")&amp;"|"&amp;"D"&amp; RIGHT($U$1,3)&amp;":="&amp;P4&amp;"NOT_LINK_BR"</f>
        <v>ZRU_OL1|DLCX:=NOT_LINK_BR</v>
      </c>
      <c r="B23" s="448"/>
      <c r="C23" s="455"/>
      <c r="D23" s="446"/>
      <c r="E23" s="446" t="str">
        <f>IFERROR(LEFT($U$3,FIND("+",$U$3,1)-1),"УДАЛИТЬ")</f>
        <v>1</v>
      </c>
      <c r="F23" s="446" t="s">
        <v>845</v>
      </c>
      <c r="G23" s="447"/>
      <c r="H23" s="447"/>
      <c r="I23" s="1"/>
      <c r="M23" s="424" t="str">
        <f>'Конфигурация TREI'!A24</f>
        <v>BR22</v>
      </c>
      <c r="N23" s="424" t="str">
        <f>'Конфигурация TREI'!B24</f>
        <v>M558D</v>
      </c>
      <c r="AE23" s="428">
        <f>Настройки!P23</f>
        <v>22</v>
      </c>
      <c r="AF23" s="380">
        <f>Настройки!Q23</f>
        <v>0</v>
      </c>
      <c r="AG23" s="380" t="str">
        <f>Настройки!R23</f>
        <v>-</v>
      </c>
      <c r="AH23" s="380" t="str">
        <f>Настройки!S23</f>
        <v>-</v>
      </c>
      <c r="AI23" s="380" t="str">
        <f>Настройки!T23</f>
        <v>out21</v>
      </c>
      <c r="AJ23" s="380" t="str">
        <f>Настройки!U23</f>
        <v>out21</v>
      </c>
      <c r="AK23" s="380" t="str">
        <f>Настройки!V23</f>
        <v>-</v>
      </c>
      <c r="AL23" s="380" t="str">
        <f>Настройки!W23</f>
        <v>-</v>
      </c>
      <c r="AM23" s="380" t="str">
        <f>Настройки!X23</f>
        <v>-</v>
      </c>
      <c r="AN23" s="380" t="str">
        <f>Настройки!Y23</f>
        <v>-</v>
      </c>
      <c r="AO23" s="380" t="str">
        <f>Настройки!Z23</f>
        <v>-</v>
      </c>
      <c r="AP23" s="380" t="str">
        <f>Настройки!AA23</f>
        <v>Canal_22</v>
      </c>
      <c r="AQ23" s="380" t="str">
        <f>Настройки!AB23</f>
        <v>Canal_22</v>
      </c>
      <c r="AR23" s="380" t="str">
        <f>Настройки!AC23</f>
        <v>-</v>
      </c>
      <c r="AS23" s="380" t="str">
        <f>Настройки!AD23</f>
        <v>-</v>
      </c>
      <c r="AT23" s="207" t="str">
        <f>Настройки!AB23</f>
        <v>Canal_22</v>
      </c>
      <c r="AU23" s="207" t="str">
        <f>Настройки!AC23</f>
        <v>-</v>
      </c>
      <c r="AV23" s="207" t="str">
        <f>Настройки!AD23</f>
        <v>-</v>
      </c>
      <c r="AW23" s="207" t="str">
        <f>Настройки!AE23</f>
        <v>-</v>
      </c>
      <c r="AX23" s="207" t="str">
        <f>Настройки!AF23</f>
        <v>IDIG_6_2</v>
      </c>
      <c r="AY23" s="207" t="str">
        <f>Настройки!AG23</f>
        <v>Canal_22</v>
      </c>
      <c r="AZ23" s="207" t="str">
        <f>Настройки!AH23</f>
        <v>Canal_22</v>
      </c>
      <c r="BA23" s="207" t="str">
        <f>Настройки!AI23</f>
        <v>Canal_22</v>
      </c>
      <c r="BB23" s="207" t="str">
        <f>Настройки!AJ23</f>
        <v>-</v>
      </c>
      <c r="BC23" s="207" t="str">
        <f>Настройки!AK23</f>
        <v>-</v>
      </c>
      <c r="BD23" s="207" t="str">
        <f>Настройки!AL23</f>
        <v>Canal_22</v>
      </c>
      <c r="BE23" s="207" t="str">
        <f>Настройки!AM23</f>
        <v>-</v>
      </c>
    </row>
    <row r="24" spans="1:57">
      <c r="A24" s="448" t="str">
        <f>SUBSTITUTE($P$2,"\","|")&amp;"|"&amp;"D"&amp; RIGHT($V$1,3)&amp;":="&amp;P4&amp;"NOT_LINK_BR"</f>
        <v>ZRU_OL1|DRCX:=NOT_LINK_BR</v>
      </c>
      <c r="B24" s="448"/>
      <c r="C24" s="455"/>
      <c r="D24" s="446"/>
      <c r="E24" s="446" t="str">
        <f>IFERROR(LEFT($V$3,FIND("+",$V$3,1)-1),"УДАЛИТЬ")</f>
        <v>1</v>
      </c>
      <c r="F24" s="446" t="s">
        <v>845</v>
      </c>
      <c r="G24" s="447"/>
      <c r="H24" s="447"/>
      <c r="I24" s="1"/>
      <c r="M24" s="424" t="str">
        <f>'Конфигурация TREI'!A25</f>
        <v>BR23</v>
      </c>
      <c r="N24" s="424" t="str">
        <f>'Конфигурация TREI'!B25</f>
        <v>M558O</v>
      </c>
      <c r="AE24" s="428">
        <f>Настройки!P24</f>
        <v>23</v>
      </c>
      <c r="AF24" s="380">
        <f>Настройки!Q24</f>
        <v>0</v>
      </c>
      <c r="AG24" s="380" t="str">
        <f>Настройки!R24</f>
        <v>-</v>
      </c>
      <c r="AH24" s="380" t="str">
        <f>Настройки!S24</f>
        <v>-</v>
      </c>
      <c r="AI24" s="380" t="str">
        <f>Настройки!T24</f>
        <v>out22</v>
      </c>
      <c r="AJ24" s="380" t="str">
        <f>Настройки!U24</f>
        <v>out22</v>
      </c>
      <c r="AK24" s="380" t="str">
        <f>Настройки!V24</f>
        <v>-</v>
      </c>
      <c r="AL24" s="380" t="str">
        <f>Настройки!W24</f>
        <v>-</v>
      </c>
      <c r="AM24" s="380" t="str">
        <f>Настройки!X24</f>
        <v>-</v>
      </c>
      <c r="AN24" s="380" t="str">
        <f>Настройки!Y24</f>
        <v>-</v>
      </c>
      <c r="AO24" s="380" t="str">
        <f>Настройки!Z24</f>
        <v>-</v>
      </c>
      <c r="AP24" s="380" t="str">
        <f>Настройки!AA24</f>
        <v>Canal_23</v>
      </c>
      <c r="AQ24" s="380" t="str">
        <f>Настройки!AB24</f>
        <v>Canal_23</v>
      </c>
      <c r="AR24" s="380" t="str">
        <f>Настройки!AC24</f>
        <v>-</v>
      </c>
      <c r="AS24" s="380" t="str">
        <f>Настройки!AD24</f>
        <v>-</v>
      </c>
      <c r="AT24" s="207" t="str">
        <f>Настройки!AB24</f>
        <v>Canal_23</v>
      </c>
      <c r="AU24" s="207" t="str">
        <f>Настройки!AC24</f>
        <v>-</v>
      </c>
      <c r="AV24" s="207" t="str">
        <f>Настройки!AD24</f>
        <v>-</v>
      </c>
      <c r="AW24" s="207" t="str">
        <f>Настройки!AE24</f>
        <v>-</v>
      </c>
      <c r="AX24" s="207" t="str">
        <f>Настройки!AF24</f>
        <v>IDIG_6_3</v>
      </c>
      <c r="AY24" s="207" t="str">
        <f>Настройки!AG24</f>
        <v>Canal_23</v>
      </c>
      <c r="AZ24" s="207" t="str">
        <f>Настройки!AH24</f>
        <v>Canal_23</v>
      </c>
      <c r="BA24" s="207" t="str">
        <f>Настройки!AI24</f>
        <v>Canal_23</v>
      </c>
      <c r="BB24" s="207" t="str">
        <f>Настройки!AJ24</f>
        <v>-</v>
      </c>
      <c r="BC24" s="207" t="str">
        <f>Настройки!AK24</f>
        <v>-</v>
      </c>
      <c r="BD24" s="207" t="str">
        <f>Настройки!AL24</f>
        <v>Canal_23</v>
      </c>
      <c r="BE24" s="207" t="str">
        <f>Настройки!AM24</f>
        <v>-</v>
      </c>
    </row>
    <row r="25" spans="1:57">
      <c r="A25" s="448" t="str">
        <f>SUBSTITUTE($P$2,"\","|")&amp;"|"&amp;"D"&amp; RIGHT($W$1,3)&amp;":="&amp;P4&amp;"NOT_LINK_BR"</f>
        <v>ZRU_OL1|DFXX:=NOT_LINK_BR</v>
      </c>
      <c r="B25" s="448"/>
      <c r="C25" s="455"/>
      <c r="D25" s="446"/>
      <c r="E25" s="446" t="str">
        <f>IFERROR(LEFT($W$3,FIND("+",$W$3,1)-1),"УДАЛИТЬ")</f>
        <v>1</v>
      </c>
      <c r="F25" s="446" t="s">
        <v>845</v>
      </c>
      <c r="G25" s="447"/>
      <c r="H25" s="447"/>
      <c r="I25" s="1"/>
      <c r="M25" s="424" t="str">
        <f>'Конфигурация TREI'!A26</f>
        <v>BR24</v>
      </c>
      <c r="N25" s="424" t="str">
        <f>'Конфигурация TREI'!B26</f>
        <v>M558D</v>
      </c>
      <c r="AE25" s="428">
        <f>Настройки!P25</f>
        <v>24</v>
      </c>
      <c r="AF25" s="380">
        <f>Настройки!Q25</f>
        <v>0</v>
      </c>
      <c r="AG25" s="380" t="str">
        <f>Настройки!R25</f>
        <v>-</v>
      </c>
      <c r="AH25" s="380" t="str">
        <f>Настройки!S25</f>
        <v>-</v>
      </c>
      <c r="AI25" s="380" t="str">
        <f>Настройки!T25</f>
        <v>out23</v>
      </c>
      <c r="AJ25" s="380" t="str">
        <f>Настройки!U25</f>
        <v>out23</v>
      </c>
      <c r="AK25" s="380" t="str">
        <f>Настройки!V25</f>
        <v>-</v>
      </c>
      <c r="AL25" s="380" t="str">
        <f>Настройки!W25</f>
        <v>-</v>
      </c>
      <c r="AM25" s="380" t="str">
        <f>Настройки!X25</f>
        <v>-</v>
      </c>
      <c r="AN25" s="380" t="str">
        <f>Настройки!Y25</f>
        <v>-</v>
      </c>
      <c r="AO25" s="380" t="str">
        <f>Настройки!Z25</f>
        <v>-</v>
      </c>
      <c r="AP25" s="380" t="str">
        <f>Настройки!AA25</f>
        <v>Canal_24</v>
      </c>
      <c r="AQ25" s="380" t="str">
        <f>Настройки!AB25</f>
        <v>Canal_24</v>
      </c>
      <c r="AR25" s="380" t="str">
        <f>Настройки!AC25</f>
        <v>-</v>
      </c>
      <c r="AS25" s="380" t="str">
        <f>Настройки!AD25</f>
        <v>-</v>
      </c>
      <c r="AT25" s="207" t="str">
        <f>Настройки!AB25</f>
        <v>Canal_24</v>
      </c>
      <c r="AU25" s="207" t="str">
        <f>Настройки!AC25</f>
        <v>-</v>
      </c>
      <c r="AV25" s="207" t="str">
        <f>Настройки!AD25</f>
        <v>-</v>
      </c>
      <c r="AW25" s="207" t="str">
        <f>Настройки!AE25</f>
        <v>-</v>
      </c>
      <c r="AX25" s="207" t="str">
        <f>Настройки!AF25</f>
        <v>IDIG_6_4</v>
      </c>
      <c r="AY25" s="207" t="str">
        <f>Настройки!AG25</f>
        <v>Canal_24</v>
      </c>
      <c r="AZ25" s="207" t="str">
        <f>Настройки!AH25</f>
        <v>Canal_24</v>
      </c>
      <c r="BA25" s="207" t="str">
        <f>Настройки!AI25</f>
        <v>Canal_24</v>
      </c>
      <c r="BB25" s="207" t="str">
        <f>Настройки!AJ25</f>
        <v>-</v>
      </c>
      <c r="BC25" s="207" t="str">
        <f>Настройки!AK25</f>
        <v>-</v>
      </c>
      <c r="BD25" s="207" t="str">
        <f>Настройки!AL25</f>
        <v>Canal_24</v>
      </c>
      <c r="BE25" s="207" t="str">
        <f>Настройки!AM25</f>
        <v>-</v>
      </c>
    </row>
    <row r="26" spans="1:57">
      <c r="A26" s="448" t="str">
        <f>SUBSTITUTE($P$2,"\","|")&amp;"|"&amp;"D"&amp; RIGHT($Z$1,3)&amp;":="&amp;P4&amp;"NOT_LINK_BR"</f>
        <v>ZRU_OL1|DPTC:=NOT_LINK_BR</v>
      </c>
      <c r="B26" s="448"/>
      <c r="C26" s="455"/>
      <c r="D26" s="446"/>
      <c r="E26" s="446" t="str">
        <f>IFERROR(LEFT($Z$3,FIND("+",$Z$3,1)-1),"УДАЛИТЬ")</f>
        <v>1</v>
      </c>
      <c r="F26" s="446" t="s">
        <v>845</v>
      </c>
      <c r="G26" s="447"/>
      <c r="H26" s="447"/>
      <c r="I26" s="1"/>
      <c r="M26" s="424" t="str">
        <f>'Конфигурация TREI'!A27</f>
        <v>BR25</v>
      </c>
      <c r="N26" s="424" t="str">
        <f>'Конфигурация TREI'!B27</f>
        <v>M558D</v>
      </c>
      <c r="AE26" s="428">
        <f>Настройки!P26</f>
        <v>25</v>
      </c>
      <c r="AF26" s="380">
        <f>Настройки!Q26</f>
        <v>0</v>
      </c>
      <c r="AG26" s="380" t="str">
        <f>Настройки!R26</f>
        <v>-</v>
      </c>
      <c r="AH26" s="380" t="str">
        <f>Настройки!S26</f>
        <v>-</v>
      </c>
      <c r="AI26" s="380" t="str">
        <f>Настройки!T26</f>
        <v>out24</v>
      </c>
      <c r="AJ26" s="380" t="str">
        <f>Настройки!U26</f>
        <v>out24</v>
      </c>
      <c r="AK26" s="380" t="str">
        <f>Настройки!V26</f>
        <v>-</v>
      </c>
      <c r="AL26" s="380" t="str">
        <f>Настройки!W26</f>
        <v>-</v>
      </c>
      <c r="AM26" s="380" t="str">
        <f>Настройки!X26</f>
        <v>-</v>
      </c>
      <c r="AN26" s="380" t="str">
        <f>Настройки!Y26</f>
        <v>-</v>
      </c>
      <c r="AO26" s="380" t="str">
        <f>Настройки!Z26</f>
        <v>-</v>
      </c>
      <c r="AP26" s="380" t="str">
        <f>Настройки!AA26</f>
        <v>Canal_25</v>
      </c>
      <c r="AQ26" s="380" t="str">
        <f>Настройки!AB26</f>
        <v>Canal_25</v>
      </c>
      <c r="AR26" s="380" t="str">
        <f>Настройки!AC26</f>
        <v>-</v>
      </c>
      <c r="AS26" s="380" t="str">
        <f>Настройки!AD26</f>
        <v>-</v>
      </c>
      <c r="AT26" s="207" t="str">
        <f>Настройки!AB26</f>
        <v>Canal_25</v>
      </c>
      <c r="AU26" s="207" t="str">
        <f>Настройки!AC26</f>
        <v>-</v>
      </c>
      <c r="AV26" s="207" t="str">
        <f>Настройки!AD26</f>
        <v>-</v>
      </c>
      <c r="AW26" s="207" t="str">
        <f>Настройки!AE26</f>
        <v>-</v>
      </c>
      <c r="AX26" s="207" t="str">
        <f>Настройки!AF26</f>
        <v>IDIG_7_1</v>
      </c>
      <c r="AY26" s="207" t="str">
        <f>Настройки!AG26</f>
        <v>Canal_25</v>
      </c>
      <c r="AZ26" s="207" t="str">
        <f>Настройки!AH26</f>
        <v>Canal_25</v>
      </c>
      <c r="BA26" s="207" t="str">
        <f>Настройки!AI26</f>
        <v>Canal_25</v>
      </c>
      <c r="BB26" s="207" t="str">
        <f>Настройки!AJ26</f>
        <v>-</v>
      </c>
      <c r="BC26" s="207" t="str">
        <f>Настройки!AK26</f>
        <v>-</v>
      </c>
      <c r="BD26" s="207" t="str">
        <f>Настройки!AL26</f>
        <v>Canal_25</v>
      </c>
      <c r="BE26" s="207" t="str">
        <f>Настройки!AM26</f>
        <v>-</v>
      </c>
    </row>
    <row r="27" spans="1:57">
      <c r="A27" s="448" t="str">
        <f>SUBSTITUTE($P$2,"\","|")&amp;"|"&amp;"D"&amp; RIGHT($AA$1,3)&amp;":="&amp;P4&amp;"NOT_LINK_BR"</f>
        <v>ZRU_OL1|DTON:=NOT_LINK_BR</v>
      </c>
      <c r="B27" s="448"/>
      <c r="C27" s="455"/>
      <c r="D27" s="446"/>
      <c r="E27" s="446" t="str">
        <f>IFERROR(LEFT($AA$3,FIND("+",$AA$3,1)-1),"УДАЛИТЬ")</f>
        <v>1</v>
      </c>
      <c r="F27" s="446" t="s">
        <v>845</v>
      </c>
      <c r="G27" s="447"/>
      <c r="H27" s="447"/>
      <c r="I27" s="1"/>
      <c r="M27" s="424" t="str">
        <f>'Конфигурация TREI'!A28</f>
        <v>BR26</v>
      </c>
      <c r="N27" s="424" t="str">
        <f>'Конфигурация TREI'!B28</f>
        <v>M558D</v>
      </c>
      <c r="AE27" s="428">
        <f>Настройки!P27</f>
        <v>26</v>
      </c>
      <c r="AF27" s="380">
        <f>Настройки!Q27</f>
        <v>0</v>
      </c>
      <c r="AG27" s="380" t="str">
        <f>Настройки!R27</f>
        <v>-</v>
      </c>
      <c r="AH27" s="380" t="str">
        <f>Настройки!S27</f>
        <v>-</v>
      </c>
      <c r="AI27" s="380" t="str">
        <f>Настройки!T27</f>
        <v>out25</v>
      </c>
      <c r="AJ27" s="380" t="str">
        <f>Настройки!U27</f>
        <v>out25</v>
      </c>
      <c r="AK27" s="380" t="str">
        <f>Настройки!V27</f>
        <v>-</v>
      </c>
      <c r="AL27" s="380" t="str">
        <f>Настройки!W27</f>
        <v>-</v>
      </c>
      <c r="AM27" s="380" t="str">
        <f>Настройки!X27</f>
        <v>-</v>
      </c>
      <c r="AN27" s="380" t="str">
        <f>Настройки!Y27</f>
        <v>-</v>
      </c>
      <c r="AO27" s="380" t="str">
        <f>Настройки!Z27</f>
        <v>-</v>
      </c>
      <c r="AP27" s="380" t="str">
        <f>Настройки!AA27</f>
        <v>Canal_26</v>
      </c>
      <c r="AQ27" s="380" t="str">
        <f>Настройки!AB27</f>
        <v>Canal_26</v>
      </c>
      <c r="AR27" s="380" t="str">
        <f>Настройки!AC27</f>
        <v>-</v>
      </c>
      <c r="AS27" s="380" t="str">
        <f>Настройки!AD27</f>
        <v>-</v>
      </c>
      <c r="AT27" s="207" t="str">
        <f>Настройки!AB27</f>
        <v>Canal_26</v>
      </c>
      <c r="AU27" s="207" t="str">
        <f>Настройки!AC27</f>
        <v>-</v>
      </c>
      <c r="AV27" s="207" t="str">
        <f>Настройки!AD27</f>
        <v>-</v>
      </c>
      <c r="AW27" s="207" t="str">
        <f>Настройки!AE27</f>
        <v>-</v>
      </c>
      <c r="AX27" s="207" t="str">
        <f>Настройки!AF27</f>
        <v>IDIG_7_2</v>
      </c>
      <c r="AY27" s="207" t="str">
        <f>Настройки!AG27</f>
        <v>Canal_26</v>
      </c>
      <c r="AZ27" s="207" t="str">
        <f>Настройки!AH27</f>
        <v>Canal_26</v>
      </c>
      <c r="BA27" s="207" t="str">
        <f>Настройки!AI27</f>
        <v>Canal_26</v>
      </c>
      <c r="BB27" s="207" t="str">
        <f>Настройки!AJ27</f>
        <v>-</v>
      </c>
      <c r="BC27" s="207" t="str">
        <f>Настройки!AK27</f>
        <v>-</v>
      </c>
      <c r="BD27" s="207" t="str">
        <f>Настройки!AL27</f>
        <v>Canal_26</v>
      </c>
      <c r="BE27" s="207" t="str">
        <f>Настройки!AM27</f>
        <v>-</v>
      </c>
    </row>
    <row r="28" spans="1:57">
      <c r="A28" s="448" t="str">
        <f>SUBSTITUTE($P$2,"\","|")&amp;"|"&amp;"D"&amp; RIGHT($AB$1,3)&amp;":="&amp;P4&amp;"NOT_LINK_BR"</f>
        <v>ZRU_OL1|DTOF:=NOT_LINK_BR</v>
      </c>
      <c r="B28" s="448"/>
      <c r="C28" s="455"/>
      <c r="D28" s="446"/>
      <c r="E28" s="446" t="str">
        <f>IFERROR(LEFT($AB$3,FIND("+",$AB$3,1)-1),"УДАЛИТЬ")</f>
        <v>1</v>
      </c>
      <c r="F28" s="446" t="s">
        <v>845</v>
      </c>
      <c r="G28" s="447"/>
      <c r="H28" s="447"/>
      <c r="I28" s="1"/>
      <c r="M28" s="424" t="str">
        <f>'Конфигурация TREI'!A29</f>
        <v>BR27</v>
      </c>
      <c r="N28" s="424" t="str">
        <f>'Конфигурация TREI'!B29</f>
        <v>M558D</v>
      </c>
      <c r="AE28" s="428">
        <f>Настройки!P28</f>
        <v>27</v>
      </c>
      <c r="AF28" s="380">
        <f>Настройки!Q28</f>
        <v>0</v>
      </c>
      <c r="AG28" s="380" t="str">
        <f>Настройки!R28</f>
        <v>-</v>
      </c>
      <c r="AH28" s="380" t="str">
        <f>Настройки!S28</f>
        <v>-</v>
      </c>
      <c r="AI28" s="380" t="str">
        <f>Настройки!T28</f>
        <v>out26</v>
      </c>
      <c r="AJ28" s="380" t="str">
        <f>Настройки!U28</f>
        <v>out26</v>
      </c>
      <c r="AK28" s="380" t="str">
        <f>Настройки!V28</f>
        <v>-</v>
      </c>
      <c r="AL28" s="380" t="str">
        <f>Настройки!W28</f>
        <v>-</v>
      </c>
      <c r="AM28" s="380" t="str">
        <f>Настройки!X28</f>
        <v>-</v>
      </c>
      <c r="AN28" s="380" t="str">
        <f>Настройки!Y28</f>
        <v>-</v>
      </c>
      <c r="AO28" s="380" t="str">
        <f>Настройки!Z28</f>
        <v>-</v>
      </c>
      <c r="AP28" s="380" t="str">
        <f>Настройки!AA28</f>
        <v>Canal_27</v>
      </c>
      <c r="AQ28" s="380" t="str">
        <f>Настройки!AB28</f>
        <v>Canal_27</v>
      </c>
      <c r="AR28" s="380" t="str">
        <f>Настройки!AC28</f>
        <v>-</v>
      </c>
      <c r="AS28" s="380" t="str">
        <f>Настройки!AD28</f>
        <v>-</v>
      </c>
      <c r="AT28" s="207" t="str">
        <f>Настройки!AB28</f>
        <v>Canal_27</v>
      </c>
      <c r="AU28" s="207" t="str">
        <f>Настройки!AC28</f>
        <v>-</v>
      </c>
      <c r="AV28" s="207" t="str">
        <f>Настройки!AD28</f>
        <v>-</v>
      </c>
      <c r="AW28" s="207" t="str">
        <f>Настройки!AE28</f>
        <v>-</v>
      </c>
      <c r="AX28" s="207" t="str">
        <f>Настройки!AF28</f>
        <v>IDIG_7_3</v>
      </c>
      <c r="AY28" s="207" t="str">
        <f>Настройки!AG28</f>
        <v>Canal_27</v>
      </c>
      <c r="AZ28" s="207" t="str">
        <f>Настройки!AH28</f>
        <v>Canal_27</v>
      </c>
      <c r="BA28" s="207" t="str">
        <f>Настройки!AI28</f>
        <v>Canal_27</v>
      </c>
      <c r="BB28" s="207" t="str">
        <f>Настройки!AJ28</f>
        <v>-</v>
      </c>
      <c r="BC28" s="207" t="str">
        <f>Настройки!AK28</f>
        <v>-</v>
      </c>
      <c r="BD28" s="207" t="str">
        <f>Настройки!AL28</f>
        <v>Canal_27</v>
      </c>
      <c r="BE28" s="207" t="str">
        <f>Настройки!AM28</f>
        <v>-</v>
      </c>
    </row>
    <row r="29" spans="1:57">
      <c r="A29" s="448" t="str">
        <f>SUBSTITUTE($P$2,"\","|")&amp;"|"&amp;"D"&amp; RIGHT($AC$1,3)&amp;":="&amp;P4&amp;"NOT_LINK_BR"</f>
        <v>ZRU_OL1|DPTO:=NOT_LINK_BR</v>
      </c>
      <c r="B29" s="448"/>
      <c r="C29" s="455"/>
      <c r="D29" s="446"/>
      <c r="E29" s="446" t="str">
        <f>IFERROR(LEFT($AC$3,FIND("+",$AC$3,1)-1),"УДАЛИТЬ")</f>
        <v>1</v>
      </c>
      <c r="F29" s="446" t="s">
        <v>845</v>
      </c>
      <c r="G29" s="447"/>
      <c r="H29" s="447"/>
      <c r="I29" s="1"/>
      <c r="M29" s="424" t="str">
        <f>'Конфигурация TREI'!A30</f>
        <v>BR28</v>
      </c>
      <c r="N29" s="424" t="str">
        <f>'Конфигурация TREI'!B30</f>
        <v>M558D</v>
      </c>
      <c r="AE29" s="428">
        <f>Настройки!P29</f>
        <v>28</v>
      </c>
      <c r="AF29" s="380">
        <f>Настройки!Q29</f>
        <v>0</v>
      </c>
      <c r="AG29" s="380" t="str">
        <f>Настройки!R29</f>
        <v>-</v>
      </c>
      <c r="AH29" s="380" t="str">
        <f>Настройки!S29</f>
        <v>-</v>
      </c>
      <c r="AI29" s="380" t="str">
        <f>Настройки!T29</f>
        <v>out27</v>
      </c>
      <c r="AJ29" s="380" t="str">
        <f>Настройки!U29</f>
        <v>out27</v>
      </c>
      <c r="AK29" s="380" t="str">
        <f>Настройки!V29</f>
        <v>-</v>
      </c>
      <c r="AL29" s="380" t="str">
        <f>Настройки!W29</f>
        <v>-</v>
      </c>
      <c r="AM29" s="380" t="str">
        <f>Настройки!X29</f>
        <v>-</v>
      </c>
      <c r="AN29" s="380" t="str">
        <f>Настройки!Y29</f>
        <v>-</v>
      </c>
      <c r="AO29" s="380" t="str">
        <f>Настройки!Z29</f>
        <v>-</v>
      </c>
      <c r="AP29" s="380" t="str">
        <f>Настройки!AA29</f>
        <v>Canal_28</v>
      </c>
      <c r="AQ29" s="380" t="str">
        <f>Настройки!AB29</f>
        <v>Canal_28</v>
      </c>
      <c r="AR29" s="380" t="str">
        <f>Настройки!AC29</f>
        <v>-</v>
      </c>
      <c r="AS29" s="380" t="str">
        <f>Настройки!AD29</f>
        <v>-</v>
      </c>
      <c r="AT29" s="207" t="str">
        <f>Настройки!AB29</f>
        <v>Canal_28</v>
      </c>
      <c r="AU29" s="207" t="str">
        <f>Настройки!AC29</f>
        <v>-</v>
      </c>
      <c r="AV29" s="207" t="str">
        <f>Настройки!AD29</f>
        <v>-</v>
      </c>
      <c r="AW29" s="207" t="str">
        <f>Настройки!AE29</f>
        <v>-</v>
      </c>
      <c r="AX29" s="207" t="str">
        <f>Настройки!AF29</f>
        <v>IDIG_7_4</v>
      </c>
      <c r="AY29" s="207" t="str">
        <f>Настройки!AG29</f>
        <v>Canal_28</v>
      </c>
      <c r="AZ29" s="207" t="str">
        <f>Настройки!AH29</f>
        <v>Canal_28</v>
      </c>
      <c r="BA29" s="207" t="str">
        <f>Настройки!AI29</f>
        <v>Canal_28</v>
      </c>
      <c r="BB29" s="207" t="str">
        <f>Настройки!AJ29</f>
        <v>-</v>
      </c>
      <c r="BC29" s="207" t="str">
        <f>Настройки!AK29</f>
        <v>-</v>
      </c>
      <c r="BD29" s="207" t="str">
        <f>Настройки!AL29</f>
        <v>Canal_28</v>
      </c>
      <c r="BE29" s="207" t="str">
        <f>Настройки!AM29</f>
        <v>-</v>
      </c>
    </row>
    <row r="30" spans="1:57">
      <c r="A30" s="1"/>
      <c r="B30" s="1"/>
      <c r="C30" s="1"/>
      <c r="D30" s="1"/>
      <c r="E30" s="1"/>
      <c r="F30" s="1"/>
      <c r="G30" s="1"/>
      <c r="H30" s="1"/>
      <c r="I30" s="1"/>
      <c r="M30" s="424" t="str">
        <f>'Конфигурация TREI'!A31</f>
        <v>BR29</v>
      </c>
      <c r="N30" s="424" t="str">
        <f>'Конфигурация TREI'!B31</f>
        <v>M558O</v>
      </c>
      <c r="AE30" s="428">
        <f>Настройки!P30</f>
        <v>29</v>
      </c>
      <c r="AF30" s="380">
        <f>Настройки!Q30</f>
        <v>0</v>
      </c>
      <c r="AG30" s="380" t="str">
        <f>Настройки!R30</f>
        <v>-</v>
      </c>
      <c r="AH30" s="380" t="str">
        <f>Настройки!S30</f>
        <v>-</v>
      </c>
      <c r="AI30" s="380" t="str">
        <f>Настройки!T30</f>
        <v>out28</v>
      </c>
      <c r="AJ30" s="380" t="str">
        <f>Настройки!U30</f>
        <v>out28</v>
      </c>
      <c r="AK30" s="380" t="str">
        <f>Настройки!V30</f>
        <v>-</v>
      </c>
      <c r="AL30" s="380" t="str">
        <f>Настройки!W30</f>
        <v>-</v>
      </c>
      <c r="AM30" s="380" t="str">
        <f>Настройки!X30</f>
        <v>-</v>
      </c>
      <c r="AN30" s="380" t="str">
        <f>Настройки!Y30</f>
        <v>-</v>
      </c>
      <c r="AO30" s="380" t="str">
        <f>Настройки!Z30</f>
        <v>-</v>
      </c>
      <c r="AP30" s="380" t="str">
        <f>Настройки!AA30</f>
        <v>Canal_29</v>
      </c>
      <c r="AQ30" s="380" t="str">
        <f>Настройки!AB30</f>
        <v>Canal_29</v>
      </c>
      <c r="AR30" s="380" t="str">
        <f>Настройки!AC30</f>
        <v>-</v>
      </c>
      <c r="AS30" s="380" t="str">
        <f>Настройки!AD30</f>
        <v>-</v>
      </c>
      <c r="AT30" s="207" t="str">
        <f>Настройки!AB30</f>
        <v>Canal_29</v>
      </c>
      <c r="AU30" s="207" t="str">
        <f>Настройки!AC30</f>
        <v>-</v>
      </c>
      <c r="AV30" s="207" t="str">
        <f>Настройки!AD30</f>
        <v>-</v>
      </c>
      <c r="AW30" s="207" t="str">
        <f>Настройки!AE30</f>
        <v>-</v>
      </c>
      <c r="AX30" s="207" t="str">
        <f>Настройки!AF30</f>
        <v>IDIG_8_1</v>
      </c>
      <c r="AY30" s="207" t="str">
        <f>Настройки!AG30</f>
        <v>Canal_29</v>
      </c>
      <c r="AZ30" s="207" t="str">
        <f>Настройки!AH30</f>
        <v>Canal_29</v>
      </c>
      <c r="BA30" s="207" t="str">
        <f>Настройки!AI30</f>
        <v>Canal_29</v>
      </c>
      <c r="BB30" s="207" t="str">
        <f>Настройки!AJ30</f>
        <v>-</v>
      </c>
      <c r="BC30" s="207" t="str">
        <f>Настройки!AK30</f>
        <v>-</v>
      </c>
      <c r="BD30" s="207" t="str">
        <f>Настройки!AL30</f>
        <v>Canal_29</v>
      </c>
      <c r="BE30" s="207" t="str">
        <f>Настройки!AM30</f>
        <v>-</v>
      </c>
    </row>
    <row r="31" spans="1:57">
      <c r="A31" s="82"/>
      <c r="B31" s="82"/>
      <c r="C31" s="81"/>
      <c r="D31" s="81"/>
      <c r="E31" s="81"/>
      <c r="F31" s="81"/>
      <c r="G31" s="445"/>
      <c r="H31" s="445"/>
      <c r="I31" s="1"/>
      <c r="M31" s="424" t="str">
        <f>'Конфигурация TREI'!A32</f>
        <v>BR30</v>
      </c>
      <c r="N31" s="424" t="str">
        <f>'Конфигурация TREI'!B32</f>
        <v>M558D</v>
      </c>
      <c r="AE31" s="428">
        <f>Настройки!P31</f>
        <v>30</v>
      </c>
      <c r="AF31" s="380">
        <f>Настройки!Q31</f>
        <v>0</v>
      </c>
      <c r="AG31" s="380" t="str">
        <f>Настройки!R31</f>
        <v>-</v>
      </c>
      <c r="AH31" s="380" t="str">
        <f>Настройки!S31</f>
        <v>-</v>
      </c>
      <c r="AI31" s="380" t="str">
        <f>Настройки!T31</f>
        <v>out29</v>
      </c>
      <c r="AJ31" s="380" t="str">
        <f>Настройки!U31</f>
        <v>out29</v>
      </c>
      <c r="AK31" s="380" t="str">
        <f>Настройки!V31</f>
        <v>-</v>
      </c>
      <c r="AL31" s="380" t="str">
        <f>Настройки!W31</f>
        <v>-</v>
      </c>
      <c r="AM31" s="380" t="str">
        <f>Настройки!X31</f>
        <v>-</v>
      </c>
      <c r="AN31" s="380" t="str">
        <f>Настройки!Y31</f>
        <v>-</v>
      </c>
      <c r="AO31" s="380" t="str">
        <f>Настройки!Z31</f>
        <v>-</v>
      </c>
      <c r="AP31" s="380" t="str">
        <f>Настройки!AA31</f>
        <v>Canal_30</v>
      </c>
      <c r="AQ31" s="380" t="str">
        <f>Настройки!AB31</f>
        <v>Canal_30</v>
      </c>
      <c r="AR31" s="380" t="str">
        <f>Настройки!AC31</f>
        <v>-</v>
      </c>
      <c r="AS31" s="380" t="str">
        <f>Настройки!AD31</f>
        <v>-</v>
      </c>
      <c r="AT31" s="207" t="str">
        <f>Настройки!AB31</f>
        <v>Canal_30</v>
      </c>
      <c r="AU31" s="207" t="str">
        <f>Настройки!AC31</f>
        <v>-</v>
      </c>
      <c r="AV31" s="207" t="str">
        <f>Настройки!AD31</f>
        <v>-</v>
      </c>
      <c r="AW31" s="207" t="str">
        <f>Настройки!AE31</f>
        <v>-</v>
      </c>
      <c r="AX31" s="207" t="str">
        <f>Настройки!AF31</f>
        <v>IDIG_8_2</v>
      </c>
      <c r="AY31" s="207" t="str">
        <f>Настройки!AG31</f>
        <v>Canal_30</v>
      </c>
      <c r="AZ31" s="207" t="str">
        <f>Настройки!AH31</f>
        <v>Canal_30</v>
      </c>
      <c r="BA31" s="207" t="str">
        <f>Настройки!AI31</f>
        <v>Canal_30</v>
      </c>
      <c r="BB31" s="207" t="str">
        <f>Настройки!AJ31</f>
        <v>-</v>
      </c>
      <c r="BC31" s="207" t="str">
        <f>Настройки!AK31</f>
        <v>-</v>
      </c>
      <c r="BD31" s="207" t="str">
        <f>Настройки!AL31</f>
        <v>Canal_30</v>
      </c>
      <c r="BE31" s="207" t="str">
        <f>Настройки!AM31</f>
        <v>-</v>
      </c>
    </row>
    <row r="32" spans="1:57">
      <c r="A32" s="82"/>
      <c r="B32" s="82"/>
      <c r="C32" s="81"/>
      <c r="D32" s="81"/>
      <c r="E32" s="81"/>
      <c r="F32" s="81"/>
      <c r="G32" s="445"/>
      <c r="H32" s="445"/>
      <c r="I32" s="1"/>
      <c r="M32" s="424" t="str">
        <f>'Конфигурация TREI'!A33</f>
        <v>BR31</v>
      </c>
      <c r="N32" s="424" t="str">
        <f>'Конфигурация TREI'!B33</f>
        <v>M558D</v>
      </c>
      <c r="AE32" s="428">
        <f>Настройки!P32</f>
        <v>31</v>
      </c>
      <c r="AF32" s="380">
        <f>Настройки!Q32</f>
        <v>0</v>
      </c>
      <c r="AG32" s="380" t="str">
        <f>Настройки!R32</f>
        <v>-</v>
      </c>
      <c r="AH32" s="380" t="str">
        <f>Настройки!S32</f>
        <v>-</v>
      </c>
      <c r="AI32" s="380" t="str">
        <f>Настройки!T32</f>
        <v>out30</v>
      </c>
      <c r="AJ32" s="380" t="str">
        <f>Настройки!U32</f>
        <v>out30</v>
      </c>
      <c r="AK32" s="380" t="str">
        <f>Настройки!V32</f>
        <v>-</v>
      </c>
      <c r="AL32" s="380" t="str">
        <f>Настройки!W32</f>
        <v>-</v>
      </c>
      <c r="AM32" s="380" t="str">
        <f>Настройки!X32</f>
        <v>-</v>
      </c>
      <c r="AN32" s="380" t="str">
        <f>Настройки!Y32</f>
        <v>-</v>
      </c>
      <c r="AO32" s="380" t="str">
        <f>Настройки!Z32</f>
        <v>-</v>
      </c>
      <c r="AP32" s="380" t="str">
        <f>Настройки!AA32</f>
        <v>Canal_31</v>
      </c>
      <c r="AQ32" s="380" t="str">
        <f>Настройки!AB32</f>
        <v>Canal_31</v>
      </c>
      <c r="AR32" s="380" t="str">
        <f>Настройки!AC32</f>
        <v>-</v>
      </c>
      <c r="AS32" s="380" t="str">
        <f>Настройки!AD32</f>
        <v>-</v>
      </c>
      <c r="AT32" s="207" t="str">
        <f>Настройки!AB32</f>
        <v>Canal_31</v>
      </c>
      <c r="AU32" s="207" t="str">
        <f>Настройки!AC32</f>
        <v>-</v>
      </c>
      <c r="AV32" s="207" t="str">
        <f>Настройки!AD32</f>
        <v>-</v>
      </c>
      <c r="AW32" s="207" t="str">
        <f>Настройки!AE32</f>
        <v>-</v>
      </c>
      <c r="AX32" s="207" t="str">
        <f>Настройки!AF32</f>
        <v>IDIG_8_3</v>
      </c>
      <c r="AY32" s="207" t="str">
        <f>Настройки!AG32</f>
        <v>Canal_31</v>
      </c>
      <c r="AZ32" s="207" t="str">
        <f>Настройки!AH32</f>
        <v>Canal_31</v>
      </c>
      <c r="BA32" s="207" t="str">
        <f>Настройки!AI32</f>
        <v>Canal_31</v>
      </c>
      <c r="BB32" s="207" t="str">
        <f>Настройки!AJ32</f>
        <v>-</v>
      </c>
      <c r="BC32" s="207" t="str">
        <f>Настройки!AK32</f>
        <v>-</v>
      </c>
      <c r="BD32" s="207" t="str">
        <f>Настройки!AL32</f>
        <v>Canal_31</v>
      </c>
      <c r="BE32" s="207" t="str">
        <f>Настройки!AM32</f>
        <v>-</v>
      </c>
    </row>
    <row r="33" spans="1:57">
      <c r="A33" s="82"/>
      <c r="B33" s="82"/>
      <c r="C33" s="81"/>
      <c r="D33" s="81"/>
      <c r="E33" s="81"/>
      <c r="F33" s="81"/>
      <c r="G33" s="445"/>
      <c r="H33" s="445"/>
      <c r="I33" s="1"/>
      <c r="M33" s="424" t="str">
        <f>'Конфигурация TREI'!A34</f>
        <v>BR32</v>
      </c>
      <c r="N33" s="424" t="str">
        <f>'Конфигурация TREI'!B34</f>
        <v>M558D</v>
      </c>
      <c r="AE33" s="620">
        <f>Настройки!P33</f>
        <v>32</v>
      </c>
      <c r="AF33" s="621">
        <f>Настройки!Q33</f>
        <v>0</v>
      </c>
      <c r="AG33" s="621" t="str">
        <f>Настройки!R33</f>
        <v>-</v>
      </c>
      <c r="AH33" s="621" t="str">
        <f>Настройки!S33</f>
        <v>-</v>
      </c>
      <c r="AI33" s="621" t="str">
        <f>Настройки!T33</f>
        <v>out31</v>
      </c>
      <c r="AJ33" s="621" t="str">
        <f>Настройки!U33</f>
        <v>out31</v>
      </c>
      <c r="AK33" s="621" t="str">
        <f>Настройки!V33</f>
        <v>-</v>
      </c>
      <c r="AL33" s="621" t="str">
        <f>Настройки!W33</f>
        <v>-</v>
      </c>
      <c r="AM33" s="621" t="str">
        <f>Настройки!X33</f>
        <v>-</v>
      </c>
      <c r="AN33" s="621" t="str">
        <f>Настройки!Y33</f>
        <v>-</v>
      </c>
      <c r="AO33" s="621" t="str">
        <f>Настройки!Z33</f>
        <v>-</v>
      </c>
      <c r="AP33" s="621" t="str">
        <f>Настройки!AA33</f>
        <v>Canal_32</v>
      </c>
      <c r="AQ33" s="621" t="str">
        <f>Настройки!AB33</f>
        <v>Canal_32</v>
      </c>
      <c r="AR33" s="621" t="str">
        <f>Настройки!AC33</f>
        <v>-</v>
      </c>
      <c r="AS33" s="621" t="str">
        <f>Настройки!AD33</f>
        <v>-</v>
      </c>
      <c r="AT33" s="622" t="str">
        <f>Настройки!AB33</f>
        <v>Canal_32</v>
      </c>
      <c r="AU33" s="622" t="str">
        <f>Настройки!AC33</f>
        <v>-</v>
      </c>
      <c r="AV33" s="622" t="str">
        <f>Настройки!AD33</f>
        <v>-</v>
      </c>
      <c r="AW33" s="622" t="str">
        <f>Настройки!AE33</f>
        <v>-</v>
      </c>
      <c r="AX33" s="622" t="str">
        <f>Настройки!AF33</f>
        <v>IDIG_8_4</v>
      </c>
      <c r="AY33" s="622" t="str">
        <f>Настройки!AG33</f>
        <v>Canal_32</v>
      </c>
      <c r="AZ33" s="622" t="str">
        <f>Настройки!AH33</f>
        <v>Canal_32</v>
      </c>
      <c r="BA33" s="622" t="str">
        <f>Настройки!AI33</f>
        <v>Canal_32</v>
      </c>
      <c r="BB33" s="622" t="str">
        <f>Настройки!AJ33</f>
        <v>-</v>
      </c>
      <c r="BC33" s="622" t="str">
        <f>Настройки!AK33</f>
        <v>-</v>
      </c>
      <c r="BD33" s="622" t="str">
        <f>Настройки!AL33</f>
        <v>Canal_32</v>
      </c>
      <c r="BE33" s="622" t="str">
        <f>Настройки!AM33</f>
        <v>-</v>
      </c>
    </row>
    <row r="34" spans="1:57">
      <c r="A34" s="82"/>
      <c r="B34" s="82"/>
      <c r="C34" s="81"/>
      <c r="D34" s="81"/>
      <c r="E34" s="81"/>
      <c r="F34" s="81"/>
      <c r="G34" s="445"/>
      <c r="H34" s="445"/>
      <c r="I34" s="1"/>
      <c r="M34" s="424" t="str">
        <f>'Конфигурация TREI'!A35</f>
        <v>BR33</v>
      </c>
      <c r="N34" s="424" t="str">
        <f>'Конфигурация TREI'!B35</f>
        <v>M558D</v>
      </c>
      <c r="AE34" s="624"/>
      <c r="AF34" s="624"/>
      <c r="AG34" s="624"/>
      <c r="AH34" s="624"/>
      <c r="AI34" s="624"/>
      <c r="AJ34" s="624"/>
      <c r="AK34" s="624"/>
      <c r="AL34" s="624"/>
      <c r="AM34" s="624"/>
      <c r="AN34" s="624"/>
      <c r="AO34" s="624"/>
      <c r="AP34" s="624"/>
      <c r="AQ34" s="624"/>
      <c r="AR34" s="624"/>
      <c r="AS34" s="624"/>
      <c r="AT34" s="625"/>
      <c r="AU34" s="625"/>
      <c r="AV34" s="625"/>
      <c r="AW34" s="625"/>
      <c r="AX34" s="625"/>
      <c r="AY34" s="625"/>
      <c r="AZ34" s="625"/>
      <c r="BA34" s="625"/>
      <c r="BB34" s="625"/>
      <c r="BC34" s="625"/>
      <c r="BD34" s="625"/>
      <c r="BE34" s="625"/>
    </row>
    <row r="35" spans="1:57">
      <c r="A35" s="82"/>
      <c r="B35" s="82"/>
      <c r="C35" s="81"/>
      <c r="D35" s="81"/>
      <c r="E35" s="81"/>
      <c r="F35" s="81"/>
      <c r="G35" s="445"/>
      <c r="H35" s="445"/>
      <c r="I35" s="1"/>
      <c r="M35" s="424" t="str">
        <f>'Конфигурация TREI'!A36</f>
        <v>BR34</v>
      </c>
      <c r="N35" s="424" t="str">
        <f>'Конфигурация TREI'!B36</f>
        <v>M558D</v>
      </c>
      <c r="AE35" s="505"/>
      <c r="AF35" s="505"/>
      <c r="AG35" s="505"/>
      <c r="AH35" s="505"/>
      <c r="AI35" s="505"/>
      <c r="AJ35" s="505"/>
      <c r="AK35" s="505"/>
      <c r="AL35" s="505"/>
      <c r="AM35" s="505"/>
      <c r="AN35" s="505"/>
      <c r="AO35" s="505"/>
      <c r="AP35" s="505"/>
      <c r="AQ35" s="505"/>
      <c r="AR35" s="505"/>
      <c r="AS35" s="505"/>
      <c r="AT35" s="623"/>
      <c r="AU35" s="623"/>
      <c r="AV35" s="623"/>
      <c r="AW35" s="623"/>
      <c r="AX35" s="623"/>
      <c r="AY35" s="623"/>
      <c r="AZ35" s="623"/>
      <c r="BA35" s="623"/>
      <c r="BB35" s="623"/>
      <c r="BC35" s="623"/>
      <c r="BD35" s="623"/>
      <c r="BE35" s="623"/>
    </row>
    <row r="36" spans="1:57">
      <c r="A36" s="82"/>
      <c r="B36" s="82"/>
      <c r="C36" s="81"/>
      <c r="D36" s="81"/>
      <c r="E36" s="81"/>
      <c r="F36" s="81"/>
      <c r="G36" s="445"/>
      <c r="H36" s="445"/>
      <c r="I36" s="1"/>
      <c r="M36" s="424" t="str">
        <f>'Конфигурация TREI'!A37</f>
        <v>BR35</v>
      </c>
      <c r="N36" s="424" t="str">
        <f>'Конфигурация TREI'!B37</f>
        <v>M558D</v>
      </c>
      <c r="AE36" s="505"/>
      <c r="AF36" s="505"/>
      <c r="AG36" s="505"/>
      <c r="AH36" s="505"/>
      <c r="AI36" s="505"/>
      <c r="AJ36" s="505"/>
      <c r="AK36" s="505"/>
      <c r="AL36" s="505"/>
      <c r="AM36" s="505"/>
      <c r="AN36" s="505"/>
      <c r="AO36" s="505"/>
      <c r="AP36" s="505"/>
      <c r="AQ36" s="505"/>
      <c r="AR36" s="505"/>
      <c r="AS36" s="505"/>
      <c r="AT36" s="623"/>
      <c r="AU36" s="623"/>
      <c r="AV36" s="623"/>
      <c r="AW36" s="623"/>
      <c r="AX36" s="623"/>
      <c r="AY36" s="623"/>
      <c r="AZ36" s="623"/>
      <c r="BA36" s="623"/>
      <c r="BB36" s="623"/>
      <c r="BC36" s="623"/>
      <c r="BD36" s="623"/>
      <c r="BE36" s="623"/>
    </row>
    <row r="37" spans="1:57" ht="15.75" customHeight="1">
      <c r="A37" s="82"/>
      <c r="B37" s="82"/>
      <c r="C37" s="81"/>
      <c r="D37" s="81"/>
      <c r="E37" s="81"/>
      <c r="F37" s="81"/>
      <c r="G37" s="445"/>
      <c r="H37" s="445"/>
      <c r="I37" s="1"/>
      <c r="M37" s="424" t="str">
        <f>'Конфигурация TREI'!A38</f>
        <v>BR36</v>
      </c>
      <c r="N37" s="424">
        <f>'Конфигурация TREI'!B38</f>
        <v>0</v>
      </c>
      <c r="AE37" s="505"/>
      <c r="AF37" s="505"/>
      <c r="AG37" s="505"/>
      <c r="AH37" s="505"/>
      <c r="AI37" s="505"/>
      <c r="AJ37" s="505"/>
      <c r="AK37" s="505"/>
      <c r="AL37" s="505"/>
      <c r="AM37" s="505"/>
      <c r="AN37" s="505"/>
      <c r="AO37" s="505"/>
      <c r="AP37" s="505"/>
      <c r="AQ37" s="505"/>
      <c r="AR37" s="505"/>
      <c r="AS37" s="505"/>
      <c r="AT37" s="623"/>
      <c r="AU37" s="623"/>
      <c r="AV37" s="623"/>
      <c r="AW37" s="623"/>
      <c r="AX37" s="623"/>
      <c r="AY37" s="623"/>
      <c r="AZ37" s="623"/>
      <c r="BA37" s="623"/>
      <c r="BB37" s="623"/>
      <c r="BC37" s="623"/>
      <c r="BD37" s="623"/>
      <c r="BE37" s="623"/>
    </row>
    <row r="38" spans="1:57">
      <c r="A38" s="82"/>
      <c r="B38" s="82"/>
      <c r="C38" s="81"/>
      <c r="D38" s="81"/>
      <c r="E38" s="81"/>
      <c r="F38" s="81"/>
      <c r="G38" s="445"/>
      <c r="H38" s="445"/>
      <c r="I38" s="1"/>
      <c r="M38" s="424" t="str">
        <f>'Конфигурация TREI'!A39</f>
        <v>BR37</v>
      </c>
      <c r="N38" s="424">
        <f>'Конфигурация TREI'!B39</f>
        <v>0</v>
      </c>
      <c r="AE38" s="505"/>
      <c r="AF38" s="505"/>
      <c r="AG38" s="505"/>
      <c r="AH38" s="505"/>
      <c r="AI38" s="505"/>
      <c r="AJ38" s="505"/>
      <c r="AK38" s="505"/>
      <c r="AL38" s="505"/>
      <c r="AM38" s="505"/>
      <c r="AN38" s="505"/>
      <c r="AO38" s="505"/>
      <c r="AP38" s="505"/>
      <c r="AQ38" s="505"/>
      <c r="AR38" s="505"/>
      <c r="AS38" s="505"/>
      <c r="AT38" s="623"/>
      <c r="AU38" s="623"/>
      <c r="AV38" s="623"/>
      <c r="AW38" s="623"/>
      <c r="AX38" s="623"/>
      <c r="AY38" s="623"/>
      <c r="AZ38" s="623"/>
      <c r="BA38" s="623"/>
      <c r="BB38" s="623"/>
      <c r="BC38" s="623"/>
      <c r="BD38" s="623"/>
      <c r="BE38" s="623"/>
    </row>
    <row r="39" spans="1:57">
      <c r="A39" s="82"/>
      <c r="B39" s="82"/>
      <c r="C39" s="81"/>
      <c r="D39" s="81"/>
      <c r="E39" s="81"/>
      <c r="F39" s="81"/>
      <c r="G39" s="445"/>
      <c r="H39" s="445"/>
      <c r="I39" s="1"/>
      <c r="M39" s="424" t="str">
        <f>'Конфигурация TREI'!A40</f>
        <v>BR38</v>
      </c>
      <c r="N39" s="424">
        <f>'Конфигурация TREI'!B40</f>
        <v>0</v>
      </c>
      <c r="AE39" s="505"/>
      <c r="AF39" s="505"/>
      <c r="AG39" s="505"/>
      <c r="AH39" s="505"/>
      <c r="AI39" s="505"/>
      <c r="AJ39" s="505"/>
      <c r="AK39" s="505"/>
      <c r="AL39" s="505"/>
      <c r="AM39" s="505"/>
      <c r="AN39" s="505"/>
      <c r="AO39" s="505"/>
      <c r="AP39" s="505"/>
      <c r="AQ39" s="505"/>
      <c r="AR39" s="505"/>
      <c r="AS39" s="505"/>
      <c r="AT39" s="623"/>
      <c r="AU39" s="623"/>
      <c r="AV39" s="623"/>
      <c r="AW39" s="623"/>
      <c r="AX39" s="623"/>
      <c r="AY39" s="623"/>
      <c r="AZ39" s="623"/>
      <c r="BA39" s="623"/>
      <c r="BB39" s="623"/>
      <c r="BC39" s="623"/>
      <c r="BD39" s="623"/>
      <c r="BE39" s="623"/>
    </row>
    <row r="40" spans="1:57">
      <c r="A40" s="82"/>
      <c r="B40" s="82"/>
      <c r="C40" s="81"/>
      <c r="D40" s="81"/>
      <c r="E40" s="81"/>
      <c r="F40" s="81"/>
      <c r="G40" s="445"/>
      <c r="H40" s="445"/>
      <c r="I40" s="1"/>
      <c r="M40" s="424" t="str">
        <f>'Конфигурация TREI'!A41</f>
        <v>BR39</v>
      </c>
      <c r="N40" s="424">
        <f>'Конфигурация TREI'!B41</f>
        <v>0</v>
      </c>
      <c r="AE40" s="505"/>
      <c r="AF40" s="505"/>
      <c r="AG40" s="505"/>
      <c r="AH40" s="505"/>
      <c r="AI40" s="505"/>
      <c r="AJ40" s="505"/>
      <c r="AK40" s="505"/>
      <c r="AL40" s="505"/>
      <c r="AM40" s="505"/>
      <c r="AN40" s="505"/>
      <c r="AO40" s="505"/>
      <c r="AP40" s="505"/>
      <c r="AQ40" s="505"/>
      <c r="AR40" s="505"/>
      <c r="AS40" s="505"/>
      <c r="AT40" s="623"/>
      <c r="AU40" s="623"/>
      <c r="AV40" s="623"/>
      <c r="AW40" s="623"/>
      <c r="AX40" s="623"/>
      <c r="AY40" s="623"/>
      <c r="AZ40" s="623"/>
      <c r="BA40" s="623"/>
      <c r="BB40" s="623"/>
      <c r="BC40" s="623"/>
      <c r="BD40" s="623"/>
      <c r="BE40" s="623"/>
    </row>
    <row r="41" spans="1:57">
      <c r="A41" s="82"/>
      <c r="B41" s="82"/>
      <c r="C41" s="81"/>
      <c r="D41" s="81"/>
      <c r="E41" s="81"/>
      <c r="F41" s="81"/>
      <c r="G41" s="445"/>
      <c r="H41" s="445"/>
      <c r="I41" s="1"/>
      <c r="M41" s="424" t="str">
        <f>'Конфигурация TREI'!A42</f>
        <v>BR40</v>
      </c>
      <c r="N41" s="424">
        <f>'Конфигурация TREI'!B42</f>
        <v>0</v>
      </c>
      <c r="AE41" s="505"/>
      <c r="AF41" s="505"/>
      <c r="AG41" s="505"/>
      <c r="AH41" s="505"/>
      <c r="AI41" s="505"/>
      <c r="AJ41" s="505"/>
      <c r="AK41" s="505"/>
      <c r="AL41" s="505"/>
      <c r="AM41" s="505"/>
      <c r="AN41" s="505"/>
      <c r="AO41" s="505"/>
      <c r="AP41" s="505"/>
      <c r="AQ41" s="505"/>
      <c r="AR41" s="505"/>
      <c r="AS41" s="505"/>
      <c r="AT41" s="623"/>
      <c r="AU41" s="623"/>
      <c r="AV41" s="623"/>
      <c r="AW41" s="623"/>
      <c r="AX41" s="623"/>
      <c r="AY41" s="623"/>
      <c r="AZ41" s="623"/>
      <c r="BA41" s="623"/>
      <c r="BB41" s="623"/>
      <c r="BC41" s="623"/>
      <c r="BD41" s="623"/>
      <c r="BE41" s="623"/>
    </row>
    <row r="42" spans="1:57">
      <c r="A42" s="82"/>
      <c r="B42" s="82"/>
      <c r="C42" s="81"/>
      <c r="D42" s="81"/>
      <c r="E42" s="81"/>
      <c r="F42" s="81"/>
      <c r="G42" s="445"/>
      <c r="H42" s="445"/>
      <c r="I42" s="1"/>
      <c r="M42" s="424" t="str">
        <f>'Конфигурация TREI'!A43</f>
        <v>BR41</v>
      </c>
      <c r="N42" s="424">
        <f>'Конфигурация TREI'!B43</f>
        <v>0</v>
      </c>
      <c r="AE42" s="505"/>
      <c r="AF42" s="505"/>
      <c r="AG42" s="505"/>
      <c r="AH42" s="505"/>
      <c r="AI42" s="505"/>
      <c r="AJ42" s="505"/>
      <c r="AK42" s="505"/>
      <c r="AL42" s="505"/>
      <c r="AM42" s="505"/>
      <c r="AN42" s="505"/>
      <c r="AO42" s="505"/>
      <c r="AP42" s="505"/>
      <c r="AQ42" s="505"/>
      <c r="AR42" s="505"/>
      <c r="AS42" s="505"/>
      <c r="AT42" s="623"/>
      <c r="AU42" s="623"/>
      <c r="AV42" s="623"/>
      <c r="AW42" s="623"/>
      <c r="AX42" s="623"/>
      <c r="AY42" s="623"/>
      <c r="AZ42" s="623"/>
      <c r="BA42" s="623"/>
      <c r="BB42" s="623"/>
      <c r="BC42" s="623"/>
      <c r="BD42" s="623"/>
      <c r="BE42" s="623"/>
    </row>
    <row r="43" spans="1:57">
      <c r="A43" s="82"/>
      <c r="B43" s="82"/>
      <c r="C43" s="81"/>
      <c r="D43" s="81"/>
      <c r="E43" s="81"/>
      <c r="F43" s="81"/>
      <c r="G43" s="445"/>
      <c r="H43" s="445"/>
      <c r="I43" s="1"/>
      <c r="M43" s="424" t="str">
        <f>'Конфигурация TREI'!A44</f>
        <v>BR42</v>
      </c>
      <c r="N43" s="424">
        <f>'Конфигурация TREI'!B44</f>
        <v>0</v>
      </c>
      <c r="AE43" s="505"/>
      <c r="AF43" s="505"/>
      <c r="AG43" s="505"/>
      <c r="AH43" s="505"/>
      <c r="AI43" s="505"/>
      <c r="AJ43" s="505"/>
      <c r="AK43" s="505"/>
      <c r="AL43" s="505"/>
      <c r="AM43" s="505"/>
      <c r="AN43" s="505"/>
      <c r="AO43" s="505"/>
      <c r="AP43" s="505"/>
      <c r="AQ43" s="505"/>
      <c r="AR43" s="505"/>
      <c r="AS43" s="505"/>
      <c r="AT43" s="623"/>
      <c r="AU43" s="623"/>
      <c r="AV43" s="623"/>
      <c r="AW43" s="623"/>
      <c r="AX43" s="623"/>
      <c r="AY43" s="623"/>
      <c r="AZ43" s="623"/>
      <c r="BA43" s="623"/>
      <c r="BB43" s="623"/>
      <c r="BC43" s="623"/>
      <c r="BD43" s="623"/>
      <c r="BE43" s="623"/>
    </row>
    <row r="44" spans="1:57">
      <c r="A44" s="82"/>
      <c r="B44" s="82"/>
      <c r="C44" s="81"/>
      <c r="D44" s="81"/>
      <c r="E44" s="81"/>
      <c r="F44" s="81"/>
      <c r="G44" s="445"/>
      <c r="H44" s="445"/>
      <c r="I44" s="1"/>
      <c r="M44" s="424" t="str">
        <f>'Конфигурация TREI'!A45</f>
        <v>BR43</v>
      </c>
      <c r="N44" s="424">
        <f>'Конфигурация TREI'!B45</f>
        <v>0</v>
      </c>
      <c r="AE44" s="505"/>
      <c r="AF44" s="505"/>
      <c r="AG44" s="505"/>
      <c r="AH44" s="505"/>
      <c r="AI44" s="505"/>
      <c r="AJ44" s="505"/>
      <c r="AK44" s="505"/>
      <c r="AL44" s="505"/>
      <c r="AM44" s="505"/>
      <c r="AN44" s="505"/>
      <c r="AO44" s="505"/>
      <c r="AP44" s="505"/>
      <c r="AQ44" s="505"/>
      <c r="AR44" s="505"/>
      <c r="AS44" s="505"/>
      <c r="AT44" s="623"/>
      <c r="AU44" s="623"/>
      <c r="AV44" s="623"/>
      <c r="AW44" s="623"/>
      <c r="AX44" s="623"/>
      <c r="AY44" s="623"/>
      <c r="AZ44" s="623"/>
      <c r="BA44" s="623"/>
      <c r="BB44" s="623"/>
      <c r="BC44" s="623"/>
      <c r="BD44" s="623"/>
      <c r="BE44" s="623"/>
    </row>
    <row r="45" spans="1:57">
      <c r="A45" s="82"/>
      <c r="B45" s="82"/>
      <c r="C45" s="81"/>
      <c r="D45" s="81"/>
      <c r="E45" s="81"/>
      <c r="F45" s="81"/>
      <c r="G45" s="445"/>
      <c r="H45" s="445"/>
      <c r="I45" s="1"/>
      <c r="M45" s="424" t="str">
        <f>'Конфигурация TREI'!A46</f>
        <v>BR44</v>
      </c>
      <c r="N45" s="424">
        <f>'Конфигурация TREI'!B46</f>
        <v>0</v>
      </c>
      <c r="AE45" s="505"/>
      <c r="AF45" s="505"/>
      <c r="AG45" s="505"/>
      <c r="AH45" s="505"/>
      <c r="AI45" s="505"/>
      <c r="AJ45" s="505"/>
      <c r="AK45" s="505"/>
      <c r="AL45" s="505"/>
      <c r="AM45" s="505"/>
      <c r="AN45" s="505"/>
      <c r="AO45" s="505"/>
      <c r="AP45" s="505"/>
      <c r="AQ45" s="505"/>
      <c r="AR45" s="505"/>
      <c r="AS45" s="505"/>
      <c r="AT45" s="623"/>
      <c r="AU45" s="623"/>
      <c r="AV45" s="623"/>
      <c r="AW45" s="623"/>
      <c r="AX45" s="623"/>
      <c r="AY45" s="623"/>
      <c r="AZ45" s="623"/>
      <c r="BA45" s="623"/>
      <c r="BB45" s="623"/>
      <c r="BC45" s="623"/>
      <c r="BD45" s="623"/>
      <c r="BE45" s="623"/>
    </row>
    <row r="46" spans="1:57">
      <c r="A46" s="82"/>
      <c r="B46" s="82"/>
      <c r="C46" s="81"/>
      <c r="D46" s="81"/>
      <c r="E46" s="81"/>
      <c r="F46" s="81"/>
      <c r="G46" s="445"/>
      <c r="H46" s="445"/>
      <c r="I46" s="1"/>
      <c r="M46" s="424" t="str">
        <f>'Конфигурация TREI'!A47</f>
        <v>BR45</v>
      </c>
      <c r="N46" s="424">
        <f>'Конфигурация TREI'!B47</f>
        <v>0</v>
      </c>
      <c r="AE46" s="505"/>
      <c r="AF46" s="505"/>
      <c r="AG46" s="505"/>
      <c r="AH46" s="505"/>
      <c r="AI46" s="505"/>
      <c r="AJ46" s="505"/>
      <c r="AK46" s="505"/>
      <c r="AL46" s="505"/>
      <c r="AM46" s="505"/>
      <c r="AN46" s="505"/>
      <c r="AO46" s="505"/>
      <c r="AP46" s="505"/>
      <c r="AQ46" s="505"/>
      <c r="AR46" s="505"/>
      <c r="AS46" s="505"/>
      <c r="AT46" s="623"/>
      <c r="AU46" s="623"/>
      <c r="AV46" s="623"/>
      <c r="AW46" s="623"/>
      <c r="AX46" s="623"/>
      <c r="AY46" s="623"/>
      <c r="AZ46" s="623"/>
      <c r="BA46" s="623"/>
      <c r="BB46" s="623"/>
      <c r="BC46" s="623"/>
      <c r="BD46" s="623"/>
      <c r="BE46" s="623"/>
    </row>
    <row r="47" spans="1:57">
      <c r="A47" s="82"/>
      <c r="B47" s="82"/>
      <c r="C47" s="81"/>
      <c r="D47" s="81"/>
      <c r="E47" s="81"/>
      <c r="F47" s="81"/>
      <c r="G47" s="445"/>
      <c r="H47" s="445"/>
      <c r="I47" s="1"/>
      <c r="M47" s="424" t="str">
        <f>'Конфигурация TREI'!A48</f>
        <v>BR46</v>
      </c>
      <c r="N47" s="424">
        <f>'Конфигурация TREI'!B48</f>
        <v>0</v>
      </c>
      <c r="AE47" s="505"/>
      <c r="AF47" s="505"/>
      <c r="AG47" s="505"/>
      <c r="AH47" s="505"/>
      <c r="AI47" s="505"/>
      <c r="AJ47" s="505"/>
      <c r="AK47" s="505"/>
      <c r="AL47" s="505"/>
      <c r="AM47" s="505"/>
      <c r="AN47" s="505"/>
      <c r="AO47" s="505"/>
      <c r="AP47" s="505"/>
      <c r="AQ47" s="505"/>
      <c r="AR47" s="505"/>
      <c r="AS47" s="505"/>
      <c r="AT47" s="623"/>
      <c r="AU47" s="623"/>
      <c r="AV47" s="623"/>
      <c r="AW47" s="623"/>
      <c r="AX47" s="623"/>
      <c r="AY47" s="623"/>
      <c r="AZ47" s="623"/>
      <c r="BA47" s="623"/>
      <c r="BB47" s="623"/>
      <c r="BC47" s="623"/>
      <c r="BD47" s="623"/>
      <c r="BE47" s="623"/>
    </row>
    <row r="48" spans="1:57">
      <c r="A48" s="82"/>
      <c r="B48" s="82"/>
      <c r="C48" s="81"/>
      <c r="D48" s="81"/>
      <c r="E48" s="81"/>
      <c r="F48" s="81"/>
      <c r="G48" s="445"/>
      <c r="H48" s="445"/>
      <c r="I48" s="1"/>
      <c r="M48" s="424" t="str">
        <f>'Конфигурация TREI'!A49</f>
        <v>BR47</v>
      </c>
      <c r="N48" s="424">
        <f>'Конфигурация TREI'!B49</f>
        <v>0</v>
      </c>
      <c r="AE48" s="505"/>
      <c r="AF48" s="505"/>
      <c r="AG48" s="505"/>
      <c r="AH48" s="505"/>
      <c r="AI48" s="505"/>
      <c r="AJ48" s="505"/>
      <c r="AK48" s="505"/>
      <c r="AL48" s="505"/>
      <c r="AM48" s="505"/>
      <c r="AN48" s="505"/>
      <c r="AO48" s="505"/>
      <c r="AP48" s="505"/>
      <c r="AQ48" s="505"/>
      <c r="AR48" s="505"/>
      <c r="AS48" s="505"/>
      <c r="AT48" s="623"/>
      <c r="AU48" s="623"/>
      <c r="AV48" s="623"/>
      <c r="AW48" s="623"/>
      <c r="AX48" s="623"/>
      <c r="AY48" s="623"/>
      <c r="AZ48" s="623"/>
      <c r="BA48" s="623"/>
      <c r="BB48" s="623"/>
      <c r="BC48" s="623"/>
      <c r="BD48" s="623"/>
      <c r="BE48" s="623"/>
    </row>
    <row r="49" spans="1:57">
      <c r="A49" s="1"/>
      <c r="B49" s="1"/>
      <c r="C49" s="1"/>
      <c r="D49" s="1"/>
      <c r="E49" s="1"/>
      <c r="F49" s="1"/>
      <c r="G49" s="1"/>
      <c r="H49" s="1"/>
      <c r="I49" s="1"/>
      <c r="M49" s="424" t="str">
        <f>'Конфигурация TREI'!A50</f>
        <v>BR48</v>
      </c>
      <c r="N49" s="424">
        <f>'Конфигурация TREI'!B50</f>
        <v>0</v>
      </c>
      <c r="AE49" s="505"/>
      <c r="AF49" s="505"/>
      <c r="AG49" s="505"/>
      <c r="AH49" s="505"/>
      <c r="AI49" s="505"/>
      <c r="AJ49" s="505"/>
      <c r="AK49" s="505"/>
      <c r="AL49" s="505"/>
      <c r="AM49" s="505"/>
      <c r="AN49" s="505"/>
      <c r="AO49" s="505"/>
      <c r="AP49" s="505"/>
      <c r="AQ49" s="505"/>
      <c r="AR49" s="505"/>
      <c r="AS49" s="505"/>
      <c r="AT49" s="623"/>
      <c r="AU49" s="623"/>
      <c r="AV49" s="623"/>
      <c r="AW49" s="623"/>
      <c r="AX49" s="623"/>
      <c r="AY49" s="623"/>
      <c r="AZ49" s="623"/>
      <c r="BA49" s="623"/>
      <c r="BB49" s="623"/>
      <c r="BC49" s="623"/>
      <c r="BD49" s="623"/>
      <c r="BE49" s="623"/>
    </row>
    <row r="50" spans="1:57" s="4" customFormat="1">
      <c r="A50" s="446" t="str">
        <f>"//*********** "&amp;Q2&amp;" ***********"</f>
        <v>//*********** Выключатель электрический ***********</v>
      </c>
      <c r="B50" s="446"/>
      <c r="C50" s="446"/>
      <c r="D50" s="446"/>
      <c r="E50" s="446"/>
      <c r="F50" s="446" t="s">
        <v>1031</v>
      </c>
      <c r="G50" s="489"/>
      <c r="H50" s="489"/>
      <c r="I50" s="490"/>
      <c r="J50" s="490" t="s">
        <v>1311</v>
      </c>
      <c r="K50" s="490" t="s">
        <v>1309</v>
      </c>
      <c r="L50" s="491" t="s">
        <v>1310</v>
      </c>
      <c r="M50" s="424" t="str">
        <f>'Конфигурация TREI'!A51</f>
        <v>BR49</v>
      </c>
      <c r="N50" s="424">
        <f>'Конфигурация TREI'!B51</f>
        <v>0</v>
      </c>
      <c r="R50" s="381"/>
      <c r="S50" s="381"/>
      <c r="T50" s="381"/>
      <c r="U50" s="381"/>
      <c r="V50" s="381"/>
      <c r="W50" s="381"/>
      <c r="X50" s="381"/>
      <c r="Y50" s="381"/>
      <c r="Z50" s="381"/>
      <c r="AA50" s="381"/>
      <c r="AB50" s="381"/>
      <c r="AC50" s="381"/>
      <c r="AD50" s="381"/>
      <c r="AE50" s="505"/>
      <c r="AF50" s="505"/>
      <c r="AG50" s="505"/>
      <c r="AH50" s="505"/>
      <c r="AI50" s="505"/>
      <c r="AJ50" s="505"/>
      <c r="AK50" s="505"/>
      <c r="AL50" s="505"/>
      <c r="AM50" s="505"/>
      <c r="AN50" s="505"/>
      <c r="AO50" s="505"/>
      <c r="AP50" s="505"/>
      <c r="AQ50" s="505"/>
      <c r="AR50" s="505"/>
      <c r="AS50" s="505"/>
      <c r="AT50" s="623"/>
      <c r="AU50" s="623"/>
      <c r="AV50" s="623"/>
      <c r="AW50" s="623"/>
      <c r="AX50" s="623"/>
      <c r="AY50" s="623"/>
      <c r="AZ50" s="623"/>
      <c r="BA50" s="623"/>
      <c r="BB50" s="623"/>
      <c r="BC50" s="623"/>
      <c r="BD50" s="623"/>
      <c r="BE50" s="623"/>
    </row>
    <row r="51" spans="1:57">
      <c r="A51" s="457"/>
      <c r="B51" s="457" t="s">
        <v>1213</v>
      </c>
      <c r="C51" s="455" t="str">
        <f>LEFT($L51,FIND("+",$L51,1)-1)</f>
        <v>2</v>
      </c>
      <c r="D51" s="455" t="s">
        <v>178</v>
      </c>
      <c r="E51" s="446" t="str">
        <f ca="1">IFERROR(IF(OR($I51="-", $H51="0"),"КАНАЛ ОТСУТСТВУЕТ",IF($I51=0,"МОДУЛЬ ОТСУТСТВУЕТ",IF(LEFT($I51,3)="out","УДАЛИТЬ",I51))),IF($K51=0,"УДАЛИТЬ","ОШИБКА ФОРМАТА"))</f>
        <v>Canal_10</v>
      </c>
      <c r="F51" s="455" t="str">
        <f>" :="&amp;IF(LEFT(SUBSTITUTE($K51," ",""),1)="!","NOT  ","")&amp;SUBSTITUTE($P$2,"\","|")&amp;"|"&amp; $J51 &amp;";"</f>
        <v xml:space="preserve"> :=ZRU_OL1|OXON;</v>
      </c>
      <c r="G51" s="445" t="str">
        <f>INDEX($N$2:$N$61,C51)</f>
        <v>M548A</v>
      </c>
      <c r="H51" s="445" t="str">
        <f>RIGHT($L51,LEN($L51)-FIND("+",$L51,1))</f>
        <v>10</v>
      </c>
      <c r="I51" s="460" t="str">
        <f ca="1">INDIRECT(ADDRESS($H51+1,MATCH($G51,$1:$1,),1))</f>
        <v>Canal_10</v>
      </c>
      <c r="J51" s="494" t="str">
        <f>$X$1</f>
        <v>OXON</v>
      </c>
      <c r="K51" s="495" t="str">
        <f>$X$2</f>
        <v>2+10</v>
      </c>
      <c r="L51" s="496" t="str">
        <f>$X$3</f>
        <v>2+10</v>
      </c>
      <c r="M51" s="424" t="str">
        <f>'Конфигурация TREI'!A52</f>
        <v>BR50</v>
      </c>
      <c r="N51" s="424">
        <f>'Конфигурация TREI'!B52</f>
        <v>0</v>
      </c>
      <c r="AE51" s="505"/>
      <c r="AF51" s="505"/>
      <c r="AG51" s="505"/>
      <c r="AH51" s="505"/>
      <c r="AI51" s="505"/>
      <c r="AJ51" s="505"/>
      <c r="AK51" s="505"/>
      <c r="AL51" s="505"/>
      <c r="AM51" s="505"/>
      <c r="AN51" s="505"/>
      <c r="AO51" s="505"/>
      <c r="AP51" s="505"/>
      <c r="AQ51" s="505"/>
      <c r="AR51" s="505"/>
      <c r="AS51" s="505"/>
      <c r="AT51" s="623"/>
      <c r="AU51" s="623"/>
      <c r="AV51" s="623"/>
      <c r="AW51" s="623"/>
      <c r="AX51" s="623"/>
      <c r="AY51" s="623"/>
      <c r="AZ51" s="623"/>
      <c r="BA51" s="623"/>
      <c r="BB51" s="623"/>
      <c r="BC51" s="623"/>
      <c r="BD51" s="623"/>
      <c r="BE51" s="623"/>
    </row>
    <row r="52" spans="1:57">
      <c r="A52" s="457"/>
      <c r="B52" s="457" t="s">
        <v>1213</v>
      </c>
      <c r="C52" s="455" t="str">
        <f>LEFT($L52,FIND("+",$L52,1)-1)</f>
        <v>2</v>
      </c>
      <c r="D52" s="455" t="s">
        <v>178</v>
      </c>
      <c r="E52" s="446" t="str">
        <f ca="1">IFERROR(IF(OR($I52="-", $H52="0"),"КАНАЛ ОТСУТСТВУЕТ",IF($I52=0,"МОДУЛЬ ОТСУТСТВУЕТ",IF(LEFT($I52,3)="out","УДАЛИТЬ",I52))),IF($K52=0,"УДАЛИТЬ","ОШИБКА ФОРМАТА"))</f>
        <v>Canal_11</v>
      </c>
      <c r="F52" s="455" t="str">
        <f>" :="&amp;IF(LEFT(SUBSTITUTE($K52," ",""),1)="!","NOT  ","")&amp;SUBSTITUTE($P$2,"\","|")&amp;"|"&amp; $J52 &amp;";"</f>
        <v xml:space="preserve"> :=ZRU_OL1|OXOF;</v>
      </c>
      <c r="G52" s="445" t="str">
        <f>INDEX($N$2:$N$61,C52)</f>
        <v>M548A</v>
      </c>
      <c r="H52" s="445" t="str">
        <f>RIGHT($L52,LEN($L52)-FIND("+",$L52,1))</f>
        <v>11</v>
      </c>
      <c r="I52" s="460" t="str">
        <f ca="1">INDIRECT(ADDRESS($H52+1,MATCH($G52,$1:$1,),1))</f>
        <v>Canal_11</v>
      </c>
      <c r="J52" s="497" t="str">
        <f xml:space="preserve"> $Y$1</f>
        <v>OXOF</v>
      </c>
      <c r="K52" s="492" t="str">
        <f>$Y$2</f>
        <v>2+11</v>
      </c>
      <c r="L52" s="498" t="str">
        <f>$Y$3</f>
        <v>2+11</v>
      </c>
      <c r="M52" s="424" t="str">
        <f>'Конфигурация TREI'!A53</f>
        <v>BR51</v>
      </c>
      <c r="N52" s="424">
        <f>'Конфигурация TREI'!B53</f>
        <v>0</v>
      </c>
      <c r="AE52" s="505"/>
      <c r="AF52" s="505"/>
      <c r="AG52" s="505"/>
      <c r="AH52" s="505"/>
      <c r="AI52" s="505"/>
      <c r="AJ52" s="505"/>
      <c r="AK52" s="505"/>
      <c r="AL52" s="505"/>
      <c r="AM52" s="505"/>
      <c r="AN52" s="505"/>
      <c r="AO52" s="505"/>
      <c r="AP52" s="505"/>
      <c r="AQ52" s="505"/>
      <c r="AR52" s="505"/>
      <c r="AS52" s="505"/>
      <c r="AT52" s="623"/>
      <c r="AU52" s="623"/>
      <c r="AV52" s="623"/>
      <c r="AW52" s="623"/>
      <c r="AX52" s="623"/>
      <c r="AY52" s="623"/>
      <c r="AZ52" s="623"/>
      <c r="BA52" s="623"/>
      <c r="BB52" s="623"/>
      <c r="BC52" s="623"/>
      <c r="BD52" s="623"/>
      <c r="BE52" s="623"/>
    </row>
    <row r="53" spans="1:57">
      <c r="A53" s="457"/>
      <c r="B53" s="457" t="s">
        <v>1213</v>
      </c>
      <c r="C53" s="455" t="str">
        <f>LEFT($L53,FIND("+",$L53,1)-1)</f>
        <v>2</v>
      </c>
      <c r="D53" s="455"/>
      <c r="E53" s="446" t="str">
        <f ca="1">IFERROR(IF(OR($I53="-", $H53="0"),"КАНАЛ ОТСУТСТВУЕТ",IF($I53=0,"МОДУЛЬ ОТСУТСТВУЕТ",IF(LEFT($I53,3)="out",".ODIG_MASK:=SETBIT("&amp;IF(LEFT(SUBSTITUTE($K53," ",""),1)="!","NOT  ","")&amp;SUBSTITUTE($P$2,"\","|")&amp;"|"&amp; $J53&amp;"@"&amp;REPLACE($I53,1,3,"")&amp;"@BR"&amp;$C53,"УДАЛИТЬ"))),"УДАЛИТЬ")</f>
        <v>УДАЛИТЬ</v>
      </c>
      <c r="F53" s="455" t="str">
        <f>".ODIG_MASK);"</f>
        <v>.ODIG_MASK);</v>
      </c>
      <c r="G53" s="445" t="str">
        <f>INDEX($N$2:$N$61,C53)</f>
        <v>M548A</v>
      </c>
      <c r="H53" s="445" t="str">
        <f>RIGHT($L53,LEN($L53)-FIND("+",$L53,1))</f>
        <v>10</v>
      </c>
      <c r="I53" s="460" t="str">
        <f ca="1">INDIRECT(ADDRESS($H53+1,MATCH($G53,$1:$1,),1))</f>
        <v>Canal_10</v>
      </c>
      <c r="J53" s="494" t="str">
        <f>$X$1</f>
        <v>OXON</v>
      </c>
      <c r="K53" s="495" t="str">
        <f>$X$2</f>
        <v>2+10</v>
      </c>
      <c r="L53" s="496" t="str">
        <f>$X$3</f>
        <v>2+10</v>
      </c>
      <c r="M53" s="424" t="str">
        <f>'Конфигурация TREI'!A54</f>
        <v>BR52</v>
      </c>
      <c r="N53" s="424">
        <f>'Конфигурация TREI'!B54</f>
        <v>0</v>
      </c>
      <c r="AE53" s="505"/>
      <c r="AF53" s="505"/>
      <c r="AG53" s="505"/>
      <c r="AH53" s="505"/>
      <c r="AI53" s="505"/>
      <c r="AJ53" s="505"/>
      <c r="AK53" s="505"/>
      <c r="AL53" s="505"/>
      <c r="AM53" s="505"/>
      <c r="AN53" s="505"/>
      <c r="AO53" s="505"/>
      <c r="AP53" s="505"/>
      <c r="AQ53" s="505"/>
      <c r="AR53" s="505"/>
      <c r="AS53" s="505"/>
      <c r="AT53" s="623"/>
      <c r="AU53" s="623"/>
      <c r="AV53" s="623"/>
      <c r="AW53" s="623"/>
      <c r="AX53" s="623"/>
      <c r="AY53" s="623"/>
      <c r="AZ53" s="623"/>
      <c r="BA53" s="623"/>
      <c r="BB53" s="623"/>
      <c r="BC53" s="623"/>
      <c r="BD53" s="623"/>
      <c r="BE53" s="623"/>
    </row>
    <row r="54" spans="1:57">
      <c r="A54" s="457"/>
      <c r="B54" s="457" t="s">
        <v>1213</v>
      </c>
      <c r="C54" s="455" t="str">
        <f>LEFT($L54,FIND("+",$L54,1)-1)</f>
        <v>2</v>
      </c>
      <c r="D54" s="455"/>
      <c r="E54" s="446" t="str">
        <f ca="1">IFERROR(IF(OR($I54="-", $H54="0"),"КАНАЛ ОТСУТСТВУЕТ",IF($I54=0,"МОДУЛЬ ОТСУТСТВУЕТ",IF(LEFT($I54,3)="out",".ODIG_MASK:=SETBIT("&amp;IF(LEFT(SUBSTITUTE($K54," ",""),1)="!","NOT  ","")&amp;SUBSTITUTE($P$2,"\","|")&amp;"|"&amp; $J54&amp;"@"&amp;REPLACE($I54,1,3,"")&amp;"@BR"&amp;$C54,"УДАЛИТЬ"))),"УДАЛИТЬ")</f>
        <v>УДАЛИТЬ</v>
      </c>
      <c r="F54" s="455" t="str">
        <f>".ODIG_MASK);"</f>
        <v>.ODIG_MASK);</v>
      </c>
      <c r="G54" s="445" t="str">
        <f>INDEX($N$2:$N$61,C54)</f>
        <v>M548A</v>
      </c>
      <c r="H54" s="445" t="str">
        <f>RIGHT($L54,LEN($L54)-FIND("+",$L54,1))</f>
        <v>11</v>
      </c>
      <c r="I54" s="460" t="str">
        <f ca="1">INDIRECT(ADDRESS($H54+1,MATCH($G54,$1:$1,),1))</f>
        <v>Canal_11</v>
      </c>
      <c r="J54" s="497" t="str">
        <f xml:space="preserve"> $Y$1</f>
        <v>OXOF</v>
      </c>
      <c r="K54" s="492" t="str">
        <f>$Y$2</f>
        <v>2+11</v>
      </c>
      <c r="L54" s="498" t="str">
        <f>$Y$3</f>
        <v>2+11</v>
      </c>
      <c r="M54" s="424" t="str">
        <f>'Конфигурация TREI'!A55</f>
        <v>BR53</v>
      </c>
      <c r="N54" s="424">
        <f>'Конфигурация TREI'!B55</f>
        <v>0</v>
      </c>
      <c r="AE54" s="505"/>
      <c r="AF54" s="505"/>
      <c r="AG54" s="505"/>
      <c r="AH54" s="505"/>
      <c r="AI54" s="505"/>
      <c r="AJ54" s="505"/>
      <c r="AK54" s="505"/>
      <c r="AL54" s="505"/>
      <c r="AM54" s="505"/>
      <c r="AN54" s="505"/>
      <c r="AO54" s="505"/>
      <c r="AP54" s="505"/>
      <c r="AQ54" s="505"/>
      <c r="AR54" s="505"/>
      <c r="AS54" s="505"/>
      <c r="AT54" s="623"/>
      <c r="AU54" s="623"/>
      <c r="AV54" s="623"/>
      <c r="AW54" s="623"/>
      <c r="AX54" s="623"/>
      <c r="AY54" s="623"/>
      <c r="AZ54" s="623"/>
      <c r="BA54" s="623"/>
      <c r="BB54" s="623"/>
      <c r="BC54" s="623"/>
      <c r="BD54" s="623"/>
      <c r="BE54" s="623"/>
    </row>
    <row r="55" spans="1:57">
      <c r="A55" s="457" t="str">
        <f>SUBSTITUTE($P$2,"\","|")&amp;"|"&amp;"DOON:="&amp;P4&amp;"NOT_LINK_BR"</f>
        <v>ZRU_OL1|DOON:=NOT_LINK_BR</v>
      </c>
      <c r="B55" s="457"/>
      <c r="C55" s="455"/>
      <c r="D55" s="455"/>
      <c r="E55" s="455" t="str">
        <f>IFERROR(LEFT($L55,FIND("+",$L55,1)-1),"УДАЛИТЬ")</f>
        <v>2</v>
      </c>
      <c r="F55" s="455" t="s">
        <v>845</v>
      </c>
      <c r="G55" s="445"/>
      <c r="H55" s="445"/>
      <c r="I55" s="460"/>
      <c r="J55" s="494" t="str">
        <f>$X$1</f>
        <v>OXON</v>
      </c>
      <c r="K55" s="495" t="str">
        <f>$X$2</f>
        <v>2+10</v>
      </c>
      <c r="L55" s="496" t="str">
        <f>$X$3</f>
        <v>2+10</v>
      </c>
      <c r="M55" s="424" t="str">
        <f>'Конфигурация TREI'!A56</f>
        <v>BR54</v>
      </c>
      <c r="N55" s="424">
        <f>'Конфигурация TREI'!B56</f>
        <v>0</v>
      </c>
      <c r="AE55" s="505"/>
      <c r="AF55" s="505"/>
      <c r="AG55" s="505"/>
      <c r="AH55" s="505"/>
      <c r="AI55" s="505"/>
      <c r="AJ55" s="505"/>
      <c r="AK55" s="505"/>
      <c r="AL55" s="505"/>
      <c r="AM55" s="505"/>
      <c r="AN55" s="505"/>
      <c r="AO55" s="505"/>
      <c r="AP55" s="505"/>
      <c r="AQ55" s="505"/>
      <c r="AR55" s="505"/>
      <c r="AS55" s="505"/>
      <c r="AT55" s="623"/>
      <c r="AU55" s="623"/>
      <c r="AV55" s="623"/>
      <c r="AW55" s="623"/>
      <c r="AX55" s="623"/>
      <c r="AY55" s="623"/>
      <c r="AZ55" s="623"/>
      <c r="BA55" s="623"/>
      <c r="BB55" s="623"/>
      <c r="BC55" s="623"/>
      <c r="BD55" s="623"/>
      <c r="BE55" s="623"/>
    </row>
    <row r="56" spans="1:57">
      <c r="A56" s="457" t="str">
        <f>SUBSTITUTE($P$2,"\","|")&amp;"|"&amp;"DOOF:="&amp;P4&amp;"NOT_LINK_BR"</f>
        <v>ZRU_OL1|DOOF:=NOT_LINK_BR</v>
      </c>
      <c r="B56" s="457"/>
      <c r="C56" s="455"/>
      <c r="D56" s="455"/>
      <c r="E56" s="455" t="str">
        <f>IFERROR(LEFT($L56,FIND("+",$L56,1)-1),"УДАЛИТЬ")</f>
        <v>2</v>
      </c>
      <c r="F56" s="455" t="s">
        <v>845</v>
      </c>
      <c r="G56" s="1"/>
      <c r="H56" s="1"/>
      <c r="I56" s="460"/>
      <c r="J56" s="499" t="str">
        <f xml:space="preserve"> $Y$1</f>
        <v>OXOF</v>
      </c>
      <c r="K56" s="500" t="str">
        <f>$Y$2</f>
        <v>2+11</v>
      </c>
      <c r="L56" s="501" t="str">
        <f>$Y$3</f>
        <v>2+11</v>
      </c>
      <c r="M56" s="424" t="str">
        <f>'Конфигурация TREI'!A57</f>
        <v>BR55</v>
      </c>
      <c r="N56" s="424">
        <f>'Конфигурация TREI'!B57</f>
        <v>0</v>
      </c>
      <c r="AE56" s="505"/>
      <c r="AF56" s="505"/>
      <c r="AG56" s="505"/>
      <c r="AH56" s="505"/>
      <c r="AI56" s="505"/>
      <c r="AJ56" s="505"/>
      <c r="AK56" s="505"/>
      <c r="AL56" s="505"/>
      <c r="AM56" s="505"/>
      <c r="AN56" s="505"/>
      <c r="AO56" s="505"/>
      <c r="AP56" s="505"/>
      <c r="AQ56" s="505"/>
      <c r="AR56" s="505"/>
      <c r="AS56" s="505"/>
      <c r="AT56" s="623"/>
      <c r="AU56" s="623"/>
      <c r="AV56" s="623"/>
      <c r="AW56" s="623"/>
      <c r="AX56" s="623"/>
      <c r="AY56" s="623"/>
      <c r="AZ56" s="623"/>
      <c r="BA56" s="623"/>
      <c r="BB56" s="623"/>
      <c r="BC56" s="623"/>
      <c r="BD56" s="623"/>
      <c r="BE56" s="623"/>
    </row>
    <row r="57" spans="1:57">
      <c r="M57" s="424" t="str">
        <f>'Конфигурация TREI'!A58</f>
        <v>BR56</v>
      </c>
      <c r="N57" s="424">
        <f>'Конфигурация TREI'!B58</f>
        <v>0</v>
      </c>
    </row>
    <row r="58" spans="1:57">
      <c r="M58" s="424" t="str">
        <f>'Конфигурация TREI'!A59</f>
        <v>BR57</v>
      </c>
      <c r="N58" s="424">
        <f>'Конфигурация TREI'!B59</f>
        <v>0</v>
      </c>
    </row>
    <row r="59" spans="1:57">
      <c r="M59" s="424" t="str">
        <f>'Конфигурация TREI'!A60</f>
        <v>BR58</v>
      </c>
      <c r="N59" s="424">
        <f>'Конфигурация TREI'!B60</f>
        <v>0</v>
      </c>
    </row>
    <row r="60" spans="1:57">
      <c r="M60" s="424" t="str">
        <f>'Конфигурация TREI'!A61</f>
        <v>BR59</v>
      </c>
      <c r="N60" s="424">
        <f>'Конфигурация TREI'!B61</f>
        <v>0</v>
      </c>
    </row>
    <row r="61" spans="1:57">
      <c r="M61" s="424" t="str">
        <f>'Конфигурация TREI'!A62</f>
        <v>BR60</v>
      </c>
      <c r="N61" s="424">
        <f>'Конфигурация TREI'!B62</f>
        <v>0</v>
      </c>
    </row>
  </sheetData>
  <pageMargins left="0.7" right="0.7" top="0.75" bottom="0.75" header="0.3" footer="0.3"/>
  <pageSetup paperSize="9"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sheetPr codeName="Лист110">
    <tabColor theme="2" tint="-0.249977111117893"/>
  </sheetPr>
  <dimension ref="A1:BE61"/>
  <sheetViews>
    <sheetView topLeftCell="A29" workbookViewId="0">
      <selection activeCell="D2" sqref="D2:D4"/>
    </sheetView>
  </sheetViews>
  <sheetFormatPr defaultRowHeight="14.4"/>
  <cols>
    <col min="1" max="1" width="35.44140625" customWidth="1"/>
    <col min="2" max="2" width="21.44140625" customWidth="1"/>
    <col min="3" max="3" width="3.44140625" style="56" customWidth="1"/>
    <col min="4" max="4" width="1.109375" style="56" customWidth="1"/>
    <col min="5" max="5" width="33.44140625" style="56" customWidth="1"/>
    <col min="6" max="6" width="17.6640625" customWidth="1"/>
    <col min="7" max="7" width="10.5546875" customWidth="1"/>
    <col min="8" max="8" width="14.33203125" customWidth="1"/>
    <col min="9" max="9" width="11.44140625" customWidth="1"/>
    <col min="10" max="10" width="9.109375" customWidth="1"/>
    <col min="11" max="11" width="10.88671875" customWidth="1"/>
    <col min="12" max="12" width="11.5546875" customWidth="1"/>
    <col min="13" max="15" width="9.109375" customWidth="1"/>
    <col min="16" max="16" width="34.6640625" customWidth="1"/>
    <col min="17" max="17" width="39.33203125" customWidth="1"/>
    <col min="18" max="30" width="26.109375" style="55" customWidth="1"/>
    <col min="31" max="31" width="4.5546875" style="427" customWidth="1"/>
    <col min="32" max="32" width="11.109375" customWidth="1"/>
  </cols>
  <sheetData>
    <row r="1" spans="1:57">
      <c r="A1" s="425"/>
      <c r="B1" s="425"/>
      <c r="C1" s="453"/>
      <c r="D1" s="453"/>
      <c r="E1" s="453"/>
      <c r="F1" s="425"/>
      <c r="G1" s="426" t="s">
        <v>846</v>
      </c>
      <c r="H1" s="426" t="s">
        <v>847</v>
      </c>
      <c r="I1" s="424" t="s">
        <v>1181</v>
      </c>
      <c r="J1" s="425"/>
      <c r="M1" s="424" t="str">
        <f>'Конфигурация TREI'!A1</f>
        <v>№ Модуля</v>
      </c>
      <c r="N1" s="424" t="str">
        <f>'Конфигурация TREI'!B2</f>
        <v>M501E(рез)</v>
      </c>
      <c r="O1" s="425"/>
      <c r="P1" s="425" t="str">
        <f>Таблица!D1</f>
        <v>Префикс для TREI
Тэг ОРС для INFINITY</v>
      </c>
      <c r="Q1" s="425" t="str">
        <f>Таблица!E1</f>
        <v>Комментарий для TREI и INFINITY</v>
      </c>
      <c r="R1" s="452"/>
      <c r="S1" s="452" t="s">
        <v>858</v>
      </c>
      <c r="T1" s="452" t="s">
        <v>859</v>
      </c>
      <c r="U1" s="452" t="s">
        <v>848</v>
      </c>
      <c r="V1" s="452" t="s">
        <v>849</v>
      </c>
      <c r="W1" s="452" t="s">
        <v>850</v>
      </c>
      <c r="X1" s="452" t="s">
        <v>851</v>
      </c>
      <c r="Y1" s="452" t="s">
        <v>852</v>
      </c>
      <c r="Z1" s="452" t="s">
        <v>853</v>
      </c>
      <c r="AA1" s="452"/>
      <c r="AB1" s="452"/>
      <c r="AC1" s="452" t="s">
        <v>856</v>
      </c>
      <c r="AD1" s="453"/>
      <c r="AE1" s="438"/>
      <c r="AF1" s="438">
        <f>Настройки!Q1</f>
        <v>0</v>
      </c>
      <c r="AG1" s="438" t="str">
        <f>Настройки!R1</f>
        <v>M943DR</v>
      </c>
      <c r="AH1" s="438" t="str">
        <f>Настройки!S1</f>
        <v>M942A</v>
      </c>
      <c r="AI1" s="438" t="str">
        <f>Настройки!T1</f>
        <v>M957D</v>
      </c>
      <c r="AJ1" s="438" t="str">
        <f>Настройки!U1</f>
        <v>M957O</v>
      </c>
      <c r="AK1" s="438" t="str">
        <f>Настройки!V1</f>
        <v>M947R</v>
      </c>
      <c r="AL1" s="438" t="str">
        <f>Настройки!W1</f>
        <v>M931V</v>
      </c>
      <c r="AM1" s="438" t="str">
        <f>Настройки!X1</f>
        <v>M931T</v>
      </c>
      <c r="AN1" s="438" t="str">
        <f>Настройки!Y1</f>
        <v>M547A</v>
      </c>
      <c r="AO1" s="438" t="str">
        <f>Настройки!Z1</f>
        <v>M537V</v>
      </c>
      <c r="AP1" s="438" t="str">
        <f>Настройки!AA1</f>
        <v>M557D</v>
      </c>
      <c r="AQ1" s="438" t="str">
        <f>Настройки!AB1</f>
        <v>M557O</v>
      </c>
      <c r="AR1" s="438" t="str">
        <f>Настройки!AC1</f>
        <v>MOPS</v>
      </c>
      <c r="AS1" s="438" t="str">
        <f>Настройки!AD1</f>
        <v>MUPS</v>
      </c>
      <c r="AT1" s="439" t="str">
        <f>Настройки!AB1</f>
        <v>M557O</v>
      </c>
      <c r="AU1" s="439" t="str">
        <f>Настройки!AC1</f>
        <v>MOPS</v>
      </c>
      <c r="AV1" s="439" t="str">
        <f>Настройки!AD1</f>
        <v>MUPS</v>
      </c>
      <c r="AW1" s="439" t="str">
        <f>Настройки!AE1</f>
        <v>M941A</v>
      </c>
      <c r="AX1" s="439" t="str">
        <f>Настройки!AF1</f>
        <v>M954D</v>
      </c>
      <c r="AY1" s="439" t="str">
        <f>Настройки!AG1</f>
        <v>M557DR</v>
      </c>
      <c r="AZ1" s="439" t="str">
        <f>Настройки!AH1</f>
        <v>M558D</v>
      </c>
      <c r="BA1" s="439" t="str">
        <f>Настройки!AI1</f>
        <v>M558O</v>
      </c>
      <c r="BB1" s="439" t="str">
        <f>Настройки!AJ1</f>
        <v>M548A</v>
      </c>
      <c r="BC1" s="439" t="str">
        <f>Настройки!AK1</f>
        <v>M538V</v>
      </c>
      <c r="BD1" s="439" t="str">
        <f>Настройки!AL1</f>
        <v>M558DR</v>
      </c>
      <c r="BE1" s="439" t="str">
        <f>Настройки!AM1</f>
        <v>*</v>
      </c>
    </row>
    <row r="2" spans="1:57">
      <c r="A2" s="446" t="str">
        <f>"//*********** "&amp;Q2&amp;" ***********"</f>
        <v>//*********** Выключатель электрический без тележки ***********</v>
      </c>
      <c r="B2" s="446"/>
      <c r="C2" s="446"/>
      <c r="D2" s="446"/>
      <c r="E2" s="446"/>
      <c r="F2" s="446" t="s">
        <v>1031</v>
      </c>
      <c r="G2" s="447"/>
      <c r="H2" s="447"/>
      <c r="I2" s="459"/>
      <c r="M2" s="424" t="str">
        <f>'Конфигурация TREI'!A3</f>
        <v>BR1</v>
      </c>
      <c r="N2" s="424" t="str">
        <f>'Конфигурация TREI'!B3</f>
        <v>M558D</v>
      </c>
      <c r="P2" s="2" t="s">
        <v>246</v>
      </c>
      <c r="Q2" s="449" t="s">
        <v>769</v>
      </c>
      <c r="R2" s="451"/>
      <c r="S2" s="454" t="s">
        <v>1258</v>
      </c>
      <c r="T2" s="454" t="s">
        <v>1259</v>
      </c>
      <c r="U2" s="454" t="s">
        <v>1260</v>
      </c>
      <c r="V2" s="454" t="s">
        <v>1261</v>
      </c>
      <c r="W2" s="454" t="s">
        <v>1262</v>
      </c>
      <c r="X2" s="454" t="s">
        <v>1263</v>
      </c>
      <c r="Y2" s="454" t="s">
        <v>1264</v>
      </c>
      <c r="Z2" s="454" t="s">
        <v>1265</v>
      </c>
      <c r="AA2" s="454"/>
      <c r="AB2" s="454"/>
      <c r="AC2" s="454" t="s">
        <v>1266</v>
      </c>
      <c r="AD2" s="454"/>
      <c r="AE2" s="431">
        <f>Настройки!P2</f>
        <v>1</v>
      </c>
      <c r="AF2" s="380">
        <f>Настройки!Q2</f>
        <v>0</v>
      </c>
      <c r="AG2" s="380" t="str">
        <f>Настройки!R2</f>
        <v>IDIG_1_1</v>
      </c>
      <c r="AH2" s="380" t="str">
        <f>Настройки!S2</f>
        <v>IANS_1_3</v>
      </c>
      <c r="AI2" s="380" t="str">
        <f>Настройки!T2</f>
        <v>out0</v>
      </c>
      <c r="AJ2" s="380" t="str">
        <f>Настройки!U2</f>
        <v>out0</v>
      </c>
      <c r="AK2" s="380" t="str">
        <f>Настройки!V2</f>
        <v>ODIG_1</v>
      </c>
      <c r="AL2" s="380" t="str">
        <f>Настройки!W2</f>
        <v>OAN_1_1</v>
      </c>
      <c r="AM2" s="380" t="str">
        <f>Настройки!X2</f>
        <v>IANS_1_1</v>
      </c>
      <c r="AN2" s="380" t="str">
        <f>Настройки!Y2</f>
        <v>Canal_01</v>
      </c>
      <c r="AO2" s="380" t="str">
        <f>Настройки!Z2</f>
        <v>Canal_01</v>
      </c>
      <c r="AP2" s="380" t="str">
        <f>Настройки!AA2</f>
        <v>Canal_01</v>
      </c>
      <c r="AQ2" s="380" t="str">
        <f>Настройки!AB2</f>
        <v>Canal_01</v>
      </c>
      <c r="AR2" s="380" t="str">
        <f>Настройки!AC2</f>
        <v>IVXX[0]</v>
      </c>
      <c r="AS2" s="380" t="str">
        <f>Настройки!AD2</f>
        <v>IVXX[0]</v>
      </c>
      <c r="AT2" s="207" t="str">
        <f>Настройки!AB2</f>
        <v>Canal_01</v>
      </c>
      <c r="AU2" s="207" t="str">
        <f>Настройки!AC2</f>
        <v>IVXX[0]</v>
      </c>
      <c r="AV2" s="207" t="str">
        <f>Настройки!AD2</f>
        <v>IVXX[0]</v>
      </c>
      <c r="AW2" s="207" t="str">
        <f>Настройки!AE2</f>
        <v>IANS_1_1</v>
      </c>
      <c r="AX2" s="207" t="str">
        <f>Настройки!AF2</f>
        <v>IDIG_1_1</v>
      </c>
      <c r="AY2" s="207" t="str">
        <f>Настройки!AG2</f>
        <v>Canal_01</v>
      </c>
      <c r="AZ2" s="207" t="str">
        <f>Настройки!AH2</f>
        <v>Canal_01</v>
      </c>
      <c r="BA2" s="207" t="str">
        <f>Настройки!AI2</f>
        <v>Canal_01</v>
      </c>
      <c r="BB2" s="207" t="str">
        <f>Настройки!AJ2</f>
        <v>Canal_01</v>
      </c>
      <c r="BC2" s="207" t="str">
        <f>Настройки!AK2</f>
        <v>Canal_01</v>
      </c>
      <c r="BD2" s="207" t="str">
        <f>Настройки!AL2</f>
        <v>Canal_01</v>
      </c>
      <c r="BE2" s="207" t="str">
        <f>Настройки!AM2</f>
        <v>-</v>
      </c>
    </row>
    <row r="3" spans="1:57">
      <c r="A3" s="82"/>
      <c r="B3" s="82"/>
      <c r="C3" s="81"/>
      <c r="D3" s="81"/>
      <c r="E3" s="448" t="str">
        <f t="shared" ref="E3:E9" ca="1" si="0">IF(LEFT(E10,3)="out","INT_TO_BIT_BR"&amp;C10&amp;"(BR"&amp;C10&amp;".IDIG_MASK)","УДАЛИТЬ")</f>
        <v>УДАЛИТЬ</v>
      </c>
      <c r="F3" s="446" t="s">
        <v>845</v>
      </c>
      <c r="G3" s="447"/>
      <c r="H3" s="447"/>
      <c r="I3" s="459"/>
      <c r="M3" s="424" t="str">
        <f>'Конфигурация TREI'!A4</f>
        <v>BR2</v>
      </c>
      <c r="N3" s="424" t="str">
        <f>'Конфигурация TREI'!B4</f>
        <v>M548A</v>
      </c>
      <c r="P3" s="425" t="str">
        <f>'Конфигурация TREI'!D1</f>
        <v>Путь TREI для сигналов NOT_LINK</v>
      </c>
      <c r="R3" s="450"/>
      <c r="S3" s="454" t="str">
        <f>SUBSTITUTE(SUBSTITUTE($S$2,"!","")," ","")</f>
        <v>1+27</v>
      </c>
      <c r="T3" s="454" t="str">
        <f>SUBSTITUTE(SUBSTITUTE($T$2,"!","")," ","")</f>
        <v>1+28</v>
      </c>
      <c r="U3" s="454" t="str">
        <f>SUBSTITUTE(SUBSTITUTE($U$2,"!","")," ","")</f>
        <v>1+29</v>
      </c>
      <c r="V3" s="454" t="str">
        <f>SUBSTITUTE(SUBSTITUTE($V$2,"!","")," ","")</f>
        <v>1+30</v>
      </c>
      <c r="W3" s="454" t="str">
        <f>SUBSTITUTE(SUBSTITUTE($W$2,"!","")," ","")</f>
        <v>1+31</v>
      </c>
      <c r="X3" s="454" t="str">
        <f>SUBSTITUTE(SUBSTITUTE($X$2,"!","")," ","")</f>
        <v>2+12</v>
      </c>
      <c r="Y3" s="454" t="str">
        <f>SUBSTITUTE(SUBSTITUTE($Y$2,"!","")," ","")</f>
        <v>2+13</v>
      </c>
      <c r="Z3" s="454" t="str">
        <f>SUBSTITUTE(SUBSTITUTE($Z$2,"!","")," ","")</f>
        <v>1+32</v>
      </c>
      <c r="AA3" s="454" t="str">
        <f>SUBSTITUTE(SUBSTITUTE($AA$2,"!","")," ","")</f>
        <v/>
      </c>
      <c r="AB3" s="454" t="str">
        <f>SUBSTITUTE(SUBSTITUTE($AB$2,"!","")," ","")</f>
        <v/>
      </c>
      <c r="AC3" s="454" t="str">
        <f>SUBSTITUTE(SUBSTITUTE($AC$2,"!","")," ","")</f>
        <v>6+1</v>
      </c>
      <c r="AD3" s="454"/>
      <c r="AE3" s="431">
        <f>Настройки!P3</f>
        <v>2</v>
      </c>
      <c r="AF3" s="380">
        <f>Настройки!Q3</f>
        <v>0</v>
      </c>
      <c r="AG3" s="380" t="str">
        <f>Настройки!R3</f>
        <v>IDIG_1_2</v>
      </c>
      <c r="AH3" s="380" t="str">
        <f>Настройки!S3</f>
        <v>IANS_1_4</v>
      </c>
      <c r="AI3" s="380" t="str">
        <f>Настройки!T3</f>
        <v>out1</v>
      </c>
      <c r="AJ3" s="380" t="str">
        <f>Настройки!U3</f>
        <v>out1</v>
      </c>
      <c r="AK3" s="380" t="str">
        <f>Настройки!V3</f>
        <v>ODIG_2</v>
      </c>
      <c r="AL3" s="380" t="str">
        <f>Настройки!W3</f>
        <v>OAN_2_1</v>
      </c>
      <c r="AM3" s="380" t="str">
        <f>Настройки!X3</f>
        <v>IANS_2_1</v>
      </c>
      <c r="AN3" s="380" t="str">
        <f>Настройки!Y3</f>
        <v>Canal_02</v>
      </c>
      <c r="AO3" s="380" t="str">
        <f>Настройки!Z3</f>
        <v>Canal_02</v>
      </c>
      <c r="AP3" s="380" t="str">
        <f>Настройки!AA3</f>
        <v>Canal_02</v>
      </c>
      <c r="AQ3" s="380" t="str">
        <f>Настройки!AB3</f>
        <v>Canal_02</v>
      </c>
      <c r="AR3" s="380" t="str">
        <f>Настройки!AC3</f>
        <v>IVXX[1]</v>
      </c>
      <c r="AS3" s="380" t="str">
        <f>Настройки!AD3</f>
        <v>IVXX[1]</v>
      </c>
      <c r="AT3" s="207" t="str">
        <f>Настройки!AB3</f>
        <v>Canal_02</v>
      </c>
      <c r="AU3" s="207" t="str">
        <f>Настройки!AC3</f>
        <v>IVXX[1]</v>
      </c>
      <c r="AV3" s="207" t="str">
        <f>Настройки!AD3</f>
        <v>IVXX[1]</v>
      </c>
      <c r="AW3" s="207" t="str">
        <f>Настройки!AE3</f>
        <v>IANS_1_2</v>
      </c>
      <c r="AX3" s="207" t="str">
        <f>Настройки!AF3</f>
        <v>IDIG_1_2</v>
      </c>
      <c r="AY3" s="207" t="str">
        <f>Настройки!AG3</f>
        <v>Canal_02</v>
      </c>
      <c r="AZ3" s="207" t="str">
        <f>Настройки!AH3</f>
        <v>Canal_02</v>
      </c>
      <c r="BA3" s="207" t="str">
        <f>Настройки!AI3</f>
        <v>Canal_02</v>
      </c>
      <c r="BB3" s="207" t="str">
        <f>Настройки!AJ3</f>
        <v>Canal_02</v>
      </c>
      <c r="BC3" s="207" t="str">
        <f>Настройки!AK3</f>
        <v>Canal_02</v>
      </c>
      <c r="BD3" s="207" t="str">
        <f>Настройки!AL3</f>
        <v>Canal_02</v>
      </c>
      <c r="BE3" s="207" t="str">
        <f>Настройки!AM3</f>
        <v>-</v>
      </c>
    </row>
    <row r="4" spans="1:57">
      <c r="A4" s="82"/>
      <c r="B4" s="82"/>
      <c r="C4" s="81"/>
      <c r="D4" s="81"/>
      <c r="E4" s="448" t="str">
        <f t="shared" ca="1" si="0"/>
        <v>УДАЛИТЬ</v>
      </c>
      <c r="F4" s="446" t="s">
        <v>845</v>
      </c>
      <c r="G4" s="447"/>
      <c r="H4" s="447"/>
      <c r="I4" s="459"/>
      <c r="M4" s="424" t="str">
        <f>'Конфигурация TREI'!A5</f>
        <v>BR3</v>
      </c>
      <c r="N4" s="424" t="str">
        <f>'Конфигурация TREI'!B5</f>
        <v>M548A</v>
      </c>
      <c r="P4" s="3" t="str">
        <f>Настройки!D2</f>
        <v/>
      </c>
      <c r="AE4" s="431">
        <f>Настройки!P4</f>
        <v>3</v>
      </c>
      <c r="AF4" s="380">
        <f>Настройки!Q4</f>
        <v>0</v>
      </c>
      <c r="AG4" s="380" t="str">
        <f>Настройки!R4</f>
        <v>IDIG_2_1</v>
      </c>
      <c r="AH4" s="380" t="str">
        <f>Настройки!S4</f>
        <v>IANS_2_3</v>
      </c>
      <c r="AI4" s="380" t="str">
        <f>Настройки!T4</f>
        <v>out2</v>
      </c>
      <c r="AJ4" s="380" t="str">
        <f>Настройки!U4</f>
        <v>out2</v>
      </c>
      <c r="AK4" s="380" t="str">
        <f>Настройки!V4</f>
        <v>ODIG_3</v>
      </c>
      <c r="AL4" s="380" t="str">
        <f>Настройки!W4</f>
        <v>OAN_3_1</v>
      </c>
      <c r="AM4" s="380" t="str">
        <f>Настройки!X4</f>
        <v>IANS_3_1</v>
      </c>
      <c r="AN4" s="380" t="str">
        <f>Настройки!Y4</f>
        <v>Canal_03</v>
      </c>
      <c r="AO4" s="380" t="str">
        <f>Настройки!Z4</f>
        <v>Canal_03</v>
      </c>
      <c r="AP4" s="380" t="str">
        <f>Настройки!AA4</f>
        <v>Canal_03</v>
      </c>
      <c r="AQ4" s="380" t="str">
        <f>Настройки!AB4</f>
        <v>Canal_03</v>
      </c>
      <c r="AR4" s="380" t="str">
        <f>Настройки!AC4</f>
        <v>IVXX[2]</v>
      </c>
      <c r="AS4" s="380" t="str">
        <f>Настройки!AD4</f>
        <v>IVXX[2]</v>
      </c>
      <c r="AT4" s="207" t="str">
        <f>Настройки!AB4</f>
        <v>Canal_03</v>
      </c>
      <c r="AU4" s="207" t="str">
        <f>Настройки!AC4</f>
        <v>IVXX[2]</v>
      </c>
      <c r="AV4" s="207" t="str">
        <f>Настройки!AD4</f>
        <v>IVXX[2]</v>
      </c>
      <c r="AW4" s="207" t="str">
        <f>Настройки!AE4</f>
        <v>IANS_2_1</v>
      </c>
      <c r="AX4" s="207" t="str">
        <f>Настройки!AF4</f>
        <v>IDIG_1_3</v>
      </c>
      <c r="AY4" s="207" t="str">
        <f>Настройки!AG4</f>
        <v>Canal_03</v>
      </c>
      <c r="AZ4" s="207" t="str">
        <f>Настройки!AH4</f>
        <v>Canal_03</v>
      </c>
      <c r="BA4" s="207" t="str">
        <f>Настройки!AI4</f>
        <v>Canal_03</v>
      </c>
      <c r="BB4" s="207" t="str">
        <f>Настройки!AJ4</f>
        <v>Canal_03</v>
      </c>
      <c r="BC4" s="207" t="str">
        <f>Настройки!AK4</f>
        <v>Canal_03</v>
      </c>
      <c r="BD4" s="207" t="str">
        <f>Настройки!AL4</f>
        <v>Canal_03</v>
      </c>
      <c r="BE4" s="207" t="str">
        <f>Настройки!AM4</f>
        <v>-</v>
      </c>
    </row>
    <row r="5" spans="1:57">
      <c r="A5" s="82"/>
      <c r="B5" s="82"/>
      <c r="C5" s="81"/>
      <c r="D5" s="81"/>
      <c r="E5" s="448" t="str">
        <f t="shared" ca="1" si="0"/>
        <v>УДАЛИТЬ</v>
      </c>
      <c r="F5" s="446" t="s">
        <v>845</v>
      </c>
      <c r="G5" s="447"/>
      <c r="H5" s="447"/>
      <c r="I5" s="459"/>
      <c r="M5" s="424" t="str">
        <f>'Конфигурация TREI'!A6</f>
        <v>BR4</v>
      </c>
      <c r="N5" s="424" t="str">
        <f>'Конфигурация TREI'!B6</f>
        <v>M558D</v>
      </c>
      <c r="AE5" s="431">
        <f>Настройки!P5</f>
        <v>4</v>
      </c>
      <c r="AF5" s="380">
        <f>Настройки!Q5</f>
        <v>0</v>
      </c>
      <c r="AG5" s="380" t="str">
        <f>Настройки!R5</f>
        <v>IDIG_2_2</v>
      </c>
      <c r="AH5" s="380" t="str">
        <f>Настройки!S5</f>
        <v>IANS_2_4</v>
      </c>
      <c r="AI5" s="380" t="str">
        <f>Настройки!T5</f>
        <v>out3</v>
      </c>
      <c r="AJ5" s="380" t="str">
        <f>Настройки!U5</f>
        <v>out3</v>
      </c>
      <c r="AK5" s="380" t="str">
        <f>Настройки!V5</f>
        <v>ODIG_4</v>
      </c>
      <c r="AL5" s="380" t="str">
        <f>Настройки!W5</f>
        <v>OAN_4_1</v>
      </c>
      <c r="AM5" s="380" t="str">
        <f>Настройки!X5</f>
        <v>IANS_4_1</v>
      </c>
      <c r="AN5" s="380" t="str">
        <f>Настройки!Y5</f>
        <v>Canal_04</v>
      </c>
      <c r="AO5" s="380" t="str">
        <f>Настройки!Z5</f>
        <v>Canal_04</v>
      </c>
      <c r="AP5" s="380" t="str">
        <f>Настройки!AA5</f>
        <v>Canal_04</v>
      </c>
      <c r="AQ5" s="380" t="str">
        <f>Настройки!AB5</f>
        <v>Canal_04</v>
      </c>
      <c r="AR5" s="380" t="str">
        <f>Настройки!AC5</f>
        <v>IVXX[3]</v>
      </c>
      <c r="AS5" s="380" t="str">
        <f>Настройки!AD5</f>
        <v>IVXX[3]</v>
      </c>
      <c r="AT5" s="207" t="str">
        <f>Настройки!AB5</f>
        <v>Canal_04</v>
      </c>
      <c r="AU5" s="207" t="str">
        <f>Настройки!AC5</f>
        <v>IVXX[3]</v>
      </c>
      <c r="AV5" s="207" t="str">
        <f>Настройки!AD5</f>
        <v>IVXX[3]</v>
      </c>
      <c r="AW5" s="207" t="str">
        <f>Настройки!AE5</f>
        <v>IANS_2_2</v>
      </c>
      <c r="AX5" s="207" t="str">
        <f>Настройки!AF5</f>
        <v>IDIG_1_4</v>
      </c>
      <c r="AY5" s="207" t="str">
        <f>Настройки!AG5</f>
        <v>Canal_04</v>
      </c>
      <c r="AZ5" s="207" t="str">
        <f>Настройки!AH5</f>
        <v>Canal_04</v>
      </c>
      <c r="BA5" s="207" t="str">
        <f>Настройки!AI5</f>
        <v>Canal_04</v>
      </c>
      <c r="BB5" s="207" t="str">
        <f>Настройки!AJ5</f>
        <v>Canal_04</v>
      </c>
      <c r="BC5" s="207" t="str">
        <f>Настройки!AK5</f>
        <v>Canal_04</v>
      </c>
      <c r="BD5" s="207" t="str">
        <f>Настройки!AL5</f>
        <v>Canal_04</v>
      </c>
      <c r="BE5" s="207" t="str">
        <f>Настройки!AM5</f>
        <v>-</v>
      </c>
    </row>
    <row r="6" spans="1:57">
      <c r="A6" s="82"/>
      <c r="B6" s="82"/>
      <c r="C6" s="81"/>
      <c r="D6" s="81"/>
      <c r="E6" s="448" t="str">
        <f t="shared" ca="1" si="0"/>
        <v>УДАЛИТЬ</v>
      </c>
      <c r="F6" s="446" t="s">
        <v>845</v>
      </c>
      <c r="G6" s="447"/>
      <c r="H6" s="447"/>
      <c r="I6" s="459"/>
      <c r="M6" s="424" t="str">
        <f>'Конфигурация TREI'!A7</f>
        <v>BR5</v>
      </c>
      <c r="N6" s="424" t="str">
        <f>'Конфигурация TREI'!B7</f>
        <v>M558O</v>
      </c>
      <c r="AE6" s="431">
        <f>Настройки!P6</f>
        <v>5</v>
      </c>
      <c r="AF6" s="380">
        <f>Настройки!Q6</f>
        <v>0</v>
      </c>
      <c r="AG6" s="380" t="str">
        <f>Настройки!R6</f>
        <v>IDIG_3_1</v>
      </c>
      <c r="AH6" s="380" t="str">
        <f>Настройки!S6</f>
        <v>IANS_3_3</v>
      </c>
      <c r="AI6" s="380" t="str">
        <f>Настройки!T6</f>
        <v>out4</v>
      </c>
      <c r="AJ6" s="380" t="str">
        <f>Настройки!U6</f>
        <v>out4</v>
      </c>
      <c r="AK6" s="380" t="str">
        <f>Настройки!V6</f>
        <v>ODIG_5</v>
      </c>
      <c r="AL6" s="380" t="str">
        <f>Настройки!W6</f>
        <v>OAN_5_1</v>
      </c>
      <c r="AM6" s="380" t="str">
        <f>Настройки!X6</f>
        <v>IANS_5_1</v>
      </c>
      <c r="AN6" s="380" t="str">
        <f>Настройки!Y6</f>
        <v>Canal_05</v>
      </c>
      <c r="AO6" s="380" t="str">
        <f>Настройки!Z6</f>
        <v>Canal_05</v>
      </c>
      <c r="AP6" s="380" t="str">
        <f>Настройки!AA6</f>
        <v>Canal_05</v>
      </c>
      <c r="AQ6" s="380" t="str">
        <f>Настройки!AB6</f>
        <v>Canal_05</v>
      </c>
      <c r="AR6" s="380" t="str">
        <f>Настройки!AC6</f>
        <v>IVXX[4]</v>
      </c>
      <c r="AS6" s="380" t="str">
        <f>Настройки!AD6</f>
        <v>IVXX[4]</v>
      </c>
      <c r="AT6" s="207" t="str">
        <f>Настройки!AB6</f>
        <v>Canal_05</v>
      </c>
      <c r="AU6" s="207" t="str">
        <f>Настройки!AC6</f>
        <v>IVXX[4]</v>
      </c>
      <c r="AV6" s="207" t="str">
        <f>Настройки!AD6</f>
        <v>IVXX[4]</v>
      </c>
      <c r="AW6" s="207" t="str">
        <f>Настройки!AE6</f>
        <v>IANS_3_1</v>
      </c>
      <c r="AX6" s="207" t="str">
        <f>Настройки!AF6</f>
        <v>IDIG_2_1</v>
      </c>
      <c r="AY6" s="207" t="str">
        <f>Настройки!AG6</f>
        <v>Canal_05</v>
      </c>
      <c r="AZ6" s="207" t="str">
        <f>Настройки!AH6</f>
        <v>Canal_05</v>
      </c>
      <c r="BA6" s="207" t="str">
        <f>Настройки!AI6</f>
        <v>Canal_05</v>
      </c>
      <c r="BB6" s="207" t="str">
        <f>Настройки!AJ6</f>
        <v>Canal_05</v>
      </c>
      <c r="BC6" s="207" t="str">
        <f>Настройки!AK6</f>
        <v>Canal_05</v>
      </c>
      <c r="BD6" s="207" t="str">
        <f>Настройки!AL6</f>
        <v>Canal_05</v>
      </c>
      <c r="BE6" s="207" t="str">
        <f>Настройки!AM6</f>
        <v>-</v>
      </c>
    </row>
    <row r="7" spans="1:57">
      <c r="A7" s="82"/>
      <c r="B7" s="82"/>
      <c r="C7" s="81"/>
      <c r="D7" s="81"/>
      <c r="E7" s="448" t="str">
        <f t="shared" ca="1" si="0"/>
        <v>УДАЛИТЬ</v>
      </c>
      <c r="F7" s="446" t="s">
        <v>845</v>
      </c>
      <c r="G7" s="447"/>
      <c r="H7" s="447"/>
      <c r="I7" s="459"/>
      <c r="M7" s="424" t="str">
        <f>'Конфигурация TREI'!A8</f>
        <v>BR6</v>
      </c>
      <c r="N7" s="424" t="str">
        <f>'Конфигурация TREI'!B8</f>
        <v>M558O</v>
      </c>
      <c r="AE7" s="431">
        <f>Настройки!P7</f>
        <v>6</v>
      </c>
      <c r="AF7" s="380">
        <f>Настройки!Q7</f>
        <v>0</v>
      </c>
      <c r="AG7" s="380" t="str">
        <f>Настройки!R7</f>
        <v>IDIG_3_2</v>
      </c>
      <c r="AH7" s="380" t="str">
        <f>Настройки!S7</f>
        <v>IANS_3_4</v>
      </c>
      <c r="AI7" s="380" t="str">
        <f>Настройки!T7</f>
        <v>out5</v>
      </c>
      <c r="AJ7" s="380" t="str">
        <f>Настройки!U7</f>
        <v>out5</v>
      </c>
      <c r="AK7" s="380" t="str">
        <f>Настройки!V7</f>
        <v>ODIG_6</v>
      </c>
      <c r="AL7" s="380" t="str">
        <f>Настройки!W7</f>
        <v>OAN_6_1</v>
      </c>
      <c r="AM7" s="380" t="str">
        <f>Настройки!X7</f>
        <v>IANS_6_1</v>
      </c>
      <c r="AN7" s="380" t="str">
        <f>Настройки!Y7</f>
        <v>Canal_06</v>
      </c>
      <c r="AO7" s="380" t="str">
        <f>Настройки!Z7</f>
        <v>Canal_06</v>
      </c>
      <c r="AP7" s="380" t="str">
        <f>Настройки!AA7</f>
        <v>Canal_06</v>
      </c>
      <c r="AQ7" s="380" t="str">
        <f>Настройки!AB7</f>
        <v>Canal_06</v>
      </c>
      <c r="AR7" s="380" t="str">
        <f>Настройки!AC7</f>
        <v>IVXX[5]</v>
      </c>
      <c r="AS7" s="380" t="str">
        <f>Настройки!AD7</f>
        <v>IVXX[5]</v>
      </c>
      <c r="AT7" s="207" t="str">
        <f>Настройки!AB7</f>
        <v>Canal_06</v>
      </c>
      <c r="AU7" s="207" t="str">
        <f>Настройки!AC7</f>
        <v>IVXX[5]</v>
      </c>
      <c r="AV7" s="207" t="str">
        <f>Настройки!AD7</f>
        <v>IVXX[5]</v>
      </c>
      <c r="AW7" s="207" t="str">
        <f>Настройки!AE7</f>
        <v>IANS_3_2</v>
      </c>
      <c r="AX7" s="207" t="str">
        <f>Настройки!AF7</f>
        <v>IDIG_2_2</v>
      </c>
      <c r="AY7" s="207" t="str">
        <f>Настройки!AG7</f>
        <v>Canal_06</v>
      </c>
      <c r="AZ7" s="207" t="str">
        <f>Настройки!AH7</f>
        <v>Canal_06</v>
      </c>
      <c r="BA7" s="207" t="str">
        <f>Настройки!AI7</f>
        <v>Canal_06</v>
      </c>
      <c r="BB7" s="207" t="str">
        <f>Настройки!AJ7</f>
        <v>Canal_06</v>
      </c>
      <c r="BC7" s="207" t="str">
        <f>Настройки!AK7</f>
        <v>Canal_06</v>
      </c>
      <c r="BD7" s="207" t="str">
        <f>Настройки!AL7</f>
        <v>Canal_06</v>
      </c>
      <c r="BE7" s="207" t="str">
        <f>Настройки!AM7</f>
        <v>-</v>
      </c>
    </row>
    <row r="8" spans="1:57">
      <c r="A8" s="82"/>
      <c r="B8" s="82"/>
      <c r="C8" s="81"/>
      <c r="D8" s="81"/>
      <c r="E8" s="448" t="str">
        <f t="shared" ca="1" si="0"/>
        <v>УДАЛИТЬ</v>
      </c>
      <c r="F8" s="446" t="s">
        <v>845</v>
      </c>
      <c r="G8" s="447"/>
      <c r="H8" s="447"/>
      <c r="I8" s="460"/>
      <c r="M8" s="424" t="str">
        <f>'Конфигурация TREI'!A9</f>
        <v>BR7</v>
      </c>
      <c r="N8" s="424" t="str">
        <f>'Конфигурация TREI'!B9</f>
        <v>M558O</v>
      </c>
      <c r="AE8" s="431">
        <f>Настройки!P8</f>
        <v>7</v>
      </c>
      <c r="AF8" s="380">
        <f>Настройки!Q8</f>
        <v>0</v>
      </c>
      <c r="AG8" s="380" t="str">
        <f>Настройки!R8</f>
        <v>IDIG_4_1</v>
      </c>
      <c r="AH8" s="380" t="str">
        <f>Настройки!S8</f>
        <v>IANS_4_3</v>
      </c>
      <c r="AI8" s="380" t="str">
        <f>Настройки!T8</f>
        <v>out6</v>
      </c>
      <c r="AJ8" s="380" t="str">
        <f>Настройки!U8</f>
        <v>out6</v>
      </c>
      <c r="AK8" s="380" t="str">
        <f>Настройки!V8</f>
        <v>ODIG_7</v>
      </c>
      <c r="AL8" s="380" t="str">
        <f>Настройки!W8</f>
        <v>OAN_7_1</v>
      </c>
      <c r="AM8" s="380" t="str">
        <f>Настройки!X8</f>
        <v>IANS_7_1</v>
      </c>
      <c r="AN8" s="380" t="str">
        <f>Настройки!Y8</f>
        <v>Canal_07</v>
      </c>
      <c r="AO8" s="380" t="str">
        <f>Настройки!Z8</f>
        <v>Canal_07</v>
      </c>
      <c r="AP8" s="380" t="str">
        <f>Настройки!AA8</f>
        <v>Canal_07</v>
      </c>
      <c r="AQ8" s="380" t="str">
        <f>Настройки!AB8</f>
        <v>Canal_07</v>
      </c>
      <c r="AR8" s="380" t="str">
        <f>Настройки!AC8</f>
        <v>IVXX[6]</v>
      </c>
      <c r="AS8" s="380" t="str">
        <f>Настройки!AD8</f>
        <v>IVXX[6]</v>
      </c>
      <c r="AT8" s="207" t="str">
        <f>Настройки!AB8</f>
        <v>Canal_07</v>
      </c>
      <c r="AU8" s="207" t="str">
        <f>Настройки!AC8</f>
        <v>IVXX[6]</v>
      </c>
      <c r="AV8" s="207" t="str">
        <f>Настройки!AD8</f>
        <v>IVXX[6]</v>
      </c>
      <c r="AW8" s="207" t="str">
        <f>Настройки!AE8</f>
        <v>IANS_4_1</v>
      </c>
      <c r="AX8" s="207" t="str">
        <f>Настройки!AF8</f>
        <v>IDIG_2_3</v>
      </c>
      <c r="AY8" s="207" t="str">
        <f>Настройки!AG8</f>
        <v>Canal_07</v>
      </c>
      <c r="AZ8" s="207" t="str">
        <f>Настройки!AH8</f>
        <v>Canal_07</v>
      </c>
      <c r="BA8" s="207" t="str">
        <f>Настройки!AI8</f>
        <v>Canal_07</v>
      </c>
      <c r="BB8" s="207" t="str">
        <f>Настройки!AJ8</f>
        <v>Canal_07</v>
      </c>
      <c r="BC8" s="207" t="str">
        <f>Настройки!AK8</f>
        <v>Canal_07</v>
      </c>
      <c r="BD8" s="207" t="str">
        <f>Настройки!AL8</f>
        <v>Canal_07</v>
      </c>
      <c r="BE8" s="207" t="str">
        <f>Настройки!AM8</f>
        <v>-</v>
      </c>
    </row>
    <row r="9" spans="1:57">
      <c r="A9" s="82"/>
      <c r="B9" s="82"/>
      <c r="C9" s="81"/>
      <c r="D9" s="81"/>
      <c r="E9" s="448" t="str">
        <f t="shared" ca="1" si="0"/>
        <v>УДАЛИТЬ</v>
      </c>
      <c r="F9" s="446" t="s">
        <v>845</v>
      </c>
      <c r="G9" s="447"/>
      <c r="H9" s="447"/>
      <c r="I9" s="460"/>
      <c r="M9" s="424" t="str">
        <f>'Конфигурация TREI'!A10</f>
        <v>BR8</v>
      </c>
      <c r="N9" s="424" t="str">
        <f>'Конфигурация TREI'!B10</f>
        <v>M558O</v>
      </c>
      <c r="AE9" s="431">
        <f>Настройки!P9</f>
        <v>8</v>
      </c>
      <c r="AF9" s="380">
        <f>Настройки!Q9</f>
        <v>0</v>
      </c>
      <c r="AG9" s="380" t="str">
        <f>Настройки!R9</f>
        <v>IDIG_4_2</v>
      </c>
      <c r="AH9" s="380" t="str">
        <f>Настройки!S9</f>
        <v>IANS_4_4</v>
      </c>
      <c r="AI9" s="380" t="str">
        <f>Настройки!T9</f>
        <v>out7</v>
      </c>
      <c r="AJ9" s="380" t="str">
        <f>Настройки!U9</f>
        <v>out7</v>
      </c>
      <c r="AK9" s="380" t="str">
        <f>Настройки!V9</f>
        <v>ODIG_8</v>
      </c>
      <c r="AL9" s="380" t="str">
        <f>Настройки!W9</f>
        <v>OAN_8_1</v>
      </c>
      <c r="AM9" s="380" t="str">
        <f>Настройки!X9</f>
        <v>IANS_8_1</v>
      </c>
      <c r="AN9" s="380" t="str">
        <f>Настройки!Y9</f>
        <v>Canal_08</v>
      </c>
      <c r="AO9" s="380" t="str">
        <f>Настройки!Z9</f>
        <v>Canal_08</v>
      </c>
      <c r="AP9" s="380" t="str">
        <f>Настройки!AA9</f>
        <v>Canal_08</v>
      </c>
      <c r="AQ9" s="380" t="str">
        <f>Настройки!AB9</f>
        <v>Canal_08</v>
      </c>
      <c r="AR9" s="380" t="str">
        <f>Настройки!AC9</f>
        <v>IVXX[7]</v>
      </c>
      <c r="AS9" s="380" t="str">
        <f>Настройки!AD9</f>
        <v>IVXX[7]</v>
      </c>
      <c r="AT9" s="207" t="str">
        <f>Настройки!AB9</f>
        <v>Canal_08</v>
      </c>
      <c r="AU9" s="207" t="str">
        <f>Настройки!AC9</f>
        <v>IVXX[7]</v>
      </c>
      <c r="AV9" s="207" t="str">
        <f>Настройки!AD9</f>
        <v>IVXX[7]</v>
      </c>
      <c r="AW9" s="207" t="str">
        <f>Настройки!AE9</f>
        <v>IANS_4_2</v>
      </c>
      <c r="AX9" s="207" t="str">
        <f>Настройки!AF9</f>
        <v>IDIG_2_4</v>
      </c>
      <c r="AY9" s="207" t="str">
        <f>Настройки!AG9</f>
        <v>Canal_08</v>
      </c>
      <c r="AZ9" s="207" t="str">
        <f>Настройки!AH9</f>
        <v>Canal_08</v>
      </c>
      <c r="BA9" s="207" t="str">
        <f>Настройки!AI9</f>
        <v>Canal_08</v>
      </c>
      <c r="BB9" s="207" t="str">
        <f>Настройки!AJ9</f>
        <v>Canal_08</v>
      </c>
      <c r="BC9" s="207" t="str">
        <f>Настройки!AK9</f>
        <v>Canal_08</v>
      </c>
      <c r="BD9" s="207" t="str">
        <f>Настройки!AL9</f>
        <v>Canal_08</v>
      </c>
      <c r="BE9" s="207" t="str">
        <f>Настройки!AM9</f>
        <v>-</v>
      </c>
    </row>
    <row r="10" spans="1:57">
      <c r="A10" s="448" t="str">
        <f>SUBSTITUTE($P$2,"\","|")&amp;"|"&amp; $S$1 &amp;":="&amp;IF(LEFT(SUBSTITUTE($S$2," ",""),1)="!","NOT  ","")</f>
        <v>ZRU_OL1|IONX:=</v>
      </c>
      <c r="B10" s="448" t="str">
        <f ca="1">IF(LEFT(E10,3)="out","INT_TO_BIT_BR","BR")</f>
        <v>BR</v>
      </c>
      <c r="C10" s="446" t="str">
        <f>LEFT($S$3,FIND("+",$S$3,1)-1)</f>
        <v>1</v>
      </c>
      <c r="D10" s="446" t="s">
        <v>178</v>
      </c>
      <c r="E10" s="446" t="str">
        <f ca="1">IF($S$2=0,"УДАЛИТЬ",IFERROR(IF(OR($I10="-",$H10="0"),"КАНАЛ ОТСУТСТВУЕТ",IF($I10=0,"МОДУЛЬ ОТСУТСТВУЕТ",$I10)),"ОШИБКА ФОРМАТА"))</f>
        <v>Canal_27</v>
      </c>
      <c r="F10" s="446" t="s">
        <v>845</v>
      </c>
      <c r="G10" s="447" t="str">
        <f t="shared" ref="G10:G16" si="1">INDEX($N$2:$N$61,C10)</f>
        <v>M558D</v>
      </c>
      <c r="H10" s="447" t="str">
        <f>RIGHT(S$3,LEN(S$3)-FIND("+",S$3,1))</f>
        <v>27</v>
      </c>
      <c r="I10" s="460" t="str">
        <f t="shared" ref="I10:I16" ca="1" si="2">INDIRECT(ADDRESS($H10+1,MATCH($G10,$1:$1,),1))</f>
        <v>Canal_27</v>
      </c>
      <c r="M10" s="424" t="str">
        <f>'Конфигурация TREI'!A11</f>
        <v>BR9</v>
      </c>
      <c r="N10" s="424" t="str">
        <f>'Конфигурация TREI'!B11</f>
        <v>M558D</v>
      </c>
      <c r="AE10" s="431">
        <f>Настройки!P10</f>
        <v>9</v>
      </c>
      <c r="AF10" s="380">
        <f>Настройки!Q10</f>
        <v>0</v>
      </c>
      <c r="AG10" s="380" t="str">
        <f>Настройки!R10</f>
        <v>IDIG_5_1</v>
      </c>
      <c r="AH10" s="380" t="str">
        <f>Настройки!S10</f>
        <v>IANS_5_3</v>
      </c>
      <c r="AI10" s="380" t="str">
        <f>Настройки!T10</f>
        <v>out8</v>
      </c>
      <c r="AJ10" s="380" t="str">
        <f>Настройки!U10</f>
        <v>out8</v>
      </c>
      <c r="AK10" s="380" t="str">
        <f>Настройки!V10</f>
        <v>ODIG_9</v>
      </c>
      <c r="AL10" s="380" t="str">
        <f>Настройки!W10</f>
        <v>-</v>
      </c>
      <c r="AM10" s="380" t="str">
        <f>Настройки!X10</f>
        <v>-</v>
      </c>
      <c r="AN10" s="380" t="str">
        <f>Настройки!Y10</f>
        <v>Canal_09</v>
      </c>
      <c r="AO10" s="380" t="str">
        <f>Настройки!Z10</f>
        <v>-</v>
      </c>
      <c r="AP10" s="380" t="str">
        <f>Настройки!AA10</f>
        <v>Canal_09</v>
      </c>
      <c r="AQ10" s="380" t="str">
        <f>Настройки!AB10</f>
        <v>Canal_09</v>
      </c>
      <c r="AR10" s="380" t="str">
        <f>Настройки!AC10</f>
        <v>OCCH[0]</v>
      </c>
      <c r="AS10" s="380" t="str">
        <f>Настройки!AD10</f>
        <v>OCCH[0]</v>
      </c>
      <c r="AT10" s="207" t="str">
        <f>Настройки!AB10</f>
        <v>Canal_09</v>
      </c>
      <c r="AU10" s="207" t="str">
        <f>Настройки!AC10</f>
        <v>OCCH[0]</v>
      </c>
      <c r="AV10" s="207" t="str">
        <f>Настройки!AD10</f>
        <v>OCCH[0]</v>
      </c>
      <c r="AW10" s="207" t="str">
        <f>Настройки!AE10</f>
        <v>IANS_5_1</v>
      </c>
      <c r="AX10" s="207" t="str">
        <f>Настройки!AF10</f>
        <v>IDIG_3_1</v>
      </c>
      <c r="AY10" s="207" t="str">
        <f>Настройки!AG10</f>
        <v>Canal_09</v>
      </c>
      <c r="AZ10" s="207" t="str">
        <f>Настройки!AH10</f>
        <v>Canal_09</v>
      </c>
      <c r="BA10" s="207" t="str">
        <f>Настройки!AI10</f>
        <v>Canal_09</v>
      </c>
      <c r="BB10" s="207" t="str">
        <f>Настройки!AJ10</f>
        <v>Canal_09</v>
      </c>
      <c r="BC10" s="207" t="str">
        <f>Настройки!AK10</f>
        <v>-</v>
      </c>
      <c r="BD10" s="207" t="str">
        <f>Настройки!AL10</f>
        <v>Canal_09</v>
      </c>
      <c r="BE10" s="207" t="str">
        <f>Настройки!AM10</f>
        <v>-</v>
      </c>
    </row>
    <row r="11" spans="1:57">
      <c r="A11" s="448" t="str">
        <f>SUBSTITUTE($P$2,"\","|")&amp;"|"&amp; $T$1 &amp;":="&amp;IF(LEFT(SUBSTITUTE($T$2," ",""),1)="!","NOT  ","")</f>
        <v>ZRU_OL1|IOFX:=</v>
      </c>
      <c r="B11" s="448" t="str">
        <f t="shared" ref="B11:B16" ca="1" si="3">IF(LEFT(E11,3)="out","INT_TO_BIT_BR","BR")</f>
        <v>BR</v>
      </c>
      <c r="C11" s="446" t="str">
        <f>LEFT($T$3,FIND("+",$T$3,1)-1)</f>
        <v>1</v>
      </c>
      <c r="D11" s="446" t="s">
        <v>178</v>
      </c>
      <c r="E11" s="446" t="str">
        <f ca="1">IF($T$2=0,"УДАЛИТЬ",IFERROR(IF(OR($I11="-",$H11="0"),"КАНАЛ ОТСУТСТВУЕТ",IF($I11=0,"МОДУЛЬ ОТСУТСТВУЕТ",$I11)),"ОШИБКА ФОРМАТА"))</f>
        <v>Canal_28</v>
      </c>
      <c r="F11" s="446" t="s">
        <v>845</v>
      </c>
      <c r="G11" s="447" t="str">
        <f t="shared" si="1"/>
        <v>M558D</v>
      </c>
      <c r="H11" s="447" t="str">
        <f>RIGHT(T$3,LEN(T$3)-FIND("+",T$3,1))</f>
        <v>28</v>
      </c>
      <c r="I11" s="460" t="str">
        <f t="shared" ca="1" si="2"/>
        <v>Canal_28</v>
      </c>
      <c r="M11" s="424" t="str">
        <f>'Конфигурация TREI'!A12</f>
        <v>BR10</v>
      </c>
      <c r="N11" s="424" t="str">
        <f>'Конфигурация TREI'!B12</f>
        <v>M558O</v>
      </c>
      <c r="AE11" s="431">
        <f>Настройки!P11</f>
        <v>10</v>
      </c>
      <c r="AF11" s="380">
        <f>Настройки!Q11</f>
        <v>0</v>
      </c>
      <c r="AG11" s="380" t="str">
        <f>Настройки!R11</f>
        <v>IDIG_5_2</v>
      </c>
      <c r="AH11" s="380" t="str">
        <f>Настройки!S11</f>
        <v>IANS_5_4</v>
      </c>
      <c r="AI11" s="380" t="str">
        <f>Настройки!T11</f>
        <v>out9</v>
      </c>
      <c r="AJ11" s="380" t="str">
        <f>Настройки!U11</f>
        <v>out9</v>
      </c>
      <c r="AK11" s="380" t="str">
        <f>Настройки!V11</f>
        <v>ODIG_10</v>
      </c>
      <c r="AL11" s="380" t="str">
        <f>Настройки!W11</f>
        <v>-</v>
      </c>
      <c r="AM11" s="380" t="str">
        <f>Настройки!X11</f>
        <v>-</v>
      </c>
      <c r="AN11" s="380" t="str">
        <f>Настройки!Y11</f>
        <v>Canal_10</v>
      </c>
      <c r="AO11" s="380" t="str">
        <f>Настройки!Z11</f>
        <v>-</v>
      </c>
      <c r="AP11" s="380" t="str">
        <f>Настройки!AA11</f>
        <v>Canal_10</v>
      </c>
      <c r="AQ11" s="380" t="str">
        <f>Настройки!AB11</f>
        <v>Canal_10</v>
      </c>
      <c r="AR11" s="380" t="str">
        <f>Настройки!AC11</f>
        <v>OCCH[1]</v>
      </c>
      <c r="AS11" s="380" t="str">
        <f>Настройки!AD11</f>
        <v>OCCH[1]</v>
      </c>
      <c r="AT11" s="207" t="str">
        <f>Настройки!AB11</f>
        <v>Canal_10</v>
      </c>
      <c r="AU11" s="207" t="str">
        <f>Настройки!AC11</f>
        <v>OCCH[1]</v>
      </c>
      <c r="AV11" s="207" t="str">
        <f>Настройки!AD11</f>
        <v>OCCH[1]</v>
      </c>
      <c r="AW11" s="207" t="str">
        <f>Настройки!AE11</f>
        <v>IANS_5_2</v>
      </c>
      <c r="AX11" s="207" t="str">
        <f>Настройки!AF11</f>
        <v>IDIG_3_2</v>
      </c>
      <c r="AY11" s="207" t="str">
        <f>Настройки!AG11</f>
        <v>Canal_10</v>
      </c>
      <c r="AZ11" s="207" t="str">
        <f>Настройки!AH11</f>
        <v>Canal_10</v>
      </c>
      <c r="BA11" s="207" t="str">
        <f>Настройки!AI11</f>
        <v>Canal_10</v>
      </c>
      <c r="BB11" s="207" t="str">
        <f>Настройки!AJ11</f>
        <v>Canal_10</v>
      </c>
      <c r="BC11" s="207" t="str">
        <f>Настройки!AK11</f>
        <v>-</v>
      </c>
      <c r="BD11" s="207" t="str">
        <f>Настройки!AL11</f>
        <v>Canal_10</v>
      </c>
      <c r="BE11" s="207" t="str">
        <f>Настройки!AM11</f>
        <v>-</v>
      </c>
    </row>
    <row r="12" spans="1:57">
      <c r="A12" s="448" t="str">
        <f>SUBSTITUTE($P$2,"\","|")&amp;"|"&amp; $U$1 &amp;":="&amp;IF(LEFT(SUBSTITUTE($U$2," ",""),1)="!","NOT  ","")</f>
        <v>ZRU_OL1|ILCX:=</v>
      </c>
      <c r="B12" s="448" t="str">
        <f t="shared" ca="1" si="3"/>
        <v>BR</v>
      </c>
      <c r="C12" s="446" t="str">
        <f>LEFT($U$3,FIND("+",$U$3,1)-1)</f>
        <v>1</v>
      </c>
      <c r="D12" s="446" t="s">
        <v>178</v>
      </c>
      <c r="E12" s="446" t="str">
        <f ca="1">IF($U$2=0,"УДАЛИТЬ",IFERROR(IF(OR($I12="-",$H12="0"),"КАНАЛ ОТСУТСТВУЕТ",IF($I12=0,"МОДУЛЬ ОТСУТСТВУЕТ",$I12)),"ОШИБКА ФОРМАТА"))</f>
        <v>Canal_29</v>
      </c>
      <c r="F12" s="446" t="s">
        <v>845</v>
      </c>
      <c r="G12" s="447" t="str">
        <f t="shared" si="1"/>
        <v>M558D</v>
      </c>
      <c r="H12" s="447" t="str">
        <f>RIGHT($U$3,LEN($U$3)-FIND("+",$U$3,1))</f>
        <v>29</v>
      </c>
      <c r="I12" s="460" t="str">
        <f t="shared" ca="1" si="2"/>
        <v>Canal_29</v>
      </c>
      <c r="M12" s="424" t="str">
        <f>'Конфигурация TREI'!A13</f>
        <v>BR11</v>
      </c>
      <c r="N12" s="424" t="str">
        <f>'Конфигурация TREI'!B13</f>
        <v>M558D</v>
      </c>
      <c r="AE12" s="431">
        <f>Настройки!P12</f>
        <v>11</v>
      </c>
      <c r="AF12" s="380">
        <f>Настройки!Q12</f>
        <v>0</v>
      </c>
      <c r="AG12" s="380" t="str">
        <f>Настройки!R12</f>
        <v>IDIG_6_1</v>
      </c>
      <c r="AH12" s="380" t="str">
        <f>Настройки!S12</f>
        <v>IANS_6_3</v>
      </c>
      <c r="AI12" s="380" t="str">
        <f>Настройки!T12</f>
        <v>out10</v>
      </c>
      <c r="AJ12" s="380" t="str">
        <f>Настройки!U12</f>
        <v>out10</v>
      </c>
      <c r="AK12" s="380" t="str">
        <f>Настройки!V12</f>
        <v>ODIG_11</v>
      </c>
      <c r="AL12" s="380" t="str">
        <f>Настройки!W12</f>
        <v>-</v>
      </c>
      <c r="AM12" s="380" t="str">
        <f>Настройки!X12</f>
        <v>-</v>
      </c>
      <c r="AN12" s="380" t="str">
        <f>Настройки!Y12</f>
        <v>Canal_11</v>
      </c>
      <c r="AO12" s="380" t="str">
        <f>Настройки!Z12</f>
        <v>-</v>
      </c>
      <c r="AP12" s="380" t="str">
        <f>Настройки!AA12</f>
        <v>Canal_11</v>
      </c>
      <c r="AQ12" s="380" t="str">
        <f>Настройки!AB12</f>
        <v>Canal_11</v>
      </c>
      <c r="AR12" s="380" t="str">
        <f>Настройки!AC12</f>
        <v>OCCH[2]</v>
      </c>
      <c r="AS12" s="380" t="str">
        <f>Настройки!AD12</f>
        <v>OCCH[2]</v>
      </c>
      <c r="AT12" s="207" t="str">
        <f>Настройки!AB12</f>
        <v>Canal_11</v>
      </c>
      <c r="AU12" s="207" t="str">
        <f>Настройки!AC12</f>
        <v>OCCH[2]</v>
      </c>
      <c r="AV12" s="207" t="str">
        <f>Настройки!AD12</f>
        <v>OCCH[2]</v>
      </c>
      <c r="AW12" s="207" t="str">
        <f>Настройки!AE12</f>
        <v>IANS_6_1</v>
      </c>
      <c r="AX12" s="207" t="str">
        <f>Настройки!AF12</f>
        <v>IDIG_3_3</v>
      </c>
      <c r="AY12" s="207" t="str">
        <f>Настройки!AG12</f>
        <v>Canal_11</v>
      </c>
      <c r="AZ12" s="207" t="str">
        <f>Настройки!AH12</f>
        <v>Canal_11</v>
      </c>
      <c r="BA12" s="207" t="str">
        <f>Настройки!AI12</f>
        <v>Canal_11</v>
      </c>
      <c r="BB12" s="207" t="str">
        <f>Настройки!AJ12</f>
        <v>Canal_11</v>
      </c>
      <c r="BC12" s="207" t="str">
        <f>Настройки!AK12</f>
        <v>-</v>
      </c>
      <c r="BD12" s="207" t="str">
        <f>Настройки!AL12</f>
        <v>Canal_11</v>
      </c>
      <c r="BE12" s="207" t="str">
        <f>Настройки!AM12</f>
        <v>-</v>
      </c>
    </row>
    <row r="13" spans="1:57">
      <c r="A13" s="448" t="str">
        <f>SUBSTITUTE($P$2,"\","|")&amp;"|"&amp; $V$1 &amp;":="&amp;IF(LEFT(SUBSTITUTE($V$2," ",""),1)="!","NOT  ","")</f>
        <v>ZRU_OL1|IRCX:=</v>
      </c>
      <c r="B13" s="448" t="str">
        <f t="shared" ca="1" si="3"/>
        <v>BR</v>
      </c>
      <c r="C13" s="446" t="str">
        <f>LEFT($V$3,FIND("+",$V$3,1)-1)</f>
        <v>1</v>
      </c>
      <c r="D13" s="446" t="s">
        <v>178</v>
      </c>
      <c r="E13" s="446" t="str">
        <f ca="1">IF($V$2=0,"УДАЛИТЬ",IFERROR(IF(OR($I13="-",$H13="0"),"КАНАЛ ОТСУТСТВУЕТ",IF($I13=0,"МОДУЛЬ ОТСУТСТВУЕТ",$I13)),"ОШИБКА ФОРМАТА"))</f>
        <v>Canal_30</v>
      </c>
      <c r="F13" s="446" t="s">
        <v>845</v>
      </c>
      <c r="G13" s="447" t="str">
        <f t="shared" si="1"/>
        <v>M558D</v>
      </c>
      <c r="H13" s="447" t="str">
        <f>RIGHT($V$3,LEN($V$3)-FIND("+",$V$3,1))</f>
        <v>30</v>
      </c>
      <c r="I13" s="460" t="str">
        <f t="shared" ca="1" si="2"/>
        <v>Canal_30</v>
      </c>
      <c r="M13" s="424" t="str">
        <f>'Конфигурация TREI'!A14</f>
        <v>BR12</v>
      </c>
      <c r="N13" s="424" t="str">
        <f>'Конфигурация TREI'!B14</f>
        <v>M558D</v>
      </c>
      <c r="AE13" s="431">
        <f>Настройки!P13</f>
        <v>12</v>
      </c>
      <c r="AF13" s="380">
        <f>Настройки!Q13</f>
        <v>0</v>
      </c>
      <c r="AG13" s="380" t="str">
        <f>Настройки!R13</f>
        <v>IDIG_6_2</v>
      </c>
      <c r="AH13" s="380" t="str">
        <f>Настройки!S13</f>
        <v>IANS_6_4</v>
      </c>
      <c r="AI13" s="380" t="str">
        <f>Настройки!T13</f>
        <v>out11</v>
      </c>
      <c r="AJ13" s="380" t="str">
        <f>Настройки!U13</f>
        <v>out11</v>
      </c>
      <c r="AK13" s="380" t="str">
        <f>Настройки!V13</f>
        <v>ODIG_12</v>
      </c>
      <c r="AL13" s="380" t="str">
        <f>Настройки!W13</f>
        <v>-</v>
      </c>
      <c r="AM13" s="380" t="str">
        <f>Настройки!X13</f>
        <v>-</v>
      </c>
      <c r="AN13" s="380" t="str">
        <f>Настройки!Y13</f>
        <v>Canal_12</v>
      </c>
      <c r="AO13" s="380" t="str">
        <f>Настройки!Z13</f>
        <v>-</v>
      </c>
      <c r="AP13" s="380" t="str">
        <f>Настройки!AA13</f>
        <v>Canal_12</v>
      </c>
      <c r="AQ13" s="380" t="str">
        <f>Настройки!AB13</f>
        <v>Canal_12</v>
      </c>
      <c r="AR13" s="380" t="str">
        <f>Настройки!AC13</f>
        <v>OCCH[3]</v>
      </c>
      <c r="AS13" s="380" t="str">
        <f>Настройки!AD13</f>
        <v>OCCH[3]</v>
      </c>
      <c r="AT13" s="207" t="str">
        <f>Настройки!AB13</f>
        <v>Canal_12</v>
      </c>
      <c r="AU13" s="207" t="str">
        <f>Настройки!AC13</f>
        <v>OCCH[3]</v>
      </c>
      <c r="AV13" s="207" t="str">
        <f>Настройки!AD13</f>
        <v>OCCH[3]</v>
      </c>
      <c r="AW13" s="207" t="str">
        <f>Настройки!AE13</f>
        <v>IANS_6_2</v>
      </c>
      <c r="AX13" s="207" t="str">
        <f>Настройки!AF13</f>
        <v>IDIG_3_4</v>
      </c>
      <c r="AY13" s="207" t="str">
        <f>Настройки!AG13</f>
        <v>Canal_12</v>
      </c>
      <c r="AZ13" s="207" t="str">
        <f>Настройки!AH13</f>
        <v>Canal_12</v>
      </c>
      <c r="BA13" s="207" t="str">
        <f>Настройки!AI13</f>
        <v>Canal_12</v>
      </c>
      <c r="BB13" s="207" t="str">
        <f>Настройки!AJ13</f>
        <v>Canal_12</v>
      </c>
      <c r="BC13" s="207" t="str">
        <f>Настройки!AK13</f>
        <v>-</v>
      </c>
      <c r="BD13" s="207" t="str">
        <f>Настройки!AL13</f>
        <v>Canal_12</v>
      </c>
      <c r="BE13" s="207" t="str">
        <f>Настройки!AM13</f>
        <v>-</v>
      </c>
    </row>
    <row r="14" spans="1:57">
      <c r="A14" s="448" t="str">
        <f>SUBSTITUTE($P$2,"\","|")&amp;"|"&amp; $W$1 &amp;":="&amp;IF(LEFT(SUBSTITUTE($W$2," ",""),1)="!","NOT  ","")</f>
        <v>ZRU_OL1|IFXX:=</v>
      </c>
      <c r="B14" s="448" t="str">
        <f t="shared" ca="1" si="3"/>
        <v>BR</v>
      </c>
      <c r="C14" s="446" t="str">
        <f>LEFT($W$3,FIND("+",$W$3,1)-1)</f>
        <v>1</v>
      </c>
      <c r="D14" s="446" t="s">
        <v>178</v>
      </c>
      <c r="E14" s="446" t="str">
        <f ca="1">IF($W$2=0,"УДАЛИТЬ",IFERROR(IF(OR($I14="-",$H14="0"),"КАНАЛ ОТСУТСТВУЕТ",IF($I14=0,"МОДУЛЬ ОТСУТСТВУЕТ",$I14)),"ОШИБКА ФОРМАТА"))</f>
        <v>Canal_31</v>
      </c>
      <c r="F14" s="446" t="s">
        <v>845</v>
      </c>
      <c r="G14" s="447" t="str">
        <f t="shared" si="1"/>
        <v>M558D</v>
      </c>
      <c r="H14" s="447" t="str">
        <f>RIGHT($W$3,LEN($W$3)-FIND("+",$W$3,1))</f>
        <v>31</v>
      </c>
      <c r="I14" s="460" t="str">
        <f t="shared" ca="1" si="2"/>
        <v>Canal_31</v>
      </c>
      <c r="M14" s="424" t="str">
        <f>'Конфигурация TREI'!A15</f>
        <v>BR13</v>
      </c>
      <c r="N14" s="424" t="str">
        <f>'Конфигурация TREI'!B15</f>
        <v>M558D</v>
      </c>
      <c r="AE14" s="431">
        <f>Настройки!P14</f>
        <v>13</v>
      </c>
      <c r="AF14" s="380">
        <f>Настройки!Q14</f>
        <v>0</v>
      </c>
      <c r="AG14" s="380" t="str">
        <f>Настройки!R14</f>
        <v>IDIG_7_1</v>
      </c>
      <c r="AH14" s="380" t="str">
        <f>Настройки!S14</f>
        <v>IANS_7_3</v>
      </c>
      <c r="AI14" s="380" t="str">
        <f>Настройки!T14</f>
        <v>out12</v>
      </c>
      <c r="AJ14" s="380" t="str">
        <f>Настройки!U14</f>
        <v>out12</v>
      </c>
      <c r="AK14" s="380" t="str">
        <f>Настройки!V14</f>
        <v>ODIG_13</v>
      </c>
      <c r="AL14" s="380" t="str">
        <f>Настройки!W14</f>
        <v>-</v>
      </c>
      <c r="AM14" s="380" t="str">
        <f>Настройки!X14</f>
        <v>-</v>
      </c>
      <c r="AN14" s="380" t="str">
        <f>Настройки!Y14</f>
        <v>Canal_13</v>
      </c>
      <c r="AO14" s="380" t="str">
        <f>Настройки!Z14</f>
        <v>-</v>
      </c>
      <c r="AP14" s="380" t="str">
        <f>Настройки!AA14</f>
        <v>Canal_13</v>
      </c>
      <c r="AQ14" s="380" t="str">
        <f>Настройки!AB14</f>
        <v>Canal_13</v>
      </c>
      <c r="AR14" s="380" t="str">
        <f>Настройки!AC14</f>
        <v>OCCH[4]</v>
      </c>
      <c r="AS14" s="380" t="str">
        <f>Настройки!AD14</f>
        <v>OCCH[4]</v>
      </c>
      <c r="AT14" s="207" t="str">
        <f>Настройки!AB14</f>
        <v>Canal_13</v>
      </c>
      <c r="AU14" s="207" t="str">
        <f>Настройки!AC14</f>
        <v>OCCH[4]</v>
      </c>
      <c r="AV14" s="207" t="str">
        <f>Настройки!AD14</f>
        <v>OCCH[4]</v>
      </c>
      <c r="AW14" s="207" t="str">
        <f>Настройки!AE14</f>
        <v>IANS_7_1</v>
      </c>
      <c r="AX14" s="207" t="str">
        <f>Настройки!AF14</f>
        <v>IDIG_4_1</v>
      </c>
      <c r="AY14" s="207" t="str">
        <f>Настройки!AG14</f>
        <v>Canal_13</v>
      </c>
      <c r="AZ14" s="207" t="str">
        <f>Настройки!AH14</f>
        <v>Canal_13</v>
      </c>
      <c r="BA14" s="207" t="str">
        <f>Настройки!AI14</f>
        <v>Canal_13</v>
      </c>
      <c r="BB14" s="207" t="str">
        <f>Настройки!AJ14</f>
        <v>Canal_13</v>
      </c>
      <c r="BC14" s="207" t="str">
        <f>Настройки!AK14</f>
        <v>-</v>
      </c>
      <c r="BD14" s="207" t="str">
        <f>Настройки!AL14</f>
        <v>Canal_13</v>
      </c>
      <c r="BE14" s="207" t="str">
        <f>Настройки!AM14</f>
        <v>-</v>
      </c>
    </row>
    <row r="15" spans="1:57">
      <c r="A15" s="448" t="str">
        <f>SUBSTITUTE($P$2,"\","|")&amp;"|"&amp; $Z$1 &amp;":="&amp;IF(LEFT(SUBSTITUTE($Z$2," ",""),1)="!","NOT  ","")</f>
        <v>ZRU_OL1|IPTC:=</v>
      </c>
      <c r="B15" s="448" t="str">
        <f t="shared" ca="1" si="3"/>
        <v>BR</v>
      </c>
      <c r="C15" s="446" t="str">
        <f>LEFT($Z$3,FIND("+",$Z$3,1)-1)</f>
        <v>1</v>
      </c>
      <c r="D15" s="446" t="s">
        <v>178</v>
      </c>
      <c r="E15" s="446" t="str">
        <f ca="1">IF($Z$2=0,"УДАЛИТЬ",IFERROR(IF(OR($I15="-",$H15="0"),"КАНАЛ ОТСУТСТВУЕТ",IF($I15=0,"МОДУЛЬ ОТСУТСТВУЕТ",$I15)),"ОШИБКА ФОРМАТА"))</f>
        <v>Canal_32</v>
      </c>
      <c r="F15" s="446" t="s">
        <v>845</v>
      </c>
      <c r="G15" s="447" t="str">
        <f t="shared" si="1"/>
        <v>M558D</v>
      </c>
      <c r="H15" s="447" t="str">
        <f>RIGHT($Z$3,LEN($Z$3)-FIND("+",$Z$3,1))</f>
        <v>32</v>
      </c>
      <c r="I15" s="460" t="str">
        <f t="shared" ca="1" si="2"/>
        <v>Canal_32</v>
      </c>
      <c r="M15" s="424" t="str">
        <f>'Конфигурация TREI'!A16</f>
        <v>BR14</v>
      </c>
      <c r="N15" s="424" t="str">
        <f>'Конфигурация TREI'!B16</f>
        <v>M558D</v>
      </c>
      <c r="AE15" s="431">
        <f>Настройки!P15</f>
        <v>14</v>
      </c>
      <c r="AF15" s="380">
        <f>Настройки!Q15</f>
        <v>0</v>
      </c>
      <c r="AG15" s="380" t="str">
        <f>Настройки!R15</f>
        <v>IDIG_7_2</v>
      </c>
      <c r="AH15" s="380" t="str">
        <f>Настройки!S15</f>
        <v>IANS_7_4</v>
      </c>
      <c r="AI15" s="380" t="str">
        <f>Настройки!T15</f>
        <v>out13</v>
      </c>
      <c r="AJ15" s="380" t="str">
        <f>Настройки!U15</f>
        <v>out13</v>
      </c>
      <c r="AK15" s="380" t="str">
        <f>Настройки!V15</f>
        <v>ODIG_14</v>
      </c>
      <c r="AL15" s="380" t="str">
        <f>Настройки!W15</f>
        <v>-</v>
      </c>
      <c r="AM15" s="380" t="str">
        <f>Настройки!X15</f>
        <v>-</v>
      </c>
      <c r="AN15" s="380" t="str">
        <f>Настройки!Y15</f>
        <v>Canal_14</v>
      </c>
      <c r="AO15" s="380" t="str">
        <f>Настройки!Z15</f>
        <v>-</v>
      </c>
      <c r="AP15" s="380" t="str">
        <f>Настройки!AA15</f>
        <v>Canal_14</v>
      </c>
      <c r="AQ15" s="380" t="str">
        <f>Настройки!AB15</f>
        <v>Canal_14</v>
      </c>
      <c r="AR15" s="380" t="str">
        <f>Настройки!AC15</f>
        <v>OCCH[5]</v>
      </c>
      <c r="AS15" s="380" t="str">
        <f>Настройки!AD15</f>
        <v>OCCH[5]</v>
      </c>
      <c r="AT15" s="207" t="str">
        <f>Настройки!AB15</f>
        <v>Canal_14</v>
      </c>
      <c r="AU15" s="207" t="str">
        <f>Настройки!AC15</f>
        <v>OCCH[5]</v>
      </c>
      <c r="AV15" s="207" t="str">
        <f>Настройки!AD15</f>
        <v>OCCH[5]</v>
      </c>
      <c r="AW15" s="207" t="str">
        <f>Настройки!AE15</f>
        <v>IANS_7_2</v>
      </c>
      <c r="AX15" s="207" t="str">
        <f>Настройки!AF15</f>
        <v>IDIG_4_2</v>
      </c>
      <c r="AY15" s="207" t="str">
        <f>Настройки!AG15</f>
        <v>Canal_14</v>
      </c>
      <c r="AZ15" s="207" t="str">
        <f>Настройки!AH15</f>
        <v>Canal_14</v>
      </c>
      <c r="BA15" s="207" t="str">
        <f>Настройки!AI15</f>
        <v>Canal_14</v>
      </c>
      <c r="BB15" s="207" t="str">
        <f>Настройки!AJ15</f>
        <v>Canal_14</v>
      </c>
      <c r="BC15" s="207" t="str">
        <f>Настройки!AK15</f>
        <v>-</v>
      </c>
      <c r="BD15" s="207" t="str">
        <f>Настройки!AL15</f>
        <v>Canal_14</v>
      </c>
      <c r="BE15" s="207" t="str">
        <f>Настройки!AM15</f>
        <v>-</v>
      </c>
    </row>
    <row r="16" spans="1:57">
      <c r="A16" s="448" t="str">
        <f>SUBSTITUTE($P$2,"\","|")&amp;"|"&amp; $AC$1 &amp;":="&amp;IF(LEFT(SUBSTITUTE($AC$2," ",""),1)="!","NOT  ","")</f>
        <v>ZRU_OL1|IPTO:=</v>
      </c>
      <c r="B16" s="448" t="str">
        <f t="shared" ca="1" si="3"/>
        <v>BR</v>
      </c>
      <c r="C16" s="446" t="str">
        <f>LEFT($AC$3,FIND("+",$AC$3,1)-1)</f>
        <v>6</v>
      </c>
      <c r="D16" s="446" t="s">
        <v>178</v>
      </c>
      <c r="E16" s="446" t="str">
        <f ca="1">IF($AC$2=0,"УДАЛИТЬ",IFERROR(IF(OR($I16="-",$H16="0"),"КАНАЛ ОТСУТСТВУЕТ",IF($I16=0,"МОДУЛЬ ОТСУТСТВУЕТ",$I16)),"ОШИБКА ФОРМАТА"))</f>
        <v>Canal_01</v>
      </c>
      <c r="F16" s="446" t="s">
        <v>845</v>
      </c>
      <c r="G16" s="447" t="str">
        <f t="shared" si="1"/>
        <v>M558O</v>
      </c>
      <c r="H16" s="447" t="str">
        <f>RIGHT($AC$3,LEN($AC$3)-FIND("+",$AC$3,1))</f>
        <v>1</v>
      </c>
      <c r="I16" s="460" t="str">
        <f t="shared" ca="1" si="2"/>
        <v>Canal_01</v>
      </c>
      <c r="M16" s="424" t="str">
        <f>'Конфигурация TREI'!A17</f>
        <v>BR15</v>
      </c>
      <c r="N16" s="424" t="str">
        <f>'Конфигурация TREI'!B17</f>
        <v>M558O</v>
      </c>
      <c r="AE16" s="431">
        <f>Настройки!P16</f>
        <v>15</v>
      </c>
      <c r="AF16" s="380">
        <f>Настройки!Q16</f>
        <v>0</v>
      </c>
      <c r="AG16" s="380" t="str">
        <f>Настройки!R16</f>
        <v>IDIG_8_1</v>
      </c>
      <c r="AH16" s="380" t="str">
        <f>Настройки!S16</f>
        <v>IANS_8_3</v>
      </c>
      <c r="AI16" s="380" t="str">
        <f>Настройки!T16</f>
        <v>out14</v>
      </c>
      <c r="AJ16" s="380" t="str">
        <f>Настройки!U16</f>
        <v>out14</v>
      </c>
      <c r="AK16" s="380" t="str">
        <f>Настройки!V16</f>
        <v>ODIG_15</v>
      </c>
      <c r="AL16" s="380" t="str">
        <f>Настройки!W16</f>
        <v>-</v>
      </c>
      <c r="AM16" s="380" t="str">
        <f>Настройки!X16</f>
        <v>-</v>
      </c>
      <c r="AN16" s="380" t="str">
        <f>Настройки!Y16</f>
        <v>Canal_15</v>
      </c>
      <c r="AO16" s="380" t="str">
        <f>Настройки!Z16</f>
        <v>-</v>
      </c>
      <c r="AP16" s="380" t="str">
        <f>Настройки!AA16</f>
        <v>Canal_15</v>
      </c>
      <c r="AQ16" s="380" t="str">
        <f>Настройки!AB16</f>
        <v>Canal_15</v>
      </c>
      <c r="AR16" s="380" t="str">
        <f>Настройки!AC16</f>
        <v>OCCH[6]</v>
      </c>
      <c r="AS16" s="380" t="str">
        <f>Настройки!AD16</f>
        <v>OCCH[6]</v>
      </c>
      <c r="AT16" s="207" t="str">
        <f>Настройки!AB16</f>
        <v>Canal_15</v>
      </c>
      <c r="AU16" s="207" t="str">
        <f>Настройки!AC16</f>
        <v>OCCH[6]</v>
      </c>
      <c r="AV16" s="207" t="str">
        <f>Настройки!AD16</f>
        <v>OCCH[6]</v>
      </c>
      <c r="AW16" s="207" t="str">
        <f>Настройки!AE16</f>
        <v>IANS_8_1</v>
      </c>
      <c r="AX16" s="207" t="str">
        <f>Настройки!AF16</f>
        <v>IDIG_4_3</v>
      </c>
      <c r="AY16" s="207" t="str">
        <f>Настройки!AG16</f>
        <v>Canal_15</v>
      </c>
      <c r="AZ16" s="207" t="str">
        <f>Настройки!AH16</f>
        <v>Canal_15</v>
      </c>
      <c r="BA16" s="207" t="str">
        <f>Настройки!AI16</f>
        <v>Canal_15</v>
      </c>
      <c r="BB16" s="207" t="str">
        <f>Настройки!AJ16</f>
        <v>Canal_15</v>
      </c>
      <c r="BC16" s="207" t="str">
        <f>Настройки!AK16</f>
        <v>-</v>
      </c>
      <c r="BD16" s="207" t="str">
        <f>Настройки!AL16</f>
        <v>Canal_15</v>
      </c>
      <c r="BE16" s="207" t="str">
        <f>Настройки!AM16</f>
        <v>-</v>
      </c>
    </row>
    <row r="17" spans="1:57">
      <c r="A17" s="448" t="str">
        <f>SUBSTITUTE($P$2,"\","|")&amp;"|"&amp;"D"&amp; RIGHT($S$1,3)&amp;":="&amp;P4&amp;"NOT_LINK_BR"</f>
        <v>ZRU_OL1|DONX:=NOT_LINK_BR</v>
      </c>
      <c r="B17" s="448"/>
      <c r="C17" s="446"/>
      <c r="D17" s="446"/>
      <c r="E17" s="446" t="str">
        <f>IFERROR(LEFT($S$3,FIND("+",$S$3,1)-1),"УДАЛИТЬ")</f>
        <v>1</v>
      </c>
      <c r="F17" s="446" t="s">
        <v>845</v>
      </c>
      <c r="G17" s="447"/>
      <c r="H17" s="447"/>
      <c r="I17" s="1"/>
      <c r="M17" s="424" t="str">
        <f>'Конфигурация TREI'!A18</f>
        <v>BR16</v>
      </c>
      <c r="N17" s="424" t="str">
        <f>'Конфигурация TREI'!B18</f>
        <v>M558O</v>
      </c>
      <c r="AE17" s="431">
        <f>Настройки!P17</f>
        <v>16</v>
      </c>
      <c r="AF17" s="380">
        <f>Настройки!Q17</f>
        <v>0</v>
      </c>
      <c r="AG17" s="380" t="str">
        <f>Настройки!R17</f>
        <v>IDIG_8_2</v>
      </c>
      <c r="AH17" s="380" t="str">
        <f>Настройки!S17</f>
        <v>IANS_8_4</v>
      </c>
      <c r="AI17" s="380" t="str">
        <f>Настройки!T17</f>
        <v>out15</v>
      </c>
      <c r="AJ17" s="380" t="str">
        <f>Настройки!U17</f>
        <v>out15</v>
      </c>
      <c r="AK17" s="380" t="str">
        <f>Настройки!V17</f>
        <v>ODIG_16</v>
      </c>
      <c r="AL17" s="380" t="str">
        <f>Настройки!W17</f>
        <v>-</v>
      </c>
      <c r="AM17" s="380" t="str">
        <f>Настройки!X17</f>
        <v>-</v>
      </c>
      <c r="AN17" s="380" t="str">
        <f>Настройки!Y17</f>
        <v>Canal_16</v>
      </c>
      <c r="AO17" s="380" t="str">
        <f>Настройки!Z17</f>
        <v>-</v>
      </c>
      <c r="AP17" s="380" t="str">
        <f>Настройки!AA17</f>
        <v>Canal_16</v>
      </c>
      <c r="AQ17" s="380" t="str">
        <f>Настройки!AB17</f>
        <v>Canal_16</v>
      </c>
      <c r="AR17" s="380" t="str">
        <f>Настройки!AC17</f>
        <v>OCCH[7]</v>
      </c>
      <c r="AS17" s="380" t="str">
        <f>Настройки!AD17</f>
        <v>OCCH[7]</v>
      </c>
      <c r="AT17" s="207" t="str">
        <f>Настройки!AB17</f>
        <v>Canal_16</v>
      </c>
      <c r="AU17" s="207" t="str">
        <f>Настройки!AC17</f>
        <v>OCCH[7]</v>
      </c>
      <c r="AV17" s="207" t="str">
        <f>Настройки!AD17</f>
        <v>OCCH[7]</v>
      </c>
      <c r="AW17" s="207" t="str">
        <f>Настройки!AE17</f>
        <v>IANS_8_2</v>
      </c>
      <c r="AX17" s="207" t="str">
        <f>Настройки!AF17</f>
        <v>IDIG_4_4</v>
      </c>
      <c r="AY17" s="207" t="str">
        <f>Настройки!AG17</f>
        <v>Canal_16</v>
      </c>
      <c r="AZ17" s="207" t="str">
        <f>Настройки!AH17</f>
        <v>Canal_16</v>
      </c>
      <c r="BA17" s="207" t="str">
        <f>Настройки!AI17</f>
        <v>Canal_16</v>
      </c>
      <c r="BB17" s="207" t="str">
        <f>Настройки!AJ17</f>
        <v>Canal_16</v>
      </c>
      <c r="BC17" s="207" t="str">
        <f>Настройки!AK17</f>
        <v>-</v>
      </c>
      <c r="BD17" s="207" t="str">
        <f>Настройки!AL17</f>
        <v>Canal_16</v>
      </c>
      <c r="BE17" s="207" t="str">
        <f>Настройки!AM17</f>
        <v>-</v>
      </c>
    </row>
    <row r="18" spans="1:57">
      <c r="A18" s="448" t="str">
        <f>SUBSTITUTE($P$2,"\","|")&amp;"|"&amp;"D"&amp; RIGHT($T$1,3)&amp;":="&amp;P4&amp;"NOT_LINK_BR"</f>
        <v>ZRU_OL1|DOFX:=NOT_LINK_BR</v>
      </c>
      <c r="B18" s="448"/>
      <c r="C18" s="446"/>
      <c r="D18" s="446"/>
      <c r="E18" s="446" t="str">
        <f>IFERROR(LEFT($T$3,FIND("+",$T$3,1)-1),"УДАЛИТЬ")</f>
        <v>1</v>
      </c>
      <c r="F18" s="446" t="s">
        <v>845</v>
      </c>
      <c r="G18" s="447"/>
      <c r="H18" s="447"/>
      <c r="I18" s="1"/>
      <c r="M18" s="424" t="str">
        <f>'Конфигурация TREI'!A19</f>
        <v>BR17</v>
      </c>
      <c r="N18" s="424" t="str">
        <f>'Конфигурация TREI'!B19</f>
        <v>M558O</v>
      </c>
      <c r="AE18" s="428">
        <f>Настройки!P18</f>
        <v>17</v>
      </c>
      <c r="AF18" s="380">
        <f>Настройки!Q18</f>
        <v>0</v>
      </c>
      <c r="AG18" s="380" t="str">
        <f>Настройки!R18</f>
        <v>-</v>
      </c>
      <c r="AH18" s="380" t="str">
        <f>Настройки!S18</f>
        <v>-</v>
      </c>
      <c r="AI18" s="380" t="str">
        <f>Настройки!T18</f>
        <v>out16</v>
      </c>
      <c r="AJ18" s="380" t="str">
        <f>Настройки!U18</f>
        <v>out16</v>
      </c>
      <c r="AK18" s="380" t="str">
        <f>Настройки!V18</f>
        <v>-</v>
      </c>
      <c r="AL18" s="380" t="str">
        <f>Настройки!W18</f>
        <v>-</v>
      </c>
      <c r="AM18" s="380" t="str">
        <f>Настройки!X18</f>
        <v>-</v>
      </c>
      <c r="AN18" s="380" t="str">
        <f>Настройки!Y18</f>
        <v>-</v>
      </c>
      <c r="AO18" s="380" t="str">
        <f>Настройки!Z18</f>
        <v>-</v>
      </c>
      <c r="AP18" s="380" t="str">
        <f>Настройки!AA18</f>
        <v>Canal_17</v>
      </c>
      <c r="AQ18" s="380" t="str">
        <f>Настройки!AB18</f>
        <v>Canal_17</v>
      </c>
      <c r="AR18" s="380" t="str">
        <f>Настройки!AC18</f>
        <v>-</v>
      </c>
      <c r="AS18" s="380" t="str">
        <f>Настройки!AD18</f>
        <v>-</v>
      </c>
      <c r="AT18" s="207" t="str">
        <f>Настройки!AB18</f>
        <v>Canal_17</v>
      </c>
      <c r="AU18" s="207" t="str">
        <f>Настройки!AC18</f>
        <v>-</v>
      </c>
      <c r="AV18" s="207" t="str">
        <f>Настройки!AD18</f>
        <v>-</v>
      </c>
      <c r="AW18" s="207" t="str">
        <f>Настройки!AE18</f>
        <v>-</v>
      </c>
      <c r="AX18" s="207" t="str">
        <f>Настройки!AF18</f>
        <v>IDIG_5_1</v>
      </c>
      <c r="AY18" s="207" t="str">
        <f>Настройки!AG18</f>
        <v>Canal_17</v>
      </c>
      <c r="AZ18" s="207" t="str">
        <f>Настройки!AH18</f>
        <v>Canal_17</v>
      </c>
      <c r="BA18" s="207" t="str">
        <f>Настройки!AI18</f>
        <v>Canal_17</v>
      </c>
      <c r="BB18" s="207" t="str">
        <f>Настройки!AJ18</f>
        <v>-</v>
      </c>
      <c r="BC18" s="207" t="str">
        <f>Настройки!AK18</f>
        <v>-</v>
      </c>
      <c r="BD18" s="207" t="str">
        <f>Настройки!AL18</f>
        <v>Canal_17</v>
      </c>
      <c r="BE18" s="207" t="str">
        <f>Настройки!AM18</f>
        <v>-</v>
      </c>
    </row>
    <row r="19" spans="1:57">
      <c r="A19" s="448" t="str">
        <f>SUBSTITUTE($P$2,"\","|")&amp;"|"&amp;"D"&amp; RIGHT($U$1,3)&amp;":="&amp;P4&amp;"NOT_LINK_BR"</f>
        <v>ZRU_OL1|DLCX:=NOT_LINK_BR</v>
      </c>
      <c r="B19" s="448"/>
      <c r="C19" s="446"/>
      <c r="D19" s="446"/>
      <c r="E19" s="446" t="str">
        <f>IFERROR(LEFT($U$3,FIND("+",$U$3,1)-1),"УДАЛИТЬ")</f>
        <v>1</v>
      </c>
      <c r="F19" s="446" t="s">
        <v>845</v>
      </c>
      <c r="G19" s="447"/>
      <c r="H19" s="447"/>
      <c r="I19" s="1"/>
      <c r="M19" s="424" t="str">
        <f>'Конфигурация TREI'!A20</f>
        <v>BR18</v>
      </c>
      <c r="N19" s="424" t="str">
        <f>'Конфигурация TREI'!B20</f>
        <v>M558O</v>
      </c>
      <c r="AE19" s="428">
        <f>Настройки!P19</f>
        <v>18</v>
      </c>
      <c r="AF19" s="380">
        <f>Настройки!Q19</f>
        <v>0</v>
      </c>
      <c r="AG19" s="380" t="str">
        <f>Настройки!R19</f>
        <v>-</v>
      </c>
      <c r="AH19" s="380" t="str">
        <f>Настройки!S19</f>
        <v>-</v>
      </c>
      <c r="AI19" s="380" t="str">
        <f>Настройки!T19</f>
        <v>out17</v>
      </c>
      <c r="AJ19" s="380" t="str">
        <f>Настройки!U19</f>
        <v>out17</v>
      </c>
      <c r="AK19" s="380" t="str">
        <f>Настройки!V19</f>
        <v>-</v>
      </c>
      <c r="AL19" s="380" t="str">
        <f>Настройки!W19</f>
        <v>-</v>
      </c>
      <c r="AM19" s="380" t="str">
        <f>Настройки!X19</f>
        <v>-</v>
      </c>
      <c r="AN19" s="380" t="str">
        <f>Настройки!Y19</f>
        <v>-</v>
      </c>
      <c r="AO19" s="380" t="str">
        <f>Настройки!Z19</f>
        <v>-</v>
      </c>
      <c r="AP19" s="380" t="str">
        <f>Настройки!AA19</f>
        <v>Canal_18</v>
      </c>
      <c r="AQ19" s="380" t="str">
        <f>Настройки!AB19</f>
        <v>Canal_18</v>
      </c>
      <c r="AR19" s="380" t="str">
        <f>Настройки!AC19</f>
        <v>-</v>
      </c>
      <c r="AS19" s="380" t="str">
        <f>Настройки!AD19</f>
        <v>-</v>
      </c>
      <c r="AT19" s="207" t="str">
        <f>Настройки!AB19</f>
        <v>Canal_18</v>
      </c>
      <c r="AU19" s="207" t="str">
        <f>Настройки!AC19</f>
        <v>-</v>
      </c>
      <c r="AV19" s="207" t="str">
        <f>Настройки!AD19</f>
        <v>-</v>
      </c>
      <c r="AW19" s="207" t="str">
        <f>Настройки!AE19</f>
        <v>-</v>
      </c>
      <c r="AX19" s="207" t="str">
        <f>Настройки!AF19</f>
        <v>IDIG_5_2</v>
      </c>
      <c r="AY19" s="207" t="str">
        <f>Настройки!AG19</f>
        <v>Canal_18</v>
      </c>
      <c r="AZ19" s="207" t="str">
        <f>Настройки!AH19</f>
        <v>Canal_18</v>
      </c>
      <c r="BA19" s="207" t="str">
        <f>Настройки!AI19</f>
        <v>Canal_18</v>
      </c>
      <c r="BB19" s="207" t="str">
        <f>Настройки!AJ19</f>
        <v>-</v>
      </c>
      <c r="BC19" s="207" t="str">
        <f>Настройки!AK19</f>
        <v>-</v>
      </c>
      <c r="BD19" s="207" t="str">
        <f>Настройки!AL19</f>
        <v>Canal_18</v>
      </c>
      <c r="BE19" s="207" t="str">
        <f>Настройки!AM19</f>
        <v>-</v>
      </c>
    </row>
    <row r="20" spans="1:57">
      <c r="A20" s="448" t="str">
        <f>SUBSTITUTE($P$2,"\","|")&amp;"|"&amp;"D"&amp; RIGHT($V$1,3)&amp;":="&amp;P4&amp;"NOT_LINK_BR"</f>
        <v>ZRU_OL1|DRCX:=NOT_LINK_BR</v>
      </c>
      <c r="B20" s="448"/>
      <c r="C20" s="446"/>
      <c r="D20" s="446"/>
      <c r="E20" s="446" t="str">
        <f>IFERROR(LEFT($V$3,FIND("+",$V$3,1)-1),"УДАЛИТЬ")</f>
        <v>1</v>
      </c>
      <c r="F20" s="446" t="s">
        <v>845</v>
      </c>
      <c r="G20" s="447"/>
      <c r="H20" s="447"/>
      <c r="I20" s="1"/>
      <c r="M20" s="424" t="str">
        <f>'Конфигурация TREI'!A21</f>
        <v>BR19</v>
      </c>
      <c r="N20" s="424" t="str">
        <f>'Конфигурация TREI'!B21</f>
        <v>M558O</v>
      </c>
      <c r="AE20" s="428">
        <f>Настройки!P20</f>
        <v>19</v>
      </c>
      <c r="AF20" s="380">
        <f>Настройки!Q20</f>
        <v>0</v>
      </c>
      <c r="AG20" s="380" t="str">
        <f>Настройки!R20</f>
        <v>-</v>
      </c>
      <c r="AH20" s="380" t="str">
        <f>Настройки!S20</f>
        <v>-</v>
      </c>
      <c r="AI20" s="380" t="str">
        <f>Настройки!T20</f>
        <v>out18</v>
      </c>
      <c r="AJ20" s="380" t="str">
        <f>Настройки!U20</f>
        <v>out18</v>
      </c>
      <c r="AK20" s="380" t="str">
        <f>Настройки!V20</f>
        <v>-</v>
      </c>
      <c r="AL20" s="380" t="str">
        <f>Настройки!W20</f>
        <v>-</v>
      </c>
      <c r="AM20" s="380" t="str">
        <f>Настройки!X20</f>
        <v>-</v>
      </c>
      <c r="AN20" s="380" t="str">
        <f>Настройки!Y20</f>
        <v>-</v>
      </c>
      <c r="AO20" s="380" t="str">
        <f>Настройки!Z20</f>
        <v>-</v>
      </c>
      <c r="AP20" s="380" t="str">
        <f>Настройки!AA20</f>
        <v>Canal_19</v>
      </c>
      <c r="AQ20" s="380" t="str">
        <f>Настройки!AB20</f>
        <v>Canal_19</v>
      </c>
      <c r="AR20" s="380" t="str">
        <f>Настройки!AC20</f>
        <v>-</v>
      </c>
      <c r="AS20" s="380" t="str">
        <f>Настройки!AD20</f>
        <v>-</v>
      </c>
      <c r="AT20" s="207" t="str">
        <f>Настройки!AB20</f>
        <v>Canal_19</v>
      </c>
      <c r="AU20" s="207" t="str">
        <f>Настройки!AC20</f>
        <v>-</v>
      </c>
      <c r="AV20" s="207" t="str">
        <f>Настройки!AD20</f>
        <v>-</v>
      </c>
      <c r="AW20" s="207" t="str">
        <f>Настройки!AE20</f>
        <v>-</v>
      </c>
      <c r="AX20" s="207" t="str">
        <f>Настройки!AF20</f>
        <v>IDIG_5_3</v>
      </c>
      <c r="AY20" s="207" t="str">
        <f>Настройки!AG20</f>
        <v>Canal_19</v>
      </c>
      <c r="AZ20" s="207" t="str">
        <f>Настройки!AH20</f>
        <v>Canal_19</v>
      </c>
      <c r="BA20" s="207" t="str">
        <f>Настройки!AI20</f>
        <v>Canal_19</v>
      </c>
      <c r="BB20" s="207" t="str">
        <f>Настройки!AJ20</f>
        <v>-</v>
      </c>
      <c r="BC20" s="207" t="str">
        <f>Настройки!AK20</f>
        <v>-</v>
      </c>
      <c r="BD20" s="207" t="str">
        <f>Настройки!AL20</f>
        <v>Canal_19</v>
      </c>
      <c r="BE20" s="207" t="str">
        <f>Настройки!AM20</f>
        <v>-</v>
      </c>
    </row>
    <row r="21" spans="1:57">
      <c r="A21" s="448" t="str">
        <f>SUBSTITUTE($P$2,"\","|")&amp;"|"&amp;"D"&amp; RIGHT($W$1,3)&amp;":="&amp;P4&amp;"NOT_LINK_BR"</f>
        <v>ZRU_OL1|DFXX:=NOT_LINK_BR</v>
      </c>
      <c r="B21" s="448"/>
      <c r="C21" s="446"/>
      <c r="D21" s="446"/>
      <c r="E21" s="446" t="str">
        <f>IFERROR(LEFT($W$3,FIND("+",$W$3,1)-1),"УДАЛИТЬ")</f>
        <v>1</v>
      </c>
      <c r="F21" s="446" t="s">
        <v>845</v>
      </c>
      <c r="G21" s="447"/>
      <c r="H21" s="447"/>
      <c r="I21" s="1"/>
      <c r="M21" s="424" t="str">
        <f>'Конфигурация TREI'!A22</f>
        <v>BR20</v>
      </c>
      <c r="N21" s="424" t="str">
        <f>'Конфигурация TREI'!B22</f>
        <v>M558D</v>
      </c>
      <c r="AE21" s="428">
        <f>Настройки!P21</f>
        <v>20</v>
      </c>
      <c r="AF21" s="380">
        <f>Настройки!Q21</f>
        <v>0</v>
      </c>
      <c r="AG21" s="380" t="str">
        <f>Настройки!R21</f>
        <v>-</v>
      </c>
      <c r="AH21" s="380" t="str">
        <f>Настройки!S21</f>
        <v>-</v>
      </c>
      <c r="AI21" s="380" t="str">
        <f>Настройки!T21</f>
        <v>out19</v>
      </c>
      <c r="AJ21" s="380" t="str">
        <f>Настройки!U21</f>
        <v>out19</v>
      </c>
      <c r="AK21" s="380" t="str">
        <f>Настройки!V21</f>
        <v>-</v>
      </c>
      <c r="AL21" s="380" t="str">
        <f>Настройки!W21</f>
        <v>-</v>
      </c>
      <c r="AM21" s="380" t="str">
        <f>Настройки!X21</f>
        <v>-</v>
      </c>
      <c r="AN21" s="380" t="str">
        <f>Настройки!Y21</f>
        <v>-</v>
      </c>
      <c r="AO21" s="380" t="str">
        <f>Настройки!Z21</f>
        <v>-</v>
      </c>
      <c r="AP21" s="380" t="str">
        <f>Настройки!AA21</f>
        <v>Canal_20</v>
      </c>
      <c r="AQ21" s="380" t="str">
        <f>Настройки!AB21</f>
        <v>Canal_20</v>
      </c>
      <c r="AR21" s="380" t="str">
        <f>Настройки!AC21</f>
        <v>-</v>
      </c>
      <c r="AS21" s="380" t="str">
        <f>Настройки!AD21</f>
        <v>-</v>
      </c>
      <c r="AT21" s="207" t="str">
        <f>Настройки!AB21</f>
        <v>Canal_20</v>
      </c>
      <c r="AU21" s="207" t="str">
        <f>Настройки!AC21</f>
        <v>-</v>
      </c>
      <c r="AV21" s="207" t="str">
        <f>Настройки!AD21</f>
        <v>-</v>
      </c>
      <c r="AW21" s="207" t="str">
        <f>Настройки!AE21</f>
        <v>-</v>
      </c>
      <c r="AX21" s="207" t="str">
        <f>Настройки!AF21</f>
        <v>IDIG_5_4</v>
      </c>
      <c r="AY21" s="207" t="str">
        <f>Настройки!AG21</f>
        <v>Canal_20</v>
      </c>
      <c r="AZ21" s="207" t="str">
        <f>Настройки!AH21</f>
        <v>Canal_20</v>
      </c>
      <c r="BA21" s="207" t="str">
        <f>Настройки!AI21</f>
        <v>Canal_20</v>
      </c>
      <c r="BB21" s="207" t="str">
        <f>Настройки!AJ21</f>
        <v>-</v>
      </c>
      <c r="BC21" s="207" t="str">
        <f>Настройки!AK21</f>
        <v>-</v>
      </c>
      <c r="BD21" s="207" t="str">
        <f>Настройки!AL21</f>
        <v>Canal_20</v>
      </c>
      <c r="BE21" s="207" t="str">
        <f>Настройки!AM21</f>
        <v>-</v>
      </c>
    </row>
    <row r="22" spans="1:57">
      <c r="A22" s="448" t="str">
        <f>SUBSTITUTE($P$2,"\","|")&amp;"|"&amp;"D"&amp; RIGHT($Z$1,3)&amp;":="&amp;P4&amp;"NOT_LINK_BR"</f>
        <v>ZRU_OL1|DPTC:=NOT_LINK_BR</v>
      </c>
      <c r="B22" s="448"/>
      <c r="C22" s="446"/>
      <c r="D22" s="446"/>
      <c r="E22" s="446" t="str">
        <f>IFERROR(LEFT($Z$3,FIND("+",$Z$3,1)-1),"УДАЛИТЬ")</f>
        <v>1</v>
      </c>
      <c r="F22" s="446" t="s">
        <v>845</v>
      </c>
      <c r="G22" s="447"/>
      <c r="H22" s="447"/>
      <c r="I22" s="1"/>
      <c r="M22" s="424" t="str">
        <f>'Конфигурация TREI'!A23</f>
        <v>BR21</v>
      </c>
      <c r="N22" s="424" t="str">
        <f>'Конфигурация TREI'!B23</f>
        <v>M558O</v>
      </c>
      <c r="AE22" s="428">
        <f>Настройки!P22</f>
        <v>21</v>
      </c>
      <c r="AF22" s="380">
        <f>Настройки!Q22</f>
        <v>0</v>
      </c>
      <c r="AG22" s="380" t="str">
        <f>Настройки!R22</f>
        <v>-</v>
      </c>
      <c r="AH22" s="380" t="str">
        <f>Настройки!S22</f>
        <v>-</v>
      </c>
      <c r="AI22" s="380" t="str">
        <f>Настройки!T22</f>
        <v>out20</v>
      </c>
      <c r="AJ22" s="380" t="str">
        <f>Настройки!U22</f>
        <v>out20</v>
      </c>
      <c r="AK22" s="380" t="str">
        <f>Настройки!V22</f>
        <v>-</v>
      </c>
      <c r="AL22" s="380" t="str">
        <f>Настройки!W22</f>
        <v>-</v>
      </c>
      <c r="AM22" s="380" t="str">
        <f>Настройки!X22</f>
        <v>-</v>
      </c>
      <c r="AN22" s="380" t="str">
        <f>Настройки!Y22</f>
        <v>-</v>
      </c>
      <c r="AO22" s="380" t="str">
        <f>Настройки!Z22</f>
        <v>-</v>
      </c>
      <c r="AP22" s="380" t="str">
        <f>Настройки!AA22</f>
        <v>Canal_21</v>
      </c>
      <c r="AQ22" s="380" t="str">
        <f>Настройки!AB22</f>
        <v>Canal_21</v>
      </c>
      <c r="AR22" s="380" t="str">
        <f>Настройки!AC22</f>
        <v>-</v>
      </c>
      <c r="AS22" s="380" t="str">
        <f>Настройки!AD22</f>
        <v>-</v>
      </c>
      <c r="AT22" s="207" t="str">
        <f>Настройки!AB22</f>
        <v>Canal_21</v>
      </c>
      <c r="AU22" s="207" t="str">
        <f>Настройки!AC22</f>
        <v>-</v>
      </c>
      <c r="AV22" s="207" t="str">
        <f>Настройки!AD22</f>
        <v>-</v>
      </c>
      <c r="AW22" s="207" t="str">
        <f>Настройки!AE22</f>
        <v>-</v>
      </c>
      <c r="AX22" s="207" t="str">
        <f>Настройки!AF22</f>
        <v>IDIG_6_1</v>
      </c>
      <c r="AY22" s="207" t="str">
        <f>Настройки!AG22</f>
        <v>Canal_21</v>
      </c>
      <c r="AZ22" s="207" t="str">
        <f>Настройки!AH22</f>
        <v>Canal_21</v>
      </c>
      <c r="BA22" s="207" t="str">
        <f>Настройки!AI22</f>
        <v>Canal_21</v>
      </c>
      <c r="BB22" s="207" t="str">
        <f>Настройки!AJ22</f>
        <v>-</v>
      </c>
      <c r="BC22" s="207" t="str">
        <f>Настройки!AK22</f>
        <v>-</v>
      </c>
      <c r="BD22" s="207" t="str">
        <f>Настройки!AL22</f>
        <v>Canal_21</v>
      </c>
      <c r="BE22" s="207" t="str">
        <f>Настройки!AM22</f>
        <v>-</v>
      </c>
    </row>
    <row r="23" spans="1:57">
      <c r="A23" s="448" t="str">
        <f>SUBSTITUTE($P$2,"\","|")&amp;"|"&amp;"D"&amp; RIGHT($AC$1,3)&amp;":="&amp;P4&amp;"NOT_LINK_BR"</f>
        <v>ZRU_OL1|DPTO:=NOT_LINK_BR</v>
      </c>
      <c r="B23" s="448"/>
      <c r="C23" s="446"/>
      <c r="D23" s="446"/>
      <c r="E23" s="446" t="str">
        <f>IFERROR(LEFT($AC$3,FIND("+",$AC$3,1)-1),"УДАЛИТЬ")</f>
        <v>6</v>
      </c>
      <c r="F23" s="446" t="s">
        <v>845</v>
      </c>
      <c r="G23" s="447"/>
      <c r="H23" s="447"/>
      <c r="I23" s="1"/>
      <c r="M23" s="424" t="str">
        <f>'Конфигурация TREI'!A24</f>
        <v>BR22</v>
      </c>
      <c r="N23" s="424" t="str">
        <f>'Конфигурация TREI'!B24</f>
        <v>M558D</v>
      </c>
      <c r="AE23" s="428">
        <f>Настройки!P23</f>
        <v>22</v>
      </c>
      <c r="AF23" s="380">
        <f>Настройки!Q23</f>
        <v>0</v>
      </c>
      <c r="AG23" s="380" t="str">
        <f>Настройки!R23</f>
        <v>-</v>
      </c>
      <c r="AH23" s="380" t="str">
        <f>Настройки!S23</f>
        <v>-</v>
      </c>
      <c r="AI23" s="380" t="str">
        <f>Настройки!T23</f>
        <v>out21</v>
      </c>
      <c r="AJ23" s="380" t="str">
        <f>Настройки!U23</f>
        <v>out21</v>
      </c>
      <c r="AK23" s="380" t="str">
        <f>Настройки!V23</f>
        <v>-</v>
      </c>
      <c r="AL23" s="380" t="str">
        <f>Настройки!W23</f>
        <v>-</v>
      </c>
      <c r="AM23" s="380" t="str">
        <f>Настройки!X23</f>
        <v>-</v>
      </c>
      <c r="AN23" s="380" t="str">
        <f>Настройки!Y23</f>
        <v>-</v>
      </c>
      <c r="AO23" s="380" t="str">
        <f>Настройки!Z23</f>
        <v>-</v>
      </c>
      <c r="AP23" s="380" t="str">
        <f>Настройки!AA23</f>
        <v>Canal_22</v>
      </c>
      <c r="AQ23" s="380" t="str">
        <f>Настройки!AB23</f>
        <v>Canal_22</v>
      </c>
      <c r="AR23" s="380" t="str">
        <f>Настройки!AC23</f>
        <v>-</v>
      </c>
      <c r="AS23" s="380" t="str">
        <f>Настройки!AD23</f>
        <v>-</v>
      </c>
      <c r="AT23" s="207" t="str">
        <f>Настройки!AB23</f>
        <v>Canal_22</v>
      </c>
      <c r="AU23" s="207" t="str">
        <f>Настройки!AC23</f>
        <v>-</v>
      </c>
      <c r="AV23" s="207" t="str">
        <f>Настройки!AD23</f>
        <v>-</v>
      </c>
      <c r="AW23" s="207" t="str">
        <f>Настройки!AE23</f>
        <v>-</v>
      </c>
      <c r="AX23" s="207" t="str">
        <f>Настройки!AF23</f>
        <v>IDIG_6_2</v>
      </c>
      <c r="AY23" s="207" t="str">
        <f>Настройки!AG23</f>
        <v>Canal_22</v>
      </c>
      <c r="AZ23" s="207" t="str">
        <f>Настройки!AH23</f>
        <v>Canal_22</v>
      </c>
      <c r="BA23" s="207" t="str">
        <f>Настройки!AI23</f>
        <v>Canal_22</v>
      </c>
      <c r="BB23" s="207" t="str">
        <f>Настройки!AJ23</f>
        <v>-</v>
      </c>
      <c r="BC23" s="207" t="str">
        <f>Настройки!AK23</f>
        <v>-</v>
      </c>
      <c r="BD23" s="207" t="str">
        <f>Настройки!AL23</f>
        <v>Canal_22</v>
      </c>
      <c r="BE23" s="207" t="str">
        <f>Настройки!AM23</f>
        <v>-</v>
      </c>
    </row>
    <row r="24" spans="1:57">
      <c r="A24" s="82"/>
      <c r="B24" s="82"/>
      <c r="C24" s="81"/>
      <c r="D24" s="81"/>
      <c r="E24" s="81"/>
      <c r="F24" s="81"/>
      <c r="G24" s="447"/>
      <c r="H24" s="447"/>
      <c r="I24" s="1"/>
      <c r="M24" s="424" t="str">
        <f>'Конфигурация TREI'!A25</f>
        <v>BR23</v>
      </c>
      <c r="N24" s="424" t="str">
        <f>'Конфигурация TREI'!B25</f>
        <v>M558O</v>
      </c>
      <c r="AE24" s="428">
        <f>Настройки!P24</f>
        <v>23</v>
      </c>
      <c r="AF24" s="380">
        <f>Настройки!Q24</f>
        <v>0</v>
      </c>
      <c r="AG24" s="380" t="str">
        <f>Настройки!R24</f>
        <v>-</v>
      </c>
      <c r="AH24" s="380" t="str">
        <f>Настройки!S24</f>
        <v>-</v>
      </c>
      <c r="AI24" s="380" t="str">
        <f>Настройки!T24</f>
        <v>out22</v>
      </c>
      <c r="AJ24" s="380" t="str">
        <f>Настройки!U24</f>
        <v>out22</v>
      </c>
      <c r="AK24" s="380" t="str">
        <f>Настройки!V24</f>
        <v>-</v>
      </c>
      <c r="AL24" s="380" t="str">
        <f>Настройки!W24</f>
        <v>-</v>
      </c>
      <c r="AM24" s="380" t="str">
        <f>Настройки!X24</f>
        <v>-</v>
      </c>
      <c r="AN24" s="380" t="str">
        <f>Настройки!Y24</f>
        <v>-</v>
      </c>
      <c r="AO24" s="380" t="str">
        <f>Настройки!Z24</f>
        <v>-</v>
      </c>
      <c r="AP24" s="380" t="str">
        <f>Настройки!AA24</f>
        <v>Canal_23</v>
      </c>
      <c r="AQ24" s="380" t="str">
        <f>Настройки!AB24</f>
        <v>Canal_23</v>
      </c>
      <c r="AR24" s="380" t="str">
        <f>Настройки!AC24</f>
        <v>-</v>
      </c>
      <c r="AS24" s="380" t="str">
        <f>Настройки!AD24</f>
        <v>-</v>
      </c>
      <c r="AT24" s="207" t="str">
        <f>Настройки!AB24</f>
        <v>Canal_23</v>
      </c>
      <c r="AU24" s="207" t="str">
        <f>Настройки!AC24</f>
        <v>-</v>
      </c>
      <c r="AV24" s="207" t="str">
        <f>Настройки!AD24</f>
        <v>-</v>
      </c>
      <c r="AW24" s="207" t="str">
        <f>Настройки!AE24</f>
        <v>-</v>
      </c>
      <c r="AX24" s="207" t="str">
        <f>Настройки!AF24</f>
        <v>IDIG_6_3</v>
      </c>
      <c r="AY24" s="207" t="str">
        <f>Настройки!AG24</f>
        <v>Canal_23</v>
      </c>
      <c r="AZ24" s="207" t="str">
        <f>Настройки!AH24</f>
        <v>Canal_23</v>
      </c>
      <c r="BA24" s="207" t="str">
        <f>Настройки!AI24</f>
        <v>Canal_23</v>
      </c>
      <c r="BB24" s="207" t="str">
        <f>Настройки!AJ24</f>
        <v>-</v>
      </c>
      <c r="BC24" s="207" t="str">
        <f>Настройки!AK24</f>
        <v>-</v>
      </c>
      <c r="BD24" s="207" t="str">
        <f>Настройки!AL24</f>
        <v>Canal_23</v>
      </c>
      <c r="BE24" s="207" t="str">
        <f>Настройки!AM24</f>
        <v>-</v>
      </c>
    </row>
    <row r="25" spans="1:57">
      <c r="A25" s="82"/>
      <c r="B25" s="82"/>
      <c r="C25" s="81"/>
      <c r="D25" s="81"/>
      <c r="E25" s="81"/>
      <c r="F25" s="81"/>
      <c r="G25" s="447"/>
      <c r="H25" s="447"/>
      <c r="I25" s="1"/>
      <c r="M25" s="424" t="str">
        <f>'Конфигурация TREI'!A26</f>
        <v>BR24</v>
      </c>
      <c r="N25" s="424" t="str">
        <f>'Конфигурация TREI'!B26</f>
        <v>M558D</v>
      </c>
      <c r="AE25" s="428">
        <f>Настройки!P25</f>
        <v>24</v>
      </c>
      <c r="AF25" s="380">
        <f>Настройки!Q25</f>
        <v>0</v>
      </c>
      <c r="AG25" s="380" t="str">
        <f>Настройки!R25</f>
        <v>-</v>
      </c>
      <c r="AH25" s="380" t="str">
        <f>Настройки!S25</f>
        <v>-</v>
      </c>
      <c r="AI25" s="380" t="str">
        <f>Настройки!T25</f>
        <v>out23</v>
      </c>
      <c r="AJ25" s="380" t="str">
        <f>Настройки!U25</f>
        <v>out23</v>
      </c>
      <c r="AK25" s="380" t="str">
        <f>Настройки!V25</f>
        <v>-</v>
      </c>
      <c r="AL25" s="380" t="str">
        <f>Настройки!W25</f>
        <v>-</v>
      </c>
      <c r="AM25" s="380" t="str">
        <f>Настройки!X25</f>
        <v>-</v>
      </c>
      <c r="AN25" s="380" t="str">
        <f>Настройки!Y25</f>
        <v>-</v>
      </c>
      <c r="AO25" s="380" t="str">
        <f>Настройки!Z25</f>
        <v>-</v>
      </c>
      <c r="AP25" s="380" t="str">
        <f>Настройки!AA25</f>
        <v>Canal_24</v>
      </c>
      <c r="AQ25" s="380" t="str">
        <f>Настройки!AB25</f>
        <v>Canal_24</v>
      </c>
      <c r="AR25" s="380" t="str">
        <f>Настройки!AC25</f>
        <v>-</v>
      </c>
      <c r="AS25" s="380" t="str">
        <f>Настройки!AD25</f>
        <v>-</v>
      </c>
      <c r="AT25" s="207" t="str">
        <f>Настройки!AB25</f>
        <v>Canal_24</v>
      </c>
      <c r="AU25" s="207" t="str">
        <f>Настройки!AC25</f>
        <v>-</v>
      </c>
      <c r="AV25" s="207" t="str">
        <f>Настройки!AD25</f>
        <v>-</v>
      </c>
      <c r="AW25" s="207" t="str">
        <f>Настройки!AE25</f>
        <v>-</v>
      </c>
      <c r="AX25" s="207" t="str">
        <f>Настройки!AF25</f>
        <v>IDIG_6_4</v>
      </c>
      <c r="AY25" s="207" t="str">
        <f>Настройки!AG25</f>
        <v>Canal_24</v>
      </c>
      <c r="AZ25" s="207" t="str">
        <f>Настройки!AH25</f>
        <v>Canal_24</v>
      </c>
      <c r="BA25" s="207" t="str">
        <f>Настройки!AI25</f>
        <v>Canal_24</v>
      </c>
      <c r="BB25" s="207" t="str">
        <f>Настройки!AJ25</f>
        <v>-</v>
      </c>
      <c r="BC25" s="207" t="str">
        <f>Настройки!AK25</f>
        <v>-</v>
      </c>
      <c r="BD25" s="207" t="str">
        <f>Настройки!AL25</f>
        <v>Canal_24</v>
      </c>
      <c r="BE25" s="207" t="str">
        <f>Настройки!AM25</f>
        <v>-</v>
      </c>
    </row>
    <row r="26" spans="1:57">
      <c r="A26" s="82"/>
      <c r="B26" s="82"/>
      <c r="C26" s="81"/>
      <c r="D26" s="81"/>
      <c r="E26" s="81"/>
      <c r="F26" s="81"/>
      <c r="G26" s="447"/>
      <c r="H26" s="447"/>
      <c r="I26" s="1"/>
      <c r="M26" s="424" t="str">
        <f>'Конфигурация TREI'!A27</f>
        <v>BR25</v>
      </c>
      <c r="N26" s="424" t="str">
        <f>'Конфигурация TREI'!B27</f>
        <v>M558D</v>
      </c>
      <c r="AE26" s="428">
        <f>Настройки!P26</f>
        <v>25</v>
      </c>
      <c r="AF26" s="380">
        <f>Настройки!Q26</f>
        <v>0</v>
      </c>
      <c r="AG26" s="380" t="str">
        <f>Настройки!R26</f>
        <v>-</v>
      </c>
      <c r="AH26" s="380" t="str">
        <f>Настройки!S26</f>
        <v>-</v>
      </c>
      <c r="AI26" s="380" t="str">
        <f>Настройки!T26</f>
        <v>out24</v>
      </c>
      <c r="AJ26" s="380" t="str">
        <f>Настройки!U26</f>
        <v>out24</v>
      </c>
      <c r="AK26" s="380" t="str">
        <f>Настройки!V26</f>
        <v>-</v>
      </c>
      <c r="AL26" s="380" t="str">
        <f>Настройки!W26</f>
        <v>-</v>
      </c>
      <c r="AM26" s="380" t="str">
        <f>Настройки!X26</f>
        <v>-</v>
      </c>
      <c r="AN26" s="380" t="str">
        <f>Настройки!Y26</f>
        <v>-</v>
      </c>
      <c r="AO26" s="380" t="str">
        <f>Настройки!Z26</f>
        <v>-</v>
      </c>
      <c r="AP26" s="380" t="str">
        <f>Настройки!AA26</f>
        <v>Canal_25</v>
      </c>
      <c r="AQ26" s="380" t="str">
        <f>Настройки!AB26</f>
        <v>Canal_25</v>
      </c>
      <c r="AR26" s="380" t="str">
        <f>Настройки!AC26</f>
        <v>-</v>
      </c>
      <c r="AS26" s="380" t="str">
        <f>Настройки!AD26</f>
        <v>-</v>
      </c>
      <c r="AT26" s="207" t="str">
        <f>Настройки!AB26</f>
        <v>Canal_25</v>
      </c>
      <c r="AU26" s="207" t="str">
        <f>Настройки!AC26</f>
        <v>-</v>
      </c>
      <c r="AV26" s="207" t="str">
        <f>Настройки!AD26</f>
        <v>-</v>
      </c>
      <c r="AW26" s="207" t="str">
        <f>Настройки!AE26</f>
        <v>-</v>
      </c>
      <c r="AX26" s="207" t="str">
        <f>Настройки!AF26</f>
        <v>IDIG_7_1</v>
      </c>
      <c r="AY26" s="207" t="str">
        <f>Настройки!AG26</f>
        <v>Canal_25</v>
      </c>
      <c r="AZ26" s="207" t="str">
        <f>Настройки!AH26</f>
        <v>Canal_25</v>
      </c>
      <c r="BA26" s="207" t="str">
        <f>Настройки!AI26</f>
        <v>Canal_25</v>
      </c>
      <c r="BB26" s="207" t="str">
        <f>Настройки!AJ26</f>
        <v>-</v>
      </c>
      <c r="BC26" s="207" t="str">
        <f>Настройки!AK26</f>
        <v>-</v>
      </c>
      <c r="BD26" s="207" t="str">
        <f>Настройки!AL26</f>
        <v>Canal_25</v>
      </c>
      <c r="BE26" s="207" t="str">
        <f>Настройки!AM26</f>
        <v>-</v>
      </c>
    </row>
    <row r="27" spans="1:57">
      <c r="A27" s="82"/>
      <c r="B27" s="82"/>
      <c r="C27" s="81"/>
      <c r="D27" s="81"/>
      <c r="E27" s="81"/>
      <c r="F27" s="81"/>
      <c r="G27" s="447"/>
      <c r="H27" s="447"/>
      <c r="I27" s="1"/>
      <c r="M27" s="424" t="str">
        <f>'Конфигурация TREI'!A28</f>
        <v>BR26</v>
      </c>
      <c r="N27" s="424" t="str">
        <f>'Конфигурация TREI'!B28</f>
        <v>M558D</v>
      </c>
      <c r="AE27" s="428">
        <f>Настройки!P27</f>
        <v>26</v>
      </c>
      <c r="AF27" s="380">
        <f>Настройки!Q27</f>
        <v>0</v>
      </c>
      <c r="AG27" s="380" t="str">
        <f>Настройки!R27</f>
        <v>-</v>
      </c>
      <c r="AH27" s="380" t="str">
        <f>Настройки!S27</f>
        <v>-</v>
      </c>
      <c r="AI27" s="380" t="str">
        <f>Настройки!T27</f>
        <v>out25</v>
      </c>
      <c r="AJ27" s="380" t="str">
        <f>Настройки!U27</f>
        <v>out25</v>
      </c>
      <c r="AK27" s="380" t="str">
        <f>Настройки!V27</f>
        <v>-</v>
      </c>
      <c r="AL27" s="380" t="str">
        <f>Настройки!W27</f>
        <v>-</v>
      </c>
      <c r="AM27" s="380" t="str">
        <f>Настройки!X27</f>
        <v>-</v>
      </c>
      <c r="AN27" s="380" t="str">
        <f>Настройки!Y27</f>
        <v>-</v>
      </c>
      <c r="AO27" s="380" t="str">
        <f>Настройки!Z27</f>
        <v>-</v>
      </c>
      <c r="AP27" s="380" t="str">
        <f>Настройки!AA27</f>
        <v>Canal_26</v>
      </c>
      <c r="AQ27" s="380" t="str">
        <f>Настройки!AB27</f>
        <v>Canal_26</v>
      </c>
      <c r="AR27" s="380" t="str">
        <f>Настройки!AC27</f>
        <v>-</v>
      </c>
      <c r="AS27" s="380" t="str">
        <f>Настройки!AD27</f>
        <v>-</v>
      </c>
      <c r="AT27" s="207" t="str">
        <f>Настройки!AB27</f>
        <v>Canal_26</v>
      </c>
      <c r="AU27" s="207" t="str">
        <f>Настройки!AC27</f>
        <v>-</v>
      </c>
      <c r="AV27" s="207" t="str">
        <f>Настройки!AD27</f>
        <v>-</v>
      </c>
      <c r="AW27" s="207" t="str">
        <f>Настройки!AE27</f>
        <v>-</v>
      </c>
      <c r="AX27" s="207" t="str">
        <f>Настройки!AF27</f>
        <v>IDIG_7_2</v>
      </c>
      <c r="AY27" s="207" t="str">
        <f>Настройки!AG27</f>
        <v>Canal_26</v>
      </c>
      <c r="AZ27" s="207" t="str">
        <f>Настройки!AH27</f>
        <v>Canal_26</v>
      </c>
      <c r="BA27" s="207" t="str">
        <f>Настройки!AI27</f>
        <v>Canal_26</v>
      </c>
      <c r="BB27" s="207" t="str">
        <f>Настройки!AJ27</f>
        <v>-</v>
      </c>
      <c r="BC27" s="207" t="str">
        <f>Настройки!AK27</f>
        <v>-</v>
      </c>
      <c r="BD27" s="207" t="str">
        <f>Настройки!AL27</f>
        <v>Canal_26</v>
      </c>
      <c r="BE27" s="207" t="str">
        <f>Настройки!AM27</f>
        <v>-</v>
      </c>
    </row>
    <row r="28" spans="1:57">
      <c r="A28" s="82"/>
      <c r="B28" s="82"/>
      <c r="C28" s="81"/>
      <c r="D28" s="81"/>
      <c r="E28" s="81"/>
      <c r="F28" s="81"/>
      <c r="G28" s="447"/>
      <c r="H28" s="447"/>
      <c r="I28" s="1"/>
      <c r="M28" s="424" t="str">
        <f>'Конфигурация TREI'!A29</f>
        <v>BR27</v>
      </c>
      <c r="N28" s="424" t="str">
        <f>'Конфигурация TREI'!B29</f>
        <v>M558D</v>
      </c>
      <c r="AE28" s="428">
        <f>Настройки!P28</f>
        <v>27</v>
      </c>
      <c r="AF28" s="380">
        <f>Настройки!Q28</f>
        <v>0</v>
      </c>
      <c r="AG28" s="380" t="str">
        <f>Настройки!R28</f>
        <v>-</v>
      </c>
      <c r="AH28" s="380" t="str">
        <f>Настройки!S28</f>
        <v>-</v>
      </c>
      <c r="AI28" s="380" t="str">
        <f>Настройки!T28</f>
        <v>out26</v>
      </c>
      <c r="AJ28" s="380" t="str">
        <f>Настройки!U28</f>
        <v>out26</v>
      </c>
      <c r="AK28" s="380" t="str">
        <f>Настройки!V28</f>
        <v>-</v>
      </c>
      <c r="AL28" s="380" t="str">
        <f>Настройки!W28</f>
        <v>-</v>
      </c>
      <c r="AM28" s="380" t="str">
        <f>Настройки!X28</f>
        <v>-</v>
      </c>
      <c r="AN28" s="380" t="str">
        <f>Настройки!Y28</f>
        <v>-</v>
      </c>
      <c r="AO28" s="380" t="str">
        <f>Настройки!Z28</f>
        <v>-</v>
      </c>
      <c r="AP28" s="380" t="str">
        <f>Настройки!AA28</f>
        <v>Canal_27</v>
      </c>
      <c r="AQ28" s="380" t="str">
        <f>Настройки!AB28</f>
        <v>Canal_27</v>
      </c>
      <c r="AR28" s="380" t="str">
        <f>Настройки!AC28</f>
        <v>-</v>
      </c>
      <c r="AS28" s="380" t="str">
        <f>Настройки!AD28</f>
        <v>-</v>
      </c>
      <c r="AT28" s="207" t="str">
        <f>Настройки!AB28</f>
        <v>Canal_27</v>
      </c>
      <c r="AU28" s="207" t="str">
        <f>Настройки!AC28</f>
        <v>-</v>
      </c>
      <c r="AV28" s="207" t="str">
        <f>Настройки!AD28</f>
        <v>-</v>
      </c>
      <c r="AW28" s="207" t="str">
        <f>Настройки!AE28</f>
        <v>-</v>
      </c>
      <c r="AX28" s="207" t="str">
        <f>Настройки!AF28</f>
        <v>IDIG_7_3</v>
      </c>
      <c r="AY28" s="207" t="str">
        <f>Настройки!AG28</f>
        <v>Canal_27</v>
      </c>
      <c r="AZ28" s="207" t="str">
        <f>Настройки!AH28</f>
        <v>Canal_27</v>
      </c>
      <c r="BA28" s="207" t="str">
        <f>Настройки!AI28</f>
        <v>Canal_27</v>
      </c>
      <c r="BB28" s="207" t="str">
        <f>Настройки!AJ28</f>
        <v>-</v>
      </c>
      <c r="BC28" s="207" t="str">
        <f>Настройки!AK28</f>
        <v>-</v>
      </c>
      <c r="BD28" s="207" t="str">
        <f>Настройки!AL28</f>
        <v>Canal_27</v>
      </c>
      <c r="BE28" s="207" t="str">
        <f>Настройки!AM28</f>
        <v>-</v>
      </c>
    </row>
    <row r="29" spans="1:57">
      <c r="A29" s="82"/>
      <c r="B29" s="82"/>
      <c r="C29" s="81"/>
      <c r="D29" s="81"/>
      <c r="E29" s="81"/>
      <c r="F29" s="81"/>
      <c r="G29" s="447"/>
      <c r="H29" s="447"/>
      <c r="I29" s="1"/>
      <c r="M29" s="424" t="str">
        <f>'Конфигурация TREI'!A30</f>
        <v>BR28</v>
      </c>
      <c r="N29" s="424" t="str">
        <f>'Конфигурация TREI'!B30</f>
        <v>M558D</v>
      </c>
      <c r="AE29" s="428">
        <f>Настройки!P29</f>
        <v>28</v>
      </c>
      <c r="AF29" s="380">
        <f>Настройки!Q29</f>
        <v>0</v>
      </c>
      <c r="AG29" s="380" t="str">
        <f>Настройки!R29</f>
        <v>-</v>
      </c>
      <c r="AH29" s="380" t="str">
        <f>Настройки!S29</f>
        <v>-</v>
      </c>
      <c r="AI29" s="380" t="str">
        <f>Настройки!T29</f>
        <v>out27</v>
      </c>
      <c r="AJ29" s="380" t="str">
        <f>Настройки!U29</f>
        <v>out27</v>
      </c>
      <c r="AK29" s="380" t="str">
        <f>Настройки!V29</f>
        <v>-</v>
      </c>
      <c r="AL29" s="380" t="str">
        <f>Настройки!W29</f>
        <v>-</v>
      </c>
      <c r="AM29" s="380" t="str">
        <f>Настройки!X29</f>
        <v>-</v>
      </c>
      <c r="AN29" s="380" t="str">
        <f>Настройки!Y29</f>
        <v>-</v>
      </c>
      <c r="AO29" s="380" t="str">
        <f>Настройки!Z29</f>
        <v>-</v>
      </c>
      <c r="AP29" s="380" t="str">
        <f>Настройки!AA29</f>
        <v>Canal_28</v>
      </c>
      <c r="AQ29" s="380" t="str">
        <f>Настройки!AB29</f>
        <v>Canal_28</v>
      </c>
      <c r="AR29" s="380" t="str">
        <f>Настройки!AC29</f>
        <v>-</v>
      </c>
      <c r="AS29" s="380" t="str">
        <f>Настройки!AD29</f>
        <v>-</v>
      </c>
      <c r="AT29" s="207" t="str">
        <f>Настройки!AB29</f>
        <v>Canal_28</v>
      </c>
      <c r="AU29" s="207" t="str">
        <f>Настройки!AC29</f>
        <v>-</v>
      </c>
      <c r="AV29" s="207" t="str">
        <f>Настройки!AD29</f>
        <v>-</v>
      </c>
      <c r="AW29" s="207" t="str">
        <f>Настройки!AE29</f>
        <v>-</v>
      </c>
      <c r="AX29" s="207" t="str">
        <f>Настройки!AF29</f>
        <v>IDIG_7_4</v>
      </c>
      <c r="AY29" s="207" t="str">
        <f>Настройки!AG29</f>
        <v>Canal_28</v>
      </c>
      <c r="AZ29" s="207" t="str">
        <f>Настройки!AH29</f>
        <v>Canal_28</v>
      </c>
      <c r="BA29" s="207" t="str">
        <f>Настройки!AI29</f>
        <v>Canal_28</v>
      </c>
      <c r="BB29" s="207" t="str">
        <f>Настройки!AJ29</f>
        <v>-</v>
      </c>
      <c r="BC29" s="207" t="str">
        <f>Настройки!AK29</f>
        <v>-</v>
      </c>
      <c r="BD29" s="207" t="str">
        <f>Настройки!AL29</f>
        <v>Canal_28</v>
      </c>
      <c r="BE29" s="207" t="str">
        <f>Настройки!AM29</f>
        <v>-</v>
      </c>
    </row>
    <row r="30" spans="1:57">
      <c r="A30" s="1"/>
      <c r="B30" s="1"/>
      <c r="C30" s="465"/>
      <c r="D30" s="465"/>
      <c r="E30" s="465"/>
      <c r="F30" s="1"/>
      <c r="G30" s="1"/>
      <c r="H30" s="1"/>
      <c r="I30" s="1"/>
      <c r="M30" s="424" t="str">
        <f>'Конфигурация TREI'!A31</f>
        <v>BR29</v>
      </c>
      <c r="N30" s="424" t="str">
        <f>'Конфигурация TREI'!B31</f>
        <v>M558O</v>
      </c>
      <c r="AE30" s="428">
        <f>Настройки!P30</f>
        <v>29</v>
      </c>
      <c r="AF30" s="380">
        <f>Настройки!Q30</f>
        <v>0</v>
      </c>
      <c r="AG30" s="380" t="str">
        <f>Настройки!R30</f>
        <v>-</v>
      </c>
      <c r="AH30" s="380" t="str">
        <f>Настройки!S30</f>
        <v>-</v>
      </c>
      <c r="AI30" s="380" t="str">
        <f>Настройки!T30</f>
        <v>out28</v>
      </c>
      <c r="AJ30" s="380" t="str">
        <f>Настройки!U30</f>
        <v>out28</v>
      </c>
      <c r="AK30" s="380" t="str">
        <f>Настройки!V30</f>
        <v>-</v>
      </c>
      <c r="AL30" s="380" t="str">
        <f>Настройки!W30</f>
        <v>-</v>
      </c>
      <c r="AM30" s="380" t="str">
        <f>Настройки!X30</f>
        <v>-</v>
      </c>
      <c r="AN30" s="380" t="str">
        <f>Настройки!Y30</f>
        <v>-</v>
      </c>
      <c r="AO30" s="380" t="str">
        <f>Настройки!Z30</f>
        <v>-</v>
      </c>
      <c r="AP30" s="380" t="str">
        <f>Настройки!AA30</f>
        <v>Canal_29</v>
      </c>
      <c r="AQ30" s="380" t="str">
        <f>Настройки!AB30</f>
        <v>Canal_29</v>
      </c>
      <c r="AR30" s="380" t="str">
        <f>Настройки!AC30</f>
        <v>-</v>
      </c>
      <c r="AS30" s="380" t="str">
        <f>Настройки!AD30</f>
        <v>-</v>
      </c>
      <c r="AT30" s="207" t="str">
        <f>Настройки!AB30</f>
        <v>Canal_29</v>
      </c>
      <c r="AU30" s="207" t="str">
        <f>Настройки!AC30</f>
        <v>-</v>
      </c>
      <c r="AV30" s="207" t="str">
        <f>Настройки!AD30</f>
        <v>-</v>
      </c>
      <c r="AW30" s="207" t="str">
        <f>Настройки!AE30</f>
        <v>-</v>
      </c>
      <c r="AX30" s="207" t="str">
        <f>Настройки!AF30</f>
        <v>IDIG_8_1</v>
      </c>
      <c r="AY30" s="207" t="str">
        <f>Настройки!AG30</f>
        <v>Canal_29</v>
      </c>
      <c r="AZ30" s="207" t="str">
        <f>Настройки!AH30</f>
        <v>Canal_29</v>
      </c>
      <c r="BA30" s="207" t="str">
        <f>Настройки!AI30</f>
        <v>Canal_29</v>
      </c>
      <c r="BB30" s="207" t="str">
        <f>Настройки!AJ30</f>
        <v>-</v>
      </c>
      <c r="BC30" s="207" t="str">
        <f>Настройки!AK30</f>
        <v>-</v>
      </c>
      <c r="BD30" s="207" t="str">
        <f>Настройки!AL30</f>
        <v>Canal_29</v>
      </c>
      <c r="BE30" s="207" t="str">
        <f>Настройки!AM30</f>
        <v>-</v>
      </c>
    </row>
    <row r="31" spans="1:57">
      <c r="A31" s="82"/>
      <c r="B31" s="82"/>
      <c r="C31" s="81"/>
      <c r="D31" s="81"/>
      <c r="E31" s="81"/>
      <c r="F31" s="81"/>
      <c r="G31" s="445"/>
      <c r="H31" s="445"/>
      <c r="I31" s="1"/>
      <c r="M31" s="424" t="str">
        <f>'Конфигурация TREI'!A32</f>
        <v>BR30</v>
      </c>
      <c r="N31" s="424" t="str">
        <f>'Конфигурация TREI'!B32</f>
        <v>M558D</v>
      </c>
      <c r="AE31" s="428">
        <f>Настройки!P31</f>
        <v>30</v>
      </c>
      <c r="AF31" s="380">
        <f>Настройки!Q31</f>
        <v>0</v>
      </c>
      <c r="AG31" s="380" t="str">
        <f>Настройки!R31</f>
        <v>-</v>
      </c>
      <c r="AH31" s="380" t="str">
        <f>Настройки!S31</f>
        <v>-</v>
      </c>
      <c r="AI31" s="380" t="str">
        <f>Настройки!T31</f>
        <v>out29</v>
      </c>
      <c r="AJ31" s="380" t="str">
        <f>Настройки!U31</f>
        <v>out29</v>
      </c>
      <c r="AK31" s="380" t="str">
        <f>Настройки!V31</f>
        <v>-</v>
      </c>
      <c r="AL31" s="380" t="str">
        <f>Настройки!W31</f>
        <v>-</v>
      </c>
      <c r="AM31" s="380" t="str">
        <f>Настройки!X31</f>
        <v>-</v>
      </c>
      <c r="AN31" s="380" t="str">
        <f>Настройки!Y31</f>
        <v>-</v>
      </c>
      <c r="AO31" s="380" t="str">
        <f>Настройки!Z31</f>
        <v>-</v>
      </c>
      <c r="AP31" s="380" t="str">
        <f>Настройки!AA31</f>
        <v>Canal_30</v>
      </c>
      <c r="AQ31" s="380" t="str">
        <f>Настройки!AB31</f>
        <v>Canal_30</v>
      </c>
      <c r="AR31" s="380" t="str">
        <f>Настройки!AC31</f>
        <v>-</v>
      </c>
      <c r="AS31" s="380" t="str">
        <f>Настройки!AD31</f>
        <v>-</v>
      </c>
      <c r="AT31" s="207" t="str">
        <f>Настройки!AB31</f>
        <v>Canal_30</v>
      </c>
      <c r="AU31" s="207" t="str">
        <f>Настройки!AC31</f>
        <v>-</v>
      </c>
      <c r="AV31" s="207" t="str">
        <f>Настройки!AD31</f>
        <v>-</v>
      </c>
      <c r="AW31" s="207" t="str">
        <f>Настройки!AE31</f>
        <v>-</v>
      </c>
      <c r="AX31" s="207" t="str">
        <f>Настройки!AF31</f>
        <v>IDIG_8_2</v>
      </c>
      <c r="AY31" s="207" t="str">
        <f>Настройки!AG31</f>
        <v>Canal_30</v>
      </c>
      <c r="AZ31" s="207" t="str">
        <f>Настройки!AH31</f>
        <v>Canal_30</v>
      </c>
      <c r="BA31" s="207" t="str">
        <f>Настройки!AI31</f>
        <v>Canal_30</v>
      </c>
      <c r="BB31" s="207" t="str">
        <f>Настройки!AJ31</f>
        <v>-</v>
      </c>
      <c r="BC31" s="207" t="str">
        <f>Настройки!AK31</f>
        <v>-</v>
      </c>
      <c r="BD31" s="207" t="str">
        <f>Настройки!AL31</f>
        <v>Canal_30</v>
      </c>
      <c r="BE31" s="207" t="str">
        <f>Настройки!AM31</f>
        <v>-</v>
      </c>
    </row>
    <row r="32" spans="1:57">
      <c r="A32" s="82"/>
      <c r="B32" s="82"/>
      <c r="C32" s="81"/>
      <c r="D32" s="81"/>
      <c r="E32" s="81"/>
      <c r="F32" s="81"/>
      <c r="G32" s="445"/>
      <c r="H32" s="445"/>
      <c r="I32" s="1"/>
      <c r="M32" s="424" t="str">
        <f>'Конфигурация TREI'!A33</f>
        <v>BR31</v>
      </c>
      <c r="N32" s="424" t="str">
        <f>'Конфигурация TREI'!B33</f>
        <v>M558D</v>
      </c>
      <c r="AE32" s="428">
        <f>Настройки!P32</f>
        <v>31</v>
      </c>
      <c r="AF32" s="380">
        <f>Настройки!Q32</f>
        <v>0</v>
      </c>
      <c r="AG32" s="380" t="str">
        <f>Настройки!R32</f>
        <v>-</v>
      </c>
      <c r="AH32" s="380" t="str">
        <f>Настройки!S32</f>
        <v>-</v>
      </c>
      <c r="AI32" s="380" t="str">
        <f>Настройки!T32</f>
        <v>out30</v>
      </c>
      <c r="AJ32" s="380" t="str">
        <f>Настройки!U32</f>
        <v>out30</v>
      </c>
      <c r="AK32" s="380" t="str">
        <f>Настройки!V32</f>
        <v>-</v>
      </c>
      <c r="AL32" s="380" t="str">
        <f>Настройки!W32</f>
        <v>-</v>
      </c>
      <c r="AM32" s="380" t="str">
        <f>Настройки!X32</f>
        <v>-</v>
      </c>
      <c r="AN32" s="380" t="str">
        <f>Настройки!Y32</f>
        <v>-</v>
      </c>
      <c r="AO32" s="380" t="str">
        <f>Настройки!Z32</f>
        <v>-</v>
      </c>
      <c r="AP32" s="380" t="str">
        <f>Настройки!AA32</f>
        <v>Canal_31</v>
      </c>
      <c r="AQ32" s="380" t="str">
        <f>Настройки!AB32</f>
        <v>Canal_31</v>
      </c>
      <c r="AR32" s="380" t="str">
        <f>Настройки!AC32</f>
        <v>-</v>
      </c>
      <c r="AS32" s="380" t="str">
        <f>Настройки!AD32</f>
        <v>-</v>
      </c>
      <c r="AT32" s="207" t="str">
        <f>Настройки!AB32</f>
        <v>Canal_31</v>
      </c>
      <c r="AU32" s="207" t="str">
        <f>Настройки!AC32</f>
        <v>-</v>
      </c>
      <c r="AV32" s="207" t="str">
        <f>Настройки!AD32</f>
        <v>-</v>
      </c>
      <c r="AW32" s="207" t="str">
        <f>Настройки!AE32</f>
        <v>-</v>
      </c>
      <c r="AX32" s="207" t="str">
        <f>Настройки!AF32</f>
        <v>IDIG_8_3</v>
      </c>
      <c r="AY32" s="207" t="str">
        <f>Настройки!AG32</f>
        <v>Canal_31</v>
      </c>
      <c r="AZ32" s="207" t="str">
        <f>Настройки!AH32</f>
        <v>Canal_31</v>
      </c>
      <c r="BA32" s="207" t="str">
        <f>Настройки!AI32</f>
        <v>Canal_31</v>
      </c>
      <c r="BB32" s="207" t="str">
        <f>Настройки!AJ32</f>
        <v>-</v>
      </c>
      <c r="BC32" s="207" t="str">
        <f>Настройки!AK32</f>
        <v>-</v>
      </c>
      <c r="BD32" s="207" t="str">
        <f>Настройки!AL32</f>
        <v>Canal_31</v>
      </c>
      <c r="BE32" s="207" t="str">
        <f>Настройки!AM32</f>
        <v>-</v>
      </c>
    </row>
    <row r="33" spans="1:57">
      <c r="A33" s="82"/>
      <c r="B33" s="82"/>
      <c r="C33" s="81"/>
      <c r="D33" s="81"/>
      <c r="E33" s="81"/>
      <c r="F33" s="81"/>
      <c r="G33" s="445"/>
      <c r="H33" s="445"/>
      <c r="I33" s="1"/>
      <c r="M33" s="424" t="str">
        <f>'Конфигурация TREI'!A34</f>
        <v>BR32</v>
      </c>
      <c r="N33" s="424" t="str">
        <f>'Конфигурация TREI'!B34</f>
        <v>M558D</v>
      </c>
      <c r="AE33" s="620">
        <f>Настройки!P33</f>
        <v>32</v>
      </c>
      <c r="AF33" s="621">
        <f>Настройки!Q33</f>
        <v>0</v>
      </c>
      <c r="AG33" s="621" t="str">
        <f>Настройки!R33</f>
        <v>-</v>
      </c>
      <c r="AH33" s="621" t="str">
        <f>Настройки!S33</f>
        <v>-</v>
      </c>
      <c r="AI33" s="621" t="str">
        <f>Настройки!T33</f>
        <v>out31</v>
      </c>
      <c r="AJ33" s="621" t="str">
        <f>Настройки!U33</f>
        <v>out31</v>
      </c>
      <c r="AK33" s="621" t="str">
        <f>Настройки!V33</f>
        <v>-</v>
      </c>
      <c r="AL33" s="621" t="str">
        <f>Настройки!W33</f>
        <v>-</v>
      </c>
      <c r="AM33" s="621" t="str">
        <f>Настройки!X33</f>
        <v>-</v>
      </c>
      <c r="AN33" s="621" t="str">
        <f>Настройки!Y33</f>
        <v>-</v>
      </c>
      <c r="AO33" s="621" t="str">
        <f>Настройки!Z33</f>
        <v>-</v>
      </c>
      <c r="AP33" s="621" t="str">
        <f>Настройки!AA33</f>
        <v>Canal_32</v>
      </c>
      <c r="AQ33" s="621" t="str">
        <f>Настройки!AB33</f>
        <v>Canal_32</v>
      </c>
      <c r="AR33" s="621" t="str">
        <f>Настройки!AC33</f>
        <v>-</v>
      </c>
      <c r="AS33" s="621" t="str">
        <f>Настройки!AD33</f>
        <v>-</v>
      </c>
      <c r="AT33" s="622" t="str">
        <f>Настройки!AB33</f>
        <v>Canal_32</v>
      </c>
      <c r="AU33" s="622" t="str">
        <f>Настройки!AC33</f>
        <v>-</v>
      </c>
      <c r="AV33" s="622" t="str">
        <f>Настройки!AD33</f>
        <v>-</v>
      </c>
      <c r="AW33" s="622" t="str">
        <f>Настройки!AE33</f>
        <v>-</v>
      </c>
      <c r="AX33" s="622" t="str">
        <f>Настройки!AF33</f>
        <v>IDIG_8_4</v>
      </c>
      <c r="AY33" s="622" t="str">
        <f>Настройки!AG33</f>
        <v>Canal_32</v>
      </c>
      <c r="AZ33" s="622" t="str">
        <f>Настройки!AH33</f>
        <v>Canal_32</v>
      </c>
      <c r="BA33" s="622" t="str">
        <f>Настройки!AI33</f>
        <v>Canal_32</v>
      </c>
      <c r="BB33" s="622" t="str">
        <f>Настройки!AJ33</f>
        <v>-</v>
      </c>
      <c r="BC33" s="622" t="str">
        <f>Настройки!AK33</f>
        <v>-</v>
      </c>
      <c r="BD33" s="622" t="str">
        <f>Настройки!AL33</f>
        <v>Canal_32</v>
      </c>
      <c r="BE33" s="622" t="str">
        <f>Настройки!AM33</f>
        <v>-</v>
      </c>
    </row>
    <row r="34" spans="1:57">
      <c r="A34" s="82"/>
      <c r="B34" s="82"/>
      <c r="C34" s="81"/>
      <c r="D34" s="81"/>
      <c r="E34" s="81"/>
      <c r="F34" s="81"/>
      <c r="G34" s="445"/>
      <c r="H34" s="445"/>
      <c r="I34" s="1"/>
      <c r="M34" s="424" t="str">
        <f>'Конфигурация TREI'!A35</f>
        <v>BR33</v>
      </c>
      <c r="N34" s="424" t="str">
        <f>'Конфигурация TREI'!B35</f>
        <v>M558D</v>
      </c>
      <c r="AE34" s="624"/>
      <c r="AF34" s="624"/>
      <c r="AG34" s="624"/>
      <c r="AH34" s="624"/>
      <c r="AI34" s="624"/>
      <c r="AJ34" s="624"/>
      <c r="AK34" s="624"/>
      <c r="AL34" s="624"/>
      <c r="AM34" s="624"/>
      <c r="AN34" s="624"/>
      <c r="AO34" s="624"/>
      <c r="AP34" s="624"/>
      <c r="AQ34" s="624"/>
      <c r="AR34" s="624"/>
      <c r="AS34" s="624"/>
      <c r="AT34" s="625"/>
      <c r="AU34" s="625"/>
      <c r="AV34" s="625"/>
      <c r="AW34" s="625"/>
      <c r="AX34" s="625"/>
      <c r="AY34" s="625"/>
      <c r="AZ34" s="625"/>
      <c r="BA34" s="625"/>
      <c r="BB34" s="625"/>
      <c r="BC34" s="625"/>
      <c r="BD34" s="625"/>
      <c r="BE34" s="625"/>
    </row>
    <row r="35" spans="1:57">
      <c r="A35" s="82"/>
      <c r="B35" s="82"/>
      <c r="C35" s="81"/>
      <c r="D35" s="81"/>
      <c r="E35" s="81"/>
      <c r="F35" s="81"/>
      <c r="G35" s="445"/>
      <c r="H35" s="445"/>
      <c r="I35" s="1"/>
      <c r="M35" s="424" t="str">
        <f>'Конфигурация TREI'!A36</f>
        <v>BR34</v>
      </c>
      <c r="N35" s="424" t="str">
        <f>'Конфигурация TREI'!B36</f>
        <v>M558D</v>
      </c>
      <c r="AE35" s="505"/>
      <c r="AF35" s="505"/>
      <c r="AG35" s="505"/>
      <c r="AH35" s="505"/>
      <c r="AI35" s="505"/>
      <c r="AJ35" s="505"/>
      <c r="AK35" s="505"/>
      <c r="AL35" s="505"/>
      <c r="AM35" s="505"/>
      <c r="AN35" s="505"/>
      <c r="AO35" s="505"/>
      <c r="AP35" s="505"/>
      <c r="AQ35" s="505"/>
      <c r="AR35" s="505"/>
      <c r="AS35" s="505"/>
      <c r="AT35" s="623"/>
      <c r="AU35" s="623"/>
      <c r="AV35" s="623"/>
      <c r="AW35" s="623"/>
      <c r="AX35" s="623"/>
      <c r="AY35" s="623"/>
      <c r="AZ35" s="623"/>
      <c r="BA35" s="623"/>
      <c r="BB35" s="623"/>
      <c r="BC35" s="623"/>
      <c r="BD35" s="623"/>
      <c r="BE35" s="623"/>
    </row>
    <row r="36" spans="1:57">
      <c r="A36" s="82"/>
      <c r="B36" s="82"/>
      <c r="C36" s="81"/>
      <c r="D36" s="81"/>
      <c r="E36" s="81"/>
      <c r="F36" s="81"/>
      <c r="G36" s="445"/>
      <c r="H36" s="445"/>
      <c r="I36" s="1"/>
      <c r="M36" s="424" t="str">
        <f>'Конфигурация TREI'!A37</f>
        <v>BR35</v>
      </c>
      <c r="N36" s="424" t="str">
        <f>'Конфигурация TREI'!B37</f>
        <v>M558D</v>
      </c>
      <c r="AE36" s="505"/>
      <c r="AF36" s="505"/>
      <c r="AG36" s="505"/>
      <c r="AH36" s="505"/>
      <c r="AI36" s="505"/>
      <c r="AJ36" s="505"/>
      <c r="AK36" s="505"/>
      <c r="AL36" s="505"/>
      <c r="AM36" s="505"/>
      <c r="AN36" s="505"/>
      <c r="AO36" s="505"/>
      <c r="AP36" s="505"/>
      <c r="AQ36" s="505"/>
      <c r="AR36" s="505"/>
      <c r="AS36" s="505"/>
      <c r="AT36" s="623"/>
      <c r="AU36" s="623"/>
      <c r="AV36" s="623"/>
      <c r="AW36" s="623"/>
      <c r="AX36" s="623"/>
      <c r="AY36" s="623"/>
      <c r="AZ36" s="623"/>
      <c r="BA36" s="623"/>
      <c r="BB36" s="623"/>
      <c r="BC36" s="623"/>
      <c r="BD36" s="623"/>
      <c r="BE36" s="623"/>
    </row>
    <row r="37" spans="1:57" ht="15.75" customHeight="1">
      <c r="A37" s="82"/>
      <c r="B37" s="82"/>
      <c r="C37" s="81"/>
      <c r="D37" s="81"/>
      <c r="E37" s="81"/>
      <c r="F37" s="81"/>
      <c r="G37" s="445"/>
      <c r="H37" s="445"/>
      <c r="I37" s="1"/>
      <c r="M37" s="424" t="str">
        <f>'Конфигурация TREI'!A38</f>
        <v>BR36</v>
      </c>
      <c r="N37" s="424">
        <f>'Конфигурация TREI'!B38</f>
        <v>0</v>
      </c>
      <c r="AE37" s="505"/>
      <c r="AF37" s="505"/>
      <c r="AG37" s="505"/>
      <c r="AH37" s="505"/>
      <c r="AI37" s="505"/>
      <c r="AJ37" s="505"/>
      <c r="AK37" s="505"/>
      <c r="AL37" s="505"/>
      <c r="AM37" s="505"/>
      <c r="AN37" s="505"/>
      <c r="AO37" s="505"/>
      <c r="AP37" s="505"/>
      <c r="AQ37" s="505"/>
      <c r="AR37" s="505"/>
      <c r="AS37" s="505"/>
      <c r="AT37" s="623"/>
      <c r="AU37" s="623"/>
      <c r="AV37" s="623"/>
      <c r="AW37" s="623"/>
      <c r="AX37" s="623"/>
      <c r="AY37" s="623"/>
      <c r="AZ37" s="623"/>
      <c r="BA37" s="623"/>
      <c r="BB37" s="623"/>
      <c r="BC37" s="623"/>
      <c r="BD37" s="623"/>
      <c r="BE37" s="623"/>
    </row>
    <row r="38" spans="1:57">
      <c r="A38" s="82"/>
      <c r="B38" s="82"/>
      <c r="C38" s="81"/>
      <c r="D38" s="81"/>
      <c r="E38" s="81"/>
      <c r="F38" s="81"/>
      <c r="G38" s="445"/>
      <c r="H38" s="445"/>
      <c r="I38" s="1"/>
      <c r="M38" s="424" t="str">
        <f>'Конфигурация TREI'!A39</f>
        <v>BR37</v>
      </c>
      <c r="N38" s="424">
        <f>'Конфигурация TREI'!B39</f>
        <v>0</v>
      </c>
      <c r="AE38" s="505"/>
      <c r="AF38" s="505"/>
      <c r="AG38" s="505"/>
      <c r="AH38" s="505"/>
      <c r="AI38" s="505"/>
      <c r="AJ38" s="505"/>
      <c r="AK38" s="505"/>
      <c r="AL38" s="505"/>
      <c r="AM38" s="505"/>
      <c r="AN38" s="505"/>
      <c r="AO38" s="505"/>
      <c r="AP38" s="505"/>
      <c r="AQ38" s="505"/>
      <c r="AR38" s="505"/>
      <c r="AS38" s="505"/>
      <c r="AT38" s="623"/>
      <c r="AU38" s="623"/>
      <c r="AV38" s="623"/>
      <c r="AW38" s="623"/>
      <c r="AX38" s="623"/>
      <c r="AY38" s="623"/>
      <c r="AZ38" s="623"/>
      <c r="BA38" s="623"/>
      <c r="BB38" s="623"/>
      <c r="BC38" s="623"/>
      <c r="BD38" s="623"/>
      <c r="BE38" s="623"/>
    </row>
    <row r="39" spans="1:57">
      <c r="A39" s="82"/>
      <c r="B39" s="82"/>
      <c r="C39" s="81"/>
      <c r="D39" s="81"/>
      <c r="E39" s="81"/>
      <c r="F39" s="81"/>
      <c r="G39" s="445"/>
      <c r="H39" s="445"/>
      <c r="I39" s="1"/>
      <c r="M39" s="424" t="str">
        <f>'Конфигурация TREI'!A40</f>
        <v>BR38</v>
      </c>
      <c r="N39" s="424">
        <f>'Конфигурация TREI'!B40</f>
        <v>0</v>
      </c>
      <c r="AE39" s="505"/>
      <c r="AF39" s="505"/>
      <c r="AG39" s="505"/>
      <c r="AH39" s="505"/>
      <c r="AI39" s="505"/>
      <c r="AJ39" s="505"/>
      <c r="AK39" s="505"/>
      <c r="AL39" s="505"/>
      <c r="AM39" s="505"/>
      <c r="AN39" s="505"/>
      <c r="AO39" s="505"/>
      <c r="AP39" s="505"/>
      <c r="AQ39" s="505"/>
      <c r="AR39" s="505"/>
      <c r="AS39" s="505"/>
      <c r="AT39" s="623"/>
      <c r="AU39" s="623"/>
      <c r="AV39" s="623"/>
      <c r="AW39" s="623"/>
      <c r="AX39" s="623"/>
      <c r="AY39" s="623"/>
      <c r="AZ39" s="623"/>
      <c r="BA39" s="623"/>
      <c r="BB39" s="623"/>
      <c r="BC39" s="623"/>
      <c r="BD39" s="623"/>
      <c r="BE39" s="623"/>
    </row>
    <row r="40" spans="1:57">
      <c r="A40" s="82"/>
      <c r="B40" s="82"/>
      <c r="C40" s="81"/>
      <c r="D40" s="81"/>
      <c r="E40" s="81"/>
      <c r="F40" s="81"/>
      <c r="G40" s="445"/>
      <c r="H40" s="445"/>
      <c r="I40" s="1"/>
      <c r="M40" s="424" t="str">
        <f>'Конфигурация TREI'!A41</f>
        <v>BR39</v>
      </c>
      <c r="N40" s="424">
        <f>'Конфигурация TREI'!B41</f>
        <v>0</v>
      </c>
      <c r="AE40" s="505"/>
      <c r="AF40" s="505"/>
      <c r="AG40" s="505"/>
      <c r="AH40" s="505"/>
      <c r="AI40" s="505"/>
      <c r="AJ40" s="505"/>
      <c r="AK40" s="505"/>
      <c r="AL40" s="505"/>
      <c r="AM40" s="505"/>
      <c r="AN40" s="505"/>
      <c r="AO40" s="505"/>
      <c r="AP40" s="505"/>
      <c r="AQ40" s="505"/>
      <c r="AR40" s="505"/>
      <c r="AS40" s="505"/>
      <c r="AT40" s="623"/>
      <c r="AU40" s="623"/>
      <c r="AV40" s="623"/>
      <c r="AW40" s="623"/>
      <c r="AX40" s="623"/>
      <c r="AY40" s="623"/>
      <c r="AZ40" s="623"/>
      <c r="BA40" s="623"/>
      <c r="BB40" s="623"/>
      <c r="BC40" s="623"/>
      <c r="BD40" s="623"/>
      <c r="BE40" s="623"/>
    </row>
    <row r="41" spans="1:57">
      <c r="A41" s="82"/>
      <c r="B41" s="82"/>
      <c r="C41" s="81"/>
      <c r="D41" s="81"/>
      <c r="E41" s="81"/>
      <c r="F41" s="81"/>
      <c r="G41" s="445"/>
      <c r="H41" s="445"/>
      <c r="I41" s="1"/>
      <c r="M41" s="424" t="str">
        <f>'Конфигурация TREI'!A42</f>
        <v>BR40</v>
      </c>
      <c r="N41" s="424">
        <f>'Конфигурация TREI'!B42</f>
        <v>0</v>
      </c>
      <c r="AE41" s="505"/>
      <c r="AF41" s="505"/>
      <c r="AG41" s="505"/>
      <c r="AH41" s="505"/>
      <c r="AI41" s="505"/>
      <c r="AJ41" s="505"/>
      <c r="AK41" s="505"/>
      <c r="AL41" s="505"/>
      <c r="AM41" s="505"/>
      <c r="AN41" s="505"/>
      <c r="AO41" s="505"/>
      <c r="AP41" s="505"/>
      <c r="AQ41" s="505"/>
      <c r="AR41" s="505"/>
      <c r="AS41" s="505"/>
      <c r="AT41" s="623"/>
      <c r="AU41" s="623"/>
      <c r="AV41" s="623"/>
      <c r="AW41" s="623"/>
      <c r="AX41" s="623"/>
      <c r="AY41" s="623"/>
      <c r="AZ41" s="623"/>
      <c r="BA41" s="623"/>
      <c r="BB41" s="623"/>
      <c r="BC41" s="623"/>
      <c r="BD41" s="623"/>
      <c r="BE41" s="623"/>
    </row>
    <row r="42" spans="1:57">
      <c r="A42" s="82"/>
      <c r="B42" s="82"/>
      <c r="C42" s="81"/>
      <c r="D42" s="81"/>
      <c r="E42" s="81"/>
      <c r="F42" s="81"/>
      <c r="G42" s="445"/>
      <c r="H42" s="445"/>
      <c r="I42" s="1"/>
      <c r="M42" s="424" t="str">
        <f>'Конфигурация TREI'!A43</f>
        <v>BR41</v>
      </c>
      <c r="N42" s="424">
        <f>'Конфигурация TREI'!B43</f>
        <v>0</v>
      </c>
      <c r="AE42" s="505"/>
      <c r="AF42" s="505"/>
      <c r="AG42" s="505"/>
      <c r="AH42" s="505"/>
      <c r="AI42" s="505"/>
      <c r="AJ42" s="505"/>
      <c r="AK42" s="505"/>
      <c r="AL42" s="505"/>
      <c r="AM42" s="505"/>
      <c r="AN42" s="505"/>
      <c r="AO42" s="505"/>
      <c r="AP42" s="505"/>
      <c r="AQ42" s="505"/>
      <c r="AR42" s="505"/>
      <c r="AS42" s="505"/>
      <c r="AT42" s="623"/>
      <c r="AU42" s="623"/>
      <c r="AV42" s="623"/>
      <c r="AW42" s="623"/>
      <c r="AX42" s="623"/>
      <c r="AY42" s="623"/>
      <c r="AZ42" s="623"/>
      <c r="BA42" s="623"/>
      <c r="BB42" s="623"/>
      <c r="BC42" s="623"/>
      <c r="BD42" s="623"/>
      <c r="BE42" s="623"/>
    </row>
    <row r="43" spans="1:57">
      <c r="A43" s="82"/>
      <c r="B43" s="82"/>
      <c r="C43" s="81"/>
      <c r="D43" s="81"/>
      <c r="E43" s="81"/>
      <c r="F43" s="81"/>
      <c r="G43" s="445"/>
      <c r="H43" s="445"/>
      <c r="I43" s="1"/>
      <c r="M43" s="424" t="str">
        <f>'Конфигурация TREI'!A44</f>
        <v>BR42</v>
      </c>
      <c r="N43" s="424">
        <f>'Конфигурация TREI'!B44</f>
        <v>0</v>
      </c>
      <c r="AE43" s="505"/>
      <c r="AF43" s="505"/>
      <c r="AG43" s="505"/>
      <c r="AH43" s="505"/>
      <c r="AI43" s="505"/>
      <c r="AJ43" s="505"/>
      <c r="AK43" s="505"/>
      <c r="AL43" s="505"/>
      <c r="AM43" s="505"/>
      <c r="AN43" s="505"/>
      <c r="AO43" s="505"/>
      <c r="AP43" s="505"/>
      <c r="AQ43" s="505"/>
      <c r="AR43" s="505"/>
      <c r="AS43" s="505"/>
      <c r="AT43" s="623"/>
      <c r="AU43" s="623"/>
      <c r="AV43" s="623"/>
      <c r="AW43" s="623"/>
      <c r="AX43" s="623"/>
      <c r="AY43" s="623"/>
      <c r="AZ43" s="623"/>
      <c r="BA43" s="623"/>
      <c r="BB43" s="623"/>
      <c r="BC43" s="623"/>
      <c r="BD43" s="623"/>
      <c r="BE43" s="623"/>
    </row>
    <row r="44" spans="1:57">
      <c r="A44" s="82"/>
      <c r="B44" s="82"/>
      <c r="C44" s="81"/>
      <c r="D44" s="81"/>
      <c r="E44" s="81"/>
      <c r="F44" s="81"/>
      <c r="G44" s="445"/>
      <c r="H44" s="445"/>
      <c r="I44" s="1"/>
      <c r="M44" s="424" t="str">
        <f>'Конфигурация TREI'!A45</f>
        <v>BR43</v>
      </c>
      <c r="N44" s="424">
        <f>'Конфигурация TREI'!B45</f>
        <v>0</v>
      </c>
      <c r="AE44" s="505"/>
      <c r="AF44" s="505"/>
      <c r="AG44" s="505"/>
      <c r="AH44" s="505"/>
      <c r="AI44" s="505"/>
      <c r="AJ44" s="505"/>
      <c r="AK44" s="505"/>
      <c r="AL44" s="505"/>
      <c r="AM44" s="505"/>
      <c r="AN44" s="505"/>
      <c r="AO44" s="505"/>
      <c r="AP44" s="505"/>
      <c r="AQ44" s="505"/>
      <c r="AR44" s="505"/>
      <c r="AS44" s="505"/>
      <c r="AT44" s="623"/>
      <c r="AU44" s="623"/>
      <c r="AV44" s="623"/>
      <c r="AW44" s="623"/>
      <c r="AX44" s="623"/>
      <c r="AY44" s="623"/>
      <c r="AZ44" s="623"/>
      <c r="BA44" s="623"/>
      <c r="BB44" s="623"/>
      <c r="BC44" s="623"/>
      <c r="BD44" s="623"/>
      <c r="BE44" s="623"/>
    </row>
    <row r="45" spans="1:57">
      <c r="A45" s="82"/>
      <c r="B45" s="82"/>
      <c r="C45" s="81"/>
      <c r="D45" s="81"/>
      <c r="E45" s="81"/>
      <c r="F45" s="81"/>
      <c r="G45" s="445"/>
      <c r="H45" s="445"/>
      <c r="I45" s="1"/>
      <c r="M45" s="424" t="str">
        <f>'Конфигурация TREI'!A46</f>
        <v>BR44</v>
      </c>
      <c r="N45" s="424">
        <f>'Конфигурация TREI'!B46</f>
        <v>0</v>
      </c>
      <c r="AE45" s="505"/>
      <c r="AF45" s="505"/>
      <c r="AG45" s="505"/>
      <c r="AH45" s="505"/>
      <c r="AI45" s="505"/>
      <c r="AJ45" s="505"/>
      <c r="AK45" s="505"/>
      <c r="AL45" s="505"/>
      <c r="AM45" s="505"/>
      <c r="AN45" s="505"/>
      <c r="AO45" s="505"/>
      <c r="AP45" s="505"/>
      <c r="AQ45" s="505"/>
      <c r="AR45" s="505"/>
      <c r="AS45" s="505"/>
      <c r="AT45" s="623"/>
      <c r="AU45" s="623"/>
      <c r="AV45" s="623"/>
      <c r="AW45" s="623"/>
      <c r="AX45" s="623"/>
      <c r="AY45" s="623"/>
      <c r="AZ45" s="623"/>
      <c r="BA45" s="623"/>
      <c r="BB45" s="623"/>
      <c r="BC45" s="623"/>
      <c r="BD45" s="623"/>
      <c r="BE45" s="623"/>
    </row>
    <row r="46" spans="1:57">
      <c r="A46" s="82"/>
      <c r="B46" s="82"/>
      <c r="C46" s="81"/>
      <c r="D46" s="81"/>
      <c r="E46" s="81"/>
      <c r="F46" s="81"/>
      <c r="G46" s="445"/>
      <c r="H46" s="445"/>
      <c r="I46" s="1"/>
      <c r="M46" s="424" t="str">
        <f>'Конфигурация TREI'!A47</f>
        <v>BR45</v>
      </c>
      <c r="N46" s="424">
        <f>'Конфигурация TREI'!B47</f>
        <v>0</v>
      </c>
      <c r="AE46" s="505"/>
      <c r="AF46" s="505"/>
      <c r="AG46" s="505"/>
      <c r="AH46" s="505"/>
      <c r="AI46" s="505"/>
      <c r="AJ46" s="505"/>
      <c r="AK46" s="505"/>
      <c r="AL46" s="505"/>
      <c r="AM46" s="505"/>
      <c r="AN46" s="505"/>
      <c r="AO46" s="505"/>
      <c r="AP46" s="505"/>
      <c r="AQ46" s="505"/>
      <c r="AR46" s="505"/>
      <c r="AS46" s="505"/>
      <c r="AT46" s="623"/>
      <c r="AU46" s="623"/>
      <c r="AV46" s="623"/>
      <c r="AW46" s="623"/>
      <c r="AX46" s="623"/>
      <c r="AY46" s="623"/>
      <c r="AZ46" s="623"/>
      <c r="BA46" s="623"/>
      <c r="BB46" s="623"/>
      <c r="BC46" s="623"/>
      <c r="BD46" s="623"/>
      <c r="BE46" s="623"/>
    </row>
    <row r="47" spans="1:57">
      <c r="A47" s="82"/>
      <c r="B47" s="82"/>
      <c r="C47" s="81"/>
      <c r="D47" s="81"/>
      <c r="E47" s="81"/>
      <c r="F47" s="81"/>
      <c r="G47" s="445"/>
      <c r="H47" s="445"/>
      <c r="I47" s="1"/>
      <c r="M47" s="424" t="str">
        <f>'Конфигурация TREI'!A48</f>
        <v>BR46</v>
      </c>
      <c r="N47" s="424">
        <f>'Конфигурация TREI'!B48</f>
        <v>0</v>
      </c>
      <c r="AE47" s="505"/>
      <c r="AF47" s="505"/>
      <c r="AG47" s="505"/>
      <c r="AH47" s="505"/>
      <c r="AI47" s="505"/>
      <c r="AJ47" s="505"/>
      <c r="AK47" s="505"/>
      <c r="AL47" s="505"/>
      <c r="AM47" s="505"/>
      <c r="AN47" s="505"/>
      <c r="AO47" s="505"/>
      <c r="AP47" s="505"/>
      <c r="AQ47" s="505"/>
      <c r="AR47" s="505"/>
      <c r="AS47" s="505"/>
      <c r="AT47" s="623"/>
      <c r="AU47" s="623"/>
      <c r="AV47" s="623"/>
      <c r="AW47" s="623"/>
      <c r="AX47" s="623"/>
      <c r="AY47" s="623"/>
      <c r="AZ47" s="623"/>
      <c r="BA47" s="623"/>
      <c r="BB47" s="623"/>
      <c r="BC47" s="623"/>
      <c r="BD47" s="623"/>
      <c r="BE47" s="623"/>
    </row>
    <row r="48" spans="1:57">
      <c r="A48" s="82"/>
      <c r="B48" s="82"/>
      <c r="C48" s="81"/>
      <c r="D48" s="81"/>
      <c r="E48" s="81"/>
      <c r="F48" s="81"/>
      <c r="G48" s="445"/>
      <c r="H48" s="445"/>
      <c r="I48" s="1"/>
      <c r="M48" s="424" t="str">
        <f>'Конфигурация TREI'!A49</f>
        <v>BR47</v>
      </c>
      <c r="N48" s="424">
        <f>'Конфигурация TREI'!B49</f>
        <v>0</v>
      </c>
      <c r="AE48" s="505"/>
      <c r="AF48" s="505"/>
      <c r="AG48" s="505"/>
      <c r="AH48" s="505"/>
      <c r="AI48" s="505"/>
      <c r="AJ48" s="505"/>
      <c r="AK48" s="505"/>
      <c r="AL48" s="505"/>
      <c r="AM48" s="505"/>
      <c r="AN48" s="505"/>
      <c r="AO48" s="505"/>
      <c r="AP48" s="505"/>
      <c r="AQ48" s="505"/>
      <c r="AR48" s="505"/>
      <c r="AS48" s="505"/>
      <c r="AT48" s="623"/>
      <c r="AU48" s="623"/>
      <c r="AV48" s="623"/>
      <c r="AW48" s="623"/>
      <c r="AX48" s="623"/>
      <c r="AY48" s="623"/>
      <c r="AZ48" s="623"/>
      <c r="BA48" s="623"/>
      <c r="BB48" s="623"/>
      <c r="BC48" s="623"/>
      <c r="BD48" s="623"/>
      <c r="BE48" s="623"/>
    </row>
    <row r="49" spans="1:57">
      <c r="A49" s="1"/>
      <c r="B49" s="1"/>
      <c r="C49" s="465"/>
      <c r="D49" s="465"/>
      <c r="E49" s="465"/>
      <c r="F49" s="1"/>
      <c r="G49" s="1"/>
      <c r="H49" s="1"/>
      <c r="I49" s="1"/>
      <c r="M49" s="424" t="str">
        <f>'Конфигурация TREI'!A50</f>
        <v>BR48</v>
      </c>
      <c r="N49" s="424">
        <f>'Конфигурация TREI'!B50</f>
        <v>0</v>
      </c>
      <c r="AE49" s="505"/>
      <c r="AF49" s="505"/>
      <c r="AG49" s="505"/>
      <c r="AH49" s="505"/>
      <c r="AI49" s="505"/>
      <c r="AJ49" s="505"/>
      <c r="AK49" s="505"/>
      <c r="AL49" s="505"/>
      <c r="AM49" s="505"/>
      <c r="AN49" s="505"/>
      <c r="AO49" s="505"/>
      <c r="AP49" s="505"/>
      <c r="AQ49" s="505"/>
      <c r="AR49" s="505"/>
      <c r="AS49" s="505"/>
      <c r="AT49" s="623"/>
      <c r="AU49" s="623"/>
      <c r="AV49" s="623"/>
      <c r="AW49" s="623"/>
      <c r="AX49" s="623"/>
      <c r="AY49" s="623"/>
      <c r="AZ49" s="623"/>
      <c r="BA49" s="623"/>
      <c r="BB49" s="623"/>
      <c r="BC49" s="623"/>
      <c r="BD49" s="623"/>
      <c r="BE49" s="623"/>
    </row>
    <row r="50" spans="1:57" s="4" customFormat="1">
      <c r="A50" s="446" t="str">
        <f>"//*********** "&amp;Q2&amp;" ***********"</f>
        <v>//*********** Выключатель электрический без тележки ***********</v>
      </c>
      <c r="B50" s="446"/>
      <c r="C50" s="446"/>
      <c r="D50" s="446"/>
      <c r="E50" s="446"/>
      <c r="F50" s="446" t="s">
        <v>1031</v>
      </c>
      <c r="G50" s="489"/>
      <c r="H50" s="489"/>
      <c r="I50" s="490"/>
      <c r="J50" s="490" t="s">
        <v>1311</v>
      </c>
      <c r="K50" s="490" t="s">
        <v>1309</v>
      </c>
      <c r="L50" s="491" t="s">
        <v>1310</v>
      </c>
      <c r="M50" s="424" t="str">
        <f>'Конфигурация TREI'!A51</f>
        <v>BR49</v>
      </c>
      <c r="N50" s="424">
        <f>'Конфигурация TREI'!B51</f>
        <v>0</v>
      </c>
      <c r="R50" s="381"/>
      <c r="S50" s="381"/>
      <c r="T50" s="381"/>
      <c r="U50" s="381"/>
      <c r="V50" s="381"/>
      <c r="W50" s="381"/>
      <c r="X50" s="381"/>
      <c r="Y50" s="381"/>
      <c r="Z50" s="381"/>
      <c r="AA50" s="381"/>
      <c r="AB50" s="381"/>
      <c r="AC50" s="381"/>
      <c r="AD50" s="381"/>
      <c r="AE50" s="505"/>
      <c r="AF50" s="505"/>
      <c r="AG50" s="505"/>
      <c r="AH50" s="505"/>
      <c r="AI50" s="505"/>
      <c r="AJ50" s="505"/>
      <c r="AK50" s="505"/>
      <c r="AL50" s="505"/>
      <c r="AM50" s="505"/>
      <c r="AN50" s="505"/>
      <c r="AO50" s="505"/>
      <c r="AP50" s="505"/>
      <c r="AQ50" s="505"/>
      <c r="AR50" s="505"/>
      <c r="AS50" s="505"/>
      <c r="AT50" s="623"/>
      <c r="AU50" s="623"/>
      <c r="AV50" s="623"/>
      <c r="AW50" s="623"/>
      <c r="AX50" s="623"/>
      <c r="AY50" s="623"/>
      <c r="AZ50" s="623"/>
      <c r="BA50" s="623"/>
      <c r="BB50" s="623"/>
      <c r="BC50" s="623"/>
      <c r="BD50" s="623"/>
      <c r="BE50" s="623"/>
    </row>
    <row r="51" spans="1:57">
      <c r="A51" s="457"/>
      <c r="B51" s="457" t="s">
        <v>1213</v>
      </c>
      <c r="C51" s="455" t="str">
        <f>LEFT($L51,FIND("+",$L51,1)-1)</f>
        <v>2</v>
      </c>
      <c r="D51" s="455" t="s">
        <v>178</v>
      </c>
      <c r="E51" s="446" t="str">
        <f ca="1">IFERROR(IF(OR($I51="-", $H51="0"),"КАНАЛ ОТСУТСТВУЕТ",IF($I51=0,"МОДУЛЬ ОТСУТСТВУЕТ",IF(LEFT($I51,3)="out","УДАЛИТЬ",I51))),IF($K51=0,"УДАЛИТЬ","ОШИБКА ФОРМАТА"))</f>
        <v>Canal_12</v>
      </c>
      <c r="F51" s="455" t="str">
        <f>" :="&amp;IF(LEFT(SUBSTITUTE($K51," ",""),1)="!","NOT  ","")&amp;SUBSTITUTE($P$2,"\","|")&amp;"|"&amp; $J51 &amp;";"</f>
        <v xml:space="preserve"> :=ZRU_OL1|OXON;</v>
      </c>
      <c r="G51" s="445" t="str">
        <f>INDEX($N$2:$N$61,C51)</f>
        <v>M548A</v>
      </c>
      <c r="H51" s="445" t="str">
        <f>RIGHT($L51,LEN($L51)-FIND("+",$L51,1))</f>
        <v>12</v>
      </c>
      <c r="I51" s="460" t="str">
        <f ca="1">INDIRECT(ADDRESS($H51+1,MATCH($G51,$1:$1,),1))</f>
        <v>Canal_12</v>
      </c>
      <c r="J51" s="494" t="str">
        <f>$X$1</f>
        <v>OXON</v>
      </c>
      <c r="K51" s="495" t="str">
        <f>$X$2</f>
        <v>2+12</v>
      </c>
      <c r="L51" s="496" t="str">
        <f>$X$3</f>
        <v>2+12</v>
      </c>
      <c r="M51" s="424" t="str">
        <f>'Конфигурация TREI'!A52</f>
        <v>BR50</v>
      </c>
      <c r="N51" s="424">
        <f>'Конфигурация TREI'!B52</f>
        <v>0</v>
      </c>
      <c r="AE51" s="505"/>
      <c r="AF51" s="505"/>
      <c r="AG51" s="505"/>
      <c r="AH51" s="505"/>
      <c r="AI51" s="505"/>
      <c r="AJ51" s="505"/>
      <c r="AK51" s="505"/>
      <c r="AL51" s="505"/>
      <c r="AM51" s="505"/>
      <c r="AN51" s="505"/>
      <c r="AO51" s="505"/>
      <c r="AP51" s="505"/>
      <c r="AQ51" s="505"/>
      <c r="AR51" s="505"/>
      <c r="AS51" s="505"/>
      <c r="AT51" s="623"/>
      <c r="AU51" s="623"/>
      <c r="AV51" s="623"/>
      <c r="AW51" s="623"/>
      <c r="AX51" s="623"/>
      <c r="AY51" s="623"/>
      <c r="AZ51" s="623"/>
      <c r="BA51" s="623"/>
      <c r="BB51" s="623"/>
      <c r="BC51" s="623"/>
      <c r="BD51" s="623"/>
      <c r="BE51" s="623"/>
    </row>
    <row r="52" spans="1:57">
      <c r="A52" s="457"/>
      <c r="B52" s="457" t="s">
        <v>1213</v>
      </c>
      <c r="C52" s="455" t="str">
        <f>LEFT($L52,FIND("+",$L52,1)-1)</f>
        <v>2</v>
      </c>
      <c r="D52" s="455" t="s">
        <v>178</v>
      </c>
      <c r="E52" s="446" t="str">
        <f ca="1">IFERROR(IF(OR($I52="-", $H52="0"),"КАНАЛ ОТСУТСТВУЕТ",IF($I52=0,"МОДУЛЬ ОТСУТСТВУЕТ",IF(LEFT($I52,3)="out","УДАЛИТЬ",I52))),IF($K52=0,"УДАЛИТЬ","ОШИБКА ФОРМАТА"))</f>
        <v>Canal_13</v>
      </c>
      <c r="F52" s="455" t="str">
        <f>" :="&amp;IF(LEFT(SUBSTITUTE($K52," ",""),1)="!","NOT  ","")&amp;SUBSTITUTE($P$2,"\","|")&amp;"|"&amp; $J52 &amp;";"</f>
        <v xml:space="preserve"> :=ZRU_OL1|OXOF;</v>
      </c>
      <c r="G52" s="445" t="str">
        <f>INDEX($N$2:$N$61,C52)</f>
        <v>M548A</v>
      </c>
      <c r="H52" s="445" t="str">
        <f>RIGHT($L52,LEN($L52)-FIND("+",$L52,1))</f>
        <v>13</v>
      </c>
      <c r="I52" s="460" t="str">
        <f ca="1">INDIRECT(ADDRESS($H52+1,MATCH($G52,$1:$1,),1))</f>
        <v>Canal_13</v>
      </c>
      <c r="J52" s="497" t="str">
        <f xml:space="preserve"> $Y$1</f>
        <v>OXOF</v>
      </c>
      <c r="K52" s="492" t="str">
        <f>$Y$2</f>
        <v>2+13</v>
      </c>
      <c r="L52" s="498" t="str">
        <f>$Y$3</f>
        <v>2+13</v>
      </c>
      <c r="M52" s="424" t="str">
        <f>'Конфигурация TREI'!A53</f>
        <v>BR51</v>
      </c>
      <c r="N52" s="424">
        <f>'Конфигурация TREI'!B53</f>
        <v>0</v>
      </c>
      <c r="AE52" s="505"/>
      <c r="AF52" s="505"/>
      <c r="AG52" s="505"/>
      <c r="AH52" s="505"/>
      <c r="AI52" s="505"/>
      <c r="AJ52" s="505"/>
      <c r="AK52" s="505"/>
      <c r="AL52" s="505"/>
      <c r="AM52" s="505"/>
      <c r="AN52" s="505"/>
      <c r="AO52" s="505"/>
      <c r="AP52" s="505"/>
      <c r="AQ52" s="505"/>
      <c r="AR52" s="505"/>
      <c r="AS52" s="505"/>
      <c r="AT52" s="623"/>
      <c r="AU52" s="623"/>
      <c r="AV52" s="623"/>
      <c r="AW52" s="623"/>
      <c r="AX52" s="623"/>
      <c r="AY52" s="623"/>
      <c r="AZ52" s="623"/>
      <c r="BA52" s="623"/>
      <c r="BB52" s="623"/>
      <c r="BC52" s="623"/>
      <c r="BD52" s="623"/>
      <c r="BE52" s="623"/>
    </row>
    <row r="53" spans="1:57">
      <c r="A53" s="457"/>
      <c r="B53" s="457" t="s">
        <v>1213</v>
      </c>
      <c r="C53" s="455" t="str">
        <f>LEFT($L53,FIND("+",$L53,1)-1)</f>
        <v>2</v>
      </c>
      <c r="D53" s="455"/>
      <c r="E53" s="446" t="str">
        <f ca="1">IFERROR(IF(OR($I53="-", $H53="0"),"КАНАЛ ОТСУТСТВУЕТ",IF($I53=0,"МОДУЛЬ ОТСУТСТВУЕТ",IF(LEFT($I53,3)="out",".ODIG_MASK:=SETBIT("&amp;IF(LEFT(SUBSTITUTE($K53," ",""),1)="!","NOT  ","")&amp;SUBSTITUTE($P$2,"\","|")&amp;"|"&amp; $J53&amp;"@"&amp;REPLACE($I53,1,3,"")&amp;"@BR"&amp;$C53,"УДАЛИТЬ"))),"УДАЛИТЬ")</f>
        <v>УДАЛИТЬ</v>
      </c>
      <c r="F53" s="455" t="str">
        <f>".ODIG_MASK);"</f>
        <v>.ODIG_MASK);</v>
      </c>
      <c r="G53" s="445" t="str">
        <f>INDEX($N$2:$N$61,C53)</f>
        <v>M548A</v>
      </c>
      <c r="H53" s="445" t="str">
        <f>RIGHT($L53,LEN($L53)-FIND("+",$L53,1))</f>
        <v>12</v>
      </c>
      <c r="I53" s="460" t="str">
        <f ca="1">INDIRECT(ADDRESS($H53+1,MATCH($G53,$1:$1,),1))</f>
        <v>Canal_12</v>
      </c>
      <c r="J53" s="494" t="str">
        <f>$X$1</f>
        <v>OXON</v>
      </c>
      <c r="K53" s="495" t="str">
        <f>$X$2</f>
        <v>2+12</v>
      </c>
      <c r="L53" s="496" t="str">
        <f>$X$3</f>
        <v>2+12</v>
      </c>
      <c r="M53" s="424" t="str">
        <f>'Конфигурация TREI'!A54</f>
        <v>BR52</v>
      </c>
      <c r="N53" s="424">
        <f>'Конфигурация TREI'!B54</f>
        <v>0</v>
      </c>
      <c r="AE53" s="505"/>
      <c r="AF53" s="505"/>
      <c r="AG53" s="505"/>
      <c r="AH53" s="505"/>
      <c r="AI53" s="505"/>
      <c r="AJ53" s="505"/>
      <c r="AK53" s="505"/>
      <c r="AL53" s="505"/>
      <c r="AM53" s="505"/>
      <c r="AN53" s="505"/>
      <c r="AO53" s="505"/>
      <c r="AP53" s="505"/>
      <c r="AQ53" s="505"/>
      <c r="AR53" s="505"/>
      <c r="AS53" s="505"/>
      <c r="AT53" s="623"/>
      <c r="AU53" s="623"/>
      <c r="AV53" s="623"/>
      <c r="AW53" s="623"/>
      <c r="AX53" s="623"/>
      <c r="AY53" s="623"/>
      <c r="AZ53" s="623"/>
      <c r="BA53" s="623"/>
      <c r="BB53" s="623"/>
      <c r="BC53" s="623"/>
      <c r="BD53" s="623"/>
      <c r="BE53" s="623"/>
    </row>
    <row r="54" spans="1:57">
      <c r="A54" s="457"/>
      <c r="B54" s="457" t="s">
        <v>1213</v>
      </c>
      <c r="C54" s="455" t="str">
        <f>LEFT($L54,FIND("+",$L54,1)-1)</f>
        <v>2</v>
      </c>
      <c r="D54" s="455"/>
      <c r="E54" s="446" t="str">
        <f ca="1">IFERROR(IF(OR($I54="-", $H54="0"),"КАНАЛ ОТСУТСТВУЕТ",IF($I54=0,"МОДУЛЬ ОТСУТСТВУЕТ",IF(LEFT($I54,3)="out",".ODIG_MASK:=SETBIT("&amp;IF(LEFT(SUBSTITUTE($K54," ",""),1)="!","NOT  ","")&amp;SUBSTITUTE($P$2,"\","|")&amp;"|"&amp; $J54&amp;"@"&amp;REPLACE($I54,1,3,"")&amp;"@BR"&amp;$C54,"УДАЛИТЬ"))),"УДАЛИТЬ")</f>
        <v>УДАЛИТЬ</v>
      </c>
      <c r="F54" s="455" t="str">
        <f>".ODIG_MASK);"</f>
        <v>.ODIG_MASK);</v>
      </c>
      <c r="G54" s="445" t="str">
        <f>INDEX($N$2:$N$61,C54)</f>
        <v>M548A</v>
      </c>
      <c r="H54" s="445" t="str">
        <f>RIGHT($L54,LEN($L54)-FIND("+",$L54,1))</f>
        <v>13</v>
      </c>
      <c r="I54" s="460" t="str">
        <f ca="1">INDIRECT(ADDRESS($H54+1,MATCH($G54,$1:$1,),1))</f>
        <v>Canal_13</v>
      </c>
      <c r="J54" s="497" t="str">
        <f xml:space="preserve"> $Y$1</f>
        <v>OXOF</v>
      </c>
      <c r="K54" s="492" t="str">
        <f>$Y$2</f>
        <v>2+13</v>
      </c>
      <c r="L54" s="498" t="str">
        <f>$Y$3</f>
        <v>2+13</v>
      </c>
      <c r="M54" s="424" t="str">
        <f>'Конфигурация TREI'!A55</f>
        <v>BR53</v>
      </c>
      <c r="N54" s="424">
        <f>'Конфигурация TREI'!B55</f>
        <v>0</v>
      </c>
      <c r="AE54" s="505"/>
      <c r="AF54" s="505"/>
      <c r="AG54" s="505"/>
      <c r="AH54" s="505"/>
      <c r="AI54" s="505"/>
      <c r="AJ54" s="505"/>
      <c r="AK54" s="505"/>
      <c r="AL54" s="505"/>
      <c r="AM54" s="505"/>
      <c r="AN54" s="505"/>
      <c r="AO54" s="505"/>
      <c r="AP54" s="505"/>
      <c r="AQ54" s="505"/>
      <c r="AR54" s="505"/>
      <c r="AS54" s="505"/>
      <c r="AT54" s="623"/>
      <c r="AU54" s="623"/>
      <c r="AV54" s="623"/>
      <c r="AW54" s="623"/>
      <c r="AX54" s="623"/>
      <c r="AY54" s="623"/>
      <c r="AZ54" s="623"/>
      <c r="BA54" s="623"/>
      <c r="BB54" s="623"/>
      <c r="BC54" s="623"/>
      <c r="BD54" s="623"/>
      <c r="BE54" s="623"/>
    </row>
    <row r="55" spans="1:57">
      <c r="A55" s="457" t="str">
        <f>SUBSTITUTE($P$2,"\","|")&amp;"|"&amp;"DOON:="&amp;P4&amp;"NOT_LINK_BR"</f>
        <v>ZRU_OL1|DOON:=NOT_LINK_BR</v>
      </c>
      <c r="B55" s="457"/>
      <c r="C55" s="455"/>
      <c r="D55" s="455"/>
      <c r="E55" s="455" t="str">
        <f>IFERROR(LEFT($L55,FIND("+",$L55,1)-1),"УДАЛИТЬ")</f>
        <v>2</v>
      </c>
      <c r="F55" s="455" t="s">
        <v>845</v>
      </c>
      <c r="G55" s="445"/>
      <c r="H55" s="445"/>
      <c r="I55" s="460"/>
      <c r="J55" s="494" t="str">
        <f>$X$1</f>
        <v>OXON</v>
      </c>
      <c r="K55" s="495" t="str">
        <f>$X$2</f>
        <v>2+12</v>
      </c>
      <c r="L55" s="496" t="str">
        <f>$X$3</f>
        <v>2+12</v>
      </c>
      <c r="M55" s="424" t="str">
        <f>'Конфигурация TREI'!A56</f>
        <v>BR54</v>
      </c>
      <c r="N55" s="424">
        <f>'Конфигурация TREI'!B56</f>
        <v>0</v>
      </c>
      <c r="AE55" s="505"/>
      <c r="AF55" s="505"/>
      <c r="AG55" s="505"/>
      <c r="AH55" s="505"/>
      <c r="AI55" s="505"/>
      <c r="AJ55" s="505"/>
      <c r="AK55" s="505"/>
      <c r="AL55" s="505"/>
      <c r="AM55" s="505"/>
      <c r="AN55" s="505"/>
      <c r="AO55" s="505"/>
      <c r="AP55" s="505"/>
      <c r="AQ55" s="505"/>
      <c r="AR55" s="505"/>
      <c r="AS55" s="505"/>
      <c r="AT55" s="623"/>
      <c r="AU55" s="623"/>
      <c r="AV55" s="623"/>
      <c r="AW55" s="623"/>
      <c r="AX55" s="623"/>
      <c r="AY55" s="623"/>
      <c r="AZ55" s="623"/>
      <c r="BA55" s="623"/>
      <c r="BB55" s="623"/>
      <c r="BC55" s="623"/>
      <c r="BD55" s="623"/>
      <c r="BE55" s="623"/>
    </row>
    <row r="56" spans="1:57">
      <c r="A56" s="457" t="str">
        <f>SUBSTITUTE($P$2,"\","|")&amp;"|"&amp;"DOOF:="&amp;P4&amp;"NOT_LINK_BR"</f>
        <v>ZRU_OL1|DOOF:=NOT_LINK_BR</v>
      </c>
      <c r="B56" s="457"/>
      <c r="C56" s="455"/>
      <c r="D56" s="455"/>
      <c r="E56" s="455" t="str">
        <f>IFERROR(LEFT($L56,FIND("+",$L56,1)-1),"УДАЛИТЬ")</f>
        <v>2</v>
      </c>
      <c r="F56" s="455" t="s">
        <v>845</v>
      </c>
      <c r="G56" s="1"/>
      <c r="H56" s="1"/>
      <c r="I56" s="460"/>
      <c r="J56" s="499" t="str">
        <f xml:space="preserve"> $Y$1</f>
        <v>OXOF</v>
      </c>
      <c r="K56" s="500" t="str">
        <f>$Y$2</f>
        <v>2+13</v>
      </c>
      <c r="L56" s="501" t="str">
        <f>$Y$3</f>
        <v>2+13</v>
      </c>
      <c r="M56" s="424" t="str">
        <f>'Конфигурация TREI'!A57</f>
        <v>BR55</v>
      </c>
      <c r="N56" s="424">
        <f>'Конфигурация TREI'!B57</f>
        <v>0</v>
      </c>
      <c r="AE56" s="505"/>
      <c r="AF56" s="505"/>
      <c r="AG56" s="505"/>
      <c r="AH56" s="505"/>
      <c r="AI56" s="505"/>
      <c r="AJ56" s="505"/>
      <c r="AK56" s="505"/>
      <c r="AL56" s="505"/>
      <c r="AM56" s="505"/>
      <c r="AN56" s="505"/>
      <c r="AO56" s="505"/>
      <c r="AP56" s="505"/>
      <c r="AQ56" s="505"/>
      <c r="AR56" s="505"/>
      <c r="AS56" s="505"/>
      <c r="AT56" s="623"/>
      <c r="AU56" s="623"/>
      <c r="AV56" s="623"/>
      <c r="AW56" s="623"/>
      <c r="AX56" s="623"/>
      <c r="AY56" s="623"/>
      <c r="AZ56" s="623"/>
      <c r="BA56" s="623"/>
      <c r="BB56" s="623"/>
      <c r="BC56" s="623"/>
      <c r="BD56" s="623"/>
      <c r="BE56" s="623"/>
    </row>
    <row r="57" spans="1:57">
      <c r="M57" s="424" t="str">
        <f>'Конфигурация TREI'!A58</f>
        <v>BR56</v>
      </c>
      <c r="N57" s="424">
        <f>'Конфигурация TREI'!B58</f>
        <v>0</v>
      </c>
    </row>
    <row r="58" spans="1:57">
      <c r="M58" s="424" t="str">
        <f>'Конфигурация TREI'!A59</f>
        <v>BR57</v>
      </c>
      <c r="N58" s="424">
        <f>'Конфигурация TREI'!B59</f>
        <v>0</v>
      </c>
    </row>
    <row r="59" spans="1:57">
      <c r="M59" s="424" t="str">
        <f>'Конфигурация TREI'!A60</f>
        <v>BR58</v>
      </c>
      <c r="N59" s="424">
        <f>'Конфигурация TREI'!B60</f>
        <v>0</v>
      </c>
    </row>
    <row r="60" spans="1:57">
      <c r="M60" s="424" t="str">
        <f>'Конфигурация TREI'!A61</f>
        <v>BR59</v>
      </c>
      <c r="N60" s="424">
        <f>'Конфигурация TREI'!B61</f>
        <v>0</v>
      </c>
    </row>
    <row r="61" spans="1:57">
      <c r="M61" s="424" t="str">
        <f>'Конфигурация TREI'!A62</f>
        <v>BR60</v>
      </c>
      <c r="N61" s="424">
        <f>'Конфигурация TREI'!B62</f>
        <v>0</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sheetPr codeName="Лист116">
    <tabColor theme="2" tint="-0.249977111117893"/>
  </sheetPr>
  <dimension ref="A1:BE61"/>
  <sheetViews>
    <sheetView topLeftCell="A29" workbookViewId="0">
      <selection activeCell="D2" sqref="D2:D4"/>
    </sheetView>
  </sheetViews>
  <sheetFormatPr defaultRowHeight="14.4"/>
  <cols>
    <col min="1" max="1" width="35.44140625" customWidth="1"/>
    <col min="2" max="2" width="21.44140625" customWidth="1"/>
    <col min="3" max="3" width="3.44140625" customWidth="1"/>
    <col min="4" max="4" width="1.109375" customWidth="1"/>
    <col min="5" max="5" width="33.44140625" customWidth="1"/>
    <col min="6" max="6" width="17.6640625" customWidth="1"/>
    <col min="7" max="7" width="10.5546875" customWidth="1"/>
    <col min="8" max="8" width="14.33203125" customWidth="1"/>
    <col min="9" max="9" width="11.44140625" customWidth="1"/>
    <col min="10" max="10" width="10.5546875" customWidth="1"/>
    <col min="11" max="11" width="10.88671875" customWidth="1"/>
    <col min="12" max="12" width="11.5546875" customWidth="1"/>
    <col min="13" max="15" width="9.109375" customWidth="1"/>
    <col min="16" max="16" width="34.6640625" customWidth="1"/>
    <col min="17" max="17" width="39.33203125" customWidth="1"/>
    <col min="18" max="30" width="26.109375" style="55" customWidth="1"/>
    <col min="31" max="31" width="4.5546875" style="427" customWidth="1"/>
    <col min="32" max="32" width="11.109375" customWidth="1"/>
  </cols>
  <sheetData>
    <row r="1" spans="1:57">
      <c r="A1" s="425"/>
      <c r="B1" s="425"/>
      <c r="C1" s="425"/>
      <c r="D1" s="425"/>
      <c r="E1" s="425"/>
      <c r="F1" s="425"/>
      <c r="G1" s="426" t="s">
        <v>846</v>
      </c>
      <c r="H1" s="426" t="s">
        <v>847</v>
      </c>
      <c r="I1" s="424" t="s">
        <v>1181</v>
      </c>
      <c r="J1" s="425"/>
      <c r="M1" s="424" t="str">
        <f>'Конфигурация TREI'!A1</f>
        <v>№ Модуля</v>
      </c>
      <c r="N1" s="424" t="str">
        <f>'Конфигурация TREI'!B2</f>
        <v>M501E(рез)</v>
      </c>
      <c r="O1" s="425"/>
      <c r="P1" s="425" t="str">
        <f>Таблица!D1</f>
        <v>Префикс для TREI
Тэг ОРС для INFINITY</v>
      </c>
      <c r="Q1" s="425" t="str">
        <f>Таблица!E1</f>
        <v>Комментарий для TREI и INFINITY</v>
      </c>
      <c r="R1" s="452"/>
      <c r="S1" s="452" t="s">
        <v>858</v>
      </c>
      <c r="T1" s="452" t="s">
        <v>859</v>
      </c>
      <c r="U1" s="452" t="s">
        <v>848</v>
      </c>
      <c r="V1" s="452" t="s">
        <v>849</v>
      </c>
      <c r="W1" s="452" t="s">
        <v>850</v>
      </c>
      <c r="X1" s="452" t="s">
        <v>851</v>
      </c>
      <c r="Y1" s="452" t="s">
        <v>852</v>
      </c>
      <c r="Z1" s="452"/>
      <c r="AA1" s="452"/>
      <c r="AB1" s="452"/>
      <c r="AC1" s="452"/>
      <c r="AD1" s="453"/>
      <c r="AE1" s="438"/>
      <c r="AF1" s="438">
        <f>Настройки!Q1</f>
        <v>0</v>
      </c>
      <c r="AG1" s="438" t="str">
        <f>Настройки!R1</f>
        <v>M943DR</v>
      </c>
      <c r="AH1" s="438" t="str">
        <f>Настройки!S1</f>
        <v>M942A</v>
      </c>
      <c r="AI1" s="438" t="str">
        <f>Настройки!T1</f>
        <v>M957D</v>
      </c>
      <c r="AJ1" s="438" t="str">
        <f>Настройки!U1</f>
        <v>M957O</v>
      </c>
      <c r="AK1" s="438" t="str">
        <f>Настройки!V1</f>
        <v>M947R</v>
      </c>
      <c r="AL1" s="438" t="str">
        <f>Настройки!W1</f>
        <v>M931V</v>
      </c>
      <c r="AM1" s="438" t="str">
        <f>Настройки!X1</f>
        <v>M931T</v>
      </c>
      <c r="AN1" s="438" t="str">
        <f>Настройки!Y1</f>
        <v>M547A</v>
      </c>
      <c r="AO1" s="438" t="str">
        <f>Настройки!Z1</f>
        <v>M537V</v>
      </c>
      <c r="AP1" s="438" t="str">
        <f>Настройки!AA1</f>
        <v>M557D</v>
      </c>
      <c r="AQ1" s="438" t="str">
        <f>Настройки!AB1</f>
        <v>M557O</v>
      </c>
      <c r="AR1" s="438" t="str">
        <f>Настройки!AC1</f>
        <v>MOPS</v>
      </c>
      <c r="AS1" s="438" t="str">
        <f>Настройки!AD1</f>
        <v>MUPS</v>
      </c>
      <c r="AT1" s="439" t="str">
        <f>Настройки!AB1</f>
        <v>M557O</v>
      </c>
      <c r="AU1" s="439" t="str">
        <f>Настройки!AC1</f>
        <v>MOPS</v>
      </c>
      <c r="AV1" s="439" t="str">
        <f>Настройки!AD1</f>
        <v>MUPS</v>
      </c>
      <c r="AW1" s="439" t="str">
        <f>Настройки!AE1</f>
        <v>M941A</v>
      </c>
      <c r="AX1" s="439" t="str">
        <f>Настройки!AF1</f>
        <v>M954D</v>
      </c>
      <c r="AY1" s="439" t="str">
        <f>Настройки!AG1</f>
        <v>M557DR</v>
      </c>
      <c r="AZ1" s="439" t="str">
        <f>Настройки!AH1</f>
        <v>M558D</v>
      </c>
      <c r="BA1" s="439" t="str">
        <f>Настройки!AI1</f>
        <v>M558O</v>
      </c>
      <c r="BB1" s="439" t="str">
        <f>Настройки!AJ1</f>
        <v>M548A</v>
      </c>
      <c r="BC1" s="439" t="str">
        <f>Настройки!AK1</f>
        <v>M538V</v>
      </c>
      <c r="BD1" s="439" t="str">
        <f>Настройки!AL1</f>
        <v>M558DR</v>
      </c>
      <c r="BE1" s="439" t="str">
        <f>Настройки!AM1</f>
        <v>*</v>
      </c>
    </row>
    <row r="2" spans="1:57">
      <c r="A2" s="446" t="str">
        <f>"//*********** "&amp;Q2&amp;" ***********"</f>
        <v>//*********** Выключатель электрический без тележки и защит ***********</v>
      </c>
      <c r="B2" s="446"/>
      <c r="C2" s="446"/>
      <c r="D2" s="446"/>
      <c r="E2" s="446"/>
      <c r="F2" s="446" t="s">
        <v>1031</v>
      </c>
      <c r="G2" s="447"/>
      <c r="H2" s="447"/>
      <c r="I2" s="459"/>
      <c r="M2" s="424" t="str">
        <f>'Конфигурация TREI'!A3</f>
        <v>BR1</v>
      </c>
      <c r="N2" s="424" t="str">
        <f>'Конфигурация TREI'!B3</f>
        <v>M558D</v>
      </c>
      <c r="P2" s="2" t="s">
        <v>324</v>
      </c>
      <c r="Q2" s="2" t="s">
        <v>770</v>
      </c>
      <c r="R2" s="451"/>
      <c r="S2" s="454" t="s">
        <v>1267</v>
      </c>
      <c r="T2" s="454" t="s">
        <v>1268</v>
      </c>
      <c r="U2" s="454" t="s">
        <v>1269</v>
      </c>
      <c r="V2" s="454" t="s">
        <v>1270</v>
      </c>
      <c r="W2" s="454" t="s">
        <v>1271</v>
      </c>
      <c r="X2" s="454" t="s">
        <v>1272</v>
      </c>
      <c r="Y2" s="454" t="s">
        <v>1273</v>
      </c>
      <c r="Z2" s="454"/>
      <c r="AA2" s="454"/>
      <c r="AB2" s="454"/>
      <c r="AC2" s="454"/>
      <c r="AD2" s="454"/>
      <c r="AE2" s="431">
        <f>Настройки!P2</f>
        <v>1</v>
      </c>
      <c r="AF2" s="380">
        <f>Настройки!Q2</f>
        <v>0</v>
      </c>
      <c r="AG2" s="380" t="str">
        <f>Настройки!R2</f>
        <v>IDIG_1_1</v>
      </c>
      <c r="AH2" s="380" t="str">
        <f>Настройки!S2</f>
        <v>IANS_1_3</v>
      </c>
      <c r="AI2" s="380" t="str">
        <f>Настройки!T2</f>
        <v>out0</v>
      </c>
      <c r="AJ2" s="380" t="str">
        <f>Настройки!U2</f>
        <v>out0</v>
      </c>
      <c r="AK2" s="380" t="str">
        <f>Настройки!V2</f>
        <v>ODIG_1</v>
      </c>
      <c r="AL2" s="380" t="str">
        <f>Настройки!W2</f>
        <v>OAN_1_1</v>
      </c>
      <c r="AM2" s="380" t="str">
        <f>Настройки!X2</f>
        <v>IANS_1_1</v>
      </c>
      <c r="AN2" s="380" t="str">
        <f>Настройки!Y2</f>
        <v>Canal_01</v>
      </c>
      <c r="AO2" s="380" t="str">
        <f>Настройки!Z2</f>
        <v>Canal_01</v>
      </c>
      <c r="AP2" s="380" t="str">
        <f>Настройки!AA2</f>
        <v>Canal_01</v>
      </c>
      <c r="AQ2" s="380" t="str">
        <f>Настройки!AB2</f>
        <v>Canal_01</v>
      </c>
      <c r="AR2" s="380" t="str">
        <f>Настройки!AC2</f>
        <v>IVXX[0]</v>
      </c>
      <c r="AS2" s="380" t="str">
        <f>Настройки!AD2</f>
        <v>IVXX[0]</v>
      </c>
      <c r="AT2" s="207" t="str">
        <f>Настройки!AB2</f>
        <v>Canal_01</v>
      </c>
      <c r="AU2" s="207" t="str">
        <f>Настройки!AC2</f>
        <v>IVXX[0]</v>
      </c>
      <c r="AV2" s="207" t="str">
        <f>Настройки!AD2</f>
        <v>IVXX[0]</v>
      </c>
      <c r="AW2" s="207" t="str">
        <f>Настройки!AE2</f>
        <v>IANS_1_1</v>
      </c>
      <c r="AX2" s="207" t="str">
        <f>Настройки!AF2</f>
        <v>IDIG_1_1</v>
      </c>
      <c r="AY2" s="207" t="str">
        <f>Настройки!AG2</f>
        <v>Canal_01</v>
      </c>
      <c r="AZ2" s="207" t="str">
        <f>Настройки!AH2</f>
        <v>Canal_01</v>
      </c>
      <c r="BA2" s="207" t="str">
        <f>Настройки!AI2</f>
        <v>Canal_01</v>
      </c>
      <c r="BB2" s="207" t="str">
        <f>Настройки!AJ2</f>
        <v>Canal_01</v>
      </c>
      <c r="BC2" s="207" t="str">
        <f>Настройки!AK2</f>
        <v>Canal_01</v>
      </c>
      <c r="BD2" s="207" t="str">
        <f>Настройки!AL2</f>
        <v>Canal_01</v>
      </c>
      <c r="BE2" s="207" t="str">
        <f>Настройки!AM2</f>
        <v>-</v>
      </c>
    </row>
    <row r="3" spans="1:57">
      <c r="A3" s="82"/>
      <c r="B3" s="82"/>
      <c r="C3" s="81"/>
      <c r="D3" s="81"/>
      <c r="E3" s="448" t="str">
        <f ca="1">IF(LEFT(E8,3)="out","INT_TO_BIT_BR"&amp;C8&amp;"(BR"&amp;C8&amp;".IDIG_MASK)","УДАЛИТЬ")</f>
        <v>УДАЛИТЬ</v>
      </c>
      <c r="F3" s="446" t="s">
        <v>845</v>
      </c>
      <c r="G3" s="447"/>
      <c r="H3" s="447"/>
      <c r="I3" s="459"/>
      <c r="M3" s="424" t="str">
        <f>'Конфигурация TREI'!A4</f>
        <v>BR2</v>
      </c>
      <c r="N3" s="424" t="str">
        <f>'Конфигурация TREI'!B4</f>
        <v>M548A</v>
      </c>
      <c r="P3" s="425" t="str">
        <f>'Конфигурация TREI'!D1</f>
        <v>Путь TREI для сигналов NOT_LINK</v>
      </c>
      <c r="R3" s="450"/>
      <c r="S3" s="454" t="str">
        <f>SUBSTITUTE(SUBSTITUTE($S$2,"!","")," ","")</f>
        <v>6+2</v>
      </c>
      <c r="T3" s="454" t="str">
        <f>SUBSTITUTE(SUBSTITUTE($T$2,"!","")," ","")</f>
        <v>6+3</v>
      </c>
      <c r="U3" s="454" t="str">
        <f>SUBSTITUTE(SUBSTITUTE($U$2,"!","")," ","")</f>
        <v>6+4</v>
      </c>
      <c r="V3" s="454" t="str">
        <f>SUBSTITUTE(SUBSTITUTE($V$2,"!","")," ","")</f>
        <v>6+5</v>
      </c>
      <c r="W3" s="454" t="str">
        <f>SUBSTITUTE(SUBSTITUTE($W$2,"!","")," ","")</f>
        <v>6+6</v>
      </c>
      <c r="X3" s="454" t="str">
        <f>SUBSTITUTE(SUBSTITUTE($X$2,"!","")," ","")</f>
        <v>2+14</v>
      </c>
      <c r="Y3" s="454" t="str">
        <f>SUBSTITUTE(SUBSTITUTE($Y$2,"!","")," ","")</f>
        <v>2+15</v>
      </c>
      <c r="Z3" s="454" t="str">
        <f>SUBSTITUTE(SUBSTITUTE($Z$2,"!","")," ","")</f>
        <v/>
      </c>
      <c r="AA3" s="454" t="str">
        <f>SUBSTITUTE(SUBSTITUTE($AA$2,"!","")," ","")</f>
        <v/>
      </c>
      <c r="AB3" s="454" t="str">
        <f>SUBSTITUTE(SUBSTITUTE($AB$2,"!","")," ","")</f>
        <v/>
      </c>
      <c r="AC3" s="454" t="str">
        <f>SUBSTITUTE(SUBSTITUTE($AC$2,"!","")," ","")</f>
        <v/>
      </c>
      <c r="AD3" s="454"/>
      <c r="AE3" s="431">
        <f>Настройки!P3</f>
        <v>2</v>
      </c>
      <c r="AF3" s="380">
        <f>Настройки!Q3</f>
        <v>0</v>
      </c>
      <c r="AG3" s="380" t="str">
        <f>Настройки!R3</f>
        <v>IDIG_1_2</v>
      </c>
      <c r="AH3" s="380" t="str">
        <f>Настройки!S3</f>
        <v>IANS_1_4</v>
      </c>
      <c r="AI3" s="380" t="str">
        <f>Настройки!T3</f>
        <v>out1</v>
      </c>
      <c r="AJ3" s="380" t="str">
        <f>Настройки!U3</f>
        <v>out1</v>
      </c>
      <c r="AK3" s="380" t="str">
        <f>Настройки!V3</f>
        <v>ODIG_2</v>
      </c>
      <c r="AL3" s="380" t="str">
        <f>Настройки!W3</f>
        <v>OAN_2_1</v>
      </c>
      <c r="AM3" s="380" t="str">
        <f>Настройки!X3</f>
        <v>IANS_2_1</v>
      </c>
      <c r="AN3" s="380" t="str">
        <f>Настройки!Y3</f>
        <v>Canal_02</v>
      </c>
      <c r="AO3" s="380" t="str">
        <f>Настройки!Z3</f>
        <v>Canal_02</v>
      </c>
      <c r="AP3" s="380" t="str">
        <f>Настройки!AA3</f>
        <v>Canal_02</v>
      </c>
      <c r="AQ3" s="380" t="str">
        <f>Настройки!AB3</f>
        <v>Canal_02</v>
      </c>
      <c r="AR3" s="380" t="str">
        <f>Настройки!AC3</f>
        <v>IVXX[1]</v>
      </c>
      <c r="AS3" s="380" t="str">
        <f>Настройки!AD3</f>
        <v>IVXX[1]</v>
      </c>
      <c r="AT3" s="207" t="str">
        <f>Настройки!AB3</f>
        <v>Canal_02</v>
      </c>
      <c r="AU3" s="207" t="str">
        <f>Настройки!AC3</f>
        <v>IVXX[1]</v>
      </c>
      <c r="AV3" s="207" t="str">
        <f>Настройки!AD3</f>
        <v>IVXX[1]</v>
      </c>
      <c r="AW3" s="207" t="str">
        <f>Настройки!AE3</f>
        <v>IANS_1_2</v>
      </c>
      <c r="AX3" s="207" t="str">
        <f>Настройки!AF3</f>
        <v>IDIG_1_2</v>
      </c>
      <c r="AY3" s="207" t="str">
        <f>Настройки!AG3</f>
        <v>Canal_02</v>
      </c>
      <c r="AZ3" s="207" t="str">
        <f>Настройки!AH3</f>
        <v>Canal_02</v>
      </c>
      <c r="BA3" s="207" t="str">
        <f>Настройки!AI3</f>
        <v>Canal_02</v>
      </c>
      <c r="BB3" s="207" t="str">
        <f>Настройки!AJ3</f>
        <v>Canal_02</v>
      </c>
      <c r="BC3" s="207" t="str">
        <f>Настройки!AK3</f>
        <v>Canal_02</v>
      </c>
      <c r="BD3" s="207" t="str">
        <f>Настройки!AL3</f>
        <v>Canal_02</v>
      </c>
      <c r="BE3" s="207" t="str">
        <f>Настройки!AM3</f>
        <v>-</v>
      </c>
    </row>
    <row r="4" spans="1:57">
      <c r="A4" s="82"/>
      <c r="B4" s="82"/>
      <c r="C4" s="81"/>
      <c r="D4" s="81"/>
      <c r="E4" s="448" t="str">
        <f ca="1">IF(LEFT(E9,3)="out","INT_TO_BIT_BR"&amp;C9&amp;"(BR"&amp;C9&amp;".IDIG_MASK)","УДАЛИТЬ")</f>
        <v>УДАЛИТЬ</v>
      </c>
      <c r="F4" s="446" t="s">
        <v>845</v>
      </c>
      <c r="G4" s="447"/>
      <c r="H4" s="447"/>
      <c r="I4" s="459"/>
      <c r="M4" s="424" t="str">
        <f>'Конфигурация TREI'!A5</f>
        <v>BR3</v>
      </c>
      <c r="N4" s="424" t="str">
        <f>'Конфигурация TREI'!B5</f>
        <v>M548A</v>
      </c>
      <c r="P4" s="3" t="str">
        <f>Настройки!D2</f>
        <v/>
      </c>
      <c r="AE4" s="431">
        <f>Настройки!P4</f>
        <v>3</v>
      </c>
      <c r="AF4" s="380">
        <f>Настройки!Q4</f>
        <v>0</v>
      </c>
      <c r="AG4" s="380" t="str">
        <f>Настройки!R4</f>
        <v>IDIG_2_1</v>
      </c>
      <c r="AH4" s="380" t="str">
        <f>Настройки!S4</f>
        <v>IANS_2_3</v>
      </c>
      <c r="AI4" s="380" t="str">
        <f>Настройки!T4</f>
        <v>out2</v>
      </c>
      <c r="AJ4" s="380" t="str">
        <f>Настройки!U4</f>
        <v>out2</v>
      </c>
      <c r="AK4" s="380" t="str">
        <f>Настройки!V4</f>
        <v>ODIG_3</v>
      </c>
      <c r="AL4" s="380" t="str">
        <f>Настройки!W4</f>
        <v>OAN_3_1</v>
      </c>
      <c r="AM4" s="380" t="str">
        <f>Настройки!X4</f>
        <v>IANS_3_1</v>
      </c>
      <c r="AN4" s="380" t="str">
        <f>Настройки!Y4</f>
        <v>Canal_03</v>
      </c>
      <c r="AO4" s="380" t="str">
        <f>Настройки!Z4</f>
        <v>Canal_03</v>
      </c>
      <c r="AP4" s="380" t="str">
        <f>Настройки!AA4</f>
        <v>Canal_03</v>
      </c>
      <c r="AQ4" s="380" t="str">
        <f>Настройки!AB4</f>
        <v>Canal_03</v>
      </c>
      <c r="AR4" s="380" t="str">
        <f>Настройки!AC4</f>
        <v>IVXX[2]</v>
      </c>
      <c r="AS4" s="380" t="str">
        <f>Настройки!AD4</f>
        <v>IVXX[2]</v>
      </c>
      <c r="AT4" s="207" t="str">
        <f>Настройки!AB4</f>
        <v>Canal_03</v>
      </c>
      <c r="AU4" s="207" t="str">
        <f>Настройки!AC4</f>
        <v>IVXX[2]</v>
      </c>
      <c r="AV4" s="207" t="str">
        <f>Настройки!AD4</f>
        <v>IVXX[2]</v>
      </c>
      <c r="AW4" s="207" t="str">
        <f>Настройки!AE4</f>
        <v>IANS_2_1</v>
      </c>
      <c r="AX4" s="207" t="str">
        <f>Настройки!AF4</f>
        <v>IDIG_1_3</v>
      </c>
      <c r="AY4" s="207" t="str">
        <f>Настройки!AG4</f>
        <v>Canal_03</v>
      </c>
      <c r="AZ4" s="207" t="str">
        <f>Настройки!AH4</f>
        <v>Canal_03</v>
      </c>
      <c r="BA4" s="207" t="str">
        <f>Настройки!AI4</f>
        <v>Canal_03</v>
      </c>
      <c r="BB4" s="207" t="str">
        <f>Настройки!AJ4</f>
        <v>Canal_03</v>
      </c>
      <c r="BC4" s="207" t="str">
        <f>Настройки!AK4</f>
        <v>Canal_03</v>
      </c>
      <c r="BD4" s="207" t="str">
        <f>Настройки!AL4</f>
        <v>Canal_03</v>
      </c>
      <c r="BE4" s="207" t="str">
        <f>Настройки!AM4</f>
        <v>-</v>
      </c>
    </row>
    <row r="5" spans="1:57">
      <c r="A5" s="82"/>
      <c r="B5" s="82"/>
      <c r="C5" s="81"/>
      <c r="D5" s="81"/>
      <c r="E5" s="448" t="str">
        <f ca="1">IF(LEFT(E10,3)="out","INT_TO_BIT_BR"&amp;C10&amp;"(BR"&amp;C10&amp;".IDIG_MASK)","УДАЛИТЬ")</f>
        <v>УДАЛИТЬ</v>
      </c>
      <c r="F5" s="446" t="s">
        <v>845</v>
      </c>
      <c r="G5" s="447"/>
      <c r="H5" s="447"/>
      <c r="I5" s="459"/>
      <c r="M5" s="424" t="str">
        <f>'Конфигурация TREI'!A6</f>
        <v>BR4</v>
      </c>
      <c r="N5" s="424" t="str">
        <f>'Конфигурация TREI'!B6</f>
        <v>M558D</v>
      </c>
      <c r="AE5" s="431">
        <f>Настройки!P5</f>
        <v>4</v>
      </c>
      <c r="AF5" s="380">
        <f>Настройки!Q5</f>
        <v>0</v>
      </c>
      <c r="AG5" s="380" t="str">
        <f>Настройки!R5</f>
        <v>IDIG_2_2</v>
      </c>
      <c r="AH5" s="380" t="str">
        <f>Настройки!S5</f>
        <v>IANS_2_4</v>
      </c>
      <c r="AI5" s="380" t="str">
        <f>Настройки!T5</f>
        <v>out3</v>
      </c>
      <c r="AJ5" s="380" t="str">
        <f>Настройки!U5</f>
        <v>out3</v>
      </c>
      <c r="AK5" s="380" t="str">
        <f>Настройки!V5</f>
        <v>ODIG_4</v>
      </c>
      <c r="AL5" s="380" t="str">
        <f>Настройки!W5</f>
        <v>OAN_4_1</v>
      </c>
      <c r="AM5" s="380" t="str">
        <f>Настройки!X5</f>
        <v>IANS_4_1</v>
      </c>
      <c r="AN5" s="380" t="str">
        <f>Настройки!Y5</f>
        <v>Canal_04</v>
      </c>
      <c r="AO5" s="380" t="str">
        <f>Настройки!Z5</f>
        <v>Canal_04</v>
      </c>
      <c r="AP5" s="380" t="str">
        <f>Настройки!AA5</f>
        <v>Canal_04</v>
      </c>
      <c r="AQ5" s="380" t="str">
        <f>Настройки!AB5</f>
        <v>Canal_04</v>
      </c>
      <c r="AR5" s="380" t="str">
        <f>Настройки!AC5</f>
        <v>IVXX[3]</v>
      </c>
      <c r="AS5" s="380" t="str">
        <f>Настройки!AD5</f>
        <v>IVXX[3]</v>
      </c>
      <c r="AT5" s="207" t="str">
        <f>Настройки!AB5</f>
        <v>Canal_04</v>
      </c>
      <c r="AU5" s="207" t="str">
        <f>Настройки!AC5</f>
        <v>IVXX[3]</v>
      </c>
      <c r="AV5" s="207" t="str">
        <f>Настройки!AD5</f>
        <v>IVXX[3]</v>
      </c>
      <c r="AW5" s="207" t="str">
        <f>Настройки!AE5</f>
        <v>IANS_2_2</v>
      </c>
      <c r="AX5" s="207" t="str">
        <f>Настройки!AF5</f>
        <v>IDIG_1_4</v>
      </c>
      <c r="AY5" s="207" t="str">
        <f>Настройки!AG5</f>
        <v>Canal_04</v>
      </c>
      <c r="AZ5" s="207" t="str">
        <f>Настройки!AH5</f>
        <v>Canal_04</v>
      </c>
      <c r="BA5" s="207" t="str">
        <f>Настройки!AI5</f>
        <v>Canal_04</v>
      </c>
      <c r="BB5" s="207" t="str">
        <f>Настройки!AJ5</f>
        <v>Canal_04</v>
      </c>
      <c r="BC5" s="207" t="str">
        <f>Настройки!AK5</f>
        <v>Canal_04</v>
      </c>
      <c r="BD5" s="207" t="str">
        <f>Настройки!AL5</f>
        <v>Canal_04</v>
      </c>
      <c r="BE5" s="207" t="str">
        <f>Настройки!AM5</f>
        <v>-</v>
      </c>
    </row>
    <row r="6" spans="1:57">
      <c r="A6" s="82"/>
      <c r="B6" s="82"/>
      <c r="C6" s="81"/>
      <c r="D6" s="81"/>
      <c r="E6" s="448" t="str">
        <f ca="1">IF(LEFT(E11,3)="out","INT_TO_BIT_BR"&amp;C11&amp;"(BR"&amp;C11&amp;".IDIG_MASK)","УДАЛИТЬ")</f>
        <v>УДАЛИТЬ</v>
      </c>
      <c r="F6" s="446" t="s">
        <v>845</v>
      </c>
      <c r="G6" s="447"/>
      <c r="H6" s="447"/>
      <c r="I6" s="459"/>
      <c r="M6" s="424" t="str">
        <f>'Конфигурация TREI'!A7</f>
        <v>BR5</v>
      </c>
      <c r="N6" s="424" t="str">
        <f>'Конфигурация TREI'!B7</f>
        <v>M558O</v>
      </c>
      <c r="AE6" s="431">
        <f>Настройки!P6</f>
        <v>5</v>
      </c>
      <c r="AF6" s="380">
        <f>Настройки!Q6</f>
        <v>0</v>
      </c>
      <c r="AG6" s="380" t="str">
        <f>Настройки!R6</f>
        <v>IDIG_3_1</v>
      </c>
      <c r="AH6" s="380" t="str">
        <f>Настройки!S6</f>
        <v>IANS_3_3</v>
      </c>
      <c r="AI6" s="380" t="str">
        <f>Настройки!T6</f>
        <v>out4</v>
      </c>
      <c r="AJ6" s="380" t="str">
        <f>Настройки!U6</f>
        <v>out4</v>
      </c>
      <c r="AK6" s="380" t="str">
        <f>Настройки!V6</f>
        <v>ODIG_5</v>
      </c>
      <c r="AL6" s="380" t="str">
        <f>Настройки!W6</f>
        <v>OAN_5_1</v>
      </c>
      <c r="AM6" s="380" t="str">
        <f>Настройки!X6</f>
        <v>IANS_5_1</v>
      </c>
      <c r="AN6" s="380" t="str">
        <f>Настройки!Y6</f>
        <v>Canal_05</v>
      </c>
      <c r="AO6" s="380" t="str">
        <f>Настройки!Z6</f>
        <v>Canal_05</v>
      </c>
      <c r="AP6" s="380" t="str">
        <f>Настройки!AA6</f>
        <v>Canal_05</v>
      </c>
      <c r="AQ6" s="380" t="str">
        <f>Настройки!AB6</f>
        <v>Canal_05</v>
      </c>
      <c r="AR6" s="380" t="str">
        <f>Настройки!AC6</f>
        <v>IVXX[4]</v>
      </c>
      <c r="AS6" s="380" t="str">
        <f>Настройки!AD6</f>
        <v>IVXX[4]</v>
      </c>
      <c r="AT6" s="207" t="str">
        <f>Настройки!AB6</f>
        <v>Canal_05</v>
      </c>
      <c r="AU6" s="207" t="str">
        <f>Настройки!AC6</f>
        <v>IVXX[4]</v>
      </c>
      <c r="AV6" s="207" t="str">
        <f>Настройки!AD6</f>
        <v>IVXX[4]</v>
      </c>
      <c r="AW6" s="207" t="str">
        <f>Настройки!AE6</f>
        <v>IANS_3_1</v>
      </c>
      <c r="AX6" s="207" t="str">
        <f>Настройки!AF6</f>
        <v>IDIG_2_1</v>
      </c>
      <c r="AY6" s="207" t="str">
        <f>Настройки!AG6</f>
        <v>Canal_05</v>
      </c>
      <c r="AZ6" s="207" t="str">
        <f>Настройки!AH6</f>
        <v>Canal_05</v>
      </c>
      <c r="BA6" s="207" t="str">
        <f>Настройки!AI6</f>
        <v>Canal_05</v>
      </c>
      <c r="BB6" s="207" t="str">
        <f>Настройки!AJ6</f>
        <v>Canal_05</v>
      </c>
      <c r="BC6" s="207" t="str">
        <f>Настройки!AK6</f>
        <v>Canal_05</v>
      </c>
      <c r="BD6" s="207" t="str">
        <f>Настройки!AL6</f>
        <v>Canal_05</v>
      </c>
      <c r="BE6" s="207" t="str">
        <f>Настройки!AM6</f>
        <v>-</v>
      </c>
    </row>
    <row r="7" spans="1:57">
      <c r="A7" s="82"/>
      <c r="B7" s="82"/>
      <c r="C7" s="81"/>
      <c r="D7" s="81"/>
      <c r="E7" s="448" t="str">
        <f ca="1">IF(LEFT(E12,3)="out","INT_TO_BIT_BR"&amp;C12&amp;"(BR"&amp;C12&amp;".IDIG_MASK)","УДАЛИТЬ")</f>
        <v>УДАЛИТЬ</v>
      </c>
      <c r="F7" s="446" t="s">
        <v>845</v>
      </c>
      <c r="G7" s="447"/>
      <c r="H7" s="447"/>
      <c r="I7" s="459"/>
      <c r="M7" s="424" t="str">
        <f>'Конфигурация TREI'!A8</f>
        <v>BR6</v>
      </c>
      <c r="N7" s="424" t="str">
        <f>'Конфигурация TREI'!B8</f>
        <v>M558O</v>
      </c>
      <c r="AE7" s="431">
        <f>Настройки!P7</f>
        <v>6</v>
      </c>
      <c r="AF7" s="380">
        <f>Настройки!Q7</f>
        <v>0</v>
      </c>
      <c r="AG7" s="380" t="str">
        <f>Настройки!R7</f>
        <v>IDIG_3_2</v>
      </c>
      <c r="AH7" s="380" t="str">
        <f>Настройки!S7</f>
        <v>IANS_3_4</v>
      </c>
      <c r="AI7" s="380" t="str">
        <f>Настройки!T7</f>
        <v>out5</v>
      </c>
      <c r="AJ7" s="380" t="str">
        <f>Настройки!U7</f>
        <v>out5</v>
      </c>
      <c r="AK7" s="380" t="str">
        <f>Настройки!V7</f>
        <v>ODIG_6</v>
      </c>
      <c r="AL7" s="380" t="str">
        <f>Настройки!W7</f>
        <v>OAN_6_1</v>
      </c>
      <c r="AM7" s="380" t="str">
        <f>Настройки!X7</f>
        <v>IANS_6_1</v>
      </c>
      <c r="AN7" s="380" t="str">
        <f>Настройки!Y7</f>
        <v>Canal_06</v>
      </c>
      <c r="AO7" s="380" t="str">
        <f>Настройки!Z7</f>
        <v>Canal_06</v>
      </c>
      <c r="AP7" s="380" t="str">
        <f>Настройки!AA7</f>
        <v>Canal_06</v>
      </c>
      <c r="AQ7" s="380" t="str">
        <f>Настройки!AB7</f>
        <v>Canal_06</v>
      </c>
      <c r="AR7" s="380" t="str">
        <f>Настройки!AC7</f>
        <v>IVXX[5]</v>
      </c>
      <c r="AS7" s="380" t="str">
        <f>Настройки!AD7</f>
        <v>IVXX[5]</v>
      </c>
      <c r="AT7" s="207" t="str">
        <f>Настройки!AB7</f>
        <v>Canal_06</v>
      </c>
      <c r="AU7" s="207" t="str">
        <f>Настройки!AC7</f>
        <v>IVXX[5]</v>
      </c>
      <c r="AV7" s="207" t="str">
        <f>Настройки!AD7</f>
        <v>IVXX[5]</v>
      </c>
      <c r="AW7" s="207" t="str">
        <f>Настройки!AE7</f>
        <v>IANS_3_2</v>
      </c>
      <c r="AX7" s="207" t="str">
        <f>Настройки!AF7</f>
        <v>IDIG_2_2</v>
      </c>
      <c r="AY7" s="207" t="str">
        <f>Настройки!AG7</f>
        <v>Canal_06</v>
      </c>
      <c r="AZ7" s="207" t="str">
        <f>Настройки!AH7</f>
        <v>Canal_06</v>
      </c>
      <c r="BA7" s="207" t="str">
        <f>Настройки!AI7</f>
        <v>Canal_06</v>
      </c>
      <c r="BB7" s="207" t="str">
        <f>Настройки!AJ7</f>
        <v>Canal_06</v>
      </c>
      <c r="BC7" s="207" t="str">
        <f>Настройки!AK7</f>
        <v>Canal_06</v>
      </c>
      <c r="BD7" s="207" t="str">
        <f>Настройки!AL7</f>
        <v>Canal_06</v>
      </c>
      <c r="BE7" s="207" t="str">
        <f>Настройки!AM7</f>
        <v>-</v>
      </c>
    </row>
    <row r="8" spans="1:57">
      <c r="A8" s="448" t="str">
        <f>SUBSTITUTE($P$2,"\","|")&amp;"|"&amp; $S$1 &amp;":="&amp;IF(LEFT(SUBSTITUTE($S$2," ",""),1)="!","NOT  ","")</f>
        <v>ZRU_OL1_s|IONX:=</v>
      </c>
      <c r="B8" s="448" t="str">
        <f ca="1">IF(LEFT(E8,3)="out","INT_TO_BIT_BR","BR")</f>
        <v>BR</v>
      </c>
      <c r="C8" s="446" t="str">
        <f>LEFT($S$3,FIND("+",$S$3,1)-1)</f>
        <v>6</v>
      </c>
      <c r="D8" s="446" t="s">
        <v>178</v>
      </c>
      <c r="E8" s="446" t="str">
        <f ca="1">IF($S$2=0,"УДАЛИТЬ",IFERROR(IF(OR($I8="-",$H8="0"),"КАНАЛ ОТСУТСТВУЕТ",IF($I8=0,"МОДУЛЬ ОТСУТСТВУЕТ",$I8)),"ОШИБКА ФОРМАТА"))</f>
        <v>Canal_02</v>
      </c>
      <c r="F8" s="446" t="s">
        <v>845</v>
      </c>
      <c r="G8" s="447" t="str">
        <f>INDEX($N$2:$N$61,C8)</f>
        <v>M558O</v>
      </c>
      <c r="H8" s="447" t="str">
        <f>RIGHT(S$3,LEN(S$3)-FIND("+",S$3,1))</f>
        <v>2</v>
      </c>
      <c r="I8" s="460" t="str">
        <f ca="1">INDIRECT(ADDRESS($H8+1,MATCH($G8,$1:$1,),1))</f>
        <v>Canal_02</v>
      </c>
      <c r="M8" s="424" t="str">
        <f>'Конфигурация TREI'!A9</f>
        <v>BR7</v>
      </c>
      <c r="N8" s="424" t="str">
        <f>'Конфигурация TREI'!B9</f>
        <v>M558O</v>
      </c>
      <c r="AE8" s="431">
        <f>Настройки!P8</f>
        <v>7</v>
      </c>
      <c r="AF8" s="380">
        <f>Настройки!Q8</f>
        <v>0</v>
      </c>
      <c r="AG8" s="380" t="str">
        <f>Настройки!R8</f>
        <v>IDIG_4_1</v>
      </c>
      <c r="AH8" s="380" t="str">
        <f>Настройки!S8</f>
        <v>IANS_4_3</v>
      </c>
      <c r="AI8" s="380" t="str">
        <f>Настройки!T8</f>
        <v>out6</v>
      </c>
      <c r="AJ8" s="380" t="str">
        <f>Настройки!U8</f>
        <v>out6</v>
      </c>
      <c r="AK8" s="380" t="str">
        <f>Настройки!V8</f>
        <v>ODIG_7</v>
      </c>
      <c r="AL8" s="380" t="str">
        <f>Настройки!W8</f>
        <v>OAN_7_1</v>
      </c>
      <c r="AM8" s="380" t="str">
        <f>Настройки!X8</f>
        <v>IANS_7_1</v>
      </c>
      <c r="AN8" s="380" t="str">
        <f>Настройки!Y8</f>
        <v>Canal_07</v>
      </c>
      <c r="AO8" s="380" t="str">
        <f>Настройки!Z8</f>
        <v>Canal_07</v>
      </c>
      <c r="AP8" s="380" t="str">
        <f>Настройки!AA8</f>
        <v>Canal_07</v>
      </c>
      <c r="AQ8" s="380" t="str">
        <f>Настройки!AB8</f>
        <v>Canal_07</v>
      </c>
      <c r="AR8" s="380" t="str">
        <f>Настройки!AC8</f>
        <v>IVXX[6]</v>
      </c>
      <c r="AS8" s="380" t="str">
        <f>Настройки!AD8</f>
        <v>IVXX[6]</v>
      </c>
      <c r="AT8" s="207" t="str">
        <f>Настройки!AB8</f>
        <v>Canal_07</v>
      </c>
      <c r="AU8" s="207" t="str">
        <f>Настройки!AC8</f>
        <v>IVXX[6]</v>
      </c>
      <c r="AV8" s="207" t="str">
        <f>Настройки!AD8</f>
        <v>IVXX[6]</v>
      </c>
      <c r="AW8" s="207" t="str">
        <f>Настройки!AE8</f>
        <v>IANS_4_1</v>
      </c>
      <c r="AX8" s="207" t="str">
        <f>Настройки!AF8</f>
        <v>IDIG_2_3</v>
      </c>
      <c r="AY8" s="207" t="str">
        <f>Настройки!AG8</f>
        <v>Canal_07</v>
      </c>
      <c r="AZ8" s="207" t="str">
        <f>Настройки!AH8</f>
        <v>Canal_07</v>
      </c>
      <c r="BA8" s="207" t="str">
        <f>Настройки!AI8</f>
        <v>Canal_07</v>
      </c>
      <c r="BB8" s="207" t="str">
        <f>Настройки!AJ8</f>
        <v>Canal_07</v>
      </c>
      <c r="BC8" s="207" t="str">
        <f>Настройки!AK8</f>
        <v>Canal_07</v>
      </c>
      <c r="BD8" s="207" t="str">
        <f>Настройки!AL8</f>
        <v>Canal_07</v>
      </c>
      <c r="BE8" s="207" t="str">
        <f>Настройки!AM8</f>
        <v>-</v>
      </c>
    </row>
    <row r="9" spans="1:57">
      <c r="A9" s="448" t="str">
        <f>SUBSTITUTE($P$2,"\","|")&amp;"|"&amp; $T$1 &amp;":="&amp;IF(LEFT(SUBSTITUTE($T$2," ",""),1)="!","NOT  ","")</f>
        <v>ZRU_OL1_s|IOFX:=</v>
      </c>
      <c r="B9" s="448" t="str">
        <f ca="1">IF(LEFT(E9,3)="out","INT_TO_BIT_BR","BR")</f>
        <v>BR</v>
      </c>
      <c r="C9" s="446" t="str">
        <f>LEFT($T$3,FIND("+",$T$3,1)-1)</f>
        <v>6</v>
      </c>
      <c r="D9" s="446" t="s">
        <v>178</v>
      </c>
      <c r="E9" s="446" t="str">
        <f ca="1">IF($T$2=0,"УДАЛИТЬ",IFERROR(IF(OR($I9="-",$H9="0"),"КАНАЛ ОТСУТСТВУЕТ",IF($I9=0,"МОДУЛЬ ОТСУТСТВУЕТ",$I9)),"ОШИБКА ФОРМАТА"))</f>
        <v>Canal_03</v>
      </c>
      <c r="F9" s="446" t="s">
        <v>845</v>
      </c>
      <c r="G9" s="447" t="str">
        <f>INDEX($N$2:$N$61,C9)</f>
        <v>M558O</v>
      </c>
      <c r="H9" s="447" t="str">
        <f>RIGHT(T$3,LEN(T$3)-FIND("+",T$3,1))</f>
        <v>3</v>
      </c>
      <c r="I9" s="460" t="str">
        <f ca="1">INDIRECT(ADDRESS($H9+1,MATCH($G9,$1:$1,),1))</f>
        <v>Canal_03</v>
      </c>
      <c r="M9" s="424" t="str">
        <f>'Конфигурация TREI'!A10</f>
        <v>BR8</v>
      </c>
      <c r="N9" s="424" t="str">
        <f>'Конфигурация TREI'!B10</f>
        <v>M558O</v>
      </c>
      <c r="AE9" s="431">
        <f>Настройки!P9</f>
        <v>8</v>
      </c>
      <c r="AF9" s="380">
        <f>Настройки!Q9</f>
        <v>0</v>
      </c>
      <c r="AG9" s="380" t="str">
        <f>Настройки!R9</f>
        <v>IDIG_4_2</v>
      </c>
      <c r="AH9" s="380" t="str">
        <f>Настройки!S9</f>
        <v>IANS_4_4</v>
      </c>
      <c r="AI9" s="380" t="str">
        <f>Настройки!T9</f>
        <v>out7</v>
      </c>
      <c r="AJ9" s="380" t="str">
        <f>Настройки!U9</f>
        <v>out7</v>
      </c>
      <c r="AK9" s="380" t="str">
        <f>Настройки!V9</f>
        <v>ODIG_8</v>
      </c>
      <c r="AL9" s="380" t="str">
        <f>Настройки!W9</f>
        <v>OAN_8_1</v>
      </c>
      <c r="AM9" s="380" t="str">
        <f>Настройки!X9</f>
        <v>IANS_8_1</v>
      </c>
      <c r="AN9" s="380" t="str">
        <f>Настройки!Y9</f>
        <v>Canal_08</v>
      </c>
      <c r="AO9" s="380" t="str">
        <f>Настройки!Z9</f>
        <v>Canal_08</v>
      </c>
      <c r="AP9" s="380" t="str">
        <f>Настройки!AA9</f>
        <v>Canal_08</v>
      </c>
      <c r="AQ9" s="380" t="str">
        <f>Настройки!AB9</f>
        <v>Canal_08</v>
      </c>
      <c r="AR9" s="380" t="str">
        <f>Настройки!AC9</f>
        <v>IVXX[7]</v>
      </c>
      <c r="AS9" s="380" t="str">
        <f>Настройки!AD9</f>
        <v>IVXX[7]</v>
      </c>
      <c r="AT9" s="207" t="str">
        <f>Настройки!AB9</f>
        <v>Canal_08</v>
      </c>
      <c r="AU9" s="207" t="str">
        <f>Настройки!AC9</f>
        <v>IVXX[7]</v>
      </c>
      <c r="AV9" s="207" t="str">
        <f>Настройки!AD9</f>
        <v>IVXX[7]</v>
      </c>
      <c r="AW9" s="207" t="str">
        <f>Настройки!AE9</f>
        <v>IANS_4_2</v>
      </c>
      <c r="AX9" s="207" t="str">
        <f>Настройки!AF9</f>
        <v>IDIG_2_4</v>
      </c>
      <c r="AY9" s="207" t="str">
        <f>Настройки!AG9</f>
        <v>Canal_08</v>
      </c>
      <c r="AZ9" s="207" t="str">
        <f>Настройки!AH9</f>
        <v>Canal_08</v>
      </c>
      <c r="BA9" s="207" t="str">
        <f>Настройки!AI9</f>
        <v>Canal_08</v>
      </c>
      <c r="BB9" s="207" t="str">
        <f>Настройки!AJ9</f>
        <v>Canal_08</v>
      </c>
      <c r="BC9" s="207" t="str">
        <f>Настройки!AK9</f>
        <v>Canal_08</v>
      </c>
      <c r="BD9" s="207" t="str">
        <f>Настройки!AL9</f>
        <v>Canal_08</v>
      </c>
      <c r="BE9" s="207" t="str">
        <f>Настройки!AM9</f>
        <v>-</v>
      </c>
    </row>
    <row r="10" spans="1:57">
      <c r="A10" s="448" t="str">
        <f>SUBSTITUTE($P$2,"\","|")&amp;"|"&amp; $U$1 &amp;":="&amp;IF(LEFT(SUBSTITUTE($U$2," ",""),1)="!","NOT  ","")</f>
        <v>ZRU_OL1_s|ILCX:=</v>
      </c>
      <c r="B10" s="448" t="str">
        <f ca="1">IF(LEFT(E10,3)="out","INT_TO_BIT_BR","BR")</f>
        <v>BR</v>
      </c>
      <c r="C10" s="446" t="str">
        <f>LEFT($U$3,FIND("+",$U$3,1)-1)</f>
        <v>6</v>
      </c>
      <c r="D10" s="446" t="s">
        <v>178</v>
      </c>
      <c r="E10" s="446" t="str">
        <f ca="1">IF($U$2=0,"УДАЛИТЬ",IFERROR(IF(OR($I10="-",$H10="0"),"КАНАЛ ОТСУТСТВУЕТ",IF($I10=0,"МОДУЛЬ ОТСУТСТВУЕТ",$I10)),"ОШИБКА ФОРМАТА"))</f>
        <v>Canal_04</v>
      </c>
      <c r="F10" s="446" t="s">
        <v>845</v>
      </c>
      <c r="G10" s="447" t="str">
        <f>INDEX($N$2:$N$61,C10)</f>
        <v>M558O</v>
      </c>
      <c r="H10" s="447" t="str">
        <f>RIGHT($U$3,LEN($U$3)-FIND("+",$U$3,1))</f>
        <v>4</v>
      </c>
      <c r="I10" s="460" t="str">
        <f ca="1">INDIRECT(ADDRESS($H10+1,MATCH($G10,$1:$1,),1))</f>
        <v>Canal_04</v>
      </c>
      <c r="M10" s="424" t="str">
        <f>'Конфигурация TREI'!A11</f>
        <v>BR9</v>
      </c>
      <c r="N10" s="424" t="str">
        <f>'Конфигурация TREI'!B11</f>
        <v>M558D</v>
      </c>
      <c r="AE10" s="431">
        <f>Настройки!P10</f>
        <v>9</v>
      </c>
      <c r="AF10" s="380">
        <f>Настройки!Q10</f>
        <v>0</v>
      </c>
      <c r="AG10" s="380" t="str">
        <f>Настройки!R10</f>
        <v>IDIG_5_1</v>
      </c>
      <c r="AH10" s="380" t="str">
        <f>Настройки!S10</f>
        <v>IANS_5_3</v>
      </c>
      <c r="AI10" s="380" t="str">
        <f>Настройки!T10</f>
        <v>out8</v>
      </c>
      <c r="AJ10" s="380" t="str">
        <f>Настройки!U10</f>
        <v>out8</v>
      </c>
      <c r="AK10" s="380" t="str">
        <f>Настройки!V10</f>
        <v>ODIG_9</v>
      </c>
      <c r="AL10" s="380" t="str">
        <f>Настройки!W10</f>
        <v>-</v>
      </c>
      <c r="AM10" s="380" t="str">
        <f>Настройки!X10</f>
        <v>-</v>
      </c>
      <c r="AN10" s="380" t="str">
        <f>Настройки!Y10</f>
        <v>Canal_09</v>
      </c>
      <c r="AO10" s="380" t="str">
        <f>Настройки!Z10</f>
        <v>-</v>
      </c>
      <c r="AP10" s="380" t="str">
        <f>Настройки!AA10</f>
        <v>Canal_09</v>
      </c>
      <c r="AQ10" s="380" t="str">
        <f>Настройки!AB10</f>
        <v>Canal_09</v>
      </c>
      <c r="AR10" s="380" t="str">
        <f>Настройки!AC10</f>
        <v>OCCH[0]</v>
      </c>
      <c r="AS10" s="380" t="str">
        <f>Настройки!AD10</f>
        <v>OCCH[0]</v>
      </c>
      <c r="AT10" s="207" t="str">
        <f>Настройки!AB10</f>
        <v>Canal_09</v>
      </c>
      <c r="AU10" s="207" t="str">
        <f>Настройки!AC10</f>
        <v>OCCH[0]</v>
      </c>
      <c r="AV10" s="207" t="str">
        <f>Настройки!AD10</f>
        <v>OCCH[0]</v>
      </c>
      <c r="AW10" s="207" t="str">
        <f>Настройки!AE10</f>
        <v>IANS_5_1</v>
      </c>
      <c r="AX10" s="207" t="str">
        <f>Настройки!AF10</f>
        <v>IDIG_3_1</v>
      </c>
      <c r="AY10" s="207" t="str">
        <f>Настройки!AG10</f>
        <v>Canal_09</v>
      </c>
      <c r="AZ10" s="207" t="str">
        <f>Настройки!AH10</f>
        <v>Canal_09</v>
      </c>
      <c r="BA10" s="207" t="str">
        <f>Настройки!AI10</f>
        <v>Canal_09</v>
      </c>
      <c r="BB10" s="207" t="str">
        <f>Настройки!AJ10</f>
        <v>Canal_09</v>
      </c>
      <c r="BC10" s="207" t="str">
        <f>Настройки!AK10</f>
        <v>-</v>
      </c>
      <c r="BD10" s="207" t="str">
        <f>Настройки!AL10</f>
        <v>Canal_09</v>
      </c>
      <c r="BE10" s="207" t="str">
        <f>Настройки!AM10</f>
        <v>-</v>
      </c>
    </row>
    <row r="11" spans="1:57">
      <c r="A11" s="448" t="str">
        <f>SUBSTITUTE($P$2,"\","|")&amp;"|"&amp; $V$1 &amp;":="&amp;IF(LEFT(SUBSTITUTE($V$2," ",""),1)="!","NOT  ","")</f>
        <v>ZRU_OL1_s|IRCX:=</v>
      </c>
      <c r="B11" s="448" t="str">
        <f ca="1">IF(LEFT(E11,3)="out","INT_TO_BIT_BR","BR")</f>
        <v>BR</v>
      </c>
      <c r="C11" s="446" t="str">
        <f>LEFT($V$3,FIND("+",$V$3,1)-1)</f>
        <v>6</v>
      </c>
      <c r="D11" s="446" t="s">
        <v>178</v>
      </c>
      <c r="E11" s="446" t="str">
        <f ca="1">IF($V$2=0,"УДАЛИТЬ",IFERROR(IF(OR($I11="-",$H11="0"),"КАНАЛ ОТСУТСТВУЕТ",IF($I11=0,"МОДУЛЬ ОТСУТСТВУЕТ",$I11)),"ОШИБКА ФОРМАТА"))</f>
        <v>Canal_05</v>
      </c>
      <c r="F11" s="446" t="s">
        <v>845</v>
      </c>
      <c r="G11" s="447" t="str">
        <f>INDEX($N$2:$N$61,C11)</f>
        <v>M558O</v>
      </c>
      <c r="H11" s="447" t="str">
        <f>RIGHT($V$3,LEN($V$3)-FIND("+",$V$3,1))</f>
        <v>5</v>
      </c>
      <c r="I11" s="460" t="str">
        <f ca="1">INDIRECT(ADDRESS($H11+1,MATCH($G11,$1:$1,),1))</f>
        <v>Canal_05</v>
      </c>
      <c r="M11" s="424" t="str">
        <f>'Конфигурация TREI'!A12</f>
        <v>BR10</v>
      </c>
      <c r="N11" s="424" t="str">
        <f>'Конфигурация TREI'!B12</f>
        <v>M558O</v>
      </c>
      <c r="AE11" s="431">
        <f>Настройки!P11</f>
        <v>10</v>
      </c>
      <c r="AF11" s="380">
        <f>Настройки!Q11</f>
        <v>0</v>
      </c>
      <c r="AG11" s="380" t="str">
        <f>Настройки!R11</f>
        <v>IDIG_5_2</v>
      </c>
      <c r="AH11" s="380" t="str">
        <f>Настройки!S11</f>
        <v>IANS_5_4</v>
      </c>
      <c r="AI11" s="380" t="str">
        <f>Настройки!T11</f>
        <v>out9</v>
      </c>
      <c r="AJ11" s="380" t="str">
        <f>Настройки!U11</f>
        <v>out9</v>
      </c>
      <c r="AK11" s="380" t="str">
        <f>Настройки!V11</f>
        <v>ODIG_10</v>
      </c>
      <c r="AL11" s="380" t="str">
        <f>Настройки!W11</f>
        <v>-</v>
      </c>
      <c r="AM11" s="380" t="str">
        <f>Настройки!X11</f>
        <v>-</v>
      </c>
      <c r="AN11" s="380" t="str">
        <f>Настройки!Y11</f>
        <v>Canal_10</v>
      </c>
      <c r="AO11" s="380" t="str">
        <f>Настройки!Z11</f>
        <v>-</v>
      </c>
      <c r="AP11" s="380" t="str">
        <f>Настройки!AA11</f>
        <v>Canal_10</v>
      </c>
      <c r="AQ11" s="380" t="str">
        <f>Настройки!AB11</f>
        <v>Canal_10</v>
      </c>
      <c r="AR11" s="380" t="str">
        <f>Настройки!AC11</f>
        <v>OCCH[1]</v>
      </c>
      <c r="AS11" s="380" t="str">
        <f>Настройки!AD11</f>
        <v>OCCH[1]</v>
      </c>
      <c r="AT11" s="207" t="str">
        <f>Настройки!AB11</f>
        <v>Canal_10</v>
      </c>
      <c r="AU11" s="207" t="str">
        <f>Настройки!AC11</f>
        <v>OCCH[1]</v>
      </c>
      <c r="AV11" s="207" t="str">
        <f>Настройки!AD11</f>
        <v>OCCH[1]</v>
      </c>
      <c r="AW11" s="207" t="str">
        <f>Настройки!AE11</f>
        <v>IANS_5_2</v>
      </c>
      <c r="AX11" s="207" t="str">
        <f>Настройки!AF11</f>
        <v>IDIG_3_2</v>
      </c>
      <c r="AY11" s="207" t="str">
        <f>Настройки!AG11</f>
        <v>Canal_10</v>
      </c>
      <c r="AZ11" s="207" t="str">
        <f>Настройки!AH11</f>
        <v>Canal_10</v>
      </c>
      <c r="BA11" s="207" t="str">
        <f>Настройки!AI11</f>
        <v>Canal_10</v>
      </c>
      <c r="BB11" s="207" t="str">
        <f>Настройки!AJ11</f>
        <v>Canal_10</v>
      </c>
      <c r="BC11" s="207" t="str">
        <f>Настройки!AK11</f>
        <v>-</v>
      </c>
      <c r="BD11" s="207" t="str">
        <f>Настройки!AL11</f>
        <v>Canal_10</v>
      </c>
      <c r="BE11" s="207" t="str">
        <f>Настройки!AM11</f>
        <v>-</v>
      </c>
    </row>
    <row r="12" spans="1:57">
      <c r="A12" s="448" t="str">
        <f>SUBSTITUTE($P$2,"\","|")&amp;"|"&amp; $W$1 &amp;":="&amp;IF(LEFT(SUBSTITUTE($W$2," ",""),1)="!","NOT  ","")</f>
        <v>ZRU_OL1_s|IFXX:=</v>
      </c>
      <c r="B12" s="448" t="str">
        <f ca="1">IF(LEFT(E12,3)="out","INT_TO_BIT_BR","BR")</f>
        <v>BR</v>
      </c>
      <c r="C12" s="446" t="str">
        <f>LEFT($W$3,FIND("+",$W$3,1)-1)</f>
        <v>6</v>
      </c>
      <c r="D12" s="446" t="s">
        <v>178</v>
      </c>
      <c r="E12" s="446" t="str">
        <f ca="1">IF($W$2=0,"УДАЛИТЬ",IFERROR(IF(OR($I12="-",$H12="0"),"КАНАЛ ОТСУТСТВУЕТ",IF($I12=0,"МОДУЛЬ ОТСУТСТВУЕТ",$I12)),"ОШИБКА ФОРМАТА"))</f>
        <v>Canal_06</v>
      </c>
      <c r="F12" s="446" t="s">
        <v>845</v>
      </c>
      <c r="G12" s="447" t="str">
        <f>INDEX($N$2:$N$61,C12)</f>
        <v>M558O</v>
      </c>
      <c r="H12" s="447" t="str">
        <f>RIGHT($W$3,LEN($W$3)-FIND("+",$W$3,1))</f>
        <v>6</v>
      </c>
      <c r="I12" s="460" t="str">
        <f ca="1">INDIRECT(ADDRESS($H12+1,MATCH($G12,$1:$1,),1))</f>
        <v>Canal_06</v>
      </c>
      <c r="M12" s="424" t="str">
        <f>'Конфигурация TREI'!A13</f>
        <v>BR11</v>
      </c>
      <c r="N12" s="424" t="str">
        <f>'Конфигурация TREI'!B13</f>
        <v>M558D</v>
      </c>
      <c r="AE12" s="431">
        <f>Настройки!P12</f>
        <v>11</v>
      </c>
      <c r="AF12" s="380">
        <f>Настройки!Q12</f>
        <v>0</v>
      </c>
      <c r="AG12" s="380" t="str">
        <f>Настройки!R12</f>
        <v>IDIG_6_1</v>
      </c>
      <c r="AH12" s="380" t="str">
        <f>Настройки!S12</f>
        <v>IANS_6_3</v>
      </c>
      <c r="AI12" s="380" t="str">
        <f>Настройки!T12</f>
        <v>out10</v>
      </c>
      <c r="AJ12" s="380" t="str">
        <f>Настройки!U12</f>
        <v>out10</v>
      </c>
      <c r="AK12" s="380" t="str">
        <f>Настройки!V12</f>
        <v>ODIG_11</v>
      </c>
      <c r="AL12" s="380" t="str">
        <f>Настройки!W12</f>
        <v>-</v>
      </c>
      <c r="AM12" s="380" t="str">
        <f>Настройки!X12</f>
        <v>-</v>
      </c>
      <c r="AN12" s="380" t="str">
        <f>Настройки!Y12</f>
        <v>Canal_11</v>
      </c>
      <c r="AO12" s="380" t="str">
        <f>Настройки!Z12</f>
        <v>-</v>
      </c>
      <c r="AP12" s="380" t="str">
        <f>Настройки!AA12</f>
        <v>Canal_11</v>
      </c>
      <c r="AQ12" s="380" t="str">
        <f>Настройки!AB12</f>
        <v>Canal_11</v>
      </c>
      <c r="AR12" s="380" t="str">
        <f>Настройки!AC12</f>
        <v>OCCH[2]</v>
      </c>
      <c r="AS12" s="380" t="str">
        <f>Настройки!AD12</f>
        <v>OCCH[2]</v>
      </c>
      <c r="AT12" s="207" t="str">
        <f>Настройки!AB12</f>
        <v>Canal_11</v>
      </c>
      <c r="AU12" s="207" t="str">
        <f>Настройки!AC12</f>
        <v>OCCH[2]</v>
      </c>
      <c r="AV12" s="207" t="str">
        <f>Настройки!AD12</f>
        <v>OCCH[2]</v>
      </c>
      <c r="AW12" s="207" t="str">
        <f>Настройки!AE12</f>
        <v>IANS_6_1</v>
      </c>
      <c r="AX12" s="207" t="str">
        <f>Настройки!AF12</f>
        <v>IDIG_3_3</v>
      </c>
      <c r="AY12" s="207" t="str">
        <f>Настройки!AG12</f>
        <v>Canal_11</v>
      </c>
      <c r="AZ12" s="207" t="str">
        <f>Настройки!AH12</f>
        <v>Canal_11</v>
      </c>
      <c r="BA12" s="207" t="str">
        <f>Настройки!AI12</f>
        <v>Canal_11</v>
      </c>
      <c r="BB12" s="207" t="str">
        <f>Настройки!AJ12</f>
        <v>Canal_11</v>
      </c>
      <c r="BC12" s="207" t="str">
        <f>Настройки!AK12</f>
        <v>-</v>
      </c>
      <c r="BD12" s="207" t="str">
        <f>Настройки!AL12</f>
        <v>Canal_11</v>
      </c>
      <c r="BE12" s="207" t="str">
        <f>Настройки!AM12</f>
        <v>-</v>
      </c>
    </row>
    <row r="13" spans="1:57">
      <c r="A13" s="448" t="str">
        <f>SUBSTITUTE($P$2,"\","|")&amp;"|"&amp;"D"&amp; RIGHT($S$1,3)&amp;":="&amp;P4&amp;"NOT_LINK_BR"</f>
        <v>ZRU_OL1_s|DONX:=NOT_LINK_BR</v>
      </c>
      <c r="B13" s="448"/>
      <c r="C13" s="455"/>
      <c r="D13" s="446"/>
      <c r="E13" s="446" t="str">
        <f>IFERROR(LEFT($S$3,FIND("+",$S$3,1)-1),"УДАЛИТЬ")</f>
        <v>6</v>
      </c>
      <c r="F13" s="446" t="s">
        <v>845</v>
      </c>
      <c r="G13" s="447"/>
      <c r="H13" s="447"/>
      <c r="I13" s="1"/>
      <c r="M13" s="424" t="str">
        <f>'Конфигурация TREI'!A14</f>
        <v>BR12</v>
      </c>
      <c r="N13" s="424" t="str">
        <f>'Конфигурация TREI'!B14</f>
        <v>M558D</v>
      </c>
      <c r="AE13" s="431">
        <f>Настройки!P13</f>
        <v>12</v>
      </c>
      <c r="AF13" s="380">
        <f>Настройки!Q13</f>
        <v>0</v>
      </c>
      <c r="AG13" s="380" t="str">
        <f>Настройки!R13</f>
        <v>IDIG_6_2</v>
      </c>
      <c r="AH13" s="380" t="str">
        <f>Настройки!S13</f>
        <v>IANS_6_4</v>
      </c>
      <c r="AI13" s="380" t="str">
        <f>Настройки!T13</f>
        <v>out11</v>
      </c>
      <c r="AJ13" s="380" t="str">
        <f>Настройки!U13</f>
        <v>out11</v>
      </c>
      <c r="AK13" s="380" t="str">
        <f>Настройки!V13</f>
        <v>ODIG_12</v>
      </c>
      <c r="AL13" s="380" t="str">
        <f>Настройки!W13</f>
        <v>-</v>
      </c>
      <c r="AM13" s="380" t="str">
        <f>Настройки!X13</f>
        <v>-</v>
      </c>
      <c r="AN13" s="380" t="str">
        <f>Настройки!Y13</f>
        <v>Canal_12</v>
      </c>
      <c r="AO13" s="380" t="str">
        <f>Настройки!Z13</f>
        <v>-</v>
      </c>
      <c r="AP13" s="380" t="str">
        <f>Настройки!AA13</f>
        <v>Canal_12</v>
      </c>
      <c r="AQ13" s="380" t="str">
        <f>Настройки!AB13</f>
        <v>Canal_12</v>
      </c>
      <c r="AR13" s="380" t="str">
        <f>Настройки!AC13</f>
        <v>OCCH[3]</v>
      </c>
      <c r="AS13" s="380" t="str">
        <f>Настройки!AD13</f>
        <v>OCCH[3]</v>
      </c>
      <c r="AT13" s="207" t="str">
        <f>Настройки!AB13</f>
        <v>Canal_12</v>
      </c>
      <c r="AU13" s="207" t="str">
        <f>Настройки!AC13</f>
        <v>OCCH[3]</v>
      </c>
      <c r="AV13" s="207" t="str">
        <f>Настройки!AD13</f>
        <v>OCCH[3]</v>
      </c>
      <c r="AW13" s="207" t="str">
        <f>Настройки!AE13</f>
        <v>IANS_6_2</v>
      </c>
      <c r="AX13" s="207" t="str">
        <f>Настройки!AF13</f>
        <v>IDIG_3_4</v>
      </c>
      <c r="AY13" s="207" t="str">
        <f>Настройки!AG13</f>
        <v>Canal_12</v>
      </c>
      <c r="AZ13" s="207" t="str">
        <f>Настройки!AH13</f>
        <v>Canal_12</v>
      </c>
      <c r="BA13" s="207" t="str">
        <f>Настройки!AI13</f>
        <v>Canal_12</v>
      </c>
      <c r="BB13" s="207" t="str">
        <f>Настройки!AJ13</f>
        <v>Canal_12</v>
      </c>
      <c r="BC13" s="207" t="str">
        <f>Настройки!AK13</f>
        <v>-</v>
      </c>
      <c r="BD13" s="207" t="str">
        <f>Настройки!AL13</f>
        <v>Canal_12</v>
      </c>
      <c r="BE13" s="207" t="str">
        <f>Настройки!AM13</f>
        <v>-</v>
      </c>
    </row>
    <row r="14" spans="1:57">
      <c r="A14" s="448" t="str">
        <f>SUBSTITUTE($P$2,"\","|")&amp;"|"&amp;"D"&amp; RIGHT($T$1,3)&amp;":="&amp;P4&amp;"NOT_LINK_BR"</f>
        <v>ZRU_OL1_s|DOFX:=NOT_LINK_BR</v>
      </c>
      <c r="B14" s="448"/>
      <c r="C14" s="455"/>
      <c r="D14" s="446"/>
      <c r="E14" s="446" t="str">
        <f>IFERROR(LEFT($T$3,FIND("+",$T$3,1)-1),"УДАЛИТЬ")</f>
        <v>6</v>
      </c>
      <c r="F14" s="446" t="s">
        <v>845</v>
      </c>
      <c r="G14" s="447"/>
      <c r="H14" s="447"/>
      <c r="I14" s="1"/>
      <c r="M14" s="424" t="str">
        <f>'Конфигурация TREI'!A15</f>
        <v>BR13</v>
      </c>
      <c r="N14" s="424" t="str">
        <f>'Конфигурация TREI'!B15</f>
        <v>M558D</v>
      </c>
      <c r="AE14" s="431">
        <f>Настройки!P14</f>
        <v>13</v>
      </c>
      <c r="AF14" s="380">
        <f>Настройки!Q14</f>
        <v>0</v>
      </c>
      <c r="AG14" s="380" t="str">
        <f>Настройки!R14</f>
        <v>IDIG_7_1</v>
      </c>
      <c r="AH14" s="380" t="str">
        <f>Настройки!S14</f>
        <v>IANS_7_3</v>
      </c>
      <c r="AI14" s="380" t="str">
        <f>Настройки!T14</f>
        <v>out12</v>
      </c>
      <c r="AJ14" s="380" t="str">
        <f>Настройки!U14</f>
        <v>out12</v>
      </c>
      <c r="AK14" s="380" t="str">
        <f>Настройки!V14</f>
        <v>ODIG_13</v>
      </c>
      <c r="AL14" s="380" t="str">
        <f>Настройки!W14</f>
        <v>-</v>
      </c>
      <c r="AM14" s="380" t="str">
        <f>Настройки!X14</f>
        <v>-</v>
      </c>
      <c r="AN14" s="380" t="str">
        <f>Настройки!Y14</f>
        <v>Canal_13</v>
      </c>
      <c r="AO14" s="380" t="str">
        <f>Настройки!Z14</f>
        <v>-</v>
      </c>
      <c r="AP14" s="380" t="str">
        <f>Настройки!AA14</f>
        <v>Canal_13</v>
      </c>
      <c r="AQ14" s="380" t="str">
        <f>Настройки!AB14</f>
        <v>Canal_13</v>
      </c>
      <c r="AR14" s="380" t="str">
        <f>Настройки!AC14</f>
        <v>OCCH[4]</v>
      </c>
      <c r="AS14" s="380" t="str">
        <f>Настройки!AD14</f>
        <v>OCCH[4]</v>
      </c>
      <c r="AT14" s="207" t="str">
        <f>Настройки!AB14</f>
        <v>Canal_13</v>
      </c>
      <c r="AU14" s="207" t="str">
        <f>Настройки!AC14</f>
        <v>OCCH[4]</v>
      </c>
      <c r="AV14" s="207" t="str">
        <f>Настройки!AD14</f>
        <v>OCCH[4]</v>
      </c>
      <c r="AW14" s="207" t="str">
        <f>Настройки!AE14</f>
        <v>IANS_7_1</v>
      </c>
      <c r="AX14" s="207" t="str">
        <f>Настройки!AF14</f>
        <v>IDIG_4_1</v>
      </c>
      <c r="AY14" s="207" t="str">
        <f>Настройки!AG14</f>
        <v>Canal_13</v>
      </c>
      <c r="AZ14" s="207" t="str">
        <f>Настройки!AH14</f>
        <v>Canal_13</v>
      </c>
      <c r="BA14" s="207" t="str">
        <f>Настройки!AI14</f>
        <v>Canal_13</v>
      </c>
      <c r="BB14" s="207" t="str">
        <f>Настройки!AJ14</f>
        <v>Canal_13</v>
      </c>
      <c r="BC14" s="207" t="str">
        <f>Настройки!AK14</f>
        <v>-</v>
      </c>
      <c r="BD14" s="207" t="str">
        <f>Настройки!AL14</f>
        <v>Canal_13</v>
      </c>
      <c r="BE14" s="207" t="str">
        <f>Настройки!AM14</f>
        <v>-</v>
      </c>
    </row>
    <row r="15" spans="1:57">
      <c r="A15" s="448" t="str">
        <f>SUBSTITUTE($P$2,"\","|")&amp;"|"&amp;"D"&amp; RIGHT($U$1,3)&amp;":="&amp;P4&amp;"NOT_LINK_BR"</f>
        <v>ZRU_OL1_s|DLCX:=NOT_LINK_BR</v>
      </c>
      <c r="B15" s="448"/>
      <c r="C15" s="455"/>
      <c r="D15" s="446"/>
      <c r="E15" s="446" t="str">
        <f>IFERROR(LEFT($U$3,FIND("+",$U$3,1)-1),"УДАЛИТЬ")</f>
        <v>6</v>
      </c>
      <c r="F15" s="446" t="s">
        <v>845</v>
      </c>
      <c r="G15" s="447"/>
      <c r="H15" s="447"/>
      <c r="I15" s="1"/>
      <c r="M15" s="424" t="str">
        <f>'Конфигурация TREI'!A16</f>
        <v>BR14</v>
      </c>
      <c r="N15" s="424" t="str">
        <f>'Конфигурация TREI'!B16</f>
        <v>M558D</v>
      </c>
      <c r="AE15" s="431">
        <f>Настройки!P15</f>
        <v>14</v>
      </c>
      <c r="AF15" s="380">
        <f>Настройки!Q15</f>
        <v>0</v>
      </c>
      <c r="AG15" s="380" t="str">
        <f>Настройки!R15</f>
        <v>IDIG_7_2</v>
      </c>
      <c r="AH15" s="380" t="str">
        <f>Настройки!S15</f>
        <v>IANS_7_4</v>
      </c>
      <c r="AI15" s="380" t="str">
        <f>Настройки!T15</f>
        <v>out13</v>
      </c>
      <c r="AJ15" s="380" t="str">
        <f>Настройки!U15</f>
        <v>out13</v>
      </c>
      <c r="AK15" s="380" t="str">
        <f>Настройки!V15</f>
        <v>ODIG_14</v>
      </c>
      <c r="AL15" s="380" t="str">
        <f>Настройки!W15</f>
        <v>-</v>
      </c>
      <c r="AM15" s="380" t="str">
        <f>Настройки!X15</f>
        <v>-</v>
      </c>
      <c r="AN15" s="380" t="str">
        <f>Настройки!Y15</f>
        <v>Canal_14</v>
      </c>
      <c r="AO15" s="380" t="str">
        <f>Настройки!Z15</f>
        <v>-</v>
      </c>
      <c r="AP15" s="380" t="str">
        <f>Настройки!AA15</f>
        <v>Canal_14</v>
      </c>
      <c r="AQ15" s="380" t="str">
        <f>Настройки!AB15</f>
        <v>Canal_14</v>
      </c>
      <c r="AR15" s="380" t="str">
        <f>Настройки!AC15</f>
        <v>OCCH[5]</v>
      </c>
      <c r="AS15" s="380" t="str">
        <f>Настройки!AD15</f>
        <v>OCCH[5]</v>
      </c>
      <c r="AT15" s="207" t="str">
        <f>Настройки!AB15</f>
        <v>Canal_14</v>
      </c>
      <c r="AU15" s="207" t="str">
        <f>Настройки!AC15</f>
        <v>OCCH[5]</v>
      </c>
      <c r="AV15" s="207" t="str">
        <f>Настройки!AD15</f>
        <v>OCCH[5]</v>
      </c>
      <c r="AW15" s="207" t="str">
        <f>Настройки!AE15</f>
        <v>IANS_7_2</v>
      </c>
      <c r="AX15" s="207" t="str">
        <f>Настройки!AF15</f>
        <v>IDIG_4_2</v>
      </c>
      <c r="AY15" s="207" t="str">
        <f>Настройки!AG15</f>
        <v>Canal_14</v>
      </c>
      <c r="AZ15" s="207" t="str">
        <f>Настройки!AH15</f>
        <v>Canal_14</v>
      </c>
      <c r="BA15" s="207" t="str">
        <f>Настройки!AI15</f>
        <v>Canal_14</v>
      </c>
      <c r="BB15" s="207" t="str">
        <f>Настройки!AJ15</f>
        <v>Canal_14</v>
      </c>
      <c r="BC15" s="207" t="str">
        <f>Настройки!AK15</f>
        <v>-</v>
      </c>
      <c r="BD15" s="207" t="str">
        <f>Настройки!AL15</f>
        <v>Canal_14</v>
      </c>
      <c r="BE15" s="207" t="str">
        <f>Настройки!AM15</f>
        <v>-</v>
      </c>
    </row>
    <row r="16" spans="1:57">
      <c r="A16" s="448" t="str">
        <f>SUBSTITUTE($P$2,"\","|")&amp;"|"&amp;"D"&amp; RIGHT($V$1,3)&amp;":="&amp;P4&amp;"NOT_LINK_BR"</f>
        <v>ZRU_OL1_s|DRCX:=NOT_LINK_BR</v>
      </c>
      <c r="B16" s="448"/>
      <c r="C16" s="455"/>
      <c r="D16" s="446"/>
      <c r="E16" s="446" t="str">
        <f>IFERROR(LEFT($V$3,FIND("+",$V$3,1)-1),"УДАЛИТЬ")</f>
        <v>6</v>
      </c>
      <c r="F16" s="446" t="s">
        <v>845</v>
      </c>
      <c r="G16" s="447"/>
      <c r="H16" s="447"/>
      <c r="I16" s="1"/>
      <c r="M16" s="424" t="str">
        <f>'Конфигурация TREI'!A17</f>
        <v>BR15</v>
      </c>
      <c r="N16" s="424" t="str">
        <f>'Конфигурация TREI'!B17</f>
        <v>M558O</v>
      </c>
      <c r="AE16" s="431">
        <f>Настройки!P16</f>
        <v>15</v>
      </c>
      <c r="AF16" s="380">
        <f>Настройки!Q16</f>
        <v>0</v>
      </c>
      <c r="AG16" s="380" t="str">
        <f>Настройки!R16</f>
        <v>IDIG_8_1</v>
      </c>
      <c r="AH16" s="380" t="str">
        <f>Настройки!S16</f>
        <v>IANS_8_3</v>
      </c>
      <c r="AI16" s="380" t="str">
        <f>Настройки!T16</f>
        <v>out14</v>
      </c>
      <c r="AJ16" s="380" t="str">
        <f>Настройки!U16</f>
        <v>out14</v>
      </c>
      <c r="AK16" s="380" t="str">
        <f>Настройки!V16</f>
        <v>ODIG_15</v>
      </c>
      <c r="AL16" s="380" t="str">
        <f>Настройки!W16</f>
        <v>-</v>
      </c>
      <c r="AM16" s="380" t="str">
        <f>Настройки!X16</f>
        <v>-</v>
      </c>
      <c r="AN16" s="380" t="str">
        <f>Настройки!Y16</f>
        <v>Canal_15</v>
      </c>
      <c r="AO16" s="380" t="str">
        <f>Настройки!Z16</f>
        <v>-</v>
      </c>
      <c r="AP16" s="380" t="str">
        <f>Настройки!AA16</f>
        <v>Canal_15</v>
      </c>
      <c r="AQ16" s="380" t="str">
        <f>Настройки!AB16</f>
        <v>Canal_15</v>
      </c>
      <c r="AR16" s="380" t="str">
        <f>Настройки!AC16</f>
        <v>OCCH[6]</v>
      </c>
      <c r="AS16" s="380" t="str">
        <f>Настройки!AD16</f>
        <v>OCCH[6]</v>
      </c>
      <c r="AT16" s="207" t="str">
        <f>Настройки!AB16</f>
        <v>Canal_15</v>
      </c>
      <c r="AU16" s="207" t="str">
        <f>Настройки!AC16</f>
        <v>OCCH[6]</v>
      </c>
      <c r="AV16" s="207" t="str">
        <f>Настройки!AD16</f>
        <v>OCCH[6]</v>
      </c>
      <c r="AW16" s="207" t="str">
        <f>Настройки!AE16</f>
        <v>IANS_8_1</v>
      </c>
      <c r="AX16" s="207" t="str">
        <f>Настройки!AF16</f>
        <v>IDIG_4_3</v>
      </c>
      <c r="AY16" s="207" t="str">
        <f>Настройки!AG16</f>
        <v>Canal_15</v>
      </c>
      <c r="AZ16" s="207" t="str">
        <f>Настройки!AH16</f>
        <v>Canal_15</v>
      </c>
      <c r="BA16" s="207" t="str">
        <f>Настройки!AI16</f>
        <v>Canal_15</v>
      </c>
      <c r="BB16" s="207" t="str">
        <f>Настройки!AJ16</f>
        <v>Canal_15</v>
      </c>
      <c r="BC16" s="207" t="str">
        <f>Настройки!AK16</f>
        <v>-</v>
      </c>
      <c r="BD16" s="207" t="str">
        <f>Настройки!AL16</f>
        <v>Canal_15</v>
      </c>
      <c r="BE16" s="207" t="str">
        <f>Настройки!AM16</f>
        <v>-</v>
      </c>
    </row>
    <row r="17" spans="1:57">
      <c r="A17" s="448" t="str">
        <f>SUBSTITUTE($P$2,"\","|")&amp;"|"&amp;"D"&amp; RIGHT($W$1,3)&amp;":="&amp;P4&amp;"NOT_LINK_BR"</f>
        <v>ZRU_OL1_s|DFXX:=NOT_LINK_BR</v>
      </c>
      <c r="B17" s="448"/>
      <c r="C17" s="455"/>
      <c r="D17" s="446"/>
      <c r="E17" s="446" t="str">
        <f>IFERROR(LEFT($W$3,FIND("+",$W$3,1)-1),"УДАЛИТЬ")</f>
        <v>6</v>
      </c>
      <c r="F17" s="446" t="s">
        <v>845</v>
      </c>
      <c r="G17" s="447"/>
      <c r="H17" s="447"/>
      <c r="I17" s="1"/>
      <c r="M17" s="424" t="str">
        <f>'Конфигурация TREI'!A18</f>
        <v>BR16</v>
      </c>
      <c r="N17" s="424" t="str">
        <f>'Конфигурация TREI'!B18</f>
        <v>M558O</v>
      </c>
      <c r="AE17" s="431">
        <f>Настройки!P17</f>
        <v>16</v>
      </c>
      <c r="AF17" s="380">
        <f>Настройки!Q17</f>
        <v>0</v>
      </c>
      <c r="AG17" s="380" t="str">
        <f>Настройки!R17</f>
        <v>IDIG_8_2</v>
      </c>
      <c r="AH17" s="380" t="str">
        <f>Настройки!S17</f>
        <v>IANS_8_4</v>
      </c>
      <c r="AI17" s="380" t="str">
        <f>Настройки!T17</f>
        <v>out15</v>
      </c>
      <c r="AJ17" s="380" t="str">
        <f>Настройки!U17</f>
        <v>out15</v>
      </c>
      <c r="AK17" s="380" t="str">
        <f>Настройки!V17</f>
        <v>ODIG_16</v>
      </c>
      <c r="AL17" s="380" t="str">
        <f>Настройки!W17</f>
        <v>-</v>
      </c>
      <c r="AM17" s="380" t="str">
        <f>Настройки!X17</f>
        <v>-</v>
      </c>
      <c r="AN17" s="380" t="str">
        <f>Настройки!Y17</f>
        <v>Canal_16</v>
      </c>
      <c r="AO17" s="380" t="str">
        <f>Настройки!Z17</f>
        <v>-</v>
      </c>
      <c r="AP17" s="380" t="str">
        <f>Настройки!AA17</f>
        <v>Canal_16</v>
      </c>
      <c r="AQ17" s="380" t="str">
        <f>Настройки!AB17</f>
        <v>Canal_16</v>
      </c>
      <c r="AR17" s="380" t="str">
        <f>Настройки!AC17</f>
        <v>OCCH[7]</v>
      </c>
      <c r="AS17" s="380" t="str">
        <f>Настройки!AD17</f>
        <v>OCCH[7]</v>
      </c>
      <c r="AT17" s="207" t="str">
        <f>Настройки!AB17</f>
        <v>Canal_16</v>
      </c>
      <c r="AU17" s="207" t="str">
        <f>Настройки!AC17</f>
        <v>OCCH[7]</v>
      </c>
      <c r="AV17" s="207" t="str">
        <f>Настройки!AD17</f>
        <v>OCCH[7]</v>
      </c>
      <c r="AW17" s="207" t="str">
        <f>Настройки!AE17</f>
        <v>IANS_8_2</v>
      </c>
      <c r="AX17" s="207" t="str">
        <f>Настройки!AF17</f>
        <v>IDIG_4_4</v>
      </c>
      <c r="AY17" s="207" t="str">
        <f>Настройки!AG17</f>
        <v>Canal_16</v>
      </c>
      <c r="AZ17" s="207" t="str">
        <f>Настройки!AH17</f>
        <v>Canal_16</v>
      </c>
      <c r="BA17" s="207" t="str">
        <f>Настройки!AI17</f>
        <v>Canal_16</v>
      </c>
      <c r="BB17" s="207" t="str">
        <f>Настройки!AJ17</f>
        <v>Canal_16</v>
      </c>
      <c r="BC17" s="207" t="str">
        <f>Настройки!AK17</f>
        <v>-</v>
      </c>
      <c r="BD17" s="207" t="str">
        <f>Настройки!AL17</f>
        <v>Canal_16</v>
      </c>
      <c r="BE17" s="207" t="str">
        <f>Настройки!AM17</f>
        <v>-</v>
      </c>
    </row>
    <row r="18" spans="1:57">
      <c r="A18" s="82"/>
      <c r="B18" s="82"/>
      <c r="C18" s="11"/>
      <c r="D18" s="81"/>
      <c r="E18" s="81"/>
      <c r="F18" s="81"/>
      <c r="G18" s="447"/>
      <c r="H18" s="447"/>
      <c r="I18" s="1"/>
      <c r="M18" s="424" t="str">
        <f>'Конфигурация TREI'!A19</f>
        <v>BR17</v>
      </c>
      <c r="N18" s="424" t="str">
        <f>'Конфигурация TREI'!B19</f>
        <v>M558O</v>
      </c>
      <c r="AE18" s="428">
        <f>Настройки!P18</f>
        <v>17</v>
      </c>
      <c r="AF18" s="380">
        <f>Настройки!Q18</f>
        <v>0</v>
      </c>
      <c r="AG18" s="380" t="str">
        <f>Настройки!R18</f>
        <v>-</v>
      </c>
      <c r="AH18" s="380" t="str">
        <f>Настройки!S18</f>
        <v>-</v>
      </c>
      <c r="AI18" s="380" t="str">
        <f>Настройки!T18</f>
        <v>out16</v>
      </c>
      <c r="AJ18" s="380" t="str">
        <f>Настройки!U18</f>
        <v>out16</v>
      </c>
      <c r="AK18" s="380" t="str">
        <f>Настройки!V18</f>
        <v>-</v>
      </c>
      <c r="AL18" s="380" t="str">
        <f>Настройки!W18</f>
        <v>-</v>
      </c>
      <c r="AM18" s="380" t="str">
        <f>Настройки!X18</f>
        <v>-</v>
      </c>
      <c r="AN18" s="380" t="str">
        <f>Настройки!Y18</f>
        <v>-</v>
      </c>
      <c r="AO18" s="380" t="str">
        <f>Настройки!Z18</f>
        <v>-</v>
      </c>
      <c r="AP18" s="380" t="str">
        <f>Настройки!AA18</f>
        <v>Canal_17</v>
      </c>
      <c r="AQ18" s="380" t="str">
        <f>Настройки!AB18</f>
        <v>Canal_17</v>
      </c>
      <c r="AR18" s="380" t="str">
        <f>Настройки!AC18</f>
        <v>-</v>
      </c>
      <c r="AS18" s="380" t="str">
        <f>Настройки!AD18</f>
        <v>-</v>
      </c>
      <c r="AT18" s="207" t="str">
        <f>Настройки!AB18</f>
        <v>Canal_17</v>
      </c>
      <c r="AU18" s="207" t="str">
        <f>Настройки!AC18</f>
        <v>-</v>
      </c>
      <c r="AV18" s="207" t="str">
        <f>Настройки!AD18</f>
        <v>-</v>
      </c>
      <c r="AW18" s="207" t="str">
        <f>Настройки!AE18</f>
        <v>-</v>
      </c>
      <c r="AX18" s="207" t="str">
        <f>Настройки!AF18</f>
        <v>IDIG_5_1</v>
      </c>
      <c r="AY18" s="207" t="str">
        <f>Настройки!AG18</f>
        <v>Canal_17</v>
      </c>
      <c r="AZ18" s="207" t="str">
        <f>Настройки!AH18</f>
        <v>Canal_17</v>
      </c>
      <c r="BA18" s="207" t="str">
        <f>Настройки!AI18</f>
        <v>Canal_17</v>
      </c>
      <c r="BB18" s="207" t="str">
        <f>Настройки!AJ18</f>
        <v>-</v>
      </c>
      <c r="BC18" s="207" t="str">
        <f>Настройки!AK18</f>
        <v>-</v>
      </c>
      <c r="BD18" s="207" t="str">
        <f>Настройки!AL18</f>
        <v>Canal_17</v>
      </c>
      <c r="BE18" s="207" t="str">
        <f>Настройки!AM18</f>
        <v>-</v>
      </c>
    </row>
    <row r="19" spans="1:57">
      <c r="A19" s="82"/>
      <c r="B19" s="82"/>
      <c r="C19" s="11"/>
      <c r="D19" s="81"/>
      <c r="E19" s="81"/>
      <c r="F19" s="81"/>
      <c r="G19" s="447"/>
      <c r="H19" s="447"/>
      <c r="I19" s="1"/>
      <c r="M19" s="424" t="str">
        <f>'Конфигурация TREI'!A20</f>
        <v>BR18</v>
      </c>
      <c r="N19" s="424" t="str">
        <f>'Конфигурация TREI'!B20</f>
        <v>M558O</v>
      </c>
      <c r="AE19" s="428">
        <f>Настройки!P19</f>
        <v>18</v>
      </c>
      <c r="AF19" s="380">
        <f>Настройки!Q19</f>
        <v>0</v>
      </c>
      <c r="AG19" s="380" t="str">
        <f>Настройки!R19</f>
        <v>-</v>
      </c>
      <c r="AH19" s="380" t="str">
        <f>Настройки!S19</f>
        <v>-</v>
      </c>
      <c r="AI19" s="380" t="str">
        <f>Настройки!T19</f>
        <v>out17</v>
      </c>
      <c r="AJ19" s="380" t="str">
        <f>Настройки!U19</f>
        <v>out17</v>
      </c>
      <c r="AK19" s="380" t="str">
        <f>Настройки!V19</f>
        <v>-</v>
      </c>
      <c r="AL19" s="380" t="str">
        <f>Настройки!W19</f>
        <v>-</v>
      </c>
      <c r="AM19" s="380" t="str">
        <f>Настройки!X19</f>
        <v>-</v>
      </c>
      <c r="AN19" s="380" t="str">
        <f>Настройки!Y19</f>
        <v>-</v>
      </c>
      <c r="AO19" s="380" t="str">
        <f>Настройки!Z19</f>
        <v>-</v>
      </c>
      <c r="AP19" s="380" t="str">
        <f>Настройки!AA19</f>
        <v>Canal_18</v>
      </c>
      <c r="AQ19" s="380" t="str">
        <f>Настройки!AB19</f>
        <v>Canal_18</v>
      </c>
      <c r="AR19" s="380" t="str">
        <f>Настройки!AC19</f>
        <v>-</v>
      </c>
      <c r="AS19" s="380" t="str">
        <f>Настройки!AD19</f>
        <v>-</v>
      </c>
      <c r="AT19" s="207" t="str">
        <f>Настройки!AB19</f>
        <v>Canal_18</v>
      </c>
      <c r="AU19" s="207" t="str">
        <f>Настройки!AC19</f>
        <v>-</v>
      </c>
      <c r="AV19" s="207" t="str">
        <f>Настройки!AD19</f>
        <v>-</v>
      </c>
      <c r="AW19" s="207" t="str">
        <f>Настройки!AE19</f>
        <v>-</v>
      </c>
      <c r="AX19" s="207" t="str">
        <f>Настройки!AF19</f>
        <v>IDIG_5_2</v>
      </c>
      <c r="AY19" s="207" t="str">
        <f>Настройки!AG19</f>
        <v>Canal_18</v>
      </c>
      <c r="AZ19" s="207" t="str">
        <f>Настройки!AH19</f>
        <v>Canal_18</v>
      </c>
      <c r="BA19" s="207" t="str">
        <f>Настройки!AI19</f>
        <v>Canal_18</v>
      </c>
      <c r="BB19" s="207" t="str">
        <f>Настройки!AJ19</f>
        <v>-</v>
      </c>
      <c r="BC19" s="207" t="str">
        <f>Настройки!AK19</f>
        <v>-</v>
      </c>
      <c r="BD19" s="207" t="str">
        <f>Настройки!AL19</f>
        <v>Canal_18</v>
      </c>
      <c r="BE19" s="207" t="str">
        <f>Настройки!AM19</f>
        <v>-</v>
      </c>
    </row>
    <row r="20" spans="1:57">
      <c r="A20" s="82"/>
      <c r="B20" s="82"/>
      <c r="C20" s="11"/>
      <c r="D20" s="81"/>
      <c r="E20" s="81"/>
      <c r="F20" s="81"/>
      <c r="G20" s="447"/>
      <c r="H20" s="447"/>
      <c r="I20" s="1"/>
      <c r="M20" s="424" t="str">
        <f>'Конфигурация TREI'!A21</f>
        <v>BR19</v>
      </c>
      <c r="N20" s="424" t="str">
        <f>'Конфигурация TREI'!B21</f>
        <v>M558O</v>
      </c>
      <c r="AE20" s="428">
        <f>Настройки!P20</f>
        <v>19</v>
      </c>
      <c r="AF20" s="380">
        <f>Настройки!Q20</f>
        <v>0</v>
      </c>
      <c r="AG20" s="380" t="str">
        <f>Настройки!R20</f>
        <v>-</v>
      </c>
      <c r="AH20" s="380" t="str">
        <f>Настройки!S20</f>
        <v>-</v>
      </c>
      <c r="AI20" s="380" t="str">
        <f>Настройки!T20</f>
        <v>out18</v>
      </c>
      <c r="AJ20" s="380" t="str">
        <f>Настройки!U20</f>
        <v>out18</v>
      </c>
      <c r="AK20" s="380" t="str">
        <f>Настройки!V20</f>
        <v>-</v>
      </c>
      <c r="AL20" s="380" t="str">
        <f>Настройки!W20</f>
        <v>-</v>
      </c>
      <c r="AM20" s="380" t="str">
        <f>Настройки!X20</f>
        <v>-</v>
      </c>
      <c r="AN20" s="380" t="str">
        <f>Настройки!Y20</f>
        <v>-</v>
      </c>
      <c r="AO20" s="380" t="str">
        <f>Настройки!Z20</f>
        <v>-</v>
      </c>
      <c r="AP20" s="380" t="str">
        <f>Настройки!AA20</f>
        <v>Canal_19</v>
      </c>
      <c r="AQ20" s="380" t="str">
        <f>Настройки!AB20</f>
        <v>Canal_19</v>
      </c>
      <c r="AR20" s="380" t="str">
        <f>Настройки!AC20</f>
        <v>-</v>
      </c>
      <c r="AS20" s="380" t="str">
        <f>Настройки!AD20</f>
        <v>-</v>
      </c>
      <c r="AT20" s="207" t="str">
        <f>Настройки!AB20</f>
        <v>Canal_19</v>
      </c>
      <c r="AU20" s="207" t="str">
        <f>Настройки!AC20</f>
        <v>-</v>
      </c>
      <c r="AV20" s="207" t="str">
        <f>Настройки!AD20</f>
        <v>-</v>
      </c>
      <c r="AW20" s="207" t="str">
        <f>Настройки!AE20</f>
        <v>-</v>
      </c>
      <c r="AX20" s="207" t="str">
        <f>Настройки!AF20</f>
        <v>IDIG_5_3</v>
      </c>
      <c r="AY20" s="207" t="str">
        <f>Настройки!AG20</f>
        <v>Canal_19</v>
      </c>
      <c r="AZ20" s="207" t="str">
        <f>Настройки!AH20</f>
        <v>Canal_19</v>
      </c>
      <c r="BA20" s="207" t="str">
        <f>Настройки!AI20</f>
        <v>Canal_19</v>
      </c>
      <c r="BB20" s="207" t="str">
        <f>Настройки!AJ20</f>
        <v>-</v>
      </c>
      <c r="BC20" s="207" t="str">
        <f>Настройки!AK20</f>
        <v>-</v>
      </c>
      <c r="BD20" s="207" t="str">
        <f>Настройки!AL20</f>
        <v>Canal_19</v>
      </c>
      <c r="BE20" s="207" t="str">
        <f>Настройки!AM20</f>
        <v>-</v>
      </c>
    </row>
    <row r="21" spans="1:57">
      <c r="A21" s="82"/>
      <c r="B21" s="82"/>
      <c r="C21" s="11"/>
      <c r="D21" s="81"/>
      <c r="E21" s="81"/>
      <c r="F21" s="81"/>
      <c r="G21" s="447"/>
      <c r="H21" s="447"/>
      <c r="I21" s="1"/>
      <c r="M21" s="424" t="str">
        <f>'Конфигурация TREI'!A22</f>
        <v>BR20</v>
      </c>
      <c r="N21" s="424" t="str">
        <f>'Конфигурация TREI'!B22</f>
        <v>M558D</v>
      </c>
      <c r="AE21" s="428">
        <f>Настройки!P21</f>
        <v>20</v>
      </c>
      <c r="AF21" s="380">
        <f>Настройки!Q21</f>
        <v>0</v>
      </c>
      <c r="AG21" s="380" t="str">
        <f>Настройки!R21</f>
        <v>-</v>
      </c>
      <c r="AH21" s="380" t="str">
        <f>Настройки!S21</f>
        <v>-</v>
      </c>
      <c r="AI21" s="380" t="str">
        <f>Настройки!T21</f>
        <v>out19</v>
      </c>
      <c r="AJ21" s="380" t="str">
        <f>Настройки!U21</f>
        <v>out19</v>
      </c>
      <c r="AK21" s="380" t="str">
        <f>Настройки!V21</f>
        <v>-</v>
      </c>
      <c r="AL21" s="380" t="str">
        <f>Настройки!W21</f>
        <v>-</v>
      </c>
      <c r="AM21" s="380" t="str">
        <f>Настройки!X21</f>
        <v>-</v>
      </c>
      <c r="AN21" s="380" t="str">
        <f>Настройки!Y21</f>
        <v>-</v>
      </c>
      <c r="AO21" s="380" t="str">
        <f>Настройки!Z21</f>
        <v>-</v>
      </c>
      <c r="AP21" s="380" t="str">
        <f>Настройки!AA21</f>
        <v>Canal_20</v>
      </c>
      <c r="AQ21" s="380" t="str">
        <f>Настройки!AB21</f>
        <v>Canal_20</v>
      </c>
      <c r="AR21" s="380" t="str">
        <f>Настройки!AC21</f>
        <v>-</v>
      </c>
      <c r="AS21" s="380" t="str">
        <f>Настройки!AD21</f>
        <v>-</v>
      </c>
      <c r="AT21" s="207" t="str">
        <f>Настройки!AB21</f>
        <v>Canal_20</v>
      </c>
      <c r="AU21" s="207" t="str">
        <f>Настройки!AC21</f>
        <v>-</v>
      </c>
      <c r="AV21" s="207" t="str">
        <f>Настройки!AD21</f>
        <v>-</v>
      </c>
      <c r="AW21" s="207" t="str">
        <f>Настройки!AE21</f>
        <v>-</v>
      </c>
      <c r="AX21" s="207" t="str">
        <f>Настройки!AF21</f>
        <v>IDIG_5_4</v>
      </c>
      <c r="AY21" s="207" t="str">
        <f>Настройки!AG21</f>
        <v>Canal_20</v>
      </c>
      <c r="AZ21" s="207" t="str">
        <f>Настройки!AH21</f>
        <v>Canal_20</v>
      </c>
      <c r="BA21" s="207" t="str">
        <f>Настройки!AI21</f>
        <v>Canal_20</v>
      </c>
      <c r="BB21" s="207" t="str">
        <f>Настройки!AJ21</f>
        <v>-</v>
      </c>
      <c r="BC21" s="207" t="str">
        <f>Настройки!AK21</f>
        <v>-</v>
      </c>
      <c r="BD21" s="207" t="str">
        <f>Настройки!AL21</f>
        <v>Canal_20</v>
      </c>
      <c r="BE21" s="207" t="str">
        <f>Настройки!AM21</f>
        <v>-</v>
      </c>
    </row>
    <row r="22" spans="1:57">
      <c r="A22" s="82"/>
      <c r="B22" s="82"/>
      <c r="C22" s="11"/>
      <c r="D22" s="81"/>
      <c r="E22" s="81"/>
      <c r="F22" s="81"/>
      <c r="G22" s="447"/>
      <c r="H22" s="447"/>
      <c r="I22" s="1"/>
      <c r="M22" s="424" t="str">
        <f>'Конфигурация TREI'!A23</f>
        <v>BR21</v>
      </c>
      <c r="N22" s="424" t="str">
        <f>'Конфигурация TREI'!B23</f>
        <v>M558O</v>
      </c>
      <c r="AE22" s="428">
        <f>Настройки!P22</f>
        <v>21</v>
      </c>
      <c r="AF22" s="380">
        <f>Настройки!Q22</f>
        <v>0</v>
      </c>
      <c r="AG22" s="380" t="str">
        <f>Настройки!R22</f>
        <v>-</v>
      </c>
      <c r="AH22" s="380" t="str">
        <f>Настройки!S22</f>
        <v>-</v>
      </c>
      <c r="AI22" s="380" t="str">
        <f>Настройки!T22</f>
        <v>out20</v>
      </c>
      <c r="AJ22" s="380" t="str">
        <f>Настройки!U22</f>
        <v>out20</v>
      </c>
      <c r="AK22" s="380" t="str">
        <f>Настройки!V22</f>
        <v>-</v>
      </c>
      <c r="AL22" s="380" t="str">
        <f>Настройки!W22</f>
        <v>-</v>
      </c>
      <c r="AM22" s="380" t="str">
        <f>Настройки!X22</f>
        <v>-</v>
      </c>
      <c r="AN22" s="380" t="str">
        <f>Настройки!Y22</f>
        <v>-</v>
      </c>
      <c r="AO22" s="380" t="str">
        <f>Настройки!Z22</f>
        <v>-</v>
      </c>
      <c r="AP22" s="380" t="str">
        <f>Настройки!AA22</f>
        <v>Canal_21</v>
      </c>
      <c r="AQ22" s="380" t="str">
        <f>Настройки!AB22</f>
        <v>Canal_21</v>
      </c>
      <c r="AR22" s="380" t="str">
        <f>Настройки!AC22</f>
        <v>-</v>
      </c>
      <c r="AS22" s="380" t="str">
        <f>Настройки!AD22</f>
        <v>-</v>
      </c>
      <c r="AT22" s="207" t="str">
        <f>Настройки!AB22</f>
        <v>Canal_21</v>
      </c>
      <c r="AU22" s="207" t="str">
        <f>Настройки!AC22</f>
        <v>-</v>
      </c>
      <c r="AV22" s="207" t="str">
        <f>Настройки!AD22</f>
        <v>-</v>
      </c>
      <c r="AW22" s="207" t="str">
        <f>Настройки!AE22</f>
        <v>-</v>
      </c>
      <c r="AX22" s="207" t="str">
        <f>Настройки!AF22</f>
        <v>IDIG_6_1</v>
      </c>
      <c r="AY22" s="207" t="str">
        <f>Настройки!AG22</f>
        <v>Canal_21</v>
      </c>
      <c r="AZ22" s="207" t="str">
        <f>Настройки!AH22</f>
        <v>Canal_21</v>
      </c>
      <c r="BA22" s="207" t="str">
        <f>Настройки!AI22</f>
        <v>Canal_21</v>
      </c>
      <c r="BB22" s="207" t="str">
        <f>Настройки!AJ22</f>
        <v>-</v>
      </c>
      <c r="BC22" s="207" t="str">
        <f>Настройки!AK22</f>
        <v>-</v>
      </c>
      <c r="BD22" s="207" t="str">
        <f>Настройки!AL22</f>
        <v>Canal_21</v>
      </c>
      <c r="BE22" s="207" t="str">
        <f>Настройки!AM22</f>
        <v>-</v>
      </c>
    </row>
    <row r="23" spans="1:57">
      <c r="A23" s="82"/>
      <c r="B23" s="82"/>
      <c r="C23" s="11"/>
      <c r="D23" s="81"/>
      <c r="E23" s="81"/>
      <c r="F23" s="81"/>
      <c r="G23" s="447"/>
      <c r="H23" s="447"/>
      <c r="I23" s="1"/>
      <c r="M23" s="424" t="str">
        <f>'Конфигурация TREI'!A24</f>
        <v>BR22</v>
      </c>
      <c r="N23" s="424" t="str">
        <f>'Конфигурация TREI'!B24</f>
        <v>M558D</v>
      </c>
      <c r="AE23" s="428">
        <f>Настройки!P23</f>
        <v>22</v>
      </c>
      <c r="AF23" s="380">
        <f>Настройки!Q23</f>
        <v>0</v>
      </c>
      <c r="AG23" s="380" t="str">
        <f>Настройки!R23</f>
        <v>-</v>
      </c>
      <c r="AH23" s="380" t="str">
        <f>Настройки!S23</f>
        <v>-</v>
      </c>
      <c r="AI23" s="380" t="str">
        <f>Настройки!T23</f>
        <v>out21</v>
      </c>
      <c r="AJ23" s="380" t="str">
        <f>Настройки!U23</f>
        <v>out21</v>
      </c>
      <c r="AK23" s="380" t="str">
        <f>Настройки!V23</f>
        <v>-</v>
      </c>
      <c r="AL23" s="380" t="str">
        <f>Настройки!W23</f>
        <v>-</v>
      </c>
      <c r="AM23" s="380" t="str">
        <f>Настройки!X23</f>
        <v>-</v>
      </c>
      <c r="AN23" s="380" t="str">
        <f>Настройки!Y23</f>
        <v>-</v>
      </c>
      <c r="AO23" s="380" t="str">
        <f>Настройки!Z23</f>
        <v>-</v>
      </c>
      <c r="AP23" s="380" t="str">
        <f>Настройки!AA23</f>
        <v>Canal_22</v>
      </c>
      <c r="AQ23" s="380" t="str">
        <f>Настройки!AB23</f>
        <v>Canal_22</v>
      </c>
      <c r="AR23" s="380" t="str">
        <f>Настройки!AC23</f>
        <v>-</v>
      </c>
      <c r="AS23" s="380" t="str">
        <f>Настройки!AD23</f>
        <v>-</v>
      </c>
      <c r="AT23" s="207" t="str">
        <f>Настройки!AB23</f>
        <v>Canal_22</v>
      </c>
      <c r="AU23" s="207" t="str">
        <f>Настройки!AC23</f>
        <v>-</v>
      </c>
      <c r="AV23" s="207" t="str">
        <f>Настройки!AD23</f>
        <v>-</v>
      </c>
      <c r="AW23" s="207" t="str">
        <f>Настройки!AE23</f>
        <v>-</v>
      </c>
      <c r="AX23" s="207" t="str">
        <f>Настройки!AF23</f>
        <v>IDIG_6_2</v>
      </c>
      <c r="AY23" s="207" t="str">
        <f>Настройки!AG23</f>
        <v>Canal_22</v>
      </c>
      <c r="AZ23" s="207" t="str">
        <f>Настройки!AH23</f>
        <v>Canal_22</v>
      </c>
      <c r="BA23" s="207" t="str">
        <f>Настройки!AI23</f>
        <v>Canal_22</v>
      </c>
      <c r="BB23" s="207" t="str">
        <f>Настройки!AJ23</f>
        <v>-</v>
      </c>
      <c r="BC23" s="207" t="str">
        <f>Настройки!AK23</f>
        <v>-</v>
      </c>
      <c r="BD23" s="207" t="str">
        <f>Настройки!AL23</f>
        <v>Canal_22</v>
      </c>
      <c r="BE23" s="207" t="str">
        <f>Настройки!AM23</f>
        <v>-</v>
      </c>
    </row>
    <row r="24" spans="1:57">
      <c r="A24" s="82"/>
      <c r="B24" s="82"/>
      <c r="C24" s="11"/>
      <c r="D24" s="81"/>
      <c r="E24" s="81"/>
      <c r="F24" s="81"/>
      <c r="G24" s="447"/>
      <c r="H24" s="447"/>
      <c r="I24" s="1"/>
      <c r="M24" s="424" t="str">
        <f>'Конфигурация TREI'!A25</f>
        <v>BR23</v>
      </c>
      <c r="N24" s="424" t="str">
        <f>'Конфигурация TREI'!B25</f>
        <v>M558O</v>
      </c>
      <c r="AE24" s="428">
        <f>Настройки!P24</f>
        <v>23</v>
      </c>
      <c r="AF24" s="380">
        <f>Настройки!Q24</f>
        <v>0</v>
      </c>
      <c r="AG24" s="380" t="str">
        <f>Настройки!R24</f>
        <v>-</v>
      </c>
      <c r="AH24" s="380" t="str">
        <f>Настройки!S24</f>
        <v>-</v>
      </c>
      <c r="AI24" s="380" t="str">
        <f>Настройки!T24</f>
        <v>out22</v>
      </c>
      <c r="AJ24" s="380" t="str">
        <f>Настройки!U24</f>
        <v>out22</v>
      </c>
      <c r="AK24" s="380" t="str">
        <f>Настройки!V24</f>
        <v>-</v>
      </c>
      <c r="AL24" s="380" t="str">
        <f>Настройки!W24</f>
        <v>-</v>
      </c>
      <c r="AM24" s="380" t="str">
        <f>Настройки!X24</f>
        <v>-</v>
      </c>
      <c r="AN24" s="380" t="str">
        <f>Настройки!Y24</f>
        <v>-</v>
      </c>
      <c r="AO24" s="380" t="str">
        <f>Настройки!Z24</f>
        <v>-</v>
      </c>
      <c r="AP24" s="380" t="str">
        <f>Настройки!AA24</f>
        <v>Canal_23</v>
      </c>
      <c r="AQ24" s="380" t="str">
        <f>Настройки!AB24</f>
        <v>Canal_23</v>
      </c>
      <c r="AR24" s="380" t="str">
        <f>Настройки!AC24</f>
        <v>-</v>
      </c>
      <c r="AS24" s="380" t="str">
        <f>Настройки!AD24</f>
        <v>-</v>
      </c>
      <c r="AT24" s="207" t="str">
        <f>Настройки!AB24</f>
        <v>Canal_23</v>
      </c>
      <c r="AU24" s="207" t="str">
        <f>Настройки!AC24</f>
        <v>-</v>
      </c>
      <c r="AV24" s="207" t="str">
        <f>Настройки!AD24</f>
        <v>-</v>
      </c>
      <c r="AW24" s="207" t="str">
        <f>Настройки!AE24</f>
        <v>-</v>
      </c>
      <c r="AX24" s="207" t="str">
        <f>Настройки!AF24</f>
        <v>IDIG_6_3</v>
      </c>
      <c r="AY24" s="207" t="str">
        <f>Настройки!AG24</f>
        <v>Canal_23</v>
      </c>
      <c r="AZ24" s="207" t="str">
        <f>Настройки!AH24</f>
        <v>Canal_23</v>
      </c>
      <c r="BA24" s="207" t="str">
        <f>Настройки!AI24</f>
        <v>Canal_23</v>
      </c>
      <c r="BB24" s="207" t="str">
        <f>Настройки!AJ24</f>
        <v>-</v>
      </c>
      <c r="BC24" s="207" t="str">
        <f>Настройки!AK24</f>
        <v>-</v>
      </c>
      <c r="BD24" s="207" t="str">
        <f>Настройки!AL24</f>
        <v>Canal_23</v>
      </c>
      <c r="BE24" s="207" t="str">
        <f>Настройки!AM24</f>
        <v>-</v>
      </c>
    </row>
    <row r="25" spans="1:57">
      <c r="A25" s="82"/>
      <c r="B25" s="82"/>
      <c r="C25" s="11"/>
      <c r="D25" s="81"/>
      <c r="E25" s="81"/>
      <c r="F25" s="81"/>
      <c r="G25" s="447"/>
      <c r="H25" s="447"/>
      <c r="I25" s="1"/>
      <c r="M25" s="424" t="str">
        <f>'Конфигурация TREI'!A26</f>
        <v>BR24</v>
      </c>
      <c r="N25" s="424" t="str">
        <f>'Конфигурация TREI'!B26</f>
        <v>M558D</v>
      </c>
      <c r="AE25" s="428">
        <f>Настройки!P25</f>
        <v>24</v>
      </c>
      <c r="AF25" s="380">
        <f>Настройки!Q25</f>
        <v>0</v>
      </c>
      <c r="AG25" s="380" t="str">
        <f>Настройки!R25</f>
        <v>-</v>
      </c>
      <c r="AH25" s="380" t="str">
        <f>Настройки!S25</f>
        <v>-</v>
      </c>
      <c r="AI25" s="380" t="str">
        <f>Настройки!T25</f>
        <v>out23</v>
      </c>
      <c r="AJ25" s="380" t="str">
        <f>Настройки!U25</f>
        <v>out23</v>
      </c>
      <c r="AK25" s="380" t="str">
        <f>Настройки!V25</f>
        <v>-</v>
      </c>
      <c r="AL25" s="380" t="str">
        <f>Настройки!W25</f>
        <v>-</v>
      </c>
      <c r="AM25" s="380" t="str">
        <f>Настройки!X25</f>
        <v>-</v>
      </c>
      <c r="AN25" s="380" t="str">
        <f>Настройки!Y25</f>
        <v>-</v>
      </c>
      <c r="AO25" s="380" t="str">
        <f>Настройки!Z25</f>
        <v>-</v>
      </c>
      <c r="AP25" s="380" t="str">
        <f>Настройки!AA25</f>
        <v>Canal_24</v>
      </c>
      <c r="AQ25" s="380" t="str">
        <f>Настройки!AB25</f>
        <v>Canal_24</v>
      </c>
      <c r="AR25" s="380" t="str">
        <f>Настройки!AC25</f>
        <v>-</v>
      </c>
      <c r="AS25" s="380" t="str">
        <f>Настройки!AD25</f>
        <v>-</v>
      </c>
      <c r="AT25" s="207" t="str">
        <f>Настройки!AB25</f>
        <v>Canal_24</v>
      </c>
      <c r="AU25" s="207" t="str">
        <f>Настройки!AC25</f>
        <v>-</v>
      </c>
      <c r="AV25" s="207" t="str">
        <f>Настройки!AD25</f>
        <v>-</v>
      </c>
      <c r="AW25" s="207" t="str">
        <f>Настройки!AE25</f>
        <v>-</v>
      </c>
      <c r="AX25" s="207" t="str">
        <f>Настройки!AF25</f>
        <v>IDIG_6_4</v>
      </c>
      <c r="AY25" s="207" t="str">
        <f>Настройки!AG25</f>
        <v>Canal_24</v>
      </c>
      <c r="AZ25" s="207" t="str">
        <f>Настройки!AH25</f>
        <v>Canal_24</v>
      </c>
      <c r="BA25" s="207" t="str">
        <f>Настройки!AI25</f>
        <v>Canal_24</v>
      </c>
      <c r="BB25" s="207" t="str">
        <f>Настройки!AJ25</f>
        <v>-</v>
      </c>
      <c r="BC25" s="207" t="str">
        <f>Настройки!AK25</f>
        <v>-</v>
      </c>
      <c r="BD25" s="207" t="str">
        <f>Настройки!AL25</f>
        <v>Canal_24</v>
      </c>
      <c r="BE25" s="207" t="str">
        <f>Настройки!AM25</f>
        <v>-</v>
      </c>
    </row>
    <row r="26" spans="1:57">
      <c r="A26" s="82"/>
      <c r="B26" s="82"/>
      <c r="C26" s="11"/>
      <c r="D26" s="81"/>
      <c r="E26" s="81"/>
      <c r="F26" s="81"/>
      <c r="G26" s="447"/>
      <c r="H26" s="447"/>
      <c r="I26" s="1"/>
      <c r="M26" s="424" t="str">
        <f>'Конфигурация TREI'!A27</f>
        <v>BR25</v>
      </c>
      <c r="N26" s="424" t="str">
        <f>'Конфигурация TREI'!B27</f>
        <v>M558D</v>
      </c>
      <c r="AE26" s="428">
        <f>Настройки!P26</f>
        <v>25</v>
      </c>
      <c r="AF26" s="380">
        <f>Настройки!Q26</f>
        <v>0</v>
      </c>
      <c r="AG26" s="380" t="str">
        <f>Настройки!R26</f>
        <v>-</v>
      </c>
      <c r="AH26" s="380" t="str">
        <f>Настройки!S26</f>
        <v>-</v>
      </c>
      <c r="AI26" s="380" t="str">
        <f>Настройки!T26</f>
        <v>out24</v>
      </c>
      <c r="AJ26" s="380" t="str">
        <f>Настройки!U26</f>
        <v>out24</v>
      </c>
      <c r="AK26" s="380" t="str">
        <f>Настройки!V26</f>
        <v>-</v>
      </c>
      <c r="AL26" s="380" t="str">
        <f>Настройки!W26</f>
        <v>-</v>
      </c>
      <c r="AM26" s="380" t="str">
        <f>Настройки!X26</f>
        <v>-</v>
      </c>
      <c r="AN26" s="380" t="str">
        <f>Настройки!Y26</f>
        <v>-</v>
      </c>
      <c r="AO26" s="380" t="str">
        <f>Настройки!Z26</f>
        <v>-</v>
      </c>
      <c r="AP26" s="380" t="str">
        <f>Настройки!AA26</f>
        <v>Canal_25</v>
      </c>
      <c r="AQ26" s="380" t="str">
        <f>Настройки!AB26</f>
        <v>Canal_25</v>
      </c>
      <c r="AR26" s="380" t="str">
        <f>Настройки!AC26</f>
        <v>-</v>
      </c>
      <c r="AS26" s="380" t="str">
        <f>Настройки!AD26</f>
        <v>-</v>
      </c>
      <c r="AT26" s="207" t="str">
        <f>Настройки!AB26</f>
        <v>Canal_25</v>
      </c>
      <c r="AU26" s="207" t="str">
        <f>Настройки!AC26</f>
        <v>-</v>
      </c>
      <c r="AV26" s="207" t="str">
        <f>Настройки!AD26</f>
        <v>-</v>
      </c>
      <c r="AW26" s="207" t="str">
        <f>Настройки!AE26</f>
        <v>-</v>
      </c>
      <c r="AX26" s="207" t="str">
        <f>Настройки!AF26</f>
        <v>IDIG_7_1</v>
      </c>
      <c r="AY26" s="207" t="str">
        <f>Настройки!AG26</f>
        <v>Canal_25</v>
      </c>
      <c r="AZ26" s="207" t="str">
        <f>Настройки!AH26</f>
        <v>Canal_25</v>
      </c>
      <c r="BA26" s="207" t="str">
        <f>Настройки!AI26</f>
        <v>Canal_25</v>
      </c>
      <c r="BB26" s="207" t="str">
        <f>Настройки!AJ26</f>
        <v>-</v>
      </c>
      <c r="BC26" s="207" t="str">
        <f>Настройки!AK26</f>
        <v>-</v>
      </c>
      <c r="BD26" s="207" t="str">
        <f>Настройки!AL26</f>
        <v>Canal_25</v>
      </c>
      <c r="BE26" s="207" t="str">
        <f>Настройки!AM26</f>
        <v>-</v>
      </c>
    </row>
    <row r="27" spans="1:57">
      <c r="A27" s="82"/>
      <c r="B27" s="82"/>
      <c r="C27" s="11"/>
      <c r="D27" s="81"/>
      <c r="E27" s="81"/>
      <c r="F27" s="81"/>
      <c r="G27" s="447"/>
      <c r="H27" s="447"/>
      <c r="I27" s="1"/>
      <c r="M27" s="424" t="str">
        <f>'Конфигурация TREI'!A28</f>
        <v>BR26</v>
      </c>
      <c r="N27" s="424" t="str">
        <f>'Конфигурация TREI'!B28</f>
        <v>M558D</v>
      </c>
      <c r="AE27" s="428">
        <f>Настройки!P27</f>
        <v>26</v>
      </c>
      <c r="AF27" s="380">
        <f>Настройки!Q27</f>
        <v>0</v>
      </c>
      <c r="AG27" s="380" t="str">
        <f>Настройки!R27</f>
        <v>-</v>
      </c>
      <c r="AH27" s="380" t="str">
        <f>Настройки!S27</f>
        <v>-</v>
      </c>
      <c r="AI27" s="380" t="str">
        <f>Настройки!T27</f>
        <v>out25</v>
      </c>
      <c r="AJ27" s="380" t="str">
        <f>Настройки!U27</f>
        <v>out25</v>
      </c>
      <c r="AK27" s="380" t="str">
        <f>Настройки!V27</f>
        <v>-</v>
      </c>
      <c r="AL27" s="380" t="str">
        <f>Настройки!W27</f>
        <v>-</v>
      </c>
      <c r="AM27" s="380" t="str">
        <f>Настройки!X27</f>
        <v>-</v>
      </c>
      <c r="AN27" s="380" t="str">
        <f>Настройки!Y27</f>
        <v>-</v>
      </c>
      <c r="AO27" s="380" t="str">
        <f>Настройки!Z27</f>
        <v>-</v>
      </c>
      <c r="AP27" s="380" t="str">
        <f>Настройки!AA27</f>
        <v>Canal_26</v>
      </c>
      <c r="AQ27" s="380" t="str">
        <f>Настройки!AB27</f>
        <v>Canal_26</v>
      </c>
      <c r="AR27" s="380" t="str">
        <f>Настройки!AC27</f>
        <v>-</v>
      </c>
      <c r="AS27" s="380" t="str">
        <f>Настройки!AD27</f>
        <v>-</v>
      </c>
      <c r="AT27" s="207" t="str">
        <f>Настройки!AB27</f>
        <v>Canal_26</v>
      </c>
      <c r="AU27" s="207" t="str">
        <f>Настройки!AC27</f>
        <v>-</v>
      </c>
      <c r="AV27" s="207" t="str">
        <f>Настройки!AD27</f>
        <v>-</v>
      </c>
      <c r="AW27" s="207" t="str">
        <f>Настройки!AE27</f>
        <v>-</v>
      </c>
      <c r="AX27" s="207" t="str">
        <f>Настройки!AF27</f>
        <v>IDIG_7_2</v>
      </c>
      <c r="AY27" s="207" t="str">
        <f>Настройки!AG27</f>
        <v>Canal_26</v>
      </c>
      <c r="AZ27" s="207" t="str">
        <f>Настройки!AH27</f>
        <v>Canal_26</v>
      </c>
      <c r="BA27" s="207" t="str">
        <f>Настройки!AI27</f>
        <v>Canal_26</v>
      </c>
      <c r="BB27" s="207" t="str">
        <f>Настройки!AJ27</f>
        <v>-</v>
      </c>
      <c r="BC27" s="207" t="str">
        <f>Настройки!AK27</f>
        <v>-</v>
      </c>
      <c r="BD27" s="207" t="str">
        <f>Настройки!AL27</f>
        <v>Canal_26</v>
      </c>
      <c r="BE27" s="207" t="str">
        <f>Настройки!AM27</f>
        <v>-</v>
      </c>
    </row>
    <row r="28" spans="1:57">
      <c r="A28" s="82"/>
      <c r="B28" s="82"/>
      <c r="C28" s="11"/>
      <c r="D28" s="81"/>
      <c r="E28" s="81"/>
      <c r="F28" s="81"/>
      <c r="G28" s="447"/>
      <c r="H28" s="447"/>
      <c r="I28" s="1"/>
      <c r="M28" s="424" t="str">
        <f>'Конфигурация TREI'!A29</f>
        <v>BR27</v>
      </c>
      <c r="N28" s="424" t="str">
        <f>'Конфигурация TREI'!B29</f>
        <v>M558D</v>
      </c>
      <c r="AE28" s="428">
        <f>Настройки!P28</f>
        <v>27</v>
      </c>
      <c r="AF28" s="380">
        <f>Настройки!Q28</f>
        <v>0</v>
      </c>
      <c r="AG28" s="380" t="str">
        <f>Настройки!R28</f>
        <v>-</v>
      </c>
      <c r="AH28" s="380" t="str">
        <f>Настройки!S28</f>
        <v>-</v>
      </c>
      <c r="AI28" s="380" t="str">
        <f>Настройки!T28</f>
        <v>out26</v>
      </c>
      <c r="AJ28" s="380" t="str">
        <f>Настройки!U28</f>
        <v>out26</v>
      </c>
      <c r="AK28" s="380" t="str">
        <f>Настройки!V28</f>
        <v>-</v>
      </c>
      <c r="AL28" s="380" t="str">
        <f>Настройки!W28</f>
        <v>-</v>
      </c>
      <c r="AM28" s="380" t="str">
        <f>Настройки!X28</f>
        <v>-</v>
      </c>
      <c r="AN28" s="380" t="str">
        <f>Настройки!Y28</f>
        <v>-</v>
      </c>
      <c r="AO28" s="380" t="str">
        <f>Настройки!Z28</f>
        <v>-</v>
      </c>
      <c r="AP28" s="380" t="str">
        <f>Настройки!AA28</f>
        <v>Canal_27</v>
      </c>
      <c r="AQ28" s="380" t="str">
        <f>Настройки!AB28</f>
        <v>Canal_27</v>
      </c>
      <c r="AR28" s="380" t="str">
        <f>Настройки!AC28</f>
        <v>-</v>
      </c>
      <c r="AS28" s="380" t="str">
        <f>Настройки!AD28</f>
        <v>-</v>
      </c>
      <c r="AT28" s="207" t="str">
        <f>Настройки!AB28</f>
        <v>Canal_27</v>
      </c>
      <c r="AU28" s="207" t="str">
        <f>Настройки!AC28</f>
        <v>-</v>
      </c>
      <c r="AV28" s="207" t="str">
        <f>Настройки!AD28</f>
        <v>-</v>
      </c>
      <c r="AW28" s="207" t="str">
        <f>Настройки!AE28</f>
        <v>-</v>
      </c>
      <c r="AX28" s="207" t="str">
        <f>Настройки!AF28</f>
        <v>IDIG_7_3</v>
      </c>
      <c r="AY28" s="207" t="str">
        <f>Настройки!AG28</f>
        <v>Canal_27</v>
      </c>
      <c r="AZ28" s="207" t="str">
        <f>Настройки!AH28</f>
        <v>Canal_27</v>
      </c>
      <c r="BA28" s="207" t="str">
        <f>Настройки!AI28</f>
        <v>Canal_27</v>
      </c>
      <c r="BB28" s="207" t="str">
        <f>Настройки!AJ28</f>
        <v>-</v>
      </c>
      <c r="BC28" s="207" t="str">
        <f>Настройки!AK28</f>
        <v>-</v>
      </c>
      <c r="BD28" s="207" t="str">
        <f>Настройки!AL28</f>
        <v>Canal_27</v>
      </c>
      <c r="BE28" s="207" t="str">
        <f>Настройки!AM28</f>
        <v>-</v>
      </c>
    </row>
    <row r="29" spans="1:57">
      <c r="A29" s="82"/>
      <c r="B29" s="82"/>
      <c r="C29" s="11"/>
      <c r="D29" s="81"/>
      <c r="E29" s="81"/>
      <c r="F29" s="81"/>
      <c r="G29" s="447"/>
      <c r="H29" s="447"/>
      <c r="I29" s="1"/>
      <c r="M29" s="424" t="str">
        <f>'Конфигурация TREI'!A30</f>
        <v>BR28</v>
      </c>
      <c r="N29" s="424" t="str">
        <f>'Конфигурация TREI'!B30</f>
        <v>M558D</v>
      </c>
      <c r="AE29" s="428">
        <f>Настройки!P29</f>
        <v>28</v>
      </c>
      <c r="AF29" s="380">
        <f>Настройки!Q29</f>
        <v>0</v>
      </c>
      <c r="AG29" s="380" t="str">
        <f>Настройки!R29</f>
        <v>-</v>
      </c>
      <c r="AH29" s="380" t="str">
        <f>Настройки!S29</f>
        <v>-</v>
      </c>
      <c r="AI29" s="380" t="str">
        <f>Настройки!T29</f>
        <v>out27</v>
      </c>
      <c r="AJ29" s="380" t="str">
        <f>Настройки!U29</f>
        <v>out27</v>
      </c>
      <c r="AK29" s="380" t="str">
        <f>Настройки!V29</f>
        <v>-</v>
      </c>
      <c r="AL29" s="380" t="str">
        <f>Настройки!W29</f>
        <v>-</v>
      </c>
      <c r="AM29" s="380" t="str">
        <f>Настройки!X29</f>
        <v>-</v>
      </c>
      <c r="AN29" s="380" t="str">
        <f>Настройки!Y29</f>
        <v>-</v>
      </c>
      <c r="AO29" s="380" t="str">
        <f>Настройки!Z29</f>
        <v>-</v>
      </c>
      <c r="AP29" s="380" t="str">
        <f>Настройки!AA29</f>
        <v>Canal_28</v>
      </c>
      <c r="AQ29" s="380" t="str">
        <f>Настройки!AB29</f>
        <v>Canal_28</v>
      </c>
      <c r="AR29" s="380" t="str">
        <f>Настройки!AC29</f>
        <v>-</v>
      </c>
      <c r="AS29" s="380" t="str">
        <f>Настройки!AD29</f>
        <v>-</v>
      </c>
      <c r="AT29" s="207" t="str">
        <f>Настройки!AB29</f>
        <v>Canal_28</v>
      </c>
      <c r="AU29" s="207" t="str">
        <f>Настройки!AC29</f>
        <v>-</v>
      </c>
      <c r="AV29" s="207" t="str">
        <f>Настройки!AD29</f>
        <v>-</v>
      </c>
      <c r="AW29" s="207" t="str">
        <f>Настройки!AE29</f>
        <v>-</v>
      </c>
      <c r="AX29" s="207" t="str">
        <f>Настройки!AF29</f>
        <v>IDIG_7_4</v>
      </c>
      <c r="AY29" s="207" t="str">
        <f>Настройки!AG29</f>
        <v>Canal_28</v>
      </c>
      <c r="AZ29" s="207" t="str">
        <f>Настройки!AH29</f>
        <v>Canal_28</v>
      </c>
      <c r="BA29" s="207" t="str">
        <f>Настройки!AI29</f>
        <v>Canal_28</v>
      </c>
      <c r="BB29" s="207" t="str">
        <f>Настройки!AJ29</f>
        <v>-</v>
      </c>
      <c r="BC29" s="207" t="str">
        <f>Настройки!AK29</f>
        <v>-</v>
      </c>
      <c r="BD29" s="207" t="str">
        <f>Настройки!AL29</f>
        <v>Canal_28</v>
      </c>
      <c r="BE29" s="207" t="str">
        <f>Настройки!AM29</f>
        <v>-</v>
      </c>
    </row>
    <row r="30" spans="1:57">
      <c r="A30" s="1"/>
      <c r="B30" s="1"/>
      <c r="C30" s="1"/>
      <c r="D30" s="1"/>
      <c r="E30" s="1"/>
      <c r="F30" s="1"/>
      <c r="G30" s="1"/>
      <c r="H30" s="1"/>
      <c r="I30" s="1"/>
      <c r="M30" s="424" t="str">
        <f>'Конфигурация TREI'!A31</f>
        <v>BR29</v>
      </c>
      <c r="N30" s="424" t="str">
        <f>'Конфигурация TREI'!B31</f>
        <v>M558O</v>
      </c>
      <c r="AE30" s="428">
        <f>Настройки!P30</f>
        <v>29</v>
      </c>
      <c r="AF30" s="380">
        <f>Настройки!Q30</f>
        <v>0</v>
      </c>
      <c r="AG30" s="380" t="str">
        <f>Настройки!R30</f>
        <v>-</v>
      </c>
      <c r="AH30" s="380" t="str">
        <f>Настройки!S30</f>
        <v>-</v>
      </c>
      <c r="AI30" s="380" t="str">
        <f>Настройки!T30</f>
        <v>out28</v>
      </c>
      <c r="AJ30" s="380" t="str">
        <f>Настройки!U30</f>
        <v>out28</v>
      </c>
      <c r="AK30" s="380" t="str">
        <f>Настройки!V30</f>
        <v>-</v>
      </c>
      <c r="AL30" s="380" t="str">
        <f>Настройки!W30</f>
        <v>-</v>
      </c>
      <c r="AM30" s="380" t="str">
        <f>Настройки!X30</f>
        <v>-</v>
      </c>
      <c r="AN30" s="380" t="str">
        <f>Настройки!Y30</f>
        <v>-</v>
      </c>
      <c r="AO30" s="380" t="str">
        <f>Настройки!Z30</f>
        <v>-</v>
      </c>
      <c r="AP30" s="380" t="str">
        <f>Настройки!AA30</f>
        <v>Canal_29</v>
      </c>
      <c r="AQ30" s="380" t="str">
        <f>Настройки!AB30</f>
        <v>Canal_29</v>
      </c>
      <c r="AR30" s="380" t="str">
        <f>Настройки!AC30</f>
        <v>-</v>
      </c>
      <c r="AS30" s="380" t="str">
        <f>Настройки!AD30</f>
        <v>-</v>
      </c>
      <c r="AT30" s="207" t="str">
        <f>Настройки!AB30</f>
        <v>Canal_29</v>
      </c>
      <c r="AU30" s="207" t="str">
        <f>Настройки!AC30</f>
        <v>-</v>
      </c>
      <c r="AV30" s="207" t="str">
        <f>Настройки!AD30</f>
        <v>-</v>
      </c>
      <c r="AW30" s="207" t="str">
        <f>Настройки!AE30</f>
        <v>-</v>
      </c>
      <c r="AX30" s="207" t="str">
        <f>Настройки!AF30</f>
        <v>IDIG_8_1</v>
      </c>
      <c r="AY30" s="207" t="str">
        <f>Настройки!AG30</f>
        <v>Canal_29</v>
      </c>
      <c r="AZ30" s="207" t="str">
        <f>Настройки!AH30</f>
        <v>Canal_29</v>
      </c>
      <c r="BA30" s="207" t="str">
        <f>Настройки!AI30</f>
        <v>Canal_29</v>
      </c>
      <c r="BB30" s="207" t="str">
        <f>Настройки!AJ30</f>
        <v>-</v>
      </c>
      <c r="BC30" s="207" t="str">
        <f>Настройки!AK30</f>
        <v>-</v>
      </c>
      <c r="BD30" s="207" t="str">
        <f>Настройки!AL30</f>
        <v>Canal_29</v>
      </c>
      <c r="BE30" s="207" t="str">
        <f>Настройки!AM30</f>
        <v>-</v>
      </c>
    </row>
    <row r="31" spans="1:57">
      <c r="A31" s="82"/>
      <c r="B31" s="82"/>
      <c r="C31" s="81"/>
      <c r="D31" s="81"/>
      <c r="E31" s="81"/>
      <c r="F31" s="81"/>
      <c r="G31" s="445"/>
      <c r="H31" s="445"/>
      <c r="I31" s="1"/>
      <c r="M31" s="424" t="str">
        <f>'Конфигурация TREI'!A32</f>
        <v>BR30</v>
      </c>
      <c r="N31" s="424" t="str">
        <f>'Конфигурация TREI'!B32</f>
        <v>M558D</v>
      </c>
      <c r="AE31" s="428">
        <f>Настройки!P31</f>
        <v>30</v>
      </c>
      <c r="AF31" s="380">
        <f>Настройки!Q31</f>
        <v>0</v>
      </c>
      <c r="AG31" s="380" t="str">
        <f>Настройки!R31</f>
        <v>-</v>
      </c>
      <c r="AH31" s="380" t="str">
        <f>Настройки!S31</f>
        <v>-</v>
      </c>
      <c r="AI31" s="380" t="str">
        <f>Настройки!T31</f>
        <v>out29</v>
      </c>
      <c r="AJ31" s="380" t="str">
        <f>Настройки!U31</f>
        <v>out29</v>
      </c>
      <c r="AK31" s="380" t="str">
        <f>Настройки!V31</f>
        <v>-</v>
      </c>
      <c r="AL31" s="380" t="str">
        <f>Настройки!W31</f>
        <v>-</v>
      </c>
      <c r="AM31" s="380" t="str">
        <f>Настройки!X31</f>
        <v>-</v>
      </c>
      <c r="AN31" s="380" t="str">
        <f>Настройки!Y31</f>
        <v>-</v>
      </c>
      <c r="AO31" s="380" t="str">
        <f>Настройки!Z31</f>
        <v>-</v>
      </c>
      <c r="AP31" s="380" t="str">
        <f>Настройки!AA31</f>
        <v>Canal_30</v>
      </c>
      <c r="AQ31" s="380" t="str">
        <f>Настройки!AB31</f>
        <v>Canal_30</v>
      </c>
      <c r="AR31" s="380" t="str">
        <f>Настройки!AC31</f>
        <v>-</v>
      </c>
      <c r="AS31" s="380" t="str">
        <f>Настройки!AD31</f>
        <v>-</v>
      </c>
      <c r="AT31" s="207" t="str">
        <f>Настройки!AB31</f>
        <v>Canal_30</v>
      </c>
      <c r="AU31" s="207" t="str">
        <f>Настройки!AC31</f>
        <v>-</v>
      </c>
      <c r="AV31" s="207" t="str">
        <f>Настройки!AD31</f>
        <v>-</v>
      </c>
      <c r="AW31" s="207" t="str">
        <f>Настройки!AE31</f>
        <v>-</v>
      </c>
      <c r="AX31" s="207" t="str">
        <f>Настройки!AF31</f>
        <v>IDIG_8_2</v>
      </c>
      <c r="AY31" s="207" t="str">
        <f>Настройки!AG31</f>
        <v>Canal_30</v>
      </c>
      <c r="AZ31" s="207" t="str">
        <f>Настройки!AH31</f>
        <v>Canal_30</v>
      </c>
      <c r="BA31" s="207" t="str">
        <f>Настройки!AI31</f>
        <v>Canal_30</v>
      </c>
      <c r="BB31" s="207" t="str">
        <f>Настройки!AJ31</f>
        <v>-</v>
      </c>
      <c r="BC31" s="207" t="str">
        <f>Настройки!AK31</f>
        <v>-</v>
      </c>
      <c r="BD31" s="207" t="str">
        <f>Настройки!AL31</f>
        <v>Canal_30</v>
      </c>
      <c r="BE31" s="207" t="str">
        <f>Настройки!AM31</f>
        <v>-</v>
      </c>
    </row>
    <row r="32" spans="1:57">
      <c r="A32" s="82"/>
      <c r="B32" s="82"/>
      <c r="C32" s="81"/>
      <c r="D32" s="81"/>
      <c r="E32" s="81"/>
      <c r="F32" s="81"/>
      <c r="G32" s="445"/>
      <c r="H32" s="445"/>
      <c r="I32" s="1"/>
      <c r="M32" s="424" t="str">
        <f>'Конфигурация TREI'!A33</f>
        <v>BR31</v>
      </c>
      <c r="N32" s="424" t="str">
        <f>'Конфигурация TREI'!B33</f>
        <v>M558D</v>
      </c>
      <c r="AE32" s="428">
        <f>Настройки!P32</f>
        <v>31</v>
      </c>
      <c r="AF32" s="380">
        <f>Настройки!Q32</f>
        <v>0</v>
      </c>
      <c r="AG32" s="380" t="str">
        <f>Настройки!R32</f>
        <v>-</v>
      </c>
      <c r="AH32" s="380" t="str">
        <f>Настройки!S32</f>
        <v>-</v>
      </c>
      <c r="AI32" s="380" t="str">
        <f>Настройки!T32</f>
        <v>out30</v>
      </c>
      <c r="AJ32" s="380" t="str">
        <f>Настройки!U32</f>
        <v>out30</v>
      </c>
      <c r="AK32" s="380" t="str">
        <f>Настройки!V32</f>
        <v>-</v>
      </c>
      <c r="AL32" s="380" t="str">
        <f>Настройки!W32</f>
        <v>-</v>
      </c>
      <c r="AM32" s="380" t="str">
        <f>Настройки!X32</f>
        <v>-</v>
      </c>
      <c r="AN32" s="380" t="str">
        <f>Настройки!Y32</f>
        <v>-</v>
      </c>
      <c r="AO32" s="380" t="str">
        <f>Настройки!Z32</f>
        <v>-</v>
      </c>
      <c r="AP32" s="380" t="str">
        <f>Настройки!AA32</f>
        <v>Canal_31</v>
      </c>
      <c r="AQ32" s="380" t="str">
        <f>Настройки!AB32</f>
        <v>Canal_31</v>
      </c>
      <c r="AR32" s="380" t="str">
        <f>Настройки!AC32</f>
        <v>-</v>
      </c>
      <c r="AS32" s="380" t="str">
        <f>Настройки!AD32</f>
        <v>-</v>
      </c>
      <c r="AT32" s="207" t="str">
        <f>Настройки!AB32</f>
        <v>Canal_31</v>
      </c>
      <c r="AU32" s="207" t="str">
        <f>Настройки!AC32</f>
        <v>-</v>
      </c>
      <c r="AV32" s="207" t="str">
        <f>Настройки!AD32</f>
        <v>-</v>
      </c>
      <c r="AW32" s="207" t="str">
        <f>Настройки!AE32</f>
        <v>-</v>
      </c>
      <c r="AX32" s="207" t="str">
        <f>Настройки!AF32</f>
        <v>IDIG_8_3</v>
      </c>
      <c r="AY32" s="207" t="str">
        <f>Настройки!AG32</f>
        <v>Canal_31</v>
      </c>
      <c r="AZ32" s="207" t="str">
        <f>Настройки!AH32</f>
        <v>Canal_31</v>
      </c>
      <c r="BA32" s="207" t="str">
        <f>Настройки!AI32</f>
        <v>Canal_31</v>
      </c>
      <c r="BB32" s="207" t="str">
        <f>Настройки!AJ32</f>
        <v>-</v>
      </c>
      <c r="BC32" s="207" t="str">
        <f>Настройки!AK32</f>
        <v>-</v>
      </c>
      <c r="BD32" s="207" t="str">
        <f>Настройки!AL32</f>
        <v>Canal_31</v>
      </c>
      <c r="BE32" s="207" t="str">
        <f>Настройки!AM32</f>
        <v>-</v>
      </c>
    </row>
    <row r="33" spans="1:57">
      <c r="A33" s="82"/>
      <c r="B33" s="82"/>
      <c r="C33" s="81"/>
      <c r="D33" s="81"/>
      <c r="E33" s="81"/>
      <c r="F33" s="81"/>
      <c r="G33" s="445"/>
      <c r="H33" s="445"/>
      <c r="I33" s="1"/>
      <c r="M33" s="424" t="str">
        <f>'Конфигурация TREI'!A34</f>
        <v>BR32</v>
      </c>
      <c r="N33" s="424" t="str">
        <f>'Конфигурация TREI'!B34</f>
        <v>M558D</v>
      </c>
      <c r="AE33" s="620">
        <f>Настройки!P33</f>
        <v>32</v>
      </c>
      <c r="AF33" s="621">
        <f>Настройки!Q33</f>
        <v>0</v>
      </c>
      <c r="AG33" s="621" t="str">
        <f>Настройки!R33</f>
        <v>-</v>
      </c>
      <c r="AH33" s="621" t="str">
        <f>Настройки!S33</f>
        <v>-</v>
      </c>
      <c r="AI33" s="621" t="str">
        <f>Настройки!T33</f>
        <v>out31</v>
      </c>
      <c r="AJ33" s="621" t="str">
        <f>Настройки!U33</f>
        <v>out31</v>
      </c>
      <c r="AK33" s="621" t="str">
        <f>Настройки!V33</f>
        <v>-</v>
      </c>
      <c r="AL33" s="621" t="str">
        <f>Настройки!W33</f>
        <v>-</v>
      </c>
      <c r="AM33" s="621" t="str">
        <f>Настройки!X33</f>
        <v>-</v>
      </c>
      <c r="AN33" s="621" t="str">
        <f>Настройки!Y33</f>
        <v>-</v>
      </c>
      <c r="AO33" s="621" t="str">
        <f>Настройки!Z33</f>
        <v>-</v>
      </c>
      <c r="AP33" s="621" t="str">
        <f>Настройки!AA33</f>
        <v>Canal_32</v>
      </c>
      <c r="AQ33" s="621" t="str">
        <f>Настройки!AB33</f>
        <v>Canal_32</v>
      </c>
      <c r="AR33" s="621" t="str">
        <f>Настройки!AC33</f>
        <v>-</v>
      </c>
      <c r="AS33" s="621" t="str">
        <f>Настройки!AD33</f>
        <v>-</v>
      </c>
      <c r="AT33" s="622" t="str">
        <f>Настройки!AB33</f>
        <v>Canal_32</v>
      </c>
      <c r="AU33" s="622" t="str">
        <f>Настройки!AC33</f>
        <v>-</v>
      </c>
      <c r="AV33" s="622" t="str">
        <f>Настройки!AD33</f>
        <v>-</v>
      </c>
      <c r="AW33" s="622" t="str">
        <f>Настройки!AE33</f>
        <v>-</v>
      </c>
      <c r="AX33" s="622" t="str">
        <f>Настройки!AF33</f>
        <v>IDIG_8_4</v>
      </c>
      <c r="AY33" s="622" t="str">
        <f>Настройки!AG33</f>
        <v>Canal_32</v>
      </c>
      <c r="AZ33" s="622" t="str">
        <f>Настройки!AH33</f>
        <v>Canal_32</v>
      </c>
      <c r="BA33" s="622" t="str">
        <f>Настройки!AI33</f>
        <v>Canal_32</v>
      </c>
      <c r="BB33" s="622" t="str">
        <f>Настройки!AJ33</f>
        <v>-</v>
      </c>
      <c r="BC33" s="622" t="str">
        <f>Настройки!AK33</f>
        <v>-</v>
      </c>
      <c r="BD33" s="622" t="str">
        <f>Настройки!AL33</f>
        <v>Canal_32</v>
      </c>
      <c r="BE33" s="622" t="str">
        <f>Настройки!AM33</f>
        <v>-</v>
      </c>
    </row>
    <row r="34" spans="1:57">
      <c r="A34" s="82"/>
      <c r="B34" s="82"/>
      <c r="C34" s="81"/>
      <c r="D34" s="81"/>
      <c r="E34" s="81"/>
      <c r="F34" s="81"/>
      <c r="G34" s="445"/>
      <c r="H34" s="445"/>
      <c r="I34" s="1"/>
      <c r="M34" s="424" t="str">
        <f>'Конфигурация TREI'!A35</f>
        <v>BR33</v>
      </c>
      <c r="N34" s="424" t="str">
        <f>'Конфигурация TREI'!B35</f>
        <v>M558D</v>
      </c>
      <c r="AE34" s="624"/>
      <c r="AF34" s="624"/>
      <c r="AG34" s="624"/>
      <c r="AH34" s="624"/>
      <c r="AI34" s="624"/>
      <c r="AJ34" s="624"/>
      <c r="AK34" s="624"/>
      <c r="AL34" s="624"/>
      <c r="AM34" s="624"/>
      <c r="AN34" s="624"/>
      <c r="AO34" s="624"/>
      <c r="AP34" s="624"/>
      <c r="AQ34" s="624"/>
      <c r="AR34" s="624"/>
      <c r="AS34" s="624"/>
      <c r="AT34" s="625"/>
      <c r="AU34" s="625"/>
      <c r="AV34" s="625"/>
      <c r="AW34" s="625"/>
      <c r="AX34" s="625"/>
      <c r="AY34" s="625"/>
      <c r="AZ34" s="625"/>
      <c r="BA34" s="625"/>
      <c r="BB34" s="625"/>
      <c r="BC34" s="625"/>
      <c r="BD34" s="625"/>
      <c r="BE34" s="625"/>
    </row>
    <row r="35" spans="1:57">
      <c r="A35" s="82"/>
      <c r="B35" s="82"/>
      <c r="C35" s="81"/>
      <c r="D35" s="81"/>
      <c r="E35" s="81"/>
      <c r="F35" s="81"/>
      <c r="G35" s="445"/>
      <c r="H35" s="445"/>
      <c r="I35" s="1"/>
      <c r="M35" s="424" t="str">
        <f>'Конфигурация TREI'!A36</f>
        <v>BR34</v>
      </c>
      <c r="N35" s="424" t="str">
        <f>'Конфигурация TREI'!B36</f>
        <v>M558D</v>
      </c>
      <c r="AE35" s="505"/>
      <c r="AF35" s="505"/>
      <c r="AG35" s="505"/>
      <c r="AH35" s="505"/>
      <c r="AI35" s="505"/>
      <c r="AJ35" s="505"/>
      <c r="AK35" s="505"/>
      <c r="AL35" s="505"/>
      <c r="AM35" s="505"/>
      <c r="AN35" s="505"/>
      <c r="AO35" s="505"/>
      <c r="AP35" s="505"/>
      <c r="AQ35" s="505"/>
      <c r="AR35" s="505"/>
      <c r="AS35" s="505"/>
      <c r="AT35" s="623"/>
      <c r="AU35" s="623"/>
      <c r="AV35" s="623"/>
      <c r="AW35" s="623"/>
      <c r="AX35" s="623"/>
      <c r="AY35" s="623"/>
      <c r="AZ35" s="623"/>
      <c r="BA35" s="623"/>
      <c r="BB35" s="623"/>
      <c r="BC35" s="623"/>
      <c r="BD35" s="623"/>
      <c r="BE35" s="623"/>
    </row>
    <row r="36" spans="1:57">
      <c r="A36" s="82"/>
      <c r="B36" s="82"/>
      <c r="C36" s="81"/>
      <c r="D36" s="81"/>
      <c r="E36" s="81"/>
      <c r="F36" s="81"/>
      <c r="G36" s="445"/>
      <c r="H36" s="445"/>
      <c r="I36" s="1"/>
      <c r="M36" s="424" t="str">
        <f>'Конфигурация TREI'!A37</f>
        <v>BR35</v>
      </c>
      <c r="N36" s="424" t="str">
        <f>'Конфигурация TREI'!B37</f>
        <v>M558D</v>
      </c>
      <c r="AE36" s="505"/>
      <c r="AF36" s="505"/>
      <c r="AG36" s="505"/>
      <c r="AH36" s="505"/>
      <c r="AI36" s="505"/>
      <c r="AJ36" s="505"/>
      <c r="AK36" s="505"/>
      <c r="AL36" s="505"/>
      <c r="AM36" s="505"/>
      <c r="AN36" s="505"/>
      <c r="AO36" s="505"/>
      <c r="AP36" s="505"/>
      <c r="AQ36" s="505"/>
      <c r="AR36" s="505"/>
      <c r="AS36" s="505"/>
      <c r="AT36" s="623"/>
      <c r="AU36" s="623"/>
      <c r="AV36" s="623"/>
      <c r="AW36" s="623"/>
      <c r="AX36" s="623"/>
      <c r="AY36" s="623"/>
      <c r="AZ36" s="623"/>
      <c r="BA36" s="623"/>
      <c r="BB36" s="623"/>
      <c r="BC36" s="623"/>
      <c r="BD36" s="623"/>
      <c r="BE36" s="623"/>
    </row>
    <row r="37" spans="1:57" ht="15.75" customHeight="1">
      <c r="A37" s="82"/>
      <c r="B37" s="82"/>
      <c r="C37" s="81"/>
      <c r="D37" s="81"/>
      <c r="E37" s="81"/>
      <c r="F37" s="81"/>
      <c r="G37" s="445"/>
      <c r="H37" s="445"/>
      <c r="I37" s="1"/>
      <c r="M37" s="424" t="str">
        <f>'Конфигурация TREI'!A38</f>
        <v>BR36</v>
      </c>
      <c r="N37" s="424">
        <f>'Конфигурация TREI'!B38</f>
        <v>0</v>
      </c>
      <c r="AE37" s="505"/>
      <c r="AF37" s="505"/>
      <c r="AG37" s="505"/>
      <c r="AH37" s="505"/>
      <c r="AI37" s="505"/>
      <c r="AJ37" s="505"/>
      <c r="AK37" s="505"/>
      <c r="AL37" s="505"/>
      <c r="AM37" s="505"/>
      <c r="AN37" s="505"/>
      <c r="AO37" s="505"/>
      <c r="AP37" s="505"/>
      <c r="AQ37" s="505"/>
      <c r="AR37" s="505"/>
      <c r="AS37" s="505"/>
      <c r="AT37" s="623"/>
      <c r="AU37" s="623"/>
      <c r="AV37" s="623"/>
      <c r="AW37" s="623"/>
      <c r="AX37" s="623"/>
      <c r="AY37" s="623"/>
      <c r="AZ37" s="623"/>
      <c r="BA37" s="623"/>
      <c r="BB37" s="623"/>
      <c r="BC37" s="623"/>
      <c r="BD37" s="623"/>
      <c r="BE37" s="623"/>
    </row>
    <row r="38" spans="1:57">
      <c r="A38" s="82"/>
      <c r="B38" s="82"/>
      <c r="C38" s="81"/>
      <c r="D38" s="81"/>
      <c r="E38" s="81"/>
      <c r="F38" s="81"/>
      <c r="G38" s="445"/>
      <c r="H38" s="445"/>
      <c r="I38" s="1"/>
      <c r="M38" s="424" t="str">
        <f>'Конфигурация TREI'!A39</f>
        <v>BR37</v>
      </c>
      <c r="N38" s="424">
        <f>'Конфигурация TREI'!B39</f>
        <v>0</v>
      </c>
      <c r="AE38" s="505"/>
      <c r="AF38" s="505"/>
      <c r="AG38" s="505"/>
      <c r="AH38" s="505"/>
      <c r="AI38" s="505"/>
      <c r="AJ38" s="505"/>
      <c r="AK38" s="505"/>
      <c r="AL38" s="505"/>
      <c r="AM38" s="505"/>
      <c r="AN38" s="505"/>
      <c r="AO38" s="505"/>
      <c r="AP38" s="505"/>
      <c r="AQ38" s="505"/>
      <c r="AR38" s="505"/>
      <c r="AS38" s="505"/>
      <c r="AT38" s="623"/>
      <c r="AU38" s="623"/>
      <c r="AV38" s="623"/>
      <c r="AW38" s="623"/>
      <c r="AX38" s="623"/>
      <c r="AY38" s="623"/>
      <c r="AZ38" s="623"/>
      <c r="BA38" s="623"/>
      <c r="BB38" s="623"/>
      <c r="BC38" s="623"/>
      <c r="BD38" s="623"/>
      <c r="BE38" s="623"/>
    </row>
    <row r="39" spans="1:57">
      <c r="A39" s="82"/>
      <c r="B39" s="82"/>
      <c r="C39" s="81"/>
      <c r="D39" s="81"/>
      <c r="E39" s="81"/>
      <c r="F39" s="81"/>
      <c r="G39" s="445"/>
      <c r="H39" s="445"/>
      <c r="I39" s="1"/>
      <c r="M39" s="424" t="str">
        <f>'Конфигурация TREI'!A40</f>
        <v>BR38</v>
      </c>
      <c r="N39" s="424">
        <f>'Конфигурация TREI'!B40</f>
        <v>0</v>
      </c>
      <c r="AE39" s="505"/>
      <c r="AF39" s="505"/>
      <c r="AG39" s="505"/>
      <c r="AH39" s="505"/>
      <c r="AI39" s="505"/>
      <c r="AJ39" s="505"/>
      <c r="AK39" s="505"/>
      <c r="AL39" s="505"/>
      <c r="AM39" s="505"/>
      <c r="AN39" s="505"/>
      <c r="AO39" s="505"/>
      <c r="AP39" s="505"/>
      <c r="AQ39" s="505"/>
      <c r="AR39" s="505"/>
      <c r="AS39" s="505"/>
      <c r="AT39" s="623"/>
      <c r="AU39" s="623"/>
      <c r="AV39" s="623"/>
      <c r="AW39" s="623"/>
      <c r="AX39" s="623"/>
      <c r="AY39" s="623"/>
      <c r="AZ39" s="623"/>
      <c r="BA39" s="623"/>
      <c r="BB39" s="623"/>
      <c r="BC39" s="623"/>
      <c r="BD39" s="623"/>
      <c r="BE39" s="623"/>
    </row>
    <row r="40" spans="1:57">
      <c r="A40" s="82"/>
      <c r="B40" s="82"/>
      <c r="C40" s="81"/>
      <c r="D40" s="81"/>
      <c r="E40" s="81"/>
      <c r="F40" s="81"/>
      <c r="G40" s="445"/>
      <c r="H40" s="445"/>
      <c r="I40" s="1"/>
      <c r="M40" s="424" t="str">
        <f>'Конфигурация TREI'!A41</f>
        <v>BR39</v>
      </c>
      <c r="N40" s="424">
        <f>'Конфигурация TREI'!B41</f>
        <v>0</v>
      </c>
      <c r="AE40" s="505"/>
      <c r="AF40" s="505"/>
      <c r="AG40" s="505"/>
      <c r="AH40" s="505"/>
      <c r="AI40" s="505"/>
      <c r="AJ40" s="505"/>
      <c r="AK40" s="505"/>
      <c r="AL40" s="505"/>
      <c r="AM40" s="505"/>
      <c r="AN40" s="505"/>
      <c r="AO40" s="505"/>
      <c r="AP40" s="505"/>
      <c r="AQ40" s="505"/>
      <c r="AR40" s="505"/>
      <c r="AS40" s="505"/>
      <c r="AT40" s="623"/>
      <c r="AU40" s="623"/>
      <c r="AV40" s="623"/>
      <c r="AW40" s="623"/>
      <c r="AX40" s="623"/>
      <c r="AY40" s="623"/>
      <c r="AZ40" s="623"/>
      <c r="BA40" s="623"/>
      <c r="BB40" s="623"/>
      <c r="BC40" s="623"/>
      <c r="BD40" s="623"/>
      <c r="BE40" s="623"/>
    </row>
    <row r="41" spans="1:57">
      <c r="A41" s="82"/>
      <c r="B41" s="82"/>
      <c r="C41" s="81"/>
      <c r="D41" s="81"/>
      <c r="E41" s="81"/>
      <c r="F41" s="81"/>
      <c r="G41" s="445"/>
      <c r="H41" s="445"/>
      <c r="I41" s="1"/>
      <c r="M41" s="424" t="str">
        <f>'Конфигурация TREI'!A42</f>
        <v>BR40</v>
      </c>
      <c r="N41" s="424">
        <f>'Конфигурация TREI'!B42</f>
        <v>0</v>
      </c>
      <c r="AE41" s="505"/>
      <c r="AF41" s="505"/>
      <c r="AG41" s="505"/>
      <c r="AH41" s="505"/>
      <c r="AI41" s="505"/>
      <c r="AJ41" s="505"/>
      <c r="AK41" s="505"/>
      <c r="AL41" s="505"/>
      <c r="AM41" s="505"/>
      <c r="AN41" s="505"/>
      <c r="AO41" s="505"/>
      <c r="AP41" s="505"/>
      <c r="AQ41" s="505"/>
      <c r="AR41" s="505"/>
      <c r="AS41" s="505"/>
      <c r="AT41" s="623"/>
      <c r="AU41" s="623"/>
      <c r="AV41" s="623"/>
      <c r="AW41" s="623"/>
      <c r="AX41" s="623"/>
      <c r="AY41" s="623"/>
      <c r="AZ41" s="623"/>
      <c r="BA41" s="623"/>
      <c r="BB41" s="623"/>
      <c r="BC41" s="623"/>
      <c r="BD41" s="623"/>
      <c r="BE41" s="623"/>
    </row>
    <row r="42" spans="1:57">
      <c r="A42" s="82"/>
      <c r="B42" s="82"/>
      <c r="C42" s="81"/>
      <c r="D42" s="81"/>
      <c r="E42" s="81"/>
      <c r="F42" s="81"/>
      <c r="G42" s="445"/>
      <c r="H42" s="445"/>
      <c r="I42" s="1"/>
      <c r="M42" s="424" t="str">
        <f>'Конфигурация TREI'!A43</f>
        <v>BR41</v>
      </c>
      <c r="N42" s="424">
        <f>'Конфигурация TREI'!B43</f>
        <v>0</v>
      </c>
      <c r="AE42" s="505"/>
      <c r="AF42" s="505"/>
      <c r="AG42" s="505"/>
      <c r="AH42" s="505"/>
      <c r="AI42" s="505"/>
      <c r="AJ42" s="505"/>
      <c r="AK42" s="505"/>
      <c r="AL42" s="505"/>
      <c r="AM42" s="505"/>
      <c r="AN42" s="505"/>
      <c r="AO42" s="505"/>
      <c r="AP42" s="505"/>
      <c r="AQ42" s="505"/>
      <c r="AR42" s="505"/>
      <c r="AS42" s="505"/>
      <c r="AT42" s="623"/>
      <c r="AU42" s="623"/>
      <c r="AV42" s="623"/>
      <c r="AW42" s="623"/>
      <c r="AX42" s="623"/>
      <c r="AY42" s="623"/>
      <c r="AZ42" s="623"/>
      <c r="BA42" s="623"/>
      <c r="BB42" s="623"/>
      <c r="BC42" s="623"/>
      <c r="BD42" s="623"/>
      <c r="BE42" s="623"/>
    </row>
    <row r="43" spans="1:57">
      <c r="A43" s="82"/>
      <c r="B43" s="82"/>
      <c r="C43" s="81"/>
      <c r="D43" s="81"/>
      <c r="E43" s="81"/>
      <c r="F43" s="81"/>
      <c r="G43" s="445"/>
      <c r="H43" s="445"/>
      <c r="I43" s="1"/>
      <c r="M43" s="424" t="str">
        <f>'Конфигурация TREI'!A44</f>
        <v>BR42</v>
      </c>
      <c r="N43" s="424">
        <f>'Конфигурация TREI'!B44</f>
        <v>0</v>
      </c>
      <c r="AE43" s="505"/>
      <c r="AF43" s="505"/>
      <c r="AG43" s="505"/>
      <c r="AH43" s="505"/>
      <c r="AI43" s="505"/>
      <c r="AJ43" s="505"/>
      <c r="AK43" s="505"/>
      <c r="AL43" s="505"/>
      <c r="AM43" s="505"/>
      <c r="AN43" s="505"/>
      <c r="AO43" s="505"/>
      <c r="AP43" s="505"/>
      <c r="AQ43" s="505"/>
      <c r="AR43" s="505"/>
      <c r="AS43" s="505"/>
      <c r="AT43" s="623"/>
      <c r="AU43" s="623"/>
      <c r="AV43" s="623"/>
      <c r="AW43" s="623"/>
      <c r="AX43" s="623"/>
      <c r="AY43" s="623"/>
      <c r="AZ43" s="623"/>
      <c r="BA43" s="623"/>
      <c r="BB43" s="623"/>
      <c r="BC43" s="623"/>
      <c r="BD43" s="623"/>
      <c r="BE43" s="623"/>
    </row>
    <row r="44" spans="1:57">
      <c r="A44" s="82"/>
      <c r="B44" s="82"/>
      <c r="C44" s="81"/>
      <c r="D44" s="81"/>
      <c r="E44" s="81"/>
      <c r="F44" s="81"/>
      <c r="G44" s="445"/>
      <c r="H44" s="445"/>
      <c r="I44" s="1"/>
      <c r="M44" s="424" t="str">
        <f>'Конфигурация TREI'!A45</f>
        <v>BR43</v>
      </c>
      <c r="N44" s="424">
        <f>'Конфигурация TREI'!B45</f>
        <v>0</v>
      </c>
      <c r="AE44" s="505"/>
      <c r="AF44" s="505"/>
      <c r="AG44" s="505"/>
      <c r="AH44" s="505"/>
      <c r="AI44" s="505"/>
      <c r="AJ44" s="505"/>
      <c r="AK44" s="505"/>
      <c r="AL44" s="505"/>
      <c r="AM44" s="505"/>
      <c r="AN44" s="505"/>
      <c r="AO44" s="505"/>
      <c r="AP44" s="505"/>
      <c r="AQ44" s="505"/>
      <c r="AR44" s="505"/>
      <c r="AS44" s="505"/>
      <c r="AT44" s="623"/>
      <c r="AU44" s="623"/>
      <c r="AV44" s="623"/>
      <c r="AW44" s="623"/>
      <c r="AX44" s="623"/>
      <c r="AY44" s="623"/>
      <c r="AZ44" s="623"/>
      <c r="BA44" s="623"/>
      <c r="BB44" s="623"/>
      <c r="BC44" s="623"/>
      <c r="BD44" s="623"/>
      <c r="BE44" s="623"/>
    </row>
    <row r="45" spans="1:57">
      <c r="A45" s="82"/>
      <c r="B45" s="82"/>
      <c r="C45" s="81"/>
      <c r="D45" s="81"/>
      <c r="E45" s="81"/>
      <c r="F45" s="81"/>
      <c r="G45" s="445"/>
      <c r="H45" s="445"/>
      <c r="I45" s="1"/>
      <c r="M45" s="424" t="str">
        <f>'Конфигурация TREI'!A46</f>
        <v>BR44</v>
      </c>
      <c r="N45" s="424">
        <f>'Конфигурация TREI'!B46</f>
        <v>0</v>
      </c>
      <c r="AE45" s="505"/>
      <c r="AF45" s="505"/>
      <c r="AG45" s="505"/>
      <c r="AH45" s="505"/>
      <c r="AI45" s="505"/>
      <c r="AJ45" s="505"/>
      <c r="AK45" s="505"/>
      <c r="AL45" s="505"/>
      <c r="AM45" s="505"/>
      <c r="AN45" s="505"/>
      <c r="AO45" s="505"/>
      <c r="AP45" s="505"/>
      <c r="AQ45" s="505"/>
      <c r="AR45" s="505"/>
      <c r="AS45" s="505"/>
      <c r="AT45" s="623"/>
      <c r="AU45" s="623"/>
      <c r="AV45" s="623"/>
      <c r="AW45" s="623"/>
      <c r="AX45" s="623"/>
      <c r="AY45" s="623"/>
      <c r="AZ45" s="623"/>
      <c r="BA45" s="623"/>
      <c r="BB45" s="623"/>
      <c r="BC45" s="623"/>
      <c r="BD45" s="623"/>
      <c r="BE45" s="623"/>
    </row>
    <row r="46" spans="1:57">
      <c r="A46" s="82"/>
      <c r="B46" s="82"/>
      <c r="C46" s="81"/>
      <c r="D46" s="81"/>
      <c r="E46" s="81"/>
      <c r="F46" s="81"/>
      <c r="G46" s="445"/>
      <c r="H46" s="445"/>
      <c r="I46" s="1"/>
      <c r="M46" s="424" t="str">
        <f>'Конфигурация TREI'!A47</f>
        <v>BR45</v>
      </c>
      <c r="N46" s="424">
        <f>'Конфигурация TREI'!B47</f>
        <v>0</v>
      </c>
      <c r="AE46" s="505"/>
      <c r="AF46" s="505"/>
      <c r="AG46" s="505"/>
      <c r="AH46" s="505"/>
      <c r="AI46" s="505"/>
      <c r="AJ46" s="505"/>
      <c r="AK46" s="505"/>
      <c r="AL46" s="505"/>
      <c r="AM46" s="505"/>
      <c r="AN46" s="505"/>
      <c r="AO46" s="505"/>
      <c r="AP46" s="505"/>
      <c r="AQ46" s="505"/>
      <c r="AR46" s="505"/>
      <c r="AS46" s="505"/>
      <c r="AT46" s="623"/>
      <c r="AU46" s="623"/>
      <c r="AV46" s="623"/>
      <c r="AW46" s="623"/>
      <c r="AX46" s="623"/>
      <c r="AY46" s="623"/>
      <c r="AZ46" s="623"/>
      <c r="BA46" s="623"/>
      <c r="BB46" s="623"/>
      <c r="BC46" s="623"/>
      <c r="BD46" s="623"/>
      <c r="BE46" s="623"/>
    </row>
    <row r="47" spans="1:57">
      <c r="A47" s="82"/>
      <c r="B47" s="82"/>
      <c r="C47" s="81"/>
      <c r="D47" s="81"/>
      <c r="E47" s="81"/>
      <c r="F47" s="81"/>
      <c r="G47" s="445"/>
      <c r="H47" s="445"/>
      <c r="I47" s="1"/>
      <c r="M47" s="424" t="str">
        <f>'Конфигурация TREI'!A48</f>
        <v>BR46</v>
      </c>
      <c r="N47" s="424">
        <f>'Конфигурация TREI'!B48</f>
        <v>0</v>
      </c>
      <c r="AE47" s="505"/>
      <c r="AF47" s="505"/>
      <c r="AG47" s="505"/>
      <c r="AH47" s="505"/>
      <c r="AI47" s="505"/>
      <c r="AJ47" s="505"/>
      <c r="AK47" s="505"/>
      <c r="AL47" s="505"/>
      <c r="AM47" s="505"/>
      <c r="AN47" s="505"/>
      <c r="AO47" s="505"/>
      <c r="AP47" s="505"/>
      <c r="AQ47" s="505"/>
      <c r="AR47" s="505"/>
      <c r="AS47" s="505"/>
      <c r="AT47" s="623"/>
      <c r="AU47" s="623"/>
      <c r="AV47" s="623"/>
      <c r="AW47" s="623"/>
      <c r="AX47" s="623"/>
      <c r="AY47" s="623"/>
      <c r="AZ47" s="623"/>
      <c r="BA47" s="623"/>
      <c r="BB47" s="623"/>
      <c r="BC47" s="623"/>
      <c r="BD47" s="623"/>
      <c r="BE47" s="623"/>
    </row>
    <row r="48" spans="1:57">
      <c r="A48" s="82"/>
      <c r="B48" s="82"/>
      <c r="C48" s="81"/>
      <c r="D48" s="81"/>
      <c r="E48" s="81"/>
      <c r="F48" s="81"/>
      <c r="G48" s="445"/>
      <c r="H48" s="445"/>
      <c r="I48" s="1"/>
      <c r="M48" s="424" t="str">
        <f>'Конфигурация TREI'!A49</f>
        <v>BR47</v>
      </c>
      <c r="N48" s="424">
        <f>'Конфигурация TREI'!B49</f>
        <v>0</v>
      </c>
      <c r="AE48" s="505"/>
      <c r="AF48" s="505"/>
      <c r="AG48" s="505"/>
      <c r="AH48" s="505"/>
      <c r="AI48" s="505"/>
      <c r="AJ48" s="505"/>
      <c r="AK48" s="505"/>
      <c r="AL48" s="505"/>
      <c r="AM48" s="505"/>
      <c r="AN48" s="505"/>
      <c r="AO48" s="505"/>
      <c r="AP48" s="505"/>
      <c r="AQ48" s="505"/>
      <c r="AR48" s="505"/>
      <c r="AS48" s="505"/>
      <c r="AT48" s="623"/>
      <c r="AU48" s="623"/>
      <c r="AV48" s="623"/>
      <c r="AW48" s="623"/>
      <c r="AX48" s="623"/>
      <c r="AY48" s="623"/>
      <c r="AZ48" s="623"/>
      <c r="BA48" s="623"/>
      <c r="BB48" s="623"/>
      <c r="BC48" s="623"/>
      <c r="BD48" s="623"/>
      <c r="BE48" s="623"/>
    </row>
    <row r="49" spans="1:57">
      <c r="A49" s="1"/>
      <c r="B49" s="1"/>
      <c r="C49" s="1"/>
      <c r="D49" s="1"/>
      <c r="E49" s="1"/>
      <c r="F49" s="1"/>
      <c r="G49" s="1"/>
      <c r="H49" s="1"/>
      <c r="I49" s="1"/>
      <c r="M49" s="424" t="str">
        <f>'Конфигурация TREI'!A50</f>
        <v>BR48</v>
      </c>
      <c r="N49" s="424">
        <f>'Конфигурация TREI'!B50</f>
        <v>0</v>
      </c>
      <c r="AE49" s="505"/>
      <c r="AF49" s="505"/>
      <c r="AG49" s="505"/>
      <c r="AH49" s="505"/>
      <c r="AI49" s="505"/>
      <c r="AJ49" s="505"/>
      <c r="AK49" s="505"/>
      <c r="AL49" s="505"/>
      <c r="AM49" s="505"/>
      <c r="AN49" s="505"/>
      <c r="AO49" s="505"/>
      <c r="AP49" s="505"/>
      <c r="AQ49" s="505"/>
      <c r="AR49" s="505"/>
      <c r="AS49" s="505"/>
      <c r="AT49" s="623"/>
      <c r="AU49" s="623"/>
      <c r="AV49" s="623"/>
      <c r="AW49" s="623"/>
      <c r="AX49" s="623"/>
      <c r="AY49" s="623"/>
      <c r="AZ49" s="623"/>
      <c r="BA49" s="623"/>
      <c r="BB49" s="623"/>
      <c r="BC49" s="623"/>
      <c r="BD49" s="623"/>
      <c r="BE49" s="623"/>
    </row>
    <row r="50" spans="1:57" s="4" customFormat="1">
      <c r="A50" s="446" t="str">
        <f>"//*********** "&amp;Q2&amp;" ***********"</f>
        <v>//*********** Выключатель электрический без тележки и защит ***********</v>
      </c>
      <c r="B50" s="446"/>
      <c r="C50" s="446"/>
      <c r="D50" s="446"/>
      <c r="E50" s="446"/>
      <c r="F50" s="446" t="s">
        <v>1031</v>
      </c>
      <c r="G50" s="489"/>
      <c r="H50" s="489"/>
      <c r="I50" s="490"/>
      <c r="J50" s="490" t="s">
        <v>1311</v>
      </c>
      <c r="K50" s="490" t="s">
        <v>1309</v>
      </c>
      <c r="L50" s="491" t="s">
        <v>1310</v>
      </c>
      <c r="M50" s="424" t="str">
        <f>'Конфигурация TREI'!A51</f>
        <v>BR49</v>
      </c>
      <c r="N50" s="424">
        <f>'Конфигурация TREI'!B51</f>
        <v>0</v>
      </c>
      <c r="R50" s="381"/>
      <c r="S50" s="381"/>
      <c r="T50" s="381"/>
      <c r="U50" s="381"/>
      <c r="V50" s="381"/>
      <c r="W50" s="381"/>
      <c r="X50" s="381"/>
      <c r="Y50" s="381"/>
      <c r="Z50" s="381"/>
      <c r="AA50" s="381"/>
      <c r="AB50" s="381"/>
      <c r="AC50" s="381"/>
      <c r="AD50" s="381"/>
      <c r="AE50" s="505"/>
      <c r="AF50" s="505"/>
      <c r="AG50" s="505"/>
      <c r="AH50" s="505"/>
      <c r="AI50" s="505"/>
      <c r="AJ50" s="505"/>
      <c r="AK50" s="505"/>
      <c r="AL50" s="505"/>
      <c r="AM50" s="505"/>
      <c r="AN50" s="505"/>
      <c r="AO50" s="505"/>
      <c r="AP50" s="505"/>
      <c r="AQ50" s="505"/>
      <c r="AR50" s="505"/>
      <c r="AS50" s="505"/>
      <c r="AT50" s="623"/>
      <c r="AU50" s="623"/>
      <c r="AV50" s="623"/>
      <c r="AW50" s="623"/>
      <c r="AX50" s="623"/>
      <c r="AY50" s="623"/>
      <c r="AZ50" s="623"/>
      <c r="BA50" s="623"/>
      <c r="BB50" s="623"/>
      <c r="BC50" s="623"/>
      <c r="BD50" s="623"/>
      <c r="BE50" s="623"/>
    </row>
    <row r="51" spans="1:57">
      <c r="A51" s="457"/>
      <c r="B51" s="457" t="s">
        <v>1213</v>
      </c>
      <c r="C51" s="455" t="str">
        <f>LEFT($L51,FIND("+",$L51,1)-1)</f>
        <v>2</v>
      </c>
      <c r="D51" s="455" t="s">
        <v>178</v>
      </c>
      <c r="E51" s="446" t="str">
        <f ca="1">IFERROR(IF(OR($I51="-", $H51="0"),"КАНАЛ ОТСУТСТВУЕТ",IF($I51=0,"МОДУЛЬ ОТСУТСТВУЕТ",IF(LEFT($I51,3)="out","УДАЛИТЬ",I51))),IF($K51=0,"УДАЛИТЬ","ОШИБКА ФОРМАТА"))</f>
        <v>Canal_14</v>
      </c>
      <c r="F51" s="455" t="str">
        <f>" :="&amp;IF(LEFT(SUBSTITUTE($K51," ",""),1)="!","NOT  ","")&amp;SUBSTITUTE($P$2,"\","|")&amp;"|"&amp; $J51 &amp;";"</f>
        <v xml:space="preserve"> :=ZRU_OL1_s|OXON;</v>
      </c>
      <c r="G51" s="445" t="str">
        <f>INDEX($N$2:$N$61,C51)</f>
        <v>M548A</v>
      </c>
      <c r="H51" s="445" t="str">
        <f>RIGHT($L51,LEN($L51)-FIND("+",$L51,1))</f>
        <v>14</v>
      </c>
      <c r="I51" s="460" t="str">
        <f ca="1">INDIRECT(ADDRESS($H51+1,MATCH($G51,$1:$1,),1))</f>
        <v>Canal_14</v>
      </c>
      <c r="J51" s="494" t="str">
        <f>$X$1</f>
        <v>OXON</v>
      </c>
      <c r="K51" s="495" t="str">
        <f>$X$2</f>
        <v>2+14</v>
      </c>
      <c r="L51" s="496" t="str">
        <f>$X$3</f>
        <v>2+14</v>
      </c>
      <c r="M51" s="424" t="str">
        <f>'Конфигурация TREI'!A52</f>
        <v>BR50</v>
      </c>
      <c r="N51" s="424">
        <f>'Конфигурация TREI'!B52</f>
        <v>0</v>
      </c>
      <c r="AE51" s="505"/>
      <c r="AF51" s="505"/>
      <c r="AG51" s="505"/>
      <c r="AH51" s="505"/>
      <c r="AI51" s="505"/>
      <c r="AJ51" s="505"/>
      <c r="AK51" s="505"/>
      <c r="AL51" s="505"/>
      <c r="AM51" s="505"/>
      <c r="AN51" s="505"/>
      <c r="AO51" s="505"/>
      <c r="AP51" s="505"/>
      <c r="AQ51" s="505"/>
      <c r="AR51" s="505"/>
      <c r="AS51" s="505"/>
      <c r="AT51" s="623"/>
      <c r="AU51" s="623"/>
      <c r="AV51" s="623"/>
      <c r="AW51" s="623"/>
      <c r="AX51" s="623"/>
      <c r="AY51" s="623"/>
      <c r="AZ51" s="623"/>
      <c r="BA51" s="623"/>
      <c r="BB51" s="623"/>
      <c r="BC51" s="623"/>
      <c r="BD51" s="623"/>
      <c r="BE51" s="623"/>
    </row>
    <row r="52" spans="1:57">
      <c r="A52" s="457"/>
      <c r="B52" s="457" t="s">
        <v>1213</v>
      </c>
      <c r="C52" s="455" t="str">
        <f>LEFT($L52,FIND("+",$L52,1)-1)</f>
        <v>2</v>
      </c>
      <c r="D52" s="455" t="s">
        <v>178</v>
      </c>
      <c r="E52" s="446" t="str">
        <f ca="1">IFERROR(IF(OR($I52="-", $H52="0"),"КАНАЛ ОТСУТСТВУЕТ",IF($I52=0,"МОДУЛЬ ОТСУТСТВУЕТ",IF(LEFT($I52,3)="out","УДАЛИТЬ",I52))),IF($K52=0,"УДАЛИТЬ","ОШИБКА ФОРМАТА"))</f>
        <v>Canal_15</v>
      </c>
      <c r="F52" s="455" t="str">
        <f>" :="&amp;IF(LEFT(SUBSTITUTE($K52," ",""),1)="!","NOT  ","")&amp;SUBSTITUTE($P$2,"\","|")&amp;"|"&amp; $J52 &amp;";"</f>
        <v xml:space="preserve"> :=ZRU_OL1_s|OXOF;</v>
      </c>
      <c r="G52" s="445" t="str">
        <f>INDEX($N$2:$N$61,C52)</f>
        <v>M548A</v>
      </c>
      <c r="H52" s="445" t="str">
        <f>RIGHT($L52,LEN($L52)-FIND("+",$L52,1))</f>
        <v>15</v>
      </c>
      <c r="I52" s="460" t="str">
        <f ca="1">INDIRECT(ADDRESS($H52+1,MATCH($G52,$1:$1,),1))</f>
        <v>Canal_15</v>
      </c>
      <c r="J52" s="497" t="str">
        <f xml:space="preserve"> $Y$1</f>
        <v>OXOF</v>
      </c>
      <c r="K52" s="492" t="str">
        <f>$Y$2</f>
        <v>2+15</v>
      </c>
      <c r="L52" s="498" t="str">
        <f>$Y$3</f>
        <v>2+15</v>
      </c>
      <c r="M52" s="424" t="str">
        <f>'Конфигурация TREI'!A53</f>
        <v>BR51</v>
      </c>
      <c r="N52" s="424">
        <f>'Конфигурация TREI'!B53</f>
        <v>0</v>
      </c>
      <c r="AE52" s="505"/>
      <c r="AF52" s="505"/>
      <c r="AG52" s="505"/>
      <c r="AH52" s="505"/>
      <c r="AI52" s="505"/>
      <c r="AJ52" s="505"/>
      <c r="AK52" s="505"/>
      <c r="AL52" s="505"/>
      <c r="AM52" s="505"/>
      <c r="AN52" s="505"/>
      <c r="AO52" s="505"/>
      <c r="AP52" s="505"/>
      <c r="AQ52" s="505"/>
      <c r="AR52" s="505"/>
      <c r="AS52" s="505"/>
      <c r="AT52" s="623"/>
      <c r="AU52" s="623"/>
      <c r="AV52" s="623"/>
      <c r="AW52" s="623"/>
      <c r="AX52" s="623"/>
      <c r="AY52" s="623"/>
      <c r="AZ52" s="623"/>
      <c r="BA52" s="623"/>
      <c r="BB52" s="623"/>
      <c r="BC52" s="623"/>
      <c r="BD52" s="623"/>
      <c r="BE52" s="623"/>
    </row>
    <row r="53" spans="1:57">
      <c r="A53" s="457"/>
      <c r="B53" s="457" t="s">
        <v>1213</v>
      </c>
      <c r="C53" s="455" t="str">
        <f>LEFT($L53,FIND("+",$L53,1)-1)</f>
        <v>2</v>
      </c>
      <c r="D53" s="455"/>
      <c r="E53" s="446" t="str">
        <f ca="1">IFERROR(IF(OR($I53="-", $H53="0"),"КАНАЛ ОТСУТСТВУЕТ",IF($I53=0,"МОДУЛЬ ОТСУТСТВУЕТ",IF(LEFT($I53,3)="out",".ODIG_MASK:=SETBIT("&amp;IF(LEFT(SUBSTITUTE($K53," ",""),1)="!","NOT  ","")&amp;SUBSTITUTE($P$2,"\","|")&amp;"|"&amp; $J53&amp;"@"&amp;REPLACE($I53,1,3,"")&amp;"@BR"&amp;$C53,"УДАЛИТЬ"))),"УДАЛИТЬ")</f>
        <v>УДАЛИТЬ</v>
      </c>
      <c r="F53" s="455" t="str">
        <f>".ODIG_MASK);"</f>
        <v>.ODIG_MASK);</v>
      </c>
      <c r="G53" s="445" t="str">
        <f>INDEX($N$2:$N$61,C53)</f>
        <v>M548A</v>
      </c>
      <c r="H53" s="445" t="str">
        <f>RIGHT($L53,LEN($L53)-FIND("+",$L53,1))</f>
        <v>14</v>
      </c>
      <c r="I53" s="460" t="str">
        <f ca="1">INDIRECT(ADDRESS($H53+1,MATCH($G53,$1:$1,),1))</f>
        <v>Canal_14</v>
      </c>
      <c r="J53" s="494" t="str">
        <f>$X$1</f>
        <v>OXON</v>
      </c>
      <c r="K53" s="495" t="str">
        <f>$X$2</f>
        <v>2+14</v>
      </c>
      <c r="L53" s="496" t="str">
        <f>$X$3</f>
        <v>2+14</v>
      </c>
      <c r="M53" s="424" t="str">
        <f>'Конфигурация TREI'!A54</f>
        <v>BR52</v>
      </c>
      <c r="N53" s="424">
        <f>'Конфигурация TREI'!B54</f>
        <v>0</v>
      </c>
      <c r="AE53" s="505"/>
      <c r="AF53" s="505"/>
      <c r="AG53" s="505"/>
      <c r="AH53" s="505"/>
      <c r="AI53" s="505"/>
      <c r="AJ53" s="505"/>
      <c r="AK53" s="505"/>
      <c r="AL53" s="505"/>
      <c r="AM53" s="505"/>
      <c r="AN53" s="505"/>
      <c r="AO53" s="505"/>
      <c r="AP53" s="505"/>
      <c r="AQ53" s="505"/>
      <c r="AR53" s="505"/>
      <c r="AS53" s="505"/>
      <c r="AT53" s="623"/>
      <c r="AU53" s="623"/>
      <c r="AV53" s="623"/>
      <c r="AW53" s="623"/>
      <c r="AX53" s="623"/>
      <c r="AY53" s="623"/>
      <c r="AZ53" s="623"/>
      <c r="BA53" s="623"/>
      <c r="BB53" s="623"/>
      <c r="BC53" s="623"/>
      <c r="BD53" s="623"/>
      <c r="BE53" s="623"/>
    </row>
    <row r="54" spans="1:57">
      <c r="A54" s="457"/>
      <c r="B54" s="457" t="s">
        <v>1213</v>
      </c>
      <c r="C54" s="455" t="str">
        <f>LEFT($L54,FIND("+",$L54,1)-1)</f>
        <v>2</v>
      </c>
      <c r="D54" s="455"/>
      <c r="E54" s="446" t="str">
        <f ca="1">IFERROR(IF(OR($I54="-", $H54="0"),"КАНАЛ ОТСУТСТВУЕТ",IF($I54=0,"МОДУЛЬ ОТСУТСТВУЕТ",IF(LEFT($I54,3)="out",".ODIG_MASK:=SETBIT("&amp;IF(LEFT(SUBSTITUTE($K54," ",""),1)="!","NOT  ","")&amp;SUBSTITUTE($P$2,"\","|")&amp;"|"&amp; $J54&amp;"@"&amp;REPLACE($I54,1,3,"")&amp;"@BR"&amp;$C54,"УДАЛИТЬ"))),"УДАЛИТЬ")</f>
        <v>УДАЛИТЬ</v>
      </c>
      <c r="F54" s="455" t="str">
        <f>".ODIG_MASK);"</f>
        <v>.ODIG_MASK);</v>
      </c>
      <c r="G54" s="445" t="str">
        <f>INDEX($N$2:$N$61,C54)</f>
        <v>M548A</v>
      </c>
      <c r="H54" s="445" t="str">
        <f>RIGHT($L54,LEN($L54)-FIND("+",$L54,1))</f>
        <v>15</v>
      </c>
      <c r="I54" s="460" t="str">
        <f ca="1">INDIRECT(ADDRESS($H54+1,MATCH($G54,$1:$1,),1))</f>
        <v>Canal_15</v>
      </c>
      <c r="J54" s="497" t="str">
        <f xml:space="preserve"> $Y$1</f>
        <v>OXOF</v>
      </c>
      <c r="K54" s="492" t="str">
        <f>$Y$2</f>
        <v>2+15</v>
      </c>
      <c r="L54" s="498" t="str">
        <f>$Y$3</f>
        <v>2+15</v>
      </c>
      <c r="M54" s="424" t="str">
        <f>'Конфигурация TREI'!A55</f>
        <v>BR53</v>
      </c>
      <c r="N54" s="424">
        <f>'Конфигурация TREI'!B55</f>
        <v>0</v>
      </c>
      <c r="AE54" s="505"/>
      <c r="AF54" s="505"/>
      <c r="AG54" s="505"/>
      <c r="AH54" s="505"/>
      <c r="AI54" s="505"/>
      <c r="AJ54" s="505"/>
      <c r="AK54" s="505"/>
      <c r="AL54" s="505"/>
      <c r="AM54" s="505"/>
      <c r="AN54" s="505"/>
      <c r="AO54" s="505"/>
      <c r="AP54" s="505"/>
      <c r="AQ54" s="505"/>
      <c r="AR54" s="505"/>
      <c r="AS54" s="505"/>
      <c r="AT54" s="623"/>
      <c r="AU54" s="623"/>
      <c r="AV54" s="623"/>
      <c r="AW54" s="623"/>
      <c r="AX54" s="623"/>
      <c r="AY54" s="623"/>
      <c r="AZ54" s="623"/>
      <c r="BA54" s="623"/>
      <c r="BB54" s="623"/>
      <c r="BC54" s="623"/>
      <c r="BD54" s="623"/>
      <c r="BE54" s="623"/>
    </row>
    <row r="55" spans="1:57">
      <c r="A55" s="457" t="str">
        <f>SUBSTITUTE($P$2,"\","|")&amp;"|"&amp;"DOON:="&amp;P4&amp;"NOT_LINK_BR"</f>
        <v>ZRU_OL1_s|DOON:=NOT_LINK_BR</v>
      </c>
      <c r="B55" s="457"/>
      <c r="C55" s="455"/>
      <c r="D55" s="455"/>
      <c r="E55" s="455" t="str">
        <f>IFERROR(LEFT($L55,FIND("+",$L55,1)-1),"УДАЛИТЬ")</f>
        <v>2</v>
      </c>
      <c r="F55" s="455" t="s">
        <v>845</v>
      </c>
      <c r="G55" s="445"/>
      <c r="H55" s="445"/>
      <c r="I55" s="460"/>
      <c r="J55" s="494" t="str">
        <f>$X$1</f>
        <v>OXON</v>
      </c>
      <c r="K55" s="495" t="str">
        <f>$X$2</f>
        <v>2+14</v>
      </c>
      <c r="L55" s="496" t="str">
        <f>$X$3</f>
        <v>2+14</v>
      </c>
      <c r="M55" s="424" t="str">
        <f>'Конфигурация TREI'!A56</f>
        <v>BR54</v>
      </c>
      <c r="N55" s="424">
        <f>'Конфигурация TREI'!B56</f>
        <v>0</v>
      </c>
      <c r="AE55" s="505"/>
      <c r="AF55" s="505"/>
      <c r="AG55" s="505"/>
      <c r="AH55" s="505"/>
      <c r="AI55" s="505"/>
      <c r="AJ55" s="505"/>
      <c r="AK55" s="505"/>
      <c r="AL55" s="505"/>
      <c r="AM55" s="505"/>
      <c r="AN55" s="505"/>
      <c r="AO55" s="505"/>
      <c r="AP55" s="505"/>
      <c r="AQ55" s="505"/>
      <c r="AR55" s="505"/>
      <c r="AS55" s="505"/>
      <c r="AT55" s="623"/>
      <c r="AU55" s="623"/>
      <c r="AV55" s="623"/>
      <c r="AW55" s="623"/>
      <c r="AX55" s="623"/>
      <c r="AY55" s="623"/>
      <c r="AZ55" s="623"/>
      <c r="BA55" s="623"/>
      <c r="BB55" s="623"/>
      <c r="BC55" s="623"/>
      <c r="BD55" s="623"/>
      <c r="BE55" s="623"/>
    </row>
    <row r="56" spans="1:57">
      <c r="A56" s="457" t="str">
        <f>SUBSTITUTE($P$2,"\","|")&amp;"|"&amp;"DOOF:="&amp;P4&amp;"NOT_LINK_BR"</f>
        <v>ZRU_OL1_s|DOOF:=NOT_LINK_BR</v>
      </c>
      <c r="B56" s="457"/>
      <c r="C56" s="455"/>
      <c r="D56" s="455"/>
      <c r="E56" s="455" t="str">
        <f>IFERROR(LEFT($L56,FIND("+",$L56,1)-1),"УДАЛИТЬ")</f>
        <v>2</v>
      </c>
      <c r="F56" s="455" t="s">
        <v>845</v>
      </c>
      <c r="G56" s="1"/>
      <c r="H56" s="1"/>
      <c r="I56" s="460"/>
      <c r="J56" s="499" t="str">
        <f xml:space="preserve"> $Y$1</f>
        <v>OXOF</v>
      </c>
      <c r="K56" s="500" t="str">
        <f>$Y$2</f>
        <v>2+15</v>
      </c>
      <c r="L56" s="501" t="str">
        <f>$Y$3</f>
        <v>2+15</v>
      </c>
      <c r="M56" s="424" t="str">
        <f>'Конфигурация TREI'!A57</f>
        <v>BR55</v>
      </c>
      <c r="N56" s="424">
        <f>'Конфигурация TREI'!B57</f>
        <v>0</v>
      </c>
      <c r="AE56" s="505"/>
      <c r="AF56" s="505"/>
      <c r="AG56" s="505"/>
      <c r="AH56" s="505"/>
      <c r="AI56" s="505"/>
      <c r="AJ56" s="505"/>
      <c r="AK56" s="505"/>
      <c r="AL56" s="505"/>
      <c r="AM56" s="505"/>
      <c r="AN56" s="505"/>
      <c r="AO56" s="505"/>
      <c r="AP56" s="505"/>
      <c r="AQ56" s="505"/>
      <c r="AR56" s="505"/>
      <c r="AS56" s="505"/>
      <c r="AT56" s="623"/>
      <c r="AU56" s="623"/>
      <c r="AV56" s="623"/>
      <c r="AW56" s="623"/>
      <c r="AX56" s="623"/>
      <c r="AY56" s="623"/>
      <c r="AZ56" s="623"/>
      <c r="BA56" s="623"/>
      <c r="BB56" s="623"/>
      <c r="BC56" s="623"/>
      <c r="BD56" s="623"/>
      <c r="BE56" s="623"/>
    </row>
    <row r="57" spans="1:57">
      <c r="M57" s="424" t="str">
        <f>'Конфигурация TREI'!A58</f>
        <v>BR56</v>
      </c>
      <c r="N57" s="424">
        <f>'Конфигурация TREI'!B58</f>
        <v>0</v>
      </c>
    </row>
    <row r="58" spans="1:57">
      <c r="M58" s="424" t="str">
        <f>'Конфигурация TREI'!A59</f>
        <v>BR57</v>
      </c>
      <c r="N58" s="424">
        <f>'Конфигурация TREI'!B59</f>
        <v>0</v>
      </c>
    </row>
    <row r="59" spans="1:57">
      <c r="M59" s="424" t="str">
        <f>'Конфигурация TREI'!A60</f>
        <v>BR58</v>
      </c>
      <c r="N59" s="424">
        <f>'Конфигурация TREI'!B60</f>
        <v>0</v>
      </c>
    </row>
    <row r="60" spans="1:57">
      <c r="M60" s="424" t="str">
        <f>'Конфигурация TREI'!A61</f>
        <v>BR59</v>
      </c>
      <c r="N60" s="424">
        <f>'Конфигурация TREI'!B61</f>
        <v>0</v>
      </c>
    </row>
    <row r="61" spans="1:57">
      <c r="M61" s="424" t="str">
        <f>'Конфигурация TREI'!A62</f>
        <v>BR60</v>
      </c>
      <c r="N61" s="424">
        <f>'Конфигурация TREI'!B62</f>
        <v>0</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sheetPr codeName="Лист117">
    <tabColor theme="2" tint="-0.249977111117893"/>
  </sheetPr>
  <dimension ref="A1:BE61"/>
  <sheetViews>
    <sheetView workbookViewId="0">
      <selection activeCell="D2" sqref="D2:D4"/>
    </sheetView>
  </sheetViews>
  <sheetFormatPr defaultRowHeight="14.4"/>
  <cols>
    <col min="1" max="1" width="35.44140625" customWidth="1"/>
    <col min="2" max="2" width="21.44140625" customWidth="1"/>
    <col min="3" max="3" width="3.44140625" customWidth="1"/>
    <col min="4" max="4" width="1.109375" customWidth="1"/>
    <col min="5" max="5" width="33.44140625" customWidth="1"/>
    <col min="6" max="6" width="17.6640625" customWidth="1"/>
    <col min="7" max="7" width="10.5546875" customWidth="1"/>
    <col min="8" max="8" width="14.33203125" customWidth="1"/>
    <col min="9" max="9" width="11.44140625" customWidth="1"/>
    <col min="10" max="10" width="9.109375" hidden="1" customWidth="1"/>
    <col min="11" max="11" width="10.88671875" customWidth="1"/>
    <col min="12" max="12" width="11.5546875" customWidth="1"/>
    <col min="13" max="13" width="10.6640625" bestFit="1" customWidth="1"/>
    <col min="14" max="14" width="8.109375" bestFit="1" customWidth="1"/>
    <col min="15" max="15" width="9.109375" customWidth="1"/>
    <col min="16" max="16" width="34.6640625" customWidth="1"/>
    <col min="17" max="17" width="39.33203125" customWidth="1"/>
    <col min="18" max="30" width="26.109375" style="55" customWidth="1"/>
    <col min="31" max="31" width="4.5546875" style="427" customWidth="1"/>
    <col min="32" max="32" width="11.109375" customWidth="1"/>
  </cols>
  <sheetData>
    <row r="1" spans="1:57">
      <c r="A1" s="425"/>
      <c r="B1" s="425"/>
      <c r="C1" s="425"/>
      <c r="D1" s="425"/>
      <c r="E1" s="425"/>
      <c r="F1" s="425"/>
      <c r="G1" s="426" t="s">
        <v>846</v>
      </c>
      <c r="H1" s="426" t="s">
        <v>847</v>
      </c>
      <c r="I1" s="424" t="s">
        <v>1181</v>
      </c>
      <c r="J1" s="425"/>
      <c r="M1" s="424" t="str">
        <f>'Конфигурация TREI'!A1</f>
        <v>№ Модуля</v>
      </c>
      <c r="N1" s="424" t="str">
        <f>'Конфигурация TREI'!B2</f>
        <v>M501E(рез)</v>
      </c>
      <c r="O1" s="425"/>
      <c r="P1" s="425" t="str">
        <f>Таблица!D1</f>
        <v>Префикс для TREI
Тэг ОРС для INFINITY</v>
      </c>
      <c r="Q1" s="425" t="str">
        <f>Таблица!E1</f>
        <v>Комментарий для TREI и INFINITY</v>
      </c>
      <c r="R1" s="452"/>
      <c r="S1" s="452" t="s">
        <v>858</v>
      </c>
      <c r="T1" s="452" t="s">
        <v>859</v>
      </c>
      <c r="U1" s="452"/>
      <c r="V1" s="452"/>
      <c r="W1" s="452" t="s">
        <v>850</v>
      </c>
      <c r="X1" s="452"/>
      <c r="Y1" s="452"/>
      <c r="Z1" s="452"/>
      <c r="AA1" s="452" t="s">
        <v>854</v>
      </c>
      <c r="AB1" s="452" t="s">
        <v>855</v>
      </c>
      <c r="AC1" s="452"/>
      <c r="AD1" s="453"/>
      <c r="AE1" s="438"/>
      <c r="AF1" s="438">
        <f>Настройки!Q1</f>
        <v>0</v>
      </c>
      <c r="AG1" s="438" t="str">
        <f>Настройки!R1</f>
        <v>M943DR</v>
      </c>
      <c r="AH1" s="438" t="str">
        <f>Настройки!S1</f>
        <v>M942A</v>
      </c>
      <c r="AI1" s="438" t="str">
        <f>Настройки!T1</f>
        <v>M957D</v>
      </c>
      <c r="AJ1" s="438" t="str">
        <f>Настройки!U1</f>
        <v>M957O</v>
      </c>
      <c r="AK1" s="438" t="str">
        <f>Настройки!V1</f>
        <v>M947R</v>
      </c>
      <c r="AL1" s="438" t="str">
        <f>Настройки!W1</f>
        <v>M931V</v>
      </c>
      <c r="AM1" s="438" t="str">
        <f>Настройки!X1</f>
        <v>M931T</v>
      </c>
      <c r="AN1" s="438" t="str">
        <f>Настройки!Y1</f>
        <v>M547A</v>
      </c>
      <c r="AO1" s="438" t="str">
        <f>Настройки!Z1</f>
        <v>M537V</v>
      </c>
      <c r="AP1" s="438" t="str">
        <f>Настройки!AA1</f>
        <v>M557D</v>
      </c>
      <c r="AQ1" s="438" t="str">
        <f>Настройки!AB1</f>
        <v>M557O</v>
      </c>
      <c r="AR1" s="438" t="str">
        <f>Настройки!AC1</f>
        <v>MOPS</v>
      </c>
      <c r="AS1" s="438" t="str">
        <f>Настройки!AD1</f>
        <v>MUPS</v>
      </c>
      <c r="AT1" s="439" t="str">
        <f>Настройки!AB1</f>
        <v>M557O</v>
      </c>
      <c r="AU1" s="439" t="str">
        <f>Настройки!AC1</f>
        <v>MOPS</v>
      </c>
      <c r="AV1" s="439" t="str">
        <f>Настройки!AD1</f>
        <v>MUPS</v>
      </c>
      <c r="AW1" s="439" t="str">
        <f>Настройки!AE1</f>
        <v>M941A</v>
      </c>
      <c r="AX1" s="439" t="str">
        <f>Настройки!AF1</f>
        <v>M954D</v>
      </c>
      <c r="AY1" s="439" t="str">
        <f>Настройки!AG1</f>
        <v>M557DR</v>
      </c>
      <c r="AZ1" s="439" t="str">
        <f>Настройки!AH1</f>
        <v>M558D</v>
      </c>
      <c r="BA1" s="439" t="str">
        <f>Настройки!AI1</f>
        <v>M558O</v>
      </c>
      <c r="BB1" s="439" t="str">
        <f>Настройки!AJ1</f>
        <v>M548A</v>
      </c>
      <c r="BC1" s="439" t="str">
        <f>Настройки!AK1</f>
        <v>M538V</v>
      </c>
      <c r="BD1" s="439" t="str">
        <f>Настройки!AL1</f>
        <v>M558DR</v>
      </c>
      <c r="BE1" s="439" t="str">
        <f>Настройки!AM1</f>
        <v>*</v>
      </c>
    </row>
    <row r="2" spans="1:57">
      <c r="A2" s="446" t="str">
        <f>"//*********** "&amp;Q2&amp;" ***********"</f>
        <v>//*********** Выключатель электрический без защит ***********</v>
      </c>
      <c r="B2" s="446"/>
      <c r="C2" s="446"/>
      <c r="D2" s="446"/>
      <c r="E2" s="446"/>
      <c r="F2" s="446" t="s">
        <v>1031</v>
      </c>
      <c r="G2" s="447"/>
      <c r="H2" s="447"/>
      <c r="I2" s="459"/>
      <c r="M2" s="424" t="str">
        <f>'Конфигурация TREI'!A3</f>
        <v>BR1</v>
      </c>
      <c r="N2" s="424" t="str">
        <f>'Конфигурация TREI'!B3</f>
        <v>M558D</v>
      </c>
      <c r="P2" s="2" t="s">
        <v>300</v>
      </c>
      <c r="Q2" s="449" t="s">
        <v>771</v>
      </c>
      <c r="R2" s="451"/>
      <c r="S2" s="454" t="s">
        <v>1274</v>
      </c>
      <c r="T2" s="454" t="s">
        <v>1275</v>
      </c>
      <c r="U2" s="454"/>
      <c r="V2" s="454"/>
      <c r="W2" s="454" t="s">
        <v>1276</v>
      </c>
      <c r="X2" s="454"/>
      <c r="Y2" s="454"/>
      <c r="Z2" s="454"/>
      <c r="AA2" s="454" t="s">
        <v>1277</v>
      </c>
      <c r="AB2" s="454" t="s">
        <v>1278</v>
      </c>
      <c r="AC2" s="454"/>
      <c r="AD2" s="454"/>
      <c r="AE2" s="431">
        <f>Настройки!P2</f>
        <v>1</v>
      </c>
      <c r="AF2" s="380">
        <f>Настройки!Q2</f>
        <v>0</v>
      </c>
      <c r="AG2" s="380" t="str">
        <f>Настройки!R2</f>
        <v>IDIG_1_1</v>
      </c>
      <c r="AH2" s="380" t="str">
        <f>Настройки!S2</f>
        <v>IANS_1_3</v>
      </c>
      <c r="AI2" s="380" t="str">
        <f>Настройки!T2</f>
        <v>out0</v>
      </c>
      <c r="AJ2" s="380" t="str">
        <f>Настройки!U2</f>
        <v>out0</v>
      </c>
      <c r="AK2" s="380" t="str">
        <f>Настройки!V2</f>
        <v>ODIG_1</v>
      </c>
      <c r="AL2" s="380" t="str">
        <f>Настройки!W2</f>
        <v>OAN_1_1</v>
      </c>
      <c r="AM2" s="380" t="str">
        <f>Настройки!X2</f>
        <v>IANS_1_1</v>
      </c>
      <c r="AN2" s="380" t="str">
        <f>Настройки!Y2</f>
        <v>Canal_01</v>
      </c>
      <c r="AO2" s="380" t="str">
        <f>Настройки!Z2</f>
        <v>Canal_01</v>
      </c>
      <c r="AP2" s="380" t="str">
        <f>Настройки!AA2</f>
        <v>Canal_01</v>
      </c>
      <c r="AQ2" s="380" t="str">
        <f>Настройки!AB2</f>
        <v>Canal_01</v>
      </c>
      <c r="AR2" s="380" t="str">
        <f>Настройки!AC2</f>
        <v>IVXX[0]</v>
      </c>
      <c r="AS2" s="380" t="str">
        <f>Настройки!AD2</f>
        <v>IVXX[0]</v>
      </c>
      <c r="AT2" s="207" t="str">
        <f>Настройки!AB2</f>
        <v>Canal_01</v>
      </c>
      <c r="AU2" s="207" t="str">
        <f>Настройки!AC2</f>
        <v>IVXX[0]</v>
      </c>
      <c r="AV2" s="207" t="str">
        <f>Настройки!AD2</f>
        <v>IVXX[0]</v>
      </c>
      <c r="AW2" s="207" t="str">
        <f>Настройки!AE2</f>
        <v>IANS_1_1</v>
      </c>
      <c r="AX2" s="207" t="str">
        <f>Настройки!AF2</f>
        <v>IDIG_1_1</v>
      </c>
      <c r="AY2" s="207" t="str">
        <f>Настройки!AG2</f>
        <v>Canal_01</v>
      </c>
      <c r="AZ2" s="207" t="str">
        <f>Настройки!AH2</f>
        <v>Canal_01</v>
      </c>
      <c r="BA2" s="207" t="str">
        <f>Настройки!AI2</f>
        <v>Canal_01</v>
      </c>
      <c r="BB2" s="207" t="str">
        <f>Настройки!AJ2</f>
        <v>Canal_01</v>
      </c>
      <c r="BC2" s="207" t="str">
        <f>Настройки!AK2</f>
        <v>Canal_01</v>
      </c>
      <c r="BD2" s="207" t="str">
        <f>Настройки!AL2</f>
        <v>Canal_01</v>
      </c>
      <c r="BE2" s="207" t="str">
        <f>Настройки!AM2</f>
        <v>-</v>
      </c>
    </row>
    <row r="3" spans="1:57">
      <c r="A3" s="82"/>
      <c r="B3" s="82"/>
      <c r="C3" s="81"/>
      <c r="D3" s="81"/>
      <c r="E3" s="448" t="str">
        <f ca="1">IF(LEFT(E8,3)="out","INT_TO_BIT_BR"&amp;C8&amp;"(BR"&amp;C8&amp;".IDIG_MASK)","УДАЛИТЬ")</f>
        <v>УДАЛИТЬ</v>
      </c>
      <c r="F3" s="446" t="s">
        <v>845</v>
      </c>
      <c r="G3" s="447"/>
      <c r="H3" s="447"/>
      <c r="I3" s="459"/>
      <c r="M3" s="424" t="str">
        <f>'Конфигурация TREI'!A4</f>
        <v>BR2</v>
      </c>
      <c r="N3" s="424" t="str">
        <f>'Конфигурация TREI'!B4</f>
        <v>M548A</v>
      </c>
      <c r="P3" s="425" t="str">
        <f>'Конфигурация TREI'!D1</f>
        <v>Путь TREI для сигналов NOT_LINK</v>
      </c>
      <c r="R3" s="450"/>
      <c r="S3" s="454" t="str">
        <f>SUBSTITUTE(SUBSTITUTE($S$2,"!","")," ","")</f>
        <v>6+27</v>
      </c>
      <c r="T3" s="454" t="str">
        <f>SUBSTITUTE(SUBSTITUTE($T$2,"!","")," ","")</f>
        <v>6+28</v>
      </c>
      <c r="U3" s="454" t="str">
        <f>SUBSTITUTE(SUBSTITUTE($U$2,"!","")," ","")</f>
        <v/>
      </c>
      <c r="V3" s="454" t="str">
        <f>SUBSTITUTE(SUBSTITUTE($V$2,"!","")," ","")</f>
        <v/>
      </c>
      <c r="W3" s="454" t="str">
        <f>SUBSTITUTE(SUBSTITUTE($W$2,"!","")," ","")</f>
        <v>6+7</v>
      </c>
      <c r="X3" s="454" t="str">
        <f>SUBSTITUTE(SUBSTITUTE($X$2,"!","")," ","")</f>
        <v/>
      </c>
      <c r="Y3" s="454" t="str">
        <f>SUBSTITUTE(SUBSTITUTE($Y$2,"!","")," ","")</f>
        <v/>
      </c>
      <c r="Z3" s="454" t="str">
        <f>SUBSTITUTE(SUBSTITUTE($Z$2,"!","")," ","")</f>
        <v/>
      </c>
      <c r="AA3" s="454" t="str">
        <f>SUBSTITUTE(SUBSTITUTE($AA$2,"!","")," ","")</f>
        <v>6+17</v>
      </c>
      <c r="AB3" s="454" t="str">
        <f>SUBSTITUTE(SUBSTITUTE($AB$2,"!","")," ","")</f>
        <v>6+22</v>
      </c>
      <c r="AC3" s="454" t="str">
        <f>SUBSTITUTE(SUBSTITUTE($AC$2,"!","")," ","")</f>
        <v/>
      </c>
      <c r="AD3" s="454"/>
      <c r="AE3" s="431">
        <f>Настройки!P3</f>
        <v>2</v>
      </c>
      <c r="AF3" s="380">
        <f>Настройки!Q3</f>
        <v>0</v>
      </c>
      <c r="AG3" s="380" t="str">
        <f>Настройки!R3</f>
        <v>IDIG_1_2</v>
      </c>
      <c r="AH3" s="380" t="str">
        <f>Настройки!S3</f>
        <v>IANS_1_4</v>
      </c>
      <c r="AI3" s="380" t="str">
        <f>Настройки!T3</f>
        <v>out1</v>
      </c>
      <c r="AJ3" s="380" t="str">
        <f>Настройки!U3</f>
        <v>out1</v>
      </c>
      <c r="AK3" s="380" t="str">
        <f>Настройки!V3</f>
        <v>ODIG_2</v>
      </c>
      <c r="AL3" s="380" t="str">
        <f>Настройки!W3</f>
        <v>OAN_2_1</v>
      </c>
      <c r="AM3" s="380" t="str">
        <f>Настройки!X3</f>
        <v>IANS_2_1</v>
      </c>
      <c r="AN3" s="380" t="str">
        <f>Настройки!Y3</f>
        <v>Canal_02</v>
      </c>
      <c r="AO3" s="380" t="str">
        <f>Настройки!Z3</f>
        <v>Canal_02</v>
      </c>
      <c r="AP3" s="380" t="str">
        <f>Настройки!AA3</f>
        <v>Canal_02</v>
      </c>
      <c r="AQ3" s="380" t="str">
        <f>Настройки!AB3</f>
        <v>Canal_02</v>
      </c>
      <c r="AR3" s="380" t="str">
        <f>Настройки!AC3</f>
        <v>IVXX[1]</v>
      </c>
      <c r="AS3" s="380" t="str">
        <f>Настройки!AD3</f>
        <v>IVXX[1]</v>
      </c>
      <c r="AT3" s="207" t="str">
        <f>Настройки!AB3</f>
        <v>Canal_02</v>
      </c>
      <c r="AU3" s="207" t="str">
        <f>Настройки!AC3</f>
        <v>IVXX[1]</v>
      </c>
      <c r="AV3" s="207" t="str">
        <f>Настройки!AD3</f>
        <v>IVXX[1]</v>
      </c>
      <c r="AW3" s="207" t="str">
        <f>Настройки!AE3</f>
        <v>IANS_1_2</v>
      </c>
      <c r="AX3" s="207" t="str">
        <f>Настройки!AF3</f>
        <v>IDIG_1_2</v>
      </c>
      <c r="AY3" s="207" t="str">
        <f>Настройки!AG3</f>
        <v>Canal_02</v>
      </c>
      <c r="AZ3" s="207" t="str">
        <f>Настройки!AH3</f>
        <v>Canal_02</v>
      </c>
      <c r="BA3" s="207" t="str">
        <f>Настройки!AI3</f>
        <v>Canal_02</v>
      </c>
      <c r="BB3" s="207" t="str">
        <f>Настройки!AJ3</f>
        <v>Canal_02</v>
      </c>
      <c r="BC3" s="207" t="str">
        <f>Настройки!AK3</f>
        <v>Canal_02</v>
      </c>
      <c r="BD3" s="207" t="str">
        <f>Настройки!AL3</f>
        <v>Canal_02</v>
      </c>
      <c r="BE3" s="207" t="str">
        <f>Настройки!AM3</f>
        <v>-</v>
      </c>
    </row>
    <row r="4" spans="1:57">
      <c r="A4" s="82"/>
      <c r="B4" s="82"/>
      <c r="C4" s="81"/>
      <c r="D4" s="81"/>
      <c r="E4" s="448" t="str">
        <f ca="1">IF(LEFT(E9,3)="out","INT_TO_BIT_BR"&amp;C9&amp;"(BR"&amp;C9&amp;".IDIG_MASK)","УДАЛИТЬ")</f>
        <v>УДАЛИТЬ</v>
      </c>
      <c r="F4" s="446" t="s">
        <v>845</v>
      </c>
      <c r="G4" s="447"/>
      <c r="H4" s="447"/>
      <c r="I4" s="459"/>
      <c r="M4" s="424" t="str">
        <f>'Конфигурация TREI'!A5</f>
        <v>BR3</v>
      </c>
      <c r="N4" s="424" t="str">
        <f>'Конфигурация TREI'!B5</f>
        <v>M548A</v>
      </c>
      <c r="P4" s="3" t="str">
        <f>Настройки!D2</f>
        <v/>
      </c>
      <c r="AE4" s="431">
        <f>Настройки!P4</f>
        <v>3</v>
      </c>
      <c r="AF4" s="380">
        <f>Настройки!Q4</f>
        <v>0</v>
      </c>
      <c r="AG4" s="380" t="str">
        <f>Настройки!R4</f>
        <v>IDIG_2_1</v>
      </c>
      <c r="AH4" s="380" t="str">
        <f>Настройки!S4</f>
        <v>IANS_2_3</v>
      </c>
      <c r="AI4" s="380" t="str">
        <f>Настройки!T4</f>
        <v>out2</v>
      </c>
      <c r="AJ4" s="380" t="str">
        <f>Настройки!U4</f>
        <v>out2</v>
      </c>
      <c r="AK4" s="380" t="str">
        <f>Настройки!V4</f>
        <v>ODIG_3</v>
      </c>
      <c r="AL4" s="380" t="str">
        <f>Настройки!W4</f>
        <v>OAN_3_1</v>
      </c>
      <c r="AM4" s="380" t="str">
        <f>Настройки!X4</f>
        <v>IANS_3_1</v>
      </c>
      <c r="AN4" s="380" t="str">
        <f>Настройки!Y4</f>
        <v>Canal_03</v>
      </c>
      <c r="AO4" s="380" t="str">
        <f>Настройки!Z4</f>
        <v>Canal_03</v>
      </c>
      <c r="AP4" s="380" t="str">
        <f>Настройки!AA4</f>
        <v>Canal_03</v>
      </c>
      <c r="AQ4" s="380" t="str">
        <f>Настройки!AB4</f>
        <v>Canal_03</v>
      </c>
      <c r="AR4" s="380" t="str">
        <f>Настройки!AC4</f>
        <v>IVXX[2]</v>
      </c>
      <c r="AS4" s="380" t="str">
        <f>Настройки!AD4</f>
        <v>IVXX[2]</v>
      </c>
      <c r="AT4" s="207" t="str">
        <f>Настройки!AB4</f>
        <v>Canal_03</v>
      </c>
      <c r="AU4" s="207" t="str">
        <f>Настройки!AC4</f>
        <v>IVXX[2]</v>
      </c>
      <c r="AV4" s="207" t="str">
        <f>Настройки!AD4</f>
        <v>IVXX[2]</v>
      </c>
      <c r="AW4" s="207" t="str">
        <f>Настройки!AE4</f>
        <v>IANS_2_1</v>
      </c>
      <c r="AX4" s="207" t="str">
        <f>Настройки!AF4</f>
        <v>IDIG_1_3</v>
      </c>
      <c r="AY4" s="207" t="str">
        <f>Настройки!AG4</f>
        <v>Canal_03</v>
      </c>
      <c r="AZ4" s="207" t="str">
        <f>Настройки!AH4</f>
        <v>Canal_03</v>
      </c>
      <c r="BA4" s="207" t="str">
        <f>Настройки!AI4</f>
        <v>Canal_03</v>
      </c>
      <c r="BB4" s="207" t="str">
        <f>Настройки!AJ4</f>
        <v>Canal_03</v>
      </c>
      <c r="BC4" s="207" t="str">
        <f>Настройки!AK4</f>
        <v>Canal_03</v>
      </c>
      <c r="BD4" s="207" t="str">
        <f>Настройки!AL4</f>
        <v>Canal_03</v>
      </c>
      <c r="BE4" s="207" t="str">
        <f>Настройки!AM4</f>
        <v>-</v>
      </c>
    </row>
    <row r="5" spans="1:57">
      <c r="A5" s="82"/>
      <c r="B5" s="82"/>
      <c r="C5" s="81"/>
      <c r="D5" s="81"/>
      <c r="E5" s="448" t="str">
        <f ca="1">IF(LEFT(E10,3)="out","INT_TO_BIT_BR"&amp;C10&amp;"(BR"&amp;C10&amp;".IDIG_MASK)","УДАЛИТЬ")</f>
        <v>УДАЛИТЬ</v>
      </c>
      <c r="F5" s="446" t="s">
        <v>845</v>
      </c>
      <c r="G5" s="447"/>
      <c r="H5" s="447"/>
      <c r="I5" s="459"/>
      <c r="M5" s="424" t="str">
        <f>'Конфигурация TREI'!A6</f>
        <v>BR4</v>
      </c>
      <c r="N5" s="424" t="str">
        <f>'Конфигурация TREI'!B6</f>
        <v>M558D</v>
      </c>
      <c r="AE5" s="431">
        <f>Настройки!P5</f>
        <v>4</v>
      </c>
      <c r="AF5" s="380">
        <f>Настройки!Q5</f>
        <v>0</v>
      </c>
      <c r="AG5" s="380" t="str">
        <f>Настройки!R5</f>
        <v>IDIG_2_2</v>
      </c>
      <c r="AH5" s="380" t="str">
        <f>Настройки!S5</f>
        <v>IANS_2_4</v>
      </c>
      <c r="AI5" s="380" t="str">
        <f>Настройки!T5</f>
        <v>out3</v>
      </c>
      <c r="AJ5" s="380" t="str">
        <f>Настройки!U5</f>
        <v>out3</v>
      </c>
      <c r="AK5" s="380" t="str">
        <f>Настройки!V5</f>
        <v>ODIG_4</v>
      </c>
      <c r="AL5" s="380" t="str">
        <f>Настройки!W5</f>
        <v>OAN_4_1</v>
      </c>
      <c r="AM5" s="380" t="str">
        <f>Настройки!X5</f>
        <v>IANS_4_1</v>
      </c>
      <c r="AN5" s="380" t="str">
        <f>Настройки!Y5</f>
        <v>Canal_04</v>
      </c>
      <c r="AO5" s="380" t="str">
        <f>Настройки!Z5</f>
        <v>Canal_04</v>
      </c>
      <c r="AP5" s="380" t="str">
        <f>Настройки!AA5</f>
        <v>Canal_04</v>
      </c>
      <c r="AQ5" s="380" t="str">
        <f>Настройки!AB5</f>
        <v>Canal_04</v>
      </c>
      <c r="AR5" s="380" t="str">
        <f>Настройки!AC5</f>
        <v>IVXX[3]</v>
      </c>
      <c r="AS5" s="380" t="str">
        <f>Настройки!AD5</f>
        <v>IVXX[3]</v>
      </c>
      <c r="AT5" s="207" t="str">
        <f>Настройки!AB5</f>
        <v>Canal_04</v>
      </c>
      <c r="AU5" s="207" t="str">
        <f>Настройки!AC5</f>
        <v>IVXX[3]</v>
      </c>
      <c r="AV5" s="207" t="str">
        <f>Настройки!AD5</f>
        <v>IVXX[3]</v>
      </c>
      <c r="AW5" s="207" t="str">
        <f>Настройки!AE5</f>
        <v>IANS_2_2</v>
      </c>
      <c r="AX5" s="207" t="str">
        <f>Настройки!AF5</f>
        <v>IDIG_1_4</v>
      </c>
      <c r="AY5" s="207" t="str">
        <f>Настройки!AG5</f>
        <v>Canal_04</v>
      </c>
      <c r="AZ5" s="207" t="str">
        <f>Настройки!AH5</f>
        <v>Canal_04</v>
      </c>
      <c r="BA5" s="207" t="str">
        <f>Настройки!AI5</f>
        <v>Canal_04</v>
      </c>
      <c r="BB5" s="207" t="str">
        <f>Настройки!AJ5</f>
        <v>Canal_04</v>
      </c>
      <c r="BC5" s="207" t="str">
        <f>Настройки!AK5</f>
        <v>Canal_04</v>
      </c>
      <c r="BD5" s="207" t="str">
        <f>Настройки!AL5</f>
        <v>Canal_04</v>
      </c>
      <c r="BE5" s="207" t="str">
        <f>Настройки!AM5</f>
        <v>-</v>
      </c>
    </row>
    <row r="6" spans="1:57">
      <c r="A6" s="82"/>
      <c r="B6" s="82"/>
      <c r="C6" s="81"/>
      <c r="D6" s="81"/>
      <c r="E6" s="448" t="str">
        <f ca="1">IF(LEFT(E11,3)="out","INT_TO_BIT_BR"&amp;C11&amp;"(BR"&amp;C11&amp;".IDIG_MASK)","УДАЛИТЬ")</f>
        <v>УДАЛИТЬ</v>
      </c>
      <c r="F6" s="446" t="s">
        <v>845</v>
      </c>
      <c r="G6" s="447"/>
      <c r="H6" s="447"/>
      <c r="I6" s="459"/>
      <c r="M6" s="424" t="str">
        <f>'Конфигурация TREI'!A7</f>
        <v>BR5</v>
      </c>
      <c r="N6" s="424" t="str">
        <f>'Конфигурация TREI'!B7</f>
        <v>M558O</v>
      </c>
      <c r="AE6" s="431">
        <f>Настройки!P6</f>
        <v>5</v>
      </c>
      <c r="AF6" s="380">
        <f>Настройки!Q6</f>
        <v>0</v>
      </c>
      <c r="AG6" s="380" t="str">
        <f>Настройки!R6</f>
        <v>IDIG_3_1</v>
      </c>
      <c r="AH6" s="380" t="str">
        <f>Настройки!S6</f>
        <v>IANS_3_3</v>
      </c>
      <c r="AI6" s="380" t="str">
        <f>Настройки!T6</f>
        <v>out4</v>
      </c>
      <c r="AJ6" s="380" t="str">
        <f>Настройки!U6</f>
        <v>out4</v>
      </c>
      <c r="AK6" s="380" t="str">
        <f>Настройки!V6</f>
        <v>ODIG_5</v>
      </c>
      <c r="AL6" s="380" t="str">
        <f>Настройки!W6</f>
        <v>OAN_5_1</v>
      </c>
      <c r="AM6" s="380" t="str">
        <f>Настройки!X6</f>
        <v>IANS_5_1</v>
      </c>
      <c r="AN6" s="380" t="str">
        <f>Настройки!Y6</f>
        <v>Canal_05</v>
      </c>
      <c r="AO6" s="380" t="str">
        <f>Настройки!Z6</f>
        <v>Canal_05</v>
      </c>
      <c r="AP6" s="380" t="str">
        <f>Настройки!AA6</f>
        <v>Canal_05</v>
      </c>
      <c r="AQ6" s="380" t="str">
        <f>Настройки!AB6</f>
        <v>Canal_05</v>
      </c>
      <c r="AR6" s="380" t="str">
        <f>Настройки!AC6</f>
        <v>IVXX[4]</v>
      </c>
      <c r="AS6" s="380" t="str">
        <f>Настройки!AD6</f>
        <v>IVXX[4]</v>
      </c>
      <c r="AT6" s="207" t="str">
        <f>Настройки!AB6</f>
        <v>Canal_05</v>
      </c>
      <c r="AU6" s="207" t="str">
        <f>Настройки!AC6</f>
        <v>IVXX[4]</v>
      </c>
      <c r="AV6" s="207" t="str">
        <f>Настройки!AD6</f>
        <v>IVXX[4]</v>
      </c>
      <c r="AW6" s="207" t="str">
        <f>Настройки!AE6</f>
        <v>IANS_3_1</v>
      </c>
      <c r="AX6" s="207" t="str">
        <f>Настройки!AF6</f>
        <v>IDIG_2_1</v>
      </c>
      <c r="AY6" s="207" t="str">
        <f>Настройки!AG6</f>
        <v>Canal_05</v>
      </c>
      <c r="AZ6" s="207" t="str">
        <f>Настройки!AH6</f>
        <v>Canal_05</v>
      </c>
      <c r="BA6" s="207" t="str">
        <f>Настройки!AI6</f>
        <v>Canal_05</v>
      </c>
      <c r="BB6" s="207" t="str">
        <f>Настройки!AJ6</f>
        <v>Canal_05</v>
      </c>
      <c r="BC6" s="207" t="str">
        <f>Настройки!AK6</f>
        <v>Canal_05</v>
      </c>
      <c r="BD6" s="207" t="str">
        <f>Настройки!AL6</f>
        <v>Canal_05</v>
      </c>
      <c r="BE6" s="207" t="str">
        <f>Настройки!AM6</f>
        <v>-</v>
      </c>
    </row>
    <row r="7" spans="1:57">
      <c r="A7" s="82"/>
      <c r="B7" s="82"/>
      <c r="C7" s="81"/>
      <c r="D7" s="81"/>
      <c r="E7" s="448" t="str">
        <f ca="1">IF(LEFT(E12,3)="out","INT_TO_BIT_BR"&amp;C12&amp;"(BR"&amp;C12&amp;".IDIG_MASK)","УДАЛИТЬ")</f>
        <v>УДАЛИТЬ</v>
      </c>
      <c r="F7" s="446" t="s">
        <v>845</v>
      </c>
      <c r="G7" s="447"/>
      <c r="H7" s="447"/>
      <c r="I7" s="459"/>
      <c r="M7" s="424" t="str">
        <f>'Конфигурация TREI'!A8</f>
        <v>BR6</v>
      </c>
      <c r="N7" s="424" t="str">
        <f>'Конфигурация TREI'!B8</f>
        <v>M558O</v>
      </c>
      <c r="AE7" s="431">
        <f>Настройки!P7</f>
        <v>6</v>
      </c>
      <c r="AF7" s="380">
        <f>Настройки!Q7</f>
        <v>0</v>
      </c>
      <c r="AG7" s="380" t="str">
        <f>Настройки!R7</f>
        <v>IDIG_3_2</v>
      </c>
      <c r="AH7" s="380" t="str">
        <f>Настройки!S7</f>
        <v>IANS_3_4</v>
      </c>
      <c r="AI7" s="380" t="str">
        <f>Настройки!T7</f>
        <v>out5</v>
      </c>
      <c r="AJ7" s="380" t="str">
        <f>Настройки!U7</f>
        <v>out5</v>
      </c>
      <c r="AK7" s="380" t="str">
        <f>Настройки!V7</f>
        <v>ODIG_6</v>
      </c>
      <c r="AL7" s="380" t="str">
        <f>Настройки!W7</f>
        <v>OAN_6_1</v>
      </c>
      <c r="AM7" s="380" t="str">
        <f>Настройки!X7</f>
        <v>IANS_6_1</v>
      </c>
      <c r="AN7" s="380" t="str">
        <f>Настройки!Y7</f>
        <v>Canal_06</v>
      </c>
      <c r="AO7" s="380" t="str">
        <f>Настройки!Z7</f>
        <v>Canal_06</v>
      </c>
      <c r="AP7" s="380" t="str">
        <f>Настройки!AA7</f>
        <v>Canal_06</v>
      </c>
      <c r="AQ7" s="380" t="str">
        <f>Настройки!AB7</f>
        <v>Canal_06</v>
      </c>
      <c r="AR7" s="380" t="str">
        <f>Настройки!AC7</f>
        <v>IVXX[5]</v>
      </c>
      <c r="AS7" s="380" t="str">
        <f>Настройки!AD7</f>
        <v>IVXX[5]</v>
      </c>
      <c r="AT7" s="207" t="str">
        <f>Настройки!AB7</f>
        <v>Canal_06</v>
      </c>
      <c r="AU7" s="207" t="str">
        <f>Настройки!AC7</f>
        <v>IVXX[5]</v>
      </c>
      <c r="AV7" s="207" t="str">
        <f>Настройки!AD7</f>
        <v>IVXX[5]</v>
      </c>
      <c r="AW7" s="207" t="str">
        <f>Настройки!AE7</f>
        <v>IANS_3_2</v>
      </c>
      <c r="AX7" s="207" t="str">
        <f>Настройки!AF7</f>
        <v>IDIG_2_2</v>
      </c>
      <c r="AY7" s="207" t="str">
        <f>Настройки!AG7</f>
        <v>Canal_06</v>
      </c>
      <c r="AZ7" s="207" t="str">
        <f>Настройки!AH7</f>
        <v>Canal_06</v>
      </c>
      <c r="BA7" s="207" t="str">
        <f>Настройки!AI7</f>
        <v>Canal_06</v>
      </c>
      <c r="BB7" s="207" t="str">
        <f>Настройки!AJ7</f>
        <v>Canal_06</v>
      </c>
      <c r="BC7" s="207" t="str">
        <f>Настройки!AK7</f>
        <v>Canal_06</v>
      </c>
      <c r="BD7" s="207" t="str">
        <f>Настройки!AL7</f>
        <v>Canal_06</v>
      </c>
      <c r="BE7" s="207" t="str">
        <f>Настройки!AM7</f>
        <v>-</v>
      </c>
    </row>
    <row r="8" spans="1:57">
      <c r="A8" s="448" t="str">
        <f>SUBSTITUTE($P$2,"\","|")&amp;"|"&amp; $S$1 &amp;":="&amp;IF(LEFT(SUBSTITUTE($S$2," ",""),1)="!","NOT  ","")</f>
        <v>ZRU_OL1_st|IONX:=</v>
      </c>
      <c r="B8" s="448" t="str">
        <f ca="1">IF(LEFT(E8,3)="out","INT_TO_BIT_BR","BR")</f>
        <v>BR</v>
      </c>
      <c r="C8" s="446" t="str">
        <f>LEFT($S$3,FIND("+",$S$3,1)-1)</f>
        <v>6</v>
      </c>
      <c r="D8" s="446" t="s">
        <v>178</v>
      </c>
      <c r="E8" s="446" t="str">
        <f ca="1">IF($S$2=0,"УДАЛИТЬ",IFERROR(IF(OR($I8="-",$H8="0"),"КАНАЛ ОТСУТСТВУЕТ",IF($I8=0,"МОДУЛЬ ОТСУТСТВУЕТ",$I8)),"ОШИБКА ФОРМАТА"))</f>
        <v>Canal_27</v>
      </c>
      <c r="F8" s="446" t="s">
        <v>845</v>
      </c>
      <c r="G8" s="447" t="str">
        <f>INDEX($N$2:$N$61,C8)</f>
        <v>M558O</v>
      </c>
      <c r="H8" s="447" t="str">
        <f>RIGHT(S$3,LEN(S$3)-FIND("+",S$3,1))</f>
        <v>27</v>
      </c>
      <c r="I8" s="460" t="str">
        <f ca="1">INDIRECT(ADDRESS($H8+1,MATCH($G8,$1:$1,),1))</f>
        <v>Canal_27</v>
      </c>
      <c r="M8" s="424" t="str">
        <f>'Конфигурация TREI'!A9</f>
        <v>BR7</v>
      </c>
      <c r="N8" s="424" t="str">
        <f>'Конфигурация TREI'!B9</f>
        <v>M558O</v>
      </c>
      <c r="AE8" s="431">
        <f>Настройки!P8</f>
        <v>7</v>
      </c>
      <c r="AF8" s="380">
        <f>Настройки!Q8</f>
        <v>0</v>
      </c>
      <c r="AG8" s="380" t="str">
        <f>Настройки!R8</f>
        <v>IDIG_4_1</v>
      </c>
      <c r="AH8" s="380" t="str">
        <f>Настройки!S8</f>
        <v>IANS_4_3</v>
      </c>
      <c r="AI8" s="380" t="str">
        <f>Настройки!T8</f>
        <v>out6</v>
      </c>
      <c r="AJ8" s="380" t="str">
        <f>Настройки!U8</f>
        <v>out6</v>
      </c>
      <c r="AK8" s="380" t="str">
        <f>Настройки!V8</f>
        <v>ODIG_7</v>
      </c>
      <c r="AL8" s="380" t="str">
        <f>Настройки!W8</f>
        <v>OAN_7_1</v>
      </c>
      <c r="AM8" s="380" t="str">
        <f>Настройки!X8</f>
        <v>IANS_7_1</v>
      </c>
      <c r="AN8" s="380" t="str">
        <f>Настройки!Y8</f>
        <v>Canal_07</v>
      </c>
      <c r="AO8" s="380" t="str">
        <f>Настройки!Z8</f>
        <v>Canal_07</v>
      </c>
      <c r="AP8" s="380" t="str">
        <f>Настройки!AA8</f>
        <v>Canal_07</v>
      </c>
      <c r="AQ8" s="380" t="str">
        <f>Настройки!AB8</f>
        <v>Canal_07</v>
      </c>
      <c r="AR8" s="380" t="str">
        <f>Настройки!AC8</f>
        <v>IVXX[6]</v>
      </c>
      <c r="AS8" s="380" t="str">
        <f>Настройки!AD8</f>
        <v>IVXX[6]</v>
      </c>
      <c r="AT8" s="207" t="str">
        <f>Настройки!AB8</f>
        <v>Canal_07</v>
      </c>
      <c r="AU8" s="207" t="str">
        <f>Настройки!AC8</f>
        <v>IVXX[6]</v>
      </c>
      <c r="AV8" s="207" t="str">
        <f>Настройки!AD8</f>
        <v>IVXX[6]</v>
      </c>
      <c r="AW8" s="207" t="str">
        <f>Настройки!AE8</f>
        <v>IANS_4_1</v>
      </c>
      <c r="AX8" s="207" t="str">
        <f>Настройки!AF8</f>
        <v>IDIG_2_3</v>
      </c>
      <c r="AY8" s="207" t="str">
        <f>Настройки!AG8</f>
        <v>Canal_07</v>
      </c>
      <c r="AZ8" s="207" t="str">
        <f>Настройки!AH8</f>
        <v>Canal_07</v>
      </c>
      <c r="BA8" s="207" t="str">
        <f>Настройки!AI8</f>
        <v>Canal_07</v>
      </c>
      <c r="BB8" s="207" t="str">
        <f>Настройки!AJ8</f>
        <v>Canal_07</v>
      </c>
      <c r="BC8" s="207" t="str">
        <f>Настройки!AK8</f>
        <v>Canal_07</v>
      </c>
      <c r="BD8" s="207" t="str">
        <f>Настройки!AL8</f>
        <v>Canal_07</v>
      </c>
      <c r="BE8" s="207" t="str">
        <f>Настройки!AM8</f>
        <v>-</v>
      </c>
    </row>
    <row r="9" spans="1:57">
      <c r="A9" s="448" t="str">
        <f>SUBSTITUTE($P$2,"\","|")&amp;"|"&amp; $T$1 &amp;":="&amp;IF(LEFT(SUBSTITUTE($T$2," ",""),1)="!","NOT  ","")</f>
        <v>ZRU_OL1_st|IOFX:=</v>
      </c>
      <c r="B9" s="448" t="str">
        <f ca="1">IF(LEFT(E9,3)="out","INT_TO_BIT_BR","BR")</f>
        <v>BR</v>
      </c>
      <c r="C9" s="446" t="str">
        <f>LEFT($T$3,FIND("+",$T$3,1)-1)</f>
        <v>6</v>
      </c>
      <c r="D9" s="446" t="s">
        <v>178</v>
      </c>
      <c r="E9" s="446" t="str">
        <f ca="1">IF($T$2=0,"УДАЛИТЬ",IFERROR(IF(OR($I9="-",$H9="0"),"КАНАЛ ОТСУТСТВУЕТ",IF($I9=0,"МОДУЛЬ ОТСУТСТВУЕТ",$I9)),"ОШИБКА ФОРМАТА"))</f>
        <v>Canal_28</v>
      </c>
      <c r="F9" s="446" t="s">
        <v>845</v>
      </c>
      <c r="G9" s="447" t="str">
        <f>INDEX($N$2:$N$61,C9)</f>
        <v>M558O</v>
      </c>
      <c r="H9" s="447" t="str">
        <f>RIGHT(T$3,LEN(T$3)-FIND("+",T$3,1))</f>
        <v>28</v>
      </c>
      <c r="I9" s="460" t="str">
        <f ca="1">INDIRECT(ADDRESS($H9+1,MATCH($G9,$1:$1,),1))</f>
        <v>Canal_28</v>
      </c>
      <c r="M9" s="424" t="str">
        <f>'Конфигурация TREI'!A10</f>
        <v>BR8</v>
      </c>
      <c r="N9" s="424" t="str">
        <f>'Конфигурация TREI'!B10</f>
        <v>M558O</v>
      </c>
      <c r="AE9" s="431">
        <f>Настройки!P9</f>
        <v>8</v>
      </c>
      <c r="AF9" s="380">
        <f>Настройки!Q9</f>
        <v>0</v>
      </c>
      <c r="AG9" s="380" t="str">
        <f>Настройки!R9</f>
        <v>IDIG_4_2</v>
      </c>
      <c r="AH9" s="380" t="str">
        <f>Настройки!S9</f>
        <v>IANS_4_4</v>
      </c>
      <c r="AI9" s="380" t="str">
        <f>Настройки!T9</f>
        <v>out7</v>
      </c>
      <c r="AJ9" s="380" t="str">
        <f>Настройки!U9</f>
        <v>out7</v>
      </c>
      <c r="AK9" s="380" t="str">
        <f>Настройки!V9</f>
        <v>ODIG_8</v>
      </c>
      <c r="AL9" s="380" t="str">
        <f>Настройки!W9</f>
        <v>OAN_8_1</v>
      </c>
      <c r="AM9" s="380" t="str">
        <f>Настройки!X9</f>
        <v>IANS_8_1</v>
      </c>
      <c r="AN9" s="380" t="str">
        <f>Настройки!Y9</f>
        <v>Canal_08</v>
      </c>
      <c r="AO9" s="380" t="str">
        <f>Настройки!Z9</f>
        <v>Canal_08</v>
      </c>
      <c r="AP9" s="380" t="str">
        <f>Настройки!AA9</f>
        <v>Canal_08</v>
      </c>
      <c r="AQ9" s="380" t="str">
        <f>Настройки!AB9</f>
        <v>Canal_08</v>
      </c>
      <c r="AR9" s="380" t="str">
        <f>Настройки!AC9</f>
        <v>IVXX[7]</v>
      </c>
      <c r="AS9" s="380" t="str">
        <f>Настройки!AD9</f>
        <v>IVXX[7]</v>
      </c>
      <c r="AT9" s="207" t="str">
        <f>Настройки!AB9</f>
        <v>Canal_08</v>
      </c>
      <c r="AU9" s="207" t="str">
        <f>Настройки!AC9</f>
        <v>IVXX[7]</v>
      </c>
      <c r="AV9" s="207" t="str">
        <f>Настройки!AD9</f>
        <v>IVXX[7]</v>
      </c>
      <c r="AW9" s="207" t="str">
        <f>Настройки!AE9</f>
        <v>IANS_4_2</v>
      </c>
      <c r="AX9" s="207" t="str">
        <f>Настройки!AF9</f>
        <v>IDIG_2_4</v>
      </c>
      <c r="AY9" s="207" t="str">
        <f>Настройки!AG9</f>
        <v>Canal_08</v>
      </c>
      <c r="AZ9" s="207" t="str">
        <f>Настройки!AH9</f>
        <v>Canal_08</v>
      </c>
      <c r="BA9" s="207" t="str">
        <f>Настройки!AI9</f>
        <v>Canal_08</v>
      </c>
      <c r="BB9" s="207" t="str">
        <f>Настройки!AJ9</f>
        <v>Canal_08</v>
      </c>
      <c r="BC9" s="207" t="str">
        <f>Настройки!AK9</f>
        <v>Canal_08</v>
      </c>
      <c r="BD9" s="207" t="str">
        <f>Настройки!AL9</f>
        <v>Canal_08</v>
      </c>
      <c r="BE9" s="207" t="str">
        <f>Настройки!AM9</f>
        <v>-</v>
      </c>
    </row>
    <row r="10" spans="1:57">
      <c r="A10" s="448" t="str">
        <f>SUBSTITUTE($P$2,"\","|")&amp;"|"&amp; $W$1 &amp;":="&amp;IF(LEFT(SUBSTITUTE($W$2," ",""),1)="!","NOT  ","")</f>
        <v>ZRU_OL1_st|IFXX:=</v>
      </c>
      <c r="B10" s="448" t="str">
        <f ca="1">IF(LEFT(E10,3)="out","INT_TO_BIT_BR","BR")</f>
        <v>BR</v>
      </c>
      <c r="C10" s="446" t="str">
        <f>LEFT($W$3,FIND("+",$W$3,1)-1)</f>
        <v>6</v>
      </c>
      <c r="D10" s="446" t="s">
        <v>178</v>
      </c>
      <c r="E10" s="446" t="str">
        <f ca="1">IF($W$2=0,"УДАЛИТЬ",IFERROR(IF(OR($I10="-",$H10="0"),"КАНАЛ ОТСУТСТВУЕТ",IF($I10=0,"МОДУЛЬ ОТСУТСТВУЕТ",$I10)),"ОШИБКА ФОРМАТА"))</f>
        <v>Canal_07</v>
      </c>
      <c r="F10" s="446" t="s">
        <v>845</v>
      </c>
      <c r="G10" s="447" t="str">
        <f>INDEX($N$2:$N$61,C10)</f>
        <v>M558O</v>
      </c>
      <c r="H10" s="447" t="str">
        <f>RIGHT($W$3,LEN($W$3)-FIND("+",$W$3,1))</f>
        <v>7</v>
      </c>
      <c r="I10" s="460" t="str">
        <f ca="1">INDIRECT(ADDRESS($H10+1,MATCH($G10,$1:$1,),1))</f>
        <v>Canal_07</v>
      </c>
      <c r="M10" s="424" t="str">
        <f>'Конфигурация TREI'!A11</f>
        <v>BR9</v>
      </c>
      <c r="N10" s="424" t="str">
        <f>'Конфигурация TREI'!B11</f>
        <v>M558D</v>
      </c>
      <c r="AE10" s="431">
        <f>Настройки!P10</f>
        <v>9</v>
      </c>
      <c r="AF10" s="380">
        <f>Настройки!Q10</f>
        <v>0</v>
      </c>
      <c r="AG10" s="380" t="str">
        <f>Настройки!R10</f>
        <v>IDIG_5_1</v>
      </c>
      <c r="AH10" s="380" t="str">
        <f>Настройки!S10</f>
        <v>IANS_5_3</v>
      </c>
      <c r="AI10" s="380" t="str">
        <f>Настройки!T10</f>
        <v>out8</v>
      </c>
      <c r="AJ10" s="380" t="str">
        <f>Настройки!U10</f>
        <v>out8</v>
      </c>
      <c r="AK10" s="380" t="str">
        <f>Настройки!V10</f>
        <v>ODIG_9</v>
      </c>
      <c r="AL10" s="380" t="str">
        <f>Настройки!W10</f>
        <v>-</v>
      </c>
      <c r="AM10" s="380" t="str">
        <f>Настройки!X10</f>
        <v>-</v>
      </c>
      <c r="AN10" s="380" t="str">
        <f>Настройки!Y10</f>
        <v>Canal_09</v>
      </c>
      <c r="AO10" s="380" t="str">
        <f>Настройки!Z10</f>
        <v>-</v>
      </c>
      <c r="AP10" s="380" t="str">
        <f>Настройки!AA10</f>
        <v>Canal_09</v>
      </c>
      <c r="AQ10" s="380" t="str">
        <f>Настройки!AB10</f>
        <v>Canal_09</v>
      </c>
      <c r="AR10" s="380" t="str">
        <f>Настройки!AC10</f>
        <v>OCCH[0]</v>
      </c>
      <c r="AS10" s="380" t="str">
        <f>Настройки!AD10</f>
        <v>OCCH[0]</v>
      </c>
      <c r="AT10" s="207" t="str">
        <f>Настройки!AB10</f>
        <v>Canal_09</v>
      </c>
      <c r="AU10" s="207" t="str">
        <f>Настройки!AC10</f>
        <v>OCCH[0]</v>
      </c>
      <c r="AV10" s="207" t="str">
        <f>Настройки!AD10</f>
        <v>OCCH[0]</v>
      </c>
      <c r="AW10" s="207" t="str">
        <f>Настройки!AE10</f>
        <v>IANS_5_1</v>
      </c>
      <c r="AX10" s="207" t="str">
        <f>Настройки!AF10</f>
        <v>IDIG_3_1</v>
      </c>
      <c r="AY10" s="207" t="str">
        <f>Настройки!AG10</f>
        <v>Canal_09</v>
      </c>
      <c r="AZ10" s="207" t="str">
        <f>Настройки!AH10</f>
        <v>Canal_09</v>
      </c>
      <c r="BA10" s="207" t="str">
        <f>Настройки!AI10</f>
        <v>Canal_09</v>
      </c>
      <c r="BB10" s="207" t="str">
        <f>Настройки!AJ10</f>
        <v>Canal_09</v>
      </c>
      <c r="BC10" s="207" t="str">
        <f>Настройки!AK10</f>
        <v>-</v>
      </c>
      <c r="BD10" s="207" t="str">
        <f>Настройки!AL10</f>
        <v>Canal_09</v>
      </c>
      <c r="BE10" s="207" t="str">
        <f>Настройки!AM10</f>
        <v>-</v>
      </c>
    </row>
    <row r="11" spans="1:57">
      <c r="A11" s="448" t="str">
        <f>SUBSTITUTE($P$2,"\","|")&amp;"|"&amp; $AA$1 &amp;":="&amp;IF(LEFT(SUBSTITUTE($AA$2," ",""),1)="!","NOT  ","")</f>
        <v>ZRU_OL1_st|ITON:=</v>
      </c>
      <c r="B11" s="448" t="str">
        <f ca="1">IF(LEFT(E11,3)="out","INT_TO_BIT_BR","BR")</f>
        <v>BR</v>
      </c>
      <c r="C11" s="446" t="str">
        <f>LEFT($AA$3,FIND("+",$AA$3,1)-1)</f>
        <v>6</v>
      </c>
      <c r="D11" s="446" t="s">
        <v>178</v>
      </c>
      <c r="E11" s="446" t="str">
        <f ca="1">IF($AA$2=0,"УДАЛИТЬ",IFERROR(IF(OR($I11="-",$H11="0"),"КАНАЛ ОТСУТСТВУЕТ",IF($I11=0,"МОДУЛЬ ОТСУТСТВУЕТ",$I11)),"ОШИБКА ФОРМАТА"))</f>
        <v>Canal_17</v>
      </c>
      <c r="F11" s="446" t="s">
        <v>845</v>
      </c>
      <c r="G11" s="447" t="str">
        <f>INDEX($N$2:$N$61,C11)</f>
        <v>M558O</v>
      </c>
      <c r="H11" s="447" t="str">
        <f>RIGHT($AA$3,LEN($AA$3)-FIND("+",$AA$3,1))</f>
        <v>17</v>
      </c>
      <c r="I11" s="460" t="str">
        <f ca="1">INDIRECT(ADDRESS($H11+1,MATCH($G11,$1:$1,),1))</f>
        <v>Canal_17</v>
      </c>
      <c r="M11" s="424" t="str">
        <f>'Конфигурация TREI'!A12</f>
        <v>BR10</v>
      </c>
      <c r="N11" s="424" t="str">
        <f>'Конфигурация TREI'!B12</f>
        <v>M558O</v>
      </c>
      <c r="AE11" s="431">
        <f>Настройки!P11</f>
        <v>10</v>
      </c>
      <c r="AF11" s="380">
        <f>Настройки!Q11</f>
        <v>0</v>
      </c>
      <c r="AG11" s="380" t="str">
        <f>Настройки!R11</f>
        <v>IDIG_5_2</v>
      </c>
      <c r="AH11" s="380" t="str">
        <f>Настройки!S11</f>
        <v>IANS_5_4</v>
      </c>
      <c r="AI11" s="380" t="str">
        <f>Настройки!T11</f>
        <v>out9</v>
      </c>
      <c r="AJ11" s="380" t="str">
        <f>Настройки!U11</f>
        <v>out9</v>
      </c>
      <c r="AK11" s="380" t="str">
        <f>Настройки!V11</f>
        <v>ODIG_10</v>
      </c>
      <c r="AL11" s="380" t="str">
        <f>Настройки!W11</f>
        <v>-</v>
      </c>
      <c r="AM11" s="380" t="str">
        <f>Настройки!X11</f>
        <v>-</v>
      </c>
      <c r="AN11" s="380" t="str">
        <f>Настройки!Y11</f>
        <v>Canal_10</v>
      </c>
      <c r="AO11" s="380" t="str">
        <f>Настройки!Z11</f>
        <v>-</v>
      </c>
      <c r="AP11" s="380" t="str">
        <f>Настройки!AA11</f>
        <v>Canal_10</v>
      </c>
      <c r="AQ11" s="380" t="str">
        <f>Настройки!AB11</f>
        <v>Canal_10</v>
      </c>
      <c r="AR11" s="380" t="str">
        <f>Настройки!AC11</f>
        <v>OCCH[1]</v>
      </c>
      <c r="AS11" s="380" t="str">
        <f>Настройки!AD11</f>
        <v>OCCH[1]</v>
      </c>
      <c r="AT11" s="207" t="str">
        <f>Настройки!AB11</f>
        <v>Canal_10</v>
      </c>
      <c r="AU11" s="207" t="str">
        <f>Настройки!AC11</f>
        <v>OCCH[1]</v>
      </c>
      <c r="AV11" s="207" t="str">
        <f>Настройки!AD11</f>
        <v>OCCH[1]</v>
      </c>
      <c r="AW11" s="207" t="str">
        <f>Настройки!AE11</f>
        <v>IANS_5_2</v>
      </c>
      <c r="AX11" s="207" t="str">
        <f>Настройки!AF11</f>
        <v>IDIG_3_2</v>
      </c>
      <c r="AY11" s="207" t="str">
        <f>Настройки!AG11</f>
        <v>Canal_10</v>
      </c>
      <c r="AZ11" s="207" t="str">
        <f>Настройки!AH11</f>
        <v>Canal_10</v>
      </c>
      <c r="BA11" s="207" t="str">
        <f>Настройки!AI11</f>
        <v>Canal_10</v>
      </c>
      <c r="BB11" s="207" t="str">
        <f>Настройки!AJ11</f>
        <v>Canal_10</v>
      </c>
      <c r="BC11" s="207" t="str">
        <f>Настройки!AK11</f>
        <v>-</v>
      </c>
      <c r="BD11" s="207" t="str">
        <f>Настройки!AL11</f>
        <v>Canal_10</v>
      </c>
      <c r="BE11" s="207" t="str">
        <f>Настройки!AM11</f>
        <v>-</v>
      </c>
    </row>
    <row r="12" spans="1:57">
      <c r="A12" s="448" t="str">
        <f>SUBSTITUTE($P$2,"\","|")&amp;"|"&amp; $AB$1 &amp;":="&amp;IF(LEFT(SUBSTITUTE($AB$2," ",""),1)="!","NOT  ","")</f>
        <v>ZRU_OL1_st|ITOF:=</v>
      </c>
      <c r="B12" s="448" t="str">
        <f ca="1">IF(LEFT(E12,3)="out","INT_TO_BIT_BR","BR")</f>
        <v>BR</v>
      </c>
      <c r="C12" s="446" t="str">
        <f>LEFT($AB$3,FIND("+",$AB$3,1)-1)</f>
        <v>6</v>
      </c>
      <c r="D12" s="446" t="s">
        <v>178</v>
      </c>
      <c r="E12" s="446" t="str">
        <f ca="1">IF($AB$2=0,"УДАЛИТЬ",IFERROR(IF(OR($I12="-",$H12="0"),"КАНАЛ ОТСУТСТВУЕТ",IF($I12=0,"МОДУЛЬ ОТСУТСТВУЕТ",$I12)),"ОШИБКА ФОРМАТА"))</f>
        <v>Canal_22</v>
      </c>
      <c r="F12" s="446" t="s">
        <v>845</v>
      </c>
      <c r="G12" s="447" t="str">
        <f>INDEX($N$2:$N$61,C12)</f>
        <v>M558O</v>
      </c>
      <c r="H12" s="447" t="str">
        <f>RIGHT($AB$3,LEN($AB$3)-FIND("+",$AB$3,1))</f>
        <v>22</v>
      </c>
      <c r="I12" s="460" t="str">
        <f ca="1">INDIRECT(ADDRESS($H12+1,MATCH($G12,$1:$1,),1))</f>
        <v>Canal_22</v>
      </c>
      <c r="M12" s="424" t="str">
        <f>'Конфигурация TREI'!A13</f>
        <v>BR11</v>
      </c>
      <c r="N12" s="424" t="str">
        <f>'Конфигурация TREI'!B13</f>
        <v>M558D</v>
      </c>
      <c r="AE12" s="431">
        <f>Настройки!P12</f>
        <v>11</v>
      </c>
      <c r="AF12" s="380">
        <f>Настройки!Q12</f>
        <v>0</v>
      </c>
      <c r="AG12" s="380" t="str">
        <f>Настройки!R12</f>
        <v>IDIG_6_1</v>
      </c>
      <c r="AH12" s="380" t="str">
        <f>Настройки!S12</f>
        <v>IANS_6_3</v>
      </c>
      <c r="AI12" s="380" t="str">
        <f>Настройки!T12</f>
        <v>out10</v>
      </c>
      <c r="AJ12" s="380" t="str">
        <f>Настройки!U12</f>
        <v>out10</v>
      </c>
      <c r="AK12" s="380" t="str">
        <f>Настройки!V12</f>
        <v>ODIG_11</v>
      </c>
      <c r="AL12" s="380" t="str">
        <f>Настройки!W12</f>
        <v>-</v>
      </c>
      <c r="AM12" s="380" t="str">
        <f>Настройки!X12</f>
        <v>-</v>
      </c>
      <c r="AN12" s="380" t="str">
        <f>Настройки!Y12</f>
        <v>Canal_11</v>
      </c>
      <c r="AO12" s="380" t="str">
        <f>Настройки!Z12</f>
        <v>-</v>
      </c>
      <c r="AP12" s="380" t="str">
        <f>Настройки!AA12</f>
        <v>Canal_11</v>
      </c>
      <c r="AQ12" s="380" t="str">
        <f>Настройки!AB12</f>
        <v>Canal_11</v>
      </c>
      <c r="AR12" s="380" t="str">
        <f>Настройки!AC12</f>
        <v>OCCH[2]</v>
      </c>
      <c r="AS12" s="380" t="str">
        <f>Настройки!AD12</f>
        <v>OCCH[2]</v>
      </c>
      <c r="AT12" s="207" t="str">
        <f>Настройки!AB12</f>
        <v>Canal_11</v>
      </c>
      <c r="AU12" s="207" t="str">
        <f>Настройки!AC12</f>
        <v>OCCH[2]</v>
      </c>
      <c r="AV12" s="207" t="str">
        <f>Настройки!AD12</f>
        <v>OCCH[2]</v>
      </c>
      <c r="AW12" s="207" t="str">
        <f>Настройки!AE12</f>
        <v>IANS_6_1</v>
      </c>
      <c r="AX12" s="207" t="str">
        <f>Настройки!AF12</f>
        <v>IDIG_3_3</v>
      </c>
      <c r="AY12" s="207" t="str">
        <f>Настройки!AG12</f>
        <v>Canal_11</v>
      </c>
      <c r="AZ12" s="207" t="str">
        <f>Настройки!AH12</f>
        <v>Canal_11</v>
      </c>
      <c r="BA12" s="207" t="str">
        <f>Настройки!AI12</f>
        <v>Canal_11</v>
      </c>
      <c r="BB12" s="207" t="str">
        <f>Настройки!AJ12</f>
        <v>Canal_11</v>
      </c>
      <c r="BC12" s="207" t="str">
        <f>Настройки!AK12</f>
        <v>-</v>
      </c>
      <c r="BD12" s="207" t="str">
        <f>Настройки!AL12</f>
        <v>Canal_11</v>
      </c>
      <c r="BE12" s="207" t="str">
        <f>Настройки!AM12</f>
        <v>-</v>
      </c>
    </row>
    <row r="13" spans="1:57">
      <c r="A13" s="448" t="str">
        <f>SUBSTITUTE($P$2,"\","|")&amp;"|"&amp;"D"&amp; RIGHT($S$1,3)&amp;":="&amp;P4&amp;"NOT_LINK_BR"</f>
        <v>ZRU_OL1_st|DONX:=NOT_LINK_BR</v>
      </c>
      <c r="B13" s="448"/>
      <c r="C13" s="455"/>
      <c r="D13" s="446"/>
      <c r="E13" s="446" t="str">
        <f>IFERROR(LEFT($S$3,FIND("+",$S$3,1)-1),"УДАЛИТЬ")</f>
        <v>6</v>
      </c>
      <c r="F13" s="446" t="s">
        <v>845</v>
      </c>
      <c r="G13" s="447"/>
      <c r="H13" s="447"/>
      <c r="I13" s="1"/>
      <c r="M13" s="424" t="str">
        <f>'Конфигурация TREI'!A14</f>
        <v>BR12</v>
      </c>
      <c r="N13" s="424" t="str">
        <f>'Конфигурация TREI'!B14</f>
        <v>M558D</v>
      </c>
      <c r="AE13" s="431">
        <f>Настройки!P13</f>
        <v>12</v>
      </c>
      <c r="AF13" s="380">
        <f>Настройки!Q13</f>
        <v>0</v>
      </c>
      <c r="AG13" s="380" t="str">
        <f>Настройки!R13</f>
        <v>IDIG_6_2</v>
      </c>
      <c r="AH13" s="380" t="str">
        <f>Настройки!S13</f>
        <v>IANS_6_4</v>
      </c>
      <c r="AI13" s="380" t="str">
        <f>Настройки!T13</f>
        <v>out11</v>
      </c>
      <c r="AJ13" s="380" t="str">
        <f>Настройки!U13</f>
        <v>out11</v>
      </c>
      <c r="AK13" s="380" t="str">
        <f>Настройки!V13</f>
        <v>ODIG_12</v>
      </c>
      <c r="AL13" s="380" t="str">
        <f>Настройки!W13</f>
        <v>-</v>
      </c>
      <c r="AM13" s="380" t="str">
        <f>Настройки!X13</f>
        <v>-</v>
      </c>
      <c r="AN13" s="380" t="str">
        <f>Настройки!Y13</f>
        <v>Canal_12</v>
      </c>
      <c r="AO13" s="380" t="str">
        <f>Настройки!Z13</f>
        <v>-</v>
      </c>
      <c r="AP13" s="380" t="str">
        <f>Настройки!AA13</f>
        <v>Canal_12</v>
      </c>
      <c r="AQ13" s="380" t="str">
        <f>Настройки!AB13</f>
        <v>Canal_12</v>
      </c>
      <c r="AR13" s="380" t="str">
        <f>Настройки!AC13</f>
        <v>OCCH[3]</v>
      </c>
      <c r="AS13" s="380" t="str">
        <f>Настройки!AD13</f>
        <v>OCCH[3]</v>
      </c>
      <c r="AT13" s="207" t="str">
        <f>Настройки!AB13</f>
        <v>Canal_12</v>
      </c>
      <c r="AU13" s="207" t="str">
        <f>Настройки!AC13</f>
        <v>OCCH[3]</v>
      </c>
      <c r="AV13" s="207" t="str">
        <f>Настройки!AD13</f>
        <v>OCCH[3]</v>
      </c>
      <c r="AW13" s="207" t="str">
        <f>Настройки!AE13</f>
        <v>IANS_6_2</v>
      </c>
      <c r="AX13" s="207" t="str">
        <f>Настройки!AF13</f>
        <v>IDIG_3_4</v>
      </c>
      <c r="AY13" s="207" t="str">
        <f>Настройки!AG13</f>
        <v>Canal_12</v>
      </c>
      <c r="AZ13" s="207" t="str">
        <f>Настройки!AH13</f>
        <v>Canal_12</v>
      </c>
      <c r="BA13" s="207" t="str">
        <f>Настройки!AI13</f>
        <v>Canal_12</v>
      </c>
      <c r="BB13" s="207" t="str">
        <f>Настройки!AJ13</f>
        <v>Canal_12</v>
      </c>
      <c r="BC13" s="207" t="str">
        <f>Настройки!AK13</f>
        <v>-</v>
      </c>
      <c r="BD13" s="207" t="str">
        <f>Настройки!AL13</f>
        <v>Canal_12</v>
      </c>
      <c r="BE13" s="207" t="str">
        <f>Настройки!AM13</f>
        <v>-</v>
      </c>
    </row>
    <row r="14" spans="1:57">
      <c r="A14" s="448" t="str">
        <f>SUBSTITUTE($P$2,"\","|")&amp;"|"&amp;"D"&amp; RIGHT($T$1,3)&amp;":="&amp;P4&amp;"NOT_LINK_BR"</f>
        <v>ZRU_OL1_st|DOFX:=NOT_LINK_BR</v>
      </c>
      <c r="B14" s="448"/>
      <c r="C14" s="455"/>
      <c r="D14" s="446"/>
      <c r="E14" s="446" t="str">
        <f>IFERROR(LEFT($T$3,FIND("+",$T$3,1)-1),"УДАЛИТЬ")</f>
        <v>6</v>
      </c>
      <c r="F14" s="446" t="s">
        <v>845</v>
      </c>
      <c r="G14" s="447"/>
      <c r="H14" s="447"/>
      <c r="I14" s="1"/>
      <c r="M14" s="424" t="str">
        <f>'Конфигурация TREI'!A15</f>
        <v>BR13</v>
      </c>
      <c r="N14" s="424" t="str">
        <f>'Конфигурация TREI'!B15</f>
        <v>M558D</v>
      </c>
      <c r="AE14" s="431">
        <f>Настройки!P14</f>
        <v>13</v>
      </c>
      <c r="AF14" s="380">
        <f>Настройки!Q14</f>
        <v>0</v>
      </c>
      <c r="AG14" s="380" t="str">
        <f>Настройки!R14</f>
        <v>IDIG_7_1</v>
      </c>
      <c r="AH14" s="380" t="str">
        <f>Настройки!S14</f>
        <v>IANS_7_3</v>
      </c>
      <c r="AI14" s="380" t="str">
        <f>Настройки!T14</f>
        <v>out12</v>
      </c>
      <c r="AJ14" s="380" t="str">
        <f>Настройки!U14</f>
        <v>out12</v>
      </c>
      <c r="AK14" s="380" t="str">
        <f>Настройки!V14</f>
        <v>ODIG_13</v>
      </c>
      <c r="AL14" s="380" t="str">
        <f>Настройки!W14</f>
        <v>-</v>
      </c>
      <c r="AM14" s="380" t="str">
        <f>Настройки!X14</f>
        <v>-</v>
      </c>
      <c r="AN14" s="380" t="str">
        <f>Настройки!Y14</f>
        <v>Canal_13</v>
      </c>
      <c r="AO14" s="380" t="str">
        <f>Настройки!Z14</f>
        <v>-</v>
      </c>
      <c r="AP14" s="380" t="str">
        <f>Настройки!AA14</f>
        <v>Canal_13</v>
      </c>
      <c r="AQ14" s="380" t="str">
        <f>Настройки!AB14</f>
        <v>Canal_13</v>
      </c>
      <c r="AR14" s="380" t="str">
        <f>Настройки!AC14</f>
        <v>OCCH[4]</v>
      </c>
      <c r="AS14" s="380" t="str">
        <f>Настройки!AD14</f>
        <v>OCCH[4]</v>
      </c>
      <c r="AT14" s="207" t="str">
        <f>Настройки!AB14</f>
        <v>Canal_13</v>
      </c>
      <c r="AU14" s="207" t="str">
        <f>Настройки!AC14</f>
        <v>OCCH[4]</v>
      </c>
      <c r="AV14" s="207" t="str">
        <f>Настройки!AD14</f>
        <v>OCCH[4]</v>
      </c>
      <c r="AW14" s="207" t="str">
        <f>Настройки!AE14</f>
        <v>IANS_7_1</v>
      </c>
      <c r="AX14" s="207" t="str">
        <f>Настройки!AF14</f>
        <v>IDIG_4_1</v>
      </c>
      <c r="AY14" s="207" t="str">
        <f>Настройки!AG14</f>
        <v>Canal_13</v>
      </c>
      <c r="AZ14" s="207" t="str">
        <f>Настройки!AH14</f>
        <v>Canal_13</v>
      </c>
      <c r="BA14" s="207" t="str">
        <f>Настройки!AI14</f>
        <v>Canal_13</v>
      </c>
      <c r="BB14" s="207" t="str">
        <f>Настройки!AJ14</f>
        <v>Canal_13</v>
      </c>
      <c r="BC14" s="207" t="str">
        <f>Настройки!AK14</f>
        <v>-</v>
      </c>
      <c r="BD14" s="207" t="str">
        <f>Настройки!AL14</f>
        <v>Canal_13</v>
      </c>
      <c r="BE14" s="207" t="str">
        <f>Настройки!AM14</f>
        <v>-</v>
      </c>
    </row>
    <row r="15" spans="1:57">
      <c r="A15" s="448" t="str">
        <f>SUBSTITUTE($P$2,"\","|")&amp;"|"&amp;"D"&amp; RIGHT($W$1,3)&amp;":="&amp;P4&amp;"NOT_LINK_BR"</f>
        <v>ZRU_OL1_st|DFXX:=NOT_LINK_BR</v>
      </c>
      <c r="B15" s="448"/>
      <c r="C15" s="455"/>
      <c r="D15" s="446"/>
      <c r="E15" s="446" t="str">
        <f>IFERROR(LEFT($W$3,FIND("+",$W$3,1)-1),"УДАЛИТЬ")</f>
        <v>6</v>
      </c>
      <c r="F15" s="446" t="s">
        <v>845</v>
      </c>
      <c r="G15" s="447"/>
      <c r="H15" s="447"/>
      <c r="I15" s="1"/>
      <c r="M15" s="424" t="str">
        <f>'Конфигурация TREI'!A16</f>
        <v>BR14</v>
      </c>
      <c r="N15" s="424" t="str">
        <f>'Конфигурация TREI'!B16</f>
        <v>M558D</v>
      </c>
      <c r="AE15" s="431">
        <f>Настройки!P15</f>
        <v>14</v>
      </c>
      <c r="AF15" s="380">
        <f>Настройки!Q15</f>
        <v>0</v>
      </c>
      <c r="AG15" s="380" t="str">
        <f>Настройки!R15</f>
        <v>IDIG_7_2</v>
      </c>
      <c r="AH15" s="380" t="str">
        <f>Настройки!S15</f>
        <v>IANS_7_4</v>
      </c>
      <c r="AI15" s="380" t="str">
        <f>Настройки!T15</f>
        <v>out13</v>
      </c>
      <c r="AJ15" s="380" t="str">
        <f>Настройки!U15</f>
        <v>out13</v>
      </c>
      <c r="AK15" s="380" t="str">
        <f>Настройки!V15</f>
        <v>ODIG_14</v>
      </c>
      <c r="AL15" s="380" t="str">
        <f>Настройки!W15</f>
        <v>-</v>
      </c>
      <c r="AM15" s="380" t="str">
        <f>Настройки!X15</f>
        <v>-</v>
      </c>
      <c r="AN15" s="380" t="str">
        <f>Настройки!Y15</f>
        <v>Canal_14</v>
      </c>
      <c r="AO15" s="380" t="str">
        <f>Настройки!Z15</f>
        <v>-</v>
      </c>
      <c r="AP15" s="380" t="str">
        <f>Настройки!AA15</f>
        <v>Canal_14</v>
      </c>
      <c r="AQ15" s="380" t="str">
        <f>Настройки!AB15</f>
        <v>Canal_14</v>
      </c>
      <c r="AR15" s="380" t="str">
        <f>Настройки!AC15</f>
        <v>OCCH[5]</v>
      </c>
      <c r="AS15" s="380" t="str">
        <f>Настройки!AD15</f>
        <v>OCCH[5]</v>
      </c>
      <c r="AT15" s="207" t="str">
        <f>Настройки!AB15</f>
        <v>Canal_14</v>
      </c>
      <c r="AU15" s="207" t="str">
        <f>Настройки!AC15</f>
        <v>OCCH[5]</v>
      </c>
      <c r="AV15" s="207" t="str">
        <f>Настройки!AD15</f>
        <v>OCCH[5]</v>
      </c>
      <c r="AW15" s="207" t="str">
        <f>Настройки!AE15</f>
        <v>IANS_7_2</v>
      </c>
      <c r="AX15" s="207" t="str">
        <f>Настройки!AF15</f>
        <v>IDIG_4_2</v>
      </c>
      <c r="AY15" s="207" t="str">
        <f>Настройки!AG15</f>
        <v>Canal_14</v>
      </c>
      <c r="AZ15" s="207" t="str">
        <f>Настройки!AH15</f>
        <v>Canal_14</v>
      </c>
      <c r="BA15" s="207" t="str">
        <f>Настройки!AI15</f>
        <v>Canal_14</v>
      </c>
      <c r="BB15" s="207" t="str">
        <f>Настройки!AJ15</f>
        <v>Canal_14</v>
      </c>
      <c r="BC15" s="207" t="str">
        <f>Настройки!AK15</f>
        <v>-</v>
      </c>
      <c r="BD15" s="207" t="str">
        <f>Настройки!AL15</f>
        <v>Canal_14</v>
      </c>
      <c r="BE15" s="207" t="str">
        <f>Настройки!AM15</f>
        <v>-</v>
      </c>
    </row>
    <row r="16" spans="1:57">
      <c r="A16" s="448" t="str">
        <f>SUBSTITUTE($P$2,"\","|")&amp;"|"&amp;"D"&amp; RIGHT($AA$1,3)&amp;":="&amp;P4&amp;"NOT_LINK_BR"</f>
        <v>ZRU_OL1_st|DTON:=NOT_LINK_BR</v>
      </c>
      <c r="B16" s="448"/>
      <c r="C16" s="455"/>
      <c r="D16" s="446"/>
      <c r="E16" s="446" t="str">
        <f>IFERROR(LEFT($AA$3,FIND("+",$AA$3,1)-1),"УДАЛИТЬ")</f>
        <v>6</v>
      </c>
      <c r="F16" s="446" t="s">
        <v>845</v>
      </c>
      <c r="G16" s="447"/>
      <c r="H16" s="447"/>
      <c r="I16" s="1"/>
      <c r="M16" s="424" t="str">
        <f>'Конфигурация TREI'!A17</f>
        <v>BR15</v>
      </c>
      <c r="N16" s="424" t="str">
        <f>'Конфигурация TREI'!B17</f>
        <v>M558O</v>
      </c>
      <c r="AE16" s="431">
        <f>Настройки!P16</f>
        <v>15</v>
      </c>
      <c r="AF16" s="380">
        <f>Настройки!Q16</f>
        <v>0</v>
      </c>
      <c r="AG16" s="380" t="str">
        <f>Настройки!R16</f>
        <v>IDIG_8_1</v>
      </c>
      <c r="AH16" s="380" t="str">
        <f>Настройки!S16</f>
        <v>IANS_8_3</v>
      </c>
      <c r="AI16" s="380" t="str">
        <f>Настройки!T16</f>
        <v>out14</v>
      </c>
      <c r="AJ16" s="380" t="str">
        <f>Настройки!U16</f>
        <v>out14</v>
      </c>
      <c r="AK16" s="380" t="str">
        <f>Настройки!V16</f>
        <v>ODIG_15</v>
      </c>
      <c r="AL16" s="380" t="str">
        <f>Настройки!W16</f>
        <v>-</v>
      </c>
      <c r="AM16" s="380" t="str">
        <f>Настройки!X16</f>
        <v>-</v>
      </c>
      <c r="AN16" s="380" t="str">
        <f>Настройки!Y16</f>
        <v>Canal_15</v>
      </c>
      <c r="AO16" s="380" t="str">
        <f>Настройки!Z16</f>
        <v>-</v>
      </c>
      <c r="AP16" s="380" t="str">
        <f>Настройки!AA16</f>
        <v>Canal_15</v>
      </c>
      <c r="AQ16" s="380" t="str">
        <f>Настройки!AB16</f>
        <v>Canal_15</v>
      </c>
      <c r="AR16" s="380" t="str">
        <f>Настройки!AC16</f>
        <v>OCCH[6]</v>
      </c>
      <c r="AS16" s="380" t="str">
        <f>Настройки!AD16</f>
        <v>OCCH[6]</v>
      </c>
      <c r="AT16" s="207" t="str">
        <f>Настройки!AB16</f>
        <v>Canal_15</v>
      </c>
      <c r="AU16" s="207" t="str">
        <f>Настройки!AC16</f>
        <v>OCCH[6]</v>
      </c>
      <c r="AV16" s="207" t="str">
        <f>Настройки!AD16</f>
        <v>OCCH[6]</v>
      </c>
      <c r="AW16" s="207" t="str">
        <f>Настройки!AE16</f>
        <v>IANS_8_1</v>
      </c>
      <c r="AX16" s="207" t="str">
        <f>Настройки!AF16</f>
        <v>IDIG_4_3</v>
      </c>
      <c r="AY16" s="207" t="str">
        <f>Настройки!AG16</f>
        <v>Canal_15</v>
      </c>
      <c r="AZ16" s="207" t="str">
        <f>Настройки!AH16</f>
        <v>Canal_15</v>
      </c>
      <c r="BA16" s="207" t="str">
        <f>Настройки!AI16</f>
        <v>Canal_15</v>
      </c>
      <c r="BB16" s="207" t="str">
        <f>Настройки!AJ16</f>
        <v>Canal_15</v>
      </c>
      <c r="BC16" s="207" t="str">
        <f>Настройки!AK16</f>
        <v>-</v>
      </c>
      <c r="BD16" s="207" t="str">
        <f>Настройки!AL16</f>
        <v>Canal_15</v>
      </c>
      <c r="BE16" s="207" t="str">
        <f>Настройки!AM16</f>
        <v>-</v>
      </c>
    </row>
    <row r="17" spans="1:57">
      <c r="A17" s="448" t="str">
        <f>SUBSTITUTE($P$2,"\","|")&amp;"|"&amp;"D"&amp; RIGHT($AB$1,3)&amp;":="&amp;P4&amp;"NOT_LINK_BR"</f>
        <v>ZRU_OL1_st|DTOF:=NOT_LINK_BR</v>
      </c>
      <c r="B17" s="448"/>
      <c r="C17" s="455"/>
      <c r="D17" s="446"/>
      <c r="E17" s="446" t="str">
        <f>IFERROR(LEFT($AB$3,FIND("+",$AB$3,1)-1),"УДАЛИТЬ")</f>
        <v>6</v>
      </c>
      <c r="F17" s="446" t="s">
        <v>845</v>
      </c>
      <c r="G17" s="447"/>
      <c r="H17" s="447"/>
      <c r="I17" s="1"/>
      <c r="M17" s="424" t="str">
        <f>'Конфигурация TREI'!A18</f>
        <v>BR16</v>
      </c>
      <c r="N17" s="424" t="str">
        <f>'Конфигурация TREI'!B18</f>
        <v>M558O</v>
      </c>
      <c r="AE17" s="431">
        <f>Настройки!P17</f>
        <v>16</v>
      </c>
      <c r="AF17" s="380">
        <f>Настройки!Q17</f>
        <v>0</v>
      </c>
      <c r="AG17" s="380" t="str">
        <f>Настройки!R17</f>
        <v>IDIG_8_2</v>
      </c>
      <c r="AH17" s="380" t="str">
        <f>Настройки!S17</f>
        <v>IANS_8_4</v>
      </c>
      <c r="AI17" s="380" t="str">
        <f>Настройки!T17</f>
        <v>out15</v>
      </c>
      <c r="AJ17" s="380" t="str">
        <f>Настройки!U17</f>
        <v>out15</v>
      </c>
      <c r="AK17" s="380" t="str">
        <f>Настройки!V17</f>
        <v>ODIG_16</v>
      </c>
      <c r="AL17" s="380" t="str">
        <f>Настройки!W17</f>
        <v>-</v>
      </c>
      <c r="AM17" s="380" t="str">
        <f>Настройки!X17</f>
        <v>-</v>
      </c>
      <c r="AN17" s="380" t="str">
        <f>Настройки!Y17</f>
        <v>Canal_16</v>
      </c>
      <c r="AO17" s="380" t="str">
        <f>Настройки!Z17</f>
        <v>-</v>
      </c>
      <c r="AP17" s="380" t="str">
        <f>Настройки!AA17</f>
        <v>Canal_16</v>
      </c>
      <c r="AQ17" s="380" t="str">
        <f>Настройки!AB17</f>
        <v>Canal_16</v>
      </c>
      <c r="AR17" s="380" t="str">
        <f>Настройки!AC17</f>
        <v>OCCH[7]</v>
      </c>
      <c r="AS17" s="380" t="str">
        <f>Настройки!AD17</f>
        <v>OCCH[7]</v>
      </c>
      <c r="AT17" s="207" t="str">
        <f>Настройки!AB17</f>
        <v>Canal_16</v>
      </c>
      <c r="AU17" s="207" t="str">
        <f>Настройки!AC17</f>
        <v>OCCH[7]</v>
      </c>
      <c r="AV17" s="207" t="str">
        <f>Настройки!AD17</f>
        <v>OCCH[7]</v>
      </c>
      <c r="AW17" s="207" t="str">
        <f>Настройки!AE17</f>
        <v>IANS_8_2</v>
      </c>
      <c r="AX17" s="207" t="str">
        <f>Настройки!AF17</f>
        <v>IDIG_4_4</v>
      </c>
      <c r="AY17" s="207" t="str">
        <f>Настройки!AG17</f>
        <v>Canal_16</v>
      </c>
      <c r="AZ17" s="207" t="str">
        <f>Настройки!AH17</f>
        <v>Canal_16</v>
      </c>
      <c r="BA17" s="207" t="str">
        <f>Настройки!AI17</f>
        <v>Canal_16</v>
      </c>
      <c r="BB17" s="207" t="str">
        <f>Настройки!AJ17</f>
        <v>Canal_16</v>
      </c>
      <c r="BC17" s="207" t="str">
        <f>Настройки!AK17</f>
        <v>-</v>
      </c>
      <c r="BD17" s="207" t="str">
        <f>Настройки!AL17</f>
        <v>Canal_16</v>
      </c>
      <c r="BE17" s="207" t="str">
        <f>Настройки!AM17</f>
        <v>-</v>
      </c>
    </row>
    <row r="18" spans="1:57">
      <c r="A18" s="82"/>
      <c r="B18" s="82"/>
      <c r="C18" s="11"/>
      <c r="D18" s="81"/>
      <c r="E18" s="81"/>
      <c r="F18" s="81"/>
      <c r="G18" s="445"/>
      <c r="H18" s="445"/>
      <c r="I18" s="1"/>
      <c r="M18" s="424" t="str">
        <f>'Конфигурация TREI'!A19</f>
        <v>BR17</v>
      </c>
      <c r="N18" s="424" t="str">
        <f>'Конфигурация TREI'!B19</f>
        <v>M558O</v>
      </c>
      <c r="AE18" s="428">
        <f>Настройки!P18</f>
        <v>17</v>
      </c>
      <c r="AF18" s="380">
        <f>Настройки!Q18</f>
        <v>0</v>
      </c>
      <c r="AG18" s="380" t="str">
        <f>Настройки!R18</f>
        <v>-</v>
      </c>
      <c r="AH18" s="380" t="str">
        <f>Настройки!S18</f>
        <v>-</v>
      </c>
      <c r="AI18" s="380" t="str">
        <f>Настройки!T18</f>
        <v>out16</v>
      </c>
      <c r="AJ18" s="380" t="str">
        <f>Настройки!U18</f>
        <v>out16</v>
      </c>
      <c r="AK18" s="380" t="str">
        <f>Настройки!V18</f>
        <v>-</v>
      </c>
      <c r="AL18" s="380" t="str">
        <f>Настройки!W18</f>
        <v>-</v>
      </c>
      <c r="AM18" s="380" t="str">
        <f>Настройки!X18</f>
        <v>-</v>
      </c>
      <c r="AN18" s="380" t="str">
        <f>Настройки!Y18</f>
        <v>-</v>
      </c>
      <c r="AO18" s="380" t="str">
        <f>Настройки!Z18</f>
        <v>-</v>
      </c>
      <c r="AP18" s="380" t="str">
        <f>Настройки!AA18</f>
        <v>Canal_17</v>
      </c>
      <c r="AQ18" s="380" t="str">
        <f>Настройки!AB18</f>
        <v>Canal_17</v>
      </c>
      <c r="AR18" s="380" t="str">
        <f>Настройки!AC18</f>
        <v>-</v>
      </c>
      <c r="AS18" s="380" t="str">
        <f>Настройки!AD18</f>
        <v>-</v>
      </c>
      <c r="AT18" s="207" t="str">
        <f>Настройки!AB18</f>
        <v>Canal_17</v>
      </c>
      <c r="AU18" s="207" t="str">
        <f>Настройки!AC18</f>
        <v>-</v>
      </c>
      <c r="AV18" s="207" t="str">
        <f>Настройки!AD18</f>
        <v>-</v>
      </c>
      <c r="AW18" s="207" t="str">
        <f>Настройки!AE18</f>
        <v>-</v>
      </c>
      <c r="AX18" s="207" t="str">
        <f>Настройки!AF18</f>
        <v>IDIG_5_1</v>
      </c>
      <c r="AY18" s="207" t="str">
        <f>Настройки!AG18</f>
        <v>Canal_17</v>
      </c>
      <c r="AZ18" s="207" t="str">
        <f>Настройки!AH18</f>
        <v>Canal_17</v>
      </c>
      <c r="BA18" s="207" t="str">
        <f>Настройки!AI18</f>
        <v>Canal_17</v>
      </c>
      <c r="BB18" s="207" t="str">
        <f>Настройки!AJ18</f>
        <v>-</v>
      </c>
      <c r="BC18" s="207" t="str">
        <f>Настройки!AK18</f>
        <v>-</v>
      </c>
      <c r="BD18" s="207" t="str">
        <f>Настройки!AL18</f>
        <v>Canal_17</v>
      </c>
      <c r="BE18" s="207" t="str">
        <f>Настройки!AM18</f>
        <v>-</v>
      </c>
    </row>
    <row r="19" spans="1:57">
      <c r="A19" s="82"/>
      <c r="B19" s="82"/>
      <c r="C19" s="11"/>
      <c r="D19" s="81"/>
      <c r="E19" s="81"/>
      <c r="F19" s="81"/>
      <c r="G19" s="445"/>
      <c r="H19" s="445"/>
      <c r="I19" s="1"/>
      <c r="M19" s="424" t="str">
        <f>'Конфигурация TREI'!A20</f>
        <v>BR18</v>
      </c>
      <c r="N19" s="424" t="str">
        <f>'Конфигурация TREI'!B20</f>
        <v>M558O</v>
      </c>
      <c r="AE19" s="428">
        <f>Настройки!P19</f>
        <v>18</v>
      </c>
      <c r="AF19" s="380">
        <f>Настройки!Q19</f>
        <v>0</v>
      </c>
      <c r="AG19" s="380" t="str">
        <f>Настройки!R19</f>
        <v>-</v>
      </c>
      <c r="AH19" s="380" t="str">
        <f>Настройки!S19</f>
        <v>-</v>
      </c>
      <c r="AI19" s="380" t="str">
        <f>Настройки!T19</f>
        <v>out17</v>
      </c>
      <c r="AJ19" s="380" t="str">
        <f>Настройки!U19</f>
        <v>out17</v>
      </c>
      <c r="AK19" s="380" t="str">
        <f>Настройки!V19</f>
        <v>-</v>
      </c>
      <c r="AL19" s="380" t="str">
        <f>Настройки!W19</f>
        <v>-</v>
      </c>
      <c r="AM19" s="380" t="str">
        <f>Настройки!X19</f>
        <v>-</v>
      </c>
      <c r="AN19" s="380" t="str">
        <f>Настройки!Y19</f>
        <v>-</v>
      </c>
      <c r="AO19" s="380" t="str">
        <f>Настройки!Z19</f>
        <v>-</v>
      </c>
      <c r="AP19" s="380" t="str">
        <f>Настройки!AA19</f>
        <v>Canal_18</v>
      </c>
      <c r="AQ19" s="380" t="str">
        <f>Настройки!AB19</f>
        <v>Canal_18</v>
      </c>
      <c r="AR19" s="380" t="str">
        <f>Настройки!AC19</f>
        <v>-</v>
      </c>
      <c r="AS19" s="380" t="str">
        <f>Настройки!AD19</f>
        <v>-</v>
      </c>
      <c r="AT19" s="207" t="str">
        <f>Настройки!AB19</f>
        <v>Canal_18</v>
      </c>
      <c r="AU19" s="207" t="str">
        <f>Настройки!AC19</f>
        <v>-</v>
      </c>
      <c r="AV19" s="207" t="str">
        <f>Настройки!AD19</f>
        <v>-</v>
      </c>
      <c r="AW19" s="207" t="str">
        <f>Настройки!AE19</f>
        <v>-</v>
      </c>
      <c r="AX19" s="207" t="str">
        <f>Настройки!AF19</f>
        <v>IDIG_5_2</v>
      </c>
      <c r="AY19" s="207" t="str">
        <f>Настройки!AG19</f>
        <v>Canal_18</v>
      </c>
      <c r="AZ19" s="207" t="str">
        <f>Настройки!AH19</f>
        <v>Canal_18</v>
      </c>
      <c r="BA19" s="207" t="str">
        <f>Настройки!AI19</f>
        <v>Canal_18</v>
      </c>
      <c r="BB19" s="207" t="str">
        <f>Настройки!AJ19</f>
        <v>-</v>
      </c>
      <c r="BC19" s="207" t="str">
        <f>Настройки!AK19</f>
        <v>-</v>
      </c>
      <c r="BD19" s="207" t="str">
        <f>Настройки!AL19</f>
        <v>Canal_18</v>
      </c>
      <c r="BE19" s="207" t="str">
        <f>Настройки!AM19</f>
        <v>-</v>
      </c>
    </row>
    <row r="20" spans="1:57">
      <c r="A20" s="82"/>
      <c r="B20" s="82"/>
      <c r="C20" s="11"/>
      <c r="D20" s="81"/>
      <c r="E20" s="81"/>
      <c r="F20" s="81"/>
      <c r="G20" s="445"/>
      <c r="H20" s="445"/>
      <c r="I20" s="1"/>
      <c r="M20" s="424" t="str">
        <f>'Конфигурация TREI'!A21</f>
        <v>BR19</v>
      </c>
      <c r="N20" s="424" t="str">
        <f>'Конфигурация TREI'!B21</f>
        <v>M558O</v>
      </c>
      <c r="AE20" s="428">
        <f>Настройки!P20</f>
        <v>19</v>
      </c>
      <c r="AF20" s="380">
        <f>Настройки!Q20</f>
        <v>0</v>
      </c>
      <c r="AG20" s="380" t="str">
        <f>Настройки!R20</f>
        <v>-</v>
      </c>
      <c r="AH20" s="380" t="str">
        <f>Настройки!S20</f>
        <v>-</v>
      </c>
      <c r="AI20" s="380" t="str">
        <f>Настройки!T20</f>
        <v>out18</v>
      </c>
      <c r="AJ20" s="380" t="str">
        <f>Настройки!U20</f>
        <v>out18</v>
      </c>
      <c r="AK20" s="380" t="str">
        <f>Настройки!V20</f>
        <v>-</v>
      </c>
      <c r="AL20" s="380" t="str">
        <f>Настройки!W20</f>
        <v>-</v>
      </c>
      <c r="AM20" s="380" t="str">
        <f>Настройки!X20</f>
        <v>-</v>
      </c>
      <c r="AN20" s="380" t="str">
        <f>Настройки!Y20</f>
        <v>-</v>
      </c>
      <c r="AO20" s="380" t="str">
        <f>Настройки!Z20</f>
        <v>-</v>
      </c>
      <c r="AP20" s="380" t="str">
        <f>Настройки!AA20</f>
        <v>Canal_19</v>
      </c>
      <c r="AQ20" s="380" t="str">
        <f>Настройки!AB20</f>
        <v>Canal_19</v>
      </c>
      <c r="AR20" s="380" t="str">
        <f>Настройки!AC20</f>
        <v>-</v>
      </c>
      <c r="AS20" s="380" t="str">
        <f>Настройки!AD20</f>
        <v>-</v>
      </c>
      <c r="AT20" s="207" t="str">
        <f>Настройки!AB20</f>
        <v>Canal_19</v>
      </c>
      <c r="AU20" s="207" t="str">
        <f>Настройки!AC20</f>
        <v>-</v>
      </c>
      <c r="AV20" s="207" t="str">
        <f>Настройки!AD20</f>
        <v>-</v>
      </c>
      <c r="AW20" s="207" t="str">
        <f>Настройки!AE20</f>
        <v>-</v>
      </c>
      <c r="AX20" s="207" t="str">
        <f>Настройки!AF20</f>
        <v>IDIG_5_3</v>
      </c>
      <c r="AY20" s="207" t="str">
        <f>Настройки!AG20</f>
        <v>Canal_19</v>
      </c>
      <c r="AZ20" s="207" t="str">
        <f>Настройки!AH20</f>
        <v>Canal_19</v>
      </c>
      <c r="BA20" s="207" t="str">
        <f>Настройки!AI20</f>
        <v>Canal_19</v>
      </c>
      <c r="BB20" s="207" t="str">
        <f>Настройки!AJ20</f>
        <v>-</v>
      </c>
      <c r="BC20" s="207" t="str">
        <f>Настройки!AK20</f>
        <v>-</v>
      </c>
      <c r="BD20" s="207" t="str">
        <f>Настройки!AL20</f>
        <v>Canal_19</v>
      </c>
      <c r="BE20" s="207" t="str">
        <f>Настройки!AM20</f>
        <v>-</v>
      </c>
    </row>
    <row r="21" spans="1:57">
      <c r="A21" s="82"/>
      <c r="B21" s="82"/>
      <c r="C21" s="11"/>
      <c r="D21" s="81"/>
      <c r="E21" s="81"/>
      <c r="F21" s="81"/>
      <c r="G21" s="445"/>
      <c r="H21" s="445"/>
      <c r="I21" s="1"/>
      <c r="M21" s="424" t="str">
        <f>'Конфигурация TREI'!A22</f>
        <v>BR20</v>
      </c>
      <c r="N21" s="424" t="str">
        <f>'Конфигурация TREI'!B22</f>
        <v>M558D</v>
      </c>
      <c r="AE21" s="428">
        <f>Настройки!P21</f>
        <v>20</v>
      </c>
      <c r="AF21" s="380">
        <f>Настройки!Q21</f>
        <v>0</v>
      </c>
      <c r="AG21" s="380" t="str">
        <f>Настройки!R21</f>
        <v>-</v>
      </c>
      <c r="AH21" s="380" t="str">
        <f>Настройки!S21</f>
        <v>-</v>
      </c>
      <c r="AI21" s="380" t="str">
        <f>Настройки!T21</f>
        <v>out19</v>
      </c>
      <c r="AJ21" s="380" t="str">
        <f>Настройки!U21</f>
        <v>out19</v>
      </c>
      <c r="AK21" s="380" t="str">
        <f>Настройки!V21</f>
        <v>-</v>
      </c>
      <c r="AL21" s="380" t="str">
        <f>Настройки!W21</f>
        <v>-</v>
      </c>
      <c r="AM21" s="380" t="str">
        <f>Настройки!X21</f>
        <v>-</v>
      </c>
      <c r="AN21" s="380" t="str">
        <f>Настройки!Y21</f>
        <v>-</v>
      </c>
      <c r="AO21" s="380" t="str">
        <f>Настройки!Z21</f>
        <v>-</v>
      </c>
      <c r="AP21" s="380" t="str">
        <f>Настройки!AA21</f>
        <v>Canal_20</v>
      </c>
      <c r="AQ21" s="380" t="str">
        <f>Настройки!AB21</f>
        <v>Canal_20</v>
      </c>
      <c r="AR21" s="380" t="str">
        <f>Настройки!AC21</f>
        <v>-</v>
      </c>
      <c r="AS21" s="380" t="str">
        <f>Настройки!AD21</f>
        <v>-</v>
      </c>
      <c r="AT21" s="207" t="str">
        <f>Настройки!AB21</f>
        <v>Canal_20</v>
      </c>
      <c r="AU21" s="207" t="str">
        <f>Настройки!AC21</f>
        <v>-</v>
      </c>
      <c r="AV21" s="207" t="str">
        <f>Настройки!AD21</f>
        <v>-</v>
      </c>
      <c r="AW21" s="207" t="str">
        <f>Настройки!AE21</f>
        <v>-</v>
      </c>
      <c r="AX21" s="207" t="str">
        <f>Настройки!AF21</f>
        <v>IDIG_5_4</v>
      </c>
      <c r="AY21" s="207" t="str">
        <f>Настройки!AG21</f>
        <v>Canal_20</v>
      </c>
      <c r="AZ21" s="207" t="str">
        <f>Настройки!AH21</f>
        <v>Canal_20</v>
      </c>
      <c r="BA21" s="207" t="str">
        <f>Настройки!AI21</f>
        <v>Canal_20</v>
      </c>
      <c r="BB21" s="207" t="str">
        <f>Настройки!AJ21</f>
        <v>-</v>
      </c>
      <c r="BC21" s="207" t="str">
        <f>Настройки!AK21</f>
        <v>-</v>
      </c>
      <c r="BD21" s="207" t="str">
        <f>Настройки!AL21</f>
        <v>Canal_20</v>
      </c>
      <c r="BE21" s="207" t="str">
        <f>Настройки!AM21</f>
        <v>-</v>
      </c>
    </row>
    <row r="22" spans="1:57">
      <c r="A22" s="82"/>
      <c r="B22" s="82"/>
      <c r="C22" s="11"/>
      <c r="D22" s="81"/>
      <c r="E22" s="81"/>
      <c r="F22" s="81"/>
      <c r="G22" s="445"/>
      <c r="H22" s="445"/>
      <c r="I22" s="1"/>
      <c r="M22" s="424" t="str">
        <f>'Конфигурация TREI'!A23</f>
        <v>BR21</v>
      </c>
      <c r="N22" s="424" t="str">
        <f>'Конфигурация TREI'!B23</f>
        <v>M558O</v>
      </c>
      <c r="AE22" s="428">
        <f>Настройки!P22</f>
        <v>21</v>
      </c>
      <c r="AF22" s="380">
        <f>Настройки!Q22</f>
        <v>0</v>
      </c>
      <c r="AG22" s="380" t="str">
        <f>Настройки!R22</f>
        <v>-</v>
      </c>
      <c r="AH22" s="380" t="str">
        <f>Настройки!S22</f>
        <v>-</v>
      </c>
      <c r="AI22" s="380" t="str">
        <f>Настройки!T22</f>
        <v>out20</v>
      </c>
      <c r="AJ22" s="380" t="str">
        <f>Настройки!U22</f>
        <v>out20</v>
      </c>
      <c r="AK22" s="380" t="str">
        <f>Настройки!V22</f>
        <v>-</v>
      </c>
      <c r="AL22" s="380" t="str">
        <f>Настройки!W22</f>
        <v>-</v>
      </c>
      <c r="AM22" s="380" t="str">
        <f>Настройки!X22</f>
        <v>-</v>
      </c>
      <c r="AN22" s="380" t="str">
        <f>Настройки!Y22</f>
        <v>-</v>
      </c>
      <c r="AO22" s="380" t="str">
        <f>Настройки!Z22</f>
        <v>-</v>
      </c>
      <c r="AP22" s="380" t="str">
        <f>Настройки!AA22</f>
        <v>Canal_21</v>
      </c>
      <c r="AQ22" s="380" t="str">
        <f>Настройки!AB22</f>
        <v>Canal_21</v>
      </c>
      <c r="AR22" s="380" t="str">
        <f>Настройки!AC22</f>
        <v>-</v>
      </c>
      <c r="AS22" s="380" t="str">
        <f>Настройки!AD22</f>
        <v>-</v>
      </c>
      <c r="AT22" s="207" t="str">
        <f>Настройки!AB22</f>
        <v>Canal_21</v>
      </c>
      <c r="AU22" s="207" t="str">
        <f>Настройки!AC22</f>
        <v>-</v>
      </c>
      <c r="AV22" s="207" t="str">
        <f>Настройки!AD22</f>
        <v>-</v>
      </c>
      <c r="AW22" s="207" t="str">
        <f>Настройки!AE22</f>
        <v>-</v>
      </c>
      <c r="AX22" s="207" t="str">
        <f>Настройки!AF22</f>
        <v>IDIG_6_1</v>
      </c>
      <c r="AY22" s="207" t="str">
        <f>Настройки!AG22</f>
        <v>Canal_21</v>
      </c>
      <c r="AZ22" s="207" t="str">
        <f>Настройки!AH22</f>
        <v>Canal_21</v>
      </c>
      <c r="BA22" s="207" t="str">
        <f>Настройки!AI22</f>
        <v>Canal_21</v>
      </c>
      <c r="BB22" s="207" t="str">
        <f>Настройки!AJ22</f>
        <v>-</v>
      </c>
      <c r="BC22" s="207" t="str">
        <f>Настройки!AK22</f>
        <v>-</v>
      </c>
      <c r="BD22" s="207" t="str">
        <f>Настройки!AL22</f>
        <v>Canal_21</v>
      </c>
      <c r="BE22" s="207" t="str">
        <f>Настройки!AM22</f>
        <v>-</v>
      </c>
    </row>
    <row r="23" spans="1:57">
      <c r="A23" s="82"/>
      <c r="B23" s="82"/>
      <c r="C23" s="11"/>
      <c r="D23" s="81"/>
      <c r="E23" s="81"/>
      <c r="F23" s="81"/>
      <c r="G23" s="445"/>
      <c r="H23" s="447"/>
      <c r="I23" s="1"/>
      <c r="M23" s="424" t="str">
        <f>'Конфигурация TREI'!A24</f>
        <v>BR22</v>
      </c>
      <c r="N23" s="424" t="str">
        <f>'Конфигурация TREI'!B24</f>
        <v>M558D</v>
      </c>
      <c r="AE23" s="428">
        <f>Настройки!P23</f>
        <v>22</v>
      </c>
      <c r="AF23" s="380">
        <f>Настройки!Q23</f>
        <v>0</v>
      </c>
      <c r="AG23" s="380" t="str">
        <f>Настройки!R23</f>
        <v>-</v>
      </c>
      <c r="AH23" s="380" t="str">
        <f>Настройки!S23</f>
        <v>-</v>
      </c>
      <c r="AI23" s="380" t="str">
        <f>Настройки!T23</f>
        <v>out21</v>
      </c>
      <c r="AJ23" s="380" t="str">
        <f>Настройки!U23</f>
        <v>out21</v>
      </c>
      <c r="AK23" s="380" t="str">
        <f>Настройки!V23</f>
        <v>-</v>
      </c>
      <c r="AL23" s="380" t="str">
        <f>Настройки!W23</f>
        <v>-</v>
      </c>
      <c r="AM23" s="380" t="str">
        <f>Настройки!X23</f>
        <v>-</v>
      </c>
      <c r="AN23" s="380" t="str">
        <f>Настройки!Y23</f>
        <v>-</v>
      </c>
      <c r="AO23" s="380" t="str">
        <f>Настройки!Z23</f>
        <v>-</v>
      </c>
      <c r="AP23" s="380" t="str">
        <f>Настройки!AA23</f>
        <v>Canal_22</v>
      </c>
      <c r="AQ23" s="380" t="str">
        <f>Настройки!AB23</f>
        <v>Canal_22</v>
      </c>
      <c r="AR23" s="380" t="str">
        <f>Настройки!AC23</f>
        <v>-</v>
      </c>
      <c r="AS23" s="380" t="str">
        <f>Настройки!AD23</f>
        <v>-</v>
      </c>
      <c r="AT23" s="207" t="str">
        <f>Настройки!AB23</f>
        <v>Canal_22</v>
      </c>
      <c r="AU23" s="207" t="str">
        <f>Настройки!AC23</f>
        <v>-</v>
      </c>
      <c r="AV23" s="207" t="str">
        <f>Настройки!AD23</f>
        <v>-</v>
      </c>
      <c r="AW23" s="207" t="str">
        <f>Настройки!AE23</f>
        <v>-</v>
      </c>
      <c r="AX23" s="207" t="str">
        <f>Настройки!AF23</f>
        <v>IDIG_6_2</v>
      </c>
      <c r="AY23" s="207" t="str">
        <f>Настройки!AG23</f>
        <v>Canal_22</v>
      </c>
      <c r="AZ23" s="207" t="str">
        <f>Настройки!AH23</f>
        <v>Canal_22</v>
      </c>
      <c r="BA23" s="207" t="str">
        <f>Настройки!AI23</f>
        <v>Canal_22</v>
      </c>
      <c r="BB23" s="207" t="str">
        <f>Настройки!AJ23</f>
        <v>-</v>
      </c>
      <c r="BC23" s="207" t="str">
        <f>Настройки!AK23</f>
        <v>-</v>
      </c>
      <c r="BD23" s="207" t="str">
        <f>Настройки!AL23</f>
        <v>Canal_22</v>
      </c>
      <c r="BE23" s="207" t="str">
        <f>Настройки!AM23</f>
        <v>-</v>
      </c>
    </row>
    <row r="24" spans="1:57">
      <c r="A24" s="82"/>
      <c r="B24" s="82"/>
      <c r="C24" s="11"/>
      <c r="D24" s="81"/>
      <c r="E24" s="81"/>
      <c r="F24" s="81"/>
      <c r="G24" s="445"/>
      <c r="H24" s="447"/>
      <c r="I24" s="1"/>
      <c r="M24" s="424" t="str">
        <f>'Конфигурация TREI'!A25</f>
        <v>BR23</v>
      </c>
      <c r="N24" s="424" t="str">
        <f>'Конфигурация TREI'!B25</f>
        <v>M558O</v>
      </c>
      <c r="AE24" s="428">
        <f>Настройки!P24</f>
        <v>23</v>
      </c>
      <c r="AF24" s="380">
        <f>Настройки!Q24</f>
        <v>0</v>
      </c>
      <c r="AG24" s="380" t="str">
        <f>Настройки!R24</f>
        <v>-</v>
      </c>
      <c r="AH24" s="380" t="str">
        <f>Настройки!S24</f>
        <v>-</v>
      </c>
      <c r="AI24" s="380" t="str">
        <f>Настройки!T24</f>
        <v>out22</v>
      </c>
      <c r="AJ24" s="380" t="str">
        <f>Настройки!U24</f>
        <v>out22</v>
      </c>
      <c r="AK24" s="380" t="str">
        <f>Настройки!V24</f>
        <v>-</v>
      </c>
      <c r="AL24" s="380" t="str">
        <f>Настройки!W24</f>
        <v>-</v>
      </c>
      <c r="AM24" s="380" t="str">
        <f>Настройки!X24</f>
        <v>-</v>
      </c>
      <c r="AN24" s="380" t="str">
        <f>Настройки!Y24</f>
        <v>-</v>
      </c>
      <c r="AO24" s="380" t="str">
        <f>Настройки!Z24</f>
        <v>-</v>
      </c>
      <c r="AP24" s="380" t="str">
        <f>Настройки!AA24</f>
        <v>Canal_23</v>
      </c>
      <c r="AQ24" s="380" t="str">
        <f>Настройки!AB24</f>
        <v>Canal_23</v>
      </c>
      <c r="AR24" s="380" t="str">
        <f>Настройки!AC24</f>
        <v>-</v>
      </c>
      <c r="AS24" s="380" t="str">
        <f>Настройки!AD24</f>
        <v>-</v>
      </c>
      <c r="AT24" s="207" t="str">
        <f>Настройки!AB24</f>
        <v>Canal_23</v>
      </c>
      <c r="AU24" s="207" t="str">
        <f>Настройки!AC24</f>
        <v>-</v>
      </c>
      <c r="AV24" s="207" t="str">
        <f>Настройки!AD24</f>
        <v>-</v>
      </c>
      <c r="AW24" s="207" t="str">
        <f>Настройки!AE24</f>
        <v>-</v>
      </c>
      <c r="AX24" s="207" t="str">
        <f>Настройки!AF24</f>
        <v>IDIG_6_3</v>
      </c>
      <c r="AY24" s="207" t="str">
        <f>Настройки!AG24</f>
        <v>Canal_23</v>
      </c>
      <c r="AZ24" s="207" t="str">
        <f>Настройки!AH24</f>
        <v>Canal_23</v>
      </c>
      <c r="BA24" s="207" t="str">
        <f>Настройки!AI24</f>
        <v>Canal_23</v>
      </c>
      <c r="BB24" s="207" t="str">
        <f>Настройки!AJ24</f>
        <v>-</v>
      </c>
      <c r="BC24" s="207" t="str">
        <f>Настройки!AK24</f>
        <v>-</v>
      </c>
      <c r="BD24" s="207" t="str">
        <f>Настройки!AL24</f>
        <v>Canal_23</v>
      </c>
      <c r="BE24" s="207" t="str">
        <f>Настройки!AM24</f>
        <v>-</v>
      </c>
    </row>
    <row r="25" spans="1:57">
      <c r="A25" s="82"/>
      <c r="B25" s="82"/>
      <c r="C25" s="11"/>
      <c r="D25" s="81"/>
      <c r="E25" s="81"/>
      <c r="F25" s="81"/>
      <c r="G25" s="445"/>
      <c r="H25" s="447"/>
      <c r="I25" s="1"/>
      <c r="M25" s="424" t="str">
        <f>'Конфигурация TREI'!A26</f>
        <v>BR24</v>
      </c>
      <c r="N25" s="424" t="str">
        <f>'Конфигурация TREI'!B26</f>
        <v>M558D</v>
      </c>
      <c r="AE25" s="428">
        <f>Настройки!P25</f>
        <v>24</v>
      </c>
      <c r="AF25" s="380">
        <f>Настройки!Q25</f>
        <v>0</v>
      </c>
      <c r="AG25" s="380" t="str">
        <f>Настройки!R25</f>
        <v>-</v>
      </c>
      <c r="AH25" s="380" t="str">
        <f>Настройки!S25</f>
        <v>-</v>
      </c>
      <c r="AI25" s="380" t="str">
        <f>Настройки!T25</f>
        <v>out23</v>
      </c>
      <c r="AJ25" s="380" t="str">
        <f>Настройки!U25</f>
        <v>out23</v>
      </c>
      <c r="AK25" s="380" t="str">
        <f>Настройки!V25</f>
        <v>-</v>
      </c>
      <c r="AL25" s="380" t="str">
        <f>Настройки!W25</f>
        <v>-</v>
      </c>
      <c r="AM25" s="380" t="str">
        <f>Настройки!X25</f>
        <v>-</v>
      </c>
      <c r="AN25" s="380" t="str">
        <f>Настройки!Y25</f>
        <v>-</v>
      </c>
      <c r="AO25" s="380" t="str">
        <f>Настройки!Z25</f>
        <v>-</v>
      </c>
      <c r="AP25" s="380" t="str">
        <f>Настройки!AA25</f>
        <v>Canal_24</v>
      </c>
      <c r="AQ25" s="380" t="str">
        <f>Настройки!AB25</f>
        <v>Canal_24</v>
      </c>
      <c r="AR25" s="380" t="str">
        <f>Настройки!AC25</f>
        <v>-</v>
      </c>
      <c r="AS25" s="380" t="str">
        <f>Настройки!AD25</f>
        <v>-</v>
      </c>
      <c r="AT25" s="207" t="str">
        <f>Настройки!AB25</f>
        <v>Canal_24</v>
      </c>
      <c r="AU25" s="207" t="str">
        <f>Настройки!AC25</f>
        <v>-</v>
      </c>
      <c r="AV25" s="207" t="str">
        <f>Настройки!AD25</f>
        <v>-</v>
      </c>
      <c r="AW25" s="207" t="str">
        <f>Настройки!AE25</f>
        <v>-</v>
      </c>
      <c r="AX25" s="207" t="str">
        <f>Настройки!AF25</f>
        <v>IDIG_6_4</v>
      </c>
      <c r="AY25" s="207" t="str">
        <f>Настройки!AG25</f>
        <v>Canal_24</v>
      </c>
      <c r="AZ25" s="207" t="str">
        <f>Настройки!AH25</f>
        <v>Canal_24</v>
      </c>
      <c r="BA25" s="207" t="str">
        <f>Настройки!AI25</f>
        <v>Canal_24</v>
      </c>
      <c r="BB25" s="207" t="str">
        <f>Настройки!AJ25</f>
        <v>-</v>
      </c>
      <c r="BC25" s="207" t="str">
        <f>Настройки!AK25</f>
        <v>-</v>
      </c>
      <c r="BD25" s="207" t="str">
        <f>Настройки!AL25</f>
        <v>Canal_24</v>
      </c>
      <c r="BE25" s="207" t="str">
        <f>Настройки!AM25</f>
        <v>-</v>
      </c>
    </row>
    <row r="26" spans="1:57">
      <c r="A26" s="82"/>
      <c r="B26" s="82"/>
      <c r="C26" s="11"/>
      <c r="D26" s="81"/>
      <c r="E26" s="81"/>
      <c r="F26" s="81"/>
      <c r="G26" s="445"/>
      <c r="H26" s="447"/>
      <c r="I26" s="1"/>
      <c r="M26" s="424" t="str">
        <f>'Конфигурация TREI'!A27</f>
        <v>BR25</v>
      </c>
      <c r="N26" s="424" t="str">
        <f>'Конфигурация TREI'!B27</f>
        <v>M558D</v>
      </c>
      <c r="AE26" s="428">
        <f>Настройки!P26</f>
        <v>25</v>
      </c>
      <c r="AF26" s="380">
        <f>Настройки!Q26</f>
        <v>0</v>
      </c>
      <c r="AG26" s="380" t="str">
        <f>Настройки!R26</f>
        <v>-</v>
      </c>
      <c r="AH26" s="380" t="str">
        <f>Настройки!S26</f>
        <v>-</v>
      </c>
      <c r="AI26" s="380" t="str">
        <f>Настройки!T26</f>
        <v>out24</v>
      </c>
      <c r="AJ26" s="380" t="str">
        <f>Настройки!U26</f>
        <v>out24</v>
      </c>
      <c r="AK26" s="380" t="str">
        <f>Настройки!V26</f>
        <v>-</v>
      </c>
      <c r="AL26" s="380" t="str">
        <f>Настройки!W26</f>
        <v>-</v>
      </c>
      <c r="AM26" s="380" t="str">
        <f>Настройки!X26</f>
        <v>-</v>
      </c>
      <c r="AN26" s="380" t="str">
        <f>Настройки!Y26</f>
        <v>-</v>
      </c>
      <c r="AO26" s="380" t="str">
        <f>Настройки!Z26</f>
        <v>-</v>
      </c>
      <c r="AP26" s="380" t="str">
        <f>Настройки!AA26</f>
        <v>Canal_25</v>
      </c>
      <c r="AQ26" s="380" t="str">
        <f>Настройки!AB26</f>
        <v>Canal_25</v>
      </c>
      <c r="AR26" s="380" t="str">
        <f>Настройки!AC26</f>
        <v>-</v>
      </c>
      <c r="AS26" s="380" t="str">
        <f>Настройки!AD26</f>
        <v>-</v>
      </c>
      <c r="AT26" s="207" t="str">
        <f>Настройки!AB26</f>
        <v>Canal_25</v>
      </c>
      <c r="AU26" s="207" t="str">
        <f>Настройки!AC26</f>
        <v>-</v>
      </c>
      <c r="AV26" s="207" t="str">
        <f>Настройки!AD26</f>
        <v>-</v>
      </c>
      <c r="AW26" s="207" t="str">
        <f>Настройки!AE26</f>
        <v>-</v>
      </c>
      <c r="AX26" s="207" t="str">
        <f>Настройки!AF26</f>
        <v>IDIG_7_1</v>
      </c>
      <c r="AY26" s="207" t="str">
        <f>Настройки!AG26</f>
        <v>Canal_25</v>
      </c>
      <c r="AZ26" s="207" t="str">
        <f>Настройки!AH26</f>
        <v>Canal_25</v>
      </c>
      <c r="BA26" s="207" t="str">
        <f>Настройки!AI26</f>
        <v>Canal_25</v>
      </c>
      <c r="BB26" s="207" t="str">
        <f>Настройки!AJ26</f>
        <v>-</v>
      </c>
      <c r="BC26" s="207" t="str">
        <f>Настройки!AK26</f>
        <v>-</v>
      </c>
      <c r="BD26" s="207" t="str">
        <f>Настройки!AL26</f>
        <v>Canal_25</v>
      </c>
      <c r="BE26" s="207" t="str">
        <f>Настройки!AM26</f>
        <v>-</v>
      </c>
    </row>
    <row r="27" spans="1:57">
      <c r="A27" s="82"/>
      <c r="B27" s="82"/>
      <c r="C27" s="11"/>
      <c r="D27" s="81"/>
      <c r="E27" s="81"/>
      <c r="F27" s="81"/>
      <c r="G27" s="445"/>
      <c r="H27" s="447"/>
      <c r="I27" s="1"/>
      <c r="M27" s="424" t="str">
        <f>'Конфигурация TREI'!A28</f>
        <v>BR26</v>
      </c>
      <c r="N27" s="424" t="str">
        <f>'Конфигурация TREI'!B28</f>
        <v>M558D</v>
      </c>
      <c r="AE27" s="428">
        <f>Настройки!P27</f>
        <v>26</v>
      </c>
      <c r="AF27" s="380">
        <f>Настройки!Q27</f>
        <v>0</v>
      </c>
      <c r="AG27" s="380" t="str">
        <f>Настройки!R27</f>
        <v>-</v>
      </c>
      <c r="AH27" s="380" t="str">
        <f>Настройки!S27</f>
        <v>-</v>
      </c>
      <c r="AI27" s="380" t="str">
        <f>Настройки!T27</f>
        <v>out25</v>
      </c>
      <c r="AJ27" s="380" t="str">
        <f>Настройки!U27</f>
        <v>out25</v>
      </c>
      <c r="AK27" s="380" t="str">
        <f>Настройки!V27</f>
        <v>-</v>
      </c>
      <c r="AL27" s="380" t="str">
        <f>Настройки!W27</f>
        <v>-</v>
      </c>
      <c r="AM27" s="380" t="str">
        <f>Настройки!X27</f>
        <v>-</v>
      </c>
      <c r="AN27" s="380" t="str">
        <f>Настройки!Y27</f>
        <v>-</v>
      </c>
      <c r="AO27" s="380" t="str">
        <f>Настройки!Z27</f>
        <v>-</v>
      </c>
      <c r="AP27" s="380" t="str">
        <f>Настройки!AA27</f>
        <v>Canal_26</v>
      </c>
      <c r="AQ27" s="380" t="str">
        <f>Настройки!AB27</f>
        <v>Canal_26</v>
      </c>
      <c r="AR27" s="380" t="str">
        <f>Настройки!AC27</f>
        <v>-</v>
      </c>
      <c r="AS27" s="380" t="str">
        <f>Настройки!AD27</f>
        <v>-</v>
      </c>
      <c r="AT27" s="207" t="str">
        <f>Настройки!AB27</f>
        <v>Canal_26</v>
      </c>
      <c r="AU27" s="207" t="str">
        <f>Настройки!AC27</f>
        <v>-</v>
      </c>
      <c r="AV27" s="207" t="str">
        <f>Настройки!AD27</f>
        <v>-</v>
      </c>
      <c r="AW27" s="207" t="str">
        <f>Настройки!AE27</f>
        <v>-</v>
      </c>
      <c r="AX27" s="207" t="str">
        <f>Настройки!AF27</f>
        <v>IDIG_7_2</v>
      </c>
      <c r="AY27" s="207" t="str">
        <f>Настройки!AG27</f>
        <v>Canal_26</v>
      </c>
      <c r="AZ27" s="207" t="str">
        <f>Настройки!AH27</f>
        <v>Canal_26</v>
      </c>
      <c r="BA27" s="207" t="str">
        <f>Настройки!AI27</f>
        <v>Canal_26</v>
      </c>
      <c r="BB27" s="207" t="str">
        <f>Настройки!AJ27</f>
        <v>-</v>
      </c>
      <c r="BC27" s="207" t="str">
        <f>Настройки!AK27</f>
        <v>-</v>
      </c>
      <c r="BD27" s="207" t="str">
        <f>Настройки!AL27</f>
        <v>Canal_26</v>
      </c>
      <c r="BE27" s="207" t="str">
        <f>Настройки!AM27</f>
        <v>-</v>
      </c>
    </row>
    <row r="28" spans="1:57">
      <c r="A28" s="82"/>
      <c r="B28" s="82"/>
      <c r="C28" s="11"/>
      <c r="D28" s="81"/>
      <c r="E28" s="81"/>
      <c r="F28" s="81"/>
      <c r="G28" s="445"/>
      <c r="H28" s="447"/>
      <c r="I28" s="1"/>
      <c r="M28" s="424" t="str">
        <f>'Конфигурация TREI'!A29</f>
        <v>BR27</v>
      </c>
      <c r="N28" s="424" t="str">
        <f>'Конфигурация TREI'!B29</f>
        <v>M558D</v>
      </c>
      <c r="AE28" s="428">
        <f>Настройки!P28</f>
        <v>27</v>
      </c>
      <c r="AF28" s="380">
        <f>Настройки!Q28</f>
        <v>0</v>
      </c>
      <c r="AG28" s="380" t="str">
        <f>Настройки!R28</f>
        <v>-</v>
      </c>
      <c r="AH28" s="380" t="str">
        <f>Настройки!S28</f>
        <v>-</v>
      </c>
      <c r="AI28" s="380" t="str">
        <f>Настройки!T28</f>
        <v>out26</v>
      </c>
      <c r="AJ28" s="380" t="str">
        <f>Настройки!U28</f>
        <v>out26</v>
      </c>
      <c r="AK28" s="380" t="str">
        <f>Настройки!V28</f>
        <v>-</v>
      </c>
      <c r="AL28" s="380" t="str">
        <f>Настройки!W28</f>
        <v>-</v>
      </c>
      <c r="AM28" s="380" t="str">
        <f>Настройки!X28</f>
        <v>-</v>
      </c>
      <c r="AN28" s="380" t="str">
        <f>Настройки!Y28</f>
        <v>-</v>
      </c>
      <c r="AO28" s="380" t="str">
        <f>Настройки!Z28</f>
        <v>-</v>
      </c>
      <c r="AP28" s="380" t="str">
        <f>Настройки!AA28</f>
        <v>Canal_27</v>
      </c>
      <c r="AQ28" s="380" t="str">
        <f>Настройки!AB28</f>
        <v>Canal_27</v>
      </c>
      <c r="AR28" s="380" t="str">
        <f>Настройки!AC28</f>
        <v>-</v>
      </c>
      <c r="AS28" s="380" t="str">
        <f>Настройки!AD28</f>
        <v>-</v>
      </c>
      <c r="AT28" s="207" t="str">
        <f>Настройки!AB28</f>
        <v>Canal_27</v>
      </c>
      <c r="AU28" s="207" t="str">
        <f>Настройки!AC28</f>
        <v>-</v>
      </c>
      <c r="AV28" s="207" t="str">
        <f>Настройки!AD28</f>
        <v>-</v>
      </c>
      <c r="AW28" s="207" t="str">
        <f>Настройки!AE28</f>
        <v>-</v>
      </c>
      <c r="AX28" s="207" t="str">
        <f>Настройки!AF28</f>
        <v>IDIG_7_3</v>
      </c>
      <c r="AY28" s="207" t="str">
        <f>Настройки!AG28</f>
        <v>Canal_27</v>
      </c>
      <c r="AZ28" s="207" t="str">
        <f>Настройки!AH28</f>
        <v>Canal_27</v>
      </c>
      <c r="BA28" s="207" t="str">
        <f>Настройки!AI28</f>
        <v>Canal_27</v>
      </c>
      <c r="BB28" s="207" t="str">
        <f>Настройки!AJ28</f>
        <v>-</v>
      </c>
      <c r="BC28" s="207" t="str">
        <f>Настройки!AK28</f>
        <v>-</v>
      </c>
      <c r="BD28" s="207" t="str">
        <f>Настройки!AL28</f>
        <v>Canal_27</v>
      </c>
      <c r="BE28" s="207" t="str">
        <f>Настройки!AM28</f>
        <v>-</v>
      </c>
    </row>
    <row r="29" spans="1:57">
      <c r="A29" s="82"/>
      <c r="B29" s="82"/>
      <c r="C29" s="11"/>
      <c r="D29" s="81"/>
      <c r="E29" s="81"/>
      <c r="F29" s="81"/>
      <c r="G29" s="445"/>
      <c r="H29" s="447"/>
      <c r="I29" s="1"/>
      <c r="M29" s="424" t="str">
        <f>'Конфигурация TREI'!A30</f>
        <v>BR28</v>
      </c>
      <c r="N29" s="424" t="str">
        <f>'Конфигурация TREI'!B30</f>
        <v>M558D</v>
      </c>
      <c r="AE29" s="428">
        <f>Настройки!P29</f>
        <v>28</v>
      </c>
      <c r="AF29" s="380">
        <f>Настройки!Q29</f>
        <v>0</v>
      </c>
      <c r="AG29" s="380" t="str">
        <f>Настройки!R29</f>
        <v>-</v>
      </c>
      <c r="AH29" s="380" t="str">
        <f>Настройки!S29</f>
        <v>-</v>
      </c>
      <c r="AI29" s="380" t="str">
        <f>Настройки!T29</f>
        <v>out27</v>
      </c>
      <c r="AJ29" s="380" t="str">
        <f>Настройки!U29</f>
        <v>out27</v>
      </c>
      <c r="AK29" s="380" t="str">
        <f>Настройки!V29</f>
        <v>-</v>
      </c>
      <c r="AL29" s="380" t="str">
        <f>Настройки!W29</f>
        <v>-</v>
      </c>
      <c r="AM29" s="380" t="str">
        <f>Настройки!X29</f>
        <v>-</v>
      </c>
      <c r="AN29" s="380" t="str">
        <f>Настройки!Y29</f>
        <v>-</v>
      </c>
      <c r="AO29" s="380" t="str">
        <f>Настройки!Z29</f>
        <v>-</v>
      </c>
      <c r="AP29" s="380" t="str">
        <f>Настройки!AA29</f>
        <v>Canal_28</v>
      </c>
      <c r="AQ29" s="380" t="str">
        <f>Настройки!AB29</f>
        <v>Canal_28</v>
      </c>
      <c r="AR29" s="380" t="str">
        <f>Настройки!AC29</f>
        <v>-</v>
      </c>
      <c r="AS29" s="380" t="str">
        <f>Настройки!AD29</f>
        <v>-</v>
      </c>
      <c r="AT29" s="207" t="str">
        <f>Настройки!AB29</f>
        <v>Canal_28</v>
      </c>
      <c r="AU29" s="207" t="str">
        <f>Настройки!AC29</f>
        <v>-</v>
      </c>
      <c r="AV29" s="207" t="str">
        <f>Настройки!AD29</f>
        <v>-</v>
      </c>
      <c r="AW29" s="207" t="str">
        <f>Настройки!AE29</f>
        <v>-</v>
      </c>
      <c r="AX29" s="207" t="str">
        <f>Настройки!AF29</f>
        <v>IDIG_7_4</v>
      </c>
      <c r="AY29" s="207" t="str">
        <f>Настройки!AG29</f>
        <v>Canal_28</v>
      </c>
      <c r="AZ29" s="207" t="str">
        <f>Настройки!AH29</f>
        <v>Canal_28</v>
      </c>
      <c r="BA29" s="207" t="str">
        <f>Настройки!AI29</f>
        <v>Canal_28</v>
      </c>
      <c r="BB29" s="207" t="str">
        <f>Настройки!AJ29</f>
        <v>-</v>
      </c>
      <c r="BC29" s="207" t="str">
        <f>Настройки!AK29</f>
        <v>-</v>
      </c>
      <c r="BD29" s="207" t="str">
        <f>Настройки!AL29</f>
        <v>Canal_28</v>
      </c>
      <c r="BE29" s="207" t="str">
        <f>Настройки!AM29</f>
        <v>-</v>
      </c>
    </row>
    <row r="30" spans="1:57">
      <c r="A30" s="11"/>
      <c r="B30" s="11"/>
      <c r="C30" s="11"/>
      <c r="D30" s="11"/>
      <c r="E30" s="11"/>
      <c r="F30" s="11"/>
      <c r="G30" s="11"/>
      <c r="H30" s="1"/>
      <c r="I30" s="1"/>
      <c r="M30" s="424" t="str">
        <f>'Конфигурация TREI'!A31</f>
        <v>BR29</v>
      </c>
      <c r="N30" s="424" t="str">
        <f>'Конфигурация TREI'!B31</f>
        <v>M558O</v>
      </c>
      <c r="AE30" s="428">
        <f>Настройки!P30</f>
        <v>29</v>
      </c>
      <c r="AF30" s="380">
        <f>Настройки!Q30</f>
        <v>0</v>
      </c>
      <c r="AG30" s="380" t="str">
        <f>Настройки!R30</f>
        <v>-</v>
      </c>
      <c r="AH30" s="380" t="str">
        <f>Настройки!S30</f>
        <v>-</v>
      </c>
      <c r="AI30" s="380" t="str">
        <f>Настройки!T30</f>
        <v>out28</v>
      </c>
      <c r="AJ30" s="380" t="str">
        <f>Настройки!U30</f>
        <v>out28</v>
      </c>
      <c r="AK30" s="380" t="str">
        <f>Настройки!V30</f>
        <v>-</v>
      </c>
      <c r="AL30" s="380" t="str">
        <f>Настройки!W30</f>
        <v>-</v>
      </c>
      <c r="AM30" s="380" t="str">
        <f>Настройки!X30</f>
        <v>-</v>
      </c>
      <c r="AN30" s="380" t="str">
        <f>Настройки!Y30</f>
        <v>-</v>
      </c>
      <c r="AO30" s="380" t="str">
        <f>Настройки!Z30</f>
        <v>-</v>
      </c>
      <c r="AP30" s="380" t="str">
        <f>Настройки!AA30</f>
        <v>Canal_29</v>
      </c>
      <c r="AQ30" s="380" t="str">
        <f>Настройки!AB30</f>
        <v>Canal_29</v>
      </c>
      <c r="AR30" s="380" t="str">
        <f>Настройки!AC30</f>
        <v>-</v>
      </c>
      <c r="AS30" s="380" t="str">
        <f>Настройки!AD30</f>
        <v>-</v>
      </c>
      <c r="AT30" s="207" t="str">
        <f>Настройки!AB30</f>
        <v>Canal_29</v>
      </c>
      <c r="AU30" s="207" t="str">
        <f>Настройки!AC30</f>
        <v>-</v>
      </c>
      <c r="AV30" s="207" t="str">
        <f>Настройки!AD30</f>
        <v>-</v>
      </c>
      <c r="AW30" s="207" t="str">
        <f>Настройки!AE30</f>
        <v>-</v>
      </c>
      <c r="AX30" s="207" t="str">
        <f>Настройки!AF30</f>
        <v>IDIG_8_1</v>
      </c>
      <c r="AY30" s="207" t="str">
        <f>Настройки!AG30</f>
        <v>Canal_29</v>
      </c>
      <c r="AZ30" s="207" t="str">
        <f>Настройки!AH30</f>
        <v>Canal_29</v>
      </c>
      <c r="BA30" s="207" t="str">
        <f>Настройки!AI30</f>
        <v>Canal_29</v>
      </c>
      <c r="BB30" s="207" t="str">
        <f>Настройки!AJ30</f>
        <v>-</v>
      </c>
      <c r="BC30" s="207" t="str">
        <f>Настройки!AK30</f>
        <v>-</v>
      </c>
      <c r="BD30" s="207" t="str">
        <f>Настройки!AL30</f>
        <v>Canal_29</v>
      </c>
      <c r="BE30" s="207" t="str">
        <f>Настройки!AM30</f>
        <v>-</v>
      </c>
    </row>
    <row r="31" spans="1:57">
      <c r="A31" s="82"/>
      <c r="B31" s="82"/>
      <c r="C31" s="81"/>
      <c r="D31" s="81"/>
      <c r="E31" s="81"/>
      <c r="F31" s="81"/>
      <c r="G31" s="445"/>
      <c r="H31" s="445"/>
      <c r="I31" s="1"/>
      <c r="M31" s="424" t="str">
        <f>'Конфигурация TREI'!A32</f>
        <v>BR30</v>
      </c>
      <c r="N31" s="424" t="str">
        <f>'Конфигурация TREI'!B32</f>
        <v>M558D</v>
      </c>
      <c r="AE31" s="428">
        <f>Настройки!P31</f>
        <v>30</v>
      </c>
      <c r="AF31" s="380">
        <f>Настройки!Q31</f>
        <v>0</v>
      </c>
      <c r="AG31" s="380" t="str">
        <f>Настройки!R31</f>
        <v>-</v>
      </c>
      <c r="AH31" s="380" t="str">
        <f>Настройки!S31</f>
        <v>-</v>
      </c>
      <c r="AI31" s="380" t="str">
        <f>Настройки!T31</f>
        <v>out29</v>
      </c>
      <c r="AJ31" s="380" t="str">
        <f>Настройки!U31</f>
        <v>out29</v>
      </c>
      <c r="AK31" s="380" t="str">
        <f>Настройки!V31</f>
        <v>-</v>
      </c>
      <c r="AL31" s="380" t="str">
        <f>Настройки!W31</f>
        <v>-</v>
      </c>
      <c r="AM31" s="380" t="str">
        <f>Настройки!X31</f>
        <v>-</v>
      </c>
      <c r="AN31" s="380" t="str">
        <f>Настройки!Y31</f>
        <v>-</v>
      </c>
      <c r="AO31" s="380" t="str">
        <f>Настройки!Z31</f>
        <v>-</v>
      </c>
      <c r="AP31" s="380" t="str">
        <f>Настройки!AA31</f>
        <v>Canal_30</v>
      </c>
      <c r="AQ31" s="380" t="str">
        <f>Настройки!AB31</f>
        <v>Canal_30</v>
      </c>
      <c r="AR31" s="380" t="str">
        <f>Настройки!AC31</f>
        <v>-</v>
      </c>
      <c r="AS31" s="380" t="str">
        <f>Настройки!AD31</f>
        <v>-</v>
      </c>
      <c r="AT31" s="207" t="str">
        <f>Настройки!AB31</f>
        <v>Canal_30</v>
      </c>
      <c r="AU31" s="207" t="str">
        <f>Настройки!AC31</f>
        <v>-</v>
      </c>
      <c r="AV31" s="207" t="str">
        <f>Настройки!AD31</f>
        <v>-</v>
      </c>
      <c r="AW31" s="207" t="str">
        <f>Настройки!AE31</f>
        <v>-</v>
      </c>
      <c r="AX31" s="207" t="str">
        <f>Настройки!AF31</f>
        <v>IDIG_8_2</v>
      </c>
      <c r="AY31" s="207" t="str">
        <f>Настройки!AG31</f>
        <v>Canal_30</v>
      </c>
      <c r="AZ31" s="207" t="str">
        <f>Настройки!AH31</f>
        <v>Canal_30</v>
      </c>
      <c r="BA31" s="207" t="str">
        <f>Настройки!AI31</f>
        <v>Canal_30</v>
      </c>
      <c r="BB31" s="207" t="str">
        <f>Настройки!AJ31</f>
        <v>-</v>
      </c>
      <c r="BC31" s="207" t="str">
        <f>Настройки!AK31</f>
        <v>-</v>
      </c>
      <c r="BD31" s="207" t="str">
        <f>Настройки!AL31</f>
        <v>Canal_30</v>
      </c>
      <c r="BE31" s="207" t="str">
        <f>Настройки!AM31</f>
        <v>-</v>
      </c>
    </row>
    <row r="32" spans="1:57">
      <c r="A32" s="82"/>
      <c r="B32" s="82"/>
      <c r="C32" s="81"/>
      <c r="D32" s="81"/>
      <c r="E32" s="81"/>
      <c r="F32" s="81"/>
      <c r="G32" s="445"/>
      <c r="H32" s="445"/>
      <c r="I32" s="1"/>
      <c r="M32" s="424" t="str">
        <f>'Конфигурация TREI'!A33</f>
        <v>BR31</v>
      </c>
      <c r="N32" s="424" t="str">
        <f>'Конфигурация TREI'!B33</f>
        <v>M558D</v>
      </c>
      <c r="AE32" s="428">
        <f>Настройки!P32</f>
        <v>31</v>
      </c>
      <c r="AF32" s="380">
        <f>Настройки!Q32</f>
        <v>0</v>
      </c>
      <c r="AG32" s="380" t="str">
        <f>Настройки!R32</f>
        <v>-</v>
      </c>
      <c r="AH32" s="380" t="str">
        <f>Настройки!S32</f>
        <v>-</v>
      </c>
      <c r="AI32" s="380" t="str">
        <f>Настройки!T32</f>
        <v>out30</v>
      </c>
      <c r="AJ32" s="380" t="str">
        <f>Настройки!U32</f>
        <v>out30</v>
      </c>
      <c r="AK32" s="380" t="str">
        <f>Настройки!V32</f>
        <v>-</v>
      </c>
      <c r="AL32" s="380" t="str">
        <f>Настройки!W32</f>
        <v>-</v>
      </c>
      <c r="AM32" s="380" t="str">
        <f>Настройки!X32</f>
        <v>-</v>
      </c>
      <c r="AN32" s="380" t="str">
        <f>Настройки!Y32</f>
        <v>-</v>
      </c>
      <c r="AO32" s="380" t="str">
        <f>Настройки!Z32</f>
        <v>-</v>
      </c>
      <c r="AP32" s="380" t="str">
        <f>Настройки!AA32</f>
        <v>Canal_31</v>
      </c>
      <c r="AQ32" s="380" t="str">
        <f>Настройки!AB32</f>
        <v>Canal_31</v>
      </c>
      <c r="AR32" s="380" t="str">
        <f>Настройки!AC32</f>
        <v>-</v>
      </c>
      <c r="AS32" s="380" t="str">
        <f>Настройки!AD32</f>
        <v>-</v>
      </c>
      <c r="AT32" s="207" t="str">
        <f>Настройки!AB32</f>
        <v>Canal_31</v>
      </c>
      <c r="AU32" s="207" t="str">
        <f>Настройки!AC32</f>
        <v>-</v>
      </c>
      <c r="AV32" s="207" t="str">
        <f>Настройки!AD32</f>
        <v>-</v>
      </c>
      <c r="AW32" s="207" t="str">
        <f>Настройки!AE32</f>
        <v>-</v>
      </c>
      <c r="AX32" s="207" t="str">
        <f>Настройки!AF32</f>
        <v>IDIG_8_3</v>
      </c>
      <c r="AY32" s="207" t="str">
        <f>Настройки!AG32</f>
        <v>Canal_31</v>
      </c>
      <c r="AZ32" s="207" t="str">
        <f>Настройки!AH32</f>
        <v>Canal_31</v>
      </c>
      <c r="BA32" s="207" t="str">
        <f>Настройки!AI32</f>
        <v>Canal_31</v>
      </c>
      <c r="BB32" s="207" t="str">
        <f>Настройки!AJ32</f>
        <v>-</v>
      </c>
      <c r="BC32" s="207" t="str">
        <f>Настройки!AK32</f>
        <v>-</v>
      </c>
      <c r="BD32" s="207" t="str">
        <f>Настройки!AL32</f>
        <v>Canal_31</v>
      </c>
      <c r="BE32" s="207" t="str">
        <f>Настройки!AM32</f>
        <v>-</v>
      </c>
    </row>
    <row r="33" spans="1:57">
      <c r="A33" s="82"/>
      <c r="B33" s="82"/>
      <c r="C33" s="81"/>
      <c r="D33" s="81"/>
      <c r="E33" s="81"/>
      <c r="F33" s="81"/>
      <c r="G33" s="445"/>
      <c r="H33" s="445"/>
      <c r="I33" s="1"/>
      <c r="M33" s="424" t="str">
        <f>'Конфигурация TREI'!A34</f>
        <v>BR32</v>
      </c>
      <c r="N33" s="424" t="str">
        <f>'Конфигурация TREI'!B34</f>
        <v>M558D</v>
      </c>
      <c r="AE33" s="620">
        <f>Настройки!P33</f>
        <v>32</v>
      </c>
      <c r="AF33" s="621">
        <f>Настройки!Q33</f>
        <v>0</v>
      </c>
      <c r="AG33" s="621" t="str">
        <f>Настройки!R33</f>
        <v>-</v>
      </c>
      <c r="AH33" s="621" t="str">
        <f>Настройки!S33</f>
        <v>-</v>
      </c>
      <c r="AI33" s="621" t="str">
        <f>Настройки!T33</f>
        <v>out31</v>
      </c>
      <c r="AJ33" s="621" t="str">
        <f>Настройки!U33</f>
        <v>out31</v>
      </c>
      <c r="AK33" s="621" t="str">
        <f>Настройки!V33</f>
        <v>-</v>
      </c>
      <c r="AL33" s="621" t="str">
        <f>Настройки!W33</f>
        <v>-</v>
      </c>
      <c r="AM33" s="621" t="str">
        <f>Настройки!X33</f>
        <v>-</v>
      </c>
      <c r="AN33" s="621" t="str">
        <f>Настройки!Y33</f>
        <v>-</v>
      </c>
      <c r="AO33" s="621" t="str">
        <f>Настройки!Z33</f>
        <v>-</v>
      </c>
      <c r="AP33" s="621" t="str">
        <f>Настройки!AA33</f>
        <v>Canal_32</v>
      </c>
      <c r="AQ33" s="621" t="str">
        <f>Настройки!AB33</f>
        <v>Canal_32</v>
      </c>
      <c r="AR33" s="621" t="str">
        <f>Настройки!AC33</f>
        <v>-</v>
      </c>
      <c r="AS33" s="621" t="str">
        <f>Настройки!AD33</f>
        <v>-</v>
      </c>
      <c r="AT33" s="622" t="str">
        <f>Настройки!AB33</f>
        <v>Canal_32</v>
      </c>
      <c r="AU33" s="622" t="str">
        <f>Настройки!AC33</f>
        <v>-</v>
      </c>
      <c r="AV33" s="622" t="str">
        <f>Настройки!AD33</f>
        <v>-</v>
      </c>
      <c r="AW33" s="622" t="str">
        <f>Настройки!AE33</f>
        <v>-</v>
      </c>
      <c r="AX33" s="622" t="str">
        <f>Настройки!AF33</f>
        <v>IDIG_8_4</v>
      </c>
      <c r="AY33" s="622" t="str">
        <f>Настройки!AG33</f>
        <v>Canal_32</v>
      </c>
      <c r="AZ33" s="622" t="str">
        <f>Настройки!AH33</f>
        <v>Canal_32</v>
      </c>
      <c r="BA33" s="622" t="str">
        <f>Настройки!AI33</f>
        <v>Canal_32</v>
      </c>
      <c r="BB33" s="622" t="str">
        <f>Настройки!AJ33</f>
        <v>-</v>
      </c>
      <c r="BC33" s="622" t="str">
        <f>Настройки!AK33</f>
        <v>-</v>
      </c>
      <c r="BD33" s="622" t="str">
        <f>Настройки!AL33</f>
        <v>Canal_32</v>
      </c>
      <c r="BE33" s="622" t="str">
        <f>Настройки!AM33</f>
        <v>-</v>
      </c>
    </row>
    <row r="34" spans="1:57">
      <c r="A34" s="82"/>
      <c r="B34" s="82"/>
      <c r="C34" s="81"/>
      <c r="D34" s="81"/>
      <c r="E34" s="81"/>
      <c r="F34" s="81"/>
      <c r="G34" s="445"/>
      <c r="H34" s="445"/>
      <c r="I34" s="1"/>
      <c r="M34" s="424" t="str">
        <f>'Конфигурация TREI'!A35</f>
        <v>BR33</v>
      </c>
      <c r="N34" s="424" t="str">
        <f>'Конфигурация TREI'!B35</f>
        <v>M558D</v>
      </c>
      <c r="AE34" s="624"/>
      <c r="AF34" s="624"/>
      <c r="AG34" s="624"/>
      <c r="AH34" s="624"/>
      <c r="AI34" s="624"/>
      <c r="AJ34" s="624"/>
      <c r="AK34" s="624"/>
      <c r="AL34" s="624"/>
      <c r="AM34" s="624"/>
      <c r="AN34" s="624"/>
      <c r="AO34" s="624"/>
      <c r="AP34" s="624"/>
      <c r="AQ34" s="624"/>
      <c r="AR34" s="624"/>
      <c r="AS34" s="624"/>
      <c r="AT34" s="625"/>
      <c r="AU34" s="625"/>
      <c r="AV34" s="625"/>
      <c r="AW34" s="625"/>
      <c r="AX34" s="625"/>
      <c r="AY34" s="625"/>
      <c r="AZ34" s="625"/>
      <c r="BA34" s="625"/>
      <c r="BB34" s="625"/>
      <c r="BC34" s="625"/>
      <c r="BD34" s="625"/>
      <c r="BE34" s="625"/>
    </row>
    <row r="35" spans="1:57">
      <c r="A35" s="82"/>
      <c r="B35" s="82"/>
      <c r="C35" s="81"/>
      <c r="D35" s="81"/>
      <c r="E35" s="81"/>
      <c r="F35" s="81"/>
      <c r="G35" s="445"/>
      <c r="H35" s="445"/>
      <c r="I35" s="1"/>
      <c r="M35" s="424" t="str">
        <f>'Конфигурация TREI'!A36</f>
        <v>BR34</v>
      </c>
      <c r="N35" s="424" t="str">
        <f>'Конфигурация TREI'!B36</f>
        <v>M558D</v>
      </c>
      <c r="AE35" s="505"/>
      <c r="AF35" s="505"/>
      <c r="AG35" s="505"/>
      <c r="AH35" s="505"/>
      <c r="AI35" s="505"/>
      <c r="AJ35" s="505"/>
      <c r="AK35" s="505"/>
      <c r="AL35" s="505"/>
      <c r="AM35" s="505"/>
      <c r="AN35" s="505"/>
      <c r="AO35" s="505"/>
      <c r="AP35" s="505"/>
      <c r="AQ35" s="505"/>
      <c r="AR35" s="505"/>
      <c r="AS35" s="505"/>
      <c r="AT35" s="623"/>
      <c r="AU35" s="623"/>
      <c r="AV35" s="623"/>
      <c r="AW35" s="623"/>
      <c r="AX35" s="623"/>
      <c r="AY35" s="623"/>
      <c r="AZ35" s="623"/>
      <c r="BA35" s="623"/>
      <c r="BB35" s="623"/>
      <c r="BC35" s="623"/>
      <c r="BD35" s="623"/>
      <c r="BE35" s="623"/>
    </row>
    <row r="36" spans="1:57">
      <c r="A36" s="82"/>
      <c r="B36" s="82"/>
      <c r="C36" s="81"/>
      <c r="D36" s="81"/>
      <c r="E36" s="81"/>
      <c r="F36" s="81"/>
      <c r="G36" s="445"/>
      <c r="H36" s="445"/>
      <c r="I36" s="1"/>
      <c r="M36" s="424" t="str">
        <f>'Конфигурация TREI'!A37</f>
        <v>BR35</v>
      </c>
      <c r="N36" s="424" t="str">
        <f>'Конфигурация TREI'!B37</f>
        <v>M558D</v>
      </c>
      <c r="AE36" s="505"/>
      <c r="AF36" s="505"/>
      <c r="AG36" s="505"/>
      <c r="AH36" s="505"/>
      <c r="AI36" s="505"/>
      <c r="AJ36" s="505"/>
      <c r="AK36" s="505"/>
      <c r="AL36" s="505"/>
      <c r="AM36" s="505"/>
      <c r="AN36" s="505"/>
      <c r="AO36" s="505"/>
      <c r="AP36" s="505"/>
      <c r="AQ36" s="505"/>
      <c r="AR36" s="505"/>
      <c r="AS36" s="505"/>
      <c r="AT36" s="623"/>
      <c r="AU36" s="623"/>
      <c r="AV36" s="623"/>
      <c r="AW36" s="623"/>
      <c r="AX36" s="623"/>
      <c r="AY36" s="623"/>
      <c r="AZ36" s="623"/>
      <c r="BA36" s="623"/>
      <c r="BB36" s="623"/>
      <c r="BC36" s="623"/>
      <c r="BD36" s="623"/>
      <c r="BE36" s="623"/>
    </row>
    <row r="37" spans="1:57" ht="15.75" customHeight="1">
      <c r="A37" s="82"/>
      <c r="B37" s="82"/>
      <c r="C37" s="81"/>
      <c r="D37" s="81"/>
      <c r="E37" s="81"/>
      <c r="F37" s="81"/>
      <c r="G37" s="445"/>
      <c r="H37" s="445"/>
      <c r="I37" s="1"/>
      <c r="M37" s="424" t="str">
        <f>'Конфигурация TREI'!A38</f>
        <v>BR36</v>
      </c>
      <c r="N37" s="424">
        <f>'Конфигурация TREI'!B38</f>
        <v>0</v>
      </c>
      <c r="AE37" s="505"/>
      <c r="AF37" s="505"/>
      <c r="AG37" s="505"/>
      <c r="AH37" s="505"/>
      <c r="AI37" s="505"/>
      <c r="AJ37" s="505"/>
      <c r="AK37" s="505"/>
      <c r="AL37" s="505"/>
      <c r="AM37" s="505"/>
      <c r="AN37" s="505"/>
      <c r="AO37" s="505"/>
      <c r="AP37" s="505"/>
      <c r="AQ37" s="505"/>
      <c r="AR37" s="505"/>
      <c r="AS37" s="505"/>
      <c r="AT37" s="623"/>
      <c r="AU37" s="623"/>
      <c r="AV37" s="623"/>
      <c r="AW37" s="623"/>
      <c r="AX37" s="623"/>
      <c r="AY37" s="623"/>
      <c r="AZ37" s="623"/>
      <c r="BA37" s="623"/>
      <c r="BB37" s="623"/>
      <c r="BC37" s="623"/>
      <c r="BD37" s="623"/>
      <c r="BE37" s="623"/>
    </row>
    <row r="38" spans="1:57">
      <c r="A38" s="82"/>
      <c r="B38" s="82"/>
      <c r="C38" s="81"/>
      <c r="D38" s="81"/>
      <c r="E38" s="81"/>
      <c r="F38" s="81"/>
      <c r="G38" s="445"/>
      <c r="H38" s="445"/>
      <c r="I38" s="1"/>
      <c r="M38" s="424" t="str">
        <f>'Конфигурация TREI'!A39</f>
        <v>BR37</v>
      </c>
      <c r="N38" s="424">
        <f>'Конфигурация TREI'!B39</f>
        <v>0</v>
      </c>
      <c r="AE38" s="505"/>
      <c r="AF38" s="505"/>
      <c r="AG38" s="505"/>
      <c r="AH38" s="505"/>
      <c r="AI38" s="505"/>
      <c r="AJ38" s="505"/>
      <c r="AK38" s="505"/>
      <c r="AL38" s="505"/>
      <c r="AM38" s="505"/>
      <c r="AN38" s="505"/>
      <c r="AO38" s="505"/>
      <c r="AP38" s="505"/>
      <c r="AQ38" s="505"/>
      <c r="AR38" s="505"/>
      <c r="AS38" s="505"/>
      <c r="AT38" s="623"/>
      <c r="AU38" s="623"/>
      <c r="AV38" s="623"/>
      <c r="AW38" s="623"/>
      <c r="AX38" s="623"/>
      <c r="AY38" s="623"/>
      <c r="AZ38" s="623"/>
      <c r="BA38" s="623"/>
      <c r="BB38" s="623"/>
      <c r="BC38" s="623"/>
      <c r="BD38" s="623"/>
      <c r="BE38" s="623"/>
    </row>
    <row r="39" spans="1:57">
      <c r="A39" s="82"/>
      <c r="B39" s="82"/>
      <c r="C39" s="81"/>
      <c r="D39" s="81"/>
      <c r="E39" s="81"/>
      <c r="F39" s="81"/>
      <c r="G39" s="445"/>
      <c r="H39" s="445"/>
      <c r="I39" s="1"/>
      <c r="M39" s="424" t="str">
        <f>'Конфигурация TREI'!A40</f>
        <v>BR38</v>
      </c>
      <c r="N39" s="424">
        <f>'Конфигурация TREI'!B40</f>
        <v>0</v>
      </c>
      <c r="AE39" s="505"/>
      <c r="AF39" s="505"/>
      <c r="AG39" s="505"/>
      <c r="AH39" s="505"/>
      <c r="AI39" s="505"/>
      <c r="AJ39" s="505"/>
      <c r="AK39" s="505"/>
      <c r="AL39" s="505"/>
      <c r="AM39" s="505"/>
      <c r="AN39" s="505"/>
      <c r="AO39" s="505"/>
      <c r="AP39" s="505"/>
      <c r="AQ39" s="505"/>
      <c r="AR39" s="505"/>
      <c r="AS39" s="505"/>
      <c r="AT39" s="623"/>
      <c r="AU39" s="623"/>
      <c r="AV39" s="623"/>
      <c r="AW39" s="623"/>
      <c r="AX39" s="623"/>
      <c r="AY39" s="623"/>
      <c r="AZ39" s="623"/>
      <c r="BA39" s="623"/>
      <c r="BB39" s="623"/>
      <c r="BC39" s="623"/>
      <c r="BD39" s="623"/>
      <c r="BE39" s="623"/>
    </row>
    <row r="40" spans="1:57">
      <c r="A40" s="82"/>
      <c r="B40" s="82"/>
      <c r="C40" s="81"/>
      <c r="D40" s="81"/>
      <c r="E40" s="81"/>
      <c r="F40" s="81"/>
      <c r="G40" s="445"/>
      <c r="H40" s="445"/>
      <c r="I40" s="1"/>
      <c r="M40" s="424" t="str">
        <f>'Конфигурация TREI'!A41</f>
        <v>BR39</v>
      </c>
      <c r="N40" s="424">
        <f>'Конфигурация TREI'!B41</f>
        <v>0</v>
      </c>
      <c r="AE40" s="505"/>
      <c r="AF40" s="505"/>
      <c r="AG40" s="505"/>
      <c r="AH40" s="505"/>
      <c r="AI40" s="505"/>
      <c r="AJ40" s="505"/>
      <c r="AK40" s="505"/>
      <c r="AL40" s="505"/>
      <c r="AM40" s="505"/>
      <c r="AN40" s="505"/>
      <c r="AO40" s="505"/>
      <c r="AP40" s="505"/>
      <c r="AQ40" s="505"/>
      <c r="AR40" s="505"/>
      <c r="AS40" s="505"/>
      <c r="AT40" s="623"/>
      <c r="AU40" s="623"/>
      <c r="AV40" s="623"/>
      <c r="AW40" s="623"/>
      <c r="AX40" s="623"/>
      <c r="AY40" s="623"/>
      <c r="AZ40" s="623"/>
      <c r="BA40" s="623"/>
      <c r="BB40" s="623"/>
      <c r="BC40" s="623"/>
      <c r="BD40" s="623"/>
      <c r="BE40" s="623"/>
    </row>
    <row r="41" spans="1:57">
      <c r="A41" s="82"/>
      <c r="B41" s="82"/>
      <c r="C41" s="81"/>
      <c r="D41" s="81"/>
      <c r="E41" s="81"/>
      <c r="F41" s="81"/>
      <c r="G41" s="445"/>
      <c r="H41" s="445"/>
      <c r="I41" s="1"/>
      <c r="M41" s="424" t="str">
        <f>'Конфигурация TREI'!A42</f>
        <v>BR40</v>
      </c>
      <c r="N41" s="424">
        <f>'Конфигурация TREI'!B42</f>
        <v>0</v>
      </c>
      <c r="AE41" s="505"/>
      <c r="AF41" s="505"/>
      <c r="AG41" s="505"/>
      <c r="AH41" s="505"/>
      <c r="AI41" s="505"/>
      <c r="AJ41" s="505"/>
      <c r="AK41" s="505"/>
      <c r="AL41" s="505"/>
      <c r="AM41" s="505"/>
      <c r="AN41" s="505"/>
      <c r="AO41" s="505"/>
      <c r="AP41" s="505"/>
      <c r="AQ41" s="505"/>
      <c r="AR41" s="505"/>
      <c r="AS41" s="505"/>
      <c r="AT41" s="623"/>
      <c r="AU41" s="623"/>
      <c r="AV41" s="623"/>
      <c r="AW41" s="623"/>
      <c r="AX41" s="623"/>
      <c r="AY41" s="623"/>
      <c r="AZ41" s="623"/>
      <c r="BA41" s="623"/>
      <c r="BB41" s="623"/>
      <c r="BC41" s="623"/>
      <c r="BD41" s="623"/>
      <c r="BE41" s="623"/>
    </row>
    <row r="42" spans="1:57">
      <c r="M42" s="424" t="str">
        <f>'Конфигурация TREI'!A43</f>
        <v>BR41</v>
      </c>
      <c r="N42" s="424">
        <f>'Конфигурация TREI'!B43</f>
        <v>0</v>
      </c>
    </row>
    <row r="43" spans="1:57">
      <c r="M43" s="424" t="str">
        <f>'Конфигурация TREI'!A44</f>
        <v>BR42</v>
      </c>
      <c r="N43" s="424">
        <f>'Конфигурация TREI'!B44</f>
        <v>0</v>
      </c>
    </row>
    <row r="44" spans="1:57">
      <c r="M44" s="424" t="str">
        <f>'Конфигурация TREI'!A45</f>
        <v>BR43</v>
      </c>
      <c r="N44" s="424">
        <f>'Конфигурация TREI'!B45</f>
        <v>0</v>
      </c>
    </row>
    <row r="45" spans="1:57">
      <c r="M45" s="424" t="str">
        <f>'Конфигурация TREI'!A46</f>
        <v>BR44</v>
      </c>
      <c r="N45" s="424">
        <f>'Конфигурация TREI'!B46</f>
        <v>0</v>
      </c>
    </row>
    <row r="46" spans="1:57">
      <c r="M46" s="424" t="str">
        <f>'Конфигурация TREI'!A47</f>
        <v>BR45</v>
      </c>
      <c r="N46" s="424">
        <f>'Конфигурация TREI'!B47</f>
        <v>0</v>
      </c>
    </row>
    <row r="47" spans="1:57">
      <c r="M47" s="424" t="str">
        <f>'Конфигурация TREI'!A48</f>
        <v>BR46</v>
      </c>
      <c r="N47" s="424">
        <f>'Конфигурация TREI'!B48</f>
        <v>0</v>
      </c>
    </row>
    <row r="48" spans="1:57">
      <c r="M48" s="424" t="str">
        <f>'Конфигурация TREI'!A49</f>
        <v>BR47</v>
      </c>
      <c r="N48" s="424">
        <f>'Конфигурация TREI'!B49</f>
        <v>0</v>
      </c>
    </row>
    <row r="49" spans="13:14">
      <c r="M49" s="424" t="str">
        <f>'Конфигурация TREI'!A50</f>
        <v>BR48</v>
      </c>
      <c r="N49" s="424">
        <f>'Конфигурация TREI'!B50</f>
        <v>0</v>
      </c>
    </row>
    <row r="50" spans="13:14">
      <c r="M50" s="424" t="str">
        <f>'Конфигурация TREI'!A51</f>
        <v>BR49</v>
      </c>
      <c r="N50" s="424">
        <f>'Конфигурация TREI'!B51</f>
        <v>0</v>
      </c>
    </row>
    <row r="51" spans="13:14">
      <c r="M51" s="424" t="str">
        <f>'Конфигурация TREI'!A52</f>
        <v>BR50</v>
      </c>
      <c r="N51" s="424">
        <f>'Конфигурация TREI'!B52</f>
        <v>0</v>
      </c>
    </row>
    <row r="52" spans="13:14">
      <c r="M52" s="424" t="str">
        <f>'Конфигурация TREI'!A53</f>
        <v>BR51</v>
      </c>
      <c r="N52" s="424">
        <f>'Конфигурация TREI'!B53</f>
        <v>0</v>
      </c>
    </row>
    <row r="53" spans="13:14">
      <c r="M53" s="424" t="str">
        <f>'Конфигурация TREI'!A54</f>
        <v>BR52</v>
      </c>
      <c r="N53" s="424">
        <f>'Конфигурация TREI'!B54</f>
        <v>0</v>
      </c>
    </row>
    <row r="54" spans="13:14">
      <c r="M54" s="424" t="str">
        <f>'Конфигурация TREI'!A55</f>
        <v>BR53</v>
      </c>
      <c r="N54" s="424">
        <f>'Конфигурация TREI'!B55</f>
        <v>0</v>
      </c>
    </row>
    <row r="55" spans="13:14">
      <c r="M55" s="424" t="str">
        <f>'Конфигурация TREI'!A56</f>
        <v>BR54</v>
      </c>
      <c r="N55" s="424">
        <f>'Конфигурация TREI'!B56</f>
        <v>0</v>
      </c>
    </row>
    <row r="56" spans="13:14">
      <c r="M56" s="424" t="str">
        <f>'Конфигурация TREI'!A57</f>
        <v>BR55</v>
      </c>
      <c r="N56" s="424">
        <f>'Конфигурация TREI'!B57</f>
        <v>0</v>
      </c>
    </row>
    <row r="57" spans="13:14">
      <c r="M57" s="424" t="str">
        <f>'Конфигурация TREI'!A58</f>
        <v>BR56</v>
      </c>
      <c r="N57" s="424">
        <f>'Конфигурация TREI'!B58</f>
        <v>0</v>
      </c>
    </row>
    <row r="58" spans="13:14">
      <c r="M58" s="424" t="str">
        <f>'Конфигурация TREI'!A59</f>
        <v>BR57</v>
      </c>
      <c r="N58" s="424">
        <f>'Конфигурация TREI'!B59</f>
        <v>0</v>
      </c>
    </row>
    <row r="59" spans="13:14">
      <c r="M59" s="424" t="str">
        <f>'Конфигурация TREI'!A60</f>
        <v>BR58</v>
      </c>
      <c r="N59" s="424">
        <f>'Конфигурация TREI'!B60</f>
        <v>0</v>
      </c>
    </row>
    <row r="60" spans="13:14">
      <c r="M60" s="424" t="str">
        <f>'Конфигурация TREI'!A61</f>
        <v>BR59</v>
      </c>
      <c r="N60" s="424">
        <f>'Конфигурация TREI'!B61</f>
        <v>0</v>
      </c>
    </row>
    <row r="61" spans="13:14">
      <c r="M61" s="424" t="str">
        <f>'Конфигурация TREI'!A62</f>
        <v>BR60</v>
      </c>
      <c r="N61" s="424">
        <f>'Конфигурация TREI'!B62</f>
        <v>0</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sheetPr codeName="Лист118">
    <tabColor theme="2" tint="-0.249977111117893"/>
  </sheetPr>
  <dimension ref="A1:BE61"/>
  <sheetViews>
    <sheetView workbookViewId="0">
      <selection activeCell="D2" sqref="D2:D4"/>
    </sheetView>
  </sheetViews>
  <sheetFormatPr defaultRowHeight="14.4"/>
  <cols>
    <col min="1" max="1" width="35.44140625" customWidth="1"/>
    <col min="2" max="2" width="21.44140625" customWidth="1"/>
    <col min="3" max="3" width="3.44140625" customWidth="1"/>
    <col min="4" max="4" width="1.109375" customWidth="1"/>
    <col min="5" max="5" width="33.44140625" customWidth="1"/>
    <col min="6" max="6" width="17.6640625" customWidth="1"/>
    <col min="7" max="7" width="10.5546875" customWidth="1"/>
    <col min="8" max="8" width="14.33203125" customWidth="1"/>
    <col min="9" max="9" width="11.44140625" customWidth="1"/>
    <col min="10" max="10" width="9.109375" hidden="1" customWidth="1"/>
    <col min="11" max="11" width="10.88671875" customWidth="1"/>
    <col min="12" max="12" width="11.5546875" customWidth="1"/>
    <col min="13" max="15" width="9.109375" customWidth="1"/>
    <col min="16" max="16" width="34.6640625" customWidth="1"/>
    <col min="17" max="17" width="39.33203125" customWidth="1"/>
    <col min="18" max="30" width="26.109375" style="55" customWidth="1"/>
    <col min="31" max="31" width="4.5546875" style="427" customWidth="1"/>
    <col min="32" max="32" width="11.109375" customWidth="1"/>
  </cols>
  <sheetData>
    <row r="1" spans="1:57">
      <c r="A1" s="425"/>
      <c r="B1" s="425"/>
      <c r="C1" s="425"/>
      <c r="D1" s="425"/>
      <c r="E1" s="425"/>
      <c r="F1" s="425"/>
      <c r="G1" s="426" t="s">
        <v>846</v>
      </c>
      <c r="H1" s="426" t="s">
        <v>847</v>
      </c>
      <c r="I1" s="424" t="s">
        <v>1181</v>
      </c>
      <c r="J1" s="425"/>
      <c r="M1" s="424" t="str">
        <f>'Конфигурация TREI'!A1</f>
        <v>№ Модуля</v>
      </c>
      <c r="N1" s="424" t="str">
        <f>'Конфигурация TREI'!B2</f>
        <v>M501E(рез)</v>
      </c>
      <c r="O1" s="425"/>
      <c r="P1" s="425" t="str">
        <f>Таблица!D1</f>
        <v>Префикс для TREI
Тэг ОРС для INFINITY</v>
      </c>
      <c r="Q1" s="425" t="str">
        <f>Таблица!E1</f>
        <v>Комментарий для TREI и INFINITY</v>
      </c>
      <c r="R1" s="452"/>
      <c r="S1" s="452"/>
      <c r="T1" s="452"/>
      <c r="U1" s="452"/>
      <c r="V1" s="452"/>
      <c r="W1" s="452" t="s">
        <v>850</v>
      </c>
      <c r="X1" s="452"/>
      <c r="Y1" s="452"/>
      <c r="Z1" s="452"/>
      <c r="AA1" s="452" t="s">
        <v>854</v>
      </c>
      <c r="AB1" s="452" t="s">
        <v>855</v>
      </c>
      <c r="AC1" s="452"/>
      <c r="AD1" s="453"/>
      <c r="AE1" s="438"/>
      <c r="AF1" s="438">
        <f>Настройки!Q1</f>
        <v>0</v>
      </c>
      <c r="AG1" s="438" t="str">
        <f>Настройки!R1</f>
        <v>M943DR</v>
      </c>
      <c r="AH1" s="438" t="str">
        <f>Настройки!S1</f>
        <v>M942A</v>
      </c>
      <c r="AI1" s="438" t="str">
        <f>Настройки!T1</f>
        <v>M957D</v>
      </c>
      <c r="AJ1" s="438" t="str">
        <f>Настройки!U1</f>
        <v>M957O</v>
      </c>
      <c r="AK1" s="438" t="str">
        <f>Настройки!V1</f>
        <v>M947R</v>
      </c>
      <c r="AL1" s="438" t="str">
        <f>Настройки!W1</f>
        <v>M931V</v>
      </c>
      <c r="AM1" s="438" t="str">
        <f>Настройки!X1</f>
        <v>M931T</v>
      </c>
      <c r="AN1" s="438" t="str">
        <f>Настройки!Y1</f>
        <v>M547A</v>
      </c>
      <c r="AO1" s="438" t="str">
        <f>Настройки!Z1</f>
        <v>M537V</v>
      </c>
      <c r="AP1" s="438" t="str">
        <f>Настройки!AA1</f>
        <v>M557D</v>
      </c>
      <c r="AQ1" s="438" t="str">
        <f>Настройки!AB1</f>
        <v>M557O</v>
      </c>
      <c r="AR1" s="438" t="str">
        <f>Настройки!AC1</f>
        <v>MOPS</v>
      </c>
      <c r="AS1" s="438" t="str">
        <f>Настройки!AD1</f>
        <v>MUPS</v>
      </c>
      <c r="AT1" s="439" t="str">
        <f>Настройки!AB1</f>
        <v>M557O</v>
      </c>
      <c r="AU1" s="439" t="str">
        <f>Настройки!AC1</f>
        <v>MOPS</v>
      </c>
      <c r="AV1" s="439" t="str">
        <f>Настройки!AD1</f>
        <v>MUPS</v>
      </c>
      <c r="AW1" s="439" t="str">
        <f>Настройки!AE1</f>
        <v>M941A</v>
      </c>
      <c r="AX1" s="439" t="str">
        <f>Настройки!AF1</f>
        <v>M954D</v>
      </c>
      <c r="AY1" s="439" t="str">
        <f>Настройки!AG1</f>
        <v>M557DR</v>
      </c>
      <c r="AZ1" s="439" t="str">
        <f>Настройки!AH1</f>
        <v>M558D</v>
      </c>
      <c r="BA1" s="439" t="str">
        <f>Настройки!AI1</f>
        <v>M558O</v>
      </c>
      <c r="BB1" s="439" t="str">
        <f>Настройки!AJ1</f>
        <v>M548A</v>
      </c>
      <c r="BC1" s="439" t="str">
        <f>Настройки!AK1</f>
        <v>M538V</v>
      </c>
      <c r="BD1" s="439" t="str">
        <f>Настройки!AL1</f>
        <v>M558DR</v>
      </c>
      <c r="BE1" s="439" t="str">
        <f>Настройки!AM1</f>
        <v>*</v>
      </c>
    </row>
    <row r="2" spans="1:57">
      <c r="A2" s="446" t="str">
        <f>"//*********** "&amp;Q2&amp;" ***********"</f>
        <v>//*********** BMRZ ***********</v>
      </c>
      <c r="B2" s="446"/>
      <c r="C2" s="446"/>
      <c r="D2" s="446"/>
      <c r="E2" s="446"/>
      <c r="F2" s="446" t="s">
        <v>1031</v>
      </c>
      <c r="G2" s="447"/>
      <c r="H2" s="447"/>
      <c r="I2" s="459"/>
      <c r="M2" s="424" t="str">
        <f>'Конфигурация TREI'!A3</f>
        <v>BR1</v>
      </c>
      <c r="N2" s="424" t="str">
        <f>'Конфигурация TREI'!B3</f>
        <v>M558D</v>
      </c>
      <c r="P2" s="2" t="s">
        <v>792</v>
      </c>
      <c r="Q2" s="449" t="s">
        <v>332</v>
      </c>
      <c r="R2" s="451"/>
      <c r="S2" s="454"/>
      <c r="T2" s="454"/>
      <c r="U2" s="454"/>
      <c r="V2" s="454"/>
      <c r="W2" s="454" t="s">
        <v>1279</v>
      </c>
      <c r="X2" s="454"/>
      <c r="Y2" s="454"/>
      <c r="Z2" s="454"/>
      <c r="AA2" s="454" t="s">
        <v>1280</v>
      </c>
      <c r="AB2" s="454" t="s">
        <v>1281</v>
      </c>
      <c r="AC2" s="454"/>
      <c r="AD2" s="454"/>
      <c r="AE2" s="431">
        <f>Настройки!P2</f>
        <v>1</v>
      </c>
      <c r="AF2" s="380">
        <f>Настройки!Q2</f>
        <v>0</v>
      </c>
      <c r="AG2" s="380" t="str">
        <f>Настройки!R2</f>
        <v>IDIG_1_1</v>
      </c>
      <c r="AH2" s="380" t="str">
        <f>Настройки!S2</f>
        <v>IANS_1_3</v>
      </c>
      <c r="AI2" s="380" t="str">
        <f>Настройки!T2</f>
        <v>out0</v>
      </c>
      <c r="AJ2" s="380" t="str">
        <f>Настройки!U2</f>
        <v>out0</v>
      </c>
      <c r="AK2" s="380" t="str">
        <f>Настройки!V2</f>
        <v>ODIG_1</v>
      </c>
      <c r="AL2" s="380" t="str">
        <f>Настройки!W2</f>
        <v>OAN_1_1</v>
      </c>
      <c r="AM2" s="380" t="str">
        <f>Настройки!X2</f>
        <v>IANS_1_1</v>
      </c>
      <c r="AN2" s="380" t="str">
        <f>Настройки!Y2</f>
        <v>Canal_01</v>
      </c>
      <c r="AO2" s="380" t="str">
        <f>Настройки!Z2</f>
        <v>Canal_01</v>
      </c>
      <c r="AP2" s="380" t="str">
        <f>Настройки!AA2</f>
        <v>Canal_01</v>
      </c>
      <c r="AQ2" s="380" t="str">
        <f>Настройки!AB2</f>
        <v>Canal_01</v>
      </c>
      <c r="AR2" s="380" t="str">
        <f>Настройки!AC2</f>
        <v>IVXX[0]</v>
      </c>
      <c r="AS2" s="380" t="str">
        <f>Настройки!AD2</f>
        <v>IVXX[0]</v>
      </c>
      <c r="AT2" s="207" t="str">
        <f>Настройки!AB2</f>
        <v>Canal_01</v>
      </c>
      <c r="AU2" s="207" t="str">
        <f>Настройки!AC2</f>
        <v>IVXX[0]</v>
      </c>
      <c r="AV2" s="207" t="str">
        <f>Настройки!AD2</f>
        <v>IVXX[0]</v>
      </c>
      <c r="AW2" s="207" t="str">
        <f>Настройки!AE2</f>
        <v>IANS_1_1</v>
      </c>
      <c r="AX2" s="207" t="str">
        <f>Настройки!AF2</f>
        <v>IDIG_1_1</v>
      </c>
      <c r="AY2" s="207" t="str">
        <f>Настройки!AG2</f>
        <v>Canal_01</v>
      </c>
      <c r="AZ2" s="207" t="str">
        <f>Настройки!AH2</f>
        <v>Canal_01</v>
      </c>
      <c r="BA2" s="207" t="str">
        <f>Настройки!AI2</f>
        <v>Canal_01</v>
      </c>
      <c r="BB2" s="207" t="str">
        <f>Настройки!AJ2</f>
        <v>Canal_01</v>
      </c>
      <c r="BC2" s="207" t="str">
        <f>Настройки!AK2</f>
        <v>Canal_01</v>
      </c>
      <c r="BD2" s="207" t="str">
        <f>Настройки!AL2</f>
        <v>Canal_01</v>
      </c>
      <c r="BE2" s="207" t="str">
        <f>Настройки!AM2</f>
        <v>-</v>
      </c>
    </row>
    <row r="3" spans="1:57">
      <c r="A3" s="82"/>
      <c r="B3" s="82"/>
      <c r="C3" s="81"/>
      <c r="D3" s="81"/>
      <c r="E3" s="448" t="str">
        <f ca="1">IF(LEFT(E6,3)="out","INT_TO_BIT_BR"&amp;C6&amp;"(BR"&amp;C6&amp;".IDIG_MASK)","УДАЛИТЬ")</f>
        <v>УДАЛИТЬ</v>
      </c>
      <c r="F3" s="446" t="s">
        <v>845</v>
      </c>
      <c r="G3" s="447"/>
      <c r="H3" s="447"/>
      <c r="I3" s="459"/>
      <c r="M3" s="424" t="str">
        <f>'Конфигурация TREI'!A4</f>
        <v>BR2</v>
      </c>
      <c r="N3" s="424" t="str">
        <f>'Конфигурация TREI'!B4</f>
        <v>M548A</v>
      </c>
      <c r="P3" s="425" t="str">
        <f>'Конфигурация TREI'!D1</f>
        <v>Путь TREI для сигналов NOT_LINK</v>
      </c>
      <c r="R3" s="450"/>
      <c r="S3" s="454" t="str">
        <f>SUBSTITUTE(SUBSTITUTE($S$2,"!","")," ","")</f>
        <v/>
      </c>
      <c r="T3" s="454" t="str">
        <f>SUBSTITUTE(SUBSTITUTE($T$2,"!","")," ","")</f>
        <v/>
      </c>
      <c r="U3" s="454" t="str">
        <f>SUBSTITUTE(SUBSTITUTE($U$2,"!","")," ","")</f>
        <v/>
      </c>
      <c r="V3" s="454" t="str">
        <f>SUBSTITUTE(SUBSTITUTE($V$2,"!","")," ","")</f>
        <v/>
      </c>
      <c r="W3" s="454" t="str">
        <f>SUBSTITUTE(SUBSTITUTE($W$2,"!","")," ","")</f>
        <v>6+11</v>
      </c>
      <c r="X3" s="454" t="str">
        <f>SUBSTITUTE(SUBSTITUTE($X$2,"!","")," ","")</f>
        <v/>
      </c>
      <c r="Y3" s="454" t="str">
        <f>SUBSTITUTE(SUBSTITUTE($Y$2,"!","")," ","")</f>
        <v/>
      </c>
      <c r="Z3" s="454" t="str">
        <f>SUBSTITUTE(SUBSTITUTE($Z$2,"!","")," ","")</f>
        <v/>
      </c>
      <c r="AA3" s="454" t="str">
        <f>SUBSTITUTE(SUBSTITUTE($AA$2,"!","")," ","")</f>
        <v>6+21</v>
      </c>
      <c r="AB3" s="454" t="str">
        <f>SUBSTITUTE(SUBSTITUTE($AB$2,"!","")," ","")</f>
        <v>6+26</v>
      </c>
      <c r="AC3" s="454" t="str">
        <f>SUBSTITUTE(SUBSTITUTE($AC$2,"!","")," ","")</f>
        <v/>
      </c>
      <c r="AD3" s="454"/>
      <c r="AE3" s="431">
        <f>Настройки!P3</f>
        <v>2</v>
      </c>
      <c r="AF3" s="380">
        <f>Настройки!Q3</f>
        <v>0</v>
      </c>
      <c r="AG3" s="380" t="str">
        <f>Настройки!R3</f>
        <v>IDIG_1_2</v>
      </c>
      <c r="AH3" s="380" t="str">
        <f>Настройки!S3</f>
        <v>IANS_1_4</v>
      </c>
      <c r="AI3" s="380" t="str">
        <f>Настройки!T3</f>
        <v>out1</v>
      </c>
      <c r="AJ3" s="380" t="str">
        <f>Настройки!U3</f>
        <v>out1</v>
      </c>
      <c r="AK3" s="380" t="str">
        <f>Настройки!V3</f>
        <v>ODIG_2</v>
      </c>
      <c r="AL3" s="380" t="str">
        <f>Настройки!W3</f>
        <v>OAN_2_1</v>
      </c>
      <c r="AM3" s="380" t="str">
        <f>Настройки!X3</f>
        <v>IANS_2_1</v>
      </c>
      <c r="AN3" s="380" t="str">
        <f>Настройки!Y3</f>
        <v>Canal_02</v>
      </c>
      <c r="AO3" s="380" t="str">
        <f>Настройки!Z3</f>
        <v>Canal_02</v>
      </c>
      <c r="AP3" s="380" t="str">
        <f>Настройки!AA3</f>
        <v>Canal_02</v>
      </c>
      <c r="AQ3" s="380" t="str">
        <f>Настройки!AB3</f>
        <v>Canal_02</v>
      </c>
      <c r="AR3" s="380" t="str">
        <f>Настройки!AC3</f>
        <v>IVXX[1]</v>
      </c>
      <c r="AS3" s="380" t="str">
        <f>Настройки!AD3</f>
        <v>IVXX[1]</v>
      </c>
      <c r="AT3" s="207" t="str">
        <f>Настройки!AB3</f>
        <v>Canal_02</v>
      </c>
      <c r="AU3" s="207" t="str">
        <f>Настройки!AC3</f>
        <v>IVXX[1]</v>
      </c>
      <c r="AV3" s="207" t="str">
        <f>Настройки!AD3</f>
        <v>IVXX[1]</v>
      </c>
      <c r="AW3" s="207" t="str">
        <f>Настройки!AE3</f>
        <v>IANS_1_2</v>
      </c>
      <c r="AX3" s="207" t="str">
        <f>Настройки!AF3</f>
        <v>IDIG_1_2</v>
      </c>
      <c r="AY3" s="207" t="str">
        <f>Настройки!AG3</f>
        <v>Canal_02</v>
      </c>
      <c r="AZ3" s="207" t="str">
        <f>Настройки!AH3</f>
        <v>Canal_02</v>
      </c>
      <c r="BA3" s="207" t="str">
        <f>Настройки!AI3</f>
        <v>Canal_02</v>
      </c>
      <c r="BB3" s="207" t="str">
        <f>Настройки!AJ3</f>
        <v>Canal_02</v>
      </c>
      <c r="BC3" s="207" t="str">
        <f>Настройки!AK3</f>
        <v>Canal_02</v>
      </c>
      <c r="BD3" s="207" t="str">
        <f>Настройки!AL3</f>
        <v>Canal_02</v>
      </c>
      <c r="BE3" s="207" t="str">
        <f>Настройки!AM3</f>
        <v>-</v>
      </c>
    </row>
    <row r="4" spans="1:57">
      <c r="A4" s="82"/>
      <c r="B4" s="82"/>
      <c r="C4" s="81"/>
      <c r="D4" s="81"/>
      <c r="E4" s="448" t="str">
        <f ca="1">IF(LEFT(E7,3)="out","INT_TO_BIT_BR"&amp;C7&amp;"(BR"&amp;C7&amp;".IDIG_MASK)","УДАЛИТЬ")</f>
        <v>УДАЛИТЬ</v>
      </c>
      <c r="F4" s="446" t="s">
        <v>845</v>
      </c>
      <c r="G4" s="447"/>
      <c r="H4" s="447"/>
      <c r="I4" s="459"/>
      <c r="M4" s="424" t="str">
        <f>'Конфигурация TREI'!A5</f>
        <v>BR3</v>
      </c>
      <c r="N4" s="424" t="str">
        <f>'Конфигурация TREI'!B5</f>
        <v>M548A</v>
      </c>
      <c r="P4" s="3" t="str">
        <f>Настройки!D2</f>
        <v/>
      </c>
      <c r="AE4" s="431">
        <f>Настройки!P4</f>
        <v>3</v>
      </c>
      <c r="AF4" s="380">
        <f>Настройки!Q4</f>
        <v>0</v>
      </c>
      <c r="AG4" s="380" t="str">
        <f>Настройки!R4</f>
        <v>IDIG_2_1</v>
      </c>
      <c r="AH4" s="380" t="str">
        <f>Настройки!S4</f>
        <v>IANS_2_3</v>
      </c>
      <c r="AI4" s="380" t="str">
        <f>Настройки!T4</f>
        <v>out2</v>
      </c>
      <c r="AJ4" s="380" t="str">
        <f>Настройки!U4</f>
        <v>out2</v>
      </c>
      <c r="AK4" s="380" t="str">
        <f>Настройки!V4</f>
        <v>ODIG_3</v>
      </c>
      <c r="AL4" s="380" t="str">
        <f>Настройки!W4</f>
        <v>OAN_3_1</v>
      </c>
      <c r="AM4" s="380" t="str">
        <f>Настройки!X4</f>
        <v>IANS_3_1</v>
      </c>
      <c r="AN4" s="380" t="str">
        <f>Настройки!Y4</f>
        <v>Canal_03</v>
      </c>
      <c r="AO4" s="380" t="str">
        <f>Настройки!Z4</f>
        <v>Canal_03</v>
      </c>
      <c r="AP4" s="380" t="str">
        <f>Настройки!AA4</f>
        <v>Canal_03</v>
      </c>
      <c r="AQ4" s="380" t="str">
        <f>Настройки!AB4</f>
        <v>Canal_03</v>
      </c>
      <c r="AR4" s="380" t="str">
        <f>Настройки!AC4</f>
        <v>IVXX[2]</v>
      </c>
      <c r="AS4" s="380" t="str">
        <f>Настройки!AD4</f>
        <v>IVXX[2]</v>
      </c>
      <c r="AT4" s="207" t="str">
        <f>Настройки!AB4</f>
        <v>Canal_03</v>
      </c>
      <c r="AU4" s="207" t="str">
        <f>Настройки!AC4</f>
        <v>IVXX[2]</v>
      </c>
      <c r="AV4" s="207" t="str">
        <f>Настройки!AD4</f>
        <v>IVXX[2]</v>
      </c>
      <c r="AW4" s="207" t="str">
        <f>Настройки!AE4</f>
        <v>IANS_2_1</v>
      </c>
      <c r="AX4" s="207" t="str">
        <f>Настройки!AF4</f>
        <v>IDIG_1_3</v>
      </c>
      <c r="AY4" s="207" t="str">
        <f>Настройки!AG4</f>
        <v>Canal_03</v>
      </c>
      <c r="AZ4" s="207" t="str">
        <f>Настройки!AH4</f>
        <v>Canal_03</v>
      </c>
      <c r="BA4" s="207" t="str">
        <f>Настройки!AI4</f>
        <v>Canal_03</v>
      </c>
      <c r="BB4" s="207" t="str">
        <f>Настройки!AJ4</f>
        <v>Canal_03</v>
      </c>
      <c r="BC4" s="207" t="str">
        <f>Настройки!AK4</f>
        <v>Canal_03</v>
      </c>
      <c r="BD4" s="207" t="str">
        <f>Настройки!AL4</f>
        <v>Canal_03</v>
      </c>
      <c r="BE4" s="207" t="str">
        <f>Настройки!AM4</f>
        <v>-</v>
      </c>
    </row>
    <row r="5" spans="1:57">
      <c r="A5" s="82"/>
      <c r="B5" s="82"/>
      <c r="C5" s="81"/>
      <c r="D5" s="81"/>
      <c r="E5" s="448" t="str">
        <f ca="1">IF(LEFT(E8,3)="out","INT_TO_BIT_BR"&amp;C8&amp;"(BR"&amp;C8&amp;".IDIG_MASK)","УДАЛИТЬ")</f>
        <v>УДАЛИТЬ</v>
      </c>
      <c r="F5" s="446" t="s">
        <v>845</v>
      </c>
      <c r="G5" s="447"/>
      <c r="H5" s="447"/>
      <c r="I5" s="459"/>
      <c r="M5" s="424" t="str">
        <f>'Конфигурация TREI'!A6</f>
        <v>BR4</v>
      </c>
      <c r="N5" s="424" t="str">
        <f>'Конфигурация TREI'!B6</f>
        <v>M558D</v>
      </c>
      <c r="AE5" s="431">
        <f>Настройки!P5</f>
        <v>4</v>
      </c>
      <c r="AF5" s="380">
        <f>Настройки!Q5</f>
        <v>0</v>
      </c>
      <c r="AG5" s="380" t="str">
        <f>Настройки!R5</f>
        <v>IDIG_2_2</v>
      </c>
      <c r="AH5" s="380" t="str">
        <f>Настройки!S5</f>
        <v>IANS_2_4</v>
      </c>
      <c r="AI5" s="380" t="str">
        <f>Настройки!T5</f>
        <v>out3</v>
      </c>
      <c r="AJ5" s="380" t="str">
        <f>Настройки!U5</f>
        <v>out3</v>
      </c>
      <c r="AK5" s="380" t="str">
        <f>Настройки!V5</f>
        <v>ODIG_4</v>
      </c>
      <c r="AL5" s="380" t="str">
        <f>Настройки!W5</f>
        <v>OAN_4_1</v>
      </c>
      <c r="AM5" s="380" t="str">
        <f>Настройки!X5</f>
        <v>IANS_4_1</v>
      </c>
      <c r="AN5" s="380" t="str">
        <f>Настройки!Y5</f>
        <v>Canal_04</v>
      </c>
      <c r="AO5" s="380" t="str">
        <f>Настройки!Z5</f>
        <v>Canal_04</v>
      </c>
      <c r="AP5" s="380" t="str">
        <f>Настройки!AA5</f>
        <v>Canal_04</v>
      </c>
      <c r="AQ5" s="380" t="str">
        <f>Настройки!AB5</f>
        <v>Canal_04</v>
      </c>
      <c r="AR5" s="380" t="str">
        <f>Настройки!AC5</f>
        <v>IVXX[3]</v>
      </c>
      <c r="AS5" s="380" t="str">
        <f>Настройки!AD5</f>
        <v>IVXX[3]</v>
      </c>
      <c r="AT5" s="207" t="str">
        <f>Настройки!AB5</f>
        <v>Canal_04</v>
      </c>
      <c r="AU5" s="207" t="str">
        <f>Настройки!AC5</f>
        <v>IVXX[3]</v>
      </c>
      <c r="AV5" s="207" t="str">
        <f>Настройки!AD5</f>
        <v>IVXX[3]</v>
      </c>
      <c r="AW5" s="207" t="str">
        <f>Настройки!AE5</f>
        <v>IANS_2_2</v>
      </c>
      <c r="AX5" s="207" t="str">
        <f>Настройки!AF5</f>
        <v>IDIG_1_4</v>
      </c>
      <c r="AY5" s="207" t="str">
        <f>Настройки!AG5</f>
        <v>Canal_04</v>
      </c>
      <c r="AZ5" s="207" t="str">
        <f>Настройки!AH5</f>
        <v>Canal_04</v>
      </c>
      <c r="BA5" s="207" t="str">
        <f>Настройки!AI5</f>
        <v>Canal_04</v>
      </c>
      <c r="BB5" s="207" t="str">
        <f>Настройки!AJ5</f>
        <v>Canal_04</v>
      </c>
      <c r="BC5" s="207" t="str">
        <f>Настройки!AK5</f>
        <v>Canal_04</v>
      </c>
      <c r="BD5" s="207" t="str">
        <f>Настройки!AL5</f>
        <v>Canal_04</v>
      </c>
      <c r="BE5" s="207" t="str">
        <f>Настройки!AM5</f>
        <v>-</v>
      </c>
    </row>
    <row r="6" spans="1:57">
      <c r="A6" s="448" t="str">
        <f>SUBSTITUTE($P$2,"\","|")&amp;"|"&amp; $W$1 &amp;":="&amp;IF(LEFT(SUBSTITUTE($W$2," ",""),1)="!","NOT  ","")</f>
        <v>ZRU_SR_TEL4|IFXX:=</v>
      </c>
      <c r="B6" s="448" t="str">
        <f ca="1">IF(LEFT(E6,3)="out","INT_TO_BIT_BR","BR")</f>
        <v>BR</v>
      </c>
      <c r="C6" s="446" t="str">
        <f>LEFT($W$3,FIND("+",$W$3,1)-1)</f>
        <v>6</v>
      </c>
      <c r="D6" s="446" t="s">
        <v>178</v>
      </c>
      <c r="E6" s="446" t="str">
        <f ca="1">IF($W$2=0,"УДАЛИТЬ",IFERROR(IF(OR($I6="-",$H6="0"),"КАНАЛ ОТСУТСТВУЕТ",IF($I6=0,"МОДУЛЬ ОТСУТСТВУЕТ",$I6)),"ОШИБКА ФОРМАТА"))</f>
        <v>Canal_11</v>
      </c>
      <c r="F6" s="446" t="s">
        <v>845</v>
      </c>
      <c r="G6" s="447" t="str">
        <f>INDEX($N$2:$N$61,C6)</f>
        <v>M558O</v>
      </c>
      <c r="H6" s="447" t="str">
        <f>RIGHT($W$3,LEN($W$3)-FIND("+",$W$3,1))</f>
        <v>11</v>
      </c>
      <c r="I6" s="460" t="str">
        <f ca="1">INDIRECT(ADDRESS($H6+1,MATCH($G6,$1:$1,),1))</f>
        <v>Canal_11</v>
      </c>
      <c r="M6" s="424" t="str">
        <f>'Конфигурация TREI'!A7</f>
        <v>BR5</v>
      </c>
      <c r="N6" s="424" t="str">
        <f>'Конфигурация TREI'!B7</f>
        <v>M558O</v>
      </c>
      <c r="AE6" s="431">
        <f>Настройки!P6</f>
        <v>5</v>
      </c>
      <c r="AF6" s="380">
        <f>Настройки!Q6</f>
        <v>0</v>
      </c>
      <c r="AG6" s="380" t="str">
        <f>Настройки!R6</f>
        <v>IDIG_3_1</v>
      </c>
      <c r="AH6" s="380" t="str">
        <f>Настройки!S6</f>
        <v>IANS_3_3</v>
      </c>
      <c r="AI6" s="380" t="str">
        <f>Настройки!T6</f>
        <v>out4</v>
      </c>
      <c r="AJ6" s="380" t="str">
        <f>Настройки!U6</f>
        <v>out4</v>
      </c>
      <c r="AK6" s="380" t="str">
        <f>Настройки!V6</f>
        <v>ODIG_5</v>
      </c>
      <c r="AL6" s="380" t="str">
        <f>Настройки!W6</f>
        <v>OAN_5_1</v>
      </c>
      <c r="AM6" s="380" t="str">
        <f>Настройки!X6</f>
        <v>IANS_5_1</v>
      </c>
      <c r="AN6" s="380" t="str">
        <f>Настройки!Y6</f>
        <v>Canal_05</v>
      </c>
      <c r="AO6" s="380" t="str">
        <f>Настройки!Z6</f>
        <v>Canal_05</v>
      </c>
      <c r="AP6" s="380" t="str">
        <f>Настройки!AA6</f>
        <v>Canal_05</v>
      </c>
      <c r="AQ6" s="380" t="str">
        <f>Настройки!AB6</f>
        <v>Canal_05</v>
      </c>
      <c r="AR6" s="380" t="str">
        <f>Настройки!AC6</f>
        <v>IVXX[4]</v>
      </c>
      <c r="AS6" s="380" t="str">
        <f>Настройки!AD6</f>
        <v>IVXX[4]</v>
      </c>
      <c r="AT6" s="207" t="str">
        <f>Настройки!AB6</f>
        <v>Canal_05</v>
      </c>
      <c r="AU6" s="207" t="str">
        <f>Настройки!AC6</f>
        <v>IVXX[4]</v>
      </c>
      <c r="AV6" s="207" t="str">
        <f>Настройки!AD6</f>
        <v>IVXX[4]</v>
      </c>
      <c r="AW6" s="207" t="str">
        <f>Настройки!AE6</f>
        <v>IANS_3_1</v>
      </c>
      <c r="AX6" s="207" t="str">
        <f>Настройки!AF6</f>
        <v>IDIG_2_1</v>
      </c>
      <c r="AY6" s="207" t="str">
        <f>Настройки!AG6</f>
        <v>Canal_05</v>
      </c>
      <c r="AZ6" s="207" t="str">
        <f>Настройки!AH6</f>
        <v>Canal_05</v>
      </c>
      <c r="BA6" s="207" t="str">
        <f>Настройки!AI6</f>
        <v>Canal_05</v>
      </c>
      <c r="BB6" s="207" t="str">
        <f>Настройки!AJ6</f>
        <v>Canal_05</v>
      </c>
      <c r="BC6" s="207" t="str">
        <f>Настройки!AK6</f>
        <v>Canal_05</v>
      </c>
      <c r="BD6" s="207" t="str">
        <f>Настройки!AL6</f>
        <v>Canal_05</v>
      </c>
      <c r="BE6" s="207" t="str">
        <f>Настройки!AM6</f>
        <v>-</v>
      </c>
    </row>
    <row r="7" spans="1:57">
      <c r="A7" s="448" t="str">
        <f>SUBSTITUTE($P$2,"\","|")&amp;"|"&amp; $AA$1 &amp;":="&amp;IF(LEFT(SUBSTITUTE($AA$2," ",""),1)="!","NOT  ","")</f>
        <v>ZRU_SR_TEL4|ITON:=</v>
      </c>
      <c r="B7" s="448" t="str">
        <f ca="1">IF(LEFT(E7,3)="out","INT_TO_BIT_BR","BR")</f>
        <v>BR</v>
      </c>
      <c r="C7" s="446" t="str">
        <f>LEFT($AA$3,FIND("+",$AA$3,1)-1)</f>
        <v>6</v>
      </c>
      <c r="D7" s="446" t="s">
        <v>178</v>
      </c>
      <c r="E7" s="446" t="str">
        <f ca="1">IF($AA$2=0,"УДАЛИТЬ",IFERROR(IF(OR($I7="-",$H7="0"),"КАНАЛ ОТСУТСТВУЕТ",IF($I7=0,"МОДУЛЬ ОТСУТСТВУЕТ",$I7)),"ОШИБКА ФОРМАТА"))</f>
        <v>Canal_21</v>
      </c>
      <c r="F7" s="446" t="s">
        <v>845</v>
      </c>
      <c r="G7" s="447" t="str">
        <f>INDEX($N$2:$N$61,C7)</f>
        <v>M558O</v>
      </c>
      <c r="H7" s="447" t="str">
        <f>RIGHT($AA$3,LEN($AA$3)-FIND("+",$AA$3,1))</f>
        <v>21</v>
      </c>
      <c r="I7" s="460" t="str">
        <f ca="1">INDIRECT(ADDRESS($H7+1,MATCH($G7,$1:$1,),1))</f>
        <v>Canal_21</v>
      </c>
      <c r="M7" s="424" t="str">
        <f>'Конфигурация TREI'!A8</f>
        <v>BR6</v>
      </c>
      <c r="N7" s="424" t="str">
        <f>'Конфигурация TREI'!B8</f>
        <v>M558O</v>
      </c>
      <c r="AE7" s="431">
        <f>Настройки!P7</f>
        <v>6</v>
      </c>
      <c r="AF7" s="380">
        <f>Настройки!Q7</f>
        <v>0</v>
      </c>
      <c r="AG7" s="380" t="str">
        <f>Настройки!R7</f>
        <v>IDIG_3_2</v>
      </c>
      <c r="AH7" s="380" t="str">
        <f>Настройки!S7</f>
        <v>IANS_3_4</v>
      </c>
      <c r="AI7" s="380" t="str">
        <f>Настройки!T7</f>
        <v>out5</v>
      </c>
      <c r="AJ7" s="380" t="str">
        <f>Настройки!U7</f>
        <v>out5</v>
      </c>
      <c r="AK7" s="380" t="str">
        <f>Настройки!V7</f>
        <v>ODIG_6</v>
      </c>
      <c r="AL7" s="380" t="str">
        <f>Настройки!W7</f>
        <v>OAN_6_1</v>
      </c>
      <c r="AM7" s="380" t="str">
        <f>Настройки!X7</f>
        <v>IANS_6_1</v>
      </c>
      <c r="AN7" s="380" t="str">
        <f>Настройки!Y7</f>
        <v>Canal_06</v>
      </c>
      <c r="AO7" s="380" t="str">
        <f>Настройки!Z7</f>
        <v>Canal_06</v>
      </c>
      <c r="AP7" s="380" t="str">
        <f>Настройки!AA7</f>
        <v>Canal_06</v>
      </c>
      <c r="AQ7" s="380" t="str">
        <f>Настройки!AB7</f>
        <v>Canal_06</v>
      </c>
      <c r="AR7" s="380" t="str">
        <f>Настройки!AC7</f>
        <v>IVXX[5]</v>
      </c>
      <c r="AS7" s="380" t="str">
        <f>Настройки!AD7</f>
        <v>IVXX[5]</v>
      </c>
      <c r="AT7" s="207" t="str">
        <f>Настройки!AB7</f>
        <v>Canal_06</v>
      </c>
      <c r="AU7" s="207" t="str">
        <f>Настройки!AC7</f>
        <v>IVXX[5]</v>
      </c>
      <c r="AV7" s="207" t="str">
        <f>Настройки!AD7</f>
        <v>IVXX[5]</v>
      </c>
      <c r="AW7" s="207" t="str">
        <f>Настройки!AE7</f>
        <v>IANS_3_2</v>
      </c>
      <c r="AX7" s="207" t="str">
        <f>Настройки!AF7</f>
        <v>IDIG_2_2</v>
      </c>
      <c r="AY7" s="207" t="str">
        <f>Настройки!AG7</f>
        <v>Canal_06</v>
      </c>
      <c r="AZ7" s="207" t="str">
        <f>Настройки!AH7</f>
        <v>Canal_06</v>
      </c>
      <c r="BA7" s="207" t="str">
        <f>Настройки!AI7</f>
        <v>Canal_06</v>
      </c>
      <c r="BB7" s="207" t="str">
        <f>Настройки!AJ7</f>
        <v>Canal_06</v>
      </c>
      <c r="BC7" s="207" t="str">
        <f>Настройки!AK7</f>
        <v>Canal_06</v>
      </c>
      <c r="BD7" s="207" t="str">
        <f>Настройки!AL7</f>
        <v>Canal_06</v>
      </c>
      <c r="BE7" s="207" t="str">
        <f>Настройки!AM7</f>
        <v>-</v>
      </c>
    </row>
    <row r="8" spans="1:57">
      <c r="A8" s="448" t="str">
        <f>SUBSTITUTE($P$2,"\","|")&amp;"|"&amp; $AB$1 &amp;":="&amp;IF(LEFT(SUBSTITUTE($AB$2," ",""),1)="!","NOT  ","")</f>
        <v>ZRU_SR_TEL4|ITOF:=</v>
      </c>
      <c r="B8" s="448" t="str">
        <f ca="1">IF(LEFT(E8,3)="out","INT_TO_BIT_BR","BR")</f>
        <v>BR</v>
      </c>
      <c r="C8" s="446" t="str">
        <f>LEFT($AB$3,FIND("+",$AB$3,1)-1)</f>
        <v>6</v>
      </c>
      <c r="D8" s="446" t="s">
        <v>178</v>
      </c>
      <c r="E8" s="446" t="str">
        <f ca="1">IF($AB$2=0,"УДАЛИТЬ",IFERROR(IF(OR($I8="-",$H8="0"),"КАНАЛ ОТСУТСТВУЕТ",IF($I8=0,"МОДУЛЬ ОТСУТСТВУЕТ",$I8)),"ОШИБКА ФОРМАТА"))</f>
        <v>Canal_26</v>
      </c>
      <c r="F8" s="446" t="s">
        <v>845</v>
      </c>
      <c r="G8" s="447" t="str">
        <f>INDEX($N$2:$N$61,C8)</f>
        <v>M558O</v>
      </c>
      <c r="H8" s="447" t="str">
        <f>RIGHT($AB$3,LEN($AB$3)-FIND("+",$AB$3,1))</f>
        <v>26</v>
      </c>
      <c r="I8" s="460" t="str">
        <f ca="1">INDIRECT(ADDRESS($H8+1,MATCH($G8,$1:$1,),1))</f>
        <v>Canal_26</v>
      </c>
      <c r="M8" s="424" t="str">
        <f>'Конфигурация TREI'!A9</f>
        <v>BR7</v>
      </c>
      <c r="N8" s="424" t="str">
        <f>'Конфигурация TREI'!B9</f>
        <v>M558O</v>
      </c>
      <c r="AE8" s="431">
        <f>Настройки!P8</f>
        <v>7</v>
      </c>
      <c r="AF8" s="380">
        <f>Настройки!Q8</f>
        <v>0</v>
      </c>
      <c r="AG8" s="380" t="str">
        <f>Настройки!R8</f>
        <v>IDIG_4_1</v>
      </c>
      <c r="AH8" s="380" t="str">
        <f>Настройки!S8</f>
        <v>IANS_4_3</v>
      </c>
      <c r="AI8" s="380" t="str">
        <f>Настройки!T8</f>
        <v>out6</v>
      </c>
      <c r="AJ8" s="380" t="str">
        <f>Настройки!U8</f>
        <v>out6</v>
      </c>
      <c r="AK8" s="380" t="str">
        <f>Настройки!V8</f>
        <v>ODIG_7</v>
      </c>
      <c r="AL8" s="380" t="str">
        <f>Настройки!W8</f>
        <v>OAN_7_1</v>
      </c>
      <c r="AM8" s="380" t="str">
        <f>Настройки!X8</f>
        <v>IANS_7_1</v>
      </c>
      <c r="AN8" s="380" t="str">
        <f>Настройки!Y8</f>
        <v>Canal_07</v>
      </c>
      <c r="AO8" s="380" t="str">
        <f>Настройки!Z8</f>
        <v>Canal_07</v>
      </c>
      <c r="AP8" s="380" t="str">
        <f>Настройки!AA8</f>
        <v>Canal_07</v>
      </c>
      <c r="AQ8" s="380" t="str">
        <f>Настройки!AB8</f>
        <v>Canal_07</v>
      </c>
      <c r="AR8" s="380" t="str">
        <f>Настройки!AC8</f>
        <v>IVXX[6]</v>
      </c>
      <c r="AS8" s="380" t="str">
        <f>Настройки!AD8</f>
        <v>IVXX[6]</v>
      </c>
      <c r="AT8" s="207" t="str">
        <f>Настройки!AB8</f>
        <v>Canal_07</v>
      </c>
      <c r="AU8" s="207" t="str">
        <f>Настройки!AC8</f>
        <v>IVXX[6]</v>
      </c>
      <c r="AV8" s="207" t="str">
        <f>Настройки!AD8</f>
        <v>IVXX[6]</v>
      </c>
      <c r="AW8" s="207" t="str">
        <f>Настройки!AE8</f>
        <v>IANS_4_1</v>
      </c>
      <c r="AX8" s="207" t="str">
        <f>Настройки!AF8</f>
        <v>IDIG_2_3</v>
      </c>
      <c r="AY8" s="207" t="str">
        <f>Настройки!AG8</f>
        <v>Canal_07</v>
      </c>
      <c r="AZ8" s="207" t="str">
        <f>Настройки!AH8</f>
        <v>Canal_07</v>
      </c>
      <c r="BA8" s="207" t="str">
        <f>Настройки!AI8</f>
        <v>Canal_07</v>
      </c>
      <c r="BB8" s="207" t="str">
        <f>Настройки!AJ8</f>
        <v>Canal_07</v>
      </c>
      <c r="BC8" s="207" t="str">
        <f>Настройки!AK8</f>
        <v>Canal_07</v>
      </c>
      <c r="BD8" s="207" t="str">
        <f>Настройки!AL8</f>
        <v>Canal_07</v>
      </c>
      <c r="BE8" s="207" t="str">
        <f>Настройки!AM8</f>
        <v>-</v>
      </c>
    </row>
    <row r="9" spans="1:57">
      <c r="A9" s="448" t="str">
        <f>SUBSTITUTE($P$2,"\","|")&amp;"|"&amp;"D"&amp; RIGHT($W$1,3)&amp;":="&amp;P4&amp;"NOT_LINK_BR"</f>
        <v>ZRU_SR_TEL4|DFXX:=NOT_LINK_BR</v>
      </c>
      <c r="B9" s="448"/>
      <c r="C9" s="455"/>
      <c r="D9" s="446"/>
      <c r="E9" s="446" t="str">
        <f>IFERROR(LEFT($W$3,FIND("+",$W$3,1)-1),"УДАЛИТЬ")</f>
        <v>6</v>
      </c>
      <c r="F9" s="446" t="s">
        <v>845</v>
      </c>
      <c r="G9" s="447"/>
      <c r="H9" s="447"/>
      <c r="I9" s="1"/>
      <c r="M9" s="424" t="str">
        <f>'Конфигурация TREI'!A10</f>
        <v>BR8</v>
      </c>
      <c r="N9" s="424" t="str">
        <f>'Конфигурация TREI'!B10</f>
        <v>M558O</v>
      </c>
      <c r="AE9" s="431">
        <f>Настройки!P9</f>
        <v>8</v>
      </c>
      <c r="AF9" s="380">
        <f>Настройки!Q9</f>
        <v>0</v>
      </c>
      <c r="AG9" s="380" t="str">
        <f>Настройки!R9</f>
        <v>IDIG_4_2</v>
      </c>
      <c r="AH9" s="380" t="str">
        <f>Настройки!S9</f>
        <v>IANS_4_4</v>
      </c>
      <c r="AI9" s="380" t="str">
        <f>Настройки!T9</f>
        <v>out7</v>
      </c>
      <c r="AJ9" s="380" t="str">
        <f>Настройки!U9</f>
        <v>out7</v>
      </c>
      <c r="AK9" s="380" t="str">
        <f>Настройки!V9</f>
        <v>ODIG_8</v>
      </c>
      <c r="AL9" s="380" t="str">
        <f>Настройки!W9</f>
        <v>OAN_8_1</v>
      </c>
      <c r="AM9" s="380" t="str">
        <f>Настройки!X9</f>
        <v>IANS_8_1</v>
      </c>
      <c r="AN9" s="380" t="str">
        <f>Настройки!Y9</f>
        <v>Canal_08</v>
      </c>
      <c r="AO9" s="380" t="str">
        <f>Настройки!Z9</f>
        <v>Canal_08</v>
      </c>
      <c r="AP9" s="380" t="str">
        <f>Настройки!AA9</f>
        <v>Canal_08</v>
      </c>
      <c r="AQ9" s="380" t="str">
        <f>Настройки!AB9</f>
        <v>Canal_08</v>
      </c>
      <c r="AR9" s="380" t="str">
        <f>Настройки!AC9</f>
        <v>IVXX[7]</v>
      </c>
      <c r="AS9" s="380" t="str">
        <f>Настройки!AD9</f>
        <v>IVXX[7]</v>
      </c>
      <c r="AT9" s="207" t="str">
        <f>Настройки!AB9</f>
        <v>Canal_08</v>
      </c>
      <c r="AU9" s="207" t="str">
        <f>Настройки!AC9</f>
        <v>IVXX[7]</v>
      </c>
      <c r="AV9" s="207" t="str">
        <f>Настройки!AD9</f>
        <v>IVXX[7]</v>
      </c>
      <c r="AW9" s="207" t="str">
        <f>Настройки!AE9</f>
        <v>IANS_4_2</v>
      </c>
      <c r="AX9" s="207" t="str">
        <f>Настройки!AF9</f>
        <v>IDIG_2_4</v>
      </c>
      <c r="AY9" s="207" t="str">
        <f>Настройки!AG9</f>
        <v>Canal_08</v>
      </c>
      <c r="AZ9" s="207" t="str">
        <f>Настройки!AH9</f>
        <v>Canal_08</v>
      </c>
      <c r="BA9" s="207" t="str">
        <f>Настройки!AI9</f>
        <v>Canal_08</v>
      </c>
      <c r="BB9" s="207" t="str">
        <f>Настройки!AJ9</f>
        <v>Canal_08</v>
      </c>
      <c r="BC9" s="207" t="str">
        <f>Настройки!AK9</f>
        <v>Canal_08</v>
      </c>
      <c r="BD9" s="207" t="str">
        <f>Настройки!AL9</f>
        <v>Canal_08</v>
      </c>
      <c r="BE9" s="207" t="str">
        <f>Настройки!AM9</f>
        <v>-</v>
      </c>
    </row>
    <row r="10" spans="1:57">
      <c r="A10" s="448" t="str">
        <f>SUBSTITUTE($P$2,"\","|")&amp;"|"&amp;"D"&amp; RIGHT($AA$1,3)&amp;":="&amp;P4&amp;"NOT_LINK_BR"</f>
        <v>ZRU_SR_TEL4|DTON:=NOT_LINK_BR</v>
      </c>
      <c r="B10" s="448"/>
      <c r="C10" s="455"/>
      <c r="D10" s="446"/>
      <c r="E10" s="446" t="str">
        <f>IFERROR(LEFT($AA$3,FIND("+",$AA$3,1)-1),"УДАЛИТЬ")</f>
        <v>6</v>
      </c>
      <c r="F10" s="446" t="s">
        <v>845</v>
      </c>
      <c r="G10" s="447"/>
      <c r="H10" s="447"/>
      <c r="I10" s="1"/>
      <c r="M10" s="424" t="str">
        <f>'Конфигурация TREI'!A11</f>
        <v>BR9</v>
      </c>
      <c r="N10" s="424" t="str">
        <f>'Конфигурация TREI'!B11</f>
        <v>M558D</v>
      </c>
      <c r="AE10" s="431">
        <f>Настройки!P10</f>
        <v>9</v>
      </c>
      <c r="AF10" s="380">
        <f>Настройки!Q10</f>
        <v>0</v>
      </c>
      <c r="AG10" s="380" t="str">
        <f>Настройки!R10</f>
        <v>IDIG_5_1</v>
      </c>
      <c r="AH10" s="380" t="str">
        <f>Настройки!S10</f>
        <v>IANS_5_3</v>
      </c>
      <c r="AI10" s="380" t="str">
        <f>Настройки!T10</f>
        <v>out8</v>
      </c>
      <c r="AJ10" s="380" t="str">
        <f>Настройки!U10</f>
        <v>out8</v>
      </c>
      <c r="AK10" s="380" t="str">
        <f>Настройки!V10</f>
        <v>ODIG_9</v>
      </c>
      <c r="AL10" s="380" t="str">
        <f>Настройки!W10</f>
        <v>-</v>
      </c>
      <c r="AM10" s="380" t="str">
        <f>Настройки!X10</f>
        <v>-</v>
      </c>
      <c r="AN10" s="380" t="str">
        <f>Настройки!Y10</f>
        <v>Canal_09</v>
      </c>
      <c r="AO10" s="380" t="str">
        <f>Настройки!Z10</f>
        <v>-</v>
      </c>
      <c r="AP10" s="380" t="str">
        <f>Настройки!AA10</f>
        <v>Canal_09</v>
      </c>
      <c r="AQ10" s="380" t="str">
        <f>Настройки!AB10</f>
        <v>Canal_09</v>
      </c>
      <c r="AR10" s="380" t="str">
        <f>Настройки!AC10</f>
        <v>OCCH[0]</v>
      </c>
      <c r="AS10" s="380" t="str">
        <f>Настройки!AD10</f>
        <v>OCCH[0]</v>
      </c>
      <c r="AT10" s="207" t="str">
        <f>Настройки!AB10</f>
        <v>Canal_09</v>
      </c>
      <c r="AU10" s="207" t="str">
        <f>Настройки!AC10</f>
        <v>OCCH[0]</v>
      </c>
      <c r="AV10" s="207" t="str">
        <f>Настройки!AD10</f>
        <v>OCCH[0]</v>
      </c>
      <c r="AW10" s="207" t="str">
        <f>Настройки!AE10</f>
        <v>IANS_5_1</v>
      </c>
      <c r="AX10" s="207" t="str">
        <f>Настройки!AF10</f>
        <v>IDIG_3_1</v>
      </c>
      <c r="AY10" s="207" t="str">
        <f>Настройки!AG10</f>
        <v>Canal_09</v>
      </c>
      <c r="AZ10" s="207" t="str">
        <f>Настройки!AH10</f>
        <v>Canal_09</v>
      </c>
      <c r="BA10" s="207" t="str">
        <f>Настройки!AI10</f>
        <v>Canal_09</v>
      </c>
      <c r="BB10" s="207" t="str">
        <f>Настройки!AJ10</f>
        <v>Canal_09</v>
      </c>
      <c r="BC10" s="207" t="str">
        <f>Настройки!AK10</f>
        <v>-</v>
      </c>
      <c r="BD10" s="207" t="str">
        <f>Настройки!AL10</f>
        <v>Canal_09</v>
      </c>
      <c r="BE10" s="207" t="str">
        <f>Настройки!AM10</f>
        <v>-</v>
      </c>
    </row>
    <row r="11" spans="1:57">
      <c r="A11" s="448" t="str">
        <f>SUBSTITUTE($P$2,"\","|")&amp;"|"&amp;"D"&amp; RIGHT($AB$1,3)&amp;":="&amp;P4&amp;"NOT_LINK_BR"</f>
        <v>ZRU_SR_TEL4|DTOF:=NOT_LINK_BR</v>
      </c>
      <c r="B11" s="448"/>
      <c r="C11" s="455"/>
      <c r="D11" s="446"/>
      <c r="E11" s="446" t="str">
        <f>IFERROR(LEFT($AB$3,FIND("+",$AB$3,1)-1),"УДАЛИТЬ")</f>
        <v>6</v>
      </c>
      <c r="F11" s="446" t="s">
        <v>845</v>
      </c>
      <c r="G11" s="447"/>
      <c r="H11" s="447"/>
      <c r="I11" s="1"/>
      <c r="M11" s="424" t="str">
        <f>'Конфигурация TREI'!A12</f>
        <v>BR10</v>
      </c>
      <c r="N11" s="424" t="str">
        <f>'Конфигурация TREI'!B12</f>
        <v>M558O</v>
      </c>
      <c r="AE11" s="431">
        <f>Настройки!P11</f>
        <v>10</v>
      </c>
      <c r="AF11" s="380">
        <f>Настройки!Q11</f>
        <v>0</v>
      </c>
      <c r="AG11" s="380" t="str">
        <f>Настройки!R11</f>
        <v>IDIG_5_2</v>
      </c>
      <c r="AH11" s="380" t="str">
        <f>Настройки!S11</f>
        <v>IANS_5_4</v>
      </c>
      <c r="AI11" s="380" t="str">
        <f>Настройки!T11</f>
        <v>out9</v>
      </c>
      <c r="AJ11" s="380" t="str">
        <f>Настройки!U11</f>
        <v>out9</v>
      </c>
      <c r="AK11" s="380" t="str">
        <f>Настройки!V11</f>
        <v>ODIG_10</v>
      </c>
      <c r="AL11" s="380" t="str">
        <f>Настройки!W11</f>
        <v>-</v>
      </c>
      <c r="AM11" s="380" t="str">
        <f>Настройки!X11</f>
        <v>-</v>
      </c>
      <c r="AN11" s="380" t="str">
        <f>Настройки!Y11</f>
        <v>Canal_10</v>
      </c>
      <c r="AO11" s="380" t="str">
        <f>Настройки!Z11</f>
        <v>-</v>
      </c>
      <c r="AP11" s="380" t="str">
        <f>Настройки!AA11</f>
        <v>Canal_10</v>
      </c>
      <c r="AQ11" s="380" t="str">
        <f>Настройки!AB11</f>
        <v>Canal_10</v>
      </c>
      <c r="AR11" s="380" t="str">
        <f>Настройки!AC11</f>
        <v>OCCH[1]</v>
      </c>
      <c r="AS11" s="380" t="str">
        <f>Настройки!AD11</f>
        <v>OCCH[1]</v>
      </c>
      <c r="AT11" s="207" t="str">
        <f>Настройки!AB11</f>
        <v>Canal_10</v>
      </c>
      <c r="AU11" s="207" t="str">
        <f>Настройки!AC11</f>
        <v>OCCH[1]</v>
      </c>
      <c r="AV11" s="207" t="str">
        <f>Настройки!AD11</f>
        <v>OCCH[1]</v>
      </c>
      <c r="AW11" s="207" t="str">
        <f>Настройки!AE11</f>
        <v>IANS_5_2</v>
      </c>
      <c r="AX11" s="207" t="str">
        <f>Настройки!AF11</f>
        <v>IDIG_3_2</v>
      </c>
      <c r="AY11" s="207" t="str">
        <f>Настройки!AG11</f>
        <v>Canal_10</v>
      </c>
      <c r="AZ11" s="207" t="str">
        <f>Настройки!AH11</f>
        <v>Canal_10</v>
      </c>
      <c r="BA11" s="207" t="str">
        <f>Настройки!AI11</f>
        <v>Canal_10</v>
      </c>
      <c r="BB11" s="207" t="str">
        <f>Настройки!AJ11</f>
        <v>Canal_10</v>
      </c>
      <c r="BC11" s="207" t="str">
        <f>Настройки!AK11</f>
        <v>-</v>
      </c>
      <c r="BD11" s="207" t="str">
        <f>Настройки!AL11</f>
        <v>Canal_10</v>
      </c>
      <c r="BE11" s="207" t="str">
        <f>Настройки!AM11</f>
        <v>-</v>
      </c>
    </row>
    <row r="12" spans="1:57">
      <c r="A12" s="82"/>
      <c r="B12" s="82"/>
      <c r="C12" s="11"/>
      <c r="D12" s="81"/>
      <c r="E12" s="81"/>
      <c r="F12" s="81"/>
      <c r="G12" s="447"/>
      <c r="H12" s="447"/>
      <c r="I12" s="1"/>
      <c r="M12" s="424" t="str">
        <f>'Конфигурация TREI'!A13</f>
        <v>BR11</v>
      </c>
      <c r="N12" s="424" t="str">
        <f>'Конфигурация TREI'!B13</f>
        <v>M558D</v>
      </c>
      <c r="AE12" s="431">
        <f>Настройки!P12</f>
        <v>11</v>
      </c>
      <c r="AF12" s="380">
        <f>Настройки!Q12</f>
        <v>0</v>
      </c>
      <c r="AG12" s="380" t="str">
        <f>Настройки!R12</f>
        <v>IDIG_6_1</v>
      </c>
      <c r="AH12" s="380" t="str">
        <f>Настройки!S12</f>
        <v>IANS_6_3</v>
      </c>
      <c r="AI12" s="380" t="str">
        <f>Настройки!T12</f>
        <v>out10</v>
      </c>
      <c r="AJ12" s="380" t="str">
        <f>Настройки!U12</f>
        <v>out10</v>
      </c>
      <c r="AK12" s="380" t="str">
        <f>Настройки!V12</f>
        <v>ODIG_11</v>
      </c>
      <c r="AL12" s="380" t="str">
        <f>Настройки!W12</f>
        <v>-</v>
      </c>
      <c r="AM12" s="380" t="str">
        <f>Настройки!X12</f>
        <v>-</v>
      </c>
      <c r="AN12" s="380" t="str">
        <f>Настройки!Y12</f>
        <v>Canal_11</v>
      </c>
      <c r="AO12" s="380" t="str">
        <f>Настройки!Z12</f>
        <v>-</v>
      </c>
      <c r="AP12" s="380" t="str">
        <f>Настройки!AA12</f>
        <v>Canal_11</v>
      </c>
      <c r="AQ12" s="380" t="str">
        <f>Настройки!AB12</f>
        <v>Canal_11</v>
      </c>
      <c r="AR12" s="380" t="str">
        <f>Настройки!AC12</f>
        <v>OCCH[2]</v>
      </c>
      <c r="AS12" s="380" t="str">
        <f>Настройки!AD12</f>
        <v>OCCH[2]</v>
      </c>
      <c r="AT12" s="207" t="str">
        <f>Настройки!AB12</f>
        <v>Canal_11</v>
      </c>
      <c r="AU12" s="207" t="str">
        <f>Настройки!AC12</f>
        <v>OCCH[2]</v>
      </c>
      <c r="AV12" s="207" t="str">
        <f>Настройки!AD12</f>
        <v>OCCH[2]</v>
      </c>
      <c r="AW12" s="207" t="str">
        <f>Настройки!AE12</f>
        <v>IANS_6_1</v>
      </c>
      <c r="AX12" s="207" t="str">
        <f>Настройки!AF12</f>
        <v>IDIG_3_3</v>
      </c>
      <c r="AY12" s="207" t="str">
        <f>Настройки!AG12</f>
        <v>Canal_11</v>
      </c>
      <c r="AZ12" s="207" t="str">
        <f>Настройки!AH12</f>
        <v>Canal_11</v>
      </c>
      <c r="BA12" s="207" t="str">
        <f>Настройки!AI12</f>
        <v>Canal_11</v>
      </c>
      <c r="BB12" s="207" t="str">
        <f>Настройки!AJ12</f>
        <v>Canal_11</v>
      </c>
      <c r="BC12" s="207" t="str">
        <f>Настройки!AK12</f>
        <v>-</v>
      </c>
      <c r="BD12" s="207" t="str">
        <f>Настройки!AL12</f>
        <v>Canal_11</v>
      </c>
      <c r="BE12" s="207" t="str">
        <f>Настройки!AM12</f>
        <v>-</v>
      </c>
    </row>
    <row r="13" spans="1:57">
      <c r="A13" s="82"/>
      <c r="B13" s="82"/>
      <c r="C13" s="11"/>
      <c r="D13" s="81"/>
      <c r="E13" s="81"/>
      <c r="F13" s="81"/>
      <c r="G13" s="447"/>
      <c r="H13" s="447"/>
      <c r="I13" s="1"/>
      <c r="M13" s="424" t="str">
        <f>'Конфигурация TREI'!A14</f>
        <v>BR12</v>
      </c>
      <c r="N13" s="424" t="str">
        <f>'Конфигурация TREI'!B14</f>
        <v>M558D</v>
      </c>
      <c r="AE13" s="431">
        <f>Настройки!P13</f>
        <v>12</v>
      </c>
      <c r="AF13" s="380">
        <f>Настройки!Q13</f>
        <v>0</v>
      </c>
      <c r="AG13" s="380" t="str">
        <f>Настройки!R13</f>
        <v>IDIG_6_2</v>
      </c>
      <c r="AH13" s="380" t="str">
        <f>Настройки!S13</f>
        <v>IANS_6_4</v>
      </c>
      <c r="AI13" s="380" t="str">
        <f>Настройки!T13</f>
        <v>out11</v>
      </c>
      <c r="AJ13" s="380" t="str">
        <f>Настройки!U13</f>
        <v>out11</v>
      </c>
      <c r="AK13" s="380" t="str">
        <f>Настройки!V13</f>
        <v>ODIG_12</v>
      </c>
      <c r="AL13" s="380" t="str">
        <f>Настройки!W13</f>
        <v>-</v>
      </c>
      <c r="AM13" s="380" t="str">
        <f>Настройки!X13</f>
        <v>-</v>
      </c>
      <c r="AN13" s="380" t="str">
        <f>Настройки!Y13</f>
        <v>Canal_12</v>
      </c>
      <c r="AO13" s="380" t="str">
        <f>Настройки!Z13</f>
        <v>-</v>
      </c>
      <c r="AP13" s="380" t="str">
        <f>Настройки!AA13</f>
        <v>Canal_12</v>
      </c>
      <c r="AQ13" s="380" t="str">
        <f>Настройки!AB13</f>
        <v>Canal_12</v>
      </c>
      <c r="AR13" s="380" t="str">
        <f>Настройки!AC13</f>
        <v>OCCH[3]</v>
      </c>
      <c r="AS13" s="380" t="str">
        <f>Настройки!AD13</f>
        <v>OCCH[3]</v>
      </c>
      <c r="AT13" s="207" t="str">
        <f>Настройки!AB13</f>
        <v>Canal_12</v>
      </c>
      <c r="AU13" s="207" t="str">
        <f>Настройки!AC13</f>
        <v>OCCH[3]</v>
      </c>
      <c r="AV13" s="207" t="str">
        <f>Настройки!AD13</f>
        <v>OCCH[3]</v>
      </c>
      <c r="AW13" s="207" t="str">
        <f>Настройки!AE13</f>
        <v>IANS_6_2</v>
      </c>
      <c r="AX13" s="207" t="str">
        <f>Настройки!AF13</f>
        <v>IDIG_3_4</v>
      </c>
      <c r="AY13" s="207" t="str">
        <f>Настройки!AG13</f>
        <v>Canal_12</v>
      </c>
      <c r="AZ13" s="207" t="str">
        <f>Настройки!AH13</f>
        <v>Canal_12</v>
      </c>
      <c r="BA13" s="207" t="str">
        <f>Настройки!AI13</f>
        <v>Canal_12</v>
      </c>
      <c r="BB13" s="207" t="str">
        <f>Настройки!AJ13</f>
        <v>Canal_12</v>
      </c>
      <c r="BC13" s="207" t="str">
        <f>Настройки!AK13</f>
        <v>-</v>
      </c>
      <c r="BD13" s="207" t="str">
        <f>Настройки!AL13</f>
        <v>Canal_12</v>
      </c>
      <c r="BE13" s="207" t="str">
        <f>Настройки!AM13</f>
        <v>-</v>
      </c>
    </row>
    <row r="14" spans="1:57">
      <c r="A14" s="82"/>
      <c r="B14" s="82"/>
      <c r="C14" s="11"/>
      <c r="D14" s="81"/>
      <c r="E14" s="81"/>
      <c r="F14" s="81"/>
      <c r="G14" s="447"/>
      <c r="H14" s="447"/>
      <c r="I14" s="1"/>
      <c r="M14" s="424" t="str">
        <f>'Конфигурация TREI'!A15</f>
        <v>BR13</v>
      </c>
      <c r="N14" s="424" t="str">
        <f>'Конфигурация TREI'!B15</f>
        <v>M558D</v>
      </c>
      <c r="AE14" s="431">
        <f>Настройки!P14</f>
        <v>13</v>
      </c>
      <c r="AF14" s="380">
        <f>Настройки!Q14</f>
        <v>0</v>
      </c>
      <c r="AG14" s="380" t="str">
        <f>Настройки!R14</f>
        <v>IDIG_7_1</v>
      </c>
      <c r="AH14" s="380" t="str">
        <f>Настройки!S14</f>
        <v>IANS_7_3</v>
      </c>
      <c r="AI14" s="380" t="str">
        <f>Настройки!T14</f>
        <v>out12</v>
      </c>
      <c r="AJ14" s="380" t="str">
        <f>Настройки!U14</f>
        <v>out12</v>
      </c>
      <c r="AK14" s="380" t="str">
        <f>Настройки!V14</f>
        <v>ODIG_13</v>
      </c>
      <c r="AL14" s="380" t="str">
        <f>Настройки!W14</f>
        <v>-</v>
      </c>
      <c r="AM14" s="380" t="str">
        <f>Настройки!X14</f>
        <v>-</v>
      </c>
      <c r="AN14" s="380" t="str">
        <f>Настройки!Y14</f>
        <v>Canal_13</v>
      </c>
      <c r="AO14" s="380" t="str">
        <f>Настройки!Z14</f>
        <v>-</v>
      </c>
      <c r="AP14" s="380" t="str">
        <f>Настройки!AA14</f>
        <v>Canal_13</v>
      </c>
      <c r="AQ14" s="380" t="str">
        <f>Настройки!AB14</f>
        <v>Canal_13</v>
      </c>
      <c r="AR14" s="380" t="str">
        <f>Настройки!AC14</f>
        <v>OCCH[4]</v>
      </c>
      <c r="AS14" s="380" t="str">
        <f>Настройки!AD14</f>
        <v>OCCH[4]</v>
      </c>
      <c r="AT14" s="207" t="str">
        <f>Настройки!AB14</f>
        <v>Canal_13</v>
      </c>
      <c r="AU14" s="207" t="str">
        <f>Настройки!AC14</f>
        <v>OCCH[4]</v>
      </c>
      <c r="AV14" s="207" t="str">
        <f>Настройки!AD14</f>
        <v>OCCH[4]</v>
      </c>
      <c r="AW14" s="207" t="str">
        <f>Настройки!AE14</f>
        <v>IANS_7_1</v>
      </c>
      <c r="AX14" s="207" t="str">
        <f>Настройки!AF14</f>
        <v>IDIG_4_1</v>
      </c>
      <c r="AY14" s="207" t="str">
        <f>Настройки!AG14</f>
        <v>Canal_13</v>
      </c>
      <c r="AZ14" s="207" t="str">
        <f>Настройки!AH14</f>
        <v>Canal_13</v>
      </c>
      <c r="BA14" s="207" t="str">
        <f>Настройки!AI14</f>
        <v>Canal_13</v>
      </c>
      <c r="BB14" s="207" t="str">
        <f>Настройки!AJ14</f>
        <v>Canal_13</v>
      </c>
      <c r="BC14" s="207" t="str">
        <f>Настройки!AK14</f>
        <v>-</v>
      </c>
      <c r="BD14" s="207" t="str">
        <f>Настройки!AL14</f>
        <v>Canal_13</v>
      </c>
      <c r="BE14" s="207" t="str">
        <f>Настройки!AM14</f>
        <v>-</v>
      </c>
    </row>
    <row r="15" spans="1:57">
      <c r="A15" s="82"/>
      <c r="B15" s="82"/>
      <c r="C15" s="11"/>
      <c r="D15" s="81"/>
      <c r="E15" s="81"/>
      <c r="F15" s="81"/>
      <c r="G15" s="447"/>
      <c r="H15" s="447"/>
      <c r="I15" s="1"/>
      <c r="M15" s="424" t="str">
        <f>'Конфигурация TREI'!A16</f>
        <v>BR14</v>
      </c>
      <c r="N15" s="424" t="str">
        <f>'Конфигурация TREI'!B16</f>
        <v>M558D</v>
      </c>
      <c r="AE15" s="431">
        <f>Настройки!P15</f>
        <v>14</v>
      </c>
      <c r="AF15" s="380">
        <f>Настройки!Q15</f>
        <v>0</v>
      </c>
      <c r="AG15" s="380" t="str">
        <f>Настройки!R15</f>
        <v>IDIG_7_2</v>
      </c>
      <c r="AH15" s="380" t="str">
        <f>Настройки!S15</f>
        <v>IANS_7_4</v>
      </c>
      <c r="AI15" s="380" t="str">
        <f>Настройки!T15</f>
        <v>out13</v>
      </c>
      <c r="AJ15" s="380" t="str">
        <f>Настройки!U15</f>
        <v>out13</v>
      </c>
      <c r="AK15" s="380" t="str">
        <f>Настройки!V15</f>
        <v>ODIG_14</v>
      </c>
      <c r="AL15" s="380" t="str">
        <f>Настройки!W15</f>
        <v>-</v>
      </c>
      <c r="AM15" s="380" t="str">
        <f>Настройки!X15</f>
        <v>-</v>
      </c>
      <c r="AN15" s="380" t="str">
        <f>Настройки!Y15</f>
        <v>Canal_14</v>
      </c>
      <c r="AO15" s="380" t="str">
        <f>Настройки!Z15</f>
        <v>-</v>
      </c>
      <c r="AP15" s="380" t="str">
        <f>Настройки!AA15</f>
        <v>Canal_14</v>
      </c>
      <c r="AQ15" s="380" t="str">
        <f>Настройки!AB15</f>
        <v>Canal_14</v>
      </c>
      <c r="AR15" s="380" t="str">
        <f>Настройки!AC15</f>
        <v>OCCH[5]</v>
      </c>
      <c r="AS15" s="380" t="str">
        <f>Настройки!AD15</f>
        <v>OCCH[5]</v>
      </c>
      <c r="AT15" s="207" t="str">
        <f>Настройки!AB15</f>
        <v>Canal_14</v>
      </c>
      <c r="AU15" s="207" t="str">
        <f>Настройки!AC15</f>
        <v>OCCH[5]</v>
      </c>
      <c r="AV15" s="207" t="str">
        <f>Настройки!AD15</f>
        <v>OCCH[5]</v>
      </c>
      <c r="AW15" s="207" t="str">
        <f>Настройки!AE15</f>
        <v>IANS_7_2</v>
      </c>
      <c r="AX15" s="207" t="str">
        <f>Настройки!AF15</f>
        <v>IDIG_4_2</v>
      </c>
      <c r="AY15" s="207" t="str">
        <f>Настройки!AG15</f>
        <v>Canal_14</v>
      </c>
      <c r="AZ15" s="207" t="str">
        <f>Настройки!AH15</f>
        <v>Canal_14</v>
      </c>
      <c r="BA15" s="207" t="str">
        <f>Настройки!AI15</f>
        <v>Canal_14</v>
      </c>
      <c r="BB15" s="207" t="str">
        <f>Настройки!AJ15</f>
        <v>Canal_14</v>
      </c>
      <c r="BC15" s="207" t="str">
        <f>Настройки!AK15</f>
        <v>-</v>
      </c>
      <c r="BD15" s="207" t="str">
        <f>Настройки!AL15</f>
        <v>Canal_14</v>
      </c>
      <c r="BE15" s="207" t="str">
        <f>Настройки!AM15</f>
        <v>-</v>
      </c>
    </row>
    <row r="16" spans="1:57">
      <c r="A16" s="82"/>
      <c r="B16" s="82"/>
      <c r="C16" s="11"/>
      <c r="D16" s="81"/>
      <c r="E16" s="81"/>
      <c r="F16" s="81"/>
      <c r="G16" s="447"/>
      <c r="H16" s="447"/>
      <c r="I16" s="1"/>
      <c r="M16" s="424" t="str">
        <f>'Конфигурация TREI'!A17</f>
        <v>BR15</v>
      </c>
      <c r="N16" s="424" t="str">
        <f>'Конфигурация TREI'!B17</f>
        <v>M558O</v>
      </c>
      <c r="AE16" s="431">
        <f>Настройки!P16</f>
        <v>15</v>
      </c>
      <c r="AF16" s="380">
        <f>Настройки!Q16</f>
        <v>0</v>
      </c>
      <c r="AG16" s="380" t="str">
        <f>Настройки!R16</f>
        <v>IDIG_8_1</v>
      </c>
      <c r="AH16" s="380" t="str">
        <f>Настройки!S16</f>
        <v>IANS_8_3</v>
      </c>
      <c r="AI16" s="380" t="str">
        <f>Настройки!T16</f>
        <v>out14</v>
      </c>
      <c r="AJ16" s="380" t="str">
        <f>Настройки!U16</f>
        <v>out14</v>
      </c>
      <c r="AK16" s="380" t="str">
        <f>Настройки!V16</f>
        <v>ODIG_15</v>
      </c>
      <c r="AL16" s="380" t="str">
        <f>Настройки!W16</f>
        <v>-</v>
      </c>
      <c r="AM16" s="380" t="str">
        <f>Настройки!X16</f>
        <v>-</v>
      </c>
      <c r="AN16" s="380" t="str">
        <f>Настройки!Y16</f>
        <v>Canal_15</v>
      </c>
      <c r="AO16" s="380" t="str">
        <f>Настройки!Z16</f>
        <v>-</v>
      </c>
      <c r="AP16" s="380" t="str">
        <f>Настройки!AA16</f>
        <v>Canal_15</v>
      </c>
      <c r="AQ16" s="380" t="str">
        <f>Настройки!AB16</f>
        <v>Canal_15</v>
      </c>
      <c r="AR16" s="380" t="str">
        <f>Настройки!AC16</f>
        <v>OCCH[6]</v>
      </c>
      <c r="AS16" s="380" t="str">
        <f>Настройки!AD16</f>
        <v>OCCH[6]</v>
      </c>
      <c r="AT16" s="207" t="str">
        <f>Настройки!AB16</f>
        <v>Canal_15</v>
      </c>
      <c r="AU16" s="207" t="str">
        <f>Настройки!AC16</f>
        <v>OCCH[6]</v>
      </c>
      <c r="AV16" s="207" t="str">
        <f>Настройки!AD16</f>
        <v>OCCH[6]</v>
      </c>
      <c r="AW16" s="207" t="str">
        <f>Настройки!AE16</f>
        <v>IANS_8_1</v>
      </c>
      <c r="AX16" s="207" t="str">
        <f>Настройки!AF16</f>
        <v>IDIG_4_3</v>
      </c>
      <c r="AY16" s="207" t="str">
        <f>Настройки!AG16</f>
        <v>Canal_15</v>
      </c>
      <c r="AZ16" s="207" t="str">
        <f>Настройки!AH16</f>
        <v>Canal_15</v>
      </c>
      <c r="BA16" s="207" t="str">
        <f>Настройки!AI16</f>
        <v>Canal_15</v>
      </c>
      <c r="BB16" s="207" t="str">
        <f>Настройки!AJ16</f>
        <v>Canal_15</v>
      </c>
      <c r="BC16" s="207" t="str">
        <f>Настройки!AK16</f>
        <v>-</v>
      </c>
      <c r="BD16" s="207" t="str">
        <f>Настройки!AL16</f>
        <v>Canal_15</v>
      </c>
      <c r="BE16" s="207" t="str">
        <f>Настройки!AM16</f>
        <v>-</v>
      </c>
    </row>
    <row r="17" spans="1:57">
      <c r="A17" s="82"/>
      <c r="B17" s="82"/>
      <c r="C17" s="11"/>
      <c r="D17" s="81"/>
      <c r="E17" s="81"/>
      <c r="F17" s="81"/>
      <c r="G17" s="447"/>
      <c r="H17" s="447"/>
      <c r="I17" s="1"/>
      <c r="M17" s="424" t="str">
        <f>'Конфигурация TREI'!A18</f>
        <v>BR16</v>
      </c>
      <c r="N17" s="424" t="str">
        <f>'Конфигурация TREI'!B18</f>
        <v>M558O</v>
      </c>
      <c r="AE17" s="431">
        <f>Настройки!P17</f>
        <v>16</v>
      </c>
      <c r="AF17" s="380">
        <f>Настройки!Q17</f>
        <v>0</v>
      </c>
      <c r="AG17" s="380" t="str">
        <f>Настройки!R17</f>
        <v>IDIG_8_2</v>
      </c>
      <c r="AH17" s="380" t="str">
        <f>Настройки!S17</f>
        <v>IANS_8_4</v>
      </c>
      <c r="AI17" s="380" t="str">
        <f>Настройки!T17</f>
        <v>out15</v>
      </c>
      <c r="AJ17" s="380" t="str">
        <f>Настройки!U17</f>
        <v>out15</v>
      </c>
      <c r="AK17" s="380" t="str">
        <f>Настройки!V17</f>
        <v>ODIG_16</v>
      </c>
      <c r="AL17" s="380" t="str">
        <f>Настройки!W17</f>
        <v>-</v>
      </c>
      <c r="AM17" s="380" t="str">
        <f>Настройки!X17</f>
        <v>-</v>
      </c>
      <c r="AN17" s="380" t="str">
        <f>Настройки!Y17</f>
        <v>Canal_16</v>
      </c>
      <c r="AO17" s="380" t="str">
        <f>Настройки!Z17</f>
        <v>-</v>
      </c>
      <c r="AP17" s="380" t="str">
        <f>Настройки!AA17</f>
        <v>Canal_16</v>
      </c>
      <c r="AQ17" s="380" t="str">
        <f>Настройки!AB17</f>
        <v>Canal_16</v>
      </c>
      <c r="AR17" s="380" t="str">
        <f>Настройки!AC17</f>
        <v>OCCH[7]</v>
      </c>
      <c r="AS17" s="380" t="str">
        <f>Настройки!AD17</f>
        <v>OCCH[7]</v>
      </c>
      <c r="AT17" s="207" t="str">
        <f>Настройки!AB17</f>
        <v>Canal_16</v>
      </c>
      <c r="AU17" s="207" t="str">
        <f>Настройки!AC17</f>
        <v>OCCH[7]</v>
      </c>
      <c r="AV17" s="207" t="str">
        <f>Настройки!AD17</f>
        <v>OCCH[7]</v>
      </c>
      <c r="AW17" s="207" t="str">
        <f>Настройки!AE17</f>
        <v>IANS_8_2</v>
      </c>
      <c r="AX17" s="207" t="str">
        <f>Настройки!AF17</f>
        <v>IDIG_4_4</v>
      </c>
      <c r="AY17" s="207" t="str">
        <f>Настройки!AG17</f>
        <v>Canal_16</v>
      </c>
      <c r="AZ17" s="207" t="str">
        <f>Настройки!AH17</f>
        <v>Canal_16</v>
      </c>
      <c r="BA17" s="207" t="str">
        <f>Настройки!AI17</f>
        <v>Canal_16</v>
      </c>
      <c r="BB17" s="207" t="str">
        <f>Настройки!AJ17</f>
        <v>Canal_16</v>
      </c>
      <c r="BC17" s="207" t="str">
        <f>Настройки!AK17</f>
        <v>-</v>
      </c>
      <c r="BD17" s="207" t="str">
        <f>Настройки!AL17</f>
        <v>Canal_16</v>
      </c>
      <c r="BE17" s="207" t="str">
        <f>Настройки!AM17</f>
        <v>-</v>
      </c>
    </row>
    <row r="18" spans="1:57">
      <c r="A18" s="82"/>
      <c r="B18" s="82"/>
      <c r="C18" s="11"/>
      <c r="D18" s="81"/>
      <c r="E18" s="81"/>
      <c r="F18" s="81"/>
      <c r="G18" s="445"/>
      <c r="H18" s="445"/>
      <c r="I18" s="1"/>
      <c r="M18" s="424" t="str">
        <f>'Конфигурация TREI'!A19</f>
        <v>BR17</v>
      </c>
      <c r="N18" s="424" t="str">
        <f>'Конфигурация TREI'!B19</f>
        <v>M558O</v>
      </c>
      <c r="AE18" s="428">
        <f>Настройки!P18</f>
        <v>17</v>
      </c>
      <c r="AF18" s="380">
        <f>Настройки!Q18</f>
        <v>0</v>
      </c>
      <c r="AG18" s="380" t="str">
        <f>Настройки!R18</f>
        <v>-</v>
      </c>
      <c r="AH18" s="380" t="str">
        <f>Настройки!S18</f>
        <v>-</v>
      </c>
      <c r="AI18" s="380" t="str">
        <f>Настройки!T18</f>
        <v>out16</v>
      </c>
      <c r="AJ18" s="380" t="str">
        <f>Настройки!U18</f>
        <v>out16</v>
      </c>
      <c r="AK18" s="380" t="str">
        <f>Настройки!V18</f>
        <v>-</v>
      </c>
      <c r="AL18" s="380" t="str">
        <f>Настройки!W18</f>
        <v>-</v>
      </c>
      <c r="AM18" s="380" t="str">
        <f>Настройки!X18</f>
        <v>-</v>
      </c>
      <c r="AN18" s="380" t="str">
        <f>Настройки!Y18</f>
        <v>-</v>
      </c>
      <c r="AO18" s="380" t="str">
        <f>Настройки!Z18</f>
        <v>-</v>
      </c>
      <c r="AP18" s="380" t="str">
        <f>Настройки!AA18</f>
        <v>Canal_17</v>
      </c>
      <c r="AQ18" s="380" t="str">
        <f>Настройки!AB18</f>
        <v>Canal_17</v>
      </c>
      <c r="AR18" s="380" t="str">
        <f>Настройки!AC18</f>
        <v>-</v>
      </c>
      <c r="AS18" s="380" t="str">
        <f>Настройки!AD18</f>
        <v>-</v>
      </c>
      <c r="AT18" s="207" t="str">
        <f>Настройки!AB18</f>
        <v>Canal_17</v>
      </c>
      <c r="AU18" s="207" t="str">
        <f>Настройки!AC18</f>
        <v>-</v>
      </c>
      <c r="AV18" s="207" t="str">
        <f>Настройки!AD18</f>
        <v>-</v>
      </c>
      <c r="AW18" s="207" t="str">
        <f>Настройки!AE18</f>
        <v>-</v>
      </c>
      <c r="AX18" s="207" t="str">
        <f>Настройки!AF18</f>
        <v>IDIG_5_1</v>
      </c>
      <c r="AY18" s="207" t="str">
        <f>Настройки!AG18</f>
        <v>Canal_17</v>
      </c>
      <c r="AZ18" s="207" t="str">
        <f>Настройки!AH18</f>
        <v>Canal_17</v>
      </c>
      <c r="BA18" s="207" t="str">
        <f>Настройки!AI18</f>
        <v>Canal_17</v>
      </c>
      <c r="BB18" s="207" t="str">
        <f>Настройки!AJ18</f>
        <v>-</v>
      </c>
      <c r="BC18" s="207" t="str">
        <f>Настройки!AK18</f>
        <v>-</v>
      </c>
      <c r="BD18" s="207" t="str">
        <f>Настройки!AL18</f>
        <v>Canal_17</v>
      </c>
      <c r="BE18" s="207" t="str">
        <f>Настройки!AM18</f>
        <v>-</v>
      </c>
    </row>
    <row r="19" spans="1:57">
      <c r="A19" s="82"/>
      <c r="B19" s="82"/>
      <c r="C19" s="11"/>
      <c r="D19" s="81"/>
      <c r="E19" s="81"/>
      <c r="F19" s="81"/>
      <c r="G19" s="445"/>
      <c r="H19" s="445"/>
      <c r="I19" s="1"/>
      <c r="M19" s="424" t="str">
        <f>'Конфигурация TREI'!A20</f>
        <v>BR18</v>
      </c>
      <c r="N19" s="424" t="str">
        <f>'Конфигурация TREI'!B20</f>
        <v>M558O</v>
      </c>
      <c r="AE19" s="428">
        <f>Настройки!P19</f>
        <v>18</v>
      </c>
      <c r="AF19" s="380">
        <f>Настройки!Q19</f>
        <v>0</v>
      </c>
      <c r="AG19" s="380" t="str">
        <f>Настройки!R19</f>
        <v>-</v>
      </c>
      <c r="AH19" s="380" t="str">
        <f>Настройки!S19</f>
        <v>-</v>
      </c>
      <c r="AI19" s="380" t="str">
        <f>Настройки!T19</f>
        <v>out17</v>
      </c>
      <c r="AJ19" s="380" t="str">
        <f>Настройки!U19</f>
        <v>out17</v>
      </c>
      <c r="AK19" s="380" t="str">
        <f>Настройки!V19</f>
        <v>-</v>
      </c>
      <c r="AL19" s="380" t="str">
        <f>Настройки!W19</f>
        <v>-</v>
      </c>
      <c r="AM19" s="380" t="str">
        <f>Настройки!X19</f>
        <v>-</v>
      </c>
      <c r="AN19" s="380" t="str">
        <f>Настройки!Y19</f>
        <v>-</v>
      </c>
      <c r="AO19" s="380" t="str">
        <f>Настройки!Z19</f>
        <v>-</v>
      </c>
      <c r="AP19" s="380" t="str">
        <f>Настройки!AA19</f>
        <v>Canal_18</v>
      </c>
      <c r="AQ19" s="380" t="str">
        <f>Настройки!AB19</f>
        <v>Canal_18</v>
      </c>
      <c r="AR19" s="380" t="str">
        <f>Настройки!AC19</f>
        <v>-</v>
      </c>
      <c r="AS19" s="380" t="str">
        <f>Настройки!AD19</f>
        <v>-</v>
      </c>
      <c r="AT19" s="207" t="str">
        <f>Настройки!AB19</f>
        <v>Canal_18</v>
      </c>
      <c r="AU19" s="207" t="str">
        <f>Настройки!AC19</f>
        <v>-</v>
      </c>
      <c r="AV19" s="207" t="str">
        <f>Настройки!AD19</f>
        <v>-</v>
      </c>
      <c r="AW19" s="207" t="str">
        <f>Настройки!AE19</f>
        <v>-</v>
      </c>
      <c r="AX19" s="207" t="str">
        <f>Настройки!AF19</f>
        <v>IDIG_5_2</v>
      </c>
      <c r="AY19" s="207" t="str">
        <f>Настройки!AG19</f>
        <v>Canal_18</v>
      </c>
      <c r="AZ19" s="207" t="str">
        <f>Настройки!AH19</f>
        <v>Canal_18</v>
      </c>
      <c r="BA19" s="207" t="str">
        <f>Настройки!AI19</f>
        <v>Canal_18</v>
      </c>
      <c r="BB19" s="207" t="str">
        <f>Настройки!AJ19</f>
        <v>-</v>
      </c>
      <c r="BC19" s="207" t="str">
        <f>Настройки!AK19</f>
        <v>-</v>
      </c>
      <c r="BD19" s="207" t="str">
        <f>Настройки!AL19</f>
        <v>Canal_18</v>
      </c>
      <c r="BE19" s="207" t="str">
        <f>Настройки!AM19</f>
        <v>-</v>
      </c>
    </row>
    <row r="20" spans="1:57">
      <c r="A20" s="82"/>
      <c r="B20" s="82"/>
      <c r="C20" s="11"/>
      <c r="D20" s="81"/>
      <c r="E20" s="81"/>
      <c r="F20" s="81"/>
      <c r="G20" s="445"/>
      <c r="H20" s="445"/>
      <c r="I20" s="1"/>
      <c r="M20" s="424" t="str">
        <f>'Конфигурация TREI'!A21</f>
        <v>BR19</v>
      </c>
      <c r="N20" s="424" t="str">
        <f>'Конфигурация TREI'!B21</f>
        <v>M558O</v>
      </c>
      <c r="AE20" s="428">
        <f>Настройки!P20</f>
        <v>19</v>
      </c>
      <c r="AF20" s="380">
        <f>Настройки!Q20</f>
        <v>0</v>
      </c>
      <c r="AG20" s="380" t="str">
        <f>Настройки!R20</f>
        <v>-</v>
      </c>
      <c r="AH20" s="380" t="str">
        <f>Настройки!S20</f>
        <v>-</v>
      </c>
      <c r="AI20" s="380" t="str">
        <f>Настройки!T20</f>
        <v>out18</v>
      </c>
      <c r="AJ20" s="380" t="str">
        <f>Настройки!U20</f>
        <v>out18</v>
      </c>
      <c r="AK20" s="380" t="str">
        <f>Настройки!V20</f>
        <v>-</v>
      </c>
      <c r="AL20" s="380" t="str">
        <f>Настройки!W20</f>
        <v>-</v>
      </c>
      <c r="AM20" s="380" t="str">
        <f>Настройки!X20</f>
        <v>-</v>
      </c>
      <c r="AN20" s="380" t="str">
        <f>Настройки!Y20</f>
        <v>-</v>
      </c>
      <c r="AO20" s="380" t="str">
        <f>Настройки!Z20</f>
        <v>-</v>
      </c>
      <c r="AP20" s="380" t="str">
        <f>Настройки!AA20</f>
        <v>Canal_19</v>
      </c>
      <c r="AQ20" s="380" t="str">
        <f>Настройки!AB20</f>
        <v>Canal_19</v>
      </c>
      <c r="AR20" s="380" t="str">
        <f>Настройки!AC20</f>
        <v>-</v>
      </c>
      <c r="AS20" s="380" t="str">
        <f>Настройки!AD20</f>
        <v>-</v>
      </c>
      <c r="AT20" s="207" t="str">
        <f>Настройки!AB20</f>
        <v>Canal_19</v>
      </c>
      <c r="AU20" s="207" t="str">
        <f>Настройки!AC20</f>
        <v>-</v>
      </c>
      <c r="AV20" s="207" t="str">
        <f>Настройки!AD20</f>
        <v>-</v>
      </c>
      <c r="AW20" s="207" t="str">
        <f>Настройки!AE20</f>
        <v>-</v>
      </c>
      <c r="AX20" s="207" t="str">
        <f>Настройки!AF20</f>
        <v>IDIG_5_3</v>
      </c>
      <c r="AY20" s="207" t="str">
        <f>Настройки!AG20</f>
        <v>Canal_19</v>
      </c>
      <c r="AZ20" s="207" t="str">
        <f>Настройки!AH20</f>
        <v>Canal_19</v>
      </c>
      <c r="BA20" s="207" t="str">
        <f>Настройки!AI20</f>
        <v>Canal_19</v>
      </c>
      <c r="BB20" s="207" t="str">
        <f>Настройки!AJ20</f>
        <v>-</v>
      </c>
      <c r="BC20" s="207" t="str">
        <f>Настройки!AK20</f>
        <v>-</v>
      </c>
      <c r="BD20" s="207" t="str">
        <f>Настройки!AL20</f>
        <v>Canal_19</v>
      </c>
      <c r="BE20" s="207" t="str">
        <f>Настройки!AM20</f>
        <v>-</v>
      </c>
    </row>
    <row r="21" spans="1:57">
      <c r="A21" s="82"/>
      <c r="B21" s="82"/>
      <c r="C21" s="11"/>
      <c r="D21" s="81"/>
      <c r="E21" s="81"/>
      <c r="F21" s="81"/>
      <c r="G21" s="445"/>
      <c r="H21" s="445"/>
      <c r="I21" s="1"/>
      <c r="M21" s="424" t="str">
        <f>'Конфигурация TREI'!A22</f>
        <v>BR20</v>
      </c>
      <c r="N21" s="424" t="str">
        <f>'Конфигурация TREI'!B22</f>
        <v>M558D</v>
      </c>
      <c r="AE21" s="428">
        <f>Настройки!P21</f>
        <v>20</v>
      </c>
      <c r="AF21" s="380">
        <f>Настройки!Q21</f>
        <v>0</v>
      </c>
      <c r="AG21" s="380" t="str">
        <f>Настройки!R21</f>
        <v>-</v>
      </c>
      <c r="AH21" s="380" t="str">
        <f>Настройки!S21</f>
        <v>-</v>
      </c>
      <c r="AI21" s="380" t="str">
        <f>Настройки!T21</f>
        <v>out19</v>
      </c>
      <c r="AJ21" s="380" t="str">
        <f>Настройки!U21</f>
        <v>out19</v>
      </c>
      <c r="AK21" s="380" t="str">
        <f>Настройки!V21</f>
        <v>-</v>
      </c>
      <c r="AL21" s="380" t="str">
        <f>Настройки!W21</f>
        <v>-</v>
      </c>
      <c r="AM21" s="380" t="str">
        <f>Настройки!X21</f>
        <v>-</v>
      </c>
      <c r="AN21" s="380" t="str">
        <f>Настройки!Y21</f>
        <v>-</v>
      </c>
      <c r="AO21" s="380" t="str">
        <f>Настройки!Z21</f>
        <v>-</v>
      </c>
      <c r="AP21" s="380" t="str">
        <f>Настройки!AA21</f>
        <v>Canal_20</v>
      </c>
      <c r="AQ21" s="380" t="str">
        <f>Настройки!AB21</f>
        <v>Canal_20</v>
      </c>
      <c r="AR21" s="380" t="str">
        <f>Настройки!AC21</f>
        <v>-</v>
      </c>
      <c r="AS21" s="380" t="str">
        <f>Настройки!AD21</f>
        <v>-</v>
      </c>
      <c r="AT21" s="207" t="str">
        <f>Настройки!AB21</f>
        <v>Canal_20</v>
      </c>
      <c r="AU21" s="207" t="str">
        <f>Настройки!AC21</f>
        <v>-</v>
      </c>
      <c r="AV21" s="207" t="str">
        <f>Настройки!AD21</f>
        <v>-</v>
      </c>
      <c r="AW21" s="207" t="str">
        <f>Настройки!AE21</f>
        <v>-</v>
      </c>
      <c r="AX21" s="207" t="str">
        <f>Настройки!AF21</f>
        <v>IDIG_5_4</v>
      </c>
      <c r="AY21" s="207" t="str">
        <f>Настройки!AG21</f>
        <v>Canal_20</v>
      </c>
      <c r="AZ21" s="207" t="str">
        <f>Настройки!AH21</f>
        <v>Canal_20</v>
      </c>
      <c r="BA21" s="207" t="str">
        <f>Настройки!AI21</f>
        <v>Canal_20</v>
      </c>
      <c r="BB21" s="207" t="str">
        <f>Настройки!AJ21</f>
        <v>-</v>
      </c>
      <c r="BC21" s="207" t="str">
        <f>Настройки!AK21</f>
        <v>-</v>
      </c>
      <c r="BD21" s="207" t="str">
        <f>Настройки!AL21</f>
        <v>Canal_20</v>
      </c>
      <c r="BE21" s="207" t="str">
        <f>Настройки!AM21</f>
        <v>-</v>
      </c>
    </row>
    <row r="22" spans="1:57">
      <c r="A22" s="82"/>
      <c r="B22" s="82"/>
      <c r="C22" s="11"/>
      <c r="D22" s="81"/>
      <c r="E22" s="81"/>
      <c r="F22" s="81"/>
      <c r="G22" s="445"/>
      <c r="H22" s="445"/>
      <c r="I22" s="1"/>
      <c r="M22" s="424" t="str">
        <f>'Конфигурация TREI'!A23</f>
        <v>BR21</v>
      </c>
      <c r="N22" s="424" t="str">
        <f>'Конфигурация TREI'!B23</f>
        <v>M558O</v>
      </c>
      <c r="AE22" s="428">
        <f>Настройки!P22</f>
        <v>21</v>
      </c>
      <c r="AF22" s="380">
        <f>Настройки!Q22</f>
        <v>0</v>
      </c>
      <c r="AG22" s="380" t="str">
        <f>Настройки!R22</f>
        <v>-</v>
      </c>
      <c r="AH22" s="380" t="str">
        <f>Настройки!S22</f>
        <v>-</v>
      </c>
      <c r="AI22" s="380" t="str">
        <f>Настройки!T22</f>
        <v>out20</v>
      </c>
      <c r="AJ22" s="380" t="str">
        <f>Настройки!U22</f>
        <v>out20</v>
      </c>
      <c r="AK22" s="380" t="str">
        <f>Настройки!V22</f>
        <v>-</v>
      </c>
      <c r="AL22" s="380" t="str">
        <f>Настройки!W22</f>
        <v>-</v>
      </c>
      <c r="AM22" s="380" t="str">
        <f>Настройки!X22</f>
        <v>-</v>
      </c>
      <c r="AN22" s="380" t="str">
        <f>Настройки!Y22</f>
        <v>-</v>
      </c>
      <c r="AO22" s="380" t="str">
        <f>Настройки!Z22</f>
        <v>-</v>
      </c>
      <c r="AP22" s="380" t="str">
        <f>Настройки!AA22</f>
        <v>Canal_21</v>
      </c>
      <c r="AQ22" s="380" t="str">
        <f>Настройки!AB22</f>
        <v>Canal_21</v>
      </c>
      <c r="AR22" s="380" t="str">
        <f>Настройки!AC22</f>
        <v>-</v>
      </c>
      <c r="AS22" s="380" t="str">
        <f>Настройки!AD22</f>
        <v>-</v>
      </c>
      <c r="AT22" s="207" t="str">
        <f>Настройки!AB22</f>
        <v>Canal_21</v>
      </c>
      <c r="AU22" s="207" t="str">
        <f>Настройки!AC22</f>
        <v>-</v>
      </c>
      <c r="AV22" s="207" t="str">
        <f>Настройки!AD22</f>
        <v>-</v>
      </c>
      <c r="AW22" s="207" t="str">
        <f>Настройки!AE22</f>
        <v>-</v>
      </c>
      <c r="AX22" s="207" t="str">
        <f>Настройки!AF22</f>
        <v>IDIG_6_1</v>
      </c>
      <c r="AY22" s="207" t="str">
        <f>Настройки!AG22</f>
        <v>Canal_21</v>
      </c>
      <c r="AZ22" s="207" t="str">
        <f>Настройки!AH22</f>
        <v>Canal_21</v>
      </c>
      <c r="BA22" s="207" t="str">
        <f>Настройки!AI22</f>
        <v>Canal_21</v>
      </c>
      <c r="BB22" s="207" t="str">
        <f>Настройки!AJ22</f>
        <v>-</v>
      </c>
      <c r="BC22" s="207" t="str">
        <f>Настройки!AK22</f>
        <v>-</v>
      </c>
      <c r="BD22" s="207" t="str">
        <f>Настройки!AL22</f>
        <v>Canal_21</v>
      </c>
      <c r="BE22" s="207" t="str">
        <f>Настройки!AM22</f>
        <v>-</v>
      </c>
    </row>
    <row r="23" spans="1:57">
      <c r="A23" s="82"/>
      <c r="B23" s="82"/>
      <c r="C23" s="11"/>
      <c r="D23" s="81"/>
      <c r="E23" s="81"/>
      <c r="F23" s="81"/>
      <c r="G23" s="445"/>
      <c r="H23" s="447"/>
      <c r="I23" s="1"/>
      <c r="M23" s="424" t="str">
        <f>'Конфигурация TREI'!A24</f>
        <v>BR22</v>
      </c>
      <c r="N23" s="424" t="str">
        <f>'Конфигурация TREI'!B24</f>
        <v>M558D</v>
      </c>
      <c r="AE23" s="428">
        <f>Настройки!P23</f>
        <v>22</v>
      </c>
      <c r="AF23" s="380">
        <f>Настройки!Q23</f>
        <v>0</v>
      </c>
      <c r="AG23" s="380" t="str">
        <f>Настройки!R23</f>
        <v>-</v>
      </c>
      <c r="AH23" s="380" t="str">
        <f>Настройки!S23</f>
        <v>-</v>
      </c>
      <c r="AI23" s="380" t="str">
        <f>Настройки!T23</f>
        <v>out21</v>
      </c>
      <c r="AJ23" s="380" t="str">
        <f>Настройки!U23</f>
        <v>out21</v>
      </c>
      <c r="AK23" s="380" t="str">
        <f>Настройки!V23</f>
        <v>-</v>
      </c>
      <c r="AL23" s="380" t="str">
        <f>Настройки!W23</f>
        <v>-</v>
      </c>
      <c r="AM23" s="380" t="str">
        <f>Настройки!X23</f>
        <v>-</v>
      </c>
      <c r="AN23" s="380" t="str">
        <f>Настройки!Y23</f>
        <v>-</v>
      </c>
      <c r="AO23" s="380" t="str">
        <f>Настройки!Z23</f>
        <v>-</v>
      </c>
      <c r="AP23" s="380" t="str">
        <f>Настройки!AA23</f>
        <v>Canal_22</v>
      </c>
      <c r="AQ23" s="380" t="str">
        <f>Настройки!AB23</f>
        <v>Canal_22</v>
      </c>
      <c r="AR23" s="380" t="str">
        <f>Настройки!AC23</f>
        <v>-</v>
      </c>
      <c r="AS23" s="380" t="str">
        <f>Настройки!AD23</f>
        <v>-</v>
      </c>
      <c r="AT23" s="207" t="str">
        <f>Настройки!AB23</f>
        <v>Canal_22</v>
      </c>
      <c r="AU23" s="207" t="str">
        <f>Настройки!AC23</f>
        <v>-</v>
      </c>
      <c r="AV23" s="207" t="str">
        <f>Настройки!AD23</f>
        <v>-</v>
      </c>
      <c r="AW23" s="207" t="str">
        <f>Настройки!AE23</f>
        <v>-</v>
      </c>
      <c r="AX23" s="207" t="str">
        <f>Настройки!AF23</f>
        <v>IDIG_6_2</v>
      </c>
      <c r="AY23" s="207" t="str">
        <f>Настройки!AG23</f>
        <v>Canal_22</v>
      </c>
      <c r="AZ23" s="207" t="str">
        <f>Настройки!AH23</f>
        <v>Canal_22</v>
      </c>
      <c r="BA23" s="207" t="str">
        <f>Настройки!AI23</f>
        <v>Canal_22</v>
      </c>
      <c r="BB23" s="207" t="str">
        <f>Настройки!AJ23</f>
        <v>-</v>
      </c>
      <c r="BC23" s="207" t="str">
        <f>Настройки!AK23</f>
        <v>-</v>
      </c>
      <c r="BD23" s="207" t="str">
        <f>Настройки!AL23</f>
        <v>Canal_22</v>
      </c>
      <c r="BE23" s="207" t="str">
        <f>Настройки!AM23</f>
        <v>-</v>
      </c>
    </row>
    <row r="24" spans="1:57">
      <c r="A24" s="82"/>
      <c r="B24" s="82"/>
      <c r="C24" s="11"/>
      <c r="D24" s="81"/>
      <c r="E24" s="81"/>
      <c r="F24" s="81"/>
      <c r="G24" s="445"/>
      <c r="H24" s="447"/>
      <c r="I24" s="1"/>
      <c r="M24" s="424" t="str">
        <f>'Конфигурация TREI'!A25</f>
        <v>BR23</v>
      </c>
      <c r="N24" s="424" t="str">
        <f>'Конфигурация TREI'!B25</f>
        <v>M558O</v>
      </c>
      <c r="AE24" s="428">
        <f>Настройки!P24</f>
        <v>23</v>
      </c>
      <c r="AF24" s="380">
        <f>Настройки!Q24</f>
        <v>0</v>
      </c>
      <c r="AG24" s="380" t="str">
        <f>Настройки!R24</f>
        <v>-</v>
      </c>
      <c r="AH24" s="380" t="str">
        <f>Настройки!S24</f>
        <v>-</v>
      </c>
      <c r="AI24" s="380" t="str">
        <f>Настройки!T24</f>
        <v>out22</v>
      </c>
      <c r="AJ24" s="380" t="str">
        <f>Настройки!U24</f>
        <v>out22</v>
      </c>
      <c r="AK24" s="380" t="str">
        <f>Настройки!V24</f>
        <v>-</v>
      </c>
      <c r="AL24" s="380" t="str">
        <f>Настройки!W24</f>
        <v>-</v>
      </c>
      <c r="AM24" s="380" t="str">
        <f>Настройки!X24</f>
        <v>-</v>
      </c>
      <c r="AN24" s="380" t="str">
        <f>Настройки!Y24</f>
        <v>-</v>
      </c>
      <c r="AO24" s="380" t="str">
        <f>Настройки!Z24</f>
        <v>-</v>
      </c>
      <c r="AP24" s="380" t="str">
        <f>Настройки!AA24</f>
        <v>Canal_23</v>
      </c>
      <c r="AQ24" s="380" t="str">
        <f>Настройки!AB24</f>
        <v>Canal_23</v>
      </c>
      <c r="AR24" s="380" t="str">
        <f>Настройки!AC24</f>
        <v>-</v>
      </c>
      <c r="AS24" s="380" t="str">
        <f>Настройки!AD24</f>
        <v>-</v>
      </c>
      <c r="AT24" s="207" t="str">
        <f>Настройки!AB24</f>
        <v>Canal_23</v>
      </c>
      <c r="AU24" s="207" t="str">
        <f>Настройки!AC24</f>
        <v>-</v>
      </c>
      <c r="AV24" s="207" t="str">
        <f>Настройки!AD24</f>
        <v>-</v>
      </c>
      <c r="AW24" s="207" t="str">
        <f>Настройки!AE24</f>
        <v>-</v>
      </c>
      <c r="AX24" s="207" t="str">
        <f>Настройки!AF24</f>
        <v>IDIG_6_3</v>
      </c>
      <c r="AY24" s="207" t="str">
        <f>Настройки!AG24</f>
        <v>Canal_23</v>
      </c>
      <c r="AZ24" s="207" t="str">
        <f>Настройки!AH24</f>
        <v>Canal_23</v>
      </c>
      <c r="BA24" s="207" t="str">
        <f>Настройки!AI24</f>
        <v>Canal_23</v>
      </c>
      <c r="BB24" s="207" t="str">
        <f>Настройки!AJ24</f>
        <v>-</v>
      </c>
      <c r="BC24" s="207" t="str">
        <f>Настройки!AK24</f>
        <v>-</v>
      </c>
      <c r="BD24" s="207" t="str">
        <f>Настройки!AL24</f>
        <v>Canal_23</v>
      </c>
      <c r="BE24" s="207" t="str">
        <f>Настройки!AM24</f>
        <v>-</v>
      </c>
    </row>
    <row r="25" spans="1:57">
      <c r="A25" s="82"/>
      <c r="B25" s="82"/>
      <c r="C25" s="11"/>
      <c r="D25" s="81"/>
      <c r="E25" s="81"/>
      <c r="F25" s="81"/>
      <c r="G25" s="445"/>
      <c r="H25" s="447"/>
      <c r="I25" s="1"/>
      <c r="M25" s="424" t="str">
        <f>'Конфигурация TREI'!A26</f>
        <v>BR24</v>
      </c>
      <c r="N25" s="424" t="str">
        <f>'Конфигурация TREI'!B26</f>
        <v>M558D</v>
      </c>
      <c r="AE25" s="428">
        <f>Настройки!P25</f>
        <v>24</v>
      </c>
      <c r="AF25" s="380">
        <f>Настройки!Q25</f>
        <v>0</v>
      </c>
      <c r="AG25" s="380" t="str">
        <f>Настройки!R25</f>
        <v>-</v>
      </c>
      <c r="AH25" s="380" t="str">
        <f>Настройки!S25</f>
        <v>-</v>
      </c>
      <c r="AI25" s="380" t="str">
        <f>Настройки!T25</f>
        <v>out23</v>
      </c>
      <c r="AJ25" s="380" t="str">
        <f>Настройки!U25</f>
        <v>out23</v>
      </c>
      <c r="AK25" s="380" t="str">
        <f>Настройки!V25</f>
        <v>-</v>
      </c>
      <c r="AL25" s="380" t="str">
        <f>Настройки!W25</f>
        <v>-</v>
      </c>
      <c r="AM25" s="380" t="str">
        <f>Настройки!X25</f>
        <v>-</v>
      </c>
      <c r="AN25" s="380" t="str">
        <f>Настройки!Y25</f>
        <v>-</v>
      </c>
      <c r="AO25" s="380" t="str">
        <f>Настройки!Z25</f>
        <v>-</v>
      </c>
      <c r="AP25" s="380" t="str">
        <f>Настройки!AA25</f>
        <v>Canal_24</v>
      </c>
      <c r="AQ25" s="380" t="str">
        <f>Настройки!AB25</f>
        <v>Canal_24</v>
      </c>
      <c r="AR25" s="380" t="str">
        <f>Настройки!AC25</f>
        <v>-</v>
      </c>
      <c r="AS25" s="380" t="str">
        <f>Настройки!AD25</f>
        <v>-</v>
      </c>
      <c r="AT25" s="207" t="str">
        <f>Настройки!AB25</f>
        <v>Canal_24</v>
      </c>
      <c r="AU25" s="207" t="str">
        <f>Настройки!AC25</f>
        <v>-</v>
      </c>
      <c r="AV25" s="207" t="str">
        <f>Настройки!AD25</f>
        <v>-</v>
      </c>
      <c r="AW25" s="207" t="str">
        <f>Настройки!AE25</f>
        <v>-</v>
      </c>
      <c r="AX25" s="207" t="str">
        <f>Настройки!AF25</f>
        <v>IDIG_6_4</v>
      </c>
      <c r="AY25" s="207" t="str">
        <f>Настройки!AG25</f>
        <v>Canal_24</v>
      </c>
      <c r="AZ25" s="207" t="str">
        <f>Настройки!AH25</f>
        <v>Canal_24</v>
      </c>
      <c r="BA25" s="207" t="str">
        <f>Настройки!AI25</f>
        <v>Canal_24</v>
      </c>
      <c r="BB25" s="207" t="str">
        <f>Настройки!AJ25</f>
        <v>-</v>
      </c>
      <c r="BC25" s="207" t="str">
        <f>Настройки!AK25</f>
        <v>-</v>
      </c>
      <c r="BD25" s="207" t="str">
        <f>Настройки!AL25</f>
        <v>Canal_24</v>
      </c>
      <c r="BE25" s="207" t="str">
        <f>Настройки!AM25</f>
        <v>-</v>
      </c>
    </row>
    <row r="26" spans="1:57">
      <c r="A26" s="82"/>
      <c r="B26" s="82"/>
      <c r="C26" s="11"/>
      <c r="D26" s="81"/>
      <c r="E26" s="81"/>
      <c r="F26" s="81"/>
      <c r="G26" s="445"/>
      <c r="H26" s="447"/>
      <c r="I26" s="1"/>
      <c r="M26" s="424" t="str">
        <f>'Конфигурация TREI'!A27</f>
        <v>BR25</v>
      </c>
      <c r="N26" s="424" t="str">
        <f>'Конфигурация TREI'!B27</f>
        <v>M558D</v>
      </c>
      <c r="AE26" s="428">
        <f>Настройки!P26</f>
        <v>25</v>
      </c>
      <c r="AF26" s="380">
        <f>Настройки!Q26</f>
        <v>0</v>
      </c>
      <c r="AG26" s="380" t="str">
        <f>Настройки!R26</f>
        <v>-</v>
      </c>
      <c r="AH26" s="380" t="str">
        <f>Настройки!S26</f>
        <v>-</v>
      </c>
      <c r="AI26" s="380" t="str">
        <f>Настройки!T26</f>
        <v>out24</v>
      </c>
      <c r="AJ26" s="380" t="str">
        <f>Настройки!U26</f>
        <v>out24</v>
      </c>
      <c r="AK26" s="380" t="str">
        <f>Настройки!V26</f>
        <v>-</v>
      </c>
      <c r="AL26" s="380" t="str">
        <f>Настройки!W26</f>
        <v>-</v>
      </c>
      <c r="AM26" s="380" t="str">
        <f>Настройки!X26</f>
        <v>-</v>
      </c>
      <c r="AN26" s="380" t="str">
        <f>Настройки!Y26</f>
        <v>-</v>
      </c>
      <c r="AO26" s="380" t="str">
        <f>Настройки!Z26</f>
        <v>-</v>
      </c>
      <c r="AP26" s="380" t="str">
        <f>Настройки!AA26</f>
        <v>Canal_25</v>
      </c>
      <c r="AQ26" s="380" t="str">
        <f>Настройки!AB26</f>
        <v>Canal_25</v>
      </c>
      <c r="AR26" s="380" t="str">
        <f>Настройки!AC26</f>
        <v>-</v>
      </c>
      <c r="AS26" s="380" t="str">
        <f>Настройки!AD26</f>
        <v>-</v>
      </c>
      <c r="AT26" s="207" t="str">
        <f>Настройки!AB26</f>
        <v>Canal_25</v>
      </c>
      <c r="AU26" s="207" t="str">
        <f>Настройки!AC26</f>
        <v>-</v>
      </c>
      <c r="AV26" s="207" t="str">
        <f>Настройки!AD26</f>
        <v>-</v>
      </c>
      <c r="AW26" s="207" t="str">
        <f>Настройки!AE26</f>
        <v>-</v>
      </c>
      <c r="AX26" s="207" t="str">
        <f>Настройки!AF26</f>
        <v>IDIG_7_1</v>
      </c>
      <c r="AY26" s="207" t="str">
        <f>Настройки!AG26</f>
        <v>Canal_25</v>
      </c>
      <c r="AZ26" s="207" t="str">
        <f>Настройки!AH26</f>
        <v>Canal_25</v>
      </c>
      <c r="BA26" s="207" t="str">
        <f>Настройки!AI26</f>
        <v>Canal_25</v>
      </c>
      <c r="BB26" s="207" t="str">
        <f>Настройки!AJ26</f>
        <v>-</v>
      </c>
      <c r="BC26" s="207" t="str">
        <f>Настройки!AK26</f>
        <v>-</v>
      </c>
      <c r="BD26" s="207" t="str">
        <f>Настройки!AL26</f>
        <v>Canal_25</v>
      </c>
      <c r="BE26" s="207" t="str">
        <f>Настройки!AM26</f>
        <v>-</v>
      </c>
    </row>
    <row r="27" spans="1:57">
      <c r="A27" s="82"/>
      <c r="B27" s="82"/>
      <c r="C27" s="11"/>
      <c r="D27" s="81"/>
      <c r="E27" s="81"/>
      <c r="F27" s="81"/>
      <c r="G27" s="445"/>
      <c r="H27" s="447"/>
      <c r="I27" s="1"/>
      <c r="M27" s="424" t="str">
        <f>'Конфигурация TREI'!A28</f>
        <v>BR26</v>
      </c>
      <c r="N27" s="424" t="str">
        <f>'Конфигурация TREI'!B28</f>
        <v>M558D</v>
      </c>
      <c r="AE27" s="428">
        <f>Настройки!P27</f>
        <v>26</v>
      </c>
      <c r="AF27" s="380">
        <f>Настройки!Q27</f>
        <v>0</v>
      </c>
      <c r="AG27" s="380" t="str">
        <f>Настройки!R27</f>
        <v>-</v>
      </c>
      <c r="AH27" s="380" t="str">
        <f>Настройки!S27</f>
        <v>-</v>
      </c>
      <c r="AI27" s="380" t="str">
        <f>Настройки!T27</f>
        <v>out25</v>
      </c>
      <c r="AJ27" s="380" t="str">
        <f>Настройки!U27</f>
        <v>out25</v>
      </c>
      <c r="AK27" s="380" t="str">
        <f>Настройки!V27</f>
        <v>-</v>
      </c>
      <c r="AL27" s="380" t="str">
        <f>Настройки!W27</f>
        <v>-</v>
      </c>
      <c r="AM27" s="380" t="str">
        <f>Настройки!X27</f>
        <v>-</v>
      </c>
      <c r="AN27" s="380" t="str">
        <f>Настройки!Y27</f>
        <v>-</v>
      </c>
      <c r="AO27" s="380" t="str">
        <f>Настройки!Z27</f>
        <v>-</v>
      </c>
      <c r="AP27" s="380" t="str">
        <f>Настройки!AA27</f>
        <v>Canal_26</v>
      </c>
      <c r="AQ27" s="380" t="str">
        <f>Настройки!AB27</f>
        <v>Canal_26</v>
      </c>
      <c r="AR27" s="380" t="str">
        <f>Настройки!AC27</f>
        <v>-</v>
      </c>
      <c r="AS27" s="380" t="str">
        <f>Настройки!AD27</f>
        <v>-</v>
      </c>
      <c r="AT27" s="207" t="str">
        <f>Настройки!AB27</f>
        <v>Canal_26</v>
      </c>
      <c r="AU27" s="207" t="str">
        <f>Настройки!AC27</f>
        <v>-</v>
      </c>
      <c r="AV27" s="207" t="str">
        <f>Настройки!AD27</f>
        <v>-</v>
      </c>
      <c r="AW27" s="207" t="str">
        <f>Настройки!AE27</f>
        <v>-</v>
      </c>
      <c r="AX27" s="207" t="str">
        <f>Настройки!AF27</f>
        <v>IDIG_7_2</v>
      </c>
      <c r="AY27" s="207" t="str">
        <f>Настройки!AG27</f>
        <v>Canal_26</v>
      </c>
      <c r="AZ27" s="207" t="str">
        <f>Настройки!AH27</f>
        <v>Canal_26</v>
      </c>
      <c r="BA27" s="207" t="str">
        <f>Настройки!AI27</f>
        <v>Canal_26</v>
      </c>
      <c r="BB27" s="207" t="str">
        <f>Настройки!AJ27</f>
        <v>-</v>
      </c>
      <c r="BC27" s="207" t="str">
        <f>Настройки!AK27</f>
        <v>-</v>
      </c>
      <c r="BD27" s="207" t="str">
        <f>Настройки!AL27</f>
        <v>Canal_26</v>
      </c>
      <c r="BE27" s="207" t="str">
        <f>Настройки!AM27</f>
        <v>-</v>
      </c>
    </row>
    <row r="28" spans="1:57">
      <c r="A28" s="82"/>
      <c r="B28" s="82"/>
      <c r="C28" s="11"/>
      <c r="D28" s="81"/>
      <c r="E28" s="81"/>
      <c r="F28" s="81"/>
      <c r="G28" s="445"/>
      <c r="H28" s="447"/>
      <c r="I28" s="1"/>
      <c r="M28" s="424" t="str">
        <f>'Конфигурация TREI'!A29</f>
        <v>BR27</v>
      </c>
      <c r="N28" s="424" t="str">
        <f>'Конфигурация TREI'!B29</f>
        <v>M558D</v>
      </c>
      <c r="AE28" s="428">
        <f>Настройки!P28</f>
        <v>27</v>
      </c>
      <c r="AF28" s="380">
        <f>Настройки!Q28</f>
        <v>0</v>
      </c>
      <c r="AG28" s="380" t="str">
        <f>Настройки!R28</f>
        <v>-</v>
      </c>
      <c r="AH28" s="380" t="str">
        <f>Настройки!S28</f>
        <v>-</v>
      </c>
      <c r="AI28" s="380" t="str">
        <f>Настройки!T28</f>
        <v>out26</v>
      </c>
      <c r="AJ28" s="380" t="str">
        <f>Настройки!U28</f>
        <v>out26</v>
      </c>
      <c r="AK28" s="380" t="str">
        <f>Настройки!V28</f>
        <v>-</v>
      </c>
      <c r="AL28" s="380" t="str">
        <f>Настройки!W28</f>
        <v>-</v>
      </c>
      <c r="AM28" s="380" t="str">
        <f>Настройки!X28</f>
        <v>-</v>
      </c>
      <c r="AN28" s="380" t="str">
        <f>Настройки!Y28</f>
        <v>-</v>
      </c>
      <c r="AO28" s="380" t="str">
        <f>Настройки!Z28</f>
        <v>-</v>
      </c>
      <c r="AP28" s="380" t="str">
        <f>Настройки!AA28</f>
        <v>Canal_27</v>
      </c>
      <c r="AQ28" s="380" t="str">
        <f>Настройки!AB28</f>
        <v>Canal_27</v>
      </c>
      <c r="AR28" s="380" t="str">
        <f>Настройки!AC28</f>
        <v>-</v>
      </c>
      <c r="AS28" s="380" t="str">
        <f>Настройки!AD28</f>
        <v>-</v>
      </c>
      <c r="AT28" s="207" t="str">
        <f>Настройки!AB28</f>
        <v>Canal_27</v>
      </c>
      <c r="AU28" s="207" t="str">
        <f>Настройки!AC28</f>
        <v>-</v>
      </c>
      <c r="AV28" s="207" t="str">
        <f>Настройки!AD28</f>
        <v>-</v>
      </c>
      <c r="AW28" s="207" t="str">
        <f>Настройки!AE28</f>
        <v>-</v>
      </c>
      <c r="AX28" s="207" t="str">
        <f>Настройки!AF28</f>
        <v>IDIG_7_3</v>
      </c>
      <c r="AY28" s="207" t="str">
        <f>Настройки!AG28</f>
        <v>Canal_27</v>
      </c>
      <c r="AZ28" s="207" t="str">
        <f>Настройки!AH28</f>
        <v>Canal_27</v>
      </c>
      <c r="BA28" s="207" t="str">
        <f>Настройки!AI28</f>
        <v>Canal_27</v>
      </c>
      <c r="BB28" s="207" t="str">
        <f>Настройки!AJ28</f>
        <v>-</v>
      </c>
      <c r="BC28" s="207" t="str">
        <f>Настройки!AK28</f>
        <v>-</v>
      </c>
      <c r="BD28" s="207" t="str">
        <f>Настройки!AL28</f>
        <v>Canal_27</v>
      </c>
      <c r="BE28" s="207" t="str">
        <f>Настройки!AM28</f>
        <v>-</v>
      </c>
    </row>
    <row r="29" spans="1:57">
      <c r="A29" s="82"/>
      <c r="B29" s="82"/>
      <c r="C29" s="11"/>
      <c r="D29" s="81"/>
      <c r="E29" s="81"/>
      <c r="F29" s="81"/>
      <c r="G29" s="445"/>
      <c r="H29" s="447"/>
      <c r="I29" s="1"/>
      <c r="M29" s="424" t="str">
        <f>'Конфигурация TREI'!A30</f>
        <v>BR28</v>
      </c>
      <c r="N29" s="424" t="str">
        <f>'Конфигурация TREI'!B30</f>
        <v>M558D</v>
      </c>
      <c r="AE29" s="428">
        <f>Настройки!P29</f>
        <v>28</v>
      </c>
      <c r="AF29" s="380">
        <f>Настройки!Q29</f>
        <v>0</v>
      </c>
      <c r="AG29" s="380" t="str">
        <f>Настройки!R29</f>
        <v>-</v>
      </c>
      <c r="AH29" s="380" t="str">
        <f>Настройки!S29</f>
        <v>-</v>
      </c>
      <c r="AI29" s="380" t="str">
        <f>Настройки!T29</f>
        <v>out27</v>
      </c>
      <c r="AJ29" s="380" t="str">
        <f>Настройки!U29</f>
        <v>out27</v>
      </c>
      <c r="AK29" s="380" t="str">
        <f>Настройки!V29</f>
        <v>-</v>
      </c>
      <c r="AL29" s="380" t="str">
        <f>Настройки!W29</f>
        <v>-</v>
      </c>
      <c r="AM29" s="380" t="str">
        <f>Настройки!X29</f>
        <v>-</v>
      </c>
      <c r="AN29" s="380" t="str">
        <f>Настройки!Y29</f>
        <v>-</v>
      </c>
      <c r="AO29" s="380" t="str">
        <f>Настройки!Z29</f>
        <v>-</v>
      </c>
      <c r="AP29" s="380" t="str">
        <f>Настройки!AA29</f>
        <v>Canal_28</v>
      </c>
      <c r="AQ29" s="380" t="str">
        <f>Настройки!AB29</f>
        <v>Canal_28</v>
      </c>
      <c r="AR29" s="380" t="str">
        <f>Настройки!AC29</f>
        <v>-</v>
      </c>
      <c r="AS29" s="380" t="str">
        <f>Настройки!AD29</f>
        <v>-</v>
      </c>
      <c r="AT29" s="207" t="str">
        <f>Настройки!AB29</f>
        <v>Canal_28</v>
      </c>
      <c r="AU29" s="207" t="str">
        <f>Настройки!AC29</f>
        <v>-</v>
      </c>
      <c r="AV29" s="207" t="str">
        <f>Настройки!AD29</f>
        <v>-</v>
      </c>
      <c r="AW29" s="207" t="str">
        <f>Настройки!AE29</f>
        <v>-</v>
      </c>
      <c r="AX29" s="207" t="str">
        <f>Настройки!AF29</f>
        <v>IDIG_7_4</v>
      </c>
      <c r="AY29" s="207" t="str">
        <f>Настройки!AG29</f>
        <v>Canal_28</v>
      </c>
      <c r="AZ29" s="207" t="str">
        <f>Настройки!AH29</f>
        <v>Canal_28</v>
      </c>
      <c r="BA29" s="207" t="str">
        <f>Настройки!AI29</f>
        <v>Canal_28</v>
      </c>
      <c r="BB29" s="207" t="str">
        <f>Настройки!AJ29</f>
        <v>-</v>
      </c>
      <c r="BC29" s="207" t="str">
        <f>Настройки!AK29</f>
        <v>-</v>
      </c>
      <c r="BD29" s="207" t="str">
        <f>Настройки!AL29</f>
        <v>Canal_28</v>
      </c>
      <c r="BE29" s="207" t="str">
        <f>Настройки!AM29</f>
        <v>-</v>
      </c>
    </row>
    <row r="30" spans="1:57">
      <c r="A30" s="11"/>
      <c r="B30" s="11"/>
      <c r="C30" s="11"/>
      <c r="D30" s="11"/>
      <c r="E30" s="11"/>
      <c r="F30" s="11"/>
      <c r="G30" s="11"/>
      <c r="H30" s="1"/>
      <c r="I30" s="1"/>
      <c r="M30" s="424" t="str">
        <f>'Конфигурация TREI'!A31</f>
        <v>BR29</v>
      </c>
      <c r="N30" s="424" t="str">
        <f>'Конфигурация TREI'!B31</f>
        <v>M558O</v>
      </c>
      <c r="AE30" s="428">
        <f>Настройки!P30</f>
        <v>29</v>
      </c>
      <c r="AF30" s="380">
        <f>Настройки!Q30</f>
        <v>0</v>
      </c>
      <c r="AG30" s="380" t="str">
        <f>Настройки!R30</f>
        <v>-</v>
      </c>
      <c r="AH30" s="380" t="str">
        <f>Настройки!S30</f>
        <v>-</v>
      </c>
      <c r="AI30" s="380" t="str">
        <f>Настройки!T30</f>
        <v>out28</v>
      </c>
      <c r="AJ30" s="380" t="str">
        <f>Настройки!U30</f>
        <v>out28</v>
      </c>
      <c r="AK30" s="380" t="str">
        <f>Настройки!V30</f>
        <v>-</v>
      </c>
      <c r="AL30" s="380" t="str">
        <f>Настройки!W30</f>
        <v>-</v>
      </c>
      <c r="AM30" s="380" t="str">
        <f>Настройки!X30</f>
        <v>-</v>
      </c>
      <c r="AN30" s="380" t="str">
        <f>Настройки!Y30</f>
        <v>-</v>
      </c>
      <c r="AO30" s="380" t="str">
        <f>Настройки!Z30</f>
        <v>-</v>
      </c>
      <c r="AP30" s="380" t="str">
        <f>Настройки!AA30</f>
        <v>Canal_29</v>
      </c>
      <c r="AQ30" s="380" t="str">
        <f>Настройки!AB30</f>
        <v>Canal_29</v>
      </c>
      <c r="AR30" s="380" t="str">
        <f>Настройки!AC30</f>
        <v>-</v>
      </c>
      <c r="AS30" s="380" t="str">
        <f>Настройки!AD30</f>
        <v>-</v>
      </c>
      <c r="AT30" s="207" t="str">
        <f>Настройки!AB30</f>
        <v>Canal_29</v>
      </c>
      <c r="AU30" s="207" t="str">
        <f>Настройки!AC30</f>
        <v>-</v>
      </c>
      <c r="AV30" s="207" t="str">
        <f>Настройки!AD30</f>
        <v>-</v>
      </c>
      <c r="AW30" s="207" t="str">
        <f>Настройки!AE30</f>
        <v>-</v>
      </c>
      <c r="AX30" s="207" t="str">
        <f>Настройки!AF30</f>
        <v>IDIG_8_1</v>
      </c>
      <c r="AY30" s="207" t="str">
        <f>Настройки!AG30</f>
        <v>Canal_29</v>
      </c>
      <c r="AZ30" s="207" t="str">
        <f>Настройки!AH30</f>
        <v>Canal_29</v>
      </c>
      <c r="BA30" s="207" t="str">
        <f>Настройки!AI30</f>
        <v>Canal_29</v>
      </c>
      <c r="BB30" s="207" t="str">
        <f>Настройки!AJ30</f>
        <v>-</v>
      </c>
      <c r="BC30" s="207" t="str">
        <f>Настройки!AK30</f>
        <v>-</v>
      </c>
      <c r="BD30" s="207" t="str">
        <f>Настройки!AL30</f>
        <v>Canal_29</v>
      </c>
      <c r="BE30" s="207" t="str">
        <f>Настройки!AM30</f>
        <v>-</v>
      </c>
    </row>
    <row r="31" spans="1:57">
      <c r="A31" s="82"/>
      <c r="B31" s="82"/>
      <c r="C31" s="81"/>
      <c r="D31" s="81"/>
      <c r="E31" s="81"/>
      <c r="F31" s="81"/>
      <c r="G31" s="445"/>
      <c r="H31" s="445"/>
      <c r="I31" s="1"/>
      <c r="M31" s="424" t="str">
        <f>'Конфигурация TREI'!A32</f>
        <v>BR30</v>
      </c>
      <c r="N31" s="424" t="str">
        <f>'Конфигурация TREI'!B32</f>
        <v>M558D</v>
      </c>
      <c r="AE31" s="428">
        <f>Настройки!P31</f>
        <v>30</v>
      </c>
      <c r="AF31" s="380">
        <f>Настройки!Q31</f>
        <v>0</v>
      </c>
      <c r="AG31" s="380" t="str">
        <f>Настройки!R31</f>
        <v>-</v>
      </c>
      <c r="AH31" s="380" t="str">
        <f>Настройки!S31</f>
        <v>-</v>
      </c>
      <c r="AI31" s="380" t="str">
        <f>Настройки!T31</f>
        <v>out29</v>
      </c>
      <c r="AJ31" s="380" t="str">
        <f>Настройки!U31</f>
        <v>out29</v>
      </c>
      <c r="AK31" s="380" t="str">
        <f>Настройки!V31</f>
        <v>-</v>
      </c>
      <c r="AL31" s="380" t="str">
        <f>Настройки!W31</f>
        <v>-</v>
      </c>
      <c r="AM31" s="380" t="str">
        <f>Настройки!X31</f>
        <v>-</v>
      </c>
      <c r="AN31" s="380" t="str">
        <f>Настройки!Y31</f>
        <v>-</v>
      </c>
      <c r="AO31" s="380" t="str">
        <f>Настройки!Z31</f>
        <v>-</v>
      </c>
      <c r="AP31" s="380" t="str">
        <f>Настройки!AA31</f>
        <v>Canal_30</v>
      </c>
      <c r="AQ31" s="380" t="str">
        <f>Настройки!AB31</f>
        <v>Canal_30</v>
      </c>
      <c r="AR31" s="380" t="str">
        <f>Настройки!AC31</f>
        <v>-</v>
      </c>
      <c r="AS31" s="380" t="str">
        <f>Настройки!AD31</f>
        <v>-</v>
      </c>
      <c r="AT31" s="207" t="str">
        <f>Настройки!AB31</f>
        <v>Canal_30</v>
      </c>
      <c r="AU31" s="207" t="str">
        <f>Настройки!AC31</f>
        <v>-</v>
      </c>
      <c r="AV31" s="207" t="str">
        <f>Настройки!AD31</f>
        <v>-</v>
      </c>
      <c r="AW31" s="207" t="str">
        <f>Настройки!AE31</f>
        <v>-</v>
      </c>
      <c r="AX31" s="207" t="str">
        <f>Настройки!AF31</f>
        <v>IDIG_8_2</v>
      </c>
      <c r="AY31" s="207" t="str">
        <f>Настройки!AG31</f>
        <v>Canal_30</v>
      </c>
      <c r="AZ31" s="207" t="str">
        <f>Настройки!AH31</f>
        <v>Canal_30</v>
      </c>
      <c r="BA31" s="207" t="str">
        <f>Настройки!AI31</f>
        <v>Canal_30</v>
      </c>
      <c r="BB31" s="207" t="str">
        <f>Настройки!AJ31</f>
        <v>-</v>
      </c>
      <c r="BC31" s="207" t="str">
        <f>Настройки!AK31</f>
        <v>-</v>
      </c>
      <c r="BD31" s="207" t="str">
        <f>Настройки!AL31</f>
        <v>Canal_30</v>
      </c>
      <c r="BE31" s="207" t="str">
        <f>Настройки!AM31</f>
        <v>-</v>
      </c>
    </row>
    <row r="32" spans="1:57">
      <c r="A32" s="82"/>
      <c r="B32" s="82"/>
      <c r="C32" s="81"/>
      <c r="D32" s="81"/>
      <c r="E32" s="81"/>
      <c r="F32" s="81"/>
      <c r="G32" s="445"/>
      <c r="H32" s="445"/>
      <c r="I32" s="1"/>
      <c r="M32" s="424" t="str">
        <f>'Конфигурация TREI'!A33</f>
        <v>BR31</v>
      </c>
      <c r="N32" s="424" t="str">
        <f>'Конфигурация TREI'!B33</f>
        <v>M558D</v>
      </c>
      <c r="AE32" s="428">
        <f>Настройки!P32</f>
        <v>31</v>
      </c>
      <c r="AF32" s="380">
        <f>Настройки!Q32</f>
        <v>0</v>
      </c>
      <c r="AG32" s="380" t="str">
        <f>Настройки!R32</f>
        <v>-</v>
      </c>
      <c r="AH32" s="380" t="str">
        <f>Настройки!S32</f>
        <v>-</v>
      </c>
      <c r="AI32" s="380" t="str">
        <f>Настройки!T32</f>
        <v>out30</v>
      </c>
      <c r="AJ32" s="380" t="str">
        <f>Настройки!U32</f>
        <v>out30</v>
      </c>
      <c r="AK32" s="380" t="str">
        <f>Настройки!V32</f>
        <v>-</v>
      </c>
      <c r="AL32" s="380" t="str">
        <f>Настройки!W32</f>
        <v>-</v>
      </c>
      <c r="AM32" s="380" t="str">
        <f>Настройки!X32</f>
        <v>-</v>
      </c>
      <c r="AN32" s="380" t="str">
        <f>Настройки!Y32</f>
        <v>-</v>
      </c>
      <c r="AO32" s="380" t="str">
        <f>Настройки!Z32</f>
        <v>-</v>
      </c>
      <c r="AP32" s="380" t="str">
        <f>Настройки!AA32</f>
        <v>Canal_31</v>
      </c>
      <c r="AQ32" s="380" t="str">
        <f>Настройки!AB32</f>
        <v>Canal_31</v>
      </c>
      <c r="AR32" s="380" t="str">
        <f>Настройки!AC32</f>
        <v>-</v>
      </c>
      <c r="AS32" s="380" t="str">
        <f>Настройки!AD32</f>
        <v>-</v>
      </c>
      <c r="AT32" s="207" t="str">
        <f>Настройки!AB32</f>
        <v>Canal_31</v>
      </c>
      <c r="AU32" s="207" t="str">
        <f>Настройки!AC32</f>
        <v>-</v>
      </c>
      <c r="AV32" s="207" t="str">
        <f>Настройки!AD32</f>
        <v>-</v>
      </c>
      <c r="AW32" s="207" t="str">
        <f>Настройки!AE32</f>
        <v>-</v>
      </c>
      <c r="AX32" s="207" t="str">
        <f>Настройки!AF32</f>
        <v>IDIG_8_3</v>
      </c>
      <c r="AY32" s="207" t="str">
        <f>Настройки!AG32</f>
        <v>Canal_31</v>
      </c>
      <c r="AZ32" s="207" t="str">
        <f>Настройки!AH32</f>
        <v>Canal_31</v>
      </c>
      <c r="BA32" s="207" t="str">
        <f>Настройки!AI32</f>
        <v>Canal_31</v>
      </c>
      <c r="BB32" s="207" t="str">
        <f>Настройки!AJ32</f>
        <v>-</v>
      </c>
      <c r="BC32" s="207" t="str">
        <f>Настройки!AK32</f>
        <v>-</v>
      </c>
      <c r="BD32" s="207" t="str">
        <f>Настройки!AL32</f>
        <v>Canal_31</v>
      </c>
      <c r="BE32" s="207" t="str">
        <f>Настройки!AM32</f>
        <v>-</v>
      </c>
    </row>
    <row r="33" spans="1:57">
      <c r="A33" s="82"/>
      <c r="B33" s="82"/>
      <c r="C33" s="81"/>
      <c r="D33" s="81"/>
      <c r="E33" s="81"/>
      <c r="F33" s="81"/>
      <c r="G33" s="445"/>
      <c r="H33" s="445"/>
      <c r="I33" s="1"/>
      <c r="M33" s="424" t="str">
        <f>'Конфигурация TREI'!A34</f>
        <v>BR32</v>
      </c>
      <c r="N33" s="424" t="str">
        <f>'Конфигурация TREI'!B34</f>
        <v>M558D</v>
      </c>
      <c r="AE33" s="620">
        <f>Настройки!P33</f>
        <v>32</v>
      </c>
      <c r="AF33" s="621">
        <f>Настройки!Q33</f>
        <v>0</v>
      </c>
      <c r="AG33" s="621" t="str">
        <f>Настройки!R33</f>
        <v>-</v>
      </c>
      <c r="AH33" s="621" t="str">
        <f>Настройки!S33</f>
        <v>-</v>
      </c>
      <c r="AI33" s="621" t="str">
        <f>Настройки!T33</f>
        <v>out31</v>
      </c>
      <c r="AJ33" s="621" t="str">
        <f>Настройки!U33</f>
        <v>out31</v>
      </c>
      <c r="AK33" s="621" t="str">
        <f>Настройки!V33</f>
        <v>-</v>
      </c>
      <c r="AL33" s="621" t="str">
        <f>Настройки!W33</f>
        <v>-</v>
      </c>
      <c r="AM33" s="621" t="str">
        <f>Настройки!X33</f>
        <v>-</v>
      </c>
      <c r="AN33" s="621" t="str">
        <f>Настройки!Y33</f>
        <v>-</v>
      </c>
      <c r="AO33" s="621" t="str">
        <f>Настройки!Z33</f>
        <v>-</v>
      </c>
      <c r="AP33" s="621" t="str">
        <f>Настройки!AA33</f>
        <v>Canal_32</v>
      </c>
      <c r="AQ33" s="621" t="str">
        <f>Настройки!AB33</f>
        <v>Canal_32</v>
      </c>
      <c r="AR33" s="621" t="str">
        <f>Настройки!AC33</f>
        <v>-</v>
      </c>
      <c r="AS33" s="621" t="str">
        <f>Настройки!AD33</f>
        <v>-</v>
      </c>
      <c r="AT33" s="622" t="str">
        <f>Настройки!AB33</f>
        <v>Canal_32</v>
      </c>
      <c r="AU33" s="622" t="str">
        <f>Настройки!AC33</f>
        <v>-</v>
      </c>
      <c r="AV33" s="622" t="str">
        <f>Настройки!AD33</f>
        <v>-</v>
      </c>
      <c r="AW33" s="622" t="str">
        <f>Настройки!AE33</f>
        <v>-</v>
      </c>
      <c r="AX33" s="622" t="str">
        <f>Настройки!AF33</f>
        <v>IDIG_8_4</v>
      </c>
      <c r="AY33" s="622" t="str">
        <f>Настройки!AG33</f>
        <v>Canal_32</v>
      </c>
      <c r="AZ33" s="622" t="str">
        <f>Настройки!AH33</f>
        <v>Canal_32</v>
      </c>
      <c r="BA33" s="622" t="str">
        <f>Настройки!AI33</f>
        <v>Canal_32</v>
      </c>
      <c r="BB33" s="622" t="str">
        <f>Настройки!AJ33</f>
        <v>-</v>
      </c>
      <c r="BC33" s="622" t="str">
        <f>Настройки!AK33</f>
        <v>-</v>
      </c>
      <c r="BD33" s="622" t="str">
        <f>Настройки!AL33</f>
        <v>Canal_32</v>
      </c>
      <c r="BE33" s="622" t="str">
        <f>Настройки!AM33</f>
        <v>-</v>
      </c>
    </row>
    <row r="34" spans="1:57">
      <c r="A34" s="82"/>
      <c r="B34" s="82"/>
      <c r="C34" s="81"/>
      <c r="D34" s="81"/>
      <c r="E34" s="81"/>
      <c r="F34" s="81"/>
      <c r="G34" s="445"/>
      <c r="H34" s="445"/>
      <c r="I34" s="1"/>
      <c r="M34" s="424" t="str">
        <f>'Конфигурация TREI'!A35</f>
        <v>BR33</v>
      </c>
      <c r="N34" s="424" t="str">
        <f>'Конфигурация TREI'!B35</f>
        <v>M558D</v>
      </c>
      <c r="AE34" s="624"/>
      <c r="AF34" s="624"/>
      <c r="AG34" s="624"/>
      <c r="AH34" s="624"/>
      <c r="AI34" s="624"/>
      <c r="AJ34" s="624"/>
      <c r="AK34" s="624"/>
      <c r="AL34" s="624"/>
      <c r="AM34" s="624"/>
      <c r="AN34" s="624"/>
      <c r="AO34" s="624"/>
      <c r="AP34" s="624"/>
      <c r="AQ34" s="624"/>
      <c r="AR34" s="624"/>
      <c r="AS34" s="624"/>
      <c r="AT34" s="625"/>
      <c r="AU34" s="625"/>
      <c r="AV34" s="625"/>
      <c r="AW34" s="625"/>
      <c r="AX34" s="625"/>
      <c r="AY34" s="625"/>
      <c r="AZ34" s="625"/>
      <c r="BA34" s="625"/>
      <c r="BB34" s="625"/>
      <c r="BC34" s="625"/>
      <c r="BD34" s="625"/>
      <c r="BE34" s="625"/>
    </row>
    <row r="35" spans="1:57">
      <c r="A35" s="82"/>
      <c r="B35" s="82"/>
      <c r="C35" s="81"/>
      <c r="D35" s="81"/>
      <c r="E35" s="81"/>
      <c r="F35" s="81"/>
      <c r="G35" s="445"/>
      <c r="H35" s="445"/>
      <c r="I35" s="1"/>
      <c r="M35" s="424" t="str">
        <f>'Конфигурация TREI'!A36</f>
        <v>BR34</v>
      </c>
      <c r="N35" s="424" t="str">
        <f>'Конфигурация TREI'!B36</f>
        <v>M558D</v>
      </c>
      <c r="AE35" s="505"/>
      <c r="AF35" s="505"/>
      <c r="AG35" s="505"/>
      <c r="AH35" s="505"/>
      <c r="AI35" s="505"/>
      <c r="AJ35" s="505"/>
      <c r="AK35" s="505"/>
      <c r="AL35" s="505"/>
      <c r="AM35" s="505"/>
      <c r="AN35" s="505"/>
      <c r="AO35" s="505"/>
      <c r="AP35" s="505"/>
      <c r="AQ35" s="505"/>
      <c r="AR35" s="505"/>
      <c r="AS35" s="505"/>
      <c r="AT35" s="623"/>
      <c r="AU35" s="623"/>
      <c r="AV35" s="623"/>
      <c r="AW35" s="623"/>
      <c r="AX35" s="623"/>
      <c r="AY35" s="623"/>
      <c r="AZ35" s="623"/>
      <c r="BA35" s="623"/>
      <c r="BB35" s="623"/>
      <c r="BC35" s="623"/>
      <c r="BD35" s="623"/>
      <c r="BE35" s="623"/>
    </row>
    <row r="36" spans="1:57">
      <c r="A36" s="82"/>
      <c r="B36" s="82"/>
      <c r="C36" s="81"/>
      <c r="D36" s="81"/>
      <c r="E36" s="81"/>
      <c r="F36" s="81"/>
      <c r="G36" s="445"/>
      <c r="H36" s="445"/>
      <c r="I36" s="1"/>
      <c r="M36" s="424" t="str">
        <f>'Конфигурация TREI'!A37</f>
        <v>BR35</v>
      </c>
      <c r="N36" s="424" t="str">
        <f>'Конфигурация TREI'!B37</f>
        <v>M558D</v>
      </c>
      <c r="AE36" s="505"/>
      <c r="AF36" s="505"/>
      <c r="AG36" s="505"/>
      <c r="AH36" s="505"/>
      <c r="AI36" s="505"/>
      <c r="AJ36" s="505"/>
      <c r="AK36" s="505"/>
      <c r="AL36" s="505"/>
      <c r="AM36" s="505"/>
      <c r="AN36" s="505"/>
      <c r="AO36" s="505"/>
      <c r="AP36" s="505"/>
      <c r="AQ36" s="505"/>
      <c r="AR36" s="505"/>
      <c r="AS36" s="505"/>
      <c r="AT36" s="623"/>
      <c r="AU36" s="623"/>
      <c r="AV36" s="623"/>
      <c r="AW36" s="623"/>
      <c r="AX36" s="623"/>
      <c r="AY36" s="623"/>
      <c r="AZ36" s="623"/>
      <c r="BA36" s="623"/>
      <c r="BB36" s="623"/>
      <c r="BC36" s="623"/>
      <c r="BD36" s="623"/>
      <c r="BE36" s="623"/>
    </row>
    <row r="37" spans="1:57" ht="15.75" customHeight="1">
      <c r="A37" s="82"/>
      <c r="B37" s="82"/>
      <c r="C37" s="81"/>
      <c r="D37" s="81"/>
      <c r="E37" s="81"/>
      <c r="F37" s="81"/>
      <c r="G37" s="445"/>
      <c r="H37" s="445"/>
      <c r="I37" s="1"/>
      <c r="M37" s="424" t="str">
        <f>'Конфигурация TREI'!A38</f>
        <v>BR36</v>
      </c>
      <c r="N37" s="424">
        <f>'Конфигурация TREI'!B38</f>
        <v>0</v>
      </c>
      <c r="AE37" s="505"/>
      <c r="AF37" s="505"/>
      <c r="AG37" s="505"/>
      <c r="AH37" s="505"/>
      <c r="AI37" s="505"/>
      <c r="AJ37" s="505"/>
      <c r="AK37" s="505"/>
      <c r="AL37" s="505"/>
      <c r="AM37" s="505"/>
      <c r="AN37" s="505"/>
      <c r="AO37" s="505"/>
      <c r="AP37" s="505"/>
      <c r="AQ37" s="505"/>
      <c r="AR37" s="505"/>
      <c r="AS37" s="505"/>
      <c r="AT37" s="623"/>
      <c r="AU37" s="623"/>
      <c r="AV37" s="623"/>
      <c r="AW37" s="623"/>
      <c r="AX37" s="623"/>
      <c r="AY37" s="623"/>
      <c r="AZ37" s="623"/>
      <c r="BA37" s="623"/>
      <c r="BB37" s="623"/>
      <c r="BC37" s="623"/>
      <c r="BD37" s="623"/>
      <c r="BE37" s="623"/>
    </row>
    <row r="38" spans="1:57">
      <c r="A38" s="82"/>
      <c r="B38" s="82"/>
      <c r="C38" s="81"/>
      <c r="D38" s="81"/>
      <c r="E38" s="81"/>
      <c r="F38" s="81"/>
      <c r="G38" s="445"/>
      <c r="H38" s="445"/>
      <c r="I38" s="1"/>
      <c r="M38" s="424" t="str">
        <f>'Конфигурация TREI'!A39</f>
        <v>BR37</v>
      </c>
      <c r="N38" s="424">
        <f>'Конфигурация TREI'!B39</f>
        <v>0</v>
      </c>
      <c r="AE38" s="505"/>
      <c r="AF38" s="505"/>
      <c r="AG38" s="505"/>
      <c r="AH38" s="505"/>
      <c r="AI38" s="505"/>
      <c r="AJ38" s="505"/>
      <c r="AK38" s="505"/>
      <c r="AL38" s="505"/>
      <c r="AM38" s="505"/>
      <c r="AN38" s="505"/>
      <c r="AO38" s="505"/>
      <c r="AP38" s="505"/>
      <c r="AQ38" s="505"/>
      <c r="AR38" s="505"/>
      <c r="AS38" s="505"/>
      <c r="AT38" s="623"/>
      <c r="AU38" s="623"/>
      <c r="AV38" s="623"/>
      <c r="AW38" s="623"/>
      <c r="AX38" s="623"/>
      <c r="AY38" s="623"/>
      <c r="AZ38" s="623"/>
      <c r="BA38" s="623"/>
      <c r="BB38" s="623"/>
      <c r="BC38" s="623"/>
      <c r="BD38" s="623"/>
      <c r="BE38" s="623"/>
    </row>
    <row r="39" spans="1:57">
      <c r="A39" s="82"/>
      <c r="B39" s="82"/>
      <c r="C39" s="81"/>
      <c r="D39" s="81"/>
      <c r="E39" s="81"/>
      <c r="F39" s="81"/>
      <c r="G39" s="445"/>
      <c r="H39" s="445"/>
      <c r="I39" s="1"/>
      <c r="M39" s="424" t="str">
        <f>'Конфигурация TREI'!A40</f>
        <v>BR38</v>
      </c>
      <c r="N39" s="424">
        <f>'Конфигурация TREI'!B40</f>
        <v>0</v>
      </c>
      <c r="AE39" s="505"/>
      <c r="AF39" s="505"/>
      <c r="AG39" s="505"/>
      <c r="AH39" s="505"/>
      <c r="AI39" s="505"/>
      <c r="AJ39" s="505"/>
      <c r="AK39" s="505"/>
      <c r="AL39" s="505"/>
      <c r="AM39" s="505"/>
      <c r="AN39" s="505"/>
      <c r="AO39" s="505"/>
      <c r="AP39" s="505"/>
      <c r="AQ39" s="505"/>
      <c r="AR39" s="505"/>
      <c r="AS39" s="505"/>
      <c r="AT39" s="623"/>
      <c r="AU39" s="623"/>
      <c r="AV39" s="623"/>
      <c r="AW39" s="623"/>
      <c r="AX39" s="623"/>
      <c r="AY39" s="623"/>
      <c r="AZ39" s="623"/>
      <c r="BA39" s="623"/>
      <c r="BB39" s="623"/>
      <c r="BC39" s="623"/>
      <c r="BD39" s="623"/>
      <c r="BE39" s="623"/>
    </row>
    <row r="40" spans="1:57">
      <c r="A40" s="82"/>
      <c r="B40" s="82"/>
      <c r="C40" s="81"/>
      <c r="D40" s="81"/>
      <c r="E40" s="81"/>
      <c r="F40" s="81"/>
      <c r="G40" s="445"/>
      <c r="H40" s="445"/>
      <c r="I40" s="1"/>
      <c r="M40" s="424" t="str">
        <f>'Конфигурация TREI'!A41</f>
        <v>BR39</v>
      </c>
      <c r="N40" s="424">
        <f>'Конфигурация TREI'!B41</f>
        <v>0</v>
      </c>
      <c r="AE40" s="505"/>
      <c r="AF40" s="505"/>
      <c r="AG40" s="505"/>
      <c r="AH40" s="505"/>
      <c r="AI40" s="505"/>
      <c r="AJ40" s="505"/>
      <c r="AK40" s="505"/>
      <c r="AL40" s="505"/>
      <c r="AM40" s="505"/>
      <c r="AN40" s="505"/>
      <c r="AO40" s="505"/>
      <c r="AP40" s="505"/>
      <c r="AQ40" s="505"/>
      <c r="AR40" s="505"/>
      <c r="AS40" s="505"/>
      <c r="AT40" s="623"/>
      <c r="AU40" s="623"/>
      <c r="AV40" s="623"/>
      <c r="AW40" s="623"/>
      <c r="AX40" s="623"/>
      <c r="AY40" s="623"/>
      <c r="AZ40" s="623"/>
      <c r="BA40" s="623"/>
      <c r="BB40" s="623"/>
      <c r="BC40" s="623"/>
      <c r="BD40" s="623"/>
      <c r="BE40" s="623"/>
    </row>
    <row r="41" spans="1:57">
      <c r="A41" s="82"/>
      <c r="B41" s="82"/>
      <c r="C41" s="81"/>
      <c r="D41" s="81"/>
      <c r="E41" s="81"/>
      <c r="F41" s="81"/>
      <c r="G41" s="445"/>
      <c r="H41" s="445"/>
      <c r="I41" s="1"/>
      <c r="M41" s="424" t="str">
        <f>'Конфигурация TREI'!A42</f>
        <v>BR40</v>
      </c>
      <c r="N41" s="424">
        <f>'Конфигурация TREI'!B42</f>
        <v>0</v>
      </c>
      <c r="AE41" s="505"/>
      <c r="AF41" s="505"/>
      <c r="AG41" s="505"/>
      <c r="AH41" s="505"/>
      <c r="AI41" s="505"/>
      <c r="AJ41" s="505"/>
      <c r="AK41" s="505"/>
      <c r="AL41" s="505"/>
      <c r="AM41" s="505"/>
      <c r="AN41" s="505"/>
      <c r="AO41" s="505"/>
      <c r="AP41" s="505"/>
      <c r="AQ41" s="505"/>
      <c r="AR41" s="505"/>
      <c r="AS41" s="505"/>
      <c r="AT41" s="623"/>
      <c r="AU41" s="623"/>
      <c r="AV41" s="623"/>
      <c r="AW41" s="623"/>
      <c r="AX41" s="623"/>
      <c r="AY41" s="623"/>
      <c r="AZ41" s="623"/>
      <c r="BA41" s="623"/>
      <c r="BB41" s="623"/>
      <c r="BC41" s="623"/>
      <c r="BD41" s="623"/>
      <c r="BE41" s="623"/>
    </row>
    <row r="42" spans="1:57">
      <c r="M42" s="424" t="str">
        <f>'Конфигурация TREI'!A43</f>
        <v>BR41</v>
      </c>
      <c r="N42" s="424">
        <f>'Конфигурация TREI'!B43</f>
        <v>0</v>
      </c>
    </row>
    <row r="43" spans="1:57">
      <c r="M43" s="424" t="str">
        <f>'Конфигурация TREI'!A44</f>
        <v>BR42</v>
      </c>
      <c r="N43" s="424">
        <f>'Конфигурация TREI'!B44</f>
        <v>0</v>
      </c>
    </row>
    <row r="44" spans="1:57">
      <c r="M44" s="424" t="str">
        <f>'Конфигурация TREI'!A45</f>
        <v>BR43</v>
      </c>
      <c r="N44" s="424">
        <f>'Конфигурация TREI'!B45</f>
        <v>0</v>
      </c>
    </row>
    <row r="45" spans="1:57">
      <c r="M45" s="424" t="str">
        <f>'Конфигурация TREI'!A46</f>
        <v>BR44</v>
      </c>
      <c r="N45" s="424">
        <f>'Конфигурация TREI'!B46</f>
        <v>0</v>
      </c>
    </row>
    <row r="46" spans="1:57">
      <c r="M46" s="424" t="str">
        <f>'Конфигурация TREI'!A47</f>
        <v>BR45</v>
      </c>
      <c r="N46" s="424">
        <f>'Конфигурация TREI'!B47</f>
        <v>0</v>
      </c>
    </row>
    <row r="47" spans="1:57">
      <c r="M47" s="424" t="str">
        <f>'Конфигурация TREI'!A48</f>
        <v>BR46</v>
      </c>
      <c r="N47" s="424">
        <f>'Конфигурация TREI'!B48</f>
        <v>0</v>
      </c>
    </row>
    <row r="48" spans="1:57">
      <c r="M48" s="424" t="str">
        <f>'Конфигурация TREI'!A49</f>
        <v>BR47</v>
      </c>
      <c r="N48" s="424">
        <f>'Конфигурация TREI'!B49</f>
        <v>0</v>
      </c>
    </row>
    <row r="49" spans="13:14">
      <c r="M49" s="424" t="str">
        <f>'Конфигурация TREI'!A50</f>
        <v>BR48</v>
      </c>
      <c r="N49" s="424">
        <f>'Конфигурация TREI'!B50</f>
        <v>0</v>
      </c>
    </row>
    <row r="50" spans="13:14">
      <c r="M50" s="424" t="str">
        <f>'Конфигурация TREI'!A51</f>
        <v>BR49</v>
      </c>
      <c r="N50" s="424">
        <f>'Конфигурация TREI'!B51</f>
        <v>0</v>
      </c>
    </row>
    <row r="51" spans="13:14">
      <c r="M51" s="424" t="str">
        <f>'Конфигурация TREI'!A52</f>
        <v>BR50</v>
      </c>
      <c r="N51" s="424">
        <f>'Конфигурация TREI'!B52</f>
        <v>0</v>
      </c>
    </row>
    <row r="52" spans="13:14">
      <c r="M52" s="424" t="str">
        <f>'Конфигурация TREI'!A53</f>
        <v>BR51</v>
      </c>
      <c r="N52" s="424">
        <f>'Конфигурация TREI'!B53</f>
        <v>0</v>
      </c>
    </row>
    <row r="53" spans="13:14">
      <c r="M53" s="424" t="str">
        <f>'Конфигурация TREI'!A54</f>
        <v>BR52</v>
      </c>
      <c r="N53" s="424">
        <f>'Конфигурация TREI'!B54</f>
        <v>0</v>
      </c>
    </row>
    <row r="54" spans="13:14">
      <c r="M54" s="424" t="str">
        <f>'Конфигурация TREI'!A55</f>
        <v>BR53</v>
      </c>
      <c r="N54" s="424">
        <f>'Конфигурация TREI'!B55</f>
        <v>0</v>
      </c>
    </row>
    <row r="55" spans="13:14">
      <c r="M55" s="424" t="str">
        <f>'Конфигурация TREI'!A56</f>
        <v>BR54</v>
      </c>
      <c r="N55" s="424">
        <f>'Конфигурация TREI'!B56</f>
        <v>0</v>
      </c>
    </row>
    <row r="56" spans="13:14">
      <c r="M56" s="424" t="str">
        <f>'Конфигурация TREI'!A57</f>
        <v>BR55</v>
      </c>
      <c r="N56" s="424">
        <f>'Конфигурация TREI'!B57</f>
        <v>0</v>
      </c>
    </row>
    <row r="57" spans="13:14">
      <c r="M57" s="424" t="str">
        <f>'Конфигурация TREI'!A58</f>
        <v>BR56</v>
      </c>
      <c r="N57" s="424">
        <f>'Конфигурация TREI'!B58</f>
        <v>0</v>
      </c>
    </row>
    <row r="58" spans="13:14">
      <c r="M58" s="424" t="str">
        <f>'Конфигурация TREI'!A59</f>
        <v>BR57</v>
      </c>
      <c r="N58" s="424">
        <f>'Конфигурация TREI'!B59</f>
        <v>0</v>
      </c>
    </row>
    <row r="59" spans="13:14">
      <c r="M59" s="424" t="str">
        <f>'Конфигурация TREI'!A60</f>
        <v>BR58</v>
      </c>
      <c r="N59" s="424">
        <f>'Конфигурация TREI'!B60</f>
        <v>0</v>
      </c>
    </row>
    <row r="60" spans="13:14">
      <c r="M60" s="424" t="str">
        <f>'Конфигурация TREI'!A61</f>
        <v>BR59</v>
      </c>
      <c r="N60" s="424">
        <f>'Конфигурация TREI'!B61</f>
        <v>0</v>
      </c>
    </row>
    <row r="61" spans="13:14">
      <c r="M61" s="424" t="str">
        <f>'Конфигурация TREI'!A62</f>
        <v>BR60</v>
      </c>
      <c r="N61" s="424">
        <f>'Конфигурация TREI'!B62</f>
        <v>0</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sheetPr codeName="Лист119">
    <tabColor theme="2" tint="-0.249977111117893"/>
  </sheetPr>
  <dimension ref="A1:BE61"/>
  <sheetViews>
    <sheetView topLeftCell="A28" workbookViewId="0">
      <selection activeCell="D2" sqref="D2:D4"/>
    </sheetView>
  </sheetViews>
  <sheetFormatPr defaultRowHeight="14.4"/>
  <cols>
    <col min="1" max="1" width="35.44140625" customWidth="1"/>
    <col min="2" max="2" width="21.44140625" customWidth="1"/>
    <col min="3" max="3" width="3.44140625" customWidth="1"/>
    <col min="4" max="4" width="1.109375" customWidth="1"/>
    <col min="5" max="5" width="33.44140625" customWidth="1"/>
    <col min="6" max="6" width="17.6640625" customWidth="1"/>
    <col min="7" max="7" width="10.5546875" customWidth="1"/>
    <col min="8" max="8" width="14.33203125" customWidth="1"/>
    <col min="9" max="9" width="11.44140625" customWidth="1"/>
    <col min="10" max="10" width="9.109375" hidden="1" customWidth="1"/>
    <col min="11" max="11" width="10.88671875" customWidth="1"/>
    <col min="12" max="12" width="11.5546875" customWidth="1"/>
    <col min="13" max="15" width="9.109375" customWidth="1"/>
    <col min="16" max="16" width="34.6640625" customWidth="1"/>
    <col min="17" max="17" width="39.33203125" customWidth="1"/>
    <col min="18" max="30" width="26.109375" style="55" customWidth="1"/>
    <col min="31" max="31" width="4.5546875" style="427" customWidth="1"/>
    <col min="32" max="32" width="11.109375" customWidth="1"/>
  </cols>
  <sheetData>
    <row r="1" spans="1:57">
      <c r="A1" s="425"/>
      <c r="B1" s="425"/>
      <c r="C1" s="425"/>
      <c r="D1" s="425"/>
      <c r="E1" s="425"/>
      <c r="F1" s="425"/>
      <c r="G1" s="426" t="s">
        <v>846</v>
      </c>
      <c r="H1" s="426" t="s">
        <v>847</v>
      </c>
      <c r="I1" s="424" t="s">
        <v>1181</v>
      </c>
      <c r="J1" s="425"/>
      <c r="M1" s="424" t="str">
        <f>'Конфигурация TREI'!A1</f>
        <v>№ Модуля</v>
      </c>
      <c r="N1" s="424" t="str">
        <f>'Конфигурация TREI'!B2</f>
        <v>M501E(рез)</v>
      </c>
      <c r="O1" s="425"/>
      <c r="P1" s="425" t="str">
        <f>Таблица!D1</f>
        <v>Префикс для TREI
Тэг ОРС для INFINITY</v>
      </c>
      <c r="Q1" s="425" t="str">
        <f>Таблица!E1</f>
        <v>Комментарий для TREI и INFINITY</v>
      </c>
      <c r="R1" s="452"/>
      <c r="S1" s="452" t="s">
        <v>858</v>
      </c>
      <c r="T1" s="452" t="s">
        <v>859</v>
      </c>
      <c r="U1" s="452"/>
      <c r="V1" s="452"/>
      <c r="W1" s="452" t="s">
        <v>850</v>
      </c>
      <c r="X1" s="452"/>
      <c r="Y1" s="452"/>
      <c r="Z1" s="452" t="s">
        <v>853</v>
      </c>
      <c r="AA1" s="452"/>
      <c r="AB1" s="452"/>
      <c r="AC1" s="452" t="s">
        <v>856</v>
      </c>
      <c r="AD1" s="453"/>
      <c r="AE1" s="438"/>
      <c r="AF1" s="438">
        <f>Настройки!Q1</f>
        <v>0</v>
      </c>
      <c r="AG1" s="438" t="str">
        <f>Настройки!R1</f>
        <v>M943DR</v>
      </c>
      <c r="AH1" s="438" t="str">
        <f>Настройки!S1</f>
        <v>M942A</v>
      </c>
      <c r="AI1" s="438" t="str">
        <f>Настройки!T1</f>
        <v>M957D</v>
      </c>
      <c r="AJ1" s="438" t="str">
        <f>Настройки!U1</f>
        <v>M957O</v>
      </c>
      <c r="AK1" s="438" t="str">
        <f>Настройки!V1</f>
        <v>M947R</v>
      </c>
      <c r="AL1" s="438" t="str">
        <f>Настройки!W1</f>
        <v>M931V</v>
      </c>
      <c r="AM1" s="438" t="str">
        <f>Настройки!X1</f>
        <v>M931T</v>
      </c>
      <c r="AN1" s="438" t="str">
        <f>Настройки!Y1</f>
        <v>M547A</v>
      </c>
      <c r="AO1" s="438" t="str">
        <f>Настройки!Z1</f>
        <v>M537V</v>
      </c>
      <c r="AP1" s="438" t="str">
        <f>Настройки!AA1</f>
        <v>M557D</v>
      </c>
      <c r="AQ1" s="438" t="str">
        <f>Настройки!AB1</f>
        <v>M557O</v>
      </c>
      <c r="AR1" s="438" t="str">
        <f>Настройки!AC1</f>
        <v>MOPS</v>
      </c>
      <c r="AS1" s="438" t="str">
        <f>Настройки!AD1</f>
        <v>MUPS</v>
      </c>
      <c r="AT1" s="439" t="str">
        <f>Настройки!AB1</f>
        <v>M557O</v>
      </c>
      <c r="AU1" s="439" t="str">
        <f>Настройки!AC1</f>
        <v>MOPS</v>
      </c>
      <c r="AV1" s="439" t="str">
        <f>Настройки!AD1</f>
        <v>MUPS</v>
      </c>
      <c r="AW1" s="439" t="str">
        <f>Настройки!AE1</f>
        <v>M941A</v>
      </c>
      <c r="AX1" s="439" t="str">
        <f>Настройки!AF1</f>
        <v>M954D</v>
      </c>
      <c r="AY1" s="439" t="str">
        <f>Настройки!AG1</f>
        <v>M557DR</v>
      </c>
      <c r="AZ1" s="439" t="str">
        <f>Настройки!AH1</f>
        <v>M558D</v>
      </c>
      <c r="BA1" s="439" t="str">
        <f>Настройки!AI1</f>
        <v>M558O</v>
      </c>
      <c r="BB1" s="439" t="str">
        <f>Настройки!AJ1</f>
        <v>M548A</v>
      </c>
      <c r="BC1" s="439" t="str">
        <f>Настройки!AK1</f>
        <v>M538V</v>
      </c>
      <c r="BD1" s="439" t="str">
        <f>Настройки!AL1</f>
        <v>M558DR</v>
      </c>
      <c r="BE1" s="439" t="str">
        <f>Настройки!AM1</f>
        <v>*</v>
      </c>
    </row>
    <row r="2" spans="1:57">
      <c r="A2" s="446" t="str">
        <f>"//*********** "&amp;Q2&amp;" ***********"</f>
        <v>//*********** Выключатель с защитой без управления и без тележки ***********</v>
      </c>
      <c r="B2" s="446"/>
      <c r="C2" s="446"/>
      <c r="D2" s="446"/>
      <c r="E2" s="446"/>
      <c r="F2" s="446" t="s">
        <v>1031</v>
      </c>
      <c r="G2" s="447"/>
      <c r="H2" s="447"/>
      <c r="I2" s="459"/>
      <c r="M2" s="463" t="str">
        <f>'Конфигурация TREI'!A3</f>
        <v>BR1</v>
      </c>
      <c r="N2" s="424" t="str">
        <f>'Конфигурация TREI'!B3</f>
        <v>M558D</v>
      </c>
      <c r="P2" s="2" t="s">
        <v>298</v>
      </c>
      <c r="Q2" s="449" t="s">
        <v>772</v>
      </c>
      <c r="R2" s="451"/>
      <c r="S2" s="454" t="s">
        <v>1282</v>
      </c>
      <c r="T2" s="454" t="s">
        <v>1283</v>
      </c>
      <c r="U2" s="454"/>
      <c r="V2" s="454"/>
      <c r="W2" s="454" t="s">
        <v>1284</v>
      </c>
      <c r="X2" s="454"/>
      <c r="Y2" s="454"/>
      <c r="Z2" s="454" t="s">
        <v>1285</v>
      </c>
      <c r="AA2" s="454"/>
      <c r="AB2" s="454"/>
      <c r="AC2" s="454" t="s">
        <v>1286</v>
      </c>
      <c r="AD2" s="454"/>
      <c r="AE2" s="431">
        <f>Настройки!P2</f>
        <v>1</v>
      </c>
      <c r="AF2" s="380">
        <f>Настройки!Q2</f>
        <v>0</v>
      </c>
      <c r="AG2" s="380" t="str">
        <f>Настройки!R2</f>
        <v>IDIG_1_1</v>
      </c>
      <c r="AH2" s="380" t="str">
        <f>Настройки!S2</f>
        <v>IANS_1_3</v>
      </c>
      <c r="AI2" s="380" t="str">
        <f>Настройки!T2</f>
        <v>out0</v>
      </c>
      <c r="AJ2" s="380" t="str">
        <f>Настройки!U2</f>
        <v>out0</v>
      </c>
      <c r="AK2" s="380" t="str">
        <f>Настройки!V2</f>
        <v>ODIG_1</v>
      </c>
      <c r="AL2" s="380" t="str">
        <f>Настройки!W2</f>
        <v>OAN_1_1</v>
      </c>
      <c r="AM2" s="380" t="str">
        <f>Настройки!X2</f>
        <v>IANS_1_1</v>
      </c>
      <c r="AN2" s="380" t="str">
        <f>Настройки!Y2</f>
        <v>Canal_01</v>
      </c>
      <c r="AO2" s="380" t="str">
        <f>Настройки!Z2</f>
        <v>Canal_01</v>
      </c>
      <c r="AP2" s="380" t="str">
        <f>Настройки!AA2</f>
        <v>Canal_01</v>
      </c>
      <c r="AQ2" s="380" t="str">
        <f>Настройки!AB2</f>
        <v>Canal_01</v>
      </c>
      <c r="AR2" s="380" t="str">
        <f>Настройки!AC2</f>
        <v>IVXX[0]</v>
      </c>
      <c r="AS2" s="380" t="str">
        <f>Настройки!AD2</f>
        <v>IVXX[0]</v>
      </c>
      <c r="AT2" s="207" t="str">
        <f>Настройки!AB2</f>
        <v>Canal_01</v>
      </c>
      <c r="AU2" s="207" t="str">
        <f>Настройки!AC2</f>
        <v>IVXX[0]</v>
      </c>
      <c r="AV2" s="207" t="str">
        <f>Настройки!AD2</f>
        <v>IVXX[0]</v>
      </c>
      <c r="AW2" s="207" t="str">
        <f>Настройки!AE2</f>
        <v>IANS_1_1</v>
      </c>
      <c r="AX2" s="207" t="str">
        <f>Настройки!AF2</f>
        <v>IDIG_1_1</v>
      </c>
      <c r="AY2" s="207" t="str">
        <f>Настройки!AG2</f>
        <v>Canal_01</v>
      </c>
      <c r="AZ2" s="207" t="str">
        <f>Настройки!AH2</f>
        <v>Canal_01</v>
      </c>
      <c r="BA2" s="207" t="str">
        <f>Настройки!AI2</f>
        <v>Canal_01</v>
      </c>
      <c r="BB2" s="207" t="str">
        <f>Настройки!AJ2</f>
        <v>Canal_01</v>
      </c>
      <c r="BC2" s="207" t="str">
        <f>Настройки!AK2</f>
        <v>Canal_01</v>
      </c>
      <c r="BD2" s="207" t="str">
        <f>Настройки!AL2</f>
        <v>Canal_01</v>
      </c>
      <c r="BE2" s="207" t="str">
        <f>Настройки!AM2</f>
        <v>-</v>
      </c>
    </row>
    <row r="3" spans="1:57">
      <c r="A3" s="82"/>
      <c r="B3" s="82"/>
      <c r="C3" s="81"/>
      <c r="D3" s="81"/>
      <c r="E3" s="448" t="str">
        <f ca="1">IF(LEFT(E8,3)="out","INT_TO_BIT_BR"&amp;C8&amp;"(BR"&amp;C8&amp;".IDIG_MASK)","УДАЛИТЬ")</f>
        <v>УДАЛИТЬ</v>
      </c>
      <c r="F3" s="446" t="s">
        <v>845</v>
      </c>
      <c r="G3" s="447"/>
      <c r="H3" s="447"/>
      <c r="I3" s="459"/>
      <c r="M3" s="424" t="str">
        <f>'Конфигурация TREI'!A4</f>
        <v>BR2</v>
      </c>
      <c r="N3" s="424" t="str">
        <f>'Конфигурация TREI'!B4</f>
        <v>M548A</v>
      </c>
      <c r="P3" s="425" t="str">
        <f>'Конфигурация TREI'!D1</f>
        <v>Путь TREI для сигналов NOT_LINK</v>
      </c>
      <c r="R3" s="450"/>
      <c r="S3" s="454" t="str">
        <f>SUBSTITUTE(SUBSTITUTE($S$2,"!","")," ","")</f>
        <v>6+30</v>
      </c>
      <c r="T3" s="454" t="str">
        <f>SUBSTITUTE(SUBSTITUTE($T$2,"!","")," ","")</f>
        <v>7+2</v>
      </c>
      <c r="U3" s="454" t="str">
        <f>SUBSTITUTE(SUBSTITUTE($U$2,"!","")," ","")</f>
        <v/>
      </c>
      <c r="V3" s="454" t="str">
        <f>SUBSTITUTE(SUBSTITUTE($V$2,"!","")," ","")</f>
        <v/>
      </c>
      <c r="W3" s="454" t="str">
        <f>SUBSTITUTE(SUBSTITUTE($W$2,"!","")," ","")</f>
        <v>6+12</v>
      </c>
      <c r="X3" s="454" t="str">
        <f>SUBSTITUTE(SUBSTITUTE($X$2,"!","")," ","")</f>
        <v/>
      </c>
      <c r="Y3" s="454" t="str">
        <f>SUBSTITUTE(SUBSTITUTE($Y$2,"!","")," ","")</f>
        <v/>
      </c>
      <c r="Z3" s="454" t="str">
        <f>SUBSTITUTE(SUBSTITUTE($Z$2,"!","")," ","")</f>
        <v>6+16</v>
      </c>
      <c r="AA3" s="454" t="str">
        <f>SUBSTITUTE(SUBSTITUTE($AA$2,"!","")," ","")</f>
        <v/>
      </c>
      <c r="AB3" s="454" t="str">
        <f>SUBSTITUTE(SUBSTITUTE($AB$2,"!","")," ","")</f>
        <v/>
      </c>
      <c r="AC3" s="454" t="str">
        <f>SUBSTITUTE(SUBSTITUTE($AC$2,"!","")," ","")</f>
        <v>6+29</v>
      </c>
      <c r="AD3" s="454"/>
      <c r="AE3" s="431">
        <f>Настройки!P3</f>
        <v>2</v>
      </c>
      <c r="AF3" s="380">
        <f>Настройки!Q3</f>
        <v>0</v>
      </c>
      <c r="AG3" s="380" t="str">
        <f>Настройки!R3</f>
        <v>IDIG_1_2</v>
      </c>
      <c r="AH3" s="380" t="str">
        <f>Настройки!S3</f>
        <v>IANS_1_4</v>
      </c>
      <c r="AI3" s="380" t="str">
        <f>Настройки!T3</f>
        <v>out1</v>
      </c>
      <c r="AJ3" s="380" t="str">
        <f>Настройки!U3</f>
        <v>out1</v>
      </c>
      <c r="AK3" s="380" t="str">
        <f>Настройки!V3</f>
        <v>ODIG_2</v>
      </c>
      <c r="AL3" s="380" t="str">
        <f>Настройки!W3</f>
        <v>OAN_2_1</v>
      </c>
      <c r="AM3" s="380" t="str">
        <f>Настройки!X3</f>
        <v>IANS_2_1</v>
      </c>
      <c r="AN3" s="380" t="str">
        <f>Настройки!Y3</f>
        <v>Canal_02</v>
      </c>
      <c r="AO3" s="380" t="str">
        <f>Настройки!Z3</f>
        <v>Canal_02</v>
      </c>
      <c r="AP3" s="380" t="str">
        <f>Настройки!AA3</f>
        <v>Canal_02</v>
      </c>
      <c r="AQ3" s="380" t="str">
        <f>Настройки!AB3</f>
        <v>Canal_02</v>
      </c>
      <c r="AR3" s="380" t="str">
        <f>Настройки!AC3</f>
        <v>IVXX[1]</v>
      </c>
      <c r="AS3" s="380" t="str">
        <f>Настройки!AD3</f>
        <v>IVXX[1]</v>
      </c>
      <c r="AT3" s="207" t="str">
        <f>Настройки!AB3</f>
        <v>Canal_02</v>
      </c>
      <c r="AU3" s="207" t="str">
        <f>Настройки!AC3</f>
        <v>IVXX[1]</v>
      </c>
      <c r="AV3" s="207" t="str">
        <f>Настройки!AD3</f>
        <v>IVXX[1]</v>
      </c>
      <c r="AW3" s="207" t="str">
        <f>Настройки!AE3</f>
        <v>IANS_1_2</v>
      </c>
      <c r="AX3" s="207" t="str">
        <f>Настройки!AF3</f>
        <v>IDIG_1_2</v>
      </c>
      <c r="AY3" s="207" t="str">
        <f>Настройки!AG3</f>
        <v>Canal_02</v>
      </c>
      <c r="AZ3" s="207" t="str">
        <f>Настройки!AH3</f>
        <v>Canal_02</v>
      </c>
      <c r="BA3" s="207" t="str">
        <f>Настройки!AI3</f>
        <v>Canal_02</v>
      </c>
      <c r="BB3" s="207" t="str">
        <f>Настройки!AJ3</f>
        <v>Canal_02</v>
      </c>
      <c r="BC3" s="207" t="str">
        <f>Настройки!AK3</f>
        <v>Canal_02</v>
      </c>
      <c r="BD3" s="207" t="str">
        <f>Настройки!AL3</f>
        <v>Canal_02</v>
      </c>
      <c r="BE3" s="207" t="str">
        <f>Настройки!AM3</f>
        <v>-</v>
      </c>
    </row>
    <row r="4" spans="1:57">
      <c r="A4" s="82"/>
      <c r="B4" s="82"/>
      <c r="C4" s="81"/>
      <c r="D4" s="81"/>
      <c r="E4" s="448" t="str">
        <f ca="1">IF(LEFT(E9,3)="out","INT_TO_BIT_BR"&amp;C9&amp;"(BR"&amp;C9&amp;".IDIG_MASK)","УДАЛИТЬ")</f>
        <v>УДАЛИТЬ</v>
      </c>
      <c r="F4" s="446" t="s">
        <v>845</v>
      </c>
      <c r="G4" s="447"/>
      <c r="H4" s="447"/>
      <c r="I4" s="459"/>
      <c r="M4" s="424" t="str">
        <f>'Конфигурация TREI'!A5</f>
        <v>BR3</v>
      </c>
      <c r="N4" s="424" t="str">
        <f>'Конфигурация TREI'!B5</f>
        <v>M548A</v>
      </c>
      <c r="P4" s="3" t="str">
        <f>Настройки!D2</f>
        <v/>
      </c>
      <c r="AE4" s="431">
        <f>Настройки!P4</f>
        <v>3</v>
      </c>
      <c r="AF4" s="380">
        <f>Настройки!Q4</f>
        <v>0</v>
      </c>
      <c r="AG4" s="380" t="str">
        <f>Настройки!R4</f>
        <v>IDIG_2_1</v>
      </c>
      <c r="AH4" s="380" t="str">
        <f>Настройки!S4</f>
        <v>IANS_2_3</v>
      </c>
      <c r="AI4" s="380" t="str">
        <f>Настройки!T4</f>
        <v>out2</v>
      </c>
      <c r="AJ4" s="380" t="str">
        <f>Настройки!U4</f>
        <v>out2</v>
      </c>
      <c r="AK4" s="380" t="str">
        <f>Настройки!V4</f>
        <v>ODIG_3</v>
      </c>
      <c r="AL4" s="380" t="str">
        <f>Настройки!W4</f>
        <v>OAN_3_1</v>
      </c>
      <c r="AM4" s="380" t="str">
        <f>Настройки!X4</f>
        <v>IANS_3_1</v>
      </c>
      <c r="AN4" s="380" t="str">
        <f>Настройки!Y4</f>
        <v>Canal_03</v>
      </c>
      <c r="AO4" s="380" t="str">
        <f>Настройки!Z4</f>
        <v>Canal_03</v>
      </c>
      <c r="AP4" s="380" t="str">
        <f>Настройки!AA4</f>
        <v>Canal_03</v>
      </c>
      <c r="AQ4" s="380" t="str">
        <f>Настройки!AB4</f>
        <v>Canal_03</v>
      </c>
      <c r="AR4" s="380" t="str">
        <f>Настройки!AC4</f>
        <v>IVXX[2]</v>
      </c>
      <c r="AS4" s="380" t="str">
        <f>Настройки!AD4</f>
        <v>IVXX[2]</v>
      </c>
      <c r="AT4" s="207" t="str">
        <f>Настройки!AB4</f>
        <v>Canal_03</v>
      </c>
      <c r="AU4" s="207" t="str">
        <f>Настройки!AC4</f>
        <v>IVXX[2]</v>
      </c>
      <c r="AV4" s="207" t="str">
        <f>Настройки!AD4</f>
        <v>IVXX[2]</v>
      </c>
      <c r="AW4" s="207" t="str">
        <f>Настройки!AE4</f>
        <v>IANS_2_1</v>
      </c>
      <c r="AX4" s="207" t="str">
        <f>Настройки!AF4</f>
        <v>IDIG_1_3</v>
      </c>
      <c r="AY4" s="207" t="str">
        <f>Настройки!AG4</f>
        <v>Canal_03</v>
      </c>
      <c r="AZ4" s="207" t="str">
        <f>Настройки!AH4</f>
        <v>Canal_03</v>
      </c>
      <c r="BA4" s="207" t="str">
        <f>Настройки!AI4</f>
        <v>Canal_03</v>
      </c>
      <c r="BB4" s="207" t="str">
        <f>Настройки!AJ4</f>
        <v>Canal_03</v>
      </c>
      <c r="BC4" s="207" t="str">
        <f>Настройки!AK4</f>
        <v>Canal_03</v>
      </c>
      <c r="BD4" s="207" t="str">
        <f>Настройки!AL4</f>
        <v>Canal_03</v>
      </c>
      <c r="BE4" s="207" t="str">
        <f>Настройки!AM4</f>
        <v>-</v>
      </c>
    </row>
    <row r="5" spans="1:57">
      <c r="A5" s="82"/>
      <c r="B5" s="82"/>
      <c r="C5" s="81"/>
      <c r="D5" s="81"/>
      <c r="E5" s="448" t="str">
        <f ca="1">IF(LEFT(E10,3)="out","INT_TO_BIT_BR"&amp;C10&amp;"(BR"&amp;C10&amp;".IDIG_MASK)","УДАЛИТЬ")</f>
        <v>УДАЛИТЬ</v>
      </c>
      <c r="F5" s="446" t="s">
        <v>845</v>
      </c>
      <c r="G5" s="447"/>
      <c r="H5" s="447"/>
      <c r="I5" s="459"/>
      <c r="M5" s="424" t="str">
        <f>'Конфигурация TREI'!A6</f>
        <v>BR4</v>
      </c>
      <c r="N5" s="424" t="str">
        <f>'Конфигурация TREI'!B6</f>
        <v>M558D</v>
      </c>
      <c r="AE5" s="431">
        <f>Настройки!P5</f>
        <v>4</v>
      </c>
      <c r="AF5" s="380">
        <f>Настройки!Q5</f>
        <v>0</v>
      </c>
      <c r="AG5" s="380" t="str">
        <f>Настройки!R5</f>
        <v>IDIG_2_2</v>
      </c>
      <c r="AH5" s="380" t="str">
        <f>Настройки!S5</f>
        <v>IANS_2_4</v>
      </c>
      <c r="AI5" s="380" t="str">
        <f>Настройки!T5</f>
        <v>out3</v>
      </c>
      <c r="AJ5" s="380" t="str">
        <f>Настройки!U5</f>
        <v>out3</v>
      </c>
      <c r="AK5" s="380" t="str">
        <f>Настройки!V5</f>
        <v>ODIG_4</v>
      </c>
      <c r="AL5" s="380" t="str">
        <f>Настройки!W5</f>
        <v>OAN_4_1</v>
      </c>
      <c r="AM5" s="380" t="str">
        <f>Настройки!X5</f>
        <v>IANS_4_1</v>
      </c>
      <c r="AN5" s="380" t="str">
        <f>Настройки!Y5</f>
        <v>Canal_04</v>
      </c>
      <c r="AO5" s="380" t="str">
        <f>Настройки!Z5</f>
        <v>Canal_04</v>
      </c>
      <c r="AP5" s="380" t="str">
        <f>Настройки!AA5</f>
        <v>Canal_04</v>
      </c>
      <c r="AQ5" s="380" t="str">
        <f>Настройки!AB5</f>
        <v>Canal_04</v>
      </c>
      <c r="AR5" s="380" t="str">
        <f>Настройки!AC5</f>
        <v>IVXX[3]</v>
      </c>
      <c r="AS5" s="380" t="str">
        <f>Настройки!AD5</f>
        <v>IVXX[3]</v>
      </c>
      <c r="AT5" s="207" t="str">
        <f>Настройки!AB5</f>
        <v>Canal_04</v>
      </c>
      <c r="AU5" s="207" t="str">
        <f>Настройки!AC5</f>
        <v>IVXX[3]</v>
      </c>
      <c r="AV5" s="207" t="str">
        <f>Настройки!AD5</f>
        <v>IVXX[3]</v>
      </c>
      <c r="AW5" s="207" t="str">
        <f>Настройки!AE5</f>
        <v>IANS_2_2</v>
      </c>
      <c r="AX5" s="207" t="str">
        <f>Настройки!AF5</f>
        <v>IDIG_1_4</v>
      </c>
      <c r="AY5" s="207" t="str">
        <f>Настройки!AG5</f>
        <v>Canal_04</v>
      </c>
      <c r="AZ5" s="207" t="str">
        <f>Настройки!AH5</f>
        <v>Canal_04</v>
      </c>
      <c r="BA5" s="207" t="str">
        <f>Настройки!AI5</f>
        <v>Canal_04</v>
      </c>
      <c r="BB5" s="207" t="str">
        <f>Настройки!AJ5</f>
        <v>Canal_04</v>
      </c>
      <c r="BC5" s="207" t="str">
        <f>Настройки!AK5</f>
        <v>Canal_04</v>
      </c>
      <c r="BD5" s="207" t="str">
        <f>Настройки!AL5</f>
        <v>Canal_04</v>
      </c>
      <c r="BE5" s="207" t="str">
        <f>Настройки!AM5</f>
        <v>-</v>
      </c>
    </row>
    <row r="6" spans="1:57">
      <c r="A6" s="82"/>
      <c r="B6" s="82"/>
      <c r="C6" s="81"/>
      <c r="D6" s="81"/>
      <c r="E6" s="448" t="str">
        <f ca="1">IF(LEFT(E11,3)="out","INT_TO_BIT_BR"&amp;C11&amp;"(BR"&amp;C11&amp;".IDIG_MASK)","УДАЛИТЬ")</f>
        <v>УДАЛИТЬ</v>
      </c>
      <c r="F6" s="446" t="s">
        <v>845</v>
      </c>
      <c r="G6" s="447"/>
      <c r="H6" s="447"/>
      <c r="I6" s="459"/>
      <c r="M6" s="424" t="str">
        <f>'Конфигурация TREI'!A7</f>
        <v>BR5</v>
      </c>
      <c r="N6" s="424" t="str">
        <f>'Конфигурация TREI'!B7</f>
        <v>M558O</v>
      </c>
      <c r="AE6" s="431">
        <f>Настройки!P6</f>
        <v>5</v>
      </c>
      <c r="AF6" s="380">
        <f>Настройки!Q6</f>
        <v>0</v>
      </c>
      <c r="AG6" s="380" t="str">
        <f>Настройки!R6</f>
        <v>IDIG_3_1</v>
      </c>
      <c r="AH6" s="380" t="str">
        <f>Настройки!S6</f>
        <v>IANS_3_3</v>
      </c>
      <c r="AI6" s="380" t="str">
        <f>Настройки!T6</f>
        <v>out4</v>
      </c>
      <c r="AJ6" s="380" t="str">
        <f>Настройки!U6</f>
        <v>out4</v>
      </c>
      <c r="AK6" s="380" t="str">
        <f>Настройки!V6</f>
        <v>ODIG_5</v>
      </c>
      <c r="AL6" s="380" t="str">
        <f>Настройки!W6</f>
        <v>OAN_5_1</v>
      </c>
      <c r="AM6" s="380" t="str">
        <f>Настройки!X6</f>
        <v>IANS_5_1</v>
      </c>
      <c r="AN6" s="380" t="str">
        <f>Настройки!Y6</f>
        <v>Canal_05</v>
      </c>
      <c r="AO6" s="380" t="str">
        <f>Настройки!Z6</f>
        <v>Canal_05</v>
      </c>
      <c r="AP6" s="380" t="str">
        <f>Настройки!AA6</f>
        <v>Canal_05</v>
      </c>
      <c r="AQ6" s="380" t="str">
        <f>Настройки!AB6</f>
        <v>Canal_05</v>
      </c>
      <c r="AR6" s="380" t="str">
        <f>Настройки!AC6</f>
        <v>IVXX[4]</v>
      </c>
      <c r="AS6" s="380" t="str">
        <f>Настройки!AD6</f>
        <v>IVXX[4]</v>
      </c>
      <c r="AT6" s="207" t="str">
        <f>Настройки!AB6</f>
        <v>Canal_05</v>
      </c>
      <c r="AU6" s="207" t="str">
        <f>Настройки!AC6</f>
        <v>IVXX[4]</v>
      </c>
      <c r="AV6" s="207" t="str">
        <f>Настройки!AD6</f>
        <v>IVXX[4]</v>
      </c>
      <c r="AW6" s="207" t="str">
        <f>Настройки!AE6</f>
        <v>IANS_3_1</v>
      </c>
      <c r="AX6" s="207" t="str">
        <f>Настройки!AF6</f>
        <v>IDIG_2_1</v>
      </c>
      <c r="AY6" s="207" t="str">
        <f>Настройки!AG6</f>
        <v>Canal_05</v>
      </c>
      <c r="AZ6" s="207" t="str">
        <f>Настройки!AH6</f>
        <v>Canal_05</v>
      </c>
      <c r="BA6" s="207" t="str">
        <f>Настройки!AI6</f>
        <v>Canal_05</v>
      </c>
      <c r="BB6" s="207" t="str">
        <f>Настройки!AJ6</f>
        <v>Canal_05</v>
      </c>
      <c r="BC6" s="207" t="str">
        <f>Настройки!AK6</f>
        <v>Canal_05</v>
      </c>
      <c r="BD6" s="207" t="str">
        <f>Настройки!AL6</f>
        <v>Canal_05</v>
      </c>
      <c r="BE6" s="207" t="str">
        <f>Настройки!AM6</f>
        <v>-</v>
      </c>
    </row>
    <row r="7" spans="1:57">
      <c r="A7" s="82"/>
      <c r="B7" s="82"/>
      <c r="C7" s="81"/>
      <c r="D7" s="81"/>
      <c r="E7" s="448" t="str">
        <f ca="1">IF(LEFT(E12,3)="out","INT_TO_BIT_BR"&amp;C12&amp;"(BR"&amp;C12&amp;".IDIG_MASK)","УДАЛИТЬ")</f>
        <v>УДАЛИТЬ</v>
      </c>
      <c r="F7" s="446" t="s">
        <v>845</v>
      </c>
      <c r="G7" s="447"/>
      <c r="H7" s="447"/>
      <c r="I7" s="459"/>
      <c r="M7" s="424" t="str">
        <f>'Конфигурация TREI'!A8</f>
        <v>BR6</v>
      </c>
      <c r="N7" s="424" t="str">
        <f>'Конфигурация TREI'!B8</f>
        <v>M558O</v>
      </c>
      <c r="AE7" s="431">
        <f>Настройки!P7</f>
        <v>6</v>
      </c>
      <c r="AF7" s="380">
        <f>Настройки!Q7</f>
        <v>0</v>
      </c>
      <c r="AG7" s="380" t="str">
        <f>Настройки!R7</f>
        <v>IDIG_3_2</v>
      </c>
      <c r="AH7" s="380" t="str">
        <f>Настройки!S7</f>
        <v>IANS_3_4</v>
      </c>
      <c r="AI7" s="380" t="str">
        <f>Настройки!T7</f>
        <v>out5</v>
      </c>
      <c r="AJ7" s="380" t="str">
        <f>Настройки!U7</f>
        <v>out5</v>
      </c>
      <c r="AK7" s="380" t="str">
        <f>Настройки!V7</f>
        <v>ODIG_6</v>
      </c>
      <c r="AL7" s="380" t="str">
        <f>Настройки!W7</f>
        <v>OAN_6_1</v>
      </c>
      <c r="AM7" s="380" t="str">
        <f>Настройки!X7</f>
        <v>IANS_6_1</v>
      </c>
      <c r="AN7" s="380" t="str">
        <f>Настройки!Y7</f>
        <v>Canal_06</v>
      </c>
      <c r="AO7" s="380" t="str">
        <f>Настройки!Z7</f>
        <v>Canal_06</v>
      </c>
      <c r="AP7" s="380" t="str">
        <f>Настройки!AA7</f>
        <v>Canal_06</v>
      </c>
      <c r="AQ7" s="380" t="str">
        <f>Настройки!AB7</f>
        <v>Canal_06</v>
      </c>
      <c r="AR7" s="380" t="str">
        <f>Настройки!AC7</f>
        <v>IVXX[5]</v>
      </c>
      <c r="AS7" s="380" t="str">
        <f>Настройки!AD7</f>
        <v>IVXX[5]</v>
      </c>
      <c r="AT7" s="207" t="str">
        <f>Настройки!AB7</f>
        <v>Canal_06</v>
      </c>
      <c r="AU7" s="207" t="str">
        <f>Настройки!AC7</f>
        <v>IVXX[5]</v>
      </c>
      <c r="AV7" s="207" t="str">
        <f>Настройки!AD7</f>
        <v>IVXX[5]</v>
      </c>
      <c r="AW7" s="207" t="str">
        <f>Настройки!AE7</f>
        <v>IANS_3_2</v>
      </c>
      <c r="AX7" s="207" t="str">
        <f>Настройки!AF7</f>
        <v>IDIG_2_2</v>
      </c>
      <c r="AY7" s="207" t="str">
        <f>Настройки!AG7</f>
        <v>Canal_06</v>
      </c>
      <c r="AZ7" s="207" t="str">
        <f>Настройки!AH7</f>
        <v>Canal_06</v>
      </c>
      <c r="BA7" s="207" t="str">
        <f>Настройки!AI7</f>
        <v>Canal_06</v>
      </c>
      <c r="BB7" s="207" t="str">
        <f>Настройки!AJ7</f>
        <v>Canal_06</v>
      </c>
      <c r="BC7" s="207" t="str">
        <f>Настройки!AK7</f>
        <v>Canal_06</v>
      </c>
      <c r="BD7" s="207" t="str">
        <f>Настройки!AL7</f>
        <v>Canal_06</v>
      </c>
      <c r="BE7" s="207" t="str">
        <f>Настройки!AM7</f>
        <v>-</v>
      </c>
    </row>
    <row r="8" spans="1:57">
      <c r="A8" s="448" t="str">
        <f>SUBSTITUTE($P$2,"\","|")&amp;"|"&amp; $S$1 &amp;":="&amp;IF(LEFT(SUBSTITUTE($S$2," ",""),1)="!","NOT  ","")</f>
        <v>ZRU_OL1_sp|IONX:=</v>
      </c>
      <c r="B8" s="448" t="str">
        <f ca="1">IF(LEFT(E8,3)="out","INT_TO_BIT_BR","BR")</f>
        <v>BR</v>
      </c>
      <c r="C8" s="446" t="str">
        <f>LEFT($S$3,FIND("+",$S$3,1)-1)</f>
        <v>6</v>
      </c>
      <c r="D8" s="446" t="s">
        <v>178</v>
      </c>
      <c r="E8" s="446" t="str">
        <f ca="1">IF($S$2=0,"УДАЛИТЬ",IFERROR(IF(OR($I8="-",$H8="0"),"КАНАЛ ОТСУТСТВУЕТ",IF($I8=0,"МОДУЛЬ ОТСУТСТВУЕТ",$I8)),"ОШИБКА ФОРМАТА"))</f>
        <v>Canal_30</v>
      </c>
      <c r="F8" s="446" t="s">
        <v>845</v>
      </c>
      <c r="G8" s="447" t="str">
        <f>INDEX($N$2:$N$61,C8)</f>
        <v>M558O</v>
      </c>
      <c r="H8" s="447" t="str">
        <f>RIGHT(S$3,LEN(S$3)-FIND("+",S$3,1))</f>
        <v>30</v>
      </c>
      <c r="I8" s="460" t="str">
        <f ca="1">INDIRECT(ADDRESS($H8+1,MATCH($G8,$1:$1,),1))</f>
        <v>Canal_30</v>
      </c>
      <c r="M8" s="424" t="str">
        <f>'Конфигурация TREI'!A9</f>
        <v>BR7</v>
      </c>
      <c r="N8" s="424" t="str">
        <f>'Конфигурация TREI'!B9</f>
        <v>M558O</v>
      </c>
      <c r="AE8" s="431">
        <f>Настройки!P8</f>
        <v>7</v>
      </c>
      <c r="AF8" s="380">
        <f>Настройки!Q8</f>
        <v>0</v>
      </c>
      <c r="AG8" s="380" t="str">
        <f>Настройки!R8</f>
        <v>IDIG_4_1</v>
      </c>
      <c r="AH8" s="380" t="str">
        <f>Настройки!S8</f>
        <v>IANS_4_3</v>
      </c>
      <c r="AI8" s="380" t="str">
        <f>Настройки!T8</f>
        <v>out6</v>
      </c>
      <c r="AJ8" s="380" t="str">
        <f>Настройки!U8</f>
        <v>out6</v>
      </c>
      <c r="AK8" s="380" t="str">
        <f>Настройки!V8</f>
        <v>ODIG_7</v>
      </c>
      <c r="AL8" s="380" t="str">
        <f>Настройки!W8</f>
        <v>OAN_7_1</v>
      </c>
      <c r="AM8" s="380" t="str">
        <f>Настройки!X8</f>
        <v>IANS_7_1</v>
      </c>
      <c r="AN8" s="380" t="str">
        <f>Настройки!Y8</f>
        <v>Canal_07</v>
      </c>
      <c r="AO8" s="380" t="str">
        <f>Настройки!Z8</f>
        <v>Canal_07</v>
      </c>
      <c r="AP8" s="380" t="str">
        <f>Настройки!AA8</f>
        <v>Canal_07</v>
      </c>
      <c r="AQ8" s="380" t="str">
        <f>Настройки!AB8</f>
        <v>Canal_07</v>
      </c>
      <c r="AR8" s="380" t="str">
        <f>Настройки!AC8</f>
        <v>IVXX[6]</v>
      </c>
      <c r="AS8" s="380" t="str">
        <f>Настройки!AD8</f>
        <v>IVXX[6]</v>
      </c>
      <c r="AT8" s="207" t="str">
        <f>Настройки!AB8</f>
        <v>Canal_07</v>
      </c>
      <c r="AU8" s="207" t="str">
        <f>Настройки!AC8</f>
        <v>IVXX[6]</v>
      </c>
      <c r="AV8" s="207" t="str">
        <f>Настройки!AD8</f>
        <v>IVXX[6]</v>
      </c>
      <c r="AW8" s="207" t="str">
        <f>Настройки!AE8</f>
        <v>IANS_4_1</v>
      </c>
      <c r="AX8" s="207" t="str">
        <f>Настройки!AF8</f>
        <v>IDIG_2_3</v>
      </c>
      <c r="AY8" s="207" t="str">
        <f>Настройки!AG8</f>
        <v>Canal_07</v>
      </c>
      <c r="AZ8" s="207" t="str">
        <f>Настройки!AH8</f>
        <v>Canal_07</v>
      </c>
      <c r="BA8" s="207" t="str">
        <f>Настройки!AI8</f>
        <v>Canal_07</v>
      </c>
      <c r="BB8" s="207" t="str">
        <f>Настройки!AJ8</f>
        <v>Canal_07</v>
      </c>
      <c r="BC8" s="207" t="str">
        <f>Настройки!AK8</f>
        <v>Canal_07</v>
      </c>
      <c r="BD8" s="207" t="str">
        <f>Настройки!AL8</f>
        <v>Canal_07</v>
      </c>
      <c r="BE8" s="207" t="str">
        <f>Настройки!AM8</f>
        <v>-</v>
      </c>
    </row>
    <row r="9" spans="1:57">
      <c r="A9" s="448" t="str">
        <f>SUBSTITUTE($P$2,"\","|")&amp;"|"&amp; $T$1 &amp;":="&amp;IF(LEFT(SUBSTITUTE($T$2," ",""),1)="!","NOT  ","")</f>
        <v>ZRU_OL1_sp|IOFX:=</v>
      </c>
      <c r="B9" s="448" t="str">
        <f ca="1">IF(LEFT(E9,3)="out","INT_TO_BIT_BR","BR")</f>
        <v>BR</v>
      </c>
      <c r="C9" s="446" t="str">
        <f>LEFT($T$3,FIND("+",$T$3,1)-1)</f>
        <v>7</v>
      </c>
      <c r="D9" s="446" t="s">
        <v>178</v>
      </c>
      <c r="E9" s="446" t="str">
        <f ca="1">IF($T$2=0,"УДАЛИТЬ",IFERROR(IF(OR($I9="-",$H9="0"),"КАНАЛ ОТСУТСТВУЕТ",IF($I9=0,"МОДУЛЬ ОТСУТСТВУЕТ",$I9)),"ОШИБКА ФОРМАТА"))</f>
        <v>Canal_02</v>
      </c>
      <c r="F9" s="446" t="s">
        <v>845</v>
      </c>
      <c r="G9" s="447" t="str">
        <f>INDEX($N$2:$N$61,C9)</f>
        <v>M558O</v>
      </c>
      <c r="H9" s="447" t="str">
        <f>RIGHT(T$3,LEN(T$3)-FIND("+",T$3,1))</f>
        <v>2</v>
      </c>
      <c r="I9" s="460" t="str">
        <f ca="1">INDIRECT(ADDRESS($H9+1,MATCH($G9,$1:$1,),1))</f>
        <v>Canal_02</v>
      </c>
      <c r="M9" s="424" t="str">
        <f>'Конфигурация TREI'!A10</f>
        <v>BR8</v>
      </c>
      <c r="N9" s="424" t="str">
        <f>'Конфигурация TREI'!B10</f>
        <v>M558O</v>
      </c>
      <c r="AE9" s="431">
        <f>Настройки!P9</f>
        <v>8</v>
      </c>
      <c r="AF9" s="380">
        <f>Настройки!Q9</f>
        <v>0</v>
      </c>
      <c r="AG9" s="380" t="str">
        <f>Настройки!R9</f>
        <v>IDIG_4_2</v>
      </c>
      <c r="AH9" s="380" t="str">
        <f>Настройки!S9</f>
        <v>IANS_4_4</v>
      </c>
      <c r="AI9" s="380" t="str">
        <f>Настройки!T9</f>
        <v>out7</v>
      </c>
      <c r="AJ9" s="380" t="str">
        <f>Настройки!U9</f>
        <v>out7</v>
      </c>
      <c r="AK9" s="380" t="str">
        <f>Настройки!V9</f>
        <v>ODIG_8</v>
      </c>
      <c r="AL9" s="380" t="str">
        <f>Настройки!W9</f>
        <v>OAN_8_1</v>
      </c>
      <c r="AM9" s="380" t="str">
        <f>Настройки!X9</f>
        <v>IANS_8_1</v>
      </c>
      <c r="AN9" s="380" t="str">
        <f>Настройки!Y9</f>
        <v>Canal_08</v>
      </c>
      <c r="AO9" s="380" t="str">
        <f>Настройки!Z9</f>
        <v>Canal_08</v>
      </c>
      <c r="AP9" s="380" t="str">
        <f>Настройки!AA9</f>
        <v>Canal_08</v>
      </c>
      <c r="AQ9" s="380" t="str">
        <f>Настройки!AB9</f>
        <v>Canal_08</v>
      </c>
      <c r="AR9" s="380" t="str">
        <f>Настройки!AC9</f>
        <v>IVXX[7]</v>
      </c>
      <c r="AS9" s="380" t="str">
        <f>Настройки!AD9</f>
        <v>IVXX[7]</v>
      </c>
      <c r="AT9" s="207" t="str">
        <f>Настройки!AB9</f>
        <v>Canal_08</v>
      </c>
      <c r="AU9" s="207" t="str">
        <f>Настройки!AC9</f>
        <v>IVXX[7]</v>
      </c>
      <c r="AV9" s="207" t="str">
        <f>Настройки!AD9</f>
        <v>IVXX[7]</v>
      </c>
      <c r="AW9" s="207" t="str">
        <f>Настройки!AE9</f>
        <v>IANS_4_2</v>
      </c>
      <c r="AX9" s="207" t="str">
        <f>Настройки!AF9</f>
        <v>IDIG_2_4</v>
      </c>
      <c r="AY9" s="207" t="str">
        <f>Настройки!AG9</f>
        <v>Canal_08</v>
      </c>
      <c r="AZ9" s="207" t="str">
        <f>Настройки!AH9</f>
        <v>Canal_08</v>
      </c>
      <c r="BA9" s="207" t="str">
        <f>Настройки!AI9</f>
        <v>Canal_08</v>
      </c>
      <c r="BB9" s="207" t="str">
        <f>Настройки!AJ9</f>
        <v>Canal_08</v>
      </c>
      <c r="BC9" s="207" t="str">
        <f>Настройки!AK9</f>
        <v>Canal_08</v>
      </c>
      <c r="BD9" s="207" t="str">
        <f>Настройки!AL9</f>
        <v>Canal_08</v>
      </c>
      <c r="BE9" s="207" t="str">
        <f>Настройки!AM9</f>
        <v>-</v>
      </c>
    </row>
    <row r="10" spans="1:57">
      <c r="A10" s="448" t="str">
        <f>SUBSTITUTE($P$2,"\","|")&amp;"|"&amp; $W$1 &amp;":="&amp;IF(LEFT(SUBSTITUTE($W$2," ",""),1)="!","NOT  ","")</f>
        <v>ZRU_OL1_sp|IFXX:=</v>
      </c>
      <c r="B10" s="448" t="str">
        <f ca="1">IF(LEFT(E10,3)="out","INT_TO_BIT_BR","BR")</f>
        <v>BR</v>
      </c>
      <c r="C10" s="446" t="str">
        <f>LEFT($W$3,FIND("+",$W$3,1)-1)</f>
        <v>6</v>
      </c>
      <c r="D10" s="446" t="s">
        <v>178</v>
      </c>
      <c r="E10" s="446" t="str">
        <f ca="1">IF($W$2=0,"УДАЛИТЬ",IFERROR(IF(OR($I10="-",$H10="0"),"КАНАЛ ОТСУТСТВУЕТ",IF($I10=0,"МОДУЛЬ ОТСУТСТВУЕТ",$I10)),"ОШИБКА ФОРМАТА"))</f>
        <v>Canal_12</v>
      </c>
      <c r="F10" s="446" t="s">
        <v>845</v>
      </c>
      <c r="G10" s="447" t="str">
        <f>INDEX($N$2:$N$61,C10)</f>
        <v>M558O</v>
      </c>
      <c r="H10" s="447" t="str">
        <f>RIGHT($W$3,LEN($W$3)-FIND("+",$W$3,1))</f>
        <v>12</v>
      </c>
      <c r="I10" s="460" t="str">
        <f ca="1">INDIRECT(ADDRESS($H10+1,MATCH($G10,$1:$1,),1))</f>
        <v>Canal_12</v>
      </c>
      <c r="M10" s="424" t="str">
        <f>'Конфигурация TREI'!A11</f>
        <v>BR9</v>
      </c>
      <c r="N10" s="424" t="str">
        <f>'Конфигурация TREI'!B11</f>
        <v>M558D</v>
      </c>
      <c r="AE10" s="431">
        <f>Настройки!P10</f>
        <v>9</v>
      </c>
      <c r="AF10" s="380">
        <f>Настройки!Q10</f>
        <v>0</v>
      </c>
      <c r="AG10" s="380" t="str">
        <f>Настройки!R10</f>
        <v>IDIG_5_1</v>
      </c>
      <c r="AH10" s="380" t="str">
        <f>Настройки!S10</f>
        <v>IANS_5_3</v>
      </c>
      <c r="AI10" s="380" t="str">
        <f>Настройки!T10</f>
        <v>out8</v>
      </c>
      <c r="AJ10" s="380" t="str">
        <f>Настройки!U10</f>
        <v>out8</v>
      </c>
      <c r="AK10" s="380" t="str">
        <f>Настройки!V10</f>
        <v>ODIG_9</v>
      </c>
      <c r="AL10" s="380" t="str">
        <f>Настройки!W10</f>
        <v>-</v>
      </c>
      <c r="AM10" s="380" t="str">
        <f>Настройки!X10</f>
        <v>-</v>
      </c>
      <c r="AN10" s="380" t="str">
        <f>Настройки!Y10</f>
        <v>Canal_09</v>
      </c>
      <c r="AO10" s="380" t="str">
        <f>Настройки!Z10</f>
        <v>-</v>
      </c>
      <c r="AP10" s="380" t="str">
        <f>Настройки!AA10</f>
        <v>Canal_09</v>
      </c>
      <c r="AQ10" s="380" t="str">
        <f>Настройки!AB10</f>
        <v>Canal_09</v>
      </c>
      <c r="AR10" s="380" t="str">
        <f>Настройки!AC10</f>
        <v>OCCH[0]</v>
      </c>
      <c r="AS10" s="380" t="str">
        <f>Настройки!AD10</f>
        <v>OCCH[0]</v>
      </c>
      <c r="AT10" s="207" t="str">
        <f>Настройки!AB10</f>
        <v>Canal_09</v>
      </c>
      <c r="AU10" s="207" t="str">
        <f>Настройки!AC10</f>
        <v>OCCH[0]</v>
      </c>
      <c r="AV10" s="207" t="str">
        <f>Настройки!AD10</f>
        <v>OCCH[0]</v>
      </c>
      <c r="AW10" s="207" t="str">
        <f>Настройки!AE10</f>
        <v>IANS_5_1</v>
      </c>
      <c r="AX10" s="207" t="str">
        <f>Настройки!AF10</f>
        <v>IDIG_3_1</v>
      </c>
      <c r="AY10" s="207" t="str">
        <f>Настройки!AG10</f>
        <v>Canal_09</v>
      </c>
      <c r="AZ10" s="207" t="str">
        <f>Настройки!AH10</f>
        <v>Canal_09</v>
      </c>
      <c r="BA10" s="207" t="str">
        <f>Настройки!AI10</f>
        <v>Canal_09</v>
      </c>
      <c r="BB10" s="207" t="str">
        <f>Настройки!AJ10</f>
        <v>Canal_09</v>
      </c>
      <c r="BC10" s="207" t="str">
        <f>Настройки!AK10</f>
        <v>-</v>
      </c>
      <c r="BD10" s="207" t="str">
        <f>Настройки!AL10</f>
        <v>Canal_09</v>
      </c>
      <c r="BE10" s="207" t="str">
        <f>Настройки!AM10</f>
        <v>-</v>
      </c>
    </row>
    <row r="11" spans="1:57">
      <c r="A11" s="448" t="str">
        <f>SUBSTITUTE($P$2,"\","|")&amp;"|"&amp; $Z$1 &amp;":="&amp;IF(LEFT(SUBSTITUTE($Z$2," ",""),1)="!","NOT  ","")</f>
        <v>ZRU_OL1_sp|IPTC:=</v>
      </c>
      <c r="B11" s="448" t="str">
        <f ca="1">IF(LEFT(E11,3)="out","INT_TO_BIT_BR","BR")</f>
        <v>BR</v>
      </c>
      <c r="C11" s="446" t="str">
        <f>LEFT($Z$3,FIND("+",$Z$3,1)-1)</f>
        <v>6</v>
      </c>
      <c r="D11" s="446" t="s">
        <v>178</v>
      </c>
      <c r="E11" s="446" t="str">
        <f ca="1">IF($Z$2=0,"УДАЛИТЬ",IFERROR(IF(OR($I11="-",$H11="0"),"КАНАЛ ОТСУТСТВУЕТ",IF($I11=0,"МОДУЛЬ ОТСУТСТВУЕТ",$I11)),"ОШИБКА ФОРМАТА"))</f>
        <v>Canal_16</v>
      </c>
      <c r="F11" s="446" t="s">
        <v>845</v>
      </c>
      <c r="G11" s="447" t="str">
        <f>INDEX($N$2:$N$61,C11)</f>
        <v>M558O</v>
      </c>
      <c r="H11" s="447" t="str">
        <f>RIGHT($Z$3,LEN($Z$3)-FIND("+",$Z$3,1))</f>
        <v>16</v>
      </c>
      <c r="I11" s="460" t="str">
        <f ca="1">INDIRECT(ADDRESS($H11+1,MATCH($G11,$1:$1,),1))</f>
        <v>Canal_16</v>
      </c>
      <c r="M11" s="424" t="str">
        <f>'Конфигурация TREI'!A12</f>
        <v>BR10</v>
      </c>
      <c r="N11" s="424" t="str">
        <f>'Конфигурация TREI'!B12</f>
        <v>M558O</v>
      </c>
      <c r="AE11" s="431">
        <f>Настройки!P11</f>
        <v>10</v>
      </c>
      <c r="AF11" s="380">
        <f>Настройки!Q11</f>
        <v>0</v>
      </c>
      <c r="AG11" s="380" t="str">
        <f>Настройки!R11</f>
        <v>IDIG_5_2</v>
      </c>
      <c r="AH11" s="380" t="str">
        <f>Настройки!S11</f>
        <v>IANS_5_4</v>
      </c>
      <c r="AI11" s="380" t="str">
        <f>Настройки!T11</f>
        <v>out9</v>
      </c>
      <c r="AJ11" s="380" t="str">
        <f>Настройки!U11</f>
        <v>out9</v>
      </c>
      <c r="AK11" s="380" t="str">
        <f>Настройки!V11</f>
        <v>ODIG_10</v>
      </c>
      <c r="AL11" s="380" t="str">
        <f>Настройки!W11</f>
        <v>-</v>
      </c>
      <c r="AM11" s="380" t="str">
        <f>Настройки!X11</f>
        <v>-</v>
      </c>
      <c r="AN11" s="380" t="str">
        <f>Настройки!Y11</f>
        <v>Canal_10</v>
      </c>
      <c r="AO11" s="380" t="str">
        <f>Настройки!Z11</f>
        <v>-</v>
      </c>
      <c r="AP11" s="380" t="str">
        <f>Настройки!AA11</f>
        <v>Canal_10</v>
      </c>
      <c r="AQ11" s="380" t="str">
        <f>Настройки!AB11</f>
        <v>Canal_10</v>
      </c>
      <c r="AR11" s="380" t="str">
        <f>Настройки!AC11</f>
        <v>OCCH[1]</v>
      </c>
      <c r="AS11" s="380" t="str">
        <f>Настройки!AD11</f>
        <v>OCCH[1]</v>
      </c>
      <c r="AT11" s="207" t="str">
        <f>Настройки!AB11</f>
        <v>Canal_10</v>
      </c>
      <c r="AU11" s="207" t="str">
        <f>Настройки!AC11</f>
        <v>OCCH[1]</v>
      </c>
      <c r="AV11" s="207" t="str">
        <f>Настройки!AD11</f>
        <v>OCCH[1]</v>
      </c>
      <c r="AW11" s="207" t="str">
        <f>Настройки!AE11</f>
        <v>IANS_5_2</v>
      </c>
      <c r="AX11" s="207" t="str">
        <f>Настройки!AF11</f>
        <v>IDIG_3_2</v>
      </c>
      <c r="AY11" s="207" t="str">
        <f>Настройки!AG11</f>
        <v>Canal_10</v>
      </c>
      <c r="AZ11" s="207" t="str">
        <f>Настройки!AH11</f>
        <v>Canal_10</v>
      </c>
      <c r="BA11" s="207" t="str">
        <f>Настройки!AI11</f>
        <v>Canal_10</v>
      </c>
      <c r="BB11" s="207" t="str">
        <f>Настройки!AJ11</f>
        <v>Canal_10</v>
      </c>
      <c r="BC11" s="207" t="str">
        <f>Настройки!AK11</f>
        <v>-</v>
      </c>
      <c r="BD11" s="207" t="str">
        <f>Настройки!AL11</f>
        <v>Canal_10</v>
      </c>
      <c r="BE11" s="207" t="str">
        <f>Настройки!AM11</f>
        <v>-</v>
      </c>
    </row>
    <row r="12" spans="1:57">
      <c r="A12" s="448" t="str">
        <f>SUBSTITUTE($P$2,"\","|")&amp;"|"&amp; $AC$1 &amp;":="&amp;IF(LEFT(SUBSTITUTE($AC$2," ",""),1)="!","NOT  ","")</f>
        <v>ZRU_OL1_sp|IPTO:=</v>
      </c>
      <c r="B12" s="448" t="str">
        <f ca="1">IF(LEFT(E12,3)="out","INT_TO_BIT_BR","BR")</f>
        <v>BR</v>
      </c>
      <c r="C12" s="446" t="str">
        <f>LEFT($AC$3,FIND("+",$AC$3,1)-1)</f>
        <v>6</v>
      </c>
      <c r="D12" s="446" t="s">
        <v>178</v>
      </c>
      <c r="E12" s="446" t="str">
        <f ca="1">IF($AC$2=0,"УДАЛИТЬ",IFERROR(IF(OR($I12="-",$H12="0"),"КАНАЛ ОТСУТСТВУЕТ",IF($I12=0,"МОДУЛЬ ОТСУТСТВУЕТ",$I12)),"ОШИБКА ФОРМАТА"))</f>
        <v>Canal_29</v>
      </c>
      <c r="F12" s="446" t="s">
        <v>845</v>
      </c>
      <c r="G12" s="447" t="str">
        <f>INDEX($N$2:$N$61,C12)</f>
        <v>M558O</v>
      </c>
      <c r="H12" s="447" t="str">
        <f>RIGHT($AC$3,LEN($AC$3)-FIND("+",$AC$3,1))</f>
        <v>29</v>
      </c>
      <c r="I12" s="460" t="str">
        <f ca="1">INDIRECT(ADDRESS($H12+1,MATCH($G12,$1:$1,),1))</f>
        <v>Canal_29</v>
      </c>
      <c r="M12" s="424" t="str">
        <f>'Конфигурация TREI'!A13</f>
        <v>BR11</v>
      </c>
      <c r="N12" s="424" t="str">
        <f>'Конфигурация TREI'!B13</f>
        <v>M558D</v>
      </c>
      <c r="AE12" s="431">
        <f>Настройки!P12</f>
        <v>11</v>
      </c>
      <c r="AF12" s="380">
        <f>Настройки!Q12</f>
        <v>0</v>
      </c>
      <c r="AG12" s="380" t="str">
        <f>Настройки!R12</f>
        <v>IDIG_6_1</v>
      </c>
      <c r="AH12" s="380" t="str">
        <f>Настройки!S12</f>
        <v>IANS_6_3</v>
      </c>
      <c r="AI12" s="380" t="str">
        <f>Настройки!T12</f>
        <v>out10</v>
      </c>
      <c r="AJ12" s="380" t="str">
        <f>Настройки!U12</f>
        <v>out10</v>
      </c>
      <c r="AK12" s="380" t="str">
        <f>Настройки!V12</f>
        <v>ODIG_11</v>
      </c>
      <c r="AL12" s="380" t="str">
        <f>Настройки!W12</f>
        <v>-</v>
      </c>
      <c r="AM12" s="380" t="str">
        <f>Настройки!X12</f>
        <v>-</v>
      </c>
      <c r="AN12" s="380" t="str">
        <f>Настройки!Y12</f>
        <v>Canal_11</v>
      </c>
      <c r="AO12" s="380" t="str">
        <f>Настройки!Z12</f>
        <v>-</v>
      </c>
      <c r="AP12" s="380" t="str">
        <f>Настройки!AA12</f>
        <v>Canal_11</v>
      </c>
      <c r="AQ12" s="380" t="str">
        <f>Настройки!AB12</f>
        <v>Canal_11</v>
      </c>
      <c r="AR12" s="380" t="str">
        <f>Настройки!AC12</f>
        <v>OCCH[2]</v>
      </c>
      <c r="AS12" s="380" t="str">
        <f>Настройки!AD12</f>
        <v>OCCH[2]</v>
      </c>
      <c r="AT12" s="207" t="str">
        <f>Настройки!AB12</f>
        <v>Canal_11</v>
      </c>
      <c r="AU12" s="207" t="str">
        <f>Настройки!AC12</f>
        <v>OCCH[2]</v>
      </c>
      <c r="AV12" s="207" t="str">
        <f>Настройки!AD12</f>
        <v>OCCH[2]</v>
      </c>
      <c r="AW12" s="207" t="str">
        <f>Настройки!AE12</f>
        <v>IANS_6_1</v>
      </c>
      <c r="AX12" s="207" t="str">
        <f>Настройки!AF12</f>
        <v>IDIG_3_3</v>
      </c>
      <c r="AY12" s="207" t="str">
        <f>Настройки!AG12</f>
        <v>Canal_11</v>
      </c>
      <c r="AZ12" s="207" t="str">
        <f>Настройки!AH12</f>
        <v>Canal_11</v>
      </c>
      <c r="BA12" s="207" t="str">
        <f>Настройки!AI12</f>
        <v>Canal_11</v>
      </c>
      <c r="BB12" s="207" t="str">
        <f>Настройки!AJ12</f>
        <v>Canal_11</v>
      </c>
      <c r="BC12" s="207" t="str">
        <f>Настройки!AK12</f>
        <v>-</v>
      </c>
      <c r="BD12" s="207" t="str">
        <f>Настройки!AL12</f>
        <v>Canal_11</v>
      </c>
      <c r="BE12" s="207" t="str">
        <f>Настройки!AM12</f>
        <v>-</v>
      </c>
    </row>
    <row r="13" spans="1:57">
      <c r="A13" s="448" t="str">
        <f>SUBSTITUTE($P$2,"\","|")&amp;"|"&amp;"D"&amp; RIGHT($S$1,3)&amp;":="&amp;P4&amp;"NOT_LINK_BR"</f>
        <v>ZRU_OL1_sp|DONX:=NOT_LINK_BR</v>
      </c>
      <c r="B13" s="448"/>
      <c r="C13" s="455"/>
      <c r="D13" s="446"/>
      <c r="E13" s="446" t="str">
        <f>IFERROR(LEFT($S$3,FIND("+",$S$3,1)-1),"УДАЛИТЬ")</f>
        <v>6</v>
      </c>
      <c r="F13" s="446" t="s">
        <v>845</v>
      </c>
      <c r="G13" s="447"/>
      <c r="H13" s="447"/>
      <c r="I13" s="1"/>
      <c r="M13" s="424" t="str">
        <f>'Конфигурация TREI'!A14</f>
        <v>BR12</v>
      </c>
      <c r="N13" s="424" t="str">
        <f>'Конфигурация TREI'!B14</f>
        <v>M558D</v>
      </c>
      <c r="AE13" s="431">
        <f>Настройки!P13</f>
        <v>12</v>
      </c>
      <c r="AF13" s="380">
        <f>Настройки!Q13</f>
        <v>0</v>
      </c>
      <c r="AG13" s="380" t="str">
        <f>Настройки!R13</f>
        <v>IDIG_6_2</v>
      </c>
      <c r="AH13" s="380" t="str">
        <f>Настройки!S13</f>
        <v>IANS_6_4</v>
      </c>
      <c r="AI13" s="380" t="str">
        <f>Настройки!T13</f>
        <v>out11</v>
      </c>
      <c r="AJ13" s="380" t="str">
        <f>Настройки!U13</f>
        <v>out11</v>
      </c>
      <c r="AK13" s="380" t="str">
        <f>Настройки!V13</f>
        <v>ODIG_12</v>
      </c>
      <c r="AL13" s="380" t="str">
        <f>Настройки!W13</f>
        <v>-</v>
      </c>
      <c r="AM13" s="380" t="str">
        <f>Настройки!X13</f>
        <v>-</v>
      </c>
      <c r="AN13" s="380" t="str">
        <f>Настройки!Y13</f>
        <v>Canal_12</v>
      </c>
      <c r="AO13" s="380" t="str">
        <f>Настройки!Z13</f>
        <v>-</v>
      </c>
      <c r="AP13" s="380" t="str">
        <f>Настройки!AA13</f>
        <v>Canal_12</v>
      </c>
      <c r="AQ13" s="380" t="str">
        <f>Настройки!AB13</f>
        <v>Canal_12</v>
      </c>
      <c r="AR13" s="380" t="str">
        <f>Настройки!AC13</f>
        <v>OCCH[3]</v>
      </c>
      <c r="AS13" s="380" t="str">
        <f>Настройки!AD13</f>
        <v>OCCH[3]</v>
      </c>
      <c r="AT13" s="207" t="str">
        <f>Настройки!AB13</f>
        <v>Canal_12</v>
      </c>
      <c r="AU13" s="207" t="str">
        <f>Настройки!AC13</f>
        <v>OCCH[3]</v>
      </c>
      <c r="AV13" s="207" t="str">
        <f>Настройки!AD13</f>
        <v>OCCH[3]</v>
      </c>
      <c r="AW13" s="207" t="str">
        <f>Настройки!AE13</f>
        <v>IANS_6_2</v>
      </c>
      <c r="AX13" s="207" t="str">
        <f>Настройки!AF13</f>
        <v>IDIG_3_4</v>
      </c>
      <c r="AY13" s="207" t="str">
        <f>Настройки!AG13</f>
        <v>Canal_12</v>
      </c>
      <c r="AZ13" s="207" t="str">
        <f>Настройки!AH13</f>
        <v>Canal_12</v>
      </c>
      <c r="BA13" s="207" t="str">
        <f>Настройки!AI13</f>
        <v>Canal_12</v>
      </c>
      <c r="BB13" s="207" t="str">
        <f>Настройки!AJ13</f>
        <v>Canal_12</v>
      </c>
      <c r="BC13" s="207" t="str">
        <f>Настройки!AK13</f>
        <v>-</v>
      </c>
      <c r="BD13" s="207" t="str">
        <f>Настройки!AL13</f>
        <v>Canal_12</v>
      </c>
      <c r="BE13" s="207" t="str">
        <f>Настройки!AM13</f>
        <v>-</v>
      </c>
    </row>
    <row r="14" spans="1:57">
      <c r="A14" s="448" t="str">
        <f>SUBSTITUTE($P$2,"\","|")&amp;"|"&amp;"D"&amp; RIGHT($T$1,3)&amp;":="&amp;P4&amp;"NOT_LINK_BR"</f>
        <v>ZRU_OL1_sp|DOFX:=NOT_LINK_BR</v>
      </c>
      <c r="B14" s="448"/>
      <c r="C14" s="455"/>
      <c r="D14" s="446"/>
      <c r="E14" s="446" t="str">
        <f>IFERROR(LEFT($T$3,FIND("+",$T$3,1)-1),"УДАЛИТЬ")</f>
        <v>7</v>
      </c>
      <c r="F14" s="446" t="s">
        <v>845</v>
      </c>
      <c r="G14" s="447"/>
      <c r="H14" s="447"/>
      <c r="I14" s="1"/>
      <c r="M14" s="424" t="str">
        <f>'Конфигурация TREI'!A15</f>
        <v>BR13</v>
      </c>
      <c r="N14" s="424" t="str">
        <f>'Конфигурация TREI'!B15</f>
        <v>M558D</v>
      </c>
      <c r="AE14" s="431">
        <f>Настройки!P14</f>
        <v>13</v>
      </c>
      <c r="AF14" s="380">
        <f>Настройки!Q14</f>
        <v>0</v>
      </c>
      <c r="AG14" s="380" t="str">
        <f>Настройки!R14</f>
        <v>IDIG_7_1</v>
      </c>
      <c r="AH14" s="380" t="str">
        <f>Настройки!S14</f>
        <v>IANS_7_3</v>
      </c>
      <c r="AI14" s="380" t="str">
        <f>Настройки!T14</f>
        <v>out12</v>
      </c>
      <c r="AJ14" s="380" t="str">
        <f>Настройки!U14</f>
        <v>out12</v>
      </c>
      <c r="AK14" s="380" t="str">
        <f>Настройки!V14</f>
        <v>ODIG_13</v>
      </c>
      <c r="AL14" s="380" t="str">
        <f>Настройки!W14</f>
        <v>-</v>
      </c>
      <c r="AM14" s="380" t="str">
        <f>Настройки!X14</f>
        <v>-</v>
      </c>
      <c r="AN14" s="380" t="str">
        <f>Настройки!Y14</f>
        <v>Canal_13</v>
      </c>
      <c r="AO14" s="380" t="str">
        <f>Настройки!Z14</f>
        <v>-</v>
      </c>
      <c r="AP14" s="380" t="str">
        <f>Настройки!AA14</f>
        <v>Canal_13</v>
      </c>
      <c r="AQ14" s="380" t="str">
        <f>Настройки!AB14</f>
        <v>Canal_13</v>
      </c>
      <c r="AR14" s="380" t="str">
        <f>Настройки!AC14</f>
        <v>OCCH[4]</v>
      </c>
      <c r="AS14" s="380" t="str">
        <f>Настройки!AD14</f>
        <v>OCCH[4]</v>
      </c>
      <c r="AT14" s="207" t="str">
        <f>Настройки!AB14</f>
        <v>Canal_13</v>
      </c>
      <c r="AU14" s="207" t="str">
        <f>Настройки!AC14</f>
        <v>OCCH[4]</v>
      </c>
      <c r="AV14" s="207" t="str">
        <f>Настройки!AD14</f>
        <v>OCCH[4]</v>
      </c>
      <c r="AW14" s="207" t="str">
        <f>Настройки!AE14</f>
        <v>IANS_7_1</v>
      </c>
      <c r="AX14" s="207" t="str">
        <f>Настройки!AF14</f>
        <v>IDIG_4_1</v>
      </c>
      <c r="AY14" s="207" t="str">
        <f>Настройки!AG14</f>
        <v>Canal_13</v>
      </c>
      <c r="AZ14" s="207" t="str">
        <f>Настройки!AH14</f>
        <v>Canal_13</v>
      </c>
      <c r="BA14" s="207" t="str">
        <f>Настройки!AI14</f>
        <v>Canal_13</v>
      </c>
      <c r="BB14" s="207" t="str">
        <f>Настройки!AJ14</f>
        <v>Canal_13</v>
      </c>
      <c r="BC14" s="207" t="str">
        <f>Настройки!AK14</f>
        <v>-</v>
      </c>
      <c r="BD14" s="207" t="str">
        <f>Настройки!AL14</f>
        <v>Canal_13</v>
      </c>
      <c r="BE14" s="207" t="str">
        <f>Настройки!AM14</f>
        <v>-</v>
      </c>
    </row>
    <row r="15" spans="1:57">
      <c r="A15" s="448" t="str">
        <f>SUBSTITUTE($P$2,"\","|")&amp;"|"&amp;"D"&amp; RIGHT($W$1,3)&amp;":="&amp;P4&amp;"NOT_LINK_BR"</f>
        <v>ZRU_OL1_sp|DFXX:=NOT_LINK_BR</v>
      </c>
      <c r="B15" s="448"/>
      <c r="C15" s="455"/>
      <c r="D15" s="446"/>
      <c r="E15" s="446" t="str">
        <f>IFERROR(LEFT($W$3,FIND("+",$W$3,1)-1),"УДАЛИТЬ")</f>
        <v>6</v>
      </c>
      <c r="F15" s="446" t="s">
        <v>845</v>
      </c>
      <c r="G15" s="447"/>
      <c r="H15" s="447"/>
      <c r="I15" s="1"/>
      <c r="M15" s="424" t="str">
        <f>'Конфигурация TREI'!A16</f>
        <v>BR14</v>
      </c>
      <c r="N15" s="424" t="str">
        <f>'Конфигурация TREI'!B16</f>
        <v>M558D</v>
      </c>
      <c r="AE15" s="431">
        <f>Настройки!P15</f>
        <v>14</v>
      </c>
      <c r="AF15" s="380">
        <f>Настройки!Q15</f>
        <v>0</v>
      </c>
      <c r="AG15" s="380" t="str">
        <f>Настройки!R15</f>
        <v>IDIG_7_2</v>
      </c>
      <c r="AH15" s="380" t="str">
        <f>Настройки!S15</f>
        <v>IANS_7_4</v>
      </c>
      <c r="AI15" s="380" t="str">
        <f>Настройки!T15</f>
        <v>out13</v>
      </c>
      <c r="AJ15" s="380" t="str">
        <f>Настройки!U15</f>
        <v>out13</v>
      </c>
      <c r="AK15" s="380" t="str">
        <f>Настройки!V15</f>
        <v>ODIG_14</v>
      </c>
      <c r="AL15" s="380" t="str">
        <f>Настройки!W15</f>
        <v>-</v>
      </c>
      <c r="AM15" s="380" t="str">
        <f>Настройки!X15</f>
        <v>-</v>
      </c>
      <c r="AN15" s="380" t="str">
        <f>Настройки!Y15</f>
        <v>Canal_14</v>
      </c>
      <c r="AO15" s="380" t="str">
        <f>Настройки!Z15</f>
        <v>-</v>
      </c>
      <c r="AP15" s="380" t="str">
        <f>Настройки!AA15</f>
        <v>Canal_14</v>
      </c>
      <c r="AQ15" s="380" t="str">
        <f>Настройки!AB15</f>
        <v>Canal_14</v>
      </c>
      <c r="AR15" s="380" t="str">
        <f>Настройки!AC15</f>
        <v>OCCH[5]</v>
      </c>
      <c r="AS15" s="380" t="str">
        <f>Настройки!AD15</f>
        <v>OCCH[5]</v>
      </c>
      <c r="AT15" s="207" t="str">
        <f>Настройки!AB15</f>
        <v>Canal_14</v>
      </c>
      <c r="AU15" s="207" t="str">
        <f>Настройки!AC15</f>
        <v>OCCH[5]</v>
      </c>
      <c r="AV15" s="207" t="str">
        <f>Настройки!AD15</f>
        <v>OCCH[5]</v>
      </c>
      <c r="AW15" s="207" t="str">
        <f>Настройки!AE15</f>
        <v>IANS_7_2</v>
      </c>
      <c r="AX15" s="207" t="str">
        <f>Настройки!AF15</f>
        <v>IDIG_4_2</v>
      </c>
      <c r="AY15" s="207" t="str">
        <f>Настройки!AG15</f>
        <v>Canal_14</v>
      </c>
      <c r="AZ15" s="207" t="str">
        <f>Настройки!AH15</f>
        <v>Canal_14</v>
      </c>
      <c r="BA15" s="207" t="str">
        <f>Настройки!AI15</f>
        <v>Canal_14</v>
      </c>
      <c r="BB15" s="207" t="str">
        <f>Настройки!AJ15</f>
        <v>Canal_14</v>
      </c>
      <c r="BC15" s="207" t="str">
        <f>Настройки!AK15</f>
        <v>-</v>
      </c>
      <c r="BD15" s="207" t="str">
        <f>Настройки!AL15</f>
        <v>Canal_14</v>
      </c>
      <c r="BE15" s="207" t="str">
        <f>Настройки!AM15</f>
        <v>-</v>
      </c>
    </row>
    <row r="16" spans="1:57">
      <c r="A16" s="448" t="str">
        <f>SUBSTITUTE($P$2,"\","|")&amp;"|"&amp;"D"&amp; RIGHT($Z$1,3)&amp;":="&amp;P4&amp;"NOT_LINK_BR"</f>
        <v>ZRU_OL1_sp|DPTC:=NOT_LINK_BR</v>
      </c>
      <c r="B16" s="448"/>
      <c r="C16" s="455"/>
      <c r="D16" s="446"/>
      <c r="E16" s="446" t="str">
        <f>IFERROR(LEFT($Z$3,FIND("+",$Z$3,1)-1),"УДАЛИТЬ")</f>
        <v>6</v>
      </c>
      <c r="F16" s="446" t="s">
        <v>845</v>
      </c>
      <c r="G16" s="447"/>
      <c r="H16" s="447"/>
      <c r="I16" s="1"/>
      <c r="M16" s="424" t="str">
        <f>'Конфигурация TREI'!A17</f>
        <v>BR15</v>
      </c>
      <c r="N16" s="424" t="str">
        <f>'Конфигурация TREI'!B17</f>
        <v>M558O</v>
      </c>
      <c r="AE16" s="431">
        <f>Настройки!P16</f>
        <v>15</v>
      </c>
      <c r="AF16" s="380">
        <f>Настройки!Q16</f>
        <v>0</v>
      </c>
      <c r="AG16" s="380" t="str">
        <f>Настройки!R16</f>
        <v>IDIG_8_1</v>
      </c>
      <c r="AH16" s="380" t="str">
        <f>Настройки!S16</f>
        <v>IANS_8_3</v>
      </c>
      <c r="AI16" s="380" t="str">
        <f>Настройки!T16</f>
        <v>out14</v>
      </c>
      <c r="AJ16" s="380" t="str">
        <f>Настройки!U16</f>
        <v>out14</v>
      </c>
      <c r="AK16" s="380" t="str">
        <f>Настройки!V16</f>
        <v>ODIG_15</v>
      </c>
      <c r="AL16" s="380" t="str">
        <f>Настройки!W16</f>
        <v>-</v>
      </c>
      <c r="AM16" s="380" t="str">
        <f>Настройки!X16</f>
        <v>-</v>
      </c>
      <c r="AN16" s="380" t="str">
        <f>Настройки!Y16</f>
        <v>Canal_15</v>
      </c>
      <c r="AO16" s="380" t="str">
        <f>Настройки!Z16</f>
        <v>-</v>
      </c>
      <c r="AP16" s="380" t="str">
        <f>Настройки!AA16</f>
        <v>Canal_15</v>
      </c>
      <c r="AQ16" s="380" t="str">
        <f>Настройки!AB16</f>
        <v>Canal_15</v>
      </c>
      <c r="AR16" s="380" t="str">
        <f>Настройки!AC16</f>
        <v>OCCH[6]</v>
      </c>
      <c r="AS16" s="380" t="str">
        <f>Настройки!AD16</f>
        <v>OCCH[6]</v>
      </c>
      <c r="AT16" s="207" t="str">
        <f>Настройки!AB16</f>
        <v>Canal_15</v>
      </c>
      <c r="AU16" s="207" t="str">
        <f>Настройки!AC16</f>
        <v>OCCH[6]</v>
      </c>
      <c r="AV16" s="207" t="str">
        <f>Настройки!AD16</f>
        <v>OCCH[6]</v>
      </c>
      <c r="AW16" s="207" t="str">
        <f>Настройки!AE16</f>
        <v>IANS_8_1</v>
      </c>
      <c r="AX16" s="207" t="str">
        <f>Настройки!AF16</f>
        <v>IDIG_4_3</v>
      </c>
      <c r="AY16" s="207" t="str">
        <f>Настройки!AG16</f>
        <v>Canal_15</v>
      </c>
      <c r="AZ16" s="207" t="str">
        <f>Настройки!AH16</f>
        <v>Canal_15</v>
      </c>
      <c r="BA16" s="207" t="str">
        <f>Настройки!AI16</f>
        <v>Canal_15</v>
      </c>
      <c r="BB16" s="207" t="str">
        <f>Настройки!AJ16</f>
        <v>Canal_15</v>
      </c>
      <c r="BC16" s="207" t="str">
        <f>Настройки!AK16</f>
        <v>-</v>
      </c>
      <c r="BD16" s="207" t="str">
        <f>Настройки!AL16</f>
        <v>Canal_15</v>
      </c>
      <c r="BE16" s="207" t="str">
        <f>Настройки!AM16</f>
        <v>-</v>
      </c>
    </row>
    <row r="17" spans="1:57">
      <c r="A17" s="448" t="str">
        <f>SUBSTITUTE($P$2,"\","|")&amp;"|"&amp;"D"&amp; RIGHT($AC$1,3)&amp;":="&amp;P4&amp;"NOT_LINK_BR"</f>
        <v>ZRU_OL1_sp|DPTO:=NOT_LINK_BR</v>
      </c>
      <c r="B17" s="448"/>
      <c r="C17" s="455"/>
      <c r="D17" s="446"/>
      <c r="E17" s="446" t="str">
        <f>IFERROR(LEFT($AC$3,FIND("+",$AC$3,1)-1),"УДАЛИТЬ")</f>
        <v>6</v>
      </c>
      <c r="F17" s="446" t="s">
        <v>845</v>
      </c>
      <c r="G17" s="447"/>
      <c r="H17" s="447"/>
      <c r="I17" s="1"/>
      <c r="M17" s="424" t="str">
        <f>'Конфигурация TREI'!A18</f>
        <v>BR16</v>
      </c>
      <c r="N17" s="424" t="str">
        <f>'Конфигурация TREI'!B18</f>
        <v>M558O</v>
      </c>
      <c r="AE17" s="431">
        <f>Настройки!P17</f>
        <v>16</v>
      </c>
      <c r="AF17" s="380">
        <f>Настройки!Q17</f>
        <v>0</v>
      </c>
      <c r="AG17" s="380" t="str">
        <f>Настройки!R17</f>
        <v>IDIG_8_2</v>
      </c>
      <c r="AH17" s="380" t="str">
        <f>Настройки!S17</f>
        <v>IANS_8_4</v>
      </c>
      <c r="AI17" s="380" t="str">
        <f>Настройки!T17</f>
        <v>out15</v>
      </c>
      <c r="AJ17" s="380" t="str">
        <f>Настройки!U17</f>
        <v>out15</v>
      </c>
      <c r="AK17" s="380" t="str">
        <f>Настройки!V17</f>
        <v>ODIG_16</v>
      </c>
      <c r="AL17" s="380" t="str">
        <f>Настройки!W17</f>
        <v>-</v>
      </c>
      <c r="AM17" s="380" t="str">
        <f>Настройки!X17</f>
        <v>-</v>
      </c>
      <c r="AN17" s="380" t="str">
        <f>Настройки!Y17</f>
        <v>Canal_16</v>
      </c>
      <c r="AO17" s="380" t="str">
        <f>Настройки!Z17</f>
        <v>-</v>
      </c>
      <c r="AP17" s="380" t="str">
        <f>Настройки!AA17</f>
        <v>Canal_16</v>
      </c>
      <c r="AQ17" s="380" t="str">
        <f>Настройки!AB17</f>
        <v>Canal_16</v>
      </c>
      <c r="AR17" s="380" t="str">
        <f>Настройки!AC17</f>
        <v>OCCH[7]</v>
      </c>
      <c r="AS17" s="380" t="str">
        <f>Настройки!AD17</f>
        <v>OCCH[7]</v>
      </c>
      <c r="AT17" s="207" t="str">
        <f>Настройки!AB17</f>
        <v>Canal_16</v>
      </c>
      <c r="AU17" s="207" t="str">
        <f>Настройки!AC17</f>
        <v>OCCH[7]</v>
      </c>
      <c r="AV17" s="207" t="str">
        <f>Настройки!AD17</f>
        <v>OCCH[7]</v>
      </c>
      <c r="AW17" s="207" t="str">
        <f>Настройки!AE17</f>
        <v>IANS_8_2</v>
      </c>
      <c r="AX17" s="207" t="str">
        <f>Настройки!AF17</f>
        <v>IDIG_4_4</v>
      </c>
      <c r="AY17" s="207" t="str">
        <f>Настройки!AG17</f>
        <v>Canal_16</v>
      </c>
      <c r="AZ17" s="207" t="str">
        <f>Настройки!AH17</f>
        <v>Canal_16</v>
      </c>
      <c r="BA17" s="207" t="str">
        <f>Настройки!AI17</f>
        <v>Canal_16</v>
      </c>
      <c r="BB17" s="207" t="str">
        <f>Настройки!AJ17</f>
        <v>Canal_16</v>
      </c>
      <c r="BC17" s="207" t="str">
        <f>Настройки!AK17</f>
        <v>-</v>
      </c>
      <c r="BD17" s="207" t="str">
        <f>Настройки!AL17</f>
        <v>Canal_16</v>
      </c>
      <c r="BE17" s="207" t="str">
        <f>Настройки!AM17</f>
        <v>-</v>
      </c>
    </row>
    <row r="18" spans="1:57">
      <c r="A18" s="82"/>
      <c r="B18" s="82"/>
      <c r="C18" s="11"/>
      <c r="D18" s="81"/>
      <c r="E18" s="81"/>
      <c r="F18" s="81"/>
      <c r="G18" s="447"/>
      <c r="H18" s="447"/>
      <c r="I18" s="1"/>
      <c r="M18" s="424" t="str">
        <f>'Конфигурация TREI'!A19</f>
        <v>BR17</v>
      </c>
      <c r="N18" s="424" t="str">
        <f>'Конфигурация TREI'!B19</f>
        <v>M558O</v>
      </c>
      <c r="AE18" s="428">
        <f>Настройки!P18</f>
        <v>17</v>
      </c>
      <c r="AF18" s="380">
        <f>Настройки!Q18</f>
        <v>0</v>
      </c>
      <c r="AG18" s="380" t="str">
        <f>Настройки!R18</f>
        <v>-</v>
      </c>
      <c r="AH18" s="380" t="str">
        <f>Настройки!S18</f>
        <v>-</v>
      </c>
      <c r="AI18" s="380" t="str">
        <f>Настройки!T18</f>
        <v>out16</v>
      </c>
      <c r="AJ18" s="380" t="str">
        <f>Настройки!U18</f>
        <v>out16</v>
      </c>
      <c r="AK18" s="380" t="str">
        <f>Настройки!V18</f>
        <v>-</v>
      </c>
      <c r="AL18" s="380" t="str">
        <f>Настройки!W18</f>
        <v>-</v>
      </c>
      <c r="AM18" s="380" t="str">
        <f>Настройки!X18</f>
        <v>-</v>
      </c>
      <c r="AN18" s="380" t="str">
        <f>Настройки!Y18</f>
        <v>-</v>
      </c>
      <c r="AO18" s="380" t="str">
        <f>Настройки!Z18</f>
        <v>-</v>
      </c>
      <c r="AP18" s="380" t="str">
        <f>Настройки!AA18</f>
        <v>Canal_17</v>
      </c>
      <c r="AQ18" s="380" t="str">
        <f>Настройки!AB18</f>
        <v>Canal_17</v>
      </c>
      <c r="AR18" s="380" t="str">
        <f>Настройки!AC18</f>
        <v>-</v>
      </c>
      <c r="AS18" s="380" t="str">
        <f>Настройки!AD18</f>
        <v>-</v>
      </c>
      <c r="AT18" s="207" t="str">
        <f>Настройки!AB18</f>
        <v>Canal_17</v>
      </c>
      <c r="AU18" s="207" t="str">
        <f>Настройки!AC18</f>
        <v>-</v>
      </c>
      <c r="AV18" s="207" t="str">
        <f>Настройки!AD18</f>
        <v>-</v>
      </c>
      <c r="AW18" s="207" t="str">
        <f>Настройки!AE18</f>
        <v>-</v>
      </c>
      <c r="AX18" s="207" t="str">
        <f>Настройки!AF18</f>
        <v>IDIG_5_1</v>
      </c>
      <c r="AY18" s="207" t="str">
        <f>Настройки!AG18</f>
        <v>Canal_17</v>
      </c>
      <c r="AZ18" s="207" t="str">
        <f>Настройки!AH18</f>
        <v>Canal_17</v>
      </c>
      <c r="BA18" s="207" t="str">
        <f>Настройки!AI18</f>
        <v>Canal_17</v>
      </c>
      <c r="BB18" s="207" t="str">
        <f>Настройки!AJ18</f>
        <v>-</v>
      </c>
      <c r="BC18" s="207" t="str">
        <f>Настройки!AK18</f>
        <v>-</v>
      </c>
      <c r="BD18" s="207" t="str">
        <f>Настройки!AL18</f>
        <v>Canal_17</v>
      </c>
      <c r="BE18" s="207" t="str">
        <f>Настройки!AM18</f>
        <v>-</v>
      </c>
    </row>
    <row r="19" spans="1:57">
      <c r="A19" s="82"/>
      <c r="B19" s="82"/>
      <c r="C19" s="11"/>
      <c r="D19" s="81"/>
      <c r="E19" s="81"/>
      <c r="F19" s="81"/>
      <c r="G19" s="447"/>
      <c r="H19" s="447"/>
      <c r="I19" s="1"/>
      <c r="M19" s="424" t="str">
        <f>'Конфигурация TREI'!A20</f>
        <v>BR18</v>
      </c>
      <c r="N19" s="424" t="str">
        <f>'Конфигурация TREI'!B20</f>
        <v>M558O</v>
      </c>
      <c r="AE19" s="428">
        <f>Настройки!P19</f>
        <v>18</v>
      </c>
      <c r="AF19" s="380">
        <f>Настройки!Q19</f>
        <v>0</v>
      </c>
      <c r="AG19" s="380" t="str">
        <f>Настройки!R19</f>
        <v>-</v>
      </c>
      <c r="AH19" s="380" t="str">
        <f>Настройки!S19</f>
        <v>-</v>
      </c>
      <c r="AI19" s="380" t="str">
        <f>Настройки!T19</f>
        <v>out17</v>
      </c>
      <c r="AJ19" s="380" t="str">
        <f>Настройки!U19</f>
        <v>out17</v>
      </c>
      <c r="AK19" s="380" t="str">
        <f>Настройки!V19</f>
        <v>-</v>
      </c>
      <c r="AL19" s="380" t="str">
        <f>Настройки!W19</f>
        <v>-</v>
      </c>
      <c r="AM19" s="380" t="str">
        <f>Настройки!X19</f>
        <v>-</v>
      </c>
      <c r="AN19" s="380" t="str">
        <f>Настройки!Y19</f>
        <v>-</v>
      </c>
      <c r="AO19" s="380" t="str">
        <f>Настройки!Z19</f>
        <v>-</v>
      </c>
      <c r="AP19" s="380" t="str">
        <f>Настройки!AA19</f>
        <v>Canal_18</v>
      </c>
      <c r="AQ19" s="380" t="str">
        <f>Настройки!AB19</f>
        <v>Canal_18</v>
      </c>
      <c r="AR19" s="380" t="str">
        <f>Настройки!AC19</f>
        <v>-</v>
      </c>
      <c r="AS19" s="380" t="str">
        <f>Настройки!AD19</f>
        <v>-</v>
      </c>
      <c r="AT19" s="207" t="str">
        <f>Настройки!AB19</f>
        <v>Canal_18</v>
      </c>
      <c r="AU19" s="207" t="str">
        <f>Настройки!AC19</f>
        <v>-</v>
      </c>
      <c r="AV19" s="207" t="str">
        <f>Настройки!AD19</f>
        <v>-</v>
      </c>
      <c r="AW19" s="207" t="str">
        <f>Настройки!AE19</f>
        <v>-</v>
      </c>
      <c r="AX19" s="207" t="str">
        <f>Настройки!AF19</f>
        <v>IDIG_5_2</v>
      </c>
      <c r="AY19" s="207" t="str">
        <f>Настройки!AG19</f>
        <v>Canal_18</v>
      </c>
      <c r="AZ19" s="207" t="str">
        <f>Настройки!AH19</f>
        <v>Canal_18</v>
      </c>
      <c r="BA19" s="207" t="str">
        <f>Настройки!AI19</f>
        <v>Canal_18</v>
      </c>
      <c r="BB19" s="207" t="str">
        <f>Настройки!AJ19</f>
        <v>-</v>
      </c>
      <c r="BC19" s="207" t="str">
        <f>Настройки!AK19</f>
        <v>-</v>
      </c>
      <c r="BD19" s="207" t="str">
        <f>Настройки!AL19</f>
        <v>Canal_18</v>
      </c>
      <c r="BE19" s="207" t="str">
        <f>Настройки!AM19</f>
        <v>-</v>
      </c>
    </row>
    <row r="20" spans="1:57">
      <c r="A20" s="82"/>
      <c r="B20" s="82"/>
      <c r="C20" s="11"/>
      <c r="D20" s="81"/>
      <c r="E20" s="81"/>
      <c r="F20" s="81"/>
      <c r="G20" s="447"/>
      <c r="H20" s="447"/>
      <c r="I20" s="1"/>
      <c r="M20" s="424" t="str">
        <f>'Конфигурация TREI'!A21</f>
        <v>BR19</v>
      </c>
      <c r="N20" s="424" t="str">
        <f>'Конфигурация TREI'!B21</f>
        <v>M558O</v>
      </c>
      <c r="AE20" s="428">
        <f>Настройки!P20</f>
        <v>19</v>
      </c>
      <c r="AF20" s="380">
        <f>Настройки!Q20</f>
        <v>0</v>
      </c>
      <c r="AG20" s="380" t="str">
        <f>Настройки!R20</f>
        <v>-</v>
      </c>
      <c r="AH20" s="380" t="str">
        <f>Настройки!S20</f>
        <v>-</v>
      </c>
      <c r="AI20" s="380" t="str">
        <f>Настройки!T20</f>
        <v>out18</v>
      </c>
      <c r="AJ20" s="380" t="str">
        <f>Настройки!U20</f>
        <v>out18</v>
      </c>
      <c r="AK20" s="380" t="str">
        <f>Настройки!V20</f>
        <v>-</v>
      </c>
      <c r="AL20" s="380" t="str">
        <f>Настройки!W20</f>
        <v>-</v>
      </c>
      <c r="AM20" s="380" t="str">
        <f>Настройки!X20</f>
        <v>-</v>
      </c>
      <c r="AN20" s="380" t="str">
        <f>Настройки!Y20</f>
        <v>-</v>
      </c>
      <c r="AO20" s="380" t="str">
        <f>Настройки!Z20</f>
        <v>-</v>
      </c>
      <c r="AP20" s="380" t="str">
        <f>Настройки!AA20</f>
        <v>Canal_19</v>
      </c>
      <c r="AQ20" s="380" t="str">
        <f>Настройки!AB20</f>
        <v>Canal_19</v>
      </c>
      <c r="AR20" s="380" t="str">
        <f>Настройки!AC20</f>
        <v>-</v>
      </c>
      <c r="AS20" s="380" t="str">
        <f>Настройки!AD20</f>
        <v>-</v>
      </c>
      <c r="AT20" s="207" t="str">
        <f>Настройки!AB20</f>
        <v>Canal_19</v>
      </c>
      <c r="AU20" s="207" t="str">
        <f>Настройки!AC20</f>
        <v>-</v>
      </c>
      <c r="AV20" s="207" t="str">
        <f>Настройки!AD20</f>
        <v>-</v>
      </c>
      <c r="AW20" s="207" t="str">
        <f>Настройки!AE20</f>
        <v>-</v>
      </c>
      <c r="AX20" s="207" t="str">
        <f>Настройки!AF20</f>
        <v>IDIG_5_3</v>
      </c>
      <c r="AY20" s="207" t="str">
        <f>Настройки!AG20</f>
        <v>Canal_19</v>
      </c>
      <c r="AZ20" s="207" t="str">
        <f>Настройки!AH20</f>
        <v>Canal_19</v>
      </c>
      <c r="BA20" s="207" t="str">
        <f>Настройки!AI20</f>
        <v>Canal_19</v>
      </c>
      <c r="BB20" s="207" t="str">
        <f>Настройки!AJ20</f>
        <v>-</v>
      </c>
      <c r="BC20" s="207" t="str">
        <f>Настройки!AK20</f>
        <v>-</v>
      </c>
      <c r="BD20" s="207" t="str">
        <f>Настройки!AL20</f>
        <v>Canal_19</v>
      </c>
      <c r="BE20" s="207" t="str">
        <f>Настройки!AM20</f>
        <v>-</v>
      </c>
    </row>
    <row r="21" spans="1:57">
      <c r="A21" s="82"/>
      <c r="B21" s="82"/>
      <c r="C21" s="11"/>
      <c r="D21" s="81"/>
      <c r="E21" s="81"/>
      <c r="F21" s="81"/>
      <c r="G21" s="447"/>
      <c r="H21" s="447"/>
      <c r="I21" s="1"/>
      <c r="M21" s="424" t="str">
        <f>'Конфигурация TREI'!A22</f>
        <v>BR20</v>
      </c>
      <c r="N21" s="424" t="str">
        <f>'Конфигурация TREI'!B22</f>
        <v>M558D</v>
      </c>
      <c r="AE21" s="428">
        <f>Настройки!P21</f>
        <v>20</v>
      </c>
      <c r="AF21" s="380">
        <f>Настройки!Q21</f>
        <v>0</v>
      </c>
      <c r="AG21" s="380" t="str">
        <f>Настройки!R21</f>
        <v>-</v>
      </c>
      <c r="AH21" s="380" t="str">
        <f>Настройки!S21</f>
        <v>-</v>
      </c>
      <c r="AI21" s="380" t="str">
        <f>Настройки!T21</f>
        <v>out19</v>
      </c>
      <c r="AJ21" s="380" t="str">
        <f>Настройки!U21</f>
        <v>out19</v>
      </c>
      <c r="AK21" s="380" t="str">
        <f>Настройки!V21</f>
        <v>-</v>
      </c>
      <c r="AL21" s="380" t="str">
        <f>Настройки!W21</f>
        <v>-</v>
      </c>
      <c r="AM21" s="380" t="str">
        <f>Настройки!X21</f>
        <v>-</v>
      </c>
      <c r="AN21" s="380" t="str">
        <f>Настройки!Y21</f>
        <v>-</v>
      </c>
      <c r="AO21" s="380" t="str">
        <f>Настройки!Z21</f>
        <v>-</v>
      </c>
      <c r="AP21" s="380" t="str">
        <f>Настройки!AA21</f>
        <v>Canal_20</v>
      </c>
      <c r="AQ21" s="380" t="str">
        <f>Настройки!AB21</f>
        <v>Canal_20</v>
      </c>
      <c r="AR21" s="380" t="str">
        <f>Настройки!AC21</f>
        <v>-</v>
      </c>
      <c r="AS21" s="380" t="str">
        <f>Настройки!AD21</f>
        <v>-</v>
      </c>
      <c r="AT21" s="207" t="str">
        <f>Настройки!AB21</f>
        <v>Canal_20</v>
      </c>
      <c r="AU21" s="207" t="str">
        <f>Настройки!AC21</f>
        <v>-</v>
      </c>
      <c r="AV21" s="207" t="str">
        <f>Настройки!AD21</f>
        <v>-</v>
      </c>
      <c r="AW21" s="207" t="str">
        <f>Настройки!AE21</f>
        <v>-</v>
      </c>
      <c r="AX21" s="207" t="str">
        <f>Настройки!AF21</f>
        <v>IDIG_5_4</v>
      </c>
      <c r="AY21" s="207" t="str">
        <f>Настройки!AG21</f>
        <v>Canal_20</v>
      </c>
      <c r="AZ21" s="207" t="str">
        <f>Настройки!AH21</f>
        <v>Canal_20</v>
      </c>
      <c r="BA21" s="207" t="str">
        <f>Настройки!AI21</f>
        <v>Canal_20</v>
      </c>
      <c r="BB21" s="207" t="str">
        <f>Настройки!AJ21</f>
        <v>-</v>
      </c>
      <c r="BC21" s="207" t="str">
        <f>Настройки!AK21</f>
        <v>-</v>
      </c>
      <c r="BD21" s="207" t="str">
        <f>Настройки!AL21</f>
        <v>Canal_20</v>
      </c>
      <c r="BE21" s="207" t="str">
        <f>Настройки!AM21</f>
        <v>-</v>
      </c>
    </row>
    <row r="22" spans="1:57">
      <c r="A22" s="82"/>
      <c r="B22" s="82"/>
      <c r="C22" s="11"/>
      <c r="D22" s="81"/>
      <c r="E22" s="81"/>
      <c r="F22" s="81"/>
      <c r="G22" s="447"/>
      <c r="H22" s="447"/>
      <c r="I22" s="1"/>
      <c r="M22" s="424" t="str">
        <f>'Конфигурация TREI'!A23</f>
        <v>BR21</v>
      </c>
      <c r="N22" s="424" t="str">
        <f>'Конфигурация TREI'!B23</f>
        <v>M558O</v>
      </c>
      <c r="AE22" s="428">
        <f>Настройки!P22</f>
        <v>21</v>
      </c>
      <c r="AF22" s="380">
        <f>Настройки!Q22</f>
        <v>0</v>
      </c>
      <c r="AG22" s="380" t="str">
        <f>Настройки!R22</f>
        <v>-</v>
      </c>
      <c r="AH22" s="380" t="str">
        <f>Настройки!S22</f>
        <v>-</v>
      </c>
      <c r="AI22" s="380" t="str">
        <f>Настройки!T22</f>
        <v>out20</v>
      </c>
      <c r="AJ22" s="380" t="str">
        <f>Настройки!U22</f>
        <v>out20</v>
      </c>
      <c r="AK22" s="380" t="str">
        <f>Настройки!V22</f>
        <v>-</v>
      </c>
      <c r="AL22" s="380" t="str">
        <f>Настройки!W22</f>
        <v>-</v>
      </c>
      <c r="AM22" s="380" t="str">
        <f>Настройки!X22</f>
        <v>-</v>
      </c>
      <c r="AN22" s="380" t="str">
        <f>Настройки!Y22</f>
        <v>-</v>
      </c>
      <c r="AO22" s="380" t="str">
        <f>Настройки!Z22</f>
        <v>-</v>
      </c>
      <c r="AP22" s="380" t="str">
        <f>Настройки!AA22</f>
        <v>Canal_21</v>
      </c>
      <c r="AQ22" s="380" t="str">
        <f>Настройки!AB22</f>
        <v>Canal_21</v>
      </c>
      <c r="AR22" s="380" t="str">
        <f>Настройки!AC22</f>
        <v>-</v>
      </c>
      <c r="AS22" s="380" t="str">
        <f>Настройки!AD22</f>
        <v>-</v>
      </c>
      <c r="AT22" s="207" t="str">
        <f>Настройки!AB22</f>
        <v>Canal_21</v>
      </c>
      <c r="AU22" s="207" t="str">
        <f>Настройки!AC22</f>
        <v>-</v>
      </c>
      <c r="AV22" s="207" t="str">
        <f>Настройки!AD22</f>
        <v>-</v>
      </c>
      <c r="AW22" s="207" t="str">
        <f>Настройки!AE22</f>
        <v>-</v>
      </c>
      <c r="AX22" s="207" t="str">
        <f>Настройки!AF22</f>
        <v>IDIG_6_1</v>
      </c>
      <c r="AY22" s="207" t="str">
        <f>Настройки!AG22</f>
        <v>Canal_21</v>
      </c>
      <c r="AZ22" s="207" t="str">
        <f>Настройки!AH22</f>
        <v>Canal_21</v>
      </c>
      <c r="BA22" s="207" t="str">
        <f>Настройки!AI22</f>
        <v>Canal_21</v>
      </c>
      <c r="BB22" s="207" t="str">
        <f>Настройки!AJ22</f>
        <v>-</v>
      </c>
      <c r="BC22" s="207" t="str">
        <f>Настройки!AK22</f>
        <v>-</v>
      </c>
      <c r="BD22" s="207" t="str">
        <f>Настройки!AL22</f>
        <v>Canal_21</v>
      </c>
      <c r="BE22" s="207" t="str">
        <f>Настройки!AM22</f>
        <v>-</v>
      </c>
    </row>
    <row r="23" spans="1:57">
      <c r="A23" s="82"/>
      <c r="B23" s="82"/>
      <c r="C23" s="11"/>
      <c r="D23" s="81"/>
      <c r="E23" s="81"/>
      <c r="F23" s="81"/>
      <c r="G23" s="447"/>
      <c r="H23" s="447"/>
      <c r="I23" s="1"/>
      <c r="M23" s="424" t="str">
        <f>'Конфигурация TREI'!A24</f>
        <v>BR22</v>
      </c>
      <c r="N23" s="424" t="str">
        <f>'Конфигурация TREI'!B24</f>
        <v>M558D</v>
      </c>
      <c r="AE23" s="428">
        <f>Настройки!P23</f>
        <v>22</v>
      </c>
      <c r="AF23" s="380">
        <f>Настройки!Q23</f>
        <v>0</v>
      </c>
      <c r="AG23" s="380" t="str">
        <f>Настройки!R23</f>
        <v>-</v>
      </c>
      <c r="AH23" s="380" t="str">
        <f>Настройки!S23</f>
        <v>-</v>
      </c>
      <c r="AI23" s="380" t="str">
        <f>Настройки!T23</f>
        <v>out21</v>
      </c>
      <c r="AJ23" s="380" t="str">
        <f>Настройки!U23</f>
        <v>out21</v>
      </c>
      <c r="AK23" s="380" t="str">
        <f>Настройки!V23</f>
        <v>-</v>
      </c>
      <c r="AL23" s="380" t="str">
        <f>Настройки!W23</f>
        <v>-</v>
      </c>
      <c r="AM23" s="380" t="str">
        <f>Настройки!X23</f>
        <v>-</v>
      </c>
      <c r="AN23" s="380" t="str">
        <f>Настройки!Y23</f>
        <v>-</v>
      </c>
      <c r="AO23" s="380" t="str">
        <f>Настройки!Z23</f>
        <v>-</v>
      </c>
      <c r="AP23" s="380" t="str">
        <f>Настройки!AA23</f>
        <v>Canal_22</v>
      </c>
      <c r="AQ23" s="380" t="str">
        <f>Настройки!AB23</f>
        <v>Canal_22</v>
      </c>
      <c r="AR23" s="380" t="str">
        <f>Настройки!AC23</f>
        <v>-</v>
      </c>
      <c r="AS23" s="380" t="str">
        <f>Настройки!AD23</f>
        <v>-</v>
      </c>
      <c r="AT23" s="207" t="str">
        <f>Настройки!AB23</f>
        <v>Canal_22</v>
      </c>
      <c r="AU23" s="207" t="str">
        <f>Настройки!AC23</f>
        <v>-</v>
      </c>
      <c r="AV23" s="207" t="str">
        <f>Настройки!AD23</f>
        <v>-</v>
      </c>
      <c r="AW23" s="207" t="str">
        <f>Настройки!AE23</f>
        <v>-</v>
      </c>
      <c r="AX23" s="207" t="str">
        <f>Настройки!AF23</f>
        <v>IDIG_6_2</v>
      </c>
      <c r="AY23" s="207" t="str">
        <f>Настройки!AG23</f>
        <v>Canal_22</v>
      </c>
      <c r="AZ23" s="207" t="str">
        <f>Настройки!AH23</f>
        <v>Canal_22</v>
      </c>
      <c r="BA23" s="207" t="str">
        <f>Настройки!AI23</f>
        <v>Canal_22</v>
      </c>
      <c r="BB23" s="207" t="str">
        <f>Настройки!AJ23</f>
        <v>-</v>
      </c>
      <c r="BC23" s="207" t="str">
        <f>Настройки!AK23</f>
        <v>-</v>
      </c>
      <c r="BD23" s="207" t="str">
        <f>Настройки!AL23</f>
        <v>Canal_22</v>
      </c>
      <c r="BE23" s="207" t="str">
        <f>Настройки!AM23</f>
        <v>-</v>
      </c>
    </row>
    <row r="24" spans="1:57">
      <c r="A24" s="82"/>
      <c r="B24" s="82"/>
      <c r="C24" s="11"/>
      <c r="D24" s="81"/>
      <c r="E24" s="81"/>
      <c r="F24" s="81"/>
      <c r="G24" s="447"/>
      <c r="H24" s="447"/>
      <c r="I24" s="1"/>
      <c r="M24" s="424" t="str">
        <f>'Конфигурация TREI'!A25</f>
        <v>BR23</v>
      </c>
      <c r="N24" s="424" t="str">
        <f>'Конфигурация TREI'!B25</f>
        <v>M558O</v>
      </c>
      <c r="AE24" s="428">
        <f>Настройки!P24</f>
        <v>23</v>
      </c>
      <c r="AF24" s="380">
        <f>Настройки!Q24</f>
        <v>0</v>
      </c>
      <c r="AG24" s="380" t="str">
        <f>Настройки!R24</f>
        <v>-</v>
      </c>
      <c r="AH24" s="380" t="str">
        <f>Настройки!S24</f>
        <v>-</v>
      </c>
      <c r="AI24" s="380" t="str">
        <f>Настройки!T24</f>
        <v>out22</v>
      </c>
      <c r="AJ24" s="380" t="str">
        <f>Настройки!U24</f>
        <v>out22</v>
      </c>
      <c r="AK24" s="380" t="str">
        <f>Настройки!V24</f>
        <v>-</v>
      </c>
      <c r="AL24" s="380" t="str">
        <f>Настройки!W24</f>
        <v>-</v>
      </c>
      <c r="AM24" s="380" t="str">
        <f>Настройки!X24</f>
        <v>-</v>
      </c>
      <c r="AN24" s="380" t="str">
        <f>Настройки!Y24</f>
        <v>-</v>
      </c>
      <c r="AO24" s="380" t="str">
        <f>Настройки!Z24</f>
        <v>-</v>
      </c>
      <c r="AP24" s="380" t="str">
        <f>Настройки!AA24</f>
        <v>Canal_23</v>
      </c>
      <c r="AQ24" s="380" t="str">
        <f>Настройки!AB24</f>
        <v>Canal_23</v>
      </c>
      <c r="AR24" s="380" t="str">
        <f>Настройки!AC24</f>
        <v>-</v>
      </c>
      <c r="AS24" s="380" t="str">
        <f>Настройки!AD24</f>
        <v>-</v>
      </c>
      <c r="AT24" s="207" t="str">
        <f>Настройки!AB24</f>
        <v>Canal_23</v>
      </c>
      <c r="AU24" s="207" t="str">
        <f>Настройки!AC24</f>
        <v>-</v>
      </c>
      <c r="AV24" s="207" t="str">
        <f>Настройки!AD24</f>
        <v>-</v>
      </c>
      <c r="AW24" s="207" t="str">
        <f>Настройки!AE24</f>
        <v>-</v>
      </c>
      <c r="AX24" s="207" t="str">
        <f>Настройки!AF24</f>
        <v>IDIG_6_3</v>
      </c>
      <c r="AY24" s="207" t="str">
        <f>Настройки!AG24</f>
        <v>Canal_23</v>
      </c>
      <c r="AZ24" s="207" t="str">
        <f>Настройки!AH24</f>
        <v>Canal_23</v>
      </c>
      <c r="BA24" s="207" t="str">
        <f>Настройки!AI24</f>
        <v>Canal_23</v>
      </c>
      <c r="BB24" s="207" t="str">
        <f>Настройки!AJ24</f>
        <v>-</v>
      </c>
      <c r="BC24" s="207" t="str">
        <f>Настройки!AK24</f>
        <v>-</v>
      </c>
      <c r="BD24" s="207" t="str">
        <f>Настройки!AL24</f>
        <v>Canal_23</v>
      </c>
      <c r="BE24" s="207" t="str">
        <f>Настройки!AM24</f>
        <v>-</v>
      </c>
    </row>
    <row r="25" spans="1:57">
      <c r="A25" s="82"/>
      <c r="B25" s="82"/>
      <c r="C25" s="11"/>
      <c r="D25" s="81"/>
      <c r="E25" s="81"/>
      <c r="F25" s="81"/>
      <c r="G25" s="447"/>
      <c r="H25" s="447"/>
      <c r="I25" s="1"/>
      <c r="M25" s="424" t="str">
        <f>'Конфигурация TREI'!A26</f>
        <v>BR24</v>
      </c>
      <c r="N25" s="424" t="str">
        <f>'Конфигурация TREI'!B26</f>
        <v>M558D</v>
      </c>
      <c r="AE25" s="428">
        <f>Настройки!P25</f>
        <v>24</v>
      </c>
      <c r="AF25" s="380">
        <f>Настройки!Q25</f>
        <v>0</v>
      </c>
      <c r="AG25" s="380" t="str">
        <f>Настройки!R25</f>
        <v>-</v>
      </c>
      <c r="AH25" s="380" t="str">
        <f>Настройки!S25</f>
        <v>-</v>
      </c>
      <c r="AI25" s="380" t="str">
        <f>Настройки!T25</f>
        <v>out23</v>
      </c>
      <c r="AJ25" s="380" t="str">
        <f>Настройки!U25</f>
        <v>out23</v>
      </c>
      <c r="AK25" s="380" t="str">
        <f>Настройки!V25</f>
        <v>-</v>
      </c>
      <c r="AL25" s="380" t="str">
        <f>Настройки!W25</f>
        <v>-</v>
      </c>
      <c r="AM25" s="380" t="str">
        <f>Настройки!X25</f>
        <v>-</v>
      </c>
      <c r="AN25" s="380" t="str">
        <f>Настройки!Y25</f>
        <v>-</v>
      </c>
      <c r="AO25" s="380" t="str">
        <f>Настройки!Z25</f>
        <v>-</v>
      </c>
      <c r="AP25" s="380" t="str">
        <f>Настройки!AA25</f>
        <v>Canal_24</v>
      </c>
      <c r="AQ25" s="380" t="str">
        <f>Настройки!AB25</f>
        <v>Canal_24</v>
      </c>
      <c r="AR25" s="380" t="str">
        <f>Настройки!AC25</f>
        <v>-</v>
      </c>
      <c r="AS25" s="380" t="str">
        <f>Настройки!AD25</f>
        <v>-</v>
      </c>
      <c r="AT25" s="207" t="str">
        <f>Настройки!AB25</f>
        <v>Canal_24</v>
      </c>
      <c r="AU25" s="207" t="str">
        <f>Настройки!AC25</f>
        <v>-</v>
      </c>
      <c r="AV25" s="207" t="str">
        <f>Настройки!AD25</f>
        <v>-</v>
      </c>
      <c r="AW25" s="207" t="str">
        <f>Настройки!AE25</f>
        <v>-</v>
      </c>
      <c r="AX25" s="207" t="str">
        <f>Настройки!AF25</f>
        <v>IDIG_6_4</v>
      </c>
      <c r="AY25" s="207" t="str">
        <f>Настройки!AG25</f>
        <v>Canal_24</v>
      </c>
      <c r="AZ25" s="207" t="str">
        <f>Настройки!AH25</f>
        <v>Canal_24</v>
      </c>
      <c r="BA25" s="207" t="str">
        <f>Настройки!AI25</f>
        <v>Canal_24</v>
      </c>
      <c r="BB25" s="207" t="str">
        <f>Настройки!AJ25</f>
        <v>-</v>
      </c>
      <c r="BC25" s="207" t="str">
        <f>Настройки!AK25</f>
        <v>-</v>
      </c>
      <c r="BD25" s="207" t="str">
        <f>Настройки!AL25</f>
        <v>Canal_24</v>
      </c>
      <c r="BE25" s="207" t="str">
        <f>Настройки!AM25</f>
        <v>-</v>
      </c>
    </row>
    <row r="26" spans="1:57">
      <c r="A26" s="82"/>
      <c r="B26" s="82"/>
      <c r="C26" s="11"/>
      <c r="D26" s="81"/>
      <c r="E26" s="81"/>
      <c r="F26" s="81"/>
      <c r="G26" s="447"/>
      <c r="H26" s="447"/>
      <c r="I26" s="1"/>
      <c r="M26" s="424" t="str">
        <f>'Конфигурация TREI'!A27</f>
        <v>BR25</v>
      </c>
      <c r="N26" s="424" t="str">
        <f>'Конфигурация TREI'!B27</f>
        <v>M558D</v>
      </c>
      <c r="AE26" s="428">
        <f>Настройки!P26</f>
        <v>25</v>
      </c>
      <c r="AF26" s="380">
        <f>Настройки!Q26</f>
        <v>0</v>
      </c>
      <c r="AG26" s="380" t="str">
        <f>Настройки!R26</f>
        <v>-</v>
      </c>
      <c r="AH26" s="380" t="str">
        <f>Настройки!S26</f>
        <v>-</v>
      </c>
      <c r="AI26" s="380" t="str">
        <f>Настройки!T26</f>
        <v>out24</v>
      </c>
      <c r="AJ26" s="380" t="str">
        <f>Настройки!U26</f>
        <v>out24</v>
      </c>
      <c r="AK26" s="380" t="str">
        <f>Настройки!V26</f>
        <v>-</v>
      </c>
      <c r="AL26" s="380" t="str">
        <f>Настройки!W26</f>
        <v>-</v>
      </c>
      <c r="AM26" s="380" t="str">
        <f>Настройки!X26</f>
        <v>-</v>
      </c>
      <c r="AN26" s="380" t="str">
        <f>Настройки!Y26</f>
        <v>-</v>
      </c>
      <c r="AO26" s="380" t="str">
        <f>Настройки!Z26</f>
        <v>-</v>
      </c>
      <c r="AP26" s="380" t="str">
        <f>Настройки!AA26</f>
        <v>Canal_25</v>
      </c>
      <c r="AQ26" s="380" t="str">
        <f>Настройки!AB26</f>
        <v>Canal_25</v>
      </c>
      <c r="AR26" s="380" t="str">
        <f>Настройки!AC26</f>
        <v>-</v>
      </c>
      <c r="AS26" s="380" t="str">
        <f>Настройки!AD26</f>
        <v>-</v>
      </c>
      <c r="AT26" s="207" t="str">
        <f>Настройки!AB26</f>
        <v>Canal_25</v>
      </c>
      <c r="AU26" s="207" t="str">
        <f>Настройки!AC26</f>
        <v>-</v>
      </c>
      <c r="AV26" s="207" t="str">
        <f>Настройки!AD26</f>
        <v>-</v>
      </c>
      <c r="AW26" s="207" t="str">
        <f>Настройки!AE26</f>
        <v>-</v>
      </c>
      <c r="AX26" s="207" t="str">
        <f>Настройки!AF26</f>
        <v>IDIG_7_1</v>
      </c>
      <c r="AY26" s="207" t="str">
        <f>Настройки!AG26</f>
        <v>Canal_25</v>
      </c>
      <c r="AZ26" s="207" t="str">
        <f>Настройки!AH26</f>
        <v>Canal_25</v>
      </c>
      <c r="BA26" s="207" t="str">
        <f>Настройки!AI26</f>
        <v>Canal_25</v>
      </c>
      <c r="BB26" s="207" t="str">
        <f>Настройки!AJ26</f>
        <v>-</v>
      </c>
      <c r="BC26" s="207" t="str">
        <f>Настройки!AK26</f>
        <v>-</v>
      </c>
      <c r="BD26" s="207" t="str">
        <f>Настройки!AL26</f>
        <v>Canal_25</v>
      </c>
      <c r="BE26" s="207" t="str">
        <f>Настройки!AM26</f>
        <v>-</v>
      </c>
    </row>
    <row r="27" spans="1:57">
      <c r="A27" s="82"/>
      <c r="B27" s="82"/>
      <c r="C27" s="11"/>
      <c r="D27" s="81"/>
      <c r="E27" s="81"/>
      <c r="F27" s="81"/>
      <c r="G27" s="447"/>
      <c r="H27" s="447"/>
      <c r="I27" s="1"/>
      <c r="M27" s="424" t="str">
        <f>'Конфигурация TREI'!A28</f>
        <v>BR26</v>
      </c>
      <c r="N27" s="424" t="str">
        <f>'Конфигурация TREI'!B28</f>
        <v>M558D</v>
      </c>
      <c r="AE27" s="428">
        <f>Настройки!P27</f>
        <v>26</v>
      </c>
      <c r="AF27" s="380">
        <f>Настройки!Q27</f>
        <v>0</v>
      </c>
      <c r="AG27" s="380" t="str">
        <f>Настройки!R27</f>
        <v>-</v>
      </c>
      <c r="AH27" s="380" t="str">
        <f>Настройки!S27</f>
        <v>-</v>
      </c>
      <c r="AI27" s="380" t="str">
        <f>Настройки!T27</f>
        <v>out25</v>
      </c>
      <c r="AJ27" s="380" t="str">
        <f>Настройки!U27</f>
        <v>out25</v>
      </c>
      <c r="AK27" s="380" t="str">
        <f>Настройки!V27</f>
        <v>-</v>
      </c>
      <c r="AL27" s="380" t="str">
        <f>Настройки!W27</f>
        <v>-</v>
      </c>
      <c r="AM27" s="380" t="str">
        <f>Настройки!X27</f>
        <v>-</v>
      </c>
      <c r="AN27" s="380" t="str">
        <f>Настройки!Y27</f>
        <v>-</v>
      </c>
      <c r="AO27" s="380" t="str">
        <f>Настройки!Z27</f>
        <v>-</v>
      </c>
      <c r="AP27" s="380" t="str">
        <f>Настройки!AA27</f>
        <v>Canal_26</v>
      </c>
      <c r="AQ27" s="380" t="str">
        <f>Настройки!AB27</f>
        <v>Canal_26</v>
      </c>
      <c r="AR27" s="380" t="str">
        <f>Настройки!AC27</f>
        <v>-</v>
      </c>
      <c r="AS27" s="380" t="str">
        <f>Настройки!AD27</f>
        <v>-</v>
      </c>
      <c r="AT27" s="207" t="str">
        <f>Настройки!AB27</f>
        <v>Canal_26</v>
      </c>
      <c r="AU27" s="207" t="str">
        <f>Настройки!AC27</f>
        <v>-</v>
      </c>
      <c r="AV27" s="207" t="str">
        <f>Настройки!AD27</f>
        <v>-</v>
      </c>
      <c r="AW27" s="207" t="str">
        <f>Настройки!AE27</f>
        <v>-</v>
      </c>
      <c r="AX27" s="207" t="str">
        <f>Настройки!AF27</f>
        <v>IDIG_7_2</v>
      </c>
      <c r="AY27" s="207" t="str">
        <f>Настройки!AG27</f>
        <v>Canal_26</v>
      </c>
      <c r="AZ27" s="207" t="str">
        <f>Настройки!AH27</f>
        <v>Canal_26</v>
      </c>
      <c r="BA27" s="207" t="str">
        <f>Настройки!AI27</f>
        <v>Canal_26</v>
      </c>
      <c r="BB27" s="207" t="str">
        <f>Настройки!AJ27</f>
        <v>-</v>
      </c>
      <c r="BC27" s="207" t="str">
        <f>Настройки!AK27</f>
        <v>-</v>
      </c>
      <c r="BD27" s="207" t="str">
        <f>Настройки!AL27</f>
        <v>Canal_26</v>
      </c>
      <c r="BE27" s="207" t="str">
        <f>Настройки!AM27</f>
        <v>-</v>
      </c>
    </row>
    <row r="28" spans="1:57">
      <c r="A28" s="82"/>
      <c r="B28" s="82"/>
      <c r="C28" s="11"/>
      <c r="D28" s="81"/>
      <c r="E28" s="81"/>
      <c r="F28" s="81"/>
      <c r="G28" s="447"/>
      <c r="H28" s="447"/>
      <c r="I28" s="1"/>
      <c r="M28" s="424" t="str">
        <f>'Конфигурация TREI'!A29</f>
        <v>BR27</v>
      </c>
      <c r="N28" s="424" t="str">
        <f>'Конфигурация TREI'!B29</f>
        <v>M558D</v>
      </c>
      <c r="AE28" s="428">
        <f>Настройки!P28</f>
        <v>27</v>
      </c>
      <c r="AF28" s="380">
        <f>Настройки!Q28</f>
        <v>0</v>
      </c>
      <c r="AG28" s="380" t="str">
        <f>Настройки!R28</f>
        <v>-</v>
      </c>
      <c r="AH28" s="380" t="str">
        <f>Настройки!S28</f>
        <v>-</v>
      </c>
      <c r="AI28" s="380" t="str">
        <f>Настройки!T28</f>
        <v>out26</v>
      </c>
      <c r="AJ28" s="380" t="str">
        <f>Настройки!U28</f>
        <v>out26</v>
      </c>
      <c r="AK28" s="380" t="str">
        <f>Настройки!V28</f>
        <v>-</v>
      </c>
      <c r="AL28" s="380" t="str">
        <f>Настройки!W28</f>
        <v>-</v>
      </c>
      <c r="AM28" s="380" t="str">
        <f>Настройки!X28</f>
        <v>-</v>
      </c>
      <c r="AN28" s="380" t="str">
        <f>Настройки!Y28</f>
        <v>-</v>
      </c>
      <c r="AO28" s="380" t="str">
        <f>Настройки!Z28</f>
        <v>-</v>
      </c>
      <c r="AP28" s="380" t="str">
        <f>Настройки!AA28</f>
        <v>Canal_27</v>
      </c>
      <c r="AQ28" s="380" t="str">
        <f>Настройки!AB28</f>
        <v>Canal_27</v>
      </c>
      <c r="AR28" s="380" t="str">
        <f>Настройки!AC28</f>
        <v>-</v>
      </c>
      <c r="AS28" s="380" t="str">
        <f>Настройки!AD28</f>
        <v>-</v>
      </c>
      <c r="AT28" s="207" t="str">
        <f>Настройки!AB28</f>
        <v>Canal_27</v>
      </c>
      <c r="AU28" s="207" t="str">
        <f>Настройки!AC28</f>
        <v>-</v>
      </c>
      <c r="AV28" s="207" t="str">
        <f>Настройки!AD28</f>
        <v>-</v>
      </c>
      <c r="AW28" s="207" t="str">
        <f>Настройки!AE28</f>
        <v>-</v>
      </c>
      <c r="AX28" s="207" t="str">
        <f>Настройки!AF28</f>
        <v>IDIG_7_3</v>
      </c>
      <c r="AY28" s="207" t="str">
        <f>Настройки!AG28</f>
        <v>Canal_27</v>
      </c>
      <c r="AZ28" s="207" t="str">
        <f>Настройки!AH28</f>
        <v>Canal_27</v>
      </c>
      <c r="BA28" s="207" t="str">
        <f>Настройки!AI28</f>
        <v>Canal_27</v>
      </c>
      <c r="BB28" s="207" t="str">
        <f>Настройки!AJ28</f>
        <v>-</v>
      </c>
      <c r="BC28" s="207" t="str">
        <f>Настройки!AK28</f>
        <v>-</v>
      </c>
      <c r="BD28" s="207" t="str">
        <f>Настройки!AL28</f>
        <v>Canal_27</v>
      </c>
      <c r="BE28" s="207" t="str">
        <f>Настройки!AM28</f>
        <v>-</v>
      </c>
    </row>
    <row r="29" spans="1:57">
      <c r="A29" s="82"/>
      <c r="B29" s="82"/>
      <c r="C29" s="11"/>
      <c r="D29" s="81"/>
      <c r="E29" s="81"/>
      <c r="F29" s="81"/>
      <c r="G29" s="447"/>
      <c r="H29" s="447"/>
      <c r="I29" s="1"/>
      <c r="M29" s="424" t="str">
        <f>'Конфигурация TREI'!A30</f>
        <v>BR28</v>
      </c>
      <c r="N29" s="424" t="str">
        <f>'Конфигурация TREI'!B30</f>
        <v>M558D</v>
      </c>
      <c r="AE29" s="428">
        <f>Настройки!P29</f>
        <v>28</v>
      </c>
      <c r="AF29" s="380">
        <f>Настройки!Q29</f>
        <v>0</v>
      </c>
      <c r="AG29" s="380" t="str">
        <f>Настройки!R29</f>
        <v>-</v>
      </c>
      <c r="AH29" s="380" t="str">
        <f>Настройки!S29</f>
        <v>-</v>
      </c>
      <c r="AI29" s="380" t="str">
        <f>Настройки!T29</f>
        <v>out27</v>
      </c>
      <c r="AJ29" s="380" t="str">
        <f>Настройки!U29</f>
        <v>out27</v>
      </c>
      <c r="AK29" s="380" t="str">
        <f>Настройки!V29</f>
        <v>-</v>
      </c>
      <c r="AL29" s="380" t="str">
        <f>Настройки!W29</f>
        <v>-</v>
      </c>
      <c r="AM29" s="380" t="str">
        <f>Настройки!X29</f>
        <v>-</v>
      </c>
      <c r="AN29" s="380" t="str">
        <f>Настройки!Y29</f>
        <v>-</v>
      </c>
      <c r="AO29" s="380" t="str">
        <f>Настройки!Z29</f>
        <v>-</v>
      </c>
      <c r="AP29" s="380" t="str">
        <f>Настройки!AA29</f>
        <v>Canal_28</v>
      </c>
      <c r="AQ29" s="380" t="str">
        <f>Настройки!AB29</f>
        <v>Canal_28</v>
      </c>
      <c r="AR29" s="380" t="str">
        <f>Настройки!AC29</f>
        <v>-</v>
      </c>
      <c r="AS29" s="380" t="str">
        <f>Настройки!AD29</f>
        <v>-</v>
      </c>
      <c r="AT29" s="207" t="str">
        <f>Настройки!AB29</f>
        <v>Canal_28</v>
      </c>
      <c r="AU29" s="207" t="str">
        <f>Настройки!AC29</f>
        <v>-</v>
      </c>
      <c r="AV29" s="207" t="str">
        <f>Настройки!AD29</f>
        <v>-</v>
      </c>
      <c r="AW29" s="207" t="str">
        <f>Настройки!AE29</f>
        <v>-</v>
      </c>
      <c r="AX29" s="207" t="str">
        <f>Настройки!AF29</f>
        <v>IDIG_7_4</v>
      </c>
      <c r="AY29" s="207" t="str">
        <f>Настройки!AG29</f>
        <v>Canal_28</v>
      </c>
      <c r="AZ29" s="207" t="str">
        <f>Настройки!AH29</f>
        <v>Canal_28</v>
      </c>
      <c r="BA29" s="207" t="str">
        <f>Настройки!AI29</f>
        <v>Canal_28</v>
      </c>
      <c r="BB29" s="207" t="str">
        <f>Настройки!AJ29</f>
        <v>-</v>
      </c>
      <c r="BC29" s="207" t="str">
        <f>Настройки!AK29</f>
        <v>-</v>
      </c>
      <c r="BD29" s="207" t="str">
        <f>Настройки!AL29</f>
        <v>Canal_28</v>
      </c>
      <c r="BE29" s="207" t="str">
        <f>Настройки!AM29</f>
        <v>-</v>
      </c>
    </row>
    <row r="30" spans="1:57">
      <c r="A30" s="1"/>
      <c r="B30" s="1"/>
      <c r="C30" s="1"/>
      <c r="D30" s="1"/>
      <c r="E30" s="1"/>
      <c r="F30" s="1"/>
      <c r="G30" s="1"/>
      <c r="H30" s="1"/>
      <c r="I30" s="1"/>
      <c r="M30" s="424" t="str">
        <f>'Конфигурация TREI'!A31</f>
        <v>BR29</v>
      </c>
      <c r="N30" s="424" t="str">
        <f>'Конфигурация TREI'!B31</f>
        <v>M558O</v>
      </c>
      <c r="AE30" s="428">
        <f>Настройки!P30</f>
        <v>29</v>
      </c>
      <c r="AF30" s="380">
        <f>Настройки!Q30</f>
        <v>0</v>
      </c>
      <c r="AG30" s="380" t="str">
        <f>Настройки!R30</f>
        <v>-</v>
      </c>
      <c r="AH30" s="380" t="str">
        <f>Настройки!S30</f>
        <v>-</v>
      </c>
      <c r="AI30" s="380" t="str">
        <f>Настройки!T30</f>
        <v>out28</v>
      </c>
      <c r="AJ30" s="380" t="str">
        <f>Настройки!U30</f>
        <v>out28</v>
      </c>
      <c r="AK30" s="380" t="str">
        <f>Настройки!V30</f>
        <v>-</v>
      </c>
      <c r="AL30" s="380" t="str">
        <f>Настройки!W30</f>
        <v>-</v>
      </c>
      <c r="AM30" s="380" t="str">
        <f>Настройки!X30</f>
        <v>-</v>
      </c>
      <c r="AN30" s="380" t="str">
        <f>Настройки!Y30</f>
        <v>-</v>
      </c>
      <c r="AO30" s="380" t="str">
        <f>Настройки!Z30</f>
        <v>-</v>
      </c>
      <c r="AP30" s="380" t="str">
        <f>Настройки!AA30</f>
        <v>Canal_29</v>
      </c>
      <c r="AQ30" s="380" t="str">
        <f>Настройки!AB30</f>
        <v>Canal_29</v>
      </c>
      <c r="AR30" s="380" t="str">
        <f>Настройки!AC30</f>
        <v>-</v>
      </c>
      <c r="AS30" s="380" t="str">
        <f>Настройки!AD30</f>
        <v>-</v>
      </c>
      <c r="AT30" s="207" t="str">
        <f>Настройки!AB30</f>
        <v>Canal_29</v>
      </c>
      <c r="AU30" s="207" t="str">
        <f>Настройки!AC30</f>
        <v>-</v>
      </c>
      <c r="AV30" s="207" t="str">
        <f>Настройки!AD30</f>
        <v>-</v>
      </c>
      <c r="AW30" s="207" t="str">
        <f>Настройки!AE30</f>
        <v>-</v>
      </c>
      <c r="AX30" s="207" t="str">
        <f>Настройки!AF30</f>
        <v>IDIG_8_1</v>
      </c>
      <c r="AY30" s="207" t="str">
        <f>Настройки!AG30</f>
        <v>Canal_29</v>
      </c>
      <c r="AZ30" s="207" t="str">
        <f>Настройки!AH30</f>
        <v>Canal_29</v>
      </c>
      <c r="BA30" s="207" t="str">
        <f>Настройки!AI30</f>
        <v>Canal_29</v>
      </c>
      <c r="BB30" s="207" t="str">
        <f>Настройки!AJ30</f>
        <v>-</v>
      </c>
      <c r="BC30" s="207" t="str">
        <f>Настройки!AK30</f>
        <v>-</v>
      </c>
      <c r="BD30" s="207" t="str">
        <f>Настройки!AL30</f>
        <v>Canal_29</v>
      </c>
      <c r="BE30" s="207" t="str">
        <f>Настройки!AM30</f>
        <v>-</v>
      </c>
    </row>
    <row r="31" spans="1:57">
      <c r="A31" s="82"/>
      <c r="B31" s="82"/>
      <c r="C31" s="81"/>
      <c r="D31" s="81"/>
      <c r="E31" s="81"/>
      <c r="F31" s="81"/>
      <c r="G31" s="445"/>
      <c r="H31" s="445"/>
      <c r="I31" s="1"/>
      <c r="M31" s="424" t="str">
        <f>'Конфигурация TREI'!A32</f>
        <v>BR30</v>
      </c>
      <c r="N31" s="424" t="str">
        <f>'Конфигурация TREI'!B32</f>
        <v>M558D</v>
      </c>
      <c r="AE31" s="428">
        <f>Настройки!P31</f>
        <v>30</v>
      </c>
      <c r="AF31" s="380">
        <f>Настройки!Q31</f>
        <v>0</v>
      </c>
      <c r="AG31" s="380" t="str">
        <f>Настройки!R31</f>
        <v>-</v>
      </c>
      <c r="AH31" s="380" t="str">
        <f>Настройки!S31</f>
        <v>-</v>
      </c>
      <c r="AI31" s="380" t="str">
        <f>Настройки!T31</f>
        <v>out29</v>
      </c>
      <c r="AJ31" s="380" t="str">
        <f>Настройки!U31</f>
        <v>out29</v>
      </c>
      <c r="AK31" s="380" t="str">
        <f>Настройки!V31</f>
        <v>-</v>
      </c>
      <c r="AL31" s="380" t="str">
        <f>Настройки!W31</f>
        <v>-</v>
      </c>
      <c r="AM31" s="380" t="str">
        <f>Настройки!X31</f>
        <v>-</v>
      </c>
      <c r="AN31" s="380" t="str">
        <f>Настройки!Y31</f>
        <v>-</v>
      </c>
      <c r="AO31" s="380" t="str">
        <f>Настройки!Z31</f>
        <v>-</v>
      </c>
      <c r="AP31" s="380" t="str">
        <f>Настройки!AA31</f>
        <v>Canal_30</v>
      </c>
      <c r="AQ31" s="380" t="str">
        <f>Настройки!AB31</f>
        <v>Canal_30</v>
      </c>
      <c r="AR31" s="380" t="str">
        <f>Настройки!AC31</f>
        <v>-</v>
      </c>
      <c r="AS31" s="380" t="str">
        <f>Настройки!AD31</f>
        <v>-</v>
      </c>
      <c r="AT31" s="207" t="str">
        <f>Настройки!AB31</f>
        <v>Canal_30</v>
      </c>
      <c r="AU31" s="207" t="str">
        <f>Настройки!AC31</f>
        <v>-</v>
      </c>
      <c r="AV31" s="207" t="str">
        <f>Настройки!AD31</f>
        <v>-</v>
      </c>
      <c r="AW31" s="207" t="str">
        <f>Настройки!AE31</f>
        <v>-</v>
      </c>
      <c r="AX31" s="207" t="str">
        <f>Настройки!AF31</f>
        <v>IDIG_8_2</v>
      </c>
      <c r="AY31" s="207" t="str">
        <f>Настройки!AG31</f>
        <v>Canal_30</v>
      </c>
      <c r="AZ31" s="207" t="str">
        <f>Настройки!AH31</f>
        <v>Canal_30</v>
      </c>
      <c r="BA31" s="207" t="str">
        <f>Настройки!AI31</f>
        <v>Canal_30</v>
      </c>
      <c r="BB31" s="207" t="str">
        <f>Настройки!AJ31</f>
        <v>-</v>
      </c>
      <c r="BC31" s="207" t="str">
        <f>Настройки!AK31</f>
        <v>-</v>
      </c>
      <c r="BD31" s="207" t="str">
        <f>Настройки!AL31</f>
        <v>Canal_30</v>
      </c>
      <c r="BE31" s="207" t="str">
        <f>Настройки!AM31</f>
        <v>-</v>
      </c>
    </row>
    <row r="32" spans="1:57">
      <c r="A32" s="82"/>
      <c r="B32" s="82"/>
      <c r="C32" s="81"/>
      <c r="D32" s="81"/>
      <c r="E32" s="81"/>
      <c r="F32" s="81"/>
      <c r="G32" s="445"/>
      <c r="H32" s="445"/>
      <c r="I32" s="1"/>
      <c r="M32" s="424" t="str">
        <f>'Конфигурация TREI'!A33</f>
        <v>BR31</v>
      </c>
      <c r="N32" s="424" t="str">
        <f>'Конфигурация TREI'!B33</f>
        <v>M558D</v>
      </c>
      <c r="AE32" s="428">
        <f>Настройки!P32</f>
        <v>31</v>
      </c>
      <c r="AF32" s="380">
        <f>Настройки!Q32</f>
        <v>0</v>
      </c>
      <c r="AG32" s="380" t="str">
        <f>Настройки!R32</f>
        <v>-</v>
      </c>
      <c r="AH32" s="380" t="str">
        <f>Настройки!S32</f>
        <v>-</v>
      </c>
      <c r="AI32" s="380" t="str">
        <f>Настройки!T32</f>
        <v>out30</v>
      </c>
      <c r="AJ32" s="380" t="str">
        <f>Настройки!U32</f>
        <v>out30</v>
      </c>
      <c r="AK32" s="380" t="str">
        <f>Настройки!V32</f>
        <v>-</v>
      </c>
      <c r="AL32" s="380" t="str">
        <f>Настройки!W32</f>
        <v>-</v>
      </c>
      <c r="AM32" s="380" t="str">
        <f>Настройки!X32</f>
        <v>-</v>
      </c>
      <c r="AN32" s="380" t="str">
        <f>Настройки!Y32</f>
        <v>-</v>
      </c>
      <c r="AO32" s="380" t="str">
        <f>Настройки!Z32</f>
        <v>-</v>
      </c>
      <c r="AP32" s="380" t="str">
        <f>Настройки!AA32</f>
        <v>Canal_31</v>
      </c>
      <c r="AQ32" s="380" t="str">
        <f>Настройки!AB32</f>
        <v>Canal_31</v>
      </c>
      <c r="AR32" s="380" t="str">
        <f>Настройки!AC32</f>
        <v>-</v>
      </c>
      <c r="AS32" s="380" t="str">
        <f>Настройки!AD32</f>
        <v>-</v>
      </c>
      <c r="AT32" s="207" t="str">
        <f>Настройки!AB32</f>
        <v>Canal_31</v>
      </c>
      <c r="AU32" s="207" t="str">
        <f>Настройки!AC32</f>
        <v>-</v>
      </c>
      <c r="AV32" s="207" t="str">
        <f>Настройки!AD32</f>
        <v>-</v>
      </c>
      <c r="AW32" s="207" t="str">
        <f>Настройки!AE32</f>
        <v>-</v>
      </c>
      <c r="AX32" s="207" t="str">
        <f>Настройки!AF32</f>
        <v>IDIG_8_3</v>
      </c>
      <c r="AY32" s="207" t="str">
        <f>Настройки!AG32</f>
        <v>Canal_31</v>
      </c>
      <c r="AZ32" s="207" t="str">
        <f>Настройки!AH32</f>
        <v>Canal_31</v>
      </c>
      <c r="BA32" s="207" t="str">
        <f>Настройки!AI32</f>
        <v>Canal_31</v>
      </c>
      <c r="BB32" s="207" t="str">
        <f>Настройки!AJ32</f>
        <v>-</v>
      </c>
      <c r="BC32" s="207" t="str">
        <f>Настройки!AK32</f>
        <v>-</v>
      </c>
      <c r="BD32" s="207" t="str">
        <f>Настройки!AL32</f>
        <v>Canal_31</v>
      </c>
      <c r="BE32" s="207" t="str">
        <f>Настройки!AM32</f>
        <v>-</v>
      </c>
    </row>
    <row r="33" spans="1:57">
      <c r="A33" s="82"/>
      <c r="B33" s="82"/>
      <c r="C33" s="81"/>
      <c r="D33" s="81"/>
      <c r="E33" s="81"/>
      <c r="F33" s="81"/>
      <c r="G33" s="445"/>
      <c r="H33" s="445"/>
      <c r="I33" s="1"/>
      <c r="M33" s="424" t="str">
        <f>'Конфигурация TREI'!A34</f>
        <v>BR32</v>
      </c>
      <c r="N33" s="424" t="str">
        <f>'Конфигурация TREI'!B34</f>
        <v>M558D</v>
      </c>
      <c r="AE33" s="620">
        <f>Настройки!P33</f>
        <v>32</v>
      </c>
      <c r="AF33" s="621">
        <f>Настройки!Q33</f>
        <v>0</v>
      </c>
      <c r="AG33" s="621" t="str">
        <f>Настройки!R33</f>
        <v>-</v>
      </c>
      <c r="AH33" s="621" t="str">
        <f>Настройки!S33</f>
        <v>-</v>
      </c>
      <c r="AI33" s="621" t="str">
        <f>Настройки!T33</f>
        <v>out31</v>
      </c>
      <c r="AJ33" s="621" t="str">
        <f>Настройки!U33</f>
        <v>out31</v>
      </c>
      <c r="AK33" s="621" t="str">
        <f>Настройки!V33</f>
        <v>-</v>
      </c>
      <c r="AL33" s="621" t="str">
        <f>Настройки!W33</f>
        <v>-</v>
      </c>
      <c r="AM33" s="621" t="str">
        <f>Настройки!X33</f>
        <v>-</v>
      </c>
      <c r="AN33" s="621" t="str">
        <f>Настройки!Y33</f>
        <v>-</v>
      </c>
      <c r="AO33" s="621" t="str">
        <f>Настройки!Z33</f>
        <v>-</v>
      </c>
      <c r="AP33" s="621" t="str">
        <f>Настройки!AA33</f>
        <v>Canal_32</v>
      </c>
      <c r="AQ33" s="621" t="str">
        <f>Настройки!AB33</f>
        <v>Canal_32</v>
      </c>
      <c r="AR33" s="621" t="str">
        <f>Настройки!AC33</f>
        <v>-</v>
      </c>
      <c r="AS33" s="621" t="str">
        <f>Настройки!AD33</f>
        <v>-</v>
      </c>
      <c r="AT33" s="622" t="str">
        <f>Настройки!AB33</f>
        <v>Canal_32</v>
      </c>
      <c r="AU33" s="622" t="str">
        <f>Настройки!AC33</f>
        <v>-</v>
      </c>
      <c r="AV33" s="622" t="str">
        <f>Настройки!AD33</f>
        <v>-</v>
      </c>
      <c r="AW33" s="622" t="str">
        <f>Настройки!AE33</f>
        <v>-</v>
      </c>
      <c r="AX33" s="622" t="str">
        <f>Настройки!AF33</f>
        <v>IDIG_8_4</v>
      </c>
      <c r="AY33" s="622" t="str">
        <f>Настройки!AG33</f>
        <v>Canal_32</v>
      </c>
      <c r="AZ33" s="622" t="str">
        <f>Настройки!AH33</f>
        <v>Canal_32</v>
      </c>
      <c r="BA33" s="622" t="str">
        <f>Настройки!AI33</f>
        <v>Canal_32</v>
      </c>
      <c r="BB33" s="622" t="str">
        <f>Настройки!AJ33</f>
        <v>-</v>
      </c>
      <c r="BC33" s="622" t="str">
        <f>Настройки!AK33</f>
        <v>-</v>
      </c>
      <c r="BD33" s="622" t="str">
        <f>Настройки!AL33</f>
        <v>Canal_32</v>
      </c>
      <c r="BE33" s="622" t="str">
        <f>Настройки!AM33</f>
        <v>-</v>
      </c>
    </row>
    <row r="34" spans="1:57">
      <c r="A34" s="82"/>
      <c r="B34" s="82"/>
      <c r="C34" s="81"/>
      <c r="D34" s="81"/>
      <c r="E34" s="81"/>
      <c r="F34" s="81"/>
      <c r="G34" s="445"/>
      <c r="H34" s="445"/>
      <c r="I34" s="1"/>
      <c r="M34" s="424" t="str">
        <f>'Конфигурация TREI'!A35</f>
        <v>BR33</v>
      </c>
      <c r="N34" s="424" t="str">
        <f>'Конфигурация TREI'!B35</f>
        <v>M558D</v>
      </c>
      <c r="AE34" s="624"/>
      <c r="AF34" s="624"/>
      <c r="AG34" s="624"/>
      <c r="AH34" s="624"/>
      <c r="AI34" s="624"/>
      <c r="AJ34" s="624"/>
      <c r="AK34" s="624"/>
      <c r="AL34" s="624"/>
      <c r="AM34" s="624"/>
      <c r="AN34" s="624"/>
      <c r="AO34" s="624"/>
      <c r="AP34" s="624"/>
      <c r="AQ34" s="624"/>
      <c r="AR34" s="624"/>
      <c r="AS34" s="624"/>
      <c r="AT34" s="625"/>
      <c r="AU34" s="625"/>
      <c r="AV34" s="625"/>
      <c r="AW34" s="625"/>
      <c r="AX34" s="625"/>
      <c r="AY34" s="625"/>
      <c r="AZ34" s="625"/>
      <c r="BA34" s="625"/>
      <c r="BB34" s="625"/>
      <c r="BC34" s="625"/>
      <c r="BD34" s="625"/>
      <c r="BE34" s="625"/>
    </row>
    <row r="35" spans="1:57">
      <c r="A35" s="82"/>
      <c r="B35" s="82"/>
      <c r="C35" s="81"/>
      <c r="D35" s="81"/>
      <c r="E35" s="81"/>
      <c r="F35" s="81"/>
      <c r="G35" s="445"/>
      <c r="H35" s="445"/>
      <c r="I35" s="1"/>
      <c r="M35" s="424" t="str">
        <f>'Конфигурация TREI'!A36</f>
        <v>BR34</v>
      </c>
      <c r="N35" s="424" t="str">
        <f>'Конфигурация TREI'!B36</f>
        <v>M558D</v>
      </c>
      <c r="AE35" s="505"/>
      <c r="AF35" s="505"/>
      <c r="AG35" s="505"/>
      <c r="AH35" s="505"/>
      <c r="AI35" s="505"/>
      <c r="AJ35" s="505"/>
      <c r="AK35" s="505"/>
      <c r="AL35" s="505"/>
      <c r="AM35" s="505"/>
      <c r="AN35" s="505"/>
      <c r="AO35" s="505"/>
      <c r="AP35" s="505"/>
      <c r="AQ35" s="505"/>
      <c r="AR35" s="505"/>
      <c r="AS35" s="505"/>
      <c r="AT35" s="623"/>
      <c r="AU35" s="623"/>
      <c r="AV35" s="623"/>
      <c r="AW35" s="623"/>
      <c r="AX35" s="623"/>
      <c r="AY35" s="623"/>
      <c r="AZ35" s="623"/>
      <c r="BA35" s="623"/>
      <c r="BB35" s="623"/>
      <c r="BC35" s="623"/>
      <c r="BD35" s="623"/>
      <c r="BE35" s="623"/>
    </row>
    <row r="36" spans="1:57">
      <c r="A36" s="82"/>
      <c r="B36" s="82"/>
      <c r="C36" s="81"/>
      <c r="D36" s="81"/>
      <c r="E36" s="81"/>
      <c r="F36" s="81"/>
      <c r="G36" s="445"/>
      <c r="H36" s="445"/>
      <c r="I36" s="1"/>
      <c r="M36" s="424" t="str">
        <f>'Конфигурация TREI'!A37</f>
        <v>BR35</v>
      </c>
      <c r="N36" s="424" t="str">
        <f>'Конфигурация TREI'!B37</f>
        <v>M558D</v>
      </c>
      <c r="AE36" s="505"/>
      <c r="AF36" s="505"/>
      <c r="AG36" s="505"/>
      <c r="AH36" s="505"/>
      <c r="AI36" s="505"/>
      <c r="AJ36" s="505"/>
      <c r="AK36" s="505"/>
      <c r="AL36" s="505"/>
      <c r="AM36" s="505"/>
      <c r="AN36" s="505"/>
      <c r="AO36" s="505"/>
      <c r="AP36" s="505"/>
      <c r="AQ36" s="505"/>
      <c r="AR36" s="505"/>
      <c r="AS36" s="505"/>
      <c r="AT36" s="623"/>
      <c r="AU36" s="623"/>
      <c r="AV36" s="623"/>
      <c r="AW36" s="623"/>
      <c r="AX36" s="623"/>
      <c r="AY36" s="623"/>
      <c r="AZ36" s="623"/>
      <c r="BA36" s="623"/>
      <c r="BB36" s="623"/>
      <c r="BC36" s="623"/>
      <c r="BD36" s="623"/>
      <c r="BE36" s="623"/>
    </row>
    <row r="37" spans="1:57" ht="15.75" customHeight="1">
      <c r="A37" s="82"/>
      <c r="B37" s="82"/>
      <c r="C37" s="81"/>
      <c r="D37" s="81"/>
      <c r="E37" s="81"/>
      <c r="F37" s="81"/>
      <c r="G37" s="445"/>
      <c r="H37" s="445"/>
      <c r="I37" s="1"/>
      <c r="M37" s="424" t="str">
        <f>'Конфигурация TREI'!A38</f>
        <v>BR36</v>
      </c>
      <c r="N37" s="424">
        <f>'Конфигурация TREI'!B38</f>
        <v>0</v>
      </c>
      <c r="AE37" s="505"/>
      <c r="AF37" s="505"/>
      <c r="AG37" s="505"/>
      <c r="AH37" s="505"/>
      <c r="AI37" s="505"/>
      <c r="AJ37" s="505"/>
      <c r="AK37" s="505"/>
      <c r="AL37" s="505"/>
      <c r="AM37" s="505"/>
      <c r="AN37" s="505"/>
      <c r="AO37" s="505"/>
      <c r="AP37" s="505"/>
      <c r="AQ37" s="505"/>
      <c r="AR37" s="505"/>
      <c r="AS37" s="505"/>
      <c r="AT37" s="623"/>
      <c r="AU37" s="623"/>
      <c r="AV37" s="623"/>
      <c r="AW37" s="623"/>
      <c r="AX37" s="623"/>
      <c r="AY37" s="623"/>
      <c r="AZ37" s="623"/>
      <c r="BA37" s="623"/>
      <c r="BB37" s="623"/>
      <c r="BC37" s="623"/>
      <c r="BD37" s="623"/>
      <c r="BE37" s="623"/>
    </row>
    <row r="38" spans="1:57">
      <c r="A38" s="82"/>
      <c r="B38" s="82"/>
      <c r="C38" s="81"/>
      <c r="D38" s="81"/>
      <c r="E38" s="81"/>
      <c r="F38" s="81"/>
      <c r="G38" s="445"/>
      <c r="H38" s="445"/>
      <c r="I38" s="1"/>
      <c r="M38" s="424" t="str">
        <f>'Конфигурация TREI'!A39</f>
        <v>BR37</v>
      </c>
      <c r="N38" s="424">
        <f>'Конфигурация TREI'!B39</f>
        <v>0</v>
      </c>
      <c r="AE38" s="505"/>
      <c r="AF38" s="505"/>
      <c r="AG38" s="505"/>
      <c r="AH38" s="505"/>
      <c r="AI38" s="505"/>
      <c r="AJ38" s="505"/>
      <c r="AK38" s="505"/>
      <c r="AL38" s="505"/>
      <c r="AM38" s="505"/>
      <c r="AN38" s="505"/>
      <c r="AO38" s="505"/>
      <c r="AP38" s="505"/>
      <c r="AQ38" s="505"/>
      <c r="AR38" s="505"/>
      <c r="AS38" s="505"/>
      <c r="AT38" s="623"/>
      <c r="AU38" s="623"/>
      <c r="AV38" s="623"/>
      <c r="AW38" s="623"/>
      <c r="AX38" s="623"/>
      <c r="AY38" s="623"/>
      <c r="AZ38" s="623"/>
      <c r="BA38" s="623"/>
      <c r="BB38" s="623"/>
      <c r="BC38" s="623"/>
      <c r="BD38" s="623"/>
      <c r="BE38" s="623"/>
    </row>
    <row r="39" spans="1:57">
      <c r="A39" s="82"/>
      <c r="B39" s="82"/>
      <c r="C39" s="81"/>
      <c r="D39" s="81"/>
      <c r="E39" s="81"/>
      <c r="F39" s="81"/>
      <c r="G39" s="445"/>
      <c r="H39" s="445"/>
      <c r="I39" s="1"/>
      <c r="M39" s="424" t="str">
        <f>'Конфигурация TREI'!A40</f>
        <v>BR38</v>
      </c>
      <c r="N39" s="424">
        <f>'Конфигурация TREI'!B40</f>
        <v>0</v>
      </c>
      <c r="AE39" s="505"/>
      <c r="AF39" s="505"/>
      <c r="AG39" s="505"/>
      <c r="AH39" s="505"/>
      <c r="AI39" s="505"/>
      <c r="AJ39" s="505"/>
      <c r="AK39" s="505"/>
      <c r="AL39" s="505"/>
      <c r="AM39" s="505"/>
      <c r="AN39" s="505"/>
      <c r="AO39" s="505"/>
      <c r="AP39" s="505"/>
      <c r="AQ39" s="505"/>
      <c r="AR39" s="505"/>
      <c r="AS39" s="505"/>
      <c r="AT39" s="623"/>
      <c r="AU39" s="623"/>
      <c r="AV39" s="623"/>
      <c r="AW39" s="623"/>
      <c r="AX39" s="623"/>
      <c r="AY39" s="623"/>
      <c r="AZ39" s="623"/>
      <c r="BA39" s="623"/>
      <c r="BB39" s="623"/>
      <c r="BC39" s="623"/>
      <c r="BD39" s="623"/>
      <c r="BE39" s="623"/>
    </row>
    <row r="40" spans="1:57">
      <c r="A40" s="82"/>
      <c r="B40" s="82"/>
      <c r="C40" s="81"/>
      <c r="D40" s="81"/>
      <c r="E40" s="81"/>
      <c r="F40" s="81"/>
      <c r="G40" s="445"/>
      <c r="H40" s="445"/>
      <c r="I40" s="1"/>
      <c r="M40" s="424" t="str">
        <f>'Конфигурация TREI'!A41</f>
        <v>BR39</v>
      </c>
      <c r="N40" s="424">
        <f>'Конфигурация TREI'!B41</f>
        <v>0</v>
      </c>
      <c r="AE40" s="505"/>
      <c r="AF40" s="505"/>
      <c r="AG40" s="505"/>
      <c r="AH40" s="505"/>
      <c r="AI40" s="505"/>
      <c r="AJ40" s="505"/>
      <c r="AK40" s="505"/>
      <c r="AL40" s="505"/>
      <c r="AM40" s="505"/>
      <c r="AN40" s="505"/>
      <c r="AO40" s="505"/>
      <c r="AP40" s="505"/>
      <c r="AQ40" s="505"/>
      <c r="AR40" s="505"/>
      <c r="AS40" s="505"/>
      <c r="AT40" s="623"/>
      <c r="AU40" s="623"/>
      <c r="AV40" s="623"/>
      <c r="AW40" s="623"/>
      <c r="AX40" s="623"/>
      <c r="AY40" s="623"/>
      <c r="AZ40" s="623"/>
      <c r="BA40" s="623"/>
      <c r="BB40" s="623"/>
      <c r="BC40" s="623"/>
      <c r="BD40" s="623"/>
      <c r="BE40" s="623"/>
    </row>
    <row r="41" spans="1:57">
      <c r="A41" s="82"/>
      <c r="B41" s="82"/>
      <c r="C41" s="81"/>
      <c r="D41" s="81"/>
      <c r="E41" s="81"/>
      <c r="F41" s="81"/>
      <c r="G41" s="445"/>
      <c r="H41" s="445"/>
      <c r="I41" s="1"/>
      <c r="M41" s="424" t="str">
        <f>'Конфигурация TREI'!A42</f>
        <v>BR40</v>
      </c>
      <c r="N41" s="424">
        <f>'Конфигурация TREI'!B42</f>
        <v>0</v>
      </c>
      <c r="AE41" s="505"/>
      <c r="AF41" s="505"/>
      <c r="AG41" s="505"/>
      <c r="AH41" s="505"/>
      <c r="AI41" s="505"/>
      <c r="AJ41" s="505"/>
      <c r="AK41" s="505"/>
      <c r="AL41" s="505"/>
      <c r="AM41" s="505"/>
      <c r="AN41" s="505"/>
      <c r="AO41" s="505"/>
      <c r="AP41" s="505"/>
      <c r="AQ41" s="505"/>
      <c r="AR41" s="505"/>
      <c r="AS41" s="505"/>
      <c r="AT41" s="623"/>
      <c r="AU41" s="623"/>
      <c r="AV41" s="623"/>
      <c r="AW41" s="623"/>
      <c r="AX41" s="623"/>
      <c r="AY41" s="623"/>
      <c r="AZ41" s="623"/>
      <c r="BA41" s="623"/>
      <c r="BB41" s="623"/>
      <c r="BC41" s="623"/>
      <c r="BD41" s="623"/>
      <c r="BE41" s="623"/>
    </row>
    <row r="42" spans="1:57">
      <c r="M42" s="424" t="str">
        <f>'Конфигурация TREI'!A43</f>
        <v>BR41</v>
      </c>
      <c r="N42" s="424">
        <f>'Конфигурация TREI'!B43</f>
        <v>0</v>
      </c>
    </row>
    <row r="43" spans="1:57">
      <c r="M43" s="424" t="str">
        <f>'Конфигурация TREI'!A44</f>
        <v>BR42</v>
      </c>
      <c r="N43" s="424">
        <f>'Конфигурация TREI'!B44</f>
        <v>0</v>
      </c>
    </row>
    <row r="44" spans="1:57">
      <c r="M44" s="424" t="str">
        <f>'Конфигурация TREI'!A45</f>
        <v>BR43</v>
      </c>
      <c r="N44" s="424">
        <f>'Конфигурация TREI'!B45</f>
        <v>0</v>
      </c>
    </row>
    <row r="45" spans="1:57">
      <c r="M45" s="424" t="str">
        <f>'Конфигурация TREI'!A46</f>
        <v>BR44</v>
      </c>
      <c r="N45" s="424">
        <f>'Конфигурация TREI'!B46</f>
        <v>0</v>
      </c>
    </row>
    <row r="46" spans="1:57">
      <c r="M46" s="424" t="str">
        <f>'Конфигурация TREI'!A47</f>
        <v>BR45</v>
      </c>
      <c r="N46" s="424">
        <f>'Конфигурация TREI'!B47</f>
        <v>0</v>
      </c>
    </row>
    <row r="47" spans="1:57">
      <c r="M47" s="424" t="str">
        <f>'Конфигурация TREI'!A48</f>
        <v>BR46</v>
      </c>
      <c r="N47" s="424">
        <f>'Конфигурация TREI'!B48</f>
        <v>0</v>
      </c>
    </row>
    <row r="48" spans="1:57">
      <c r="M48" s="424" t="str">
        <f>'Конфигурация TREI'!A49</f>
        <v>BR47</v>
      </c>
      <c r="N48" s="424">
        <f>'Конфигурация TREI'!B49</f>
        <v>0</v>
      </c>
    </row>
    <row r="49" spans="13:14">
      <c r="M49" s="424" t="str">
        <f>'Конфигурация TREI'!A50</f>
        <v>BR48</v>
      </c>
      <c r="N49" s="424">
        <f>'Конфигурация TREI'!B50</f>
        <v>0</v>
      </c>
    </row>
    <row r="50" spans="13:14">
      <c r="M50" s="424" t="str">
        <f>'Конфигурация TREI'!A51</f>
        <v>BR49</v>
      </c>
      <c r="N50" s="424">
        <f>'Конфигурация TREI'!B51</f>
        <v>0</v>
      </c>
    </row>
    <row r="51" spans="13:14">
      <c r="M51" s="424" t="str">
        <f>'Конфигурация TREI'!A52</f>
        <v>BR50</v>
      </c>
      <c r="N51" s="424">
        <f>'Конфигурация TREI'!B52</f>
        <v>0</v>
      </c>
    </row>
    <row r="52" spans="13:14">
      <c r="M52" s="424" t="str">
        <f>'Конфигурация TREI'!A53</f>
        <v>BR51</v>
      </c>
      <c r="N52" s="424">
        <f>'Конфигурация TREI'!B53</f>
        <v>0</v>
      </c>
    </row>
    <row r="53" spans="13:14">
      <c r="M53" s="424" t="str">
        <f>'Конфигурация TREI'!A54</f>
        <v>BR52</v>
      </c>
      <c r="N53" s="424">
        <f>'Конфигурация TREI'!B54</f>
        <v>0</v>
      </c>
    </row>
    <row r="54" spans="13:14">
      <c r="M54" s="424" t="str">
        <f>'Конфигурация TREI'!A55</f>
        <v>BR53</v>
      </c>
      <c r="N54" s="424">
        <f>'Конфигурация TREI'!B55</f>
        <v>0</v>
      </c>
    </row>
    <row r="55" spans="13:14">
      <c r="M55" s="424" t="str">
        <f>'Конфигурация TREI'!A56</f>
        <v>BR54</v>
      </c>
      <c r="N55" s="424">
        <f>'Конфигурация TREI'!B56</f>
        <v>0</v>
      </c>
    </row>
    <row r="56" spans="13:14">
      <c r="M56" s="424" t="str">
        <f>'Конфигурация TREI'!A57</f>
        <v>BR55</v>
      </c>
      <c r="N56" s="424">
        <f>'Конфигурация TREI'!B57</f>
        <v>0</v>
      </c>
    </row>
    <row r="57" spans="13:14">
      <c r="M57" s="424" t="str">
        <f>'Конфигурация TREI'!A58</f>
        <v>BR56</v>
      </c>
      <c r="N57" s="424">
        <f>'Конфигурация TREI'!B58</f>
        <v>0</v>
      </c>
    </row>
    <row r="58" spans="13:14">
      <c r="M58" s="424" t="str">
        <f>'Конфигурация TREI'!A59</f>
        <v>BR57</v>
      </c>
      <c r="N58" s="424">
        <f>'Конфигурация TREI'!B59</f>
        <v>0</v>
      </c>
    </row>
    <row r="59" spans="13:14">
      <c r="M59" s="424" t="str">
        <f>'Конфигурация TREI'!A60</f>
        <v>BR58</v>
      </c>
      <c r="N59" s="424">
        <f>'Конфигурация TREI'!B60</f>
        <v>0</v>
      </c>
    </row>
    <row r="60" spans="13:14">
      <c r="M60" s="424" t="str">
        <f>'Конфигурация TREI'!A61</f>
        <v>BR59</v>
      </c>
      <c r="N60" s="424">
        <f>'Конфигурация TREI'!B61</f>
        <v>0</v>
      </c>
    </row>
    <row r="61" spans="13:14">
      <c r="M61" s="424" t="str">
        <f>'Конфигурация TREI'!A62</f>
        <v>BR60</v>
      </c>
      <c r="N61" s="424">
        <f>'Конфигурация TREI'!B62</f>
        <v>0</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sheetPr codeName="Лист120">
    <tabColor theme="2" tint="-0.249977111117893"/>
  </sheetPr>
  <dimension ref="A1:BE61"/>
  <sheetViews>
    <sheetView topLeftCell="A31" workbookViewId="0">
      <selection activeCell="D2" sqref="D2:D4"/>
    </sheetView>
  </sheetViews>
  <sheetFormatPr defaultRowHeight="14.4"/>
  <cols>
    <col min="1" max="1" width="35.44140625" customWidth="1"/>
    <col min="2" max="2" width="21.44140625" customWidth="1"/>
    <col min="3" max="3" width="3.44140625" customWidth="1"/>
    <col min="4" max="4" width="1.109375" customWidth="1"/>
    <col min="5" max="5" width="33.44140625" customWidth="1"/>
    <col min="6" max="6" width="17.6640625" customWidth="1"/>
    <col min="7" max="7" width="10.5546875" customWidth="1"/>
    <col min="8" max="8" width="14.33203125" customWidth="1"/>
    <col min="9" max="9" width="11.44140625" customWidth="1"/>
    <col min="10" max="10" width="9.109375" hidden="1" customWidth="1"/>
    <col min="11" max="11" width="10.88671875" customWidth="1"/>
    <col min="12" max="12" width="11.5546875" customWidth="1"/>
    <col min="13" max="13" width="10.6640625" bestFit="1" customWidth="1"/>
    <col min="14" max="14" width="8.109375" bestFit="1" customWidth="1"/>
    <col min="15" max="15" width="9.109375" customWidth="1"/>
    <col min="16" max="16" width="34.6640625" customWidth="1"/>
    <col min="17" max="17" width="39.33203125" customWidth="1"/>
    <col min="18" max="30" width="26.109375" style="55" customWidth="1"/>
    <col min="31" max="31" width="4.5546875" style="427" customWidth="1"/>
    <col min="32" max="32" width="11.109375" customWidth="1"/>
  </cols>
  <sheetData>
    <row r="1" spans="1:57">
      <c r="A1" s="425"/>
      <c r="B1" s="425"/>
      <c r="C1" s="425"/>
      <c r="D1" s="425"/>
      <c r="E1" s="425"/>
      <c r="F1" s="425"/>
      <c r="G1" s="426" t="s">
        <v>846</v>
      </c>
      <c r="H1" s="426" t="s">
        <v>847</v>
      </c>
      <c r="I1" s="424" t="s">
        <v>1181</v>
      </c>
      <c r="J1" s="425"/>
      <c r="M1" s="424" t="str">
        <f>'Конфигурация TREI'!A1</f>
        <v>№ Модуля</v>
      </c>
      <c r="N1" s="424" t="str">
        <f>'Конфигурация TREI'!B2</f>
        <v>M501E(рез)</v>
      </c>
      <c r="O1" s="425"/>
      <c r="P1" s="425" t="str">
        <f>Таблица!D1</f>
        <v>Префикс для TREI
Тэг ОРС для INFINITY</v>
      </c>
      <c r="Q1" s="425" t="str">
        <f>Таблица!E1</f>
        <v>Комментарий для TREI и INFINITY</v>
      </c>
      <c r="R1" s="452"/>
      <c r="S1" s="452" t="s">
        <v>858</v>
      </c>
      <c r="T1" s="452" t="s">
        <v>859</v>
      </c>
      <c r="U1" s="452"/>
      <c r="V1" s="452"/>
      <c r="W1" s="452" t="s">
        <v>850</v>
      </c>
      <c r="X1" s="452"/>
      <c r="Y1" s="452"/>
      <c r="Z1" s="452"/>
      <c r="AA1" s="452"/>
      <c r="AB1" s="452"/>
      <c r="AC1" s="452"/>
      <c r="AD1" s="453"/>
      <c r="AE1" s="438"/>
      <c r="AF1" s="438">
        <f>Настройки!Q1</f>
        <v>0</v>
      </c>
      <c r="AG1" s="438" t="str">
        <f>Настройки!R1</f>
        <v>M943DR</v>
      </c>
      <c r="AH1" s="438" t="str">
        <f>Настройки!S1</f>
        <v>M942A</v>
      </c>
      <c r="AI1" s="438" t="str">
        <f>Настройки!T1</f>
        <v>M957D</v>
      </c>
      <c r="AJ1" s="438" t="str">
        <f>Настройки!U1</f>
        <v>M957O</v>
      </c>
      <c r="AK1" s="438" t="str">
        <f>Настройки!V1</f>
        <v>M947R</v>
      </c>
      <c r="AL1" s="438" t="str">
        <f>Настройки!W1</f>
        <v>M931V</v>
      </c>
      <c r="AM1" s="438" t="str">
        <f>Настройки!X1</f>
        <v>M931T</v>
      </c>
      <c r="AN1" s="438" t="str">
        <f>Настройки!Y1</f>
        <v>M547A</v>
      </c>
      <c r="AO1" s="438" t="str">
        <f>Настройки!Z1</f>
        <v>M537V</v>
      </c>
      <c r="AP1" s="438" t="str">
        <f>Настройки!AA1</f>
        <v>M557D</v>
      </c>
      <c r="AQ1" s="438" t="str">
        <f>Настройки!AB1</f>
        <v>M557O</v>
      </c>
      <c r="AR1" s="438" t="str">
        <f>Настройки!AC1</f>
        <v>MOPS</v>
      </c>
      <c r="AS1" s="438" t="str">
        <f>Настройки!AD1</f>
        <v>MUPS</v>
      </c>
      <c r="AT1" s="439" t="str">
        <f>Настройки!AB1</f>
        <v>M557O</v>
      </c>
      <c r="AU1" s="439" t="str">
        <f>Настройки!AC1</f>
        <v>MOPS</v>
      </c>
      <c r="AV1" s="439" t="str">
        <f>Настройки!AD1</f>
        <v>MUPS</v>
      </c>
      <c r="AW1" s="439" t="str">
        <f>Настройки!AE1</f>
        <v>M941A</v>
      </c>
      <c r="AX1" s="439" t="str">
        <f>Настройки!AF1</f>
        <v>M954D</v>
      </c>
      <c r="AY1" s="439" t="str">
        <f>Настройки!AG1</f>
        <v>M557DR</v>
      </c>
      <c r="AZ1" s="439" t="str">
        <f>Настройки!AH1</f>
        <v>M558D</v>
      </c>
      <c r="BA1" s="439" t="str">
        <f>Настройки!AI1</f>
        <v>M558O</v>
      </c>
      <c r="BB1" s="439" t="str">
        <f>Настройки!AJ1</f>
        <v>M548A</v>
      </c>
      <c r="BC1" s="439" t="str">
        <f>Настройки!AK1</f>
        <v>M538V</v>
      </c>
      <c r="BD1" s="439" t="str">
        <f>Настройки!AL1</f>
        <v>M558DR</v>
      </c>
      <c r="BE1" s="439" t="str">
        <f>Настройки!AM1</f>
        <v>*</v>
      </c>
    </row>
    <row r="2" spans="1:57">
      <c r="A2" s="446" t="str">
        <f>"//*********** "&amp;Q2&amp;" ***********"</f>
        <v>//*********** Выключатель с защитой без управления, без тележки и без защит ***********</v>
      </c>
      <c r="B2" s="446"/>
      <c r="C2" s="446"/>
      <c r="D2" s="446"/>
      <c r="E2" s="446"/>
      <c r="F2" s="446" t="s">
        <v>1031</v>
      </c>
      <c r="G2" s="447"/>
      <c r="H2" s="447"/>
      <c r="I2" s="459"/>
      <c r="M2" s="424" t="str">
        <f>'Конфигурация TREI'!A3</f>
        <v>BR1</v>
      </c>
      <c r="N2" s="424" t="str">
        <f>'Конфигурация TREI'!B3</f>
        <v>M558D</v>
      </c>
      <c r="P2" s="2" t="s">
        <v>299</v>
      </c>
      <c r="Q2" s="449" t="s">
        <v>773</v>
      </c>
      <c r="R2" s="451"/>
      <c r="S2" s="454" t="s">
        <v>1287</v>
      </c>
      <c r="T2" s="454" t="s">
        <v>1288</v>
      </c>
      <c r="U2" s="454"/>
      <c r="V2" s="454"/>
      <c r="W2" s="454" t="s">
        <v>1289</v>
      </c>
      <c r="X2" s="454"/>
      <c r="Y2" s="454"/>
      <c r="Z2" s="454"/>
      <c r="AA2" s="454"/>
      <c r="AB2" s="454"/>
      <c r="AC2" s="454"/>
      <c r="AD2" s="454"/>
      <c r="AE2" s="431">
        <f>Настройки!P2</f>
        <v>1</v>
      </c>
      <c r="AF2" s="380">
        <f>Настройки!Q2</f>
        <v>0</v>
      </c>
      <c r="AG2" s="380" t="str">
        <f>Настройки!R2</f>
        <v>IDIG_1_1</v>
      </c>
      <c r="AH2" s="380" t="str">
        <f>Настройки!S2</f>
        <v>IANS_1_3</v>
      </c>
      <c r="AI2" s="380" t="str">
        <f>Настройки!T2</f>
        <v>out0</v>
      </c>
      <c r="AJ2" s="380" t="str">
        <f>Настройки!U2</f>
        <v>out0</v>
      </c>
      <c r="AK2" s="380" t="str">
        <f>Настройки!V2</f>
        <v>ODIG_1</v>
      </c>
      <c r="AL2" s="380" t="str">
        <f>Настройки!W2</f>
        <v>OAN_1_1</v>
      </c>
      <c r="AM2" s="380" t="str">
        <f>Настройки!X2</f>
        <v>IANS_1_1</v>
      </c>
      <c r="AN2" s="380" t="str">
        <f>Настройки!Y2</f>
        <v>Canal_01</v>
      </c>
      <c r="AO2" s="380" t="str">
        <f>Настройки!Z2</f>
        <v>Canal_01</v>
      </c>
      <c r="AP2" s="380" t="str">
        <f>Настройки!AA2</f>
        <v>Canal_01</v>
      </c>
      <c r="AQ2" s="380" t="str">
        <f>Настройки!AB2</f>
        <v>Canal_01</v>
      </c>
      <c r="AR2" s="380" t="str">
        <f>Настройки!AC2</f>
        <v>IVXX[0]</v>
      </c>
      <c r="AS2" s="380" t="str">
        <f>Настройки!AD2</f>
        <v>IVXX[0]</v>
      </c>
      <c r="AT2" s="207" t="str">
        <f>Настройки!AB2</f>
        <v>Canal_01</v>
      </c>
      <c r="AU2" s="207" t="str">
        <f>Настройки!AC2</f>
        <v>IVXX[0]</v>
      </c>
      <c r="AV2" s="207" t="str">
        <f>Настройки!AD2</f>
        <v>IVXX[0]</v>
      </c>
      <c r="AW2" s="207" t="str">
        <f>Настройки!AE2</f>
        <v>IANS_1_1</v>
      </c>
      <c r="AX2" s="207" t="str">
        <f>Настройки!AF2</f>
        <v>IDIG_1_1</v>
      </c>
      <c r="AY2" s="207" t="str">
        <f>Настройки!AG2</f>
        <v>Canal_01</v>
      </c>
      <c r="AZ2" s="207" t="str">
        <f>Настройки!AH2</f>
        <v>Canal_01</v>
      </c>
      <c r="BA2" s="207" t="str">
        <f>Настройки!AI2</f>
        <v>Canal_01</v>
      </c>
      <c r="BB2" s="207" t="str">
        <f>Настройки!AJ2</f>
        <v>Canal_01</v>
      </c>
      <c r="BC2" s="207" t="str">
        <f>Настройки!AK2</f>
        <v>Canal_01</v>
      </c>
      <c r="BD2" s="207" t="str">
        <f>Настройки!AL2</f>
        <v>Canal_01</v>
      </c>
      <c r="BE2" s="207" t="str">
        <f>Настройки!AM2</f>
        <v>-</v>
      </c>
    </row>
    <row r="3" spans="1:57">
      <c r="A3" s="82"/>
      <c r="B3" s="82"/>
      <c r="C3" s="81"/>
      <c r="D3" s="81"/>
      <c r="E3" s="448" t="str">
        <f ca="1">IF(LEFT(E6,3)="out","INT_TO_BIT_BR"&amp;C6&amp;"(BR"&amp;C6&amp;".IDIG_MASK)","УДАЛИТЬ")</f>
        <v>УДАЛИТЬ</v>
      </c>
      <c r="F3" s="446" t="s">
        <v>845</v>
      </c>
      <c r="G3" s="447"/>
      <c r="H3" s="447"/>
      <c r="I3" s="459"/>
      <c r="M3" s="424" t="str">
        <f>'Конфигурация TREI'!A4</f>
        <v>BR2</v>
      </c>
      <c r="N3" s="424" t="str">
        <f>'Конфигурация TREI'!B4</f>
        <v>M548A</v>
      </c>
      <c r="P3" s="425" t="str">
        <f>'Конфигурация TREI'!D1</f>
        <v>Путь TREI для сигналов NOT_LINK</v>
      </c>
      <c r="R3" s="450"/>
      <c r="S3" s="454" t="str">
        <f>SUBSTITUTE(SUBSTITUTE($S$2,"!","")," ","")</f>
        <v>6+31</v>
      </c>
      <c r="T3" s="454" t="str">
        <f>SUBSTITUTE(SUBSTITUTE($T$2,"!","")," ","")</f>
        <v>7+3</v>
      </c>
      <c r="U3" s="454" t="str">
        <f>SUBSTITUTE(SUBSTITUTE($U$2,"!","")," ","")</f>
        <v/>
      </c>
      <c r="V3" s="454" t="str">
        <f>SUBSTITUTE(SUBSTITUTE($V$2,"!","")," ","")</f>
        <v/>
      </c>
      <c r="W3" s="454" t="str">
        <f>SUBSTITUTE(SUBSTITUTE($W$2,"!","")," ","")</f>
        <v>6+13</v>
      </c>
      <c r="X3" s="454" t="str">
        <f>SUBSTITUTE(SUBSTITUTE($X$2,"!","")," ","")</f>
        <v/>
      </c>
      <c r="Y3" s="454" t="str">
        <f>SUBSTITUTE(SUBSTITUTE($Y$2,"!","")," ","")</f>
        <v/>
      </c>
      <c r="Z3" s="454" t="str">
        <f>SUBSTITUTE(SUBSTITUTE($Z$2,"!","")," ","")</f>
        <v/>
      </c>
      <c r="AA3" s="454" t="str">
        <f>SUBSTITUTE(SUBSTITUTE($AA$2,"!","")," ","")</f>
        <v/>
      </c>
      <c r="AB3" s="454" t="str">
        <f>SUBSTITUTE(SUBSTITUTE($AB$2,"!","")," ","")</f>
        <v/>
      </c>
      <c r="AC3" s="454" t="str">
        <f>SUBSTITUTE(SUBSTITUTE($AC$2,"!","")," ","")</f>
        <v/>
      </c>
      <c r="AD3" s="454"/>
      <c r="AE3" s="431">
        <f>Настройки!P3</f>
        <v>2</v>
      </c>
      <c r="AF3" s="380">
        <f>Настройки!Q3</f>
        <v>0</v>
      </c>
      <c r="AG3" s="380" t="str">
        <f>Настройки!R3</f>
        <v>IDIG_1_2</v>
      </c>
      <c r="AH3" s="380" t="str">
        <f>Настройки!S3</f>
        <v>IANS_1_4</v>
      </c>
      <c r="AI3" s="380" t="str">
        <f>Настройки!T3</f>
        <v>out1</v>
      </c>
      <c r="AJ3" s="380" t="str">
        <f>Настройки!U3</f>
        <v>out1</v>
      </c>
      <c r="AK3" s="380" t="str">
        <f>Настройки!V3</f>
        <v>ODIG_2</v>
      </c>
      <c r="AL3" s="380" t="str">
        <f>Настройки!W3</f>
        <v>OAN_2_1</v>
      </c>
      <c r="AM3" s="380" t="str">
        <f>Настройки!X3</f>
        <v>IANS_2_1</v>
      </c>
      <c r="AN3" s="380" t="str">
        <f>Настройки!Y3</f>
        <v>Canal_02</v>
      </c>
      <c r="AO3" s="380" t="str">
        <f>Настройки!Z3</f>
        <v>Canal_02</v>
      </c>
      <c r="AP3" s="380" t="str">
        <f>Настройки!AA3</f>
        <v>Canal_02</v>
      </c>
      <c r="AQ3" s="380" t="str">
        <f>Настройки!AB3</f>
        <v>Canal_02</v>
      </c>
      <c r="AR3" s="380" t="str">
        <f>Настройки!AC3</f>
        <v>IVXX[1]</v>
      </c>
      <c r="AS3" s="380" t="str">
        <f>Настройки!AD3</f>
        <v>IVXX[1]</v>
      </c>
      <c r="AT3" s="207" t="str">
        <f>Настройки!AB3</f>
        <v>Canal_02</v>
      </c>
      <c r="AU3" s="207" t="str">
        <f>Настройки!AC3</f>
        <v>IVXX[1]</v>
      </c>
      <c r="AV3" s="207" t="str">
        <f>Настройки!AD3</f>
        <v>IVXX[1]</v>
      </c>
      <c r="AW3" s="207" t="str">
        <f>Настройки!AE3</f>
        <v>IANS_1_2</v>
      </c>
      <c r="AX3" s="207" t="str">
        <f>Настройки!AF3</f>
        <v>IDIG_1_2</v>
      </c>
      <c r="AY3" s="207" t="str">
        <f>Настройки!AG3</f>
        <v>Canal_02</v>
      </c>
      <c r="AZ3" s="207" t="str">
        <f>Настройки!AH3</f>
        <v>Canal_02</v>
      </c>
      <c r="BA3" s="207" t="str">
        <f>Настройки!AI3</f>
        <v>Canal_02</v>
      </c>
      <c r="BB3" s="207" t="str">
        <f>Настройки!AJ3</f>
        <v>Canal_02</v>
      </c>
      <c r="BC3" s="207" t="str">
        <f>Настройки!AK3</f>
        <v>Canal_02</v>
      </c>
      <c r="BD3" s="207" t="str">
        <f>Настройки!AL3</f>
        <v>Canal_02</v>
      </c>
      <c r="BE3" s="207" t="str">
        <f>Настройки!AM3</f>
        <v>-</v>
      </c>
    </row>
    <row r="4" spans="1:57">
      <c r="A4" s="82"/>
      <c r="B4" s="82"/>
      <c r="C4" s="81"/>
      <c r="D4" s="81"/>
      <c r="E4" s="448" t="str">
        <f ca="1">IF(LEFT(E7,3)="out","INT_TO_BIT_BR"&amp;C7&amp;"(BR"&amp;C7&amp;".IDIG_MASK)","УДАЛИТЬ")</f>
        <v>УДАЛИТЬ</v>
      </c>
      <c r="F4" s="446" t="s">
        <v>845</v>
      </c>
      <c r="G4" s="447"/>
      <c r="H4" s="447"/>
      <c r="I4" s="459"/>
      <c r="M4" s="424" t="str">
        <f>'Конфигурация TREI'!A5</f>
        <v>BR3</v>
      </c>
      <c r="N4" s="424" t="str">
        <f>'Конфигурация TREI'!B5</f>
        <v>M548A</v>
      </c>
      <c r="P4" s="3" t="str">
        <f>Настройки!D2</f>
        <v/>
      </c>
      <c r="AE4" s="431">
        <f>Настройки!P4</f>
        <v>3</v>
      </c>
      <c r="AF4" s="380">
        <f>Настройки!Q4</f>
        <v>0</v>
      </c>
      <c r="AG4" s="380" t="str">
        <f>Настройки!R4</f>
        <v>IDIG_2_1</v>
      </c>
      <c r="AH4" s="380" t="str">
        <f>Настройки!S4</f>
        <v>IANS_2_3</v>
      </c>
      <c r="AI4" s="380" t="str">
        <f>Настройки!T4</f>
        <v>out2</v>
      </c>
      <c r="AJ4" s="380" t="str">
        <f>Настройки!U4</f>
        <v>out2</v>
      </c>
      <c r="AK4" s="380" t="str">
        <f>Настройки!V4</f>
        <v>ODIG_3</v>
      </c>
      <c r="AL4" s="380" t="str">
        <f>Настройки!W4</f>
        <v>OAN_3_1</v>
      </c>
      <c r="AM4" s="380" t="str">
        <f>Настройки!X4</f>
        <v>IANS_3_1</v>
      </c>
      <c r="AN4" s="380" t="str">
        <f>Настройки!Y4</f>
        <v>Canal_03</v>
      </c>
      <c r="AO4" s="380" t="str">
        <f>Настройки!Z4</f>
        <v>Canal_03</v>
      </c>
      <c r="AP4" s="380" t="str">
        <f>Настройки!AA4</f>
        <v>Canal_03</v>
      </c>
      <c r="AQ4" s="380" t="str">
        <f>Настройки!AB4</f>
        <v>Canal_03</v>
      </c>
      <c r="AR4" s="380" t="str">
        <f>Настройки!AC4</f>
        <v>IVXX[2]</v>
      </c>
      <c r="AS4" s="380" t="str">
        <f>Настройки!AD4</f>
        <v>IVXX[2]</v>
      </c>
      <c r="AT4" s="207" t="str">
        <f>Настройки!AB4</f>
        <v>Canal_03</v>
      </c>
      <c r="AU4" s="207" t="str">
        <f>Настройки!AC4</f>
        <v>IVXX[2]</v>
      </c>
      <c r="AV4" s="207" t="str">
        <f>Настройки!AD4</f>
        <v>IVXX[2]</v>
      </c>
      <c r="AW4" s="207" t="str">
        <f>Настройки!AE4</f>
        <v>IANS_2_1</v>
      </c>
      <c r="AX4" s="207" t="str">
        <f>Настройки!AF4</f>
        <v>IDIG_1_3</v>
      </c>
      <c r="AY4" s="207" t="str">
        <f>Настройки!AG4</f>
        <v>Canal_03</v>
      </c>
      <c r="AZ4" s="207" t="str">
        <f>Настройки!AH4</f>
        <v>Canal_03</v>
      </c>
      <c r="BA4" s="207" t="str">
        <f>Настройки!AI4</f>
        <v>Canal_03</v>
      </c>
      <c r="BB4" s="207" t="str">
        <f>Настройки!AJ4</f>
        <v>Canal_03</v>
      </c>
      <c r="BC4" s="207" t="str">
        <f>Настройки!AK4</f>
        <v>Canal_03</v>
      </c>
      <c r="BD4" s="207" t="str">
        <f>Настройки!AL4</f>
        <v>Canal_03</v>
      </c>
      <c r="BE4" s="207" t="str">
        <f>Настройки!AM4</f>
        <v>-</v>
      </c>
    </row>
    <row r="5" spans="1:57">
      <c r="A5" s="82"/>
      <c r="B5" s="82"/>
      <c r="C5" s="81"/>
      <c r="D5" s="81"/>
      <c r="E5" s="448" t="str">
        <f ca="1">IF(LEFT(E8,3)="out","INT_TO_BIT_BR"&amp;C8&amp;"(BR"&amp;C8&amp;".IDIG_MASK)","УДАЛИТЬ")</f>
        <v>УДАЛИТЬ</v>
      </c>
      <c r="F5" s="446" t="s">
        <v>845</v>
      </c>
      <c r="G5" s="447"/>
      <c r="H5" s="447"/>
      <c r="I5" s="459"/>
      <c r="M5" s="424" t="str">
        <f>'Конфигурация TREI'!A6</f>
        <v>BR4</v>
      </c>
      <c r="N5" s="424" t="str">
        <f>'Конфигурация TREI'!B6</f>
        <v>M558D</v>
      </c>
      <c r="AE5" s="431">
        <f>Настройки!P5</f>
        <v>4</v>
      </c>
      <c r="AF5" s="380">
        <f>Настройки!Q5</f>
        <v>0</v>
      </c>
      <c r="AG5" s="380" t="str">
        <f>Настройки!R5</f>
        <v>IDIG_2_2</v>
      </c>
      <c r="AH5" s="380" t="str">
        <f>Настройки!S5</f>
        <v>IANS_2_4</v>
      </c>
      <c r="AI5" s="380" t="str">
        <f>Настройки!T5</f>
        <v>out3</v>
      </c>
      <c r="AJ5" s="380" t="str">
        <f>Настройки!U5</f>
        <v>out3</v>
      </c>
      <c r="AK5" s="380" t="str">
        <f>Настройки!V5</f>
        <v>ODIG_4</v>
      </c>
      <c r="AL5" s="380" t="str">
        <f>Настройки!W5</f>
        <v>OAN_4_1</v>
      </c>
      <c r="AM5" s="380" t="str">
        <f>Настройки!X5</f>
        <v>IANS_4_1</v>
      </c>
      <c r="AN5" s="380" t="str">
        <f>Настройки!Y5</f>
        <v>Canal_04</v>
      </c>
      <c r="AO5" s="380" t="str">
        <f>Настройки!Z5</f>
        <v>Canal_04</v>
      </c>
      <c r="AP5" s="380" t="str">
        <f>Настройки!AA5</f>
        <v>Canal_04</v>
      </c>
      <c r="AQ5" s="380" t="str">
        <f>Настройки!AB5</f>
        <v>Canal_04</v>
      </c>
      <c r="AR5" s="380" t="str">
        <f>Настройки!AC5</f>
        <v>IVXX[3]</v>
      </c>
      <c r="AS5" s="380" t="str">
        <f>Настройки!AD5</f>
        <v>IVXX[3]</v>
      </c>
      <c r="AT5" s="207" t="str">
        <f>Настройки!AB5</f>
        <v>Canal_04</v>
      </c>
      <c r="AU5" s="207" t="str">
        <f>Настройки!AC5</f>
        <v>IVXX[3]</v>
      </c>
      <c r="AV5" s="207" t="str">
        <f>Настройки!AD5</f>
        <v>IVXX[3]</v>
      </c>
      <c r="AW5" s="207" t="str">
        <f>Настройки!AE5</f>
        <v>IANS_2_2</v>
      </c>
      <c r="AX5" s="207" t="str">
        <f>Настройки!AF5</f>
        <v>IDIG_1_4</v>
      </c>
      <c r="AY5" s="207" t="str">
        <f>Настройки!AG5</f>
        <v>Canal_04</v>
      </c>
      <c r="AZ5" s="207" t="str">
        <f>Настройки!AH5</f>
        <v>Canal_04</v>
      </c>
      <c r="BA5" s="207" t="str">
        <f>Настройки!AI5</f>
        <v>Canal_04</v>
      </c>
      <c r="BB5" s="207" t="str">
        <f>Настройки!AJ5</f>
        <v>Canal_04</v>
      </c>
      <c r="BC5" s="207" t="str">
        <f>Настройки!AK5</f>
        <v>Canal_04</v>
      </c>
      <c r="BD5" s="207" t="str">
        <f>Настройки!AL5</f>
        <v>Canal_04</v>
      </c>
      <c r="BE5" s="207" t="str">
        <f>Настройки!AM5</f>
        <v>-</v>
      </c>
    </row>
    <row r="6" spans="1:57">
      <c r="A6" s="448" t="str">
        <f>SUBSTITUTE($P$2,"\","|")&amp;"|"&amp; $S$1 &amp;":="&amp;IF(LEFT(SUBSTITUTE($S$2," ",""),1)="!","NOT  ","")</f>
        <v>ZRU_OL1_ZEM|IONX:=</v>
      </c>
      <c r="B6" s="448" t="str">
        <f ca="1">IF(LEFT(E6,3)="out","INT_TO_BIT_BR","BR")</f>
        <v>BR</v>
      </c>
      <c r="C6" s="446" t="str">
        <f>LEFT($S$3,FIND("+",$S$3,1)-1)</f>
        <v>6</v>
      </c>
      <c r="D6" s="446" t="s">
        <v>178</v>
      </c>
      <c r="E6" s="446" t="str">
        <f ca="1">IF($S$2=0,"УДАЛИТЬ",IFERROR(IF(OR($I6="-",$H6="0"),"КАНАЛ ОТСУТСТВУЕТ",IF($I6=0,"МОДУЛЬ ОТСУТСТВУЕТ",$I6)),"ОШИБКА ФОРМАТА"))</f>
        <v>Canal_31</v>
      </c>
      <c r="F6" s="446" t="s">
        <v>845</v>
      </c>
      <c r="G6" s="447" t="str">
        <f>INDEX($N$2:$N$61,C6)</f>
        <v>M558O</v>
      </c>
      <c r="H6" s="447" t="str">
        <f>RIGHT(S$3,LEN(S$3)-FIND("+",S$3,1))</f>
        <v>31</v>
      </c>
      <c r="I6" s="460" t="str">
        <f ca="1">INDIRECT(ADDRESS($H6+1,MATCH($G6,$1:$1,),1))</f>
        <v>Canal_31</v>
      </c>
      <c r="M6" s="424" t="str">
        <f>'Конфигурация TREI'!A7</f>
        <v>BR5</v>
      </c>
      <c r="N6" s="424" t="str">
        <f>'Конфигурация TREI'!B7</f>
        <v>M558O</v>
      </c>
      <c r="AE6" s="431">
        <f>Настройки!P6</f>
        <v>5</v>
      </c>
      <c r="AF6" s="380">
        <f>Настройки!Q6</f>
        <v>0</v>
      </c>
      <c r="AG6" s="380" t="str">
        <f>Настройки!R6</f>
        <v>IDIG_3_1</v>
      </c>
      <c r="AH6" s="380" t="str">
        <f>Настройки!S6</f>
        <v>IANS_3_3</v>
      </c>
      <c r="AI6" s="380" t="str">
        <f>Настройки!T6</f>
        <v>out4</v>
      </c>
      <c r="AJ6" s="380" t="str">
        <f>Настройки!U6</f>
        <v>out4</v>
      </c>
      <c r="AK6" s="380" t="str">
        <f>Настройки!V6</f>
        <v>ODIG_5</v>
      </c>
      <c r="AL6" s="380" t="str">
        <f>Настройки!W6</f>
        <v>OAN_5_1</v>
      </c>
      <c r="AM6" s="380" t="str">
        <f>Настройки!X6</f>
        <v>IANS_5_1</v>
      </c>
      <c r="AN6" s="380" t="str">
        <f>Настройки!Y6</f>
        <v>Canal_05</v>
      </c>
      <c r="AO6" s="380" t="str">
        <f>Настройки!Z6</f>
        <v>Canal_05</v>
      </c>
      <c r="AP6" s="380" t="str">
        <f>Настройки!AA6</f>
        <v>Canal_05</v>
      </c>
      <c r="AQ6" s="380" t="str">
        <f>Настройки!AB6</f>
        <v>Canal_05</v>
      </c>
      <c r="AR6" s="380" t="str">
        <f>Настройки!AC6</f>
        <v>IVXX[4]</v>
      </c>
      <c r="AS6" s="380" t="str">
        <f>Настройки!AD6</f>
        <v>IVXX[4]</v>
      </c>
      <c r="AT6" s="207" t="str">
        <f>Настройки!AB6</f>
        <v>Canal_05</v>
      </c>
      <c r="AU6" s="207" t="str">
        <f>Настройки!AC6</f>
        <v>IVXX[4]</v>
      </c>
      <c r="AV6" s="207" t="str">
        <f>Настройки!AD6</f>
        <v>IVXX[4]</v>
      </c>
      <c r="AW6" s="207" t="str">
        <f>Настройки!AE6</f>
        <v>IANS_3_1</v>
      </c>
      <c r="AX6" s="207" t="str">
        <f>Настройки!AF6</f>
        <v>IDIG_2_1</v>
      </c>
      <c r="AY6" s="207" t="str">
        <f>Настройки!AG6</f>
        <v>Canal_05</v>
      </c>
      <c r="AZ6" s="207" t="str">
        <f>Настройки!AH6</f>
        <v>Canal_05</v>
      </c>
      <c r="BA6" s="207" t="str">
        <f>Настройки!AI6</f>
        <v>Canal_05</v>
      </c>
      <c r="BB6" s="207" t="str">
        <f>Настройки!AJ6</f>
        <v>Canal_05</v>
      </c>
      <c r="BC6" s="207" t="str">
        <f>Настройки!AK6</f>
        <v>Canal_05</v>
      </c>
      <c r="BD6" s="207" t="str">
        <f>Настройки!AL6</f>
        <v>Canal_05</v>
      </c>
      <c r="BE6" s="207" t="str">
        <f>Настройки!AM6</f>
        <v>-</v>
      </c>
    </row>
    <row r="7" spans="1:57">
      <c r="A7" s="448" t="str">
        <f>SUBSTITUTE($P$2,"\","|")&amp;"|"&amp; $T$1 &amp;":="&amp;IF(LEFT(SUBSTITUTE($T$2," ",""),1)="!","NOT  ","")</f>
        <v>ZRU_OL1_ZEM|IOFX:=</v>
      </c>
      <c r="B7" s="448" t="str">
        <f ca="1">IF(LEFT(E7,3)="out","INT_TO_BIT_BR","BR")</f>
        <v>BR</v>
      </c>
      <c r="C7" s="446" t="str">
        <f>LEFT($T$3,FIND("+",$T$3,1)-1)</f>
        <v>7</v>
      </c>
      <c r="D7" s="446" t="s">
        <v>178</v>
      </c>
      <c r="E7" s="446" t="str">
        <f ca="1">IF($T$2=0,"УДАЛИТЬ",IFERROR(IF(OR($I7="-",$H7="0"),"КАНАЛ ОТСУТСТВУЕТ",IF($I7=0,"МОДУЛЬ ОТСУТСТВУЕТ",$I7)),"ОШИБКА ФОРМАТА"))</f>
        <v>Canal_03</v>
      </c>
      <c r="F7" s="446" t="s">
        <v>845</v>
      </c>
      <c r="G7" s="447" t="str">
        <f>INDEX($N$2:$N$61,C7)</f>
        <v>M558O</v>
      </c>
      <c r="H7" s="447" t="str">
        <f>RIGHT(T$3,LEN(T$3)-FIND("+",T$3,1))</f>
        <v>3</v>
      </c>
      <c r="I7" s="460" t="str">
        <f ca="1">INDIRECT(ADDRESS($H7+1,MATCH($G7,$1:$1,),1))</f>
        <v>Canal_03</v>
      </c>
      <c r="M7" s="424" t="str">
        <f>'Конфигурация TREI'!A8</f>
        <v>BR6</v>
      </c>
      <c r="N7" s="424" t="str">
        <f>'Конфигурация TREI'!B8</f>
        <v>M558O</v>
      </c>
      <c r="AE7" s="431">
        <f>Настройки!P7</f>
        <v>6</v>
      </c>
      <c r="AF7" s="380">
        <f>Настройки!Q7</f>
        <v>0</v>
      </c>
      <c r="AG7" s="380" t="str">
        <f>Настройки!R7</f>
        <v>IDIG_3_2</v>
      </c>
      <c r="AH7" s="380" t="str">
        <f>Настройки!S7</f>
        <v>IANS_3_4</v>
      </c>
      <c r="AI7" s="380" t="str">
        <f>Настройки!T7</f>
        <v>out5</v>
      </c>
      <c r="AJ7" s="380" t="str">
        <f>Настройки!U7</f>
        <v>out5</v>
      </c>
      <c r="AK7" s="380" t="str">
        <f>Настройки!V7</f>
        <v>ODIG_6</v>
      </c>
      <c r="AL7" s="380" t="str">
        <f>Настройки!W7</f>
        <v>OAN_6_1</v>
      </c>
      <c r="AM7" s="380" t="str">
        <f>Настройки!X7</f>
        <v>IANS_6_1</v>
      </c>
      <c r="AN7" s="380" t="str">
        <f>Настройки!Y7</f>
        <v>Canal_06</v>
      </c>
      <c r="AO7" s="380" t="str">
        <f>Настройки!Z7</f>
        <v>Canal_06</v>
      </c>
      <c r="AP7" s="380" t="str">
        <f>Настройки!AA7</f>
        <v>Canal_06</v>
      </c>
      <c r="AQ7" s="380" t="str">
        <f>Настройки!AB7</f>
        <v>Canal_06</v>
      </c>
      <c r="AR7" s="380" t="str">
        <f>Настройки!AC7</f>
        <v>IVXX[5]</v>
      </c>
      <c r="AS7" s="380" t="str">
        <f>Настройки!AD7</f>
        <v>IVXX[5]</v>
      </c>
      <c r="AT7" s="207" t="str">
        <f>Настройки!AB7</f>
        <v>Canal_06</v>
      </c>
      <c r="AU7" s="207" t="str">
        <f>Настройки!AC7</f>
        <v>IVXX[5]</v>
      </c>
      <c r="AV7" s="207" t="str">
        <f>Настройки!AD7</f>
        <v>IVXX[5]</v>
      </c>
      <c r="AW7" s="207" t="str">
        <f>Настройки!AE7</f>
        <v>IANS_3_2</v>
      </c>
      <c r="AX7" s="207" t="str">
        <f>Настройки!AF7</f>
        <v>IDIG_2_2</v>
      </c>
      <c r="AY7" s="207" t="str">
        <f>Настройки!AG7</f>
        <v>Canal_06</v>
      </c>
      <c r="AZ7" s="207" t="str">
        <f>Настройки!AH7</f>
        <v>Canal_06</v>
      </c>
      <c r="BA7" s="207" t="str">
        <f>Настройки!AI7</f>
        <v>Canal_06</v>
      </c>
      <c r="BB7" s="207" t="str">
        <f>Настройки!AJ7</f>
        <v>Canal_06</v>
      </c>
      <c r="BC7" s="207" t="str">
        <f>Настройки!AK7</f>
        <v>Canal_06</v>
      </c>
      <c r="BD7" s="207" t="str">
        <f>Настройки!AL7</f>
        <v>Canal_06</v>
      </c>
      <c r="BE7" s="207" t="str">
        <f>Настройки!AM7</f>
        <v>-</v>
      </c>
    </row>
    <row r="8" spans="1:57">
      <c r="A8" s="448" t="str">
        <f>SUBSTITUTE($P$2,"\","|")&amp;"|"&amp; $W$1 &amp;":="&amp;IF(LEFT(SUBSTITUTE($W$2," ",""),1)="!","NOT  ","")</f>
        <v>ZRU_OL1_ZEM|IFXX:=</v>
      </c>
      <c r="B8" s="448" t="str">
        <f ca="1">IF(LEFT(E8,3)="out","INT_TO_BIT_BR","BR")</f>
        <v>BR</v>
      </c>
      <c r="C8" s="446" t="str">
        <f>LEFT($W$3,FIND("+",$W$3,1)-1)</f>
        <v>6</v>
      </c>
      <c r="D8" s="446" t="s">
        <v>178</v>
      </c>
      <c r="E8" s="446" t="str">
        <f ca="1">IF($W$2=0,"УДАЛИТЬ",IFERROR(IF(OR($I8="-",$H8="0"),"КАНАЛ ОТСУТСТВУЕТ",IF($I8=0,"МОДУЛЬ ОТСУТСТВУЕТ",$I8)),"ОШИБКА ФОРМАТА"))</f>
        <v>Canal_13</v>
      </c>
      <c r="F8" s="446" t="s">
        <v>845</v>
      </c>
      <c r="G8" s="447" t="str">
        <f>INDEX($N$2:$N$61,C8)</f>
        <v>M558O</v>
      </c>
      <c r="H8" s="447" t="str">
        <f>RIGHT($W$3,LEN($W$3)-FIND("+",$W$3,1))</f>
        <v>13</v>
      </c>
      <c r="I8" s="460" t="str">
        <f ca="1">INDIRECT(ADDRESS($H8+1,MATCH($G8,$1:$1,),1))</f>
        <v>Canal_13</v>
      </c>
      <c r="M8" s="424" t="str">
        <f>'Конфигурация TREI'!A9</f>
        <v>BR7</v>
      </c>
      <c r="N8" s="424" t="str">
        <f>'Конфигурация TREI'!B9</f>
        <v>M558O</v>
      </c>
      <c r="AE8" s="431">
        <f>Настройки!P8</f>
        <v>7</v>
      </c>
      <c r="AF8" s="380">
        <f>Настройки!Q8</f>
        <v>0</v>
      </c>
      <c r="AG8" s="380" t="str">
        <f>Настройки!R8</f>
        <v>IDIG_4_1</v>
      </c>
      <c r="AH8" s="380" t="str">
        <f>Настройки!S8</f>
        <v>IANS_4_3</v>
      </c>
      <c r="AI8" s="380" t="str">
        <f>Настройки!T8</f>
        <v>out6</v>
      </c>
      <c r="AJ8" s="380" t="str">
        <f>Настройки!U8</f>
        <v>out6</v>
      </c>
      <c r="AK8" s="380" t="str">
        <f>Настройки!V8</f>
        <v>ODIG_7</v>
      </c>
      <c r="AL8" s="380" t="str">
        <f>Настройки!W8</f>
        <v>OAN_7_1</v>
      </c>
      <c r="AM8" s="380" t="str">
        <f>Настройки!X8</f>
        <v>IANS_7_1</v>
      </c>
      <c r="AN8" s="380" t="str">
        <f>Настройки!Y8</f>
        <v>Canal_07</v>
      </c>
      <c r="AO8" s="380" t="str">
        <f>Настройки!Z8</f>
        <v>Canal_07</v>
      </c>
      <c r="AP8" s="380" t="str">
        <f>Настройки!AA8</f>
        <v>Canal_07</v>
      </c>
      <c r="AQ8" s="380" t="str">
        <f>Настройки!AB8</f>
        <v>Canal_07</v>
      </c>
      <c r="AR8" s="380" t="str">
        <f>Настройки!AC8</f>
        <v>IVXX[6]</v>
      </c>
      <c r="AS8" s="380" t="str">
        <f>Настройки!AD8</f>
        <v>IVXX[6]</v>
      </c>
      <c r="AT8" s="207" t="str">
        <f>Настройки!AB8</f>
        <v>Canal_07</v>
      </c>
      <c r="AU8" s="207" t="str">
        <f>Настройки!AC8</f>
        <v>IVXX[6]</v>
      </c>
      <c r="AV8" s="207" t="str">
        <f>Настройки!AD8</f>
        <v>IVXX[6]</v>
      </c>
      <c r="AW8" s="207" t="str">
        <f>Настройки!AE8</f>
        <v>IANS_4_1</v>
      </c>
      <c r="AX8" s="207" t="str">
        <f>Настройки!AF8</f>
        <v>IDIG_2_3</v>
      </c>
      <c r="AY8" s="207" t="str">
        <f>Настройки!AG8</f>
        <v>Canal_07</v>
      </c>
      <c r="AZ8" s="207" t="str">
        <f>Настройки!AH8</f>
        <v>Canal_07</v>
      </c>
      <c r="BA8" s="207" t="str">
        <f>Настройки!AI8</f>
        <v>Canal_07</v>
      </c>
      <c r="BB8" s="207" t="str">
        <f>Настройки!AJ8</f>
        <v>Canal_07</v>
      </c>
      <c r="BC8" s="207" t="str">
        <f>Настройки!AK8</f>
        <v>Canal_07</v>
      </c>
      <c r="BD8" s="207" t="str">
        <f>Настройки!AL8</f>
        <v>Canal_07</v>
      </c>
      <c r="BE8" s="207" t="str">
        <f>Настройки!AM8</f>
        <v>-</v>
      </c>
    </row>
    <row r="9" spans="1:57">
      <c r="A9" s="448" t="str">
        <f>SUBSTITUTE($P$2,"\","|")&amp;"|"&amp;"D"&amp; RIGHT($S$1,3)&amp;":="&amp;P4&amp;"NOT_LINK_BR"</f>
        <v>ZRU_OL1_ZEM|DONX:=NOT_LINK_BR</v>
      </c>
      <c r="B9" s="448"/>
      <c r="C9" s="455"/>
      <c r="D9" s="446"/>
      <c r="E9" s="446" t="str">
        <f>IFERROR(LEFT($S$3,FIND("+",$S$3,1)-1),"УДАЛИТЬ")</f>
        <v>6</v>
      </c>
      <c r="F9" s="446" t="s">
        <v>845</v>
      </c>
      <c r="G9" s="447"/>
      <c r="H9" s="447"/>
      <c r="I9" s="1"/>
      <c r="M9" s="424" t="str">
        <f>'Конфигурация TREI'!A10</f>
        <v>BR8</v>
      </c>
      <c r="N9" s="424" t="str">
        <f>'Конфигурация TREI'!B10</f>
        <v>M558O</v>
      </c>
      <c r="AE9" s="431">
        <f>Настройки!P9</f>
        <v>8</v>
      </c>
      <c r="AF9" s="380">
        <f>Настройки!Q9</f>
        <v>0</v>
      </c>
      <c r="AG9" s="380" t="str">
        <f>Настройки!R9</f>
        <v>IDIG_4_2</v>
      </c>
      <c r="AH9" s="380" t="str">
        <f>Настройки!S9</f>
        <v>IANS_4_4</v>
      </c>
      <c r="AI9" s="380" t="str">
        <f>Настройки!T9</f>
        <v>out7</v>
      </c>
      <c r="AJ9" s="380" t="str">
        <f>Настройки!U9</f>
        <v>out7</v>
      </c>
      <c r="AK9" s="380" t="str">
        <f>Настройки!V9</f>
        <v>ODIG_8</v>
      </c>
      <c r="AL9" s="380" t="str">
        <f>Настройки!W9</f>
        <v>OAN_8_1</v>
      </c>
      <c r="AM9" s="380" t="str">
        <f>Настройки!X9</f>
        <v>IANS_8_1</v>
      </c>
      <c r="AN9" s="380" t="str">
        <f>Настройки!Y9</f>
        <v>Canal_08</v>
      </c>
      <c r="AO9" s="380" t="str">
        <f>Настройки!Z9</f>
        <v>Canal_08</v>
      </c>
      <c r="AP9" s="380" t="str">
        <f>Настройки!AA9</f>
        <v>Canal_08</v>
      </c>
      <c r="AQ9" s="380" t="str">
        <f>Настройки!AB9</f>
        <v>Canal_08</v>
      </c>
      <c r="AR9" s="380" t="str">
        <f>Настройки!AC9</f>
        <v>IVXX[7]</v>
      </c>
      <c r="AS9" s="380" t="str">
        <f>Настройки!AD9</f>
        <v>IVXX[7]</v>
      </c>
      <c r="AT9" s="207" t="str">
        <f>Настройки!AB9</f>
        <v>Canal_08</v>
      </c>
      <c r="AU9" s="207" t="str">
        <f>Настройки!AC9</f>
        <v>IVXX[7]</v>
      </c>
      <c r="AV9" s="207" t="str">
        <f>Настройки!AD9</f>
        <v>IVXX[7]</v>
      </c>
      <c r="AW9" s="207" t="str">
        <f>Настройки!AE9</f>
        <v>IANS_4_2</v>
      </c>
      <c r="AX9" s="207" t="str">
        <f>Настройки!AF9</f>
        <v>IDIG_2_4</v>
      </c>
      <c r="AY9" s="207" t="str">
        <f>Настройки!AG9</f>
        <v>Canal_08</v>
      </c>
      <c r="AZ9" s="207" t="str">
        <f>Настройки!AH9</f>
        <v>Canal_08</v>
      </c>
      <c r="BA9" s="207" t="str">
        <f>Настройки!AI9</f>
        <v>Canal_08</v>
      </c>
      <c r="BB9" s="207" t="str">
        <f>Настройки!AJ9</f>
        <v>Canal_08</v>
      </c>
      <c r="BC9" s="207" t="str">
        <f>Настройки!AK9</f>
        <v>Canal_08</v>
      </c>
      <c r="BD9" s="207" t="str">
        <f>Настройки!AL9</f>
        <v>Canal_08</v>
      </c>
      <c r="BE9" s="207" t="str">
        <f>Настройки!AM9</f>
        <v>-</v>
      </c>
    </row>
    <row r="10" spans="1:57">
      <c r="A10" s="448" t="str">
        <f>SUBSTITUTE($P$2,"\","|")&amp;"|"&amp;"D"&amp; RIGHT($T$1,3)&amp;":="&amp;P4&amp;"NOT_LINK_BR"</f>
        <v>ZRU_OL1_ZEM|DOFX:=NOT_LINK_BR</v>
      </c>
      <c r="B10" s="448"/>
      <c r="C10" s="455"/>
      <c r="D10" s="446"/>
      <c r="E10" s="446" t="str">
        <f>IFERROR(LEFT($T$3,FIND("+",$T$3,1)-1),"УДАЛИТЬ")</f>
        <v>7</v>
      </c>
      <c r="F10" s="446" t="s">
        <v>845</v>
      </c>
      <c r="G10" s="447"/>
      <c r="H10" s="447"/>
      <c r="I10" s="1"/>
      <c r="M10" s="424" t="str">
        <f>'Конфигурация TREI'!A11</f>
        <v>BR9</v>
      </c>
      <c r="N10" s="424" t="str">
        <f>'Конфигурация TREI'!B11</f>
        <v>M558D</v>
      </c>
      <c r="AE10" s="431">
        <f>Настройки!P10</f>
        <v>9</v>
      </c>
      <c r="AF10" s="380">
        <f>Настройки!Q10</f>
        <v>0</v>
      </c>
      <c r="AG10" s="380" t="str">
        <f>Настройки!R10</f>
        <v>IDIG_5_1</v>
      </c>
      <c r="AH10" s="380" t="str">
        <f>Настройки!S10</f>
        <v>IANS_5_3</v>
      </c>
      <c r="AI10" s="380" t="str">
        <f>Настройки!T10</f>
        <v>out8</v>
      </c>
      <c r="AJ10" s="380" t="str">
        <f>Настройки!U10</f>
        <v>out8</v>
      </c>
      <c r="AK10" s="380" t="str">
        <f>Настройки!V10</f>
        <v>ODIG_9</v>
      </c>
      <c r="AL10" s="380" t="str">
        <f>Настройки!W10</f>
        <v>-</v>
      </c>
      <c r="AM10" s="380" t="str">
        <f>Настройки!X10</f>
        <v>-</v>
      </c>
      <c r="AN10" s="380" t="str">
        <f>Настройки!Y10</f>
        <v>Canal_09</v>
      </c>
      <c r="AO10" s="380" t="str">
        <f>Настройки!Z10</f>
        <v>-</v>
      </c>
      <c r="AP10" s="380" t="str">
        <f>Настройки!AA10</f>
        <v>Canal_09</v>
      </c>
      <c r="AQ10" s="380" t="str">
        <f>Настройки!AB10</f>
        <v>Canal_09</v>
      </c>
      <c r="AR10" s="380" t="str">
        <f>Настройки!AC10</f>
        <v>OCCH[0]</v>
      </c>
      <c r="AS10" s="380" t="str">
        <f>Настройки!AD10</f>
        <v>OCCH[0]</v>
      </c>
      <c r="AT10" s="207" t="str">
        <f>Настройки!AB10</f>
        <v>Canal_09</v>
      </c>
      <c r="AU10" s="207" t="str">
        <f>Настройки!AC10</f>
        <v>OCCH[0]</v>
      </c>
      <c r="AV10" s="207" t="str">
        <f>Настройки!AD10</f>
        <v>OCCH[0]</v>
      </c>
      <c r="AW10" s="207" t="str">
        <f>Настройки!AE10</f>
        <v>IANS_5_1</v>
      </c>
      <c r="AX10" s="207" t="str">
        <f>Настройки!AF10</f>
        <v>IDIG_3_1</v>
      </c>
      <c r="AY10" s="207" t="str">
        <f>Настройки!AG10</f>
        <v>Canal_09</v>
      </c>
      <c r="AZ10" s="207" t="str">
        <f>Настройки!AH10</f>
        <v>Canal_09</v>
      </c>
      <c r="BA10" s="207" t="str">
        <f>Настройки!AI10</f>
        <v>Canal_09</v>
      </c>
      <c r="BB10" s="207" t="str">
        <f>Настройки!AJ10</f>
        <v>Canal_09</v>
      </c>
      <c r="BC10" s="207" t="str">
        <f>Настройки!AK10</f>
        <v>-</v>
      </c>
      <c r="BD10" s="207" t="str">
        <f>Настройки!AL10</f>
        <v>Canal_09</v>
      </c>
      <c r="BE10" s="207" t="str">
        <f>Настройки!AM10</f>
        <v>-</v>
      </c>
    </row>
    <row r="11" spans="1:57">
      <c r="A11" s="448" t="str">
        <f>SUBSTITUTE($P$2,"\","|")&amp;"|"&amp;"D"&amp; RIGHT($W$1,3)&amp;":="&amp;P4&amp;"NOT_LINK_BR"</f>
        <v>ZRU_OL1_ZEM|DFXX:=NOT_LINK_BR</v>
      </c>
      <c r="B11" s="448"/>
      <c r="C11" s="455"/>
      <c r="D11" s="446"/>
      <c r="E11" s="446" t="str">
        <f>IFERROR(LEFT($W$3,FIND("+",$W$3,1)-1),"УДАЛИТЬ")</f>
        <v>6</v>
      </c>
      <c r="F11" s="446" t="s">
        <v>845</v>
      </c>
      <c r="G11" s="447"/>
      <c r="H11" s="447"/>
      <c r="I11" s="1"/>
      <c r="M11" s="424" t="str">
        <f>'Конфигурация TREI'!A12</f>
        <v>BR10</v>
      </c>
      <c r="N11" s="424" t="str">
        <f>'Конфигурация TREI'!B12</f>
        <v>M558O</v>
      </c>
      <c r="AE11" s="431">
        <f>Настройки!P11</f>
        <v>10</v>
      </c>
      <c r="AF11" s="380">
        <f>Настройки!Q11</f>
        <v>0</v>
      </c>
      <c r="AG11" s="380" t="str">
        <f>Настройки!R11</f>
        <v>IDIG_5_2</v>
      </c>
      <c r="AH11" s="380" t="str">
        <f>Настройки!S11</f>
        <v>IANS_5_4</v>
      </c>
      <c r="AI11" s="380" t="str">
        <f>Настройки!T11</f>
        <v>out9</v>
      </c>
      <c r="AJ11" s="380" t="str">
        <f>Настройки!U11</f>
        <v>out9</v>
      </c>
      <c r="AK11" s="380" t="str">
        <f>Настройки!V11</f>
        <v>ODIG_10</v>
      </c>
      <c r="AL11" s="380" t="str">
        <f>Настройки!W11</f>
        <v>-</v>
      </c>
      <c r="AM11" s="380" t="str">
        <f>Настройки!X11</f>
        <v>-</v>
      </c>
      <c r="AN11" s="380" t="str">
        <f>Настройки!Y11</f>
        <v>Canal_10</v>
      </c>
      <c r="AO11" s="380" t="str">
        <f>Настройки!Z11</f>
        <v>-</v>
      </c>
      <c r="AP11" s="380" t="str">
        <f>Настройки!AA11</f>
        <v>Canal_10</v>
      </c>
      <c r="AQ11" s="380" t="str">
        <f>Настройки!AB11</f>
        <v>Canal_10</v>
      </c>
      <c r="AR11" s="380" t="str">
        <f>Настройки!AC11</f>
        <v>OCCH[1]</v>
      </c>
      <c r="AS11" s="380" t="str">
        <f>Настройки!AD11</f>
        <v>OCCH[1]</v>
      </c>
      <c r="AT11" s="207" t="str">
        <f>Настройки!AB11</f>
        <v>Canal_10</v>
      </c>
      <c r="AU11" s="207" t="str">
        <f>Настройки!AC11</f>
        <v>OCCH[1]</v>
      </c>
      <c r="AV11" s="207" t="str">
        <f>Настройки!AD11</f>
        <v>OCCH[1]</v>
      </c>
      <c r="AW11" s="207" t="str">
        <f>Настройки!AE11</f>
        <v>IANS_5_2</v>
      </c>
      <c r="AX11" s="207" t="str">
        <f>Настройки!AF11</f>
        <v>IDIG_3_2</v>
      </c>
      <c r="AY11" s="207" t="str">
        <f>Настройки!AG11</f>
        <v>Canal_10</v>
      </c>
      <c r="AZ11" s="207" t="str">
        <f>Настройки!AH11</f>
        <v>Canal_10</v>
      </c>
      <c r="BA11" s="207" t="str">
        <f>Настройки!AI11</f>
        <v>Canal_10</v>
      </c>
      <c r="BB11" s="207" t="str">
        <f>Настройки!AJ11</f>
        <v>Canal_10</v>
      </c>
      <c r="BC11" s="207" t="str">
        <f>Настройки!AK11</f>
        <v>-</v>
      </c>
      <c r="BD11" s="207" t="str">
        <f>Настройки!AL11</f>
        <v>Canal_10</v>
      </c>
      <c r="BE11" s="207" t="str">
        <f>Настройки!AM11</f>
        <v>-</v>
      </c>
    </row>
    <row r="12" spans="1:57">
      <c r="A12" s="82"/>
      <c r="B12" s="82"/>
      <c r="C12" s="11"/>
      <c r="D12" s="81"/>
      <c r="E12" s="81"/>
      <c r="F12" s="81"/>
      <c r="G12" s="445"/>
      <c r="H12" s="445"/>
      <c r="I12" s="1"/>
      <c r="M12" s="424" t="str">
        <f>'Конфигурация TREI'!A13</f>
        <v>BR11</v>
      </c>
      <c r="N12" s="424" t="str">
        <f>'Конфигурация TREI'!B13</f>
        <v>M558D</v>
      </c>
      <c r="AE12" s="431">
        <f>Настройки!P12</f>
        <v>11</v>
      </c>
      <c r="AF12" s="380">
        <f>Настройки!Q12</f>
        <v>0</v>
      </c>
      <c r="AG12" s="380" t="str">
        <f>Настройки!R12</f>
        <v>IDIG_6_1</v>
      </c>
      <c r="AH12" s="380" t="str">
        <f>Настройки!S12</f>
        <v>IANS_6_3</v>
      </c>
      <c r="AI12" s="380" t="str">
        <f>Настройки!T12</f>
        <v>out10</v>
      </c>
      <c r="AJ12" s="380" t="str">
        <f>Настройки!U12</f>
        <v>out10</v>
      </c>
      <c r="AK12" s="380" t="str">
        <f>Настройки!V12</f>
        <v>ODIG_11</v>
      </c>
      <c r="AL12" s="380" t="str">
        <f>Настройки!W12</f>
        <v>-</v>
      </c>
      <c r="AM12" s="380" t="str">
        <f>Настройки!X12</f>
        <v>-</v>
      </c>
      <c r="AN12" s="380" t="str">
        <f>Настройки!Y12</f>
        <v>Canal_11</v>
      </c>
      <c r="AO12" s="380" t="str">
        <f>Настройки!Z12</f>
        <v>-</v>
      </c>
      <c r="AP12" s="380" t="str">
        <f>Настройки!AA12</f>
        <v>Canal_11</v>
      </c>
      <c r="AQ12" s="380" t="str">
        <f>Настройки!AB12</f>
        <v>Canal_11</v>
      </c>
      <c r="AR12" s="380" t="str">
        <f>Настройки!AC12</f>
        <v>OCCH[2]</v>
      </c>
      <c r="AS12" s="380" t="str">
        <f>Настройки!AD12</f>
        <v>OCCH[2]</v>
      </c>
      <c r="AT12" s="207" t="str">
        <f>Настройки!AB12</f>
        <v>Canal_11</v>
      </c>
      <c r="AU12" s="207" t="str">
        <f>Настройки!AC12</f>
        <v>OCCH[2]</v>
      </c>
      <c r="AV12" s="207" t="str">
        <f>Настройки!AD12</f>
        <v>OCCH[2]</v>
      </c>
      <c r="AW12" s="207" t="str">
        <f>Настройки!AE12</f>
        <v>IANS_6_1</v>
      </c>
      <c r="AX12" s="207" t="str">
        <f>Настройки!AF12</f>
        <v>IDIG_3_3</v>
      </c>
      <c r="AY12" s="207" t="str">
        <f>Настройки!AG12</f>
        <v>Canal_11</v>
      </c>
      <c r="AZ12" s="207" t="str">
        <f>Настройки!AH12</f>
        <v>Canal_11</v>
      </c>
      <c r="BA12" s="207" t="str">
        <f>Настройки!AI12</f>
        <v>Canal_11</v>
      </c>
      <c r="BB12" s="207" t="str">
        <f>Настройки!AJ12</f>
        <v>Canal_11</v>
      </c>
      <c r="BC12" s="207" t="str">
        <f>Настройки!AK12</f>
        <v>-</v>
      </c>
      <c r="BD12" s="207" t="str">
        <f>Настройки!AL12</f>
        <v>Canal_11</v>
      </c>
      <c r="BE12" s="207" t="str">
        <f>Настройки!AM12</f>
        <v>-</v>
      </c>
    </row>
    <row r="13" spans="1:57">
      <c r="A13" s="82"/>
      <c r="B13" s="82"/>
      <c r="C13" s="11"/>
      <c r="D13" s="81"/>
      <c r="E13" s="81"/>
      <c r="F13" s="81"/>
      <c r="G13" s="445"/>
      <c r="H13" s="445"/>
      <c r="I13" s="1"/>
      <c r="M13" s="424" t="str">
        <f>'Конфигурация TREI'!A14</f>
        <v>BR12</v>
      </c>
      <c r="N13" s="424" t="str">
        <f>'Конфигурация TREI'!B14</f>
        <v>M558D</v>
      </c>
      <c r="AE13" s="431">
        <f>Настройки!P13</f>
        <v>12</v>
      </c>
      <c r="AF13" s="380">
        <f>Настройки!Q13</f>
        <v>0</v>
      </c>
      <c r="AG13" s="380" t="str">
        <f>Настройки!R13</f>
        <v>IDIG_6_2</v>
      </c>
      <c r="AH13" s="380" t="str">
        <f>Настройки!S13</f>
        <v>IANS_6_4</v>
      </c>
      <c r="AI13" s="380" t="str">
        <f>Настройки!T13</f>
        <v>out11</v>
      </c>
      <c r="AJ13" s="380" t="str">
        <f>Настройки!U13</f>
        <v>out11</v>
      </c>
      <c r="AK13" s="380" t="str">
        <f>Настройки!V13</f>
        <v>ODIG_12</v>
      </c>
      <c r="AL13" s="380" t="str">
        <f>Настройки!W13</f>
        <v>-</v>
      </c>
      <c r="AM13" s="380" t="str">
        <f>Настройки!X13</f>
        <v>-</v>
      </c>
      <c r="AN13" s="380" t="str">
        <f>Настройки!Y13</f>
        <v>Canal_12</v>
      </c>
      <c r="AO13" s="380" t="str">
        <f>Настройки!Z13</f>
        <v>-</v>
      </c>
      <c r="AP13" s="380" t="str">
        <f>Настройки!AA13</f>
        <v>Canal_12</v>
      </c>
      <c r="AQ13" s="380" t="str">
        <f>Настройки!AB13</f>
        <v>Canal_12</v>
      </c>
      <c r="AR13" s="380" t="str">
        <f>Настройки!AC13</f>
        <v>OCCH[3]</v>
      </c>
      <c r="AS13" s="380" t="str">
        <f>Настройки!AD13</f>
        <v>OCCH[3]</v>
      </c>
      <c r="AT13" s="207" t="str">
        <f>Настройки!AB13</f>
        <v>Canal_12</v>
      </c>
      <c r="AU13" s="207" t="str">
        <f>Настройки!AC13</f>
        <v>OCCH[3]</v>
      </c>
      <c r="AV13" s="207" t="str">
        <f>Настройки!AD13</f>
        <v>OCCH[3]</v>
      </c>
      <c r="AW13" s="207" t="str">
        <f>Настройки!AE13</f>
        <v>IANS_6_2</v>
      </c>
      <c r="AX13" s="207" t="str">
        <f>Настройки!AF13</f>
        <v>IDIG_3_4</v>
      </c>
      <c r="AY13" s="207" t="str">
        <f>Настройки!AG13</f>
        <v>Canal_12</v>
      </c>
      <c r="AZ13" s="207" t="str">
        <f>Настройки!AH13</f>
        <v>Canal_12</v>
      </c>
      <c r="BA13" s="207" t="str">
        <f>Настройки!AI13</f>
        <v>Canal_12</v>
      </c>
      <c r="BB13" s="207" t="str">
        <f>Настройки!AJ13</f>
        <v>Canal_12</v>
      </c>
      <c r="BC13" s="207" t="str">
        <f>Настройки!AK13</f>
        <v>-</v>
      </c>
      <c r="BD13" s="207" t="str">
        <f>Настройки!AL13</f>
        <v>Canal_12</v>
      </c>
      <c r="BE13" s="207" t="str">
        <f>Настройки!AM13</f>
        <v>-</v>
      </c>
    </row>
    <row r="14" spans="1:57">
      <c r="A14" s="82"/>
      <c r="B14" s="82"/>
      <c r="C14" s="11"/>
      <c r="D14" s="81"/>
      <c r="E14" s="81"/>
      <c r="F14" s="81"/>
      <c r="G14" s="445"/>
      <c r="H14" s="445"/>
      <c r="I14" s="1"/>
      <c r="M14" s="424" t="str">
        <f>'Конфигурация TREI'!A15</f>
        <v>BR13</v>
      </c>
      <c r="N14" s="424" t="str">
        <f>'Конфигурация TREI'!B15</f>
        <v>M558D</v>
      </c>
      <c r="AE14" s="431">
        <f>Настройки!P14</f>
        <v>13</v>
      </c>
      <c r="AF14" s="380">
        <f>Настройки!Q14</f>
        <v>0</v>
      </c>
      <c r="AG14" s="380" t="str">
        <f>Настройки!R14</f>
        <v>IDIG_7_1</v>
      </c>
      <c r="AH14" s="380" t="str">
        <f>Настройки!S14</f>
        <v>IANS_7_3</v>
      </c>
      <c r="AI14" s="380" t="str">
        <f>Настройки!T14</f>
        <v>out12</v>
      </c>
      <c r="AJ14" s="380" t="str">
        <f>Настройки!U14</f>
        <v>out12</v>
      </c>
      <c r="AK14" s="380" t="str">
        <f>Настройки!V14</f>
        <v>ODIG_13</v>
      </c>
      <c r="AL14" s="380" t="str">
        <f>Настройки!W14</f>
        <v>-</v>
      </c>
      <c r="AM14" s="380" t="str">
        <f>Настройки!X14</f>
        <v>-</v>
      </c>
      <c r="AN14" s="380" t="str">
        <f>Настройки!Y14</f>
        <v>Canal_13</v>
      </c>
      <c r="AO14" s="380" t="str">
        <f>Настройки!Z14</f>
        <v>-</v>
      </c>
      <c r="AP14" s="380" t="str">
        <f>Настройки!AA14</f>
        <v>Canal_13</v>
      </c>
      <c r="AQ14" s="380" t="str">
        <f>Настройки!AB14</f>
        <v>Canal_13</v>
      </c>
      <c r="AR14" s="380" t="str">
        <f>Настройки!AC14</f>
        <v>OCCH[4]</v>
      </c>
      <c r="AS14" s="380" t="str">
        <f>Настройки!AD14</f>
        <v>OCCH[4]</v>
      </c>
      <c r="AT14" s="207" t="str">
        <f>Настройки!AB14</f>
        <v>Canal_13</v>
      </c>
      <c r="AU14" s="207" t="str">
        <f>Настройки!AC14</f>
        <v>OCCH[4]</v>
      </c>
      <c r="AV14" s="207" t="str">
        <f>Настройки!AD14</f>
        <v>OCCH[4]</v>
      </c>
      <c r="AW14" s="207" t="str">
        <f>Настройки!AE14</f>
        <v>IANS_7_1</v>
      </c>
      <c r="AX14" s="207" t="str">
        <f>Настройки!AF14</f>
        <v>IDIG_4_1</v>
      </c>
      <c r="AY14" s="207" t="str">
        <f>Настройки!AG14</f>
        <v>Canal_13</v>
      </c>
      <c r="AZ14" s="207" t="str">
        <f>Настройки!AH14</f>
        <v>Canal_13</v>
      </c>
      <c r="BA14" s="207" t="str">
        <f>Настройки!AI14</f>
        <v>Canal_13</v>
      </c>
      <c r="BB14" s="207" t="str">
        <f>Настройки!AJ14</f>
        <v>Canal_13</v>
      </c>
      <c r="BC14" s="207" t="str">
        <f>Настройки!AK14</f>
        <v>-</v>
      </c>
      <c r="BD14" s="207" t="str">
        <f>Настройки!AL14</f>
        <v>Canal_13</v>
      </c>
      <c r="BE14" s="207" t="str">
        <f>Настройки!AM14</f>
        <v>-</v>
      </c>
    </row>
    <row r="15" spans="1:57">
      <c r="A15" s="82"/>
      <c r="B15" s="82"/>
      <c r="C15" s="11"/>
      <c r="D15" s="81"/>
      <c r="E15" s="81"/>
      <c r="F15" s="81"/>
      <c r="G15" s="445"/>
      <c r="H15" s="445"/>
      <c r="I15" s="1"/>
      <c r="M15" s="424" t="str">
        <f>'Конфигурация TREI'!A16</f>
        <v>BR14</v>
      </c>
      <c r="N15" s="424" t="str">
        <f>'Конфигурация TREI'!B16</f>
        <v>M558D</v>
      </c>
      <c r="AE15" s="431">
        <f>Настройки!P15</f>
        <v>14</v>
      </c>
      <c r="AF15" s="380">
        <f>Настройки!Q15</f>
        <v>0</v>
      </c>
      <c r="AG15" s="380" t="str">
        <f>Настройки!R15</f>
        <v>IDIG_7_2</v>
      </c>
      <c r="AH15" s="380" t="str">
        <f>Настройки!S15</f>
        <v>IANS_7_4</v>
      </c>
      <c r="AI15" s="380" t="str">
        <f>Настройки!T15</f>
        <v>out13</v>
      </c>
      <c r="AJ15" s="380" t="str">
        <f>Настройки!U15</f>
        <v>out13</v>
      </c>
      <c r="AK15" s="380" t="str">
        <f>Настройки!V15</f>
        <v>ODIG_14</v>
      </c>
      <c r="AL15" s="380" t="str">
        <f>Настройки!W15</f>
        <v>-</v>
      </c>
      <c r="AM15" s="380" t="str">
        <f>Настройки!X15</f>
        <v>-</v>
      </c>
      <c r="AN15" s="380" t="str">
        <f>Настройки!Y15</f>
        <v>Canal_14</v>
      </c>
      <c r="AO15" s="380" t="str">
        <f>Настройки!Z15</f>
        <v>-</v>
      </c>
      <c r="AP15" s="380" t="str">
        <f>Настройки!AA15</f>
        <v>Canal_14</v>
      </c>
      <c r="AQ15" s="380" t="str">
        <f>Настройки!AB15</f>
        <v>Canal_14</v>
      </c>
      <c r="AR15" s="380" t="str">
        <f>Настройки!AC15</f>
        <v>OCCH[5]</v>
      </c>
      <c r="AS15" s="380" t="str">
        <f>Настройки!AD15</f>
        <v>OCCH[5]</v>
      </c>
      <c r="AT15" s="207" t="str">
        <f>Настройки!AB15</f>
        <v>Canal_14</v>
      </c>
      <c r="AU15" s="207" t="str">
        <f>Настройки!AC15</f>
        <v>OCCH[5]</v>
      </c>
      <c r="AV15" s="207" t="str">
        <f>Настройки!AD15</f>
        <v>OCCH[5]</v>
      </c>
      <c r="AW15" s="207" t="str">
        <f>Настройки!AE15</f>
        <v>IANS_7_2</v>
      </c>
      <c r="AX15" s="207" t="str">
        <f>Настройки!AF15</f>
        <v>IDIG_4_2</v>
      </c>
      <c r="AY15" s="207" t="str">
        <f>Настройки!AG15</f>
        <v>Canal_14</v>
      </c>
      <c r="AZ15" s="207" t="str">
        <f>Настройки!AH15</f>
        <v>Canal_14</v>
      </c>
      <c r="BA15" s="207" t="str">
        <f>Настройки!AI15</f>
        <v>Canal_14</v>
      </c>
      <c r="BB15" s="207" t="str">
        <f>Настройки!AJ15</f>
        <v>Canal_14</v>
      </c>
      <c r="BC15" s="207" t="str">
        <f>Настройки!AK15</f>
        <v>-</v>
      </c>
      <c r="BD15" s="207" t="str">
        <f>Настройки!AL15</f>
        <v>Canal_14</v>
      </c>
      <c r="BE15" s="207" t="str">
        <f>Настройки!AM15</f>
        <v>-</v>
      </c>
    </row>
    <row r="16" spans="1:57">
      <c r="A16" s="82"/>
      <c r="B16" s="82"/>
      <c r="C16" s="11"/>
      <c r="D16" s="81"/>
      <c r="E16" s="81"/>
      <c r="F16" s="81"/>
      <c r="G16" s="445"/>
      <c r="H16" s="445"/>
      <c r="I16" s="1"/>
      <c r="M16" s="424" t="str">
        <f>'Конфигурация TREI'!A17</f>
        <v>BR15</v>
      </c>
      <c r="N16" s="424" t="str">
        <f>'Конфигурация TREI'!B17</f>
        <v>M558O</v>
      </c>
      <c r="AE16" s="431">
        <f>Настройки!P16</f>
        <v>15</v>
      </c>
      <c r="AF16" s="380">
        <f>Настройки!Q16</f>
        <v>0</v>
      </c>
      <c r="AG16" s="380" t="str">
        <f>Настройки!R16</f>
        <v>IDIG_8_1</v>
      </c>
      <c r="AH16" s="380" t="str">
        <f>Настройки!S16</f>
        <v>IANS_8_3</v>
      </c>
      <c r="AI16" s="380" t="str">
        <f>Настройки!T16</f>
        <v>out14</v>
      </c>
      <c r="AJ16" s="380" t="str">
        <f>Настройки!U16</f>
        <v>out14</v>
      </c>
      <c r="AK16" s="380" t="str">
        <f>Настройки!V16</f>
        <v>ODIG_15</v>
      </c>
      <c r="AL16" s="380" t="str">
        <f>Настройки!W16</f>
        <v>-</v>
      </c>
      <c r="AM16" s="380" t="str">
        <f>Настройки!X16</f>
        <v>-</v>
      </c>
      <c r="AN16" s="380" t="str">
        <f>Настройки!Y16</f>
        <v>Canal_15</v>
      </c>
      <c r="AO16" s="380" t="str">
        <f>Настройки!Z16</f>
        <v>-</v>
      </c>
      <c r="AP16" s="380" t="str">
        <f>Настройки!AA16</f>
        <v>Canal_15</v>
      </c>
      <c r="AQ16" s="380" t="str">
        <f>Настройки!AB16</f>
        <v>Canal_15</v>
      </c>
      <c r="AR16" s="380" t="str">
        <f>Настройки!AC16</f>
        <v>OCCH[6]</v>
      </c>
      <c r="AS16" s="380" t="str">
        <f>Настройки!AD16</f>
        <v>OCCH[6]</v>
      </c>
      <c r="AT16" s="207" t="str">
        <f>Настройки!AB16</f>
        <v>Canal_15</v>
      </c>
      <c r="AU16" s="207" t="str">
        <f>Настройки!AC16</f>
        <v>OCCH[6]</v>
      </c>
      <c r="AV16" s="207" t="str">
        <f>Настройки!AD16</f>
        <v>OCCH[6]</v>
      </c>
      <c r="AW16" s="207" t="str">
        <f>Настройки!AE16</f>
        <v>IANS_8_1</v>
      </c>
      <c r="AX16" s="207" t="str">
        <f>Настройки!AF16</f>
        <v>IDIG_4_3</v>
      </c>
      <c r="AY16" s="207" t="str">
        <f>Настройки!AG16</f>
        <v>Canal_15</v>
      </c>
      <c r="AZ16" s="207" t="str">
        <f>Настройки!AH16</f>
        <v>Canal_15</v>
      </c>
      <c r="BA16" s="207" t="str">
        <f>Настройки!AI16</f>
        <v>Canal_15</v>
      </c>
      <c r="BB16" s="207" t="str">
        <f>Настройки!AJ16</f>
        <v>Canal_15</v>
      </c>
      <c r="BC16" s="207" t="str">
        <f>Настройки!AK16</f>
        <v>-</v>
      </c>
      <c r="BD16" s="207" t="str">
        <f>Настройки!AL16</f>
        <v>Canal_15</v>
      </c>
      <c r="BE16" s="207" t="str">
        <f>Настройки!AM16</f>
        <v>-</v>
      </c>
    </row>
    <row r="17" spans="1:57">
      <c r="A17" s="82"/>
      <c r="B17" s="82"/>
      <c r="C17" s="11"/>
      <c r="D17" s="81"/>
      <c r="E17" s="81"/>
      <c r="F17" s="81"/>
      <c r="G17" s="445"/>
      <c r="H17" s="445"/>
      <c r="I17" s="1"/>
      <c r="M17" s="424" t="str">
        <f>'Конфигурация TREI'!A18</f>
        <v>BR16</v>
      </c>
      <c r="N17" s="424" t="str">
        <f>'Конфигурация TREI'!B18</f>
        <v>M558O</v>
      </c>
      <c r="AE17" s="431">
        <f>Настройки!P17</f>
        <v>16</v>
      </c>
      <c r="AF17" s="380">
        <f>Настройки!Q17</f>
        <v>0</v>
      </c>
      <c r="AG17" s="380" t="str">
        <f>Настройки!R17</f>
        <v>IDIG_8_2</v>
      </c>
      <c r="AH17" s="380" t="str">
        <f>Настройки!S17</f>
        <v>IANS_8_4</v>
      </c>
      <c r="AI17" s="380" t="str">
        <f>Настройки!T17</f>
        <v>out15</v>
      </c>
      <c r="AJ17" s="380" t="str">
        <f>Настройки!U17</f>
        <v>out15</v>
      </c>
      <c r="AK17" s="380" t="str">
        <f>Настройки!V17</f>
        <v>ODIG_16</v>
      </c>
      <c r="AL17" s="380" t="str">
        <f>Настройки!W17</f>
        <v>-</v>
      </c>
      <c r="AM17" s="380" t="str">
        <f>Настройки!X17</f>
        <v>-</v>
      </c>
      <c r="AN17" s="380" t="str">
        <f>Настройки!Y17</f>
        <v>Canal_16</v>
      </c>
      <c r="AO17" s="380" t="str">
        <f>Настройки!Z17</f>
        <v>-</v>
      </c>
      <c r="AP17" s="380" t="str">
        <f>Настройки!AA17</f>
        <v>Canal_16</v>
      </c>
      <c r="AQ17" s="380" t="str">
        <f>Настройки!AB17</f>
        <v>Canal_16</v>
      </c>
      <c r="AR17" s="380" t="str">
        <f>Настройки!AC17</f>
        <v>OCCH[7]</v>
      </c>
      <c r="AS17" s="380" t="str">
        <f>Настройки!AD17</f>
        <v>OCCH[7]</v>
      </c>
      <c r="AT17" s="207" t="str">
        <f>Настройки!AB17</f>
        <v>Canal_16</v>
      </c>
      <c r="AU17" s="207" t="str">
        <f>Настройки!AC17</f>
        <v>OCCH[7]</v>
      </c>
      <c r="AV17" s="207" t="str">
        <f>Настройки!AD17</f>
        <v>OCCH[7]</v>
      </c>
      <c r="AW17" s="207" t="str">
        <f>Настройки!AE17</f>
        <v>IANS_8_2</v>
      </c>
      <c r="AX17" s="207" t="str">
        <f>Настройки!AF17</f>
        <v>IDIG_4_4</v>
      </c>
      <c r="AY17" s="207" t="str">
        <f>Настройки!AG17</f>
        <v>Canal_16</v>
      </c>
      <c r="AZ17" s="207" t="str">
        <f>Настройки!AH17</f>
        <v>Canal_16</v>
      </c>
      <c r="BA17" s="207" t="str">
        <f>Настройки!AI17</f>
        <v>Canal_16</v>
      </c>
      <c r="BB17" s="207" t="str">
        <f>Настройки!AJ17</f>
        <v>Canal_16</v>
      </c>
      <c r="BC17" s="207" t="str">
        <f>Настройки!AK17</f>
        <v>-</v>
      </c>
      <c r="BD17" s="207" t="str">
        <f>Настройки!AL17</f>
        <v>Canal_16</v>
      </c>
      <c r="BE17" s="207" t="str">
        <f>Настройки!AM17</f>
        <v>-</v>
      </c>
    </row>
    <row r="18" spans="1:57">
      <c r="A18" s="82"/>
      <c r="B18" s="82"/>
      <c r="C18" s="11"/>
      <c r="D18" s="81"/>
      <c r="E18" s="81"/>
      <c r="F18" s="81"/>
      <c r="G18" s="445"/>
      <c r="H18" s="445"/>
      <c r="I18" s="1"/>
      <c r="M18" s="424" t="str">
        <f>'Конфигурация TREI'!A19</f>
        <v>BR17</v>
      </c>
      <c r="N18" s="424" t="str">
        <f>'Конфигурация TREI'!B19</f>
        <v>M558O</v>
      </c>
      <c r="AE18" s="428">
        <f>Настройки!P18</f>
        <v>17</v>
      </c>
      <c r="AF18" s="380">
        <f>Настройки!Q18</f>
        <v>0</v>
      </c>
      <c r="AG18" s="380" t="str">
        <f>Настройки!R18</f>
        <v>-</v>
      </c>
      <c r="AH18" s="380" t="str">
        <f>Настройки!S18</f>
        <v>-</v>
      </c>
      <c r="AI18" s="380" t="str">
        <f>Настройки!T18</f>
        <v>out16</v>
      </c>
      <c r="AJ18" s="380" t="str">
        <f>Настройки!U18</f>
        <v>out16</v>
      </c>
      <c r="AK18" s="380" t="str">
        <f>Настройки!V18</f>
        <v>-</v>
      </c>
      <c r="AL18" s="380" t="str">
        <f>Настройки!W18</f>
        <v>-</v>
      </c>
      <c r="AM18" s="380" t="str">
        <f>Настройки!X18</f>
        <v>-</v>
      </c>
      <c r="AN18" s="380" t="str">
        <f>Настройки!Y18</f>
        <v>-</v>
      </c>
      <c r="AO18" s="380" t="str">
        <f>Настройки!Z18</f>
        <v>-</v>
      </c>
      <c r="AP18" s="380" t="str">
        <f>Настройки!AA18</f>
        <v>Canal_17</v>
      </c>
      <c r="AQ18" s="380" t="str">
        <f>Настройки!AB18</f>
        <v>Canal_17</v>
      </c>
      <c r="AR18" s="380" t="str">
        <f>Настройки!AC18</f>
        <v>-</v>
      </c>
      <c r="AS18" s="380" t="str">
        <f>Настройки!AD18</f>
        <v>-</v>
      </c>
      <c r="AT18" s="207" t="str">
        <f>Настройки!AB18</f>
        <v>Canal_17</v>
      </c>
      <c r="AU18" s="207" t="str">
        <f>Настройки!AC18</f>
        <v>-</v>
      </c>
      <c r="AV18" s="207" t="str">
        <f>Настройки!AD18</f>
        <v>-</v>
      </c>
      <c r="AW18" s="207" t="str">
        <f>Настройки!AE18</f>
        <v>-</v>
      </c>
      <c r="AX18" s="207" t="str">
        <f>Настройки!AF18</f>
        <v>IDIG_5_1</v>
      </c>
      <c r="AY18" s="207" t="str">
        <f>Настройки!AG18</f>
        <v>Canal_17</v>
      </c>
      <c r="AZ18" s="207" t="str">
        <f>Настройки!AH18</f>
        <v>Canal_17</v>
      </c>
      <c r="BA18" s="207" t="str">
        <f>Настройки!AI18</f>
        <v>Canal_17</v>
      </c>
      <c r="BB18" s="207" t="str">
        <f>Настройки!AJ18</f>
        <v>-</v>
      </c>
      <c r="BC18" s="207" t="str">
        <f>Настройки!AK18</f>
        <v>-</v>
      </c>
      <c r="BD18" s="207" t="str">
        <f>Настройки!AL18</f>
        <v>Canal_17</v>
      </c>
      <c r="BE18" s="207" t="str">
        <f>Настройки!AM18</f>
        <v>-</v>
      </c>
    </row>
    <row r="19" spans="1:57">
      <c r="A19" s="82"/>
      <c r="B19" s="82"/>
      <c r="C19" s="11"/>
      <c r="D19" s="81"/>
      <c r="E19" s="81"/>
      <c r="F19" s="81"/>
      <c r="G19" s="445"/>
      <c r="H19" s="445"/>
      <c r="I19" s="1"/>
      <c r="M19" s="424" t="str">
        <f>'Конфигурация TREI'!A20</f>
        <v>BR18</v>
      </c>
      <c r="N19" s="424" t="str">
        <f>'Конфигурация TREI'!B20</f>
        <v>M558O</v>
      </c>
      <c r="AE19" s="428">
        <f>Настройки!P19</f>
        <v>18</v>
      </c>
      <c r="AF19" s="380">
        <f>Настройки!Q19</f>
        <v>0</v>
      </c>
      <c r="AG19" s="380" t="str">
        <f>Настройки!R19</f>
        <v>-</v>
      </c>
      <c r="AH19" s="380" t="str">
        <f>Настройки!S19</f>
        <v>-</v>
      </c>
      <c r="AI19" s="380" t="str">
        <f>Настройки!T19</f>
        <v>out17</v>
      </c>
      <c r="AJ19" s="380" t="str">
        <f>Настройки!U19</f>
        <v>out17</v>
      </c>
      <c r="AK19" s="380" t="str">
        <f>Настройки!V19</f>
        <v>-</v>
      </c>
      <c r="AL19" s="380" t="str">
        <f>Настройки!W19</f>
        <v>-</v>
      </c>
      <c r="AM19" s="380" t="str">
        <f>Настройки!X19</f>
        <v>-</v>
      </c>
      <c r="AN19" s="380" t="str">
        <f>Настройки!Y19</f>
        <v>-</v>
      </c>
      <c r="AO19" s="380" t="str">
        <f>Настройки!Z19</f>
        <v>-</v>
      </c>
      <c r="AP19" s="380" t="str">
        <f>Настройки!AA19</f>
        <v>Canal_18</v>
      </c>
      <c r="AQ19" s="380" t="str">
        <f>Настройки!AB19</f>
        <v>Canal_18</v>
      </c>
      <c r="AR19" s="380" t="str">
        <f>Настройки!AC19</f>
        <v>-</v>
      </c>
      <c r="AS19" s="380" t="str">
        <f>Настройки!AD19</f>
        <v>-</v>
      </c>
      <c r="AT19" s="207" t="str">
        <f>Настройки!AB19</f>
        <v>Canal_18</v>
      </c>
      <c r="AU19" s="207" t="str">
        <f>Настройки!AC19</f>
        <v>-</v>
      </c>
      <c r="AV19" s="207" t="str">
        <f>Настройки!AD19</f>
        <v>-</v>
      </c>
      <c r="AW19" s="207" t="str">
        <f>Настройки!AE19</f>
        <v>-</v>
      </c>
      <c r="AX19" s="207" t="str">
        <f>Настройки!AF19</f>
        <v>IDIG_5_2</v>
      </c>
      <c r="AY19" s="207" t="str">
        <f>Настройки!AG19</f>
        <v>Canal_18</v>
      </c>
      <c r="AZ19" s="207" t="str">
        <f>Настройки!AH19</f>
        <v>Canal_18</v>
      </c>
      <c r="BA19" s="207" t="str">
        <f>Настройки!AI19</f>
        <v>Canal_18</v>
      </c>
      <c r="BB19" s="207" t="str">
        <f>Настройки!AJ19</f>
        <v>-</v>
      </c>
      <c r="BC19" s="207" t="str">
        <f>Настройки!AK19</f>
        <v>-</v>
      </c>
      <c r="BD19" s="207" t="str">
        <f>Настройки!AL19</f>
        <v>Canal_18</v>
      </c>
      <c r="BE19" s="207" t="str">
        <f>Настройки!AM19</f>
        <v>-</v>
      </c>
    </row>
    <row r="20" spans="1:57">
      <c r="A20" s="82"/>
      <c r="B20" s="82"/>
      <c r="C20" s="11"/>
      <c r="D20" s="81"/>
      <c r="E20" s="81"/>
      <c r="F20" s="81"/>
      <c r="G20" s="447"/>
      <c r="H20" s="447"/>
      <c r="I20" s="1"/>
      <c r="M20" s="424" t="str">
        <f>'Конфигурация TREI'!A21</f>
        <v>BR19</v>
      </c>
      <c r="N20" s="424" t="str">
        <f>'Конфигурация TREI'!B21</f>
        <v>M558O</v>
      </c>
      <c r="AE20" s="428">
        <f>Настройки!P20</f>
        <v>19</v>
      </c>
      <c r="AF20" s="380">
        <f>Настройки!Q20</f>
        <v>0</v>
      </c>
      <c r="AG20" s="380" t="str">
        <f>Настройки!R20</f>
        <v>-</v>
      </c>
      <c r="AH20" s="380" t="str">
        <f>Настройки!S20</f>
        <v>-</v>
      </c>
      <c r="AI20" s="380" t="str">
        <f>Настройки!T20</f>
        <v>out18</v>
      </c>
      <c r="AJ20" s="380" t="str">
        <f>Настройки!U20</f>
        <v>out18</v>
      </c>
      <c r="AK20" s="380" t="str">
        <f>Настройки!V20</f>
        <v>-</v>
      </c>
      <c r="AL20" s="380" t="str">
        <f>Настройки!W20</f>
        <v>-</v>
      </c>
      <c r="AM20" s="380" t="str">
        <f>Настройки!X20</f>
        <v>-</v>
      </c>
      <c r="AN20" s="380" t="str">
        <f>Настройки!Y20</f>
        <v>-</v>
      </c>
      <c r="AO20" s="380" t="str">
        <f>Настройки!Z20</f>
        <v>-</v>
      </c>
      <c r="AP20" s="380" t="str">
        <f>Настройки!AA20</f>
        <v>Canal_19</v>
      </c>
      <c r="AQ20" s="380" t="str">
        <f>Настройки!AB20</f>
        <v>Canal_19</v>
      </c>
      <c r="AR20" s="380" t="str">
        <f>Настройки!AC20</f>
        <v>-</v>
      </c>
      <c r="AS20" s="380" t="str">
        <f>Настройки!AD20</f>
        <v>-</v>
      </c>
      <c r="AT20" s="207" t="str">
        <f>Настройки!AB20</f>
        <v>Canal_19</v>
      </c>
      <c r="AU20" s="207" t="str">
        <f>Настройки!AC20</f>
        <v>-</v>
      </c>
      <c r="AV20" s="207" t="str">
        <f>Настройки!AD20</f>
        <v>-</v>
      </c>
      <c r="AW20" s="207" t="str">
        <f>Настройки!AE20</f>
        <v>-</v>
      </c>
      <c r="AX20" s="207" t="str">
        <f>Настройки!AF20</f>
        <v>IDIG_5_3</v>
      </c>
      <c r="AY20" s="207" t="str">
        <f>Настройки!AG20</f>
        <v>Canal_19</v>
      </c>
      <c r="AZ20" s="207" t="str">
        <f>Настройки!AH20</f>
        <v>Canal_19</v>
      </c>
      <c r="BA20" s="207" t="str">
        <f>Настройки!AI20</f>
        <v>Canal_19</v>
      </c>
      <c r="BB20" s="207" t="str">
        <f>Настройки!AJ20</f>
        <v>-</v>
      </c>
      <c r="BC20" s="207" t="str">
        <f>Настройки!AK20</f>
        <v>-</v>
      </c>
      <c r="BD20" s="207" t="str">
        <f>Настройки!AL20</f>
        <v>Canal_19</v>
      </c>
      <c r="BE20" s="207" t="str">
        <f>Настройки!AM20</f>
        <v>-</v>
      </c>
    </row>
    <row r="21" spans="1:57">
      <c r="A21" s="82"/>
      <c r="B21" s="82"/>
      <c r="C21" s="11"/>
      <c r="D21" s="81"/>
      <c r="E21" s="81"/>
      <c r="F21" s="81"/>
      <c r="G21" s="447"/>
      <c r="H21" s="447"/>
      <c r="I21" s="1"/>
      <c r="M21" s="424" t="str">
        <f>'Конфигурация TREI'!A22</f>
        <v>BR20</v>
      </c>
      <c r="N21" s="424" t="str">
        <f>'Конфигурация TREI'!B22</f>
        <v>M558D</v>
      </c>
      <c r="AE21" s="428">
        <f>Настройки!P21</f>
        <v>20</v>
      </c>
      <c r="AF21" s="380">
        <f>Настройки!Q21</f>
        <v>0</v>
      </c>
      <c r="AG21" s="380" t="str">
        <f>Настройки!R21</f>
        <v>-</v>
      </c>
      <c r="AH21" s="380" t="str">
        <f>Настройки!S21</f>
        <v>-</v>
      </c>
      <c r="AI21" s="380" t="str">
        <f>Настройки!T21</f>
        <v>out19</v>
      </c>
      <c r="AJ21" s="380" t="str">
        <f>Настройки!U21</f>
        <v>out19</v>
      </c>
      <c r="AK21" s="380" t="str">
        <f>Настройки!V21</f>
        <v>-</v>
      </c>
      <c r="AL21" s="380" t="str">
        <f>Настройки!W21</f>
        <v>-</v>
      </c>
      <c r="AM21" s="380" t="str">
        <f>Настройки!X21</f>
        <v>-</v>
      </c>
      <c r="AN21" s="380" t="str">
        <f>Настройки!Y21</f>
        <v>-</v>
      </c>
      <c r="AO21" s="380" t="str">
        <f>Настройки!Z21</f>
        <v>-</v>
      </c>
      <c r="AP21" s="380" t="str">
        <f>Настройки!AA21</f>
        <v>Canal_20</v>
      </c>
      <c r="AQ21" s="380" t="str">
        <f>Настройки!AB21</f>
        <v>Canal_20</v>
      </c>
      <c r="AR21" s="380" t="str">
        <f>Настройки!AC21</f>
        <v>-</v>
      </c>
      <c r="AS21" s="380" t="str">
        <f>Настройки!AD21</f>
        <v>-</v>
      </c>
      <c r="AT21" s="207" t="str">
        <f>Настройки!AB21</f>
        <v>Canal_20</v>
      </c>
      <c r="AU21" s="207" t="str">
        <f>Настройки!AC21</f>
        <v>-</v>
      </c>
      <c r="AV21" s="207" t="str">
        <f>Настройки!AD21</f>
        <v>-</v>
      </c>
      <c r="AW21" s="207" t="str">
        <f>Настройки!AE21</f>
        <v>-</v>
      </c>
      <c r="AX21" s="207" t="str">
        <f>Настройки!AF21</f>
        <v>IDIG_5_4</v>
      </c>
      <c r="AY21" s="207" t="str">
        <f>Настройки!AG21</f>
        <v>Canal_20</v>
      </c>
      <c r="AZ21" s="207" t="str">
        <f>Настройки!AH21</f>
        <v>Canal_20</v>
      </c>
      <c r="BA21" s="207" t="str">
        <f>Настройки!AI21</f>
        <v>Canal_20</v>
      </c>
      <c r="BB21" s="207" t="str">
        <f>Настройки!AJ21</f>
        <v>-</v>
      </c>
      <c r="BC21" s="207" t="str">
        <f>Настройки!AK21</f>
        <v>-</v>
      </c>
      <c r="BD21" s="207" t="str">
        <f>Настройки!AL21</f>
        <v>Canal_20</v>
      </c>
      <c r="BE21" s="207" t="str">
        <f>Настройки!AM21</f>
        <v>-</v>
      </c>
    </row>
    <row r="22" spans="1:57">
      <c r="A22" s="82"/>
      <c r="B22" s="82"/>
      <c r="C22" s="11"/>
      <c r="D22" s="81"/>
      <c r="E22" s="81"/>
      <c r="F22" s="81"/>
      <c r="G22" s="447"/>
      <c r="H22" s="447"/>
      <c r="I22" s="1"/>
      <c r="M22" s="424" t="str">
        <f>'Конфигурация TREI'!A23</f>
        <v>BR21</v>
      </c>
      <c r="N22" s="424" t="str">
        <f>'Конфигурация TREI'!B23</f>
        <v>M558O</v>
      </c>
      <c r="AE22" s="428">
        <f>Настройки!P22</f>
        <v>21</v>
      </c>
      <c r="AF22" s="380">
        <f>Настройки!Q22</f>
        <v>0</v>
      </c>
      <c r="AG22" s="380" t="str">
        <f>Настройки!R22</f>
        <v>-</v>
      </c>
      <c r="AH22" s="380" t="str">
        <f>Настройки!S22</f>
        <v>-</v>
      </c>
      <c r="AI22" s="380" t="str">
        <f>Настройки!T22</f>
        <v>out20</v>
      </c>
      <c r="AJ22" s="380" t="str">
        <f>Настройки!U22</f>
        <v>out20</v>
      </c>
      <c r="AK22" s="380" t="str">
        <f>Настройки!V22</f>
        <v>-</v>
      </c>
      <c r="AL22" s="380" t="str">
        <f>Настройки!W22</f>
        <v>-</v>
      </c>
      <c r="AM22" s="380" t="str">
        <f>Настройки!X22</f>
        <v>-</v>
      </c>
      <c r="AN22" s="380" t="str">
        <f>Настройки!Y22</f>
        <v>-</v>
      </c>
      <c r="AO22" s="380" t="str">
        <f>Настройки!Z22</f>
        <v>-</v>
      </c>
      <c r="AP22" s="380" t="str">
        <f>Настройки!AA22</f>
        <v>Canal_21</v>
      </c>
      <c r="AQ22" s="380" t="str">
        <f>Настройки!AB22</f>
        <v>Canal_21</v>
      </c>
      <c r="AR22" s="380" t="str">
        <f>Настройки!AC22</f>
        <v>-</v>
      </c>
      <c r="AS22" s="380" t="str">
        <f>Настройки!AD22</f>
        <v>-</v>
      </c>
      <c r="AT22" s="207" t="str">
        <f>Настройки!AB22</f>
        <v>Canal_21</v>
      </c>
      <c r="AU22" s="207" t="str">
        <f>Настройки!AC22</f>
        <v>-</v>
      </c>
      <c r="AV22" s="207" t="str">
        <f>Настройки!AD22</f>
        <v>-</v>
      </c>
      <c r="AW22" s="207" t="str">
        <f>Настройки!AE22</f>
        <v>-</v>
      </c>
      <c r="AX22" s="207" t="str">
        <f>Настройки!AF22</f>
        <v>IDIG_6_1</v>
      </c>
      <c r="AY22" s="207" t="str">
        <f>Настройки!AG22</f>
        <v>Canal_21</v>
      </c>
      <c r="AZ22" s="207" t="str">
        <f>Настройки!AH22</f>
        <v>Canal_21</v>
      </c>
      <c r="BA22" s="207" t="str">
        <f>Настройки!AI22</f>
        <v>Canal_21</v>
      </c>
      <c r="BB22" s="207" t="str">
        <f>Настройки!AJ22</f>
        <v>-</v>
      </c>
      <c r="BC22" s="207" t="str">
        <f>Настройки!AK22</f>
        <v>-</v>
      </c>
      <c r="BD22" s="207" t="str">
        <f>Настройки!AL22</f>
        <v>Canal_21</v>
      </c>
      <c r="BE22" s="207" t="str">
        <f>Настройки!AM22</f>
        <v>-</v>
      </c>
    </row>
    <row r="23" spans="1:57">
      <c r="A23" s="82"/>
      <c r="B23" s="82"/>
      <c r="C23" s="11"/>
      <c r="D23" s="81"/>
      <c r="E23" s="81"/>
      <c r="F23" s="81"/>
      <c r="G23" s="447"/>
      <c r="H23" s="447"/>
      <c r="I23" s="1"/>
      <c r="M23" s="424" t="str">
        <f>'Конфигурация TREI'!A24</f>
        <v>BR22</v>
      </c>
      <c r="N23" s="424" t="str">
        <f>'Конфигурация TREI'!B24</f>
        <v>M558D</v>
      </c>
      <c r="AE23" s="428">
        <f>Настройки!P23</f>
        <v>22</v>
      </c>
      <c r="AF23" s="380">
        <f>Настройки!Q23</f>
        <v>0</v>
      </c>
      <c r="AG23" s="380" t="str">
        <f>Настройки!R23</f>
        <v>-</v>
      </c>
      <c r="AH23" s="380" t="str">
        <f>Настройки!S23</f>
        <v>-</v>
      </c>
      <c r="AI23" s="380" t="str">
        <f>Настройки!T23</f>
        <v>out21</v>
      </c>
      <c r="AJ23" s="380" t="str">
        <f>Настройки!U23</f>
        <v>out21</v>
      </c>
      <c r="AK23" s="380" t="str">
        <f>Настройки!V23</f>
        <v>-</v>
      </c>
      <c r="AL23" s="380" t="str">
        <f>Настройки!W23</f>
        <v>-</v>
      </c>
      <c r="AM23" s="380" t="str">
        <f>Настройки!X23</f>
        <v>-</v>
      </c>
      <c r="AN23" s="380" t="str">
        <f>Настройки!Y23</f>
        <v>-</v>
      </c>
      <c r="AO23" s="380" t="str">
        <f>Настройки!Z23</f>
        <v>-</v>
      </c>
      <c r="AP23" s="380" t="str">
        <f>Настройки!AA23</f>
        <v>Canal_22</v>
      </c>
      <c r="AQ23" s="380" t="str">
        <f>Настройки!AB23</f>
        <v>Canal_22</v>
      </c>
      <c r="AR23" s="380" t="str">
        <f>Настройки!AC23</f>
        <v>-</v>
      </c>
      <c r="AS23" s="380" t="str">
        <f>Настройки!AD23</f>
        <v>-</v>
      </c>
      <c r="AT23" s="207" t="str">
        <f>Настройки!AB23</f>
        <v>Canal_22</v>
      </c>
      <c r="AU23" s="207" t="str">
        <f>Настройки!AC23</f>
        <v>-</v>
      </c>
      <c r="AV23" s="207" t="str">
        <f>Настройки!AD23</f>
        <v>-</v>
      </c>
      <c r="AW23" s="207" t="str">
        <f>Настройки!AE23</f>
        <v>-</v>
      </c>
      <c r="AX23" s="207" t="str">
        <f>Настройки!AF23</f>
        <v>IDIG_6_2</v>
      </c>
      <c r="AY23" s="207" t="str">
        <f>Настройки!AG23</f>
        <v>Canal_22</v>
      </c>
      <c r="AZ23" s="207" t="str">
        <f>Настройки!AH23</f>
        <v>Canal_22</v>
      </c>
      <c r="BA23" s="207" t="str">
        <f>Настройки!AI23</f>
        <v>Canal_22</v>
      </c>
      <c r="BB23" s="207" t="str">
        <f>Настройки!AJ23</f>
        <v>-</v>
      </c>
      <c r="BC23" s="207" t="str">
        <f>Настройки!AK23</f>
        <v>-</v>
      </c>
      <c r="BD23" s="207" t="str">
        <f>Настройки!AL23</f>
        <v>Canal_22</v>
      </c>
      <c r="BE23" s="207" t="str">
        <f>Настройки!AM23</f>
        <v>-</v>
      </c>
    </row>
    <row r="24" spans="1:57">
      <c r="A24" s="82"/>
      <c r="B24" s="82"/>
      <c r="C24" s="11"/>
      <c r="D24" s="81"/>
      <c r="E24" s="81"/>
      <c r="F24" s="81"/>
      <c r="G24" s="447"/>
      <c r="H24" s="447"/>
      <c r="I24" s="1"/>
      <c r="M24" s="424" t="str">
        <f>'Конфигурация TREI'!A25</f>
        <v>BR23</v>
      </c>
      <c r="N24" s="424" t="str">
        <f>'Конфигурация TREI'!B25</f>
        <v>M558O</v>
      </c>
      <c r="AE24" s="428">
        <f>Настройки!P24</f>
        <v>23</v>
      </c>
      <c r="AF24" s="380">
        <f>Настройки!Q24</f>
        <v>0</v>
      </c>
      <c r="AG24" s="380" t="str">
        <f>Настройки!R24</f>
        <v>-</v>
      </c>
      <c r="AH24" s="380" t="str">
        <f>Настройки!S24</f>
        <v>-</v>
      </c>
      <c r="AI24" s="380" t="str">
        <f>Настройки!T24</f>
        <v>out22</v>
      </c>
      <c r="AJ24" s="380" t="str">
        <f>Настройки!U24</f>
        <v>out22</v>
      </c>
      <c r="AK24" s="380" t="str">
        <f>Настройки!V24</f>
        <v>-</v>
      </c>
      <c r="AL24" s="380" t="str">
        <f>Настройки!W24</f>
        <v>-</v>
      </c>
      <c r="AM24" s="380" t="str">
        <f>Настройки!X24</f>
        <v>-</v>
      </c>
      <c r="AN24" s="380" t="str">
        <f>Настройки!Y24</f>
        <v>-</v>
      </c>
      <c r="AO24" s="380" t="str">
        <f>Настройки!Z24</f>
        <v>-</v>
      </c>
      <c r="AP24" s="380" t="str">
        <f>Настройки!AA24</f>
        <v>Canal_23</v>
      </c>
      <c r="AQ24" s="380" t="str">
        <f>Настройки!AB24</f>
        <v>Canal_23</v>
      </c>
      <c r="AR24" s="380" t="str">
        <f>Настройки!AC24</f>
        <v>-</v>
      </c>
      <c r="AS24" s="380" t="str">
        <f>Настройки!AD24</f>
        <v>-</v>
      </c>
      <c r="AT24" s="207" t="str">
        <f>Настройки!AB24</f>
        <v>Canal_23</v>
      </c>
      <c r="AU24" s="207" t="str">
        <f>Настройки!AC24</f>
        <v>-</v>
      </c>
      <c r="AV24" s="207" t="str">
        <f>Настройки!AD24</f>
        <v>-</v>
      </c>
      <c r="AW24" s="207" t="str">
        <f>Настройки!AE24</f>
        <v>-</v>
      </c>
      <c r="AX24" s="207" t="str">
        <f>Настройки!AF24</f>
        <v>IDIG_6_3</v>
      </c>
      <c r="AY24" s="207" t="str">
        <f>Настройки!AG24</f>
        <v>Canal_23</v>
      </c>
      <c r="AZ24" s="207" t="str">
        <f>Настройки!AH24</f>
        <v>Canal_23</v>
      </c>
      <c r="BA24" s="207" t="str">
        <f>Настройки!AI24</f>
        <v>Canal_23</v>
      </c>
      <c r="BB24" s="207" t="str">
        <f>Настройки!AJ24</f>
        <v>-</v>
      </c>
      <c r="BC24" s="207" t="str">
        <f>Настройки!AK24</f>
        <v>-</v>
      </c>
      <c r="BD24" s="207" t="str">
        <f>Настройки!AL24</f>
        <v>Canal_23</v>
      </c>
      <c r="BE24" s="207" t="str">
        <f>Настройки!AM24</f>
        <v>-</v>
      </c>
    </row>
    <row r="25" spans="1:57">
      <c r="A25" s="82"/>
      <c r="B25" s="82"/>
      <c r="C25" s="11"/>
      <c r="D25" s="81"/>
      <c r="E25" s="81"/>
      <c r="F25" s="81"/>
      <c r="G25" s="447"/>
      <c r="H25" s="447"/>
      <c r="I25" s="1"/>
      <c r="M25" s="424" t="str">
        <f>'Конфигурация TREI'!A26</f>
        <v>BR24</v>
      </c>
      <c r="N25" s="424" t="str">
        <f>'Конфигурация TREI'!B26</f>
        <v>M558D</v>
      </c>
      <c r="AE25" s="428">
        <f>Настройки!P25</f>
        <v>24</v>
      </c>
      <c r="AF25" s="380">
        <f>Настройки!Q25</f>
        <v>0</v>
      </c>
      <c r="AG25" s="380" t="str">
        <f>Настройки!R25</f>
        <v>-</v>
      </c>
      <c r="AH25" s="380" t="str">
        <f>Настройки!S25</f>
        <v>-</v>
      </c>
      <c r="AI25" s="380" t="str">
        <f>Настройки!T25</f>
        <v>out23</v>
      </c>
      <c r="AJ25" s="380" t="str">
        <f>Настройки!U25</f>
        <v>out23</v>
      </c>
      <c r="AK25" s="380" t="str">
        <f>Настройки!V25</f>
        <v>-</v>
      </c>
      <c r="AL25" s="380" t="str">
        <f>Настройки!W25</f>
        <v>-</v>
      </c>
      <c r="AM25" s="380" t="str">
        <f>Настройки!X25</f>
        <v>-</v>
      </c>
      <c r="AN25" s="380" t="str">
        <f>Настройки!Y25</f>
        <v>-</v>
      </c>
      <c r="AO25" s="380" t="str">
        <f>Настройки!Z25</f>
        <v>-</v>
      </c>
      <c r="AP25" s="380" t="str">
        <f>Настройки!AA25</f>
        <v>Canal_24</v>
      </c>
      <c r="AQ25" s="380" t="str">
        <f>Настройки!AB25</f>
        <v>Canal_24</v>
      </c>
      <c r="AR25" s="380" t="str">
        <f>Настройки!AC25</f>
        <v>-</v>
      </c>
      <c r="AS25" s="380" t="str">
        <f>Настройки!AD25</f>
        <v>-</v>
      </c>
      <c r="AT25" s="207" t="str">
        <f>Настройки!AB25</f>
        <v>Canal_24</v>
      </c>
      <c r="AU25" s="207" t="str">
        <f>Настройки!AC25</f>
        <v>-</v>
      </c>
      <c r="AV25" s="207" t="str">
        <f>Настройки!AD25</f>
        <v>-</v>
      </c>
      <c r="AW25" s="207" t="str">
        <f>Настройки!AE25</f>
        <v>-</v>
      </c>
      <c r="AX25" s="207" t="str">
        <f>Настройки!AF25</f>
        <v>IDIG_6_4</v>
      </c>
      <c r="AY25" s="207" t="str">
        <f>Настройки!AG25</f>
        <v>Canal_24</v>
      </c>
      <c r="AZ25" s="207" t="str">
        <f>Настройки!AH25</f>
        <v>Canal_24</v>
      </c>
      <c r="BA25" s="207" t="str">
        <f>Настройки!AI25</f>
        <v>Canal_24</v>
      </c>
      <c r="BB25" s="207" t="str">
        <f>Настройки!AJ25</f>
        <v>-</v>
      </c>
      <c r="BC25" s="207" t="str">
        <f>Настройки!AK25</f>
        <v>-</v>
      </c>
      <c r="BD25" s="207" t="str">
        <f>Настройки!AL25</f>
        <v>Canal_24</v>
      </c>
      <c r="BE25" s="207" t="str">
        <f>Настройки!AM25</f>
        <v>-</v>
      </c>
    </row>
    <row r="26" spans="1:57">
      <c r="A26" s="82"/>
      <c r="B26" s="82"/>
      <c r="C26" s="11"/>
      <c r="D26" s="81"/>
      <c r="E26" s="81"/>
      <c r="F26" s="81"/>
      <c r="G26" s="447"/>
      <c r="H26" s="447"/>
      <c r="I26" s="1"/>
      <c r="M26" s="424" t="str">
        <f>'Конфигурация TREI'!A27</f>
        <v>BR25</v>
      </c>
      <c r="N26" s="424" t="str">
        <f>'Конфигурация TREI'!B27</f>
        <v>M558D</v>
      </c>
      <c r="AE26" s="428">
        <f>Настройки!P26</f>
        <v>25</v>
      </c>
      <c r="AF26" s="380">
        <f>Настройки!Q26</f>
        <v>0</v>
      </c>
      <c r="AG26" s="380" t="str">
        <f>Настройки!R26</f>
        <v>-</v>
      </c>
      <c r="AH26" s="380" t="str">
        <f>Настройки!S26</f>
        <v>-</v>
      </c>
      <c r="AI26" s="380" t="str">
        <f>Настройки!T26</f>
        <v>out24</v>
      </c>
      <c r="AJ26" s="380" t="str">
        <f>Настройки!U26</f>
        <v>out24</v>
      </c>
      <c r="AK26" s="380" t="str">
        <f>Настройки!V26</f>
        <v>-</v>
      </c>
      <c r="AL26" s="380" t="str">
        <f>Настройки!W26</f>
        <v>-</v>
      </c>
      <c r="AM26" s="380" t="str">
        <f>Настройки!X26</f>
        <v>-</v>
      </c>
      <c r="AN26" s="380" t="str">
        <f>Настройки!Y26</f>
        <v>-</v>
      </c>
      <c r="AO26" s="380" t="str">
        <f>Настройки!Z26</f>
        <v>-</v>
      </c>
      <c r="AP26" s="380" t="str">
        <f>Настройки!AA26</f>
        <v>Canal_25</v>
      </c>
      <c r="AQ26" s="380" t="str">
        <f>Настройки!AB26</f>
        <v>Canal_25</v>
      </c>
      <c r="AR26" s="380" t="str">
        <f>Настройки!AC26</f>
        <v>-</v>
      </c>
      <c r="AS26" s="380" t="str">
        <f>Настройки!AD26</f>
        <v>-</v>
      </c>
      <c r="AT26" s="207" t="str">
        <f>Настройки!AB26</f>
        <v>Canal_25</v>
      </c>
      <c r="AU26" s="207" t="str">
        <f>Настройки!AC26</f>
        <v>-</v>
      </c>
      <c r="AV26" s="207" t="str">
        <f>Настройки!AD26</f>
        <v>-</v>
      </c>
      <c r="AW26" s="207" t="str">
        <f>Настройки!AE26</f>
        <v>-</v>
      </c>
      <c r="AX26" s="207" t="str">
        <f>Настройки!AF26</f>
        <v>IDIG_7_1</v>
      </c>
      <c r="AY26" s="207" t="str">
        <f>Настройки!AG26</f>
        <v>Canal_25</v>
      </c>
      <c r="AZ26" s="207" t="str">
        <f>Настройки!AH26</f>
        <v>Canal_25</v>
      </c>
      <c r="BA26" s="207" t="str">
        <f>Настройки!AI26</f>
        <v>Canal_25</v>
      </c>
      <c r="BB26" s="207" t="str">
        <f>Настройки!AJ26</f>
        <v>-</v>
      </c>
      <c r="BC26" s="207" t="str">
        <f>Настройки!AK26</f>
        <v>-</v>
      </c>
      <c r="BD26" s="207" t="str">
        <f>Настройки!AL26</f>
        <v>Canal_25</v>
      </c>
      <c r="BE26" s="207" t="str">
        <f>Настройки!AM26</f>
        <v>-</v>
      </c>
    </row>
    <row r="27" spans="1:57">
      <c r="A27" s="82"/>
      <c r="B27" s="82"/>
      <c r="C27" s="11"/>
      <c r="D27" s="81"/>
      <c r="E27" s="81"/>
      <c r="F27" s="81"/>
      <c r="G27" s="447"/>
      <c r="H27" s="447"/>
      <c r="I27" s="1"/>
      <c r="M27" s="424" t="str">
        <f>'Конфигурация TREI'!A28</f>
        <v>BR26</v>
      </c>
      <c r="N27" s="424" t="str">
        <f>'Конфигурация TREI'!B28</f>
        <v>M558D</v>
      </c>
      <c r="AE27" s="428">
        <f>Настройки!P27</f>
        <v>26</v>
      </c>
      <c r="AF27" s="380">
        <f>Настройки!Q27</f>
        <v>0</v>
      </c>
      <c r="AG27" s="380" t="str">
        <f>Настройки!R27</f>
        <v>-</v>
      </c>
      <c r="AH27" s="380" t="str">
        <f>Настройки!S27</f>
        <v>-</v>
      </c>
      <c r="AI27" s="380" t="str">
        <f>Настройки!T27</f>
        <v>out25</v>
      </c>
      <c r="AJ27" s="380" t="str">
        <f>Настройки!U27</f>
        <v>out25</v>
      </c>
      <c r="AK27" s="380" t="str">
        <f>Настройки!V27</f>
        <v>-</v>
      </c>
      <c r="AL27" s="380" t="str">
        <f>Настройки!W27</f>
        <v>-</v>
      </c>
      <c r="AM27" s="380" t="str">
        <f>Настройки!X27</f>
        <v>-</v>
      </c>
      <c r="AN27" s="380" t="str">
        <f>Настройки!Y27</f>
        <v>-</v>
      </c>
      <c r="AO27" s="380" t="str">
        <f>Настройки!Z27</f>
        <v>-</v>
      </c>
      <c r="AP27" s="380" t="str">
        <f>Настройки!AA27</f>
        <v>Canal_26</v>
      </c>
      <c r="AQ27" s="380" t="str">
        <f>Настройки!AB27</f>
        <v>Canal_26</v>
      </c>
      <c r="AR27" s="380" t="str">
        <f>Настройки!AC27</f>
        <v>-</v>
      </c>
      <c r="AS27" s="380" t="str">
        <f>Настройки!AD27</f>
        <v>-</v>
      </c>
      <c r="AT27" s="207" t="str">
        <f>Настройки!AB27</f>
        <v>Canal_26</v>
      </c>
      <c r="AU27" s="207" t="str">
        <f>Настройки!AC27</f>
        <v>-</v>
      </c>
      <c r="AV27" s="207" t="str">
        <f>Настройки!AD27</f>
        <v>-</v>
      </c>
      <c r="AW27" s="207" t="str">
        <f>Настройки!AE27</f>
        <v>-</v>
      </c>
      <c r="AX27" s="207" t="str">
        <f>Настройки!AF27</f>
        <v>IDIG_7_2</v>
      </c>
      <c r="AY27" s="207" t="str">
        <f>Настройки!AG27</f>
        <v>Canal_26</v>
      </c>
      <c r="AZ27" s="207" t="str">
        <f>Настройки!AH27</f>
        <v>Canal_26</v>
      </c>
      <c r="BA27" s="207" t="str">
        <f>Настройки!AI27</f>
        <v>Canal_26</v>
      </c>
      <c r="BB27" s="207" t="str">
        <f>Настройки!AJ27</f>
        <v>-</v>
      </c>
      <c r="BC27" s="207" t="str">
        <f>Настройки!AK27</f>
        <v>-</v>
      </c>
      <c r="BD27" s="207" t="str">
        <f>Настройки!AL27</f>
        <v>Canal_26</v>
      </c>
      <c r="BE27" s="207" t="str">
        <f>Настройки!AM27</f>
        <v>-</v>
      </c>
    </row>
    <row r="28" spans="1:57">
      <c r="A28" s="82"/>
      <c r="B28" s="82"/>
      <c r="C28" s="11"/>
      <c r="D28" s="81"/>
      <c r="E28" s="81"/>
      <c r="F28" s="81"/>
      <c r="G28" s="447"/>
      <c r="H28" s="447"/>
      <c r="I28" s="1"/>
      <c r="M28" s="424" t="str">
        <f>'Конфигурация TREI'!A29</f>
        <v>BR27</v>
      </c>
      <c r="N28" s="424" t="str">
        <f>'Конфигурация TREI'!B29</f>
        <v>M558D</v>
      </c>
      <c r="AE28" s="428">
        <f>Настройки!P28</f>
        <v>27</v>
      </c>
      <c r="AF28" s="380">
        <f>Настройки!Q28</f>
        <v>0</v>
      </c>
      <c r="AG28" s="380" t="str">
        <f>Настройки!R28</f>
        <v>-</v>
      </c>
      <c r="AH28" s="380" t="str">
        <f>Настройки!S28</f>
        <v>-</v>
      </c>
      <c r="AI28" s="380" t="str">
        <f>Настройки!T28</f>
        <v>out26</v>
      </c>
      <c r="AJ28" s="380" t="str">
        <f>Настройки!U28</f>
        <v>out26</v>
      </c>
      <c r="AK28" s="380" t="str">
        <f>Настройки!V28</f>
        <v>-</v>
      </c>
      <c r="AL28" s="380" t="str">
        <f>Настройки!W28</f>
        <v>-</v>
      </c>
      <c r="AM28" s="380" t="str">
        <f>Настройки!X28</f>
        <v>-</v>
      </c>
      <c r="AN28" s="380" t="str">
        <f>Настройки!Y28</f>
        <v>-</v>
      </c>
      <c r="AO28" s="380" t="str">
        <f>Настройки!Z28</f>
        <v>-</v>
      </c>
      <c r="AP28" s="380" t="str">
        <f>Настройки!AA28</f>
        <v>Canal_27</v>
      </c>
      <c r="AQ28" s="380" t="str">
        <f>Настройки!AB28</f>
        <v>Canal_27</v>
      </c>
      <c r="AR28" s="380" t="str">
        <f>Настройки!AC28</f>
        <v>-</v>
      </c>
      <c r="AS28" s="380" t="str">
        <f>Настройки!AD28</f>
        <v>-</v>
      </c>
      <c r="AT28" s="207" t="str">
        <f>Настройки!AB28</f>
        <v>Canal_27</v>
      </c>
      <c r="AU28" s="207" t="str">
        <f>Настройки!AC28</f>
        <v>-</v>
      </c>
      <c r="AV28" s="207" t="str">
        <f>Настройки!AD28</f>
        <v>-</v>
      </c>
      <c r="AW28" s="207" t="str">
        <f>Настройки!AE28</f>
        <v>-</v>
      </c>
      <c r="AX28" s="207" t="str">
        <f>Настройки!AF28</f>
        <v>IDIG_7_3</v>
      </c>
      <c r="AY28" s="207" t="str">
        <f>Настройки!AG28</f>
        <v>Canal_27</v>
      </c>
      <c r="AZ28" s="207" t="str">
        <f>Настройки!AH28</f>
        <v>Canal_27</v>
      </c>
      <c r="BA28" s="207" t="str">
        <f>Настройки!AI28</f>
        <v>Canal_27</v>
      </c>
      <c r="BB28" s="207" t="str">
        <f>Настройки!AJ28</f>
        <v>-</v>
      </c>
      <c r="BC28" s="207" t="str">
        <f>Настройки!AK28</f>
        <v>-</v>
      </c>
      <c r="BD28" s="207" t="str">
        <f>Настройки!AL28</f>
        <v>Canal_27</v>
      </c>
      <c r="BE28" s="207" t="str">
        <f>Настройки!AM28</f>
        <v>-</v>
      </c>
    </row>
    <row r="29" spans="1:57">
      <c r="A29" s="82"/>
      <c r="B29" s="82"/>
      <c r="C29" s="11"/>
      <c r="D29" s="81"/>
      <c r="E29" s="81"/>
      <c r="F29" s="81"/>
      <c r="G29" s="447"/>
      <c r="H29" s="447"/>
      <c r="I29" s="1"/>
      <c r="M29" s="424" t="str">
        <f>'Конфигурация TREI'!A30</f>
        <v>BR28</v>
      </c>
      <c r="N29" s="424" t="str">
        <f>'Конфигурация TREI'!B30</f>
        <v>M558D</v>
      </c>
      <c r="AE29" s="428">
        <f>Настройки!P29</f>
        <v>28</v>
      </c>
      <c r="AF29" s="380">
        <f>Настройки!Q29</f>
        <v>0</v>
      </c>
      <c r="AG29" s="380" t="str">
        <f>Настройки!R29</f>
        <v>-</v>
      </c>
      <c r="AH29" s="380" t="str">
        <f>Настройки!S29</f>
        <v>-</v>
      </c>
      <c r="AI29" s="380" t="str">
        <f>Настройки!T29</f>
        <v>out27</v>
      </c>
      <c r="AJ29" s="380" t="str">
        <f>Настройки!U29</f>
        <v>out27</v>
      </c>
      <c r="AK29" s="380" t="str">
        <f>Настройки!V29</f>
        <v>-</v>
      </c>
      <c r="AL29" s="380" t="str">
        <f>Настройки!W29</f>
        <v>-</v>
      </c>
      <c r="AM29" s="380" t="str">
        <f>Настройки!X29</f>
        <v>-</v>
      </c>
      <c r="AN29" s="380" t="str">
        <f>Настройки!Y29</f>
        <v>-</v>
      </c>
      <c r="AO29" s="380" t="str">
        <f>Настройки!Z29</f>
        <v>-</v>
      </c>
      <c r="AP29" s="380" t="str">
        <f>Настройки!AA29</f>
        <v>Canal_28</v>
      </c>
      <c r="AQ29" s="380" t="str">
        <f>Настройки!AB29</f>
        <v>Canal_28</v>
      </c>
      <c r="AR29" s="380" t="str">
        <f>Настройки!AC29</f>
        <v>-</v>
      </c>
      <c r="AS29" s="380" t="str">
        <f>Настройки!AD29</f>
        <v>-</v>
      </c>
      <c r="AT29" s="207" t="str">
        <f>Настройки!AB29</f>
        <v>Canal_28</v>
      </c>
      <c r="AU29" s="207" t="str">
        <f>Настройки!AC29</f>
        <v>-</v>
      </c>
      <c r="AV29" s="207" t="str">
        <f>Настройки!AD29</f>
        <v>-</v>
      </c>
      <c r="AW29" s="207" t="str">
        <f>Настройки!AE29</f>
        <v>-</v>
      </c>
      <c r="AX29" s="207" t="str">
        <f>Настройки!AF29</f>
        <v>IDIG_7_4</v>
      </c>
      <c r="AY29" s="207" t="str">
        <f>Настройки!AG29</f>
        <v>Canal_28</v>
      </c>
      <c r="AZ29" s="207" t="str">
        <f>Настройки!AH29</f>
        <v>Canal_28</v>
      </c>
      <c r="BA29" s="207" t="str">
        <f>Настройки!AI29</f>
        <v>Canal_28</v>
      </c>
      <c r="BB29" s="207" t="str">
        <f>Настройки!AJ29</f>
        <v>-</v>
      </c>
      <c r="BC29" s="207" t="str">
        <f>Настройки!AK29</f>
        <v>-</v>
      </c>
      <c r="BD29" s="207" t="str">
        <f>Настройки!AL29</f>
        <v>Canal_28</v>
      </c>
      <c r="BE29" s="207" t="str">
        <f>Настройки!AM29</f>
        <v>-</v>
      </c>
    </row>
    <row r="30" spans="1:57">
      <c r="A30" s="1"/>
      <c r="B30" s="1"/>
      <c r="C30" s="1"/>
      <c r="D30" s="1"/>
      <c r="E30" s="1"/>
      <c r="F30" s="1"/>
      <c r="G30" s="1"/>
      <c r="H30" s="1"/>
      <c r="I30" s="1"/>
      <c r="M30" s="424" t="str">
        <f>'Конфигурация TREI'!A31</f>
        <v>BR29</v>
      </c>
      <c r="N30" s="424" t="str">
        <f>'Конфигурация TREI'!B31</f>
        <v>M558O</v>
      </c>
      <c r="AE30" s="428">
        <f>Настройки!P30</f>
        <v>29</v>
      </c>
      <c r="AF30" s="380">
        <f>Настройки!Q30</f>
        <v>0</v>
      </c>
      <c r="AG30" s="380" t="str">
        <f>Настройки!R30</f>
        <v>-</v>
      </c>
      <c r="AH30" s="380" t="str">
        <f>Настройки!S30</f>
        <v>-</v>
      </c>
      <c r="AI30" s="380" t="str">
        <f>Настройки!T30</f>
        <v>out28</v>
      </c>
      <c r="AJ30" s="380" t="str">
        <f>Настройки!U30</f>
        <v>out28</v>
      </c>
      <c r="AK30" s="380" t="str">
        <f>Настройки!V30</f>
        <v>-</v>
      </c>
      <c r="AL30" s="380" t="str">
        <f>Настройки!W30</f>
        <v>-</v>
      </c>
      <c r="AM30" s="380" t="str">
        <f>Настройки!X30</f>
        <v>-</v>
      </c>
      <c r="AN30" s="380" t="str">
        <f>Настройки!Y30</f>
        <v>-</v>
      </c>
      <c r="AO30" s="380" t="str">
        <f>Настройки!Z30</f>
        <v>-</v>
      </c>
      <c r="AP30" s="380" t="str">
        <f>Настройки!AA30</f>
        <v>Canal_29</v>
      </c>
      <c r="AQ30" s="380" t="str">
        <f>Настройки!AB30</f>
        <v>Canal_29</v>
      </c>
      <c r="AR30" s="380" t="str">
        <f>Настройки!AC30</f>
        <v>-</v>
      </c>
      <c r="AS30" s="380" t="str">
        <f>Настройки!AD30</f>
        <v>-</v>
      </c>
      <c r="AT30" s="207" t="str">
        <f>Настройки!AB30</f>
        <v>Canal_29</v>
      </c>
      <c r="AU30" s="207" t="str">
        <f>Настройки!AC30</f>
        <v>-</v>
      </c>
      <c r="AV30" s="207" t="str">
        <f>Настройки!AD30</f>
        <v>-</v>
      </c>
      <c r="AW30" s="207" t="str">
        <f>Настройки!AE30</f>
        <v>-</v>
      </c>
      <c r="AX30" s="207" t="str">
        <f>Настройки!AF30</f>
        <v>IDIG_8_1</v>
      </c>
      <c r="AY30" s="207" t="str">
        <f>Настройки!AG30</f>
        <v>Canal_29</v>
      </c>
      <c r="AZ30" s="207" t="str">
        <f>Настройки!AH30</f>
        <v>Canal_29</v>
      </c>
      <c r="BA30" s="207" t="str">
        <f>Настройки!AI30</f>
        <v>Canal_29</v>
      </c>
      <c r="BB30" s="207" t="str">
        <f>Настройки!AJ30</f>
        <v>-</v>
      </c>
      <c r="BC30" s="207" t="str">
        <f>Настройки!AK30</f>
        <v>-</v>
      </c>
      <c r="BD30" s="207" t="str">
        <f>Настройки!AL30</f>
        <v>Canal_29</v>
      </c>
      <c r="BE30" s="207" t="str">
        <f>Настройки!AM30</f>
        <v>-</v>
      </c>
    </row>
    <row r="31" spans="1:57">
      <c r="A31" s="82"/>
      <c r="B31" s="82"/>
      <c r="C31" s="81"/>
      <c r="D31" s="81"/>
      <c r="E31" s="81"/>
      <c r="F31" s="81"/>
      <c r="G31" s="445"/>
      <c r="H31" s="445"/>
      <c r="I31" s="1"/>
      <c r="M31" s="424" t="str">
        <f>'Конфигурация TREI'!A32</f>
        <v>BR30</v>
      </c>
      <c r="N31" s="424" t="str">
        <f>'Конфигурация TREI'!B32</f>
        <v>M558D</v>
      </c>
      <c r="AE31" s="428">
        <f>Настройки!P31</f>
        <v>30</v>
      </c>
      <c r="AF31" s="380">
        <f>Настройки!Q31</f>
        <v>0</v>
      </c>
      <c r="AG31" s="380" t="str">
        <f>Настройки!R31</f>
        <v>-</v>
      </c>
      <c r="AH31" s="380" t="str">
        <f>Настройки!S31</f>
        <v>-</v>
      </c>
      <c r="AI31" s="380" t="str">
        <f>Настройки!T31</f>
        <v>out29</v>
      </c>
      <c r="AJ31" s="380" t="str">
        <f>Настройки!U31</f>
        <v>out29</v>
      </c>
      <c r="AK31" s="380" t="str">
        <f>Настройки!V31</f>
        <v>-</v>
      </c>
      <c r="AL31" s="380" t="str">
        <f>Настройки!W31</f>
        <v>-</v>
      </c>
      <c r="AM31" s="380" t="str">
        <f>Настройки!X31</f>
        <v>-</v>
      </c>
      <c r="AN31" s="380" t="str">
        <f>Настройки!Y31</f>
        <v>-</v>
      </c>
      <c r="AO31" s="380" t="str">
        <f>Настройки!Z31</f>
        <v>-</v>
      </c>
      <c r="AP31" s="380" t="str">
        <f>Настройки!AA31</f>
        <v>Canal_30</v>
      </c>
      <c r="AQ31" s="380" t="str">
        <f>Настройки!AB31</f>
        <v>Canal_30</v>
      </c>
      <c r="AR31" s="380" t="str">
        <f>Настройки!AC31</f>
        <v>-</v>
      </c>
      <c r="AS31" s="380" t="str">
        <f>Настройки!AD31</f>
        <v>-</v>
      </c>
      <c r="AT31" s="207" t="str">
        <f>Настройки!AB31</f>
        <v>Canal_30</v>
      </c>
      <c r="AU31" s="207" t="str">
        <f>Настройки!AC31</f>
        <v>-</v>
      </c>
      <c r="AV31" s="207" t="str">
        <f>Настройки!AD31</f>
        <v>-</v>
      </c>
      <c r="AW31" s="207" t="str">
        <f>Настройки!AE31</f>
        <v>-</v>
      </c>
      <c r="AX31" s="207" t="str">
        <f>Настройки!AF31</f>
        <v>IDIG_8_2</v>
      </c>
      <c r="AY31" s="207" t="str">
        <f>Настройки!AG31</f>
        <v>Canal_30</v>
      </c>
      <c r="AZ31" s="207" t="str">
        <f>Настройки!AH31</f>
        <v>Canal_30</v>
      </c>
      <c r="BA31" s="207" t="str">
        <f>Настройки!AI31</f>
        <v>Canal_30</v>
      </c>
      <c r="BB31" s="207" t="str">
        <f>Настройки!AJ31</f>
        <v>-</v>
      </c>
      <c r="BC31" s="207" t="str">
        <f>Настройки!AK31</f>
        <v>-</v>
      </c>
      <c r="BD31" s="207" t="str">
        <f>Настройки!AL31</f>
        <v>Canal_30</v>
      </c>
      <c r="BE31" s="207" t="str">
        <f>Настройки!AM31</f>
        <v>-</v>
      </c>
    </row>
    <row r="32" spans="1:57">
      <c r="A32" s="82"/>
      <c r="B32" s="82"/>
      <c r="C32" s="81"/>
      <c r="D32" s="81"/>
      <c r="E32" s="81"/>
      <c r="F32" s="81"/>
      <c r="G32" s="445"/>
      <c r="H32" s="445"/>
      <c r="I32" s="1"/>
      <c r="M32" s="424" t="str">
        <f>'Конфигурация TREI'!A33</f>
        <v>BR31</v>
      </c>
      <c r="N32" s="424" t="str">
        <f>'Конфигурация TREI'!B33</f>
        <v>M558D</v>
      </c>
      <c r="AE32" s="428">
        <f>Настройки!P32</f>
        <v>31</v>
      </c>
      <c r="AF32" s="380">
        <f>Настройки!Q32</f>
        <v>0</v>
      </c>
      <c r="AG32" s="380" t="str">
        <f>Настройки!R32</f>
        <v>-</v>
      </c>
      <c r="AH32" s="380" t="str">
        <f>Настройки!S32</f>
        <v>-</v>
      </c>
      <c r="AI32" s="380" t="str">
        <f>Настройки!T32</f>
        <v>out30</v>
      </c>
      <c r="AJ32" s="380" t="str">
        <f>Настройки!U32</f>
        <v>out30</v>
      </c>
      <c r="AK32" s="380" t="str">
        <f>Настройки!V32</f>
        <v>-</v>
      </c>
      <c r="AL32" s="380" t="str">
        <f>Настройки!W32</f>
        <v>-</v>
      </c>
      <c r="AM32" s="380" t="str">
        <f>Настройки!X32</f>
        <v>-</v>
      </c>
      <c r="AN32" s="380" t="str">
        <f>Настройки!Y32</f>
        <v>-</v>
      </c>
      <c r="AO32" s="380" t="str">
        <f>Настройки!Z32</f>
        <v>-</v>
      </c>
      <c r="AP32" s="380" t="str">
        <f>Настройки!AA32</f>
        <v>Canal_31</v>
      </c>
      <c r="AQ32" s="380" t="str">
        <f>Настройки!AB32</f>
        <v>Canal_31</v>
      </c>
      <c r="AR32" s="380" t="str">
        <f>Настройки!AC32</f>
        <v>-</v>
      </c>
      <c r="AS32" s="380" t="str">
        <f>Настройки!AD32</f>
        <v>-</v>
      </c>
      <c r="AT32" s="207" t="str">
        <f>Настройки!AB32</f>
        <v>Canal_31</v>
      </c>
      <c r="AU32" s="207" t="str">
        <f>Настройки!AC32</f>
        <v>-</v>
      </c>
      <c r="AV32" s="207" t="str">
        <f>Настройки!AD32</f>
        <v>-</v>
      </c>
      <c r="AW32" s="207" t="str">
        <f>Настройки!AE32</f>
        <v>-</v>
      </c>
      <c r="AX32" s="207" t="str">
        <f>Настройки!AF32</f>
        <v>IDIG_8_3</v>
      </c>
      <c r="AY32" s="207" t="str">
        <f>Настройки!AG32</f>
        <v>Canal_31</v>
      </c>
      <c r="AZ32" s="207" t="str">
        <f>Настройки!AH32</f>
        <v>Canal_31</v>
      </c>
      <c r="BA32" s="207" t="str">
        <f>Настройки!AI32</f>
        <v>Canal_31</v>
      </c>
      <c r="BB32" s="207" t="str">
        <f>Настройки!AJ32</f>
        <v>-</v>
      </c>
      <c r="BC32" s="207" t="str">
        <f>Настройки!AK32</f>
        <v>-</v>
      </c>
      <c r="BD32" s="207" t="str">
        <f>Настройки!AL32</f>
        <v>Canal_31</v>
      </c>
      <c r="BE32" s="207" t="str">
        <f>Настройки!AM32</f>
        <v>-</v>
      </c>
    </row>
    <row r="33" spans="1:57">
      <c r="A33" s="82"/>
      <c r="B33" s="82"/>
      <c r="C33" s="81"/>
      <c r="D33" s="81"/>
      <c r="E33" s="81"/>
      <c r="F33" s="81"/>
      <c r="G33" s="445"/>
      <c r="H33" s="445"/>
      <c r="I33" s="1"/>
      <c r="M33" s="424" t="str">
        <f>'Конфигурация TREI'!A34</f>
        <v>BR32</v>
      </c>
      <c r="N33" s="424" t="str">
        <f>'Конфигурация TREI'!B34</f>
        <v>M558D</v>
      </c>
      <c r="AE33" s="620">
        <f>Настройки!P33</f>
        <v>32</v>
      </c>
      <c r="AF33" s="621">
        <f>Настройки!Q33</f>
        <v>0</v>
      </c>
      <c r="AG33" s="621" t="str">
        <f>Настройки!R33</f>
        <v>-</v>
      </c>
      <c r="AH33" s="621" t="str">
        <f>Настройки!S33</f>
        <v>-</v>
      </c>
      <c r="AI33" s="621" t="str">
        <f>Настройки!T33</f>
        <v>out31</v>
      </c>
      <c r="AJ33" s="621" t="str">
        <f>Настройки!U33</f>
        <v>out31</v>
      </c>
      <c r="AK33" s="621" t="str">
        <f>Настройки!V33</f>
        <v>-</v>
      </c>
      <c r="AL33" s="621" t="str">
        <f>Настройки!W33</f>
        <v>-</v>
      </c>
      <c r="AM33" s="621" t="str">
        <f>Настройки!X33</f>
        <v>-</v>
      </c>
      <c r="AN33" s="621" t="str">
        <f>Настройки!Y33</f>
        <v>-</v>
      </c>
      <c r="AO33" s="621" t="str">
        <f>Настройки!Z33</f>
        <v>-</v>
      </c>
      <c r="AP33" s="621" t="str">
        <f>Настройки!AA33</f>
        <v>Canal_32</v>
      </c>
      <c r="AQ33" s="621" t="str">
        <f>Настройки!AB33</f>
        <v>Canal_32</v>
      </c>
      <c r="AR33" s="621" t="str">
        <f>Настройки!AC33</f>
        <v>-</v>
      </c>
      <c r="AS33" s="621" t="str">
        <f>Настройки!AD33</f>
        <v>-</v>
      </c>
      <c r="AT33" s="622" t="str">
        <f>Настройки!AB33</f>
        <v>Canal_32</v>
      </c>
      <c r="AU33" s="622" t="str">
        <f>Настройки!AC33</f>
        <v>-</v>
      </c>
      <c r="AV33" s="622" t="str">
        <f>Настройки!AD33</f>
        <v>-</v>
      </c>
      <c r="AW33" s="622" t="str">
        <f>Настройки!AE33</f>
        <v>-</v>
      </c>
      <c r="AX33" s="622" t="str">
        <f>Настройки!AF33</f>
        <v>IDIG_8_4</v>
      </c>
      <c r="AY33" s="622" t="str">
        <f>Настройки!AG33</f>
        <v>Canal_32</v>
      </c>
      <c r="AZ33" s="622" t="str">
        <f>Настройки!AH33</f>
        <v>Canal_32</v>
      </c>
      <c r="BA33" s="622" t="str">
        <f>Настройки!AI33</f>
        <v>Canal_32</v>
      </c>
      <c r="BB33" s="622" t="str">
        <f>Настройки!AJ33</f>
        <v>-</v>
      </c>
      <c r="BC33" s="622" t="str">
        <f>Настройки!AK33</f>
        <v>-</v>
      </c>
      <c r="BD33" s="622" t="str">
        <f>Настройки!AL33</f>
        <v>Canal_32</v>
      </c>
      <c r="BE33" s="622" t="str">
        <f>Настройки!AM33</f>
        <v>-</v>
      </c>
    </row>
    <row r="34" spans="1:57">
      <c r="A34" s="82"/>
      <c r="B34" s="82"/>
      <c r="C34" s="81"/>
      <c r="D34" s="81"/>
      <c r="E34" s="81"/>
      <c r="F34" s="81"/>
      <c r="G34" s="445"/>
      <c r="H34" s="445"/>
      <c r="I34" s="1"/>
      <c r="M34" s="424" t="str">
        <f>'Конфигурация TREI'!A35</f>
        <v>BR33</v>
      </c>
      <c r="N34" s="424" t="str">
        <f>'Конфигурация TREI'!B35</f>
        <v>M558D</v>
      </c>
      <c r="AE34" s="624"/>
      <c r="AF34" s="624"/>
      <c r="AG34" s="624"/>
      <c r="AH34" s="624"/>
      <c r="AI34" s="624"/>
      <c r="AJ34" s="624"/>
      <c r="AK34" s="624"/>
      <c r="AL34" s="624"/>
      <c r="AM34" s="624"/>
      <c r="AN34" s="624"/>
      <c r="AO34" s="624"/>
      <c r="AP34" s="624"/>
      <c r="AQ34" s="624"/>
      <c r="AR34" s="624"/>
      <c r="AS34" s="624"/>
      <c r="AT34" s="625"/>
      <c r="AU34" s="625"/>
      <c r="AV34" s="625"/>
      <c r="AW34" s="625"/>
      <c r="AX34" s="625"/>
      <c r="AY34" s="625"/>
      <c r="AZ34" s="625"/>
      <c r="BA34" s="625"/>
      <c r="BB34" s="625"/>
      <c r="BC34" s="625"/>
      <c r="BD34" s="625"/>
      <c r="BE34" s="625"/>
    </row>
    <row r="35" spans="1:57">
      <c r="A35" s="82"/>
      <c r="B35" s="82"/>
      <c r="C35" s="81"/>
      <c r="D35" s="81"/>
      <c r="E35" s="81"/>
      <c r="F35" s="81"/>
      <c r="G35" s="445"/>
      <c r="H35" s="445"/>
      <c r="I35" s="1"/>
      <c r="M35" s="424" t="str">
        <f>'Конфигурация TREI'!A36</f>
        <v>BR34</v>
      </c>
      <c r="N35" s="424" t="str">
        <f>'Конфигурация TREI'!B36</f>
        <v>M558D</v>
      </c>
      <c r="AE35" s="505"/>
      <c r="AF35" s="505"/>
      <c r="AG35" s="505"/>
      <c r="AH35" s="505"/>
      <c r="AI35" s="505"/>
      <c r="AJ35" s="505"/>
      <c r="AK35" s="505"/>
      <c r="AL35" s="505"/>
      <c r="AM35" s="505"/>
      <c r="AN35" s="505"/>
      <c r="AO35" s="505"/>
      <c r="AP35" s="505"/>
      <c r="AQ35" s="505"/>
      <c r="AR35" s="505"/>
      <c r="AS35" s="505"/>
      <c r="AT35" s="623"/>
      <c r="AU35" s="623"/>
      <c r="AV35" s="623"/>
      <c r="AW35" s="623"/>
      <c r="AX35" s="623"/>
      <c r="AY35" s="623"/>
      <c r="AZ35" s="623"/>
      <c r="BA35" s="623"/>
      <c r="BB35" s="623"/>
      <c r="BC35" s="623"/>
      <c r="BD35" s="623"/>
      <c r="BE35" s="623"/>
    </row>
    <row r="36" spans="1:57">
      <c r="A36" s="82"/>
      <c r="B36" s="82"/>
      <c r="C36" s="81"/>
      <c r="D36" s="81"/>
      <c r="E36" s="81"/>
      <c r="F36" s="81"/>
      <c r="G36" s="445"/>
      <c r="H36" s="445"/>
      <c r="I36" s="1"/>
      <c r="M36" s="424" t="str">
        <f>'Конфигурация TREI'!A37</f>
        <v>BR35</v>
      </c>
      <c r="N36" s="424" t="str">
        <f>'Конфигурация TREI'!B37</f>
        <v>M558D</v>
      </c>
      <c r="AE36" s="505"/>
      <c r="AF36" s="505"/>
      <c r="AG36" s="505"/>
      <c r="AH36" s="505"/>
      <c r="AI36" s="505"/>
      <c r="AJ36" s="505"/>
      <c r="AK36" s="505"/>
      <c r="AL36" s="505"/>
      <c r="AM36" s="505"/>
      <c r="AN36" s="505"/>
      <c r="AO36" s="505"/>
      <c r="AP36" s="505"/>
      <c r="AQ36" s="505"/>
      <c r="AR36" s="505"/>
      <c r="AS36" s="505"/>
      <c r="AT36" s="623"/>
      <c r="AU36" s="623"/>
      <c r="AV36" s="623"/>
      <c r="AW36" s="623"/>
      <c r="AX36" s="623"/>
      <c r="AY36" s="623"/>
      <c r="AZ36" s="623"/>
      <c r="BA36" s="623"/>
      <c r="BB36" s="623"/>
      <c r="BC36" s="623"/>
      <c r="BD36" s="623"/>
      <c r="BE36" s="623"/>
    </row>
    <row r="37" spans="1:57" ht="15.75" customHeight="1">
      <c r="A37" s="82"/>
      <c r="B37" s="82"/>
      <c r="C37" s="81"/>
      <c r="D37" s="81"/>
      <c r="E37" s="81"/>
      <c r="F37" s="81"/>
      <c r="G37" s="445"/>
      <c r="H37" s="445"/>
      <c r="I37" s="1"/>
      <c r="M37" s="424" t="str">
        <f>'Конфигурация TREI'!A38</f>
        <v>BR36</v>
      </c>
      <c r="N37" s="424">
        <f>'Конфигурация TREI'!B38</f>
        <v>0</v>
      </c>
      <c r="AE37" s="505"/>
      <c r="AF37" s="505"/>
      <c r="AG37" s="505"/>
      <c r="AH37" s="505"/>
      <c r="AI37" s="505"/>
      <c r="AJ37" s="505"/>
      <c r="AK37" s="505"/>
      <c r="AL37" s="505"/>
      <c r="AM37" s="505"/>
      <c r="AN37" s="505"/>
      <c r="AO37" s="505"/>
      <c r="AP37" s="505"/>
      <c r="AQ37" s="505"/>
      <c r="AR37" s="505"/>
      <c r="AS37" s="505"/>
      <c r="AT37" s="623"/>
      <c r="AU37" s="623"/>
      <c r="AV37" s="623"/>
      <c r="AW37" s="623"/>
      <c r="AX37" s="623"/>
      <c r="AY37" s="623"/>
      <c r="AZ37" s="623"/>
      <c r="BA37" s="623"/>
      <c r="BB37" s="623"/>
      <c r="BC37" s="623"/>
      <c r="BD37" s="623"/>
      <c r="BE37" s="623"/>
    </row>
    <row r="38" spans="1:57">
      <c r="A38" s="82"/>
      <c r="B38" s="82"/>
      <c r="C38" s="81"/>
      <c r="D38" s="81"/>
      <c r="E38" s="81"/>
      <c r="F38" s="81"/>
      <c r="G38" s="445"/>
      <c r="H38" s="445"/>
      <c r="I38" s="1"/>
      <c r="M38" s="424" t="str">
        <f>'Конфигурация TREI'!A39</f>
        <v>BR37</v>
      </c>
      <c r="N38" s="424">
        <f>'Конфигурация TREI'!B39</f>
        <v>0</v>
      </c>
      <c r="AE38" s="505"/>
      <c r="AF38" s="505"/>
      <c r="AG38" s="505"/>
      <c r="AH38" s="505"/>
      <c r="AI38" s="505"/>
      <c r="AJ38" s="505"/>
      <c r="AK38" s="505"/>
      <c r="AL38" s="505"/>
      <c r="AM38" s="505"/>
      <c r="AN38" s="505"/>
      <c r="AO38" s="505"/>
      <c r="AP38" s="505"/>
      <c r="AQ38" s="505"/>
      <c r="AR38" s="505"/>
      <c r="AS38" s="505"/>
      <c r="AT38" s="623"/>
      <c r="AU38" s="623"/>
      <c r="AV38" s="623"/>
      <c r="AW38" s="623"/>
      <c r="AX38" s="623"/>
      <c r="AY38" s="623"/>
      <c r="AZ38" s="623"/>
      <c r="BA38" s="623"/>
      <c r="BB38" s="623"/>
      <c r="BC38" s="623"/>
      <c r="BD38" s="623"/>
      <c r="BE38" s="623"/>
    </row>
    <row r="39" spans="1:57">
      <c r="A39" s="82"/>
      <c r="B39" s="82"/>
      <c r="C39" s="81"/>
      <c r="D39" s="81"/>
      <c r="E39" s="81"/>
      <c r="F39" s="81"/>
      <c r="G39" s="445"/>
      <c r="H39" s="445"/>
      <c r="I39" s="1"/>
      <c r="M39" s="424" t="str">
        <f>'Конфигурация TREI'!A40</f>
        <v>BR38</v>
      </c>
      <c r="N39" s="424">
        <f>'Конфигурация TREI'!B40</f>
        <v>0</v>
      </c>
      <c r="AE39" s="505"/>
      <c r="AF39" s="505"/>
      <c r="AG39" s="505"/>
      <c r="AH39" s="505"/>
      <c r="AI39" s="505"/>
      <c r="AJ39" s="505"/>
      <c r="AK39" s="505"/>
      <c r="AL39" s="505"/>
      <c r="AM39" s="505"/>
      <c r="AN39" s="505"/>
      <c r="AO39" s="505"/>
      <c r="AP39" s="505"/>
      <c r="AQ39" s="505"/>
      <c r="AR39" s="505"/>
      <c r="AS39" s="505"/>
      <c r="AT39" s="623"/>
      <c r="AU39" s="623"/>
      <c r="AV39" s="623"/>
      <c r="AW39" s="623"/>
      <c r="AX39" s="623"/>
      <c r="AY39" s="623"/>
      <c r="AZ39" s="623"/>
      <c r="BA39" s="623"/>
      <c r="BB39" s="623"/>
      <c r="BC39" s="623"/>
      <c r="BD39" s="623"/>
      <c r="BE39" s="623"/>
    </row>
    <row r="40" spans="1:57">
      <c r="A40" s="82"/>
      <c r="B40" s="82"/>
      <c r="C40" s="81"/>
      <c r="D40" s="81"/>
      <c r="E40" s="81"/>
      <c r="F40" s="81"/>
      <c r="G40" s="445"/>
      <c r="H40" s="445"/>
      <c r="I40" s="1"/>
      <c r="M40" s="424" t="str">
        <f>'Конфигурация TREI'!A41</f>
        <v>BR39</v>
      </c>
      <c r="N40" s="424">
        <f>'Конфигурация TREI'!B41</f>
        <v>0</v>
      </c>
      <c r="AE40" s="505"/>
      <c r="AF40" s="505"/>
      <c r="AG40" s="505"/>
      <c r="AH40" s="505"/>
      <c r="AI40" s="505"/>
      <c r="AJ40" s="505"/>
      <c r="AK40" s="505"/>
      <c r="AL40" s="505"/>
      <c r="AM40" s="505"/>
      <c r="AN40" s="505"/>
      <c r="AO40" s="505"/>
      <c r="AP40" s="505"/>
      <c r="AQ40" s="505"/>
      <c r="AR40" s="505"/>
      <c r="AS40" s="505"/>
      <c r="AT40" s="623"/>
      <c r="AU40" s="623"/>
      <c r="AV40" s="623"/>
      <c r="AW40" s="623"/>
      <c r="AX40" s="623"/>
      <c r="AY40" s="623"/>
      <c r="AZ40" s="623"/>
      <c r="BA40" s="623"/>
      <c r="BB40" s="623"/>
      <c r="BC40" s="623"/>
      <c r="BD40" s="623"/>
      <c r="BE40" s="623"/>
    </row>
    <row r="41" spans="1:57">
      <c r="A41" s="82"/>
      <c r="B41" s="82"/>
      <c r="C41" s="81"/>
      <c r="D41" s="81"/>
      <c r="E41" s="81"/>
      <c r="F41" s="81"/>
      <c r="G41" s="445"/>
      <c r="H41" s="445"/>
      <c r="I41" s="1"/>
      <c r="M41" s="424" t="str">
        <f>'Конфигурация TREI'!A42</f>
        <v>BR40</v>
      </c>
      <c r="N41" s="424">
        <f>'Конфигурация TREI'!B42</f>
        <v>0</v>
      </c>
      <c r="AE41" s="505"/>
      <c r="AF41" s="505"/>
      <c r="AG41" s="505"/>
      <c r="AH41" s="505"/>
      <c r="AI41" s="505"/>
      <c r="AJ41" s="505"/>
      <c r="AK41" s="505"/>
      <c r="AL41" s="505"/>
      <c r="AM41" s="505"/>
      <c r="AN41" s="505"/>
      <c r="AO41" s="505"/>
      <c r="AP41" s="505"/>
      <c r="AQ41" s="505"/>
      <c r="AR41" s="505"/>
      <c r="AS41" s="505"/>
      <c r="AT41" s="623"/>
      <c r="AU41" s="623"/>
      <c r="AV41" s="623"/>
      <c r="AW41" s="623"/>
      <c r="AX41" s="623"/>
      <c r="AY41" s="623"/>
      <c r="AZ41" s="623"/>
      <c r="BA41" s="623"/>
      <c r="BB41" s="623"/>
      <c r="BC41" s="623"/>
      <c r="BD41" s="623"/>
      <c r="BE41" s="623"/>
    </row>
    <row r="42" spans="1:57">
      <c r="M42" s="424" t="str">
        <f>'Конфигурация TREI'!A43</f>
        <v>BR41</v>
      </c>
      <c r="N42" s="424">
        <f>'Конфигурация TREI'!B43</f>
        <v>0</v>
      </c>
    </row>
    <row r="43" spans="1:57">
      <c r="M43" s="424" t="str">
        <f>'Конфигурация TREI'!A44</f>
        <v>BR42</v>
      </c>
      <c r="N43" s="424">
        <f>'Конфигурация TREI'!B44</f>
        <v>0</v>
      </c>
    </row>
    <row r="44" spans="1:57">
      <c r="M44" s="424" t="str">
        <f>'Конфигурация TREI'!A45</f>
        <v>BR43</v>
      </c>
      <c r="N44" s="424">
        <f>'Конфигурация TREI'!B45</f>
        <v>0</v>
      </c>
    </row>
    <row r="45" spans="1:57">
      <c r="M45" s="424" t="str">
        <f>'Конфигурация TREI'!A46</f>
        <v>BR44</v>
      </c>
      <c r="N45" s="424">
        <f>'Конфигурация TREI'!B46</f>
        <v>0</v>
      </c>
    </row>
    <row r="46" spans="1:57">
      <c r="M46" s="424" t="str">
        <f>'Конфигурация TREI'!A47</f>
        <v>BR45</v>
      </c>
      <c r="N46" s="424">
        <f>'Конфигурация TREI'!B47</f>
        <v>0</v>
      </c>
    </row>
    <row r="47" spans="1:57">
      <c r="M47" s="424" t="str">
        <f>'Конфигурация TREI'!A48</f>
        <v>BR46</v>
      </c>
      <c r="N47" s="424">
        <f>'Конфигурация TREI'!B48</f>
        <v>0</v>
      </c>
    </row>
    <row r="48" spans="1:57">
      <c r="M48" s="424" t="str">
        <f>'Конфигурация TREI'!A49</f>
        <v>BR47</v>
      </c>
      <c r="N48" s="424">
        <f>'Конфигурация TREI'!B49</f>
        <v>0</v>
      </c>
    </row>
    <row r="49" spans="13:14">
      <c r="M49" s="424" t="str">
        <f>'Конфигурация TREI'!A50</f>
        <v>BR48</v>
      </c>
      <c r="N49" s="424">
        <f>'Конфигурация TREI'!B50</f>
        <v>0</v>
      </c>
    </row>
    <row r="50" spans="13:14">
      <c r="M50" s="424" t="str">
        <f>'Конфигурация TREI'!A51</f>
        <v>BR49</v>
      </c>
      <c r="N50" s="424">
        <f>'Конфигурация TREI'!B51</f>
        <v>0</v>
      </c>
    </row>
    <row r="51" spans="13:14">
      <c r="M51" s="424" t="str">
        <f>'Конфигурация TREI'!A52</f>
        <v>BR50</v>
      </c>
      <c r="N51" s="424">
        <f>'Конфигурация TREI'!B52</f>
        <v>0</v>
      </c>
    </row>
    <row r="52" spans="13:14">
      <c r="M52" s="424" t="str">
        <f>'Конфигурация TREI'!A53</f>
        <v>BR51</v>
      </c>
      <c r="N52" s="424">
        <f>'Конфигурация TREI'!B53</f>
        <v>0</v>
      </c>
    </row>
    <row r="53" spans="13:14">
      <c r="M53" s="424" t="str">
        <f>'Конфигурация TREI'!A54</f>
        <v>BR52</v>
      </c>
      <c r="N53" s="424">
        <f>'Конфигурация TREI'!B54</f>
        <v>0</v>
      </c>
    </row>
    <row r="54" spans="13:14">
      <c r="M54" s="424" t="str">
        <f>'Конфигурация TREI'!A55</f>
        <v>BR53</v>
      </c>
      <c r="N54" s="424">
        <f>'Конфигурация TREI'!B55</f>
        <v>0</v>
      </c>
    </row>
    <row r="55" spans="13:14">
      <c r="M55" s="424" t="str">
        <f>'Конфигурация TREI'!A56</f>
        <v>BR54</v>
      </c>
      <c r="N55" s="424">
        <f>'Конфигурация TREI'!B56</f>
        <v>0</v>
      </c>
    </row>
    <row r="56" spans="13:14">
      <c r="M56" s="424" t="str">
        <f>'Конфигурация TREI'!A57</f>
        <v>BR55</v>
      </c>
      <c r="N56" s="424">
        <f>'Конфигурация TREI'!B57</f>
        <v>0</v>
      </c>
    </row>
    <row r="57" spans="13:14">
      <c r="M57" s="424" t="str">
        <f>'Конфигурация TREI'!A58</f>
        <v>BR56</v>
      </c>
      <c r="N57" s="424">
        <f>'Конфигурация TREI'!B58</f>
        <v>0</v>
      </c>
    </row>
    <row r="58" spans="13:14">
      <c r="M58" s="424" t="str">
        <f>'Конфигурация TREI'!A59</f>
        <v>BR57</v>
      </c>
      <c r="N58" s="424">
        <f>'Конфигурация TREI'!B59</f>
        <v>0</v>
      </c>
    </row>
    <row r="59" spans="13:14">
      <c r="M59" s="424" t="str">
        <f>'Конфигурация TREI'!A60</f>
        <v>BR58</v>
      </c>
      <c r="N59" s="424">
        <f>'Конфигурация TREI'!B60</f>
        <v>0</v>
      </c>
    </row>
    <row r="60" spans="13:14">
      <c r="M60" s="424" t="str">
        <f>'Конфигурация TREI'!A61</f>
        <v>BR59</v>
      </c>
      <c r="N60" s="424">
        <f>'Конфигурация TREI'!B61</f>
        <v>0</v>
      </c>
    </row>
    <row r="61" spans="13:14">
      <c r="M61" s="424" t="str">
        <f>'Конфигурация TREI'!A62</f>
        <v>BR60</v>
      </c>
      <c r="N61" s="424">
        <f>'Конфигурация TREI'!B62</f>
        <v>0</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sheetPr codeName="Лист121">
    <tabColor theme="2" tint="-0.249977111117893"/>
  </sheetPr>
  <dimension ref="A1:BE61"/>
  <sheetViews>
    <sheetView topLeftCell="A28" workbookViewId="0">
      <selection activeCell="D2" sqref="D2:D4"/>
    </sheetView>
  </sheetViews>
  <sheetFormatPr defaultRowHeight="14.4"/>
  <cols>
    <col min="1" max="1" width="35.44140625" customWidth="1"/>
    <col min="2" max="2" width="21.44140625" customWidth="1"/>
    <col min="3" max="3" width="3.44140625" customWidth="1"/>
    <col min="4" max="4" width="1.109375" customWidth="1"/>
    <col min="5" max="5" width="33.44140625" customWidth="1"/>
    <col min="6" max="6" width="17.6640625" customWidth="1"/>
    <col min="7" max="7" width="10.5546875" customWidth="1"/>
    <col min="8" max="8" width="14.33203125" customWidth="1"/>
    <col min="9" max="9" width="11.44140625" customWidth="1"/>
    <col min="10" max="10" width="9.109375" hidden="1" customWidth="1"/>
    <col min="11" max="11" width="10.88671875" customWidth="1"/>
    <col min="12" max="12" width="11.5546875" customWidth="1"/>
    <col min="13" max="15" width="9.109375" customWidth="1"/>
    <col min="16" max="16" width="34.6640625" customWidth="1"/>
    <col min="17" max="17" width="39.33203125" customWidth="1"/>
    <col min="18" max="30" width="26.109375" style="55" customWidth="1"/>
    <col min="31" max="31" width="4.5546875" style="427" customWidth="1"/>
    <col min="32" max="32" width="11.109375" customWidth="1"/>
  </cols>
  <sheetData>
    <row r="1" spans="1:57">
      <c r="A1" s="425"/>
      <c r="B1" s="425"/>
      <c r="C1" s="425"/>
      <c r="D1" s="425"/>
      <c r="E1" s="425"/>
      <c r="F1" s="425"/>
      <c r="G1" s="426" t="s">
        <v>846</v>
      </c>
      <c r="H1" s="426" t="s">
        <v>847</v>
      </c>
      <c r="I1" s="424" t="s">
        <v>1181</v>
      </c>
      <c r="J1" s="425"/>
      <c r="M1" s="424" t="str">
        <f>'Конфигурация TREI'!A1</f>
        <v>№ Модуля</v>
      </c>
      <c r="N1" s="424" t="str">
        <f>'Конфигурация TREI'!B2</f>
        <v>M501E(рез)</v>
      </c>
      <c r="O1" s="425"/>
      <c r="P1" s="425" t="str">
        <f>Таблица!D1</f>
        <v>Префикс для TREI
Тэг ОРС для INFINITY</v>
      </c>
      <c r="Q1" s="425" t="str">
        <f>Таблица!E1</f>
        <v>Комментарий для TREI и INFINITY</v>
      </c>
      <c r="R1" s="452"/>
      <c r="S1" s="452" t="s">
        <v>858</v>
      </c>
      <c r="T1" s="452" t="s">
        <v>859</v>
      </c>
      <c r="U1" s="452"/>
      <c r="V1" s="452"/>
      <c r="W1" s="452" t="s">
        <v>850</v>
      </c>
      <c r="X1" s="452"/>
      <c r="Y1" s="452"/>
      <c r="Z1" s="452"/>
      <c r="AA1" s="452"/>
      <c r="AB1" s="452"/>
      <c r="AC1" s="452"/>
      <c r="AD1" s="453"/>
      <c r="AE1" s="438"/>
      <c r="AF1" s="438">
        <f>Настройки!Q1</f>
        <v>0</v>
      </c>
      <c r="AG1" s="438" t="str">
        <f>Настройки!R1</f>
        <v>M943DR</v>
      </c>
      <c r="AH1" s="438" t="str">
        <f>Настройки!S1</f>
        <v>M942A</v>
      </c>
      <c r="AI1" s="438" t="str">
        <f>Настройки!T1</f>
        <v>M957D</v>
      </c>
      <c r="AJ1" s="438" t="str">
        <f>Настройки!U1</f>
        <v>M957O</v>
      </c>
      <c r="AK1" s="438" t="str">
        <f>Настройки!V1</f>
        <v>M947R</v>
      </c>
      <c r="AL1" s="438" t="str">
        <f>Настройки!W1</f>
        <v>M931V</v>
      </c>
      <c r="AM1" s="438" t="str">
        <f>Настройки!X1</f>
        <v>M931T</v>
      </c>
      <c r="AN1" s="438" t="str">
        <f>Настройки!Y1</f>
        <v>M547A</v>
      </c>
      <c r="AO1" s="438" t="str">
        <f>Настройки!Z1</f>
        <v>M537V</v>
      </c>
      <c r="AP1" s="438" t="str">
        <f>Настройки!AA1</f>
        <v>M557D</v>
      </c>
      <c r="AQ1" s="438" t="str">
        <f>Настройки!AB1</f>
        <v>M557O</v>
      </c>
      <c r="AR1" s="438" t="str">
        <f>Настройки!AC1</f>
        <v>MOPS</v>
      </c>
      <c r="AS1" s="438" t="str">
        <f>Настройки!AD1</f>
        <v>MUPS</v>
      </c>
      <c r="AT1" s="439" t="str">
        <f>Настройки!AB1</f>
        <v>M557O</v>
      </c>
      <c r="AU1" s="439" t="str">
        <f>Настройки!AC1</f>
        <v>MOPS</v>
      </c>
      <c r="AV1" s="439" t="str">
        <f>Настройки!AD1</f>
        <v>MUPS</v>
      </c>
      <c r="AW1" s="439" t="str">
        <f>Настройки!AE1</f>
        <v>M941A</v>
      </c>
      <c r="AX1" s="439" t="str">
        <f>Настройки!AF1</f>
        <v>M954D</v>
      </c>
      <c r="AY1" s="439" t="str">
        <f>Настройки!AG1</f>
        <v>M557DR</v>
      </c>
      <c r="AZ1" s="439" t="str">
        <f>Настройки!AH1</f>
        <v>M558D</v>
      </c>
      <c r="BA1" s="439" t="str">
        <f>Настройки!AI1</f>
        <v>M558O</v>
      </c>
      <c r="BB1" s="439" t="str">
        <f>Настройки!AJ1</f>
        <v>M548A</v>
      </c>
      <c r="BC1" s="439" t="str">
        <f>Настройки!AK1</f>
        <v>M538V</v>
      </c>
      <c r="BD1" s="439" t="str">
        <f>Настройки!AL1</f>
        <v>M558DR</v>
      </c>
      <c r="BE1" s="439" t="str">
        <f>Настройки!AM1</f>
        <v>*</v>
      </c>
    </row>
    <row r="2" spans="1:57">
      <c r="A2" s="446" t="str">
        <f>"//*********** "&amp;Q2&amp;" ***********"</f>
        <v>//*********** Насос без управления ***********</v>
      </c>
      <c r="B2" s="446"/>
      <c r="C2" s="446"/>
      <c r="D2" s="446"/>
      <c r="E2" s="446"/>
      <c r="F2" s="446" t="s">
        <v>1031</v>
      </c>
      <c r="G2" s="447"/>
      <c r="H2" s="447"/>
      <c r="I2" s="459"/>
      <c r="M2" s="424" t="str">
        <f>'Конфигурация TREI'!A3</f>
        <v>BR1</v>
      </c>
      <c r="N2" s="424" t="str">
        <f>'Конфигурация TREI'!B3</f>
        <v>M558D</v>
      </c>
      <c r="P2" s="2" t="s">
        <v>1401</v>
      </c>
      <c r="Q2" s="449" t="s">
        <v>774</v>
      </c>
      <c r="R2" s="451"/>
      <c r="S2" s="454" t="s">
        <v>1290</v>
      </c>
      <c r="T2" s="454" t="s">
        <v>1291</v>
      </c>
      <c r="U2" s="454"/>
      <c r="V2" s="454"/>
      <c r="W2" s="454" t="s">
        <v>1292</v>
      </c>
      <c r="X2" s="454"/>
      <c r="Y2" s="454"/>
      <c r="Z2" s="454"/>
      <c r="AA2" s="454"/>
      <c r="AB2" s="454"/>
      <c r="AC2" s="454"/>
      <c r="AD2" s="454"/>
      <c r="AE2" s="431">
        <f>Настройки!P2</f>
        <v>1</v>
      </c>
      <c r="AF2" s="380">
        <f>Настройки!Q2</f>
        <v>0</v>
      </c>
      <c r="AG2" s="380" t="str">
        <f>Настройки!R2</f>
        <v>IDIG_1_1</v>
      </c>
      <c r="AH2" s="380" t="str">
        <f>Настройки!S2</f>
        <v>IANS_1_3</v>
      </c>
      <c r="AI2" s="380" t="str">
        <f>Настройки!T2</f>
        <v>out0</v>
      </c>
      <c r="AJ2" s="380" t="str">
        <f>Настройки!U2</f>
        <v>out0</v>
      </c>
      <c r="AK2" s="380" t="str">
        <f>Настройки!V2</f>
        <v>ODIG_1</v>
      </c>
      <c r="AL2" s="380" t="str">
        <f>Настройки!W2</f>
        <v>OAN_1_1</v>
      </c>
      <c r="AM2" s="380" t="str">
        <f>Настройки!X2</f>
        <v>IANS_1_1</v>
      </c>
      <c r="AN2" s="380" t="str">
        <f>Настройки!Y2</f>
        <v>Canal_01</v>
      </c>
      <c r="AO2" s="380" t="str">
        <f>Настройки!Z2</f>
        <v>Canal_01</v>
      </c>
      <c r="AP2" s="380" t="str">
        <f>Настройки!AA2</f>
        <v>Canal_01</v>
      </c>
      <c r="AQ2" s="380" t="str">
        <f>Настройки!AB2</f>
        <v>Canal_01</v>
      </c>
      <c r="AR2" s="380" t="str">
        <f>Настройки!AC2</f>
        <v>IVXX[0]</v>
      </c>
      <c r="AS2" s="380" t="str">
        <f>Настройки!AD2</f>
        <v>IVXX[0]</v>
      </c>
      <c r="AT2" s="207" t="str">
        <f>Настройки!AB2</f>
        <v>Canal_01</v>
      </c>
      <c r="AU2" s="207" t="str">
        <f>Настройки!AC2</f>
        <v>IVXX[0]</v>
      </c>
      <c r="AV2" s="207" t="str">
        <f>Настройки!AD2</f>
        <v>IVXX[0]</v>
      </c>
      <c r="AW2" s="207" t="str">
        <f>Настройки!AE2</f>
        <v>IANS_1_1</v>
      </c>
      <c r="AX2" s="207" t="str">
        <f>Настройки!AF2</f>
        <v>IDIG_1_1</v>
      </c>
      <c r="AY2" s="207" t="str">
        <f>Настройки!AG2</f>
        <v>Canal_01</v>
      </c>
      <c r="AZ2" s="207" t="str">
        <f>Настройки!AH2</f>
        <v>Canal_01</v>
      </c>
      <c r="BA2" s="207" t="str">
        <f>Настройки!AI2</f>
        <v>Canal_01</v>
      </c>
      <c r="BB2" s="207" t="str">
        <f>Настройки!AJ2</f>
        <v>Canal_01</v>
      </c>
      <c r="BC2" s="207" t="str">
        <f>Настройки!AK2</f>
        <v>Canal_01</v>
      </c>
      <c r="BD2" s="207" t="str">
        <f>Настройки!AL2</f>
        <v>Canal_01</v>
      </c>
      <c r="BE2" s="207" t="str">
        <f>Настройки!AM2</f>
        <v>-</v>
      </c>
    </row>
    <row r="3" spans="1:57">
      <c r="A3" s="82"/>
      <c r="B3" s="82"/>
      <c r="C3" s="81"/>
      <c r="D3" s="81"/>
      <c r="E3" s="448" t="str">
        <f ca="1">IF(LEFT(E6,3)="out","INT_TO_BIT_BR"&amp;C6&amp;"(BR"&amp;C6&amp;".IDIG_MASK)","УДАЛИТЬ")</f>
        <v>УДАЛИТЬ</v>
      </c>
      <c r="F3" s="446" t="s">
        <v>845</v>
      </c>
      <c r="G3" s="447"/>
      <c r="H3" s="447"/>
      <c r="I3" s="459"/>
      <c r="M3" s="424" t="str">
        <f>'Конфигурация TREI'!A4</f>
        <v>BR2</v>
      </c>
      <c r="N3" s="424" t="str">
        <f>'Конфигурация TREI'!B4</f>
        <v>M548A</v>
      </c>
      <c r="P3" s="425" t="str">
        <f>'Конфигурация TREI'!D1</f>
        <v>Путь TREI для сигналов NOT_LINK</v>
      </c>
      <c r="R3" s="450"/>
      <c r="S3" s="454" t="str">
        <f>SUBSTITUTE(SUBSTITUTE($S$2,"!","")," ","")</f>
        <v>6+32</v>
      </c>
      <c r="T3" s="454" t="str">
        <f>SUBSTITUTE(SUBSTITUTE($T$2,"!","")," ","")</f>
        <v>7+4</v>
      </c>
      <c r="U3" s="454" t="str">
        <f>SUBSTITUTE(SUBSTITUTE($U$2,"!","")," ","")</f>
        <v/>
      </c>
      <c r="V3" s="454" t="str">
        <f>SUBSTITUTE(SUBSTITUTE($V$2,"!","")," ","")</f>
        <v/>
      </c>
      <c r="W3" s="454" t="str">
        <f>SUBSTITUTE(SUBSTITUTE($W$2,"!","")," ","")</f>
        <v>6+14</v>
      </c>
      <c r="X3" s="454" t="str">
        <f>SUBSTITUTE(SUBSTITUTE($X$2,"!","")," ","")</f>
        <v/>
      </c>
      <c r="Y3" s="454" t="str">
        <f>SUBSTITUTE(SUBSTITUTE($Y$2,"!","")," ","")</f>
        <v/>
      </c>
      <c r="Z3" s="454" t="str">
        <f>SUBSTITUTE(SUBSTITUTE($Z$2,"!","")," ","")</f>
        <v/>
      </c>
      <c r="AA3" s="454" t="str">
        <f>SUBSTITUTE(SUBSTITUTE($AA$2,"!","")," ","")</f>
        <v/>
      </c>
      <c r="AB3" s="454" t="str">
        <f>SUBSTITUTE(SUBSTITUTE($AB$2,"!","")," ","")</f>
        <v/>
      </c>
      <c r="AC3" s="454" t="str">
        <f>SUBSTITUTE(SUBSTITUTE($AC$2,"!","")," ","")</f>
        <v/>
      </c>
      <c r="AD3" s="454"/>
      <c r="AE3" s="431">
        <f>Настройки!P3</f>
        <v>2</v>
      </c>
      <c r="AF3" s="380">
        <f>Настройки!Q3</f>
        <v>0</v>
      </c>
      <c r="AG3" s="380" t="str">
        <f>Настройки!R3</f>
        <v>IDIG_1_2</v>
      </c>
      <c r="AH3" s="380" t="str">
        <f>Настройки!S3</f>
        <v>IANS_1_4</v>
      </c>
      <c r="AI3" s="380" t="str">
        <f>Настройки!T3</f>
        <v>out1</v>
      </c>
      <c r="AJ3" s="380" t="str">
        <f>Настройки!U3</f>
        <v>out1</v>
      </c>
      <c r="AK3" s="380" t="str">
        <f>Настройки!V3</f>
        <v>ODIG_2</v>
      </c>
      <c r="AL3" s="380" t="str">
        <f>Настройки!W3</f>
        <v>OAN_2_1</v>
      </c>
      <c r="AM3" s="380" t="str">
        <f>Настройки!X3</f>
        <v>IANS_2_1</v>
      </c>
      <c r="AN3" s="380" t="str">
        <f>Настройки!Y3</f>
        <v>Canal_02</v>
      </c>
      <c r="AO3" s="380" t="str">
        <f>Настройки!Z3</f>
        <v>Canal_02</v>
      </c>
      <c r="AP3" s="380" t="str">
        <f>Настройки!AA3</f>
        <v>Canal_02</v>
      </c>
      <c r="AQ3" s="380" t="str">
        <f>Настройки!AB3</f>
        <v>Canal_02</v>
      </c>
      <c r="AR3" s="380" t="str">
        <f>Настройки!AC3</f>
        <v>IVXX[1]</v>
      </c>
      <c r="AS3" s="380" t="str">
        <f>Настройки!AD3</f>
        <v>IVXX[1]</v>
      </c>
      <c r="AT3" s="207" t="str">
        <f>Настройки!AB3</f>
        <v>Canal_02</v>
      </c>
      <c r="AU3" s="207" t="str">
        <f>Настройки!AC3</f>
        <v>IVXX[1]</v>
      </c>
      <c r="AV3" s="207" t="str">
        <f>Настройки!AD3</f>
        <v>IVXX[1]</v>
      </c>
      <c r="AW3" s="207" t="str">
        <f>Настройки!AE3</f>
        <v>IANS_1_2</v>
      </c>
      <c r="AX3" s="207" t="str">
        <f>Настройки!AF3</f>
        <v>IDIG_1_2</v>
      </c>
      <c r="AY3" s="207" t="str">
        <f>Настройки!AG3</f>
        <v>Canal_02</v>
      </c>
      <c r="AZ3" s="207" t="str">
        <f>Настройки!AH3</f>
        <v>Canal_02</v>
      </c>
      <c r="BA3" s="207" t="str">
        <f>Настройки!AI3</f>
        <v>Canal_02</v>
      </c>
      <c r="BB3" s="207" t="str">
        <f>Настройки!AJ3</f>
        <v>Canal_02</v>
      </c>
      <c r="BC3" s="207" t="str">
        <f>Настройки!AK3</f>
        <v>Canal_02</v>
      </c>
      <c r="BD3" s="207" t="str">
        <f>Настройки!AL3</f>
        <v>Canal_02</v>
      </c>
      <c r="BE3" s="207" t="str">
        <f>Настройки!AM3</f>
        <v>-</v>
      </c>
    </row>
    <row r="4" spans="1:57">
      <c r="A4" s="82"/>
      <c r="B4" s="82"/>
      <c r="C4" s="81"/>
      <c r="D4" s="81"/>
      <c r="E4" s="448" t="str">
        <f ca="1">IF(LEFT(E7,3)="out","INT_TO_BIT_BR"&amp;C7&amp;"(BR"&amp;C7&amp;".IDIG_MASK)","УДАЛИТЬ")</f>
        <v>УДАЛИТЬ</v>
      </c>
      <c r="F4" s="446" t="s">
        <v>845</v>
      </c>
      <c r="G4" s="447"/>
      <c r="H4" s="447"/>
      <c r="I4" s="459"/>
      <c r="M4" s="424" t="str">
        <f>'Конфигурация TREI'!A5</f>
        <v>BR3</v>
      </c>
      <c r="N4" s="424" t="str">
        <f>'Конфигурация TREI'!B5</f>
        <v>M548A</v>
      </c>
      <c r="P4" s="3" t="str">
        <f>Настройки!D2</f>
        <v/>
      </c>
      <c r="AE4" s="431">
        <f>Настройки!P4</f>
        <v>3</v>
      </c>
      <c r="AF4" s="380">
        <f>Настройки!Q4</f>
        <v>0</v>
      </c>
      <c r="AG4" s="380" t="str">
        <f>Настройки!R4</f>
        <v>IDIG_2_1</v>
      </c>
      <c r="AH4" s="380" t="str">
        <f>Настройки!S4</f>
        <v>IANS_2_3</v>
      </c>
      <c r="AI4" s="380" t="str">
        <f>Настройки!T4</f>
        <v>out2</v>
      </c>
      <c r="AJ4" s="380" t="str">
        <f>Настройки!U4</f>
        <v>out2</v>
      </c>
      <c r="AK4" s="380" t="str">
        <f>Настройки!V4</f>
        <v>ODIG_3</v>
      </c>
      <c r="AL4" s="380" t="str">
        <f>Настройки!W4</f>
        <v>OAN_3_1</v>
      </c>
      <c r="AM4" s="380" t="str">
        <f>Настройки!X4</f>
        <v>IANS_3_1</v>
      </c>
      <c r="AN4" s="380" t="str">
        <f>Настройки!Y4</f>
        <v>Canal_03</v>
      </c>
      <c r="AO4" s="380" t="str">
        <f>Настройки!Z4</f>
        <v>Canal_03</v>
      </c>
      <c r="AP4" s="380" t="str">
        <f>Настройки!AA4</f>
        <v>Canal_03</v>
      </c>
      <c r="AQ4" s="380" t="str">
        <f>Настройки!AB4</f>
        <v>Canal_03</v>
      </c>
      <c r="AR4" s="380" t="str">
        <f>Настройки!AC4</f>
        <v>IVXX[2]</v>
      </c>
      <c r="AS4" s="380" t="str">
        <f>Настройки!AD4</f>
        <v>IVXX[2]</v>
      </c>
      <c r="AT4" s="207" t="str">
        <f>Настройки!AB4</f>
        <v>Canal_03</v>
      </c>
      <c r="AU4" s="207" t="str">
        <f>Настройки!AC4</f>
        <v>IVXX[2]</v>
      </c>
      <c r="AV4" s="207" t="str">
        <f>Настройки!AD4</f>
        <v>IVXX[2]</v>
      </c>
      <c r="AW4" s="207" t="str">
        <f>Настройки!AE4</f>
        <v>IANS_2_1</v>
      </c>
      <c r="AX4" s="207" t="str">
        <f>Настройки!AF4</f>
        <v>IDIG_1_3</v>
      </c>
      <c r="AY4" s="207" t="str">
        <f>Настройки!AG4</f>
        <v>Canal_03</v>
      </c>
      <c r="AZ4" s="207" t="str">
        <f>Настройки!AH4</f>
        <v>Canal_03</v>
      </c>
      <c r="BA4" s="207" t="str">
        <f>Настройки!AI4</f>
        <v>Canal_03</v>
      </c>
      <c r="BB4" s="207" t="str">
        <f>Настройки!AJ4</f>
        <v>Canal_03</v>
      </c>
      <c r="BC4" s="207" t="str">
        <f>Настройки!AK4</f>
        <v>Canal_03</v>
      </c>
      <c r="BD4" s="207" t="str">
        <f>Настройки!AL4</f>
        <v>Canal_03</v>
      </c>
      <c r="BE4" s="207" t="str">
        <f>Настройки!AM4</f>
        <v>-</v>
      </c>
    </row>
    <row r="5" spans="1:57">
      <c r="A5" s="82"/>
      <c r="B5" s="82"/>
      <c r="C5" s="81"/>
      <c r="D5" s="81"/>
      <c r="E5" s="448" t="str">
        <f ca="1">IF(LEFT(E8,3)="out","INT_TO_BIT_BR"&amp;C8&amp;"(BR"&amp;C8&amp;".IDIG_MASK)","УДАЛИТЬ")</f>
        <v>УДАЛИТЬ</v>
      </c>
      <c r="F5" s="446" t="s">
        <v>845</v>
      </c>
      <c r="G5" s="447"/>
      <c r="H5" s="447"/>
      <c r="I5" s="459"/>
      <c r="M5" s="424" t="str">
        <f>'Конфигурация TREI'!A6</f>
        <v>BR4</v>
      </c>
      <c r="N5" s="424" t="str">
        <f>'Конфигурация TREI'!B6</f>
        <v>M558D</v>
      </c>
      <c r="AE5" s="431">
        <f>Настройки!P5</f>
        <v>4</v>
      </c>
      <c r="AF5" s="380">
        <f>Настройки!Q5</f>
        <v>0</v>
      </c>
      <c r="AG5" s="380" t="str">
        <f>Настройки!R5</f>
        <v>IDIG_2_2</v>
      </c>
      <c r="AH5" s="380" t="str">
        <f>Настройки!S5</f>
        <v>IANS_2_4</v>
      </c>
      <c r="AI5" s="380" t="str">
        <f>Настройки!T5</f>
        <v>out3</v>
      </c>
      <c r="AJ5" s="380" t="str">
        <f>Настройки!U5</f>
        <v>out3</v>
      </c>
      <c r="AK5" s="380" t="str">
        <f>Настройки!V5</f>
        <v>ODIG_4</v>
      </c>
      <c r="AL5" s="380" t="str">
        <f>Настройки!W5</f>
        <v>OAN_4_1</v>
      </c>
      <c r="AM5" s="380" t="str">
        <f>Настройки!X5</f>
        <v>IANS_4_1</v>
      </c>
      <c r="AN5" s="380" t="str">
        <f>Настройки!Y5</f>
        <v>Canal_04</v>
      </c>
      <c r="AO5" s="380" t="str">
        <f>Настройки!Z5</f>
        <v>Canal_04</v>
      </c>
      <c r="AP5" s="380" t="str">
        <f>Настройки!AA5</f>
        <v>Canal_04</v>
      </c>
      <c r="AQ5" s="380" t="str">
        <f>Настройки!AB5</f>
        <v>Canal_04</v>
      </c>
      <c r="AR5" s="380" t="str">
        <f>Настройки!AC5</f>
        <v>IVXX[3]</v>
      </c>
      <c r="AS5" s="380" t="str">
        <f>Настройки!AD5</f>
        <v>IVXX[3]</v>
      </c>
      <c r="AT5" s="207" t="str">
        <f>Настройки!AB5</f>
        <v>Canal_04</v>
      </c>
      <c r="AU5" s="207" t="str">
        <f>Настройки!AC5</f>
        <v>IVXX[3]</v>
      </c>
      <c r="AV5" s="207" t="str">
        <f>Настройки!AD5</f>
        <v>IVXX[3]</v>
      </c>
      <c r="AW5" s="207" t="str">
        <f>Настройки!AE5</f>
        <v>IANS_2_2</v>
      </c>
      <c r="AX5" s="207" t="str">
        <f>Настройки!AF5</f>
        <v>IDIG_1_4</v>
      </c>
      <c r="AY5" s="207" t="str">
        <f>Настройки!AG5</f>
        <v>Canal_04</v>
      </c>
      <c r="AZ5" s="207" t="str">
        <f>Настройки!AH5</f>
        <v>Canal_04</v>
      </c>
      <c r="BA5" s="207" t="str">
        <f>Настройки!AI5</f>
        <v>Canal_04</v>
      </c>
      <c r="BB5" s="207" t="str">
        <f>Настройки!AJ5</f>
        <v>Canal_04</v>
      </c>
      <c r="BC5" s="207" t="str">
        <f>Настройки!AK5</f>
        <v>Canal_04</v>
      </c>
      <c r="BD5" s="207" t="str">
        <f>Настройки!AL5</f>
        <v>Canal_04</v>
      </c>
      <c r="BE5" s="207" t="str">
        <f>Настройки!AM5</f>
        <v>-</v>
      </c>
    </row>
    <row r="6" spans="1:57">
      <c r="A6" s="448" t="str">
        <f>SUBSTITUTE($P$2,"\","|")&amp;"|"&amp; $S$1 &amp;":="&amp;IF(LEFT(SUBSTITUTE($S$2," ",""),1)="!","NOT  ","")</f>
        <v>MK1|IONX:=</v>
      </c>
      <c r="B6" s="448" t="str">
        <f ca="1">IF(LEFT(E6,3)="out","INT_TO_BIT_BR","BR")</f>
        <v>BR</v>
      </c>
      <c r="C6" s="446" t="str">
        <f>LEFT($S$3,FIND("+",$S$3,1)-1)</f>
        <v>6</v>
      </c>
      <c r="D6" s="446" t="s">
        <v>178</v>
      </c>
      <c r="E6" s="446" t="str">
        <f ca="1">IF($S$2=0,"УДАЛИТЬ",IFERROR(IF(OR($I6="-",$H6="0"),"КАНАЛ ОТСУТСТВУЕТ",IF($I6=0,"МОДУЛЬ ОТСУТСТВУЕТ",$I6)),"ОШИБКА ФОРМАТА"))</f>
        <v>Canal_32</v>
      </c>
      <c r="F6" s="446" t="s">
        <v>845</v>
      </c>
      <c r="G6" s="447" t="str">
        <f>INDEX($N$2:$N$61,C6)</f>
        <v>M558O</v>
      </c>
      <c r="H6" s="447" t="str">
        <f>RIGHT(S$3,LEN(S$3)-FIND("+",S$3,1))</f>
        <v>32</v>
      </c>
      <c r="I6" s="460" t="str">
        <f ca="1">INDIRECT(ADDRESS($H6+1,MATCH($G6,$1:$1,),1))</f>
        <v>Canal_32</v>
      </c>
      <c r="M6" s="424" t="str">
        <f>'Конфигурация TREI'!A7</f>
        <v>BR5</v>
      </c>
      <c r="N6" s="424" t="str">
        <f>'Конфигурация TREI'!B7</f>
        <v>M558O</v>
      </c>
      <c r="AE6" s="431">
        <f>Настройки!P6</f>
        <v>5</v>
      </c>
      <c r="AF6" s="380">
        <f>Настройки!Q6</f>
        <v>0</v>
      </c>
      <c r="AG6" s="380" t="str">
        <f>Настройки!R6</f>
        <v>IDIG_3_1</v>
      </c>
      <c r="AH6" s="380" t="str">
        <f>Настройки!S6</f>
        <v>IANS_3_3</v>
      </c>
      <c r="AI6" s="380" t="str">
        <f>Настройки!T6</f>
        <v>out4</v>
      </c>
      <c r="AJ6" s="380" t="str">
        <f>Настройки!U6</f>
        <v>out4</v>
      </c>
      <c r="AK6" s="380" t="str">
        <f>Настройки!V6</f>
        <v>ODIG_5</v>
      </c>
      <c r="AL6" s="380" t="str">
        <f>Настройки!W6</f>
        <v>OAN_5_1</v>
      </c>
      <c r="AM6" s="380" t="str">
        <f>Настройки!X6</f>
        <v>IANS_5_1</v>
      </c>
      <c r="AN6" s="380" t="str">
        <f>Настройки!Y6</f>
        <v>Canal_05</v>
      </c>
      <c r="AO6" s="380" t="str">
        <f>Настройки!Z6</f>
        <v>Canal_05</v>
      </c>
      <c r="AP6" s="380" t="str">
        <f>Настройки!AA6</f>
        <v>Canal_05</v>
      </c>
      <c r="AQ6" s="380" t="str">
        <f>Настройки!AB6</f>
        <v>Canal_05</v>
      </c>
      <c r="AR6" s="380" t="str">
        <f>Настройки!AC6</f>
        <v>IVXX[4]</v>
      </c>
      <c r="AS6" s="380" t="str">
        <f>Настройки!AD6</f>
        <v>IVXX[4]</v>
      </c>
      <c r="AT6" s="207" t="str">
        <f>Настройки!AB6</f>
        <v>Canal_05</v>
      </c>
      <c r="AU6" s="207" t="str">
        <f>Настройки!AC6</f>
        <v>IVXX[4]</v>
      </c>
      <c r="AV6" s="207" t="str">
        <f>Настройки!AD6</f>
        <v>IVXX[4]</v>
      </c>
      <c r="AW6" s="207" t="str">
        <f>Настройки!AE6</f>
        <v>IANS_3_1</v>
      </c>
      <c r="AX6" s="207" t="str">
        <f>Настройки!AF6</f>
        <v>IDIG_2_1</v>
      </c>
      <c r="AY6" s="207" t="str">
        <f>Настройки!AG6</f>
        <v>Canal_05</v>
      </c>
      <c r="AZ6" s="207" t="str">
        <f>Настройки!AH6</f>
        <v>Canal_05</v>
      </c>
      <c r="BA6" s="207" t="str">
        <f>Настройки!AI6</f>
        <v>Canal_05</v>
      </c>
      <c r="BB6" s="207" t="str">
        <f>Настройки!AJ6</f>
        <v>Canal_05</v>
      </c>
      <c r="BC6" s="207" t="str">
        <f>Настройки!AK6</f>
        <v>Canal_05</v>
      </c>
      <c r="BD6" s="207" t="str">
        <f>Настройки!AL6</f>
        <v>Canal_05</v>
      </c>
      <c r="BE6" s="207" t="str">
        <f>Настройки!AM6</f>
        <v>-</v>
      </c>
    </row>
    <row r="7" spans="1:57">
      <c r="A7" s="448" t="str">
        <f>SUBSTITUTE($P$2,"\","|")&amp;"|"&amp; $T$1 &amp;":="&amp;IF(LEFT(SUBSTITUTE($T$2," ",""),1)="!","NOT  ","")</f>
        <v>MK1|IOFX:=</v>
      </c>
      <c r="B7" s="448" t="str">
        <f ca="1">IF(LEFT(E7,3)="out","INT_TO_BIT_BR","BR")</f>
        <v>BR</v>
      </c>
      <c r="C7" s="446" t="str">
        <f>LEFT($T$3,FIND("+",$T$3,1)-1)</f>
        <v>7</v>
      </c>
      <c r="D7" s="446" t="s">
        <v>178</v>
      </c>
      <c r="E7" s="446" t="str">
        <f ca="1">IF($T$2=0,"УДАЛИТЬ",IFERROR(IF(OR($I7="-",$H7="0"),"КАНАЛ ОТСУТСТВУЕТ",IF($I7=0,"МОДУЛЬ ОТСУТСТВУЕТ",$I7)),"ОШИБКА ФОРМАТА"))</f>
        <v>Canal_04</v>
      </c>
      <c r="F7" s="446" t="s">
        <v>845</v>
      </c>
      <c r="G7" s="447" t="str">
        <f>INDEX($N$2:$N$61,C7)</f>
        <v>M558O</v>
      </c>
      <c r="H7" s="447" t="str">
        <f>RIGHT(T$3,LEN(T$3)-FIND("+",T$3,1))</f>
        <v>4</v>
      </c>
      <c r="I7" s="460" t="str">
        <f ca="1">INDIRECT(ADDRESS($H7+1,MATCH($G7,$1:$1,),1))</f>
        <v>Canal_04</v>
      </c>
      <c r="M7" s="424" t="str">
        <f>'Конфигурация TREI'!A8</f>
        <v>BR6</v>
      </c>
      <c r="N7" s="424" t="str">
        <f>'Конфигурация TREI'!B8</f>
        <v>M558O</v>
      </c>
      <c r="AE7" s="431">
        <f>Настройки!P7</f>
        <v>6</v>
      </c>
      <c r="AF7" s="380">
        <f>Настройки!Q7</f>
        <v>0</v>
      </c>
      <c r="AG7" s="380" t="str">
        <f>Настройки!R7</f>
        <v>IDIG_3_2</v>
      </c>
      <c r="AH7" s="380" t="str">
        <f>Настройки!S7</f>
        <v>IANS_3_4</v>
      </c>
      <c r="AI7" s="380" t="str">
        <f>Настройки!T7</f>
        <v>out5</v>
      </c>
      <c r="AJ7" s="380" t="str">
        <f>Настройки!U7</f>
        <v>out5</v>
      </c>
      <c r="AK7" s="380" t="str">
        <f>Настройки!V7</f>
        <v>ODIG_6</v>
      </c>
      <c r="AL7" s="380" t="str">
        <f>Настройки!W7</f>
        <v>OAN_6_1</v>
      </c>
      <c r="AM7" s="380" t="str">
        <f>Настройки!X7</f>
        <v>IANS_6_1</v>
      </c>
      <c r="AN7" s="380" t="str">
        <f>Настройки!Y7</f>
        <v>Canal_06</v>
      </c>
      <c r="AO7" s="380" t="str">
        <f>Настройки!Z7</f>
        <v>Canal_06</v>
      </c>
      <c r="AP7" s="380" t="str">
        <f>Настройки!AA7</f>
        <v>Canal_06</v>
      </c>
      <c r="AQ7" s="380" t="str">
        <f>Настройки!AB7</f>
        <v>Canal_06</v>
      </c>
      <c r="AR7" s="380" t="str">
        <f>Настройки!AC7</f>
        <v>IVXX[5]</v>
      </c>
      <c r="AS7" s="380" t="str">
        <f>Настройки!AD7</f>
        <v>IVXX[5]</v>
      </c>
      <c r="AT7" s="207" t="str">
        <f>Настройки!AB7</f>
        <v>Canal_06</v>
      </c>
      <c r="AU7" s="207" t="str">
        <f>Настройки!AC7</f>
        <v>IVXX[5]</v>
      </c>
      <c r="AV7" s="207" t="str">
        <f>Настройки!AD7</f>
        <v>IVXX[5]</v>
      </c>
      <c r="AW7" s="207" t="str">
        <f>Настройки!AE7</f>
        <v>IANS_3_2</v>
      </c>
      <c r="AX7" s="207" t="str">
        <f>Настройки!AF7</f>
        <v>IDIG_2_2</v>
      </c>
      <c r="AY7" s="207" t="str">
        <f>Настройки!AG7</f>
        <v>Canal_06</v>
      </c>
      <c r="AZ7" s="207" t="str">
        <f>Настройки!AH7</f>
        <v>Canal_06</v>
      </c>
      <c r="BA7" s="207" t="str">
        <f>Настройки!AI7</f>
        <v>Canal_06</v>
      </c>
      <c r="BB7" s="207" t="str">
        <f>Настройки!AJ7</f>
        <v>Canal_06</v>
      </c>
      <c r="BC7" s="207" t="str">
        <f>Настройки!AK7</f>
        <v>Canal_06</v>
      </c>
      <c r="BD7" s="207" t="str">
        <f>Настройки!AL7</f>
        <v>Canal_06</v>
      </c>
      <c r="BE7" s="207" t="str">
        <f>Настройки!AM7</f>
        <v>-</v>
      </c>
    </row>
    <row r="8" spans="1:57">
      <c r="A8" s="448" t="str">
        <f>SUBSTITUTE($P$2,"\","|")&amp;"|"&amp; $W$1 &amp;":="&amp;IF(LEFT(SUBSTITUTE($W$2," ",""),1)="!","NOT  ","")</f>
        <v>MK1|IFXX:=</v>
      </c>
      <c r="B8" s="448" t="str">
        <f ca="1">IF(LEFT(E8,3)="out","INT_TO_BIT_BR","BR")</f>
        <v>BR</v>
      </c>
      <c r="C8" s="446" t="str">
        <f>LEFT($W$3,FIND("+",$W$3,1)-1)</f>
        <v>6</v>
      </c>
      <c r="D8" s="446" t="s">
        <v>178</v>
      </c>
      <c r="E8" s="446" t="str">
        <f ca="1">IF($W$2=0,"УДАЛИТЬ",IFERROR(IF(OR($I8="-",$H8="0"),"КАНАЛ ОТСУТСТВУЕТ",IF($I8=0,"МОДУЛЬ ОТСУТСТВУЕТ",$I8)),"ОШИБКА ФОРМАТА"))</f>
        <v>Canal_14</v>
      </c>
      <c r="F8" s="446" t="s">
        <v>845</v>
      </c>
      <c r="G8" s="447" t="str">
        <f>INDEX($N$2:$N$61,C8)</f>
        <v>M558O</v>
      </c>
      <c r="H8" s="447" t="str">
        <f>RIGHT($W$3,LEN($W$3)-FIND("+",$W$3,1))</f>
        <v>14</v>
      </c>
      <c r="I8" s="460" t="str">
        <f ca="1">INDIRECT(ADDRESS($H8+1,MATCH($G8,$1:$1,),1))</f>
        <v>Canal_14</v>
      </c>
      <c r="M8" s="424" t="str">
        <f>'Конфигурация TREI'!A9</f>
        <v>BR7</v>
      </c>
      <c r="N8" s="424" t="str">
        <f>'Конфигурация TREI'!B9</f>
        <v>M558O</v>
      </c>
      <c r="AE8" s="431">
        <f>Настройки!P8</f>
        <v>7</v>
      </c>
      <c r="AF8" s="380">
        <f>Настройки!Q8</f>
        <v>0</v>
      </c>
      <c r="AG8" s="380" t="str">
        <f>Настройки!R8</f>
        <v>IDIG_4_1</v>
      </c>
      <c r="AH8" s="380" t="str">
        <f>Настройки!S8</f>
        <v>IANS_4_3</v>
      </c>
      <c r="AI8" s="380" t="str">
        <f>Настройки!T8</f>
        <v>out6</v>
      </c>
      <c r="AJ8" s="380" t="str">
        <f>Настройки!U8</f>
        <v>out6</v>
      </c>
      <c r="AK8" s="380" t="str">
        <f>Настройки!V8</f>
        <v>ODIG_7</v>
      </c>
      <c r="AL8" s="380" t="str">
        <f>Настройки!W8</f>
        <v>OAN_7_1</v>
      </c>
      <c r="AM8" s="380" t="str">
        <f>Настройки!X8</f>
        <v>IANS_7_1</v>
      </c>
      <c r="AN8" s="380" t="str">
        <f>Настройки!Y8</f>
        <v>Canal_07</v>
      </c>
      <c r="AO8" s="380" t="str">
        <f>Настройки!Z8</f>
        <v>Canal_07</v>
      </c>
      <c r="AP8" s="380" t="str">
        <f>Настройки!AA8</f>
        <v>Canal_07</v>
      </c>
      <c r="AQ8" s="380" t="str">
        <f>Настройки!AB8</f>
        <v>Canal_07</v>
      </c>
      <c r="AR8" s="380" t="str">
        <f>Настройки!AC8</f>
        <v>IVXX[6]</v>
      </c>
      <c r="AS8" s="380" t="str">
        <f>Настройки!AD8</f>
        <v>IVXX[6]</v>
      </c>
      <c r="AT8" s="207" t="str">
        <f>Настройки!AB8</f>
        <v>Canal_07</v>
      </c>
      <c r="AU8" s="207" t="str">
        <f>Настройки!AC8</f>
        <v>IVXX[6]</v>
      </c>
      <c r="AV8" s="207" t="str">
        <f>Настройки!AD8</f>
        <v>IVXX[6]</v>
      </c>
      <c r="AW8" s="207" t="str">
        <f>Настройки!AE8</f>
        <v>IANS_4_1</v>
      </c>
      <c r="AX8" s="207" t="str">
        <f>Настройки!AF8</f>
        <v>IDIG_2_3</v>
      </c>
      <c r="AY8" s="207" t="str">
        <f>Настройки!AG8</f>
        <v>Canal_07</v>
      </c>
      <c r="AZ8" s="207" t="str">
        <f>Настройки!AH8</f>
        <v>Canal_07</v>
      </c>
      <c r="BA8" s="207" t="str">
        <f>Настройки!AI8</f>
        <v>Canal_07</v>
      </c>
      <c r="BB8" s="207" t="str">
        <f>Настройки!AJ8</f>
        <v>Canal_07</v>
      </c>
      <c r="BC8" s="207" t="str">
        <f>Настройки!AK8</f>
        <v>Canal_07</v>
      </c>
      <c r="BD8" s="207" t="str">
        <f>Настройки!AL8</f>
        <v>Canal_07</v>
      </c>
      <c r="BE8" s="207" t="str">
        <f>Настройки!AM8</f>
        <v>-</v>
      </c>
    </row>
    <row r="9" spans="1:57">
      <c r="A9" s="448" t="str">
        <f>SUBSTITUTE($P$2,"\","|")&amp;"|"&amp;"D"&amp; RIGHT($S$1,3)&amp;":="&amp;P4&amp;"NOT_LINK_BR"</f>
        <v>MK1|DONX:=NOT_LINK_BR</v>
      </c>
      <c r="B9" s="448"/>
      <c r="C9" s="455"/>
      <c r="D9" s="446"/>
      <c r="E9" s="446" t="str">
        <f>IFERROR(LEFT($S$3,FIND("+",$S$3,1)-1),"УДАЛИТЬ")</f>
        <v>6</v>
      </c>
      <c r="F9" s="446" t="s">
        <v>845</v>
      </c>
      <c r="G9" s="447"/>
      <c r="H9" s="447"/>
      <c r="I9" s="1"/>
      <c r="M9" s="424" t="str">
        <f>'Конфигурация TREI'!A10</f>
        <v>BR8</v>
      </c>
      <c r="N9" s="424" t="str">
        <f>'Конфигурация TREI'!B10</f>
        <v>M558O</v>
      </c>
      <c r="AE9" s="431">
        <f>Настройки!P9</f>
        <v>8</v>
      </c>
      <c r="AF9" s="380">
        <f>Настройки!Q9</f>
        <v>0</v>
      </c>
      <c r="AG9" s="380" t="str">
        <f>Настройки!R9</f>
        <v>IDIG_4_2</v>
      </c>
      <c r="AH9" s="380" t="str">
        <f>Настройки!S9</f>
        <v>IANS_4_4</v>
      </c>
      <c r="AI9" s="380" t="str">
        <f>Настройки!T9</f>
        <v>out7</v>
      </c>
      <c r="AJ9" s="380" t="str">
        <f>Настройки!U9</f>
        <v>out7</v>
      </c>
      <c r="AK9" s="380" t="str">
        <f>Настройки!V9</f>
        <v>ODIG_8</v>
      </c>
      <c r="AL9" s="380" t="str">
        <f>Настройки!W9</f>
        <v>OAN_8_1</v>
      </c>
      <c r="AM9" s="380" t="str">
        <f>Настройки!X9</f>
        <v>IANS_8_1</v>
      </c>
      <c r="AN9" s="380" t="str">
        <f>Настройки!Y9</f>
        <v>Canal_08</v>
      </c>
      <c r="AO9" s="380" t="str">
        <f>Настройки!Z9</f>
        <v>Canal_08</v>
      </c>
      <c r="AP9" s="380" t="str">
        <f>Настройки!AA9</f>
        <v>Canal_08</v>
      </c>
      <c r="AQ9" s="380" t="str">
        <f>Настройки!AB9</f>
        <v>Canal_08</v>
      </c>
      <c r="AR9" s="380" t="str">
        <f>Настройки!AC9</f>
        <v>IVXX[7]</v>
      </c>
      <c r="AS9" s="380" t="str">
        <f>Настройки!AD9</f>
        <v>IVXX[7]</v>
      </c>
      <c r="AT9" s="207" t="str">
        <f>Настройки!AB9</f>
        <v>Canal_08</v>
      </c>
      <c r="AU9" s="207" t="str">
        <f>Настройки!AC9</f>
        <v>IVXX[7]</v>
      </c>
      <c r="AV9" s="207" t="str">
        <f>Настройки!AD9</f>
        <v>IVXX[7]</v>
      </c>
      <c r="AW9" s="207" t="str">
        <f>Настройки!AE9</f>
        <v>IANS_4_2</v>
      </c>
      <c r="AX9" s="207" t="str">
        <f>Настройки!AF9</f>
        <v>IDIG_2_4</v>
      </c>
      <c r="AY9" s="207" t="str">
        <f>Настройки!AG9</f>
        <v>Canal_08</v>
      </c>
      <c r="AZ9" s="207" t="str">
        <f>Настройки!AH9</f>
        <v>Canal_08</v>
      </c>
      <c r="BA9" s="207" t="str">
        <f>Настройки!AI9</f>
        <v>Canal_08</v>
      </c>
      <c r="BB9" s="207" t="str">
        <f>Настройки!AJ9</f>
        <v>Canal_08</v>
      </c>
      <c r="BC9" s="207" t="str">
        <f>Настройки!AK9</f>
        <v>Canal_08</v>
      </c>
      <c r="BD9" s="207" t="str">
        <f>Настройки!AL9</f>
        <v>Canal_08</v>
      </c>
      <c r="BE9" s="207" t="str">
        <f>Настройки!AM9</f>
        <v>-</v>
      </c>
    </row>
    <row r="10" spans="1:57">
      <c r="A10" s="448" t="str">
        <f>SUBSTITUTE($P$2,"\","|")&amp;"|"&amp;"D"&amp; RIGHT($T$1,3)&amp;":="&amp;P4&amp;"NOT_LINK_BR"</f>
        <v>MK1|DOFX:=NOT_LINK_BR</v>
      </c>
      <c r="B10" s="448"/>
      <c r="C10" s="455"/>
      <c r="D10" s="446"/>
      <c r="E10" s="446" t="str">
        <f>IFERROR(LEFT($T$3,FIND("+",$T$3,1)-1),"УДАЛИТЬ")</f>
        <v>7</v>
      </c>
      <c r="F10" s="446" t="s">
        <v>845</v>
      </c>
      <c r="G10" s="447"/>
      <c r="H10" s="447"/>
      <c r="I10" s="1"/>
      <c r="M10" s="424" t="str">
        <f>'Конфигурация TREI'!A11</f>
        <v>BR9</v>
      </c>
      <c r="N10" s="424" t="str">
        <f>'Конфигурация TREI'!B11</f>
        <v>M558D</v>
      </c>
      <c r="AE10" s="431">
        <f>Настройки!P10</f>
        <v>9</v>
      </c>
      <c r="AF10" s="380">
        <f>Настройки!Q10</f>
        <v>0</v>
      </c>
      <c r="AG10" s="380" t="str">
        <f>Настройки!R10</f>
        <v>IDIG_5_1</v>
      </c>
      <c r="AH10" s="380" t="str">
        <f>Настройки!S10</f>
        <v>IANS_5_3</v>
      </c>
      <c r="AI10" s="380" t="str">
        <f>Настройки!T10</f>
        <v>out8</v>
      </c>
      <c r="AJ10" s="380" t="str">
        <f>Настройки!U10</f>
        <v>out8</v>
      </c>
      <c r="AK10" s="380" t="str">
        <f>Настройки!V10</f>
        <v>ODIG_9</v>
      </c>
      <c r="AL10" s="380" t="str">
        <f>Настройки!W10</f>
        <v>-</v>
      </c>
      <c r="AM10" s="380" t="str">
        <f>Настройки!X10</f>
        <v>-</v>
      </c>
      <c r="AN10" s="380" t="str">
        <f>Настройки!Y10</f>
        <v>Canal_09</v>
      </c>
      <c r="AO10" s="380" t="str">
        <f>Настройки!Z10</f>
        <v>-</v>
      </c>
      <c r="AP10" s="380" t="str">
        <f>Настройки!AA10</f>
        <v>Canal_09</v>
      </c>
      <c r="AQ10" s="380" t="str">
        <f>Настройки!AB10</f>
        <v>Canal_09</v>
      </c>
      <c r="AR10" s="380" t="str">
        <f>Настройки!AC10</f>
        <v>OCCH[0]</v>
      </c>
      <c r="AS10" s="380" t="str">
        <f>Настройки!AD10</f>
        <v>OCCH[0]</v>
      </c>
      <c r="AT10" s="207" t="str">
        <f>Настройки!AB10</f>
        <v>Canal_09</v>
      </c>
      <c r="AU10" s="207" t="str">
        <f>Настройки!AC10</f>
        <v>OCCH[0]</v>
      </c>
      <c r="AV10" s="207" t="str">
        <f>Настройки!AD10</f>
        <v>OCCH[0]</v>
      </c>
      <c r="AW10" s="207" t="str">
        <f>Настройки!AE10</f>
        <v>IANS_5_1</v>
      </c>
      <c r="AX10" s="207" t="str">
        <f>Настройки!AF10</f>
        <v>IDIG_3_1</v>
      </c>
      <c r="AY10" s="207" t="str">
        <f>Настройки!AG10</f>
        <v>Canal_09</v>
      </c>
      <c r="AZ10" s="207" t="str">
        <f>Настройки!AH10</f>
        <v>Canal_09</v>
      </c>
      <c r="BA10" s="207" t="str">
        <f>Настройки!AI10</f>
        <v>Canal_09</v>
      </c>
      <c r="BB10" s="207" t="str">
        <f>Настройки!AJ10</f>
        <v>Canal_09</v>
      </c>
      <c r="BC10" s="207" t="str">
        <f>Настройки!AK10</f>
        <v>-</v>
      </c>
      <c r="BD10" s="207" t="str">
        <f>Настройки!AL10</f>
        <v>Canal_09</v>
      </c>
      <c r="BE10" s="207" t="str">
        <f>Настройки!AM10</f>
        <v>-</v>
      </c>
    </row>
    <row r="11" spans="1:57">
      <c r="A11" s="448" t="str">
        <f>SUBSTITUTE($P$2,"\","|")&amp;"|"&amp;"D"&amp; RIGHT($W$1,3)&amp;":="&amp;P4&amp;"NOT_LINK_BR"</f>
        <v>MK1|DFXX:=NOT_LINK_BR</v>
      </c>
      <c r="B11" s="448"/>
      <c r="C11" s="455"/>
      <c r="D11" s="446"/>
      <c r="E11" s="446" t="str">
        <f>IFERROR(LEFT($W$3,FIND("+",$W$3,1)-1),"УДАЛИТЬ")</f>
        <v>6</v>
      </c>
      <c r="F11" s="446" t="s">
        <v>845</v>
      </c>
      <c r="G11" s="447"/>
      <c r="H11" s="447"/>
      <c r="I11" s="1"/>
      <c r="M11" s="424" t="str">
        <f>'Конфигурация TREI'!A12</f>
        <v>BR10</v>
      </c>
      <c r="N11" s="424" t="str">
        <f>'Конфигурация TREI'!B12</f>
        <v>M558O</v>
      </c>
      <c r="AE11" s="431">
        <f>Настройки!P11</f>
        <v>10</v>
      </c>
      <c r="AF11" s="380">
        <f>Настройки!Q11</f>
        <v>0</v>
      </c>
      <c r="AG11" s="380" t="str">
        <f>Настройки!R11</f>
        <v>IDIG_5_2</v>
      </c>
      <c r="AH11" s="380" t="str">
        <f>Настройки!S11</f>
        <v>IANS_5_4</v>
      </c>
      <c r="AI11" s="380" t="str">
        <f>Настройки!T11</f>
        <v>out9</v>
      </c>
      <c r="AJ11" s="380" t="str">
        <f>Настройки!U11</f>
        <v>out9</v>
      </c>
      <c r="AK11" s="380" t="str">
        <f>Настройки!V11</f>
        <v>ODIG_10</v>
      </c>
      <c r="AL11" s="380" t="str">
        <f>Настройки!W11</f>
        <v>-</v>
      </c>
      <c r="AM11" s="380" t="str">
        <f>Настройки!X11</f>
        <v>-</v>
      </c>
      <c r="AN11" s="380" t="str">
        <f>Настройки!Y11</f>
        <v>Canal_10</v>
      </c>
      <c r="AO11" s="380" t="str">
        <f>Настройки!Z11</f>
        <v>-</v>
      </c>
      <c r="AP11" s="380" t="str">
        <f>Настройки!AA11</f>
        <v>Canal_10</v>
      </c>
      <c r="AQ11" s="380" t="str">
        <f>Настройки!AB11</f>
        <v>Canal_10</v>
      </c>
      <c r="AR11" s="380" t="str">
        <f>Настройки!AC11</f>
        <v>OCCH[1]</v>
      </c>
      <c r="AS11" s="380" t="str">
        <f>Настройки!AD11</f>
        <v>OCCH[1]</v>
      </c>
      <c r="AT11" s="207" t="str">
        <f>Настройки!AB11</f>
        <v>Canal_10</v>
      </c>
      <c r="AU11" s="207" t="str">
        <f>Настройки!AC11</f>
        <v>OCCH[1]</v>
      </c>
      <c r="AV11" s="207" t="str">
        <f>Настройки!AD11</f>
        <v>OCCH[1]</v>
      </c>
      <c r="AW11" s="207" t="str">
        <f>Настройки!AE11</f>
        <v>IANS_5_2</v>
      </c>
      <c r="AX11" s="207" t="str">
        <f>Настройки!AF11</f>
        <v>IDIG_3_2</v>
      </c>
      <c r="AY11" s="207" t="str">
        <f>Настройки!AG11</f>
        <v>Canal_10</v>
      </c>
      <c r="AZ11" s="207" t="str">
        <f>Настройки!AH11</f>
        <v>Canal_10</v>
      </c>
      <c r="BA11" s="207" t="str">
        <f>Настройки!AI11</f>
        <v>Canal_10</v>
      </c>
      <c r="BB11" s="207" t="str">
        <f>Настройки!AJ11</f>
        <v>Canal_10</v>
      </c>
      <c r="BC11" s="207" t="str">
        <f>Настройки!AK11</f>
        <v>-</v>
      </c>
      <c r="BD11" s="207" t="str">
        <f>Настройки!AL11</f>
        <v>Canal_10</v>
      </c>
      <c r="BE11" s="207" t="str">
        <f>Настройки!AM11</f>
        <v>-</v>
      </c>
    </row>
    <row r="12" spans="1:57">
      <c r="A12" s="82"/>
      <c r="B12" s="82"/>
      <c r="C12" s="11"/>
      <c r="D12" s="81"/>
      <c r="E12" s="81"/>
      <c r="F12" s="81"/>
      <c r="G12" s="445"/>
      <c r="H12" s="445"/>
      <c r="I12" s="1"/>
      <c r="M12" s="424" t="str">
        <f>'Конфигурация TREI'!A13</f>
        <v>BR11</v>
      </c>
      <c r="N12" s="424" t="str">
        <f>'Конфигурация TREI'!B13</f>
        <v>M558D</v>
      </c>
      <c r="AE12" s="431">
        <f>Настройки!P12</f>
        <v>11</v>
      </c>
      <c r="AF12" s="380">
        <f>Настройки!Q12</f>
        <v>0</v>
      </c>
      <c r="AG12" s="380" t="str">
        <f>Настройки!R12</f>
        <v>IDIG_6_1</v>
      </c>
      <c r="AH12" s="380" t="str">
        <f>Настройки!S12</f>
        <v>IANS_6_3</v>
      </c>
      <c r="AI12" s="380" t="str">
        <f>Настройки!T12</f>
        <v>out10</v>
      </c>
      <c r="AJ12" s="380" t="str">
        <f>Настройки!U12</f>
        <v>out10</v>
      </c>
      <c r="AK12" s="380" t="str">
        <f>Настройки!V12</f>
        <v>ODIG_11</v>
      </c>
      <c r="AL12" s="380" t="str">
        <f>Настройки!W12</f>
        <v>-</v>
      </c>
      <c r="AM12" s="380" t="str">
        <f>Настройки!X12</f>
        <v>-</v>
      </c>
      <c r="AN12" s="380" t="str">
        <f>Настройки!Y12</f>
        <v>Canal_11</v>
      </c>
      <c r="AO12" s="380" t="str">
        <f>Настройки!Z12</f>
        <v>-</v>
      </c>
      <c r="AP12" s="380" t="str">
        <f>Настройки!AA12</f>
        <v>Canal_11</v>
      </c>
      <c r="AQ12" s="380" t="str">
        <f>Настройки!AB12</f>
        <v>Canal_11</v>
      </c>
      <c r="AR12" s="380" t="str">
        <f>Настройки!AC12</f>
        <v>OCCH[2]</v>
      </c>
      <c r="AS12" s="380" t="str">
        <f>Настройки!AD12</f>
        <v>OCCH[2]</v>
      </c>
      <c r="AT12" s="207" t="str">
        <f>Настройки!AB12</f>
        <v>Canal_11</v>
      </c>
      <c r="AU12" s="207" t="str">
        <f>Настройки!AC12</f>
        <v>OCCH[2]</v>
      </c>
      <c r="AV12" s="207" t="str">
        <f>Настройки!AD12</f>
        <v>OCCH[2]</v>
      </c>
      <c r="AW12" s="207" t="str">
        <f>Настройки!AE12</f>
        <v>IANS_6_1</v>
      </c>
      <c r="AX12" s="207" t="str">
        <f>Настройки!AF12</f>
        <v>IDIG_3_3</v>
      </c>
      <c r="AY12" s="207" t="str">
        <f>Настройки!AG12</f>
        <v>Canal_11</v>
      </c>
      <c r="AZ12" s="207" t="str">
        <f>Настройки!AH12</f>
        <v>Canal_11</v>
      </c>
      <c r="BA12" s="207" t="str">
        <f>Настройки!AI12</f>
        <v>Canal_11</v>
      </c>
      <c r="BB12" s="207" t="str">
        <f>Настройки!AJ12</f>
        <v>Canal_11</v>
      </c>
      <c r="BC12" s="207" t="str">
        <f>Настройки!AK12</f>
        <v>-</v>
      </c>
      <c r="BD12" s="207" t="str">
        <f>Настройки!AL12</f>
        <v>Canal_11</v>
      </c>
      <c r="BE12" s="207" t="str">
        <f>Настройки!AM12</f>
        <v>-</v>
      </c>
    </row>
    <row r="13" spans="1:57">
      <c r="A13" s="82"/>
      <c r="B13" s="82"/>
      <c r="C13" s="11"/>
      <c r="D13" s="81"/>
      <c r="E13" s="81"/>
      <c r="F13" s="81"/>
      <c r="G13" s="445"/>
      <c r="H13" s="445"/>
      <c r="I13" s="1"/>
      <c r="M13" s="424" t="str">
        <f>'Конфигурация TREI'!A14</f>
        <v>BR12</v>
      </c>
      <c r="N13" s="424" t="str">
        <f>'Конфигурация TREI'!B14</f>
        <v>M558D</v>
      </c>
      <c r="AE13" s="431">
        <f>Настройки!P13</f>
        <v>12</v>
      </c>
      <c r="AF13" s="380">
        <f>Настройки!Q13</f>
        <v>0</v>
      </c>
      <c r="AG13" s="380" t="str">
        <f>Настройки!R13</f>
        <v>IDIG_6_2</v>
      </c>
      <c r="AH13" s="380" t="str">
        <f>Настройки!S13</f>
        <v>IANS_6_4</v>
      </c>
      <c r="AI13" s="380" t="str">
        <f>Настройки!T13</f>
        <v>out11</v>
      </c>
      <c r="AJ13" s="380" t="str">
        <f>Настройки!U13</f>
        <v>out11</v>
      </c>
      <c r="AK13" s="380" t="str">
        <f>Настройки!V13</f>
        <v>ODIG_12</v>
      </c>
      <c r="AL13" s="380" t="str">
        <f>Настройки!W13</f>
        <v>-</v>
      </c>
      <c r="AM13" s="380" t="str">
        <f>Настройки!X13</f>
        <v>-</v>
      </c>
      <c r="AN13" s="380" t="str">
        <f>Настройки!Y13</f>
        <v>Canal_12</v>
      </c>
      <c r="AO13" s="380" t="str">
        <f>Настройки!Z13</f>
        <v>-</v>
      </c>
      <c r="AP13" s="380" t="str">
        <f>Настройки!AA13</f>
        <v>Canal_12</v>
      </c>
      <c r="AQ13" s="380" t="str">
        <f>Настройки!AB13</f>
        <v>Canal_12</v>
      </c>
      <c r="AR13" s="380" t="str">
        <f>Настройки!AC13</f>
        <v>OCCH[3]</v>
      </c>
      <c r="AS13" s="380" t="str">
        <f>Настройки!AD13</f>
        <v>OCCH[3]</v>
      </c>
      <c r="AT13" s="207" t="str">
        <f>Настройки!AB13</f>
        <v>Canal_12</v>
      </c>
      <c r="AU13" s="207" t="str">
        <f>Настройки!AC13</f>
        <v>OCCH[3]</v>
      </c>
      <c r="AV13" s="207" t="str">
        <f>Настройки!AD13</f>
        <v>OCCH[3]</v>
      </c>
      <c r="AW13" s="207" t="str">
        <f>Настройки!AE13</f>
        <v>IANS_6_2</v>
      </c>
      <c r="AX13" s="207" t="str">
        <f>Настройки!AF13</f>
        <v>IDIG_3_4</v>
      </c>
      <c r="AY13" s="207" t="str">
        <f>Настройки!AG13</f>
        <v>Canal_12</v>
      </c>
      <c r="AZ13" s="207" t="str">
        <f>Настройки!AH13</f>
        <v>Canal_12</v>
      </c>
      <c r="BA13" s="207" t="str">
        <f>Настройки!AI13</f>
        <v>Canal_12</v>
      </c>
      <c r="BB13" s="207" t="str">
        <f>Настройки!AJ13</f>
        <v>Canal_12</v>
      </c>
      <c r="BC13" s="207" t="str">
        <f>Настройки!AK13</f>
        <v>-</v>
      </c>
      <c r="BD13" s="207" t="str">
        <f>Настройки!AL13</f>
        <v>Canal_12</v>
      </c>
      <c r="BE13" s="207" t="str">
        <f>Настройки!AM13</f>
        <v>-</v>
      </c>
    </row>
    <row r="14" spans="1:57">
      <c r="A14" s="82"/>
      <c r="B14" s="82"/>
      <c r="C14" s="11"/>
      <c r="D14" s="81"/>
      <c r="E14" s="81"/>
      <c r="F14" s="81"/>
      <c r="G14" s="445"/>
      <c r="H14" s="445"/>
      <c r="I14" s="1"/>
      <c r="M14" s="424" t="str">
        <f>'Конфигурация TREI'!A15</f>
        <v>BR13</v>
      </c>
      <c r="N14" s="424" t="str">
        <f>'Конфигурация TREI'!B15</f>
        <v>M558D</v>
      </c>
      <c r="AE14" s="431">
        <f>Настройки!P14</f>
        <v>13</v>
      </c>
      <c r="AF14" s="380">
        <f>Настройки!Q14</f>
        <v>0</v>
      </c>
      <c r="AG14" s="380" t="str">
        <f>Настройки!R14</f>
        <v>IDIG_7_1</v>
      </c>
      <c r="AH14" s="380" t="str">
        <f>Настройки!S14</f>
        <v>IANS_7_3</v>
      </c>
      <c r="AI14" s="380" t="str">
        <f>Настройки!T14</f>
        <v>out12</v>
      </c>
      <c r="AJ14" s="380" t="str">
        <f>Настройки!U14</f>
        <v>out12</v>
      </c>
      <c r="AK14" s="380" t="str">
        <f>Настройки!V14</f>
        <v>ODIG_13</v>
      </c>
      <c r="AL14" s="380" t="str">
        <f>Настройки!W14</f>
        <v>-</v>
      </c>
      <c r="AM14" s="380" t="str">
        <f>Настройки!X14</f>
        <v>-</v>
      </c>
      <c r="AN14" s="380" t="str">
        <f>Настройки!Y14</f>
        <v>Canal_13</v>
      </c>
      <c r="AO14" s="380" t="str">
        <f>Настройки!Z14</f>
        <v>-</v>
      </c>
      <c r="AP14" s="380" t="str">
        <f>Настройки!AA14</f>
        <v>Canal_13</v>
      </c>
      <c r="AQ14" s="380" t="str">
        <f>Настройки!AB14</f>
        <v>Canal_13</v>
      </c>
      <c r="AR14" s="380" t="str">
        <f>Настройки!AC14</f>
        <v>OCCH[4]</v>
      </c>
      <c r="AS14" s="380" t="str">
        <f>Настройки!AD14</f>
        <v>OCCH[4]</v>
      </c>
      <c r="AT14" s="207" t="str">
        <f>Настройки!AB14</f>
        <v>Canal_13</v>
      </c>
      <c r="AU14" s="207" t="str">
        <f>Настройки!AC14</f>
        <v>OCCH[4]</v>
      </c>
      <c r="AV14" s="207" t="str">
        <f>Настройки!AD14</f>
        <v>OCCH[4]</v>
      </c>
      <c r="AW14" s="207" t="str">
        <f>Настройки!AE14</f>
        <v>IANS_7_1</v>
      </c>
      <c r="AX14" s="207" t="str">
        <f>Настройки!AF14</f>
        <v>IDIG_4_1</v>
      </c>
      <c r="AY14" s="207" t="str">
        <f>Настройки!AG14</f>
        <v>Canal_13</v>
      </c>
      <c r="AZ14" s="207" t="str">
        <f>Настройки!AH14</f>
        <v>Canal_13</v>
      </c>
      <c r="BA14" s="207" t="str">
        <f>Настройки!AI14</f>
        <v>Canal_13</v>
      </c>
      <c r="BB14" s="207" t="str">
        <f>Настройки!AJ14</f>
        <v>Canal_13</v>
      </c>
      <c r="BC14" s="207" t="str">
        <f>Настройки!AK14</f>
        <v>-</v>
      </c>
      <c r="BD14" s="207" t="str">
        <f>Настройки!AL14</f>
        <v>Canal_13</v>
      </c>
      <c r="BE14" s="207" t="str">
        <f>Настройки!AM14</f>
        <v>-</v>
      </c>
    </row>
    <row r="15" spans="1:57">
      <c r="A15" s="82"/>
      <c r="B15" s="82"/>
      <c r="C15" s="11"/>
      <c r="D15" s="81"/>
      <c r="E15" s="81"/>
      <c r="F15" s="81"/>
      <c r="G15" s="445"/>
      <c r="H15" s="445"/>
      <c r="I15" s="1"/>
      <c r="M15" s="424" t="str">
        <f>'Конфигурация TREI'!A16</f>
        <v>BR14</v>
      </c>
      <c r="N15" s="424" t="str">
        <f>'Конфигурация TREI'!B16</f>
        <v>M558D</v>
      </c>
      <c r="AE15" s="431">
        <f>Настройки!P15</f>
        <v>14</v>
      </c>
      <c r="AF15" s="380">
        <f>Настройки!Q15</f>
        <v>0</v>
      </c>
      <c r="AG15" s="380" t="str">
        <f>Настройки!R15</f>
        <v>IDIG_7_2</v>
      </c>
      <c r="AH15" s="380" t="str">
        <f>Настройки!S15</f>
        <v>IANS_7_4</v>
      </c>
      <c r="AI15" s="380" t="str">
        <f>Настройки!T15</f>
        <v>out13</v>
      </c>
      <c r="AJ15" s="380" t="str">
        <f>Настройки!U15</f>
        <v>out13</v>
      </c>
      <c r="AK15" s="380" t="str">
        <f>Настройки!V15</f>
        <v>ODIG_14</v>
      </c>
      <c r="AL15" s="380" t="str">
        <f>Настройки!W15</f>
        <v>-</v>
      </c>
      <c r="AM15" s="380" t="str">
        <f>Настройки!X15</f>
        <v>-</v>
      </c>
      <c r="AN15" s="380" t="str">
        <f>Настройки!Y15</f>
        <v>Canal_14</v>
      </c>
      <c r="AO15" s="380" t="str">
        <f>Настройки!Z15</f>
        <v>-</v>
      </c>
      <c r="AP15" s="380" t="str">
        <f>Настройки!AA15</f>
        <v>Canal_14</v>
      </c>
      <c r="AQ15" s="380" t="str">
        <f>Настройки!AB15</f>
        <v>Canal_14</v>
      </c>
      <c r="AR15" s="380" t="str">
        <f>Настройки!AC15</f>
        <v>OCCH[5]</v>
      </c>
      <c r="AS15" s="380" t="str">
        <f>Настройки!AD15</f>
        <v>OCCH[5]</v>
      </c>
      <c r="AT15" s="207" t="str">
        <f>Настройки!AB15</f>
        <v>Canal_14</v>
      </c>
      <c r="AU15" s="207" t="str">
        <f>Настройки!AC15</f>
        <v>OCCH[5]</v>
      </c>
      <c r="AV15" s="207" t="str">
        <f>Настройки!AD15</f>
        <v>OCCH[5]</v>
      </c>
      <c r="AW15" s="207" t="str">
        <f>Настройки!AE15</f>
        <v>IANS_7_2</v>
      </c>
      <c r="AX15" s="207" t="str">
        <f>Настройки!AF15</f>
        <v>IDIG_4_2</v>
      </c>
      <c r="AY15" s="207" t="str">
        <f>Настройки!AG15</f>
        <v>Canal_14</v>
      </c>
      <c r="AZ15" s="207" t="str">
        <f>Настройки!AH15</f>
        <v>Canal_14</v>
      </c>
      <c r="BA15" s="207" t="str">
        <f>Настройки!AI15</f>
        <v>Canal_14</v>
      </c>
      <c r="BB15" s="207" t="str">
        <f>Настройки!AJ15</f>
        <v>Canal_14</v>
      </c>
      <c r="BC15" s="207" t="str">
        <f>Настройки!AK15</f>
        <v>-</v>
      </c>
      <c r="BD15" s="207" t="str">
        <f>Настройки!AL15</f>
        <v>Canal_14</v>
      </c>
      <c r="BE15" s="207" t="str">
        <f>Настройки!AM15</f>
        <v>-</v>
      </c>
    </row>
    <row r="16" spans="1:57">
      <c r="A16" s="82"/>
      <c r="B16" s="82"/>
      <c r="C16" s="11"/>
      <c r="D16" s="81"/>
      <c r="E16" s="81"/>
      <c r="F16" s="81"/>
      <c r="G16" s="445"/>
      <c r="H16" s="445"/>
      <c r="I16" s="1"/>
      <c r="M16" s="424" t="str">
        <f>'Конфигурация TREI'!A17</f>
        <v>BR15</v>
      </c>
      <c r="N16" s="424" t="str">
        <f>'Конфигурация TREI'!B17</f>
        <v>M558O</v>
      </c>
      <c r="AE16" s="431">
        <f>Настройки!P16</f>
        <v>15</v>
      </c>
      <c r="AF16" s="380">
        <f>Настройки!Q16</f>
        <v>0</v>
      </c>
      <c r="AG16" s="380" t="str">
        <f>Настройки!R16</f>
        <v>IDIG_8_1</v>
      </c>
      <c r="AH16" s="380" t="str">
        <f>Настройки!S16</f>
        <v>IANS_8_3</v>
      </c>
      <c r="AI16" s="380" t="str">
        <f>Настройки!T16</f>
        <v>out14</v>
      </c>
      <c r="AJ16" s="380" t="str">
        <f>Настройки!U16</f>
        <v>out14</v>
      </c>
      <c r="AK16" s="380" t="str">
        <f>Настройки!V16</f>
        <v>ODIG_15</v>
      </c>
      <c r="AL16" s="380" t="str">
        <f>Настройки!W16</f>
        <v>-</v>
      </c>
      <c r="AM16" s="380" t="str">
        <f>Настройки!X16</f>
        <v>-</v>
      </c>
      <c r="AN16" s="380" t="str">
        <f>Настройки!Y16</f>
        <v>Canal_15</v>
      </c>
      <c r="AO16" s="380" t="str">
        <f>Настройки!Z16</f>
        <v>-</v>
      </c>
      <c r="AP16" s="380" t="str">
        <f>Настройки!AA16</f>
        <v>Canal_15</v>
      </c>
      <c r="AQ16" s="380" t="str">
        <f>Настройки!AB16</f>
        <v>Canal_15</v>
      </c>
      <c r="AR16" s="380" t="str">
        <f>Настройки!AC16</f>
        <v>OCCH[6]</v>
      </c>
      <c r="AS16" s="380" t="str">
        <f>Настройки!AD16</f>
        <v>OCCH[6]</v>
      </c>
      <c r="AT16" s="207" t="str">
        <f>Настройки!AB16</f>
        <v>Canal_15</v>
      </c>
      <c r="AU16" s="207" t="str">
        <f>Настройки!AC16</f>
        <v>OCCH[6]</v>
      </c>
      <c r="AV16" s="207" t="str">
        <f>Настройки!AD16</f>
        <v>OCCH[6]</v>
      </c>
      <c r="AW16" s="207" t="str">
        <f>Настройки!AE16</f>
        <v>IANS_8_1</v>
      </c>
      <c r="AX16" s="207" t="str">
        <f>Настройки!AF16</f>
        <v>IDIG_4_3</v>
      </c>
      <c r="AY16" s="207" t="str">
        <f>Настройки!AG16</f>
        <v>Canal_15</v>
      </c>
      <c r="AZ16" s="207" t="str">
        <f>Настройки!AH16</f>
        <v>Canal_15</v>
      </c>
      <c r="BA16" s="207" t="str">
        <f>Настройки!AI16</f>
        <v>Canal_15</v>
      </c>
      <c r="BB16" s="207" t="str">
        <f>Настройки!AJ16</f>
        <v>Canal_15</v>
      </c>
      <c r="BC16" s="207" t="str">
        <f>Настройки!AK16</f>
        <v>-</v>
      </c>
      <c r="BD16" s="207" t="str">
        <f>Настройки!AL16</f>
        <v>Canal_15</v>
      </c>
      <c r="BE16" s="207" t="str">
        <f>Настройки!AM16</f>
        <v>-</v>
      </c>
    </row>
    <row r="17" spans="1:57">
      <c r="A17" s="82"/>
      <c r="B17" s="82"/>
      <c r="C17" s="11"/>
      <c r="D17" s="81"/>
      <c r="E17" s="81"/>
      <c r="F17" s="81"/>
      <c r="G17" s="445"/>
      <c r="H17" s="445"/>
      <c r="I17" s="1"/>
      <c r="M17" s="424" t="str">
        <f>'Конфигурация TREI'!A18</f>
        <v>BR16</v>
      </c>
      <c r="N17" s="424" t="str">
        <f>'Конфигурация TREI'!B18</f>
        <v>M558O</v>
      </c>
      <c r="AE17" s="431">
        <f>Настройки!P17</f>
        <v>16</v>
      </c>
      <c r="AF17" s="380">
        <f>Настройки!Q17</f>
        <v>0</v>
      </c>
      <c r="AG17" s="380" t="str">
        <f>Настройки!R17</f>
        <v>IDIG_8_2</v>
      </c>
      <c r="AH17" s="380" t="str">
        <f>Настройки!S17</f>
        <v>IANS_8_4</v>
      </c>
      <c r="AI17" s="380" t="str">
        <f>Настройки!T17</f>
        <v>out15</v>
      </c>
      <c r="AJ17" s="380" t="str">
        <f>Настройки!U17</f>
        <v>out15</v>
      </c>
      <c r="AK17" s="380" t="str">
        <f>Настройки!V17</f>
        <v>ODIG_16</v>
      </c>
      <c r="AL17" s="380" t="str">
        <f>Настройки!W17</f>
        <v>-</v>
      </c>
      <c r="AM17" s="380" t="str">
        <f>Настройки!X17</f>
        <v>-</v>
      </c>
      <c r="AN17" s="380" t="str">
        <f>Настройки!Y17</f>
        <v>Canal_16</v>
      </c>
      <c r="AO17" s="380" t="str">
        <f>Настройки!Z17</f>
        <v>-</v>
      </c>
      <c r="AP17" s="380" t="str">
        <f>Настройки!AA17</f>
        <v>Canal_16</v>
      </c>
      <c r="AQ17" s="380" t="str">
        <f>Настройки!AB17</f>
        <v>Canal_16</v>
      </c>
      <c r="AR17" s="380" t="str">
        <f>Настройки!AC17</f>
        <v>OCCH[7]</v>
      </c>
      <c r="AS17" s="380" t="str">
        <f>Настройки!AD17</f>
        <v>OCCH[7]</v>
      </c>
      <c r="AT17" s="207" t="str">
        <f>Настройки!AB17</f>
        <v>Canal_16</v>
      </c>
      <c r="AU17" s="207" t="str">
        <f>Настройки!AC17</f>
        <v>OCCH[7]</v>
      </c>
      <c r="AV17" s="207" t="str">
        <f>Настройки!AD17</f>
        <v>OCCH[7]</v>
      </c>
      <c r="AW17" s="207" t="str">
        <f>Настройки!AE17</f>
        <v>IANS_8_2</v>
      </c>
      <c r="AX17" s="207" t="str">
        <f>Настройки!AF17</f>
        <v>IDIG_4_4</v>
      </c>
      <c r="AY17" s="207" t="str">
        <f>Настройки!AG17</f>
        <v>Canal_16</v>
      </c>
      <c r="AZ17" s="207" t="str">
        <f>Настройки!AH17</f>
        <v>Canal_16</v>
      </c>
      <c r="BA17" s="207" t="str">
        <f>Настройки!AI17</f>
        <v>Canal_16</v>
      </c>
      <c r="BB17" s="207" t="str">
        <f>Настройки!AJ17</f>
        <v>Canal_16</v>
      </c>
      <c r="BC17" s="207" t="str">
        <f>Настройки!AK17</f>
        <v>-</v>
      </c>
      <c r="BD17" s="207" t="str">
        <f>Настройки!AL17</f>
        <v>Canal_16</v>
      </c>
      <c r="BE17" s="207" t="str">
        <f>Настройки!AM17</f>
        <v>-</v>
      </c>
    </row>
    <row r="18" spans="1:57">
      <c r="A18" s="82"/>
      <c r="B18" s="82"/>
      <c r="C18" s="11"/>
      <c r="D18" s="81"/>
      <c r="E18" s="81"/>
      <c r="F18" s="81"/>
      <c r="G18" s="445"/>
      <c r="H18" s="445"/>
      <c r="I18" s="1"/>
      <c r="M18" s="424" t="str">
        <f>'Конфигурация TREI'!A19</f>
        <v>BR17</v>
      </c>
      <c r="N18" s="424" t="str">
        <f>'Конфигурация TREI'!B19</f>
        <v>M558O</v>
      </c>
      <c r="AE18" s="428">
        <f>Настройки!P18</f>
        <v>17</v>
      </c>
      <c r="AF18" s="380">
        <f>Настройки!Q18</f>
        <v>0</v>
      </c>
      <c r="AG18" s="380" t="str">
        <f>Настройки!R18</f>
        <v>-</v>
      </c>
      <c r="AH18" s="380" t="str">
        <f>Настройки!S18</f>
        <v>-</v>
      </c>
      <c r="AI18" s="380" t="str">
        <f>Настройки!T18</f>
        <v>out16</v>
      </c>
      <c r="AJ18" s="380" t="str">
        <f>Настройки!U18</f>
        <v>out16</v>
      </c>
      <c r="AK18" s="380" t="str">
        <f>Настройки!V18</f>
        <v>-</v>
      </c>
      <c r="AL18" s="380" t="str">
        <f>Настройки!W18</f>
        <v>-</v>
      </c>
      <c r="AM18" s="380" t="str">
        <f>Настройки!X18</f>
        <v>-</v>
      </c>
      <c r="AN18" s="380" t="str">
        <f>Настройки!Y18</f>
        <v>-</v>
      </c>
      <c r="AO18" s="380" t="str">
        <f>Настройки!Z18</f>
        <v>-</v>
      </c>
      <c r="AP18" s="380" t="str">
        <f>Настройки!AA18</f>
        <v>Canal_17</v>
      </c>
      <c r="AQ18" s="380" t="str">
        <f>Настройки!AB18</f>
        <v>Canal_17</v>
      </c>
      <c r="AR18" s="380" t="str">
        <f>Настройки!AC18</f>
        <v>-</v>
      </c>
      <c r="AS18" s="380" t="str">
        <f>Настройки!AD18</f>
        <v>-</v>
      </c>
      <c r="AT18" s="207" t="str">
        <f>Настройки!AB18</f>
        <v>Canal_17</v>
      </c>
      <c r="AU18" s="207" t="str">
        <f>Настройки!AC18</f>
        <v>-</v>
      </c>
      <c r="AV18" s="207" t="str">
        <f>Настройки!AD18</f>
        <v>-</v>
      </c>
      <c r="AW18" s="207" t="str">
        <f>Настройки!AE18</f>
        <v>-</v>
      </c>
      <c r="AX18" s="207" t="str">
        <f>Настройки!AF18</f>
        <v>IDIG_5_1</v>
      </c>
      <c r="AY18" s="207" t="str">
        <f>Настройки!AG18</f>
        <v>Canal_17</v>
      </c>
      <c r="AZ18" s="207" t="str">
        <f>Настройки!AH18</f>
        <v>Canal_17</v>
      </c>
      <c r="BA18" s="207" t="str">
        <f>Настройки!AI18</f>
        <v>Canal_17</v>
      </c>
      <c r="BB18" s="207" t="str">
        <f>Настройки!AJ18</f>
        <v>-</v>
      </c>
      <c r="BC18" s="207" t="str">
        <f>Настройки!AK18</f>
        <v>-</v>
      </c>
      <c r="BD18" s="207" t="str">
        <f>Настройки!AL18</f>
        <v>Canal_17</v>
      </c>
      <c r="BE18" s="207" t="str">
        <f>Настройки!AM18</f>
        <v>-</v>
      </c>
    </row>
    <row r="19" spans="1:57">
      <c r="A19" s="82"/>
      <c r="B19" s="82"/>
      <c r="C19" s="11"/>
      <c r="D19" s="81"/>
      <c r="E19" s="81"/>
      <c r="F19" s="81"/>
      <c r="G19" s="445"/>
      <c r="H19" s="445"/>
      <c r="I19" s="1"/>
      <c r="M19" s="424" t="str">
        <f>'Конфигурация TREI'!A20</f>
        <v>BR18</v>
      </c>
      <c r="N19" s="424" t="str">
        <f>'Конфигурация TREI'!B20</f>
        <v>M558O</v>
      </c>
      <c r="AE19" s="428">
        <f>Настройки!P19</f>
        <v>18</v>
      </c>
      <c r="AF19" s="380">
        <f>Настройки!Q19</f>
        <v>0</v>
      </c>
      <c r="AG19" s="380" t="str">
        <f>Настройки!R19</f>
        <v>-</v>
      </c>
      <c r="AH19" s="380" t="str">
        <f>Настройки!S19</f>
        <v>-</v>
      </c>
      <c r="AI19" s="380" t="str">
        <f>Настройки!T19</f>
        <v>out17</v>
      </c>
      <c r="AJ19" s="380" t="str">
        <f>Настройки!U19</f>
        <v>out17</v>
      </c>
      <c r="AK19" s="380" t="str">
        <f>Настройки!V19</f>
        <v>-</v>
      </c>
      <c r="AL19" s="380" t="str">
        <f>Настройки!W19</f>
        <v>-</v>
      </c>
      <c r="AM19" s="380" t="str">
        <f>Настройки!X19</f>
        <v>-</v>
      </c>
      <c r="AN19" s="380" t="str">
        <f>Настройки!Y19</f>
        <v>-</v>
      </c>
      <c r="AO19" s="380" t="str">
        <f>Настройки!Z19</f>
        <v>-</v>
      </c>
      <c r="AP19" s="380" t="str">
        <f>Настройки!AA19</f>
        <v>Canal_18</v>
      </c>
      <c r="AQ19" s="380" t="str">
        <f>Настройки!AB19</f>
        <v>Canal_18</v>
      </c>
      <c r="AR19" s="380" t="str">
        <f>Настройки!AC19</f>
        <v>-</v>
      </c>
      <c r="AS19" s="380" t="str">
        <f>Настройки!AD19</f>
        <v>-</v>
      </c>
      <c r="AT19" s="207" t="str">
        <f>Настройки!AB19</f>
        <v>Canal_18</v>
      </c>
      <c r="AU19" s="207" t="str">
        <f>Настройки!AC19</f>
        <v>-</v>
      </c>
      <c r="AV19" s="207" t="str">
        <f>Настройки!AD19</f>
        <v>-</v>
      </c>
      <c r="AW19" s="207" t="str">
        <f>Настройки!AE19</f>
        <v>-</v>
      </c>
      <c r="AX19" s="207" t="str">
        <f>Настройки!AF19</f>
        <v>IDIG_5_2</v>
      </c>
      <c r="AY19" s="207" t="str">
        <f>Настройки!AG19</f>
        <v>Canal_18</v>
      </c>
      <c r="AZ19" s="207" t="str">
        <f>Настройки!AH19</f>
        <v>Canal_18</v>
      </c>
      <c r="BA19" s="207" t="str">
        <f>Настройки!AI19</f>
        <v>Canal_18</v>
      </c>
      <c r="BB19" s="207" t="str">
        <f>Настройки!AJ19</f>
        <v>-</v>
      </c>
      <c r="BC19" s="207" t="str">
        <f>Настройки!AK19</f>
        <v>-</v>
      </c>
      <c r="BD19" s="207" t="str">
        <f>Настройки!AL19</f>
        <v>Canal_18</v>
      </c>
      <c r="BE19" s="207" t="str">
        <f>Настройки!AM19</f>
        <v>-</v>
      </c>
    </row>
    <row r="20" spans="1:57">
      <c r="A20" s="82"/>
      <c r="B20" s="82"/>
      <c r="C20" s="11"/>
      <c r="D20" s="81"/>
      <c r="E20" s="81"/>
      <c r="F20" s="81"/>
      <c r="G20" s="447"/>
      <c r="H20" s="447"/>
      <c r="I20" s="1"/>
      <c r="M20" s="424" t="str">
        <f>'Конфигурация TREI'!A21</f>
        <v>BR19</v>
      </c>
      <c r="N20" s="424" t="str">
        <f>'Конфигурация TREI'!B21</f>
        <v>M558O</v>
      </c>
      <c r="AE20" s="428">
        <f>Настройки!P20</f>
        <v>19</v>
      </c>
      <c r="AF20" s="380">
        <f>Настройки!Q20</f>
        <v>0</v>
      </c>
      <c r="AG20" s="380" t="str">
        <f>Настройки!R20</f>
        <v>-</v>
      </c>
      <c r="AH20" s="380" t="str">
        <f>Настройки!S20</f>
        <v>-</v>
      </c>
      <c r="AI20" s="380" t="str">
        <f>Настройки!T20</f>
        <v>out18</v>
      </c>
      <c r="AJ20" s="380" t="str">
        <f>Настройки!U20</f>
        <v>out18</v>
      </c>
      <c r="AK20" s="380" t="str">
        <f>Настройки!V20</f>
        <v>-</v>
      </c>
      <c r="AL20" s="380" t="str">
        <f>Настройки!W20</f>
        <v>-</v>
      </c>
      <c r="AM20" s="380" t="str">
        <f>Настройки!X20</f>
        <v>-</v>
      </c>
      <c r="AN20" s="380" t="str">
        <f>Настройки!Y20</f>
        <v>-</v>
      </c>
      <c r="AO20" s="380" t="str">
        <f>Настройки!Z20</f>
        <v>-</v>
      </c>
      <c r="AP20" s="380" t="str">
        <f>Настройки!AA20</f>
        <v>Canal_19</v>
      </c>
      <c r="AQ20" s="380" t="str">
        <f>Настройки!AB20</f>
        <v>Canal_19</v>
      </c>
      <c r="AR20" s="380" t="str">
        <f>Настройки!AC20</f>
        <v>-</v>
      </c>
      <c r="AS20" s="380" t="str">
        <f>Настройки!AD20</f>
        <v>-</v>
      </c>
      <c r="AT20" s="207" t="str">
        <f>Настройки!AB20</f>
        <v>Canal_19</v>
      </c>
      <c r="AU20" s="207" t="str">
        <f>Настройки!AC20</f>
        <v>-</v>
      </c>
      <c r="AV20" s="207" t="str">
        <f>Настройки!AD20</f>
        <v>-</v>
      </c>
      <c r="AW20" s="207" t="str">
        <f>Настройки!AE20</f>
        <v>-</v>
      </c>
      <c r="AX20" s="207" t="str">
        <f>Настройки!AF20</f>
        <v>IDIG_5_3</v>
      </c>
      <c r="AY20" s="207" t="str">
        <f>Настройки!AG20</f>
        <v>Canal_19</v>
      </c>
      <c r="AZ20" s="207" t="str">
        <f>Настройки!AH20</f>
        <v>Canal_19</v>
      </c>
      <c r="BA20" s="207" t="str">
        <f>Настройки!AI20</f>
        <v>Canal_19</v>
      </c>
      <c r="BB20" s="207" t="str">
        <f>Настройки!AJ20</f>
        <v>-</v>
      </c>
      <c r="BC20" s="207" t="str">
        <f>Настройки!AK20</f>
        <v>-</v>
      </c>
      <c r="BD20" s="207" t="str">
        <f>Настройки!AL20</f>
        <v>Canal_19</v>
      </c>
      <c r="BE20" s="207" t="str">
        <f>Настройки!AM20</f>
        <v>-</v>
      </c>
    </row>
    <row r="21" spans="1:57">
      <c r="A21" s="82"/>
      <c r="B21" s="82"/>
      <c r="C21" s="11"/>
      <c r="D21" s="81"/>
      <c r="E21" s="81"/>
      <c r="F21" s="81"/>
      <c r="G21" s="447"/>
      <c r="H21" s="447"/>
      <c r="I21" s="1"/>
      <c r="M21" s="424" t="str">
        <f>'Конфигурация TREI'!A22</f>
        <v>BR20</v>
      </c>
      <c r="N21" s="424" t="str">
        <f>'Конфигурация TREI'!B22</f>
        <v>M558D</v>
      </c>
      <c r="AE21" s="428">
        <f>Настройки!P21</f>
        <v>20</v>
      </c>
      <c r="AF21" s="380">
        <f>Настройки!Q21</f>
        <v>0</v>
      </c>
      <c r="AG21" s="380" t="str">
        <f>Настройки!R21</f>
        <v>-</v>
      </c>
      <c r="AH21" s="380" t="str">
        <f>Настройки!S21</f>
        <v>-</v>
      </c>
      <c r="AI21" s="380" t="str">
        <f>Настройки!T21</f>
        <v>out19</v>
      </c>
      <c r="AJ21" s="380" t="str">
        <f>Настройки!U21</f>
        <v>out19</v>
      </c>
      <c r="AK21" s="380" t="str">
        <f>Настройки!V21</f>
        <v>-</v>
      </c>
      <c r="AL21" s="380" t="str">
        <f>Настройки!W21</f>
        <v>-</v>
      </c>
      <c r="AM21" s="380" t="str">
        <f>Настройки!X21</f>
        <v>-</v>
      </c>
      <c r="AN21" s="380" t="str">
        <f>Настройки!Y21</f>
        <v>-</v>
      </c>
      <c r="AO21" s="380" t="str">
        <f>Настройки!Z21</f>
        <v>-</v>
      </c>
      <c r="AP21" s="380" t="str">
        <f>Настройки!AA21</f>
        <v>Canal_20</v>
      </c>
      <c r="AQ21" s="380" t="str">
        <f>Настройки!AB21</f>
        <v>Canal_20</v>
      </c>
      <c r="AR21" s="380" t="str">
        <f>Настройки!AC21</f>
        <v>-</v>
      </c>
      <c r="AS21" s="380" t="str">
        <f>Настройки!AD21</f>
        <v>-</v>
      </c>
      <c r="AT21" s="207" t="str">
        <f>Настройки!AB21</f>
        <v>Canal_20</v>
      </c>
      <c r="AU21" s="207" t="str">
        <f>Настройки!AC21</f>
        <v>-</v>
      </c>
      <c r="AV21" s="207" t="str">
        <f>Настройки!AD21</f>
        <v>-</v>
      </c>
      <c r="AW21" s="207" t="str">
        <f>Настройки!AE21</f>
        <v>-</v>
      </c>
      <c r="AX21" s="207" t="str">
        <f>Настройки!AF21</f>
        <v>IDIG_5_4</v>
      </c>
      <c r="AY21" s="207" t="str">
        <f>Настройки!AG21</f>
        <v>Canal_20</v>
      </c>
      <c r="AZ21" s="207" t="str">
        <f>Настройки!AH21</f>
        <v>Canal_20</v>
      </c>
      <c r="BA21" s="207" t="str">
        <f>Настройки!AI21</f>
        <v>Canal_20</v>
      </c>
      <c r="BB21" s="207" t="str">
        <f>Настройки!AJ21</f>
        <v>-</v>
      </c>
      <c r="BC21" s="207" t="str">
        <f>Настройки!AK21</f>
        <v>-</v>
      </c>
      <c r="BD21" s="207" t="str">
        <f>Настройки!AL21</f>
        <v>Canal_20</v>
      </c>
      <c r="BE21" s="207" t="str">
        <f>Настройки!AM21</f>
        <v>-</v>
      </c>
    </row>
    <row r="22" spans="1:57">
      <c r="A22" s="82"/>
      <c r="B22" s="82"/>
      <c r="C22" s="11"/>
      <c r="D22" s="81"/>
      <c r="E22" s="81"/>
      <c r="F22" s="81"/>
      <c r="G22" s="447"/>
      <c r="H22" s="447"/>
      <c r="I22" s="1"/>
      <c r="M22" s="424" t="str">
        <f>'Конфигурация TREI'!A23</f>
        <v>BR21</v>
      </c>
      <c r="N22" s="424" t="str">
        <f>'Конфигурация TREI'!B23</f>
        <v>M558O</v>
      </c>
      <c r="AE22" s="428">
        <f>Настройки!P22</f>
        <v>21</v>
      </c>
      <c r="AF22" s="380">
        <f>Настройки!Q22</f>
        <v>0</v>
      </c>
      <c r="AG22" s="380" t="str">
        <f>Настройки!R22</f>
        <v>-</v>
      </c>
      <c r="AH22" s="380" t="str">
        <f>Настройки!S22</f>
        <v>-</v>
      </c>
      <c r="AI22" s="380" t="str">
        <f>Настройки!T22</f>
        <v>out20</v>
      </c>
      <c r="AJ22" s="380" t="str">
        <f>Настройки!U22</f>
        <v>out20</v>
      </c>
      <c r="AK22" s="380" t="str">
        <f>Настройки!V22</f>
        <v>-</v>
      </c>
      <c r="AL22" s="380" t="str">
        <f>Настройки!W22</f>
        <v>-</v>
      </c>
      <c r="AM22" s="380" t="str">
        <f>Настройки!X22</f>
        <v>-</v>
      </c>
      <c r="AN22" s="380" t="str">
        <f>Настройки!Y22</f>
        <v>-</v>
      </c>
      <c r="AO22" s="380" t="str">
        <f>Настройки!Z22</f>
        <v>-</v>
      </c>
      <c r="AP22" s="380" t="str">
        <f>Настройки!AA22</f>
        <v>Canal_21</v>
      </c>
      <c r="AQ22" s="380" t="str">
        <f>Настройки!AB22</f>
        <v>Canal_21</v>
      </c>
      <c r="AR22" s="380" t="str">
        <f>Настройки!AC22</f>
        <v>-</v>
      </c>
      <c r="AS22" s="380" t="str">
        <f>Настройки!AD22</f>
        <v>-</v>
      </c>
      <c r="AT22" s="207" t="str">
        <f>Настройки!AB22</f>
        <v>Canal_21</v>
      </c>
      <c r="AU22" s="207" t="str">
        <f>Настройки!AC22</f>
        <v>-</v>
      </c>
      <c r="AV22" s="207" t="str">
        <f>Настройки!AD22</f>
        <v>-</v>
      </c>
      <c r="AW22" s="207" t="str">
        <f>Настройки!AE22</f>
        <v>-</v>
      </c>
      <c r="AX22" s="207" t="str">
        <f>Настройки!AF22</f>
        <v>IDIG_6_1</v>
      </c>
      <c r="AY22" s="207" t="str">
        <f>Настройки!AG22</f>
        <v>Canal_21</v>
      </c>
      <c r="AZ22" s="207" t="str">
        <f>Настройки!AH22</f>
        <v>Canal_21</v>
      </c>
      <c r="BA22" s="207" t="str">
        <f>Настройки!AI22</f>
        <v>Canal_21</v>
      </c>
      <c r="BB22" s="207" t="str">
        <f>Настройки!AJ22</f>
        <v>-</v>
      </c>
      <c r="BC22" s="207" t="str">
        <f>Настройки!AK22</f>
        <v>-</v>
      </c>
      <c r="BD22" s="207" t="str">
        <f>Настройки!AL22</f>
        <v>Canal_21</v>
      </c>
      <c r="BE22" s="207" t="str">
        <f>Настройки!AM22</f>
        <v>-</v>
      </c>
    </row>
    <row r="23" spans="1:57">
      <c r="A23" s="82"/>
      <c r="B23" s="82"/>
      <c r="C23" s="11"/>
      <c r="D23" s="81"/>
      <c r="E23" s="81"/>
      <c r="F23" s="81"/>
      <c r="G23" s="447"/>
      <c r="H23" s="447"/>
      <c r="I23" s="1"/>
      <c r="M23" s="424" t="str">
        <f>'Конфигурация TREI'!A24</f>
        <v>BR22</v>
      </c>
      <c r="N23" s="424" t="str">
        <f>'Конфигурация TREI'!B24</f>
        <v>M558D</v>
      </c>
      <c r="AE23" s="428">
        <f>Настройки!P23</f>
        <v>22</v>
      </c>
      <c r="AF23" s="380">
        <f>Настройки!Q23</f>
        <v>0</v>
      </c>
      <c r="AG23" s="380" t="str">
        <f>Настройки!R23</f>
        <v>-</v>
      </c>
      <c r="AH23" s="380" t="str">
        <f>Настройки!S23</f>
        <v>-</v>
      </c>
      <c r="AI23" s="380" t="str">
        <f>Настройки!T23</f>
        <v>out21</v>
      </c>
      <c r="AJ23" s="380" t="str">
        <f>Настройки!U23</f>
        <v>out21</v>
      </c>
      <c r="AK23" s="380" t="str">
        <f>Настройки!V23</f>
        <v>-</v>
      </c>
      <c r="AL23" s="380" t="str">
        <f>Настройки!W23</f>
        <v>-</v>
      </c>
      <c r="AM23" s="380" t="str">
        <f>Настройки!X23</f>
        <v>-</v>
      </c>
      <c r="AN23" s="380" t="str">
        <f>Настройки!Y23</f>
        <v>-</v>
      </c>
      <c r="AO23" s="380" t="str">
        <f>Настройки!Z23</f>
        <v>-</v>
      </c>
      <c r="AP23" s="380" t="str">
        <f>Настройки!AA23</f>
        <v>Canal_22</v>
      </c>
      <c r="AQ23" s="380" t="str">
        <f>Настройки!AB23</f>
        <v>Canal_22</v>
      </c>
      <c r="AR23" s="380" t="str">
        <f>Настройки!AC23</f>
        <v>-</v>
      </c>
      <c r="AS23" s="380" t="str">
        <f>Настройки!AD23</f>
        <v>-</v>
      </c>
      <c r="AT23" s="207" t="str">
        <f>Настройки!AB23</f>
        <v>Canal_22</v>
      </c>
      <c r="AU23" s="207" t="str">
        <f>Настройки!AC23</f>
        <v>-</v>
      </c>
      <c r="AV23" s="207" t="str">
        <f>Настройки!AD23</f>
        <v>-</v>
      </c>
      <c r="AW23" s="207" t="str">
        <f>Настройки!AE23</f>
        <v>-</v>
      </c>
      <c r="AX23" s="207" t="str">
        <f>Настройки!AF23</f>
        <v>IDIG_6_2</v>
      </c>
      <c r="AY23" s="207" t="str">
        <f>Настройки!AG23</f>
        <v>Canal_22</v>
      </c>
      <c r="AZ23" s="207" t="str">
        <f>Настройки!AH23</f>
        <v>Canal_22</v>
      </c>
      <c r="BA23" s="207" t="str">
        <f>Настройки!AI23</f>
        <v>Canal_22</v>
      </c>
      <c r="BB23" s="207" t="str">
        <f>Настройки!AJ23</f>
        <v>-</v>
      </c>
      <c r="BC23" s="207" t="str">
        <f>Настройки!AK23</f>
        <v>-</v>
      </c>
      <c r="BD23" s="207" t="str">
        <f>Настройки!AL23</f>
        <v>Canal_22</v>
      </c>
      <c r="BE23" s="207" t="str">
        <f>Настройки!AM23</f>
        <v>-</v>
      </c>
    </row>
    <row r="24" spans="1:57">
      <c r="A24" s="82"/>
      <c r="B24" s="82"/>
      <c r="C24" s="11"/>
      <c r="D24" s="81"/>
      <c r="E24" s="81"/>
      <c r="F24" s="81"/>
      <c r="G24" s="447"/>
      <c r="H24" s="447"/>
      <c r="I24" s="1"/>
      <c r="M24" s="424" t="str">
        <f>'Конфигурация TREI'!A25</f>
        <v>BR23</v>
      </c>
      <c r="N24" s="424" t="str">
        <f>'Конфигурация TREI'!B25</f>
        <v>M558O</v>
      </c>
      <c r="AE24" s="428">
        <f>Настройки!P24</f>
        <v>23</v>
      </c>
      <c r="AF24" s="380">
        <f>Настройки!Q24</f>
        <v>0</v>
      </c>
      <c r="AG24" s="380" t="str">
        <f>Настройки!R24</f>
        <v>-</v>
      </c>
      <c r="AH24" s="380" t="str">
        <f>Настройки!S24</f>
        <v>-</v>
      </c>
      <c r="AI24" s="380" t="str">
        <f>Настройки!T24</f>
        <v>out22</v>
      </c>
      <c r="AJ24" s="380" t="str">
        <f>Настройки!U24</f>
        <v>out22</v>
      </c>
      <c r="AK24" s="380" t="str">
        <f>Настройки!V24</f>
        <v>-</v>
      </c>
      <c r="AL24" s="380" t="str">
        <f>Настройки!W24</f>
        <v>-</v>
      </c>
      <c r="AM24" s="380" t="str">
        <f>Настройки!X24</f>
        <v>-</v>
      </c>
      <c r="AN24" s="380" t="str">
        <f>Настройки!Y24</f>
        <v>-</v>
      </c>
      <c r="AO24" s="380" t="str">
        <f>Настройки!Z24</f>
        <v>-</v>
      </c>
      <c r="AP24" s="380" t="str">
        <f>Настройки!AA24</f>
        <v>Canal_23</v>
      </c>
      <c r="AQ24" s="380" t="str">
        <f>Настройки!AB24</f>
        <v>Canal_23</v>
      </c>
      <c r="AR24" s="380" t="str">
        <f>Настройки!AC24</f>
        <v>-</v>
      </c>
      <c r="AS24" s="380" t="str">
        <f>Настройки!AD24</f>
        <v>-</v>
      </c>
      <c r="AT24" s="207" t="str">
        <f>Настройки!AB24</f>
        <v>Canal_23</v>
      </c>
      <c r="AU24" s="207" t="str">
        <f>Настройки!AC24</f>
        <v>-</v>
      </c>
      <c r="AV24" s="207" t="str">
        <f>Настройки!AD24</f>
        <v>-</v>
      </c>
      <c r="AW24" s="207" t="str">
        <f>Настройки!AE24</f>
        <v>-</v>
      </c>
      <c r="AX24" s="207" t="str">
        <f>Настройки!AF24</f>
        <v>IDIG_6_3</v>
      </c>
      <c r="AY24" s="207" t="str">
        <f>Настройки!AG24</f>
        <v>Canal_23</v>
      </c>
      <c r="AZ24" s="207" t="str">
        <f>Настройки!AH24</f>
        <v>Canal_23</v>
      </c>
      <c r="BA24" s="207" t="str">
        <f>Настройки!AI24</f>
        <v>Canal_23</v>
      </c>
      <c r="BB24" s="207" t="str">
        <f>Настройки!AJ24</f>
        <v>-</v>
      </c>
      <c r="BC24" s="207" t="str">
        <f>Настройки!AK24</f>
        <v>-</v>
      </c>
      <c r="BD24" s="207" t="str">
        <f>Настройки!AL24</f>
        <v>Canal_23</v>
      </c>
      <c r="BE24" s="207" t="str">
        <f>Настройки!AM24</f>
        <v>-</v>
      </c>
    </row>
    <row r="25" spans="1:57">
      <c r="A25" s="82"/>
      <c r="B25" s="82"/>
      <c r="C25" s="11"/>
      <c r="D25" s="81"/>
      <c r="E25" s="81"/>
      <c r="F25" s="81"/>
      <c r="G25" s="447"/>
      <c r="H25" s="447"/>
      <c r="I25" s="1"/>
      <c r="M25" s="424" t="str">
        <f>'Конфигурация TREI'!A26</f>
        <v>BR24</v>
      </c>
      <c r="N25" s="424" t="str">
        <f>'Конфигурация TREI'!B26</f>
        <v>M558D</v>
      </c>
      <c r="AE25" s="428">
        <f>Настройки!P25</f>
        <v>24</v>
      </c>
      <c r="AF25" s="380">
        <f>Настройки!Q25</f>
        <v>0</v>
      </c>
      <c r="AG25" s="380" t="str">
        <f>Настройки!R25</f>
        <v>-</v>
      </c>
      <c r="AH25" s="380" t="str">
        <f>Настройки!S25</f>
        <v>-</v>
      </c>
      <c r="AI25" s="380" t="str">
        <f>Настройки!T25</f>
        <v>out23</v>
      </c>
      <c r="AJ25" s="380" t="str">
        <f>Настройки!U25</f>
        <v>out23</v>
      </c>
      <c r="AK25" s="380" t="str">
        <f>Настройки!V25</f>
        <v>-</v>
      </c>
      <c r="AL25" s="380" t="str">
        <f>Настройки!W25</f>
        <v>-</v>
      </c>
      <c r="AM25" s="380" t="str">
        <f>Настройки!X25</f>
        <v>-</v>
      </c>
      <c r="AN25" s="380" t="str">
        <f>Настройки!Y25</f>
        <v>-</v>
      </c>
      <c r="AO25" s="380" t="str">
        <f>Настройки!Z25</f>
        <v>-</v>
      </c>
      <c r="AP25" s="380" t="str">
        <f>Настройки!AA25</f>
        <v>Canal_24</v>
      </c>
      <c r="AQ25" s="380" t="str">
        <f>Настройки!AB25</f>
        <v>Canal_24</v>
      </c>
      <c r="AR25" s="380" t="str">
        <f>Настройки!AC25</f>
        <v>-</v>
      </c>
      <c r="AS25" s="380" t="str">
        <f>Настройки!AD25</f>
        <v>-</v>
      </c>
      <c r="AT25" s="207" t="str">
        <f>Настройки!AB25</f>
        <v>Canal_24</v>
      </c>
      <c r="AU25" s="207" t="str">
        <f>Настройки!AC25</f>
        <v>-</v>
      </c>
      <c r="AV25" s="207" t="str">
        <f>Настройки!AD25</f>
        <v>-</v>
      </c>
      <c r="AW25" s="207" t="str">
        <f>Настройки!AE25</f>
        <v>-</v>
      </c>
      <c r="AX25" s="207" t="str">
        <f>Настройки!AF25</f>
        <v>IDIG_6_4</v>
      </c>
      <c r="AY25" s="207" t="str">
        <f>Настройки!AG25</f>
        <v>Canal_24</v>
      </c>
      <c r="AZ25" s="207" t="str">
        <f>Настройки!AH25</f>
        <v>Canal_24</v>
      </c>
      <c r="BA25" s="207" t="str">
        <f>Настройки!AI25</f>
        <v>Canal_24</v>
      </c>
      <c r="BB25" s="207" t="str">
        <f>Настройки!AJ25</f>
        <v>-</v>
      </c>
      <c r="BC25" s="207" t="str">
        <f>Настройки!AK25</f>
        <v>-</v>
      </c>
      <c r="BD25" s="207" t="str">
        <f>Настройки!AL25</f>
        <v>Canal_24</v>
      </c>
      <c r="BE25" s="207" t="str">
        <f>Настройки!AM25</f>
        <v>-</v>
      </c>
    </row>
    <row r="26" spans="1:57">
      <c r="A26" s="82"/>
      <c r="B26" s="82"/>
      <c r="C26" s="11"/>
      <c r="D26" s="81"/>
      <c r="E26" s="81"/>
      <c r="F26" s="81"/>
      <c r="G26" s="447"/>
      <c r="H26" s="447"/>
      <c r="I26" s="1"/>
      <c r="M26" s="424" t="str">
        <f>'Конфигурация TREI'!A27</f>
        <v>BR25</v>
      </c>
      <c r="N26" s="424" t="str">
        <f>'Конфигурация TREI'!B27</f>
        <v>M558D</v>
      </c>
      <c r="AE26" s="428">
        <f>Настройки!P26</f>
        <v>25</v>
      </c>
      <c r="AF26" s="380">
        <f>Настройки!Q26</f>
        <v>0</v>
      </c>
      <c r="AG26" s="380" t="str">
        <f>Настройки!R26</f>
        <v>-</v>
      </c>
      <c r="AH26" s="380" t="str">
        <f>Настройки!S26</f>
        <v>-</v>
      </c>
      <c r="AI26" s="380" t="str">
        <f>Настройки!T26</f>
        <v>out24</v>
      </c>
      <c r="AJ26" s="380" t="str">
        <f>Настройки!U26</f>
        <v>out24</v>
      </c>
      <c r="AK26" s="380" t="str">
        <f>Настройки!V26</f>
        <v>-</v>
      </c>
      <c r="AL26" s="380" t="str">
        <f>Настройки!W26</f>
        <v>-</v>
      </c>
      <c r="AM26" s="380" t="str">
        <f>Настройки!X26</f>
        <v>-</v>
      </c>
      <c r="AN26" s="380" t="str">
        <f>Настройки!Y26</f>
        <v>-</v>
      </c>
      <c r="AO26" s="380" t="str">
        <f>Настройки!Z26</f>
        <v>-</v>
      </c>
      <c r="AP26" s="380" t="str">
        <f>Настройки!AA26</f>
        <v>Canal_25</v>
      </c>
      <c r="AQ26" s="380" t="str">
        <f>Настройки!AB26</f>
        <v>Canal_25</v>
      </c>
      <c r="AR26" s="380" t="str">
        <f>Настройки!AC26</f>
        <v>-</v>
      </c>
      <c r="AS26" s="380" t="str">
        <f>Настройки!AD26</f>
        <v>-</v>
      </c>
      <c r="AT26" s="207" t="str">
        <f>Настройки!AB26</f>
        <v>Canal_25</v>
      </c>
      <c r="AU26" s="207" t="str">
        <f>Настройки!AC26</f>
        <v>-</v>
      </c>
      <c r="AV26" s="207" t="str">
        <f>Настройки!AD26</f>
        <v>-</v>
      </c>
      <c r="AW26" s="207" t="str">
        <f>Настройки!AE26</f>
        <v>-</v>
      </c>
      <c r="AX26" s="207" t="str">
        <f>Настройки!AF26</f>
        <v>IDIG_7_1</v>
      </c>
      <c r="AY26" s="207" t="str">
        <f>Настройки!AG26</f>
        <v>Canal_25</v>
      </c>
      <c r="AZ26" s="207" t="str">
        <f>Настройки!AH26</f>
        <v>Canal_25</v>
      </c>
      <c r="BA26" s="207" t="str">
        <f>Настройки!AI26</f>
        <v>Canal_25</v>
      </c>
      <c r="BB26" s="207" t="str">
        <f>Настройки!AJ26</f>
        <v>-</v>
      </c>
      <c r="BC26" s="207" t="str">
        <f>Настройки!AK26</f>
        <v>-</v>
      </c>
      <c r="BD26" s="207" t="str">
        <f>Настройки!AL26</f>
        <v>Canal_25</v>
      </c>
      <c r="BE26" s="207" t="str">
        <f>Настройки!AM26</f>
        <v>-</v>
      </c>
    </row>
    <row r="27" spans="1:57">
      <c r="A27" s="82"/>
      <c r="B27" s="82"/>
      <c r="C27" s="11"/>
      <c r="D27" s="81"/>
      <c r="E27" s="81"/>
      <c r="F27" s="81"/>
      <c r="G27" s="447"/>
      <c r="H27" s="447"/>
      <c r="I27" s="1"/>
      <c r="M27" s="424" t="str">
        <f>'Конфигурация TREI'!A28</f>
        <v>BR26</v>
      </c>
      <c r="N27" s="424" t="str">
        <f>'Конфигурация TREI'!B28</f>
        <v>M558D</v>
      </c>
      <c r="AE27" s="428">
        <f>Настройки!P27</f>
        <v>26</v>
      </c>
      <c r="AF27" s="380">
        <f>Настройки!Q27</f>
        <v>0</v>
      </c>
      <c r="AG27" s="380" t="str">
        <f>Настройки!R27</f>
        <v>-</v>
      </c>
      <c r="AH27" s="380" t="str">
        <f>Настройки!S27</f>
        <v>-</v>
      </c>
      <c r="AI27" s="380" t="str">
        <f>Настройки!T27</f>
        <v>out25</v>
      </c>
      <c r="AJ27" s="380" t="str">
        <f>Настройки!U27</f>
        <v>out25</v>
      </c>
      <c r="AK27" s="380" t="str">
        <f>Настройки!V27</f>
        <v>-</v>
      </c>
      <c r="AL27" s="380" t="str">
        <f>Настройки!W27</f>
        <v>-</v>
      </c>
      <c r="AM27" s="380" t="str">
        <f>Настройки!X27</f>
        <v>-</v>
      </c>
      <c r="AN27" s="380" t="str">
        <f>Настройки!Y27</f>
        <v>-</v>
      </c>
      <c r="AO27" s="380" t="str">
        <f>Настройки!Z27</f>
        <v>-</v>
      </c>
      <c r="AP27" s="380" t="str">
        <f>Настройки!AA27</f>
        <v>Canal_26</v>
      </c>
      <c r="AQ27" s="380" t="str">
        <f>Настройки!AB27</f>
        <v>Canal_26</v>
      </c>
      <c r="AR27" s="380" t="str">
        <f>Настройки!AC27</f>
        <v>-</v>
      </c>
      <c r="AS27" s="380" t="str">
        <f>Настройки!AD27</f>
        <v>-</v>
      </c>
      <c r="AT27" s="207" t="str">
        <f>Настройки!AB27</f>
        <v>Canal_26</v>
      </c>
      <c r="AU27" s="207" t="str">
        <f>Настройки!AC27</f>
        <v>-</v>
      </c>
      <c r="AV27" s="207" t="str">
        <f>Настройки!AD27</f>
        <v>-</v>
      </c>
      <c r="AW27" s="207" t="str">
        <f>Настройки!AE27</f>
        <v>-</v>
      </c>
      <c r="AX27" s="207" t="str">
        <f>Настройки!AF27</f>
        <v>IDIG_7_2</v>
      </c>
      <c r="AY27" s="207" t="str">
        <f>Настройки!AG27</f>
        <v>Canal_26</v>
      </c>
      <c r="AZ27" s="207" t="str">
        <f>Настройки!AH27</f>
        <v>Canal_26</v>
      </c>
      <c r="BA27" s="207" t="str">
        <f>Настройки!AI27</f>
        <v>Canal_26</v>
      </c>
      <c r="BB27" s="207" t="str">
        <f>Настройки!AJ27</f>
        <v>-</v>
      </c>
      <c r="BC27" s="207" t="str">
        <f>Настройки!AK27</f>
        <v>-</v>
      </c>
      <c r="BD27" s="207" t="str">
        <f>Настройки!AL27</f>
        <v>Canal_26</v>
      </c>
      <c r="BE27" s="207" t="str">
        <f>Настройки!AM27</f>
        <v>-</v>
      </c>
    </row>
    <row r="28" spans="1:57">
      <c r="A28" s="82"/>
      <c r="B28" s="82"/>
      <c r="C28" s="11"/>
      <c r="D28" s="81"/>
      <c r="E28" s="81"/>
      <c r="F28" s="81"/>
      <c r="G28" s="447"/>
      <c r="H28" s="447"/>
      <c r="I28" s="1"/>
      <c r="M28" s="424" t="str">
        <f>'Конфигурация TREI'!A29</f>
        <v>BR27</v>
      </c>
      <c r="N28" s="424" t="str">
        <f>'Конфигурация TREI'!B29</f>
        <v>M558D</v>
      </c>
      <c r="AE28" s="428">
        <f>Настройки!P28</f>
        <v>27</v>
      </c>
      <c r="AF28" s="380">
        <f>Настройки!Q28</f>
        <v>0</v>
      </c>
      <c r="AG28" s="380" t="str">
        <f>Настройки!R28</f>
        <v>-</v>
      </c>
      <c r="AH28" s="380" t="str">
        <f>Настройки!S28</f>
        <v>-</v>
      </c>
      <c r="AI28" s="380" t="str">
        <f>Настройки!T28</f>
        <v>out26</v>
      </c>
      <c r="AJ28" s="380" t="str">
        <f>Настройки!U28</f>
        <v>out26</v>
      </c>
      <c r="AK28" s="380" t="str">
        <f>Настройки!V28</f>
        <v>-</v>
      </c>
      <c r="AL28" s="380" t="str">
        <f>Настройки!W28</f>
        <v>-</v>
      </c>
      <c r="AM28" s="380" t="str">
        <f>Настройки!X28</f>
        <v>-</v>
      </c>
      <c r="AN28" s="380" t="str">
        <f>Настройки!Y28</f>
        <v>-</v>
      </c>
      <c r="AO28" s="380" t="str">
        <f>Настройки!Z28</f>
        <v>-</v>
      </c>
      <c r="AP28" s="380" t="str">
        <f>Настройки!AA28</f>
        <v>Canal_27</v>
      </c>
      <c r="AQ28" s="380" t="str">
        <f>Настройки!AB28</f>
        <v>Canal_27</v>
      </c>
      <c r="AR28" s="380" t="str">
        <f>Настройки!AC28</f>
        <v>-</v>
      </c>
      <c r="AS28" s="380" t="str">
        <f>Настройки!AD28</f>
        <v>-</v>
      </c>
      <c r="AT28" s="207" t="str">
        <f>Настройки!AB28</f>
        <v>Canal_27</v>
      </c>
      <c r="AU28" s="207" t="str">
        <f>Настройки!AC28</f>
        <v>-</v>
      </c>
      <c r="AV28" s="207" t="str">
        <f>Настройки!AD28</f>
        <v>-</v>
      </c>
      <c r="AW28" s="207" t="str">
        <f>Настройки!AE28</f>
        <v>-</v>
      </c>
      <c r="AX28" s="207" t="str">
        <f>Настройки!AF28</f>
        <v>IDIG_7_3</v>
      </c>
      <c r="AY28" s="207" t="str">
        <f>Настройки!AG28</f>
        <v>Canal_27</v>
      </c>
      <c r="AZ28" s="207" t="str">
        <f>Настройки!AH28</f>
        <v>Canal_27</v>
      </c>
      <c r="BA28" s="207" t="str">
        <f>Настройки!AI28</f>
        <v>Canal_27</v>
      </c>
      <c r="BB28" s="207" t="str">
        <f>Настройки!AJ28</f>
        <v>-</v>
      </c>
      <c r="BC28" s="207" t="str">
        <f>Настройки!AK28</f>
        <v>-</v>
      </c>
      <c r="BD28" s="207" t="str">
        <f>Настройки!AL28</f>
        <v>Canal_27</v>
      </c>
      <c r="BE28" s="207" t="str">
        <f>Настройки!AM28</f>
        <v>-</v>
      </c>
    </row>
    <row r="29" spans="1:57">
      <c r="A29" s="82"/>
      <c r="B29" s="82"/>
      <c r="C29" s="11"/>
      <c r="D29" s="81"/>
      <c r="E29" s="81"/>
      <c r="F29" s="81"/>
      <c r="G29" s="447"/>
      <c r="H29" s="447"/>
      <c r="I29" s="1"/>
      <c r="M29" s="424" t="str">
        <f>'Конфигурация TREI'!A30</f>
        <v>BR28</v>
      </c>
      <c r="N29" s="424" t="str">
        <f>'Конфигурация TREI'!B30</f>
        <v>M558D</v>
      </c>
      <c r="AE29" s="428">
        <f>Настройки!P29</f>
        <v>28</v>
      </c>
      <c r="AF29" s="380">
        <f>Настройки!Q29</f>
        <v>0</v>
      </c>
      <c r="AG29" s="380" t="str">
        <f>Настройки!R29</f>
        <v>-</v>
      </c>
      <c r="AH29" s="380" t="str">
        <f>Настройки!S29</f>
        <v>-</v>
      </c>
      <c r="AI29" s="380" t="str">
        <f>Настройки!T29</f>
        <v>out27</v>
      </c>
      <c r="AJ29" s="380" t="str">
        <f>Настройки!U29</f>
        <v>out27</v>
      </c>
      <c r="AK29" s="380" t="str">
        <f>Настройки!V29</f>
        <v>-</v>
      </c>
      <c r="AL29" s="380" t="str">
        <f>Настройки!W29</f>
        <v>-</v>
      </c>
      <c r="AM29" s="380" t="str">
        <f>Настройки!X29</f>
        <v>-</v>
      </c>
      <c r="AN29" s="380" t="str">
        <f>Настройки!Y29</f>
        <v>-</v>
      </c>
      <c r="AO29" s="380" t="str">
        <f>Настройки!Z29</f>
        <v>-</v>
      </c>
      <c r="AP29" s="380" t="str">
        <f>Настройки!AA29</f>
        <v>Canal_28</v>
      </c>
      <c r="AQ29" s="380" t="str">
        <f>Настройки!AB29</f>
        <v>Canal_28</v>
      </c>
      <c r="AR29" s="380" t="str">
        <f>Настройки!AC29</f>
        <v>-</v>
      </c>
      <c r="AS29" s="380" t="str">
        <f>Настройки!AD29</f>
        <v>-</v>
      </c>
      <c r="AT29" s="207" t="str">
        <f>Настройки!AB29</f>
        <v>Canal_28</v>
      </c>
      <c r="AU29" s="207" t="str">
        <f>Настройки!AC29</f>
        <v>-</v>
      </c>
      <c r="AV29" s="207" t="str">
        <f>Настройки!AD29</f>
        <v>-</v>
      </c>
      <c r="AW29" s="207" t="str">
        <f>Настройки!AE29</f>
        <v>-</v>
      </c>
      <c r="AX29" s="207" t="str">
        <f>Настройки!AF29</f>
        <v>IDIG_7_4</v>
      </c>
      <c r="AY29" s="207" t="str">
        <f>Настройки!AG29</f>
        <v>Canal_28</v>
      </c>
      <c r="AZ29" s="207" t="str">
        <f>Настройки!AH29</f>
        <v>Canal_28</v>
      </c>
      <c r="BA29" s="207" t="str">
        <f>Настройки!AI29</f>
        <v>Canal_28</v>
      </c>
      <c r="BB29" s="207" t="str">
        <f>Настройки!AJ29</f>
        <v>-</v>
      </c>
      <c r="BC29" s="207" t="str">
        <f>Настройки!AK29</f>
        <v>-</v>
      </c>
      <c r="BD29" s="207" t="str">
        <f>Настройки!AL29</f>
        <v>Canal_28</v>
      </c>
      <c r="BE29" s="207" t="str">
        <f>Настройки!AM29</f>
        <v>-</v>
      </c>
    </row>
    <row r="30" spans="1:57">
      <c r="A30" s="1"/>
      <c r="B30" s="1"/>
      <c r="C30" s="1"/>
      <c r="D30" s="1"/>
      <c r="E30" s="1"/>
      <c r="F30" s="1"/>
      <c r="G30" s="1"/>
      <c r="H30" s="1"/>
      <c r="I30" s="1"/>
      <c r="M30" s="424" t="str">
        <f>'Конфигурация TREI'!A31</f>
        <v>BR29</v>
      </c>
      <c r="N30" s="424" t="str">
        <f>'Конфигурация TREI'!B31</f>
        <v>M558O</v>
      </c>
      <c r="AE30" s="428">
        <f>Настройки!P30</f>
        <v>29</v>
      </c>
      <c r="AF30" s="380">
        <f>Настройки!Q30</f>
        <v>0</v>
      </c>
      <c r="AG30" s="380" t="str">
        <f>Настройки!R30</f>
        <v>-</v>
      </c>
      <c r="AH30" s="380" t="str">
        <f>Настройки!S30</f>
        <v>-</v>
      </c>
      <c r="AI30" s="380" t="str">
        <f>Настройки!T30</f>
        <v>out28</v>
      </c>
      <c r="AJ30" s="380" t="str">
        <f>Настройки!U30</f>
        <v>out28</v>
      </c>
      <c r="AK30" s="380" t="str">
        <f>Настройки!V30</f>
        <v>-</v>
      </c>
      <c r="AL30" s="380" t="str">
        <f>Настройки!W30</f>
        <v>-</v>
      </c>
      <c r="AM30" s="380" t="str">
        <f>Настройки!X30</f>
        <v>-</v>
      </c>
      <c r="AN30" s="380" t="str">
        <f>Настройки!Y30</f>
        <v>-</v>
      </c>
      <c r="AO30" s="380" t="str">
        <f>Настройки!Z30</f>
        <v>-</v>
      </c>
      <c r="AP30" s="380" t="str">
        <f>Настройки!AA30</f>
        <v>Canal_29</v>
      </c>
      <c r="AQ30" s="380" t="str">
        <f>Настройки!AB30</f>
        <v>Canal_29</v>
      </c>
      <c r="AR30" s="380" t="str">
        <f>Настройки!AC30</f>
        <v>-</v>
      </c>
      <c r="AS30" s="380" t="str">
        <f>Настройки!AD30</f>
        <v>-</v>
      </c>
      <c r="AT30" s="207" t="str">
        <f>Настройки!AB30</f>
        <v>Canal_29</v>
      </c>
      <c r="AU30" s="207" t="str">
        <f>Настройки!AC30</f>
        <v>-</v>
      </c>
      <c r="AV30" s="207" t="str">
        <f>Настройки!AD30</f>
        <v>-</v>
      </c>
      <c r="AW30" s="207" t="str">
        <f>Настройки!AE30</f>
        <v>-</v>
      </c>
      <c r="AX30" s="207" t="str">
        <f>Настройки!AF30</f>
        <v>IDIG_8_1</v>
      </c>
      <c r="AY30" s="207" t="str">
        <f>Настройки!AG30</f>
        <v>Canal_29</v>
      </c>
      <c r="AZ30" s="207" t="str">
        <f>Настройки!AH30</f>
        <v>Canal_29</v>
      </c>
      <c r="BA30" s="207" t="str">
        <f>Настройки!AI30</f>
        <v>Canal_29</v>
      </c>
      <c r="BB30" s="207" t="str">
        <f>Настройки!AJ30</f>
        <v>-</v>
      </c>
      <c r="BC30" s="207" t="str">
        <f>Настройки!AK30</f>
        <v>-</v>
      </c>
      <c r="BD30" s="207" t="str">
        <f>Настройки!AL30</f>
        <v>Canal_29</v>
      </c>
      <c r="BE30" s="207" t="str">
        <f>Настройки!AM30</f>
        <v>-</v>
      </c>
    </row>
    <row r="31" spans="1:57">
      <c r="A31" s="82"/>
      <c r="B31" s="82"/>
      <c r="C31" s="81"/>
      <c r="D31" s="81"/>
      <c r="E31" s="81"/>
      <c r="F31" s="81"/>
      <c r="G31" s="445"/>
      <c r="H31" s="445"/>
      <c r="I31" s="1"/>
      <c r="M31" s="424" t="str">
        <f>'Конфигурация TREI'!A32</f>
        <v>BR30</v>
      </c>
      <c r="N31" s="424" t="str">
        <f>'Конфигурация TREI'!B32</f>
        <v>M558D</v>
      </c>
      <c r="AE31" s="428">
        <f>Настройки!P31</f>
        <v>30</v>
      </c>
      <c r="AF31" s="380">
        <f>Настройки!Q31</f>
        <v>0</v>
      </c>
      <c r="AG31" s="380" t="str">
        <f>Настройки!R31</f>
        <v>-</v>
      </c>
      <c r="AH31" s="380" t="str">
        <f>Настройки!S31</f>
        <v>-</v>
      </c>
      <c r="AI31" s="380" t="str">
        <f>Настройки!T31</f>
        <v>out29</v>
      </c>
      <c r="AJ31" s="380" t="str">
        <f>Настройки!U31</f>
        <v>out29</v>
      </c>
      <c r="AK31" s="380" t="str">
        <f>Настройки!V31</f>
        <v>-</v>
      </c>
      <c r="AL31" s="380" t="str">
        <f>Настройки!W31</f>
        <v>-</v>
      </c>
      <c r="AM31" s="380" t="str">
        <f>Настройки!X31</f>
        <v>-</v>
      </c>
      <c r="AN31" s="380" t="str">
        <f>Настройки!Y31</f>
        <v>-</v>
      </c>
      <c r="AO31" s="380" t="str">
        <f>Настройки!Z31</f>
        <v>-</v>
      </c>
      <c r="AP31" s="380" t="str">
        <f>Настройки!AA31</f>
        <v>Canal_30</v>
      </c>
      <c r="AQ31" s="380" t="str">
        <f>Настройки!AB31</f>
        <v>Canal_30</v>
      </c>
      <c r="AR31" s="380" t="str">
        <f>Настройки!AC31</f>
        <v>-</v>
      </c>
      <c r="AS31" s="380" t="str">
        <f>Настройки!AD31</f>
        <v>-</v>
      </c>
      <c r="AT31" s="207" t="str">
        <f>Настройки!AB31</f>
        <v>Canal_30</v>
      </c>
      <c r="AU31" s="207" t="str">
        <f>Настройки!AC31</f>
        <v>-</v>
      </c>
      <c r="AV31" s="207" t="str">
        <f>Настройки!AD31</f>
        <v>-</v>
      </c>
      <c r="AW31" s="207" t="str">
        <f>Настройки!AE31</f>
        <v>-</v>
      </c>
      <c r="AX31" s="207" t="str">
        <f>Настройки!AF31</f>
        <v>IDIG_8_2</v>
      </c>
      <c r="AY31" s="207" t="str">
        <f>Настройки!AG31</f>
        <v>Canal_30</v>
      </c>
      <c r="AZ31" s="207" t="str">
        <f>Настройки!AH31</f>
        <v>Canal_30</v>
      </c>
      <c r="BA31" s="207" t="str">
        <f>Настройки!AI31</f>
        <v>Canal_30</v>
      </c>
      <c r="BB31" s="207" t="str">
        <f>Настройки!AJ31</f>
        <v>-</v>
      </c>
      <c r="BC31" s="207" t="str">
        <f>Настройки!AK31</f>
        <v>-</v>
      </c>
      <c r="BD31" s="207" t="str">
        <f>Настройки!AL31</f>
        <v>Canal_30</v>
      </c>
      <c r="BE31" s="207" t="str">
        <f>Настройки!AM31</f>
        <v>-</v>
      </c>
    </row>
    <row r="32" spans="1:57">
      <c r="A32" s="82"/>
      <c r="B32" s="82"/>
      <c r="C32" s="81"/>
      <c r="D32" s="81"/>
      <c r="E32" s="81"/>
      <c r="F32" s="81"/>
      <c r="G32" s="445"/>
      <c r="H32" s="445"/>
      <c r="I32" s="1"/>
      <c r="M32" s="424" t="str">
        <f>'Конфигурация TREI'!A33</f>
        <v>BR31</v>
      </c>
      <c r="N32" s="424" t="str">
        <f>'Конфигурация TREI'!B33</f>
        <v>M558D</v>
      </c>
      <c r="AE32" s="428">
        <f>Настройки!P32</f>
        <v>31</v>
      </c>
      <c r="AF32" s="380">
        <f>Настройки!Q32</f>
        <v>0</v>
      </c>
      <c r="AG32" s="380" t="str">
        <f>Настройки!R32</f>
        <v>-</v>
      </c>
      <c r="AH32" s="380" t="str">
        <f>Настройки!S32</f>
        <v>-</v>
      </c>
      <c r="AI32" s="380" t="str">
        <f>Настройки!T32</f>
        <v>out30</v>
      </c>
      <c r="AJ32" s="380" t="str">
        <f>Настройки!U32</f>
        <v>out30</v>
      </c>
      <c r="AK32" s="380" t="str">
        <f>Настройки!V32</f>
        <v>-</v>
      </c>
      <c r="AL32" s="380" t="str">
        <f>Настройки!W32</f>
        <v>-</v>
      </c>
      <c r="AM32" s="380" t="str">
        <f>Настройки!X32</f>
        <v>-</v>
      </c>
      <c r="AN32" s="380" t="str">
        <f>Настройки!Y32</f>
        <v>-</v>
      </c>
      <c r="AO32" s="380" t="str">
        <f>Настройки!Z32</f>
        <v>-</v>
      </c>
      <c r="AP32" s="380" t="str">
        <f>Настройки!AA32</f>
        <v>Canal_31</v>
      </c>
      <c r="AQ32" s="380" t="str">
        <f>Настройки!AB32</f>
        <v>Canal_31</v>
      </c>
      <c r="AR32" s="380" t="str">
        <f>Настройки!AC32</f>
        <v>-</v>
      </c>
      <c r="AS32" s="380" t="str">
        <f>Настройки!AD32</f>
        <v>-</v>
      </c>
      <c r="AT32" s="207" t="str">
        <f>Настройки!AB32</f>
        <v>Canal_31</v>
      </c>
      <c r="AU32" s="207" t="str">
        <f>Настройки!AC32</f>
        <v>-</v>
      </c>
      <c r="AV32" s="207" t="str">
        <f>Настройки!AD32</f>
        <v>-</v>
      </c>
      <c r="AW32" s="207" t="str">
        <f>Настройки!AE32</f>
        <v>-</v>
      </c>
      <c r="AX32" s="207" t="str">
        <f>Настройки!AF32</f>
        <v>IDIG_8_3</v>
      </c>
      <c r="AY32" s="207" t="str">
        <f>Настройки!AG32</f>
        <v>Canal_31</v>
      </c>
      <c r="AZ32" s="207" t="str">
        <f>Настройки!AH32</f>
        <v>Canal_31</v>
      </c>
      <c r="BA32" s="207" t="str">
        <f>Настройки!AI32</f>
        <v>Canal_31</v>
      </c>
      <c r="BB32" s="207" t="str">
        <f>Настройки!AJ32</f>
        <v>-</v>
      </c>
      <c r="BC32" s="207" t="str">
        <f>Настройки!AK32</f>
        <v>-</v>
      </c>
      <c r="BD32" s="207" t="str">
        <f>Настройки!AL32</f>
        <v>Canal_31</v>
      </c>
      <c r="BE32" s="207" t="str">
        <f>Настройки!AM32</f>
        <v>-</v>
      </c>
    </row>
    <row r="33" spans="1:57">
      <c r="A33" s="82"/>
      <c r="B33" s="82"/>
      <c r="C33" s="81"/>
      <c r="D33" s="81"/>
      <c r="E33" s="81"/>
      <c r="F33" s="81"/>
      <c r="G33" s="445"/>
      <c r="H33" s="445"/>
      <c r="I33" s="1"/>
      <c r="M33" s="424" t="str">
        <f>'Конфигурация TREI'!A34</f>
        <v>BR32</v>
      </c>
      <c r="N33" s="424" t="str">
        <f>'Конфигурация TREI'!B34</f>
        <v>M558D</v>
      </c>
      <c r="AE33" s="620">
        <f>Настройки!P33</f>
        <v>32</v>
      </c>
      <c r="AF33" s="621">
        <f>Настройки!Q33</f>
        <v>0</v>
      </c>
      <c r="AG33" s="621" t="str">
        <f>Настройки!R33</f>
        <v>-</v>
      </c>
      <c r="AH33" s="621" t="str">
        <f>Настройки!S33</f>
        <v>-</v>
      </c>
      <c r="AI33" s="621" t="str">
        <f>Настройки!T33</f>
        <v>out31</v>
      </c>
      <c r="AJ33" s="621" t="str">
        <f>Настройки!U33</f>
        <v>out31</v>
      </c>
      <c r="AK33" s="621" t="str">
        <f>Настройки!V33</f>
        <v>-</v>
      </c>
      <c r="AL33" s="621" t="str">
        <f>Настройки!W33</f>
        <v>-</v>
      </c>
      <c r="AM33" s="621" t="str">
        <f>Настройки!X33</f>
        <v>-</v>
      </c>
      <c r="AN33" s="621" t="str">
        <f>Настройки!Y33</f>
        <v>-</v>
      </c>
      <c r="AO33" s="621" t="str">
        <f>Настройки!Z33</f>
        <v>-</v>
      </c>
      <c r="AP33" s="621" t="str">
        <f>Настройки!AA33</f>
        <v>Canal_32</v>
      </c>
      <c r="AQ33" s="621" t="str">
        <f>Настройки!AB33</f>
        <v>Canal_32</v>
      </c>
      <c r="AR33" s="621" t="str">
        <f>Настройки!AC33</f>
        <v>-</v>
      </c>
      <c r="AS33" s="621" t="str">
        <f>Настройки!AD33</f>
        <v>-</v>
      </c>
      <c r="AT33" s="622" t="str">
        <f>Настройки!AB33</f>
        <v>Canal_32</v>
      </c>
      <c r="AU33" s="622" t="str">
        <f>Настройки!AC33</f>
        <v>-</v>
      </c>
      <c r="AV33" s="622" t="str">
        <f>Настройки!AD33</f>
        <v>-</v>
      </c>
      <c r="AW33" s="622" t="str">
        <f>Настройки!AE33</f>
        <v>-</v>
      </c>
      <c r="AX33" s="622" t="str">
        <f>Настройки!AF33</f>
        <v>IDIG_8_4</v>
      </c>
      <c r="AY33" s="622" t="str">
        <f>Настройки!AG33</f>
        <v>Canal_32</v>
      </c>
      <c r="AZ33" s="622" t="str">
        <f>Настройки!AH33</f>
        <v>Canal_32</v>
      </c>
      <c r="BA33" s="622" t="str">
        <f>Настройки!AI33</f>
        <v>Canal_32</v>
      </c>
      <c r="BB33" s="622" t="str">
        <f>Настройки!AJ33</f>
        <v>-</v>
      </c>
      <c r="BC33" s="622" t="str">
        <f>Настройки!AK33</f>
        <v>-</v>
      </c>
      <c r="BD33" s="622" t="str">
        <f>Настройки!AL33</f>
        <v>Canal_32</v>
      </c>
      <c r="BE33" s="622" t="str">
        <f>Настройки!AM33</f>
        <v>-</v>
      </c>
    </row>
    <row r="34" spans="1:57">
      <c r="A34" s="82"/>
      <c r="B34" s="82"/>
      <c r="C34" s="81"/>
      <c r="D34" s="81"/>
      <c r="E34" s="81"/>
      <c r="F34" s="81"/>
      <c r="G34" s="445"/>
      <c r="H34" s="445"/>
      <c r="I34" s="1"/>
      <c r="M34" s="424" t="str">
        <f>'Конфигурация TREI'!A35</f>
        <v>BR33</v>
      </c>
      <c r="N34" s="424" t="str">
        <f>'Конфигурация TREI'!B35</f>
        <v>M558D</v>
      </c>
      <c r="AE34" s="624"/>
      <c r="AF34" s="624"/>
      <c r="AG34" s="624"/>
      <c r="AH34" s="624"/>
      <c r="AI34" s="624"/>
      <c r="AJ34" s="624"/>
      <c r="AK34" s="624"/>
      <c r="AL34" s="624"/>
      <c r="AM34" s="624"/>
      <c r="AN34" s="624"/>
      <c r="AO34" s="624"/>
      <c r="AP34" s="624"/>
      <c r="AQ34" s="624"/>
      <c r="AR34" s="624"/>
      <c r="AS34" s="624"/>
      <c r="AT34" s="625"/>
      <c r="AU34" s="625"/>
      <c r="AV34" s="625"/>
      <c r="AW34" s="625"/>
      <c r="AX34" s="625"/>
      <c r="AY34" s="625"/>
      <c r="AZ34" s="625"/>
      <c r="BA34" s="625"/>
      <c r="BB34" s="625"/>
      <c r="BC34" s="625"/>
      <c r="BD34" s="625"/>
      <c r="BE34" s="625"/>
    </row>
    <row r="35" spans="1:57">
      <c r="A35" s="82"/>
      <c r="B35" s="82"/>
      <c r="C35" s="81"/>
      <c r="D35" s="81"/>
      <c r="E35" s="81"/>
      <c r="F35" s="81"/>
      <c r="G35" s="445"/>
      <c r="H35" s="445"/>
      <c r="I35" s="1"/>
      <c r="M35" s="424" t="str">
        <f>'Конфигурация TREI'!A36</f>
        <v>BR34</v>
      </c>
      <c r="N35" s="424" t="str">
        <f>'Конфигурация TREI'!B36</f>
        <v>M558D</v>
      </c>
      <c r="AE35" s="505"/>
      <c r="AF35" s="505"/>
      <c r="AG35" s="505"/>
      <c r="AH35" s="505"/>
      <c r="AI35" s="505"/>
      <c r="AJ35" s="505"/>
      <c r="AK35" s="505"/>
      <c r="AL35" s="505"/>
      <c r="AM35" s="505"/>
      <c r="AN35" s="505"/>
      <c r="AO35" s="505"/>
      <c r="AP35" s="505"/>
      <c r="AQ35" s="505"/>
      <c r="AR35" s="505"/>
      <c r="AS35" s="505"/>
      <c r="AT35" s="623"/>
      <c r="AU35" s="623"/>
      <c r="AV35" s="623"/>
      <c r="AW35" s="623"/>
      <c r="AX35" s="623"/>
      <c r="AY35" s="623"/>
      <c r="AZ35" s="623"/>
      <c r="BA35" s="623"/>
      <c r="BB35" s="623"/>
      <c r="BC35" s="623"/>
      <c r="BD35" s="623"/>
      <c r="BE35" s="623"/>
    </row>
    <row r="36" spans="1:57">
      <c r="A36" s="82"/>
      <c r="B36" s="82"/>
      <c r="C36" s="81"/>
      <c r="D36" s="81"/>
      <c r="E36" s="81"/>
      <c r="F36" s="81"/>
      <c r="G36" s="445"/>
      <c r="H36" s="445"/>
      <c r="I36" s="1"/>
      <c r="M36" s="424" t="str">
        <f>'Конфигурация TREI'!A37</f>
        <v>BR35</v>
      </c>
      <c r="N36" s="424" t="str">
        <f>'Конфигурация TREI'!B37</f>
        <v>M558D</v>
      </c>
      <c r="AE36" s="505"/>
      <c r="AF36" s="505"/>
      <c r="AG36" s="505"/>
      <c r="AH36" s="505"/>
      <c r="AI36" s="505"/>
      <c r="AJ36" s="505"/>
      <c r="AK36" s="505"/>
      <c r="AL36" s="505"/>
      <c r="AM36" s="505"/>
      <c r="AN36" s="505"/>
      <c r="AO36" s="505"/>
      <c r="AP36" s="505"/>
      <c r="AQ36" s="505"/>
      <c r="AR36" s="505"/>
      <c r="AS36" s="505"/>
      <c r="AT36" s="623"/>
      <c r="AU36" s="623"/>
      <c r="AV36" s="623"/>
      <c r="AW36" s="623"/>
      <c r="AX36" s="623"/>
      <c r="AY36" s="623"/>
      <c r="AZ36" s="623"/>
      <c r="BA36" s="623"/>
      <c r="BB36" s="623"/>
      <c r="BC36" s="623"/>
      <c r="BD36" s="623"/>
      <c r="BE36" s="623"/>
    </row>
    <row r="37" spans="1:57" ht="15.75" customHeight="1">
      <c r="A37" s="82"/>
      <c r="B37" s="82"/>
      <c r="C37" s="81"/>
      <c r="D37" s="81"/>
      <c r="E37" s="81"/>
      <c r="F37" s="81"/>
      <c r="G37" s="445"/>
      <c r="H37" s="445"/>
      <c r="I37" s="1"/>
      <c r="M37" s="424" t="str">
        <f>'Конфигурация TREI'!A38</f>
        <v>BR36</v>
      </c>
      <c r="N37" s="424">
        <f>'Конфигурация TREI'!B38</f>
        <v>0</v>
      </c>
      <c r="AE37" s="505"/>
      <c r="AF37" s="505"/>
      <c r="AG37" s="505"/>
      <c r="AH37" s="505"/>
      <c r="AI37" s="505"/>
      <c r="AJ37" s="505"/>
      <c r="AK37" s="505"/>
      <c r="AL37" s="505"/>
      <c r="AM37" s="505"/>
      <c r="AN37" s="505"/>
      <c r="AO37" s="505"/>
      <c r="AP37" s="505"/>
      <c r="AQ37" s="505"/>
      <c r="AR37" s="505"/>
      <c r="AS37" s="505"/>
      <c r="AT37" s="623"/>
      <c r="AU37" s="623"/>
      <c r="AV37" s="623"/>
      <c r="AW37" s="623"/>
      <c r="AX37" s="623"/>
      <c r="AY37" s="623"/>
      <c r="AZ37" s="623"/>
      <c r="BA37" s="623"/>
      <c r="BB37" s="623"/>
      <c r="BC37" s="623"/>
      <c r="BD37" s="623"/>
      <c r="BE37" s="623"/>
    </row>
    <row r="38" spans="1:57">
      <c r="A38" s="82"/>
      <c r="B38" s="82"/>
      <c r="C38" s="81"/>
      <c r="D38" s="81"/>
      <c r="E38" s="81"/>
      <c r="F38" s="81"/>
      <c r="G38" s="445"/>
      <c r="H38" s="445"/>
      <c r="I38" s="1"/>
      <c r="M38" s="424" t="str">
        <f>'Конфигурация TREI'!A39</f>
        <v>BR37</v>
      </c>
      <c r="N38" s="424">
        <f>'Конфигурация TREI'!B39</f>
        <v>0</v>
      </c>
      <c r="AE38" s="505"/>
      <c r="AF38" s="505"/>
      <c r="AG38" s="505"/>
      <c r="AH38" s="505"/>
      <c r="AI38" s="505"/>
      <c r="AJ38" s="505"/>
      <c r="AK38" s="505"/>
      <c r="AL38" s="505"/>
      <c r="AM38" s="505"/>
      <c r="AN38" s="505"/>
      <c r="AO38" s="505"/>
      <c r="AP38" s="505"/>
      <c r="AQ38" s="505"/>
      <c r="AR38" s="505"/>
      <c r="AS38" s="505"/>
      <c r="AT38" s="623"/>
      <c r="AU38" s="623"/>
      <c r="AV38" s="623"/>
      <c r="AW38" s="623"/>
      <c r="AX38" s="623"/>
      <c r="AY38" s="623"/>
      <c r="AZ38" s="623"/>
      <c r="BA38" s="623"/>
      <c r="BB38" s="623"/>
      <c r="BC38" s="623"/>
      <c r="BD38" s="623"/>
      <c r="BE38" s="623"/>
    </row>
    <row r="39" spans="1:57">
      <c r="A39" s="82"/>
      <c r="B39" s="82"/>
      <c r="C39" s="81"/>
      <c r="D39" s="81"/>
      <c r="E39" s="81"/>
      <c r="F39" s="81"/>
      <c r="G39" s="445"/>
      <c r="H39" s="445"/>
      <c r="I39" s="1"/>
      <c r="M39" s="424" t="str">
        <f>'Конфигурация TREI'!A40</f>
        <v>BR38</v>
      </c>
      <c r="N39" s="424">
        <f>'Конфигурация TREI'!B40</f>
        <v>0</v>
      </c>
      <c r="AE39" s="505"/>
      <c r="AF39" s="505"/>
      <c r="AG39" s="505"/>
      <c r="AH39" s="505"/>
      <c r="AI39" s="505"/>
      <c r="AJ39" s="505"/>
      <c r="AK39" s="505"/>
      <c r="AL39" s="505"/>
      <c r="AM39" s="505"/>
      <c r="AN39" s="505"/>
      <c r="AO39" s="505"/>
      <c r="AP39" s="505"/>
      <c r="AQ39" s="505"/>
      <c r="AR39" s="505"/>
      <c r="AS39" s="505"/>
      <c r="AT39" s="623"/>
      <c r="AU39" s="623"/>
      <c r="AV39" s="623"/>
      <c r="AW39" s="623"/>
      <c r="AX39" s="623"/>
      <c r="AY39" s="623"/>
      <c r="AZ39" s="623"/>
      <c r="BA39" s="623"/>
      <c r="BB39" s="623"/>
      <c r="BC39" s="623"/>
      <c r="BD39" s="623"/>
      <c r="BE39" s="623"/>
    </row>
    <row r="40" spans="1:57">
      <c r="A40" s="82"/>
      <c r="B40" s="82"/>
      <c r="C40" s="81"/>
      <c r="D40" s="81"/>
      <c r="E40" s="81"/>
      <c r="F40" s="81"/>
      <c r="G40" s="445"/>
      <c r="H40" s="445"/>
      <c r="I40" s="1"/>
      <c r="M40" s="424" t="str">
        <f>'Конфигурация TREI'!A41</f>
        <v>BR39</v>
      </c>
      <c r="N40" s="424">
        <f>'Конфигурация TREI'!B41</f>
        <v>0</v>
      </c>
      <c r="AE40" s="505"/>
      <c r="AF40" s="505"/>
      <c r="AG40" s="505"/>
      <c r="AH40" s="505"/>
      <c r="AI40" s="505"/>
      <c r="AJ40" s="505"/>
      <c r="AK40" s="505"/>
      <c r="AL40" s="505"/>
      <c r="AM40" s="505"/>
      <c r="AN40" s="505"/>
      <c r="AO40" s="505"/>
      <c r="AP40" s="505"/>
      <c r="AQ40" s="505"/>
      <c r="AR40" s="505"/>
      <c r="AS40" s="505"/>
      <c r="AT40" s="623"/>
      <c r="AU40" s="623"/>
      <c r="AV40" s="623"/>
      <c r="AW40" s="623"/>
      <c r="AX40" s="623"/>
      <c r="AY40" s="623"/>
      <c r="AZ40" s="623"/>
      <c r="BA40" s="623"/>
      <c r="BB40" s="623"/>
      <c r="BC40" s="623"/>
      <c r="BD40" s="623"/>
      <c r="BE40" s="623"/>
    </row>
    <row r="41" spans="1:57">
      <c r="A41" s="82"/>
      <c r="B41" s="82"/>
      <c r="C41" s="81"/>
      <c r="D41" s="81"/>
      <c r="E41" s="81"/>
      <c r="F41" s="81"/>
      <c r="G41" s="445"/>
      <c r="H41" s="445"/>
      <c r="I41" s="1"/>
      <c r="M41" s="424" t="str">
        <f>'Конфигурация TREI'!A42</f>
        <v>BR40</v>
      </c>
      <c r="N41" s="424">
        <f>'Конфигурация TREI'!B42</f>
        <v>0</v>
      </c>
      <c r="AE41" s="505"/>
      <c r="AF41" s="505"/>
      <c r="AG41" s="505"/>
      <c r="AH41" s="505"/>
      <c r="AI41" s="505"/>
      <c r="AJ41" s="505"/>
      <c r="AK41" s="505"/>
      <c r="AL41" s="505"/>
      <c r="AM41" s="505"/>
      <c r="AN41" s="505"/>
      <c r="AO41" s="505"/>
      <c r="AP41" s="505"/>
      <c r="AQ41" s="505"/>
      <c r="AR41" s="505"/>
      <c r="AS41" s="505"/>
      <c r="AT41" s="623"/>
      <c r="AU41" s="623"/>
      <c r="AV41" s="623"/>
      <c r="AW41" s="623"/>
      <c r="AX41" s="623"/>
      <c r="AY41" s="623"/>
      <c r="AZ41" s="623"/>
      <c r="BA41" s="623"/>
      <c r="BB41" s="623"/>
      <c r="BC41" s="623"/>
      <c r="BD41" s="623"/>
      <c r="BE41" s="623"/>
    </row>
    <row r="42" spans="1:57">
      <c r="M42" s="424" t="str">
        <f>'Конфигурация TREI'!A43</f>
        <v>BR41</v>
      </c>
      <c r="N42" s="424">
        <f>'Конфигурация TREI'!B43</f>
        <v>0</v>
      </c>
    </row>
    <row r="43" spans="1:57">
      <c r="M43" s="424" t="str">
        <f>'Конфигурация TREI'!A44</f>
        <v>BR42</v>
      </c>
      <c r="N43" s="424">
        <f>'Конфигурация TREI'!B44</f>
        <v>0</v>
      </c>
    </row>
    <row r="44" spans="1:57">
      <c r="M44" s="424" t="str">
        <f>'Конфигурация TREI'!A45</f>
        <v>BR43</v>
      </c>
      <c r="N44" s="424">
        <f>'Конфигурация TREI'!B45</f>
        <v>0</v>
      </c>
    </row>
    <row r="45" spans="1:57">
      <c r="M45" s="424" t="str">
        <f>'Конфигурация TREI'!A46</f>
        <v>BR44</v>
      </c>
      <c r="N45" s="424">
        <f>'Конфигурация TREI'!B46</f>
        <v>0</v>
      </c>
    </row>
    <row r="46" spans="1:57">
      <c r="M46" s="424" t="str">
        <f>'Конфигурация TREI'!A47</f>
        <v>BR45</v>
      </c>
      <c r="N46" s="424">
        <f>'Конфигурация TREI'!B47</f>
        <v>0</v>
      </c>
    </row>
    <row r="47" spans="1:57">
      <c r="M47" s="424" t="str">
        <f>'Конфигурация TREI'!A48</f>
        <v>BR46</v>
      </c>
      <c r="N47" s="424">
        <f>'Конфигурация TREI'!B48</f>
        <v>0</v>
      </c>
    </row>
    <row r="48" spans="1:57">
      <c r="M48" s="424" t="str">
        <f>'Конфигурация TREI'!A49</f>
        <v>BR47</v>
      </c>
      <c r="N48" s="424">
        <f>'Конфигурация TREI'!B49</f>
        <v>0</v>
      </c>
    </row>
    <row r="49" spans="13:14">
      <c r="M49" s="424" t="str">
        <f>'Конфигурация TREI'!A50</f>
        <v>BR48</v>
      </c>
      <c r="N49" s="424">
        <f>'Конфигурация TREI'!B50</f>
        <v>0</v>
      </c>
    </row>
    <row r="50" spans="13:14">
      <c r="M50" s="424" t="str">
        <f>'Конфигурация TREI'!A51</f>
        <v>BR49</v>
      </c>
      <c r="N50" s="424">
        <f>'Конфигурация TREI'!B51</f>
        <v>0</v>
      </c>
    </row>
    <row r="51" spans="13:14">
      <c r="M51" s="424" t="str">
        <f>'Конфигурация TREI'!A52</f>
        <v>BR50</v>
      </c>
      <c r="N51" s="424">
        <f>'Конфигурация TREI'!B52</f>
        <v>0</v>
      </c>
    </row>
    <row r="52" spans="13:14">
      <c r="M52" s="424" t="str">
        <f>'Конфигурация TREI'!A53</f>
        <v>BR51</v>
      </c>
      <c r="N52" s="424">
        <f>'Конфигурация TREI'!B53</f>
        <v>0</v>
      </c>
    </row>
    <row r="53" spans="13:14">
      <c r="M53" s="424" t="str">
        <f>'Конфигурация TREI'!A54</f>
        <v>BR52</v>
      </c>
      <c r="N53" s="424">
        <f>'Конфигурация TREI'!B54</f>
        <v>0</v>
      </c>
    </row>
    <row r="54" spans="13:14">
      <c r="M54" s="424" t="str">
        <f>'Конфигурация TREI'!A55</f>
        <v>BR53</v>
      </c>
      <c r="N54" s="424">
        <f>'Конфигурация TREI'!B55</f>
        <v>0</v>
      </c>
    </row>
    <row r="55" spans="13:14">
      <c r="M55" s="424" t="str">
        <f>'Конфигурация TREI'!A56</f>
        <v>BR54</v>
      </c>
      <c r="N55" s="424">
        <f>'Конфигурация TREI'!B56</f>
        <v>0</v>
      </c>
    </row>
    <row r="56" spans="13:14">
      <c r="M56" s="424" t="str">
        <f>'Конфигурация TREI'!A57</f>
        <v>BR55</v>
      </c>
      <c r="N56" s="424">
        <f>'Конфигурация TREI'!B57</f>
        <v>0</v>
      </c>
    </row>
    <row r="57" spans="13:14">
      <c r="M57" s="424" t="str">
        <f>'Конфигурация TREI'!A58</f>
        <v>BR56</v>
      </c>
      <c r="N57" s="424">
        <f>'Конфигурация TREI'!B58</f>
        <v>0</v>
      </c>
    </row>
    <row r="58" spans="13:14">
      <c r="M58" s="424" t="str">
        <f>'Конфигурация TREI'!A59</f>
        <v>BR57</v>
      </c>
      <c r="N58" s="424">
        <f>'Конфигурация TREI'!B59</f>
        <v>0</v>
      </c>
    </row>
    <row r="59" spans="13:14">
      <c r="M59" s="424" t="str">
        <f>'Конфигурация TREI'!A60</f>
        <v>BR58</v>
      </c>
      <c r="N59" s="424">
        <f>'Конфигурация TREI'!B60</f>
        <v>0</v>
      </c>
    </row>
    <row r="60" spans="13:14">
      <c r="M60" s="424" t="str">
        <f>'Конфигурация TREI'!A61</f>
        <v>BR59</v>
      </c>
      <c r="N60" s="424">
        <f>'Конфигурация TREI'!B61</f>
        <v>0</v>
      </c>
    </row>
    <row r="61" spans="13:14">
      <c r="M61" s="424" t="str">
        <f>'Конфигурация TREI'!A62</f>
        <v>BR60</v>
      </c>
      <c r="N61" s="424">
        <f>'Конфигурация TREI'!B62</f>
        <v>0</v>
      </c>
    </row>
  </sheetData>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sheetPr codeName="Лист122">
    <tabColor theme="2" tint="-0.249977111117893"/>
  </sheetPr>
  <dimension ref="A1:BE61"/>
  <sheetViews>
    <sheetView topLeftCell="A28" workbookViewId="0">
      <selection activeCell="D2" sqref="D2:D4"/>
    </sheetView>
  </sheetViews>
  <sheetFormatPr defaultRowHeight="14.4"/>
  <cols>
    <col min="1" max="1" width="35.44140625" customWidth="1"/>
    <col min="2" max="2" width="21.44140625" customWidth="1"/>
    <col min="3" max="3" width="3.44140625" customWidth="1"/>
    <col min="4" max="4" width="1.109375" customWidth="1"/>
    <col min="5" max="5" width="33.44140625" customWidth="1"/>
    <col min="6" max="6" width="17.6640625" customWidth="1"/>
    <col min="7" max="7" width="10.5546875" customWidth="1"/>
    <col min="8" max="8" width="14.33203125" customWidth="1"/>
    <col min="9" max="9" width="11.44140625" customWidth="1"/>
    <col min="10" max="10" width="9.109375" hidden="1" customWidth="1"/>
    <col min="11" max="11" width="10.88671875" customWidth="1"/>
    <col min="12" max="12" width="11.5546875" customWidth="1"/>
    <col min="13" max="15" width="9.109375" customWidth="1"/>
    <col min="16" max="16" width="34.6640625" customWidth="1"/>
    <col min="17" max="17" width="39.33203125" customWidth="1"/>
    <col min="18" max="30" width="26.109375" style="55" customWidth="1"/>
    <col min="31" max="31" width="4.5546875" style="427" customWidth="1"/>
    <col min="32" max="32" width="11.109375" customWidth="1"/>
  </cols>
  <sheetData>
    <row r="1" spans="1:57">
      <c r="A1" s="425"/>
      <c r="B1" s="425"/>
      <c r="C1" s="425"/>
      <c r="D1" s="425"/>
      <c r="E1" s="425"/>
      <c r="F1" s="425"/>
      <c r="G1" s="426" t="s">
        <v>846</v>
      </c>
      <c r="H1" s="426" t="s">
        <v>847</v>
      </c>
      <c r="I1" s="424" t="s">
        <v>1181</v>
      </c>
      <c r="J1" s="425"/>
      <c r="M1" s="424" t="str">
        <f>'Конфигурация TREI'!A1</f>
        <v>№ Модуля</v>
      </c>
      <c r="N1" s="424" t="str">
        <f>'Конфигурация TREI'!B2</f>
        <v>M501E(рез)</v>
      </c>
      <c r="O1" s="425"/>
      <c r="P1" s="425" t="str">
        <f>Таблица!D1</f>
        <v>Префикс для TREI
Тэг ОРС для INFINITY</v>
      </c>
      <c r="Q1" s="425" t="str">
        <f>Таблица!E1</f>
        <v>Комментарий для TREI и INFINITY</v>
      </c>
      <c r="R1" s="452"/>
      <c r="S1" s="452" t="s">
        <v>858</v>
      </c>
      <c r="T1" s="452" t="s">
        <v>859</v>
      </c>
      <c r="U1" s="452"/>
      <c r="V1" s="452"/>
      <c r="W1" s="452" t="s">
        <v>850</v>
      </c>
      <c r="X1" s="452"/>
      <c r="Y1" s="452"/>
      <c r="Z1" s="452"/>
      <c r="AA1" s="452"/>
      <c r="AB1" s="452"/>
      <c r="AC1" s="452"/>
      <c r="AD1" s="453"/>
      <c r="AE1" s="438"/>
      <c r="AF1" s="438">
        <f>Настройки!Q1</f>
        <v>0</v>
      </c>
      <c r="AG1" s="438" t="str">
        <f>Настройки!R1</f>
        <v>M943DR</v>
      </c>
      <c r="AH1" s="438" t="str">
        <f>Настройки!S1</f>
        <v>M942A</v>
      </c>
      <c r="AI1" s="438" t="str">
        <f>Настройки!T1</f>
        <v>M957D</v>
      </c>
      <c r="AJ1" s="438" t="str">
        <f>Настройки!U1</f>
        <v>M957O</v>
      </c>
      <c r="AK1" s="438" t="str">
        <f>Настройки!V1</f>
        <v>M947R</v>
      </c>
      <c r="AL1" s="438" t="str">
        <f>Настройки!W1</f>
        <v>M931V</v>
      </c>
      <c r="AM1" s="438" t="str">
        <f>Настройки!X1</f>
        <v>M931T</v>
      </c>
      <c r="AN1" s="438" t="str">
        <f>Настройки!Y1</f>
        <v>M547A</v>
      </c>
      <c r="AO1" s="438" t="str">
        <f>Настройки!Z1</f>
        <v>M537V</v>
      </c>
      <c r="AP1" s="438" t="str">
        <f>Настройки!AA1</f>
        <v>M557D</v>
      </c>
      <c r="AQ1" s="438" t="str">
        <f>Настройки!AB1</f>
        <v>M557O</v>
      </c>
      <c r="AR1" s="438" t="str">
        <f>Настройки!AC1</f>
        <v>MOPS</v>
      </c>
      <c r="AS1" s="438" t="str">
        <f>Настройки!AD1</f>
        <v>MUPS</v>
      </c>
      <c r="AT1" s="439" t="str">
        <f>Настройки!AB1</f>
        <v>M557O</v>
      </c>
      <c r="AU1" s="439" t="str">
        <f>Настройки!AC1</f>
        <v>MOPS</v>
      </c>
      <c r="AV1" s="439" t="str">
        <f>Настройки!AD1</f>
        <v>MUPS</v>
      </c>
      <c r="AW1" s="439" t="str">
        <f>Настройки!AE1</f>
        <v>M941A</v>
      </c>
      <c r="AX1" s="439" t="str">
        <f>Настройки!AF1</f>
        <v>M954D</v>
      </c>
      <c r="AY1" s="439" t="str">
        <f>Настройки!AG1</f>
        <v>M557DR</v>
      </c>
      <c r="AZ1" s="439" t="str">
        <f>Настройки!AH1</f>
        <v>M558D</v>
      </c>
      <c r="BA1" s="439" t="str">
        <f>Настройки!AI1</f>
        <v>M558O</v>
      </c>
      <c r="BB1" s="439" t="str">
        <f>Настройки!AJ1</f>
        <v>M548A</v>
      </c>
      <c r="BC1" s="439" t="str">
        <f>Настройки!AK1</f>
        <v>M538V</v>
      </c>
      <c r="BD1" s="439" t="str">
        <f>Настройки!AL1</f>
        <v>M558DR</v>
      </c>
      <c r="BE1" s="439" t="str">
        <f>Настройки!AM1</f>
        <v>*</v>
      </c>
    </row>
    <row r="2" spans="1:57">
      <c r="A2" s="446" t="str">
        <f>"//*********** "&amp;Q2&amp;" ***********"</f>
        <v>//*********** Задвижка без управления ***********</v>
      </c>
      <c r="B2" s="446"/>
      <c r="C2" s="446"/>
      <c r="D2" s="446"/>
      <c r="E2" s="446"/>
      <c r="F2" s="446" t="s">
        <v>1031</v>
      </c>
      <c r="G2" s="447"/>
      <c r="H2" s="447"/>
      <c r="I2" s="459"/>
      <c r="M2" s="424" t="str">
        <f>'Конфигурация TREI'!A3</f>
        <v>BR1</v>
      </c>
      <c r="N2" s="424" t="str">
        <f>'Конфигурация TREI'!B3</f>
        <v>M558D</v>
      </c>
      <c r="P2" s="2" t="s">
        <v>265</v>
      </c>
      <c r="Q2" s="449" t="s">
        <v>775</v>
      </c>
      <c r="R2" s="451"/>
      <c r="S2" s="454" t="s">
        <v>1293</v>
      </c>
      <c r="T2" s="454" t="s">
        <v>1294</v>
      </c>
      <c r="U2" s="454"/>
      <c r="V2" s="454"/>
      <c r="W2" s="454" t="s">
        <v>1295</v>
      </c>
      <c r="X2" s="454"/>
      <c r="Y2" s="454"/>
      <c r="Z2" s="454"/>
      <c r="AA2" s="454"/>
      <c r="AB2" s="454"/>
      <c r="AC2" s="454"/>
      <c r="AD2" s="454"/>
      <c r="AE2" s="431">
        <f>Настройки!P2</f>
        <v>1</v>
      </c>
      <c r="AF2" s="380">
        <f>Настройки!Q2</f>
        <v>0</v>
      </c>
      <c r="AG2" s="380" t="str">
        <f>Настройки!R2</f>
        <v>IDIG_1_1</v>
      </c>
      <c r="AH2" s="380" t="str">
        <f>Настройки!S2</f>
        <v>IANS_1_3</v>
      </c>
      <c r="AI2" s="380" t="str">
        <f>Настройки!T2</f>
        <v>out0</v>
      </c>
      <c r="AJ2" s="380" t="str">
        <f>Настройки!U2</f>
        <v>out0</v>
      </c>
      <c r="AK2" s="380" t="str">
        <f>Настройки!V2</f>
        <v>ODIG_1</v>
      </c>
      <c r="AL2" s="380" t="str">
        <f>Настройки!W2</f>
        <v>OAN_1_1</v>
      </c>
      <c r="AM2" s="380" t="str">
        <f>Настройки!X2</f>
        <v>IANS_1_1</v>
      </c>
      <c r="AN2" s="380" t="str">
        <f>Настройки!Y2</f>
        <v>Canal_01</v>
      </c>
      <c r="AO2" s="380" t="str">
        <f>Настройки!Z2</f>
        <v>Canal_01</v>
      </c>
      <c r="AP2" s="380" t="str">
        <f>Настройки!AA2</f>
        <v>Canal_01</v>
      </c>
      <c r="AQ2" s="380" t="str">
        <f>Настройки!AB2</f>
        <v>Canal_01</v>
      </c>
      <c r="AR2" s="380" t="str">
        <f>Настройки!AC2</f>
        <v>IVXX[0]</v>
      </c>
      <c r="AS2" s="380" t="str">
        <f>Настройки!AD2</f>
        <v>IVXX[0]</v>
      </c>
      <c r="AT2" s="207" t="str">
        <f>Настройки!AB2</f>
        <v>Canal_01</v>
      </c>
      <c r="AU2" s="207" t="str">
        <f>Настройки!AC2</f>
        <v>IVXX[0]</v>
      </c>
      <c r="AV2" s="207" t="str">
        <f>Настройки!AD2</f>
        <v>IVXX[0]</v>
      </c>
      <c r="AW2" s="207" t="str">
        <f>Настройки!AE2</f>
        <v>IANS_1_1</v>
      </c>
      <c r="AX2" s="207" t="str">
        <f>Настройки!AF2</f>
        <v>IDIG_1_1</v>
      </c>
      <c r="AY2" s="207" t="str">
        <f>Настройки!AG2</f>
        <v>Canal_01</v>
      </c>
      <c r="AZ2" s="207" t="str">
        <f>Настройки!AH2</f>
        <v>Canal_01</v>
      </c>
      <c r="BA2" s="207" t="str">
        <f>Настройки!AI2</f>
        <v>Canal_01</v>
      </c>
      <c r="BB2" s="207" t="str">
        <f>Настройки!AJ2</f>
        <v>Canal_01</v>
      </c>
      <c r="BC2" s="207" t="str">
        <f>Настройки!AK2</f>
        <v>Canal_01</v>
      </c>
      <c r="BD2" s="207" t="str">
        <f>Настройки!AL2</f>
        <v>Canal_01</v>
      </c>
      <c r="BE2" s="207" t="str">
        <f>Настройки!AM2</f>
        <v>-</v>
      </c>
    </row>
    <row r="3" spans="1:57">
      <c r="A3" s="82"/>
      <c r="B3" s="82"/>
      <c r="C3" s="81"/>
      <c r="D3" s="81"/>
      <c r="E3" s="448" t="str">
        <f ca="1">IF(LEFT(E6,3)="out","INT_TO_BIT_BR"&amp;C6&amp;"(BR"&amp;C6&amp;".IDIG_MASK)","УДАЛИТЬ")</f>
        <v>УДАЛИТЬ</v>
      </c>
      <c r="F3" s="446" t="s">
        <v>845</v>
      </c>
      <c r="G3" s="447"/>
      <c r="H3" s="447"/>
      <c r="I3" s="459"/>
      <c r="M3" s="424" t="str">
        <f>'Конфигурация TREI'!A4</f>
        <v>BR2</v>
      </c>
      <c r="N3" s="424" t="str">
        <f>'Конфигурация TREI'!B4</f>
        <v>M548A</v>
      </c>
      <c r="P3" s="425" t="str">
        <f>'Конфигурация TREI'!D1</f>
        <v>Путь TREI для сигналов NOT_LINK</v>
      </c>
      <c r="R3" s="450"/>
      <c r="S3" s="454" t="str">
        <f>SUBSTITUTE(SUBSTITUTE($S$2,"!","")," ","")</f>
        <v>7+1</v>
      </c>
      <c r="T3" s="454" t="str">
        <f>SUBSTITUTE(SUBSTITUTE($T$2,"!","")," ","")</f>
        <v>7+5</v>
      </c>
      <c r="U3" s="454" t="str">
        <f>SUBSTITUTE(SUBSTITUTE($U$2,"!","")," ","")</f>
        <v/>
      </c>
      <c r="V3" s="454" t="str">
        <f>SUBSTITUTE(SUBSTITUTE($V$2,"!","")," ","")</f>
        <v/>
      </c>
      <c r="W3" s="454" t="str">
        <f>SUBSTITUTE(SUBSTITUTE($W$2,"!","")," ","")</f>
        <v>6+15</v>
      </c>
      <c r="X3" s="454" t="str">
        <f>SUBSTITUTE(SUBSTITUTE($X$2,"!","")," ","")</f>
        <v/>
      </c>
      <c r="Y3" s="454" t="str">
        <f>SUBSTITUTE(SUBSTITUTE($Y$2,"!","")," ","")</f>
        <v/>
      </c>
      <c r="Z3" s="454" t="str">
        <f>SUBSTITUTE(SUBSTITUTE($Z$2,"!","")," ","")</f>
        <v/>
      </c>
      <c r="AA3" s="454" t="str">
        <f>SUBSTITUTE(SUBSTITUTE($AA$2,"!","")," ","")</f>
        <v/>
      </c>
      <c r="AB3" s="454" t="str">
        <f>SUBSTITUTE(SUBSTITUTE($AB$2,"!","")," ","")</f>
        <v/>
      </c>
      <c r="AC3" s="454" t="str">
        <f>SUBSTITUTE(SUBSTITUTE($AC$2,"!","")," ","")</f>
        <v/>
      </c>
      <c r="AD3" s="454"/>
      <c r="AE3" s="431">
        <f>Настройки!P3</f>
        <v>2</v>
      </c>
      <c r="AF3" s="380">
        <f>Настройки!Q3</f>
        <v>0</v>
      </c>
      <c r="AG3" s="380" t="str">
        <f>Настройки!R3</f>
        <v>IDIG_1_2</v>
      </c>
      <c r="AH3" s="380" t="str">
        <f>Настройки!S3</f>
        <v>IANS_1_4</v>
      </c>
      <c r="AI3" s="380" t="str">
        <f>Настройки!T3</f>
        <v>out1</v>
      </c>
      <c r="AJ3" s="380" t="str">
        <f>Настройки!U3</f>
        <v>out1</v>
      </c>
      <c r="AK3" s="380" t="str">
        <f>Настройки!V3</f>
        <v>ODIG_2</v>
      </c>
      <c r="AL3" s="380" t="str">
        <f>Настройки!W3</f>
        <v>OAN_2_1</v>
      </c>
      <c r="AM3" s="380" t="str">
        <f>Настройки!X3</f>
        <v>IANS_2_1</v>
      </c>
      <c r="AN3" s="380" t="str">
        <f>Настройки!Y3</f>
        <v>Canal_02</v>
      </c>
      <c r="AO3" s="380" t="str">
        <f>Настройки!Z3</f>
        <v>Canal_02</v>
      </c>
      <c r="AP3" s="380" t="str">
        <f>Настройки!AA3</f>
        <v>Canal_02</v>
      </c>
      <c r="AQ3" s="380" t="str">
        <f>Настройки!AB3</f>
        <v>Canal_02</v>
      </c>
      <c r="AR3" s="380" t="str">
        <f>Настройки!AC3</f>
        <v>IVXX[1]</v>
      </c>
      <c r="AS3" s="380" t="str">
        <f>Настройки!AD3</f>
        <v>IVXX[1]</v>
      </c>
      <c r="AT3" s="207" t="str">
        <f>Настройки!AB3</f>
        <v>Canal_02</v>
      </c>
      <c r="AU3" s="207" t="str">
        <f>Настройки!AC3</f>
        <v>IVXX[1]</v>
      </c>
      <c r="AV3" s="207" t="str">
        <f>Настройки!AD3</f>
        <v>IVXX[1]</v>
      </c>
      <c r="AW3" s="207" t="str">
        <f>Настройки!AE3</f>
        <v>IANS_1_2</v>
      </c>
      <c r="AX3" s="207" t="str">
        <f>Настройки!AF3</f>
        <v>IDIG_1_2</v>
      </c>
      <c r="AY3" s="207" t="str">
        <f>Настройки!AG3</f>
        <v>Canal_02</v>
      </c>
      <c r="AZ3" s="207" t="str">
        <f>Настройки!AH3</f>
        <v>Canal_02</v>
      </c>
      <c r="BA3" s="207" t="str">
        <f>Настройки!AI3</f>
        <v>Canal_02</v>
      </c>
      <c r="BB3" s="207" t="str">
        <f>Настройки!AJ3</f>
        <v>Canal_02</v>
      </c>
      <c r="BC3" s="207" t="str">
        <f>Настройки!AK3</f>
        <v>Canal_02</v>
      </c>
      <c r="BD3" s="207" t="str">
        <f>Настройки!AL3</f>
        <v>Canal_02</v>
      </c>
      <c r="BE3" s="207" t="str">
        <f>Настройки!AM3</f>
        <v>-</v>
      </c>
    </row>
    <row r="4" spans="1:57">
      <c r="A4" s="82"/>
      <c r="B4" s="82"/>
      <c r="C4" s="81"/>
      <c r="D4" s="81"/>
      <c r="E4" s="448" t="str">
        <f ca="1">IF(LEFT(E7,3)="out","INT_TO_BIT_BR"&amp;C7&amp;"(BR"&amp;C7&amp;".IDIG_MASK)","УДАЛИТЬ")</f>
        <v>УДАЛИТЬ</v>
      </c>
      <c r="F4" s="446" t="s">
        <v>845</v>
      </c>
      <c r="G4" s="447"/>
      <c r="H4" s="447"/>
      <c r="I4" s="459"/>
      <c r="M4" s="424" t="str">
        <f>'Конфигурация TREI'!A5</f>
        <v>BR3</v>
      </c>
      <c r="N4" s="424" t="str">
        <f>'Конфигурация TREI'!B5</f>
        <v>M548A</v>
      </c>
      <c r="P4" s="3" t="str">
        <f>Настройки!D2</f>
        <v/>
      </c>
      <c r="AE4" s="431">
        <f>Настройки!P4</f>
        <v>3</v>
      </c>
      <c r="AF4" s="380">
        <f>Настройки!Q4</f>
        <v>0</v>
      </c>
      <c r="AG4" s="380" t="str">
        <f>Настройки!R4</f>
        <v>IDIG_2_1</v>
      </c>
      <c r="AH4" s="380" t="str">
        <f>Настройки!S4</f>
        <v>IANS_2_3</v>
      </c>
      <c r="AI4" s="380" t="str">
        <f>Настройки!T4</f>
        <v>out2</v>
      </c>
      <c r="AJ4" s="380" t="str">
        <f>Настройки!U4</f>
        <v>out2</v>
      </c>
      <c r="AK4" s="380" t="str">
        <f>Настройки!V4</f>
        <v>ODIG_3</v>
      </c>
      <c r="AL4" s="380" t="str">
        <f>Настройки!W4</f>
        <v>OAN_3_1</v>
      </c>
      <c r="AM4" s="380" t="str">
        <f>Настройки!X4</f>
        <v>IANS_3_1</v>
      </c>
      <c r="AN4" s="380" t="str">
        <f>Настройки!Y4</f>
        <v>Canal_03</v>
      </c>
      <c r="AO4" s="380" t="str">
        <f>Настройки!Z4</f>
        <v>Canal_03</v>
      </c>
      <c r="AP4" s="380" t="str">
        <f>Настройки!AA4</f>
        <v>Canal_03</v>
      </c>
      <c r="AQ4" s="380" t="str">
        <f>Настройки!AB4</f>
        <v>Canal_03</v>
      </c>
      <c r="AR4" s="380" t="str">
        <f>Настройки!AC4</f>
        <v>IVXX[2]</v>
      </c>
      <c r="AS4" s="380" t="str">
        <f>Настройки!AD4</f>
        <v>IVXX[2]</v>
      </c>
      <c r="AT4" s="207" t="str">
        <f>Настройки!AB4</f>
        <v>Canal_03</v>
      </c>
      <c r="AU4" s="207" t="str">
        <f>Настройки!AC4</f>
        <v>IVXX[2]</v>
      </c>
      <c r="AV4" s="207" t="str">
        <f>Настройки!AD4</f>
        <v>IVXX[2]</v>
      </c>
      <c r="AW4" s="207" t="str">
        <f>Настройки!AE4</f>
        <v>IANS_2_1</v>
      </c>
      <c r="AX4" s="207" t="str">
        <f>Настройки!AF4</f>
        <v>IDIG_1_3</v>
      </c>
      <c r="AY4" s="207" t="str">
        <f>Настройки!AG4</f>
        <v>Canal_03</v>
      </c>
      <c r="AZ4" s="207" t="str">
        <f>Настройки!AH4</f>
        <v>Canal_03</v>
      </c>
      <c r="BA4" s="207" t="str">
        <f>Настройки!AI4</f>
        <v>Canal_03</v>
      </c>
      <c r="BB4" s="207" t="str">
        <f>Настройки!AJ4</f>
        <v>Canal_03</v>
      </c>
      <c r="BC4" s="207" t="str">
        <f>Настройки!AK4</f>
        <v>Canal_03</v>
      </c>
      <c r="BD4" s="207" t="str">
        <f>Настройки!AL4</f>
        <v>Canal_03</v>
      </c>
      <c r="BE4" s="207" t="str">
        <f>Настройки!AM4</f>
        <v>-</v>
      </c>
    </row>
    <row r="5" spans="1:57">
      <c r="A5" s="82"/>
      <c r="B5" s="82"/>
      <c r="C5" s="81"/>
      <c r="D5" s="81"/>
      <c r="E5" s="448" t="str">
        <f ca="1">IF(LEFT(E8,3)="out","INT_TO_BIT_BR"&amp;C8&amp;"(BR"&amp;C8&amp;".IDIG_MASK)","УДАЛИТЬ")</f>
        <v>УДАЛИТЬ</v>
      </c>
      <c r="F5" s="446" t="s">
        <v>845</v>
      </c>
      <c r="G5" s="447"/>
      <c r="H5" s="447"/>
      <c r="I5" s="459"/>
      <c r="M5" s="424" t="str">
        <f>'Конфигурация TREI'!A6</f>
        <v>BR4</v>
      </c>
      <c r="N5" s="424" t="str">
        <f>'Конфигурация TREI'!B6</f>
        <v>M558D</v>
      </c>
      <c r="AE5" s="431">
        <f>Настройки!P5</f>
        <v>4</v>
      </c>
      <c r="AF5" s="380">
        <f>Настройки!Q5</f>
        <v>0</v>
      </c>
      <c r="AG5" s="380" t="str">
        <f>Настройки!R5</f>
        <v>IDIG_2_2</v>
      </c>
      <c r="AH5" s="380" t="str">
        <f>Настройки!S5</f>
        <v>IANS_2_4</v>
      </c>
      <c r="AI5" s="380" t="str">
        <f>Настройки!T5</f>
        <v>out3</v>
      </c>
      <c r="AJ5" s="380" t="str">
        <f>Настройки!U5</f>
        <v>out3</v>
      </c>
      <c r="AK5" s="380" t="str">
        <f>Настройки!V5</f>
        <v>ODIG_4</v>
      </c>
      <c r="AL5" s="380" t="str">
        <f>Настройки!W5</f>
        <v>OAN_4_1</v>
      </c>
      <c r="AM5" s="380" t="str">
        <f>Настройки!X5</f>
        <v>IANS_4_1</v>
      </c>
      <c r="AN5" s="380" t="str">
        <f>Настройки!Y5</f>
        <v>Canal_04</v>
      </c>
      <c r="AO5" s="380" t="str">
        <f>Настройки!Z5</f>
        <v>Canal_04</v>
      </c>
      <c r="AP5" s="380" t="str">
        <f>Настройки!AA5</f>
        <v>Canal_04</v>
      </c>
      <c r="AQ5" s="380" t="str">
        <f>Настройки!AB5</f>
        <v>Canal_04</v>
      </c>
      <c r="AR5" s="380" t="str">
        <f>Настройки!AC5</f>
        <v>IVXX[3]</v>
      </c>
      <c r="AS5" s="380" t="str">
        <f>Настройки!AD5</f>
        <v>IVXX[3]</v>
      </c>
      <c r="AT5" s="207" t="str">
        <f>Настройки!AB5</f>
        <v>Canal_04</v>
      </c>
      <c r="AU5" s="207" t="str">
        <f>Настройки!AC5</f>
        <v>IVXX[3]</v>
      </c>
      <c r="AV5" s="207" t="str">
        <f>Настройки!AD5</f>
        <v>IVXX[3]</v>
      </c>
      <c r="AW5" s="207" t="str">
        <f>Настройки!AE5</f>
        <v>IANS_2_2</v>
      </c>
      <c r="AX5" s="207" t="str">
        <f>Настройки!AF5</f>
        <v>IDIG_1_4</v>
      </c>
      <c r="AY5" s="207" t="str">
        <f>Настройки!AG5</f>
        <v>Canal_04</v>
      </c>
      <c r="AZ5" s="207" t="str">
        <f>Настройки!AH5</f>
        <v>Canal_04</v>
      </c>
      <c r="BA5" s="207" t="str">
        <f>Настройки!AI5</f>
        <v>Canal_04</v>
      </c>
      <c r="BB5" s="207" t="str">
        <f>Настройки!AJ5</f>
        <v>Canal_04</v>
      </c>
      <c r="BC5" s="207" t="str">
        <f>Настройки!AK5</f>
        <v>Canal_04</v>
      </c>
      <c r="BD5" s="207" t="str">
        <f>Настройки!AL5</f>
        <v>Canal_04</v>
      </c>
      <c r="BE5" s="207" t="str">
        <f>Настройки!AM5</f>
        <v>-</v>
      </c>
    </row>
    <row r="6" spans="1:57">
      <c r="A6" s="448" t="str">
        <f>SUBSTITUTE($P$2,"\","|")&amp;"|"&amp; $S$1 &amp;":="&amp;IF(LEFT(SUBSTITUTE($S$2," ",""),1)="!","NOT  ","")</f>
        <v>KNS_P2|IONX:=</v>
      </c>
      <c r="B6" s="448" t="str">
        <f ca="1">IF(LEFT(E6,3)="out","INT_TO_BIT_BR","BR")</f>
        <v>BR</v>
      </c>
      <c r="C6" s="446" t="str">
        <f>LEFT($S$3,FIND("+",$S$3,1)-1)</f>
        <v>7</v>
      </c>
      <c r="D6" s="446" t="s">
        <v>178</v>
      </c>
      <c r="E6" s="446" t="str">
        <f ca="1">IF($S$2=0,"УДАЛИТЬ",IFERROR(IF(OR($I6="-",$H6="0"),"КАНАЛ ОТСУТСТВУЕТ",IF($I6=0,"МОДУЛЬ ОТСУТСТВУЕТ",$I6)),"ОШИБКА ФОРМАТА"))</f>
        <v>Canal_01</v>
      </c>
      <c r="F6" s="446" t="s">
        <v>845</v>
      </c>
      <c r="G6" s="447" t="str">
        <f>INDEX($N$2:$N$61,C6)</f>
        <v>M558O</v>
      </c>
      <c r="H6" s="447" t="str">
        <f>RIGHT(S$3,LEN(S$3)-FIND("+",S$3,1))</f>
        <v>1</v>
      </c>
      <c r="I6" s="460" t="str">
        <f ca="1">INDIRECT(ADDRESS($H6+1,MATCH($G6,$1:$1,),1))</f>
        <v>Canal_01</v>
      </c>
      <c r="M6" s="424" t="str">
        <f>'Конфигурация TREI'!A7</f>
        <v>BR5</v>
      </c>
      <c r="N6" s="424" t="str">
        <f>'Конфигурация TREI'!B7</f>
        <v>M558O</v>
      </c>
      <c r="AE6" s="431">
        <f>Настройки!P6</f>
        <v>5</v>
      </c>
      <c r="AF6" s="380">
        <f>Настройки!Q6</f>
        <v>0</v>
      </c>
      <c r="AG6" s="380" t="str">
        <f>Настройки!R6</f>
        <v>IDIG_3_1</v>
      </c>
      <c r="AH6" s="380" t="str">
        <f>Настройки!S6</f>
        <v>IANS_3_3</v>
      </c>
      <c r="AI6" s="380" t="str">
        <f>Настройки!T6</f>
        <v>out4</v>
      </c>
      <c r="AJ6" s="380" t="str">
        <f>Настройки!U6</f>
        <v>out4</v>
      </c>
      <c r="AK6" s="380" t="str">
        <f>Настройки!V6</f>
        <v>ODIG_5</v>
      </c>
      <c r="AL6" s="380" t="str">
        <f>Настройки!W6</f>
        <v>OAN_5_1</v>
      </c>
      <c r="AM6" s="380" t="str">
        <f>Настройки!X6</f>
        <v>IANS_5_1</v>
      </c>
      <c r="AN6" s="380" t="str">
        <f>Настройки!Y6</f>
        <v>Canal_05</v>
      </c>
      <c r="AO6" s="380" t="str">
        <f>Настройки!Z6</f>
        <v>Canal_05</v>
      </c>
      <c r="AP6" s="380" t="str">
        <f>Настройки!AA6</f>
        <v>Canal_05</v>
      </c>
      <c r="AQ6" s="380" t="str">
        <f>Настройки!AB6</f>
        <v>Canal_05</v>
      </c>
      <c r="AR6" s="380" t="str">
        <f>Настройки!AC6</f>
        <v>IVXX[4]</v>
      </c>
      <c r="AS6" s="380" t="str">
        <f>Настройки!AD6</f>
        <v>IVXX[4]</v>
      </c>
      <c r="AT6" s="207" t="str">
        <f>Настройки!AB6</f>
        <v>Canal_05</v>
      </c>
      <c r="AU6" s="207" t="str">
        <f>Настройки!AC6</f>
        <v>IVXX[4]</v>
      </c>
      <c r="AV6" s="207" t="str">
        <f>Настройки!AD6</f>
        <v>IVXX[4]</v>
      </c>
      <c r="AW6" s="207" t="str">
        <f>Настройки!AE6</f>
        <v>IANS_3_1</v>
      </c>
      <c r="AX6" s="207" t="str">
        <f>Настройки!AF6</f>
        <v>IDIG_2_1</v>
      </c>
      <c r="AY6" s="207" t="str">
        <f>Настройки!AG6</f>
        <v>Canal_05</v>
      </c>
      <c r="AZ6" s="207" t="str">
        <f>Настройки!AH6</f>
        <v>Canal_05</v>
      </c>
      <c r="BA6" s="207" t="str">
        <f>Настройки!AI6</f>
        <v>Canal_05</v>
      </c>
      <c r="BB6" s="207" t="str">
        <f>Настройки!AJ6</f>
        <v>Canal_05</v>
      </c>
      <c r="BC6" s="207" t="str">
        <f>Настройки!AK6</f>
        <v>Canal_05</v>
      </c>
      <c r="BD6" s="207" t="str">
        <f>Настройки!AL6</f>
        <v>Canal_05</v>
      </c>
      <c r="BE6" s="207" t="str">
        <f>Настройки!AM6</f>
        <v>-</v>
      </c>
    </row>
    <row r="7" spans="1:57">
      <c r="A7" s="448" t="str">
        <f>SUBSTITUTE($P$2,"\","|")&amp;"|"&amp; $T$1 &amp;":="&amp;IF(LEFT(SUBSTITUTE($T$2," ",""),1)="!","NOT  ","")</f>
        <v>KNS_P2|IOFX:=</v>
      </c>
      <c r="B7" s="448" t="str">
        <f ca="1">IF(LEFT(E7,3)="out","INT_TO_BIT_BR","BR")</f>
        <v>BR</v>
      </c>
      <c r="C7" s="446" t="str">
        <f>LEFT($T$3,FIND("+",$T$3,1)-1)</f>
        <v>7</v>
      </c>
      <c r="D7" s="446" t="s">
        <v>178</v>
      </c>
      <c r="E7" s="446" t="str">
        <f ca="1">IF($T$2=0,"УДАЛИТЬ",IFERROR(IF(OR($I7="-",$H7="0"),"КАНАЛ ОТСУТСТВУЕТ",IF($I7=0,"МОДУЛЬ ОТСУТСТВУЕТ",$I7)),"ОШИБКА ФОРМАТА"))</f>
        <v>Canal_05</v>
      </c>
      <c r="F7" s="446" t="s">
        <v>845</v>
      </c>
      <c r="G7" s="447" t="str">
        <f>INDEX($N$2:$N$61,C7)</f>
        <v>M558O</v>
      </c>
      <c r="H7" s="447" t="str">
        <f>RIGHT(T$3,LEN(T$3)-FIND("+",T$3,1))</f>
        <v>5</v>
      </c>
      <c r="I7" s="460" t="str">
        <f ca="1">INDIRECT(ADDRESS($H7+1,MATCH($G7,$1:$1,),1))</f>
        <v>Canal_05</v>
      </c>
      <c r="M7" s="424" t="str">
        <f>'Конфигурация TREI'!A8</f>
        <v>BR6</v>
      </c>
      <c r="N7" s="424" t="str">
        <f>'Конфигурация TREI'!B8</f>
        <v>M558O</v>
      </c>
      <c r="AE7" s="431">
        <f>Настройки!P7</f>
        <v>6</v>
      </c>
      <c r="AF7" s="380">
        <f>Настройки!Q7</f>
        <v>0</v>
      </c>
      <c r="AG7" s="380" t="str">
        <f>Настройки!R7</f>
        <v>IDIG_3_2</v>
      </c>
      <c r="AH7" s="380" t="str">
        <f>Настройки!S7</f>
        <v>IANS_3_4</v>
      </c>
      <c r="AI7" s="380" t="str">
        <f>Настройки!T7</f>
        <v>out5</v>
      </c>
      <c r="AJ7" s="380" t="str">
        <f>Настройки!U7</f>
        <v>out5</v>
      </c>
      <c r="AK7" s="380" t="str">
        <f>Настройки!V7</f>
        <v>ODIG_6</v>
      </c>
      <c r="AL7" s="380" t="str">
        <f>Настройки!W7</f>
        <v>OAN_6_1</v>
      </c>
      <c r="AM7" s="380" t="str">
        <f>Настройки!X7</f>
        <v>IANS_6_1</v>
      </c>
      <c r="AN7" s="380" t="str">
        <f>Настройки!Y7</f>
        <v>Canal_06</v>
      </c>
      <c r="AO7" s="380" t="str">
        <f>Настройки!Z7</f>
        <v>Canal_06</v>
      </c>
      <c r="AP7" s="380" t="str">
        <f>Настройки!AA7</f>
        <v>Canal_06</v>
      </c>
      <c r="AQ7" s="380" t="str">
        <f>Настройки!AB7</f>
        <v>Canal_06</v>
      </c>
      <c r="AR7" s="380" t="str">
        <f>Настройки!AC7</f>
        <v>IVXX[5]</v>
      </c>
      <c r="AS7" s="380" t="str">
        <f>Настройки!AD7</f>
        <v>IVXX[5]</v>
      </c>
      <c r="AT7" s="207" t="str">
        <f>Настройки!AB7</f>
        <v>Canal_06</v>
      </c>
      <c r="AU7" s="207" t="str">
        <f>Настройки!AC7</f>
        <v>IVXX[5]</v>
      </c>
      <c r="AV7" s="207" t="str">
        <f>Настройки!AD7</f>
        <v>IVXX[5]</v>
      </c>
      <c r="AW7" s="207" t="str">
        <f>Настройки!AE7</f>
        <v>IANS_3_2</v>
      </c>
      <c r="AX7" s="207" t="str">
        <f>Настройки!AF7</f>
        <v>IDIG_2_2</v>
      </c>
      <c r="AY7" s="207" t="str">
        <f>Настройки!AG7</f>
        <v>Canal_06</v>
      </c>
      <c r="AZ7" s="207" t="str">
        <f>Настройки!AH7</f>
        <v>Canal_06</v>
      </c>
      <c r="BA7" s="207" t="str">
        <f>Настройки!AI7</f>
        <v>Canal_06</v>
      </c>
      <c r="BB7" s="207" t="str">
        <f>Настройки!AJ7</f>
        <v>Canal_06</v>
      </c>
      <c r="BC7" s="207" t="str">
        <f>Настройки!AK7</f>
        <v>Canal_06</v>
      </c>
      <c r="BD7" s="207" t="str">
        <f>Настройки!AL7</f>
        <v>Canal_06</v>
      </c>
      <c r="BE7" s="207" t="str">
        <f>Настройки!AM7</f>
        <v>-</v>
      </c>
    </row>
    <row r="8" spans="1:57">
      <c r="A8" s="448" t="str">
        <f>SUBSTITUTE($P$2,"\","|")&amp;"|"&amp; $W$1 &amp;":="&amp;IF(LEFT(SUBSTITUTE($W$2," ",""),1)="!","NOT  ","")</f>
        <v>KNS_P2|IFXX:=</v>
      </c>
      <c r="B8" s="448" t="str">
        <f ca="1">IF(LEFT(E8,3)="out","INT_TO_BIT_BR","BR")</f>
        <v>BR</v>
      </c>
      <c r="C8" s="446" t="str">
        <f>LEFT($W$3,FIND("+",$W$3,1)-1)</f>
        <v>6</v>
      </c>
      <c r="D8" s="446" t="s">
        <v>178</v>
      </c>
      <c r="E8" s="446" t="str">
        <f ca="1">IF($W$2=0,"УДАЛИТЬ",IFERROR(IF(OR($I8="-",$H8="0"),"КАНАЛ ОТСУТСТВУЕТ",IF($I8=0,"МОДУЛЬ ОТСУТСТВУЕТ",$I8)),"ОШИБКА ФОРМАТА"))</f>
        <v>Canal_15</v>
      </c>
      <c r="F8" s="446" t="s">
        <v>845</v>
      </c>
      <c r="G8" s="447" t="str">
        <f>INDEX($N$2:$N$61,C8)</f>
        <v>M558O</v>
      </c>
      <c r="H8" s="447" t="str">
        <f>RIGHT($W$3,LEN($W$3)-FIND("+",$W$3,1))</f>
        <v>15</v>
      </c>
      <c r="I8" s="460" t="str">
        <f ca="1">INDIRECT(ADDRESS($H8+1,MATCH($G8,$1:$1,),1))</f>
        <v>Canal_15</v>
      </c>
      <c r="M8" s="424" t="str">
        <f>'Конфигурация TREI'!A9</f>
        <v>BR7</v>
      </c>
      <c r="N8" s="424" t="str">
        <f>'Конфигурация TREI'!B9</f>
        <v>M558O</v>
      </c>
      <c r="AE8" s="431">
        <f>Настройки!P8</f>
        <v>7</v>
      </c>
      <c r="AF8" s="380">
        <f>Настройки!Q8</f>
        <v>0</v>
      </c>
      <c r="AG8" s="380" t="str">
        <f>Настройки!R8</f>
        <v>IDIG_4_1</v>
      </c>
      <c r="AH8" s="380" t="str">
        <f>Настройки!S8</f>
        <v>IANS_4_3</v>
      </c>
      <c r="AI8" s="380" t="str">
        <f>Настройки!T8</f>
        <v>out6</v>
      </c>
      <c r="AJ8" s="380" t="str">
        <f>Настройки!U8</f>
        <v>out6</v>
      </c>
      <c r="AK8" s="380" t="str">
        <f>Настройки!V8</f>
        <v>ODIG_7</v>
      </c>
      <c r="AL8" s="380" t="str">
        <f>Настройки!W8</f>
        <v>OAN_7_1</v>
      </c>
      <c r="AM8" s="380" t="str">
        <f>Настройки!X8</f>
        <v>IANS_7_1</v>
      </c>
      <c r="AN8" s="380" t="str">
        <f>Настройки!Y8</f>
        <v>Canal_07</v>
      </c>
      <c r="AO8" s="380" t="str">
        <f>Настройки!Z8</f>
        <v>Canal_07</v>
      </c>
      <c r="AP8" s="380" t="str">
        <f>Настройки!AA8</f>
        <v>Canal_07</v>
      </c>
      <c r="AQ8" s="380" t="str">
        <f>Настройки!AB8</f>
        <v>Canal_07</v>
      </c>
      <c r="AR8" s="380" t="str">
        <f>Настройки!AC8</f>
        <v>IVXX[6]</v>
      </c>
      <c r="AS8" s="380" t="str">
        <f>Настройки!AD8</f>
        <v>IVXX[6]</v>
      </c>
      <c r="AT8" s="207" t="str">
        <f>Настройки!AB8</f>
        <v>Canal_07</v>
      </c>
      <c r="AU8" s="207" t="str">
        <f>Настройки!AC8</f>
        <v>IVXX[6]</v>
      </c>
      <c r="AV8" s="207" t="str">
        <f>Настройки!AD8</f>
        <v>IVXX[6]</v>
      </c>
      <c r="AW8" s="207" t="str">
        <f>Настройки!AE8</f>
        <v>IANS_4_1</v>
      </c>
      <c r="AX8" s="207" t="str">
        <f>Настройки!AF8</f>
        <v>IDIG_2_3</v>
      </c>
      <c r="AY8" s="207" t="str">
        <f>Настройки!AG8</f>
        <v>Canal_07</v>
      </c>
      <c r="AZ8" s="207" t="str">
        <f>Настройки!AH8</f>
        <v>Canal_07</v>
      </c>
      <c r="BA8" s="207" t="str">
        <f>Настройки!AI8</f>
        <v>Canal_07</v>
      </c>
      <c r="BB8" s="207" t="str">
        <f>Настройки!AJ8</f>
        <v>Canal_07</v>
      </c>
      <c r="BC8" s="207" t="str">
        <f>Настройки!AK8</f>
        <v>Canal_07</v>
      </c>
      <c r="BD8" s="207" t="str">
        <f>Настройки!AL8</f>
        <v>Canal_07</v>
      </c>
      <c r="BE8" s="207" t="str">
        <f>Настройки!AM8</f>
        <v>-</v>
      </c>
    </row>
    <row r="9" spans="1:57">
      <c r="A9" s="448" t="str">
        <f>SUBSTITUTE($P$2,"\","|")&amp;"|"&amp;"D"&amp; RIGHT($S$1,3)&amp;":="&amp;P4&amp;"NOT_LINK_BR"</f>
        <v>KNS_P2|DONX:=NOT_LINK_BR</v>
      </c>
      <c r="B9" s="448"/>
      <c r="C9" s="455"/>
      <c r="D9" s="446"/>
      <c r="E9" s="446" t="str">
        <f>IFERROR(LEFT($S$3,FIND("+",$S$3,1)-1),"УДАЛИТЬ")</f>
        <v>7</v>
      </c>
      <c r="F9" s="446" t="s">
        <v>845</v>
      </c>
      <c r="G9" s="447"/>
      <c r="H9" s="447"/>
      <c r="I9" s="1"/>
      <c r="M9" s="424" t="str">
        <f>'Конфигурация TREI'!A10</f>
        <v>BR8</v>
      </c>
      <c r="N9" s="424" t="str">
        <f>'Конфигурация TREI'!B10</f>
        <v>M558O</v>
      </c>
      <c r="AE9" s="431">
        <f>Настройки!P9</f>
        <v>8</v>
      </c>
      <c r="AF9" s="380">
        <f>Настройки!Q9</f>
        <v>0</v>
      </c>
      <c r="AG9" s="380" t="str">
        <f>Настройки!R9</f>
        <v>IDIG_4_2</v>
      </c>
      <c r="AH9" s="380" t="str">
        <f>Настройки!S9</f>
        <v>IANS_4_4</v>
      </c>
      <c r="AI9" s="380" t="str">
        <f>Настройки!T9</f>
        <v>out7</v>
      </c>
      <c r="AJ9" s="380" t="str">
        <f>Настройки!U9</f>
        <v>out7</v>
      </c>
      <c r="AK9" s="380" t="str">
        <f>Настройки!V9</f>
        <v>ODIG_8</v>
      </c>
      <c r="AL9" s="380" t="str">
        <f>Настройки!W9</f>
        <v>OAN_8_1</v>
      </c>
      <c r="AM9" s="380" t="str">
        <f>Настройки!X9</f>
        <v>IANS_8_1</v>
      </c>
      <c r="AN9" s="380" t="str">
        <f>Настройки!Y9</f>
        <v>Canal_08</v>
      </c>
      <c r="AO9" s="380" t="str">
        <f>Настройки!Z9</f>
        <v>Canal_08</v>
      </c>
      <c r="AP9" s="380" t="str">
        <f>Настройки!AA9</f>
        <v>Canal_08</v>
      </c>
      <c r="AQ9" s="380" t="str">
        <f>Настройки!AB9</f>
        <v>Canal_08</v>
      </c>
      <c r="AR9" s="380" t="str">
        <f>Настройки!AC9</f>
        <v>IVXX[7]</v>
      </c>
      <c r="AS9" s="380" t="str">
        <f>Настройки!AD9</f>
        <v>IVXX[7]</v>
      </c>
      <c r="AT9" s="207" t="str">
        <f>Настройки!AB9</f>
        <v>Canal_08</v>
      </c>
      <c r="AU9" s="207" t="str">
        <f>Настройки!AC9</f>
        <v>IVXX[7]</v>
      </c>
      <c r="AV9" s="207" t="str">
        <f>Настройки!AD9</f>
        <v>IVXX[7]</v>
      </c>
      <c r="AW9" s="207" t="str">
        <f>Настройки!AE9</f>
        <v>IANS_4_2</v>
      </c>
      <c r="AX9" s="207" t="str">
        <f>Настройки!AF9</f>
        <v>IDIG_2_4</v>
      </c>
      <c r="AY9" s="207" t="str">
        <f>Настройки!AG9</f>
        <v>Canal_08</v>
      </c>
      <c r="AZ9" s="207" t="str">
        <f>Настройки!AH9</f>
        <v>Canal_08</v>
      </c>
      <c r="BA9" s="207" t="str">
        <f>Настройки!AI9</f>
        <v>Canal_08</v>
      </c>
      <c r="BB9" s="207" t="str">
        <f>Настройки!AJ9</f>
        <v>Canal_08</v>
      </c>
      <c r="BC9" s="207" t="str">
        <f>Настройки!AK9</f>
        <v>Canal_08</v>
      </c>
      <c r="BD9" s="207" t="str">
        <f>Настройки!AL9</f>
        <v>Canal_08</v>
      </c>
      <c r="BE9" s="207" t="str">
        <f>Настройки!AM9</f>
        <v>-</v>
      </c>
    </row>
    <row r="10" spans="1:57">
      <c r="A10" s="448" t="str">
        <f>SUBSTITUTE($P$2,"\","|")&amp;"|"&amp;"D"&amp; RIGHT($T$1,3)&amp;":="&amp;P4&amp;"NOT_LINK_BR"</f>
        <v>KNS_P2|DOFX:=NOT_LINK_BR</v>
      </c>
      <c r="B10" s="448"/>
      <c r="C10" s="455"/>
      <c r="D10" s="446"/>
      <c r="E10" s="446" t="str">
        <f>IFERROR(LEFT($T$3,FIND("+",$T$3,1)-1),"УДАЛИТЬ")</f>
        <v>7</v>
      </c>
      <c r="F10" s="446" t="s">
        <v>845</v>
      </c>
      <c r="G10" s="447"/>
      <c r="H10" s="447"/>
      <c r="I10" s="1"/>
      <c r="M10" s="424" t="str">
        <f>'Конфигурация TREI'!A11</f>
        <v>BR9</v>
      </c>
      <c r="N10" s="424" t="str">
        <f>'Конфигурация TREI'!B11</f>
        <v>M558D</v>
      </c>
      <c r="AE10" s="431">
        <f>Настройки!P10</f>
        <v>9</v>
      </c>
      <c r="AF10" s="380">
        <f>Настройки!Q10</f>
        <v>0</v>
      </c>
      <c r="AG10" s="380" t="str">
        <f>Настройки!R10</f>
        <v>IDIG_5_1</v>
      </c>
      <c r="AH10" s="380" t="str">
        <f>Настройки!S10</f>
        <v>IANS_5_3</v>
      </c>
      <c r="AI10" s="380" t="str">
        <f>Настройки!T10</f>
        <v>out8</v>
      </c>
      <c r="AJ10" s="380" t="str">
        <f>Настройки!U10</f>
        <v>out8</v>
      </c>
      <c r="AK10" s="380" t="str">
        <f>Настройки!V10</f>
        <v>ODIG_9</v>
      </c>
      <c r="AL10" s="380" t="str">
        <f>Настройки!W10</f>
        <v>-</v>
      </c>
      <c r="AM10" s="380" t="str">
        <f>Настройки!X10</f>
        <v>-</v>
      </c>
      <c r="AN10" s="380" t="str">
        <f>Настройки!Y10</f>
        <v>Canal_09</v>
      </c>
      <c r="AO10" s="380" t="str">
        <f>Настройки!Z10</f>
        <v>-</v>
      </c>
      <c r="AP10" s="380" t="str">
        <f>Настройки!AA10</f>
        <v>Canal_09</v>
      </c>
      <c r="AQ10" s="380" t="str">
        <f>Настройки!AB10</f>
        <v>Canal_09</v>
      </c>
      <c r="AR10" s="380" t="str">
        <f>Настройки!AC10</f>
        <v>OCCH[0]</v>
      </c>
      <c r="AS10" s="380" t="str">
        <f>Настройки!AD10</f>
        <v>OCCH[0]</v>
      </c>
      <c r="AT10" s="207" t="str">
        <f>Настройки!AB10</f>
        <v>Canal_09</v>
      </c>
      <c r="AU10" s="207" t="str">
        <f>Настройки!AC10</f>
        <v>OCCH[0]</v>
      </c>
      <c r="AV10" s="207" t="str">
        <f>Настройки!AD10</f>
        <v>OCCH[0]</v>
      </c>
      <c r="AW10" s="207" t="str">
        <f>Настройки!AE10</f>
        <v>IANS_5_1</v>
      </c>
      <c r="AX10" s="207" t="str">
        <f>Настройки!AF10</f>
        <v>IDIG_3_1</v>
      </c>
      <c r="AY10" s="207" t="str">
        <f>Настройки!AG10</f>
        <v>Canal_09</v>
      </c>
      <c r="AZ10" s="207" t="str">
        <f>Настройки!AH10</f>
        <v>Canal_09</v>
      </c>
      <c r="BA10" s="207" t="str">
        <f>Настройки!AI10</f>
        <v>Canal_09</v>
      </c>
      <c r="BB10" s="207" t="str">
        <f>Настройки!AJ10</f>
        <v>Canal_09</v>
      </c>
      <c r="BC10" s="207" t="str">
        <f>Настройки!AK10</f>
        <v>-</v>
      </c>
      <c r="BD10" s="207" t="str">
        <f>Настройки!AL10</f>
        <v>Canal_09</v>
      </c>
      <c r="BE10" s="207" t="str">
        <f>Настройки!AM10</f>
        <v>-</v>
      </c>
    </row>
    <row r="11" spans="1:57">
      <c r="A11" s="448" t="str">
        <f>SUBSTITUTE($P$2,"\","|")&amp;"|"&amp;"D"&amp; RIGHT($W$1,3)&amp;":="&amp;P4&amp;"NOT_LINK_BR"</f>
        <v>KNS_P2|DFXX:=NOT_LINK_BR</v>
      </c>
      <c r="B11" s="448"/>
      <c r="C11" s="455"/>
      <c r="D11" s="446"/>
      <c r="E11" s="446" t="str">
        <f>IFERROR(LEFT($W$3,FIND("+",$W$3,1)-1),"УДАЛИТЬ")</f>
        <v>6</v>
      </c>
      <c r="F11" s="446" t="s">
        <v>845</v>
      </c>
      <c r="G11" s="447"/>
      <c r="H11" s="447"/>
      <c r="I11" s="1"/>
      <c r="M11" s="424" t="str">
        <f>'Конфигурация TREI'!A12</f>
        <v>BR10</v>
      </c>
      <c r="N11" s="424" t="str">
        <f>'Конфигурация TREI'!B12</f>
        <v>M558O</v>
      </c>
      <c r="AE11" s="431">
        <f>Настройки!P11</f>
        <v>10</v>
      </c>
      <c r="AF11" s="380">
        <f>Настройки!Q11</f>
        <v>0</v>
      </c>
      <c r="AG11" s="380" t="str">
        <f>Настройки!R11</f>
        <v>IDIG_5_2</v>
      </c>
      <c r="AH11" s="380" t="str">
        <f>Настройки!S11</f>
        <v>IANS_5_4</v>
      </c>
      <c r="AI11" s="380" t="str">
        <f>Настройки!T11</f>
        <v>out9</v>
      </c>
      <c r="AJ11" s="380" t="str">
        <f>Настройки!U11</f>
        <v>out9</v>
      </c>
      <c r="AK11" s="380" t="str">
        <f>Настройки!V11</f>
        <v>ODIG_10</v>
      </c>
      <c r="AL11" s="380" t="str">
        <f>Настройки!W11</f>
        <v>-</v>
      </c>
      <c r="AM11" s="380" t="str">
        <f>Настройки!X11</f>
        <v>-</v>
      </c>
      <c r="AN11" s="380" t="str">
        <f>Настройки!Y11</f>
        <v>Canal_10</v>
      </c>
      <c r="AO11" s="380" t="str">
        <f>Настройки!Z11</f>
        <v>-</v>
      </c>
      <c r="AP11" s="380" t="str">
        <f>Настройки!AA11</f>
        <v>Canal_10</v>
      </c>
      <c r="AQ11" s="380" t="str">
        <f>Настройки!AB11</f>
        <v>Canal_10</v>
      </c>
      <c r="AR11" s="380" t="str">
        <f>Настройки!AC11</f>
        <v>OCCH[1]</v>
      </c>
      <c r="AS11" s="380" t="str">
        <f>Настройки!AD11</f>
        <v>OCCH[1]</v>
      </c>
      <c r="AT11" s="207" t="str">
        <f>Настройки!AB11</f>
        <v>Canal_10</v>
      </c>
      <c r="AU11" s="207" t="str">
        <f>Настройки!AC11</f>
        <v>OCCH[1]</v>
      </c>
      <c r="AV11" s="207" t="str">
        <f>Настройки!AD11</f>
        <v>OCCH[1]</v>
      </c>
      <c r="AW11" s="207" t="str">
        <f>Настройки!AE11</f>
        <v>IANS_5_2</v>
      </c>
      <c r="AX11" s="207" t="str">
        <f>Настройки!AF11</f>
        <v>IDIG_3_2</v>
      </c>
      <c r="AY11" s="207" t="str">
        <f>Настройки!AG11</f>
        <v>Canal_10</v>
      </c>
      <c r="AZ11" s="207" t="str">
        <f>Настройки!AH11</f>
        <v>Canal_10</v>
      </c>
      <c r="BA11" s="207" t="str">
        <f>Настройки!AI11</f>
        <v>Canal_10</v>
      </c>
      <c r="BB11" s="207" t="str">
        <f>Настройки!AJ11</f>
        <v>Canal_10</v>
      </c>
      <c r="BC11" s="207" t="str">
        <f>Настройки!AK11</f>
        <v>-</v>
      </c>
      <c r="BD11" s="207" t="str">
        <f>Настройки!AL11</f>
        <v>Canal_10</v>
      </c>
      <c r="BE11" s="207" t="str">
        <f>Настройки!AM11</f>
        <v>-</v>
      </c>
    </row>
    <row r="12" spans="1:57">
      <c r="A12" s="82"/>
      <c r="B12" s="82"/>
      <c r="C12" s="11"/>
      <c r="D12" s="81"/>
      <c r="E12" s="81"/>
      <c r="F12" s="81"/>
      <c r="G12" s="445"/>
      <c r="H12" s="445"/>
      <c r="I12" s="1"/>
      <c r="M12" s="424" t="str">
        <f>'Конфигурация TREI'!A13</f>
        <v>BR11</v>
      </c>
      <c r="N12" s="424" t="str">
        <f>'Конфигурация TREI'!B13</f>
        <v>M558D</v>
      </c>
      <c r="AE12" s="431">
        <f>Настройки!P12</f>
        <v>11</v>
      </c>
      <c r="AF12" s="380">
        <f>Настройки!Q12</f>
        <v>0</v>
      </c>
      <c r="AG12" s="380" t="str">
        <f>Настройки!R12</f>
        <v>IDIG_6_1</v>
      </c>
      <c r="AH12" s="380" t="str">
        <f>Настройки!S12</f>
        <v>IANS_6_3</v>
      </c>
      <c r="AI12" s="380" t="str">
        <f>Настройки!T12</f>
        <v>out10</v>
      </c>
      <c r="AJ12" s="380" t="str">
        <f>Настройки!U12</f>
        <v>out10</v>
      </c>
      <c r="AK12" s="380" t="str">
        <f>Настройки!V12</f>
        <v>ODIG_11</v>
      </c>
      <c r="AL12" s="380" t="str">
        <f>Настройки!W12</f>
        <v>-</v>
      </c>
      <c r="AM12" s="380" t="str">
        <f>Настройки!X12</f>
        <v>-</v>
      </c>
      <c r="AN12" s="380" t="str">
        <f>Настройки!Y12</f>
        <v>Canal_11</v>
      </c>
      <c r="AO12" s="380" t="str">
        <f>Настройки!Z12</f>
        <v>-</v>
      </c>
      <c r="AP12" s="380" t="str">
        <f>Настройки!AA12</f>
        <v>Canal_11</v>
      </c>
      <c r="AQ12" s="380" t="str">
        <f>Настройки!AB12</f>
        <v>Canal_11</v>
      </c>
      <c r="AR12" s="380" t="str">
        <f>Настройки!AC12</f>
        <v>OCCH[2]</v>
      </c>
      <c r="AS12" s="380" t="str">
        <f>Настройки!AD12</f>
        <v>OCCH[2]</v>
      </c>
      <c r="AT12" s="207" t="str">
        <f>Настройки!AB12</f>
        <v>Canal_11</v>
      </c>
      <c r="AU12" s="207" t="str">
        <f>Настройки!AC12</f>
        <v>OCCH[2]</v>
      </c>
      <c r="AV12" s="207" t="str">
        <f>Настройки!AD12</f>
        <v>OCCH[2]</v>
      </c>
      <c r="AW12" s="207" t="str">
        <f>Настройки!AE12</f>
        <v>IANS_6_1</v>
      </c>
      <c r="AX12" s="207" t="str">
        <f>Настройки!AF12</f>
        <v>IDIG_3_3</v>
      </c>
      <c r="AY12" s="207" t="str">
        <f>Настройки!AG12</f>
        <v>Canal_11</v>
      </c>
      <c r="AZ12" s="207" t="str">
        <f>Настройки!AH12</f>
        <v>Canal_11</v>
      </c>
      <c r="BA12" s="207" t="str">
        <f>Настройки!AI12</f>
        <v>Canal_11</v>
      </c>
      <c r="BB12" s="207" t="str">
        <f>Настройки!AJ12</f>
        <v>Canal_11</v>
      </c>
      <c r="BC12" s="207" t="str">
        <f>Настройки!AK12</f>
        <v>-</v>
      </c>
      <c r="BD12" s="207" t="str">
        <f>Настройки!AL12</f>
        <v>Canal_11</v>
      </c>
      <c r="BE12" s="207" t="str">
        <f>Настройки!AM12</f>
        <v>-</v>
      </c>
    </row>
    <row r="13" spans="1:57">
      <c r="A13" s="82"/>
      <c r="B13" s="82"/>
      <c r="C13" s="11"/>
      <c r="D13" s="81"/>
      <c r="E13" s="81"/>
      <c r="F13" s="81"/>
      <c r="G13" s="445"/>
      <c r="H13" s="445"/>
      <c r="I13" s="1"/>
      <c r="M13" s="424" t="str">
        <f>'Конфигурация TREI'!A14</f>
        <v>BR12</v>
      </c>
      <c r="N13" s="424" t="str">
        <f>'Конфигурация TREI'!B14</f>
        <v>M558D</v>
      </c>
      <c r="AE13" s="431">
        <f>Настройки!P13</f>
        <v>12</v>
      </c>
      <c r="AF13" s="380">
        <f>Настройки!Q13</f>
        <v>0</v>
      </c>
      <c r="AG13" s="380" t="str">
        <f>Настройки!R13</f>
        <v>IDIG_6_2</v>
      </c>
      <c r="AH13" s="380" t="str">
        <f>Настройки!S13</f>
        <v>IANS_6_4</v>
      </c>
      <c r="AI13" s="380" t="str">
        <f>Настройки!T13</f>
        <v>out11</v>
      </c>
      <c r="AJ13" s="380" t="str">
        <f>Настройки!U13</f>
        <v>out11</v>
      </c>
      <c r="AK13" s="380" t="str">
        <f>Настройки!V13</f>
        <v>ODIG_12</v>
      </c>
      <c r="AL13" s="380" t="str">
        <f>Настройки!W13</f>
        <v>-</v>
      </c>
      <c r="AM13" s="380" t="str">
        <f>Настройки!X13</f>
        <v>-</v>
      </c>
      <c r="AN13" s="380" t="str">
        <f>Настройки!Y13</f>
        <v>Canal_12</v>
      </c>
      <c r="AO13" s="380" t="str">
        <f>Настройки!Z13</f>
        <v>-</v>
      </c>
      <c r="AP13" s="380" t="str">
        <f>Настройки!AA13</f>
        <v>Canal_12</v>
      </c>
      <c r="AQ13" s="380" t="str">
        <f>Настройки!AB13</f>
        <v>Canal_12</v>
      </c>
      <c r="AR13" s="380" t="str">
        <f>Настройки!AC13</f>
        <v>OCCH[3]</v>
      </c>
      <c r="AS13" s="380" t="str">
        <f>Настройки!AD13</f>
        <v>OCCH[3]</v>
      </c>
      <c r="AT13" s="207" t="str">
        <f>Настройки!AB13</f>
        <v>Canal_12</v>
      </c>
      <c r="AU13" s="207" t="str">
        <f>Настройки!AC13</f>
        <v>OCCH[3]</v>
      </c>
      <c r="AV13" s="207" t="str">
        <f>Настройки!AD13</f>
        <v>OCCH[3]</v>
      </c>
      <c r="AW13" s="207" t="str">
        <f>Настройки!AE13</f>
        <v>IANS_6_2</v>
      </c>
      <c r="AX13" s="207" t="str">
        <f>Настройки!AF13</f>
        <v>IDIG_3_4</v>
      </c>
      <c r="AY13" s="207" t="str">
        <f>Настройки!AG13</f>
        <v>Canal_12</v>
      </c>
      <c r="AZ13" s="207" t="str">
        <f>Настройки!AH13</f>
        <v>Canal_12</v>
      </c>
      <c r="BA13" s="207" t="str">
        <f>Настройки!AI13</f>
        <v>Canal_12</v>
      </c>
      <c r="BB13" s="207" t="str">
        <f>Настройки!AJ13</f>
        <v>Canal_12</v>
      </c>
      <c r="BC13" s="207" t="str">
        <f>Настройки!AK13</f>
        <v>-</v>
      </c>
      <c r="BD13" s="207" t="str">
        <f>Настройки!AL13</f>
        <v>Canal_12</v>
      </c>
      <c r="BE13" s="207" t="str">
        <f>Настройки!AM13</f>
        <v>-</v>
      </c>
    </row>
    <row r="14" spans="1:57">
      <c r="A14" s="82"/>
      <c r="B14" s="82"/>
      <c r="C14" s="11"/>
      <c r="D14" s="81"/>
      <c r="E14" s="81"/>
      <c r="F14" s="81"/>
      <c r="G14" s="445"/>
      <c r="H14" s="445"/>
      <c r="I14" s="1"/>
      <c r="M14" s="424" t="str">
        <f>'Конфигурация TREI'!A15</f>
        <v>BR13</v>
      </c>
      <c r="N14" s="424" t="str">
        <f>'Конфигурация TREI'!B15</f>
        <v>M558D</v>
      </c>
      <c r="AE14" s="431">
        <f>Настройки!P14</f>
        <v>13</v>
      </c>
      <c r="AF14" s="380">
        <f>Настройки!Q14</f>
        <v>0</v>
      </c>
      <c r="AG14" s="380" t="str">
        <f>Настройки!R14</f>
        <v>IDIG_7_1</v>
      </c>
      <c r="AH14" s="380" t="str">
        <f>Настройки!S14</f>
        <v>IANS_7_3</v>
      </c>
      <c r="AI14" s="380" t="str">
        <f>Настройки!T14</f>
        <v>out12</v>
      </c>
      <c r="AJ14" s="380" t="str">
        <f>Настройки!U14</f>
        <v>out12</v>
      </c>
      <c r="AK14" s="380" t="str">
        <f>Настройки!V14</f>
        <v>ODIG_13</v>
      </c>
      <c r="AL14" s="380" t="str">
        <f>Настройки!W14</f>
        <v>-</v>
      </c>
      <c r="AM14" s="380" t="str">
        <f>Настройки!X14</f>
        <v>-</v>
      </c>
      <c r="AN14" s="380" t="str">
        <f>Настройки!Y14</f>
        <v>Canal_13</v>
      </c>
      <c r="AO14" s="380" t="str">
        <f>Настройки!Z14</f>
        <v>-</v>
      </c>
      <c r="AP14" s="380" t="str">
        <f>Настройки!AA14</f>
        <v>Canal_13</v>
      </c>
      <c r="AQ14" s="380" t="str">
        <f>Настройки!AB14</f>
        <v>Canal_13</v>
      </c>
      <c r="AR14" s="380" t="str">
        <f>Настройки!AC14</f>
        <v>OCCH[4]</v>
      </c>
      <c r="AS14" s="380" t="str">
        <f>Настройки!AD14</f>
        <v>OCCH[4]</v>
      </c>
      <c r="AT14" s="207" t="str">
        <f>Настройки!AB14</f>
        <v>Canal_13</v>
      </c>
      <c r="AU14" s="207" t="str">
        <f>Настройки!AC14</f>
        <v>OCCH[4]</v>
      </c>
      <c r="AV14" s="207" t="str">
        <f>Настройки!AD14</f>
        <v>OCCH[4]</v>
      </c>
      <c r="AW14" s="207" t="str">
        <f>Настройки!AE14</f>
        <v>IANS_7_1</v>
      </c>
      <c r="AX14" s="207" t="str">
        <f>Настройки!AF14</f>
        <v>IDIG_4_1</v>
      </c>
      <c r="AY14" s="207" t="str">
        <f>Настройки!AG14</f>
        <v>Canal_13</v>
      </c>
      <c r="AZ14" s="207" t="str">
        <f>Настройки!AH14</f>
        <v>Canal_13</v>
      </c>
      <c r="BA14" s="207" t="str">
        <f>Настройки!AI14</f>
        <v>Canal_13</v>
      </c>
      <c r="BB14" s="207" t="str">
        <f>Настройки!AJ14</f>
        <v>Canal_13</v>
      </c>
      <c r="BC14" s="207" t="str">
        <f>Настройки!AK14</f>
        <v>-</v>
      </c>
      <c r="BD14" s="207" t="str">
        <f>Настройки!AL14</f>
        <v>Canal_13</v>
      </c>
      <c r="BE14" s="207" t="str">
        <f>Настройки!AM14</f>
        <v>-</v>
      </c>
    </row>
    <row r="15" spans="1:57">
      <c r="A15" s="82"/>
      <c r="B15" s="82"/>
      <c r="C15" s="11"/>
      <c r="D15" s="81"/>
      <c r="E15" s="81"/>
      <c r="F15" s="81"/>
      <c r="G15" s="445"/>
      <c r="H15" s="445"/>
      <c r="I15" s="1"/>
      <c r="M15" s="424" t="str">
        <f>'Конфигурация TREI'!A16</f>
        <v>BR14</v>
      </c>
      <c r="N15" s="424" t="str">
        <f>'Конфигурация TREI'!B16</f>
        <v>M558D</v>
      </c>
      <c r="AE15" s="431">
        <f>Настройки!P15</f>
        <v>14</v>
      </c>
      <c r="AF15" s="380">
        <f>Настройки!Q15</f>
        <v>0</v>
      </c>
      <c r="AG15" s="380" t="str">
        <f>Настройки!R15</f>
        <v>IDIG_7_2</v>
      </c>
      <c r="AH15" s="380" t="str">
        <f>Настройки!S15</f>
        <v>IANS_7_4</v>
      </c>
      <c r="AI15" s="380" t="str">
        <f>Настройки!T15</f>
        <v>out13</v>
      </c>
      <c r="AJ15" s="380" t="str">
        <f>Настройки!U15</f>
        <v>out13</v>
      </c>
      <c r="AK15" s="380" t="str">
        <f>Настройки!V15</f>
        <v>ODIG_14</v>
      </c>
      <c r="AL15" s="380" t="str">
        <f>Настройки!W15</f>
        <v>-</v>
      </c>
      <c r="AM15" s="380" t="str">
        <f>Настройки!X15</f>
        <v>-</v>
      </c>
      <c r="AN15" s="380" t="str">
        <f>Настройки!Y15</f>
        <v>Canal_14</v>
      </c>
      <c r="AO15" s="380" t="str">
        <f>Настройки!Z15</f>
        <v>-</v>
      </c>
      <c r="AP15" s="380" t="str">
        <f>Настройки!AA15</f>
        <v>Canal_14</v>
      </c>
      <c r="AQ15" s="380" t="str">
        <f>Настройки!AB15</f>
        <v>Canal_14</v>
      </c>
      <c r="AR15" s="380" t="str">
        <f>Настройки!AC15</f>
        <v>OCCH[5]</v>
      </c>
      <c r="AS15" s="380" t="str">
        <f>Настройки!AD15</f>
        <v>OCCH[5]</v>
      </c>
      <c r="AT15" s="207" t="str">
        <f>Настройки!AB15</f>
        <v>Canal_14</v>
      </c>
      <c r="AU15" s="207" t="str">
        <f>Настройки!AC15</f>
        <v>OCCH[5]</v>
      </c>
      <c r="AV15" s="207" t="str">
        <f>Настройки!AD15</f>
        <v>OCCH[5]</v>
      </c>
      <c r="AW15" s="207" t="str">
        <f>Настройки!AE15</f>
        <v>IANS_7_2</v>
      </c>
      <c r="AX15" s="207" t="str">
        <f>Настройки!AF15</f>
        <v>IDIG_4_2</v>
      </c>
      <c r="AY15" s="207" t="str">
        <f>Настройки!AG15</f>
        <v>Canal_14</v>
      </c>
      <c r="AZ15" s="207" t="str">
        <f>Настройки!AH15</f>
        <v>Canal_14</v>
      </c>
      <c r="BA15" s="207" t="str">
        <f>Настройки!AI15</f>
        <v>Canal_14</v>
      </c>
      <c r="BB15" s="207" t="str">
        <f>Настройки!AJ15</f>
        <v>Canal_14</v>
      </c>
      <c r="BC15" s="207" t="str">
        <f>Настройки!AK15</f>
        <v>-</v>
      </c>
      <c r="BD15" s="207" t="str">
        <f>Настройки!AL15</f>
        <v>Canal_14</v>
      </c>
      <c r="BE15" s="207" t="str">
        <f>Настройки!AM15</f>
        <v>-</v>
      </c>
    </row>
    <row r="16" spans="1:57">
      <c r="A16" s="82"/>
      <c r="B16" s="82"/>
      <c r="C16" s="11"/>
      <c r="D16" s="81"/>
      <c r="E16" s="81"/>
      <c r="F16" s="81"/>
      <c r="G16" s="445"/>
      <c r="H16" s="445"/>
      <c r="I16" s="1"/>
      <c r="M16" s="424" t="str">
        <f>'Конфигурация TREI'!A17</f>
        <v>BR15</v>
      </c>
      <c r="N16" s="424" t="str">
        <f>'Конфигурация TREI'!B17</f>
        <v>M558O</v>
      </c>
      <c r="AE16" s="431">
        <f>Настройки!P16</f>
        <v>15</v>
      </c>
      <c r="AF16" s="380">
        <f>Настройки!Q16</f>
        <v>0</v>
      </c>
      <c r="AG16" s="380" t="str">
        <f>Настройки!R16</f>
        <v>IDIG_8_1</v>
      </c>
      <c r="AH16" s="380" t="str">
        <f>Настройки!S16</f>
        <v>IANS_8_3</v>
      </c>
      <c r="AI16" s="380" t="str">
        <f>Настройки!T16</f>
        <v>out14</v>
      </c>
      <c r="AJ16" s="380" t="str">
        <f>Настройки!U16</f>
        <v>out14</v>
      </c>
      <c r="AK16" s="380" t="str">
        <f>Настройки!V16</f>
        <v>ODIG_15</v>
      </c>
      <c r="AL16" s="380" t="str">
        <f>Настройки!W16</f>
        <v>-</v>
      </c>
      <c r="AM16" s="380" t="str">
        <f>Настройки!X16</f>
        <v>-</v>
      </c>
      <c r="AN16" s="380" t="str">
        <f>Настройки!Y16</f>
        <v>Canal_15</v>
      </c>
      <c r="AO16" s="380" t="str">
        <f>Настройки!Z16</f>
        <v>-</v>
      </c>
      <c r="AP16" s="380" t="str">
        <f>Настройки!AA16</f>
        <v>Canal_15</v>
      </c>
      <c r="AQ16" s="380" t="str">
        <f>Настройки!AB16</f>
        <v>Canal_15</v>
      </c>
      <c r="AR16" s="380" t="str">
        <f>Настройки!AC16</f>
        <v>OCCH[6]</v>
      </c>
      <c r="AS16" s="380" t="str">
        <f>Настройки!AD16</f>
        <v>OCCH[6]</v>
      </c>
      <c r="AT16" s="207" t="str">
        <f>Настройки!AB16</f>
        <v>Canal_15</v>
      </c>
      <c r="AU16" s="207" t="str">
        <f>Настройки!AC16</f>
        <v>OCCH[6]</v>
      </c>
      <c r="AV16" s="207" t="str">
        <f>Настройки!AD16</f>
        <v>OCCH[6]</v>
      </c>
      <c r="AW16" s="207" t="str">
        <f>Настройки!AE16</f>
        <v>IANS_8_1</v>
      </c>
      <c r="AX16" s="207" t="str">
        <f>Настройки!AF16</f>
        <v>IDIG_4_3</v>
      </c>
      <c r="AY16" s="207" t="str">
        <f>Настройки!AG16</f>
        <v>Canal_15</v>
      </c>
      <c r="AZ16" s="207" t="str">
        <f>Настройки!AH16</f>
        <v>Canal_15</v>
      </c>
      <c r="BA16" s="207" t="str">
        <f>Настройки!AI16</f>
        <v>Canal_15</v>
      </c>
      <c r="BB16" s="207" t="str">
        <f>Настройки!AJ16</f>
        <v>Canal_15</v>
      </c>
      <c r="BC16" s="207" t="str">
        <f>Настройки!AK16</f>
        <v>-</v>
      </c>
      <c r="BD16" s="207" t="str">
        <f>Настройки!AL16</f>
        <v>Canal_15</v>
      </c>
      <c r="BE16" s="207" t="str">
        <f>Настройки!AM16</f>
        <v>-</v>
      </c>
    </row>
    <row r="17" spans="1:57">
      <c r="A17" s="82"/>
      <c r="B17" s="82"/>
      <c r="C17" s="11"/>
      <c r="D17" s="81"/>
      <c r="E17" s="81"/>
      <c r="F17" s="81"/>
      <c r="G17" s="445"/>
      <c r="H17" s="445"/>
      <c r="I17" s="1"/>
      <c r="M17" s="424" t="str">
        <f>'Конфигурация TREI'!A18</f>
        <v>BR16</v>
      </c>
      <c r="N17" s="424" t="str">
        <f>'Конфигурация TREI'!B18</f>
        <v>M558O</v>
      </c>
      <c r="AE17" s="431">
        <f>Настройки!P17</f>
        <v>16</v>
      </c>
      <c r="AF17" s="380">
        <f>Настройки!Q17</f>
        <v>0</v>
      </c>
      <c r="AG17" s="380" t="str">
        <f>Настройки!R17</f>
        <v>IDIG_8_2</v>
      </c>
      <c r="AH17" s="380" t="str">
        <f>Настройки!S17</f>
        <v>IANS_8_4</v>
      </c>
      <c r="AI17" s="380" t="str">
        <f>Настройки!T17</f>
        <v>out15</v>
      </c>
      <c r="AJ17" s="380" t="str">
        <f>Настройки!U17</f>
        <v>out15</v>
      </c>
      <c r="AK17" s="380" t="str">
        <f>Настройки!V17</f>
        <v>ODIG_16</v>
      </c>
      <c r="AL17" s="380" t="str">
        <f>Настройки!W17</f>
        <v>-</v>
      </c>
      <c r="AM17" s="380" t="str">
        <f>Настройки!X17</f>
        <v>-</v>
      </c>
      <c r="AN17" s="380" t="str">
        <f>Настройки!Y17</f>
        <v>Canal_16</v>
      </c>
      <c r="AO17" s="380" t="str">
        <f>Настройки!Z17</f>
        <v>-</v>
      </c>
      <c r="AP17" s="380" t="str">
        <f>Настройки!AA17</f>
        <v>Canal_16</v>
      </c>
      <c r="AQ17" s="380" t="str">
        <f>Настройки!AB17</f>
        <v>Canal_16</v>
      </c>
      <c r="AR17" s="380" t="str">
        <f>Настройки!AC17</f>
        <v>OCCH[7]</v>
      </c>
      <c r="AS17" s="380" t="str">
        <f>Настройки!AD17</f>
        <v>OCCH[7]</v>
      </c>
      <c r="AT17" s="207" t="str">
        <f>Настройки!AB17</f>
        <v>Canal_16</v>
      </c>
      <c r="AU17" s="207" t="str">
        <f>Настройки!AC17</f>
        <v>OCCH[7]</v>
      </c>
      <c r="AV17" s="207" t="str">
        <f>Настройки!AD17</f>
        <v>OCCH[7]</v>
      </c>
      <c r="AW17" s="207" t="str">
        <f>Настройки!AE17</f>
        <v>IANS_8_2</v>
      </c>
      <c r="AX17" s="207" t="str">
        <f>Настройки!AF17</f>
        <v>IDIG_4_4</v>
      </c>
      <c r="AY17" s="207" t="str">
        <f>Настройки!AG17</f>
        <v>Canal_16</v>
      </c>
      <c r="AZ17" s="207" t="str">
        <f>Настройки!AH17</f>
        <v>Canal_16</v>
      </c>
      <c r="BA17" s="207" t="str">
        <f>Настройки!AI17</f>
        <v>Canal_16</v>
      </c>
      <c r="BB17" s="207" t="str">
        <f>Настройки!AJ17</f>
        <v>Canal_16</v>
      </c>
      <c r="BC17" s="207" t="str">
        <f>Настройки!AK17</f>
        <v>-</v>
      </c>
      <c r="BD17" s="207" t="str">
        <f>Настройки!AL17</f>
        <v>Canal_16</v>
      </c>
      <c r="BE17" s="207" t="str">
        <f>Настройки!AM17</f>
        <v>-</v>
      </c>
    </row>
    <row r="18" spans="1:57">
      <c r="A18" s="82"/>
      <c r="B18" s="82"/>
      <c r="C18" s="11"/>
      <c r="D18" s="81"/>
      <c r="E18" s="81"/>
      <c r="F18" s="81"/>
      <c r="G18" s="445"/>
      <c r="H18" s="445"/>
      <c r="I18" s="1"/>
      <c r="M18" s="424" t="str">
        <f>'Конфигурация TREI'!A19</f>
        <v>BR17</v>
      </c>
      <c r="N18" s="424" t="str">
        <f>'Конфигурация TREI'!B19</f>
        <v>M558O</v>
      </c>
      <c r="AE18" s="428">
        <f>Настройки!P18</f>
        <v>17</v>
      </c>
      <c r="AF18" s="380">
        <f>Настройки!Q18</f>
        <v>0</v>
      </c>
      <c r="AG18" s="380" t="str">
        <f>Настройки!R18</f>
        <v>-</v>
      </c>
      <c r="AH18" s="380" t="str">
        <f>Настройки!S18</f>
        <v>-</v>
      </c>
      <c r="AI18" s="380" t="str">
        <f>Настройки!T18</f>
        <v>out16</v>
      </c>
      <c r="AJ18" s="380" t="str">
        <f>Настройки!U18</f>
        <v>out16</v>
      </c>
      <c r="AK18" s="380" t="str">
        <f>Настройки!V18</f>
        <v>-</v>
      </c>
      <c r="AL18" s="380" t="str">
        <f>Настройки!W18</f>
        <v>-</v>
      </c>
      <c r="AM18" s="380" t="str">
        <f>Настройки!X18</f>
        <v>-</v>
      </c>
      <c r="AN18" s="380" t="str">
        <f>Настройки!Y18</f>
        <v>-</v>
      </c>
      <c r="AO18" s="380" t="str">
        <f>Настройки!Z18</f>
        <v>-</v>
      </c>
      <c r="AP18" s="380" t="str">
        <f>Настройки!AA18</f>
        <v>Canal_17</v>
      </c>
      <c r="AQ18" s="380" t="str">
        <f>Настройки!AB18</f>
        <v>Canal_17</v>
      </c>
      <c r="AR18" s="380" t="str">
        <f>Настройки!AC18</f>
        <v>-</v>
      </c>
      <c r="AS18" s="380" t="str">
        <f>Настройки!AD18</f>
        <v>-</v>
      </c>
      <c r="AT18" s="207" t="str">
        <f>Настройки!AB18</f>
        <v>Canal_17</v>
      </c>
      <c r="AU18" s="207" t="str">
        <f>Настройки!AC18</f>
        <v>-</v>
      </c>
      <c r="AV18" s="207" t="str">
        <f>Настройки!AD18</f>
        <v>-</v>
      </c>
      <c r="AW18" s="207" t="str">
        <f>Настройки!AE18</f>
        <v>-</v>
      </c>
      <c r="AX18" s="207" t="str">
        <f>Настройки!AF18</f>
        <v>IDIG_5_1</v>
      </c>
      <c r="AY18" s="207" t="str">
        <f>Настройки!AG18</f>
        <v>Canal_17</v>
      </c>
      <c r="AZ18" s="207" t="str">
        <f>Настройки!AH18</f>
        <v>Canal_17</v>
      </c>
      <c r="BA18" s="207" t="str">
        <f>Настройки!AI18</f>
        <v>Canal_17</v>
      </c>
      <c r="BB18" s="207" t="str">
        <f>Настройки!AJ18</f>
        <v>-</v>
      </c>
      <c r="BC18" s="207" t="str">
        <f>Настройки!AK18</f>
        <v>-</v>
      </c>
      <c r="BD18" s="207" t="str">
        <f>Настройки!AL18</f>
        <v>Canal_17</v>
      </c>
      <c r="BE18" s="207" t="str">
        <f>Настройки!AM18</f>
        <v>-</v>
      </c>
    </row>
    <row r="19" spans="1:57">
      <c r="A19" s="82"/>
      <c r="B19" s="82"/>
      <c r="C19" s="11"/>
      <c r="D19" s="81"/>
      <c r="E19" s="81"/>
      <c r="F19" s="81"/>
      <c r="G19" s="445"/>
      <c r="H19" s="445"/>
      <c r="I19" s="1"/>
      <c r="M19" s="424" t="str">
        <f>'Конфигурация TREI'!A20</f>
        <v>BR18</v>
      </c>
      <c r="N19" s="424" t="str">
        <f>'Конфигурация TREI'!B20</f>
        <v>M558O</v>
      </c>
      <c r="AE19" s="428">
        <f>Настройки!P19</f>
        <v>18</v>
      </c>
      <c r="AF19" s="380">
        <f>Настройки!Q19</f>
        <v>0</v>
      </c>
      <c r="AG19" s="380" t="str">
        <f>Настройки!R19</f>
        <v>-</v>
      </c>
      <c r="AH19" s="380" t="str">
        <f>Настройки!S19</f>
        <v>-</v>
      </c>
      <c r="AI19" s="380" t="str">
        <f>Настройки!T19</f>
        <v>out17</v>
      </c>
      <c r="AJ19" s="380" t="str">
        <f>Настройки!U19</f>
        <v>out17</v>
      </c>
      <c r="AK19" s="380" t="str">
        <f>Настройки!V19</f>
        <v>-</v>
      </c>
      <c r="AL19" s="380" t="str">
        <f>Настройки!W19</f>
        <v>-</v>
      </c>
      <c r="AM19" s="380" t="str">
        <f>Настройки!X19</f>
        <v>-</v>
      </c>
      <c r="AN19" s="380" t="str">
        <f>Настройки!Y19</f>
        <v>-</v>
      </c>
      <c r="AO19" s="380" t="str">
        <f>Настройки!Z19</f>
        <v>-</v>
      </c>
      <c r="AP19" s="380" t="str">
        <f>Настройки!AA19</f>
        <v>Canal_18</v>
      </c>
      <c r="AQ19" s="380" t="str">
        <f>Настройки!AB19</f>
        <v>Canal_18</v>
      </c>
      <c r="AR19" s="380" t="str">
        <f>Настройки!AC19</f>
        <v>-</v>
      </c>
      <c r="AS19" s="380" t="str">
        <f>Настройки!AD19</f>
        <v>-</v>
      </c>
      <c r="AT19" s="207" t="str">
        <f>Настройки!AB19</f>
        <v>Canal_18</v>
      </c>
      <c r="AU19" s="207" t="str">
        <f>Настройки!AC19</f>
        <v>-</v>
      </c>
      <c r="AV19" s="207" t="str">
        <f>Настройки!AD19</f>
        <v>-</v>
      </c>
      <c r="AW19" s="207" t="str">
        <f>Настройки!AE19</f>
        <v>-</v>
      </c>
      <c r="AX19" s="207" t="str">
        <f>Настройки!AF19</f>
        <v>IDIG_5_2</v>
      </c>
      <c r="AY19" s="207" t="str">
        <f>Настройки!AG19</f>
        <v>Canal_18</v>
      </c>
      <c r="AZ19" s="207" t="str">
        <f>Настройки!AH19</f>
        <v>Canal_18</v>
      </c>
      <c r="BA19" s="207" t="str">
        <f>Настройки!AI19</f>
        <v>Canal_18</v>
      </c>
      <c r="BB19" s="207" t="str">
        <f>Настройки!AJ19</f>
        <v>-</v>
      </c>
      <c r="BC19" s="207" t="str">
        <f>Настройки!AK19</f>
        <v>-</v>
      </c>
      <c r="BD19" s="207" t="str">
        <f>Настройки!AL19</f>
        <v>Canal_18</v>
      </c>
      <c r="BE19" s="207" t="str">
        <f>Настройки!AM19</f>
        <v>-</v>
      </c>
    </row>
    <row r="20" spans="1:57">
      <c r="A20" s="82"/>
      <c r="B20" s="82"/>
      <c r="C20" s="11"/>
      <c r="D20" s="81"/>
      <c r="E20" s="81"/>
      <c r="F20" s="81"/>
      <c r="G20" s="447"/>
      <c r="H20" s="447"/>
      <c r="I20" s="1"/>
      <c r="M20" s="424" t="str">
        <f>'Конфигурация TREI'!A21</f>
        <v>BR19</v>
      </c>
      <c r="N20" s="424" t="str">
        <f>'Конфигурация TREI'!B21</f>
        <v>M558O</v>
      </c>
      <c r="AE20" s="428">
        <f>Настройки!P20</f>
        <v>19</v>
      </c>
      <c r="AF20" s="380">
        <f>Настройки!Q20</f>
        <v>0</v>
      </c>
      <c r="AG20" s="380" t="str">
        <f>Настройки!R20</f>
        <v>-</v>
      </c>
      <c r="AH20" s="380" t="str">
        <f>Настройки!S20</f>
        <v>-</v>
      </c>
      <c r="AI20" s="380" t="str">
        <f>Настройки!T20</f>
        <v>out18</v>
      </c>
      <c r="AJ20" s="380" t="str">
        <f>Настройки!U20</f>
        <v>out18</v>
      </c>
      <c r="AK20" s="380" t="str">
        <f>Настройки!V20</f>
        <v>-</v>
      </c>
      <c r="AL20" s="380" t="str">
        <f>Настройки!W20</f>
        <v>-</v>
      </c>
      <c r="AM20" s="380" t="str">
        <f>Настройки!X20</f>
        <v>-</v>
      </c>
      <c r="AN20" s="380" t="str">
        <f>Настройки!Y20</f>
        <v>-</v>
      </c>
      <c r="AO20" s="380" t="str">
        <f>Настройки!Z20</f>
        <v>-</v>
      </c>
      <c r="AP20" s="380" t="str">
        <f>Настройки!AA20</f>
        <v>Canal_19</v>
      </c>
      <c r="AQ20" s="380" t="str">
        <f>Настройки!AB20</f>
        <v>Canal_19</v>
      </c>
      <c r="AR20" s="380" t="str">
        <f>Настройки!AC20</f>
        <v>-</v>
      </c>
      <c r="AS20" s="380" t="str">
        <f>Настройки!AD20</f>
        <v>-</v>
      </c>
      <c r="AT20" s="207" t="str">
        <f>Настройки!AB20</f>
        <v>Canal_19</v>
      </c>
      <c r="AU20" s="207" t="str">
        <f>Настройки!AC20</f>
        <v>-</v>
      </c>
      <c r="AV20" s="207" t="str">
        <f>Настройки!AD20</f>
        <v>-</v>
      </c>
      <c r="AW20" s="207" t="str">
        <f>Настройки!AE20</f>
        <v>-</v>
      </c>
      <c r="AX20" s="207" t="str">
        <f>Настройки!AF20</f>
        <v>IDIG_5_3</v>
      </c>
      <c r="AY20" s="207" t="str">
        <f>Настройки!AG20</f>
        <v>Canal_19</v>
      </c>
      <c r="AZ20" s="207" t="str">
        <f>Настройки!AH20</f>
        <v>Canal_19</v>
      </c>
      <c r="BA20" s="207" t="str">
        <f>Настройки!AI20</f>
        <v>Canal_19</v>
      </c>
      <c r="BB20" s="207" t="str">
        <f>Настройки!AJ20</f>
        <v>-</v>
      </c>
      <c r="BC20" s="207" t="str">
        <f>Настройки!AK20</f>
        <v>-</v>
      </c>
      <c r="BD20" s="207" t="str">
        <f>Настройки!AL20</f>
        <v>Canal_19</v>
      </c>
      <c r="BE20" s="207" t="str">
        <f>Настройки!AM20</f>
        <v>-</v>
      </c>
    </row>
    <row r="21" spans="1:57">
      <c r="A21" s="82"/>
      <c r="B21" s="82"/>
      <c r="C21" s="11"/>
      <c r="D21" s="81"/>
      <c r="E21" s="81"/>
      <c r="F21" s="81"/>
      <c r="G21" s="447"/>
      <c r="H21" s="447"/>
      <c r="I21" s="1"/>
      <c r="M21" s="424" t="str">
        <f>'Конфигурация TREI'!A22</f>
        <v>BR20</v>
      </c>
      <c r="N21" s="424" t="str">
        <f>'Конфигурация TREI'!B22</f>
        <v>M558D</v>
      </c>
      <c r="AE21" s="428">
        <f>Настройки!P21</f>
        <v>20</v>
      </c>
      <c r="AF21" s="380">
        <f>Настройки!Q21</f>
        <v>0</v>
      </c>
      <c r="AG21" s="380" t="str">
        <f>Настройки!R21</f>
        <v>-</v>
      </c>
      <c r="AH21" s="380" t="str">
        <f>Настройки!S21</f>
        <v>-</v>
      </c>
      <c r="AI21" s="380" t="str">
        <f>Настройки!T21</f>
        <v>out19</v>
      </c>
      <c r="AJ21" s="380" t="str">
        <f>Настройки!U21</f>
        <v>out19</v>
      </c>
      <c r="AK21" s="380" t="str">
        <f>Настройки!V21</f>
        <v>-</v>
      </c>
      <c r="AL21" s="380" t="str">
        <f>Настройки!W21</f>
        <v>-</v>
      </c>
      <c r="AM21" s="380" t="str">
        <f>Настройки!X21</f>
        <v>-</v>
      </c>
      <c r="AN21" s="380" t="str">
        <f>Настройки!Y21</f>
        <v>-</v>
      </c>
      <c r="AO21" s="380" t="str">
        <f>Настройки!Z21</f>
        <v>-</v>
      </c>
      <c r="AP21" s="380" t="str">
        <f>Настройки!AA21</f>
        <v>Canal_20</v>
      </c>
      <c r="AQ21" s="380" t="str">
        <f>Настройки!AB21</f>
        <v>Canal_20</v>
      </c>
      <c r="AR21" s="380" t="str">
        <f>Настройки!AC21</f>
        <v>-</v>
      </c>
      <c r="AS21" s="380" t="str">
        <f>Настройки!AD21</f>
        <v>-</v>
      </c>
      <c r="AT21" s="207" t="str">
        <f>Настройки!AB21</f>
        <v>Canal_20</v>
      </c>
      <c r="AU21" s="207" t="str">
        <f>Настройки!AC21</f>
        <v>-</v>
      </c>
      <c r="AV21" s="207" t="str">
        <f>Настройки!AD21</f>
        <v>-</v>
      </c>
      <c r="AW21" s="207" t="str">
        <f>Настройки!AE21</f>
        <v>-</v>
      </c>
      <c r="AX21" s="207" t="str">
        <f>Настройки!AF21</f>
        <v>IDIG_5_4</v>
      </c>
      <c r="AY21" s="207" t="str">
        <f>Настройки!AG21</f>
        <v>Canal_20</v>
      </c>
      <c r="AZ21" s="207" t="str">
        <f>Настройки!AH21</f>
        <v>Canal_20</v>
      </c>
      <c r="BA21" s="207" t="str">
        <f>Настройки!AI21</f>
        <v>Canal_20</v>
      </c>
      <c r="BB21" s="207" t="str">
        <f>Настройки!AJ21</f>
        <v>-</v>
      </c>
      <c r="BC21" s="207" t="str">
        <f>Настройки!AK21</f>
        <v>-</v>
      </c>
      <c r="BD21" s="207" t="str">
        <f>Настройки!AL21</f>
        <v>Canal_20</v>
      </c>
      <c r="BE21" s="207" t="str">
        <f>Настройки!AM21</f>
        <v>-</v>
      </c>
    </row>
    <row r="22" spans="1:57">
      <c r="A22" s="82"/>
      <c r="B22" s="82"/>
      <c r="C22" s="11"/>
      <c r="D22" s="81"/>
      <c r="E22" s="81"/>
      <c r="F22" s="81"/>
      <c r="G22" s="447"/>
      <c r="H22" s="447"/>
      <c r="I22" s="1"/>
      <c r="M22" s="424" t="str">
        <f>'Конфигурация TREI'!A23</f>
        <v>BR21</v>
      </c>
      <c r="N22" s="424" t="str">
        <f>'Конфигурация TREI'!B23</f>
        <v>M558O</v>
      </c>
      <c r="AE22" s="428">
        <f>Настройки!P22</f>
        <v>21</v>
      </c>
      <c r="AF22" s="380">
        <f>Настройки!Q22</f>
        <v>0</v>
      </c>
      <c r="AG22" s="380" t="str">
        <f>Настройки!R22</f>
        <v>-</v>
      </c>
      <c r="AH22" s="380" t="str">
        <f>Настройки!S22</f>
        <v>-</v>
      </c>
      <c r="AI22" s="380" t="str">
        <f>Настройки!T22</f>
        <v>out20</v>
      </c>
      <c r="AJ22" s="380" t="str">
        <f>Настройки!U22</f>
        <v>out20</v>
      </c>
      <c r="AK22" s="380" t="str">
        <f>Настройки!V22</f>
        <v>-</v>
      </c>
      <c r="AL22" s="380" t="str">
        <f>Настройки!W22</f>
        <v>-</v>
      </c>
      <c r="AM22" s="380" t="str">
        <f>Настройки!X22</f>
        <v>-</v>
      </c>
      <c r="AN22" s="380" t="str">
        <f>Настройки!Y22</f>
        <v>-</v>
      </c>
      <c r="AO22" s="380" t="str">
        <f>Настройки!Z22</f>
        <v>-</v>
      </c>
      <c r="AP22" s="380" t="str">
        <f>Настройки!AA22</f>
        <v>Canal_21</v>
      </c>
      <c r="AQ22" s="380" t="str">
        <f>Настройки!AB22</f>
        <v>Canal_21</v>
      </c>
      <c r="AR22" s="380" t="str">
        <f>Настройки!AC22</f>
        <v>-</v>
      </c>
      <c r="AS22" s="380" t="str">
        <f>Настройки!AD22</f>
        <v>-</v>
      </c>
      <c r="AT22" s="207" t="str">
        <f>Настройки!AB22</f>
        <v>Canal_21</v>
      </c>
      <c r="AU22" s="207" t="str">
        <f>Настройки!AC22</f>
        <v>-</v>
      </c>
      <c r="AV22" s="207" t="str">
        <f>Настройки!AD22</f>
        <v>-</v>
      </c>
      <c r="AW22" s="207" t="str">
        <f>Настройки!AE22</f>
        <v>-</v>
      </c>
      <c r="AX22" s="207" t="str">
        <f>Настройки!AF22</f>
        <v>IDIG_6_1</v>
      </c>
      <c r="AY22" s="207" t="str">
        <f>Настройки!AG22</f>
        <v>Canal_21</v>
      </c>
      <c r="AZ22" s="207" t="str">
        <f>Настройки!AH22</f>
        <v>Canal_21</v>
      </c>
      <c r="BA22" s="207" t="str">
        <f>Настройки!AI22</f>
        <v>Canal_21</v>
      </c>
      <c r="BB22" s="207" t="str">
        <f>Настройки!AJ22</f>
        <v>-</v>
      </c>
      <c r="BC22" s="207" t="str">
        <f>Настройки!AK22</f>
        <v>-</v>
      </c>
      <c r="BD22" s="207" t="str">
        <f>Настройки!AL22</f>
        <v>Canal_21</v>
      </c>
      <c r="BE22" s="207" t="str">
        <f>Настройки!AM22</f>
        <v>-</v>
      </c>
    </row>
    <row r="23" spans="1:57">
      <c r="A23" s="82"/>
      <c r="B23" s="82"/>
      <c r="C23" s="11"/>
      <c r="D23" s="81"/>
      <c r="E23" s="81"/>
      <c r="F23" s="81"/>
      <c r="G23" s="447"/>
      <c r="H23" s="447"/>
      <c r="I23" s="1"/>
      <c r="M23" s="424" t="str">
        <f>'Конфигурация TREI'!A24</f>
        <v>BR22</v>
      </c>
      <c r="N23" s="424" t="str">
        <f>'Конфигурация TREI'!B24</f>
        <v>M558D</v>
      </c>
      <c r="AE23" s="428">
        <f>Настройки!P23</f>
        <v>22</v>
      </c>
      <c r="AF23" s="380">
        <f>Настройки!Q23</f>
        <v>0</v>
      </c>
      <c r="AG23" s="380" t="str">
        <f>Настройки!R23</f>
        <v>-</v>
      </c>
      <c r="AH23" s="380" t="str">
        <f>Настройки!S23</f>
        <v>-</v>
      </c>
      <c r="AI23" s="380" t="str">
        <f>Настройки!T23</f>
        <v>out21</v>
      </c>
      <c r="AJ23" s="380" t="str">
        <f>Настройки!U23</f>
        <v>out21</v>
      </c>
      <c r="AK23" s="380" t="str">
        <f>Настройки!V23</f>
        <v>-</v>
      </c>
      <c r="AL23" s="380" t="str">
        <f>Настройки!W23</f>
        <v>-</v>
      </c>
      <c r="AM23" s="380" t="str">
        <f>Настройки!X23</f>
        <v>-</v>
      </c>
      <c r="AN23" s="380" t="str">
        <f>Настройки!Y23</f>
        <v>-</v>
      </c>
      <c r="AO23" s="380" t="str">
        <f>Настройки!Z23</f>
        <v>-</v>
      </c>
      <c r="AP23" s="380" t="str">
        <f>Настройки!AA23</f>
        <v>Canal_22</v>
      </c>
      <c r="AQ23" s="380" t="str">
        <f>Настройки!AB23</f>
        <v>Canal_22</v>
      </c>
      <c r="AR23" s="380" t="str">
        <f>Настройки!AC23</f>
        <v>-</v>
      </c>
      <c r="AS23" s="380" t="str">
        <f>Настройки!AD23</f>
        <v>-</v>
      </c>
      <c r="AT23" s="207" t="str">
        <f>Настройки!AB23</f>
        <v>Canal_22</v>
      </c>
      <c r="AU23" s="207" t="str">
        <f>Настройки!AC23</f>
        <v>-</v>
      </c>
      <c r="AV23" s="207" t="str">
        <f>Настройки!AD23</f>
        <v>-</v>
      </c>
      <c r="AW23" s="207" t="str">
        <f>Настройки!AE23</f>
        <v>-</v>
      </c>
      <c r="AX23" s="207" t="str">
        <f>Настройки!AF23</f>
        <v>IDIG_6_2</v>
      </c>
      <c r="AY23" s="207" t="str">
        <f>Настройки!AG23</f>
        <v>Canal_22</v>
      </c>
      <c r="AZ23" s="207" t="str">
        <f>Настройки!AH23</f>
        <v>Canal_22</v>
      </c>
      <c r="BA23" s="207" t="str">
        <f>Настройки!AI23</f>
        <v>Canal_22</v>
      </c>
      <c r="BB23" s="207" t="str">
        <f>Настройки!AJ23</f>
        <v>-</v>
      </c>
      <c r="BC23" s="207" t="str">
        <f>Настройки!AK23</f>
        <v>-</v>
      </c>
      <c r="BD23" s="207" t="str">
        <f>Настройки!AL23</f>
        <v>Canal_22</v>
      </c>
      <c r="BE23" s="207" t="str">
        <f>Настройки!AM23</f>
        <v>-</v>
      </c>
    </row>
    <row r="24" spans="1:57">
      <c r="A24" s="82"/>
      <c r="B24" s="82"/>
      <c r="C24" s="11"/>
      <c r="D24" s="81"/>
      <c r="E24" s="81"/>
      <c r="F24" s="81"/>
      <c r="G24" s="447"/>
      <c r="H24" s="447"/>
      <c r="I24" s="1"/>
      <c r="M24" s="424" t="str">
        <f>'Конфигурация TREI'!A25</f>
        <v>BR23</v>
      </c>
      <c r="N24" s="424" t="str">
        <f>'Конфигурация TREI'!B25</f>
        <v>M558O</v>
      </c>
      <c r="AE24" s="428">
        <f>Настройки!P24</f>
        <v>23</v>
      </c>
      <c r="AF24" s="380">
        <f>Настройки!Q24</f>
        <v>0</v>
      </c>
      <c r="AG24" s="380" t="str">
        <f>Настройки!R24</f>
        <v>-</v>
      </c>
      <c r="AH24" s="380" t="str">
        <f>Настройки!S24</f>
        <v>-</v>
      </c>
      <c r="AI24" s="380" t="str">
        <f>Настройки!T24</f>
        <v>out22</v>
      </c>
      <c r="AJ24" s="380" t="str">
        <f>Настройки!U24</f>
        <v>out22</v>
      </c>
      <c r="AK24" s="380" t="str">
        <f>Настройки!V24</f>
        <v>-</v>
      </c>
      <c r="AL24" s="380" t="str">
        <f>Настройки!W24</f>
        <v>-</v>
      </c>
      <c r="AM24" s="380" t="str">
        <f>Настройки!X24</f>
        <v>-</v>
      </c>
      <c r="AN24" s="380" t="str">
        <f>Настройки!Y24</f>
        <v>-</v>
      </c>
      <c r="AO24" s="380" t="str">
        <f>Настройки!Z24</f>
        <v>-</v>
      </c>
      <c r="AP24" s="380" t="str">
        <f>Настройки!AA24</f>
        <v>Canal_23</v>
      </c>
      <c r="AQ24" s="380" t="str">
        <f>Настройки!AB24</f>
        <v>Canal_23</v>
      </c>
      <c r="AR24" s="380" t="str">
        <f>Настройки!AC24</f>
        <v>-</v>
      </c>
      <c r="AS24" s="380" t="str">
        <f>Настройки!AD24</f>
        <v>-</v>
      </c>
      <c r="AT24" s="207" t="str">
        <f>Настройки!AB24</f>
        <v>Canal_23</v>
      </c>
      <c r="AU24" s="207" t="str">
        <f>Настройки!AC24</f>
        <v>-</v>
      </c>
      <c r="AV24" s="207" t="str">
        <f>Настройки!AD24</f>
        <v>-</v>
      </c>
      <c r="AW24" s="207" t="str">
        <f>Настройки!AE24</f>
        <v>-</v>
      </c>
      <c r="AX24" s="207" t="str">
        <f>Настройки!AF24</f>
        <v>IDIG_6_3</v>
      </c>
      <c r="AY24" s="207" t="str">
        <f>Настройки!AG24</f>
        <v>Canal_23</v>
      </c>
      <c r="AZ24" s="207" t="str">
        <f>Настройки!AH24</f>
        <v>Canal_23</v>
      </c>
      <c r="BA24" s="207" t="str">
        <f>Настройки!AI24</f>
        <v>Canal_23</v>
      </c>
      <c r="BB24" s="207" t="str">
        <f>Настройки!AJ24</f>
        <v>-</v>
      </c>
      <c r="BC24" s="207" t="str">
        <f>Настройки!AK24</f>
        <v>-</v>
      </c>
      <c r="BD24" s="207" t="str">
        <f>Настройки!AL24</f>
        <v>Canal_23</v>
      </c>
      <c r="BE24" s="207" t="str">
        <f>Настройки!AM24</f>
        <v>-</v>
      </c>
    </row>
    <row r="25" spans="1:57">
      <c r="A25" s="82"/>
      <c r="B25" s="82"/>
      <c r="C25" s="11"/>
      <c r="D25" s="81"/>
      <c r="E25" s="81"/>
      <c r="F25" s="81"/>
      <c r="G25" s="447"/>
      <c r="H25" s="447"/>
      <c r="I25" s="1"/>
      <c r="M25" s="424" t="str">
        <f>'Конфигурация TREI'!A26</f>
        <v>BR24</v>
      </c>
      <c r="N25" s="424" t="str">
        <f>'Конфигурация TREI'!B26</f>
        <v>M558D</v>
      </c>
      <c r="AE25" s="428">
        <f>Настройки!P25</f>
        <v>24</v>
      </c>
      <c r="AF25" s="380">
        <f>Настройки!Q25</f>
        <v>0</v>
      </c>
      <c r="AG25" s="380" t="str">
        <f>Настройки!R25</f>
        <v>-</v>
      </c>
      <c r="AH25" s="380" t="str">
        <f>Настройки!S25</f>
        <v>-</v>
      </c>
      <c r="AI25" s="380" t="str">
        <f>Настройки!T25</f>
        <v>out23</v>
      </c>
      <c r="AJ25" s="380" t="str">
        <f>Настройки!U25</f>
        <v>out23</v>
      </c>
      <c r="AK25" s="380" t="str">
        <f>Настройки!V25</f>
        <v>-</v>
      </c>
      <c r="AL25" s="380" t="str">
        <f>Настройки!W25</f>
        <v>-</v>
      </c>
      <c r="AM25" s="380" t="str">
        <f>Настройки!X25</f>
        <v>-</v>
      </c>
      <c r="AN25" s="380" t="str">
        <f>Настройки!Y25</f>
        <v>-</v>
      </c>
      <c r="AO25" s="380" t="str">
        <f>Настройки!Z25</f>
        <v>-</v>
      </c>
      <c r="AP25" s="380" t="str">
        <f>Настройки!AA25</f>
        <v>Canal_24</v>
      </c>
      <c r="AQ25" s="380" t="str">
        <f>Настройки!AB25</f>
        <v>Canal_24</v>
      </c>
      <c r="AR25" s="380" t="str">
        <f>Настройки!AC25</f>
        <v>-</v>
      </c>
      <c r="AS25" s="380" t="str">
        <f>Настройки!AD25</f>
        <v>-</v>
      </c>
      <c r="AT25" s="207" t="str">
        <f>Настройки!AB25</f>
        <v>Canal_24</v>
      </c>
      <c r="AU25" s="207" t="str">
        <f>Настройки!AC25</f>
        <v>-</v>
      </c>
      <c r="AV25" s="207" t="str">
        <f>Настройки!AD25</f>
        <v>-</v>
      </c>
      <c r="AW25" s="207" t="str">
        <f>Настройки!AE25</f>
        <v>-</v>
      </c>
      <c r="AX25" s="207" t="str">
        <f>Настройки!AF25</f>
        <v>IDIG_6_4</v>
      </c>
      <c r="AY25" s="207" t="str">
        <f>Настройки!AG25</f>
        <v>Canal_24</v>
      </c>
      <c r="AZ25" s="207" t="str">
        <f>Настройки!AH25</f>
        <v>Canal_24</v>
      </c>
      <c r="BA25" s="207" t="str">
        <f>Настройки!AI25</f>
        <v>Canal_24</v>
      </c>
      <c r="BB25" s="207" t="str">
        <f>Настройки!AJ25</f>
        <v>-</v>
      </c>
      <c r="BC25" s="207" t="str">
        <f>Настройки!AK25</f>
        <v>-</v>
      </c>
      <c r="BD25" s="207" t="str">
        <f>Настройки!AL25</f>
        <v>Canal_24</v>
      </c>
      <c r="BE25" s="207" t="str">
        <f>Настройки!AM25</f>
        <v>-</v>
      </c>
    </row>
    <row r="26" spans="1:57">
      <c r="A26" s="82"/>
      <c r="B26" s="82"/>
      <c r="C26" s="11"/>
      <c r="D26" s="81"/>
      <c r="E26" s="81"/>
      <c r="F26" s="81"/>
      <c r="G26" s="447"/>
      <c r="H26" s="447"/>
      <c r="I26" s="1"/>
      <c r="M26" s="424" t="str">
        <f>'Конфигурация TREI'!A27</f>
        <v>BR25</v>
      </c>
      <c r="N26" s="424" t="str">
        <f>'Конфигурация TREI'!B27</f>
        <v>M558D</v>
      </c>
      <c r="AE26" s="428">
        <f>Настройки!P26</f>
        <v>25</v>
      </c>
      <c r="AF26" s="380">
        <f>Настройки!Q26</f>
        <v>0</v>
      </c>
      <c r="AG26" s="380" t="str">
        <f>Настройки!R26</f>
        <v>-</v>
      </c>
      <c r="AH26" s="380" t="str">
        <f>Настройки!S26</f>
        <v>-</v>
      </c>
      <c r="AI26" s="380" t="str">
        <f>Настройки!T26</f>
        <v>out24</v>
      </c>
      <c r="AJ26" s="380" t="str">
        <f>Настройки!U26</f>
        <v>out24</v>
      </c>
      <c r="AK26" s="380" t="str">
        <f>Настройки!V26</f>
        <v>-</v>
      </c>
      <c r="AL26" s="380" t="str">
        <f>Настройки!W26</f>
        <v>-</v>
      </c>
      <c r="AM26" s="380" t="str">
        <f>Настройки!X26</f>
        <v>-</v>
      </c>
      <c r="AN26" s="380" t="str">
        <f>Настройки!Y26</f>
        <v>-</v>
      </c>
      <c r="AO26" s="380" t="str">
        <f>Настройки!Z26</f>
        <v>-</v>
      </c>
      <c r="AP26" s="380" t="str">
        <f>Настройки!AA26</f>
        <v>Canal_25</v>
      </c>
      <c r="AQ26" s="380" t="str">
        <f>Настройки!AB26</f>
        <v>Canal_25</v>
      </c>
      <c r="AR26" s="380" t="str">
        <f>Настройки!AC26</f>
        <v>-</v>
      </c>
      <c r="AS26" s="380" t="str">
        <f>Настройки!AD26</f>
        <v>-</v>
      </c>
      <c r="AT26" s="207" t="str">
        <f>Настройки!AB26</f>
        <v>Canal_25</v>
      </c>
      <c r="AU26" s="207" t="str">
        <f>Настройки!AC26</f>
        <v>-</v>
      </c>
      <c r="AV26" s="207" t="str">
        <f>Настройки!AD26</f>
        <v>-</v>
      </c>
      <c r="AW26" s="207" t="str">
        <f>Настройки!AE26</f>
        <v>-</v>
      </c>
      <c r="AX26" s="207" t="str">
        <f>Настройки!AF26</f>
        <v>IDIG_7_1</v>
      </c>
      <c r="AY26" s="207" t="str">
        <f>Настройки!AG26</f>
        <v>Canal_25</v>
      </c>
      <c r="AZ26" s="207" t="str">
        <f>Настройки!AH26</f>
        <v>Canal_25</v>
      </c>
      <c r="BA26" s="207" t="str">
        <f>Настройки!AI26</f>
        <v>Canal_25</v>
      </c>
      <c r="BB26" s="207" t="str">
        <f>Настройки!AJ26</f>
        <v>-</v>
      </c>
      <c r="BC26" s="207" t="str">
        <f>Настройки!AK26</f>
        <v>-</v>
      </c>
      <c r="BD26" s="207" t="str">
        <f>Настройки!AL26</f>
        <v>Canal_25</v>
      </c>
      <c r="BE26" s="207" t="str">
        <f>Настройки!AM26</f>
        <v>-</v>
      </c>
    </row>
    <row r="27" spans="1:57">
      <c r="A27" s="82"/>
      <c r="B27" s="82"/>
      <c r="C27" s="11"/>
      <c r="D27" s="81"/>
      <c r="E27" s="81"/>
      <c r="F27" s="81"/>
      <c r="G27" s="447"/>
      <c r="H27" s="447"/>
      <c r="I27" s="1"/>
      <c r="M27" s="424" t="str">
        <f>'Конфигурация TREI'!A28</f>
        <v>BR26</v>
      </c>
      <c r="N27" s="424" t="str">
        <f>'Конфигурация TREI'!B28</f>
        <v>M558D</v>
      </c>
      <c r="AE27" s="428">
        <f>Настройки!P27</f>
        <v>26</v>
      </c>
      <c r="AF27" s="380">
        <f>Настройки!Q27</f>
        <v>0</v>
      </c>
      <c r="AG27" s="380" t="str">
        <f>Настройки!R27</f>
        <v>-</v>
      </c>
      <c r="AH27" s="380" t="str">
        <f>Настройки!S27</f>
        <v>-</v>
      </c>
      <c r="AI27" s="380" t="str">
        <f>Настройки!T27</f>
        <v>out25</v>
      </c>
      <c r="AJ27" s="380" t="str">
        <f>Настройки!U27</f>
        <v>out25</v>
      </c>
      <c r="AK27" s="380" t="str">
        <f>Настройки!V27</f>
        <v>-</v>
      </c>
      <c r="AL27" s="380" t="str">
        <f>Настройки!W27</f>
        <v>-</v>
      </c>
      <c r="AM27" s="380" t="str">
        <f>Настройки!X27</f>
        <v>-</v>
      </c>
      <c r="AN27" s="380" t="str">
        <f>Настройки!Y27</f>
        <v>-</v>
      </c>
      <c r="AO27" s="380" t="str">
        <f>Настройки!Z27</f>
        <v>-</v>
      </c>
      <c r="AP27" s="380" t="str">
        <f>Настройки!AA27</f>
        <v>Canal_26</v>
      </c>
      <c r="AQ27" s="380" t="str">
        <f>Настройки!AB27</f>
        <v>Canal_26</v>
      </c>
      <c r="AR27" s="380" t="str">
        <f>Настройки!AC27</f>
        <v>-</v>
      </c>
      <c r="AS27" s="380" t="str">
        <f>Настройки!AD27</f>
        <v>-</v>
      </c>
      <c r="AT27" s="207" t="str">
        <f>Настройки!AB27</f>
        <v>Canal_26</v>
      </c>
      <c r="AU27" s="207" t="str">
        <f>Настройки!AC27</f>
        <v>-</v>
      </c>
      <c r="AV27" s="207" t="str">
        <f>Настройки!AD27</f>
        <v>-</v>
      </c>
      <c r="AW27" s="207" t="str">
        <f>Настройки!AE27</f>
        <v>-</v>
      </c>
      <c r="AX27" s="207" t="str">
        <f>Настройки!AF27</f>
        <v>IDIG_7_2</v>
      </c>
      <c r="AY27" s="207" t="str">
        <f>Настройки!AG27</f>
        <v>Canal_26</v>
      </c>
      <c r="AZ27" s="207" t="str">
        <f>Настройки!AH27</f>
        <v>Canal_26</v>
      </c>
      <c r="BA27" s="207" t="str">
        <f>Настройки!AI27</f>
        <v>Canal_26</v>
      </c>
      <c r="BB27" s="207" t="str">
        <f>Настройки!AJ27</f>
        <v>-</v>
      </c>
      <c r="BC27" s="207" t="str">
        <f>Настройки!AK27</f>
        <v>-</v>
      </c>
      <c r="BD27" s="207" t="str">
        <f>Настройки!AL27</f>
        <v>Canal_26</v>
      </c>
      <c r="BE27" s="207" t="str">
        <f>Настройки!AM27</f>
        <v>-</v>
      </c>
    </row>
    <row r="28" spans="1:57">
      <c r="A28" s="82"/>
      <c r="B28" s="82"/>
      <c r="C28" s="11"/>
      <c r="D28" s="81"/>
      <c r="E28" s="81"/>
      <c r="F28" s="81"/>
      <c r="G28" s="447"/>
      <c r="H28" s="447"/>
      <c r="I28" s="1"/>
      <c r="M28" s="424" t="str">
        <f>'Конфигурация TREI'!A29</f>
        <v>BR27</v>
      </c>
      <c r="N28" s="424" t="str">
        <f>'Конфигурация TREI'!B29</f>
        <v>M558D</v>
      </c>
      <c r="AE28" s="428">
        <f>Настройки!P28</f>
        <v>27</v>
      </c>
      <c r="AF28" s="380">
        <f>Настройки!Q28</f>
        <v>0</v>
      </c>
      <c r="AG28" s="380" t="str">
        <f>Настройки!R28</f>
        <v>-</v>
      </c>
      <c r="AH28" s="380" t="str">
        <f>Настройки!S28</f>
        <v>-</v>
      </c>
      <c r="AI28" s="380" t="str">
        <f>Настройки!T28</f>
        <v>out26</v>
      </c>
      <c r="AJ28" s="380" t="str">
        <f>Настройки!U28</f>
        <v>out26</v>
      </c>
      <c r="AK28" s="380" t="str">
        <f>Настройки!V28</f>
        <v>-</v>
      </c>
      <c r="AL28" s="380" t="str">
        <f>Настройки!W28</f>
        <v>-</v>
      </c>
      <c r="AM28" s="380" t="str">
        <f>Настройки!X28</f>
        <v>-</v>
      </c>
      <c r="AN28" s="380" t="str">
        <f>Настройки!Y28</f>
        <v>-</v>
      </c>
      <c r="AO28" s="380" t="str">
        <f>Настройки!Z28</f>
        <v>-</v>
      </c>
      <c r="AP28" s="380" t="str">
        <f>Настройки!AA28</f>
        <v>Canal_27</v>
      </c>
      <c r="AQ28" s="380" t="str">
        <f>Настройки!AB28</f>
        <v>Canal_27</v>
      </c>
      <c r="AR28" s="380" t="str">
        <f>Настройки!AC28</f>
        <v>-</v>
      </c>
      <c r="AS28" s="380" t="str">
        <f>Настройки!AD28</f>
        <v>-</v>
      </c>
      <c r="AT28" s="207" t="str">
        <f>Настройки!AB28</f>
        <v>Canal_27</v>
      </c>
      <c r="AU28" s="207" t="str">
        <f>Настройки!AC28</f>
        <v>-</v>
      </c>
      <c r="AV28" s="207" t="str">
        <f>Настройки!AD28</f>
        <v>-</v>
      </c>
      <c r="AW28" s="207" t="str">
        <f>Настройки!AE28</f>
        <v>-</v>
      </c>
      <c r="AX28" s="207" t="str">
        <f>Настройки!AF28</f>
        <v>IDIG_7_3</v>
      </c>
      <c r="AY28" s="207" t="str">
        <f>Настройки!AG28</f>
        <v>Canal_27</v>
      </c>
      <c r="AZ28" s="207" t="str">
        <f>Настройки!AH28</f>
        <v>Canal_27</v>
      </c>
      <c r="BA28" s="207" t="str">
        <f>Настройки!AI28</f>
        <v>Canal_27</v>
      </c>
      <c r="BB28" s="207" t="str">
        <f>Настройки!AJ28</f>
        <v>-</v>
      </c>
      <c r="BC28" s="207" t="str">
        <f>Настройки!AK28</f>
        <v>-</v>
      </c>
      <c r="BD28" s="207" t="str">
        <f>Настройки!AL28</f>
        <v>Canal_27</v>
      </c>
      <c r="BE28" s="207" t="str">
        <f>Настройки!AM28</f>
        <v>-</v>
      </c>
    </row>
    <row r="29" spans="1:57">
      <c r="A29" s="82"/>
      <c r="B29" s="82"/>
      <c r="C29" s="11"/>
      <c r="D29" s="81"/>
      <c r="E29" s="81"/>
      <c r="F29" s="81"/>
      <c r="G29" s="447"/>
      <c r="H29" s="447"/>
      <c r="I29" s="1"/>
      <c r="M29" s="424" t="str">
        <f>'Конфигурация TREI'!A30</f>
        <v>BR28</v>
      </c>
      <c r="N29" s="424" t="str">
        <f>'Конфигурация TREI'!B30</f>
        <v>M558D</v>
      </c>
      <c r="AE29" s="428">
        <f>Настройки!P29</f>
        <v>28</v>
      </c>
      <c r="AF29" s="380">
        <f>Настройки!Q29</f>
        <v>0</v>
      </c>
      <c r="AG29" s="380" t="str">
        <f>Настройки!R29</f>
        <v>-</v>
      </c>
      <c r="AH29" s="380" t="str">
        <f>Настройки!S29</f>
        <v>-</v>
      </c>
      <c r="AI29" s="380" t="str">
        <f>Настройки!T29</f>
        <v>out27</v>
      </c>
      <c r="AJ29" s="380" t="str">
        <f>Настройки!U29</f>
        <v>out27</v>
      </c>
      <c r="AK29" s="380" t="str">
        <f>Настройки!V29</f>
        <v>-</v>
      </c>
      <c r="AL29" s="380" t="str">
        <f>Настройки!W29</f>
        <v>-</v>
      </c>
      <c r="AM29" s="380" t="str">
        <f>Настройки!X29</f>
        <v>-</v>
      </c>
      <c r="AN29" s="380" t="str">
        <f>Настройки!Y29</f>
        <v>-</v>
      </c>
      <c r="AO29" s="380" t="str">
        <f>Настройки!Z29</f>
        <v>-</v>
      </c>
      <c r="AP29" s="380" t="str">
        <f>Настройки!AA29</f>
        <v>Canal_28</v>
      </c>
      <c r="AQ29" s="380" t="str">
        <f>Настройки!AB29</f>
        <v>Canal_28</v>
      </c>
      <c r="AR29" s="380" t="str">
        <f>Настройки!AC29</f>
        <v>-</v>
      </c>
      <c r="AS29" s="380" t="str">
        <f>Настройки!AD29</f>
        <v>-</v>
      </c>
      <c r="AT29" s="207" t="str">
        <f>Настройки!AB29</f>
        <v>Canal_28</v>
      </c>
      <c r="AU29" s="207" t="str">
        <f>Настройки!AC29</f>
        <v>-</v>
      </c>
      <c r="AV29" s="207" t="str">
        <f>Настройки!AD29</f>
        <v>-</v>
      </c>
      <c r="AW29" s="207" t="str">
        <f>Настройки!AE29</f>
        <v>-</v>
      </c>
      <c r="AX29" s="207" t="str">
        <f>Настройки!AF29</f>
        <v>IDIG_7_4</v>
      </c>
      <c r="AY29" s="207" t="str">
        <f>Настройки!AG29</f>
        <v>Canal_28</v>
      </c>
      <c r="AZ29" s="207" t="str">
        <f>Настройки!AH29</f>
        <v>Canal_28</v>
      </c>
      <c r="BA29" s="207" t="str">
        <f>Настройки!AI29</f>
        <v>Canal_28</v>
      </c>
      <c r="BB29" s="207" t="str">
        <f>Настройки!AJ29</f>
        <v>-</v>
      </c>
      <c r="BC29" s="207" t="str">
        <f>Настройки!AK29</f>
        <v>-</v>
      </c>
      <c r="BD29" s="207" t="str">
        <f>Настройки!AL29</f>
        <v>Canal_28</v>
      </c>
      <c r="BE29" s="207" t="str">
        <f>Настройки!AM29</f>
        <v>-</v>
      </c>
    </row>
    <row r="30" spans="1:57">
      <c r="A30" s="1"/>
      <c r="B30" s="1"/>
      <c r="C30" s="1"/>
      <c r="D30" s="1"/>
      <c r="E30" s="1"/>
      <c r="F30" s="1"/>
      <c r="G30" s="1"/>
      <c r="H30" s="1"/>
      <c r="I30" s="1"/>
      <c r="M30" s="424" t="str">
        <f>'Конфигурация TREI'!A31</f>
        <v>BR29</v>
      </c>
      <c r="N30" s="424" t="str">
        <f>'Конфигурация TREI'!B31</f>
        <v>M558O</v>
      </c>
      <c r="AE30" s="428">
        <f>Настройки!P30</f>
        <v>29</v>
      </c>
      <c r="AF30" s="380">
        <f>Настройки!Q30</f>
        <v>0</v>
      </c>
      <c r="AG30" s="380" t="str">
        <f>Настройки!R30</f>
        <v>-</v>
      </c>
      <c r="AH30" s="380" t="str">
        <f>Настройки!S30</f>
        <v>-</v>
      </c>
      <c r="AI30" s="380" t="str">
        <f>Настройки!T30</f>
        <v>out28</v>
      </c>
      <c r="AJ30" s="380" t="str">
        <f>Настройки!U30</f>
        <v>out28</v>
      </c>
      <c r="AK30" s="380" t="str">
        <f>Настройки!V30</f>
        <v>-</v>
      </c>
      <c r="AL30" s="380" t="str">
        <f>Настройки!W30</f>
        <v>-</v>
      </c>
      <c r="AM30" s="380" t="str">
        <f>Настройки!X30</f>
        <v>-</v>
      </c>
      <c r="AN30" s="380" t="str">
        <f>Настройки!Y30</f>
        <v>-</v>
      </c>
      <c r="AO30" s="380" t="str">
        <f>Настройки!Z30</f>
        <v>-</v>
      </c>
      <c r="AP30" s="380" t="str">
        <f>Настройки!AA30</f>
        <v>Canal_29</v>
      </c>
      <c r="AQ30" s="380" t="str">
        <f>Настройки!AB30</f>
        <v>Canal_29</v>
      </c>
      <c r="AR30" s="380" t="str">
        <f>Настройки!AC30</f>
        <v>-</v>
      </c>
      <c r="AS30" s="380" t="str">
        <f>Настройки!AD30</f>
        <v>-</v>
      </c>
      <c r="AT30" s="207" t="str">
        <f>Настройки!AB30</f>
        <v>Canal_29</v>
      </c>
      <c r="AU30" s="207" t="str">
        <f>Настройки!AC30</f>
        <v>-</v>
      </c>
      <c r="AV30" s="207" t="str">
        <f>Настройки!AD30</f>
        <v>-</v>
      </c>
      <c r="AW30" s="207" t="str">
        <f>Настройки!AE30</f>
        <v>-</v>
      </c>
      <c r="AX30" s="207" t="str">
        <f>Настройки!AF30</f>
        <v>IDIG_8_1</v>
      </c>
      <c r="AY30" s="207" t="str">
        <f>Настройки!AG30</f>
        <v>Canal_29</v>
      </c>
      <c r="AZ30" s="207" t="str">
        <f>Настройки!AH30</f>
        <v>Canal_29</v>
      </c>
      <c r="BA30" s="207" t="str">
        <f>Настройки!AI30</f>
        <v>Canal_29</v>
      </c>
      <c r="BB30" s="207" t="str">
        <f>Настройки!AJ30</f>
        <v>-</v>
      </c>
      <c r="BC30" s="207" t="str">
        <f>Настройки!AK30</f>
        <v>-</v>
      </c>
      <c r="BD30" s="207" t="str">
        <f>Настройки!AL30</f>
        <v>Canal_29</v>
      </c>
      <c r="BE30" s="207" t="str">
        <f>Настройки!AM30</f>
        <v>-</v>
      </c>
    </row>
    <row r="31" spans="1:57">
      <c r="A31" s="82"/>
      <c r="B31" s="82"/>
      <c r="C31" s="81"/>
      <c r="D31" s="81"/>
      <c r="E31" s="81"/>
      <c r="F31" s="81"/>
      <c r="G31" s="445"/>
      <c r="H31" s="445"/>
      <c r="I31" s="1"/>
      <c r="M31" s="424" t="str">
        <f>'Конфигурация TREI'!A32</f>
        <v>BR30</v>
      </c>
      <c r="N31" s="424" t="str">
        <f>'Конфигурация TREI'!B32</f>
        <v>M558D</v>
      </c>
      <c r="AE31" s="428">
        <f>Настройки!P31</f>
        <v>30</v>
      </c>
      <c r="AF31" s="380">
        <f>Настройки!Q31</f>
        <v>0</v>
      </c>
      <c r="AG31" s="380" t="str">
        <f>Настройки!R31</f>
        <v>-</v>
      </c>
      <c r="AH31" s="380" t="str">
        <f>Настройки!S31</f>
        <v>-</v>
      </c>
      <c r="AI31" s="380" t="str">
        <f>Настройки!T31</f>
        <v>out29</v>
      </c>
      <c r="AJ31" s="380" t="str">
        <f>Настройки!U31</f>
        <v>out29</v>
      </c>
      <c r="AK31" s="380" t="str">
        <f>Настройки!V31</f>
        <v>-</v>
      </c>
      <c r="AL31" s="380" t="str">
        <f>Настройки!W31</f>
        <v>-</v>
      </c>
      <c r="AM31" s="380" t="str">
        <f>Настройки!X31</f>
        <v>-</v>
      </c>
      <c r="AN31" s="380" t="str">
        <f>Настройки!Y31</f>
        <v>-</v>
      </c>
      <c r="AO31" s="380" t="str">
        <f>Настройки!Z31</f>
        <v>-</v>
      </c>
      <c r="AP31" s="380" t="str">
        <f>Настройки!AA31</f>
        <v>Canal_30</v>
      </c>
      <c r="AQ31" s="380" t="str">
        <f>Настройки!AB31</f>
        <v>Canal_30</v>
      </c>
      <c r="AR31" s="380" t="str">
        <f>Настройки!AC31</f>
        <v>-</v>
      </c>
      <c r="AS31" s="380" t="str">
        <f>Настройки!AD31</f>
        <v>-</v>
      </c>
      <c r="AT31" s="207" t="str">
        <f>Настройки!AB31</f>
        <v>Canal_30</v>
      </c>
      <c r="AU31" s="207" t="str">
        <f>Настройки!AC31</f>
        <v>-</v>
      </c>
      <c r="AV31" s="207" t="str">
        <f>Настройки!AD31</f>
        <v>-</v>
      </c>
      <c r="AW31" s="207" t="str">
        <f>Настройки!AE31</f>
        <v>-</v>
      </c>
      <c r="AX31" s="207" t="str">
        <f>Настройки!AF31</f>
        <v>IDIG_8_2</v>
      </c>
      <c r="AY31" s="207" t="str">
        <f>Настройки!AG31</f>
        <v>Canal_30</v>
      </c>
      <c r="AZ31" s="207" t="str">
        <f>Настройки!AH31</f>
        <v>Canal_30</v>
      </c>
      <c r="BA31" s="207" t="str">
        <f>Настройки!AI31</f>
        <v>Canal_30</v>
      </c>
      <c r="BB31" s="207" t="str">
        <f>Настройки!AJ31</f>
        <v>-</v>
      </c>
      <c r="BC31" s="207" t="str">
        <f>Настройки!AK31</f>
        <v>-</v>
      </c>
      <c r="BD31" s="207" t="str">
        <f>Настройки!AL31</f>
        <v>Canal_30</v>
      </c>
      <c r="BE31" s="207" t="str">
        <f>Настройки!AM31</f>
        <v>-</v>
      </c>
    </row>
    <row r="32" spans="1:57">
      <c r="A32" s="82"/>
      <c r="B32" s="82"/>
      <c r="C32" s="81"/>
      <c r="D32" s="81"/>
      <c r="E32" s="81"/>
      <c r="F32" s="81"/>
      <c r="G32" s="445"/>
      <c r="H32" s="445"/>
      <c r="I32" s="1"/>
      <c r="M32" s="424" t="str">
        <f>'Конфигурация TREI'!A33</f>
        <v>BR31</v>
      </c>
      <c r="N32" s="424" t="str">
        <f>'Конфигурация TREI'!B33</f>
        <v>M558D</v>
      </c>
      <c r="AE32" s="428">
        <f>Настройки!P32</f>
        <v>31</v>
      </c>
      <c r="AF32" s="380">
        <f>Настройки!Q32</f>
        <v>0</v>
      </c>
      <c r="AG32" s="380" t="str">
        <f>Настройки!R32</f>
        <v>-</v>
      </c>
      <c r="AH32" s="380" t="str">
        <f>Настройки!S32</f>
        <v>-</v>
      </c>
      <c r="AI32" s="380" t="str">
        <f>Настройки!T32</f>
        <v>out30</v>
      </c>
      <c r="AJ32" s="380" t="str">
        <f>Настройки!U32</f>
        <v>out30</v>
      </c>
      <c r="AK32" s="380" t="str">
        <f>Настройки!V32</f>
        <v>-</v>
      </c>
      <c r="AL32" s="380" t="str">
        <f>Настройки!W32</f>
        <v>-</v>
      </c>
      <c r="AM32" s="380" t="str">
        <f>Настройки!X32</f>
        <v>-</v>
      </c>
      <c r="AN32" s="380" t="str">
        <f>Настройки!Y32</f>
        <v>-</v>
      </c>
      <c r="AO32" s="380" t="str">
        <f>Настройки!Z32</f>
        <v>-</v>
      </c>
      <c r="AP32" s="380" t="str">
        <f>Настройки!AA32</f>
        <v>Canal_31</v>
      </c>
      <c r="AQ32" s="380" t="str">
        <f>Настройки!AB32</f>
        <v>Canal_31</v>
      </c>
      <c r="AR32" s="380" t="str">
        <f>Настройки!AC32</f>
        <v>-</v>
      </c>
      <c r="AS32" s="380" t="str">
        <f>Настройки!AD32</f>
        <v>-</v>
      </c>
      <c r="AT32" s="207" t="str">
        <f>Настройки!AB32</f>
        <v>Canal_31</v>
      </c>
      <c r="AU32" s="207" t="str">
        <f>Настройки!AC32</f>
        <v>-</v>
      </c>
      <c r="AV32" s="207" t="str">
        <f>Настройки!AD32</f>
        <v>-</v>
      </c>
      <c r="AW32" s="207" t="str">
        <f>Настройки!AE32</f>
        <v>-</v>
      </c>
      <c r="AX32" s="207" t="str">
        <f>Настройки!AF32</f>
        <v>IDIG_8_3</v>
      </c>
      <c r="AY32" s="207" t="str">
        <f>Настройки!AG32</f>
        <v>Canal_31</v>
      </c>
      <c r="AZ32" s="207" t="str">
        <f>Настройки!AH32</f>
        <v>Canal_31</v>
      </c>
      <c r="BA32" s="207" t="str">
        <f>Настройки!AI32</f>
        <v>Canal_31</v>
      </c>
      <c r="BB32" s="207" t="str">
        <f>Настройки!AJ32</f>
        <v>-</v>
      </c>
      <c r="BC32" s="207" t="str">
        <f>Настройки!AK32</f>
        <v>-</v>
      </c>
      <c r="BD32" s="207" t="str">
        <f>Настройки!AL32</f>
        <v>Canal_31</v>
      </c>
      <c r="BE32" s="207" t="str">
        <f>Настройки!AM32</f>
        <v>-</v>
      </c>
    </row>
    <row r="33" spans="1:57">
      <c r="A33" s="82"/>
      <c r="B33" s="82"/>
      <c r="C33" s="81"/>
      <c r="D33" s="81"/>
      <c r="E33" s="81"/>
      <c r="F33" s="81"/>
      <c r="G33" s="445"/>
      <c r="H33" s="445"/>
      <c r="I33" s="1"/>
      <c r="M33" s="424" t="str">
        <f>'Конфигурация TREI'!A34</f>
        <v>BR32</v>
      </c>
      <c r="N33" s="424" t="str">
        <f>'Конфигурация TREI'!B34</f>
        <v>M558D</v>
      </c>
      <c r="AE33" s="620">
        <f>Настройки!P33</f>
        <v>32</v>
      </c>
      <c r="AF33" s="621">
        <f>Настройки!Q33</f>
        <v>0</v>
      </c>
      <c r="AG33" s="621" t="str">
        <f>Настройки!R33</f>
        <v>-</v>
      </c>
      <c r="AH33" s="621" t="str">
        <f>Настройки!S33</f>
        <v>-</v>
      </c>
      <c r="AI33" s="621" t="str">
        <f>Настройки!T33</f>
        <v>out31</v>
      </c>
      <c r="AJ33" s="621" t="str">
        <f>Настройки!U33</f>
        <v>out31</v>
      </c>
      <c r="AK33" s="621" t="str">
        <f>Настройки!V33</f>
        <v>-</v>
      </c>
      <c r="AL33" s="621" t="str">
        <f>Настройки!W33</f>
        <v>-</v>
      </c>
      <c r="AM33" s="621" t="str">
        <f>Настройки!X33</f>
        <v>-</v>
      </c>
      <c r="AN33" s="621" t="str">
        <f>Настройки!Y33</f>
        <v>-</v>
      </c>
      <c r="AO33" s="621" t="str">
        <f>Настройки!Z33</f>
        <v>-</v>
      </c>
      <c r="AP33" s="621" t="str">
        <f>Настройки!AA33</f>
        <v>Canal_32</v>
      </c>
      <c r="AQ33" s="621" t="str">
        <f>Настройки!AB33</f>
        <v>Canal_32</v>
      </c>
      <c r="AR33" s="621" t="str">
        <f>Настройки!AC33</f>
        <v>-</v>
      </c>
      <c r="AS33" s="621" t="str">
        <f>Настройки!AD33</f>
        <v>-</v>
      </c>
      <c r="AT33" s="622" t="str">
        <f>Настройки!AB33</f>
        <v>Canal_32</v>
      </c>
      <c r="AU33" s="622" t="str">
        <f>Настройки!AC33</f>
        <v>-</v>
      </c>
      <c r="AV33" s="622" t="str">
        <f>Настройки!AD33</f>
        <v>-</v>
      </c>
      <c r="AW33" s="622" t="str">
        <f>Настройки!AE33</f>
        <v>-</v>
      </c>
      <c r="AX33" s="622" t="str">
        <f>Настройки!AF33</f>
        <v>IDIG_8_4</v>
      </c>
      <c r="AY33" s="622" t="str">
        <f>Настройки!AG33</f>
        <v>Canal_32</v>
      </c>
      <c r="AZ33" s="622" t="str">
        <f>Настройки!AH33</f>
        <v>Canal_32</v>
      </c>
      <c r="BA33" s="622" t="str">
        <f>Настройки!AI33</f>
        <v>Canal_32</v>
      </c>
      <c r="BB33" s="622" t="str">
        <f>Настройки!AJ33</f>
        <v>-</v>
      </c>
      <c r="BC33" s="622" t="str">
        <f>Настройки!AK33</f>
        <v>-</v>
      </c>
      <c r="BD33" s="622" t="str">
        <f>Настройки!AL33</f>
        <v>Canal_32</v>
      </c>
      <c r="BE33" s="622" t="str">
        <f>Настройки!AM33</f>
        <v>-</v>
      </c>
    </row>
    <row r="34" spans="1:57">
      <c r="A34" s="82"/>
      <c r="B34" s="82"/>
      <c r="C34" s="81"/>
      <c r="D34" s="81"/>
      <c r="E34" s="81"/>
      <c r="F34" s="81"/>
      <c r="G34" s="445"/>
      <c r="H34" s="445"/>
      <c r="I34" s="1"/>
      <c r="M34" s="424" t="str">
        <f>'Конфигурация TREI'!A35</f>
        <v>BR33</v>
      </c>
      <c r="N34" s="424" t="str">
        <f>'Конфигурация TREI'!B35</f>
        <v>M558D</v>
      </c>
      <c r="AE34" s="624"/>
      <c r="AF34" s="624"/>
      <c r="AG34" s="624"/>
      <c r="AH34" s="624"/>
      <c r="AI34" s="624"/>
      <c r="AJ34" s="624"/>
      <c r="AK34" s="624"/>
      <c r="AL34" s="624"/>
      <c r="AM34" s="624"/>
      <c r="AN34" s="624"/>
      <c r="AO34" s="624"/>
      <c r="AP34" s="624"/>
      <c r="AQ34" s="624"/>
      <c r="AR34" s="624"/>
      <c r="AS34" s="624"/>
      <c r="AT34" s="625"/>
      <c r="AU34" s="625"/>
      <c r="AV34" s="625"/>
      <c r="AW34" s="625"/>
      <c r="AX34" s="625"/>
      <c r="AY34" s="625"/>
      <c r="AZ34" s="625"/>
      <c r="BA34" s="625"/>
      <c r="BB34" s="625"/>
      <c r="BC34" s="625"/>
      <c r="BD34" s="625"/>
      <c r="BE34" s="625"/>
    </row>
    <row r="35" spans="1:57">
      <c r="A35" s="82"/>
      <c r="B35" s="82"/>
      <c r="C35" s="81"/>
      <c r="D35" s="81"/>
      <c r="E35" s="81"/>
      <c r="F35" s="81"/>
      <c r="G35" s="445"/>
      <c r="H35" s="445"/>
      <c r="I35" s="1"/>
      <c r="M35" s="424" t="str">
        <f>'Конфигурация TREI'!A36</f>
        <v>BR34</v>
      </c>
      <c r="N35" s="424" t="str">
        <f>'Конфигурация TREI'!B36</f>
        <v>M558D</v>
      </c>
      <c r="AE35" s="505"/>
      <c r="AF35" s="505"/>
      <c r="AG35" s="505"/>
      <c r="AH35" s="505"/>
      <c r="AI35" s="505"/>
      <c r="AJ35" s="505"/>
      <c r="AK35" s="505"/>
      <c r="AL35" s="505"/>
      <c r="AM35" s="505"/>
      <c r="AN35" s="505"/>
      <c r="AO35" s="505"/>
      <c r="AP35" s="505"/>
      <c r="AQ35" s="505"/>
      <c r="AR35" s="505"/>
      <c r="AS35" s="505"/>
      <c r="AT35" s="623"/>
      <c r="AU35" s="623"/>
      <c r="AV35" s="623"/>
      <c r="AW35" s="623"/>
      <c r="AX35" s="623"/>
      <c r="AY35" s="623"/>
      <c r="AZ35" s="623"/>
      <c r="BA35" s="623"/>
      <c r="BB35" s="623"/>
      <c r="BC35" s="623"/>
      <c r="BD35" s="623"/>
      <c r="BE35" s="623"/>
    </row>
    <row r="36" spans="1:57">
      <c r="A36" s="82"/>
      <c r="B36" s="82"/>
      <c r="C36" s="81"/>
      <c r="D36" s="81"/>
      <c r="E36" s="81"/>
      <c r="F36" s="81"/>
      <c r="G36" s="445"/>
      <c r="H36" s="445"/>
      <c r="I36" s="1"/>
      <c r="M36" s="424" t="str">
        <f>'Конфигурация TREI'!A37</f>
        <v>BR35</v>
      </c>
      <c r="N36" s="424" t="str">
        <f>'Конфигурация TREI'!B37</f>
        <v>M558D</v>
      </c>
      <c r="AE36" s="505"/>
      <c r="AF36" s="505"/>
      <c r="AG36" s="505"/>
      <c r="AH36" s="505"/>
      <c r="AI36" s="505"/>
      <c r="AJ36" s="505"/>
      <c r="AK36" s="505"/>
      <c r="AL36" s="505"/>
      <c r="AM36" s="505"/>
      <c r="AN36" s="505"/>
      <c r="AO36" s="505"/>
      <c r="AP36" s="505"/>
      <c r="AQ36" s="505"/>
      <c r="AR36" s="505"/>
      <c r="AS36" s="505"/>
      <c r="AT36" s="623"/>
      <c r="AU36" s="623"/>
      <c r="AV36" s="623"/>
      <c r="AW36" s="623"/>
      <c r="AX36" s="623"/>
      <c r="AY36" s="623"/>
      <c r="AZ36" s="623"/>
      <c r="BA36" s="623"/>
      <c r="BB36" s="623"/>
      <c r="BC36" s="623"/>
      <c r="BD36" s="623"/>
      <c r="BE36" s="623"/>
    </row>
    <row r="37" spans="1:57" ht="15.75" customHeight="1">
      <c r="A37" s="82"/>
      <c r="B37" s="82"/>
      <c r="C37" s="81"/>
      <c r="D37" s="81"/>
      <c r="E37" s="81"/>
      <c r="F37" s="81"/>
      <c r="G37" s="445"/>
      <c r="H37" s="445"/>
      <c r="I37" s="1"/>
      <c r="M37" s="424" t="str">
        <f>'Конфигурация TREI'!A38</f>
        <v>BR36</v>
      </c>
      <c r="N37" s="424">
        <f>'Конфигурация TREI'!B38</f>
        <v>0</v>
      </c>
      <c r="AE37" s="505"/>
      <c r="AF37" s="505"/>
      <c r="AG37" s="505"/>
      <c r="AH37" s="505"/>
      <c r="AI37" s="505"/>
      <c r="AJ37" s="505"/>
      <c r="AK37" s="505"/>
      <c r="AL37" s="505"/>
      <c r="AM37" s="505"/>
      <c r="AN37" s="505"/>
      <c r="AO37" s="505"/>
      <c r="AP37" s="505"/>
      <c r="AQ37" s="505"/>
      <c r="AR37" s="505"/>
      <c r="AS37" s="505"/>
      <c r="AT37" s="623"/>
      <c r="AU37" s="623"/>
      <c r="AV37" s="623"/>
      <c r="AW37" s="623"/>
      <c r="AX37" s="623"/>
      <c r="AY37" s="623"/>
      <c r="AZ37" s="623"/>
      <c r="BA37" s="623"/>
      <c r="BB37" s="623"/>
      <c r="BC37" s="623"/>
      <c r="BD37" s="623"/>
      <c r="BE37" s="623"/>
    </row>
    <row r="38" spans="1:57">
      <c r="A38" s="82"/>
      <c r="B38" s="82"/>
      <c r="C38" s="81"/>
      <c r="D38" s="81"/>
      <c r="E38" s="81"/>
      <c r="F38" s="81"/>
      <c r="G38" s="445"/>
      <c r="H38" s="445"/>
      <c r="I38" s="1"/>
      <c r="M38" s="424" t="str">
        <f>'Конфигурация TREI'!A39</f>
        <v>BR37</v>
      </c>
      <c r="N38" s="424">
        <f>'Конфигурация TREI'!B39</f>
        <v>0</v>
      </c>
      <c r="AE38" s="505"/>
      <c r="AF38" s="505"/>
      <c r="AG38" s="505"/>
      <c r="AH38" s="505"/>
      <c r="AI38" s="505"/>
      <c r="AJ38" s="505"/>
      <c r="AK38" s="505"/>
      <c r="AL38" s="505"/>
      <c r="AM38" s="505"/>
      <c r="AN38" s="505"/>
      <c r="AO38" s="505"/>
      <c r="AP38" s="505"/>
      <c r="AQ38" s="505"/>
      <c r="AR38" s="505"/>
      <c r="AS38" s="505"/>
      <c r="AT38" s="623"/>
      <c r="AU38" s="623"/>
      <c r="AV38" s="623"/>
      <c r="AW38" s="623"/>
      <c r="AX38" s="623"/>
      <c r="AY38" s="623"/>
      <c r="AZ38" s="623"/>
      <c r="BA38" s="623"/>
      <c r="BB38" s="623"/>
      <c r="BC38" s="623"/>
      <c r="BD38" s="623"/>
      <c r="BE38" s="623"/>
    </row>
    <row r="39" spans="1:57">
      <c r="A39" s="82"/>
      <c r="B39" s="82"/>
      <c r="C39" s="81"/>
      <c r="D39" s="81"/>
      <c r="E39" s="81"/>
      <c r="F39" s="81"/>
      <c r="G39" s="445"/>
      <c r="H39" s="445"/>
      <c r="I39" s="1"/>
      <c r="M39" s="424" t="str">
        <f>'Конфигурация TREI'!A40</f>
        <v>BR38</v>
      </c>
      <c r="N39" s="424">
        <f>'Конфигурация TREI'!B40</f>
        <v>0</v>
      </c>
      <c r="AE39" s="505"/>
      <c r="AF39" s="505"/>
      <c r="AG39" s="505"/>
      <c r="AH39" s="505"/>
      <c r="AI39" s="505"/>
      <c r="AJ39" s="505"/>
      <c r="AK39" s="505"/>
      <c r="AL39" s="505"/>
      <c r="AM39" s="505"/>
      <c r="AN39" s="505"/>
      <c r="AO39" s="505"/>
      <c r="AP39" s="505"/>
      <c r="AQ39" s="505"/>
      <c r="AR39" s="505"/>
      <c r="AS39" s="505"/>
      <c r="AT39" s="623"/>
      <c r="AU39" s="623"/>
      <c r="AV39" s="623"/>
      <c r="AW39" s="623"/>
      <c r="AX39" s="623"/>
      <c r="AY39" s="623"/>
      <c r="AZ39" s="623"/>
      <c r="BA39" s="623"/>
      <c r="BB39" s="623"/>
      <c r="BC39" s="623"/>
      <c r="BD39" s="623"/>
      <c r="BE39" s="623"/>
    </row>
    <row r="40" spans="1:57">
      <c r="A40" s="82"/>
      <c r="B40" s="82"/>
      <c r="C40" s="81"/>
      <c r="D40" s="81"/>
      <c r="E40" s="81"/>
      <c r="F40" s="81"/>
      <c r="G40" s="445"/>
      <c r="H40" s="445"/>
      <c r="I40" s="1"/>
      <c r="M40" s="424" t="str">
        <f>'Конфигурация TREI'!A41</f>
        <v>BR39</v>
      </c>
      <c r="N40" s="424">
        <f>'Конфигурация TREI'!B41</f>
        <v>0</v>
      </c>
      <c r="AE40" s="505"/>
      <c r="AF40" s="505"/>
      <c r="AG40" s="505"/>
      <c r="AH40" s="505"/>
      <c r="AI40" s="505"/>
      <c r="AJ40" s="505"/>
      <c r="AK40" s="505"/>
      <c r="AL40" s="505"/>
      <c r="AM40" s="505"/>
      <c r="AN40" s="505"/>
      <c r="AO40" s="505"/>
      <c r="AP40" s="505"/>
      <c r="AQ40" s="505"/>
      <c r="AR40" s="505"/>
      <c r="AS40" s="505"/>
      <c r="AT40" s="623"/>
      <c r="AU40" s="623"/>
      <c r="AV40" s="623"/>
      <c r="AW40" s="623"/>
      <c r="AX40" s="623"/>
      <c r="AY40" s="623"/>
      <c r="AZ40" s="623"/>
      <c r="BA40" s="623"/>
      <c r="BB40" s="623"/>
      <c r="BC40" s="623"/>
      <c r="BD40" s="623"/>
      <c r="BE40" s="623"/>
    </row>
    <row r="41" spans="1:57">
      <c r="A41" s="82"/>
      <c r="B41" s="82"/>
      <c r="C41" s="81"/>
      <c r="D41" s="81"/>
      <c r="E41" s="81"/>
      <c r="F41" s="81"/>
      <c r="G41" s="445"/>
      <c r="H41" s="445"/>
      <c r="I41" s="1"/>
      <c r="M41" s="424" t="str">
        <f>'Конфигурация TREI'!A42</f>
        <v>BR40</v>
      </c>
      <c r="N41" s="424">
        <f>'Конфигурация TREI'!B42</f>
        <v>0</v>
      </c>
      <c r="AE41" s="505"/>
      <c r="AF41" s="505"/>
      <c r="AG41" s="505"/>
      <c r="AH41" s="505"/>
      <c r="AI41" s="505"/>
      <c r="AJ41" s="505"/>
      <c r="AK41" s="505"/>
      <c r="AL41" s="505"/>
      <c r="AM41" s="505"/>
      <c r="AN41" s="505"/>
      <c r="AO41" s="505"/>
      <c r="AP41" s="505"/>
      <c r="AQ41" s="505"/>
      <c r="AR41" s="505"/>
      <c r="AS41" s="505"/>
      <c r="AT41" s="623"/>
      <c r="AU41" s="623"/>
      <c r="AV41" s="623"/>
      <c r="AW41" s="623"/>
      <c r="AX41" s="623"/>
      <c r="AY41" s="623"/>
      <c r="AZ41" s="623"/>
      <c r="BA41" s="623"/>
      <c r="BB41" s="623"/>
      <c r="BC41" s="623"/>
      <c r="BD41" s="623"/>
      <c r="BE41" s="623"/>
    </row>
    <row r="42" spans="1:57">
      <c r="M42" s="424" t="str">
        <f>'Конфигурация TREI'!A43</f>
        <v>BR41</v>
      </c>
      <c r="N42" s="424">
        <f>'Конфигурация TREI'!B43</f>
        <v>0</v>
      </c>
    </row>
    <row r="43" spans="1:57">
      <c r="M43" s="424" t="str">
        <f>'Конфигурация TREI'!A44</f>
        <v>BR42</v>
      </c>
      <c r="N43" s="424">
        <f>'Конфигурация TREI'!B44</f>
        <v>0</v>
      </c>
    </row>
    <row r="44" spans="1:57">
      <c r="M44" s="424" t="str">
        <f>'Конфигурация TREI'!A45</f>
        <v>BR43</v>
      </c>
      <c r="N44" s="424">
        <f>'Конфигурация TREI'!B45</f>
        <v>0</v>
      </c>
    </row>
    <row r="45" spans="1:57">
      <c r="M45" s="424" t="str">
        <f>'Конфигурация TREI'!A46</f>
        <v>BR44</v>
      </c>
      <c r="N45" s="424">
        <f>'Конфигурация TREI'!B46</f>
        <v>0</v>
      </c>
    </row>
    <row r="46" spans="1:57">
      <c r="M46" s="424" t="str">
        <f>'Конфигурация TREI'!A47</f>
        <v>BR45</v>
      </c>
      <c r="N46" s="424">
        <f>'Конфигурация TREI'!B47</f>
        <v>0</v>
      </c>
    </row>
    <row r="47" spans="1:57">
      <c r="M47" s="424" t="str">
        <f>'Конфигурация TREI'!A48</f>
        <v>BR46</v>
      </c>
      <c r="N47" s="424">
        <f>'Конфигурация TREI'!B48</f>
        <v>0</v>
      </c>
    </row>
    <row r="48" spans="1:57">
      <c r="M48" s="424" t="str">
        <f>'Конфигурация TREI'!A49</f>
        <v>BR47</v>
      </c>
      <c r="N48" s="424">
        <f>'Конфигурация TREI'!B49</f>
        <v>0</v>
      </c>
    </row>
    <row r="49" spans="13:14">
      <c r="M49" s="424" t="str">
        <f>'Конфигурация TREI'!A50</f>
        <v>BR48</v>
      </c>
      <c r="N49" s="424">
        <f>'Конфигурация TREI'!B50</f>
        <v>0</v>
      </c>
    </row>
    <row r="50" spans="13:14">
      <c r="M50" s="424" t="str">
        <f>'Конфигурация TREI'!A51</f>
        <v>BR49</v>
      </c>
      <c r="N50" s="424">
        <f>'Конфигурация TREI'!B51</f>
        <v>0</v>
      </c>
    </row>
    <row r="51" spans="13:14">
      <c r="M51" s="424" t="str">
        <f>'Конфигурация TREI'!A52</f>
        <v>BR50</v>
      </c>
      <c r="N51" s="424">
        <f>'Конфигурация TREI'!B52</f>
        <v>0</v>
      </c>
    </row>
    <row r="52" spans="13:14">
      <c r="M52" s="424" t="str">
        <f>'Конфигурация TREI'!A53</f>
        <v>BR51</v>
      </c>
      <c r="N52" s="424">
        <f>'Конфигурация TREI'!B53</f>
        <v>0</v>
      </c>
    </row>
    <row r="53" spans="13:14">
      <c r="M53" s="424" t="str">
        <f>'Конфигурация TREI'!A54</f>
        <v>BR52</v>
      </c>
      <c r="N53" s="424">
        <f>'Конфигурация TREI'!B54</f>
        <v>0</v>
      </c>
    </row>
    <row r="54" spans="13:14">
      <c r="M54" s="424" t="str">
        <f>'Конфигурация TREI'!A55</f>
        <v>BR53</v>
      </c>
      <c r="N54" s="424">
        <f>'Конфигурация TREI'!B55</f>
        <v>0</v>
      </c>
    </row>
    <row r="55" spans="13:14">
      <c r="M55" s="424" t="str">
        <f>'Конфигурация TREI'!A56</f>
        <v>BR54</v>
      </c>
      <c r="N55" s="424">
        <f>'Конфигурация TREI'!B56</f>
        <v>0</v>
      </c>
    </row>
    <row r="56" spans="13:14">
      <c r="M56" s="424" t="str">
        <f>'Конфигурация TREI'!A57</f>
        <v>BR55</v>
      </c>
      <c r="N56" s="424">
        <f>'Конфигурация TREI'!B57</f>
        <v>0</v>
      </c>
    </row>
    <row r="57" spans="13:14">
      <c r="M57" s="424" t="str">
        <f>'Конфигурация TREI'!A58</f>
        <v>BR56</v>
      </c>
      <c r="N57" s="424">
        <f>'Конфигурация TREI'!B58</f>
        <v>0</v>
      </c>
    </row>
    <row r="58" spans="13:14">
      <c r="M58" s="424" t="str">
        <f>'Конфигурация TREI'!A59</f>
        <v>BR57</v>
      </c>
      <c r="N58" s="424">
        <f>'Конфигурация TREI'!B59</f>
        <v>0</v>
      </c>
    </row>
    <row r="59" spans="13:14">
      <c r="M59" s="424" t="str">
        <f>'Конфигурация TREI'!A60</f>
        <v>BR58</v>
      </c>
      <c r="N59" s="424">
        <f>'Конфигурация TREI'!B60</f>
        <v>0</v>
      </c>
    </row>
    <row r="60" spans="13:14">
      <c r="M60" s="424" t="str">
        <f>'Конфигурация TREI'!A61</f>
        <v>BR59</v>
      </c>
      <c r="N60" s="424">
        <f>'Конфигурация TREI'!B61</f>
        <v>0</v>
      </c>
    </row>
    <row r="61" spans="13:14">
      <c r="M61" s="424" t="str">
        <f>'Конфигурация TREI'!A62</f>
        <v>BR60</v>
      </c>
      <c r="N61" s="424">
        <f>'Конфигурация TREI'!B62</f>
        <v>0</v>
      </c>
    </row>
  </sheetData>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sheetPr codeName="Лист128">
    <tabColor theme="2" tint="-0.249977111117893"/>
  </sheetPr>
  <dimension ref="A1:BL61"/>
  <sheetViews>
    <sheetView workbookViewId="0">
      <selection activeCell="D2" sqref="D2:D4"/>
    </sheetView>
  </sheetViews>
  <sheetFormatPr defaultRowHeight="14.4"/>
  <cols>
    <col min="1" max="1" width="35.44140625" customWidth="1"/>
    <col min="2" max="2" width="21.44140625" customWidth="1"/>
    <col min="3" max="3" width="3.44140625" customWidth="1"/>
    <col min="4" max="4" width="1.109375" customWidth="1"/>
    <col min="5" max="5" width="33.44140625" customWidth="1"/>
    <col min="6" max="6" width="17.6640625" customWidth="1"/>
    <col min="7" max="7" width="10.5546875" customWidth="1"/>
    <col min="8" max="8" width="14.33203125" customWidth="1"/>
    <col min="9" max="9" width="19.33203125" style="456" customWidth="1"/>
    <col min="10" max="10" width="9.109375" style="456" customWidth="1"/>
    <col min="11" max="11" width="10.88671875" customWidth="1"/>
    <col min="12" max="12" width="11.5546875" customWidth="1"/>
    <col min="13" max="15" width="9.109375" customWidth="1"/>
    <col min="16" max="16" width="34.6640625" customWidth="1"/>
    <col min="17" max="17" width="39.33203125" customWidth="1"/>
    <col min="18" max="30" width="26.109375" style="55" customWidth="1"/>
    <col min="31" max="31" width="4.5546875" style="427" customWidth="1"/>
    <col min="32" max="32" width="11.109375" customWidth="1"/>
    <col min="47" max="64" width="9.109375" style="456"/>
  </cols>
  <sheetData>
    <row r="1" spans="1:57">
      <c r="A1" s="425"/>
      <c r="B1" s="425"/>
      <c r="C1" s="425"/>
      <c r="D1" s="425"/>
      <c r="E1" s="425"/>
      <c r="F1" s="425"/>
      <c r="G1" s="426" t="s">
        <v>846</v>
      </c>
      <c r="H1" s="426" t="s">
        <v>847</v>
      </c>
      <c r="I1" s="424" t="s">
        <v>1181</v>
      </c>
      <c r="J1" s="493"/>
      <c r="M1" s="424" t="str">
        <f>'Конфигурация TREI'!A1</f>
        <v>№ Модуля</v>
      </c>
      <c r="N1" s="461" t="str">
        <f>'Конфигурация TREI'!B2</f>
        <v>M501E(рез)</v>
      </c>
      <c r="O1" s="425"/>
      <c r="P1" s="425" t="str">
        <f>Таблица!D1</f>
        <v>Префикс для TREI
Тэг ОРС для INFINITY</v>
      </c>
      <c r="Q1" s="425" t="str">
        <f>Таблица!E1</f>
        <v>Комментарий для TREI и INFINITY</v>
      </c>
      <c r="R1" s="428" t="s">
        <v>1032</v>
      </c>
      <c r="S1" s="428" t="s">
        <v>1339</v>
      </c>
      <c r="T1" s="428" t="s">
        <v>1340</v>
      </c>
      <c r="U1" s="428"/>
      <c r="V1" s="428"/>
      <c r="W1" s="428" t="s">
        <v>1342</v>
      </c>
      <c r="X1" s="428"/>
      <c r="Y1" s="428"/>
      <c r="Z1" s="428"/>
      <c r="AA1" s="428"/>
      <c r="AB1" s="428"/>
      <c r="AC1" s="428"/>
      <c r="AD1" s="429"/>
      <c r="AE1" s="438"/>
      <c r="AF1" s="438">
        <f>Настройки!Q1</f>
        <v>0</v>
      </c>
      <c r="AG1" s="438" t="str">
        <f>Настройки!R1</f>
        <v>M943DR</v>
      </c>
      <c r="AH1" s="438" t="str">
        <f>Настройки!S1</f>
        <v>M942A</v>
      </c>
      <c r="AI1" s="438" t="str">
        <f>Настройки!T1</f>
        <v>M957D</v>
      </c>
      <c r="AJ1" s="438" t="str">
        <f>Настройки!U1</f>
        <v>M957O</v>
      </c>
      <c r="AK1" s="438" t="str">
        <f>Настройки!V1</f>
        <v>M947R</v>
      </c>
      <c r="AL1" s="438" t="str">
        <f>Настройки!W1</f>
        <v>M931V</v>
      </c>
      <c r="AM1" s="438" t="str">
        <f>Настройки!X1</f>
        <v>M931T</v>
      </c>
      <c r="AN1" s="438" t="str">
        <f>Настройки!Y1</f>
        <v>M547A</v>
      </c>
      <c r="AO1" s="438" t="str">
        <f>Настройки!Z1</f>
        <v>M537V</v>
      </c>
      <c r="AP1" s="438" t="str">
        <f>Настройки!AA1</f>
        <v>M557D</v>
      </c>
      <c r="AQ1" s="438" t="str">
        <f>Настройки!AB1</f>
        <v>M557O</v>
      </c>
      <c r="AR1" s="438" t="str">
        <f>Настройки!AC1</f>
        <v>MOPS</v>
      </c>
      <c r="AS1" s="438" t="str">
        <f>Настройки!AD1</f>
        <v>MUPS</v>
      </c>
      <c r="AT1" s="439" t="str">
        <f>Настройки!AB1</f>
        <v>M557O</v>
      </c>
      <c r="AU1" s="439" t="str">
        <f>Настройки!AC1</f>
        <v>MOPS</v>
      </c>
      <c r="AV1" s="439" t="str">
        <f>Настройки!AD1</f>
        <v>MUPS</v>
      </c>
      <c r="AW1" s="439" t="str">
        <f>Настройки!AE1</f>
        <v>M941A</v>
      </c>
      <c r="AX1" s="439" t="str">
        <f>Настройки!AF1</f>
        <v>M954D</v>
      </c>
      <c r="AY1" s="439" t="str">
        <f>Настройки!AG1</f>
        <v>M557DR</v>
      </c>
      <c r="AZ1" s="439" t="str">
        <f>Настройки!AH1</f>
        <v>M558D</v>
      </c>
      <c r="BA1" s="439" t="str">
        <f>Настройки!AI1</f>
        <v>M558O</v>
      </c>
      <c r="BB1" s="439" t="str">
        <f>Настройки!AJ1</f>
        <v>M548A</v>
      </c>
      <c r="BC1" s="439" t="str">
        <f>Настройки!AK1</f>
        <v>M538V</v>
      </c>
      <c r="BD1" s="439" t="str">
        <f>Настройки!AL1</f>
        <v>M558DR</v>
      </c>
      <c r="BE1" s="439" t="str">
        <f>Настройки!AM1</f>
        <v>*</v>
      </c>
    </row>
    <row r="2" spans="1:57">
      <c r="A2" s="446" t="str">
        <f>"//*********** "&amp;Q2&amp;" ***********"</f>
        <v>//*********** Загазованность ***********</v>
      </c>
      <c r="B2" s="446"/>
      <c r="C2" s="446"/>
      <c r="D2" s="446"/>
      <c r="E2" s="446"/>
      <c r="F2" s="446" t="s">
        <v>1031</v>
      </c>
      <c r="G2" s="447"/>
      <c r="H2" s="447"/>
      <c r="I2" s="459"/>
      <c r="J2" s="459"/>
      <c r="M2" s="424" t="str">
        <f>'Конфигурация TREI'!A3</f>
        <v>BR1</v>
      </c>
      <c r="N2" s="461" t="str">
        <f>'Конфигурация TREI'!B3</f>
        <v>M558D</v>
      </c>
      <c r="P2" s="2" t="s">
        <v>445</v>
      </c>
      <c r="Q2" s="449" t="s">
        <v>776</v>
      </c>
      <c r="R2" s="379" t="s">
        <v>1335</v>
      </c>
      <c r="S2" s="379" t="s">
        <v>1336</v>
      </c>
      <c r="T2" s="379" t="s">
        <v>1337</v>
      </c>
      <c r="U2" s="379"/>
      <c r="V2" s="379"/>
      <c r="W2" s="379" t="s">
        <v>1338</v>
      </c>
      <c r="X2" s="379"/>
      <c r="Y2" s="379"/>
      <c r="Z2" s="379"/>
      <c r="AA2" s="379"/>
      <c r="AB2" s="379"/>
      <c r="AC2" s="379"/>
      <c r="AD2" s="378">
        <v>5</v>
      </c>
      <c r="AE2" s="431">
        <f>Настройки!P2</f>
        <v>1</v>
      </c>
      <c r="AF2" s="380">
        <f>Настройки!Q2</f>
        <v>0</v>
      </c>
      <c r="AG2" s="380" t="str">
        <f>Настройки!R2</f>
        <v>IDIG_1_1</v>
      </c>
      <c r="AH2" s="380" t="str">
        <f>Настройки!S2</f>
        <v>IANS_1_3</v>
      </c>
      <c r="AI2" s="380" t="str">
        <f>Настройки!T2</f>
        <v>out0</v>
      </c>
      <c r="AJ2" s="380" t="str">
        <f>Настройки!U2</f>
        <v>out0</v>
      </c>
      <c r="AK2" s="380" t="str">
        <f>Настройки!V2</f>
        <v>ODIG_1</v>
      </c>
      <c r="AL2" s="380" t="str">
        <f>Настройки!W2</f>
        <v>OAN_1_1</v>
      </c>
      <c r="AM2" s="380" t="str">
        <f>Настройки!X2</f>
        <v>IANS_1_1</v>
      </c>
      <c r="AN2" s="380" t="str">
        <f>Настройки!Y2</f>
        <v>Canal_01</v>
      </c>
      <c r="AO2" s="380" t="str">
        <f>Настройки!Z2</f>
        <v>Canal_01</v>
      </c>
      <c r="AP2" s="380" t="str">
        <f>Настройки!AA2</f>
        <v>Canal_01</v>
      </c>
      <c r="AQ2" s="380" t="str">
        <f>Настройки!AB2</f>
        <v>Canal_01</v>
      </c>
      <c r="AR2" s="380" t="str">
        <f>Настройки!AC2</f>
        <v>IVXX[0]</v>
      </c>
      <c r="AS2" s="380" t="str">
        <f>Настройки!AD2</f>
        <v>IVXX[0]</v>
      </c>
      <c r="AT2" s="207" t="str">
        <f>Настройки!AB2</f>
        <v>Canal_01</v>
      </c>
      <c r="AU2" s="207" t="str">
        <f>Настройки!AC2</f>
        <v>IVXX[0]</v>
      </c>
      <c r="AV2" s="207" t="str">
        <f>Настройки!AD2</f>
        <v>IVXX[0]</v>
      </c>
      <c r="AW2" s="207" t="str">
        <f>Настройки!AE2</f>
        <v>IANS_1_1</v>
      </c>
      <c r="AX2" s="207" t="str">
        <f>Настройки!AF2</f>
        <v>IDIG_1_1</v>
      </c>
      <c r="AY2" s="207" t="str">
        <f>Настройки!AG2</f>
        <v>Canal_01</v>
      </c>
      <c r="AZ2" s="207" t="str">
        <f>Настройки!AH2</f>
        <v>Canal_01</v>
      </c>
      <c r="BA2" s="207" t="str">
        <f>Настройки!AI2</f>
        <v>Canal_01</v>
      </c>
      <c r="BB2" s="207" t="str">
        <f>Настройки!AJ2</f>
        <v>Canal_01</v>
      </c>
      <c r="BC2" s="207" t="str">
        <f>Настройки!AK2</f>
        <v>Canal_01</v>
      </c>
      <c r="BD2" s="207" t="str">
        <f>Настройки!AL2</f>
        <v>Canal_01</v>
      </c>
      <c r="BE2" s="207" t="str">
        <f>Настройки!AM2</f>
        <v>-</v>
      </c>
    </row>
    <row r="3" spans="1:57">
      <c r="A3" s="82"/>
      <c r="B3" s="82"/>
      <c r="C3" s="81"/>
      <c r="D3" s="81"/>
      <c r="E3" s="448" t="str">
        <f ca="1">IF(LEFT(E8,3)="out","INT_TO_BIT_BR"&amp;C8&amp;"(BR"&amp;C8&amp;".IDIG_MASK)","УДАЛИТЬ")</f>
        <v>УДАЛИТЬ</v>
      </c>
      <c r="F3" s="446" t="s">
        <v>845</v>
      </c>
      <c r="G3" s="447"/>
      <c r="H3" s="447"/>
      <c r="I3" s="459"/>
      <c r="J3" s="459"/>
      <c r="M3" s="424" t="str">
        <f>'Конфигурация TREI'!A4</f>
        <v>BR2</v>
      </c>
      <c r="N3" s="461" t="str">
        <f>'Конфигурация TREI'!B4</f>
        <v>M548A</v>
      </c>
      <c r="P3" s="425" t="str">
        <f>'Конфигурация TREI'!D1</f>
        <v>Путь TREI для сигналов NOT_LINK</v>
      </c>
      <c r="R3" s="454" t="str">
        <f>SUBSTITUTE(SUBSTITUTE($R$2,"!","")," ","")</f>
        <v>3+6</v>
      </c>
      <c r="S3" s="454" t="str">
        <f>SUBSTITUTE(SUBSTITUTE($S$2,"!","")," ","")</f>
        <v>10+7</v>
      </c>
      <c r="T3" s="454" t="str">
        <f>SUBSTITUTE(SUBSTITUTE($T$2,"!","")," ","")</f>
        <v>10+8</v>
      </c>
      <c r="U3" s="454" t="str">
        <f>SUBSTITUTE(SUBSTITUTE($U$2,"!","")," ","")</f>
        <v/>
      </c>
      <c r="V3" s="454" t="str">
        <f>SUBSTITUTE(SUBSTITUTE($V$2,"!","")," ","")</f>
        <v/>
      </c>
      <c r="W3" s="454" t="str">
        <f>SUBSTITUTE(SUBSTITUTE($W$2,"!","")," ","")</f>
        <v>10+9</v>
      </c>
      <c r="X3" s="454" t="str">
        <f>SUBSTITUTE(SUBSTITUTE($X$2,"!","")," ","")</f>
        <v/>
      </c>
      <c r="Y3" s="454" t="str">
        <f>SUBSTITUTE(SUBSTITUTE($Y$2,"!","")," ","")</f>
        <v/>
      </c>
      <c r="Z3" s="454" t="str">
        <f>SUBSTITUTE(SUBSTITUTE($Z$2,"!","")," ","")</f>
        <v/>
      </c>
      <c r="AA3" s="454" t="str">
        <f>SUBSTITUTE(SUBSTITUTE($AA$2,"!","")," ","")</f>
        <v/>
      </c>
      <c r="AB3" s="454" t="str">
        <f>SUBSTITUTE(SUBSTITUTE($AB$2,"!","")," ","")</f>
        <v/>
      </c>
      <c r="AC3" s="454" t="str">
        <f>SUBSTITUTE(SUBSTITUTE($AC$2,"!","")," ","")</f>
        <v/>
      </c>
      <c r="AD3" s="378"/>
      <c r="AE3" s="431">
        <f>Настройки!P3</f>
        <v>2</v>
      </c>
      <c r="AF3" s="380">
        <f>Настройки!Q3</f>
        <v>0</v>
      </c>
      <c r="AG3" s="380" t="str">
        <f>Настройки!R3</f>
        <v>IDIG_1_2</v>
      </c>
      <c r="AH3" s="380" t="str">
        <f>Настройки!S3</f>
        <v>IANS_1_4</v>
      </c>
      <c r="AI3" s="380" t="str">
        <f>Настройки!T3</f>
        <v>out1</v>
      </c>
      <c r="AJ3" s="380" t="str">
        <f>Настройки!U3</f>
        <v>out1</v>
      </c>
      <c r="AK3" s="380" t="str">
        <f>Настройки!V3</f>
        <v>ODIG_2</v>
      </c>
      <c r="AL3" s="380" t="str">
        <f>Настройки!W3</f>
        <v>OAN_2_1</v>
      </c>
      <c r="AM3" s="380" t="str">
        <f>Настройки!X3</f>
        <v>IANS_2_1</v>
      </c>
      <c r="AN3" s="380" t="str">
        <f>Настройки!Y3</f>
        <v>Canal_02</v>
      </c>
      <c r="AO3" s="380" t="str">
        <f>Настройки!Z3</f>
        <v>Canal_02</v>
      </c>
      <c r="AP3" s="380" t="str">
        <f>Настройки!AA3</f>
        <v>Canal_02</v>
      </c>
      <c r="AQ3" s="380" t="str">
        <f>Настройки!AB3</f>
        <v>Canal_02</v>
      </c>
      <c r="AR3" s="380" t="str">
        <f>Настройки!AC3</f>
        <v>IVXX[1]</v>
      </c>
      <c r="AS3" s="380" t="str">
        <f>Настройки!AD3</f>
        <v>IVXX[1]</v>
      </c>
      <c r="AT3" s="207" t="str">
        <f>Настройки!AB3</f>
        <v>Canal_02</v>
      </c>
      <c r="AU3" s="207" t="str">
        <f>Настройки!AC3</f>
        <v>IVXX[1]</v>
      </c>
      <c r="AV3" s="207" t="str">
        <f>Настройки!AD3</f>
        <v>IVXX[1]</v>
      </c>
      <c r="AW3" s="207" t="str">
        <f>Настройки!AE3</f>
        <v>IANS_1_2</v>
      </c>
      <c r="AX3" s="207" t="str">
        <f>Настройки!AF3</f>
        <v>IDIG_1_2</v>
      </c>
      <c r="AY3" s="207" t="str">
        <f>Настройки!AG3</f>
        <v>Canal_02</v>
      </c>
      <c r="AZ3" s="207" t="str">
        <f>Настройки!AH3</f>
        <v>Canal_02</v>
      </c>
      <c r="BA3" s="207" t="str">
        <f>Настройки!AI3</f>
        <v>Canal_02</v>
      </c>
      <c r="BB3" s="207" t="str">
        <f>Настройки!AJ3</f>
        <v>Canal_02</v>
      </c>
      <c r="BC3" s="207" t="str">
        <f>Настройки!AK3</f>
        <v>Canal_02</v>
      </c>
      <c r="BD3" s="207" t="str">
        <f>Настройки!AL3</f>
        <v>Canal_02</v>
      </c>
      <c r="BE3" s="207" t="str">
        <f>Настройки!AM3</f>
        <v>-</v>
      </c>
    </row>
    <row r="4" spans="1:57">
      <c r="A4" s="82"/>
      <c r="B4" s="82"/>
      <c r="C4" s="81"/>
      <c r="D4" s="81"/>
      <c r="E4" s="448" t="str">
        <f ca="1">IF(LEFT(E9,3)="out","INT_TO_BIT_BR"&amp;C9&amp;"(BR"&amp;C9&amp;".IDIG_MASK)","УДАЛИТЬ")</f>
        <v>УДАЛИТЬ</v>
      </c>
      <c r="F4" s="446" t="s">
        <v>845</v>
      </c>
      <c r="G4" s="447"/>
      <c r="H4" s="447"/>
      <c r="I4" s="459"/>
      <c r="J4" s="459"/>
      <c r="M4" s="424" t="str">
        <f>'Конфигурация TREI'!A5</f>
        <v>BR3</v>
      </c>
      <c r="N4" s="461" t="str">
        <f>'Конфигурация TREI'!B5</f>
        <v>M548A</v>
      </c>
      <c r="P4" s="3" t="str">
        <f>Настройки!D2</f>
        <v/>
      </c>
      <c r="AE4" s="431">
        <f>Настройки!P4</f>
        <v>3</v>
      </c>
      <c r="AF4" s="380">
        <f>Настройки!Q4</f>
        <v>0</v>
      </c>
      <c r="AG4" s="380" t="str">
        <f>Настройки!R4</f>
        <v>IDIG_2_1</v>
      </c>
      <c r="AH4" s="380" t="str">
        <f>Настройки!S4</f>
        <v>IANS_2_3</v>
      </c>
      <c r="AI4" s="380" t="str">
        <f>Настройки!T4</f>
        <v>out2</v>
      </c>
      <c r="AJ4" s="380" t="str">
        <f>Настройки!U4</f>
        <v>out2</v>
      </c>
      <c r="AK4" s="380" t="str">
        <f>Настройки!V4</f>
        <v>ODIG_3</v>
      </c>
      <c r="AL4" s="380" t="str">
        <f>Настройки!W4</f>
        <v>OAN_3_1</v>
      </c>
      <c r="AM4" s="380" t="str">
        <f>Настройки!X4</f>
        <v>IANS_3_1</v>
      </c>
      <c r="AN4" s="380" t="str">
        <f>Настройки!Y4</f>
        <v>Canal_03</v>
      </c>
      <c r="AO4" s="380" t="str">
        <f>Настройки!Z4</f>
        <v>Canal_03</v>
      </c>
      <c r="AP4" s="380" t="str">
        <f>Настройки!AA4</f>
        <v>Canal_03</v>
      </c>
      <c r="AQ4" s="380" t="str">
        <f>Настройки!AB4</f>
        <v>Canal_03</v>
      </c>
      <c r="AR4" s="380" t="str">
        <f>Настройки!AC4</f>
        <v>IVXX[2]</v>
      </c>
      <c r="AS4" s="380" t="str">
        <f>Настройки!AD4</f>
        <v>IVXX[2]</v>
      </c>
      <c r="AT4" s="207" t="str">
        <f>Настройки!AB4</f>
        <v>Canal_03</v>
      </c>
      <c r="AU4" s="207" t="str">
        <f>Настройки!AC4</f>
        <v>IVXX[2]</v>
      </c>
      <c r="AV4" s="207" t="str">
        <f>Настройки!AD4</f>
        <v>IVXX[2]</v>
      </c>
      <c r="AW4" s="207" t="str">
        <f>Настройки!AE4</f>
        <v>IANS_2_1</v>
      </c>
      <c r="AX4" s="207" t="str">
        <f>Настройки!AF4</f>
        <v>IDIG_1_3</v>
      </c>
      <c r="AY4" s="207" t="str">
        <f>Настройки!AG4</f>
        <v>Canal_03</v>
      </c>
      <c r="AZ4" s="207" t="str">
        <f>Настройки!AH4</f>
        <v>Canal_03</v>
      </c>
      <c r="BA4" s="207" t="str">
        <f>Настройки!AI4</f>
        <v>Canal_03</v>
      </c>
      <c r="BB4" s="207" t="str">
        <f>Настройки!AJ4</f>
        <v>Canal_03</v>
      </c>
      <c r="BC4" s="207" t="str">
        <f>Настройки!AK4</f>
        <v>Canal_03</v>
      </c>
      <c r="BD4" s="207" t="str">
        <f>Настройки!AL4</f>
        <v>Canal_03</v>
      </c>
      <c r="BE4" s="207" t="str">
        <f>Настройки!AM4</f>
        <v>-</v>
      </c>
    </row>
    <row r="5" spans="1:57">
      <c r="A5" s="82"/>
      <c r="B5" s="82"/>
      <c r="C5" s="81"/>
      <c r="D5" s="81"/>
      <c r="E5" s="448" t="str">
        <f ca="1">IF(LEFT(E10,3)="out","INT_TO_BIT_BR"&amp;C10&amp;"(BR"&amp;C10&amp;".IDIG_MASK)","УДАЛИТЬ")</f>
        <v>УДАЛИТЬ</v>
      </c>
      <c r="F5" s="446" t="s">
        <v>845</v>
      </c>
      <c r="G5" s="447"/>
      <c r="H5" s="447"/>
      <c r="I5" s="459"/>
      <c r="J5" s="459"/>
      <c r="M5" s="424" t="str">
        <f>'Конфигурация TREI'!A6</f>
        <v>BR4</v>
      </c>
      <c r="N5" s="461" t="str">
        <f>'Конфигурация TREI'!B6</f>
        <v>M558D</v>
      </c>
      <c r="AE5" s="431">
        <f>Настройки!P5</f>
        <v>4</v>
      </c>
      <c r="AF5" s="380">
        <f>Настройки!Q5</f>
        <v>0</v>
      </c>
      <c r="AG5" s="380" t="str">
        <f>Настройки!R5</f>
        <v>IDIG_2_2</v>
      </c>
      <c r="AH5" s="380" t="str">
        <f>Настройки!S5</f>
        <v>IANS_2_4</v>
      </c>
      <c r="AI5" s="380" t="str">
        <f>Настройки!T5</f>
        <v>out3</v>
      </c>
      <c r="AJ5" s="380" t="str">
        <f>Настройки!U5</f>
        <v>out3</v>
      </c>
      <c r="AK5" s="380" t="str">
        <f>Настройки!V5</f>
        <v>ODIG_4</v>
      </c>
      <c r="AL5" s="380" t="str">
        <f>Настройки!W5</f>
        <v>OAN_4_1</v>
      </c>
      <c r="AM5" s="380" t="str">
        <f>Настройки!X5</f>
        <v>IANS_4_1</v>
      </c>
      <c r="AN5" s="380" t="str">
        <f>Настройки!Y5</f>
        <v>Canal_04</v>
      </c>
      <c r="AO5" s="380" t="str">
        <f>Настройки!Z5</f>
        <v>Canal_04</v>
      </c>
      <c r="AP5" s="380" t="str">
        <f>Настройки!AA5</f>
        <v>Canal_04</v>
      </c>
      <c r="AQ5" s="380" t="str">
        <f>Настройки!AB5</f>
        <v>Canal_04</v>
      </c>
      <c r="AR5" s="380" t="str">
        <f>Настройки!AC5</f>
        <v>IVXX[3]</v>
      </c>
      <c r="AS5" s="380" t="str">
        <f>Настройки!AD5</f>
        <v>IVXX[3]</v>
      </c>
      <c r="AT5" s="207" t="str">
        <f>Настройки!AB5</f>
        <v>Canal_04</v>
      </c>
      <c r="AU5" s="207" t="str">
        <f>Настройки!AC5</f>
        <v>IVXX[3]</v>
      </c>
      <c r="AV5" s="207" t="str">
        <f>Настройки!AD5</f>
        <v>IVXX[3]</v>
      </c>
      <c r="AW5" s="207" t="str">
        <f>Настройки!AE5</f>
        <v>IANS_2_2</v>
      </c>
      <c r="AX5" s="207" t="str">
        <f>Настройки!AF5</f>
        <v>IDIG_1_4</v>
      </c>
      <c r="AY5" s="207" t="str">
        <f>Настройки!AG5</f>
        <v>Canal_04</v>
      </c>
      <c r="AZ5" s="207" t="str">
        <f>Настройки!AH5</f>
        <v>Canal_04</v>
      </c>
      <c r="BA5" s="207" t="str">
        <f>Настройки!AI5</f>
        <v>Canal_04</v>
      </c>
      <c r="BB5" s="207" t="str">
        <f>Настройки!AJ5</f>
        <v>Canal_04</v>
      </c>
      <c r="BC5" s="207" t="str">
        <f>Настройки!AK5</f>
        <v>Canal_04</v>
      </c>
      <c r="BD5" s="207" t="str">
        <f>Настройки!AL5</f>
        <v>Canal_04</v>
      </c>
      <c r="BE5" s="207" t="str">
        <f>Настройки!AM5</f>
        <v>-</v>
      </c>
    </row>
    <row r="6" spans="1:57">
      <c r="A6" s="82"/>
      <c r="B6" s="82"/>
      <c r="C6" s="81"/>
      <c r="D6" s="81"/>
      <c r="E6" s="448" t="str">
        <f ca="1">IF(LEFT(E11,3)="out","INT_TO_BIT_BR"&amp;C11&amp;"(BR"&amp;C11&amp;".IDIG_MASK)","УДАЛИТЬ")</f>
        <v>УДАЛИТЬ</v>
      </c>
      <c r="F6" s="446" t="s">
        <v>845</v>
      </c>
      <c r="G6" s="447"/>
      <c r="H6" s="447"/>
      <c r="I6" s="459"/>
      <c r="J6" s="459"/>
      <c r="M6" s="424" t="str">
        <f>'Конфигурация TREI'!A7</f>
        <v>BR5</v>
      </c>
      <c r="N6" s="461" t="str">
        <f>'Конфигурация TREI'!B7</f>
        <v>M558O</v>
      </c>
      <c r="AE6" s="431">
        <f>Настройки!P6</f>
        <v>5</v>
      </c>
      <c r="AF6" s="380">
        <f>Настройки!Q6</f>
        <v>0</v>
      </c>
      <c r="AG6" s="380" t="str">
        <f>Настройки!R6</f>
        <v>IDIG_3_1</v>
      </c>
      <c r="AH6" s="380" t="str">
        <f>Настройки!S6</f>
        <v>IANS_3_3</v>
      </c>
      <c r="AI6" s="380" t="str">
        <f>Настройки!T6</f>
        <v>out4</v>
      </c>
      <c r="AJ6" s="380" t="str">
        <f>Настройки!U6</f>
        <v>out4</v>
      </c>
      <c r="AK6" s="380" t="str">
        <f>Настройки!V6</f>
        <v>ODIG_5</v>
      </c>
      <c r="AL6" s="380" t="str">
        <f>Настройки!W6</f>
        <v>OAN_5_1</v>
      </c>
      <c r="AM6" s="380" t="str">
        <f>Настройки!X6</f>
        <v>IANS_5_1</v>
      </c>
      <c r="AN6" s="380" t="str">
        <f>Настройки!Y6</f>
        <v>Canal_05</v>
      </c>
      <c r="AO6" s="380" t="str">
        <f>Настройки!Z6</f>
        <v>Canal_05</v>
      </c>
      <c r="AP6" s="380" t="str">
        <f>Настройки!AA6</f>
        <v>Canal_05</v>
      </c>
      <c r="AQ6" s="380" t="str">
        <f>Настройки!AB6</f>
        <v>Canal_05</v>
      </c>
      <c r="AR6" s="380" t="str">
        <f>Настройки!AC6</f>
        <v>IVXX[4]</v>
      </c>
      <c r="AS6" s="380" t="str">
        <f>Настройки!AD6</f>
        <v>IVXX[4]</v>
      </c>
      <c r="AT6" s="207" t="str">
        <f>Настройки!AB6</f>
        <v>Canal_05</v>
      </c>
      <c r="AU6" s="207" t="str">
        <f>Настройки!AC6</f>
        <v>IVXX[4]</v>
      </c>
      <c r="AV6" s="207" t="str">
        <f>Настройки!AD6</f>
        <v>IVXX[4]</v>
      </c>
      <c r="AW6" s="207" t="str">
        <f>Настройки!AE6</f>
        <v>IANS_3_1</v>
      </c>
      <c r="AX6" s="207" t="str">
        <f>Настройки!AF6</f>
        <v>IDIG_2_1</v>
      </c>
      <c r="AY6" s="207" t="str">
        <f>Настройки!AG6</f>
        <v>Canal_05</v>
      </c>
      <c r="AZ6" s="207" t="str">
        <f>Настройки!AH6</f>
        <v>Canal_05</v>
      </c>
      <c r="BA6" s="207" t="str">
        <f>Настройки!AI6</f>
        <v>Canal_05</v>
      </c>
      <c r="BB6" s="207" t="str">
        <f>Настройки!AJ6</f>
        <v>Canal_05</v>
      </c>
      <c r="BC6" s="207" t="str">
        <f>Настройки!AK6</f>
        <v>Canal_05</v>
      </c>
      <c r="BD6" s="207" t="str">
        <f>Настройки!AL6</f>
        <v>Canal_05</v>
      </c>
      <c r="BE6" s="207" t="str">
        <f>Настройки!AM6</f>
        <v>-</v>
      </c>
    </row>
    <row r="7" spans="1:57">
      <c r="A7" s="448" t="str">
        <f>SUBSTITUTE($P$2,"\","|")&amp;"|"&amp; $R$1 &amp;":="&amp;IF(LEFT(SUBSTITUTE($R$2," ",""),1)="!","NOT  ","")</f>
        <v>Zagaz_v_KTP|IVXX:=</v>
      </c>
      <c r="B7" s="448" t="str">
        <f ca="1">IF(LEFT(E7,3)="out","INT_TO_BIT_BR","BR")</f>
        <v>BR</v>
      </c>
      <c r="C7" s="446" t="str">
        <f>LEFT($R$3,FIND("+",$R$3,1)-1)</f>
        <v>3</v>
      </c>
      <c r="D7" s="446" t="s">
        <v>178</v>
      </c>
      <c r="E7" s="446" t="str">
        <f ca="1">IF($R$2=0,"УДАЛИТЬ",IFERROR(IF(OR($I7="-",$H7="0"),"КАНАЛ ОТСУТСТВУЕТ",IF($I7=0,"МОДУЛЬ ОТСУТСТВУЕТ",$I7)),"ОШИБКА ФОРМАТА"))</f>
        <v>Canal_06</v>
      </c>
      <c r="F7" s="446" t="s">
        <v>845</v>
      </c>
      <c r="G7" s="447" t="str">
        <f>INDEX($N$2:$N$61,C7)</f>
        <v>M548A</v>
      </c>
      <c r="H7" s="447" t="str">
        <f>RIGHT(R$3,LEN(R$3)-FIND("+",R$3,1))</f>
        <v>6</v>
      </c>
      <c r="I7" s="460" t="str">
        <f ca="1">INDIRECT(ADDRESS($H7+1,MATCH($G7,$1:$1,),1))</f>
        <v>Canal_06</v>
      </c>
      <c r="J7" s="459"/>
      <c r="M7" s="424" t="str">
        <f>'Конфигурация TREI'!A8</f>
        <v>BR6</v>
      </c>
      <c r="N7" s="461" t="str">
        <f>'Конфигурация TREI'!B8</f>
        <v>M558O</v>
      </c>
      <c r="AE7" s="431">
        <f>Настройки!P7</f>
        <v>6</v>
      </c>
      <c r="AF7" s="380">
        <f>Настройки!Q7</f>
        <v>0</v>
      </c>
      <c r="AG7" s="380" t="str">
        <f>Настройки!R7</f>
        <v>IDIG_3_2</v>
      </c>
      <c r="AH7" s="380" t="str">
        <f>Настройки!S7</f>
        <v>IANS_3_4</v>
      </c>
      <c r="AI7" s="380" t="str">
        <f>Настройки!T7</f>
        <v>out5</v>
      </c>
      <c r="AJ7" s="380" t="str">
        <f>Настройки!U7</f>
        <v>out5</v>
      </c>
      <c r="AK7" s="380" t="str">
        <f>Настройки!V7</f>
        <v>ODIG_6</v>
      </c>
      <c r="AL7" s="380" t="str">
        <f>Настройки!W7</f>
        <v>OAN_6_1</v>
      </c>
      <c r="AM7" s="380" t="str">
        <f>Настройки!X7</f>
        <v>IANS_6_1</v>
      </c>
      <c r="AN7" s="380" t="str">
        <f>Настройки!Y7</f>
        <v>Canal_06</v>
      </c>
      <c r="AO7" s="380" t="str">
        <f>Настройки!Z7</f>
        <v>Canal_06</v>
      </c>
      <c r="AP7" s="380" t="str">
        <f>Настройки!AA7</f>
        <v>Canal_06</v>
      </c>
      <c r="AQ7" s="380" t="str">
        <f>Настройки!AB7</f>
        <v>Canal_06</v>
      </c>
      <c r="AR7" s="380" t="str">
        <f>Настройки!AC7</f>
        <v>IVXX[5]</v>
      </c>
      <c r="AS7" s="380" t="str">
        <f>Настройки!AD7</f>
        <v>IVXX[5]</v>
      </c>
      <c r="AT7" s="207" t="str">
        <f>Настройки!AB7</f>
        <v>Canal_06</v>
      </c>
      <c r="AU7" s="207" t="str">
        <f>Настройки!AC7</f>
        <v>IVXX[5]</v>
      </c>
      <c r="AV7" s="207" t="str">
        <f>Настройки!AD7</f>
        <v>IVXX[5]</v>
      </c>
      <c r="AW7" s="207" t="str">
        <f>Настройки!AE7</f>
        <v>IANS_3_2</v>
      </c>
      <c r="AX7" s="207" t="str">
        <f>Настройки!AF7</f>
        <v>IDIG_2_2</v>
      </c>
      <c r="AY7" s="207" t="str">
        <f>Настройки!AG7</f>
        <v>Canal_06</v>
      </c>
      <c r="AZ7" s="207" t="str">
        <f>Настройки!AH7</f>
        <v>Canal_06</v>
      </c>
      <c r="BA7" s="207" t="str">
        <f>Настройки!AI7</f>
        <v>Canal_06</v>
      </c>
      <c r="BB7" s="207" t="str">
        <f>Настройки!AJ7</f>
        <v>Canal_06</v>
      </c>
      <c r="BC7" s="207" t="str">
        <f>Настройки!AK7</f>
        <v>Canal_06</v>
      </c>
      <c r="BD7" s="207" t="str">
        <f>Настройки!AL7</f>
        <v>Canal_06</v>
      </c>
      <c r="BE7" s="207" t="str">
        <f>Настройки!AM7</f>
        <v>-</v>
      </c>
    </row>
    <row r="8" spans="1:57">
      <c r="A8" s="448" t="str">
        <f>SUBSTITUTE($P$2,"\","|")&amp;"|"&amp; $S$1 &amp;":="&amp;IF(LEFT(SUBSTITUTE($S$2," ",""),1)="!","NOT  ","")</f>
        <v>Zagaz_v_KTP|IT1X:=</v>
      </c>
      <c r="B8" s="448" t="str">
        <f ca="1">IF(LEFT(E8,3)="out","INT_TO_BIT_BR","BR")</f>
        <v>BR</v>
      </c>
      <c r="C8" s="446" t="str">
        <f>LEFT($S$3,FIND("+",$S$3,1)-1)</f>
        <v>10</v>
      </c>
      <c r="D8" s="446" t="s">
        <v>178</v>
      </c>
      <c r="E8" s="446" t="str">
        <f ca="1">IF($S$2=0,"УДАЛИТЬ",IFERROR(IF(OR($I8="-",$H8="0"),"КАНАЛ ОТСУТСТВУЕТ",IF($I8=0,"МОДУЛЬ ОТСУТСТВУЕТ",$I8)),"ОШИБКА ФОРМАТА"))</f>
        <v>Canal_07</v>
      </c>
      <c r="F8" s="446" t="s">
        <v>845</v>
      </c>
      <c r="G8" s="447" t="str">
        <f>INDEX($N$2:$N$61,C8)</f>
        <v>M558O</v>
      </c>
      <c r="H8" s="447" t="str">
        <f>RIGHT(S$3,LEN(S$3)-FIND("+",S$3,1))</f>
        <v>7</v>
      </c>
      <c r="I8" s="460" t="str">
        <f ca="1">INDIRECT(ADDRESS($H8+1,MATCH($G8,$1:$1,),1))</f>
        <v>Canal_07</v>
      </c>
      <c r="J8" s="459"/>
      <c r="M8" s="424" t="str">
        <f>'Конфигурация TREI'!A9</f>
        <v>BR7</v>
      </c>
      <c r="N8" s="461" t="str">
        <f>'Конфигурация TREI'!B9</f>
        <v>M558O</v>
      </c>
      <c r="AE8" s="431">
        <f>Настройки!P8</f>
        <v>7</v>
      </c>
      <c r="AF8" s="380">
        <f>Настройки!Q8</f>
        <v>0</v>
      </c>
      <c r="AG8" s="380" t="str">
        <f>Настройки!R8</f>
        <v>IDIG_4_1</v>
      </c>
      <c r="AH8" s="380" t="str">
        <f>Настройки!S8</f>
        <v>IANS_4_3</v>
      </c>
      <c r="AI8" s="380" t="str">
        <f>Настройки!T8</f>
        <v>out6</v>
      </c>
      <c r="AJ8" s="380" t="str">
        <f>Настройки!U8</f>
        <v>out6</v>
      </c>
      <c r="AK8" s="380" t="str">
        <f>Настройки!V8</f>
        <v>ODIG_7</v>
      </c>
      <c r="AL8" s="380" t="str">
        <f>Настройки!W8</f>
        <v>OAN_7_1</v>
      </c>
      <c r="AM8" s="380" t="str">
        <f>Настройки!X8</f>
        <v>IANS_7_1</v>
      </c>
      <c r="AN8" s="380" t="str">
        <f>Настройки!Y8</f>
        <v>Canal_07</v>
      </c>
      <c r="AO8" s="380" t="str">
        <f>Настройки!Z8</f>
        <v>Canal_07</v>
      </c>
      <c r="AP8" s="380" t="str">
        <f>Настройки!AA8</f>
        <v>Canal_07</v>
      </c>
      <c r="AQ8" s="380" t="str">
        <f>Настройки!AB8</f>
        <v>Canal_07</v>
      </c>
      <c r="AR8" s="380" t="str">
        <f>Настройки!AC8</f>
        <v>IVXX[6]</v>
      </c>
      <c r="AS8" s="380" t="str">
        <f>Настройки!AD8</f>
        <v>IVXX[6]</v>
      </c>
      <c r="AT8" s="207" t="str">
        <f>Настройки!AB8</f>
        <v>Canal_07</v>
      </c>
      <c r="AU8" s="207" t="str">
        <f>Настройки!AC8</f>
        <v>IVXX[6]</v>
      </c>
      <c r="AV8" s="207" t="str">
        <f>Настройки!AD8</f>
        <v>IVXX[6]</v>
      </c>
      <c r="AW8" s="207" t="str">
        <f>Настройки!AE8</f>
        <v>IANS_4_1</v>
      </c>
      <c r="AX8" s="207" t="str">
        <f>Настройки!AF8</f>
        <v>IDIG_2_3</v>
      </c>
      <c r="AY8" s="207" t="str">
        <f>Настройки!AG8</f>
        <v>Canal_07</v>
      </c>
      <c r="AZ8" s="207" t="str">
        <f>Настройки!AH8</f>
        <v>Canal_07</v>
      </c>
      <c r="BA8" s="207" t="str">
        <f>Настройки!AI8</f>
        <v>Canal_07</v>
      </c>
      <c r="BB8" s="207" t="str">
        <f>Настройки!AJ8</f>
        <v>Canal_07</v>
      </c>
      <c r="BC8" s="207" t="str">
        <f>Настройки!AK8</f>
        <v>Canal_07</v>
      </c>
      <c r="BD8" s="207" t="str">
        <f>Настройки!AL8</f>
        <v>Canal_07</v>
      </c>
      <c r="BE8" s="207" t="str">
        <f>Настройки!AM8</f>
        <v>-</v>
      </c>
    </row>
    <row r="9" spans="1:57">
      <c r="A9" s="448" t="str">
        <f>SUBSTITUTE($P$2,"\","|")&amp;"|"&amp; $T$1 &amp;":="&amp;IF(LEFT(SUBSTITUTE($T$2," ",""),1)="!","NOT  ","")</f>
        <v>Zagaz_v_KTP|IT2X:=</v>
      </c>
      <c r="B9" s="448" t="str">
        <f ca="1">IF(LEFT(E9,3)="out","INT_TO_BIT_BR","BR")</f>
        <v>BR</v>
      </c>
      <c r="C9" s="446" t="str">
        <f>LEFT($T$3,FIND("+",$T$3,1)-1)</f>
        <v>10</v>
      </c>
      <c r="D9" s="446" t="s">
        <v>178</v>
      </c>
      <c r="E9" s="446" t="str">
        <f ca="1">IF($T$2=0,"УДАЛИТЬ",IFERROR(IF(OR($I9="-",$H9="0"),"КАНАЛ ОТСУТСТВУЕТ",IF($I9=0,"МОДУЛЬ ОТСУТСТВУЕТ",$I9)),"ОШИБКА ФОРМАТА"))</f>
        <v>Canal_08</v>
      </c>
      <c r="F9" s="446" t="s">
        <v>845</v>
      </c>
      <c r="G9" s="447" t="str">
        <f>INDEX($N$2:$N$61,C9)</f>
        <v>M558O</v>
      </c>
      <c r="H9" s="447" t="str">
        <f>RIGHT($T$3,LEN($T$3)-FIND("+",$T$3,1))</f>
        <v>8</v>
      </c>
      <c r="I9" s="460" t="str">
        <f ca="1">INDIRECT(ADDRESS($H9+1,MATCH($G9,$1:$1,),1))</f>
        <v>Canal_08</v>
      </c>
      <c r="J9" s="459"/>
      <c r="M9" s="424" t="str">
        <f>'Конфигурация TREI'!A10</f>
        <v>BR8</v>
      </c>
      <c r="N9" s="461" t="str">
        <f>'Конфигурация TREI'!B10</f>
        <v>M558O</v>
      </c>
      <c r="AE9" s="431">
        <f>Настройки!P9</f>
        <v>8</v>
      </c>
      <c r="AF9" s="380">
        <f>Настройки!Q9</f>
        <v>0</v>
      </c>
      <c r="AG9" s="380" t="str">
        <f>Настройки!R9</f>
        <v>IDIG_4_2</v>
      </c>
      <c r="AH9" s="380" t="str">
        <f>Настройки!S9</f>
        <v>IANS_4_4</v>
      </c>
      <c r="AI9" s="380" t="str">
        <f>Настройки!T9</f>
        <v>out7</v>
      </c>
      <c r="AJ9" s="380" t="str">
        <f>Настройки!U9</f>
        <v>out7</v>
      </c>
      <c r="AK9" s="380" t="str">
        <f>Настройки!V9</f>
        <v>ODIG_8</v>
      </c>
      <c r="AL9" s="380" t="str">
        <f>Настройки!W9</f>
        <v>OAN_8_1</v>
      </c>
      <c r="AM9" s="380" t="str">
        <f>Настройки!X9</f>
        <v>IANS_8_1</v>
      </c>
      <c r="AN9" s="380" t="str">
        <f>Настройки!Y9</f>
        <v>Canal_08</v>
      </c>
      <c r="AO9" s="380" t="str">
        <f>Настройки!Z9</f>
        <v>Canal_08</v>
      </c>
      <c r="AP9" s="380" t="str">
        <f>Настройки!AA9</f>
        <v>Canal_08</v>
      </c>
      <c r="AQ9" s="380" t="str">
        <f>Настройки!AB9</f>
        <v>Canal_08</v>
      </c>
      <c r="AR9" s="380" t="str">
        <f>Настройки!AC9</f>
        <v>IVXX[7]</v>
      </c>
      <c r="AS9" s="380" t="str">
        <f>Настройки!AD9</f>
        <v>IVXX[7]</v>
      </c>
      <c r="AT9" s="207" t="str">
        <f>Настройки!AB9</f>
        <v>Canal_08</v>
      </c>
      <c r="AU9" s="207" t="str">
        <f>Настройки!AC9</f>
        <v>IVXX[7]</v>
      </c>
      <c r="AV9" s="207" t="str">
        <f>Настройки!AD9</f>
        <v>IVXX[7]</v>
      </c>
      <c r="AW9" s="207" t="str">
        <f>Настройки!AE9</f>
        <v>IANS_4_2</v>
      </c>
      <c r="AX9" s="207" t="str">
        <f>Настройки!AF9</f>
        <v>IDIG_2_4</v>
      </c>
      <c r="AY9" s="207" t="str">
        <f>Настройки!AG9</f>
        <v>Canal_08</v>
      </c>
      <c r="AZ9" s="207" t="str">
        <f>Настройки!AH9</f>
        <v>Canal_08</v>
      </c>
      <c r="BA9" s="207" t="str">
        <f>Настройки!AI9</f>
        <v>Canal_08</v>
      </c>
      <c r="BB9" s="207" t="str">
        <f>Настройки!AJ9</f>
        <v>Canal_08</v>
      </c>
      <c r="BC9" s="207" t="str">
        <f>Настройки!AK9</f>
        <v>Canal_08</v>
      </c>
      <c r="BD9" s="207" t="str">
        <f>Настройки!AL9</f>
        <v>Canal_08</v>
      </c>
      <c r="BE9" s="207" t="str">
        <f>Настройки!AM9</f>
        <v>-</v>
      </c>
    </row>
    <row r="10" spans="1:57">
      <c r="A10" s="448" t="str">
        <f>SUBSTITUTE($P$2,"\","|")&amp;"|"&amp; $W$1 &amp;":="&amp;IF(LEFT(SUBSTITUTE($W$2," ",""),1)="!","NOT  ","")</f>
        <v>Zagaz_v_KTP|IFEX:=</v>
      </c>
      <c r="B10" s="448" t="str">
        <f ca="1">IF(LEFT(E10,3)="out","INT_TO_BIT_BR","BR")</f>
        <v>BR</v>
      </c>
      <c r="C10" s="446" t="str">
        <f>LEFT($W$3,FIND("+",$W$3,1)-1)</f>
        <v>10</v>
      </c>
      <c r="D10" s="446" t="s">
        <v>178</v>
      </c>
      <c r="E10" s="446" t="str">
        <f ca="1">IF($W$2=0,"УДАЛИТЬ",IFERROR(IF(OR($I10="-",$H10="0"),"КАНАЛ ОТСУТСТВУЕТ",IF($I10=0,"МОДУЛЬ ОТСУТСТВУЕТ",$I10)),"ОШИБКА ФОРМАТА"))</f>
        <v>Canal_09</v>
      </c>
      <c r="F10" s="446" t="s">
        <v>845</v>
      </c>
      <c r="G10" s="447" t="str">
        <f>INDEX($N$2:$N$61,C10)</f>
        <v>M558O</v>
      </c>
      <c r="H10" s="447" t="str">
        <f>RIGHT($W$3,LEN($W$3)-FIND("+",$W$3,1))</f>
        <v>9</v>
      </c>
      <c r="I10" s="460" t="str">
        <f ca="1">INDIRECT(ADDRESS($H10+1,MATCH($G10,$1:$1,),1))</f>
        <v>Canal_09</v>
      </c>
      <c r="J10" s="459"/>
      <c r="M10" s="424" t="str">
        <f>'Конфигурация TREI'!A11</f>
        <v>BR9</v>
      </c>
      <c r="N10" s="461" t="str">
        <f>'Конфигурация TREI'!B11</f>
        <v>M558D</v>
      </c>
      <c r="AE10" s="431">
        <f>Настройки!P10</f>
        <v>9</v>
      </c>
      <c r="AF10" s="380">
        <f>Настройки!Q10</f>
        <v>0</v>
      </c>
      <c r="AG10" s="380" t="str">
        <f>Настройки!R10</f>
        <v>IDIG_5_1</v>
      </c>
      <c r="AH10" s="380" t="str">
        <f>Настройки!S10</f>
        <v>IANS_5_3</v>
      </c>
      <c r="AI10" s="380" t="str">
        <f>Настройки!T10</f>
        <v>out8</v>
      </c>
      <c r="AJ10" s="380" t="str">
        <f>Настройки!U10</f>
        <v>out8</v>
      </c>
      <c r="AK10" s="380" t="str">
        <f>Настройки!V10</f>
        <v>ODIG_9</v>
      </c>
      <c r="AL10" s="380" t="str">
        <f>Настройки!W10</f>
        <v>-</v>
      </c>
      <c r="AM10" s="380" t="str">
        <f>Настройки!X10</f>
        <v>-</v>
      </c>
      <c r="AN10" s="380" t="str">
        <f>Настройки!Y10</f>
        <v>Canal_09</v>
      </c>
      <c r="AO10" s="380" t="str">
        <f>Настройки!Z10</f>
        <v>-</v>
      </c>
      <c r="AP10" s="380" t="str">
        <f>Настройки!AA10</f>
        <v>Canal_09</v>
      </c>
      <c r="AQ10" s="380" t="str">
        <f>Настройки!AB10</f>
        <v>Canal_09</v>
      </c>
      <c r="AR10" s="380" t="str">
        <f>Настройки!AC10</f>
        <v>OCCH[0]</v>
      </c>
      <c r="AS10" s="380" t="str">
        <f>Настройки!AD10</f>
        <v>OCCH[0]</v>
      </c>
      <c r="AT10" s="207" t="str">
        <f>Настройки!AB10</f>
        <v>Canal_09</v>
      </c>
      <c r="AU10" s="207" t="str">
        <f>Настройки!AC10</f>
        <v>OCCH[0]</v>
      </c>
      <c r="AV10" s="207" t="str">
        <f>Настройки!AD10</f>
        <v>OCCH[0]</v>
      </c>
      <c r="AW10" s="207" t="str">
        <f>Настройки!AE10</f>
        <v>IANS_5_1</v>
      </c>
      <c r="AX10" s="207" t="str">
        <f>Настройки!AF10</f>
        <v>IDIG_3_1</v>
      </c>
      <c r="AY10" s="207" t="str">
        <f>Настройки!AG10</f>
        <v>Canal_09</v>
      </c>
      <c r="AZ10" s="207" t="str">
        <f>Настройки!AH10</f>
        <v>Canal_09</v>
      </c>
      <c r="BA10" s="207" t="str">
        <f>Настройки!AI10</f>
        <v>Canal_09</v>
      </c>
      <c r="BB10" s="207" t="str">
        <f>Настройки!AJ10</f>
        <v>Canal_09</v>
      </c>
      <c r="BC10" s="207" t="str">
        <f>Настройки!AK10</f>
        <v>-</v>
      </c>
      <c r="BD10" s="207" t="str">
        <f>Настройки!AL10</f>
        <v>Canal_09</v>
      </c>
      <c r="BE10" s="207" t="str">
        <f>Настройки!AM10</f>
        <v>-</v>
      </c>
    </row>
    <row r="11" spans="1:57">
      <c r="A11" s="448" t="str">
        <f>SUBSTITUTE($P$2,"\","|")&amp;"|"&amp;"D"&amp; RIGHT($R$1,3)&amp;":="&amp;P4&amp;"NOT_LINK_BR"</f>
        <v>Zagaz_v_KTP|DVXX:=NOT_LINK_BR</v>
      </c>
      <c r="B11" s="446" t="str">
        <f>IFERROR(LEFT($R$3,FIND("+",$R$3,1)-1),"УДАЛИТЬ")</f>
        <v>3</v>
      </c>
      <c r="C11" s="455"/>
      <c r="D11" s="446"/>
      <c r="E11" s="764" t="str">
        <f ca="1">IF(OR(G7="M547A",G7="M548A")," OR (BR"&amp;B11&amp;".Err_"&amp;I7&amp;" =3)","")</f>
        <v xml:space="preserve"> OR (BR3.Err_Canal_06 =3)</v>
      </c>
      <c r="F11" s="446" t="s">
        <v>845</v>
      </c>
      <c r="G11" s="447"/>
      <c r="H11" s="447"/>
      <c r="I11" s="460"/>
      <c r="J11" s="459"/>
      <c r="M11" s="424" t="str">
        <f>'Конфигурация TREI'!A12</f>
        <v>BR10</v>
      </c>
      <c r="N11" s="461" t="str">
        <f>'Конфигурация TREI'!B12</f>
        <v>M558O</v>
      </c>
      <c r="AE11" s="431">
        <f>Настройки!P11</f>
        <v>10</v>
      </c>
      <c r="AF11" s="380">
        <f>Настройки!Q11</f>
        <v>0</v>
      </c>
      <c r="AG11" s="380" t="str">
        <f>Настройки!R11</f>
        <v>IDIG_5_2</v>
      </c>
      <c r="AH11" s="380" t="str">
        <f>Настройки!S11</f>
        <v>IANS_5_4</v>
      </c>
      <c r="AI11" s="380" t="str">
        <f>Настройки!T11</f>
        <v>out9</v>
      </c>
      <c r="AJ11" s="380" t="str">
        <f>Настройки!U11</f>
        <v>out9</v>
      </c>
      <c r="AK11" s="380" t="str">
        <f>Настройки!V11</f>
        <v>ODIG_10</v>
      </c>
      <c r="AL11" s="380" t="str">
        <f>Настройки!W11</f>
        <v>-</v>
      </c>
      <c r="AM11" s="380" t="str">
        <f>Настройки!X11</f>
        <v>-</v>
      </c>
      <c r="AN11" s="380" t="str">
        <f>Настройки!Y11</f>
        <v>Canal_10</v>
      </c>
      <c r="AO11" s="380" t="str">
        <f>Настройки!Z11</f>
        <v>-</v>
      </c>
      <c r="AP11" s="380" t="str">
        <f>Настройки!AA11</f>
        <v>Canal_10</v>
      </c>
      <c r="AQ11" s="380" t="str">
        <f>Настройки!AB11</f>
        <v>Canal_10</v>
      </c>
      <c r="AR11" s="380" t="str">
        <f>Настройки!AC11</f>
        <v>OCCH[1]</v>
      </c>
      <c r="AS11" s="380" t="str">
        <f>Настройки!AD11</f>
        <v>OCCH[1]</v>
      </c>
      <c r="AT11" s="207" t="str">
        <f>Настройки!AB11</f>
        <v>Canal_10</v>
      </c>
      <c r="AU11" s="207" t="str">
        <f>Настройки!AC11</f>
        <v>OCCH[1]</v>
      </c>
      <c r="AV11" s="207" t="str">
        <f>Настройки!AD11</f>
        <v>OCCH[1]</v>
      </c>
      <c r="AW11" s="207" t="str">
        <f>Настройки!AE11</f>
        <v>IANS_5_2</v>
      </c>
      <c r="AX11" s="207" t="str">
        <f>Настройки!AF11</f>
        <v>IDIG_3_2</v>
      </c>
      <c r="AY11" s="207" t="str">
        <f>Настройки!AG11</f>
        <v>Canal_10</v>
      </c>
      <c r="AZ11" s="207" t="str">
        <f>Настройки!AH11</f>
        <v>Canal_10</v>
      </c>
      <c r="BA11" s="207" t="str">
        <f>Настройки!AI11</f>
        <v>Canal_10</v>
      </c>
      <c r="BB11" s="207" t="str">
        <f>Настройки!AJ11</f>
        <v>Canal_10</v>
      </c>
      <c r="BC11" s="207" t="str">
        <f>Настройки!AK11</f>
        <v>-</v>
      </c>
      <c r="BD11" s="207" t="str">
        <f>Настройки!AL11</f>
        <v>Canal_10</v>
      </c>
      <c r="BE11" s="207" t="str">
        <f>Настройки!AM11</f>
        <v>-</v>
      </c>
    </row>
    <row r="12" spans="1:57">
      <c r="A12" s="448" t="str">
        <f>SUBSTITUTE($P$2,"\","|")&amp;"|"&amp;"D"&amp; RIGHT($S$1,3)&amp;":="&amp;P4&amp;"NOT_LINK_BR"</f>
        <v>Zagaz_v_KTP|DT1X:=NOT_LINK_BR</v>
      </c>
      <c r="B12" s="448"/>
      <c r="C12" s="455"/>
      <c r="D12" s="446"/>
      <c r="E12" s="446" t="str">
        <f>IFERROR(LEFT($S$3,FIND("+",$S$3,1)-1),"УДАЛИТЬ")</f>
        <v>10</v>
      </c>
      <c r="F12" s="446" t="s">
        <v>845</v>
      </c>
      <c r="G12" s="447"/>
      <c r="H12" s="447"/>
      <c r="I12" s="460"/>
      <c r="J12" s="459"/>
      <c r="M12" s="424" t="str">
        <f>'Конфигурация TREI'!A13</f>
        <v>BR11</v>
      </c>
      <c r="N12" s="461" t="str">
        <f>'Конфигурация TREI'!B13</f>
        <v>M558D</v>
      </c>
      <c r="AE12" s="431">
        <f>Настройки!P12</f>
        <v>11</v>
      </c>
      <c r="AF12" s="380">
        <f>Настройки!Q12</f>
        <v>0</v>
      </c>
      <c r="AG12" s="380" t="str">
        <f>Настройки!R12</f>
        <v>IDIG_6_1</v>
      </c>
      <c r="AH12" s="380" t="str">
        <f>Настройки!S12</f>
        <v>IANS_6_3</v>
      </c>
      <c r="AI12" s="380" t="str">
        <f>Настройки!T12</f>
        <v>out10</v>
      </c>
      <c r="AJ12" s="380" t="str">
        <f>Настройки!U12</f>
        <v>out10</v>
      </c>
      <c r="AK12" s="380" t="str">
        <f>Настройки!V12</f>
        <v>ODIG_11</v>
      </c>
      <c r="AL12" s="380" t="str">
        <f>Настройки!W12</f>
        <v>-</v>
      </c>
      <c r="AM12" s="380" t="str">
        <f>Настройки!X12</f>
        <v>-</v>
      </c>
      <c r="AN12" s="380" t="str">
        <f>Настройки!Y12</f>
        <v>Canal_11</v>
      </c>
      <c r="AO12" s="380" t="str">
        <f>Настройки!Z12</f>
        <v>-</v>
      </c>
      <c r="AP12" s="380" t="str">
        <f>Настройки!AA12</f>
        <v>Canal_11</v>
      </c>
      <c r="AQ12" s="380" t="str">
        <f>Настройки!AB12</f>
        <v>Canal_11</v>
      </c>
      <c r="AR12" s="380" t="str">
        <f>Настройки!AC12</f>
        <v>OCCH[2]</v>
      </c>
      <c r="AS12" s="380" t="str">
        <f>Настройки!AD12</f>
        <v>OCCH[2]</v>
      </c>
      <c r="AT12" s="207" t="str">
        <f>Настройки!AB12</f>
        <v>Canal_11</v>
      </c>
      <c r="AU12" s="207" t="str">
        <f>Настройки!AC12</f>
        <v>OCCH[2]</v>
      </c>
      <c r="AV12" s="207" t="str">
        <f>Настройки!AD12</f>
        <v>OCCH[2]</v>
      </c>
      <c r="AW12" s="207" t="str">
        <f>Настройки!AE12</f>
        <v>IANS_6_1</v>
      </c>
      <c r="AX12" s="207" t="str">
        <f>Настройки!AF12</f>
        <v>IDIG_3_3</v>
      </c>
      <c r="AY12" s="207" t="str">
        <f>Настройки!AG12</f>
        <v>Canal_11</v>
      </c>
      <c r="AZ12" s="207" t="str">
        <f>Настройки!AH12</f>
        <v>Canal_11</v>
      </c>
      <c r="BA12" s="207" t="str">
        <f>Настройки!AI12</f>
        <v>Canal_11</v>
      </c>
      <c r="BB12" s="207" t="str">
        <f>Настройки!AJ12</f>
        <v>Canal_11</v>
      </c>
      <c r="BC12" s="207" t="str">
        <f>Настройки!AK12</f>
        <v>-</v>
      </c>
      <c r="BD12" s="207" t="str">
        <f>Настройки!AL12</f>
        <v>Canal_11</v>
      </c>
      <c r="BE12" s="207" t="str">
        <f>Настройки!AM12</f>
        <v>-</v>
      </c>
    </row>
    <row r="13" spans="1:57">
      <c r="A13" s="448" t="str">
        <f>SUBSTITUTE($P$2,"\","|")&amp;"|"&amp;"D"&amp; RIGHT($T$1,3)&amp;":="&amp;P4&amp;"NOT_LINK_BR"</f>
        <v>Zagaz_v_KTP|DT2X:=NOT_LINK_BR</v>
      </c>
      <c r="B13" s="448"/>
      <c r="C13" s="455"/>
      <c r="D13" s="446"/>
      <c r="E13" s="446" t="str">
        <f>IFERROR(LEFT($T$3,FIND("+",$T$3,1)-1),"УДАЛИТЬ")</f>
        <v>10</v>
      </c>
      <c r="F13" s="446" t="s">
        <v>845</v>
      </c>
      <c r="G13" s="447"/>
      <c r="H13" s="447"/>
      <c r="I13" s="459"/>
      <c r="J13" s="459"/>
      <c r="M13" s="424" t="str">
        <f>'Конфигурация TREI'!A14</f>
        <v>BR12</v>
      </c>
      <c r="N13" s="461" t="str">
        <f>'Конфигурация TREI'!B14</f>
        <v>M558D</v>
      </c>
      <c r="AE13" s="431">
        <f>Настройки!P13</f>
        <v>12</v>
      </c>
      <c r="AF13" s="380">
        <f>Настройки!Q13</f>
        <v>0</v>
      </c>
      <c r="AG13" s="380" t="str">
        <f>Настройки!R13</f>
        <v>IDIG_6_2</v>
      </c>
      <c r="AH13" s="380" t="str">
        <f>Настройки!S13</f>
        <v>IANS_6_4</v>
      </c>
      <c r="AI13" s="380" t="str">
        <f>Настройки!T13</f>
        <v>out11</v>
      </c>
      <c r="AJ13" s="380" t="str">
        <f>Настройки!U13</f>
        <v>out11</v>
      </c>
      <c r="AK13" s="380" t="str">
        <f>Настройки!V13</f>
        <v>ODIG_12</v>
      </c>
      <c r="AL13" s="380" t="str">
        <f>Настройки!W13</f>
        <v>-</v>
      </c>
      <c r="AM13" s="380" t="str">
        <f>Настройки!X13</f>
        <v>-</v>
      </c>
      <c r="AN13" s="380" t="str">
        <f>Настройки!Y13</f>
        <v>Canal_12</v>
      </c>
      <c r="AO13" s="380" t="str">
        <f>Настройки!Z13</f>
        <v>-</v>
      </c>
      <c r="AP13" s="380" t="str">
        <f>Настройки!AA13</f>
        <v>Canal_12</v>
      </c>
      <c r="AQ13" s="380" t="str">
        <f>Настройки!AB13</f>
        <v>Canal_12</v>
      </c>
      <c r="AR13" s="380" t="str">
        <f>Настройки!AC13</f>
        <v>OCCH[3]</v>
      </c>
      <c r="AS13" s="380" t="str">
        <f>Настройки!AD13</f>
        <v>OCCH[3]</v>
      </c>
      <c r="AT13" s="207" t="str">
        <f>Настройки!AB13</f>
        <v>Canal_12</v>
      </c>
      <c r="AU13" s="207" t="str">
        <f>Настройки!AC13</f>
        <v>OCCH[3]</v>
      </c>
      <c r="AV13" s="207" t="str">
        <f>Настройки!AD13</f>
        <v>OCCH[3]</v>
      </c>
      <c r="AW13" s="207" t="str">
        <f>Настройки!AE13</f>
        <v>IANS_6_2</v>
      </c>
      <c r="AX13" s="207" t="str">
        <f>Настройки!AF13</f>
        <v>IDIG_3_4</v>
      </c>
      <c r="AY13" s="207" t="str">
        <f>Настройки!AG13</f>
        <v>Canal_12</v>
      </c>
      <c r="AZ13" s="207" t="str">
        <f>Настройки!AH13</f>
        <v>Canal_12</v>
      </c>
      <c r="BA13" s="207" t="str">
        <f>Настройки!AI13</f>
        <v>Canal_12</v>
      </c>
      <c r="BB13" s="207" t="str">
        <f>Настройки!AJ13</f>
        <v>Canal_12</v>
      </c>
      <c r="BC13" s="207" t="str">
        <f>Настройки!AK13</f>
        <v>-</v>
      </c>
      <c r="BD13" s="207" t="str">
        <f>Настройки!AL13</f>
        <v>Canal_12</v>
      </c>
      <c r="BE13" s="207" t="str">
        <f>Настройки!AM13</f>
        <v>-</v>
      </c>
    </row>
    <row r="14" spans="1:57">
      <c r="A14" s="448" t="str">
        <f>SUBSTITUTE($P$2,"\","|")&amp;"|"&amp;"D"&amp; RIGHT($W$1,3)&amp;":="&amp;P4&amp;"NOT_LINK_BR"</f>
        <v>Zagaz_v_KTP|DFEX:=NOT_LINK_BR</v>
      </c>
      <c r="B14" s="448"/>
      <c r="C14" s="455"/>
      <c r="D14" s="446"/>
      <c r="E14" s="446" t="str">
        <f>IFERROR(LEFT($W$3,FIND("+",$W$3,1)-1),"УДАЛИТЬ")</f>
        <v>10</v>
      </c>
      <c r="F14" s="446" t="s">
        <v>845</v>
      </c>
      <c r="G14" s="447"/>
      <c r="H14" s="447"/>
      <c r="I14" s="459"/>
      <c r="J14" s="459"/>
      <c r="M14" s="424" t="str">
        <f>'Конфигурация TREI'!A15</f>
        <v>BR13</v>
      </c>
      <c r="N14" s="461" t="str">
        <f>'Конфигурация TREI'!B15</f>
        <v>M558D</v>
      </c>
      <c r="AE14" s="431">
        <f>Настройки!P14</f>
        <v>13</v>
      </c>
      <c r="AF14" s="380">
        <f>Настройки!Q14</f>
        <v>0</v>
      </c>
      <c r="AG14" s="380" t="str">
        <f>Настройки!R14</f>
        <v>IDIG_7_1</v>
      </c>
      <c r="AH14" s="380" t="str">
        <f>Настройки!S14</f>
        <v>IANS_7_3</v>
      </c>
      <c r="AI14" s="380" t="str">
        <f>Настройки!T14</f>
        <v>out12</v>
      </c>
      <c r="AJ14" s="380" t="str">
        <f>Настройки!U14</f>
        <v>out12</v>
      </c>
      <c r="AK14" s="380" t="str">
        <f>Настройки!V14</f>
        <v>ODIG_13</v>
      </c>
      <c r="AL14" s="380" t="str">
        <f>Настройки!W14</f>
        <v>-</v>
      </c>
      <c r="AM14" s="380" t="str">
        <f>Настройки!X14</f>
        <v>-</v>
      </c>
      <c r="AN14" s="380" t="str">
        <f>Настройки!Y14</f>
        <v>Canal_13</v>
      </c>
      <c r="AO14" s="380" t="str">
        <f>Настройки!Z14</f>
        <v>-</v>
      </c>
      <c r="AP14" s="380" t="str">
        <f>Настройки!AA14</f>
        <v>Canal_13</v>
      </c>
      <c r="AQ14" s="380" t="str">
        <f>Настройки!AB14</f>
        <v>Canal_13</v>
      </c>
      <c r="AR14" s="380" t="str">
        <f>Настройки!AC14</f>
        <v>OCCH[4]</v>
      </c>
      <c r="AS14" s="380" t="str">
        <f>Настройки!AD14</f>
        <v>OCCH[4]</v>
      </c>
      <c r="AT14" s="207" t="str">
        <f>Настройки!AB14</f>
        <v>Canal_13</v>
      </c>
      <c r="AU14" s="207" t="str">
        <f>Настройки!AC14</f>
        <v>OCCH[4]</v>
      </c>
      <c r="AV14" s="207" t="str">
        <f>Настройки!AD14</f>
        <v>OCCH[4]</v>
      </c>
      <c r="AW14" s="207" t="str">
        <f>Настройки!AE14</f>
        <v>IANS_7_1</v>
      </c>
      <c r="AX14" s="207" t="str">
        <f>Настройки!AF14</f>
        <v>IDIG_4_1</v>
      </c>
      <c r="AY14" s="207" t="str">
        <f>Настройки!AG14</f>
        <v>Canal_13</v>
      </c>
      <c r="AZ14" s="207" t="str">
        <f>Настройки!AH14</f>
        <v>Canal_13</v>
      </c>
      <c r="BA14" s="207" t="str">
        <f>Настройки!AI14</f>
        <v>Canal_13</v>
      </c>
      <c r="BB14" s="207" t="str">
        <f>Настройки!AJ14</f>
        <v>Canal_13</v>
      </c>
      <c r="BC14" s="207" t="str">
        <f>Настройки!AK14</f>
        <v>-</v>
      </c>
      <c r="BD14" s="207" t="str">
        <f>Настройки!AL14</f>
        <v>Canal_13</v>
      </c>
      <c r="BE14" s="207" t="str">
        <f>Настройки!AM14</f>
        <v>-</v>
      </c>
    </row>
    <row r="15" spans="1:57">
      <c r="A15" s="82"/>
      <c r="B15" s="82"/>
      <c r="C15" s="11"/>
      <c r="D15" s="81"/>
      <c r="E15" s="81"/>
      <c r="F15" s="81"/>
      <c r="G15" s="445"/>
      <c r="H15" s="447"/>
      <c r="I15" s="459"/>
      <c r="J15" s="459"/>
      <c r="M15" s="424" t="str">
        <f>'Конфигурация TREI'!A16</f>
        <v>BR14</v>
      </c>
      <c r="N15" s="461" t="str">
        <f>'Конфигурация TREI'!B16</f>
        <v>M558D</v>
      </c>
      <c r="AE15" s="431">
        <f>Настройки!P15</f>
        <v>14</v>
      </c>
      <c r="AF15" s="380">
        <f>Настройки!Q15</f>
        <v>0</v>
      </c>
      <c r="AG15" s="380" t="str">
        <f>Настройки!R15</f>
        <v>IDIG_7_2</v>
      </c>
      <c r="AH15" s="380" t="str">
        <f>Настройки!S15</f>
        <v>IANS_7_4</v>
      </c>
      <c r="AI15" s="380" t="str">
        <f>Настройки!T15</f>
        <v>out13</v>
      </c>
      <c r="AJ15" s="380" t="str">
        <f>Настройки!U15</f>
        <v>out13</v>
      </c>
      <c r="AK15" s="380" t="str">
        <f>Настройки!V15</f>
        <v>ODIG_14</v>
      </c>
      <c r="AL15" s="380" t="str">
        <f>Настройки!W15</f>
        <v>-</v>
      </c>
      <c r="AM15" s="380" t="str">
        <f>Настройки!X15</f>
        <v>-</v>
      </c>
      <c r="AN15" s="380" t="str">
        <f>Настройки!Y15</f>
        <v>Canal_14</v>
      </c>
      <c r="AO15" s="380" t="str">
        <f>Настройки!Z15</f>
        <v>-</v>
      </c>
      <c r="AP15" s="380" t="str">
        <f>Настройки!AA15</f>
        <v>Canal_14</v>
      </c>
      <c r="AQ15" s="380" t="str">
        <f>Настройки!AB15</f>
        <v>Canal_14</v>
      </c>
      <c r="AR15" s="380" t="str">
        <f>Настройки!AC15</f>
        <v>OCCH[5]</v>
      </c>
      <c r="AS15" s="380" t="str">
        <f>Настройки!AD15</f>
        <v>OCCH[5]</v>
      </c>
      <c r="AT15" s="207" t="str">
        <f>Настройки!AB15</f>
        <v>Canal_14</v>
      </c>
      <c r="AU15" s="207" t="str">
        <f>Настройки!AC15</f>
        <v>OCCH[5]</v>
      </c>
      <c r="AV15" s="207" t="str">
        <f>Настройки!AD15</f>
        <v>OCCH[5]</v>
      </c>
      <c r="AW15" s="207" t="str">
        <f>Настройки!AE15</f>
        <v>IANS_7_2</v>
      </c>
      <c r="AX15" s="207" t="str">
        <f>Настройки!AF15</f>
        <v>IDIG_4_2</v>
      </c>
      <c r="AY15" s="207" t="str">
        <f>Настройки!AG15</f>
        <v>Canal_14</v>
      </c>
      <c r="AZ15" s="207" t="str">
        <f>Настройки!AH15</f>
        <v>Canal_14</v>
      </c>
      <c r="BA15" s="207" t="str">
        <f>Настройки!AI15</f>
        <v>Canal_14</v>
      </c>
      <c r="BB15" s="207" t="str">
        <f>Настройки!AJ15</f>
        <v>Canal_14</v>
      </c>
      <c r="BC15" s="207" t="str">
        <f>Настройки!AK15</f>
        <v>-</v>
      </c>
      <c r="BD15" s="207" t="str">
        <f>Настройки!AL15</f>
        <v>Canal_14</v>
      </c>
      <c r="BE15" s="207" t="str">
        <f>Настройки!AM15</f>
        <v>-</v>
      </c>
    </row>
    <row r="16" spans="1:57">
      <c r="A16" s="82"/>
      <c r="B16" s="82"/>
      <c r="C16" s="11"/>
      <c r="D16" s="81"/>
      <c r="E16" s="81"/>
      <c r="F16" s="81"/>
      <c r="G16" s="445"/>
      <c r="H16" s="447"/>
      <c r="I16" s="459"/>
      <c r="J16" s="459"/>
      <c r="M16" s="424" t="str">
        <f>'Конфигурация TREI'!A17</f>
        <v>BR15</v>
      </c>
      <c r="N16" s="461" t="str">
        <f>'Конфигурация TREI'!B17</f>
        <v>M558O</v>
      </c>
      <c r="AE16" s="431">
        <f>Настройки!P16</f>
        <v>15</v>
      </c>
      <c r="AF16" s="380">
        <f>Настройки!Q16</f>
        <v>0</v>
      </c>
      <c r="AG16" s="380" t="str">
        <f>Настройки!R16</f>
        <v>IDIG_8_1</v>
      </c>
      <c r="AH16" s="380" t="str">
        <f>Настройки!S16</f>
        <v>IANS_8_3</v>
      </c>
      <c r="AI16" s="380" t="str">
        <f>Настройки!T16</f>
        <v>out14</v>
      </c>
      <c r="AJ16" s="380" t="str">
        <f>Настройки!U16</f>
        <v>out14</v>
      </c>
      <c r="AK16" s="380" t="str">
        <f>Настройки!V16</f>
        <v>ODIG_15</v>
      </c>
      <c r="AL16" s="380" t="str">
        <f>Настройки!W16</f>
        <v>-</v>
      </c>
      <c r="AM16" s="380" t="str">
        <f>Настройки!X16</f>
        <v>-</v>
      </c>
      <c r="AN16" s="380" t="str">
        <f>Настройки!Y16</f>
        <v>Canal_15</v>
      </c>
      <c r="AO16" s="380" t="str">
        <f>Настройки!Z16</f>
        <v>-</v>
      </c>
      <c r="AP16" s="380" t="str">
        <f>Настройки!AA16</f>
        <v>Canal_15</v>
      </c>
      <c r="AQ16" s="380" t="str">
        <f>Настройки!AB16</f>
        <v>Canal_15</v>
      </c>
      <c r="AR16" s="380" t="str">
        <f>Настройки!AC16</f>
        <v>OCCH[6]</v>
      </c>
      <c r="AS16" s="380" t="str">
        <f>Настройки!AD16</f>
        <v>OCCH[6]</v>
      </c>
      <c r="AT16" s="207" t="str">
        <f>Настройки!AB16</f>
        <v>Canal_15</v>
      </c>
      <c r="AU16" s="207" t="str">
        <f>Настройки!AC16</f>
        <v>OCCH[6]</v>
      </c>
      <c r="AV16" s="207" t="str">
        <f>Настройки!AD16</f>
        <v>OCCH[6]</v>
      </c>
      <c r="AW16" s="207" t="str">
        <f>Настройки!AE16</f>
        <v>IANS_8_1</v>
      </c>
      <c r="AX16" s="207" t="str">
        <f>Настройки!AF16</f>
        <v>IDIG_4_3</v>
      </c>
      <c r="AY16" s="207" t="str">
        <f>Настройки!AG16</f>
        <v>Canal_15</v>
      </c>
      <c r="AZ16" s="207" t="str">
        <f>Настройки!AH16</f>
        <v>Canal_15</v>
      </c>
      <c r="BA16" s="207" t="str">
        <f>Настройки!AI16</f>
        <v>Canal_15</v>
      </c>
      <c r="BB16" s="207" t="str">
        <f>Настройки!AJ16</f>
        <v>Canal_15</v>
      </c>
      <c r="BC16" s="207" t="str">
        <f>Настройки!AK16</f>
        <v>-</v>
      </c>
      <c r="BD16" s="207" t="str">
        <f>Настройки!AL16</f>
        <v>Canal_15</v>
      </c>
      <c r="BE16" s="207" t="str">
        <f>Настройки!AM16</f>
        <v>-</v>
      </c>
    </row>
    <row r="17" spans="1:57">
      <c r="A17" s="82"/>
      <c r="B17" s="82"/>
      <c r="C17" s="11"/>
      <c r="D17" s="81"/>
      <c r="E17" s="81"/>
      <c r="F17" s="81"/>
      <c r="G17" s="445"/>
      <c r="H17" s="447"/>
      <c r="I17" s="459"/>
      <c r="J17" s="459"/>
      <c r="M17" s="424" t="str">
        <f>'Конфигурация TREI'!A18</f>
        <v>BR16</v>
      </c>
      <c r="N17" s="461" t="str">
        <f>'Конфигурация TREI'!B18</f>
        <v>M558O</v>
      </c>
      <c r="AE17" s="431">
        <f>Настройки!P17</f>
        <v>16</v>
      </c>
      <c r="AF17" s="380">
        <f>Настройки!Q17</f>
        <v>0</v>
      </c>
      <c r="AG17" s="380" t="str">
        <f>Настройки!R17</f>
        <v>IDIG_8_2</v>
      </c>
      <c r="AH17" s="380" t="str">
        <f>Настройки!S17</f>
        <v>IANS_8_4</v>
      </c>
      <c r="AI17" s="380" t="str">
        <f>Настройки!T17</f>
        <v>out15</v>
      </c>
      <c r="AJ17" s="380" t="str">
        <f>Настройки!U17</f>
        <v>out15</v>
      </c>
      <c r="AK17" s="380" t="str">
        <f>Настройки!V17</f>
        <v>ODIG_16</v>
      </c>
      <c r="AL17" s="380" t="str">
        <f>Настройки!W17</f>
        <v>-</v>
      </c>
      <c r="AM17" s="380" t="str">
        <f>Настройки!X17</f>
        <v>-</v>
      </c>
      <c r="AN17" s="380" t="str">
        <f>Настройки!Y17</f>
        <v>Canal_16</v>
      </c>
      <c r="AO17" s="380" t="str">
        <f>Настройки!Z17</f>
        <v>-</v>
      </c>
      <c r="AP17" s="380" t="str">
        <f>Настройки!AA17</f>
        <v>Canal_16</v>
      </c>
      <c r="AQ17" s="380" t="str">
        <f>Настройки!AB17</f>
        <v>Canal_16</v>
      </c>
      <c r="AR17" s="380" t="str">
        <f>Настройки!AC17</f>
        <v>OCCH[7]</v>
      </c>
      <c r="AS17" s="380" t="str">
        <f>Настройки!AD17</f>
        <v>OCCH[7]</v>
      </c>
      <c r="AT17" s="207" t="str">
        <f>Настройки!AB17</f>
        <v>Canal_16</v>
      </c>
      <c r="AU17" s="207" t="str">
        <f>Настройки!AC17</f>
        <v>OCCH[7]</v>
      </c>
      <c r="AV17" s="207" t="str">
        <f>Настройки!AD17</f>
        <v>OCCH[7]</v>
      </c>
      <c r="AW17" s="207" t="str">
        <f>Настройки!AE17</f>
        <v>IANS_8_2</v>
      </c>
      <c r="AX17" s="207" t="str">
        <f>Настройки!AF17</f>
        <v>IDIG_4_4</v>
      </c>
      <c r="AY17" s="207" t="str">
        <f>Настройки!AG17</f>
        <v>Canal_16</v>
      </c>
      <c r="AZ17" s="207" t="str">
        <f>Настройки!AH17</f>
        <v>Canal_16</v>
      </c>
      <c r="BA17" s="207" t="str">
        <f>Настройки!AI17</f>
        <v>Canal_16</v>
      </c>
      <c r="BB17" s="207" t="str">
        <f>Настройки!AJ17</f>
        <v>Canal_16</v>
      </c>
      <c r="BC17" s="207" t="str">
        <f>Настройки!AK17</f>
        <v>-</v>
      </c>
      <c r="BD17" s="207" t="str">
        <f>Настройки!AL17</f>
        <v>Canal_16</v>
      </c>
      <c r="BE17" s="207" t="str">
        <f>Настройки!AM17</f>
        <v>-</v>
      </c>
    </row>
    <row r="18" spans="1:57">
      <c r="A18" s="82"/>
      <c r="B18" s="82"/>
      <c r="C18" s="11"/>
      <c r="D18" s="81"/>
      <c r="E18" s="81"/>
      <c r="F18" s="81"/>
      <c r="G18" s="445"/>
      <c r="H18" s="445"/>
      <c r="I18" s="459"/>
      <c r="J18" s="459"/>
      <c r="M18" s="424" t="str">
        <f>'Конфигурация TREI'!A19</f>
        <v>BR17</v>
      </c>
      <c r="N18" s="461" t="str">
        <f>'Конфигурация TREI'!B19</f>
        <v>M558O</v>
      </c>
      <c r="AE18" s="428">
        <f>Настройки!P18</f>
        <v>17</v>
      </c>
      <c r="AF18" s="380">
        <f>Настройки!Q18</f>
        <v>0</v>
      </c>
      <c r="AG18" s="380" t="str">
        <f>Настройки!R18</f>
        <v>-</v>
      </c>
      <c r="AH18" s="380" t="str">
        <f>Настройки!S18</f>
        <v>-</v>
      </c>
      <c r="AI18" s="380" t="str">
        <f>Настройки!T18</f>
        <v>out16</v>
      </c>
      <c r="AJ18" s="380" t="str">
        <f>Настройки!U18</f>
        <v>out16</v>
      </c>
      <c r="AK18" s="380" t="str">
        <f>Настройки!V18</f>
        <v>-</v>
      </c>
      <c r="AL18" s="380" t="str">
        <f>Настройки!W18</f>
        <v>-</v>
      </c>
      <c r="AM18" s="380" t="str">
        <f>Настройки!X18</f>
        <v>-</v>
      </c>
      <c r="AN18" s="380" t="str">
        <f>Настройки!Y18</f>
        <v>-</v>
      </c>
      <c r="AO18" s="380" t="str">
        <f>Настройки!Z18</f>
        <v>-</v>
      </c>
      <c r="AP18" s="380" t="str">
        <f>Настройки!AA18</f>
        <v>Canal_17</v>
      </c>
      <c r="AQ18" s="380" t="str">
        <f>Настройки!AB18</f>
        <v>Canal_17</v>
      </c>
      <c r="AR18" s="380" t="str">
        <f>Настройки!AC18</f>
        <v>-</v>
      </c>
      <c r="AS18" s="380" t="str">
        <f>Настройки!AD18</f>
        <v>-</v>
      </c>
      <c r="AT18" s="207" t="str">
        <f>Настройки!AB18</f>
        <v>Canal_17</v>
      </c>
      <c r="AU18" s="207" t="str">
        <f>Настройки!AC18</f>
        <v>-</v>
      </c>
      <c r="AV18" s="207" t="str">
        <f>Настройки!AD18</f>
        <v>-</v>
      </c>
      <c r="AW18" s="207" t="str">
        <f>Настройки!AE18</f>
        <v>-</v>
      </c>
      <c r="AX18" s="207" t="str">
        <f>Настройки!AF18</f>
        <v>IDIG_5_1</v>
      </c>
      <c r="AY18" s="207" t="str">
        <f>Настройки!AG18</f>
        <v>Canal_17</v>
      </c>
      <c r="AZ18" s="207" t="str">
        <f>Настройки!AH18</f>
        <v>Canal_17</v>
      </c>
      <c r="BA18" s="207" t="str">
        <f>Настройки!AI18</f>
        <v>Canal_17</v>
      </c>
      <c r="BB18" s="207" t="str">
        <f>Настройки!AJ18</f>
        <v>-</v>
      </c>
      <c r="BC18" s="207" t="str">
        <f>Настройки!AK18</f>
        <v>-</v>
      </c>
      <c r="BD18" s="207" t="str">
        <f>Настройки!AL18</f>
        <v>Canal_17</v>
      </c>
      <c r="BE18" s="207" t="str">
        <f>Настройки!AM18</f>
        <v>-</v>
      </c>
    </row>
    <row r="19" spans="1:57">
      <c r="A19" s="82"/>
      <c r="B19" s="82"/>
      <c r="C19" s="11"/>
      <c r="D19" s="81"/>
      <c r="E19" s="81"/>
      <c r="F19" s="81"/>
      <c r="G19" s="445"/>
      <c r="H19" s="445"/>
      <c r="I19" s="459"/>
      <c r="J19" s="459"/>
      <c r="M19" s="424" t="str">
        <f>'Конфигурация TREI'!A20</f>
        <v>BR18</v>
      </c>
      <c r="N19" s="461" t="str">
        <f>'Конфигурация TREI'!B20</f>
        <v>M558O</v>
      </c>
      <c r="AE19" s="428">
        <f>Настройки!P19</f>
        <v>18</v>
      </c>
      <c r="AF19" s="380">
        <f>Настройки!Q19</f>
        <v>0</v>
      </c>
      <c r="AG19" s="380" t="str">
        <f>Настройки!R19</f>
        <v>-</v>
      </c>
      <c r="AH19" s="380" t="str">
        <f>Настройки!S19</f>
        <v>-</v>
      </c>
      <c r="AI19" s="380" t="str">
        <f>Настройки!T19</f>
        <v>out17</v>
      </c>
      <c r="AJ19" s="380" t="str">
        <f>Настройки!U19</f>
        <v>out17</v>
      </c>
      <c r="AK19" s="380" t="str">
        <f>Настройки!V19</f>
        <v>-</v>
      </c>
      <c r="AL19" s="380" t="str">
        <f>Настройки!W19</f>
        <v>-</v>
      </c>
      <c r="AM19" s="380" t="str">
        <f>Настройки!X19</f>
        <v>-</v>
      </c>
      <c r="AN19" s="380" t="str">
        <f>Настройки!Y19</f>
        <v>-</v>
      </c>
      <c r="AO19" s="380" t="str">
        <f>Настройки!Z19</f>
        <v>-</v>
      </c>
      <c r="AP19" s="380" t="str">
        <f>Настройки!AA19</f>
        <v>Canal_18</v>
      </c>
      <c r="AQ19" s="380" t="str">
        <f>Настройки!AB19</f>
        <v>Canal_18</v>
      </c>
      <c r="AR19" s="380" t="str">
        <f>Настройки!AC19</f>
        <v>-</v>
      </c>
      <c r="AS19" s="380" t="str">
        <f>Настройки!AD19</f>
        <v>-</v>
      </c>
      <c r="AT19" s="207" t="str">
        <f>Настройки!AB19</f>
        <v>Canal_18</v>
      </c>
      <c r="AU19" s="207" t="str">
        <f>Настройки!AC19</f>
        <v>-</v>
      </c>
      <c r="AV19" s="207" t="str">
        <f>Настройки!AD19</f>
        <v>-</v>
      </c>
      <c r="AW19" s="207" t="str">
        <f>Настройки!AE19</f>
        <v>-</v>
      </c>
      <c r="AX19" s="207" t="str">
        <f>Настройки!AF19</f>
        <v>IDIG_5_2</v>
      </c>
      <c r="AY19" s="207" t="str">
        <f>Настройки!AG19</f>
        <v>Canal_18</v>
      </c>
      <c r="AZ19" s="207" t="str">
        <f>Настройки!AH19</f>
        <v>Canal_18</v>
      </c>
      <c r="BA19" s="207" t="str">
        <f>Настройки!AI19</f>
        <v>Canal_18</v>
      </c>
      <c r="BB19" s="207" t="str">
        <f>Настройки!AJ19</f>
        <v>-</v>
      </c>
      <c r="BC19" s="207" t="str">
        <f>Настройки!AK19</f>
        <v>-</v>
      </c>
      <c r="BD19" s="207" t="str">
        <f>Настройки!AL19</f>
        <v>Canal_18</v>
      </c>
      <c r="BE19" s="207" t="str">
        <f>Настройки!AM19</f>
        <v>-</v>
      </c>
    </row>
    <row r="20" spans="1:57">
      <c r="A20" s="82"/>
      <c r="B20" s="82"/>
      <c r="C20" s="11"/>
      <c r="D20" s="81"/>
      <c r="E20" s="81"/>
      <c r="F20" s="81"/>
      <c r="G20" s="445"/>
      <c r="H20" s="445"/>
      <c r="I20" s="459"/>
      <c r="J20" s="459"/>
      <c r="M20" s="424" t="str">
        <f>'Конфигурация TREI'!A21</f>
        <v>BR19</v>
      </c>
      <c r="N20" s="461" t="str">
        <f>'Конфигурация TREI'!B21</f>
        <v>M558O</v>
      </c>
      <c r="AE20" s="428">
        <f>Настройки!P20</f>
        <v>19</v>
      </c>
      <c r="AF20" s="380">
        <f>Настройки!Q20</f>
        <v>0</v>
      </c>
      <c r="AG20" s="380" t="str">
        <f>Настройки!R20</f>
        <v>-</v>
      </c>
      <c r="AH20" s="380" t="str">
        <f>Настройки!S20</f>
        <v>-</v>
      </c>
      <c r="AI20" s="380" t="str">
        <f>Настройки!T20</f>
        <v>out18</v>
      </c>
      <c r="AJ20" s="380" t="str">
        <f>Настройки!U20</f>
        <v>out18</v>
      </c>
      <c r="AK20" s="380" t="str">
        <f>Настройки!V20</f>
        <v>-</v>
      </c>
      <c r="AL20" s="380" t="str">
        <f>Настройки!W20</f>
        <v>-</v>
      </c>
      <c r="AM20" s="380" t="str">
        <f>Настройки!X20</f>
        <v>-</v>
      </c>
      <c r="AN20" s="380" t="str">
        <f>Настройки!Y20</f>
        <v>-</v>
      </c>
      <c r="AO20" s="380" t="str">
        <f>Настройки!Z20</f>
        <v>-</v>
      </c>
      <c r="AP20" s="380" t="str">
        <f>Настройки!AA20</f>
        <v>Canal_19</v>
      </c>
      <c r="AQ20" s="380" t="str">
        <f>Настройки!AB20</f>
        <v>Canal_19</v>
      </c>
      <c r="AR20" s="380" t="str">
        <f>Настройки!AC20</f>
        <v>-</v>
      </c>
      <c r="AS20" s="380" t="str">
        <f>Настройки!AD20</f>
        <v>-</v>
      </c>
      <c r="AT20" s="207" t="str">
        <f>Настройки!AB20</f>
        <v>Canal_19</v>
      </c>
      <c r="AU20" s="207" t="str">
        <f>Настройки!AC20</f>
        <v>-</v>
      </c>
      <c r="AV20" s="207" t="str">
        <f>Настройки!AD20</f>
        <v>-</v>
      </c>
      <c r="AW20" s="207" t="str">
        <f>Настройки!AE20</f>
        <v>-</v>
      </c>
      <c r="AX20" s="207" t="str">
        <f>Настройки!AF20</f>
        <v>IDIG_5_3</v>
      </c>
      <c r="AY20" s="207" t="str">
        <f>Настройки!AG20</f>
        <v>Canal_19</v>
      </c>
      <c r="AZ20" s="207" t="str">
        <f>Настройки!AH20</f>
        <v>Canal_19</v>
      </c>
      <c r="BA20" s="207" t="str">
        <f>Настройки!AI20</f>
        <v>Canal_19</v>
      </c>
      <c r="BB20" s="207" t="str">
        <f>Настройки!AJ20</f>
        <v>-</v>
      </c>
      <c r="BC20" s="207" t="str">
        <f>Настройки!AK20</f>
        <v>-</v>
      </c>
      <c r="BD20" s="207" t="str">
        <f>Настройки!AL20</f>
        <v>Canal_19</v>
      </c>
      <c r="BE20" s="207" t="str">
        <f>Настройки!AM20</f>
        <v>-</v>
      </c>
    </row>
    <row r="21" spans="1:57">
      <c r="A21" s="82"/>
      <c r="B21" s="82"/>
      <c r="C21" s="11"/>
      <c r="D21" s="81"/>
      <c r="E21" s="81"/>
      <c r="F21" s="81"/>
      <c r="G21" s="445"/>
      <c r="H21" s="445"/>
      <c r="I21" s="459"/>
      <c r="J21" s="459"/>
      <c r="M21" s="424" t="str">
        <f>'Конфигурация TREI'!A22</f>
        <v>BR20</v>
      </c>
      <c r="N21" s="461" t="str">
        <f>'Конфигурация TREI'!B22</f>
        <v>M558D</v>
      </c>
      <c r="AE21" s="428">
        <f>Настройки!P21</f>
        <v>20</v>
      </c>
      <c r="AF21" s="380">
        <f>Настройки!Q21</f>
        <v>0</v>
      </c>
      <c r="AG21" s="380" t="str">
        <f>Настройки!R21</f>
        <v>-</v>
      </c>
      <c r="AH21" s="380" t="str">
        <f>Настройки!S21</f>
        <v>-</v>
      </c>
      <c r="AI21" s="380" t="str">
        <f>Настройки!T21</f>
        <v>out19</v>
      </c>
      <c r="AJ21" s="380" t="str">
        <f>Настройки!U21</f>
        <v>out19</v>
      </c>
      <c r="AK21" s="380" t="str">
        <f>Настройки!V21</f>
        <v>-</v>
      </c>
      <c r="AL21" s="380" t="str">
        <f>Настройки!W21</f>
        <v>-</v>
      </c>
      <c r="AM21" s="380" t="str">
        <f>Настройки!X21</f>
        <v>-</v>
      </c>
      <c r="AN21" s="380" t="str">
        <f>Настройки!Y21</f>
        <v>-</v>
      </c>
      <c r="AO21" s="380" t="str">
        <f>Настройки!Z21</f>
        <v>-</v>
      </c>
      <c r="AP21" s="380" t="str">
        <f>Настройки!AA21</f>
        <v>Canal_20</v>
      </c>
      <c r="AQ21" s="380" t="str">
        <f>Настройки!AB21</f>
        <v>Canal_20</v>
      </c>
      <c r="AR21" s="380" t="str">
        <f>Настройки!AC21</f>
        <v>-</v>
      </c>
      <c r="AS21" s="380" t="str">
        <f>Настройки!AD21</f>
        <v>-</v>
      </c>
      <c r="AT21" s="207" t="str">
        <f>Настройки!AB21</f>
        <v>Canal_20</v>
      </c>
      <c r="AU21" s="207" t="str">
        <f>Настройки!AC21</f>
        <v>-</v>
      </c>
      <c r="AV21" s="207" t="str">
        <f>Настройки!AD21</f>
        <v>-</v>
      </c>
      <c r="AW21" s="207" t="str">
        <f>Настройки!AE21</f>
        <v>-</v>
      </c>
      <c r="AX21" s="207" t="str">
        <f>Настройки!AF21</f>
        <v>IDIG_5_4</v>
      </c>
      <c r="AY21" s="207" t="str">
        <f>Настройки!AG21</f>
        <v>Canal_20</v>
      </c>
      <c r="AZ21" s="207" t="str">
        <f>Настройки!AH21</f>
        <v>Canal_20</v>
      </c>
      <c r="BA21" s="207" t="str">
        <f>Настройки!AI21</f>
        <v>Canal_20</v>
      </c>
      <c r="BB21" s="207" t="str">
        <f>Настройки!AJ21</f>
        <v>-</v>
      </c>
      <c r="BC21" s="207" t="str">
        <f>Настройки!AK21</f>
        <v>-</v>
      </c>
      <c r="BD21" s="207" t="str">
        <f>Настройки!AL21</f>
        <v>Canal_20</v>
      </c>
      <c r="BE21" s="207" t="str">
        <f>Настройки!AM21</f>
        <v>-</v>
      </c>
    </row>
    <row r="22" spans="1:57">
      <c r="A22" s="82"/>
      <c r="B22" s="82"/>
      <c r="C22" s="11"/>
      <c r="D22" s="81"/>
      <c r="E22" s="81"/>
      <c r="F22" s="81"/>
      <c r="G22" s="445"/>
      <c r="H22" s="445"/>
      <c r="I22" s="459"/>
      <c r="J22" s="459"/>
      <c r="M22" s="424" t="str">
        <f>'Конфигурация TREI'!A23</f>
        <v>BR21</v>
      </c>
      <c r="N22" s="461" t="str">
        <f>'Конфигурация TREI'!B23</f>
        <v>M558O</v>
      </c>
      <c r="AE22" s="428">
        <f>Настройки!P22</f>
        <v>21</v>
      </c>
      <c r="AF22" s="380">
        <f>Настройки!Q22</f>
        <v>0</v>
      </c>
      <c r="AG22" s="380" t="str">
        <f>Настройки!R22</f>
        <v>-</v>
      </c>
      <c r="AH22" s="380" t="str">
        <f>Настройки!S22</f>
        <v>-</v>
      </c>
      <c r="AI22" s="380" t="str">
        <f>Настройки!T22</f>
        <v>out20</v>
      </c>
      <c r="AJ22" s="380" t="str">
        <f>Настройки!U22</f>
        <v>out20</v>
      </c>
      <c r="AK22" s="380" t="str">
        <f>Настройки!V22</f>
        <v>-</v>
      </c>
      <c r="AL22" s="380" t="str">
        <f>Настройки!W22</f>
        <v>-</v>
      </c>
      <c r="AM22" s="380" t="str">
        <f>Настройки!X22</f>
        <v>-</v>
      </c>
      <c r="AN22" s="380" t="str">
        <f>Настройки!Y22</f>
        <v>-</v>
      </c>
      <c r="AO22" s="380" t="str">
        <f>Настройки!Z22</f>
        <v>-</v>
      </c>
      <c r="AP22" s="380" t="str">
        <f>Настройки!AA22</f>
        <v>Canal_21</v>
      </c>
      <c r="AQ22" s="380" t="str">
        <f>Настройки!AB22</f>
        <v>Canal_21</v>
      </c>
      <c r="AR22" s="380" t="str">
        <f>Настройки!AC22</f>
        <v>-</v>
      </c>
      <c r="AS22" s="380" t="str">
        <f>Настройки!AD22</f>
        <v>-</v>
      </c>
      <c r="AT22" s="207" t="str">
        <f>Настройки!AB22</f>
        <v>Canal_21</v>
      </c>
      <c r="AU22" s="207" t="str">
        <f>Настройки!AC22</f>
        <v>-</v>
      </c>
      <c r="AV22" s="207" t="str">
        <f>Настройки!AD22</f>
        <v>-</v>
      </c>
      <c r="AW22" s="207" t="str">
        <f>Настройки!AE22</f>
        <v>-</v>
      </c>
      <c r="AX22" s="207" t="str">
        <f>Настройки!AF22</f>
        <v>IDIG_6_1</v>
      </c>
      <c r="AY22" s="207" t="str">
        <f>Настройки!AG22</f>
        <v>Canal_21</v>
      </c>
      <c r="AZ22" s="207" t="str">
        <f>Настройки!AH22</f>
        <v>Canal_21</v>
      </c>
      <c r="BA22" s="207" t="str">
        <f>Настройки!AI22</f>
        <v>Canal_21</v>
      </c>
      <c r="BB22" s="207" t="str">
        <f>Настройки!AJ22</f>
        <v>-</v>
      </c>
      <c r="BC22" s="207" t="str">
        <f>Настройки!AK22</f>
        <v>-</v>
      </c>
      <c r="BD22" s="207" t="str">
        <f>Настройки!AL22</f>
        <v>Canal_21</v>
      </c>
      <c r="BE22" s="207" t="str">
        <f>Настройки!AM22</f>
        <v>-</v>
      </c>
    </row>
    <row r="23" spans="1:57">
      <c r="A23" s="82"/>
      <c r="B23" s="82"/>
      <c r="C23" s="11"/>
      <c r="D23" s="81"/>
      <c r="E23" s="81"/>
      <c r="F23" s="81"/>
      <c r="G23" s="445"/>
      <c r="H23" s="445"/>
      <c r="I23" s="459"/>
      <c r="J23" s="459"/>
      <c r="M23" s="424" t="str">
        <f>'Конфигурация TREI'!A24</f>
        <v>BR22</v>
      </c>
      <c r="N23" s="461" t="str">
        <f>'Конфигурация TREI'!B24</f>
        <v>M558D</v>
      </c>
      <c r="AE23" s="428">
        <f>Настройки!P23</f>
        <v>22</v>
      </c>
      <c r="AF23" s="380">
        <f>Настройки!Q23</f>
        <v>0</v>
      </c>
      <c r="AG23" s="380" t="str">
        <f>Настройки!R23</f>
        <v>-</v>
      </c>
      <c r="AH23" s="380" t="str">
        <f>Настройки!S23</f>
        <v>-</v>
      </c>
      <c r="AI23" s="380" t="str">
        <f>Настройки!T23</f>
        <v>out21</v>
      </c>
      <c r="AJ23" s="380" t="str">
        <f>Настройки!U23</f>
        <v>out21</v>
      </c>
      <c r="AK23" s="380" t="str">
        <f>Настройки!V23</f>
        <v>-</v>
      </c>
      <c r="AL23" s="380" t="str">
        <f>Настройки!W23</f>
        <v>-</v>
      </c>
      <c r="AM23" s="380" t="str">
        <f>Настройки!X23</f>
        <v>-</v>
      </c>
      <c r="AN23" s="380" t="str">
        <f>Настройки!Y23</f>
        <v>-</v>
      </c>
      <c r="AO23" s="380" t="str">
        <f>Настройки!Z23</f>
        <v>-</v>
      </c>
      <c r="AP23" s="380" t="str">
        <f>Настройки!AA23</f>
        <v>Canal_22</v>
      </c>
      <c r="AQ23" s="380" t="str">
        <f>Настройки!AB23</f>
        <v>Canal_22</v>
      </c>
      <c r="AR23" s="380" t="str">
        <f>Настройки!AC23</f>
        <v>-</v>
      </c>
      <c r="AS23" s="380" t="str">
        <f>Настройки!AD23</f>
        <v>-</v>
      </c>
      <c r="AT23" s="207" t="str">
        <f>Настройки!AB23</f>
        <v>Canal_22</v>
      </c>
      <c r="AU23" s="207" t="str">
        <f>Настройки!AC23</f>
        <v>-</v>
      </c>
      <c r="AV23" s="207" t="str">
        <f>Настройки!AD23</f>
        <v>-</v>
      </c>
      <c r="AW23" s="207" t="str">
        <f>Настройки!AE23</f>
        <v>-</v>
      </c>
      <c r="AX23" s="207" t="str">
        <f>Настройки!AF23</f>
        <v>IDIG_6_2</v>
      </c>
      <c r="AY23" s="207" t="str">
        <f>Настройки!AG23</f>
        <v>Canal_22</v>
      </c>
      <c r="AZ23" s="207" t="str">
        <f>Настройки!AH23</f>
        <v>Canal_22</v>
      </c>
      <c r="BA23" s="207" t="str">
        <f>Настройки!AI23</f>
        <v>Canal_22</v>
      </c>
      <c r="BB23" s="207" t="str">
        <f>Настройки!AJ23</f>
        <v>-</v>
      </c>
      <c r="BC23" s="207" t="str">
        <f>Настройки!AK23</f>
        <v>-</v>
      </c>
      <c r="BD23" s="207" t="str">
        <f>Настройки!AL23</f>
        <v>Canal_22</v>
      </c>
      <c r="BE23" s="207" t="str">
        <f>Настройки!AM23</f>
        <v>-</v>
      </c>
    </row>
    <row r="24" spans="1:57">
      <c r="A24" s="82"/>
      <c r="B24" s="82"/>
      <c r="C24" s="11"/>
      <c r="D24" s="81"/>
      <c r="E24" s="81"/>
      <c r="F24" s="81"/>
      <c r="G24" s="445"/>
      <c r="H24" s="445"/>
      <c r="I24" s="459"/>
      <c r="J24" s="459"/>
      <c r="M24" s="424" t="str">
        <f>'Конфигурация TREI'!A25</f>
        <v>BR23</v>
      </c>
      <c r="N24" s="461" t="str">
        <f>'Конфигурация TREI'!B25</f>
        <v>M558O</v>
      </c>
      <c r="AE24" s="428">
        <f>Настройки!P24</f>
        <v>23</v>
      </c>
      <c r="AF24" s="380">
        <f>Настройки!Q24</f>
        <v>0</v>
      </c>
      <c r="AG24" s="380" t="str">
        <f>Настройки!R24</f>
        <v>-</v>
      </c>
      <c r="AH24" s="380" t="str">
        <f>Настройки!S24</f>
        <v>-</v>
      </c>
      <c r="AI24" s="380" t="str">
        <f>Настройки!T24</f>
        <v>out22</v>
      </c>
      <c r="AJ24" s="380" t="str">
        <f>Настройки!U24</f>
        <v>out22</v>
      </c>
      <c r="AK24" s="380" t="str">
        <f>Настройки!V24</f>
        <v>-</v>
      </c>
      <c r="AL24" s="380" t="str">
        <f>Настройки!W24</f>
        <v>-</v>
      </c>
      <c r="AM24" s="380" t="str">
        <f>Настройки!X24</f>
        <v>-</v>
      </c>
      <c r="AN24" s="380" t="str">
        <f>Настройки!Y24</f>
        <v>-</v>
      </c>
      <c r="AO24" s="380" t="str">
        <f>Настройки!Z24</f>
        <v>-</v>
      </c>
      <c r="AP24" s="380" t="str">
        <f>Настройки!AA24</f>
        <v>Canal_23</v>
      </c>
      <c r="AQ24" s="380" t="str">
        <f>Настройки!AB24</f>
        <v>Canal_23</v>
      </c>
      <c r="AR24" s="380" t="str">
        <f>Настройки!AC24</f>
        <v>-</v>
      </c>
      <c r="AS24" s="380" t="str">
        <f>Настройки!AD24</f>
        <v>-</v>
      </c>
      <c r="AT24" s="207" t="str">
        <f>Настройки!AB24</f>
        <v>Canal_23</v>
      </c>
      <c r="AU24" s="207" t="str">
        <f>Настройки!AC24</f>
        <v>-</v>
      </c>
      <c r="AV24" s="207" t="str">
        <f>Настройки!AD24</f>
        <v>-</v>
      </c>
      <c r="AW24" s="207" t="str">
        <f>Настройки!AE24</f>
        <v>-</v>
      </c>
      <c r="AX24" s="207" t="str">
        <f>Настройки!AF24</f>
        <v>IDIG_6_3</v>
      </c>
      <c r="AY24" s="207" t="str">
        <f>Настройки!AG24</f>
        <v>Canal_23</v>
      </c>
      <c r="AZ24" s="207" t="str">
        <f>Настройки!AH24</f>
        <v>Canal_23</v>
      </c>
      <c r="BA24" s="207" t="str">
        <f>Настройки!AI24</f>
        <v>Canal_23</v>
      </c>
      <c r="BB24" s="207" t="str">
        <f>Настройки!AJ24</f>
        <v>-</v>
      </c>
      <c r="BC24" s="207" t="str">
        <f>Настройки!AK24</f>
        <v>-</v>
      </c>
      <c r="BD24" s="207" t="str">
        <f>Настройки!AL24</f>
        <v>Canal_23</v>
      </c>
      <c r="BE24" s="207" t="str">
        <f>Настройки!AM24</f>
        <v>-</v>
      </c>
    </row>
    <row r="25" spans="1:57">
      <c r="A25" s="82"/>
      <c r="B25" s="82"/>
      <c r="C25" s="11"/>
      <c r="D25" s="81"/>
      <c r="E25" s="81"/>
      <c r="F25" s="81"/>
      <c r="G25" s="445"/>
      <c r="H25" s="445"/>
      <c r="I25" s="459"/>
      <c r="J25" s="459"/>
      <c r="M25" s="424" t="str">
        <f>'Конфигурация TREI'!A26</f>
        <v>BR24</v>
      </c>
      <c r="N25" s="461" t="str">
        <f>'Конфигурация TREI'!B26</f>
        <v>M558D</v>
      </c>
      <c r="AE25" s="428">
        <f>Настройки!P25</f>
        <v>24</v>
      </c>
      <c r="AF25" s="380">
        <f>Настройки!Q25</f>
        <v>0</v>
      </c>
      <c r="AG25" s="380" t="str">
        <f>Настройки!R25</f>
        <v>-</v>
      </c>
      <c r="AH25" s="380" t="str">
        <f>Настройки!S25</f>
        <v>-</v>
      </c>
      <c r="AI25" s="380" t="str">
        <f>Настройки!T25</f>
        <v>out23</v>
      </c>
      <c r="AJ25" s="380" t="str">
        <f>Настройки!U25</f>
        <v>out23</v>
      </c>
      <c r="AK25" s="380" t="str">
        <f>Настройки!V25</f>
        <v>-</v>
      </c>
      <c r="AL25" s="380" t="str">
        <f>Настройки!W25</f>
        <v>-</v>
      </c>
      <c r="AM25" s="380" t="str">
        <f>Настройки!X25</f>
        <v>-</v>
      </c>
      <c r="AN25" s="380" t="str">
        <f>Настройки!Y25</f>
        <v>-</v>
      </c>
      <c r="AO25" s="380" t="str">
        <f>Настройки!Z25</f>
        <v>-</v>
      </c>
      <c r="AP25" s="380" t="str">
        <f>Настройки!AA25</f>
        <v>Canal_24</v>
      </c>
      <c r="AQ25" s="380" t="str">
        <f>Настройки!AB25</f>
        <v>Canal_24</v>
      </c>
      <c r="AR25" s="380" t="str">
        <f>Настройки!AC25</f>
        <v>-</v>
      </c>
      <c r="AS25" s="380" t="str">
        <f>Настройки!AD25</f>
        <v>-</v>
      </c>
      <c r="AT25" s="207" t="str">
        <f>Настройки!AB25</f>
        <v>Canal_24</v>
      </c>
      <c r="AU25" s="207" t="str">
        <f>Настройки!AC25</f>
        <v>-</v>
      </c>
      <c r="AV25" s="207" t="str">
        <f>Настройки!AD25</f>
        <v>-</v>
      </c>
      <c r="AW25" s="207" t="str">
        <f>Настройки!AE25</f>
        <v>-</v>
      </c>
      <c r="AX25" s="207" t="str">
        <f>Настройки!AF25</f>
        <v>IDIG_6_4</v>
      </c>
      <c r="AY25" s="207" t="str">
        <f>Настройки!AG25</f>
        <v>Canal_24</v>
      </c>
      <c r="AZ25" s="207" t="str">
        <f>Настройки!AH25</f>
        <v>Canal_24</v>
      </c>
      <c r="BA25" s="207" t="str">
        <f>Настройки!AI25</f>
        <v>Canal_24</v>
      </c>
      <c r="BB25" s="207" t="str">
        <f>Настройки!AJ25</f>
        <v>-</v>
      </c>
      <c r="BC25" s="207" t="str">
        <f>Настройки!AK25</f>
        <v>-</v>
      </c>
      <c r="BD25" s="207" t="str">
        <f>Настройки!AL25</f>
        <v>Canal_24</v>
      </c>
      <c r="BE25" s="207" t="str">
        <f>Настройки!AM25</f>
        <v>-</v>
      </c>
    </row>
    <row r="26" spans="1:57">
      <c r="A26" s="82"/>
      <c r="B26" s="82"/>
      <c r="C26" s="11"/>
      <c r="D26" s="81"/>
      <c r="E26" s="81"/>
      <c r="F26" s="81"/>
      <c r="G26" s="445"/>
      <c r="H26" s="445"/>
      <c r="I26" s="459"/>
      <c r="J26" s="459"/>
      <c r="M26" s="424" t="str">
        <f>'Конфигурация TREI'!A27</f>
        <v>BR25</v>
      </c>
      <c r="N26" s="461" t="str">
        <f>'Конфигурация TREI'!B27</f>
        <v>M558D</v>
      </c>
      <c r="AE26" s="428">
        <f>Настройки!P26</f>
        <v>25</v>
      </c>
      <c r="AF26" s="380">
        <f>Настройки!Q26</f>
        <v>0</v>
      </c>
      <c r="AG26" s="380" t="str">
        <f>Настройки!R26</f>
        <v>-</v>
      </c>
      <c r="AH26" s="380" t="str">
        <f>Настройки!S26</f>
        <v>-</v>
      </c>
      <c r="AI26" s="380" t="str">
        <f>Настройки!T26</f>
        <v>out24</v>
      </c>
      <c r="AJ26" s="380" t="str">
        <f>Настройки!U26</f>
        <v>out24</v>
      </c>
      <c r="AK26" s="380" t="str">
        <f>Настройки!V26</f>
        <v>-</v>
      </c>
      <c r="AL26" s="380" t="str">
        <f>Настройки!W26</f>
        <v>-</v>
      </c>
      <c r="AM26" s="380" t="str">
        <f>Настройки!X26</f>
        <v>-</v>
      </c>
      <c r="AN26" s="380" t="str">
        <f>Настройки!Y26</f>
        <v>-</v>
      </c>
      <c r="AO26" s="380" t="str">
        <f>Настройки!Z26</f>
        <v>-</v>
      </c>
      <c r="AP26" s="380" t="str">
        <f>Настройки!AA26</f>
        <v>Canal_25</v>
      </c>
      <c r="AQ26" s="380" t="str">
        <f>Настройки!AB26</f>
        <v>Canal_25</v>
      </c>
      <c r="AR26" s="380" t="str">
        <f>Настройки!AC26</f>
        <v>-</v>
      </c>
      <c r="AS26" s="380" t="str">
        <f>Настройки!AD26</f>
        <v>-</v>
      </c>
      <c r="AT26" s="207" t="str">
        <f>Настройки!AB26</f>
        <v>Canal_25</v>
      </c>
      <c r="AU26" s="207" t="str">
        <f>Настройки!AC26</f>
        <v>-</v>
      </c>
      <c r="AV26" s="207" t="str">
        <f>Настройки!AD26</f>
        <v>-</v>
      </c>
      <c r="AW26" s="207" t="str">
        <f>Настройки!AE26</f>
        <v>-</v>
      </c>
      <c r="AX26" s="207" t="str">
        <f>Настройки!AF26</f>
        <v>IDIG_7_1</v>
      </c>
      <c r="AY26" s="207" t="str">
        <f>Настройки!AG26</f>
        <v>Canal_25</v>
      </c>
      <c r="AZ26" s="207" t="str">
        <f>Настройки!AH26</f>
        <v>Canal_25</v>
      </c>
      <c r="BA26" s="207" t="str">
        <f>Настройки!AI26</f>
        <v>Canal_25</v>
      </c>
      <c r="BB26" s="207" t="str">
        <f>Настройки!AJ26</f>
        <v>-</v>
      </c>
      <c r="BC26" s="207" t="str">
        <f>Настройки!AK26</f>
        <v>-</v>
      </c>
      <c r="BD26" s="207" t="str">
        <f>Настройки!AL26</f>
        <v>Canal_25</v>
      </c>
      <c r="BE26" s="207" t="str">
        <f>Настройки!AM26</f>
        <v>-</v>
      </c>
    </row>
    <row r="27" spans="1:57">
      <c r="A27" s="82"/>
      <c r="B27" s="82"/>
      <c r="C27" s="11"/>
      <c r="D27" s="81"/>
      <c r="E27" s="81"/>
      <c r="F27" s="81"/>
      <c r="G27" s="445"/>
      <c r="H27" s="445"/>
      <c r="I27" s="459"/>
      <c r="J27" s="459"/>
      <c r="M27" s="424" t="str">
        <f>'Конфигурация TREI'!A28</f>
        <v>BR26</v>
      </c>
      <c r="N27" s="461" t="str">
        <f>'Конфигурация TREI'!B28</f>
        <v>M558D</v>
      </c>
      <c r="AE27" s="428">
        <f>Настройки!P27</f>
        <v>26</v>
      </c>
      <c r="AF27" s="380">
        <f>Настройки!Q27</f>
        <v>0</v>
      </c>
      <c r="AG27" s="380" t="str">
        <f>Настройки!R27</f>
        <v>-</v>
      </c>
      <c r="AH27" s="380" t="str">
        <f>Настройки!S27</f>
        <v>-</v>
      </c>
      <c r="AI27" s="380" t="str">
        <f>Настройки!T27</f>
        <v>out25</v>
      </c>
      <c r="AJ27" s="380" t="str">
        <f>Настройки!U27</f>
        <v>out25</v>
      </c>
      <c r="AK27" s="380" t="str">
        <f>Настройки!V27</f>
        <v>-</v>
      </c>
      <c r="AL27" s="380" t="str">
        <f>Настройки!W27</f>
        <v>-</v>
      </c>
      <c r="AM27" s="380" t="str">
        <f>Настройки!X27</f>
        <v>-</v>
      </c>
      <c r="AN27" s="380" t="str">
        <f>Настройки!Y27</f>
        <v>-</v>
      </c>
      <c r="AO27" s="380" t="str">
        <f>Настройки!Z27</f>
        <v>-</v>
      </c>
      <c r="AP27" s="380" t="str">
        <f>Настройки!AA27</f>
        <v>Canal_26</v>
      </c>
      <c r="AQ27" s="380" t="str">
        <f>Настройки!AB27</f>
        <v>Canal_26</v>
      </c>
      <c r="AR27" s="380" t="str">
        <f>Настройки!AC27</f>
        <v>-</v>
      </c>
      <c r="AS27" s="380" t="str">
        <f>Настройки!AD27</f>
        <v>-</v>
      </c>
      <c r="AT27" s="207" t="str">
        <f>Настройки!AB27</f>
        <v>Canal_26</v>
      </c>
      <c r="AU27" s="207" t="str">
        <f>Настройки!AC27</f>
        <v>-</v>
      </c>
      <c r="AV27" s="207" t="str">
        <f>Настройки!AD27</f>
        <v>-</v>
      </c>
      <c r="AW27" s="207" t="str">
        <f>Настройки!AE27</f>
        <v>-</v>
      </c>
      <c r="AX27" s="207" t="str">
        <f>Настройки!AF27</f>
        <v>IDIG_7_2</v>
      </c>
      <c r="AY27" s="207" t="str">
        <f>Настройки!AG27</f>
        <v>Canal_26</v>
      </c>
      <c r="AZ27" s="207" t="str">
        <f>Настройки!AH27</f>
        <v>Canal_26</v>
      </c>
      <c r="BA27" s="207" t="str">
        <f>Настройки!AI27</f>
        <v>Canal_26</v>
      </c>
      <c r="BB27" s="207" t="str">
        <f>Настройки!AJ27</f>
        <v>-</v>
      </c>
      <c r="BC27" s="207" t="str">
        <f>Настройки!AK27</f>
        <v>-</v>
      </c>
      <c r="BD27" s="207" t="str">
        <f>Настройки!AL27</f>
        <v>Canal_26</v>
      </c>
      <c r="BE27" s="207" t="str">
        <f>Настройки!AM27</f>
        <v>-</v>
      </c>
    </row>
    <row r="28" spans="1:57">
      <c r="A28" s="82"/>
      <c r="B28" s="82"/>
      <c r="C28" s="11"/>
      <c r="D28" s="81"/>
      <c r="E28" s="81"/>
      <c r="F28" s="81"/>
      <c r="G28" s="445"/>
      <c r="H28" s="445"/>
      <c r="I28" s="459"/>
      <c r="J28" s="459"/>
      <c r="M28" s="424" t="str">
        <f>'Конфигурация TREI'!A29</f>
        <v>BR27</v>
      </c>
      <c r="N28" s="461" t="str">
        <f>'Конфигурация TREI'!B29</f>
        <v>M558D</v>
      </c>
      <c r="AE28" s="428">
        <f>Настройки!P28</f>
        <v>27</v>
      </c>
      <c r="AF28" s="380">
        <f>Настройки!Q28</f>
        <v>0</v>
      </c>
      <c r="AG28" s="380" t="str">
        <f>Настройки!R28</f>
        <v>-</v>
      </c>
      <c r="AH28" s="380" t="str">
        <f>Настройки!S28</f>
        <v>-</v>
      </c>
      <c r="AI28" s="380" t="str">
        <f>Настройки!T28</f>
        <v>out26</v>
      </c>
      <c r="AJ28" s="380" t="str">
        <f>Настройки!U28</f>
        <v>out26</v>
      </c>
      <c r="AK28" s="380" t="str">
        <f>Настройки!V28</f>
        <v>-</v>
      </c>
      <c r="AL28" s="380" t="str">
        <f>Настройки!W28</f>
        <v>-</v>
      </c>
      <c r="AM28" s="380" t="str">
        <f>Настройки!X28</f>
        <v>-</v>
      </c>
      <c r="AN28" s="380" t="str">
        <f>Настройки!Y28</f>
        <v>-</v>
      </c>
      <c r="AO28" s="380" t="str">
        <f>Настройки!Z28</f>
        <v>-</v>
      </c>
      <c r="AP28" s="380" t="str">
        <f>Настройки!AA28</f>
        <v>Canal_27</v>
      </c>
      <c r="AQ28" s="380" t="str">
        <f>Настройки!AB28</f>
        <v>Canal_27</v>
      </c>
      <c r="AR28" s="380" t="str">
        <f>Настройки!AC28</f>
        <v>-</v>
      </c>
      <c r="AS28" s="380" t="str">
        <f>Настройки!AD28</f>
        <v>-</v>
      </c>
      <c r="AT28" s="207" t="str">
        <f>Настройки!AB28</f>
        <v>Canal_27</v>
      </c>
      <c r="AU28" s="207" t="str">
        <f>Настройки!AC28</f>
        <v>-</v>
      </c>
      <c r="AV28" s="207" t="str">
        <f>Настройки!AD28</f>
        <v>-</v>
      </c>
      <c r="AW28" s="207" t="str">
        <f>Настройки!AE28</f>
        <v>-</v>
      </c>
      <c r="AX28" s="207" t="str">
        <f>Настройки!AF28</f>
        <v>IDIG_7_3</v>
      </c>
      <c r="AY28" s="207" t="str">
        <f>Настройки!AG28</f>
        <v>Canal_27</v>
      </c>
      <c r="AZ28" s="207" t="str">
        <f>Настройки!AH28</f>
        <v>Canal_27</v>
      </c>
      <c r="BA28" s="207" t="str">
        <f>Настройки!AI28</f>
        <v>Canal_27</v>
      </c>
      <c r="BB28" s="207" t="str">
        <f>Настройки!AJ28</f>
        <v>-</v>
      </c>
      <c r="BC28" s="207" t="str">
        <f>Настройки!AK28</f>
        <v>-</v>
      </c>
      <c r="BD28" s="207" t="str">
        <f>Настройки!AL28</f>
        <v>Canal_27</v>
      </c>
      <c r="BE28" s="207" t="str">
        <f>Настройки!AM28</f>
        <v>-</v>
      </c>
    </row>
    <row r="29" spans="1:57">
      <c r="A29" s="82"/>
      <c r="B29" s="82"/>
      <c r="C29" s="11"/>
      <c r="D29" s="81"/>
      <c r="E29" s="81"/>
      <c r="F29" s="81"/>
      <c r="G29" s="445"/>
      <c r="H29" s="445"/>
      <c r="I29" s="459"/>
      <c r="J29" s="459"/>
      <c r="M29" s="424" t="str">
        <f>'Конфигурация TREI'!A30</f>
        <v>BR28</v>
      </c>
      <c r="N29" s="461" t="str">
        <f>'Конфигурация TREI'!B30</f>
        <v>M558D</v>
      </c>
      <c r="AE29" s="428">
        <f>Настройки!P29</f>
        <v>28</v>
      </c>
      <c r="AF29" s="380">
        <f>Настройки!Q29</f>
        <v>0</v>
      </c>
      <c r="AG29" s="380" t="str">
        <f>Настройки!R29</f>
        <v>-</v>
      </c>
      <c r="AH29" s="380" t="str">
        <f>Настройки!S29</f>
        <v>-</v>
      </c>
      <c r="AI29" s="380" t="str">
        <f>Настройки!T29</f>
        <v>out27</v>
      </c>
      <c r="AJ29" s="380" t="str">
        <f>Настройки!U29</f>
        <v>out27</v>
      </c>
      <c r="AK29" s="380" t="str">
        <f>Настройки!V29</f>
        <v>-</v>
      </c>
      <c r="AL29" s="380" t="str">
        <f>Настройки!W29</f>
        <v>-</v>
      </c>
      <c r="AM29" s="380" t="str">
        <f>Настройки!X29</f>
        <v>-</v>
      </c>
      <c r="AN29" s="380" t="str">
        <f>Настройки!Y29</f>
        <v>-</v>
      </c>
      <c r="AO29" s="380" t="str">
        <f>Настройки!Z29</f>
        <v>-</v>
      </c>
      <c r="AP29" s="380" t="str">
        <f>Настройки!AA29</f>
        <v>Canal_28</v>
      </c>
      <c r="AQ29" s="380" t="str">
        <f>Настройки!AB29</f>
        <v>Canal_28</v>
      </c>
      <c r="AR29" s="380" t="str">
        <f>Настройки!AC29</f>
        <v>-</v>
      </c>
      <c r="AS29" s="380" t="str">
        <f>Настройки!AD29</f>
        <v>-</v>
      </c>
      <c r="AT29" s="207" t="str">
        <f>Настройки!AB29</f>
        <v>Canal_28</v>
      </c>
      <c r="AU29" s="207" t="str">
        <f>Настройки!AC29</f>
        <v>-</v>
      </c>
      <c r="AV29" s="207" t="str">
        <f>Настройки!AD29</f>
        <v>-</v>
      </c>
      <c r="AW29" s="207" t="str">
        <f>Настройки!AE29</f>
        <v>-</v>
      </c>
      <c r="AX29" s="207" t="str">
        <f>Настройки!AF29</f>
        <v>IDIG_7_4</v>
      </c>
      <c r="AY29" s="207" t="str">
        <f>Настройки!AG29</f>
        <v>Canal_28</v>
      </c>
      <c r="AZ29" s="207" t="str">
        <f>Настройки!AH29</f>
        <v>Canal_28</v>
      </c>
      <c r="BA29" s="207" t="str">
        <f>Настройки!AI29</f>
        <v>Canal_28</v>
      </c>
      <c r="BB29" s="207" t="str">
        <f>Настройки!AJ29</f>
        <v>-</v>
      </c>
      <c r="BC29" s="207" t="str">
        <f>Настройки!AK29</f>
        <v>-</v>
      </c>
      <c r="BD29" s="207" t="str">
        <f>Настройки!AL29</f>
        <v>Canal_28</v>
      </c>
      <c r="BE29" s="207" t="str">
        <f>Настройки!AM29</f>
        <v>-</v>
      </c>
    </row>
    <row r="30" spans="1:57">
      <c r="A30" s="11"/>
      <c r="B30" s="11"/>
      <c r="C30" s="11"/>
      <c r="D30" s="11"/>
      <c r="E30" s="11"/>
      <c r="F30" s="11"/>
      <c r="G30" s="11"/>
      <c r="H30" s="11"/>
      <c r="I30" s="459"/>
      <c r="J30" s="459"/>
      <c r="M30" s="424" t="str">
        <f>'Конфигурация TREI'!A31</f>
        <v>BR29</v>
      </c>
      <c r="N30" s="461" t="str">
        <f>'Конфигурация TREI'!B31</f>
        <v>M558O</v>
      </c>
      <c r="AE30" s="428">
        <f>Настройки!P30</f>
        <v>29</v>
      </c>
      <c r="AF30" s="380">
        <f>Настройки!Q30</f>
        <v>0</v>
      </c>
      <c r="AG30" s="380" t="str">
        <f>Настройки!R30</f>
        <v>-</v>
      </c>
      <c r="AH30" s="380" t="str">
        <f>Настройки!S30</f>
        <v>-</v>
      </c>
      <c r="AI30" s="380" t="str">
        <f>Настройки!T30</f>
        <v>out28</v>
      </c>
      <c r="AJ30" s="380" t="str">
        <f>Настройки!U30</f>
        <v>out28</v>
      </c>
      <c r="AK30" s="380" t="str">
        <f>Настройки!V30</f>
        <v>-</v>
      </c>
      <c r="AL30" s="380" t="str">
        <f>Настройки!W30</f>
        <v>-</v>
      </c>
      <c r="AM30" s="380" t="str">
        <f>Настройки!X30</f>
        <v>-</v>
      </c>
      <c r="AN30" s="380" t="str">
        <f>Настройки!Y30</f>
        <v>-</v>
      </c>
      <c r="AO30" s="380" t="str">
        <f>Настройки!Z30</f>
        <v>-</v>
      </c>
      <c r="AP30" s="380" t="str">
        <f>Настройки!AA30</f>
        <v>Canal_29</v>
      </c>
      <c r="AQ30" s="380" t="str">
        <f>Настройки!AB30</f>
        <v>Canal_29</v>
      </c>
      <c r="AR30" s="380" t="str">
        <f>Настройки!AC30</f>
        <v>-</v>
      </c>
      <c r="AS30" s="380" t="str">
        <f>Настройки!AD30</f>
        <v>-</v>
      </c>
      <c r="AT30" s="207" t="str">
        <f>Настройки!AB30</f>
        <v>Canal_29</v>
      </c>
      <c r="AU30" s="207" t="str">
        <f>Настройки!AC30</f>
        <v>-</v>
      </c>
      <c r="AV30" s="207" t="str">
        <f>Настройки!AD30</f>
        <v>-</v>
      </c>
      <c r="AW30" s="207" t="str">
        <f>Настройки!AE30</f>
        <v>-</v>
      </c>
      <c r="AX30" s="207" t="str">
        <f>Настройки!AF30</f>
        <v>IDIG_8_1</v>
      </c>
      <c r="AY30" s="207" t="str">
        <f>Настройки!AG30</f>
        <v>Canal_29</v>
      </c>
      <c r="AZ30" s="207" t="str">
        <f>Настройки!AH30</f>
        <v>Canal_29</v>
      </c>
      <c r="BA30" s="207" t="str">
        <f>Настройки!AI30</f>
        <v>Canal_29</v>
      </c>
      <c r="BB30" s="207" t="str">
        <f>Настройки!AJ30</f>
        <v>-</v>
      </c>
      <c r="BC30" s="207" t="str">
        <f>Настройки!AK30</f>
        <v>-</v>
      </c>
      <c r="BD30" s="207" t="str">
        <f>Настройки!AL30</f>
        <v>Canal_29</v>
      </c>
      <c r="BE30" s="207" t="str">
        <f>Настройки!AM30</f>
        <v>-</v>
      </c>
    </row>
    <row r="31" spans="1:57">
      <c r="A31" s="82"/>
      <c r="B31" s="82"/>
      <c r="C31" s="81"/>
      <c r="D31" s="81"/>
      <c r="E31" s="81"/>
      <c r="F31" s="81"/>
      <c r="G31" s="445"/>
      <c r="H31" s="445"/>
      <c r="I31" s="459"/>
      <c r="J31" s="459"/>
      <c r="M31" s="424" t="str">
        <f>'Конфигурация TREI'!A32</f>
        <v>BR30</v>
      </c>
      <c r="N31" s="461" t="str">
        <f>'Конфигурация TREI'!B32</f>
        <v>M558D</v>
      </c>
      <c r="AE31" s="428">
        <f>Настройки!P31</f>
        <v>30</v>
      </c>
      <c r="AF31" s="380">
        <f>Настройки!Q31</f>
        <v>0</v>
      </c>
      <c r="AG31" s="380" t="str">
        <f>Настройки!R31</f>
        <v>-</v>
      </c>
      <c r="AH31" s="380" t="str">
        <f>Настройки!S31</f>
        <v>-</v>
      </c>
      <c r="AI31" s="380" t="str">
        <f>Настройки!T31</f>
        <v>out29</v>
      </c>
      <c r="AJ31" s="380" t="str">
        <f>Настройки!U31</f>
        <v>out29</v>
      </c>
      <c r="AK31" s="380" t="str">
        <f>Настройки!V31</f>
        <v>-</v>
      </c>
      <c r="AL31" s="380" t="str">
        <f>Настройки!W31</f>
        <v>-</v>
      </c>
      <c r="AM31" s="380" t="str">
        <f>Настройки!X31</f>
        <v>-</v>
      </c>
      <c r="AN31" s="380" t="str">
        <f>Настройки!Y31</f>
        <v>-</v>
      </c>
      <c r="AO31" s="380" t="str">
        <f>Настройки!Z31</f>
        <v>-</v>
      </c>
      <c r="AP31" s="380" t="str">
        <f>Настройки!AA31</f>
        <v>Canal_30</v>
      </c>
      <c r="AQ31" s="380" t="str">
        <f>Настройки!AB31</f>
        <v>Canal_30</v>
      </c>
      <c r="AR31" s="380" t="str">
        <f>Настройки!AC31</f>
        <v>-</v>
      </c>
      <c r="AS31" s="380" t="str">
        <f>Настройки!AD31</f>
        <v>-</v>
      </c>
      <c r="AT31" s="207" t="str">
        <f>Настройки!AB31</f>
        <v>Canal_30</v>
      </c>
      <c r="AU31" s="207" t="str">
        <f>Настройки!AC31</f>
        <v>-</v>
      </c>
      <c r="AV31" s="207" t="str">
        <f>Настройки!AD31</f>
        <v>-</v>
      </c>
      <c r="AW31" s="207" t="str">
        <f>Настройки!AE31</f>
        <v>-</v>
      </c>
      <c r="AX31" s="207" t="str">
        <f>Настройки!AF31</f>
        <v>IDIG_8_2</v>
      </c>
      <c r="AY31" s="207" t="str">
        <f>Настройки!AG31</f>
        <v>Canal_30</v>
      </c>
      <c r="AZ31" s="207" t="str">
        <f>Настройки!AH31</f>
        <v>Canal_30</v>
      </c>
      <c r="BA31" s="207" t="str">
        <f>Настройки!AI31</f>
        <v>Canal_30</v>
      </c>
      <c r="BB31" s="207" t="str">
        <f>Настройки!AJ31</f>
        <v>-</v>
      </c>
      <c r="BC31" s="207" t="str">
        <f>Настройки!AK31</f>
        <v>-</v>
      </c>
      <c r="BD31" s="207" t="str">
        <f>Настройки!AL31</f>
        <v>Canal_30</v>
      </c>
      <c r="BE31" s="207" t="str">
        <f>Настройки!AM31</f>
        <v>-</v>
      </c>
    </row>
    <row r="32" spans="1:57">
      <c r="A32" s="82"/>
      <c r="B32" s="82"/>
      <c r="C32" s="81"/>
      <c r="D32" s="81"/>
      <c r="E32" s="81"/>
      <c r="F32" s="81"/>
      <c r="G32" s="445"/>
      <c r="H32" s="445"/>
      <c r="I32" s="459"/>
      <c r="J32" s="459"/>
      <c r="M32" s="424" t="str">
        <f>'Конфигурация TREI'!A33</f>
        <v>BR31</v>
      </c>
      <c r="N32" s="461" t="str">
        <f>'Конфигурация TREI'!B33</f>
        <v>M558D</v>
      </c>
      <c r="AE32" s="428">
        <f>Настройки!P32</f>
        <v>31</v>
      </c>
      <c r="AF32" s="380">
        <f>Настройки!Q32</f>
        <v>0</v>
      </c>
      <c r="AG32" s="380" t="str">
        <f>Настройки!R32</f>
        <v>-</v>
      </c>
      <c r="AH32" s="380" t="str">
        <f>Настройки!S32</f>
        <v>-</v>
      </c>
      <c r="AI32" s="380" t="str">
        <f>Настройки!T32</f>
        <v>out30</v>
      </c>
      <c r="AJ32" s="380" t="str">
        <f>Настройки!U32</f>
        <v>out30</v>
      </c>
      <c r="AK32" s="380" t="str">
        <f>Настройки!V32</f>
        <v>-</v>
      </c>
      <c r="AL32" s="380" t="str">
        <f>Настройки!W32</f>
        <v>-</v>
      </c>
      <c r="AM32" s="380" t="str">
        <f>Настройки!X32</f>
        <v>-</v>
      </c>
      <c r="AN32" s="380" t="str">
        <f>Настройки!Y32</f>
        <v>-</v>
      </c>
      <c r="AO32" s="380" t="str">
        <f>Настройки!Z32</f>
        <v>-</v>
      </c>
      <c r="AP32" s="380" t="str">
        <f>Настройки!AA32</f>
        <v>Canal_31</v>
      </c>
      <c r="AQ32" s="380" t="str">
        <f>Настройки!AB32</f>
        <v>Canal_31</v>
      </c>
      <c r="AR32" s="380" t="str">
        <f>Настройки!AC32</f>
        <v>-</v>
      </c>
      <c r="AS32" s="380" t="str">
        <f>Настройки!AD32</f>
        <v>-</v>
      </c>
      <c r="AT32" s="207" t="str">
        <f>Настройки!AB32</f>
        <v>Canal_31</v>
      </c>
      <c r="AU32" s="207" t="str">
        <f>Настройки!AC32</f>
        <v>-</v>
      </c>
      <c r="AV32" s="207" t="str">
        <f>Настройки!AD32</f>
        <v>-</v>
      </c>
      <c r="AW32" s="207" t="str">
        <f>Настройки!AE32</f>
        <v>-</v>
      </c>
      <c r="AX32" s="207" t="str">
        <f>Настройки!AF32</f>
        <v>IDIG_8_3</v>
      </c>
      <c r="AY32" s="207" t="str">
        <f>Настройки!AG32</f>
        <v>Canal_31</v>
      </c>
      <c r="AZ32" s="207" t="str">
        <f>Настройки!AH32</f>
        <v>Canal_31</v>
      </c>
      <c r="BA32" s="207" t="str">
        <f>Настройки!AI32</f>
        <v>Canal_31</v>
      </c>
      <c r="BB32" s="207" t="str">
        <f>Настройки!AJ32</f>
        <v>-</v>
      </c>
      <c r="BC32" s="207" t="str">
        <f>Настройки!AK32</f>
        <v>-</v>
      </c>
      <c r="BD32" s="207" t="str">
        <f>Настройки!AL32</f>
        <v>Canal_31</v>
      </c>
      <c r="BE32" s="207" t="str">
        <f>Настройки!AM32</f>
        <v>-</v>
      </c>
    </row>
    <row r="33" spans="1:57">
      <c r="A33" s="82"/>
      <c r="B33" s="82"/>
      <c r="C33" s="81"/>
      <c r="D33" s="81"/>
      <c r="E33" s="81"/>
      <c r="F33" s="81"/>
      <c r="G33" s="445"/>
      <c r="H33" s="445"/>
      <c r="I33" s="459"/>
      <c r="J33" s="459"/>
      <c r="M33" s="424" t="str">
        <f>'Конфигурация TREI'!A34</f>
        <v>BR32</v>
      </c>
      <c r="N33" s="461" t="str">
        <f>'Конфигурация TREI'!B34</f>
        <v>M558D</v>
      </c>
      <c r="AE33" s="620">
        <f>Настройки!P33</f>
        <v>32</v>
      </c>
      <c r="AF33" s="621">
        <f>Настройки!Q33</f>
        <v>0</v>
      </c>
      <c r="AG33" s="621" t="str">
        <f>Настройки!R33</f>
        <v>-</v>
      </c>
      <c r="AH33" s="621" t="str">
        <f>Настройки!S33</f>
        <v>-</v>
      </c>
      <c r="AI33" s="621" t="str">
        <f>Настройки!T33</f>
        <v>out31</v>
      </c>
      <c r="AJ33" s="621" t="str">
        <f>Настройки!U33</f>
        <v>out31</v>
      </c>
      <c r="AK33" s="621" t="str">
        <f>Настройки!V33</f>
        <v>-</v>
      </c>
      <c r="AL33" s="621" t="str">
        <f>Настройки!W33</f>
        <v>-</v>
      </c>
      <c r="AM33" s="621" t="str">
        <f>Настройки!X33</f>
        <v>-</v>
      </c>
      <c r="AN33" s="621" t="str">
        <f>Настройки!Y33</f>
        <v>-</v>
      </c>
      <c r="AO33" s="621" t="str">
        <f>Настройки!Z33</f>
        <v>-</v>
      </c>
      <c r="AP33" s="621" t="str">
        <f>Настройки!AA33</f>
        <v>Canal_32</v>
      </c>
      <c r="AQ33" s="621" t="str">
        <f>Настройки!AB33</f>
        <v>Canal_32</v>
      </c>
      <c r="AR33" s="621" t="str">
        <f>Настройки!AC33</f>
        <v>-</v>
      </c>
      <c r="AS33" s="621" t="str">
        <f>Настройки!AD33</f>
        <v>-</v>
      </c>
      <c r="AT33" s="622" t="str">
        <f>Настройки!AB33</f>
        <v>Canal_32</v>
      </c>
      <c r="AU33" s="622" t="str">
        <f>Настройки!AC33</f>
        <v>-</v>
      </c>
      <c r="AV33" s="622" t="str">
        <f>Настройки!AD33</f>
        <v>-</v>
      </c>
      <c r="AW33" s="622" t="str">
        <f>Настройки!AE33</f>
        <v>-</v>
      </c>
      <c r="AX33" s="622" t="str">
        <f>Настройки!AF33</f>
        <v>IDIG_8_4</v>
      </c>
      <c r="AY33" s="622" t="str">
        <f>Настройки!AG33</f>
        <v>Canal_32</v>
      </c>
      <c r="AZ33" s="622" t="str">
        <f>Настройки!AH33</f>
        <v>Canal_32</v>
      </c>
      <c r="BA33" s="622" t="str">
        <f>Настройки!AI33</f>
        <v>Canal_32</v>
      </c>
      <c r="BB33" s="622" t="str">
        <f>Настройки!AJ33</f>
        <v>-</v>
      </c>
      <c r="BC33" s="622" t="str">
        <f>Настройки!AK33</f>
        <v>-</v>
      </c>
      <c r="BD33" s="622" t="str">
        <f>Настройки!AL33</f>
        <v>Canal_32</v>
      </c>
      <c r="BE33" s="622" t="str">
        <f>Настройки!AM33</f>
        <v>-</v>
      </c>
    </row>
    <row r="34" spans="1:57">
      <c r="A34" s="82"/>
      <c r="B34" s="82"/>
      <c r="C34" s="81"/>
      <c r="D34" s="81"/>
      <c r="E34" s="81"/>
      <c r="F34" s="81"/>
      <c r="G34" s="445"/>
      <c r="H34" s="445"/>
      <c r="I34" s="459"/>
      <c r="J34" s="459"/>
      <c r="M34" s="424" t="str">
        <f>'Конфигурация TREI'!A35</f>
        <v>BR33</v>
      </c>
      <c r="N34" s="461" t="str">
        <f>'Конфигурация TREI'!B35</f>
        <v>M558D</v>
      </c>
      <c r="AD34" s="626"/>
      <c r="AE34" s="624"/>
      <c r="AF34" s="624"/>
      <c r="AG34" s="624"/>
      <c r="AH34" s="624"/>
      <c r="AI34" s="624"/>
      <c r="AJ34" s="624"/>
      <c r="AK34" s="624"/>
      <c r="AL34" s="624"/>
      <c r="AM34" s="624"/>
      <c r="AN34" s="624"/>
      <c r="AO34" s="624"/>
      <c r="AP34" s="624"/>
      <c r="AQ34" s="624"/>
      <c r="AR34" s="624"/>
      <c r="AS34" s="624"/>
      <c r="AT34" s="625"/>
      <c r="AU34" s="625"/>
      <c r="AV34" s="625"/>
      <c r="AW34" s="625"/>
      <c r="AX34" s="625"/>
      <c r="AY34" s="625"/>
      <c r="AZ34" s="625"/>
      <c r="BA34" s="625"/>
      <c r="BB34" s="625"/>
      <c r="BC34" s="625"/>
      <c r="BD34" s="625"/>
      <c r="BE34" s="625"/>
    </row>
    <row r="35" spans="1:57">
      <c r="A35" s="82"/>
      <c r="B35" s="82"/>
      <c r="C35" s="81"/>
      <c r="D35" s="81"/>
      <c r="E35" s="81"/>
      <c r="F35" s="81"/>
      <c r="G35" s="445"/>
      <c r="H35" s="445"/>
      <c r="I35" s="459"/>
      <c r="J35" s="459"/>
      <c r="M35" s="424" t="str">
        <f>'Конфигурация TREI'!A36</f>
        <v>BR34</v>
      </c>
      <c r="N35" s="461" t="str">
        <f>'Конфигурация TREI'!B36</f>
        <v>M558D</v>
      </c>
      <c r="AD35" s="310"/>
      <c r="AE35" s="505"/>
      <c r="AF35" s="505"/>
      <c r="AG35" s="505"/>
      <c r="AH35" s="505"/>
      <c r="AI35" s="505"/>
      <c r="AJ35" s="505"/>
      <c r="AK35" s="505"/>
      <c r="AL35" s="505"/>
      <c r="AM35" s="505"/>
      <c r="AN35" s="505"/>
      <c r="AO35" s="505"/>
      <c r="AP35" s="505"/>
      <c r="AQ35" s="505"/>
      <c r="AR35" s="505"/>
      <c r="AS35" s="505"/>
      <c r="AT35" s="623"/>
      <c r="AU35" s="623"/>
      <c r="AV35" s="623"/>
      <c r="AW35" s="623"/>
      <c r="AX35" s="623"/>
      <c r="AY35" s="623"/>
      <c r="AZ35" s="623"/>
      <c r="BA35" s="623"/>
      <c r="BB35" s="623"/>
      <c r="BC35" s="623"/>
      <c r="BD35" s="623"/>
      <c r="BE35" s="623"/>
    </row>
    <row r="36" spans="1:57">
      <c r="A36" s="82"/>
      <c r="B36" s="82"/>
      <c r="C36" s="81"/>
      <c r="D36" s="81"/>
      <c r="E36" s="81"/>
      <c r="F36" s="81"/>
      <c r="G36" s="445"/>
      <c r="H36" s="445"/>
      <c r="I36" s="459"/>
      <c r="J36" s="459"/>
      <c r="M36" s="424" t="str">
        <f>'Конфигурация TREI'!A37</f>
        <v>BR35</v>
      </c>
      <c r="N36" s="461" t="str">
        <f>'Конфигурация TREI'!B37</f>
        <v>M558D</v>
      </c>
      <c r="AD36" s="310"/>
      <c r="AE36" s="505"/>
      <c r="AF36" s="505"/>
      <c r="AG36" s="505"/>
      <c r="AH36" s="505"/>
      <c r="AI36" s="505"/>
      <c r="AJ36" s="505"/>
      <c r="AK36" s="505"/>
      <c r="AL36" s="505"/>
      <c r="AM36" s="505"/>
      <c r="AN36" s="505"/>
      <c r="AO36" s="505"/>
      <c r="AP36" s="505"/>
      <c r="AQ36" s="505"/>
      <c r="AR36" s="505"/>
      <c r="AS36" s="505"/>
      <c r="AT36" s="623"/>
      <c r="AU36" s="623"/>
      <c r="AV36" s="623"/>
      <c r="AW36" s="623"/>
      <c r="AX36" s="623"/>
      <c r="AY36" s="623"/>
      <c r="AZ36" s="623"/>
      <c r="BA36" s="623"/>
      <c r="BB36" s="623"/>
      <c r="BC36" s="623"/>
      <c r="BD36" s="623"/>
      <c r="BE36" s="623"/>
    </row>
    <row r="37" spans="1:57" ht="15.75" customHeight="1">
      <c r="A37" s="82"/>
      <c r="B37" s="82"/>
      <c r="C37" s="81"/>
      <c r="D37" s="81"/>
      <c r="E37" s="81"/>
      <c r="F37" s="81"/>
      <c r="G37" s="445"/>
      <c r="H37" s="445"/>
      <c r="I37" s="459"/>
      <c r="J37" s="459"/>
      <c r="M37" s="424" t="str">
        <f>'Конфигурация TREI'!A38</f>
        <v>BR36</v>
      </c>
      <c r="N37" s="461">
        <f>'Конфигурация TREI'!B38</f>
        <v>0</v>
      </c>
      <c r="AD37" s="310"/>
      <c r="AE37" s="505"/>
      <c r="AF37" s="505"/>
      <c r="AG37" s="505"/>
      <c r="AH37" s="505"/>
      <c r="AI37" s="505"/>
      <c r="AJ37" s="505"/>
      <c r="AK37" s="505"/>
      <c r="AL37" s="505"/>
      <c r="AM37" s="505"/>
      <c r="AN37" s="505"/>
      <c r="AO37" s="505"/>
      <c r="AP37" s="505"/>
      <c r="AQ37" s="505"/>
      <c r="AR37" s="505"/>
      <c r="AS37" s="505"/>
      <c r="AT37" s="623"/>
      <c r="AU37" s="623"/>
      <c r="AV37" s="623"/>
      <c r="AW37" s="623"/>
      <c r="AX37" s="623"/>
      <c r="AY37" s="623"/>
      <c r="AZ37" s="623"/>
      <c r="BA37" s="623"/>
      <c r="BB37" s="623"/>
      <c r="BC37" s="623"/>
      <c r="BD37" s="623"/>
      <c r="BE37" s="623"/>
    </row>
    <row r="38" spans="1:57">
      <c r="A38" s="82"/>
      <c r="B38" s="82"/>
      <c r="C38" s="81"/>
      <c r="D38" s="81"/>
      <c r="E38" s="81"/>
      <c r="F38" s="81"/>
      <c r="G38" s="445"/>
      <c r="H38" s="445"/>
      <c r="I38" s="459"/>
      <c r="J38" s="459"/>
      <c r="M38" s="424" t="str">
        <f>'Конфигурация TREI'!A39</f>
        <v>BR37</v>
      </c>
      <c r="N38" s="461">
        <f>'Конфигурация TREI'!B39</f>
        <v>0</v>
      </c>
      <c r="AD38" s="310"/>
      <c r="AE38" s="505"/>
      <c r="AF38" s="505"/>
      <c r="AG38" s="505"/>
      <c r="AH38" s="505"/>
      <c r="AI38" s="505"/>
      <c r="AJ38" s="505"/>
      <c r="AK38" s="505"/>
      <c r="AL38" s="505"/>
      <c r="AM38" s="505"/>
      <c r="AN38" s="505"/>
      <c r="AO38" s="505"/>
      <c r="AP38" s="505"/>
      <c r="AQ38" s="505"/>
      <c r="AR38" s="505"/>
      <c r="AS38" s="505"/>
      <c r="AT38" s="623"/>
      <c r="AU38" s="623"/>
      <c r="AV38" s="623"/>
      <c r="AW38" s="623"/>
      <c r="AX38" s="623"/>
      <c r="AY38" s="623"/>
      <c r="AZ38" s="623"/>
      <c r="BA38" s="623"/>
      <c r="BB38" s="623"/>
      <c r="BC38" s="623"/>
      <c r="BD38" s="623"/>
      <c r="BE38" s="623"/>
    </row>
    <row r="39" spans="1:57">
      <c r="A39" s="82"/>
      <c r="B39" s="82"/>
      <c r="C39" s="81"/>
      <c r="D39" s="81"/>
      <c r="E39" s="81"/>
      <c r="F39" s="81"/>
      <c r="G39" s="445"/>
      <c r="H39" s="445"/>
      <c r="I39" s="459"/>
      <c r="J39" s="459"/>
      <c r="M39" s="424" t="str">
        <f>'Конфигурация TREI'!A40</f>
        <v>BR38</v>
      </c>
      <c r="N39" s="461">
        <f>'Конфигурация TREI'!B40</f>
        <v>0</v>
      </c>
      <c r="AD39" s="310"/>
      <c r="AE39" s="505"/>
      <c r="AF39" s="505"/>
      <c r="AG39" s="505"/>
      <c r="AH39" s="505"/>
      <c r="AI39" s="505"/>
      <c r="AJ39" s="505"/>
      <c r="AK39" s="505"/>
      <c r="AL39" s="505"/>
      <c r="AM39" s="505"/>
      <c r="AN39" s="505"/>
      <c r="AO39" s="505"/>
      <c r="AP39" s="505"/>
      <c r="AQ39" s="505"/>
      <c r="AR39" s="505"/>
      <c r="AS39" s="505"/>
      <c r="AT39" s="623"/>
      <c r="AU39" s="623"/>
      <c r="AV39" s="623"/>
      <c r="AW39" s="623"/>
      <c r="AX39" s="623"/>
      <c r="AY39" s="623"/>
      <c r="AZ39" s="623"/>
      <c r="BA39" s="623"/>
      <c r="BB39" s="623"/>
      <c r="BC39" s="623"/>
      <c r="BD39" s="623"/>
      <c r="BE39" s="623"/>
    </row>
    <row r="40" spans="1:57">
      <c r="A40" s="82"/>
      <c r="B40" s="82"/>
      <c r="C40" s="81"/>
      <c r="D40" s="81"/>
      <c r="E40" s="81"/>
      <c r="F40" s="81"/>
      <c r="G40" s="445"/>
      <c r="H40" s="445"/>
      <c r="I40" s="459"/>
      <c r="J40" s="459"/>
      <c r="M40" s="424" t="str">
        <f>'Конфигурация TREI'!A41</f>
        <v>BR39</v>
      </c>
      <c r="N40" s="461">
        <f>'Конфигурация TREI'!B41</f>
        <v>0</v>
      </c>
      <c r="AD40" s="310"/>
      <c r="AE40" s="505"/>
      <c r="AF40" s="505"/>
      <c r="AG40" s="505"/>
      <c r="AH40" s="505"/>
      <c r="AI40" s="505"/>
      <c r="AJ40" s="505"/>
      <c r="AK40" s="505"/>
      <c r="AL40" s="505"/>
      <c r="AM40" s="505"/>
      <c r="AN40" s="505"/>
      <c r="AO40" s="505"/>
      <c r="AP40" s="505"/>
      <c r="AQ40" s="505"/>
      <c r="AR40" s="505"/>
      <c r="AS40" s="505"/>
      <c r="AT40" s="623"/>
      <c r="AU40" s="623"/>
      <c r="AV40" s="623"/>
      <c r="AW40" s="623"/>
      <c r="AX40" s="623"/>
      <c r="AY40" s="623"/>
      <c r="AZ40" s="623"/>
      <c r="BA40" s="623"/>
      <c r="BB40" s="623"/>
      <c r="BC40" s="623"/>
      <c r="BD40" s="623"/>
      <c r="BE40" s="623"/>
    </row>
    <row r="41" spans="1:57">
      <c r="A41" s="82"/>
      <c r="B41" s="82"/>
      <c r="C41" s="81"/>
      <c r="D41" s="81"/>
      <c r="E41" s="81"/>
      <c r="F41" s="81"/>
      <c r="G41" s="445"/>
      <c r="H41" s="445"/>
      <c r="I41" s="459"/>
      <c r="J41" s="459"/>
      <c r="M41" s="424" t="str">
        <f>'Конфигурация TREI'!A42</f>
        <v>BR40</v>
      </c>
      <c r="N41" s="461">
        <f>'Конфигурация TREI'!B42</f>
        <v>0</v>
      </c>
      <c r="AD41" s="310"/>
      <c r="AE41" s="505"/>
      <c r="AF41" s="505"/>
      <c r="AG41" s="505"/>
      <c r="AH41" s="505"/>
      <c r="AI41" s="505"/>
      <c r="AJ41" s="505"/>
      <c r="AK41" s="505"/>
      <c r="AL41" s="505"/>
      <c r="AM41" s="505"/>
      <c r="AN41" s="505"/>
      <c r="AO41" s="505"/>
      <c r="AP41" s="505"/>
      <c r="AQ41" s="505"/>
      <c r="AR41" s="505"/>
      <c r="AS41" s="505"/>
      <c r="AT41" s="623"/>
      <c r="AU41" s="623"/>
      <c r="AV41" s="623"/>
      <c r="AW41" s="623"/>
      <c r="AX41" s="623"/>
      <c r="AY41" s="623"/>
      <c r="AZ41" s="623"/>
      <c r="BA41" s="623"/>
      <c r="BB41" s="623"/>
      <c r="BC41" s="623"/>
      <c r="BD41" s="623"/>
      <c r="BE41" s="623"/>
    </row>
    <row r="42" spans="1:57">
      <c r="M42" s="424" t="str">
        <f>'Конфигурация TREI'!A43</f>
        <v>BR41</v>
      </c>
      <c r="N42" s="461">
        <f>'Конфигурация TREI'!B43</f>
        <v>0</v>
      </c>
    </row>
    <row r="43" spans="1:57">
      <c r="M43" s="424" t="str">
        <f>'Конфигурация TREI'!A44</f>
        <v>BR42</v>
      </c>
      <c r="N43" s="461">
        <f>'Конфигурация TREI'!B44</f>
        <v>0</v>
      </c>
    </row>
    <row r="44" spans="1:57">
      <c r="M44" s="424" t="str">
        <f>'Конфигурация TREI'!A45</f>
        <v>BR43</v>
      </c>
      <c r="N44" s="461">
        <f>'Конфигурация TREI'!B45</f>
        <v>0</v>
      </c>
    </row>
    <row r="45" spans="1:57">
      <c r="M45" s="424" t="str">
        <f>'Конфигурация TREI'!A46</f>
        <v>BR44</v>
      </c>
      <c r="N45" s="461">
        <f>'Конфигурация TREI'!B46</f>
        <v>0</v>
      </c>
    </row>
    <row r="46" spans="1:57">
      <c r="M46" s="424" t="str">
        <f>'Конфигурация TREI'!A47</f>
        <v>BR45</v>
      </c>
      <c r="N46" s="461">
        <f>'Конфигурация TREI'!B47</f>
        <v>0</v>
      </c>
    </row>
    <row r="47" spans="1:57">
      <c r="M47" s="424" t="str">
        <f>'Конфигурация TREI'!A48</f>
        <v>BR46</v>
      </c>
      <c r="N47" s="461">
        <f>'Конфигурация TREI'!B48</f>
        <v>0</v>
      </c>
    </row>
    <row r="48" spans="1:57">
      <c r="M48" s="424" t="str">
        <f>'Конфигурация TREI'!A49</f>
        <v>BR47</v>
      </c>
      <c r="N48" s="461">
        <f>'Конфигурация TREI'!B49</f>
        <v>0</v>
      </c>
    </row>
    <row r="49" spans="13:14">
      <c r="M49" s="424" t="str">
        <f>'Конфигурация TREI'!A50</f>
        <v>BR48</v>
      </c>
      <c r="N49" s="461">
        <f>'Конфигурация TREI'!B50</f>
        <v>0</v>
      </c>
    </row>
    <row r="50" spans="13:14">
      <c r="M50" s="424" t="str">
        <f>'Конфигурация TREI'!A51</f>
        <v>BR49</v>
      </c>
      <c r="N50" s="461">
        <f>'Конфигурация TREI'!B51</f>
        <v>0</v>
      </c>
    </row>
    <row r="51" spans="13:14">
      <c r="M51" s="424" t="str">
        <f>'Конфигурация TREI'!A52</f>
        <v>BR50</v>
      </c>
      <c r="N51" s="461">
        <f>'Конфигурация TREI'!B52</f>
        <v>0</v>
      </c>
    </row>
    <row r="52" spans="13:14">
      <c r="M52" s="424" t="str">
        <f>'Конфигурация TREI'!A53</f>
        <v>BR51</v>
      </c>
      <c r="N52" s="461">
        <f>'Конфигурация TREI'!B53</f>
        <v>0</v>
      </c>
    </row>
    <row r="53" spans="13:14">
      <c r="M53" s="424" t="str">
        <f>'Конфигурация TREI'!A54</f>
        <v>BR52</v>
      </c>
      <c r="N53" s="461">
        <f>'Конфигурация TREI'!B54</f>
        <v>0</v>
      </c>
    </row>
    <row r="54" spans="13:14">
      <c r="M54" s="424" t="str">
        <f>'Конфигурация TREI'!A55</f>
        <v>BR53</v>
      </c>
      <c r="N54" s="461">
        <f>'Конфигурация TREI'!B55</f>
        <v>0</v>
      </c>
    </row>
    <row r="55" spans="13:14">
      <c r="M55" s="424" t="str">
        <f>'Конфигурация TREI'!A56</f>
        <v>BR54</v>
      </c>
      <c r="N55" s="461">
        <f>'Конфигурация TREI'!B56</f>
        <v>0</v>
      </c>
    </row>
    <row r="56" spans="13:14">
      <c r="M56" s="424" t="str">
        <f>'Конфигурация TREI'!A57</f>
        <v>BR55</v>
      </c>
      <c r="N56" s="461">
        <f>'Конфигурация TREI'!B57</f>
        <v>0</v>
      </c>
    </row>
    <row r="57" spans="13:14">
      <c r="M57" s="424" t="str">
        <f>'Конфигурация TREI'!A58</f>
        <v>BR56</v>
      </c>
      <c r="N57" s="461">
        <f>'Конфигурация TREI'!B58</f>
        <v>0</v>
      </c>
    </row>
    <row r="58" spans="13:14">
      <c r="M58" s="424" t="str">
        <f>'Конфигурация TREI'!A59</f>
        <v>BR57</v>
      </c>
      <c r="N58" s="461">
        <f>'Конфигурация TREI'!B59</f>
        <v>0</v>
      </c>
    </row>
    <row r="59" spans="13:14">
      <c r="M59" s="424" t="str">
        <f>'Конфигурация TREI'!A60</f>
        <v>BR58</v>
      </c>
      <c r="N59" s="461">
        <f>'Конфигурация TREI'!B60</f>
        <v>0</v>
      </c>
    </row>
    <row r="60" spans="13:14">
      <c r="M60" s="424" t="str">
        <f>'Конфигурация TREI'!A61</f>
        <v>BR59</v>
      </c>
      <c r="N60" s="461">
        <f>'Конфигурация TREI'!B61</f>
        <v>0</v>
      </c>
    </row>
    <row r="61" spans="13:14">
      <c r="M61" s="424" t="str">
        <f>'Конфигурация TREI'!A62</f>
        <v>BR60</v>
      </c>
      <c r="N61" s="461">
        <f>'Конфигурация TREI'!B62</f>
        <v>0</v>
      </c>
    </row>
  </sheetData>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sheetPr codeName="Лист41">
    <tabColor theme="2" tint="-0.249977111117893"/>
  </sheetPr>
  <dimension ref="A1:BE61"/>
  <sheetViews>
    <sheetView workbookViewId="0">
      <selection activeCell="P2" sqref="P2:AD2"/>
    </sheetView>
  </sheetViews>
  <sheetFormatPr defaultRowHeight="14.4"/>
  <cols>
    <col min="1" max="1" width="35.44140625" customWidth="1"/>
    <col min="2" max="2" width="21.44140625" customWidth="1"/>
    <col min="3" max="3" width="3.44140625" customWidth="1"/>
    <col min="4" max="4" width="1.109375" customWidth="1"/>
    <col min="5" max="5" width="33.44140625" customWidth="1"/>
    <col min="6" max="6" width="17.6640625" customWidth="1"/>
    <col min="7" max="7" width="10.5546875" customWidth="1"/>
    <col min="8" max="8" width="14.33203125" customWidth="1"/>
    <col min="9" max="9" width="11.44140625" customWidth="1"/>
    <col min="10" max="10" width="9.109375" hidden="1" customWidth="1"/>
    <col min="11" max="11" width="10.88671875" customWidth="1"/>
    <col min="12" max="12" width="11.5546875" customWidth="1"/>
    <col min="13" max="15" width="9.109375" customWidth="1"/>
    <col min="16" max="16" width="34.6640625" customWidth="1"/>
    <col min="17" max="17" width="39.33203125" customWidth="1"/>
    <col min="18" max="30" width="26.109375" style="55" customWidth="1"/>
    <col min="31" max="31" width="4.5546875" style="427" customWidth="1"/>
    <col min="32" max="32" width="11.109375" customWidth="1"/>
  </cols>
  <sheetData>
    <row r="1" spans="1:57">
      <c r="A1" s="425"/>
      <c r="B1" s="425"/>
      <c r="C1" s="425"/>
      <c r="D1" s="425"/>
      <c r="E1" s="425"/>
      <c r="F1" s="425"/>
      <c r="G1" s="426" t="s">
        <v>846</v>
      </c>
      <c r="H1" s="426" t="s">
        <v>847</v>
      </c>
      <c r="I1" s="424" t="s">
        <v>1181</v>
      </c>
      <c r="J1" s="425"/>
      <c r="M1" s="424" t="str">
        <f>'Конфигурация TREI'!A1</f>
        <v>№ Модуля</v>
      </c>
      <c r="N1" s="424" t="str">
        <f>'Конфигурация TREI'!B2</f>
        <v>M501E(рез)</v>
      </c>
      <c r="O1" s="425"/>
      <c r="P1" s="425" t="str">
        <f>Таблица!D1</f>
        <v>Префикс для TREI
Тэг ОРС для INFINITY</v>
      </c>
      <c r="Q1" s="425" t="str">
        <f>Таблица!E1</f>
        <v>Комментарий для TREI и INFINITY</v>
      </c>
      <c r="R1" s="428" t="s">
        <v>1032</v>
      </c>
      <c r="S1" s="428"/>
      <c r="T1" s="428"/>
      <c r="U1" s="428"/>
      <c r="V1" s="428"/>
      <c r="W1" s="428"/>
      <c r="X1" s="428"/>
      <c r="Y1" s="428"/>
      <c r="Z1" s="428"/>
      <c r="AA1" s="428"/>
      <c r="AB1" s="428"/>
      <c r="AC1" s="428"/>
      <c r="AD1" s="429"/>
      <c r="AE1" s="438"/>
      <c r="AF1" s="438">
        <f>Настройки!Q1</f>
        <v>0</v>
      </c>
      <c r="AG1" s="438" t="str">
        <f>Настройки!R1</f>
        <v>M943DR</v>
      </c>
      <c r="AH1" s="438" t="str">
        <f>Настройки!S1</f>
        <v>M942A</v>
      </c>
      <c r="AI1" s="438" t="str">
        <f>Настройки!T1</f>
        <v>M957D</v>
      </c>
      <c r="AJ1" s="438" t="str">
        <f>Настройки!U1</f>
        <v>M957O</v>
      </c>
      <c r="AK1" s="438" t="str">
        <f>Настройки!V1</f>
        <v>M947R</v>
      </c>
      <c r="AL1" s="438" t="str">
        <f>Настройки!W1</f>
        <v>M931V</v>
      </c>
      <c r="AM1" s="438" t="str">
        <f>Настройки!X1</f>
        <v>M931T</v>
      </c>
      <c r="AN1" s="438" t="str">
        <f>Настройки!Y1</f>
        <v>M547A</v>
      </c>
      <c r="AO1" s="438" t="str">
        <f>Настройки!Z1</f>
        <v>M537V</v>
      </c>
      <c r="AP1" s="438" t="str">
        <f>Настройки!AA1</f>
        <v>M557D</v>
      </c>
      <c r="AQ1" s="438" t="str">
        <f>Настройки!AB1</f>
        <v>M557O</v>
      </c>
      <c r="AR1" s="438" t="str">
        <f>Настройки!AC1</f>
        <v>MOPS</v>
      </c>
      <c r="AS1" s="438" t="str">
        <f>Настройки!AD1</f>
        <v>MUPS</v>
      </c>
      <c r="AT1" s="439" t="str">
        <f>Настройки!AB1</f>
        <v>M557O</v>
      </c>
      <c r="AU1" s="439" t="str">
        <f>Настройки!AC1</f>
        <v>MOPS</v>
      </c>
      <c r="AV1" s="439" t="str">
        <f>Настройки!AD1</f>
        <v>MUPS</v>
      </c>
      <c r="AW1" s="439" t="str">
        <f>Настройки!AE1</f>
        <v>M941A</v>
      </c>
      <c r="AX1" s="439" t="str">
        <f>Настройки!AF1</f>
        <v>M954D</v>
      </c>
      <c r="AY1" s="439" t="str">
        <f>Настройки!AG1</f>
        <v>M557DR</v>
      </c>
      <c r="AZ1" s="439" t="str">
        <f>Настройки!AH1</f>
        <v>M558D</v>
      </c>
      <c r="BA1" s="439" t="str">
        <f>Настройки!AI1</f>
        <v>M558O</v>
      </c>
      <c r="BB1" s="439" t="str">
        <f>Настройки!AJ1</f>
        <v>M548A</v>
      </c>
      <c r="BC1" s="439" t="str">
        <f>Настройки!AK1</f>
        <v>M538V</v>
      </c>
      <c r="BD1" s="439" t="str">
        <f>Настройки!AL1</f>
        <v>M558DR</v>
      </c>
      <c r="BE1" s="439" t="str">
        <f>Настройки!AM1</f>
        <v>*</v>
      </c>
    </row>
    <row r="2" spans="1:57">
      <c r="A2" s="446" t="str">
        <f>"//*********** "&amp;Q2&amp;" ***********"</f>
        <v>//*********** Шлейф оповещения о пожаре ***********</v>
      </c>
      <c r="B2" s="446"/>
      <c r="C2" s="446"/>
      <c r="D2" s="446"/>
      <c r="E2" s="446"/>
      <c r="F2" s="446" t="s">
        <v>1031</v>
      </c>
      <c r="G2" s="447"/>
      <c r="H2" s="447"/>
      <c r="I2" s="459"/>
      <c r="M2" s="424" t="str">
        <f>'Конфигурация TREI'!A3</f>
        <v>BR1</v>
      </c>
      <c r="N2" s="424" t="str">
        <f>'Конфигурация TREI'!B3</f>
        <v>M558D</v>
      </c>
      <c r="P2" s="2" t="s">
        <v>423</v>
      </c>
      <c r="Q2" s="2" t="s">
        <v>431</v>
      </c>
      <c r="R2" s="379" t="s">
        <v>1299</v>
      </c>
      <c r="S2" s="378"/>
      <c r="T2" s="378"/>
      <c r="U2" s="378"/>
      <c r="V2" s="378"/>
      <c r="W2" s="378"/>
      <c r="X2" s="378"/>
      <c r="Y2" s="378"/>
      <c r="Z2" s="378"/>
      <c r="AA2" s="378"/>
      <c r="AB2" s="378"/>
      <c r="AC2" s="378"/>
      <c r="AD2" s="55">
        <v>1</v>
      </c>
      <c r="AE2" s="431">
        <f>Настройки!P2</f>
        <v>1</v>
      </c>
      <c r="AF2" s="380">
        <f>Настройки!Q2</f>
        <v>0</v>
      </c>
      <c r="AG2" s="380" t="str">
        <f>Настройки!R2</f>
        <v>IDIG_1_1</v>
      </c>
      <c r="AH2" s="380" t="str">
        <f>Настройки!S2</f>
        <v>IANS_1_3</v>
      </c>
      <c r="AI2" s="380" t="str">
        <f>Настройки!T2</f>
        <v>out0</v>
      </c>
      <c r="AJ2" s="380" t="str">
        <f>Настройки!U2</f>
        <v>out0</v>
      </c>
      <c r="AK2" s="380" t="str">
        <f>Настройки!V2</f>
        <v>ODIG_1</v>
      </c>
      <c r="AL2" s="380" t="str">
        <f>Настройки!W2</f>
        <v>OAN_1_1</v>
      </c>
      <c r="AM2" s="380" t="str">
        <f>Настройки!X2</f>
        <v>IANS_1_1</v>
      </c>
      <c r="AN2" s="380" t="str">
        <f>Настройки!Y2</f>
        <v>Canal_01</v>
      </c>
      <c r="AO2" s="380" t="str">
        <f>Настройки!Z2</f>
        <v>Canal_01</v>
      </c>
      <c r="AP2" s="380" t="str">
        <f>Настройки!AA2</f>
        <v>Canal_01</v>
      </c>
      <c r="AQ2" s="380" t="str">
        <f>Настройки!AB2</f>
        <v>Canal_01</v>
      </c>
      <c r="AR2" s="380" t="str">
        <f>Настройки!AC2</f>
        <v>IVXX[0]</v>
      </c>
      <c r="AS2" s="380" t="str">
        <f>Настройки!AD2</f>
        <v>IVXX[0]</v>
      </c>
      <c r="AT2" s="207" t="str">
        <f>Настройки!AB2</f>
        <v>Canal_01</v>
      </c>
      <c r="AU2" s="207" t="str">
        <f>Настройки!AC2</f>
        <v>IVXX[0]</v>
      </c>
      <c r="AV2" s="207" t="str">
        <f>Настройки!AD2</f>
        <v>IVXX[0]</v>
      </c>
      <c r="AW2" s="207" t="str">
        <f>Настройки!AE2</f>
        <v>IANS_1_1</v>
      </c>
      <c r="AX2" s="207" t="str">
        <f>Настройки!AF2</f>
        <v>IDIG_1_1</v>
      </c>
      <c r="AY2" s="207" t="str">
        <f>Настройки!AG2</f>
        <v>Canal_01</v>
      </c>
      <c r="AZ2" s="207" t="str">
        <f>Настройки!AH2</f>
        <v>Canal_01</v>
      </c>
      <c r="BA2" s="207" t="str">
        <f>Настройки!AI2</f>
        <v>Canal_01</v>
      </c>
      <c r="BB2" s="207" t="str">
        <f>Настройки!AJ2</f>
        <v>Canal_01</v>
      </c>
      <c r="BC2" s="207" t="str">
        <f>Настройки!AK2</f>
        <v>Canal_01</v>
      </c>
      <c r="BD2" s="207" t="str">
        <f>Настройки!AL2</f>
        <v>Canal_01</v>
      </c>
      <c r="BE2" s="207" t="str">
        <f>Настройки!AM2</f>
        <v>-</v>
      </c>
    </row>
    <row r="3" spans="1:57">
      <c r="A3" s="448" t="str">
        <f>SUBSTITUTE($P$2,"\","|")&amp;"|"&amp; $R$1 &amp;":="&amp;IF(LEFT(SUBSTITUTE($R$2," ",""),1)="!","NOT  ","")</f>
        <v>S_SHOP|IVXX:=</v>
      </c>
      <c r="B3" s="448" t="str">
        <f>$G$3&amp;"_"&amp;LEFT($R$3,FIND("+",$R$3,1)-1)</f>
        <v>MUPS_1</v>
      </c>
      <c r="C3" s="446"/>
      <c r="D3" s="446" t="s">
        <v>1861</v>
      </c>
      <c r="E3" s="446" t="str">
        <f ca="1">IF($R$2=0,"УДАЛИТЬ",IFERROR(IF(OR($I3="-",$H3="0"),"КАНАЛ ОТСУТСТВУЕТ",IF($I3=0,"МОДУЛЬ ОТСУТСТВУЕТ",$I3)),"ОШИБКА ФОРМАТА"))</f>
        <v>IVXX[0]</v>
      </c>
      <c r="F3" s="446" t="s">
        <v>845</v>
      </c>
      <c r="G3" s="447" t="str">
        <f>LEFT(R2,4)</f>
        <v>MUPS</v>
      </c>
      <c r="H3" s="447" t="str">
        <f>RIGHT(R$3,LEN(R$3)-FIND("+",R$3,1))</f>
        <v>1</v>
      </c>
      <c r="I3" s="460" t="str">
        <f ca="1">INDIRECT(ADDRESS($H3+1,MATCH($G3,$1:$1,),1))</f>
        <v>IVXX[0]</v>
      </c>
      <c r="M3" s="424" t="str">
        <f>'Конфигурация TREI'!A4</f>
        <v>BR2</v>
      </c>
      <c r="N3" s="424" t="str">
        <f>'Конфигурация TREI'!B4</f>
        <v>M548A</v>
      </c>
      <c r="P3" s="425" t="str">
        <f>'Конфигурация TREI'!D1</f>
        <v>Путь TREI для сигналов NOT_LINK</v>
      </c>
      <c r="R3" s="451" t="str">
        <f>SUBSTITUTE(SUBSTITUTE(SUBSTITUTE(SUBSTITUTE($R$2,"!","")," ",""),"MUPS",""),"MOPS","")</f>
        <v>1+1</v>
      </c>
      <c r="S3" s="450"/>
      <c r="T3" s="450"/>
      <c r="U3" s="450"/>
      <c r="V3" s="450"/>
      <c r="W3" s="450"/>
      <c r="X3" s="450"/>
      <c r="Y3" s="450"/>
      <c r="Z3" s="450"/>
      <c r="AA3" s="450"/>
      <c r="AB3" s="450"/>
      <c r="AC3" s="450"/>
      <c r="AE3" s="431">
        <f>Настройки!P3</f>
        <v>2</v>
      </c>
      <c r="AF3" s="380">
        <f>Настройки!Q3</f>
        <v>0</v>
      </c>
      <c r="AG3" s="380" t="str">
        <f>Настройки!R3</f>
        <v>IDIG_1_2</v>
      </c>
      <c r="AH3" s="380" t="str">
        <f>Настройки!S3</f>
        <v>IANS_1_4</v>
      </c>
      <c r="AI3" s="380" t="str">
        <f>Настройки!T3</f>
        <v>out1</v>
      </c>
      <c r="AJ3" s="380" t="str">
        <f>Настройки!U3</f>
        <v>out1</v>
      </c>
      <c r="AK3" s="380" t="str">
        <f>Настройки!V3</f>
        <v>ODIG_2</v>
      </c>
      <c r="AL3" s="380" t="str">
        <f>Настройки!W3</f>
        <v>OAN_2_1</v>
      </c>
      <c r="AM3" s="380" t="str">
        <f>Настройки!X3</f>
        <v>IANS_2_1</v>
      </c>
      <c r="AN3" s="380" t="str">
        <f>Настройки!Y3</f>
        <v>Canal_02</v>
      </c>
      <c r="AO3" s="380" t="str">
        <f>Настройки!Z3</f>
        <v>Canal_02</v>
      </c>
      <c r="AP3" s="380" t="str">
        <f>Настройки!AA3</f>
        <v>Canal_02</v>
      </c>
      <c r="AQ3" s="380" t="str">
        <f>Настройки!AB3</f>
        <v>Canal_02</v>
      </c>
      <c r="AR3" s="380" t="str">
        <f>Настройки!AC3</f>
        <v>IVXX[1]</v>
      </c>
      <c r="AS3" s="380" t="str">
        <f>Настройки!AD3</f>
        <v>IVXX[1]</v>
      </c>
      <c r="AT3" s="207" t="str">
        <f>Настройки!AB3</f>
        <v>Canal_02</v>
      </c>
      <c r="AU3" s="207" t="str">
        <f>Настройки!AC3</f>
        <v>IVXX[1]</v>
      </c>
      <c r="AV3" s="207" t="str">
        <f>Настройки!AD3</f>
        <v>IVXX[1]</v>
      </c>
      <c r="AW3" s="207" t="str">
        <f>Настройки!AE3</f>
        <v>IANS_1_2</v>
      </c>
      <c r="AX3" s="207" t="str">
        <f>Настройки!AF3</f>
        <v>IDIG_1_2</v>
      </c>
      <c r="AY3" s="207" t="str">
        <f>Настройки!AG3</f>
        <v>Canal_02</v>
      </c>
      <c r="AZ3" s="207" t="str">
        <f>Настройки!AH3</f>
        <v>Canal_02</v>
      </c>
      <c r="BA3" s="207" t="str">
        <f>Настройки!AI3</f>
        <v>Canal_02</v>
      </c>
      <c r="BB3" s="207" t="str">
        <f>Настройки!AJ3</f>
        <v>Canal_02</v>
      </c>
      <c r="BC3" s="207" t="str">
        <f>Настройки!AK3</f>
        <v>Canal_02</v>
      </c>
      <c r="BD3" s="207" t="str">
        <f>Настройки!AL3</f>
        <v>Canal_02</v>
      </c>
      <c r="BE3" s="207" t="str">
        <f>Настройки!AM3</f>
        <v>-</v>
      </c>
    </row>
    <row r="4" spans="1:57">
      <c r="A4" s="448" t="str">
        <f>SUBSTITUTE($P$2,"\","|")&amp;"|"&amp;"DVI"&amp; RIGHT($R$1,1)&amp;":="</f>
        <v>S_SHOP|DVIX:=</v>
      </c>
      <c r="B4" s="448" t="str">
        <f>$G$3&amp;"_"&amp;LEFT($R$3,FIND("+",$R$3,1)-1)</f>
        <v>MUPS_1</v>
      </c>
      <c r="C4" s="446"/>
      <c r="D4" s="446" t="s">
        <v>1861</v>
      </c>
      <c r="E4" s="446" t="str">
        <f>IF($R$2=0,"УДАЛИТЬ","DVXX")</f>
        <v>DVXX</v>
      </c>
      <c r="F4" s="446" t="s">
        <v>845</v>
      </c>
      <c r="G4" s="447"/>
      <c r="H4" s="447"/>
      <c r="I4" s="460"/>
      <c r="M4" s="424" t="str">
        <f>'Конфигурация TREI'!A5</f>
        <v>BR3</v>
      </c>
      <c r="N4" s="424" t="str">
        <f>'Конфигурация TREI'!B5</f>
        <v>M548A</v>
      </c>
      <c r="P4" s="3" t="str">
        <f>Настройки!D2</f>
        <v/>
      </c>
      <c r="AE4" s="431">
        <f>Настройки!P4</f>
        <v>3</v>
      </c>
      <c r="AF4" s="380">
        <f>Настройки!Q4</f>
        <v>0</v>
      </c>
      <c r="AG4" s="380" t="str">
        <f>Настройки!R4</f>
        <v>IDIG_2_1</v>
      </c>
      <c r="AH4" s="380" t="str">
        <f>Настройки!S4</f>
        <v>IANS_2_3</v>
      </c>
      <c r="AI4" s="380" t="str">
        <f>Настройки!T4</f>
        <v>out2</v>
      </c>
      <c r="AJ4" s="380" t="str">
        <f>Настройки!U4</f>
        <v>out2</v>
      </c>
      <c r="AK4" s="380" t="str">
        <f>Настройки!V4</f>
        <v>ODIG_3</v>
      </c>
      <c r="AL4" s="380" t="str">
        <f>Настройки!W4</f>
        <v>OAN_3_1</v>
      </c>
      <c r="AM4" s="380" t="str">
        <f>Настройки!X4</f>
        <v>IANS_3_1</v>
      </c>
      <c r="AN4" s="380" t="str">
        <f>Настройки!Y4</f>
        <v>Canal_03</v>
      </c>
      <c r="AO4" s="380" t="str">
        <f>Настройки!Z4</f>
        <v>Canal_03</v>
      </c>
      <c r="AP4" s="380" t="str">
        <f>Настройки!AA4</f>
        <v>Canal_03</v>
      </c>
      <c r="AQ4" s="380" t="str">
        <f>Настройки!AB4</f>
        <v>Canal_03</v>
      </c>
      <c r="AR4" s="380" t="str">
        <f>Настройки!AC4</f>
        <v>IVXX[2]</v>
      </c>
      <c r="AS4" s="380" t="str">
        <f>Настройки!AD4</f>
        <v>IVXX[2]</v>
      </c>
      <c r="AT4" s="207" t="str">
        <f>Настройки!AB4</f>
        <v>Canal_03</v>
      </c>
      <c r="AU4" s="207" t="str">
        <f>Настройки!AC4</f>
        <v>IVXX[2]</v>
      </c>
      <c r="AV4" s="207" t="str">
        <f>Настройки!AD4</f>
        <v>IVXX[2]</v>
      </c>
      <c r="AW4" s="207" t="str">
        <f>Настройки!AE4</f>
        <v>IANS_2_1</v>
      </c>
      <c r="AX4" s="207" t="str">
        <f>Настройки!AF4</f>
        <v>IDIG_1_3</v>
      </c>
      <c r="AY4" s="207" t="str">
        <f>Настройки!AG4</f>
        <v>Canal_03</v>
      </c>
      <c r="AZ4" s="207" t="str">
        <f>Настройки!AH4</f>
        <v>Canal_03</v>
      </c>
      <c r="BA4" s="207" t="str">
        <f>Настройки!AI4</f>
        <v>Canal_03</v>
      </c>
      <c r="BB4" s="207" t="str">
        <f>Настройки!AJ4</f>
        <v>Canal_03</v>
      </c>
      <c r="BC4" s="207" t="str">
        <f>Настройки!AK4</f>
        <v>Canal_03</v>
      </c>
      <c r="BD4" s="207" t="str">
        <f>Настройки!AL4</f>
        <v>Canal_03</v>
      </c>
      <c r="BE4" s="207" t="str">
        <f>Настройки!AM4</f>
        <v>-</v>
      </c>
    </row>
    <row r="5" spans="1:57" ht="14.25" customHeight="1">
      <c r="A5" s="82"/>
      <c r="B5" s="82"/>
      <c r="C5" s="81"/>
      <c r="D5" s="81"/>
      <c r="E5" s="81"/>
      <c r="F5" s="81"/>
      <c r="G5" s="445"/>
      <c r="H5" s="445"/>
      <c r="I5" s="460"/>
      <c r="M5" s="424" t="str">
        <f>'Конфигурация TREI'!A6</f>
        <v>BR4</v>
      </c>
      <c r="N5" s="424" t="str">
        <f>'Конфигурация TREI'!B6</f>
        <v>M558D</v>
      </c>
      <c r="R5" s="56"/>
      <c r="AE5" s="431">
        <f>Настройки!P5</f>
        <v>4</v>
      </c>
      <c r="AF5" s="380">
        <f>Настройки!Q5</f>
        <v>0</v>
      </c>
      <c r="AG5" s="380" t="str">
        <f>Настройки!R5</f>
        <v>IDIG_2_2</v>
      </c>
      <c r="AH5" s="380" t="str">
        <f>Настройки!S5</f>
        <v>IANS_2_4</v>
      </c>
      <c r="AI5" s="380" t="str">
        <f>Настройки!T5</f>
        <v>out3</v>
      </c>
      <c r="AJ5" s="380" t="str">
        <f>Настройки!U5</f>
        <v>out3</v>
      </c>
      <c r="AK5" s="380" t="str">
        <f>Настройки!V5</f>
        <v>ODIG_4</v>
      </c>
      <c r="AL5" s="380" t="str">
        <f>Настройки!W5</f>
        <v>OAN_4_1</v>
      </c>
      <c r="AM5" s="380" t="str">
        <f>Настройки!X5</f>
        <v>IANS_4_1</v>
      </c>
      <c r="AN5" s="380" t="str">
        <f>Настройки!Y5</f>
        <v>Canal_04</v>
      </c>
      <c r="AO5" s="380" t="str">
        <f>Настройки!Z5</f>
        <v>Canal_04</v>
      </c>
      <c r="AP5" s="380" t="str">
        <f>Настройки!AA5</f>
        <v>Canal_04</v>
      </c>
      <c r="AQ5" s="380" t="str">
        <f>Настройки!AB5</f>
        <v>Canal_04</v>
      </c>
      <c r="AR5" s="380" t="str">
        <f>Настройки!AC5</f>
        <v>IVXX[3]</v>
      </c>
      <c r="AS5" s="380" t="str">
        <f>Настройки!AD5</f>
        <v>IVXX[3]</v>
      </c>
      <c r="AT5" s="207" t="str">
        <f>Настройки!AB5</f>
        <v>Canal_04</v>
      </c>
      <c r="AU5" s="207" t="str">
        <f>Настройки!AC5</f>
        <v>IVXX[3]</v>
      </c>
      <c r="AV5" s="207" t="str">
        <f>Настройки!AD5</f>
        <v>IVXX[3]</v>
      </c>
      <c r="AW5" s="207" t="str">
        <f>Настройки!AE5</f>
        <v>IANS_2_2</v>
      </c>
      <c r="AX5" s="207" t="str">
        <f>Настройки!AF5</f>
        <v>IDIG_1_4</v>
      </c>
      <c r="AY5" s="207" t="str">
        <f>Настройки!AG5</f>
        <v>Canal_04</v>
      </c>
      <c r="AZ5" s="207" t="str">
        <f>Настройки!AH5</f>
        <v>Canal_04</v>
      </c>
      <c r="BA5" s="207" t="str">
        <f>Настройки!AI5</f>
        <v>Canal_04</v>
      </c>
      <c r="BB5" s="207" t="str">
        <f>Настройки!AJ5</f>
        <v>Canal_04</v>
      </c>
      <c r="BC5" s="207" t="str">
        <f>Настройки!AK5</f>
        <v>Canal_04</v>
      </c>
      <c r="BD5" s="207" t="str">
        <f>Настройки!AL5</f>
        <v>Canal_04</v>
      </c>
      <c r="BE5" s="207" t="str">
        <f>Настройки!AM5</f>
        <v>-</v>
      </c>
    </row>
    <row r="6" spans="1:57">
      <c r="A6" s="82"/>
      <c r="B6" s="82"/>
      <c r="C6" s="81"/>
      <c r="D6" s="81"/>
      <c r="E6" s="82"/>
      <c r="F6" s="81"/>
      <c r="G6" s="445"/>
      <c r="H6" s="445"/>
      <c r="I6" s="460"/>
      <c r="M6" s="424" t="str">
        <f>'Конфигурация TREI'!A7</f>
        <v>BR5</v>
      </c>
      <c r="N6" s="424" t="str">
        <f>'Конфигурация TREI'!B7</f>
        <v>M558O</v>
      </c>
      <c r="AE6" s="431">
        <f>Настройки!P6</f>
        <v>5</v>
      </c>
      <c r="AF6" s="380">
        <f>Настройки!Q6</f>
        <v>0</v>
      </c>
      <c r="AG6" s="380" t="str">
        <f>Настройки!R6</f>
        <v>IDIG_3_1</v>
      </c>
      <c r="AH6" s="380" t="str">
        <f>Настройки!S6</f>
        <v>IANS_3_3</v>
      </c>
      <c r="AI6" s="380" t="str">
        <f>Настройки!T6</f>
        <v>out4</v>
      </c>
      <c r="AJ6" s="380" t="str">
        <f>Настройки!U6</f>
        <v>out4</v>
      </c>
      <c r="AK6" s="380" t="str">
        <f>Настройки!V6</f>
        <v>ODIG_5</v>
      </c>
      <c r="AL6" s="380" t="str">
        <f>Настройки!W6</f>
        <v>OAN_5_1</v>
      </c>
      <c r="AM6" s="380" t="str">
        <f>Настройки!X6</f>
        <v>IANS_5_1</v>
      </c>
      <c r="AN6" s="380" t="str">
        <f>Настройки!Y6</f>
        <v>Canal_05</v>
      </c>
      <c r="AO6" s="380" t="str">
        <f>Настройки!Z6</f>
        <v>Canal_05</v>
      </c>
      <c r="AP6" s="380" t="str">
        <f>Настройки!AA6</f>
        <v>Canal_05</v>
      </c>
      <c r="AQ6" s="380" t="str">
        <f>Настройки!AB6</f>
        <v>Canal_05</v>
      </c>
      <c r="AR6" s="380" t="str">
        <f>Настройки!AC6</f>
        <v>IVXX[4]</v>
      </c>
      <c r="AS6" s="380" t="str">
        <f>Настройки!AD6</f>
        <v>IVXX[4]</v>
      </c>
      <c r="AT6" s="207" t="str">
        <f>Настройки!AB6</f>
        <v>Canal_05</v>
      </c>
      <c r="AU6" s="207" t="str">
        <f>Настройки!AC6</f>
        <v>IVXX[4]</v>
      </c>
      <c r="AV6" s="207" t="str">
        <f>Настройки!AD6</f>
        <v>IVXX[4]</v>
      </c>
      <c r="AW6" s="207" t="str">
        <f>Настройки!AE6</f>
        <v>IANS_3_1</v>
      </c>
      <c r="AX6" s="207" t="str">
        <f>Настройки!AF6</f>
        <v>IDIG_2_1</v>
      </c>
      <c r="AY6" s="207" t="str">
        <f>Настройки!AG6</f>
        <v>Canal_05</v>
      </c>
      <c r="AZ6" s="207" t="str">
        <f>Настройки!AH6</f>
        <v>Canal_05</v>
      </c>
      <c r="BA6" s="207" t="str">
        <f>Настройки!AI6</f>
        <v>Canal_05</v>
      </c>
      <c r="BB6" s="207" t="str">
        <f>Настройки!AJ6</f>
        <v>Canal_05</v>
      </c>
      <c r="BC6" s="207" t="str">
        <f>Настройки!AK6</f>
        <v>Canal_05</v>
      </c>
      <c r="BD6" s="207" t="str">
        <f>Настройки!AL6</f>
        <v>Canal_05</v>
      </c>
      <c r="BE6" s="207" t="str">
        <f>Настройки!AM6</f>
        <v>-</v>
      </c>
    </row>
    <row r="7" spans="1:57">
      <c r="A7" s="82"/>
      <c r="B7" s="82"/>
      <c r="C7" s="81"/>
      <c r="D7" s="81"/>
      <c r="E7" s="82"/>
      <c r="F7" s="81"/>
      <c r="G7" s="445"/>
      <c r="H7" s="445"/>
      <c r="I7" s="460"/>
      <c r="M7" s="424" t="str">
        <f>'Конфигурация TREI'!A8</f>
        <v>BR6</v>
      </c>
      <c r="N7" s="424" t="str">
        <f>'Конфигурация TREI'!B8</f>
        <v>M558O</v>
      </c>
      <c r="AE7" s="431">
        <f>Настройки!P7</f>
        <v>6</v>
      </c>
      <c r="AF7" s="380">
        <f>Настройки!Q7</f>
        <v>0</v>
      </c>
      <c r="AG7" s="380" t="str">
        <f>Настройки!R7</f>
        <v>IDIG_3_2</v>
      </c>
      <c r="AH7" s="380" t="str">
        <f>Настройки!S7</f>
        <v>IANS_3_4</v>
      </c>
      <c r="AI7" s="380" t="str">
        <f>Настройки!T7</f>
        <v>out5</v>
      </c>
      <c r="AJ7" s="380" t="str">
        <f>Настройки!U7</f>
        <v>out5</v>
      </c>
      <c r="AK7" s="380" t="str">
        <f>Настройки!V7</f>
        <v>ODIG_6</v>
      </c>
      <c r="AL7" s="380" t="str">
        <f>Настройки!W7</f>
        <v>OAN_6_1</v>
      </c>
      <c r="AM7" s="380" t="str">
        <f>Настройки!X7</f>
        <v>IANS_6_1</v>
      </c>
      <c r="AN7" s="380" t="str">
        <f>Настройки!Y7</f>
        <v>Canal_06</v>
      </c>
      <c r="AO7" s="380" t="str">
        <f>Настройки!Z7</f>
        <v>Canal_06</v>
      </c>
      <c r="AP7" s="380" t="str">
        <f>Настройки!AA7</f>
        <v>Canal_06</v>
      </c>
      <c r="AQ7" s="380" t="str">
        <f>Настройки!AB7</f>
        <v>Canal_06</v>
      </c>
      <c r="AR7" s="380" t="str">
        <f>Настройки!AC7</f>
        <v>IVXX[5]</v>
      </c>
      <c r="AS7" s="380" t="str">
        <f>Настройки!AD7</f>
        <v>IVXX[5]</v>
      </c>
      <c r="AT7" s="207" t="str">
        <f>Настройки!AB7</f>
        <v>Canal_06</v>
      </c>
      <c r="AU7" s="207" t="str">
        <f>Настройки!AC7</f>
        <v>IVXX[5]</v>
      </c>
      <c r="AV7" s="207" t="str">
        <f>Настройки!AD7</f>
        <v>IVXX[5]</v>
      </c>
      <c r="AW7" s="207" t="str">
        <f>Настройки!AE7</f>
        <v>IANS_3_2</v>
      </c>
      <c r="AX7" s="207" t="str">
        <f>Настройки!AF7</f>
        <v>IDIG_2_2</v>
      </c>
      <c r="AY7" s="207" t="str">
        <f>Настройки!AG7</f>
        <v>Canal_06</v>
      </c>
      <c r="AZ7" s="207" t="str">
        <f>Настройки!AH7</f>
        <v>Canal_06</v>
      </c>
      <c r="BA7" s="207" t="str">
        <f>Настройки!AI7</f>
        <v>Canal_06</v>
      </c>
      <c r="BB7" s="207" t="str">
        <f>Настройки!AJ7</f>
        <v>Canal_06</v>
      </c>
      <c r="BC7" s="207" t="str">
        <f>Настройки!AK7</f>
        <v>Canal_06</v>
      </c>
      <c r="BD7" s="207" t="str">
        <f>Настройки!AL7</f>
        <v>Canal_06</v>
      </c>
      <c r="BE7" s="207" t="str">
        <f>Настройки!AM7</f>
        <v>-</v>
      </c>
    </row>
    <row r="8" spans="1:57">
      <c r="A8" s="82"/>
      <c r="B8" s="82"/>
      <c r="C8" s="81"/>
      <c r="D8" s="81"/>
      <c r="E8" s="82"/>
      <c r="F8" s="81"/>
      <c r="G8" s="445"/>
      <c r="H8" s="445"/>
      <c r="I8" s="460"/>
      <c r="M8" s="424" t="str">
        <f>'Конфигурация TREI'!A9</f>
        <v>BR7</v>
      </c>
      <c r="N8" s="424" t="str">
        <f>'Конфигурация TREI'!B9</f>
        <v>M558O</v>
      </c>
      <c r="AE8" s="431">
        <f>Настройки!P8</f>
        <v>7</v>
      </c>
      <c r="AF8" s="380">
        <f>Настройки!Q8</f>
        <v>0</v>
      </c>
      <c r="AG8" s="380" t="str">
        <f>Настройки!R8</f>
        <v>IDIG_4_1</v>
      </c>
      <c r="AH8" s="380" t="str">
        <f>Настройки!S8</f>
        <v>IANS_4_3</v>
      </c>
      <c r="AI8" s="380" t="str">
        <f>Настройки!T8</f>
        <v>out6</v>
      </c>
      <c r="AJ8" s="380" t="str">
        <f>Настройки!U8</f>
        <v>out6</v>
      </c>
      <c r="AK8" s="380" t="str">
        <f>Настройки!V8</f>
        <v>ODIG_7</v>
      </c>
      <c r="AL8" s="380" t="str">
        <f>Настройки!W8</f>
        <v>OAN_7_1</v>
      </c>
      <c r="AM8" s="380" t="str">
        <f>Настройки!X8</f>
        <v>IANS_7_1</v>
      </c>
      <c r="AN8" s="380" t="str">
        <f>Настройки!Y8</f>
        <v>Canal_07</v>
      </c>
      <c r="AO8" s="380" t="str">
        <f>Настройки!Z8</f>
        <v>Canal_07</v>
      </c>
      <c r="AP8" s="380" t="str">
        <f>Настройки!AA8</f>
        <v>Canal_07</v>
      </c>
      <c r="AQ8" s="380" t="str">
        <f>Настройки!AB8</f>
        <v>Canal_07</v>
      </c>
      <c r="AR8" s="380" t="str">
        <f>Настройки!AC8</f>
        <v>IVXX[6]</v>
      </c>
      <c r="AS8" s="380" t="str">
        <f>Настройки!AD8</f>
        <v>IVXX[6]</v>
      </c>
      <c r="AT8" s="207" t="str">
        <f>Настройки!AB8</f>
        <v>Canal_07</v>
      </c>
      <c r="AU8" s="207" t="str">
        <f>Настройки!AC8</f>
        <v>IVXX[6]</v>
      </c>
      <c r="AV8" s="207" t="str">
        <f>Настройки!AD8</f>
        <v>IVXX[6]</v>
      </c>
      <c r="AW8" s="207" t="str">
        <f>Настройки!AE8</f>
        <v>IANS_4_1</v>
      </c>
      <c r="AX8" s="207" t="str">
        <f>Настройки!AF8</f>
        <v>IDIG_2_3</v>
      </c>
      <c r="AY8" s="207" t="str">
        <f>Настройки!AG8</f>
        <v>Canal_07</v>
      </c>
      <c r="AZ8" s="207" t="str">
        <f>Настройки!AH8</f>
        <v>Canal_07</v>
      </c>
      <c r="BA8" s="207" t="str">
        <f>Настройки!AI8</f>
        <v>Canal_07</v>
      </c>
      <c r="BB8" s="207" t="str">
        <f>Настройки!AJ8</f>
        <v>Canal_07</v>
      </c>
      <c r="BC8" s="207" t="str">
        <f>Настройки!AK8</f>
        <v>Canal_07</v>
      </c>
      <c r="BD8" s="207" t="str">
        <f>Настройки!AL8</f>
        <v>Canal_07</v>
      </c>
      <c r="BE8" s="207" t="str">
        <f>Настройки!AM8</f>
        <v>-</v>
      </c>
    </row>
    <row r="9" spans="1:57">
      <c r="A9" s="82"/>
      <c r="B9" s="82"/>
      <c r="C9" s="81"/>
      <c r="D9" s="81"/>
      <c r="E9" s="82"/>
      <c r="F9" s="81"/>
      <c r="G9" s="445"/>
      <c r="H9" s="445"/>
      <c r="I9" s="1"/>
      <c r="M9" s="424" t="str">
        <f>'Конфигурация TREI'!A10</f>
        <v>BR8</v>
      </c>
      <c r="N9" s="424" t="str">
        <f>'Конфигурация TREI'!B10</f>
        <v>M558O</v>
      </c>
      <c r="AE9" s="431">
        <f>Настройки!P9</f>
        <v>8</v>
      </c>
      <c r="AF9" s="380">
        <f>Настройки!Q9</f>
        <v>0</v>
      </c>
      <c r="AG9" s="380" t="str">
        <f>Настройки!R9</f>
        <v>IDIG_4_2</v>
      </c>
      <c r="AH9" s="380" t="str">
        <f>Настройки!S9</f>
        <v>IANS_4_4</v>
      </c>
      <c r="AI9" s="380" t="str">
        <f>Настройки!T9</f>
        <v>out7</v>
      </c>
      <c r="AJ9" s="380" t="str">
        <f>Настройки!U9</f>
        <v>out7</v>
      </c>
      <c r="AK9" s="380" t="str">
        <f>Настройки!V9</f>
        <v>ODIG_8</v>
      </c>
      <c r="AL9" s="380" t="str">
        <f>Настройки!W9</f>
        <v>OAN_8_1</v>
      </c>
      <c r="AM9" s="380" t="str">
        <f>Настройки!X9</f>
        <v>IANS_8_1</v>
      </c>
      <c r="AN9" s="380" t="str">
        <f>Настройки!Y9</f>
        <v>Canal_08</v>
      </c>
      <c r="AO9" s="380" t="str">
        <f>Настройки!Z9</f>
        <v>Canal_08</v>
      </c>
      <c r="AP9" s="380" t="str">
        <f>Настройки!AA9</f>
        <v>Canal_08</v>
      </c>
      <c r="AQ9" s="380" t="str">
        <f>Настройки!AB9</f>
        <v>Canal_08</v>
      </c>
      <c r="AR9" s="380" t="str">
        <f>Настройки!AC9</f>
        <v>IVXX[7]</v>
      </c>
      <c r="AS9" s="380" t="str">
        <f>Настройки!AD9</f>
        <v>IVXX[7]</v>
      </c>
      <c r="AT9" s="207" t="str">
        <f>Настройки!AB9</f>
        <v>Canal_08</v>
      </c>
      <c r="AU9" s="207" t="str">
        <f>Настройки!AC9</f>
        <v>IVXX[7]</v>
      </c>
      <c r="AV9" s="207" t="str">
        <f>Настройки!AD9</f>
        <v>IVXX[7]</v>
      </c>
      <c r="AW9" s="207" t="str">
        <f>Настройки!AE9</f>
        <v>IANS_4_2</v>
      </c>
      <c r="AX9" s="207" t="str">
        <f>Настройки!AF9</f>
        <v>IDIG_2_4</v>
      </c>
      <c r="AY9" s="207" t="str">
        <f>Настройки!AG9</f>
        <v>Canal_08</v>
      </c>
      <c r="AZ9" s="207" t="str">
        <f>Настройки!AH9</f>
        <v>Canal_08</v>
      </c>
      <c r="BA9" s="207" t="str">
        <f>Настройки!AI9</f>
        <v>Canal_08</v>
      </c>
      <c r="BB9" s="207" t="str">
        <f>Настройки!AJ9</f>
        <v>Canal_08</v>
      </c>
      <c r="BC9" s="207" t="str">
        <f>Настройки!AK9</f>
        <v>Canal_08</v>
      </c>
      <c r="BD9" s="207" t="str">
        <f>Настройки!AL9</f>
        <v>Canal_08</v>
      </c>
      <c r="BE9" s="207" t="str">
        <f>Настройки!AM9</f>
        <v>-</v>
      </c>
    </row>
    <row r="10" spans="1:57">
      <c r="A10" s="82"/>
      <c r="B10" s="82"/>
      <c r="C10" s="81"/>
      <c r="D10" s="81"/>
      <c r="E10" s="82"/>
      <c r="F10" s="81"/>
      <c r="G10" s="445"/>
      <c r="H10" s="445"/>
      <c r="I10" s="1"/>
      <c r="M10" s="424" t="str">
        <f>'Конфигурация TREI'!A11</f>
        <v>BR9</v>
      </c>
      <c r="N10" s="424" t="str">
        <f>'Конфигурация TREI'!B11</f>
        <v>M558D</v>
      </c>
      <c r="AE10" s="431">
        <f>Настройки!P10</f>
        <v>9</v>
      </c>
      <c r="AF10" s="380">
        <f>Настройки!Q10</f>
        <v>0</v>
      </c>
      <c r="AG10" s="380" t="str">
        <f>Настройки!R10</f>
        <v>IDIG_5_1</v>
      </c>
      <c r="AH10" s="380" t="str">
        <f>Настройки!S10</f>
        <v>IANS_5_3</v>
      </c>
      <c r="AI10" s="380" t="str">
        <f>Настройки!T10</f>
        <v>out8</v>
      </c>
      <c r="AJ10" s="380" t="str">
        <f>Настройки!U10</f>
        <v>out8</v>
      </c>
      <c r="AK10" s="380" t="str">
        <f>Настройки!V10</f>
        <v>ODIG_9</v>
      </c>
      <c r="AL10" s="380" t="str">
        <f>Настройки!W10</f>
        <v>-</v>
      </c>
      <c r="AM10" s="380" t="str">
        <f>Настройки!X10</f>
        <v>-</v>
      </c>
      <c r="AN10" s="380" t="str">
        <f>Настройки!Y10</f>
        <v>Canal_09</v>
      </c>
      <c r="AO10" s="380" t="str">
        <f>Настройки!Z10</f>
        <v>-</v>
      </c>
      <c r="AP10" s="380" t="str">
        <f>Настройки!AA10</f>
        <v>Canal_09</v>
      </c>
      <c r="AQ10" s="380" t="str">
        <f>Настройки!AB10</f>
        <v>Canal_09</v>
      </c>
      <c r="AR10" s="380" t="str">
        <f>Настройки!AC10</f>
        <v>OCCH[0]</v>
      </c>
      <c r="AS10" s="380" t="str">
        <f>Настройки!AD10</f>
        <v>OCCH[0]</v>
      </c>
      <c r="AT10" s="207" t="str">
        <f>Настройки!AB10</f>
        <v>Canal_09</v>
      </c>
      <c r="AU10" s="207" t="str">
        <f>Настройки!AC10</f>
        <v>OCCH[0]</v>
      </c>
      <c r="AV10" s="207" t="str">
        <f>Настройки!AD10</f>
        <v>OCCH[0]</v>
      </c>
      <c r="AW10" s="207" t="str">
        <f>Настройки!AE10</f>
        <v>IANS_5_1</v>
      </c>
      <c r="AX10" s="207" t="str">
        <f>Настройки!AF10</f>
        <v>IDIG_3_1</v>
      </c>
      <c r="AY10" s="207" t="str">
        <f>Настройки!AG10</f>
        <v>Canal_09</v>
      </c>
      <c r="AZ10" s="207" t="str">
        <f>Настройки!AH10</f>
        <v>Canal_09</v>
      </c>
      <c r="BA10" s="207" t="str">
        <f>Настройки!AI10</f>
        <v>Canal_09</v>
      </c>
      <c r="BB10" s="207" t="str">
        <f>Настройки!AJ10</f>
        <v>Canal_09</v>
      </c>
      <c r="BC10" s="207" t="str">
        <f>Настройки!AK10</f>
        <v>-</v>
      </c>
      <c r="BD10" s="207" t="str">
        <f>Настройки!AL10</f>
        <v>Canal_09</v>
      </c>
      <c r="BE10" s="207" t="str">
        <f>Настройки!AM10</f>
        <v>-</v>
      </c>
    </row>
    <row r="11" spans="1:57">
      <c r="A11" s="82"/>
      <c r="B11" s="82"/>
      <c r="C11" s="81"/>
      <c r="D11" s="81"/>
      <c r="E11" s="82"/>
      <c r="F11" s="81"/>
      <c r="G11" s="445"/>
      <c r="H11" s="445"/>
      <c r="I11" s="1"/>
      <c r="M11" s="424" t="str">
        <f>'Конфигурация TREI'!A12</f>
        <v>BR10</v>
      </c>
      <c r="N11" s="424" t="str">
        <f>'Конфигурация TREI'!B12</f>
        <v>M558O</v>
      </c>
      <c r="AE11" s="431">
        <f>Настройки!P11</f>
        <v>10</v>
      </c>
      <c r="AF11" s="380">
        <f>Настройки!Q11</f>
        <v>0</v>
      </c>
      <c r="AG11" s="380" t="str">
        <f>Настройки!R11</f>
        <v>IDIG_5_2</v>
      </c>
      <c r="AH11" s="380" t="str">
        <f>Настройки!S11</f>
        <v>IANS_5_4</v>
      </c>
      <c r="AI11" s="380" t="str">
        <f>Настройки!T11</f>
        <v>out9</v>
      </c>
      <c r="AJ11" s="380" t="str">
        <f>Настройки!U11</f>
        <v>out9</v>
      </c>
      <c r="AK11" s="380" t="str">
        <f>Настройки!V11</f>
        <v>ODIG_10</v>
      </c>
      <c r="AL11" s="380" t="str">
        <f>Настройки!W11</f>
        <v>-</v>
      </c>
      <c r="AM11" s="380" t="str">
        <f>Настройки!X11</f>
        <v>-</v>
      </c>
      <c r="AN11" s="380" t="str">
        <f>Настройки!Y11</f>
        <v>Canal_10</v>
      </c>
      <c r="AO11" s="380" t="str">
        <f>Настройки!Z11</f>
        <v>-</v>
      </c>
      <c r="AP11" s="380" t="str">
        <f>Настройки!AA11</f>
        <v>Canal_10</v>
      </c>
      <c r="AQ11" s="380" t="str">
        <f>Настройки!AB11</f>
        <v>Canal_10</v>
      </c>
      <c r="AR11" s="380" t="str">
        <f>Настройки!AC11</f>
        <v>OCCH[1]</v>
      </c>
      <c r="AS11" s="380" t="str">
        <f>Настройки!AD11</f>
        <v>OCCH[1]</v>
      </c>
      <c r="AT11" s="207" t="str">
        <f>Настройки!AB11</f>
        <v>Canal_10</v>
      </c>
      <c r="AU11" s="207" t="str">
        <f>Настройки!AC11</f>
        <v>OCCH[1]</v>
      </c>
      <c r="AV11" s="207" t="str">
        <f>Настройки!AD11</f>
        <v>OCCH[1]</v>
      </c>
      <c r="AW11" s="207" t="str">
        <f>Настройки!AE11</f>
        <v>IANS_5_2</v>
      </c>
      <c r="AX11" s="207" t="str">
        <f>Настройки!AF11</f>
        <v>IDIG_3_2</v>
      </c>
      <c r="AY11" s="207" t="str">
        <f>Настройки!AG11</f>
        <v>Canal_10</v>
      </c>
      <c r="AZ11" s="207" t="str">
        <f>Настройки!AH11</f>
        <v>Canal_10</v>
      </c>
      <c r="BA11" s="207" t="str">
        <f>Настройки!AI11</f>
        <v>Canal_10</v>
      </c>
      <c r="BB11" s="207" t="str">
        <f>Настройки!AJ11</f>
        <v>Canal_10</v>
      </c>
      <c r="BC11" s="207" t="str">
        <f>Настройки!AK11</f>
        <v>-</v>
      </c>
      <c r="BD11" s="207" t="str">
        <f>Настройки!AL11</f>
        <v>Canal_10</v>
      </c>
      <c r="BE11" s="207" t="str">
        <f>Настройки!AM11</f>
        <v>-</v>
      </c>
    </row>
    <row r="12" spans="1:57">
      <c r="A12" s="82"/>
      <c r="B12" s="82"/>
      <c r="C12" s="81"/>
      <c r="D12" s="81"/>
      <c r="E12" s="81"/>
      <c r="F12" s="81"/>
      <c r="G12" s="445"/>
      <c r="H12" s="445"/>
      <c r="I12" s="1"/>
      <c r="M12" s="424" t="str">
        <f>'Конфигурация TREI'!A13</f>
        <v>BR11</v>
      </c>
      <c r="N12" s="424" t="str">
        <f>'Конфигурация TREI'!B13</f>
        <v>M558D</v>
      </c>
      <c r="AE12" s="431">
        <f>Настройки!P12</f>
        <v>11</v>
      </c>
      <c r="AF12" s="380">
        <f>Настройки!Q12</f>
        <v>0</v>
      </c>
      <c r="AG12" s="380" t="str">
        <f>Настройки!R12</f>
        <v>IDIG_6_1</v>
      </c>
      <c r="AH12" s="380" t="str">
        <f>Настройки!S12</f>
        <v>IANS_6_3</v>
      </c>
      <c r="AI12" s="380" t="str">
        <f>Настройки!T12</f>
        <v>out10</v>
      </c>
      <c r="AJ12" s="380" t="str">
        <f>Настройки!U12</f>
        <v>out10</v>
      </c>
      <c r="AK12" s="380" t="str">
        <f>Настройки!V12</f>
        <v>ODIG_11</v>
      </c>
      <c r="AL12" s="380" t="str">
        <f>Настройки!W12</f>
        <v>-</v>
      </c>
      <c r="AM12" s="380" t="str">
        <f>Настройки!X12</f>
        <v>-</v>
      </c>
      <c r="AN12" s="380" t="str">
        <f>Настройки!Y12</f>
        <v>Canal_11</v>
      </c>
      <c r="AO12" s="380" t="str">
        <f>Настройки!Z12</f>
        <v>-</v>
      </c>
      <c r="AP12" s="380" t="str">
        <f>Настройки!AA12</f>
        <v>Canal_11</v>
      </c>
      <c r="AQ12" s="380" t="str">
        <f>Настройки!AB12</f>
        <v>Canal_11</v>
      </c>
      <c r="AR12" s="380" t="str">
        <f>Настройки!AC12</f>
        <v>OCCH[2]</v>
      </c>
      <c r="AS12" s="380" t="str">
        <f>Настройки!AD12</f>
        <v>OCCH[2]</v>
      </c>
      <c r="AT12" s="207" t="str">
        <f>Настройки!AB12</f>
        <v>Canal_11</v>
      </c>
      <c r="AU12" s="207" t="str">
        <f>Настройки!AC12</f>
        <v>OCCH[2]</v>
      </c>
      <c r="AV12" s="207" t="str">
        <f>Настройки!AD12</f>
        <v>OCCH[2]</v>
      </c>
      <c r="AW12" s="207" t="str">
        <f>Настройки!AE12</f>
        <v>IANS_6_1</v>
      </c>
      <c r="AX12" s="207" t="str">
        <f>Настройки!AF12</f>
        <v>IDIG_3_3</v>
      </c>
      <c r="AY12" s="207" t="str">
        <f>Настройки!AG12</f>
        <v>Canal_11</v>
      </c>
      <c r="AZ12" s="207" t="str">
        <f>Настройки!AH12</f>
        <v>Canal_11</v>
      </c>
      <c r="BA12" s="207" t="str">
        <f>Настройки!AI12</f>
        <v>Canal_11</v>
      </c>
      <c r="BB12" s="207" t="str">
        <f>Настройки!AJ12</f>
        <v>Canal_11</v>
      </c>
      <c r="BC12" s="207" t="str">
        <f>Настройки!AK12</f>
        <v>-</v>
      </c>
      <c r="BD12" s="207" t="str">
        <f>Настройки!AL12</f>
        <v>Canal_11</v>
      </c>
      <c r="BE12" s="207" t="str">
        <f>Настройки!AM12</f>
        <v>-</v>
      </c>
    </row>
    <row r="13" spans="1:57">
      <c r="A13" s="82"/>
      <c r="B13" s="82"/>
      <c r="C13" s="81"/>
      <c r="D13" s="81"/>
      <c r="E13" s="81"/>
      <c r="F13" s="81"/>
      <c r="G13" s="445"/>
      <c r="H13" s="445"/>
      <c r="I13" s="1"/>
      <c r="M13" s="424" t="str">
        <f>'Конфигурация TREI'!A14</f>
        <v>BR12</v>
      </c>
      <c r="N13" s="424" t="str">
        <f>'Конфигурация TREI'!B14</f>
        <v>M558D</v>
      </c>
      <c r="AE13" s="431">
        <f>Настройки!P13</f>
        <v>12</v>
      </c>
      <c r="AF13" s="380">
        <f>Настройки!Q13</f>
        <v>0</v>
      </c>
      <c r="AG13" s="380" t="str">
        <f>Настройки!R13</f>
        <v>IDIG_6_2</v>
      </c>
      <c r="AH13" s="380" t="str">
        <f>Настройки!S13</f>
        <v>IANS_6_4</v>
      </c>
      <c r="AI13" s="380" t="str">
        <f>Настройки!T13</f>
        <v>out11</v>
      </c>
      <c r="AJ13" s="380" t="str">
        <f>Настройки!U13</f>
        <v>out11</v>
      </c>
      <c r="AK13" s="380" t="str">
        <f>Настройки!V13</f>
        <v>ODIG_12</v>
      </c>
      <c r="AL13" s="380" t="str">
        <f>Настройки!W13</f>
        <v>-</v>
      </c>
      <c r="AM13" s="380" t="str">
        <f>Настройки!X13</f>
        <v>-</v>
      </c>
      <c r="AN13" s="380" t="str">
        <f>Настройки!Y13</f>
        <v>Canal_12</v>
      </c>
      <c r="AO13" s="380" t="str">
        <f>Настройки!Z13</f>
        <v>-</v>
      </c>
      <c r="AP13" s="380" t="str">
        <f>Настройки!AA13</f>
        <v>Canal_12</v>
      </c>
      <c r="AQ13" s="380" t="str">
        <f>Настройки!AB13</f>
        <v>Canal_12</v>
      </c>
      <c r="AR13" s="380" t="str">
        <f>Настройки!AC13</f>
        <v>OCCH[3]</v>
      </c>
      <c r="AS13" s="380" t="str">
        <f>Настройки!AD13</f>
        <v>OCCH[3]</v>
      </c>
      <c r="AT13" s="207" t="str">
        <f>Настройки!AB13</f>
        <v>Canal_12</v>
      </c>
      <c r="AU13" s="207" t="str">
        <f>Настройки!AC13</f>
        <v>OCCH[3]</v>
      </c>
      <c r="AV13" s="207" t="str">
        <f>Настройки!AD13</f>
        <v>OCCH[3]</v>
      </c>
      <c r="AW13" s="207" t="str">
        <f>Настройки!AE13</f>
        <v>IANS_6_2</v>
      </c>
      <c r="AX13" s="207" t="str">
        <f>Настройки!AF13</f>
        <v>IDIG_3_4</v>
      </c>
      <c r="AY13" s="207" t="str">
        <f>Настройки!AG13</f>
        <v>Canal_12</v>
      </c>
      <c r="AZ13" s="207" t="str">
        <f>Настройки!AH13</f>
        <v>Canal_12</v>
      </c>
      <c r="BA13" s="207" t="str">
        <f>Настройки!AI13</f>
        <v>Canal_12</v>
      </c>
      <c r="BB13" s="207" t="str">
        <f>Настройки!AJ13</f>
        <v>Canal_12</v>
      </c>
      <c r="BC13" s="207" t="str">
        <f>Настройки!AK13</f>
        <v>-</v>
      </c>
      <c r="BD13" s="207" t="str">
        <f>Настройки!AL13</f>
        <v>Canal_12</v>
      </c>
      <c r="BE13" s="207" t="str">
        <f>Настройки!AM13</f>
        <v>-</v>
      </c>
    </row>
    <row r="14" spans="1:57">
      <c r="A14" s="82"/>
      <c r="B14" s="82"/>
      <c r="C14" s="81"/>
      <c r="D14" s="81"/>
      <c r="E14" s="81"/>
      <c r="F14" s="81"/>
      <c r="G14" s="445"/>
      <c r="H14" s="447"/>
      <c r="I14" s="1"/>
      <c r="M14" s="424" t="str">
        <f>'Конфигурация TREI'!A15</f>
        <v>BR13</v>
      </c>
      <c r="N14" s="424" t="str">
        <f>'Конфигурация TREI'!B15</f>
        <v>M558D</v>
      </c>
      <c r="AE14" s="431">
        <f>Настройки!P14</f>
        <v>13</v>
      </c>
      <c r="AF14" s="380">
        <f>Настройки!Q14</f>
        <v>0</v>
      </c>
      <c r="AG14" s="380" t="str">
        <f>Настройки!R14</f>
        <v>IDIG_7_1</v>
      </c>
      <c r="AH14" s="380" t="str">
        <f>Настройки!S14</f>
        <v>IANS_7_3</v>
      </c>
      <c r="AI14" s="380" t="str">
        <f>Настройки!T14</f>
        <v>out12</v>
      </c>
      <c r="AJ14" s="380" t="str">
        <f>Настройки!U14</f>
        <v>out12</v>
      </c>
      <c r="AK14" s="380" t="str">
        <f>Настройки!V14</f>
        <v>ODIG_13</v>
      </c>
      <c r="AL14" s="380" t="str">
        <f>Настройки!W14</f>
        <v>-</v>
      </c>
      <c r="AM14" s="380" t="str">
        <f>Настройки!X14</f>
        <v>-</v>
      </c>
      <c r="AN14" s="380" t="str">
        <f>Настройки!Y14</f>
        <v>Canal_13</v>
      </c>
      <c r="AO14" s="380" t="str">
        <f>Настройки!Z14</f>
        <v>-</v>
      </c>
      <c r="AP14" s="380" t="str">
        <f>Настройки!AA14</f>
        <v>Canal_13</v>
      </c>
      <c r="AQ14" s="380" t="str">
        <f>Настройки!AB14</f>
        <v>Canal_13</v>
      </c>
      <c r="AR14" s="380" t="str">
        <f>Настройки!AC14</f>
        <v>OCCH[4]</v>
      </c>
      <c r="AS14" s="380" t="str">
        <f>Настройки!AD14</f>
        <v>OCCH[4]</v>
      </c>
      <c r="AT14" s="207" t="str">
        <f>Настройки!AB14</f>
        <v>Canal_13</v>
      </c>
      <c r="AU14" s="207" t="str">
        <f>Настройки!AC14</f>
        <v>OCCH[4]</v>
      </c>
      <c r="AV14" s="207" t="str">
        <f>Настройки!AD14</f>
        <v>OCCH[4]</v>
      </c>
      <c r="AW14" s="207" t="str">
        <f>Настройки!AE14</f>
        <v>IANS_7_1</v>
      </c>
      <c r="AX14" s="207" t="str">
        <f>Настройки!AF14</f>
        <v>IDIG_4_1</v>
      </c>
      <c r="AY14" s="207" t="str">
        <f>Настройки!AG14</f>
        <v>Canal_13</v>
      </c>
      <c r="AZ14" s="207" t="str">
        <f>Настройки!AH14</f>
        <v>Canal_13</v>
      </c>
      <c r="BA14" s="207" t="str">
        <f>Настройки!AI14</f>
        <v>Canal_13</v>
      </c>
      <c r="BB14" s="207" t="str">
        <f>Настройки!AJ14</f>
        <v>Canal_13</v>
      </c>
      <c r="BC14" s="207" t="str">
        <f>Настройки!AK14</f>
        <v>-</v>
      </c>
      <c r="BD14" s="207" t="str">
        <f>Настройки!AL14</f>
        <v>Canal_13</v>
      </c>
      <c r="BE14" s="207" t="str">
        <f>Настройки!AM14</f>
        <v>-</v>
      </c>
    </row>
    <row r="15" spans="1:57">
      <c r="A15" s="82"/>
      <c r="B15" s="82"/>
      <c r="C15" s="81"/>
      <c r="D15" s="81"/>
      <c r="E15" s="81"/>
      <c r="F15" s="81"/>
      <c r="G15" s="445"/>
      <c r="H15" s="447"/>
      <c r="I15" s="1"/>
      <c r="M15" s="424" t="str">
        <f>'Конфигурация TREI'!A16</f>
        <v>BR14</v>
      </c>
      <c r="N15" s="424" t="str">
        <f>'Конфигурация TREI'!B16</f>
        <v>M558D</v>
      </c>
      <c r="AE15" s="431">
        <f>Настройки!P15</f>
        <v>14</v>
      </c>
      <c r="AF15" s="380">
        <f>Настройки!Q15</f>
        <v>0</v>
      </c>
      <c r="AG15" s="380" t="str">
        <f>Настройки!R15</f>
        <v>IDIG_7_2</v>
      </c>
      <c r="AH15" s="380" t="str">
        <f>Настройки!S15</f>
        <v>IANS_7_4</v>
      </c>
      <c r="AI15" s="380" t="str">
        <f>Настройки!T15</f>
        <v>out13</v>
      </c>
      <c r="AJ15" s="380" t="str">
        <f>Настройки!U15</f>
        <v>out13</v>
      </c>
      <c r="AK15" s="380" t="str">
        <f>Настройки!V15</f>
        <v>ODIG_14</v>
      </c>
      <c r="AL15" s="380" t="str">
        <f>Настройки!W15</f>
        <v>-</v>
      </c>
      <c r="AM15" s="380" t="str">
        <f>Настройки!X15</f>
        <v>-</v>
      </c>
      <c r="AN15" s="380" t="str">
        <f>Настройки!Y15</f>
        <v>Canal_14</v>
      </c>
      <c r="AO15" s="380" t="str">
        <f>Настройки!Z15</f>
        <v>-</v>
      </c>
      <c r="AP15" s="380" t="str">
        <f>Настройки!AA15</f>
        <v>Canal_14</v>
      </c>
      <c r="AQ15" s="380" t="str">
        <f>Настройки!AB15</f>
        <v>Canal_14</v>
      </c>
      <c r="AR15" s="380" t="str">
        <f>Настройки!AC15</f>
        <v>OCCH[5]</v>
      </c>
      <c r="AS15" s="380" t="str">
        <f>Настройки!AD15</f>
        <v>OCCH[5]</v>
      </c>
      <c r="AT15" s="207" t="str">
        <f>Настройки!AB15</f>
        <v>Canal_14</v>
      </c>
      <c r="AU15" s="207" t="str">
        <f>Настройки!AC15</f>
        <v>OCCH[5]</v>
      </c>
      <c r="AV15" s="207" t="str">
        <f>Настройки!AD15</f>
        <v>OCCH[5]</v>
      </c>
      <c r="AW15" s="207" t="str">
        <f>Настройки!AE15</f>
        <v>IANS_7_2</v>
      </c>
      <c r="AX15" s="207" t="str">
        <f>Настройки!AF15</f>
        <v>IDIG_4_2</v>
      </c>
      <c r="AY15" s="207" t="str">
        <f>Настройки!AG15</f>
        <v>Canal_14</v>
      </c>
      <c r="AZ15" s="207" t="str">
        <f>Настройки!AH15</f>
        <v>Canal_14</v>
      </c>
      <c r="BA15" s="207" t="str">
        <f>Настройки!AI15</f>
        <v>Canal_14</v>
      </c>
      <c r="BB15" s="207" t="str">
        <f>Настройки!AJ15</f>
        <v>Canal_14</v>
      </c>
      <c r="BC15" s="207" t="str">
        <f>Настройки!AK15</f>
        <v>-</v>
      </c>
      <c r="BD15" s="207" t="str">
        <f>Настройки!AL15</f>
        <v>Canal_14</v>
      </c>
      <c r="BE15" s="207" t="str">
        <f>Настройки!AM15</f>
        <v>-</v>
      </c>
    </row>
    <row r="16" spans="1:57">
      <c r="A16" s="82"/>
      <c r="B16" s="82"/>
      <c r="C16" s="81"/>
      <c r="D16" s="81"/>
      <c r="E16" s="81"/>
      <c r="F16" s="81"/>
      <c r="G16" s="445"/>
      <c r="H16" s="447"/>
      <c r="I16" s="1"/>
      <c r="M16" s="424" t="str">
        <f>'Конфигурация TREI'!A17</f>
        <v>BR15</v>
      </c>
      <c r="N16" s="424" t="str">
        <f>'Конфигурация TREI'!B17</f>
        <v>M558O</v>
      </c>
      <c r="AE16" s="431">
        <f>Настройки!P16</f>
        <v>15</v>
      </c>
      <c r="AF16" s="380">
        <f>Настройки!Q16</f>
        <v>0</v>
      </c>
      <c r="AG16" s="380" t="str">
        <f>Настройки!R16</f>
        <v>IDIG_8_1</v>
      </c>
      <c r="AH16" s="380" t="str">
        <f>Настройки!S16</f>
        <v>IANS_8_3</v>
      </c>
      <c r="AI16" s="380" t="str">
        <f>Настройки!T16</f>
        <v>out14</v>
      </c>
      <c r="AJ16" s="380" t="str">
        <f>Настройки!U16</f>
        <v>out14</v>
      </c>
      <c r="AK16" s="380" t="str">
        <f>Настройки!V16</f>
        <v>ODIG_15</v>
      </c>
      <c r="AL16" s="380" t="str">
        <f>Настройки!W16</f>
        <v>-</v>
      </c>
      <c r="AM16" s="380" t="str">
        <f>Настройки!X16</f>
        <v>-</v>
      </c>
      <c r="AN16" s="380" t="str">
        <f>Настройки!Y16</f>
        <v>Canal_15</v>
      </c>
      <c r="AO16" s="380" t="str">
        <f>Настройки!Z16</f>
        <v>-</v>
      </c>
      <c r="AP16" s="380" t="str">
        <f>Настройки!AA16</f>
        <v>Canal_15</v>
      </c>
      <c r="AQ16" s="380" t="str">
        <f>Настройки!AB16</f>
        <v>Canal_15</v>
      </c>
      <c r="AR16" s="380" t="str">
        <f>Настройки!AC16</f>
        <v>OCCH[6]</v>
      </c>
      <c r="AS16" s="380" t="str">
        <f>Настройки!AD16</f>
        <v>OCCH[6]</v>
      </c>
      <c r="AT16" s="207" t="str">
        <f>Настройки!AB16</f>
        <v>Canal_15</v>
      </c>
      <c r="AU16" s="207" t="str">
        <f>Настройки!AC16</f>
        <v>OCCH[6]</v>
      </c>
      <c r="AV16" s="207" t="str">
        <f>Настройки!AD16</f>
        <v>OCCH[6]</v>
      </c>
      <c r="AW16" s="207" t="str">
        <f>Настройки!AE16</f>
        <v>IANS_8_1</v>
      </c>
      <c r="AX16" s="207" t="str">
        <f>Настройки!AF16</f>
        <v>IDIG_4_3</v>
      </c>
      <c r="AY16" s="207" t="str">
        <f>Настройки!AG16</f>
        <v>Canal_15</v>
      </c>
      <c r="AZ16" s="207" t="str">
        <f>Настройки!AH16</f>
        <v>Canal_15</v>
      </c>
      <c r="BA16" s="207" t="str">
        <f>Настройки!AI16</f>
        <v>Canal_15</v>
      </c>
      <c r="BB16" s="207" t="str">
        <f>Настройки!AJ16</f>
        <v>Canal_15</v>
      </c>
      <c r="BC16" s="207" t="str">
        <f>Настройки!AK16</f>
        <v>-</v>
      </c>
      <c r="BD16" s="207" t="str">
        <f>Настройки!AL16</f>
        <v>Canal_15</v>
      </c>
      <c r="BE16" s="207" t="str">
        <f>Настройки!AM16</f>
        <v>-</v>
      </c>
    </row>
    <row r="17" spans="1:57">
      <c r="A17" s="82"/>
      <c r="B17" s="82"/>
      <c r="C17" s="81"/>
      <c r="D17" s="81"/>
      <c r="E17" s="81"/>
      <c r="F17" s="81"/>
      <c r="G17" s="445"/>
      <c r="H17" s="447"/>
      <c r="I17" s="1"/>
      <c r="M17" s="424" t="str">
        <f>'Конфигурация TREI'!A18</f>
        <v>BR16</v>
      </c>
      <c r="N17" s="424" t="str">
        <f>'Конфигурация TREI'!B18</f>
        <v>M558O</v>
      </c>
      <c r="AE17" s="431">
        <f>Настройки!P17</f>
        <v>16</v>
      </c>
      <c r="AF17" s="380">
        <f>Настройки!Q17</f>
        <v>0</v>
      </c>
      <c r="AG17" s="380" t="str">
        <f>Настройки!R17</f>
        <v>IDIG_8_2</v>
      </c>
      <c r="AH17" s="380" t="str">
        <f>Настройки!S17</f>
        <v>IANS_8_4</v>
      </c>
      <c r="AI17" s="380" t="str">
        <f>Настройки!T17</f>
        <v>out15</v>
      </c>
      <c r="AJ17" s="380" t="str">
        <f>Настройки!U17</f>
        <v>out15</v>
      </c>
      <c r="AK17" s="380" t="str">
        <f>Настройки!V17</f>
        <v>ODIG_16</v>
      </c>
      <c r="AL17" s="380" t="str">
        <f>Настройки!W17</f>
        <v>-</v>
      </c>
      <c r="AM17" s="380" t="str">
        <f>Настройки!X17</f>
        <v>-</v>
      </c>
      <c r="AN17" s="380" t="str">
        <f>Настройки!Y17</f>
        <v>Canal_16</v>
      </c>
      <c r="AO17" s="380" t="str">
        <f>Настройки!Z17</f>
        <v>-</v>
      </c>
      <c r="AP17" s="380" t="str">
        <f>Настройки!AA17</f>
        <v>Canal_16</v>
      </c>
      <c r="AQ17" s="380" t="str">
        <f>Настройки!AB17</f>
        <v>Canal_16</v>
      </c>
      <c r="AR17" s="380" t="str">
        <f>Настройки!AC17</f>
        <v>OCCH[7]</v>
      </c>
      <c r="AS17" s="380" t="str">
        <f>Настройки!AD17</f>
        <v>OCCH[7]</v>
      </c>
      <c r="AT17" s="207" t="str">
        <f>Настройки!AB17</f>
        <v>Canal_16</v>
      </c>
      <c r="AU17" s="207" t="str">
        <f>Настройки!AC17</f>
        <v>OCCH[7]</v>
      </c>
      <c r="AV17" s="207" t="str">
        <f>Настройки!AD17</f>
        <v>OCCH[7]</v>
      </c>
      <c r="AW17" s="207" t="str">
        <f>Настройки!AE17</f>
        <v>IANS_8_2</v>
      </c>
      <c r="AX17" s="207" t="str">
        <f>Настройки!AF17</f>
        <v>IDIG_4_4</v>
      </c>
      <c r="AY17" s="207" t="str">
        <f>Настройки!AG17</f>
        <v>Canal_16</v>
      </c>
      <c r="AZ17" s="207" t="str">
        <f>Настройки!AH17</f>
        <v>Canal_16</v>
      </c>
      <c r="BA17" s="207" t="str">
        <f>Настройки!AI17</f>
        <v>Canal_16</v>
      </c>
      <c r="BB17" s="207" t="str">
        <f>Настройки!AJ17</f>
        <v>Canal_16</v>
      </c>
      <c r="BC17" s="207" t="str">
        <f>Настройки!AK17</f>
        <v>-</v>
      </c>
      <c r="BD17" s="207" t="str">
        <f>Настройки!AL17</f>
        <v>Canal_16</v>
      </c>
      <c r="BE17" s="207" t="str">
        <f>Настройки!AM17</f>
        <v>-</v>
      </c>
    </row>
    <row r="18" spans="1:57">
      <c r="A18" s="82"/>
      <c r="B18" s="82"/>
      <c r="C18" s="81"/>
      <c r="D18" s="81"/>
      <c r="E18" s="81"/>
      <c r="F18" s="81"/>
      <c r="G18" s="445"/>
      <c r="H18" s="447"/>
      <c r="I18" s="1"/>
      <c r="M18" s="424" t="str">
        <f>'Конфигурация TREI'!A19</f>
        <v>BR17</v>
      </c>
      <c r="N18" s="424" t="str">
        <f>'Конфигурация TREI'!B19</f>
        <v>M558O</v>
      </c>
      <c r="AE18" s="428">
        <f>Настройки!P18</f>
        <v>17</v>
      </c>
      <c r="AF18" s="380">
        <f>Настройки!Q18</f>
        <v>0</v>
      </c>
      <c r="AG18" s="380" t="str">
        <f>Настройки!R18</f>
        <v>-</v>
      </c>
      <c r="AH18" s="380" t="str">
        <f>Настройки!S18</f>
        <v>-</v>
      </c>
      <c r="AI18" s="380" t="str">
        <f>Настройки!T18</f>
        <v>out16</v>
      </c>
      <c r="AJ18" s="380" t="str">
        <f>Настройки!U18</f>
        <v>out16</v>
      </c>
      <c r="AK18" s="380" t="str">
        <f>Настройки!V18</f>
        <v>-</v>
      </c>
      <c r="AL18" s="380" t="str">
        <f>Настройки!W18</f>
        <v>-</v>
      </c>
      <c r="AM18" s="380" t="str">
        <f>Настройки!X18</f>
        <v>-</v>
      </c>
      <c r="AN18" s="380" t="str">
        <f>Настройки!Y18</f>
        <v>-</v>
      </c>
      <c r="AO18" s="380" t="str">
        <f>Настройки!Z18</f>
        <v>-</v>
      </c>
      <c r="AP18" s="380" t="str">
        <f>Настройки!AA18</f>
        <v>Canal_17</v>
      </c>
      <c r="AQ18" s="380" t="str">
        <f>Настройки!AB18</f>
        <v>Canal_17</v>
      </c>
      <c r="AR18" s="380" t="str">
        <f>Настройки!AC18</f>
        <v>-</v>
      </c>
      <c r="AS18" s="380" t="str">
        <f>Настройки!AD18</f>
        <v>-</v>
      </c>
      <c r="AT18" s="207" t="str">
        <f>Настройки!AB18</f>
        <v>Canal_17</v>
      </c>
      <c r="AU18" s="207" t="str">
        <f>Настройки!AC18</f>
        <v>-</v>
      </c>
      <c r="AV18" s="207" t="str">
        <f>Настройки!AD18</f>
        <v>-</v>
      </c>
      <c r="AW18" s="207" t="str">
        <f>Настройки!AE18</f>
        <v>-</v>
      </c>
      <c r="AX18" s="207" t="str">
        <f>Настройки!AF18</f>
        <v>IDIG_5_1</v>
      </c>
      <c r="AY18" s="207" t="str">
        <f>Настройки!AG18</f>
        <v>Canal_17</v>
      </c>
      <c r="AZ18" s="207" t="str">
        <f>Настройки!AH18</f>
        <v>Canal_17</v>
      </c>
      <c r="BA18" s="207" t="str">
        <f>Настройки!AI18</f>
        <v>Canal_17</v>
      </c>
      <c r="BB18" s="207" t="str">
        <f>Настройки!AJ18</f>
        <v>-</v>
      </c>
      <c r="BC18" s="207" t="str">
        <f>Настройки!AK18</f>
        <v>-</v>
      </c>
      <c r="BD18" s="207" t="str">
        <f>Настройки!AL18</f>
        <v>Canal_17</v>
      </c>
      <c r="BE18" s="207" t="str">
        <f>Настройки!AM18</f>
        <v>-</v>
      </c>
    </row>
    <row r="19" spans="1:57">
      <c r="A19" s="82"/>
      <c r="B19" s="82"/>
      <c r="C19" s="81"/>
      <c r="D19" s="81"/>
      <c r="E19" s="81"/>
      <c r="F19" s="81"/>
      <c r="G19" s="445"/>
      <c r="H19" s="447"/>
      <c r="I19" s="1"/>
      <c r="M19" s="424" t="str">
        <f>'Конфигурация TREI'!A20</f>
        <v>BR18</v>
      </c>
      <c r="N19" s="424" t="str">
        <f>'Конфигурация TREI'!B20</f>
        <v>M558O</v>
      </c>
      <c r="AE19" s="428">
        <f>Настройки!P19</f>
        <v>18</v>
      </c>
      <c r="AF19" s="380">
        <f>Настройки!Q19</f>
        <v>0</v>
      </c>
      <c r="AG19" s="380" t="str">
        <f>Настройки!R19</f>
        <v>-</v>
      </c>
      <c r="AH19" s="380" t="str">
        <f>Настройки!S19</f>
        <v>-</v>
      </c>
      <c r="AI19" s="380" t="str">
        <f>Настройки!T19</f>
        <v>out17</v>
      </c>
      <c r="AJ19" s="380" t="str">
        <f>Настройки!U19</f>
        <v>out17</v>
      </c>
      <c r="AK19" s="380" t="str">
        <f>Настройки!V19</f>
        <v>-</v>
      </c>
      <c r="AL19" s="380" t="str">
        <f>Настройки!W19</f>
        <v>-</v>
      </c>
      <c r="AM19" s="380" t="str">
        <f>Настройки!X19</f>
        <v>-</v>
      </c>
      <c r="AN19" s="380" t="str">
        <f>Настройки!Y19</f>
        <v>-</v>
      </c>
      <c r="AO19" s="380" t="str">
        <f>Настройки!Z19</f>
        <v>-</v>
      </c>
      <c r="AP19" s="380" t="str">
        <f>Настройки!AA19</f>
        <v>Canal_18</v>
      </c>
      <c r="AQ19" s="380" t="str">
        <f>Настройки!AB19</f>
        <v>Canal_18</v>
      </c>
      <c r="AR19" s="380" t="str">
        <f>Настройки!AC19</f>
        <v>-</v>
      </c>
      <c r="AS19" s="380" t="str">
        <f>Настройки!AD19</f>
        <v>-</v>
      </c>
      <c r="AT19" s="207" t="str">
        <f>Настройки!AB19</f>
        <v>Canal_18</v>
      </c>
      <c r="AU19" s="207" t="str">
        <f>Настройки!AC19</f>
        <v>-</v>
      </c>
      <c r="AV19" s="207" t="str">
        <f>Настройки!AD19</f>
        <v>-</v>
      </c>
      <c r="AW19" s="207" t="str">
        <f>Настройки!AE19</f>
        <v>-</v>
      </c>
      <c r="AX19" s="207" t="str">
        <f>Настройки!AF19</f>
        <v>IDIG_5_2</v>
      </c>
      <c r="AY19" s="207" t="str">
        <f>Настройки!AG19</f>
        <v>Canal_18</v>
      </c>
      <c r="AZ19" s="207" t="str">
        <f>Настройки!AH19</f>
        <v>Canal_18</v>
      </c>
      <c r="BA19" s="207" t="str">
        <f>Настройки!AI19</f>
        <v>Canal_18</v>
      </c>
      <c r="BB19" s="207" t="str">
        <f>Настройки!AJ19</f>
        <v>-</v>
      </c>
      <c r="BC19" s="207" t="str">
        <f>Настройки!AK19</f>
        <v>-</v>
      </c>
      <c r="BD19" s="207" t="str">
        <f>Настройки!AL19</f>
        <v>Canal_18</v>
      </c>
      <c r="BE19" s="207" t="str">
        <f>Настройки!AM19</f>
        <v>-</v>
      </c>
    </row>
    <row r="20" spans="1:57">
      <c r="A20" s="82"/>
      <c r="B20" s="82"/>
      <c r="C20" s="81"/>
      <c r="D20" s="81"/>
      <c r="E20" s="81"/>
      <c r="F20" s="81"/>
      <c r="G20" s="445"/>
      <c r="H20" s="447"/>
      <c r="I20" s="1"/>
      <c r="M20" s="424" t="str">
        <f>'Конфигурация TREI'!A21</f>
        <v>BR19</v>
      </c>
      <c r="N20" s="424" t="str">
        <f>'Конфигурация TREI'!B21</f>
        <v>M558O</v>
      </c>
      <c r="AE20" s="428">
        <f>Настройки!P20</f>
        <v>19</v>
      </c>
      <c r="AF20" s="380">
        <f>Настройки!Q20</f>
        <v>0</v>
      </c>
      <c r="AG20" s="380" t="str">
        <f>Настройки!R20</f>
        <v>-</v>
      </c>
      <c r="AH20" s="380" t="str">
        <f>Настройки!S20</f>
        <v>-</v>
      </c>
      <c r="AI20" s="380" t="str">
        <f>Настройки!T20</f>
        <v>out18</v>
      </c>
      <c r="AJ20" s="380" t="str">
        <f>Настройки!U20</f>
        <v>out18</v>
      </c>
      <c r="AK20" s="380" t="str">
        <f>Настройки!V20</f>
        <v>-</v>
      </c>
      <c r="AL20" s="380" t="str">
        <f>Настройки!W20</f>
        <v>-</v>
      </c>
      <c r="AM20" s="380" t="str">
        <f>Настройки!X20</f>
        <v>-</v>
      </c>
      <c r="AN20" s="380" t="str">
        <f>Настройки!Y20</f>
        <v>-</v>
      </c>
      <c r="AO20" s="380" t="str">
        <f>Настройки!Z20</f>
        <v>-</v>
      </c>
      <c r="AP20" s="380" t="str">
        <f>Настройки!AA20</f>
        <v>Canal_19</v>
      </c>
      <c r="AQ20" s="380" t="str">
        <f>Настройки!AB20</f>
        <v>Canal_19</v>
      </c>
      <c r="AR20" s="380" t="str">
        <f>Настройки!AC20</f>
        <v>-</v>
      </c>
      <c r="AS20" s="380" t="str">
        <f>Настройки!AD20</f>
        <v>-</v>
      </c>
      <c r="AT20" s="207" t="str">
        <f>Настройки!AB20</f>
        <v>Canal_19</v>
      </c>
      <c r="AU20" s="207" t="str">
        <f>Настройки!AC20</f>
        <v>-</v>
      </c>
      <c r="AV20" s="207" t="str">
        <f>Настройки!AD20</f>
        <v>-</v>
      </c>
      <c r="AW20" s="207" t="str">
        <f>Настройки!AE20</f>
        <v>-</v>
      </c>
      <c r="AX20" s="207" t="str">
        <f>Настройки!AF20</f>
        <v>IDIG_5_3</v>
      </c>
      <c r="AY20" s="207" t="str">
        <f>Настройки!AG20</f>
        <v>Canal_19</v>
      </c>
      <c r="AZ20" s="207" t="str">
        <f>Настройки!AH20</f>
        <v>Canal_19</v>
      </c>
      <c r="BA20" s="207" t="str">
        <f>Настройки!AI20</f>
        <v>Canal_19</v>
      </c>
      <c r="BB20" s="207" t="str">
        <f>Настройки!AJ20</f>
        <v>-</v>
      </c>
      <c r="BC20" s="207" t="str">
        <f>Настройки!AK20</f>
        <v>-</v>
      </c>
      <c r="BD20" s="207" t="str">
        <f>Настройки!AL20</f>
        <v>Canal_19</v>
      </c>
      <c r="BE20" s="207" t="str">
        <f>Настройки!AM20</f>
        <v>-</v>
      </c>
    </row>
    <row r="21" spans="1:57">
      <c r="A21" s="82"/>
      <c r="B21" s="82"/>
      <c r="C21" s="81"/>
      <c r="D21" s="81"/>
      <c r="E21" s="81"/>
      <c r="F21" s="81"/>
      <c r="G21" s="445"/>
      <c r="H21" s="447"/>
      <c r="I21" s="1"/>
      <c r="M21" s="424" t="str">
        <f>'Конфигурация TREI'!A22</f>
        <v>BR20</v>
      </c>
      <c r="N21" s="424" t="str">
        <f>'Конфигурация TREI'!B22</f>
        <v>M558D</v>
      </c>
      <c r="AE21" s="428">
        <f>Настройки!P21</f>
        <v>20</v>
      </c>
      <c r="AF21" s="380">
        <f>Настройки!Q21</f>
        <v>0</v>
      </c>
      <c r="AG21" s="380" t="str">
        <f>Настройки!R21</f>
        <v>-</v>
      </c>
      <c r="AH21" s="380" t="str">
        <f>Настройки!S21</f>
        <v>-</v>
      </c>
      <c r="AI21" s="380" t="str">
        <f>Настройки!T21</f>
        <v>out19</v>
      </c>
      <c r="AJ21" s="380" t="str">
        <f>Настройки!U21</f>
        <v>out19</v>
      </c>
      <c r="AK21" s="380" t="str">
        <f>Настройки!V21</f>
        <v>-</v>
      </c>
      <c r="AL21" s="380" t="str">
        <f>Настройки!W21</f>
        <v>-</v>
      </c>
      <c r="AM21" s="380" t="str">
        <f>Настройки!X21</f>
        <v>-</v>
      </c>
      <c r="AN21" s="380" t="str">
        <f>Настройки!Y21</f>
        <v>-</v>
      </c>
      <c r="AO21" s="380" t="str">
        <f>Настройки!Z21</f>
        <v>-</v>
      </c>
      <c r="AP21" s="380" t="str">
        <f>Настройки!AA21</f>
        <v>Canal_20</v>
      </c>
      <c r="AQ21" s="380" t="str">
        <f>Настройки!AB21</f>
        <v>Canal_20</v>
      </c>
      <c r="AR21" s="380" t="str">
        <f>Настройки!AC21</f>
        <v>-</v>
      </c>
      <c r="AS21" s="380" t="str">
        <f>Настройки!AD21</f>
        <v>-</v>
      </c>
      <c r="AT21" s="207" t="str">
        <f>Настройки!AB21</f>
        <v>Canal_20</v>
      </c>
      <c r="AU21" s="207" t="str">
        <f>Настройки!AC21</f>
        <v>-</v>
      </c>
      <c r="AV21" s="207" t="str">
        <f>Настройки!AD21</f>
        <v>-</v>
      </c>
      <c r="AW21" s="207" t="str">
        <f>Настройки!AE21</f>
        <v>-</v>
      </c>
      <c r="AX21" s="207" t="str">
        <f>Настройки!AF21</f>
        <v>IDIG_5_4</v>
      </c>
      <c r="AY21" s="207" t="str">
        <f>Настройки!AG21</f>
        <v>Canal_20</v>
      </c>
      <c r="AZ21" s="207" t="str">
        <f>Настройки!AH21</f>
        <v>Canal_20</v>
      </c>
      <c r="BA21" s="207" t="str">
        <f>Настройки!AI21</f>
        <v>Canal_20</v>
      </c>
      <c r="BB21" s="207" t="str">
        <f>Настройки!AJ21</f>
        <v>-</v>
      </c>
      <c r="BC21" s="207" t="str">
        <f>Настройки!AK21</f>
        <v>-</v>
      </c>
      <c r="BD21" s="207" t="str">
        <f>Настройки!AL21</f>
        <v>Canal_20</v>
      </c>
      <c r="BE21" s="207" t="str">
        <f>Настройки!AM21</f>
        <v>-</v>
      </c>
    </row>
    <row r="22" spans="1:57">
      <c r="A22" s="82"/>
      <c r="B22" s="82"/>
      <c r="C22" s="81"/>
      <c r="D22" s="81"/>
      <c r="E22" s="81"/>
      <c r="F22" s="81"/>
      <c r="G22" s="445"/>
      <c r="H22" s="447"/>
      <c r="I22" s="1"/>
      <c r="M22" s="424" t="str">
        <f>'Конфигурация TREI'!A23</f>
        <v>BR21</v>
      </c>
      <c r="N22" s="424" t="str">
        <f>'Конфигурация TREI'!B23</f>
        <v>M558O</v>
      </c>
      <c r="AE22" s="428">
        <f>Настройки!P22</f>
        <v>21</v>
      </c>
      <c r="AF22" s="380">
        <f>Настройки!Q22</f>
        <v>0</v>
      </c>
      <c r="AG22" s="380" t="str">
        <f>Настройки!R22</f>
        <v>-</v>
      </c>
      <c r="AH22" s="380" t="str">
        <f>Настройки!S22</f>
        <v>-</v>
      </c>
      <c r="AI22" s="380" t="str">
        <f>Настройки!T22</f>
        <v>out20</v>
      </c>
      <c r="AJ22" s="380" t="str">
        <f>Настройки!U22</f>
        <v>out20</v>
      </c>
      <c r="AK22" s="380" t="str">
        <f>Настройки!V22</f>
        <v>-</v>
      </c>
      <c r="AL22" s="380" t="str">
        <f>Настройки!W22</f>
        <v>-</v>
      </c>
      <c r="AM22" s="380" t="str">
        <f>Настройки!X22</f>
        <v>-</v>
      </c>
      <c r="AN22" s="380" t="str">
        <f>Настройки!Y22</f>
        <v>-</v>
      </c>
      <c r="AO22" s="380" t="str">
        <f>Настройки!Z22</f>
        <v>-</v>
      </c>
      <c r="AP22" s="380" t="str">
        <f>Настройки!AA22</f>
        <v>Canal_21</v>
      </c>
      <c r="AQ22" s="380" t="str">
        <f>Настройки!AB22</f>
        <v>Canal_21</v>
      </c>
      <c r="AR22" s="380" t="str">
        <f>Настройки!AC22</f>
        <v>-</v>
      </c>
      <c r="AS22" s="380" t="str">
        <f>Настройки!AD22</f>
        <v>-</v>
      </c>
      <c r="AT22" s="207" t="str">
        <f>Настройки!AB22</f>
        <v>Canal_21</v>
      </c>
      <c r="AU22" s="207" t="str">
        <f>Настройки!AC22</f>
        <v>-</v>
      </c>
      <c r="AV22" s="207" t="str">
        <f>Настройки!AD22</f>
        <v>-</v>
      </c>
      <c r="AW22" s="207" t="str">
        <f>Настройки!AE22</f>
        <v>-</v>
      </c>
      <c r="AX22" s="207" t="str">
        <f>Настройки!AF22</f>
        <v>IDIG_6_1</v>
      </c>
      <c r="AY22" s="207" t="str">
        <f>Настройки!AG22</f>
        <v>Canal_21</v>
      </c>
      <c r="AZ22" s="207" t="str">
        <f>Настройки!AH22</f>
        <v>Canal_21</v>
      </c>
      <c r="BA22" s="207" t="str">
        <f>Настройки!AI22</f>
        <v>Canal_21</v>
      </c>
      <c r="BB22" s="207" t="str">
        <f>Настройки!AJ22</f>
        <v>-</v>
      </c>
      <c r="BC22" s="207" t="str">
        <f>Настройки!AK22</f>
        <v>-</v>
      </c>
      <c r="BD22" s="207" t="str">
        <f>Настройки!AL22</f>
        <v>Canal_21</v>
      </c>
      <c r="BE22" s="207" t="str">
        <f>Настройки!AM22</f>
        <v>-</v>
      </c>
    </row>
    <row r="23" spans="1:57">
      <c r="A23" s="82"/>
      <c r="B23" s="82"/>
      <c r="C23" s="81"/>
      <c r="D23" s="81"/>
      <c r="E23" s="81"/>
      <c r="F23" s="81"/>
      <c r="G23" s="445"/>
      <c r="H23" s="447"/>
      <c r="I23" s="1"/>
      <c r="M23" s="424" t="str">
        <f>'Конфигурация TREI'!A24</f>
        <v>BR22</v>
      </c>
      <c r="N23" s="424" t="str">
        <f>'Конфигурация TREI'!B24</f>
        <v>M558D</v>
      </c>
      <c r="AE23" s="428">
        <f>Настройки!P23</f>
        <v>22</v>
      </c>
      <c r="AF23" s="380">
        <f>Настройки!Q23</f>
        <v>0</v>
      </c>
      <c r="AG23" s="380" t="str">
        <f>Настройки!R23</f>
        <v>-</v>
      </c>
      <c r="AH23" s="380" t="str">
        <f>Настройки!S23</f>
        <v>-</v>
      </c>
      <c r="AI23" s="380" t="str">
        <f>Настройки!T23</f>
        <v>out21</v>
      </c>
      <c r="AJ23" s="380" t="str">
        <f>Настройки!U23</f>
        <v>out21</v>
      </c>
      <c r="AK23" s="380" t="str">
        <f>Настройки!V23</f>
        <v>-</v>
      </c>
      <c r="AL23" s="380" t="str">
        <f>Настройки!W23</f>
        <v>-</v>
      </c>
      <c r="AM23" s="380" t="str">
        <f>Настройки!X23</f>
        <v>-</v>
      </c>
      <c r="AN23" s="380" t="str">
        <f>Настройки!Y23</f>
        <v>-</v>
      </c>
      <c r="AO23" s="380" t="str">
        <f>Настройки!Z23</f>
        <v>-</v>
      </c>
      <c r="AP23" s="380" t="str">
        <f>Настройки!AA23</f>
        <v>Canal_22</v>
      </c>
      <c r="AQ23" s="380" t="str">
        <f>Настройки!AB23</f>
        <v>Canal_22</v>
      </c>
      <c r="AR23" s="380" t="str">
        <f>Настройки!AC23</f>
        <v>-</v>
      </c>
      <c r="AS23" s="380" t="str">
        <f>Настройки!AD23</f>
        <v>-</v>
      </c>
      <c r="AT23" s="207" t="str">
        <f>Настройки!AB23</f>
        <v>Canal_22</v>
      </c>
      <c r="AU23" s="207" t="str">
        <f>Настройки!AC23</f>
        <v>-</v>
      </c>
      <c r="AV23" s="207" t="str">
        <f>Настройки!AD23</f>
        <v>-</v>
      </c>
      <c r="AW23" s="207" t="str">
        <f>Настройки!AE23</f>
        <v>-</v>
      </c>
      <c r="AX23" s="207" t="str">
        <f>Настройки!AF23</f>
        <v>IDIG_6_2</v>
      </c>
      <c r="AY23" s="207" t="str">
        <f>Настройки!AG23</f>
        <v>Canal_22</v>
      </c>
      <c r="AZ23" s="207" t="str">
        <f>Настройки!AH23</f>
        <v>Canal_22</v>
      </c>
      <c r="BA23" s="207" t="str">
        <f>Настройки!AI23</f>
        <v>Canal_22</v>
      </c>
      <c r="BB23" s="207" t="str">
        <f>Настройки!AJ23</f>
        <v>-</v>
      </c>
      <c r="BC23" s="207" t="str">
        <f>Настройки!AK23</f>
        <v>-</v>
      </c>
      <c r="BD23" s="207" t="str">
        <f>Настройки!AL23</f>
        <v>Canal_22</v>
      </c>
      <c r="BE23" s="207" t="str">
        <f>Настройки!AM23</f>
        <v>-</v>
      </c>
    </row>
    <row r="24" spans="1:57">
      <c r="A24" s="82"/>
      <c r="B24" s="82"/>
      <c r="C24" s="81"/>
      <c r="D24" s="81"/>
      <c r="E24" s="81"/>
      <c r="F24" s="81"/>
      <c r="G24" s="445"/>
      <c r="H24" s="447"/>
      <c r="I24" s="1"/>
      <c r="M24" s="424" t="str">
        <f>'Конфигурация TREI'!A25</f>
        <v>BR23</v>
      </c>
      <c r="N24" s="424" t="str">
        <f>'Конфигурация TREI'!B25</f>
        <v>M558O</v>
      </c>
      <c r="AE24" s="428">
        <f>Настройки!P24</f>
        <v>23</v>
      </c>
      <c r="AF24" s="380">
        <f>Настройки!Q24</f>
        <v>0</v>
      </c>
      <c r="AG24" s="380" t="str">
        <f>Настройки!R24</f>
        <v>-</v>
      </c>
      <c r="AH24" s="380" t="str">
        <f>Настройки!S24</f>
        <v>-</v>
      </c>
      <c r="AI24" s="380" t="str">
        <f>Настройки!T24</f>
        <v>out22</v>
      </c>
      <c r="AJ24" s="380" t="str">
        <f>Настройки!U24</f>
        <v>out22</v>
      </c>
      <c r="AK24" s="380" t="str">
        <f>Настройки!V24</f>
        <v>-</v>
      </c>
      <c r="AL24" s="380" t="str">
        <f>Настройки!W24</f>
        <v>-</v>
      </c>
      <c r="AM24" s="380" t="str">
        <f>Настройки!X24</f>
        <v>-</v>
      </c>
      <c r="AN24" s="380" t="str">
        <f>Настройки!Y24</f>
        <v>-</v>
      </c>
      <c r="AO24" s="380" t="str">
        <f>Настройки!Z24</f>
        <v>-</v>
      </c>
      <c r="AP24" s="380" t="str">
        <f>Настройки!AA24</f>
        <v>Canal_23</v>
      </c>
      <c r="AQ24" s="380" t="str">
        <f>Настройки!AB24</f>
        <v>Canal_23</v>
      </c>
      <c r="AR24" s="380" t="str">
        <f>Настройки!AC24</f>
        <v>-</v>
      </c>
      <c r="AS24" s="380" t="str">
        <f>Настройки!AD24</f>
        <v>-</v>
      </c>
      <c r="AT24" s="207" t="str">
        <f>Настройки!AB24</f>
        <v>Canal_23</v>
      </c>
      <c r="AU24" s="207" t="str">
        <f>Настройки!AC24</f>
        <v>-</v>
      </c>
      <c r="AV24" s="207" t="str">
        <f>Настройки!AD24</f>
        <v>-</v>
      </c>
      <c r="AW24" s="207" t="str">
        <f>Настройки!AE24</f>
        <v>-</v>
      </c>
      <c r="AX24" s="207" t="str">
        <f>Настройки!AF24</f>
        <v>IDIG_6_3</v>
      </c>
      <c r="AY24" s="207" t="str">
        <f>Настройки!AG24</f>
        <v>Canal_23</v>
      </c>
      <c r="AZ24" s="207" t="str">
        <f>Настройки!AH24</f>
        <v>Canal_23</v>
      </c>
      <c r="BA24" s="207" t="str">
        <f>Настройки!AI24</f>
        <v>Canal_23</v>
      </c>
      <c r="BB24" s="207" t="str">
        <f>Настройки!AJ24</f>
        <v>-</v>
      </c>
      <c r="BC24" s="207" t="str">
        <f>Настройки!AK24</f>
        <v>-</v>
      </c>
      <c r="BD24" s="207" t="str">
        <f>Настройки!AL24</f>
        <v>Canal_23</v>
      </c>
      <c r="BE24" s="207" t="str">
        <f>Настройки!AM24</f>
        <v>-</v>
      </c>
    </row>
    <row r="25" spans="1:57">
      <c r="A25" s="82"/>
      <c r="B25" s="82"/>
      <c r="C25" s="81"/>
      <c r="D25" s="81"/>
      <c r="E25" s="81"/>
      <c r="F25" s="81"/>
      <c r="G25" s="445"/>
      <c r="H25" s="447"/>
      <c r="I25" s="1"/>
      <c r="M25" s="424" t="str">
        <f>'Конфигурация TREI'!A26</f>
        <v>BR24</v>
      </c>
      <c r="N25" s="424" t="str">
        <f>'Конфигурация TREI'!B26</f>
        <v>M558D</v>
      </c>
      <c r="AE25" s="428">
        <f>Настройки!P25</f>
        <v>24</v>
      </c>
      <c r="AF25" s="380">
        <f>Настройки!Q25</f>
        <v>0</v>
      </c>
      <c r="AG25" s="380" t="str">
        <f>Настройки!R25</f>
        <v>-</v>
      </c>
      <c r="AH25" s="380" t="str">
        <f>Настройки!S25</f>
        <v>-</v>
      </c>
      <c r="AI25" s="380" t="str">
        <f>Настройки!T25</f>
        <v>out23</v>
      </c>
      <c r="AJ25" s="380" t="str">
        <f>Настройки!U25</f>
        <v>out23</v>
      </c>
      <c r="AK25" s="380" t="str">
        <f>Настройки!V25</f>
        <v>-</v>
      </c>
      <c r="AL25" s="380" t="str">
        <f>Настройки!W25</f>
        <v>-</v>
      </c>
      <c r="AM25" s="380" t="str">
        <f>Настройки!X25</f>
        <v>-</v>
      </c>
      <c r="AN25" s="380" t="str">
        <f>Настройки!Y25</f>
        <v>-</v>
      </c>
      <c r="AO25" s="380" t="str">
        <f>Настройки!Z25</f>
        <v>-</v>
      </c>
      <c r="AP25" s="380" t="str">
        <f>Настройки!AA25</f>
        <v>Canal_24</v>
      </c>
      <c r="AQ25" s="380" t="str">
        <f>Настройки!AB25</f>
        <v>Canal_24</v>
      </c>
      <c r="AR25" s="380" t="str">
        <f>Настройки!AC25</f>
        <v>-</v>
      </c>
      <c r="AS25" s="380" t="str">
        <f>Настройки!AD25</f>
        <v>-</v>
      </c>
      <c r="AT25" s="207" t="str">
        <f>Настройки!AB25</f>
        <v>Canal_24</v>
      </c>
      <c r="AU25" s="207" t="str">
        <f>Настройки!AC25</f>
        <v>-</v>
      </c>
      <c r="AV25" s="207" t="str">
        <f>Настройки!AD25</f>
        <v>-</v>
      </c>
      <c r="AW25" s="207" t="str">
        <f>Настройки!AE25</f>
        <v>-</v>
      </c>
      <c r="AX25" s="207" t="str">
        <f>Настройки!AF25</f>
        <v>IDIG_6_4</v>
      </c>
      <c r="AY25" s="207" t="str">
        <f>Настройки!AG25</f>
        <v>Canal_24</v>
      </c>
      <c r="AZ25" s="207" t="str">
        <f>Настройки!AH25</f>
        <v>Canal_24</v>
      </c>
      <c r="BA25" s="207" t="str">
        <f>Настройки!AI25</f>
        <v>Canal_24</v>
      </c>
      <c r="BB25" s="207" t="str">
        <f>Настройки!AJ25</f>
        <v>-</v>
      </c>
      <c r="BC25" s="207" t="str">
        <f>Настройки!AK25</f>
        <v>-</v>
      </c>
      <c r="BD25" s="207" t="str">
        <f>Настройки!AL25</f>
        <v>Canal_24</v>
      </c>
      <c r="BE25" s="207" t="str">
        <f>Настройки!AM25</f>
        <v>-</v>
      </c>
    </row>
    <row r="26" spans="1:57">
      <c r="A26" s="82"/>
      <c r="B26" s="82"/>
      <c r="C26" s="81"/>
      <c r="D26" s="81"/>
      <c r="E26" s="81"/>
      <c r="F26" s="81"/>
      <c r="G26" s="445"/>
      <c r="H26" s="447"/>
      <c r="I26" s="1"/>
      <c r="M26" s="424" t="str">
        <f>'Конфигурация TREI'!A27</f>
        <v>BR25</v>
      </c>
      <c r="N26" s="424" t="str">
        <f>'Конфигурация TREI'!B27</f>
        <v>M558D</v>
      </c>
      <c r="AE26" s="428">
        <f>Настройки!P26</f>
        <v>25</v>
      </c>
      <c r="AF26" s="380">
        <f>Настройки!Q26</f>
        <v>0</v>
      </c>
      <c r="AG26" s="380" t="str">
        <f>Настройки!R26</f>
        <v>-</v>
      </c>
      <c r="AH26" s="380" t="str">
        <f>Настройки!S26</f>
        <v>-</v>
      </c>
      <c r="AI26" s="380" t="str">
        <f>Настройки!T26</f>
        <v>out24</v>
      </c>
      <c r="AJ26" s="380" t="str">
        <f>Настройки!U26</f>
        <v>out24</v>
      </c>
      <c r="AK26" s="380" t="str">
        <f>Настройки!V26</f>
        <v>-</v>
      </c>
      <c r="AL26" s="380" t="str">
        <f>Настройки!W26</f>
        <v>-</v>
      </c>
      <c r="AM26" s="380" t="str">
        <f>Настройки!X26</f>
        <v>-</v>
      </c>
      <c r="AN26" s="380" t="str">
        <f>Настройки!Y26</f>
        <v>-</v>
      </c>
      <c r="AO26" s="380" t="str">
        <f>Настройки!Z26</f>
        <v>-</v>
      </c>
      <c r="AP26" s="380" t="str">
        <f>Настройки!AA26</f>
        <v>Canal_25</v>
      </c>
      <c r="AQ26" s="380" t="str">
        <f>Настройки!AB26</f>
        <v>Canal_25</v>
      </c>
      <c r="AR26" s="380" t="str">
        <f>Настройки!AC26</f>
        <v>-</v>
      </c>
      <c r="AS26" s="380" t="str">
        <f>Настройки!AD26</f>
        <v>-</v>
      </c>
      <c r="AT26" s="207" t="str">
        <f>Настройки!AB26</f>
        <v>Canal_25</v>
      </c>
      <c r="AU26" s="207" t="str">
        <f>Настройки!AC26</f>
        <v>-</v>
      </c>
      <c r="AV26" s="207" t="str">
        <f>Настройки!AD26</f>
        <v>-</v>
      </c>
      <c r="AW26" s="207" t="str">
        <f>Настройки!AE26</f>
        <v>-</v>
      </c>
      <c r="AX26" s="207" t="str">
        <f>Настройки!AF26</f>
        <v>IDIG_7_1</v>
      </c>
      <c r="AY26" s="207" t="str">
        <f>Настройки!AG26</f>
        <v>Canal_25</v>
      </c>
      <c r="AZ26" s="207" t="str">
        <f>Настройки!AH26</f>
        <v>Canal_25</v>
      </c>
      <c r="BA26" s="207" t="str">
        <f>Настройки!AI26</f>
        <v>Canal_25</v>
      </c>
      <c r="BB26" s="207" t="str">
        <f>Настройки!AJ26</f>
        <v>-</v>
      </c>
      <c r="BC26" s="207" t="str">
        <f>Настройки!AK26</f>
        <v>-</v>
      </c>
      <c r="BD26" s="207" t="str">
        <f>Настройки!AL26</f>
        <v>Canal_25</v>
      </c>
      <c r="BE26" s="207" t="str">
        <f>Настройки!AM26</f>
        <v>-</v>
      </c>
    </row>
    <row r="27" spans="1:57">
      <c r="A27" s="82"/>
      <c r="B27" s="82"/>
      <c r="C27" s="81"/>
      <c r="D27" s="81"/>
      <c r="E27" s="81"/>
      <c r="F27" s="81"/>
      <c r="G27" s="445"/>
      <c r="H27" s="447"/>
      <c r="I27" s="1"/>
      <c r="M27" s="424" t="str">
        <f>'Конфигурация TREI'!A28</f>
        <v>BR26</v>
      </c>
      <c r="N27" s="424" t="str">
        <f>'Конфигурация TREI'!B28</f>
        <v>M558D</v>
      </c>
      <c r="AE27" s="428">
        <f>Настройки!P27</f>
        <v>26</v>
      </c>
      <c r="AF27" s="380">
        <f>Настройки!Q27</f>
        <v>0</v>
      </c>
      <c r="AG27" s="380" t="str">
        <f>Настройки!R27</f>
        <v>-</v>
      </c>
      <c r="AH27" s="380" t="str">
        <f>Настройки!S27</f>
        <v>-</v>
      </c>
      <c r="AI27" s="380" t="str">
        <f>Настройки!T27</f>
        <v>out25</v>
      </c>
      <c r="AJ27" s="380" t="str">
        <f>Настройки!U27</f>
        <v>out25</v>
      </c>
      <c r="AK27" s="380" t="str">
        <f>Настройки!V27</f>
        <v>-</v>
      </c>
      <c r="AL27" s="380" t="str">
        <f>Настройки!W27</f>
        <v>-</v>
      </c>
      <c r="AM27" s="380" t="str">
        <f>Настройки!X27</f>
        <v>-</v>
      </c>
      <c r="AN27" s="380" t="str">
        <f>Настройки!Y27</f>
        <v>-</v>
      </c>
      <c r="AO27" s="380" t="str">
        <f>Настройки!Z27</f>
        <v>-</v>
      </c>
      <c r="AP27" s="380" t="str">
        <f>Настройки!AA27</f>
        <v>Canal_26</v>
      </c>
      <c r="AQ27" s="380" t="str">
        <f>Настройки!AB27</f>
        <v>Canal_26</v>
      </c>
      <c r="AR27" s="380" t="str">
        <f>Настройки!AC27</f>
        <v>-</v>
      </c>
      <c r="AS27" s="380" t="str">
        <f>Настройки!AD27</f>
        <v>-</v>
      </c>
      <c r="AT27" s="207" t="str">
        <f>Настройки!AB27</f>
        <v>Canal_26</v>
      </c>
      <c r="AU27" s="207" t="str">
        <f>Настройки!AC27</f>
        <v>-</v>
      </c>
      <c r="AV27" s="207" t="str">
        <f>Настройки!AD27</f>
        <v>-</v>
      </c>
      <c r="AW27" s="207" t="str">
        <f>Настройки!AE27</f>
        <v>-</v>
      </c>
      <c r="AX27" s="207" t="str">
        <f>Настройки!AF27</f>
        <v>IDIG_7_2</v>
      </c>
      <c r="AY27" s="207" t="str">
        <f>Настройки!AG27</f>
        <v>Canal_26</v>
      </c>
      <c r="AZ27" s="207" t="str">
        <f>Настройки!AH27</f>
        <v>Canal_26</v>
      </c>
      <c r="BA27" s="207" t="str">
        <f>Настройки!AI27</f>
        <v>Canal_26</v>
      </c>
      <c r="BB27" s="207" t="str">
        <f>Настройки!AJ27</f>
        <v>-</v>
      </c>
      <c r="BC27" s="207" t="str">
        <f>Настройки!AK27</f>
        <v>-</v>
      </c>
      <c r="BD27" s="207" t="str">
        <f>Настройки!AL27</f>
        <v>Canal_26</v>
      </c>
      <c r="BE27" s="207" t="str">
        <f>Настройки!AM27</f>
        <v>-</v>
      </c>
    </row>
    <row r="28" spans="1:57">
      <c r="A28" s="82"/>
      <c r="B28" s="82"/>
      <c r="C28" s="81"/>
      <c r="D28" s="81"/>
      <c r="E28" s="81"/>
      <c r="F28" s="81"/>
      <c r="G28" s="445"/>
      <c r="H28" s="447"/>
      <c r="I28" s="1"/>
      <c r="M28" s="424" t="str">
        <f>'Конфигурация TREI'!A29</f>
        <v>BR27</v>
      </c>
      <c r="N28" s="424" t="str">
        <f>'Конфигурация TREI'!B29</f>
        <v>M558D</v>
      </c>
      <c r="AE28" s="428">
        <f>Настройки!P28</f>
        <v>27</v>
      </c>
      <c r="AF28" s="380">
        <f>Настройки!Q28</f>
        <v>0</v>
      </c>
      <c r="AG28" s="380" t="str">
        <f>Настройки!R28</f>
        <v>-</v>
      </c>
      <c r="AH28" s="380" t="str">
        <f>Настройки!S28</f>
        <v>-</v>
      </c>
      <c r="AI28" s="380" t="str">
        <f>Настройки!T28</f>
        <v>out26</v>
      </c>
      <c r="AJ28" s="380" t="str">
        <f>Настройки!U28</f>
        <v>out26</v>
      </c>
      <c r="AK28" s="380" t="str">
        <f>Настройки!V28</f>
        <v>-</v>
      </c>
      <c r="AL28" s="380" t="str">
        <f>Настройки!W28</f>
        <v>-</v>
      </c>
      <c r="AM28" s="380" t="str">
        <f>Настройки!X28</f>
        <v>-</v>
      </c>
      <c r="AN28" s="380" t="str">
        <f>Настройки!Y28</f>
        <v>-</v>
      </c>
      <c r="AO28" s="380" t="str">
        <f>Настройки!Z28</f>
        <v>-</v>
      </c>
      <c r="AP28" s="380" t="str">
        <f>Настройки!AA28</f>
        <v>Canal_27</v>
      </c>
      <c r="AQ28" s="380" t="str">
        <f>Настройки!AB28</f>
        <v>Canal_27</v>
      </c>
      <c r="AR28" s="380" t="str">
        <f>Настройки!AC28</f>
        <v>-</v>
      </c>
      <c r="AS28" s="380" t="str">
        <f>Настройки!AD28</f>
        <v>-</v>
      </c>
      <c r="AT28" s="207" t="str">
        <f>Настройки!AB28</f>
        <v>Canal_27</v>
      </c>
      <c r="AU28" s="207" t="str">
        <f>Настройки!AC28</f>
        <v>-</v>
      </c>
      <c r="AV28" s="207" t="str">
        <f>Настройки!AD28</f>
        <v>-</v>
      </c>
      <c r="AW28" s="207" t="str">
        <f>Настройки!AE28</f>
        <v>-</v>
      </c>
      <c r="AX28" s="207" t="str">
        <f>Настройки!AF28</f>
        <v>IDIG_7_3</v>
      </c>
      <c r="AY28" s="207" t="str">
        <f>Настройки!AG28</f>
        <v>Canal_27</v>
      </c>
      <c r="AZ28" s="207" t="str">
        <f>Настройки!AH28</f>
        <v>Canal_27</v>
      </c>
      <c r="BA28" s="207" t="str">
        <f>Настройки!AI28</f>
        <v>Canal_27</v>
      </c>
      <c r="BB28" s="207" t="str">
        <f>Настройки!AJ28</f>
        <v>-</v>
      </c>
      <c r="BC28" s="207" t="str">
        <f>Настройки!AK28</f>
        <v>-</v>
      </c>
      <c r="BD28" s="207" t="str">
        <f>Настройки!AL28</f>
        <v>Canal_27</v>
      </c>
      <c r="BE28" s="207" t="str">
        <f>Настройки!AM28</f>
        <v>-</v>
      </c>
    </row>
    <row r="29" spans="1:57">
      <c r="A29" s="82"/>
      <c r="B29" s="82"/>
      <c r="C29" s="81"/>
      <c r="D29" s="81"/>
      <c r="E29" s="81"/>
      <c r="F29" s="81"/>
      <c r="G29" s="445"/>
      <c r="H29" s="447"/>
      <c r="I29" s="1"/>
      <c r="M29" s="424" t="str">
        <f>'Конфигурация TREI'!A30</f>
        <v>BR28</v>
      </c>
      <c r="N29" s="424" t="str">
        <f>'Конфигурация TREI'!B30</f>
        <v>M558D</v>
      </c>
      <c r="AE29" s="428">
        <f>Настройки!P29</f>
        <v>28</v>
      </c>
      <c r="AF29" s="380">
        <f>Настройки!Q29</f>
        <v>0</v>
      </c>
      <c r="AG29" s="380" t="str">
        <f>Настройки!R29</f>
        <v>-</v>
      </c>
      <c r="AH29" s="380" t="str">
        <f>Настройки!S29</f>
        <v>-</v>
      </c>
      <c r="AI29" s="380" t="str">
        <f>Настройки!T29</f>
        <v>out27</v>
      </c>
      <c r="AJ29" s="380" t="str">
        <f>Настройки!U29</f>
        <v>out27</v>
      </c>
      <c r="AK29" s="380" t="str">
        <f>Настройки!V29</f>
        <v>-</v>
      </c>
      <c r="AL29" s="380" t="str">
        <f>Настройки!W29</f>
        <v>-</v>
      </c>
      <c r="AM29" s="380" t="str">
        <f>Настройки!X29</f>
        <v>-</v>
      </c>
      <c r="AN29" s="380" t="str">
        <f>Настройки!Y29</f>
        <v>-</v>
      </c>
      <c r="AO29" s="380" t="str">
        <f>Настройки!Z29</f>
        <v>-</v>
      </c>
      <c r="AP29" s="380" t="str">
        <f>Настройки!AA29</f>
        <v>Canal_28</v>
      </c>
      <c r="AQ29" s="380" t="str">
        <f>Настройки!AB29</f>
        <v>Canal_28</v>
      </c>
      <c r="AR29" s="380" t="str">
        <f>Настройки!AC29</f>
        <v>-</v>
      </c>
      <c r="AS29" s="380" t="str">
        <f>Настройки!AD29</f>
        <v>-</v>
      </c>
      <c r="AT29" s="207" t="str">
        <f>Настройки!AB29</f>
        <v>Canal_28</v>
      </c>
      <c r="AU29" s="207" t="str">
        <f>Настройки!AC29</f>
        <v>-</v>
      </c>
      <c r="AV29" s="207" t="str">
        <f>Настройки!AD29</f>
        <v>-</v>
      </c>
      <c r="AW29" s="207" t="str">
        <f>Настройки!AE29</f>
        <v>-</v>
      </c>
      <c r="AX29" s="207" t="str">
        <f>Настройки!AF29</f>
        <v>IDIG_7_4</v>
      </c>
      <c r="AY29" s="207" t="str">
        <f>Настройки!AG29</f>
        <v>Canal_28</v>
      </c>
      <c r="AZ29" s="207" t="str">
        <f>Настройки!AH29</f>
        <v>Canal_28</v>
      </c>
      <c r="BA29" s="207" t="str">
        <f>Настройки!AI29</f>
        <v>Canal_28</v>
      </c>
      <c r="BB29" s="207" t="str">
        <f>Настройки!AJ29</f>
        <v>-</v>
      </c>
      <c r="BC29" s="207" t="str">
        <f>Настройки!AK29</f>
        <v>-</v>
      </c>
      <c r="BD29" s="207" t="str">
        <f>Настройки!AL29</f>
        <v>Canal_28</v>
      </c>
      <c r="BE29" s="207" t="str">
        <f>Настройки!AM29</f>
        <v>-</v>
      </c>
    </row>
    <row r="30" spans="1:57">
      <c r="A30" s="11"/>
      <c r="B30" s="11"/>
      <c r="C30" s="11"/>
      <c r="D30" s="11"/>
      <c r="E30" s="11"/>
      <c r="F30" s="11"/>
      <c r="G30" s="11"/>
      <c r="H30" s="1"/>
      <c r="I30" s="1"/>
      <c r="M30" s="424" t="str">
        <f>'Конфигурация TREI'!A31</f>
        <v>BR29</v>
      </c>
      <c r="N30" s="424" t="str">
        <f>'Конфигурация TREI'!B31</f>
        <v>M558O</v>
      </c>
      <c r="AE30" s="428">
        <f>Настройки!P30</f>
        <v>29</v>
      </c>
      <c r="AF30" s="380">
        <f>Настройки!Q30</f>
        <v>0</v>
      </c>
      <c r="AG30" s="380" t="str">
        <f>Настройки!R30</f>
        <v>-</v>
      </c>
      <c r="AH30" s="380" t="str">
        <f>Настройки!S30</f>
        <v>-</v>
      </c>
      <c r="AI30" s="380" t="str">
        <f>Настройки!T30</f>
        <v>out28</v>
      </c>
      <c r="AJ30" s="380" t="str">
        <f>Настройки!U30</f>
        <v>out28</v>
      </c>
      <c r="AK30" s="380" t="str">
        <f>Настройки!V30</f>
        <v>-</v>
      </c>
      <c r="AL30" s="380" t="str">
        <f>Настройки!W30</f>
        <v>-</v>
      </c>
      <c r="AM30" s="380" t="str">
        <f>Настройки!X30</f>
        <v>-</v>
      </c>
      <c r="AN30" s="380" t="str">
        <f>Настройки!Y30</f>
        <v>-</v>
      </c>
      <c r="AO30" s="380" t="str">
        <f>Настройки!Z30</f>
        <v>-</v>
      </c>
      <c r="AP30" s="380" t="str">
        <f>Настройки!AA30</f>
        <v>Canal_29</v>
      </c>
      <c r="AQ30" s="380" t="str">
        <f>Настройки!AB30</f>
        <v>Canal_29</v>
      </c>
      <c r="AR30" s="380" t="str">
        <f>Настройки!AC30</f>
        <v>-</v>
      </c>
      <c r="AS30" s="380" t="str">
        <f>Настройки!AD30</f>
        <v>-</v>
      </c>
      <c r="AT30" s="207" t="str">
        <f>Настройки!AB30</f>
        <v>Canal_29</v>
      </c>
      <c r="AU30" s="207" t="str">
        <f>Настройки!AC30</f>
        <v>-</v>
      </c>
      <c r="AV30" s="207" t="str">
        <f>Настройки!AD30</f>
        <v>-</v>
      </c>
      <c r="AW30" s="207" t="str">
        <f>Настройки!AE30</f>
        <v>-</v>
      </c>
      <c r="AX30" s="207" t="str">
        <f>Настройки!AF30</f>
        <v>IDIG_8_1</v>
      </c>
      <c r="AY30" s="207" t="str">
        <f>Настройки!AG30</f>
        <v>Canal_29</v>
      </c>
      <c r="AZ30" s="207" t="str">
        <f>Настройки!AH30</f>
        <v>Canal_29</v>
      </c>
      <c r="BA30" s="207" t="str">
        <f>Настройки!AI30</f>
        <v>Canal_29</v>
      </c>
      <c r="BB30" s="207" t="str">
        <f>Настройки!AJ30</f>
        <v>-</v>
      </c>
      <c r="BC30" s="207" t="str">
        <f>Настройки!AK30</f>
        <v>-</v>
      </c>
      <c r="BD30" s="207" t="str">
        <f>Настройки!AL30</f>
        <v>Canal_29</v>
      </c>
      <c r="BE30" s="207" t="str">
        <f>Настройки!AM30</f>
        <v>-</v>
      </c>
    </row>
    <row r="31" spans="1:57">
      <c r="A31" s="82"/>
      <c r="B31" s="82"/>
      <c r="C31" s="81"/>
      <c r="D31" s="81"/>
      <c r="E31" s="81"/>
      <c r="F31" s="81"/>
      <c r="G31" s="445"/>
      <c r="H31" s="445"/>
      <c r="I31" s="1"/>
      <c r="M31" s="424" t="str">
        <f>'Конфигурация TREI'!A32</f>
        <v>BR30</v>
      </c>
      <c r="N31" s="424" t="str">
        <f>'Конфигурация TREI'!B32</f>
        <v>M558D</v>
      </c>
      <c r="AE31" s="428">
        <f>Настройки!P31</f>
        <v>30</v>
      </c>
      <c r="AF31" s="380">
        <f>Настройки!Q31</f>
        <v>0</v>
      </c>
      <c r="AG31" s="380" t="str">
        <f>Настройки!R31</f>
        <v>-</v>
      </c>
      <c r="AH31" s="380" t="str">
        <f>Настройки!S31</f>
        <v>-</v>
      </c>
      <c r="AI31" s="380" t="str">
        <f>Настройки!T31</f>
        <v>out29</v>
      </c>
      <c r="AJ31" s="380" t="str">
        <f>Настройки!U31</f>
        <v>out29</v>
      </c>
      <c r="AK31" s="380" t="str">
        <f>Настройки!V31</f>
        <v>-</v>
      </c>
      <c r="AL31" s="380" t="str">
        <f>Настройки!W31</f>
        <v>-</v>
      </c>
      <c r="AM31" s="380" t="str">
        <f>Настройки!X31</f>
        <v>-</v>
      </c>
      <c r="AN31" s="380" t="str">
        <f>Настройки!Y31</f>
        <v>-</v>
      </c>
      <c r="AO31" s="380" t="str">
        <f>Настройки!Z31</f>
        <v>-</v>
      </c>
      <c r="AP31" s="380" t="str">
        <f>Настройки!AA31</f>
        <v>Canal_30</v>
      </c>
      <c r="AQ31" s="380" t="str">
        <f>Настройки!AB31</f>
        <v>Canal_30</v>
      </c>
      <c r="AR31" s="380" t="str">
        <f>Настройки!AC31</f>
        <v>-</v>
      </c>
      <c r="AS31" s="380" t="str">
        <f>Настройки!AD31</f>
        <v>-</v>
      </c>
      <c r="AT31" s="207" t="str">
        <f>Настройки!AB31</f>
        <v>Canal_30</v>
      </c>
      <c r="AU31" s="207" t="str">
        <f>Настройки!AC31</f>
        <v>-</v>
      </c>
      <c r="AV31" s="207" t="str">
        <f>Настройки!AD31</f>
        <v>-</v>
      </c>
      <c r="AW31" s="207" t="str">
        <f>Настройки!AE31</f>
        <v>-</v>
      </c>
      <c r="AX31" s="207" t="str">
        <f>Настройки!AF31</f>
        <v>IDIG_8_2</v>
      </c>
      <c r="AY31" s="207" t="str">
        <f>Настройки!AG31</f>
        <v>Canal_30</v>
      </c>
      <c r="AZ31" s="207" t="str">
        <f>Настройки!AH31</f>
        <v>Canal_30</v>
      </c>
      <c r="BA31" s="207" t="str">
        <f>Настройки!AI31</f>
        <v>Canal_30</v>
      </c>
      <c r="BB31" s="207" t="str">
        <f>Настройки!AJ31</f>
        <v>-</v>
      </c>
      <c r="BC31" s="207" t="str">
        <f>Настройки!AK31</f>
        <v>-</v>
      </c>
      <c r="BD31" s="207" t="str">
        <f>Настройки!AL31</f>
        <v>Canal_30</v>
      </c>
      <c r="BE31" s="207" t="str">
        <f>Настройки!AM31</f>
        <v>-</v>
      </c>
    </row>
    <row r="32" spans="1:57">
      <c r="A32" s="82"/>
      <c r="B32" s="82"/>
      <c r="C32" s="81"/>
      <c r="D32" s="81"/>
      <c r="E32" s="81"/>
      <c r="F32" s="81"/>
      <c r="G32" s="445"/>
      <c r="H32" s="445"/>
      <c r="I32" s="1"/>
      <c r="M32" s="424" t="str">
        <f>'Конфигурация TREI'!A33</f>
        <v>BR31</v>
      </c>
      <c r="N32" s="424" t="str">
        <f>'Конфигурация TREI'!B33</f>
        <v>M558D</v>
      </c>
      <c r="AE32" s="428">
        <f>Настройки!P32</f>
        <v>31</v>
      </c>
      <c r="AF32" s="380">
        <f>Настройки!Q32</f>
        <v>0</v>
      </c>
      <c r="AG32" s="380" t="str">
        <f>Настройки!R32</f>
        <v>-</v>
      </c>
      <c r="AH32" s="380" t="str">
        <f>Настройки!S32</f>
        <v>-</v>
      </c>
      <c r="AI32" s="380" t="str">
        <f>Настройки!T32</f>
        <v>out30</v>
      </c>
      <c r="AJ32" s="380" t="str">
        <f>Настройки!U32</f>
        <v>out30</v>
      </c>
      <c r="AK32" s="380" t="str">
        <f>Настройки!V32</f>
        <v>-</v>
      </c>
      <c r="AL32" s="380" t="str">
        <f>Настройки!W32</f>
        <v>-</v>
      </c>
      <c r="AM32" s="380" t="str">
        <f>Настройки!X32</f>
        <v>-</v>
      </c>
      <c r="AN32" s="380" t="str">
        <f>Настройки!Y32</f>
        <v>-</v>
      </c>
      <c r="AO32" s="380" t="str">
        <f>Настройки!Z32</f>
        <v>-</v>
      </c>
      <c r="AP32" s="380" t="str">
        <f>Настройки!AA32</f>
        <v>Canal_31</v>
      </c>
      <c r="AQ32" s="380" t="str">
        <f>Настройки!AB32</f>
        <v>Canal_31</v>
      </c>
      <c r="AR32" s="380" t="str">
        <f>Настройки!AC32</f>
        <v>-</v>
      </c>
      <c r="AS32" s="380" t="str">
        <f>Настройки!AD32</f>
        <v>-</v>
      </c>
      <c r="AT32" s="207" t="str">
        <f>Настройки!AB32</f>
        <v>Canal_31</v>
      </c>
      <c r="AU32" s="207" t="str">
        <f>Настройки!AC32</f>
        <v>-</v>
      </c>
      <c r="AV32" s="207" t="str">
        <f>Настройки!AD32</f>
        <v>-</v>
      </c>
      <c r="AW32" s="207" t="str">
        <f>Настройки!AE32</f>
        <v>-</v>
      </c>
      <c r="AX32" s="207" t="str">
        <f>Настройки!AF32</f>
        <v>IDIG_8_3</v>
      </c>
      <c r="AY32" s="207" t="str">
        <f>Настройки!AG32</f>
        <v>Canal_31</v>
      </c>
      <c r="AZ32" s="207" t="str">
        <f>Настройки!AH32</f>
        <v>Canal_31</v>
      </c>
      <c r="BA32" s="207" t="str">
        <f>Настройки!AI32</f>
        <v>Canal_31</v>
      </c>
      <c r="BB32" s="207" t="str">
        <f>Настройки!AJ32</f>
        <v>-</v>
      </c>
      <c r="BC32" s="207" t="str">
        <f>Настройки!AK32</f>
        <v>-</v>
      </c>
      <c r="BD32" s="207" t="str">
        <f>Настройки!AL32</f>
        <v>Canal_31</v>
      </c>
      <c r="BE32" s="207" t="str">
        <f>Настройки!AM32</f>
        <v>-</v>
      </c>
    </row>
    <row r="33" spans="1:57">
      <c r="A33" s="82"/>
      <c r="B33" s="82"/>
      <c r="C33" s="81"/>
      <c r="D33" s="81"/>
      <c r="E33" s="81"/>
      <c r="F33" s="81"/>
      <c r="G33" s="445"/>
      <c r="H33" s="445"/>
      <c r="I33" s="1"/>
      <c r="M33" s="424" t="str">
        <f>'Конфигурация TREI'!A34</f>
        <v>BR32</v>
      </c>
      <c r="N33" s="424" t="str">
        <f>'Конфигурация TREI'!B34</f>
        <v>M558D</v>
      </c>
      <c r="AE33" s="620">
        <f>Настройки!P33</f>
        <v>32</v>
      </c>
      <c r="AF33" s="621">
        <f>Настройки!Q33</f>
        <v>0</v>
      </c>
      <c r="AG33" s="621" t="str">
        <f>Настройки!R33</f>
        <v>-</v>
      </c>
      <c r="AH33" s="621" t="str">
        <f>Настройки!S33</f>
        <v>-</v>
      </c>
      <c r="AI33" s="621" t="str">
        <f>Настройки!T33</f>
        <v>out31</v>
      </c>
      <c r="AJ33" s="621" t="str">
        <f>Настройки!U33</f>
        <v>out31</v>
      </c>
      <c r="AK33" s="621" t="str">
        <f>Настройки!V33</f>
        <v>-</v>
      </c>
      <c r="AL33" s="621" t="str">
        <f>Настройки!W33</f>
        <v>-</v>
      </c>
      <c r="AM33" s="621" t="str">
        <f>Настройки!X33</f>
        <v>-</v>
      </c>
      <c r="AN33" s="621" t="str">
        <f>Настройки!Y33</f>
        <v>-</v>
      </c>
      <c r="AO33" s="621" t="str">
        <f>Настройки!Z33</f>
        <v>-</v>
      </c>
      <c r="AP33" s="621" t="str">
        <f>Настройки!AA33</f>
        <v>Canal_32</v>
      </c>
      <c r="AQ33" s="621" t="str">
        <f>Настройки!AB33</f>
        <v>Canal_32</v>
      </c>
      <c r="AR33" s="621" t="str">
        <f>Настройки!AC33</f>
        <v>-</v>
      </c>
      <c r="AS33" s="621" t="str">
        <f>Настройки!AD33</f>
        <v>-</v>
      </c>
      <c r="AT33" s="622" t="str">
        <f>Настройки!AB33</f>
        <v>Canal_32</v>
      </c>
      <c r="AU33" s="622" t="str">
        <f>Настройки!AC33</f>
        <v>-</v>
      </c>
      <c r="AV33" s="622" t="str">
        <f>Настройки!AD33</f>
        <v>-</v>
      </c>
      <c r="AW33" s="622" t="str">
        <f>Настройки!AE33</f>
        <v>-</v>
      </c>
      <c r="AX33" s="622" t="str">
        <f>Настройки!AF33</f>
        <v>IDIG_8_4</v>
      </c>
      <c r="AY33" s="622" t="str">
        <f>Настройки!AG33</f>
        <v>Canal_32</v>
      </c>
      <c r="AZ33" s="622" t="str">
        <f>Настройки!AH33</f>
        <v>Canal_32</v>
      </c>
      <c r="BA33" s="622" t="str">
        <f>Настройки!AI33</f>
        <v>Canal_32</v>
      </c>
      <c r="BB33" s="622" t="str">
        <f>Настройки!AJ33</f>
        <v>-</v>
      </c>
      <c r="BC33" s="622" t="str">
        <f>Настройки!AK33</f>
        <v>-</v>
      </c>
      <c r="BD33" s="622" t="str">
        <f>Настройки!AL33</f>
        <v>Canal_32</v>
      </c>
      <c r="BE33" s="622" t="str">
        <f>Настройки!AM33</f>
        <v>-</v>
      </c>
    </row>
    <row r="34" spans="1:57">
      <c r="A34" s="82"/>
      <c r="B34" s="82"/>
      <c r="C34" s="81"/>
      <c r="D34" s="81"/>
      <c r="E34" s="81"/>
      <c r="F34" s="81"/>
      <c r="G34" s="445"/>
      <c r="H34" s="445"/>
      <c r="I34" s="1"/>
      <c r="M34" s="424" t="str">
        <f>'Конфигурация TREI'!A35</f>
        <v>BR33</v>
      </c>
      <c r="N34" s="424" t="str">
        <f>'Конфигурация TREI'!B35</f>
        <v>M558D</v>
      </c>
      <c r="AE34" s="624"/>
      <c r="AF34" s="624"/>
      <c r="AG34" s="624"/>
      <c r="AH34" s="624"/>
      <c r="AI34" s="624"/>
      <c r="AJ34" s="624"/>
      <c r="AK34" s="624"/>
      <c r="AL34" s="624"/>
      <c r="AM34" s="624"/>
      <c r="AN34" s="624"/>
      <c r="AO34" s="624"/>
      <c r="AP34" s="624"/>
      <c r="AQ34" s="624"/>
      <c r="AR34" s="624"/>
      <c r="AS34" s="624"/>
      <c r="AT34" s="625"/>
      <c r="AU34" s="625"/>
      <c r="AV34" s="625"/>
      <c r="AW34" s="625"/>
      <c r="AX34" s="625"/>
      <c r="AY34" s="625"/>
      <c r="AZ34" s="625"/>
      <c r="BA34" s="625"/>
      <c r="BB34" s="625"/>
      <c r="BC34" s="625"/>
      <c r="BD34" s="625"/>
      <c r="BE34" s="625"/>
    </row>
    <row r="35" spans="1:57">
      <c r="A35" s="82"/>
      <c r="B35" s="82"/>
      <c r="C35" s="81"/>
      <c r="D35" s="81"/>
      <c r="E35" s="81"/>
      <c r="F35" s="81"/>
      <c r="G35" s="445"/>
      <c r="H35" s="445"/>
      <c r="I35" s="1"/>
      <c r="M35" s="424" t="str">
        <f>'Конфигурация TREI'!A36</f>
        <v>BR34</v>
      </c>
      <c r="N35" s="424" t="str">
        <f>'Конфигурация TREI'!B36</f>
        <v>M558D</v>
      </c>
      <c r="AE35" s="505"/>
      <c r="AF35" s="505"/>
      <c r="AG35" s="505"/>
      <c r="AH35" s="505"/>
      <c r="AI35" s="505"/>
      <c r="AJ35" s="505"/>
      <c r="AK35" s="505"/>
      <c r="AL35" s="505"/>
      <c r="AM35" s="505"/>
      <c r="AN35" s="505"/>
      <c r="AO35" s="505"/>
      <c r="AP35" s="505"/>
      <c r="AQ35" s="505"/>
      <c r="AR35" s="505"/>
      <c r="AS35" s="505"/>
      <c r="AT35" s="623"/>
      <c r="AU35" s="623"/>
      <c r="AV35" s="623"/>
      <c r="AW35" s="623"/>
      <c r="AX35" s="623"/>
      <c r="AY35" s="623"/>
      <c r="AZ35" s="623"/>
      <c r="BA35" s="623"/>
      <c r="BB35" s="623"/>
      <c r="BC35" s="623"/>
      <c r="BD35" s="623"/>
      <c r="BE35" s="623"/>
    </row>
    <row r="36" spans="1:57">
      <c r="A36" s="82"/>
      <c r="B36" s="82"/>
      <c r="C36" s="81"/>
      <c r="D36" s="81"/>
      <c r="E36" s="81"/>
      <c r="F36" s="81"/>
      <c r="G36" s="445"/>
      <c r="H36" s="445"/>
      <c r="I36" s="1"/>
      <c r="M36" s="424" t="str">
        <f>'Конфигурация TREI'!A37</f>
        <v>BR35</v>
      </c>
      <c r="N36" s="424" t="str">
        <f>'Конфигурация TREI'!B37</f>
        <v>M558D</v>
      </c>
      <c r="AE36" s="505"/>
      <c r="AF36" s="505"/>
      <c r="AG36" s="505"/>
      <c r="AH36" s="505"/>
      <c r="AI36" s="505"/>
      <c r="AJ36" s="505"/>
      <c r="AK36" s="505"/>
      <c r="AL36" s="505"/>
      <c r="AM36" s="505"/>
      <c r="AN36" s="505"/>
      <c r="AO36" s="505"/>
      <c r="AP36" s="505"/>
      <c r="AQ36" s="505"/>
      <c r="AR36" s="505"/>
      <c r="AS36" s="505"/>
      <c r="AT36" s="623"/>
      <c r="AU36" s="623"/>
      <c r="AV36" s="623"/>
      <c r="AW36" s="623"/>
      <c r="AX36" s="623"/>
      <c r="AY36" s="623"/>
      <c r="AZ36" s="623"/>
      <c r="BA36" s="623"/>
      <c r="BB36" s="623"/>
      <c r="BC36" s="623"/>
      <c r="BD36" s="623"/>
      <c r="BE36" s="623"/>
    </row>
    <row r="37" spans="1:57" ht="15.75" customHeight="1">
      <c r="A37" s="82"/>
      <c r="B37" s="82"/>
      <c r="C37" s="81"/>
      <c r="D37" s="81"/>
      <c r="E37" s="81"/>
      <c r="F37" s="81"/>
      <c r="G37" s="445"/>
      <c r="H37" s="445"/>
      <c r="I37" s="1"/>
      <c r="M37" s="424" t="str">
        <f>'Конфигурация TREI'!A38</f>
        <v>BR36</v>
      </c>
      <c r="N37" s="424">
        <f>'Конфигурация TREI'!B38</f>
        <v>0</v>
      </c>
      <c r="AE37" s="505"/>
      <c r="AF37" s="505"/>
      <c r="AG37" s="505"/>
      <c r="AH37" s="505"/>
      <c r="AI37" s="505"/>
      <c r="AJ37" s="505"/>
      <c r="AK37" s="505"/>
      <c r="AL37" s="505"/>
      <c r="AM37" s="505"/>
      <c r="AN37" s="505"/>
      <c r="AO37" s="505"/>
      <c r="AP37" s="505"/>
      <c r="AQ37" s="505"/>
      <c r="AR37" s="505"/>
      <c r="AS37" s="505"/>
      <c r="AT37" s="623"/>
      <c r="AU37" s="623"/>
      <c r="AV37" s="623"/>
      <c r="AW37" s="623"/>
      <c r="AX37" s="623"/>
      <c r="AY37" s="623"/>
      <c r="AZ37" s="623"/>
      <c r="BA37" s="623"/>
      <c r="BB37" s="623"/>
      <c r="BC37" s="623"/>
      <c r="BD37" s="623"/>
      <c r="BE37" s="623"/>
    </row>
    <row r="38" spans="1:57">
      <c r="A38" s="82"/>
      <c r="B38" s="82"/>
      <c r="C38" s="81"/>
      <c r="D38" s="81"/>
      <c r="E38" s="81"/>
      <c r="F38" s="81"/>
      <c r="G38" s="445"/>
      <c r="H38" s="445"/>
      <c r="I38" s="1"/>
      <c r="M38" s="424" t="str">
        <f>'Конфигурация TREI'!A39</f>
        <v>BR37</v>
      </c>
      <c r="N38" s="424">
        <f>'Конфигурация TREI'!B39</f>
        <v>0</v>
      </c>
      <c r="AE38" s="505"/>
      <c r="AF38" s="505"/>
      <c r="AG38" s="505"/>
      <c r="AH38" s="505"/>
      <c r="AI38" s="505"/>
      <c r="AJ38" s="505"/>
      <c r="AK38" s="505"/>
      <c r="AL38" s="505"/>
      <c r="AM38" s="505"/>
      <c r="AN38" s="505"/>
      <c r="AO38" s="505"/>
      <c r="AP38" s="505"/>
      <c r="AQ38" s="505"/>
      <c r="AR38" s="505"/>
      <c r="AS38" s="505"/>
      <c r="AT38" s="623"/>
      <c r="AU38" s="623"/>
      <c r="AV38" s="623"/>
      <c r="AW38" s="623"/>
      <c r="AX38" s="623"/>
      <c r="AY38" s="623"/>
      <c r="AZ38" s="623"/>
      <c r="BA38" s="623"/>
      <c r="BB38" s="623"/>
      <c r="BC38" s="623"/>
      <c r="BD38" s="623"/>
      <c r="BE38" s="623"/>
    </row>
    <row r="39" spans="1:57">
      <c r="A39" s="82"/>
      <c r="B39" s="82"/>
      <c r="C39" s="81"/>
      <c r="D39" s="81"/>
      <c r="E39" s="81"/>
      <c r="F39" s="81"/>
      <c r="G39" s="445"/>
      <c r="H39" s="445"/>
      <c r="I39" s="1"/>
      <c r="M39" s="424" t="str">
        <f>'Конфигурация TREI'!A40</f>
        <v>BR38</v>
      </c>
      <c r="N39" s="424">
        <f>'Конфигурация TREI'!B40</f>
        <v>0</v>
      </c>
      <c r="AE39" s="505"/>
      <c r="AF39" s="505"/>
      <c r="AG39" s="505"/>
      <c r="AH39" s="505"/>
      <c r="AI39" s="505"/>
      <c r="AJ39" s="505"/>
      <c r="AK39" s="505"/>
      <c r="AL39" s="505"/>
      <c r="AM39" s="505"/>
      <c r="AN39" s="505"/>
      <c r="AO39" s="505"/>
      <c r="AP39" s="505"/>
      <c r="AQ39" s="505"/>
      <c r="AR39" s="505"/>
      <c r="AS39" s="505"/>
      <c r="AT39" s="623"/>
      <c r="AU39" s="623"/>
      <c r="AV39" s="623"/>
      <c r="AW39" s="623"/>
      <c r="AX39" s="623"/>
      <c r="AY39" s="623"/>
      <c r="AZ39" s="623"/>
      <c r="BA39" s="623"/>
      <c r="BB39" s="623"/>
      <c r="BC39" s="623"/>
      <c r="BD39" s="623"/>
      <c r="BE39" s="623"/>
    </row>
    <row r="40" spans="1:57">
      <c r="A40" s="82"/>
      <c r="B40" s="82"/>
      <c r="C40" s="81"/>
      <c r="D40" s="81"/>
      <c r="E40" s="81"/>
      <c r="F40" s="81"/>
      <c r="G40" s="445"/>
      <c r="H40" s="445"/>
      <c r="I40" s="1"/>
      <c r="M40" s="424" t="str">
        <f>'Конфигурация TREI'!A41</f>
        <v>BR39</v>
      </c>
      <c r="N40" s="424">
        <f>'Конфигурация TREI'!B41</f>
        <v>0</v>
      </c>
      <c r="AE40" s="505"/>
      <c r="AF40" s="505"/>
      <c r="AG40" s="505"/>
      <c r="AH40" s="505"/>
      <c r="AI40" s="505"/>
      <c r="AJ40" s="505"/>
      <c r="AK40" s="505"/>
      <c r="AL40" s="505"/>
      <c r="AM40" s="505"/>
      <c r="AN40" s="505"/>
      <c r="AO40" s="505"/>
      <c r="AP40" s="505"/>
      <c r="AQ40" s="505"/>
      <c r="AR40" s="505"/>
      <c r="AS40" s="505"/>
      <c r="AT40" s="623"/>
      <c r="AU40" s="623"/>
      <c r="AV40" s="623"/>
      <c r="AW40" s="623"/>
      <c r="AX40" s="623"/>
      <c r="AY40" s="623"/>
      <c r="AZ40" s="623"/>
      <c r="BA40" s="623"/>
      <c r="BB40" s="623"/>
      <c r="BC40" s="623"/>
      <c r="BD40" s="623"/>
      <c r="BE40" s="623"/>
    </row>
    <row r="41" spans="1:57">
      <c r="A41" s="82"/>
      <c r="B41" s="82"/>
      <c r="C41" s="81"/>
      <c r="D41" s="81"/>
      <c r="E41" s="81"/>
      <c r="F41" s="81"/>
      <c r="G41" s="445"/>
      <c r="H41" s="445"/>
      <c r="I41" s="1"/>
      <c r="M41" s="424" t="str">
        <f>'Конфигурация TREI'!A42</f>
        <v>BR40</v>
      </c>
      <c r="N41" s="424">
        <f>'Конфигурация TREI'!B42</f>
        <v>0</v>
      </c>
      <c r="AE41" s="505"/>
      <c r="AF41" s="505"/>
      <c r="AG41" s="505"/>
      <c r="AH41" s="505"/>
      <c r="AI41" s="505"/>
      <c r="AJ41" s="505"/>
      <c r="AK41" s="505"/>
      <c r="AL41" s="505"/>
      <c r="AM41" s="505"/>
      <c r="AN41" s="505"/>
      <c r="AO41" s="505"/>
      <c r="AP41" s="505"/>
      <c r="AQ41" s="505"/>
      <c r="AR41" s="505"/>
      <c r="AS41" s="505"/>
      <c r="AT41" s="623"/>
      <c r="AU41" s="623"/>
      <c r="AV41" s="623"/>
      <c r="AW41" s="623"/>
      <c r="AX41" s="623"/>
      <c r="AY41" s="623"/>
      <c r="AZ41" s="623"/>
      <c r="BA41" s="623"/>
      <c r="BB41" s="623"/>
      <c r="BC41" s="623"/>
      <c r="BD41" s="623"/>
      <c r="BE41" s="623"/>
    </row>
    <row r="42" spans="1:57">
      <c r="A42" s="82"/>
      <c r="B42" s="82"/>
      <c r="C42" s="81"/>
      <c r="D42" s="81"/>
      <c r="E42" s="81"/>
      <c r="F42" s="81"/>
      <c r="G42" s="445"/>
      <c r="H42" s="445"/>
      <c r="I42" s="1"/>
      <c r="M42" s="424" t="str">
        <f>'Конфигурация TREI'!A42</f>
        <v>BR40</v>
      </c>
      <c r="N42" s="424">
        <f>'Конфигурация TREI'!B43</f>
        <v>0</v>
      </c>
      <c r="AE42" s="505"/>
      <c r="AF42" s="505"/>
      <c r="AG42" s="505"/>
      <c r="AH42" s="505"/>
      <c r="AI42" s="505"/>
      <c r="AJ42" s="505"/>
      <c r="AK42" s="505"/>
      <c r="AL42" s="505"/>
      <c r="AM42" s="505"/>
      <c r="AN42" s="505"/>
      <c r="AO42" s="505"/>
      <c r="AP42" s="505"/>
      <c r="AQ42" s="505"/>
      <c r="AR42" s="505"/>
      <c r="AS42" s="505"/>
      <c r="AT42" s="623"/>
      <c r="AU42" s="623"/>
      <c r="AV42" s="623"/>
      <c r="AW42" s="623"/>
      <c r="AX42" s="623"/>
      <c r="AY42" s="623"/>
      <c r="AZ42" s="623"/>
      <c r="BA42" s="623"/>
      <c r="BB42" s="623"/>
      <c r="BC42" s="623"/>
      <c r="BD42" s="623"/>
      <c r="BE42" s="623"/>
    </row>
    <row r="43" spans="1:57">
      <c r="A43" s="82"/>
      <c r="B43" s="82"/>
      <c r="C43" s="81"/>
      <c r="D43" s="81"/>
      <c r="E43" s="81"/>
      <c r="F43" s="81"/>
      <c r="G43" s="445"/>
      <c r="H43" s="445"/>
      <c r="I43" s="1"/>
      <c r="M43" s="424" t="str">
        <f>'Конфигурация TREI'!A44</f>
        <v>BR42</v>
      </c>
      <c r="N43" s="424">
        <f>'Конфигурация TREI'!B44</f>
        <v>0</v>
      </c>
      <c r="AE43" s="505"/>
      <c r="AF43" s="505"/>
      <c r="AG43" s="505"/>
      <c r="AH43" s="505"/>
      <c r="AI43" s="505"/>
      <c r="AJ43" s="505"/>
      <c r="AK43" s="505"/>
      <c r="AL43" s="505"/>
      <c r="AM43" s="505"/>
      <c r="AN43" s="505"/>
      <c r="AO43" s="505"/>
      <c r="AP43" s="505"/>
      <c r="AQ43" s="505"/>
      <c r="AR43" s="505"/>
      <c r="AS43" s="505"/>
      <c r="AT43" s="623"/>
      <c r="AU43" s="623"/>
      <c r="AV43" s="623"/>
      <c r="AW43" s="623"/>
      <c r="AX43" s="623"/>
      <c r="AY43" s="623"/>
      <c r="AZ43" s="623"/>
      <c r="BA43" s="623"/>
      <c r="BB43" s="623"/>
      <c r="BC43" s="623"/>
      <c r="BD43" s="623"/>
      <c r="BE43" s="623"/>
    </row>
    <row r="44" spans="1:57">
      <c r="A44" s="82"/>
      <c r="B44" s="82"/>
      <c r="C44" s="81"/>
      <c r="D44" s="81"/>
      <c r="E44" s="81"/>
      <c r="F44" s="81"/>
      <c r="G44" s="445"/>
      <c r="H44" s="445"/>
      <c r="I44" s="1"/>
      <c r="M44" s="424" t="str">
        <f>'Конфигурация TREI'!A45</f>
        <v>BR43</v>
      </c>
      <c r="N44" s="424">
        <f>'Конфигурация TREI'!B45</f>
        <v>0</v>
      </c>
      <c r="AE44" s="505"/>
      <c r="AF44" s="505"/>
      <c r="AG44" s="505"/>
      <c r="AH44" s="505"/>
      <c r="AI44" s="505"/>
      <c r="AJ44" s="505"/>
      <c r="AK44" s="505"/>
      <c r="AL44" s="505"/>
      <c r="AM44" s="505"/>
      <c r="AN44" s="505"/>
      <c r="AO44" s="505"/>
      <c r="AP44" s="505"/>
      <c r="AQ44" s="505"/>
      <c r="AR44" s="505"/>
      <c r="AS44" s="505"/>
      <c r="AT44" s="623"/>
      <c r="AU44" s="623"/>
      <c r="AV44" s="623"/>
      <c r="AW44" s="623"/>
      <c r="AX44" s="623"/>
      <c r="AY44" s="623"/>
      <c r="AZ44" s="623"/>
      <c r="BA44" s="623"/>
      <c r="BB44" s="623"/>
      <c r="BC44" s="623"/>
      <c r="BD44" s="623"/>
      <c r="BE44" s="623"/>
    </row>
    <row r="45" spans="1:57">
      <c r="A45" s="82"/>
      <c r="B45" s="82"/>
      <c r="C45" s="81"/>
      <c r="D45" s="81"/>
      <c r="E45" s="81"/>
      <c r="F45" s="81"/>
      <c r="G45" s="445"/>
      <c r="H45" s="445"/>
      <c r="I45" s="1"/>
      <c r="M45" s="424" t="str">
        <f>'Конфигурация TREI'!A46</f>
        <v>BR44</v>
      </c>
      <c r="N45" s="424">
        <f>'Конфигурация TREI'!B46</f>
        <v>0</v>
      </c>
      <c r="AE45" s="505"/>
      <c r="AF45" s="505"/>
      <c r="AG45" s="505"/>
      <c r="AH45" s="505"/>
      <c r="AI45" s="505"/>
      <c r="AJ45" s="505"/>
      <c r="AK45" s="505"/>
      <c r="AL45" s="505"/>
      <c r="AM45" s="505"/>
      <c r="AN45" s="505"/>
      <c r="AO45" s="505"/>
      <c r="AP45" s="505"/>
      <c r="AQ45" s="505"/>
      <c r="AR45" s="505"/>
      <c r="AS45" s="505"/>
      <c r="AT45" s="623"/>
      <c r="AU45" s="623"/>
      <c r="AV45" s="623"/>
      <c r="AW45" s="623"/>
      <c r="AX45" s="623"/>
      <c r="AY45" s="623"/>
      <c r="AZ45" s="623"/>
      <c r="BA45" s="623"/>
      <c r="BB45" s="623"/>
      <c r="BC45" s="623"/>
      <c r="BD45" s="623"/>
      <c r="BE45" s="623"/>
    </row>
    <row r="46" spans="1:57">
      <c r="A46" s="82"/>
      <c r="B46" s="82"/>
      <c r="C46" s="81"/>
      <c r="D46" s="81"/>
      <c r="E46" s="81"/>
      <c r="F46" s="81"/>
      <c r="G46" s="445"/>
      <c r="H46" s="445"/>
      <c r="I46" s="1"/>
      <c r="M46" s="424" t="str">
        <f>'Конфигурация TREI'!A47</f>
        <v>BR45</v>
      </c>
      <c r="N46" s="424">
        <f>'Конфигурация TREI'!B47</f>
        <v>0</v>
      </c>
      <c r="AE46" s="505"/>
      <c r="AF46" s="505"/>
      <c r="AG46" s="505"/>
      <c r="AH46" s="505"/>
      <c r="AI46" s="505"/>
      <c r="AJ46" s="505"/>
      <c r="AK46" s="505"/>
      <c r="AL46" s="505"/>
      <c r="AM46" s="505"/>
      <c r="AN46" s="505"/>
      <c r="AO46" s="505"/>
      <c r="AP46" s="505"/>
      <c r="AQ46" s="505"/>
      <c r="AR46" s="505"/>
      <c r="AS46" s="505"/>
      <c r="AT46" s="623"/>
      <c r="AU46" s="623"/>
      <c r="AV46" s="623"/>
      <c r="AW46" s="623"/>
      <c r="AX46" s="623"/>
      <c r="AY46" s="623"/>
      <c r="AZ46" s="623"/>
      <c r="BA46" s="623"/>
      <c r="BB46" s="623"/>
      <c r="BC46" s="623"/>
      <c r="BD46" s="623"/>
      <c r="BE46" s="623"/>
    </row>
    <row r="47" spans="1:57">
      <c r="A47" s="82"/>
      <c r="B47" s="82"/>
      <c r="C47" s="81"/>
      <c r="D47" s="81"/>
      <c r="E47" s="81"/>
      <c r="F47" s="81"/>
      <c r="G47" s="445"/>
      <c r="H47" s="445"/>
      <c r="I47" s="1"/>
      <c r="M47" s="424" t="str">
        <f>'Конфигурация TREI'!A48</f>
        <v>BR46</v>
      </c>
      <c r="N47" s="424">
        <f>'Конфигурация TREI'!B48</f>
        <v>0</v>
      </c>
      <c r="AE47" s="505"/>
      <c r="AF47" s="505"/>
      <c r="AG47" s="505"/>
      <c r="AH47" s="505"/>
      <c r="AI47" s="505"/>
      <c r="AJ47" s="505"/>
      <c r="AK47" s="505"/>
      <c r="AL47" s="505"/>
      <c r="AM47" s="505"/>
      <c r="AN47" s="505"/>
      <c r="AO47" s="505"/>
      <c r="AP47" s="505"/>
      <c r="AQ47" s="505"/>
      <c r="AR47" s="505"/>
      <c r="AS47" s="505"/>
      <c r="AT47" s="623"/>
      <c r="AU47" s="623"/>
      <c r="AV47" s="623"/>
      <c r="AW47" s="623"/>
      <c r="AX47" s="623"/>
      <c r="AY47" s="623"/>
      <c r="AZ47" s="623"/>
      <c r="BA47" s="623"/>
      <c r="BB47" s="623"/>
      <c r="BC47" s="623"/>
      <c r="BD47" s="623"/>
      <c r="BE47" s="623"/>
    </row>
    <row r="48" spans="1:57">
      <c r="A48" s="82"/>
      <c r="B48" s="82"/>
      <c r="C48" s="81"/>
      <c r="D48" s="81"/>
      <c r="E48" s="81"/>
      <c r="F48" s="81"/>
      <c r="G48" s="445"/>
      <c r="H48" s="445"/>
      <c r="I48" s="1"/>
      <c r="M48" s="424" t="str">
        <f>'Конфигурация TREI'!A49</f>
        <v>BR47</v>
      </c>
      <c r="N48" s="424">
        <f>'Конфигурация TREI'!B49</f>
        <v>0</v>
      </c>
      <c r="AE48" s="505"/>
      <c r="AF48" s="505"/>
      <c r="AG48" s="505"/>
      <c r="AH48" s="505"/>
      <c r="AI48" s="505"/>
      <c r="AJ48" s="505"/>
      <c r="AK48" s="505"/>
      <c r="AL48" s="505"/>
      <c r="AM48" s="505"/>
      <c r="AN48" s="505"/>
      <c r="AO48" s="505"/>
      <c r="AP48" s="505"/>
      <c r="AQ48" s="505"/>
      <c r="AR48" s="505"/>
      <c r="AS48" s="505"/>
      <c r="AT48" s="623"/>
      <c r="AU48" s="623"/>
      <c r="AV48" s="623"/>
      <c r="AW48" s="623"/>
      <c r="AX48" s="623"/>
      <c r="AY48" s="623"/>
      <c r="AZ48" s="623"/>
      <c r="BA48" s="623"/>
      <c r="BB48" s="623"/>
      <c r="BC48" s="623"/>
      <c r="BD48" s="623"/>
      <c r="BE48" s="623"/>
    </row>
    <row r="49" spans="1:57">
      <c r="A49" s="1"/>
      <c r="B49" s="1"/>
      <c r="C49" s="1"/>
      <c r="D49" s="1"/>
      <c r="E49" s="1"/>
      <c r="F49" s="1"/>
      <c r="G49" s="1"/>
      <c r="H49" s="1"/>
      <c r="I49" s="1"/>
      <c r="M49" s="424" t="str">
        <f>'Конфигурация TREI'!A50</f>
        <v>BR48</v>
      </c>
      <c r="N49" s="424">
        <f>'Конфигурация TREI'!B50</f>
        <v>0</v>
      </c>
      <c r="AE49" s="505"/>
      <c r="AF49" s="505"/>
      <c r="AG49" s="505"/>
      <c r="AH49" s="505"/>
      <c r="AI49" s="505"/>
      <c r="AJ49" s="505"/>
      <c r="AK49" s="505"/>
      <c r="AL49" s="505"/>
      <c r="AM49" s="505"/>
      <c r="AN49" s="505"/>
      <c r="AO49" s="505"/>
      <c r="AP49" s="505"/>
      <c r="AQ49" s="505"/>
      <c r="AR49" s="505"/>
      <c r="AS49" s="505"/>
      <c r="AT49" s="623"/>
      <c r="AU49" s="623"/>
      <c r="AV49" s="623"/>
      <c r="AW49" s="623"/>
      <c r="AX49" s="623"/>
      <c r="AY49" s="623"/>
      <c r="AZ49" s="623"/>
      <c r="BA49" s="623"/>
      <c r="BB49" s="623"/>
      <c r="BC49" s="623"/>
      <c r="BD49" s="623"/>
      <c r="BE49" s="623"/>
    </row>
    <row r="50" spans="1:57" s="4" customFormat="1">
      <c r="A50" s="446" t="str">
        <f>"//*********** "&amp;Q2&amp;" ***********"</f>
        <v>//*********** Шлейф оповещения о пожаре ***********</v>
      </c>
      <c r="B50" s="446"/>
      <c r="C50" s="446"/>
      <c r="D50" s="446"/>
      <c r="E50" s="446"/>
      <c r="F50" s="446" t="s">
        <v>1031</v>
      </c>
      <c r="G50" s="447"/>
      <c r="H50" s="447"/>
      <c r="I50" s="459"/>
      <c r="M50" s="424" t="str">
        <f>'Конфигурация TREI'!A51</f>
        <v>BR49</v>
      </c>
      <c r="N50" s="424">
        <f>'Конфигурация TREI'!B51</f>
        <v>0</v>
      </c>
      <c r="R50" s="381"/>
      <c r="S50" s="381"/>
      <c r="T50" s="381"/>
      <c r="U50" s="381"/>
      <c r="V50" s="381"/>
      <c r="W50" s="381"/>
      <c r="X50" s="381"/>
      <c r="Y50" s="381"/>
      <c r="Z50" s="381"/>
      <c r="AA50" s="381"/>
      <c r="AB50" s="381"/>
      <c r="AC50" s="381"/>
      <c r="AD50" s="381"/>
      <c r="AE50" s="505"/>
      <c r="AF50" s="505"/>
      <c r="AG50" s="505"/>
      <c r="AH50" s="505"/>
      <c r="AI50" s="505"/>
      <c r="AJ50" s="505"/>
      <c r="AK50" s="505"/>
      <c r="AL50" s="505"/>
      <c r="AM50" s="505"/>
      <c r="AN50" s="505"/>
      <c r="AO50" s="505"/>
      <c r="AP50" s="505"/>
      <c r="AQ50" s="505"/>
      <c r="AR50" s="505"/>
      <c r="AS50" s="505"/>
      <c r="AT50" s="623"/>
      <c r="AU50" s="623"/>
      <c r="AV50" s="623"/>
      <c r="AW50" s="623"/>
      <c r="AX50" s="623"/>
      <c r="AY50" s="623"/>
      <c r="AZ50" s="623"/>
      <c r="BA50" s="623"/>
      <c r="BB50" s="623"/>
      <c r="BC50" s="623"/>
      <c r="BD50" s="623"/>
      <c r="BE50" s="623"/>
    </row>
    <row r="51" spans="1:57">
      <c r="A51" s="448" t="str">
        <f>$G$51&amp;"_"&amp;LEFT($R$3,FIND("+",$R$3,1)-1)&amp;"|"</f>
        <v>MUPS_1|</v>
      </c>
      <c r="B51" s="446" t="str">
        <f ca="1">IF($R$2=0,"УДАЛИТЬ",IFERROR(IF(OR($I51="-",$H51="0"),"КАНАЛ ОТСУТСТВУЕТ",IF($I51=0,"МОДУЛЬ ОТСУТСТВУЕТ",$I51)),"ОШИБКА ФОРМАТА"))</f>
        <v>OCCH[0]</v>
      </c>
      <c r="C51" s="446" t="s">
        <v>1860</v>
      </c>
      <c r="D51" s="446"/>
      <c r="E51" s="448" t="str">
        <f>SUBSTITUTE($P$2,"\","|")&amp;"|"&amp; "OXON" &amp;IF(LEFT(SUBSTITUTE($R$2," ",""),1)="!","NOT  ","")</f>
        <v>S_SHOP|OXON</v>
      </c>
      <c r="F51" s="446" t="s">
        <v>845</v>
      </c>
      <c r="G51" s="447" t="str">
        <f>LEFT(R2,4)</f>
        <v>MUPS</v>
      </c>
      <c r="H51" s="447" t="str">
        <f>RIGHT(R$3,LEN(R$3)-FIND("+",R$3,1))</f>
        <v>1</v>
      </c>
      <c r="I51" s="460" t="str">
        <f ca="1">IFERROR(INDIRECT(ADDRESS($H51+1+8,MATCH($G51,$1:$1,),1)),"УДАЛИТЬ")</f>
        <v>OCCH[0]</v>
      </c>
      <c r="M51" s="424" t="str">
        <f>'Конфигурация TREI'!A52</f>
        <v>BR50</v>
      </c>
      <c r="N51" s="424">
        <f>'Конфигурация TREI'!B52</f>
        <v>0</v>
      </c>
      <c r="AE51" s="505"/>
      <c r="AF51" s="505"/>
      <c r="AG51" s="505"/>
      <c r="AH51" s="505"/>
      <c r="AI51" s="505"/>
      <c r="AJ51" s="505"/>
      <c r="AK51" s="505"/>
      <c r="AL51" s="505"/>
      <c r="AM51" s="505"/>
      <c r="AN51" s="505"/>
      <c r="AO51" s="505"/>
      <c r="AP51" s="505"/>
      <c r="AQ51" s="505"/>
      <c r="AR51" s="505"/>
      <c r="AS51" s="505"/>
      <c r="AT51" s="623"/>
      <c r="AU51" s="623"/>
      <c r="AV51" s="623"/>
      <c r="AW51" s="623"/>
      <c r="AX51" s="623"/>
      <c r="AY51" s="623"/>
      <c r="AZ51" s="623"/>
      <c r="BA51" s="623"/>
      <c r="BB51" s="623"/>
      <c r="BC51" s="623"/>
      <c r="BD51" s="623"/>
      <c r="BE51" s="623"/>
    </row>
    <row r="52" spans="1:57">
      <c r="M52" s="424" t="str">
        <f>'Конфигурация TREI'!A53</f>
        <v>BR51</v>
      </c>
      <c r="N52" s="424">
        <f>'Конфигурация TREI'!B53</f>
        <v>0</v>
      </c>
    </row>
    <row r="53" spans="1:57">
      <c r="M53" s="424" t="str">
        <f>'Конфигурация TREI'!A54</f>
        <v>BR52</v>
      </c>
      <c r="N53" s="424">
        <f>'Конфигурация TREI'!B54</f>
        <v>0</v>
      </c>
    </row>
    <row r="54" spans="1:57">
      <c r="M54" s="424" t="str">
        <f>'Конфигурация TREI'!A55</f>
        <v>BR53</v>
      </c>
      <c r="N54" s="424">
        <f>'Конфигурация TREI'!B55</f>
        <v>0</v>
      </c>
    </row>
    <row r="55" spans="1:57">
      <c r="M55" s="424" t="str">
        <f>'Конфигурация TREI'!A56</f>
        <v>BR54</v>
      </c>
      <c r="N55" s="424">
        <f>'Конфигурация TREI'!B56</f>
        <v>0</v>
      </c>
    </row>
    <row r="56" spans="1:57">
      <c r="M56" s="424" t="str">
        <f>'Конфигурация TREI'!A57</f>
        <v>BR55</v>
      </c>
      <c r="N56" s="424">
        <f>'Конфигурация TREI'!B57</f>
        <v>0</v>
      </c>
    </row>
    <row r="57" spans="1:57">
      <c r="M57" s="424" t="str">
        <f>'Конфигурация TREI'!A57</f>
        <v>BR55</v>
      </c>
      <c r="N57" s="424">
        <f>'Конфигурация TREI'!B58</f>
        <v>0</v>
      </c>
    </row>
    <row r="58" spans="1:57">
      <c r="M58" s="424" t="str">
        <f>'Конфигурация TREI'!A59</f>
        <v>BR57</v>
      </c>
      <c r="N58" s="424">
        <f>'Конфигурация TREI'!B59</f>
        <v>0</v>
      </c>
    </row>
    <row r="59" spans="1:57">
      <c r="M59" s="424" t="str">
        <f>'Конфигурация TREI'!A60</f>
        <v>BR58</v>
      </c>
      <c r="N59" s="424">
        <f>'Конфигурация TREI'!B60</f>
        <v>0</v>
      </c>
    </row>
    <row r="60" spans="1:57">
      <c r="M60" s="424" t="str">
        <f>'Конфигурация TREI'!A61</f>
        <v>BR59</v>
      </c>
      <c r="N60" s="424">
        <f>'Конфигурация TREI'!B61</f>
        <v>0</v>
      </c>
    </row>
    <row r="61" spans="1:57">
      <c r="M61" s="424" t="str">
        <f>'Конфигурация TREI'!A62</f>
        <v>BR60</v>
      </c>
      <c r="N61" s="424">
        <f>'Конфигурация TREI'!B62</f>
        <v>0</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sheetPr codeName="Лист42">
    <tabColor theme="2" tint="-0.249977111117893"/>
  </sheetPr>
  <dimension ref="A1:BE61"/>
  <sheetViews>
    <sheetView workbookViewId="0">
      <selection activeCell="P2" sqref="P2:AD2"/>
    </sheetView>
  </sheetViews>
  <sheetFormatPr defaultRowHeight="14.4"/>
  <cols>
    <col min="1" max="1" width="35.44140625" customWidth="1"/>
    <col min="2" max="2" width="21.44140625" customWidth="1"/>
    <col min="3" max="3" width="3.44140625" customWidth="1"/>
    <col min="4" max="4" width="1.109375" customWidth="1"/>
    <col min="5" max="5" width="33.44140625" customWidth="1"/>
    <col min="6" max="6" width="17.6640625" customWidth="1"/>
    <col min="7" max="7" width="10.5546875" customWidth="1"/>
    <col min="8" max="8" width="14.33203125" customWidth="1"/>
    <col min="9" max="9" width="11.44140625" customWidth="1"/>
    <col min="10" max="10" width="9.109375" hidden="1" customWidth="1"/>
    <col min="11" max="11" width="10.88671875" customWidth="1"/>
    <col min="12" max="12" width="11.5546875" customWidth="1"/>
    <col min="13" max="15" width="9.109375" customWidth="1"/>
    <col min="16" max="16" width="34.6640625" customWidth="1"/>
    <col min="17" max="17" width="39.33203125" customWidth="1"/>
    <col min="18" max="30" width="26.109375" style="55" customWidth="1"/>
    <col min="31" max="31" width="4.5546875" style="427" customWidth="1"/>
    <col min="32" max="32" width="11.109375" customWidth="1"/>
  </cols>
  <sheetData>
    <row r="1" spans="1:57">
      <c r="A1" s="425"/>
      <c r="B1" s="425"/>
      <c r="C1" s="425"/>
      <c r="D1" s="425"/>
      <c r="E1" s="425"/>
      <c r="F1" s="425"/>
      <c r="G1" s="426" t="s">
        <v>846</v>
      </c>
      <c r="H1" s="426" t="s">
        <v>847</v>
      </c>
      <c r="I1" s="424" t="s">
        <v>1181</v>
      </c>
      <c r="J1" s="425"/>
      <c r="M1" s="424" t="str">
        <f>'Конфигурация TREI'!A1</f>
        <v>№ Модуля</v>
      </c>
      <c r="N1" s="424" t="str">
        <f>'Конфигурация TREI'!B2</f>
        <v>M501E(рез)</v>
      </c>
      <c r="O1" s="425"/>
      <c r="P1" s="425" t="str">
        <f>Таблица!D1</f>
        <v>Префикс для TREI
Тэг ОРС для INFINITY</v>
      </c>
      <c r="Q1" s="425" t="str">
        <f>Таблица!E1</f>
        <v>Комментарий для TREI и INFINITY</v>
      </c>
      <c r="R1" s="428" t="s">
        <v>1032</v>
      </c>
      <c r="S1" s="428"/>
      <c r="T1" s="428"/>
      <c r="U1" s="428"/>
      <c r="V1" s="428"/>
      <c r="W1" s="428"/>
      <c r="X1" s="428"/>
      <c r="Y1" s="428"/>
      <c r="Z1" s="428"/>
      <c r="AA1" s="428"/>
      <c r="AB1" s="428"/>
      <c r="AC1" s="428"/>
      <c r="AD1" s="429"/>
      <c r="AE1" s="438"/>
      <c r="AF1" s="438">
        <f>Настройки!Q1</f>
        <v>0</v>
      </c>
      <c r="AG1" s="438" t="str">
        <f>Настройки!R1</f>
        <v>M943DR</v>
      </c>
      <c r="AH1" s="438" t="str">
        <f>Настройки!S1</f>
        <v>M942A</v>
      </c>
      <c r="AI1" s="438" t="str">
        <f>Настройки!T1</f>
        <v>M957D</v>
      </c>
      <c r="AJ1" s="438" t="str">
        <f>Настройки!U1</f>
        <v>M957O</v>
      </c>
      <c r="AK1" s="438" t="str">
        <f>Настройки!V1</f>
        <v>M947R</v>
      </c>
      <c r="AL1" s="438" t="str">
        <f>Настройки!W1</f>
        <v>M931V</v>
      </c>
      <c r="AM1" s="438" t="str">
        <f>Настройки!X1</f>
        <v>M931T</v>
      </c>
      <c r="AN1" s="438" t="str">
        <f>Настройки!Y1</f>
        <v>M547A</v>
      </c>
      <c r="AO1" s="438" t="str">
        <f>Настройки!Z1</f>
        <v>M537V</v>
      </c>
      <c r="AP1" s="438" t="str">
        <f>Настройки!AA1</f>
        <v>M557D</v>
      </c>
      <c r="AQ1" s="438" t="str">
        <f>Настройки!AB1</f>
        <v>M557O</v>
      </c>
      <c r="AR1" s="438" t="str">
        <f>Настройки!AC1</f>
        <v>MOPS</v>
      </c>
      <c r="AS1" s="438" t="str">
        <f>Настройки!AD1</f>
        <v>MUPS</v>
      </c>
      <c r="AT1" s="439" t="str">
        <f>Настройки!AB1</f>
        <v>M557O</v>
      </c>
      <c r="AU1" s="439" t="str">
        <f>Настройки!AC1</f>
        <v>MOPS</v>
      </c>
      <c r="AV1" s="439" t="str">
        <f>Настройки!AD1</f>
        <v>MUPS</v>
      </c>
      <c r="AW1" s="439" t="str">
        <f>Настройки!AE1</f>
        <v>M941A</v>
      </c>
      <c r="AX1" s="439" t="str">
        <f>Настройки!AF1</f>
        <v>M954D</v>
      </c>
      <c r="AY1" s="439" t="str">
        <f>Настройки!AG1</f>
        <v>M557DR</v>
      </c>
      <c r="AZ1" s="439" t="str">
        <f>Настройки!AH1</f>
        <v>M558D</v>
      </c>
      <c r="BA1" s="439" t="str">
        <f>Настройки!AI1</f>
        <v>M558O</v>
      </c>
      <c r="BB1" s="439" t="str">
        <f>Настройки!AJ1</f>
        <v>M548A</v>
      </c>
      <c r="BC1" s="439" t="str">
        <f>Настройки!AK1</f>
        <v>M538V</v>
      </c>
      <c r="BD1" s="439" t="str">
        <f>Настройки!AL1</f>
        <v>M558DR</v>
      </c>
      <c r="BE1" s="439" t="str">
        <f>Настройки!AM1</f>
        <v>*</v>
      </c>
    </row>
    <row r="2" spans="1:57">
      <c r="A2" s="446" t="str">
        <f>"//*********** "&amp;Q2&amp;" ***********"</f>
        <v>//*********** Шлейф пожарной сигнализации ***********</v>
      </c>
      <c r="B2" s="446"/>
      <c r="C2" s="446"/>
      <c r="D2" s="446"/>
      <c r="E2" s="446"/>
      <c r="F2" s="446" t="s">
        <v>1031</v>
      </c>
      <c r="G2" s="447"/>
      <c r="H2" s="447"/>
      <c r="I2" s="459"/>
      <c r="M2" s="424" t="str">
        <f>'Конфигурация TREI'!A3</f>
        <v>BR1</v>
      </c>
      <c r="N2" s="424" t="str">
        <f>'Конфигурация TREI'!B3</f>
        <v>M558D</v>
      </c>
      <c r="P2" s="2" t="s">
        <v>422</v>
      </c>
      <c r="Q2" s="2" t="s">
        <v>428</v>
      </c>
      <c r="R2" s="379" t="s">
        <v>1298</v>
      </c>
      <c r="S2" s="378"/>
      <c r="T2" s="378"/>
      <c r="U2" s="378"/>
      <c r="V2" s="378"/>
      <c r="W2" s="378"/>
      <c r="X2" s="378"/>
      <c r="Y2" s="378"/>
      <c r="Z2" s="378"/>
      <c r="AA2" s="378"/>
      <c r="AB2" s="378"/>
      <c r="AC2" s="378"/>
      <c r="AE2" s="431">
        <f>Настройки!P2</f>
        <v>1</v>
      </c>
      <c r="AF2" s="380">
        <f>Настройки!Q2</f>
        <v>0</v>
      </c>
      <c r="AG2" s="380" t="str">
        <f>Настройки!R2</f>
        <v>IDIG_1_1</v>
      </c>
      <c r="AH2" s="380" t="str">
        <f>Настройки!S2</f>
        <v>IANS_1_3</v>
      </c>
      <c r="AI2" s="380" t="str">
        <f>Настройки!T2</f>
        <v>out0</v>
      </c>
      <c r="AJ2" s="380" t="str">
        <f>Настройки!U2</f>
        <v>out0</v>
      </c>
      <c r="AK2" s="380" t="str">
        <f>Настройки!V2</f>
        <v>ODIG_1</v>
      </c>
      <c r="AL2" s="380" t="str">
        <f>Настройки!W2</f>
        <v>OAN_1_1</v>
      </c>
      <c r="AM2" s="380" t="str">
        <f>Настройки!X2</f>
        <v>IANS_1_1</v>
      </c>
      <c r="AN2" s="380" t="str">
        <f>Настройки!Y2</f>
        <v>Canal_01</v>
      </c>
      <c r="AO2" s="380" t="str">
        <f>Настройки!Z2</f>
        <v>Canal_01</v>
      </c>
      <c r="AP2" s="380" t="str">
        <f>Настройки!AA2</f>
        <v>Canal_01</v>
      </c>
      <c r="AQ2" s="380" t="str">
        <f>Настройки!AB2</f>
        <v>Canal_01</v>
      </c>
      <c r="AR2" s="380" t="str">
        <f>Настройки!AC2</f>
        <v>IVXX[0]</v>
      </c>
      <c r="AS2" s="380" t="str">
        <f>Настройки!AD2</f>
        <v>IVXX[0]</v>
      </c>
      <c r="AT2" s="207" t="str">
        <f>Настройки!AB2</f>
        <v>Canal_01</v>
      </c>
      <c r="AU2" s="207" t="str">
        <f>Настройки!AC2</f>
        <v>IVXX[0]</v>
      </c>
      <c r="AV2" s="207" t="str">
        <f>Настройки!AD2</f>
        <v>IVXX[0]</v>
      </c>
      <c r="AW2" s="207" t="str">
        <f>Настройки!AE2</f>
        <v>IANS_1_1</v>
      </c>
      <c r="AX2" s="207" t="str">
        <f>Настройки!AF2</f>
        <v>IDIG_1_1</v>
      </c>
      <c r="AY2" s="207" t="str">
        <f>Настройки!AG2</f>
        <v>Canal_01</v>
      </c>
      <c r="AZ2" s="207" t="str">
        <f>Настройки!AH2</f>
        <v>Canal_01</v>
      </c>
      <c r="BA2" s="207" t="str">
        <f>Настройки!AI2</f>
        <v>Canal_01</v>
      </c>
      <c r="BB2" s="207" t="str">
        <f>Настройки!AJ2</f>
        <v>Canal_01</v>
      </c>
      <c r="BC2" s="207" t="str">
        <f>Настройки!AK2</f>
        <v>Canal_01</v>
      </c>
      <c r="BD2" s="207" t="str">
        <f>Настройки!AL2</f>
        <v>Canal_01</v>
      </c>
      <c r="BE2" s="207" t="str">
        <f>Настройки!AM2</f>
        <v>-</v>
      </c>
    </row>
    <row r="3" spans="1:57">
      <c r="A3" s="448" t="str">
        <f>SUBSTITUTE($P$2,"\","|")&amp;"|"&amp; $R$1 &amp;":="&amp;IF(LEFT(SUBSTITUTE($R$2," ",""),1)="!","NOT  ","")</f>
        <v>S_SHPS|IVXX:=</v>
      </c>
      <c r="B3" s="448" t="str">
        <f>$G$3&amp;"_"&amp;LEFT($R$3,FIND("+",$R$3,1)-1)</f>
        <v>MOPS_3</v>
      </c>
      <c r="C3" s="446"/>
      <c r="D3" s="446" t="s">
        <v>1861</v>
      </c>
      <c r="E3" s="446" t="str">
        <f ca="1">IF($R$2=0,"УДАЛИТЬ",IFERROR(IF(OR($I3="-",$H3="0"),"КАНАЛ ОТСУТСТВУЕТ",IF($I3=0,"МОДУЛЬ ОТСУТСТВУЕТ",$I3)),"ОШИБКА ФОРМАТА"))</f>
        <v>IVXX[0]</v>
      </c>
      <c r="F3" s="446" t="s">
        <v>845</v>
      </c>
      <c r="G3" s="447" t="str">
        <f>LEFT($R$2,4)</f>
        <v>MOPS</v>
      </c>
      <c r="H3" s="447" t="str">
        <f>RIGHT(R$3,LEN(R$3)-FIND("+",R$3,1))</f>
        <v>1</v>
      </c>
      <c r="I3" s="460" t="str">
        <f ca="1">INDIRECT(ADDRESS($H3+1,MATCH($G3,$1:$1,),1))</f>
        <v>IVXX[0]</v>
      </c>
      <c r="M3" s="424" t="str">
        <f>'Конфигурация TREI'!A4</f>
        <v>BR2</v>
      </c>
      <c r="N3" s="424" t="str">
        <f>'Конфигурация TREI'!B4</f>
        <v>M548A</v>
      </c>
      <c r="P3" s="425" t="str">
        <f>'Конфигурация TREI'!D1</f>
        <v>Путь TREI для сигналов NOT_LINK</v>
      </c>
      <c r="R3" s="451" t="str">
        <f>SUBSTITUTE(SUBSTITUTE(SUBSTITUTE(SUBSTITUTE($R$2,"!","")," ",""),"MUPS",""),"MOPS","")</f>
        <v>3+1</v>
      </c>
      <c r="S3" s="450"/>
      <c r="T3" s="450"/>
      <c r="U3" s="450"/>
      <c r="V3" s="450"/>
      <c r="W3" s="450"/>
      <c r="X3" s="450"/>
      <c r="Y3" s="450"/>
      <c r="Z3" s="450"/>
      <c r="AA3" s="450"/>
      <c r="AB3" s="450"/>
      <c r="AC3" s="450"/>
      <c r="AE3" s="431">
        <f>Настройки!P3</f>
        <v>2</v>
      </c>
      <c r="AF3" s="380">
        <f>Настройки!Q3</f>
        <v>0</v>
      </c>
      <c r="AG3" s="380" t="str">
        <f>Настройки!R3</f>
        <v>IDIG_1_2</v>
      </c>
      <c r="AH3" s="380" t="str">
        <f>Настройки!S3</f>
        <v>IANS_1_4</v>
      </c>
      <c r="AI3" s="380" t="str">
        <f>Настройки!T3</f>
        <v>out1</v>
      </c>
      <c r="AJ3" s="380" t="str">
        <f>Настройки!U3</f>
        <v>out1</v>
      </c>
      <c r="AK3" s="380" t="str">
        <f>Настройки!V3</f>
        <v>ODIG_2</v>
      </c>
      <c r="AL3" s="380" t="str">
        <f>Настройки!W3</f>
        <v>OAN_2_1</v>
      </c>
      <c r="AM3" s="380" t="str">
        <f>Настройки!X3</f>
        <v>IANS_2_1</v>
      </c>
      <c r="AN3" s="380" t="str">
        <f>Настройки!Y3</f>
        <v>Canal_02</v>
      </c>
      <c r="AO3" s="380" t="str">
        <f>Настройки!Z3</f>
        <v>Canal_02</v>
      </c>
      <c r="AP3" s="380" t="str">
        <f>Настройки!AA3</f>
        <v>Canal_02</v>
      </c>
      <c r="AQ3" s="380" t="str">
        <f>Настройки!AB3</f>
        <v>Canal_02</v>
      </c>
      <c r="AR3" s="380" t="str">
        <f>Настройки!AC3</f>
        <v>IVXX[1]</v>
      </c>
      <c r="AS3" s="380" t="str">
        <f>Настройки!AD3</f>
        <v>IVXX[1]</v>
      </c>
      <c r="AT3" s="207" t="str">
        <f>Настройки!AB3</f>
        <v>Canal_02</v>
      </c>
      <c r="AU3" s="207" t="str">
        <f>Настройки!AC3</f>
        <v>IVXX[1]</v>
      </c>
      <c r="AV3" s="207" t="str">
        <f>Настройки!AD3</f>
        <v>IVXX[1]</v>
      </c>
      <c r="AW3" s="207" t="str">
        <f>Настройки!AE3</f>
        <v>IANS_1_2</v>
      </c>
      <c r="AX3" s="207" t="str">
        <f>Настройки!AF3</f>
        <v>IDIG_1_2</v>
      </c>
      <c r="AY3" s="207" t="str">
        <f>Настройки!AG3</f>
        <v>Canal_02</v>
      </c>
      <c r="AZ3" s="207" t="str">
        <f>Настройки!AH3</f>
        <v>Canal_02</v>
      </c>
      <c r="BA3" s="207" t="str">
        <f>Настройки!AI3</f>
        <v>Canal_02</v>
      </c>
      <c r="BB3" s="207" t="str">
        <f>Настройки!AJ3</f>
        <v>Canal_02</v>
      </c>
      <c r="BC3" s="207" t="str">
        <f>Настройки!AK3</f>
        <v>Canal_02</v>
      </c>
      <c r="BD3" s="207" t="str">
        <f>Настройки!AL3</f>
        <v>Canal_02</v>
      </c>
      <c r="BE3" s="207" t="str">
        <f>Настройки!AM3</f>
        <v>-</v>
      </c>
    </row>
    <row r="4" spans="1:57">
      <c r="A4" s="448" t="str">
        <f>SUBSTITUTE($P$2,"\","|")&amp;"|"&amp;"DVIX:="</f>
        <v>S_SHPS|DVIX:=</v>
      </c>
      <c r="B4" s="448" t="str">
        <f>$G$3&amp;"_"&amp;LEFT($R$3,FIND("+",$R$3,1)-1)</f>
        <v>MOPS_3</v>
      </c>
      <c r="C4" s="446"/>
      <c r="D4" s="446" t="s">
        <v>1861</v>
      </c>
      <c r="E4" s="446" t="str">
        <f>IF($R$2=0,"УДАЛИТЬ","DVXX")</f>
        <v>DVXX</v>
      </c>
      <c r="F4" s="446" t="s">
        <v>845</v>
      </c>
      <c r="G4" s="447"/>
      <c r="H4" s="447"/>
      <c r="I4" s="460"/>
      <c r="M4" s="424" t="str">
        <f>'Конфигурация TREI'!A5</f>
        <v>BR3</v>
      </c>
      <c r="N4" s="424" t="str">
        <f>'Конфигурация TREI'!B5</f>
        <v>M548A</v>
      </c>
      <c r="P4" s="3" t="str">
        <f>Настройки!D2</f>
        <v/>
      </c>
      <c r="AE4" s="431">
        <f>Настройки!P4</f>
        <v>3</v>
      </c>
      <c r="AF4" s="380">
        <f>Настройки!Q4</f>
        <v>0</v>
      </c>
      <c r="AG4" s="380" t="str">
        <f>Настройки!R4</f>
        <v>IDIG_2_1</v>
      </c>
      <c r="AH4" s="380" t="str">
        <f>Настройки!S4</f>
        <v>IANS_2_3</v>
      </c>
      <c r="AI4" s="380" t="str">
        <f>Настройки!T4</f>
        <v>out2</v>
      </c>
      <c r="AJ4" s="380" t="str">
        <f>Настройки!U4</f>
        <v>out2</v>
      </c>
      <c r="AK4" s="380" t="str">
        <f>Настройки!V4</f>
        <v>ODIG_3</v>
      </c>
      <c r="AL4" s="380" t="str">
        <f>Настройки!W4</f>
        <v>OAN_3_1</v>
      </c>
      <c r="AM4" s="380" t="str">
        <f>Настройки!X4</f>
        <v>IANS_3_1</v>
      </c>
      <c r="AN4" s="380" t="str">
        <f>Настройки!Y4</f>
        <v>Canal_03</v>
      </c>
      <c r="AO4" s="380" t="str">
        <f>Настройки!Z4</f>
        <v>Canal_03</v>
      </c>
      <c r="AP4" s="380" t="str">
        <f>Настройки!AA4</f>
        <v>Canal_03</v>
      </c>
      <c r="AQ4" s="380" t="str">
        <f>Настройки!AB4</f>
        <v>Canal_03</v>
      </c>
      <c r="AR4" s="380" t="str">
        <f>Настройки!AC4</f>
        <v>IVXX[2]</v>
      </c>
      <c r="AS4" s="380" t="str">
        <f>Настройки!AD4</f>
        <v>IVXX[2]</v>
      </c>
      <c r="AT4" s="207" t="str">
        <f>Настройки!AB4</f>
        <v>Canal_03</v>
      </c>
      <c r="AU4" s="207" t="str">
        <f>Настройки!AC4</f>
        <v>IVXX[2]</v>
      </c>
      <c r="AV4" s="207" t="str">
        <f>Настройки!AD4</f>
        <v>IVXX[2]</v>
      </c>
      <c r="AW4" s="207" t="str">
        <f>Настройки!AE4</f>
        <v>IANS_2_1</v>
      </c>
      <c r="AX4" s="207" t="str">
        <f>Настройки!AF4</f>
        <v>IDIG_1_3</v>
      </c>
      <c r="AY4" s="207" t="str">
        <f>Настройки!AG4</f>
        <v>Canal_03</v>
      </c>
      <c r="AZ4" s="207" t="str">
        <f>Настройки!AH4</f>
        <v>Canal_03</v>
      </c>
      <c r="BA4" s="207" t="str">
        <f>Настройки!AI4</f>
        <v>Canal_03</v>
      </c>
      <c r="BB4" s="207" t="str">
        <f>Настройки!AJ4</f>
        <v>Canal_03</v>
      </c>
      <c r="BC4" s="207" t="str">
        <f>Настройки!AK4</f>
        <v>Canal_03</v>
      </c>
      <c r="BD4" s="207" t="str">
        <f>Настройки!AL4</f>
        <v>Canal_03</v>
      </c>
      <c r="BE4" s="207" t="str">
        <f>Настройки!AM4</f>
        <v>-</v>
      </c>
    </row>
    <row r="5" spans="1:57" ht="14.25" customHeight="1">
      <c r="A5" s="82"/>
      <c r="B5" s="82"/>
      <c r="C5" s="81"/>
      <c r="D5" s="81"/>
      <c r="E5" s="81"/>
      <c r="F5" s="81"/>
      <c r="G5" s="445"/>
      <c r="H5" s="445"/>
      <c r="I5" s="460"/>
      <c r="M5" s="424" t="str">
        <f>'Конфигурация TREI'!A6</f>
        <v>BR4</v>
      </c>
      <c r="N5" s="424" t="str">
        <f>'Конфигурация TREI'!B6</f>
        <v>M558D</v>
      </c>
      <c r="R5" s="56"/>
      <c r="AE5" s="431">
        <f>Настройки!P5</f>
        <v>4</v>
      </c>
      <c r="AF5" s="380">
        <f>Настройки!Q5</f>
        <v>0</v>
      </c>
      <c r="AG5" s="380" t="str">
        <f>Настройки!R5</f>
        <v>IDIG_2_2</v>
      </c>
      <c r="AH5" s="380" t="str">
        <f>Настройки!S5</f>
        <v>IANS_2_4</v>
      </c>
      <c r="AI5" s="380" t="str">
        <f>Настройки!T5</f>
        <v>out3</v>
      </c>
      <c r="AJ5" s="380" t="str">
        <f>Настройки!U5</f>
        <v>out3</v>
      </c>
      <c r="AK5" s="380" t="str">
        <f>Настройки!V5</f>
        <v>ODIG_4</v>
      </c>
      <c r="AL5" s="380" t="str">
        <f>Настройки!W5</f>
        <v>OAN_4_1</v>
      </c>
      <c r="AM5" s="380" t="str">
        <f>Настройки!X5</f>
        <v>IANS_4_1</v>
      </c>
      <c r="AN5" s="380" t="str">
        <f>Настройки!Y5</f>
        <v>Canal_04</v>
      </c>
      <c r="AO5" s="380" t="str">
        <f>Настройки!Z5</f>
        <v>Canal_04</v>
      </c>
      <c r="AP5" s="380" t="str">
        <f>Настройки!AA5</f>
        <v>Canal_04</v>
      </c>
      <c r="AQ5" s="380" t="str">
        <f>Настройки!AB5</f>
        <v>Canal_04</v>
      </c>
      <c r="AR5" s="380" t="str">
        <f>Настройки!AC5</f>
        <v>IVXX[3]</v>
      </c>
      <c r="AS5" s="380" t="str">
        <f>Настройки!AD5</f>
        <v>IVXX[3]</v>
      </c>
      <c r="AT5" s="207" t="str">
        <f>Настройки!AB5</f>
        <v>Canal_04</v>
      </c>
      <c r="AU5" s="207" t="str">
        <f>Настройки!AC5</f>
        <v>IVXX[3]</v>
      </c>
      <c r="AV5" s="207" t="str">
        <f>Настройки!AD5</f>
        <v>IVXX[3]</v>
      </c>
      <c r="AW5" s="207" t="str">
        <f>Настройки!AE5</f>
        <v>IANS_2_2</v>
      </c>
      <c r="AX5" s="207" t="str">
        <f>Настройки!AF5</f>
        <v>IDIG_1_4</v>
      </c>
      <c r="AY5" s="207" t="str">
        <f>Настройки!AG5</f>
        <v>Canal_04</v>
      </c>
      <c r="AZ5" s="207" t="str">
        <f>Настройки!AH5</f>
        <v>Canal_04</v>
      </c>
      <c r="BA5" s="207" t="str">
        <f>Настройки!AI5</f>
        <v>Canal_04</v>
      </c>
      <c r="BB5" s="207" t="str">
        <f>Настройки!AJ5</f>
        <v>Canal_04</v>
      </c>
      <c r="BC5" s="207" t="str">
        <f>Настройки!AK5</f>
        <v>Canal_04</v>
      </c>
      <c r="BD5" s="207" t="str">
        <f>Настройки!AL5</f>
        <v>Canal_04</v>
      </c>
      <c r="BE5" s="207" t="str">
        <f>Настройки!AM5</f>
        <v>-</v>
      </c>
    </row>
    <row r="6" spans="1:57">
      <c r="A6" s="82"/>
      <c r="B6" s="82"/>
      <c r="C6" s="81"/>
      <c r="D6" s="81"/>
      <c r="E6" s="82"/>
      <c r="F6" s="81"/>
      <c r="G6" s="445"/>
      <c r="H6" s="445"/>
      <c r="I6" s="460"/>
      <c r="M6" s="424" t="str">
        <f>'Конфигурация TREI'!A7</f>
        <v>BR5</v>
      </c>
      <c r="N6" s="424" t="str">
        <f>'Конфигурация TREI'!B7</f>
        <v>M558O</v>
      </c>
      <c r="AE6" s="431">
        <f>Настройки!P6</f>
        <v>5</v>
      </c>
      <c r="AF6" s="380">
        <f>Настройки!Q6</f>
        <v>0</v>
      </c>
      <c r="AG6" s="380" t="str">
        <f>Настройки!R6</f>
        <v>IDIG_3_1</v>
      </c>
      <c r="AH6" s="380" t="str">
        <f>Настройки!S6</f>
        <v>IANS_3_3</v>
      </c>
      <c r="AI6" s="380" t="str">
        <f>Настройки!T6</f>
        <v>out4</v>
      </c>
      <c r="AJ6" s="380" t="str">
        <f>Настройки!U6</f>
        <v>out4</v>
      </c>
      <c r="AK6" s="380" t="str">
        <f>Настройки!V6</f>
        <v>ODIG_5</v>
      </c>
      <c r="AL6" s="380" t="str">
        <f>Настройки!W6</f>
        <v>OAN_5_1</v>
      </c>
      <c r="AM6" s="380" t="str">
        <f>Настройки!X6</f>
        <v>IANS_5_1</v>
      </c>
      <c r="AN6" s="380" t="str">
        <f>Настройки!Y6</f>
        <v>Canal_05</v>
      </c>
      <c r="AO6" s="380" t="str">
        <f>Настройки!Z6</f>
        <v>Canal_05</v>
      </c>
      <c r="AP6" s="380" t="str">
        <f>Настройки!AA6</f>
        <v>Canal_05</v>
      </c>
      <c r="AQ6" s="380" t="str">
        <f>Настройки!AB6</f>
        <v>Canal_05</v>
      </c>
      <c r="AR6" s="380" t="str">
        <f>Настройки!AC6</f>
        <v>IVXX[4]</v>
      </c>
      <c r="AS6" s="380" t="str">
        <f>Настройки!AD6</f>
        <v>IVXX[4]</v>
      </c>
      <c r="AT6" s="207" t="str">
        <f>Настройки!AB6</f>
        <v>Canal_05</v>
      </c>
      <c r="AU6" s="207" t="str">
        <f>Настройки!AC6</f>
        <v>IVXX[4]</v>
      </c>
      <c r="AV6" s="207" t="str">
        <f>Настройки!AD6</f>
        <v>IVXX[4]</v>
      </c>
      <c r="AW6" s="207" t="str">
        <f>Настройки!AE6</f>
        <v>IANS_3_1</v>
      </c>
      <c r="AX6" s="207" t="str">
        <f>Настройки!AF6</f>
        <v>IDIG_2_1</v>
      </c>
      <c r="AY6" s="207" t="str">
        <f>Настройки!AG6</f>
        <v>Canal_05</v>
      </c>
      <c r="AZ6" s="207" t="str">
        <f>Настройки!AH6</f>
        <v>Canal_05</v>
      </c>
      <c r="BA6" s="207" t="str">
        <f>Настройки!AI6</f>
        <v>Canal_05</v>
      </c>
      <c r="BB6" s="207" t="str">
        <f>Настройки!AJ6</f>
        <v>Canal_05</v>
      </c>
      <c r="BC6" s="207" t="str">
        <f>Настройки!AK6</f>
        <v>Canal_05</v>
      </c>
      <c r="BD6" s="207" t="str">
        <f>Настройки!AL6</f>
        <v>Canal_05</v>
      </c>
      <c r="BE6" s="207" t="str">
        <f>Настройки!AM6</f>
        <v>-</v>
      </c>
    </row>
    <row r="7" spans="1:57">
      <c r="A7" s="82"/>
      <c r="B7" s="82"/>
      <c r="C7" s="81"/>
      <c r="D7" s="81"/>
      <c r="E7" s="82"/>
      <c r="F7" s="81"/>
      <c r="G7" s="445"/>
      <c r="H7" s="445"/>
      <c r="I7" s="460"/>
      <c r="M7" s="424" t="str">
        <f>'Конфигурация TREI'!A8</f>
        <v>BR6</v>
      </c>
      <c r="N7" s="424" t="str">
        <f>'Конфигурация TREI'!B8</f>
        <v>M558O</v>
      </c>
      <c r="AE7" s="431">
        <f>Настройки!P7</f>
        <v>6</v>
      </c>
      <c r="AF7" s="380">
        <f>Настройки!Q7</f>
        <v>0</v>
      </c>
      <c r="AG7" s="380" t="str">
        <f>Настройки!R7</f>
        <v>IDIG_3_2</v>
      </c>
      <c r="AH7" s="380" t="str">
        <f>Настройки!S7</f>
        <v>IANS_3_4</v>
      </c>
      <c r="AI7" s="380" t="str">
        <f>Настройки!T7</f>
        <v>out5</v>
      </c>
      <c r="AJ7" s="380" t="str">
        <f>Настройки!U7</f>
        <v>out5</v>
      </c>
      <c r="AK7" s="380" t="str">
        <f>Настройки!V7</f>
        <v>ODIG_6</v>
      </c>
      <c r="AL7" s="380" t="str">
        <f>Настройки!W7</f>
        <v>OAN_6_1</v>
      </c>
      <c r="AM7" s="380" t="str">
        <f>Настройки!X7</f>
        <v>IANS_6_1</v>
      </c>
      <c r="AN7" s="380" t="str">
        <f>Настройки!Y7</f>
        <v>Canal_06</v>
      </c>
      <c r="AO7" s="380" t="str">
        <f>Настройки!Z7</f>
        <v>Canal_06</v>
      </c>
      <c r="AP7" s="380" t="str">
        <f>Настройки!AA7</f>
        <v>Canal_06</v>
      </c>
      <c r="AQ7" s="380" t="str">
        <f>Настройки!AB7</f>
        <v>Canal_06</v>
      </c>
      <c r="AR7" s="380" t="str">
        <f>Настройки!AC7</f>
        <v>IVXX[5]</v>
      </c>
      <c r="AS7" s="380" t="str">
        <f>Настройки!AD7</f>
        <v>IVXX[5]</v>
      </c>
      <c r="AT7" s="207" t="str">
        <f>Настройки!AB7</f>
        <v>Canal_06</v>
      </c>
      <c r="AU7" s="207" t="str">
        <f>Настройки!AC7</f>
        <v>IVXX[5]</v>
      </c>
      <c r="AV7" s="207" t="str">
        <f>Настройки!AD7</f>
        <v>IVXX[5]</v>
      </c>
      <c r="AW7" s="207" t="str">
        <f>Настройки!AE7</f>
        <v>IANS_3_2</v>
      </c>
      <c r="AX7" s="207" t="str">
        <f>Настройки!AF7</f>
        <v>IDIG_2_2</v>
      </c>
      <c r="AY7" s="207" t="str">
        <f>Настройки!AG7</f>
        <v>Canal_06</v>
      </c>
      <c r="AZ7" s="207" t="str">
        <f>Настройки!AH7</f>
        <v>Canal_06</v>
      </c>
      <c r="BA7" s="207" t="str">
        <f>Настройки!AI7</f>
        <v>Canal_06</v>
      </c>
      <c r="BB7" s="207" t="str">
        <f>Настройки!AJ7</f>
        <v>Canal_06</v>
      </c>
      <c r="BC7" s="207" t="str">
        <f>Настройки!AK7</f>
        <v>Canal_06</v>
      </c>
      <c r="BD7" s="207" t="str">
        <f>Настройки!AL7</f>
        <v>Canal_06</v>
      </c>
      <c r="BE7" s="207" t="str">
        <f>Настройки!AM7</f>
        <v>-</v>
      </c>
    </row>
    <row r="8" spans="1:57">
      <c r="A8" s="82"/>
      <c r="B8" s="82"/>
      <c r="C8" s="81"/>
      <c r="D8" s="81"/>
      <c r="E8" s="82"/>
      <c r="F8" s="81"/>
      <c r="G8" s="445"/>
      <c r="H8" s="445"/>
      <c r="I8" s="460"/>
      <c r="M8" s="424" t="str">
        <f>'Конфигурация TREI'!A9</f>
        <v>BR7</v>
      </c>
      <c r="N8" s="424" t="str">
        <f>'Конфигурация TREI'!B9</f>
        <v>M558O</v>
      </c>
      <c r="AE8" s="431">
        <f>Настройки!P8</f>
        <v>7</v>
      </c>
      <c r="AF8" s="380">
        <f>Настройки!Q8</f>
        <v>0</v>
      </c>
      <c r="AG8" s="380" t="str">
        <f>Настройки!R8</f>
        <v>IDIG_4_1</v>
      </c>
      <c r="AH8" s="380" t="str">
        <f>Настройки!S8</f>
        <v>IANS_4_3</v>
      </c>
      <c r="AI8" s="380" t="str">
        <f>Настройки!T8</f>
        <v>out6</v>
      </c>
      <c r="AJ8" s="380" t="str">
        <f>Настройки!U8</f>
        <v>out6</v>
      </c>
      <c r="AK8" s="380" t="str">
        <f>Настройки!V8</f>
        <v>ODIG_7</v>
      </c>
      <c r="AL8" s="380" t="str">
        <f>Настройки!W8</f>
        <v>OAN_7_1</v>
      </c>
      <c r="AM8" s="380" t="str">
        <f>Настройки!X8</f>
        <v>IANS_7_1</v>
      </c>
      <c r="AN8" s="380" t="str">
        <f>Настройки!Y8</f>
        <v>Canal_07</v>
      </c>
      <c r="AO8" s="380" t="str">
        <f>Настройки!Z8</f>
        <v>Canal_07</v>
      </c>
      <c r="AP8" s="380" t="str">
        <f>Настройки!AA8</f>
        <v>Canal_07</v>
      </c>
      <c r="AQ8" s="380" t="str">
        <f>Настройки!AB8</f>
        <v>Canal_07</v>
      </c>
      <c r="AR8" s="380" t="str">
        <f>Настройки!AC8</f>
        <v>IVXX[6]</v>
      </c>
      <c r="AS8" s="380" t="str">
        <f>Настройки!AD8</f>
        <v>IVXX[6]</v>
      </c>
      <c r="AT8" s="207" t="str">
        <f>Настройки!AB8</f>
        <v>Canal_07</v>
      </c>
      <c r="AU8" s="207" t="str">
        <f>Настройки!AC8</f>
        <v>IVXX[6]</v>
      </c>
      <c r="AV8" s="207" t="str">
        <f>Настройки!AD8</f>
        <v>IVXX[6]</v>
      </c>
      <c r="AW8" s="207" t="str">
        <f>Настройки!AE8</f>
        <v>IANS_4_1</v>
      </c>
      <c r="AX8" s="207" t="str">
        <f>Настройки!AF8</f>
        <v>IDIG_2_3</v>
      </c>
      <c r="AY8" s="207" t="str">
        <f>Настройки!AG8</f>
        <v>Canal_07</v>
      </c>
      <c r="AZ8" s="207" t="str">
        <f>Настройки!AH8</f>
        <v>Canal_07</v>
      </c>
      <c r="BA8" s="207" t="str">
        <f>Настройки!AI8</f>
        <v>Canal_07</v>
      </c>
      <c r="BB8" s="207" t="str">
        <f>Настройки!AJ8</f>
        <v>Canal_07</v>
      </c>
      <c r="BC8" s="207" t="str">
        <f>Настройки!AK8</f>
        <v>Canal_07</v>
      </c>
      <c r="BD8" s="207" t="str">
        <f>Настройки!AL8</f>
        <v>Canal_07</v>
      </c>
      <c r="BE8" s="207" t="str">
        <f>Настройки!AM8</f>
        <v>-</v>
      </c>
    </row>
    <row r="9" spans="1:57">
      <c r="A9" s="82"/>
      <c r="B9" s="82"/>
      <c r="C9" s="81"/>
      <c r="D9" s="81"/>
      <c r="E9" s="82"/>
      <c r="F9" s="81"/>
      <c r="G9" s="445"/>
      <c r="H9" s="445"/>
      <c r="I9" s="1"/>
      <c r="M9" s="424" t="str">
        <f>'Конфигурация TREI'!A10</f>
        <v>BR8</v>
      </c>
      <c r="N9" s="424" t="str">
        <f>'Конфигурация TREI'!B10</f>
        <v>M558O</v>
      </c>
      <c r="AE9" s="431">
        <f>Настройки!P9</f>
        <v>8</v>
      </c>
      <c r="AF9" s="380">
        <f>Настройки!Q9</f>
        <v>0</v>
      </c>
      <c r="AG9" s="380" t="str">
        <f>Настройки!R9</f>
        <v>IDIG_4_2</v>
      </c>
      <c r="AH9" s="380" t="str">
        <f>Настройки!S9</f>
        <v>IANS_4_4</v>
      </c>
      <c r="AI9" s="380" t="str">
        <f>Настройки!T9</f>
        <v>out7</v>
      </c>
      <c r="AJ9" s="380" t="str">
        <f>Настройки!U9</f>
        <v>out7</v>
      </c>
      <c r="AK9" s="380" t="str">
        <f>Настройки!V9</f>
        <v>ODIG_8</v>
      </c>
      <c r="AL9" s="380" t="str">
        <f>Настройки!W9</f>
        <v>OAN_8_1</v>
      </c>
      <c r="AM9" s="380" t="str">
        <f>Настройки!X9</f>
        <v>IANS_8_1</v>
      </c>
      <c r="AN9" s="380" t="str">
        <f>Настройки!Y9</f>
        <v>Canal_08</v>
      </c>
      <c r="AO9" s="380" t="str">
        <f>Настройки!Z9</f>
        <v>Canal_08</v>
      </c>
      <c r="AP9" s="380" t="str">
        <f>Настройки!AA9</f>
        <v>Canal_08</v>
      </c>
      <c r="AQ9" s="380" t="str">
        <f>Настройки!AB9</f>
        <v>Canal_08</v>
      </c>
      <c r="AR9" s="380" t="str">
        <f>Настройки!AC9</f>
        <v>IVXX[7]</v>
      </c>
      <c r="AS9" s="380" t="str">
        <f>Настройки!AD9</f>
        <v>IVXX[7]</v>
      </c>
      <c r="AT9" s="207" t="str">
        <f>Настройки!AB9</f>
        <v>Canal_08</v>
      </c>
      <c r="AU9" s="207" t="str">
        <f>Настройки!AC9</f>
        <v>IVXX[7]</v>
      </c>
      <c r="AV9" s="207" t="str">
        <f>Настройки!AD9</f>
        <v>IVXX[7]</v>
      </c>
      <c r="AW9" s="207" t="str">
        <f>Настройки!AE9</f>
        <v>IANS_4_2</v>
      </c>
      <c r="AX9" s="207" t="str">
        <f>Настройки!AF9</f>
        <v>IDIG_2_4</v>
      </c>
      <c r="AY9" s="207" t="str">
        <f>Настройки!AG9</f>
        <v>Canal_08</v>
      </c>
      <c r="AZ9" s="207" t="str">
        <f>Настройки!AH9</f>
        <v>Canal_08</v>
      </c>
      <c r="BA9" s="207" t="str">
        <f>Настройки!AI9</f>
        <v>Canal_08</v>
      </c>
      <c r="BB9" s="207" t="str">
        <f>Настройки!AJ9</f>
        <v>Canal_08</v>
      </c>
      <c r="BC9" s="207" t="str">
        <f>Настройки!AK9</f>
        <v>Canal_08</v>
      </c>
      <c r="BD9" s="207" t="str">
        <f>Настройки!AL9</f>
        <v>Canal_08</v>
      </c>
      <c r="BE9" s="207" t="str">
        <f>Настройки!AM9</f>
        <v>-</v>
      </c>
    </row>
    <row r="10" spans="1:57">
      <c r="A10" s="82"/>
      <c r="B10" s="82"/>
      <c r="C10" s="81"/>
      <c r="D10" s="81"/>
      <c r="E10" s="82"/>
      <c r="F10" s="81"/>
      <c r="G10" s="445"/>
      <c r="H10" s="445"/>
      <c r="I10" s="1"/>
      <c r="M10" s="424" t="str">
        <f>'Конфигурация TREI'!A11</f>
        <v>BR9</v>
      </c>
      <c r="N10" s="424" t="str">
        <f>'Конфигурация TREI'!B11</f>
        <v>M558D</v>
      </c>
      <c r="AE10" s="431">
        <f>Настройки!P10</f>
        <v>9</v>
      </c>
      <c r="AF10" s="380">
        <f>Настройки!Q10</f>
        <v>0</v>
      </c>
      <c r="AG10" s="380" t="str">
        <f>Настройки!R10</f>
        <v>IDIG_5_1</v>
      </c>
      <c r="AH10" s="380" t="str">
        <f>Настройки!S10</f>
        <v>IANS_5_3</v>
      </c>
      <c r="AI10" s="380" t="str">
        <f>Настройки!T10</f>
        <v>out8</v>
      </c>
      <c r="AJ10" s="380" t="str">
        <f>Настройки!U10</f>
        <v>out8</v>
      </c>
      <c r="AK10" s="380" t="str">
        <f>Настройки!V10</f>
        <v>ODIG_9</v>
      </c>
      <c r="AL10" s="380" t="str">
        <f>Настройки!W10</f>
        <v>-</v>
      </c>
      <c r="AM10" s="380" t="str">
        <f>Настройки!X10</f>
        <v>-</v>
      </c>
      <c r="AN10" s="380" t="str">
        <f>Настройки!Y10</f>
        <v>Canal_09</v>
      </c>
      <c r="AO10" s="380" t="str">
        <f>Настройки!Z10</f>
        <v>-</v>
      </c>
      <c r="AP10" s="380" t="str">
        <f>Настройки!AA10</f>
        <v>Canal_09</v>
      </c>
      <c r="AQ10" s="380" t="str">
        <f>Настройки!AB10</f>
        <v>Canal_09</v>
      </c>
      <c r="AR10" s="380" t="str">
        <f>Настройки!AC10</f>
        <v>OCCH[0]</v>
      </c>
      <c r="AS10" s="380" t="str">
        <f>Настройки!AD10</f>
        <v>OCCH[0]</v>
      </c>
      <c r="AT10" s="207" t="str">
        <f>Настройки!AB10</f>
        <v>Canal_09</v>
      </c>
      <c r="AU10" s="207" t="str">
        <f>Настройки!AC10</f>
        <v>OCCH[0]</v>
      </c>
      <c r="AV10" s="207" t="str">
        <f>Настройки!AD10</f>
        <v>OCCH[0]</v>
      </c>
      <c r="AW10" s="207" t="str">
        <f>Настройки!AE10</f>
        <v>IANS_5_1</v>
      </c>
      <c r="AX10" s="207" t="str">
        <f>Настройки!AF10</f>
        <v>IDIG_3_1</v>
      </c>
      <c r="AY10" s="207" t="str">
        <f>Настройки!AG10</f>
        <v>Canal_09</v>
      </c>
      <c r="AZ10" s="207" t="str">
        <f>Настройки!AH10</f>
        <v>Canal_09</v>
      </c>
      <c r="BA10" s="207" t="str">
        <f>Настройки!AI10</f>
        <v>Canal_09</v>
      </c>
      <c r="BB10" s="207" t="str">
        <f>Настройки!AJ10</f>
        <v>Canal_09</v>
      </c>
      <c r="BC10" s="207" t="str">
        <f>Настройки!AK10</f>
        <v>-</v>
      </c>
      <c r="BD10" s="207" t="str">
        <f>Настройки!AL10</f>
        <v>Canal_09</v>
      </c>
      <c r="BE10" s="207" t="str">
        <f>Настройки!AM10</f>
        <v>-</v>
      </c>
    </row>
    <row r="11" spans="1:57">
      <c r="A11" s="82"/>
      <c r="B11" s="82"/>
      <c r="C11" s="81"/>
      <c r="D11" s="81"/>
      <c r="E11" s="82"/>
      <c r="F11" s="81"/>
      <c r="G11" s="445"/>
      <c r="H11" s="445"/>
      <c r="I11" s="1"/>
      <c r="M11" s="424" t="str">
        <f>'Конфигурация TREI'!A12</f>
        <v>BR10</v>
      </c>
      <c r="N11" s="424" t="str">
        <f>'Конфигурация TREI'!B12</f>
        <v>M558O</v>
      </c>
      <c r="AE11" s="431">
        <f>Настройки!P11</f>
        <v>10</v>
      </c>
      <c r="AF11" s="380">
        <f>Настройки!Q11</f>
        <v>0</v>
      </c>
      <c r="AG11" s="380" t="str">
        <f>Настройки!R11</f>
        <v>IDIG_5_2</v>
      </c>
      <c r="AH11" s="380" t="str">
        <f>Настройки!S11</f>
        <v>IANS_5_4</v>
      </c>
      <c r="AI11" s="380" t="str">
        <f>Настройки!T11</f>
        <v>out9</v>
      </c>
      <c r="AJ11" s="380" t="str">
        <f>Настройки!U11</f>
        <v>out9</v>
      </c>
      <c r="AK11" s="380" t="str">
        <f>Настройки!V11</f>
        <v>ODIG_10</v>
      </c>
      <c r="AL11" s="380" t="str">
        <f>Настройки!W11</f>
        <v>-</v>
      </c>
      <c r="AM11" s="380" t="str">
        <f>Настройки!X11</f>
        <v>-</v>
      </c>
      <c r="AN11" s="380" t="str">
        <f>Настройки!Y11</f>
        <v>Canal_10</v>
      </c>
      <c r="AO11" s="380" t="str">
        <f>Настройки!Z11</f>
        <v>-</v>
      </c>
      <c r="AP11" s="380" t="str">
        <f>Настройки!AA11</f>
        <v>Canal_10</v>
      </c>
      <c r="AQ11" s="380" t="str">
        <f>Настройки!AB11</f>
        <v>Canal_10</v>
      </c>
      <c r="AR11" s="380" t="str">
        <f>Настройки!AC11</f>
        <v>OCCH[1]</v>
      </c>
      <c r="AS11" s="380" t="str">
        <f>Настройки!AD11</f>
        <v>OCCH[1]</v>
      </c>
      <c r="AT11" s="207" t="str">
        <f>Настройки!AB11</f>
        <v>Canal_10</v>
      </c>
      <c r="AU11" s="207" t="str">
        <f>Настройки!AC11</f>
        <v>OCCH[1]</v>
      </c>
      <c r="AV11" s="207" t="str">
        <f>Настройки!AD11</f>
        <v>OCCH[1]</v>
      </c>
      <c r="AW11" s="207" t="str">
        <f>Настройки!AE11</f>
        <v>IANS_5_2</v>
      </c>
      <c r="AX11" s="207" t="str">
        <f>Настройки!AF11</f>
        <v>IDIG_3_2</v>
      </c>
      <c r="AY11" s="207" t="str">
        <f>Настройки!AG11</f>
        <v>Canal_10</v>
      </c>
      <c r="AZ11" s="207" t="str">
        <f>Настройки!AH11</f>
        <v>Canal_10</v>
      </c>
      <c r="BA11" s="207" t="str">
        <f>Настройки!AI11</f>
        <v>Canal_10</v>
      </c>
      <c r="BB11" s="207" t="str">
        <f>Настройки!AJ11</f>
        <v>Canal_10</v>
      </c>
      <c r="BC11" s="207" t="str">
        <f>Настройки!AK11</f>
        <v>-</v>
      </c>
      <c r="BD11" s="207" t="str">
        <f>Настройки!AL11</f>
        <v>Canal_10</v>
      </c>
      <c r="BE11" s="207" t="str">
        <f>Настройки!AM11</f>
        <v>-</v>
      </c>
    </row>
    <row r="12" spans="1:57">
      <c r="A12" s="82"/>
      <c r="B12" s="82"/>
      <c r="C12" s="81"/>
      <c r="D12" s="81"/>
      <c r="E12" s="81"/>
      <c r="F12" s="81"/>
      <c r="G12" s="445"/>
      <c r="H12" s="445"/>
      <c r="I12" s="1"/>
      <c r="M12" s="424" t="str">
        <f>'Конфигурация TREI'!A13</f>
        <v>BR11</v>
      </c>
      <c r="N12" s="424" t="str">
        <f>'Конфигурация TREI'!B13</f>
        <v>M558D</v>
      </c>
      <c r="AE12" s="431">
        <f>Настройки!P12</f>
        <v>11</v>
      </c>
      <c r="AF12" s="380">
        <f>Настройки!Q12</f>
        <v>0</v>
      </c>
      <c r="AG12" s="380" t="str">
        <f>Настройки!R12</f>
        <v>IDIG_6_1</v>
      </c>
      <c r="AH12" s="380" t="str">
        <f>Настройки!S12</f>
        <v>IANS_6_3</v>
      </c>
      <c r="AI12" s="380" t="str">
        <f>Настройки!T12</f>
        <v>out10</v>
      </c>
      <c r="AJ12" s="380" t="str">
        <f>Настройки!U12</f>
        <v>out10</v>
      </c>
      <c r="AK12" s="380" t="str">
        <f>Настройки!V12</f>
        <v>ODIG_11</v>
      </c>
      <c r="AL12" s="380" t="str">
        <f>Настройки!W12</f>
        <v>-</v>
      </c>
      <c r="AM12" s="380" t="str">
        <f>Настройки!X12</f>
        <v>-</v>
      </c>
      <c r="AN12" s="380" t="str">
        <f>Настройки!Y12</f>
        <v>Canal_11</v>
      </c>
      <c r="AO12" s="380" t="str">
        <f>Настройки!Z12</f>
        <v>-</v>
      </c>
      <c r="AP12" s="380" t="str">
        <f>Настройки!AA12</f>
        <v>Canal_11</v>
      </c>
      <c r="AQ12" s="380" t="str">
        <f>Настройки!AB12</f>
        <v>Canal_11</v>
      </c>
      <c r="AR12" s="380" t="str">
        <f>Настройки!AC12</f>
        <v>OCCH[2]</v>
      </c>
      <c r="AS12" s="380" t="str">
        <f>Настройки!AD12</f>
        <v>OCCH[2]</v>
      </c>
      <c r="AT12" s="207" t="str">
        <f>Настройки!AB12</f>
        <v>Canal_11</v>
      </c>
      <c r="AU12" s="207" t="str">
        <f>Настройки!AC12</f>
        <v>OCCH[2]</v>
      </c>
      <c r="AV12" s="207" t="str">
        <f>Настройки!AD12</f>
        <v>OCCH[2]</v>
      </c>
      <c r="AW12" s="207" t="str">
        <f>Настройки!AE12</f>
        <v>IANS_6_1</v>
      </c>
      <c r="AX12" s="207" t="str">
        <f>Настройки!AF12</f>
        <v>IDIG_3_3</v>
      </c>
      <c r="AY12" s="207" t="str">
        <f>Настройки!AG12</f>
        <v>Canal_11</v>
      </c>
      <c r="AZ12" s="207" t="str">
        <f>Настройки!AH12</f>
        <v>Canal_11</v>
      </c>
      <c r="BA12" s="207" t="str">
        <f>Настройки!AI12</f>
        <v>Canal_11</v>
      </c>
      <c r="BB12" s="207" t="str">
        <f>Настройки!AJ12</f>
        <v>Canal_11</v>
      </c>
      <c r="BC12" s="207" t="str">
        <f>Настройки!AK12</f>
        <v>-</v>
      </c>
      <c r="BD12" s="207" t="str">
        <f>Настройки!AL12</f>
        <v>Canal_11</v>
      </c>
      <c r="BE12" s="207" t="str">
        <f>Настройки!AM12</f>
        <v>-</v>
      </c>
    </row>
    <row r="13" spans="1:57">
      <c r="A13" s="82"/>
      <c r="B13" s="82"/>
      <c r="C13" s="81"/>
      <c r="D13" s="81"/>
      <c r="E13" s="81"/>
      <c r="F13" s="81"/>
      <c r="G13" s="445"/>
      <c r="H13" s="445"/>
      <c r="I13" s="1"/>
      <c r="M13" s="424" t="str">
        <f>'Конфигурация TREI'!A14</f>
        <v>BR12</v>
      </c>
      <c r="N13" s="424" t="str">
        <f>'Конфигурация TREI'!B14</f>
        <v>M558D</v>
      </c>
      <c r="AE13" s="431">
        <f>Настройки!P13</f>
        <v>12</v>
      </c>
      <c r="AF13" s="380">
        <f>Настройки!Q13</f>
        <v>0</v>
      </c>
      <c r="AG13" s="380" t="str">
        <f>Настройки!R13</f>
        <v>IDIG_6_2</v>
      </c>
      <c r="AH13" s="380" t="str">
        <f>Настройки!S13</f>
        <v>IANS_6_4</v>
      </c>
      <c r="AI13" s="380" t="str">
        <f>Настройки!T13</f>
        <v>out11</v>
      </c>
      <c r="AJ13" s="380" t="str">
        <f>Настройки!U13</f>
        <v>out11</v>
      </c>
      <c r="AK13" s="380" t="str">
        <f>Настройки!V13</f>
        <v>ODIG_12</v>
      </c>
      <c r="AL13" s="380" t="str">
        <f>Настройки!W13</f>
        <v>-</v>
      </c>
      <c r="AM13" s="380" t="str">
        <f>Настройки!X13</f>
        <v>-</v>
      </c>
      <c r="AN13" s="380" t="str">
        <f>Настройки!Y13</f>
        <v>Canal_12</v>
      </c>
      <c r="AO13" s="380" t="str">
        <f>Настройки!Z13</f>
        <v>-</v>
      </c>
      <c r="AP13" s="380" t="str">
        <f>Настройки!AA13</f>
        <v>Canal_12</v>
      </c>
      <c r="AQ13" s="380" t="str">
        <f>Настройки!AB13</f>
        <v>Canal_12</v>
      </c>
      <c r="AR13" s="380" t="str">
        <f>Настройки!AC13</f>
        <v>OCCH[3]</v>
      </c>
      <c r="AS13" s="380" t="str">
        <f>Настройки!AD13</f>
        <v>OCCH[3]</v>
      </c>
      <c r="AT13" s="207" t="str">
        <f>Настройки!AB13</f>
        <v>Canal_12</v>
      </c>
      <c r="AU13" s="207" t="str">
        <f>Настройки!AC13</f>
        <v>OCCH[3]</v>
      </c>
      <c r="AV13" s="207" t="str">
        <f>Настройки!AD13</f>
        <v>OCCH[3]</v>
      </c>
      <c r="AW13" s="207" t="str">
        <f>Настройки!AE13</f>
        <v>IANS_6_2</v>
      </c>
      <c r="AX13" s="207" t="str">
        <f>Настройки!AF13</f>
        <v>IDIG_3_4</v>
      </c>
      <c r="AY13" s="207" t="str">
        <f>Настройки!AG13</f>
        <v>Canal_12</v>
      </c>
      <c r="AZ13" s="207" t="str">
        <f>Настройки!AH13</f>
        <v>Canal_12</v>
      </c>
      <c r="BA13" s="207" t="str">
        <f>Настройки!AI13</f>
        <v>Canal_12</v>
      </c>
      <c r="BB13" s="207" t="str">
        <f>Настройки!AJ13</f>
        <v>Canal_12</v>
      </c>
      <c r="BC13" s="207" t="str">
        <f>Настройки!AK13</f>
        <v>-</v>
      </c>
      <c r="BD13" s="207" t="str">
        <f>Настройки!AL13</f>
        <v>Canal_12</v>
      </c>
      <c r="BE13" s="207" t="str">
        <f>Настройки!AM13</f>
        <v>-</v>
      </c>
    </row>
    <row r="14" spans="1:57">
      <c r="A14" s="82"/>
      <c r="B14" s="82"/>
      <c r="C14" s="81"/>
      <c r="D14" s="81"/>
      <c r="E14" s="81"/>
      <c r="F14" s="81"/>
      <c r="G14" s="445"/>
      <c r="H14" s="447"/>
      <c r="I14" s="1"/>
      <c r="M14" s="424" t="str">
        <f>'Конфигурация TREI'!A15</f>
        <v>BR13</v>
      </c>
      <c r="N14" s="424" t="str">
        <f>'Конфигурация TREI'!B15</f>
        <v>M558D</v>
      </c>
      <c r="AE14" s="431">
        <f>Настройки!P14</f>
        <v>13</v>
      </c>
      <c r="AF14" s="380">
        <f>Настройки!Q14</f>
        <v>0</v>
      </c>
      <c r="AG14" s="380" t="str">
        <f>Настройки!R14</f>
        <v>IDIG_7_1</v>
      </c>
      <c r="AH14" s="380" t="str">
        <f>Настройки!S14</f>
        <v>IANS_7_3</v>
      </c>
      <c r="AI14" s="380" t="str">
        <f>Настройки!T14</f>
        <v>out12</v>
      </c>
      <c r="AJ14" s="380" t="str">
        <f>Настройки!U14</f>
        <v>out12</v>
      </c>
      <c r="AK14" s="380" t="str">
        <f>Настройки!V14</f>
        <v>ODIG_13</v>
      </c>
      <c r="AL14" s="380" t="str">
        <f>Настройки!W14</f>
        <v>-</v>
      </c>
      <c r="AM14" s="380" t="str">
        <f>Настройки!X14</f>
        <v>-</v>
      </c>
      <c r="AN14" s="380" t="str">
        <f>Настройки!Y14</f>
        <v>Canal_13</v>
      </c>
      <c r="AO14" s="380" t="str">
        <f>Настройки!Z14</f>
        <v>-</v>
      </c>
      <c r="AP14" s="380" t="str">
        <f>Настройки!AA14</f>
        <v>Canal_13</v>
      </c>
      <c r="AQ14" s="380" t="str">
        <f>Настройки!AB14</f>
        <v>Canal_13</v>
      </c>
      <c r="AR14" s="380" t="str">
        <f>Настройки!AC14</f>
        <v>OCCH[4]</v>
      </c>
      <c r="AS14" s="380" t="str">
        <f>Настройки!AD14</f>
        <v>OCCH[4]</v>
      </c>
      <c r="AT14" s="207" t="str">
        <f>Настройки!AB14</f>
        <v>Canal_13</v>
      </c>
      <c r="AU14" s="207" t="str">
        <f>Настройки!AC14</f>
        <v>OCCH[4]</v>
      </c>
      <c r="AV14" s="207" t="str">
        <f>Настройки!AD14</f>
        <v>OCCH[4]</v>
      </c>
      <c r="AW14" s="207" t="str">
        <f>Настройки!AE14</f>
        <v>IANS_7_1</v>
      </c>
      <c r="AX14" s="207" t="str">
        <f>Настройки!AF14</f>
        <v>IDIG_4_1</v>
      </c>
      <c r="AY14" s="207" t="str">
        <f>Настройки!AG14</f>
        <v>Canal_13</v>
      </c>
      <c r="AZ14" s="207" t="str">
        <f>Настройки!AH14</f>
        <v>Canal_13</v>
      </c>
      <c r="BA14" s="207" t="str">
        <f>Настройки!AI14</f>
        <v>Canal_13</v>
      </c>
      <c r="BB14" s="207" t="str">
        <f>Настройки!AJ14</f>
        <v>Canal_13</v>
      </c>
      <c r="BC14" s="207" t="str">
        <f>Настройки!AK14</f>
        <v>-</v>
      </c>
      <c r="BD14" s="207" t="str">
        <f>Настройки!AL14</f>
        <v>Canal_13</v>
      </c>
      <c r="BE14" s="207" t="str">
        <f>Настройки!AM14</f>
        <v>-</v>
      </c>
    </row>
    <row r="15" spans="1:57">
      <c r="A15" s="82"/>
      <c r="B15" s="82"/>
      <c r="C15" s="81"/>
      <c r="D15" s="81"/>
      <c r="E15" s="81"/>
      <c r="F15" s="81"/>
      <c r="G15" s="445"/>
      <c r="H15" s="447"/>
      <c r="I15" s="1"/>
      <c r="M15" s="424" t="str">
        <f>'Конфигурация TREI'!A16</f>
        <v>BR14</v>
      </c>
      <c r="N15" s="424" t="str">
        <f>'Конфигурация TREI'!B16</f>
        <v>M558D</v>
      </c>
      <c r="AE15" s="431">
        <f>Настройки!P15</f>
        <v>14</v>
      </c>
      <c r="AF15" s="380">
        <f>Настройки!Q15</f>
        <v>0</v>
      </c>
      <c r="AG15" s="380" t="str">
        <f>Настройки!R15</f>
        <v>IDIG_7_2</v>
      </c>
      <c r="AH15" s="380" t="str">
        <f>Настройки!S15</f>
        <v>IANS_7_4</v>
      </c>
      <c r="AI15" s="380" t="str">
        <f>Настройки!T15</f>
        <v>out13</v>
      </c>
      <c r="AJ15" s="380" t="str">
        <f>Настройки!U15</f>
        <v>out13</v>
      </c>
      <c r="AK15" s="380" t="str">
        <f>Настройки!V15</f>
        <v>ODIG_14</v>
      </c>
      <c r="AL15" s="380" t="str">
        <f>Настройки!W15</f>
        <v>-</v>
      </c>
      <c r="AM15" s="380" t="str">
        <f>Настройки!X15</f>
        <v>-</v>
      </c>
      <c r="AN15" s="380" t="str">
        <f>Настройки!Y15</f>
        <v>Canal_14</v>
      </c>
      <c r="AO15" s="380" t="str">
        <f>Настройки!Z15</f>
        <v>-</v>
      </c>
      <c r="AP15" s="380" t="str">
        <f>Настройки!AA15</f>
        <v>Canal_14</v>
      </c>
      <c r="AQ15" s="380" t="str">
        <f>Настройки!AB15</f>
        <v>Canal_14</v>
      </c>
      <c r="AR15" s="380" t="str">
        <f>Настройки!AC15</f>
        <v>OCCH[5]</v>
      </c>
      <c r="AS15" s="380" t="str">
        <f>Настройки!AD15</f>
        <v>OCCH[5]</v>
      </c>
      <c r="AT15" s="207" t="str">
        <f>Настройки!AB15</f>
        <v>Canal_14</v>
      </c>
      <c r="AU15" s="207" t="str">
        <f>Настройки!AC15</f>
        <v>OCCH[5]</v>
      </c>
      <c r="AV15" s="207" t="str">
        <f>Настройки!AD15</f>
        <v>OCCH[5]</v>
      </c>
      <c r="AW15" s="207" t="str">
        <f>Настройки!AE15</f>
        <v>IANS_7_2</v>
      </c>
      <c r="AX15" s="207" t="str">
        <f>Настройки!AF15</f>
        <v>IDIG_4_2</v>
      </c>
      <c r="AY15" s="207" t="str">
        <f>Настройки!AG15</f>
        <v>Canal_14</v>
      </c>
      <c r="AZ15" s="207" t="str">
        <f>Настройки!AH15</f>
        <v>Canal_14</v>
      </c>
      <c r="BA15" s="207" t="str">
        <f>Настройки!AI15</f>
        <v>Canal_14</v>
      </c>
      <c r="BB15" s="207" t="str">
        <f>Настройки!AJ15</f>
        <v>Canal_14</v>
      </c>
      <c r="BC15" s="207" t="str">
        <f>Настройки!AK15</f>
        <v>-</v>
      </c>
      <c r="BD15" s="207" t="str">
        <f>Настройки!AL15</f>
        <v>Canal_14</v>
      </c>
      <c r="BE15" s="207" t="str">
        <f>Настройки!AM15</f>
        <v>-</v>
      </c>
    </row>
    <row r="16" spans="1:57">
      <c r="A16" s="82"/>
      <c r="B16" s="82"/>
      <c r="C16" s="81"/>
      <c r="D16" s="81"/>
      <c r="E16" s="81"/>
      <c r="F16" s="81"/>
      <c r="G16" s="445"/>
      <c r="H16" s="447"/>
      <c r="I16" s="1"/>
      <c r="M16" s="424" t="str">
        <f>'Конфигурация TREI'!A17</f>
        <v>BR15</v>
      </c>
      <c r="N16" s="424" t="str">
        <f>'Конфигурация TREI'!B17</f>
        <v>M558O</v>
      </c>
      <c r="AE16" s="431">
        <f>Настройки!P16</f>
        <v>15</v>
      </c>
      <c r="AF16" s="380">
        <f>Настройки!Q16</f>
        <v>0</v>
      </c>
      <c r="AG16" s="380" t="str">
        <f>Настройки!R16</f>
        <v>IDIG_8_1</v>
      </c>
      <c r="AH16" s="380" t="str">
        <f>Настройки!S16</f>
        <v>IANS_8_3</v>
      </c>
      <c r="AI16" s="380" t="str">
        <f>Настройки!T16</f>
        <v>out14</v>
      </c>
      <c r="AJ16" s="380" t="str">
        <f>Настройки!U16</f>
        <v>out14</v>
      </c>
      <c r="AK16" s="380" t="str">
        <f>Настройки!V16</f>
        <v>ODIG_15</v>
      </c>
      <c r="AL16" s="380" t="str">
        <f>Настройки!W16</f>
        <v>-</v>
      </c>
      <c r="AM16" s="380" t="str">
        <f>Настройки!X16</f>
        <v>-</v>
      </c>
      <c r="AN16" s="380" t="str">
        <f>Настройки!Y16</f>
        <v>Canal_15</v>
      </c>
      <c r="AO16" s="380" t="str">
        <f>Настройки!Z16</f>
        <v>-</v>
      </c>
      <c r="AP16" s="380" t="str">
        <f>Настройки!AA16</f>
        <v>Canal_15</v>
      </c>
      <c r="AQ16" s="380" t="str">
        <f>Настройки!AB16</f>
        <v>Canal_15</v>
      </c>
      <c r="AR16" s="380" t="str">
        <f>Настройки!AC16</f>
        <v>OCCH[6]</v>
      </c>
      <c r="AS16" s="380" t="str">
        <f>Настройки!AD16</f>
        <v>OCCH[6]</v>
      </c>
      <c r="AT16" s="207" t="str">
        <f>Настройки!AB16</f>
        <v>Canal_15</v>
      </c>
      <c r="AU16" s="207" t="str">
        <f>Настройки!AC16</f>
        <v>OCCH[6]</v>
      </c>
      <c r="AV16" s="207" t="str">
        <f>Настройки!AD16</f>
        <v>OCCH[6]</v>
      </c>
      <c r="AW16" s="207" t="str">
        <f>Настройки!AE16</f>
        <v>IANS_8_1</v>
      </c>
      <c r="AX16" s="207" t="str">
        <f>Настройки!AF16</f>
        <v>IDIG_4_3</v>
      </c>
      <c r="AY16" s="207" t="str">
        <f>Настройки!AG16</f>
        <v>Canal_15</v>
      </c>
      <c r="AZ16" s="207" t="str">
        <f>Настройки!AH16</f>
        <v>Canal_15</v>
      </c>
      <c r="BA16" s="207" t="str">
        <f>Настройки!AI16</f>
        <v>Canal_15</v>
      </c>
      <c r="BB16" s="207" t="str">
        <f>Настройки!AJ16</f>
        <v>Canal_15</v>
      </c>
      <c r="BC16" s="207" t="str">
        <f>Настройки!AK16</f>
        <v>-</v>
      </c>
      <c r="BD16" s="207" t="str">
        <f>Настройки!AL16</f>
        <v>Canal_15</v>
      </c>
      <c r="BE16" s="207" t="str">
        <f>Настройки!AM16</f>
        <v>-</v>
      </c>
    </row>
    <row r="17" spans="1:57">
      <c r="A17" s="82"/>
      <c r="B17" s="82"/>
      <c r="C17" s="81"/>
      <c r="D17" s="81"/>
      <c r="E17" s="81"/>
      <c r="F17" s="81"/>
      <c r="G17" s="445"/>
      <c r="H17" s="447"/>
      <c r="I17" s="1"/>
      <c r="M17" s="424" t="str">
        <f>'Конфигурация TREI'!A18</f>
        <v>BR16</v>
      </c>
      <c r="N17" s="424" t="str">
        <f>'Конфигурация TREI'!B18</f>
        <v>M558O</v>
      </c>
      <c r="AE17" s="431">
        <f>Настройки!P17</f>
        <v>16</v>
      </c>
      <c r="AF17" s="380">
        <f>Настройки!Q17</f>
        <v>0</v>
      </c>
      <c r="AG17" s="380" t="str">
        <f>Настройки!R17</f>
        <v>IDIG_8_2</v>
      </c>
      <c r="AH17" s="380" t="str">
        <f>Настройки!S17</f>
        <v>IANS_8_4</v>
      </c>
      <c r="AI17" s="380" t="str">
        <f>Настройки!T17</f>
        <v>out15</v>
      </c>
      <c r="AJ17" s="380" t="str">
        <f>Настройки!U17</f>
        <v>out15</v>
      </c>
      <c r="AK17" s="380" t="str">
        <f>Настройки!V17</f>
        <v>ODIG_16</v>
      </c>
      <c r="AL17" s="380" t="str">
        <f>Настройки!W17</f>
        <v>-</v>
      </c>
      <c r="AM17" s="380" t="str">
        <f>Настройки!X17</f>
        <v>-</v>
      </c>
      <c r="AN17" s="380" t="str">
        <f>Настройки!Y17</f>
        <v>Canal_16</v>
      </c>
      <c r="AO17" s="380" t="str">
        <f>Настройки!Z17</f>
        <v>-</v>
      </c>
      <c r="AP17" s="380" t="str">
        <f>Настройки!AA17</f>
        <v>Canal_16</v>
      </c>
      <c r="AQ17" s="380" t="str">
        <f>Настройки!AB17</f>
        <v>Canal_16</v>
      </c>
      <c r="AR17" s="380" t="str">
        <f>Настройки!AC17</f>
        <v>OCCH[7]</v>
      </c>
      <c r="AS17" s="380" t="str">
        <f>Настройки!AD17</f>
        <v>OCCH[7]</v>
      </c>
      <c r="AT17" s="207" t="str">
        <f>Настройки!AB17</f>
        <v>Canal_16</v>
      </c>
      <c r="AU17" s="207" t="str">
        <f>Настройки!AC17</f>
        <v>OCCH[7]</v>
      </c>
      <c r="AV17" s="207" t="str">
        <f>Настройки!AD17</f>
        <v>OCCH[7]</v>
      </c>
      <c r="AW17" s="207" t="str">
        <f>Настройки!AE17</f>
        <v>IANS_8_2</v>
      </c>
      <c r="AX17" s="207" t="str">
        <f>Настройки!AF17</f>
        <v>IDIG_4_4</v>
      </c>
      <c r="AY17" s="207" t="str">
        <f>Настройки!AG17</f>
        <v>Canal_16</v>
      </c>
      <c r="AZ17" s="207" t="str">
        <f>Настройки!AH17</f>
        <v>Canal_16</v>
      </c>
      <c r="BA17" s="207" t="str">
        <f>Настройки!AI17</f>
        <v>Canal_16</v>
      </c>
      <c r="BB17" s="207" t="str">
        <f>Настройки!AJ17</f>
        <v>Canal_16</v>
      </c>
      <c r="BC17" s="207" t="str">
        <f>Настройки!AK17</f>
        <v>-</v>
      </c>
      <c r="BD17" s="207" t="str">
        <f>Настройки!AL17</f>
        <v>Canal_16</v>
      </c>
      <c r="BE17" s="207" t="str">
        <f>Настройки!AM17</f>
        <v>-</v>
      </c>
    </row>
    <row r="18" spans="1:57">
      <c r="A18" s="82"/>
      <c r="B18" s="82"/>
      <c r="C18" s="81"/>
      <c r="D18" s="81"/>
      <c r="E18" s="81"/>
      <c r="F18" s="81"/>
      <c r="G18" s="445"/>
      <c r="H18" s="447"/>
      <c r="I18" s="1"/>
      <c r="M18" s="424" t="str">
        <f>'Конфигурация TREI'!A19</f>
        <v>BR17</v>
      </c>
      <c r="N18" s="424" t="str">
        <f>'Конфигурация TREI'!B19</f>
        <v>M558O</v>
      </c>
      <c r="AE18" s="428">
        <f>Настройки!P18</f>
        <v>17</v>
      </c>
      <c r="AF18" s="380">
        <f>Настройки!Q18</f>
        <v>0</v>
      </c>
      <c r="AG18" s="380" t="str">
        <f>Настройки!R18</f>
        <v>-</v>
      </c>
      <c r="AH18" s="380" t="str">
        <f>Настройки!S18</f>
        <v>-</v>
      </c>
      <c r="AI18" s="380" t="str">
        <f>Настройки!T18</f>
        <v>out16</v>
      </c>
      <c r="AJ18" s="380" t="str">
        <f>Настройки!U18</f>
        <v>out16</v>
      </c>
      <c r="AK18" s="380" t="str">
        <f>Настройки!V18</f>
        <v>-</v>
      </c>
      <c r="AL18" s="380" t="str">
        <f>Настройки!W18</f>
        <v>-</v>
      </c>
      <c r="AM18" s="380" t="str">
        <f>Настройки!X18</f>
        <v>-</v>
      </c>
      <c r="AN18" s="380" t="str">
        <f>Настройки!Y18</f>
        <v>-</v>
      </c>
      <c r="AO18" s="380" t="str">
        <f>Настройки!Z18</f>
        <v>-</v>
      </c>
      <c r="AP18" s="380" t="str">
        <f>Настройки!AA18</f>
        <v>Canal_17</v>
      </c>
      <c r="AQ18" s="380" t="str">
        <f>Настройки!AB18</f>
        <v>Canal_17</v>
      </c>
      <c r="AR18" s="380" t="str">
        <f>Настройки!AC18</f>
        <v>-</v>
      </c>
      <c r="AS18" s="380" t="str">
        <f>Настройки!AD18</f>
        <v>-</v>
      </c>
      <c r="AT18" s="207" t="str">
        <f>Настройки!AB18</f>
        <v>Canal_17</v>
      </c>
      <c r="AU18" s="207" t="str">
        <f>Настройки!AC18</f>
        <v>-</v>
      </c>
      <c r="AV18" s="207" t="str">
        <f>Настройки!AD18</f>
        <v>-</v>
      </c>
      <c r="AW18" s="207" t="str">
        <f>Настройки!AE18</f>
        <v>-</v>
      </c>
      <c r="AX18" s="207" t="str">
        <f>Настройки!AF18</f>
        <v>IDIG_5_1</v>
      </c>
      <c r="AY18" s="207" t="str">
        <f>Настройки!AG18</f>
        <v>Canal_17</v>
      </c>
      <c r="AZ18" s="207" t="str">
        <f>Настройки!AH18</f>
        <v>Canal_17</v>
      </c>
      <c r="BA18" s="207" t="str">
        <f>Настройки!AI18</f>
        <v>Canal_17</v>
      </c>
      <c r="BB18" s="207" t="str">
        <f>Настройки!AJ18</f>
        <v>-</v>
      </c>
      <c r="BC18" s="207" t="str">
        <f>Настройки!AK18</f>
        <v>-</v>
      </c>
      <c r="BD18" s="207" t="str">
        <f>Настройки!AL18</f>
        <v>Canal_17</v>
      </c>
      <c r="BE18" s="207" t="str">
        <f>Настройки!AM18</f>
        <v>-</v>
      </c>
    </row>
    <row r="19" spans="1:57">
      <c r="A19" s="82"/>
      <c r="B19" s="82"/>
      <c r="C19" s="81"/>
      <c r="D19" s="81"/>
      <c r="E19" s="81"/>
      <c r="F19" s="81"/>
      <c r="G19" s="445"/>
      <c r="H19" s="447"/>
      <c r="I19" s="1"/>
      <c r="M19" s="424" t="str">
        <f>'Конфигурация TREI'!A20</f>
        <v>BR18</v>
      </c>
      <c r="N19" s="424" t="str">
        <f>'Конфигурация TREI'!B20</f>
        <v>M558O</v>
      </c>
      <c r="AE19" s="428">
        <f>Настройки!P19</f>
        <v>18</v>
      </c>
      <c r="AF19" s="380">
        <f>Настройки!Q19</f>
        <v>0</v>
      </c>
      <c r="AG19" s="380" t="str">
        <f>Настройки!R19</f>
        <v>-</v>
      </c>
      <c r="AH19" s="380" t="str">
        <f>Настройки!S19</f>
        <v>-</v>
      </c>
      <c r="AI19" s="380" t="str">
        <f>Настройки!T19</f>
        <v>out17</v>
      </c>
      <c r="AJ19" s="380" t="str">
        <f>Настройки!U19</f>
        <v>out17</v>
      </c>
      <c r="AK19" s="380" t="str">
        <f>Настройки!V19</f>
        <v>-</v>
      </c>
      <c r="AL19" s="380" t="str">
        <f>Настройки!W19</f>
        <v>-</v>
      </c>
      <c r="AM19" s="380" t="str">
        <f>Настройки!X19</f>
        <v>-</v>
      </c>
      <c r="AN19" s="380" t="str">
        <f>Настройки!Y19</f>
        <v>-</v>
      </c>
      <c r="AO19" s="380" t="str">
        <f>Настройки!Z19</f>
        <v>-</v>
      </c>
      <c r="AP19" s="380" t="str">
        <f>Настройки!AA19</f>
        <v>Canal_18</v>
      </c>
      <c r="AQ19" s="380" t="str">
        <f>Настройки!AB19</f>
        <v>Canal_18</v>
      </c>
      <c r="AR19" s="380" t="str">
        <f>Настройки!AC19</f>
        <v>-</v>
      </c>
      <c r="AS19" s="380" t="str">
        <f>Настройки!AD19</f>
        <v>-</v>
      </c>
      <c r="AT19" s="207" t="str">
        <f>Настройки!AB19</f>
        <v>Canal_18</v>
      </c>
      <c r="AU19" s="207" t="str">
        <f>Настройки!AC19</f>
        <v>-</v>
      </c>
      <c r="AV19" s="207" t="str">
        <f>Настройки!AD19</f>
        <v>-</v>
      </c>
      <c r="AW19" s="207" t="str">
        <f>Настройки!AE19</f>
        <v>-</v>
      </c>
      <c r="AX19" s="207" t="str">
        <f>Настройки!AF19</f>
        <v>IDIG_5_2</v>
      </c>
      <c r="AY19" s="207" t="str">
        <f>Настройки!AG19</f>
        <v>Canal_18</v>
      </c>
      <c r="AZ19" s="207" t="str">
        <f>Настройки!AH19</f>
        <v>Canal_18</v>
      </c>
      <c r="BA19" s="207" t="str">
        <f>Настройки!AI19</f>
        <v>Canal_18</v>
      </c>
      <c r="BB19" s="207" t="str">
        <f>Настройки!AJ19</f>
        <v>-</v>
      </c>
      <c r="BC19" s="207" t="str">
        <f>Настройки!AK19</f>
        <v>-</v>
      </c>
      <c r="BD19" s="207" t="str">
        <f>Настройки!AL19</f>
        <v>Canal_18</v>
      </c>
      <c r="BE19" s="207" t="str">
        <f>Настройки!AM19</f>
        <v>-</v>
      </c>
    </row>
    <row r="20" spans="1:57">
      <c r="A20" s="82"/>
      <c r="B20" s="82"/>
      <c r="C20" s="81"/>
      <c r="D20" s="81"/>
      <c r="E20" s="81"/>
      <c r="F20" s="81"/>
      <c r="G20" s="445"/>
      <c r="H20" s="447"/>
      <c r="I20" s="1"/>
      <c r="M20" s="424" t="str">
        <f>'Конфигурация TREI'!A21</f>
        <v>BR19</v>
      </c>
      <c r="N20" s="424" t="str">
        <f>'Конфигурация TREI'!B21</f>
        <v>M558O</v>
      </c>
      <c r="AE20" s="428">
        <f>Настройки!P20</f>
        <v>19</v>
      </c>
      <c r="AF20" s="380">
        <f>Настройки!Q20</f>
        <v>0</v>
      </c>
      <c r="AG20" s="380" t="str">
        <f>Настройки!R20</f>
        <v>-</v>
      </c>
      <c r="AH20" s="380" t="str">
        <f>Настройки!S20</f>
        <v>-</v>
      </c>
      <c r="AI20" s="380" t="str">
        <f>Настройки!T20</f>
        <v>out18</v>
      </c>
      <c r="AJ20" s="380" t="str">
        <f>Настройки!U20</f>
        <v>out18</v>
      </c>
      <c r="AK20" s="380" t="str">
        <f>Настройки!V20</f>
        <v>-</v>
      </c>
      <c r="AL20" s="380" t="str">
        <f>Настройки!W20</f>
        <v>-</v>
      </c>
      <c r="AM20" s="380" t="str">
        <f>Настройки!X20</f>
        <v>-</v>
      </c>
      <c r="AN20" s="380" t="str">
        <f>Настройки!Y20</f>
        <v>-</v>
      </c>
      <c r="AO20" s="380" t="str">
        <f>Настройки!Z20</f>
        <v>-</v>
      </c>
      <c r="AP20" s="380" t="str">
        <f>Настройки!AA20</f>
        <v>Canal_19</v>
      </c>
      <c r="AQ20" s="380" t="str">
        <f>Настройки!AB20</f>
        <v>Canal_19</v>
      </c>
      <c r="AR20" s="380" t="str">
        <f>Настройки!AC20</f>
        <v>-</v>
      </c>
      <c r="AS20" s="380" t="str">
        <f>Настройки!AD20</f>
        <v>-</v>
      </c>
      <c r="AT20" s="207" t="str">
        <f>Настройки!AB20</f>
        <v>Canal_19</v>
      </c>
      <c r="AU20" s="207" t="str">
        <f>Настройки!AC20</f>
        <v>-</v>
      </c>
      <c r="AV20" s="207" t="str">
        <f>Настройки!AD20</f>
        <v>-</v>
      </c>
      <c r="AW20" s="207" t="str">
        <f>Настройки!AE20</f>
        <v>-</v>
      </c>
      <c r="AX20" s="207" t="str">
        <f>Настройки!AF20</f>
        <v>IDIG_5_3</v>
      </c>
      <c r="AY20" s="207" t="str">
        <f>Настройки!AG20</f>
        <v>Canal_19</v>
      </c>
      <c r="AZ20" s="207" t="str">
        <f>Настройки!AH20</f>
        <v>Canal_19</v>
      </c>
      <c r="BA20" s="207" t="str">
        <f>Настройки!AI20</f>
        <v>Canal_19</v>
      </c>
      <c r="BB20" s="207" t="str">
        <f>Настройки!AJ20</f>
        <v>-</v>
      </c>
      <c r="BC20" s="207" t="str">
        <f>Настройки!AK20</f>
        <v>-</v>
      </c>
      <c r="BD20" s="207" t="str">
        <f>Настройки!AL20</f>
        <v>Canal_19</v>
      </c>
      <c r="BE20" s="207" t="str">
        <f>Настройки!AM20</f>
        <v>-</v>
      </c>
    </row>
    <row r="21" spans="1:57">
      <c r="A21" s="82"/>
      <c r="B21" s="82"/>
      <c r="C21" s="81"/>
      <c r="D21" s="81"/>
      <c r="E21" s="81"/>
      <c r="F21" s="81"/>
      <c r="G21" s="445"/>
      <c r="H21" s="447"/>
      <c r="I21" s="1"/>
      <c r="M21" s="424" t="str">
        <f>'Конфигурация TREI'!A22</f>
        <v>BR20</v>
      </c>
      <c r="N21" s="424" t="str">
        <f>'Конфигурация TREI'!B22</f>
        <v>M558D</v>
      </c>
      <c r="AE21" s="428">
        <f>Настройки!P21</f>
        <v>20</v>
      </c>
      <c r="AF21" s="380">
        <f>Настройки!Q21</f>
        <v>0</v>
      </c>
      <c r="AG21" s="380" t="str">
        <f>Настройки!R21</f>
        <v>-</v>
      </c>
      <c r="AH21" s="380" t="str">
        <f>Настройки!S21</f>
        <v>-</v>
      </c>
      <c r="AI21" s="380" t="str">
        <f>Настройки!T21</f>
        <v>out19</v>
      </c>
      <c r="AJ21" s="380" t="str">
        <f>Настройки!U21</f>
        <v>out19</v>
      </c>
      <c r="AK21" s="380" t="str">
        <f>Настройки!V21</f>
        <v>-</v>
      </c>
      <c r="AL21" s="380" t="str">
        <f>Настройки!W21</f>
        <v>-</v>
      </c>
      <c r="AM21" s="380" t="str">
        <f>Настройки!X21</f>
        <v>-</v>
      </c>
      <c r="AN21" s="380" t="str">
        <f>Настройки!Y21</f>
        <v>-</v>
      </c>
      <c r="AO21" s="380" t="str">
        <f>Настройки!Z21</f>
        <v>-</v>
      </c>
      <c r="AP21" s="380" t="str">
        <f>Настройки!AA21</f>
        <v>Canal_20</v>
      </c>
      <c r="AQ21" s="380" t="str">
        <f>Настройки!AB21</f>
        <v>Canal_20</v>
      </c>
      <c r="AR21" s="380" t="str">
        <f>Настройки!AC21</f>
        <v>-</v>
      </c>
      <c r="AS21" s="380" t="str">
        <f>Настройки!AD21</f>
        <v>-</v>
      </c>
      <c r="AT21" s="207" t="str">
        <f>Настройки!AB21</f>
        <v>Canal_20</v>
      </c>
      <c r="AU21" s="207" t="str">
        <f>Настройки!AC21</f>
        <v>-</v>
      </c>
      <c r="AV21" s="207" t="str">
        <f>Настройки!AD21</f>
        <v>-</v>
      </c>
      <c r="AW21" s="207" t="str">
        <f>Настройки!AE21</f>
        <v>-</v>
      </c>
      <c r="AX21" s="207" t="str">
        <f>Настройки!AF21</f>
        <v>IDIG_5_4</v>
      </c>
      <c r="AY21" s="207" t="str">
        <f>Настройки!AG21</f>
        <v>Canal_20</v>
      </c>
      <c r="AZ21" s="207" t="str">
        <f>Настройки!AH21</f>
        <v>Canal_20</v>
      </c>
      <c r="BA21" s="207" t="str">
        <f>Настройки!AI21</f>
        <v>Canal_20</v>
      </c>
      <c r="BB21" s="207" t="str">
        <f>Настройки!AJ21</f>
        <v>-</v>
      </c>
      <c r="BC21" s="207" t="str">
        <f>Настройки!AK21</f>
        <v>-</v>
      </c>
      <c r="BD21" s="207" t="str">
        <f>Настройки!AL21</f>
        <v>Canal_20</v>
      </c>
      <c r="BE21" s="207" t="str">
        <f>Настройки!AM21</f>
        <v>-</v>
      </c>
    </row>
    <row r="22" spans="1:57">
      <c r="A22" s="82"/>
      <c r="B22" s="82"/>
      <c r="C22" s="81"/>
      <c r="D22" s="81"/>
      <c r="E22" s="81"/>
      <c r="F22" s="81"/>
      <c r="G22" s="445"/>
      <c r="H22" s="447"/>
      <c r="I22" s="1"/>
      <c r="M22" s="424" t="str">
        <f>'Конфигурация TREI'!A23</f>
        <v>BR21</v>
      </c>
      <c r="N22" s="424" t="str">
        <f>'Конфигурация TREI'!B23</f>
        <v>M558O</v>
      </c>
      <c r="AE22" s="428">
        <f>Настройки!P22</f>
        <v>21</v>
      </c>
      <c r="AF22" s="380">
        <f>Настройки!Q22</f>
        <v>0</v>
      </c>
      <c r="AG22" s="380" t="str">
        <f>Настройки!R22</f>
        <v>-</v>
      </c>
      <c r="AH22" s="380" t="str">
        <f>Настройки!S22</f>
        <v>-</v>
      </c>
      <c r="AI22" s="380" t="str">
        <f>Настройки!T22</f>
        <v>out20</v>
      </c>
      <c r="AJ22" s="380" t="str">
        <f>Настройки!U22</f>
        <v>out20</v>
      </c>
      <c r="AK22" s="380" t="str">
        <f>Настройки!V22</f>
        <v>-</v>
      </c>
      <c r="AL22" s="380" t="str">
        <f>Настройки!W22</f>
        <v>-</v>
      </c>
      <c r="AM22" s="380" t="str">
        <f>Настройки!X22</f>
        <v>-</v>
      </c>
      <c r="AN22" s="380" t="str">
        <f>Настройки!Y22</f>
        <v>-</v>
      </c>
      <c r="AO22" s="380" t="str">
        <f>Настройки!Z22</f>
        <v>-</v>
      </c>
      <c r="AP22" s="380" t="str">
        <f>Настройки!AA22</f>
        <v>Canal_21</v>
      </c>
      <c r="AQ22" s="380" t="str">
        <f>Настройки!AB22</f>
        <v>Canal_21</v>
      </c>
      <c r="AR22" s="380" t="str">
        <f>Настройки!AC22</f>
        <v>-</v>
      </c>
      <c r="AS22" s="380" t="str">
        <f>Настройки!AD22</f>
        <v>-</v>
      </c>
      <c r="AT22" s="207" t="str">
        <f>Настройки!AB22</f>
        <v>Canal_21</v>
      </c>
      <c r="AU22" s="207" t="str">
        <f>Настройки!AC22</f>
        <v>-</v>
      </c>
      <c r="AV22" s="207" t="str">
        <f>Настройки!AD22</f>
        <v>-</v>
      </c>
      <c r="AW22" s="207" t="str">
        <f>Настройки!AE22</f>
        <v>-</v>
      </c>
      <c r="AX22" s="207" t="str">
        <f>Настройки!AF22</f>
        <v>IDIG_6_1</v>
      </c>
      <c r="AY22" s="207" t="str">
        <f>Настройки!AG22</f>
        <v>Canal_21</v>
      </c>
      <c r="AZ22" s="207" t="str">
        <f>Настройки!AH22</f>
        <v>Canal_21</v>
      </c>
      <c r="BA22" s="207" t="str">
        <f>Настройки!AI22</f>
        <v>Canal_21</v>
      </c>
      <c r="BB22" s="207" t="str">
        <f>Настройки!AJ22</f>
        <v>-</v>
      </c>
      <c r="BC22" s="207" t="str">
        <f>Настройки!AK22</f>
        <v>-</v>
      </c>
      <c r="BD22" s="207" t="str">
        <f>Настройки!AL22</f>
        <v>Canal_21</v>
      </c>
      <c r="BE22" s="207" t="str">
        <f>Настройки!AM22</f>
        <v>-</v>
      </c>
    </row>
    <row r="23" spans="1:57">
      <c r="A23" s="82"/>
      <c r="B23" s="82"/>
      <c r="C23" s="81"/>
      <c r="D23" s="81"/>
      <c r="E23" s="81"/>
      <c r="F23" s="81"/>
      <c r="G23" s="445"/>
      <c r="H23" s="447"/>
      <c r="I23" s="1"/>
      <c r="M23" s="424" t="str">
        <f>'Конфигурация TREI'!A24</f>
        <v>BR22</v>
      </c>
      <c r="N23" s="424" t="str">
        <f>'Конфигурация TREI'!B24</f>
        <v>M558D</v>
      </c>
      <c r="AE23" s="428">
        <f>Настройки!P23</f>
        <v>22</v>
      </c>
      <c r="AF23" s="380">
        <f>Настройки!Q23</f>
        <v>0</v>
      </c>
      <c r="AG23" s="380" t="str">
        <f>Настройки!R23</f>
        <v>-</v>
      </c>
      <c r="AH23" s="380" t="str">
        <f>Настройки!S23</f>
        <v>-</v>
      </c>
      <c r="AI23" s="380" t="str">
        <f>Настройки!T23</f>
        <v>out21</v>
      </c>
      <c r="AJ23" s="380" t="str">
        <f>Настройки!U23</f>
        <v>out21</v>
      </c>
      <c r="AK23" s="380" t="str">
        <f>Настройки!V23</f>
        <v>-</v>
      </c>
      <c r="AL23" s="380" t="str">
        <f>Настройки!W23</f>
        <v>-</v>
      </c>
      <c r="AM23" s="380" t="str">
        <f>Настройки!X23</f>
        <v>-</v>
      </c>
      <c r="AN23" s="380" t="str">
        <f>Настройки!Y23</f>
        <v>-</v>
      </c>
      <c r="AO23" s="380" t="str">
        <f>Настройки!Z23</f>
        <v>-</v>
      </c>
      <c r="AP23" s="380" t="str">
        <f>Настройки!AA23</f>
        <v>Canal_22</v>
      </c>
      <c r="AQ23" s="380" t="str">
        <f>Настройки!AB23</f>
        <v>Canal_22</v>
      </c>
      <c r="AR23" s="380" t="str">
        <f>Настройки!AC23</f>
        <v>-</v>
      </c>
      <c r="AS23" s="380" t="str">
        <f>Настройки!AD23</f>
        <v>-</v>
      </c>
      <c r="AT23" s="207" t="str">
        <f>Настройки!AB23</f>
        <v>Canal_22</v>
      </c>
      <c r="AU23" s="207" t="str">
        <f>Настройки!AC23</f>
        <v>-</v>
      </c>
      <c r="AV23" s="207" t="str">
        <f>Настройки!AD23</f>
        <v>-</v>
      </c>
      <c r="AW23" s="207" t="str">
        <f>Настройки!AE23</f>
        <v>-</v>
      </c>
      <c r="AX23" s="207" t="str">
        <f>Настройки!AF23</f>
        <v>IDIG_6_2</v>
      </c>
      <c r="AY23" s="207" t="str">
        <f>Настройки!AG23</f>
        <v>Canal_22</v>
      </c>
      <c r="AZ23" s="207" t="str">
        <f>Настройки!AH23</f>
        <v>Canal_22</v>
      </c>
      <c r="BA23" s="207" t="str">
        <f>Настройки!AI23</f>
        <v>Canal_22</v>
      </c>
      <c r="BB23" s="207" t="str">
        <f>Настройки!AJ23</f>
        <v>-</v>
      </c>
      <c r="BC23" s="207" t="str">
        <f>Настройки!AK23</f>
        <v>-</v>
      </c>
      <c r="BD23" s="207" t="str">
        <f>Настройки!AL23</f>
        <v>Canal_22</v>
      </c>
      <c r="BE23" s="207" t="str">
        <f>Настройки!AM23</f>
        <v>-</v>
      </c>
    </row>
    <row r="24" spans="1:57">
      <c r="A24" s="82"/>
      <c r="B24" s="82"/>
      <c r="C24" s="81"/>
      <c r="D24" s="81"/>
      <c r="E24" s="81"/>
      <c r="F24" s="81"/>
      <c r="G24" s="445"/>
      <c r="H24" s="447"/>
      <c r="I24" s="1"/>
      <c r="M24" s="424" t="str">
        <f>'Конфигурация TREI'!A25</f>
        <v>BR23</v>
      </c>
      <c r="N24" s="424" t="str">
        <f>'Конфигурация TREI'!B25</f>
        <v>M558O</v>
      </c>
      <c r="AE24" s="428">
        <f>Настройки!P24</f>
        <v>23</v>
      </c>
      <c r="AF24" s="380">
        <f>Настройки!Q24</f>
        <v>0</v>
      </c>
      <c r="AG24" s="380" t="str">
        <f>Настройки!R24</f>
        <v>-</v>
      </c>
      <c r="AH24" s="380" t="str">
        <f>Настройки!S24</f>
        <v>-</v>
      </c>
      <c r="AI24" s="380" t="str">
        <f>Настройки!T24</f>
        <v>out22</v>
      </c>
      <c r="AJ24" s="380" t="str">
        <f>Настройки!U24</f>
        <v>out22</v>
      </c>
      <c r="AK24" s="380" t="str">
        <f>Настройки!V24</f>
        <v>-</v>
      </c>
      <c r="AL24" s="380" t="str">
        <f>Настройки!W24</f>
        <v>-</v>
      </c>
      <c r="AM24" s="380" t="str">
        <f>Настройки!X24</f>
        <v>-</v>
      </c>
      <c r="AN24" s="380" t="str">
        <f>Настройки!Y24</f>
        <v>-</v>
      </c>
      <c r="AO24" s="380" t="str">
        <f>Настройки!Z24</f>
        <v>-</v>
      </c>
      <c r="AP24" s="380" t="str">
        <f>Настройки!AA24</f>
        <v>Canal_23</v>
      </c>
      <c r="AQ24" s="380" t="str">
        <f>Настройки!AB24</f>
        <v>Canal_23</v>
      </c>
      <c r="AR24" s="380" t="str">
        <f>Настройки!AC24</f>
        <v>-</v>
      </c>
      <c r="AS24" s="380" t="str">
        <f>Настройки!AD24</f>
        <v>-</v>
      </c>
      <c r="AT24" s="207" t="str">
        <f>Настройки!AB24</f>
        <v>Canal_23</v>
      </c>
      <c r="AU24" s="207" t="str">
        <f>Настройки!AC24</f>
        <v>-</v>
      </c>
      <c r="AV24" s="207" t="str">
        <f>Настройки!AD24</f>
        <v>-</v>
      </c>
      <c r="AW24" s="207" t="str">
        <f>Настройки!AE24</f>
        <v>-</v>
      </c>
      <c r="AX24" s="207" t="str">
        <f>Настройки!AF24</f>
        <v>IDIG_6_3</v>
      </c>
      <c r="AY24" s="207" t="str">
        <f>Настройки!AG24</f>
        <v>Canal_23</v>
      </c>
      <c r="AZ24" s="207" t="str">
        <f>Настройки!AH24</f>
        <v>Canal_23</v>
      </c>
      <c r="BA24" s="207" t="str">
        <f>Настройки!AI24</f>
        <v>Canal_23</v>
      </c>
      <c r="BB24" s="207" t="str">
        <f>Настройки!AJ24</f>
        <v>-</v>
      </c>
      <c r="BC24" s="207" t="str">
        <f>Настройки!AK24</f>
        <v>-</v>
      </c>
      <c r="BD24" s="207" t="str">
        <f>Настройки!AL24</f>
        <v>Canal_23</v>
      </c>
      <c r="BE24" s="207" t="str">
        <f>Настройки!AM24</f>
        <v>-</v>
      </c>
    </row>
    <row r="25" spans="1:57">
      <c r="A25" s="82"/>
      <c r="B25" s="82"/>
      <c r="C25" s="81"/>
      <c r="D25" s="81"/>
      <c r="E25" s="81"/>
      <c r="F25" s="81"/>
      <c r="G25" s="445"/>
      <c r="H25" s="447"/>
      <c r="I25" s="1"/>
      <c r="M25" s="424" t="str">
        <f>'Конфигурация TREI'!A26</f>
        <v>BR24</v>
      </c>
      <c r="N25" s="424" t="str">
        <f>'Конфигурация TREI'!B26</f>
        <v>M558D</v>
      </c>
      <c r="AE25" s="428">
        <f>Настройки!P25</f>
        <v>24</v>
      </c>
      <c r="AF25" s="380">
        <f>Настройки!Q25</f>
        <v>0</v>
      </c>
      <c r="AG25" s="380" t="str">
        <f>Настройки!R25</f>
        <v>-</v>
      </c>
      <c r="AH25" s="380" t="str">
        <f>Настройки!S25</f>
        <v>-</v>
      </c>
      <c r="AI25" s="380" t="str">
        <f>Настройки!T25</f>
        <v>out23</v>
      </c>
      <c r="AJ25" s="380" t="str">
        <f>Настройки!U25</f>
        <v>out23</v>
      </c>
      <c r="AK25" s="380" t="str">
        <f>Настройки!V25</f>
        <v>-</v>
      </c>
      <c r="AL25" s="380" t="str">
        <f>Настройки!W25</f>
        <v>-</v>
      </c>
      <c r="AM25" s="380" t="str">
        <f>Настройки!X25</f>
        <v>-</v>
      </c>
      <c r="AN25" s="380" t="str">
        <f>Настройки!Y25</f>
        <v>-</v>
      </c>
      <c r="AO25" s="380" t="str">
        <f>Настройки!Z25</f>
        <v>-</v>
      </c>
      <c r="AP25" s="380" t="str">
        <f>Настройки!AA25</f>
        <v>Canal_24</v>
      </c>
      <c r="AQ25" s="380" t="str">
        <f>Настройки!AB25</f>
        <v>Canal_24</v>
      </c>
      <c r="AR25" s="380" t="str">
        <f>Настройки!AC25</f>
        <v>-</v>
      </c>
      <c r="AS25" s="380" t="str">
        <f>Настройки!AD25</f>
        <v>-</v>
      </c>
      <c r="AT25" s="207" t="str">
        <f>Настройки!AB25</f>
        <v>Canal_24</v>
      </c>
      <c r="AU25" s="207" t="str">
        <f>Настройки!AC25</f>
        <v>-</v>
      </c>
      <c r="AV25" s="207" t="str">
        <f>Настройки!AD25</f>
        <v>-</v>
      </c>
      <c r="AW25" s="207" t="str">
        <f>Настройки!AE25</f>
        <v>-</v>
      </c>
      <c r="AX25" s="207" t="str">
        <f>Настройки!AF25</f>
        <v>IDIG_6_4</v>
      </c>
      <c r="AY25" s="207" t="str">
        <f>Настройки!AG25</f>
        <v>Canal_24</v>
      </c>
      <c r="AZ25" s="207" t="str">
        <f>Настройки!AH25</f>
        <v>Canal_24</v>
      </c>
      <c r="BA25" s="207" t="str">
        <f>Настройки!AI25</f>
        <v>Canal_24</v>
      </c>
      <c r="BB25" s="207" t="str">
        <f>Настройки!AJ25</f>
        <v>-</v>
      </c>
      <c r="BC25" s="207" t="str">
        <f>Настройки!AK25</f>
        <v>-</v>
      </c>
      <c r="BD25" s="207" t="str">
        <f>Настройки!AL25</f>
        <v>Canal_24</v>
      </c>
      <c r="BE25" s="207" t="str">
        <f>Настройки!AM25</f>
        <v>-</v>
      </c>
    </row>
    <row r="26" spans="1:57">
      <c r="A26" s="82"/>
      <c r="B26" s="82"/>
      <c r="C26" s="81"/>
      <c r="D26" s="81"/>
      <c r="E26" s="81"/>
      <c r="F26" s="81"/>
      <c r="G26" s="445"/>
      <c r="H26" s="447"/>
      <c r="I26" s="1"/>
      <c r="M26" s="424" t="str">
        <f>'Конфигурация TREI'!A27</f>
        <v>BR25</v>
      </c>
      <c r="N26" s="424" t="str">
        <f>'Конфигурация TREI'!B27</f>
        <v>M558D</v>
      </c>
      <c r="AE26" s="428">
        <f>Настройки!P26</f>
        <v>25</v>
      </c>
      <c r="AF26" s="380">
        <f>Настройки!Q26</f>
        <v>0</v>
      </c>
      <c r="AG26" s="380" t="str">
        <f>Настройки!R26</f>
        <v>-</v>
      </c>
      <c r="AH26" s="380" t="str">
        <f>Настройки!S26</f>
        <v>-</v>
      </c>
      <c r="AI26" s="380" t="str">
        <f>Настройки!T26</f>
        <v>out24</v>
      </c>
      <c r="AJ26" s="380" t="str">
        <f>Настройки!U26</f>
        <v>out24</v>
      </c>
      <c r="AK26" s="380" t="str">
        <f>Настройки!V26</f>
        <v>-</v>
      </c>
      <c r="AL26" s="380" t="str">
        <f>Настройки!W26</f>
        <v>-</v>
      </c>
      <c r="AM26" s="380" t="str">
        <f>Настройки!X26</f>
        <v>-</v>
      </c>
      <c r="AN26" s="380" t="str">
        <f>Настройки!Y26</f>
        <v>-</v>
      </c>
      <c r="AO26" s="380" t="str">
        <f>Настройки!Z26</f>
        <v>-</v>
      </c>
      <c r="AP26" s="380" t="str">
        <f>Настройки!AA26</f>
        <v>Canal_25</v>
      </c>
      <c r="AQ26" s="380" t="str">
        <f>Настройки!AB26</f>
        <v>Canal_25</v>
      </c>
      <c r="AR26" s="380" t="str">
        <f>Настройки!AC26</f>
        <v>-</v>
      </c>
      <c r="AS26" s="380" t="str">
        <f>Настройки!AD26</f>
        <v>-</v>
      </c>
      <c r="AT26" s="207" t="str">
        <f>Настройки!AB26</f>
        <v>Canal_25</v>
      </c>
      <c r="AU26" s="207" t="str">
        <f>Настройки!AC26</f>
        <v>-</v>
      </c>
      <c r="AV26" s="207" t="str">
        <f>Настройки!AD26</f>
        <v>-</v>
      </c>
      <c r="AW26" s="207" t="str">
        <f>Настройки!AE26</f>
        <v>-</v>
      </c>
      <c r="AX26" s="207" t="str">
        <f>Настройки!AF26</f>
        <v>IDIG_7_1</v>
      </c>
      <c r="AY26" s="207" t="str">
        <f>Настройки!AG26</f>
        <v>Canal_25</v>
      </c>
      <c r="AZ26" s="207" t="str">
        <f>Настройки!AH26</f>
        <v>Canal_25</v>
      </c>
      <c r="BA26" s="207" t="str">
        <f>Настройки!AI26</f>
        <v>Canal_25</v>
      </c>
      <c r="BB26" s="207" t="str">
        <f>Настройки!AJ26</f>
        <v>-</v>
      </c>
      <c r="BC26" s="207" t="str">
        <f>Настройки!AK26</f>
        <v>-</v>
      </c>
      <c r="BD26" s="207" t="str">
        <f>Настройки!AL26</f>
        <v>Canal_25</v>
      </c>
      <c r="BE26" s="207" t="str">
        <f>Настройки!AM26</f>
        <v>-</v>
      </c>
    </row>
    <row r="27" spans="1:57">
      <c r="A27" s="82"/>
      <c r="B27" s="82"/>
      <c r="C27" s="81"/>
      <c r="D27" s="81"/>
      <c r="E27" s="81"/>
      <c r="F27" s="81"/>
      <c r="G27" s="445"/>
      <c r="H27" s="447"/>
      <c r="I27" s="1"/>
      <c r="M27" s="424" t="str">
        <f>'Конфигурация TREI'!A28</f>
        <v>BR26</v>
      </c>
      <c r="N27" s="424" t="str">
        <f>'Конфигурация TREI'!B28</f>
        <v>M558D</v>
      </c>
      <c r="AE27" s="428">
        <f>Настройки!P27</f>
        <v>26</v>
      </c>
      <c r="AF27" s="380">
        <f>Настройки!Q27</f>
        <v>0</v>
      </c>
      <c r="AG27" s="380" t="str">
        <f>Настройки!R27</f>
        <v>-</v>
      </c>
      <c r="AH27" s="380" t="str">
        <f>Настройки!S27</f>
        <v>-</v>
      </c>
      <c r="AI27" s="380" t="str">
        <f>Настройки!T27</f>
        <v>out25</v>
      </c>
      <c r="AJ27" s="380" t="str">
        <f>Настройки!U27</f>
        <v>out25</v>
      </c>
      <c r="AK27" s="380" t="str">
        <f>Настройки!V27</f>
        <v>-</v>
      </c>
      <c r="AL27" s="380" t="str">
        <f>Настройки!W27</f>
        <v>-</v>
      </c>
      <c r="AM27" s="380" t="str">
        <f>Настройки!X27</f>
        <v>-</v>
      </c>
      <c r="AN27" s="380" t="str">
        <f>Настройки!Y27</f>
        <v>-</v>
      </c>
      <c r="AO27" s="380" t="str">
        <f>Настройки!Z27</f>
        <v>-</v>
      </c>
      <c r="AP27" s="380" t="str">
        <f>Настройки!AA27</f>
        <v>Canal_26</v>
      </c>
      <c r="AQ27" s="380" t="str">
        <f>Настройки!AB27</f>
        <v>Canal_26</v>
      </c>
      <c r="AR27" s="380" t="str">
        <f>Настройки!AC27</f>
        <v>-</v>
      </c>
      <c r="AS27" s="380" t="str">
        <f>Настройки!AD27</f>
        <v>-</v>
      </c>
      <c r="AT27" s="207" t="str">
        <f>Настройки!AB27</f>
        <v>Canal_26</v>
      </c>
      <c r="AU27" s="207" t="str">
        <f>Настройки!AC27</f>
        <v>-</v>
      </c>
      <c r="AV27" s="207" t="str">
        <f>Настройки!AD27</f>
        <v>-</v>
      </c>
      <c r="AW27" s="207" t="str">
        <f>Настройки!AE27</f>
        <v>-</v>
      </c>
      <c r="AX27" s="207" t="str">
        <f>Настройки!AF27</f>
        <v>IDIG_7_2</v>
      </c>
      <c r="AY27" s="207" t="str">
        <f>Настройки!AG27</f>
        <v>Canal_26</v>
      </c>
      <c r="AZ27" s="207" t="str">
        <f>Настройки!AH27</f>
        <v>Canal_26</v>
      </c>
      <c r="BA27" s="207" t="str">
        <f>Настройки!AI27</f>
        <v>Canal_26</v>
      </c>
      <c r="BB27" s="207" t="str">
        <f>Настройки!AJ27</f>
        <v>-</v>
      </c>
      <c r="BC27" s="207" t="str">
        <f>Настройки!AK27</f>
        <v>-</v>
      </c>
      <c r="BD27" s="207" t="str">
        <f>Настройки!AL27</f>
        <v>Canal_26</v>
      </c>
      <c r="BE27" s="207" t="str">
        <f>Настройки!AM27</f>
        <v>-</v>
      </c>
    </row>
    <row r="28" spans="1:57">
      <c r="A28" s="82"/>
      <c r="B28" s="82"/>
      <c r="C28" s="81"/>
      <c r="D28" s="81"/>
      <c r="E28" s="81"/>
      <c r="F28" s="81"/>
      <c r="G28" s="445"/>
      <c r="H28" s="447"/>
      <c r="I28" s="1"/>
      <c r="M28" s="424" t="str">
        <f>'Конфигурация TREI'!A29</f>
        <v>BR27</v>
      </c>
      <c r="N28" s="424" t="str">
        <f>'Конфигурация TREI'!B29</f>
        <v>M558D</v>
      </c>
      <c r="AE28" s="428">
        <f>Настройки!P28</f>
        <v>27</v>
      </c>
      <c r="AF28" s="380">
        <f>Настройки!Q28</f>
        <v>0</v>
      </c>
      <c r="AG28" s="380" t="str">
        <f>Настройки!R28</f>
        <v>-</v>
      </c>
      <c r="AH28" s="380" t="str">
        <f>Настройки!S28</f>
        <v>-</v>
      </c>
      <c r="AI28" s="380" t="str">
        <f>Настройки!T28</f>
        <v>out26</v>
      </c>
      <c r="AJ28" s="380" t="str">
        <f>Настройки!U28</f>
        <v>out26</v>
      </c>
      <c r="AK28" s="380" t="str">
        <f>Настройки!V28</f>
        <v>-</v>
      </c>
      <c r="AL28" s="380" t="str">
        <f>Настройки!W28</f>
        <v>-</v>
      </c>
      <c r="AM28" s="380" t="str">
        <f>Настройки!X28</f>
        <v>-</v>
      </c>
      <c r="AN28" s="380" t="str">
        <f>Настройки!Y28</f>
        <v>-</v>
      </c>
      <c r="AO28" s="380" t="str">
        <f>Настройки!Z28</f>
        <v>-</v>
      </c>
      <c r="AP28" s="380" t="str">
        <f>Настройки!AA28</f>
        <v>Canal_27</v>
      </c>
      <c r="AQ28" s="380" t="str">
        <f>Настройки!AB28</f>
        <v>Canal_27</v>
      </c>
      <c r="AR28" s="380" t="str">
        <f>Настройки!AC28</f>
        <v>-</v>
      </c>
      <c r="AS28" s="380" t="str">
        <f>Настройки!AD28</f>
        <v>-</v>
      </c>
      <c r="AT28" s="207" t="str">
        <f>Настройки!AB28</f>
        <v>Canal_27</v>
      </c>
      <c r="AU28" s="207" t="str">
        <f>Настройки!AC28</f>
        <v>-</v>
      </c>
      <c r="AV28" s="207" t="str">
        <f>Настройки!AD28</f>
        <v>-</v>
      </c>
      <c r="AW28" s="207" t="str">
        <f>Настройки!AE28</f>
        <v>-</v>
      </c>
      <c r="AX28" s="207" t="str">
        <f>Настройки!AF28</f>
        <v>IDIG_7_3</v>
      </c>
      <c r="AY28" s="207" t="str">
        <f>Настройки!AG28</f>
        <v>Canal_27</v>
      </c>
      <c r="AZ28" s="207" t="str">
        <f>Настройки!AH28</f>
        <v>Canal_27</v>
      </c>
      <c r="BA28" s="207" t="str">
        <f>Настройки!AI28</f>
        <v>Canal_27</v>
      </c>
      <c r="BB28" s="207" t="str">
        <f>Настройки!AJ28</f>
        <v>-</v>
      </c>
      <c r="BC28" s="207" t="str">
        <f>Настройки!AK28</f>
        <v>-</v>
      </c>
      <c r="BD28" s="207" t="str">
        <f>Настройки!AL28</f>
        <v>Canal_27</v>
      </c>
      <c r="BE28" s="207" t="str">
        <f>Настройки!AM28</f>
        <v>-</v>
      </c>
    </row>
    <row r="29" spans="1:57">
      <c r="A29" s="82"/>
      <c r="B29" s="82"/>
      <c r="C29" s="81"/>
      <c r="D29" s="81"/>
      <c r="E29" s="81"/>
      <c r="F29" s="81"/>
      <c r="G29" s="445"/>
      <c r="H29" s="447"/>
      <c r="I29" s="1"/>
      <c r="M29" s="424" t="str">
        <f>'Конфигурация TREI'!A30</f>
        <v>BR28</v>
      </c>
      <c r="N29" s="424" t="str">
        <f>'Конфигурация TREI'!B30</f>
        <v>M558D</v>
      </c>
      <c r="AE29" s="428">
        <f>Настройки!P29</f>
        <v>28</v>
      </c>
      <c r="AF29" s="380">
        <f>Настройки!Q29</f>
        <v>0</v>
      </c>
      <c r="AG29" s="380" t="str">
        <f>Настройки!R29</f>
        <v>-</v>
      </c>
      <c r="AH29" s="380" t="str">
        <f>Настройки!S29</f>
        <v>-</v>
      </c>
      <c r="AI29" s="380" t="str">
        <f>Настройки!T29</f>
        <v>out27</v>
      </c>
      <c r="AJ29" s="380" t="str">
        <f>Настройки!U29</f>
        <v>out27</v>
      </c>
      <c r="AK29" s="380" t="str">
        <f>Настройки!V29</f>
        <v>-</v>
      </c>
      <c r="AL29" s="380" t="str">
        <f>Настройки!W29</f>
        <v>-</v>
      </c>
      <c r="AM29" s="380" t="str">
        <f>Настройки!X29</f>
        <v>-</v>
      </c>
      <c r="AN29" s="380" t="str">
        <f>Настройки!Y29</f>
        <v>-</v>
      </c>
      <c r="AO29" s="380" t="str">
        <f>Настройки!Z29</f>
        <v>-</v>
      </c>
      <c r="AP29" s="380" t="str">
        <f>Настройки!AA29</f>
        <v>Canal_28</v>
      </c>
      <c r="AQ29" s="380" t="str">
        <f>Настройки!AB29</f>
        <v>Canal_28</v>
      </c>
      <c r="AR29" s="380" t="str">
        <f>Настройки!AC29</f>
        <v>-</v>
      </c>
      <c r="AS29" s="380" t="str">
        <f>Настройки!AD29</f>
        <v>-</v>
      </c>
      <c r="AT29" s="207" t="str">
        <f>Настройки!AB29</f>
        <v>Canal_28</v>
      </c>
      <c r="AU29" s="207" t="str">
        <f>Настройки!AC29</f>
        <v>-</v>
      </c>
      <c r="AV29" s="207" t="str">
        <f>Настройки!AD29</f>
        <v>-</v>
      </c>
      <c r="AW29" s="207" t="str">
        <f>Настройки!AE29</f>
        <v>-</v>
      </c>
      <c r="AX29" s="207" t="str">
        <f>Настройки!AF29</f>
        <v>IDIG_7_4</v>
      </c>
      <c r="AY29" s="207" t="str">
        <f>Настройки!AG29</f>
        <v>Canal_28</v>
      </c>
      <c r="AZ29" s="207" t="str">
        <f>Настройки!AH29</f>
        <v>Canal_28</v>
      </c>
      <c r="BA29" s="207" t="str">
        <f>Настройки!AI29</f>
        <v>Canal_28</v>
      </c>
      <c r="BB29" s="207" t="str">
        <f>Настройки!AJ29</f>
        <v>-</v>
      </c>
      <c r="BC29" s="207" t="str">
        <f>Настройки!AK29</f>
        <v>-</v>
      </c>
      <c r="BD29" s="207" t="str">
        <f>Настройки!AL29</f>
        <v>Canal_28</v>
      </c>
      <c r="BE29" s="207" t="str">
        <f>Настройки!AM29</f>
        <v>-</v>
      </c>
    </row>
    <row r="30" spans="1:57">
      <c r="A30" s="11"/>
      <c r="B30" s="11"/>
      <c r="C30" s="11"/>
      <c r="D30" s="11"/>
      <c r="E30" s="11"/>
      <c r="F30" s="11"/>
      <c r="G30" s="11"/>
      <c r="H30" s="1"/>
      <c r="I30" s="1"/>
      <c r="M30" s="424" t="str">
        <f>'Конфигурация TREI'!A31</f>
        <v>BR29</v>
      </c>
      <c r="N30" s="424" t="str">
        <f>'Конфигурация TREI'!B31</f>
        <v>M558O</v>
      </c>
      <c r="AE30" s="428">
        <f>Настройки!P30</f>
        <v>29</v>
      </c>
      <c r="AF30" s="380">
        <f>Настройки!Q30</f>
        <v>0</v>
      </c>
      <c r="AG30" s="380" t="str">
        <f>Настройки!R30</f>
        <v>-</v>
      </c>
      <c r="AH30" s="380" t="str">
        <f>Настройки!S30</f>
        <v>-</v>
      </c>
      <c r="AI30" s="380" t="str">
        <f>Настройки!T30</f>
        <v>out28</v>
      </c>
      <c r="AJ30" s="380" t="str">
        <f>Настройки!U30</f>
        <v>out28</v>
      </c>
      <c r="AK30" s="380" t="str">
        <f>Настройки!V30</f>
        <v>-</v>
      </c>
      <c r="AL30" s="380" t="str">
        <f>Настройки!W30</f>
        <v>-</v>
      </c>
      <c r="AM30" s="380" t="str">
        <f>Настройки!X30</f>
        <v>-</v>
      </c>
      <c r="AN30" s="380" t="str">
        <f>Настройки!Y30</f>
        <v>-</v>
      </c>
      <c r="AO30" s="380" t="str">
        <f>Настройки!Z30</f>
        <v>-</v>
      </c>
      <c r="AP30" s="380" t="str">
        <f>Настройки!AA30</f>
        <v>Canal_29</v>
      </c>
      <c r="AQ30" s="380" t="str">
        <f>Настройки!AB30</f>
        <v>Canal_29</v>
      </c>
      <c r="AR30" s="380" t="str">
        <f>Настройки!AC30</f>
        <v>-</v>
      </c>
      <c r="AS30" s="380" t="str">
        <f>Настройки!AD30</f>
        <v>-</v>
      </c>
      <c r="AT30" s="207" t="str">
        <f>Настройки!AB30</f>
        <v>Canal_29</v>
      </c>
      <c r="AU30" s="207" t="str">
        <f>Настройки!AC30</f>
        <v>-</v>
      </c>
      <c r="AV30" s="207" t="str">
        <f>Настройки!AD30</f>
        <v>-</v>
      </c>
      <c r="AW30" s="207" t="str">
        <f>Настройки!AE30</f>
        <v>-</v>
      </c>
      <c r="AX30" s="207" t="str">
        <f>Настройки!AF30</f>
        <v>IDIG_8_1</v>
      </c>
      <c r="AY30" s="207" t="str">
        <f>Настройки!AG30</f>
        <v>Canal_29</v>
      </c>
      <c r="AZ30" s="207" t="str">
        <f>Настройки!AH30</f>
        <v>Canal_29</v>
      </c>
      <c r="BA30" s="207" t="str">
        <f>Настройки!AI30</f>
        <v>Canal_29</v>
      </c>
      <c r="BB30" s="207" t="str">
        <f>Настройки!AJ30</f>
        <v>-</v>
      </c>
      <c r="BC30" s="207" t="str">
        <f>Настройки!AK30</f>
        <v>-</v>
      </c>
      <c r="BD30" s="207" t="str">
        <f>Настройки!AL30</f>
        <v>Canal_29</v>
      </c>
      <c r="BE30" s="207" t="str">
        <f>Настройки!AM30</f>
        <v>-</v>
      </c>
    </row>
    <row r="31" spans="1:57">
      <c r="A31" s="82"/>
      <c r="B31" s="82"/>
      <c r="C31" s="81"/>
      <c r="D31" s="81"/>
      <c r="E31" s="81"/>
      <c r="F31" s="81"/>
      <c r="G31" s="445"/>
      <c r="H31" s="445"/>
      <c r="I31" s="1"/>
      <c r="M31" s="424" t="str">
        <f>'Конфигурация TREI'!A32</f>
        <v>BR30</v>
      </c>
      <c r="N31" s="424" t="str">
        <f>'Конфигурация TREI'!B32</f>
        <v>M558D</v>
      </c>
      <c r="AE31" s="428">
        <f>Настройки!P31</f>
        <v>30</v>
      </c>
      <c r="AF31" s="380">
        <f>Настройки!Q31</f>
        <v>0</v>
      </c>
      <c r="AG31" s="380" t="str">
        <f>Настройки!R31</f>
        <v>-</v>
      </c>
      <c r="AH31" s="380" t="str">
        <f>Настройки!S31</f>
        <v>-</v>
      </c>
      <c r="AI31" s="380" t="str">
        <f>Настройки!T31</f>
        <v>out29</v>
      </c>
      <c r="AJ31" s="380" t="str">
        <f>Настройки!U31</f>
        <v>out29</v>
      </c>
      <c r="AK31" s="380" t="str">
        <f>Настройки!V31</f>
        <v>-</v>
      </c>
      <c r="AL31" s="380" t="str">
        <f>Настройки!W31</f>
        <v>-</v>
      </c>
      <c r="AM31" s="380" t="str">
        <f>Настройки!X31</f>
        <v>-</v>
      </c>
      <c r="AN31" s="380" t="str">
        <f>Настройки!Y31</f>
        <v>-</v>
      </c>
      <c r="AO31" s="380" t="str">
        <f>Настройки!Z31</f>
        <v>-</v>
      </c>
      <c r="AP31" s="380" t="str">
        <f>Настройки!AA31</f>
        <v>Canal_30</v>
      </c>
      <c r="AQ31" s="380" t="str">
        <f>Настройки!AB31</f>
        <v>Canal_30</v>
      </c>
      <c r="AR31" s="380" t="str">
        <f>Настройки!AC31</f>
        <v>-</v>
      </c>
      <c r="AS31" s="380" t="str">
        <f>Настройки!AD31</f>
        <v>-</v>
      </c>
      <c r="AT31" s="207" t="str">
        <f>Настройки!AB31</f>
        <v>Canal_30</v>
      </c>
      <c r="AU31" s="207" t="str">
        <f>Настройки!AC31</f>
        <v>-</v>
      </c>
      <c r="AV31" s="207" t="str">
        <f>Настройки!AD31</f>
        <v>-</v>
      </c>
      <c r="AW31" s="207" t="str">
        <f>Настройки!AE31</f>
        <v>-</v>
      </c>
      <c r="AX31" s="207" t="str">
        <f>Настройки!AF31</f>
        <v>IDIG_8_2</v>
      </c>
      <c r="AY31" s="207" t="str">
        <f>Настройки!AG31</f>
        <v>Canal_30</v>
      </c>
      <c r="AZ31" s="207" t="str">
        <f>Настройки!AH31</f>
        <v>Canal_30</v>
      </c>
      <c r="BA31" s="207" t="str">
        <f>Настройки!AI31</f>
        <v>Canal_30</v>
      </c>
      <c r="BB31" s="207" t="str">
        <f>Настройки!AJ31</f>
        <v>-</v>
      </c>
      <c r="BC31" s="207" t="str">
        <f>Настройки!AK31</f>
        <v>-</v>
      </c>
      <c r="BD31" s="207" t="str">
        <f>Настройки!AL31</f>
        <v>Canal_30</v>
      </c>
      <c r="BE31" s="207" t="str">
        <f>Настройки!AM31</f>
        <v>-</v>
      </c>
    </row>
    <row r="32" spans="1:57">
      <c r="A32" s="82"/>
      <c r="B32" s="82"/>
      <c r="C32" s="81"/>
      <c r="D32" s="81"/>
      <c r="E32" s="81"/>
      <c r="F32" s="81"/>
      <c r="G32" s="445"/>
      <c r="H32" s="445"/>
      <c r="I32" s="1"/>
      <c r="M32" s="424" t="str">
        <f>'Конфигурация TREI'!A33</f>
        <v>BR31</v>
      </c>
      <c r="N32" s="424" t="str">
        <f>'Конфигурация TREI'!B33</f>
        <v>M558D</v>
      </c>
      <c r="AE32" s="428">
        <f>Настройки!P32</f>
        <v>31</v>
      </c>
      <c r="AF32" s="380">
        <f>Настройки!Q32</f>
        <v>0</v>
      </c>
      <c r="AG32" s="380" t="str">
        <f>Настройки!R32</f>
        <v>-</v>
      </c>
      <c r="AH32" s="380" t="str">
        <f>Настройки!S32</f>
        <v>-</v>
      </c>
      <c r="AI32" s="380" t="str">
        <f>Настройки!T32</f>
        <v>out30</v>
      </c>
      <c r="AJ32" s="380" t="str">
        <f>Настройки!U32</f>
        <v>out30</v>
      </c>
      <c r="AK32" s="380" t="str">
        <f>Настройки!V32</f>
        <v>-</v>
      </c>
      <c r="AL32" s="380" t="str">
        <f>Настройки!W32</f>
        <v>-</v>
      </c>
      <c r="AM32" s="380" t="str">
        <f>Настройки!X32</f>
        <v>-</v>
      </c>
      <c r="AN32" s="380" t="str">
        <f>Настройки!Y32</f>
        <v>-</v>
      </c>
      <c r="AO32" s="380" t="str">
        <f>Настройки!Z32</f>
        <v>-</v>
      </c>
      <c r="AP32" s="380" t="str">
        <f>Настройки!AA32</f>
        <v>Canal_31</v>
      </c>
      <c r="AQ32" s="380" t="str">
        <f>Настройки!AB32</f>
        <v>Canal_31</v>
      </c>
      <c r="AR32" s="380" t="str">
        <f>Настройки!AC32</f>
        <v>-</v>
      </c>
      <c r="AS32" s="380" t="str">
        <f>Настройки!AD32</f>
        <v>-</v>
      </c>
      <c r="AT32" s="207" t="str">
        <f>Настройки!AB32</f>
        <v>Canal_31</v>
      </c>
      <c r="AU32" s="207" t="str">
        <f>Настройки!AC32</f>
        <v>-</v>
      </c>
      <c r="AV32" s="207" t="str">
        <f>Настройки!AD32</f>
        <v>-</v>
      </c>
      <c r="AW32" s="207" t="str">
        <f>Настройки!AE32</f>
        <v>-</v>
      </c>
      <c r="AX32" s="207" t="str">
        <f>Настройки!AF32</f>
        <v>IDIG_8_3</v>
      </c>
      <c r="AY32" s="207" t="str">
        <f>Настройки!AG32</f>
        <v>Canal_31</v>
      </c>
      <c r="AZ32" s="207" t="str">
        <f>Настройки!AH32</f>
        <v>Canal_31</v>
      </c>
      <c r="BA32" s="207" t="str">
        <f>Настройки!AI32</f>
        <v>Canal_31</v>
      </c>
      <c r="BB32" s="207" t="str">
        <f>Настройки!AJ32</f>
        <v>-</v>
      </c>
      <c r="BC32" s="207" t="str">
        <f>Настройки!AK32</f>
        <v>-</v>
      </c>
      <c r="BD32" s="207" t="str">
        <f>Настройки!AL32</f>
        <v>Canal_31</v>
      </c>
      <c r="BE32" s="207" t="str">
        <f>Настройки!AM32</f>
        <v>-</v>
      </c>
    </row>
    <row r="33" spans="1:57">
      <c r="A33" s="82"/>
      <c r="B33" s="82"/>
      <c r="C33" s="81"/>
      <c r="D33" s="81"/>
      <c r="E33" s="81"/>
      <c r="F33" s="81"/>
      <c r="G33" s="445"/>
      <c r="H33" s="445"/>
      <c r="I33" s="1"/>
      <c r="M33" s="424" t="str">
        <f>'Конфигурация TREI'!A34</f>
        <v>BR32</v>
      </c>
      <c r="N33" s="424" t="str">
        <f>'Конфигурация TREI'!B34</f>
        <v>M558D</v>
      </c>
      <c r="AE33" s="620">
        <f>Настройки!P33</f>
        <v>32</v>
      </c>
      <c r="AF33" s="621">
        <f>Настройки!Q33</f>
        <v>0</v>
      </c>
      <c r="AG33" s="621" t="str">
        <f>Настройки!R33</f>
        <v>-</v>
      </c>
      <c r="AH33" s="621" t="str">
        <f>Настройки!S33</f>
        <v>-</v>
      </c>
      <c r="AI33" s="621" t="str">
        <f>Настройки!T33</f>
        <v>out31</v>
      </c>
      <c r="AJ33" s="621" t="str">
        <f>Настройки!U33</f>
        <v>out31</v>
      </c>
      <c r="AK33" s="621" t="str">
        <f>Настройки!V33</f>
        <v>-</v>
      </c>
      <c r="AL33" s="621" t="str">
        <f>Настройки!W33</f>
        <v>-</v>
      </c>
      <c r="AM33" s="621" t="str">
        <f>Настройки!X33</f>
        <v>-</v>
      </c>
      <c r="AN33" s="621" t="str">
        <f>Настройки!Y33</f>
        <v>-</v>
      </c>
      <c r="AO33" s="621" t="str">
        <f>Настройки!Z33</f>
        <v>-</v>
      </c>
      <c r="AP33" s="621" t="str">
        <f>Настройки!AA33</f>
        <v>Canal_32</v>
      </c>
      <c r="AQ33" s="621" t="str">
        <f>Настройки!AB33</f>
        <v>Canal_32</v>
      </c>
      <c r="AR33" s="621" t="str">
        <f>Настройки!AC33</f>
        <v>-</v>
      </c>
      <c r="AS33" s="621" t="str">
        <f>Настройки!AD33</f>
        <v>-</v>
      </c>
      <c r="AT33" s="622" t="str">
        <f>Настройки!AB33</f>
        <v>Canal_32</v>
      </c>
      <c r="AU33" s="622" t="str">
        <f>Настройки!AC33</f>
        <v>-</v>
      </c>
      <c r="AV33" s="622" t="str">
        <f>Настройки!AD33</f>
        <v>-</v>
      </c>
      <c r="AW33" s="622" t="str">
        <f>Настройки!AE33</f>
        <v>-</v>
      </c>
      <c r="AX33" s="622" t="str">
        <f>Настройки!AF33</f>
        <v>IDIG_8_4</v>
      </c>
      <c r="AY33" s="622" t="str">
        <f>Настройки!AG33</f>
        <v>Canal_32</v>
      </c>
      <c r="AZ33" s="622" t="str">
        <f>Настройки!AH33</f>
        <v>Canal_32</v>
      </c>
      <c r="BA33" s="622" t="str">
        <f>Настройки!AI33</f>
        <v>Canal_32</v>
      </c>
      <c r="BB33" s="622" t="str">
        <f>Настройки!AJ33</f>
        <v>-</v>
      </c>
      <c r="BC33" s="622" t="str">
        <f>Настройки!AK33</f>
        <v>-</v>
      </c>
      <c r="BD33" s="622" t="str">
        <f>Настройки!AL33</f>
        <v>Canal_32</v>
      </c>
      <c r="BE33" s="622" t="str">
        <f>Настройки!AM33</f>
        <v>-</v>
      </c>
    </row>
    <row r="34" spans="1:57">
      <c r="A34" s="82"/>
      <c r="B34" s="82"/>
      <c r="C34" s="81"/>
      <c r="D34" s="81"/>
      <c r="E34" s="81"/>
      <c r="F34" s="81"/>
      <c r="G34" s="445"/>
      <c r="H34" s="445"/>
      <c r="I34" s="1"/>
      <c r="M34" s="424" t="str">
        <f>'Конфигурация TREI'!A35</f>
        <v>BR33</v>
      </c>
      <c r="N34" s="424" t="str">
        <f>'Конфигурация TREI'!B35</f>
        <v>M558D</v>
      </c>
      <c r="AE34" s="624"/>
      <c r="AF34" s="624"/>
      <c r="AG34" s="624"/>
      <c r="AH34" s="624"/>
      <c r="AI34" s="624"/>
      <c r="AJ34" s="624"/>
      <c r="AK34" s="624"/>
      <c r="AL34" s="624"/>
      <c r="AM34" s="624"/>
      <c r="AN34" s="624"/>
      <c r="AO34" s="624"/>
      <c r="AP34" s="624"/>
      <c r="AQ34" s="624"/>
      <c r="AR34" s="624"/>
      <c r="AS34" s="624"/>
      <c r="AT34" s="625"/>
      <c r="AU34" s="625"/>
      <c r="AV34" s="625"/>
      <c r="AW34" s="625"/>
      <c r="AX34" s="625"/>
      <c r="AY34" s="625"/>
      <c r="AZ34" s="625"/>
      <c r="BA34" s="625"/>
      <c r="BB34" s="625"/>
      <c r="BC34" s="625"/>
      <c r="BD34" s="625"/>
      <c r="BE34" s="625"/>
    </row>
    <row r="35" spans="1:57">
      <c r="A35" s="82"/>
      <c r="B35" s="82"/>
      <c r="C35" s="81"/>
      <c r="D35" s="81"/>
      <c r="E35" s="81"/>
      <c r="F35" s="81"/>
      <c r="G35" s="445"/>
      <c r="H35" s="445"/>
      <c r="I35" s="1"/>
      <c r="M35" s="424" t="str">
        <f>'Конфигурация TREI'!A36</f>
        <v>BR34</v>
      </c>
      <c r="N35" s="424" t="str">
        <f>'Конфигурация TREI'!B36</f>
        <v>M558D</v>
      </c>
      <c r="AE35" s="505"/>
      <c r="AF35" s="505"/>
      <c r="AG35" s="505"/>
      <c r="AH35" s="505"/>
      <c r="AI35" s="505"/>
      <c r="AJ35" s="505"/>
      <c r="AK35" s="505"/>
      <c r="AL35" s="505"/>
      <c r="AM35" s="505"/>
      <c r="AN35" s="505"/>
      <c r="AO35" s="505"/>
      <c r="AP35" s="505"/>
      <c r="AQ35" s="505"/>
      <c r="AR35" s="505"/>
      <c r="AS35" s="505"/>
      <c r="AT35" s="623"/>
      <c r="AU35" s="623"/>
      <c r="AV35" s="623"/>
      <c r="AW35" s="623"/>
      <c r="AX35" s="623"/>
      <c r="AY35" s="623"/>
      <c r="AZ35" s="623"/>
      <c r="BA35" s="623"/>
      <c r="BB35" s="623"/>
      <c r="BC35" s="623"/>
      <c r="BD35" s="623"/>
      <c r="BE35" s="623"/>
    </row>
    <row r="36" spans="1:57">
      <c r="A36" s="82"/>
      <c r="B36" s="82"/>
      <c r="C36" s="81"/>
      <c r="D36" s="81"/>
      <c r="E36" s="81"/>
      <c r="F36" s="81"/>
      <c r="G36" s="445"/>
      <c r="H36" s="445"/>
      <c r="I36" s="1"/>
      <c r="M36" s="424" t="str">
        <f>'Конфигурация TREI'!A37</f>
        <v>BR35</v>
      </c>
      <c r="N36" s="424" t="str">
        <f>'Конфигурация TREI'!B37</f>
        <v>M558D</v>
      </c>
      <c r="AE36" s="505"/>
      <c r="AF36" s="505"/>
      <c r="AG36" s="505"/>
      <c r="AH36" s="505"/>
      <c r="AI36" s="505"/>
      <c r="AJ36" s="505"/>
      <c r="AK36" s="505"/>
      <c r="AL36" s="505"/>
      <c r="AM36" s="505"/>
      <c r="AN36" s="505"/>
      <c r="AO36" s="505"/>
      <c r="AP36" s="505"/>
      <c r="AQ36" s="505"/>
      <c r="AR36" s="505"/>
      <c r="AS36" s="505"/>
      <c r="AT36" s="623"/>
      <c r="AU36" s="623"/>
      <c r="AV36" s="623"/>
      <c r="AW36" s="623"/>
      <c r="AX36" s="623"/>
      <c r="AY36" s="623"/>
      <c r="AZ36" s="623"/>
      <c r="BA36" s="623"/>
      <c r="BB36" s="623"/>
      <c r="BC36" s="623"/>
      <c r="BD36" s="623"/>
      <c r="BE36" s="623"/>
    </row>
    <row r="37" spans="1:57" ht="15.75" customHeight="1">
      <c r="A37" s="82"/>
      <c r="B37" s="82"/>
      <c r="C37" s="81"/>
      <c r="D37" s="81"/>
      <c r="E37" s="81"/>
      <c r="F37" s="81"/>
      <c r="G37" s="445"/>
      <c r="H37" s="445"/>
      <c r="I37" s="1"/>
      <c r="M37" s="424" t="str">
        <f>'Конфигурация TREI'!A38</f>
        <v>BR36</v>
      </c>
      <c r="N37" s="424">
        <f>'Конфигурация TREI'!B38</f>
        <v>0</v>
      </c>
      <c r="AE37" s="505"/>
      <c r="AF37" s="505"/>
      <c r="AG37" s="505"/>
      <c r="AH37" s="505"/>
      <c r="AI37" s="505"/>
      <c r="AJ37" s="505"/>
      <c r="AK37" s="505"/>
      <c r="AL37" s="505"/>
      <c r="AM37" s="505"/>
      <c r="AN37" s="505"/>
      <c r="AO37" s="505"/>
      <c r="AP37" s="505"/>
      <c r="AQ37" s="505"/>
      <c r="AR37" s="505"/>
      <c r="AS37" s="505"/>
      <c r="AT37" s="623"/>
      <c r="AU37" s="623"/>
      <c r="AV37" s="623"/>
      <c r="AW37" s="623"/>
      <c r="AX37" s="623"/>
      <c r="AY37" s="623"/>
      <c r="AZ37" s="623"/>
      <c r="BA37" s="623"/>
      <c r="BB37" s="623"/>
      <c r="BC37" s="623"/>
      <c r="BD37" s="623"/>
      <c r="BE37" s="623"/>
    </row>
    <row r="38" spans="1:57">
      <c r="A38" s="82"/>
      <c r="B38" s="82"/>
      <c r="C38" s="81"/>
      <c r="D38" s="81"/>
      <c r="E38" s="81"/>
      <c r="F38" s="81"/>
      <c r="G38" s="445"/>
      <c r="H38" s="445"/>
      <c r="I38" s="1"/>
      <c r="M38" s="424" t="str">
        <f>'Конфигурация TREI'!A39</f>
        <v>BR37</v>
      </c>
      <c r="N38" s="424">
        <f>'Конфигурация TREI'!B39</f>
        <v>0</v>
      </c>
      <c r="AE38" s="505"/>
      <c r="AF38" s="505"/>
      <c r="AG38" s="505"/>
      <c r="AH38" s="505"/>
      <c r="AI38" s="505"/>
      <c r="AJ38" s="505"/>
      <c r="AK38" s="505"/>
      <c r="AL38" s="505"/>
      <c r="AM38" s="505"/>
      <c r="AN38" s="505"/>
      <c r="AO38" s="505"/>
      <c r="AP38" s="505"/>
      <c r="AQ38" s="505"/>
      <c r="AR38" s="505"/>
      <c r="AS38" s="505"/>
      <c r="AT38" s="623"/>
      <c r="AU38" s="623"/>
      <c r="AV38" s="623"/>
      <c r="AW38" s="623"/>
      <c r="AX38" s="623"/>
      <c r="AY38" s="623"/>
      <c r="AZ38" s="623"/>
      <c r="BA38" s="623"/>
      <c r="BB38" s="623"/>
      <c r="BC38" s="623"/>
      <c r="BD38" s="623"/>
      <c r="BE38" s="623"/>
    </row>
    <row r="39" spans="1:57">
      <c r="A39" s="82"/>
      <c r="B39" s="82"/>
      <c r="C39" s="81"/>
      <c r="D39" s="81"/>
      <c r="E39" s="81"/>
      <c r="F39" s="81"/>
      <c r="G39" s="445"/>
      <c r="H39" s="445"/>
      <c r="I39" s="1"/>
      <c r="M39" s="424" t="str">
        <f>'Конфигурация TREI'!A40</f>
        <v>BR38</v>
      </c>
      <c r="N39" s="424">
        <f>'Конфигурация TREI'!B40</f>
        <v>0</v>
      </c>
      <c r="AE39" s="505"/>
      <c r="AF39" s="505"/>
      <c r="AG39" s="505"/>
      <c r="AH39" s="505"/>
      <c r="AI39" s="505"/>
      <c r="AJ39" s="505"/>
      <c r="AK39" s="505"/>
      <c r="AL39" s="505"/>
      <c r="AM39" s="505"/>
      <c r="AN39" s="505"/>
      <c r="AO39" s="505"/>
      <c r="AP39" s="505"/>
      <c r="AQ39" s="505"/>
      <c r="AR39" s="505"/>
      <c r="AS39" s="505"/>
      <c r="AT39" s="623"/>
      <c r="AU39" s="623"/>
      <c r="AV39" s="623"/>
      <c r="AW39" s="623"/>
      <c r="AX39" s="623"/>
      <c r="AY39" s="623"/>
      <c r="AZ39" s="623"/>
      <c r="BA39" s="623"/>
      <c r="BB39" s="623"/>
      <c r="BC39" s="623"/>
      <c r="BD39" s="623"/>
      <c r="BE39" s="623"/>
    </row>
    <row r="40" spans="1:57">
      <c r="A40" s="82"/>
      <c r="B40" s="82"/>
      <c r="C40" s="81"/>
      <c r="D40" s="81"/>
      <c r="E40" s="81"/>
      <c r="F40" s="81"/>
      <c r="G40" s="445"/>
      <c r="H40" s="445"/>
      <c r="I40" s="1"/>
      <c r="M40" s="424" t="str">
        <f>'Конфигурация TREI'!A41</f>
        <v>BR39</v>
      </c>
      <c r="N40" s="424">
        <f>'Конфигурация TREI'!B41</f>
        <v>0</v>
      </c>
      <c r="AE40" s="505"/>
      <c r="AF40" s="505"/>
      <c r="AG40" s="505"/>
      <c r="AH40" s="505"/>
      <c r="AI40" s="505"/>
      <c r="AJ40" s="505"/>
      <c r="AK40" s="505"/>
      <c r="AL40" s="505"/>
      <c r="AM40" s="505"/>
      <c r="AN40" s="505"/>
      <c r="AO40" s="505"/>
      <c r="AP40" s="505"/>
      <c r="AQ40" s="505"/>
      <c r="AR40" s="505"/>
      <c r="AS40" s="505"/>
      <c r="AT40" s="623"/>
      <c r="AU40" s="623"/>
      <c r="AV40" s="623"/>
      <c r="AW40" s="623"/>
      <c r="AX40" s="623"/>
      <c r="AY40" s="623"/>
      <c r="AZ40" s="623"/>
      <c r="BA40" s="623"/>
      <c r="BB40" s="623"/>
      <c r="BC40" s="623"/>
      <c r="BD40" s="623"/>
      <c r="BE40" s="623"/>
    </row>
    <row r="41" spans="1:57">
      <c r="A41" s="82"/>
      <c r="B41" s="82"/>
      <c r="C41" s="81"/>
      <c r="D41" s="81"/>
      <c r="E41" s="81"/>
      <c r="F41" s="81"/>
      <c r="G41" s="445"/>
      <c r="H41" s="445"/>
      <c r="I41" s="1"/>
      <c r="M41" s="424" t="str">
        <f>'Конфигурация TREI'!A42</f>
        <v>BR40</v>
      </c>
      <c r="N41" s="424">
        <f>'Конфигурация TREI'!B42</f>
        <v>0</v>
      </c>
      <c r="AE41" s="505"/>
      <c r="AF41" s="505"/>
      <c r="AG41" s="505"/>
      <c r="AH41" s="505"/>
      <c r="AI41" s="505"/>
      <c r="AJ41" s="505"/>
      <c r="AK41" s="505"/>
      <c r="AL41" s="505"/>
      <c r="AM41" s="505"/>
      <c r="AN41" s="505"/>
      <c r="AO41" s="505"/>
      <c r="AP41" s="505"/>
      <c r="AQ41" s="505"/>
      <c r="AR41" s="505"/>
      <c r="AS41" s="505"/>
      <c r="AT41" s="623"/>
      <c r="AU41" s="623"/>
      <c r="AV41" s="623"/>
      <c r="AW41" s="623"/>
      <c r="AX41" s="623"/>
      <c r="AY41" s="623"/>
      <c r="AZ41" s="623"/>
      <c r="BA41" s="623"/>
      <c r="BB41" s="623"/>
      <c r="BC41" s="623"/>
      <c r="BD41" s="623"/>
      <c r="BE41" s="623"/>
    </row>
    <row r="42" spans="1:57">
      <c r="M42" s="424" t="str">
        <f>'Конфигурация TREI'!A43</f>
        <v>BR41</v>
      </c>
      <c r="N42" s="424">
        <f>'Конфигурация TREI'!B43</f>
        <v>0</v>
      </c>
    </row>
    <row r="43" spans="1:57">
      <c r="M43" s="424" t="str">
        <f>'Конфигурация TREI'!A44</f>
        <v>BR42</v>
      </c>
      <c r="N43" s="424">
        <f>'Конфигурация TREI'!B44</f>
        <v>0</v>
      </c>
    </row>
    <row r="44" spans="1:57">
      <c r="M44" s="424" t="str">
        <f>'Конфигурация TREI'!A45</f>
        <v>BR43</v>
      </c>
      <c r="N44" s="424">
        <f>'Конфигурация TREI'!B45</f>
        <v>0</v>
      </c>
    </row>
    <row r="45" spans="1:57">
      <c r="M45" s="424" t="str">
        <f>'Конфигурация TREI'!A46</f>
        <v>BR44</v>
      </c>
      <c r="N45" s="424">
        <f>'Конфигурация TREI'!B46</f>
        <v>0</v>
      </c>
    </row>
    <row r="46" spans="1:57">
      <c r="M46" s="424" t="str">
        <f>'Конфигурация TREI'!A47</f>
        <v>BR45</v>
      </c>
      <c r="N46" s="424">
        <f>'Конфигурация TREI'!B47</f>
        <v>0</v>
      </c>
    </row>
    <row r="47" spans="1:57">
      <c r="M47" s="424" t="str">
        <f>'Конфигурация TREI'!A48</f>
        <v>BR46</v>
      </c>
      <c r="N47" s="424">
        <f>'Конфигурация TREI'!B48</f>
        <v>0</v>
      </c>
    </row>
    <row r="48" spans="1:57">
      <c r="M48" s="424" t="str">
        <f>'Конфигурация TREI'!A49</f>
        <v>BR47</v>
      </c>
      <c r="N48" s="424">
        <f>'Конфигурация TREI'!B49</f>
        <v>0</v>
      </c>
    </row>
    <row r="49" spans="13:14">
      <c r="M49" s="424" t="str">
        <f>'Конфигурация TREI'!A50</f>
        <v>BR48</v>
      </c>
      <c r="N49" s="424">
        <f>'Конфигурация TREI'!B50</f>
        <v>0</v>
      </c>
    </row>
    <row r="50" spans="13:14">
      <c r="M50" s="424" t="str">
        <f>'Конфигурация TREI'!A51</f>
        <v>BR49</v>
      </c>
      <c r="N50" s="424">
        <f>'Конфигурация TREI'!B51</f>
        <v>0</v>
      </c>
    </row>
    <row r="51" spans="13:14">
      <c r="M51" s="424" t="str">
        <f>'Конфигурация TREI'!A52</f>
        <v>BR50</v>
      </c>
      <c r="N51" s="424">
        <f>'Конфигурация TREI'!B52</f>
        <v>0</v>
      </c>
    </row>
    <row r="52" spans="13:14">
      <c r="M52" s="424" t="str">
        <f>'Конфигурация TREI'!A53</f>
        <v>BR51</v>
      </c>
      <c r="N52" s="424">
        <f>'Конфигурация TREI'!B53</f>
        <v>0</v>
      </c>
    </row>
    <row r="53" spans="13:14">
      <c r="M53" s="424" t="str">
        <f>'Конфигурация TREI'!A54</f>
        <v>BR52</v>
      </c>
      <c r="N53" s="424">
        <f>'Конфигурация TREI'!B54</f>
        <v>0</v>
      </c>
    </row>
    <row r="54" spans="13:14">
      <c r="M54" s="424" t="str">
        <f>'Конфигурация TREI'!A55</f>
        <v>BR53</v>
      </c>
      <c r="N54" s="424">
        <f>'Конфигурация TREI'!B55</f>
        <v>0</v>
      </c>
    </row>
    <row r="55" spans="13:14">
      <c r="M55" s="424" t="str">
        <f>'Конфигурация TREI'!A56</f>
        <v>BR54</v>
      </c>
      <c r="N55" s="424">
        <f>'Конфигурация TREI'!B56</f>
        <v>0</v>
      </c>
    </row>
    <row r="56" spans="13:14">
      <c r="M56" s="424" t="str">
        <f>'Конфигурация TREI'!A57</f>
        <v>BR55</v>
      </c>
      <c r="N56" s="424">
        <f>'Конфигурация TREI'!B57</f>
        <v>0</v>
      </c>
    </row>
    <row r="57" spans="13:14">
      <c r="M57" s="424" t="str">
        <f>'Конфигурация TREI'!A58</f>
        <v>BR56</v>
      </c>
      <c r="N57" s="424">
        <f>'Конфигурация TREI'!B58</f>
        <v>0</v>
      </c>
    </row>
    <row r="58" spans="13:14">
      <c r="M58" s="424" t="str">
        <f>'Конфигурация TREI'!A59</f>
        <v>BR57</v>
      </c>
      <c r="N58" s="424">
        <f>'Конфигурация TREI'!B59</f>
        <v>0</v>
      </c>
    </row>
    <row r="59" spans="13:14">
      <c r="M59" s="424" t="str">
        <f>'Конфигурация TREI'!A60</f>
        <v>BR58</v>
      </c>
      <c r="N59" s="424">
        <f>'Конфигурация TREI'!B60</f>
        <v>0</v>
      </c>
    </row>
    <row r="60" spans="13:14">
      <c r="M60" s="424" t="str">
        <f>'Конфигурация TREI'!A61</f>
        <v>BR59</v>
      </c>
      <c r="N60" s="424">
        <f>'Конфигурация TREI'!B61</f>
        <v>0</v>
      </c>
    </row>
    <row r="61" spans="13:14">
      <c r="M61" s="424" t="str">
        <f>'Конфигурация TREI'!A62</f>
        <v>BR60</v>
      </c>
      <c r="N61" s="424">
        <f>'Конфигурация TREI'!B62</f>
        <v>0</v>
      </c>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sheetPr codeName="Лист46">
    <tabColor theme="2" tint="-0.249977111117893"/>
  </sheetPr>
  <dimension ref="A1:BE61"/>
  <sheetViews>
    <sheetView workbookViewId="0">
      <selection activeCell="P2" sqref="P2:AD2"/>
    </sheetView>
  </sheetViews>
  <sheetFormatPr defaultRowHeight="14.4"/>
  <cols>
    <col min="1" max="1" width="50.88671875" customWidth="1"/>
    <col min="2" max="2" width="23.5546875" customWidth="1"/>
    <col min="3" max="3" width="4.44140625" customWidth="1"/>
    <col min="4" max="4" width="15.33203125" customWidth="1"/>
    <col min="5" max="5" width="33.44140625" customWidth="1"/>
    <col min="6" max="6" width="17.6640625" customWidth="1"/>
    <col min="7" max="7" width="10.5546875" customWidth="1"/>
    <col min="8" max="8" width="14.33203125" customWidth="1"/>
    <col min="9" max="9" width="11.44140625" customWidth="1"/>
    <col min="10" max="10" width="9.109375" hidden="1" customWidth="1"/>
    <col min="11" max="11" width="10.88671875" customWidth="1"/>
    <col min="12" max="12" width="11.5546875" customWidth="1"/>
    <col min="13" max="15" width="9.109375" customWidth="1"/>
    <col min="16" max="16" width="34.6640625" customWidth="1"/>
    <col min="17" max="17" width="39.33203125" customWidth="1"/>
    <col min="18" max="30" width="26.109375" style="55" customWidth="1"/>
    <col min="31" max="31" width="4.5546875" style="427" customWidth="1"/>
    <col min="32" max="32" width="11.109375" customWidth="1"/>
  </cols>
  <sheetData>
    <row r="1" spans="1:57">
      <c r="A1" s="425"/>
      <c r="B1" s="425"/>
      <c r="C1" s="425"/>
      <c r="D1" s="425"/>
      <c r="E1" s="425"/>
      <c r="F1" s="425"/>
      <c r="G1" s="426" t="s">
        <v>846</v>
      </c>
      <c r="H1" s="426" t="s">
        <v>847</v>
      </c>
      <c r="I1" s="424" t="s">
        <v>1181</v>
      </c>
      <c r="J1" s="425"/>
      <c r="M1" s="424" t="str">
        <f>'Конфигурация TREI'!A1</f>
        <v>№ Модуля</v>
      </c>
      <c r="N1" s="424" t="str">
        <f>'Конфигурация TREI'!B2</f>
        <v>M501E(рез)</v>
      </c>
      <c r="O1" s="425"/>
      <c r="P1" s="425" t="str">
        <f>Таблица!D1</f>
        <v>Префикс для TREI
Тэг ОРС для INFINITY</v>
      </c>
      <c r="Q1" s="425" t="str">
        <f>Таблица!E1</f>
        <v>Комментарий для TREI и INFINITY</v>
      </c>
      <c r="R1" s="428" t="s">
        <v>1032</v>
      </c>
      <c r="S1" s="428"/>
      <c r="T1" s="428"/>
      <c r="U1" s="428"/>
      <c r="V1" s="428"/>
      <c r="W1" s="428" t="s">
        <v>1342</v>
      </c>
      <c r="X1" s="428"/>
      <c r="Y1" s="428"/>
      <c r="Z1" s="428"/>
      <c r="AA1" s="428"/>
      <c r="AB1" s="428"/>
      <c r="AC1" s="428"/>
      <c r="AD1" s="506" t="s">
        <v>1348</v>
      </c>
      <c r="AE1" s="438"/>
      <c r="AF1" s="438">
        <f>Настройки!Q1</f>
        <v>0</v>
      </c>
      <c r="AG1" s="438" t="str">
        <f>Настройки!R1</f>
        <v>M943DR</v>
      </c>
      <c r="AH1" s="438" t="str">
        <f>Настройки!S1</f>
        <v>M942A</v>
      </c>
      <c r="AI1" s="438" t="str">
        <f>Настройки!T1</f>
        <v>M957D</v>
      </c>
      <c r="AJ1" s="438" t="str">
        <f>Настройки!U1</f>
        <v>M957O</v>
      </c>
      <c r="AK1" s="438" t="str">
        <f>Настройки!V1</f>
        <v>M947R</v>
      </c>
      <c r="AL1" s="438" t="str">
        <f>Настройки!W1</f>
        <v>M931V</v>
      </c>
      <c r="AM1" s="438" t="str">
        <f>Настройки!X1</f>
        <v>M931T</v>
      </c>
      <c r="AN1" s="438" t="str">
        <f>Настройки!Y1</f>
        <v>M547A</v>
      </c>
      <c r="AO1" s="438" t="str">
        <f>Настройки!Z1</f>
        <v>M537V</v>
      </c>
      <c r="AP1" s="438" t="str">
        <f>Настройки!AA1</f>
        <v>M557D</v>
      </c>
      <c r="AQ1" s="438" t="str">
        <f>Настройки!AB1</f>
        <v>M557O</v>
      </c>
      <c r="AR1" s="438" t="str">
        <f>Настройки!AC1</f>
        <v>MOPS</v>
      </c>
      <c r="AS1" s="438" t="str">
        <f>Настройки!AD1</f>
        <v>MUPS</v>
      </c>
      <c r="AT1" s="439" t="str">
        <f>Настройки!AB1</f>
        <v>M557O</v>
      </c>
      <c r="AU1" s="439" t="str">
        <f>Настройки!AC1</f>
        <v>MOPS</v>
      </c>
      <c r="AV1" s="439" t="str">
        <f>Настройки!AD1</f>
        <v>MUPS</v>
      </c>
      <c r="AW1" s="439" t="str">
        <f>Настройки!AE1</f>
        <v>M941A</v>
      </c>
      <c r="AX1" s="439" t="str">
        <f>Настройки!AF1</f>
        <v>M954D</v>
      </c>
      <c r="AY1" s="439" t="str">
        <f>Настройки!AG1</f>
        <v>M557DR</v>
      </c>
      <c r="AZ1" s="439" t="str">
        <f>Настройки!AH1</f>
        <v>M558D</v>
      </c>
      <c r="BA1" s="439" t="str">
        <f>Настройки!AI1</f>
        <v>M558O</v>
      </c>
      <c r="BB1" s="439" t="str">
        <f>Настройки!AJ1</f>
        <v>M548A</v>
      </c>
      <c r="BC1" s="439" t="str">
        <f>Настройки!AK1</f>
        <v>M538V</v>
      </c>
      <c r="BD1" s="439" t="str">
        <f>Настройки!AL1</f>
        <v>M558DR</v>
      </c>
      <c r="BE1" s="439" t="str">
        <f>Настройки!AM1</f>
        <v>*</v>
      </c>
    </row>
    <row r="2" spans="1:57">
      <c r="A2" s="446" t="str">
        <f>"//*********** "&amp;Q2&amp;" ***********"</f>
        <v>//*********** Шлейф пожарной сигнализации ***********</v>
      </c>
      <c r="B2" s="446"/>
      <c r="C2" s="446"/>
      <c r="D2" s="446"/>
      <c r="E2" s="446" t="str">
        <f>IF(OR(AND($R$2=0,$W$2=0)),"УДАЛИТЬ","")</f>
        <v/>
      </c>
      <c r="F2" s="446" t="s">
        <v>1031</v>
      </c>
      <c r="G2" s="447"/>
      <c r="H2" s="447"/>
      <c r="I2" s="459"/>
      <c r="M2" s="424" t="str">
        <f>'Конфигурация TREI'!A3</f>
        <v>BR1</v>
      </c>
      <c r="N2" s="424" t="str">
        <f>'Конфигурация TREI'!B3</f>
        <v>M558D</v>
      </c>
      <c r="P2" s="2" t="s">
        <v>610</v>
      </c>
      <c r="Q2" s="2" t="s">
        <v>428</v>
      </c>
      <c r="R2" s="379" t="s">
        <v>1300</v>
      </c>
      <c r="S2" s="378"/>
      <c r="T2" s="378"/>
      <c r="U2" s="378"/>
      <c r="V2" s="378"/>
      <c r="W2" s="379" t="s">
        <v>1228</v>
      </c>
      <c r="X2" s="378"/>
      <c r="Y2" s="378"/>
      <c r="Z2" s="378"/>
      <c r="AA2" s="378"/>
      <c r="AB2" s="378"/>
      <c r="AC2" s="378"/>
      <c r="AD2" s="379">
        <v>1</v>
      </c>
      <c r="AE2" s="431">
        <f>Настройки!P2</f>
        <v>1</v>
      </c>
      <c r="AF2" s="380">
        <f>Настройки!Q2</f>
        <v>0</v>
      </c>
      <c r="AG2" s="380" t="str">
        <f>Настройки!R2</f>
        <v>IDIG_1_1</v>
      </c>
      <c r="AH2" s="380" t="str">
        <f>Настройки!S2</f>
        <v>IANS_1_3</v>
      </c>
      <c r="AI2" s="380" t="str">
        <f>Настройки!T2</f>
        <v>out0</v>
      </c>
      <c r="AJ2" s="380" t="str">
        <f>Настройки!U2</f>
        <v>out0</v>
      </c>
      <c r="AK2" s="380" t="str">
        <f>Настройки!V2</f>
        <v>ODIG_1</v>
      </c>
      <c r="AL2" s="380" t="str">
        <f>Настройки!W2</f>
        <v>OAN_1_1</v>
      </c>
      <c r="AM2" s="380" t="str">
        <f>Настройки!X2</f>
        <v>IANS_1_1</v>
      </c>
      <c r="AN2" s="380" t="str">
        <f>Настройки!Y2</f>
        <v>Canal_01</v>
      </c>
      <c r="AO2" s="380" t="str">
        <f>Настройки!Z2</f>
        <v>Canal_01</v>
      </c>
      <c r="AP2" s="380" t="str">
        <f>Настройки!AA2</f>
        <v>Canal_01</v>
      </c>
      <c r="AQ2" s="380" t="str">
        <f>Настройки!AB2</f>
        <v>Canal_01</v>
      </c>
      <c r="AR2" s="380" t="str">
        <f>Настройки!AC2</f>
        <v>IVXX[0]</v>
      </c>
      <c r="AS2" s="380" t="str">
        <f>Настройки!AD2</f>
        <v>IVXX[0]</v>
      </c>
      <c r="AT2" s="207" t="str">
        <f>Настройки!AB2</f>
        <v>Canal_01</v>
      </c>
      <c r="AU2" s="207" t="str">
        <f>Настройки!AC2</f>
        <v>IVXX[0]</v>
      </c>
      <c r="AV2" s="207" t="str">
        <f>Настройки!AD2</f>
        <v>IVXX[0]</v>
      </c>
      <c r="AW2" s="207" t="str">
        <f>Настройки!AE2</f>
        <v>IANS_1_1</v>
      </c>
      <c r="AX2" s="207" t="str">
        <f>Настройки!AF2</f>
        <v>IDIG_1_1</v>
      </c>
      <c r="AY2" s="207" t="str">
        <f>Настройки!AG2</f>
        <v>Canal_01</v>
      </c>
      <c r="AZ2" s="207" t="str">
        <f>Настройки!AH2</f>
        <v>Canal_01</v>
      </c>
      <c r="BA2" s="207" t="str">
        <f>Настройки!AI2</f>
        <v>Canal_01</v>
      </c>
      <c r="BB2" s="207" t="str">
        <f>Настройки!AJ2</f>
        <v>Canal_01</v>
      </c>
      <c r="BC2" s="207" t="str">
        <f>Настройки!AK2</f>
        <v>Canal_01</v>
      </c>
      <c r="BD2" s="207" t="str">
        <f>Настройки!AL2</f>
        <v>Canal_01</v>
      </c>
      <c r="BE2" s="207" t="str">
        <f>Настройки!AM2</f>
        <v>-</v>
      </c>
    </row>
    <row r="3" spans="1:57">
      <c r="A3" s="448" t="str">
        <f>SUBSTITUTE($P$2,"\","|")&amp;"|"&amp; $R$1 &amp;":="&amp;IF(LEFT(SUBSTITUTE($R$2," ",""),1)="!","NOT  ","")</f>
        <v>FB_BTF_S|IVXX:=</v>
      </c>
      <c r="B3" s="448" t="str">
        <f>IF($AD$2=3,"BR","INT_TO_REAL("&amp;G3&amp;"_"&amp;LEFT($R$3,FIND("+",$R$3,1)-1))</f>
        <v>INT_TO_REAL(MOPS_2</v>
      </c>
      <c r="C3" s="446" t="str">
        <f>IF($AD$2=3,LEFT($R$3,FIND("+",$R$3,1)-1),"")</f>
        <v/>
      </c>
      <c r="D3" s="446" t="str">
        <f>IF($AD$2=3,".","|")</f>
        <v>|</v>
      </c>
      <c r="E3" s="446" t="str">
        <f ca="1">IF(OR($R$2=0,$AD$2&gt;3),"УДАЛИТЬ",IFERROR(IF(OR($I3="-",$H3="0"),"КАНАЛ ОТСУТСТВУЕТ",IF($I3=0,"МОДУЛЬ ОТСУТСТВУЕТ",$I3)),"ОШИБКА ФОРМАТА"))</f>
        <v>IVXX[0]</v>
      </c>
      <c r="F3" s="446" t="str">
        <f>IF($AD$2=3,";",");")</f>
        <v>);</v>
      </c>
      <c r="G3" s="447" t="str">
        <f>IF($AD$2=3,INDEX($N$2:$N$61,C3),LEFT($R$2,4))</f>
        <v>MOPS</v>
      </c>
      <c r="H3" s="447" t="str">
        <f>RIGHT(R$3,LEN(R$3)-FIND("+",R$3,1))</f>
        <v>1</v>
      </c>
      <c r="I3" s="460" t="str">
        <f ca="1">INDIRECT(ADDRESS($H3+1,MATCH($G3,$1:$1,),1))</f>
        <v>IVXX[0]</v>
      </c>
      <c r="M3" s="424" t="str">
        <f>'Конфигурация TREI'!A4</f>
        <v>BR2</v>
      </c>
      <c r="N3" s="424" t="str">
        <f>'Конфигурация TREI'!B4</f>
        <v>M548A</v>
      </c>
      <c r="P3" s="425" t="str">
        <f>'Конфигурация TREI'!D1</f>
        <v>Путь TREI для сигналов NOT_LINK</v>
      </c>
      <c r="R3" s="451" t="str">
        <f>SUBSTITUTE(SUBSTITUTE(SUBSTITUTE(SUBSTITUTE($R$2,"!","")," ",""),"MUPS",""),"MOPS","")</f>
        <v>2+1</v>
      </c>
      <c r="S3" s="450"/>
      <c r="T3" s="450"/>
      <c r="U3" s="450"/>
      <c r="V3" s="450"/>
      <c r="W3" s="451" t="str">
        <f>SUBSTITUTE(SUBSTITUTE(SUBSTITUTE(SUBSTITUTE($W$2,"!","")," ",""),"MUPS",""),"MOPS","")</f>
        <v>2+4</v>
      </c>
      <c r="X3" s="450"/>
      <c r="Y3" s="450"/>
      <c r="Z3" s="450"/>
      <c r="AA3" s="450"/>
      <c r="AB3" s="450"/>
      <c r="AC3" s="450"/>
      <c r="AD3" s="379"/>
      <c r="AE3" s="431">
        <f>Настройки!P3</f>
        <v>2</v>
      </c>
      <c r="AF3" s="380">
        <f>Настройки!Q3</f>
        <v>0</v>
      </c>
      <c r="AG3" s="380" t="str">
        <f>Настройки!R3</f>
        <v>IDIG_1_2</v>
      </c>
      <c r="AH3" s="380" t="str">
        <f>Настройки!S3</f>
        <v>IANS_1_4</v>
      </c>
      <c r="AI3" s="380" t="str">
        <f>Настройки!T3</f>
        <v>out1</v>
      </c>
      <c r="AJ3" s="380" t="str">
        <f>Настройки!U3</f>
        <v>out1</v>
      </c>
      <c r="AK3" s="380" t="str">
        <f>Настройки!V3</f>
        <v>ODIG_2</v>
      </c>
      <c r="AL3" s="380" t="str">
        <f>Настройки!W3</f>
        <v>OAN_2_1</v>
      </c>
      <c r="AM3" s="380" t="str">
        <f>Настройки!X3</f>
        <v>IANS_2_1</v>
      </c>
      <c r="AN3" s="380" t="str">
        <f>Настройки!Y3</f>
        <v>Canal_02</v>
      </c>
      <c r="AO3" s="380" t="str">
        <f>Настройки!Z3</f>
        <v>Canal_02</v>
      </c>
      <c r="AP3" s="380" t="str">
        <f>Настройки!AA3</f>
        <v>Canal_02</v>
      </c>
      <c r="AQ3" s="380" t="str">
        <f>Настройки!AB3</f>
        <v>Canal_02</v>
      </c>
      <c r="AR3" s="380" t="str">
        <f>Настройки!AC3</f>
        <v>IVXX[1]</v>
      </c>
      <c r="AS3" s="380" t="str">
        <f>Настройки!AD3</f>
        <v>IVXX[1]</v>
      </c>
      <c r="AT3" s="207" t="str">
        <f>Настройки!AB3</f>
        <v>Canal_02</v>
      </c>
      <c r="AU3" s="207" t="str">
        <f>Настройки!AC3</f>
        <v>IVXX[1]</v>
      </c>
      <c r="AV3" s="207" t="str">
        <f>Настройки!AD3</f>
        <v>IVXX[1]</v>
      </c>
      <c r="AW3" s="207" t="str">
        <f>Настройки!AE3</f>
        <v>IANS_1_2</v>
      </c>
      <c r="AX3" s="207" t="str">
        <f>Настройки!AF3</f>
        <v>IDIG_1_2</v>
      </c>
      <c r="AY3" s="207" t="str">
        <f>Настройки!AG3</f>
        <v>Canal_02</v>
      </c>
      <c r="AZ3" s="207" t="str">
        <f>Настройки!AH3</f>
        <v>Canal_02</v>
      </c>
      <c r="BA3" s="207" t="str">
        <f>Настройки!AI3</f>
        <v>Canal_02</v>
      </c>
      <c r="BB3" s="207" t="str">
        <f>Настройки!AJ3</f>
        <v>Canal_02</v>
      </c>
      <c r="BC3" s="207" t="str">
        <f>Настройки!AK3</f>
        <v>Canal_02</v>
      </c>
      <c r="BD3" s="207" t="str">
        <f>Настройки!AL3</f>
        <v>Canal_02</v>
      </c>
      <c r="BE3" s="207" t="str">
        <f>Настройки!AM3</f>
        <v>-</v>
      </c>
    </row>
    <row r="4" spans="1:57">
      <c r="A4" s="448" t="str">
        <f>SUBSTITUTE($P$2,"\","|")&amp;"|"&amp;"DVI"&amp; RIGHT($R$1,1)&amp;":=" &amp; IF($AD$2=3,$P$4&amp;"NOT_LINK_BR","")</f>
        <v>FB_BTF_S|DVIX:=</v>
      </c>
      <c r="B4" s="448" t="str">
        <f>IFERROR(IF(AD2=3,LEFT($R$3,FIND("+",$R$3,1)-1),$G$3&amp;"_"&amp;LEFT($R$3,FIND("+",$R$3,1)-1)),"УДАЛИТЬ")</f>
        <v>MOPS_2</v>
      </c>
      <c r="C4" s="446" t="str">
        <f>IF($AD$2=3,"","|")</f>
        <v>|</v>
      </c>
      <c r="D4" s="446" t="str">
        <f>IF($AD$2=3,"",IF($R$2=0,"УДАЛИТЬ","DVXX"))</f>
        <v>DVXX</v>
      </c>
      <c r="E4" s="764" t="str">
        <f>IFERROR(IF($AD$2&gt;3,"УДАЛИТЬ",IF(OR(G3="M547A",G3="M548A")," OR (BR"&amp;B4&amp;".Err_"&amp;I3&amp;" =3)","")),"МОДУЛЬ ОТСУТСТВУЕТ")</f>
        <v/>
      </c>
      <c r="F4" s="446" t="s">
        <v>845</v>
      </c>
      <c r="G4" s="447"/>
      <c r="H4" s="447"/>
      <c r="I4" s="460"/>
      <c r="M4" s="424" t="str">
        <f>'Конфигурация TREI'!A5</f>
        <v>BR3</v>
      </c>
      <c r="N4" s="424" t="str">
        <f>'Конфигурация TREI'!B5</f>
        <v>M548A</v>
      </c>
      <c r="P4" s="3" t="str">
        <f>Настройки!D2</f>
        <v/>
      </c>
      <c r="AE4" s="431">
        <f>Настройки!P4</f>
        <v>3</v>
      </c>
      <c r="AF4" s="380">
        <f>Настройки!Q4</f>
        <v>0</v>
      </c>
      <c r="AG4" s="380" t="str">
        <f>Настройки!R4</f>
        <v>IDIG_2_1</v>
      </c>
      <c r="AH4" s="380" t="str">
        <f>Настройки!S4</f>
        <v>IANS_2_3</v>
      </c>
      <c r="AI4" s="380" t="str">
        <f>Настройки!T4</f>
        <v>out2</v>
      </c>
      <c r="AJ4" s="380" t="str">
        <f>Настройки!U4</f>
        <v>out2</v>
      </c>
      <c r="AK4" s="380" t="str">
        <f>Настройки!V4</f>
        <v>ODIG_3</v>
      </c>
      <c r="AL4" s="380" t="str">
        <f>Настройки!W4</f>
        <v>OAN_3_1</v>
      </c>
      <c r="AM4" s="380" t="str">
        <f>Настройки!X4</f>
        <v>IANS_3_1</v>
      </c>
      <c r="AN4" s="380" t="str">
        <f>Настройки!Y4</f>
        <v>Canal_03</v>
      </c>
      <c r="AO4" s="380" t="str">
        <f>Настройки!Z4</f>
        <v>Canal_03</v>
      </c>
      <c r="AP4" s="380" t="str">
        <f>Настройки!AA4</f>
        <v>Canal_03</v>
      </c>
      <c r="AQ4" s="380" t="str">
        <f>Настройки!AB4</f>
        <v>Canal_03</v>
      </c>
      <c r="AR4" s="380" t="str">
        <f>Настройки!AC4</f>
        <v>IVXX[2]</v>
      </c>
      <c r="AS4" s="380" t="str">
        <f>Настройки!AD4</f>
        <v>IVXX[2]</v>
      </c>
      <c r="AT4" s="207" t="str">
        <f>Настройки!AB4</f>
        <v>Canal_03</v>
      </c>
      <c r="AU4" s="207" t="str">
        <f>Настройки!AC4</f>
        <v>IVXX[2]</v>
      </c>
      <c r="AV4" s="207" t="str">
        <f>Настройки!AD4</f>
        <v>IVXX[2]</v>
      </c>
      <c r="AW4" s="207" t="str">
        <f>Настройки!AE4</f>
        <v>IANS_2_1</v>
      </c>
      <c r="AX4" s="207" t="str">
        <f>Настройки!AF4</f>
        <v>IDIG_1_3</v>
      </c>
      <c r="AY4" s="207" t="str">
        <f>Настройки!AG4</f>
        <v>Canal_03</v>
      </c>
      <c r="AZ4" s="207" t="str">
        <f>Настройки!AH4</f>
        <v>Canal_03</v>
      </c>
      <c r="BA4" s="207" t="str">
        <f>Настройки!AI4</f>
        <v>Canal_03</v>
      </c>
      <c r="BB4" s="207" t="str">
        <f>Настройки!AJ4</f>
        <v>Canal_03</v>
      </c>
      <c r="BC4" s="207" t="str">
        <f>Настройки!AK4</f>
        <v>Canal_03</v>
      </c>
      <c r="BD4" s="207" t="str">
        <f>Настройки!AL4</f>
        <v>Canal_03</v>
      </c>
      <c r="BE4" s="207" t="str">
        <f>Настройки!AM4</f>
        <v>-</v>
      </c>
    </row>
    <row r="5" spans="1:57" ht="14.25" customHeight="1">
      <c r="A5" s="448" t="str">
        <f>SUBSTITUTE($P$2,"\","|")&amp;"|"&amp; $W$1 &amp;":="&amp;IF(LEFT(SUBSTITUTE($W$2," ",""),1)="!","NOT  ","")</f>
        <v>FB_BTF_S|IFEX:=</v>
      </c>
      <c r="B5" s="448" t="str">
        <f>IF($G$5&lt;&gt;"MOPS","BR",G5&amp;"_"&amp;LEFT($W$3,FIND("+",$W$3,1)-1))</f>
        <v>BR</v>
      </c>
      <c r="C5" s="446" t="str">
        <f>IF(ISNUMBER(SEARCH("MOPS",W2)),"",LEFT($W$3,FIND("+",$W$3,1)-1))</f>
        <v>2</v>
      </c>
      <c r="D5" s="446" t="str">
        <f>IF($G$5&lt;&gt;"MOPS",".","|")</f>
        <v>.</v>
      </c>
      <c r="E5" s="446" t="str">
        <f ca="1">IF($R$2=0,"УДАЛИТЬ",IFERROR(IF(OR($I5="-",$H5="0"),"КАНАЛ ОТСУТСТВУЕТ",IF($I5=0,"МОДУЛЬ ОТСУТСТВУЕТ",$I5)),"ОШИБКА ФОРМАТА"))</f>
        <v>Canal_04</v>
      </c>
      <c r="F5" s="446" t="s">
        <v>845</v>
      </c>
      <c r="G5" s="447" t="str">
        <f>IF(ISNUMBER(SEARCH("MOPS",W2)),LEFT($W$2,4),INDEX($N$2:$N$61,C5))</f>
        <v>M548A</v>
      </c>
      <c r="H5" s="447" t="str">
        <f>RIGHT(W$3,LEN(W$3)-FIND("+",W$3,1))</f>
        <v>4</v>
      </c>
      <c r="I5" s="460" t="str">
        <f ca="1">INDIRECT(ADDRESS($H5+1,MATCH($G5,$1:$1,),1))</f>
        <v>Canal_04</v>
      </c>
      <c r="M5" s="424" t="str">
        <f>'Конфигурация TREI'!A6</f>
        <v>BR4</v>
      </c>
      <c r="N5" s="424" t="str">
        <f>'Конфигурация TREI'!B6</f>
        <v>M558D</v>
      </c>
      <c r="R5" s="56"/>
      <c r="AE5" s="431">
        <f>Настройки!P5</f>
        <v>4</v>
      </c>
      <c r="AF5" s="380">
        <f>Настройки!Q5</f>
        <v>0</v>
      </c>
      <c r="AG5" s="380" t="str">
        <f>Настройки!R5</f>
        <v>IDIG_2_2</v>
      </c>
      <c r="AH5" s="380" t="str">
        <f>Настройки!S5</f>
        <v>IANS_2_4</v>
      </c>
      <c r="AI5" s="380" t="str">
        <f>Настройки!T5</f>
        <v>out3</v>
      </c>
      <c r="AJ5" s="380" t="str">
        <f>Настройки!U5</f>
        <v>out3</v>
      </c>
      <c r="AK5" s="380" t="str">
        <f>Настройки!V5</f>
        <v>ODIG_4</v>
      </c>
      <c r="AL5" s="380" t="str">
        <f>Настройки!W5</f>
        <v>OAN_4_1</v>
      </c>
      <c r="AM5" s="380" t="str">
        <f>Настройки!X5</f>
        <v>IANS_4_1</v>
      </c>
      <c r="AN5" s="380" t="str">
        <f>Настройки!Y5</f>
        <v>Canal_04</v>
      </c>
      <c r="AO5" s="380" t="str">
        <f>Настройки!Z5</f>
        <v>Canal_04</v>
      </c>
      <c r="AP5" s="380" t="str">
        <f>Настройки!AA5</f>
        <v>Canal_04</v>
      </c>
      <c r="AQ5" s="380" t="str">
        <f>Настройки!AB5</f>
        <v>Canal_04</v>
      </c>
      <c r="AR5" s="380" t="str">
        <f>Настройки!AC5</f>
        <v>IVXX[3]</v>
      </c>
      <c r="AS5" s="380" t="str">
        <f>Настройки!AD5</f>
        <v>IVXX[3]</v>
      </c>
      <c r="AT5" s="207" t="str">
        <f>Настройки!AB5</f>
        <v>Canal_04</v>
      </c>
      <c r="AU5" s="207" t="str">
        <f>Настройки!AC5</f>
        <v>IVXX[3]</v>
      </c>
      <c r="AV5" s="207" t="str">
        <f>Настройки!AD5</f>
        <v>IVXX[3]</v>
      </c>
      <c r="AW5" s="207" t="str">
        <f>Настройки!AE5</f>
        <v>IANS_2_2</v>
      </c>
      <c r="AX5" s="207" t="str">
        <f>Настройки!AF5</f>
        <v>IDIG_1_4</v>
      </c>
      <c r="AY5" s="207" t="str">
        <f>Настройки!AG5</f>
        <v>Canal_04</v>
      </c>
      <c r="AZ5" s="207" t="str">
        <f>Настройки!AH5</f>
        <v>Canal_04</v>
      </c>
      <c r="BA5" s="207" t="str">
        <f>Настройки!AI5</f>
        <v>Canal_04</v>
      </c>
      <c r="BB5" s="207" t="str">
        <f>Настройки!AJ5</f>
        <v>Canal_04</v>
      </c>
      <c r="BC5" s="207" t="str">
        <f>Настройки!AK5</f>
        <v>Canal_04</v>
      </c>
      <c r="BD5" s="207" t="str">
        <f>Настройки!AL5</f>
        <v>Canal_04</v>
      </c>
      <c r="BE5" s="207" t="str">
        <f>Настройки!AM5</f>
        <v>-</v>
      </c>
    </row>
    <row r="6" spans="1:57">
      <c r="A6" s="448" t="str">
        <f>SUBSTITUTE($P$2,"\","|")&amp;"|"&amp;"D"&amp; RIGHT($W$1,3)&amp;":=" &amp; IF($G$5&lt;&gt;"MOPS",$P$4&amp;"NOT_LINK_BR","")</f>
        <v>FB_BTF_S|DFEX:=NOT_LINK_BR</v>
      </c>
      <c r="B6" s="448" t="str">
        <f>IFERROR(IF($G$5&lt;&gt;"MOPS",LEFT($W$3,FIND("+",$W$3,1)-1),$G$5&amp;"_"&amp;LEFT($W$3,FIND("+",$W$3,1)-1)),"УДАЛИТЬ")</f>
        <v>2</v>
      </c>
      <c r="C6" s="446" t="str">
        <f>IF($G$5&lt;&gt;"MOPS","","|")</f>
        <v/>
      </c>
      <c r="D6" s="446" t="str">
        <f>IF($G$5&lt;&gt;"MOPS","",IF($W$2=0,"УДАЛИТЬ","DVXX"))</f>
        <v/>
      </c>
      <c r="E6" s="764" t="str">
        <f ca="1">IFERROR(IF($AD$2&gt;3,"УДАЛИТЬ",IF(OR(G5="M547A",G5="M548A")," OR (BR"&amp;B6&amp;".Err_"&amp;I5&amp;" =3)","")),"МОДУЛЬ ОТСУТСТВУЕТ")</f>
        <v xml:space="preserve"> OR (BR2.Err_Canal_04 =3)</v>
      </c>
      <c r="F6" s="446" t="s">
        <v>845</v>
      </c>
      <c r="G6" s="447"/>
      <c r="H6" s="447"/>
      <c r="I6" s="460"/>
      <c r="M6" s="424" t="str">
        <f>'Конфигурация TREI'!A7</f>
        <v>BR5</v>
      </c>
      <c r="N6" s="424" t="str">
        <f>'Конфигурация TREI'!B7</f>
        <v>M558O</v>
      </c>
      <c r="AE6" s="431">
        <f>Настройки!P6</f>
        <v>5</v>
      </c>
      <c r="AF6" s="380">
        <f>Настройки!Q6</f>
        <v>0</v>
      </c>
      <c r="AG6" s="380" t="str">
        <f>Настройки!R6</f>
        <v>IDIG_3_1</v>
      </c>
      <c r="AH6" s="380" t="str">
        <f>Настройки!S6</f>
        <v>IANS_3_3</v>
      </c>
      <c r="AI6" s="380" t="str">
        <f>Настройки!T6</f>
        <v>out4</v>
      </c>
      <c r="AJ6" s="380" t="str">
        <f>Настройки!U6</f>
        <v>out4</v>
      </c>
      <c r="AK6" s="380" t="str">
        <f>Настройки!V6</f>
        <v>ODIG_5</v>
      </c>
      <c r="AL6" s="380" t="str">
        <f>Настройки!W6</f>
        <v>OAN_5_1</v>
      </c>
      <c r="AM6" s="380" t="str">
        <f>Настройки!X6</f>
        <v>IANS_5_1</v>
      </c>
      <c r="AN6" s="380" t="str">
        <f>Настройки!Y6</f>
        <v>Canal_05</v>
      </c>
      <c r="AO6" s="380" t="str">
        <f>Настройки!Z6</f>
        <v>Canal_05</v>
      </c>
      <c r="AP6" s="380" t="str">
        <f>Настройки!AA6</f>
        <v>Canal_05</v>
      </c>
      <c r="AQ6" s="380" t="str">
        <f>Настройки!AB6</f>
        <v>Canal_05</v>
      </c>
      <c r="AR6" s="380" t="str">
        <f>Настройки!AC6</f>
        <v>IVXX[4]</v>
      </c>
      <c r="AS6" s="380" t="str">
        <f>Настройки!AD6</f>
        <v>IVXX[4]</v>
      </c>
      <c r="AT6" s="207" t="str">
        <f>Настройки!AB6</f>
        <v>Canal_05</v>
      </c>
      <c r="AU6" s="207" t="str">
        <f>Настройки!AC6</f>
        <v>IVXX[4]</v>
      </c>
      <c r="AV6" s="207" t="str">
        <f>Настройки!AD6</f>
        <v>IVXX[4]</v>
      </c>
      <c r="AW6" s="207" t="str">
        <f>Настройки!AE6</f>
        <v>IANS_3_1</v>
      </c>
      <c r="AX6" s="207" t="str">
        <f>Настройки!AF6</f>
        <v>IDIG_2_1</v>
      </c>
      <c r="AY6" s="207" t="str">
        <f>Настройки!AG6</f>
        <v>Canal_05</v>
      </c>
      <c r="AZ6" s="207" t="str">
        <f>Настройки!AH6</f>
        <v>Canal_05</v>
      </c>
      <c r="BA6" s="207" t="str">
        <f>Настройки!AI6</f>
        <v>Canal_05</v>
      </c>
      <c r="BB6" s="207" t="str">
        <f>Настройки!AJ6</f>
        <v>Canal_05</v>
      </c>
      <c r="BC6" s="207" t="str">
        <f>Настройки!AK6</f>
        <v>Canal_05</v>
      </c>
      <c r="BD6" s="207" t="str">
        <f>Настройки!AL6</f>
        <v>Canal_05</v>
      </c>
      <c r="BE6" s="207" t="str">
        <f>Настройки!AM6</f>
        <v>-</v>
      </c>
    </row>
    <row r="7" spans="1:57">
      <c r="A7" s="82"/>
      <c r="B7" s="82"/>
      <c r="C7" s="81"/>
      <c r="D7" s="81"/>
      <c r="E7" s="82"/>
      <c r="F7" s="81"/>
      <c r="G7" s="445"/>
      <c r="H7" s="445"/>
      <c r="I7" s="460"/>
      <c r="M7" s="424" t="str">
        <f>'Конфигурация TREI'!A8</f>
        <v>BR6</v>
      </c>
      <c r="N7" s="424" t="str">
        <f>'Конфигурация TREI'!B8</f>
        <v>M558O</v>
      </c>
      <c r="AE7" s="431">
        <f>Настройки!P7</f>
        <v>6</v>
      </c>
      <c r="AF7" s="380">
        <f>Настройки!Q7</f>
        <v>0</v>
      </c>
      <c r="AG7" s="380" t="str">
        <f>Настройки!R7</f>
        <v>IDIG_3_2</v>
      </c>
      <c r="AH7" s="380" t="str">
        <f>Настройки!S7</f>
        <v>IANS_3_4</v>
      </c>
      <c r="AI7" s="380" t="str">
        <f>Настройки!T7</f>
        <v>out5</v>
      </c>
      <c r="AJ7" s="380" t="str">
        <f>Настройки!U7</f>
        <v>out5</v>
      </c>
      <c r="AK7" s="380" t="str">
        <f>Настройки!V7</f>
        <v>ODIG_6</v>
      </c>
      <c r="AL7" s="380" t="str">
        <f>Настройки!W7</f>
        <v>OAN_6_1</v>
      </c>
      <c r="AM7" s="380" t="str">
        <f>Настройки!X7</f>
        <v>IANS_6_1</v>
      </c>
      <c r="AN7" s="380" t="str">
        <f>Настройки!Y7</f>
        <v>Canal_06</v>
      </c>
      <c r="AO7" s="380" t="str">
        <f>Настройки!Z7</f>
        <v>Canal_06</v>
      </c>
      <c r="AP7" s="380" t="str">
        <f>Настройки!AA7</f>
        <v>Canal_06</v>
      </c>
      <c r="AQ7" s="380" t="str">
        <f>Настройки!AB7</f>
        <v>Canal_06</v>
      </c>
      <c r="AR7" s="380" t="str">
        <f>Настройки!AC7</f>
        <v>IVXX[5]</v>
      </c>
      <c r="AS7" s="380" t="str">
        <f>Настройки!AD7</f>
        <v>IVXX[5]</v>
      </c>
      <c r="AT7" s="207" t="str">
        <f>Настройки!AB7</f>
        <v>Canal_06</v>
      </c>
      <c r="AU7" s="207" t="str">
        <f>Настройки!AC7</f>
        <v>IVXX[5]</v>
      </c>
      <c r="AV7" s="207" t="str">
        <f>Настройки!AD7</f>
        <v>IVXX[5]</v>
      </c>
      <c r="AW7" s="207" t="str">
        <f>Настройки!AE7</f>
        <v>IANS_3_2</v>
      </c>
      <c r="AX7" s="207" t="str">
        <f>Настройки!AF7</f>
        <v>IDIG_2_2</v>
      </c>
      <c r="AY7" s="207" t="str">
        <f>Настройки!AG7</f>
        <v>Canal_06</v>
      </c>
      <c r="AZ7" s="207" t="str">
        <f>Настройки!AH7</f>
        <v>Canal_06</v>
      </c>
      <c r="BA7" s="207" t="str">
        <f>Настройки!AI7</f>
        <v>Canal_06</v>
      </c>
      <c r="BB7" s="207" t="str">
        <f>Настройки!AJ7</f>
        <v>Canal_06</v>
      </c>
      <c r="BC7" s="207" t="str">
        <f>Настройки!AK7</f>
        <v>Canal_06</v>
      </c>
      <c r="BD7" s="207" t="str">
        <f>Настройки!AL7</f>
        <v>Canal_06</v>
      </c>
      <c r="BE7" s="207" t="str">
        <f>Настройки!AM7</f>
        <v>-</v>
      </c>
    </row>
    <row r="8" spans="1:57">
      <c r="A8" s="82"/>
      <c r="B8" s="82"/>
      <c r="C8" s="81"/>
      <c r="D8" s="81"/>
      <c r="E8" s="82"/>
      <c r="F8" s="81"/>
      <c r="G8" s="445"/>
      <c r="H8" s="445"/>
      <c r="I8" s="460"/>
      <c r="M8" s="424" t="str">
        <f>'Конфигурация TREI'!A9</f>
        <v>BR7</v>
      </c>
      <c r="N8" s="424" t="str">
        <f>'Конфигурация TREI'!B9</f>
        <v>M558O</v>
      </c>
      <c r="AE8" s="431">
        <f>Настройки!P8</f>
        <v>7</v>
      </c>
      <c r="AF8" s="380">
        <f>Настройки!Q8</f>
        <v>0</v>
      </c>
      <c r="AG8" s="380" t="str">
        <f>Настройки!R8</f>
        <v>IDIG_4_1</v>
      </c>
      <c r="AH8" s="380" t="str">
        <f>Настройки!S8</f>
        <v>IANS_4_3</v>
      </c>
      <c r="AI8" s="380" t="str">
        <f>Настройки!T8</f>
        <v>out6</v>
      </c>
      <c r="AJ8" s="380" t="str">
        <f>Настройки!U8</f>
        <v>out6</v>
      </c>
      <c r="AK8" s="380" t="str">
        <f>Настройки!V8</f>
        <v>ODIG_7</v>
      </c>
      <c r="AL8" s="380" t="str">
        <f>Настройки!W8</f>
        <v>OAN_7_1</v>
      </c>
      <c r="AM8" s="380" t="str">
        <f>Настройки!X8</f>
        <v>IANS_7_1</v>
      </c>
      <c r="AN8" s="380" t="str">
        <f>Настройки!Y8</f>
        <v>Canal_07</v>
      </c>
      <c r="AO8" s="380" t="str">
        <f>Настройки!Z8</f>
        <v>Canal_07</v>
      </c>
      <c r="AP8" s="380" t="str">
        <f>Настройки!AA8</f>
        <v>Canal_07</v>
      </c>
      <c r="AQ8" s="380" t="str">
        <f>Настройки!AB8</f>
        <v>Canal_07</v>
      </c>
      <c r="AR8" s="380" t="str">
        <f>Настройки!AC8</f>
        <v>IVXX[6]</v>
      </c>
      <c r="AS8" s="380" t="str">
        <f>Настройки!AD8</f>
        <v>IVXX[6]</v>
      </c>
      <c r="AT8" s="207" t="str">
        <f>Настройки!AB8</f>
        <v>Canal_07</v>
      </c>
      <c r="AU8" s="207" t="str">
        <f>Настройки!AC8</f>
        <v>IVXX[6]</v>
      </c>
      <c r="AV8" s="207" t="str">
        <f>Настройки!AD8</f>
        <v>IVXX[6]</v>
      </c>
      <c r="AW8" s="207" t="str">
        <f>Настройки!AE8</f>
        <v>IANS_4_1</v>
      </c>
      <c r="AX8" s="207" t="str">
        <f>Настройки!AF8</f>
        <v>IDIG_2_3</v>
      </c>
      <c r="AY8" s="207" t="str">
        <f>Настройки!AG8</f>
        <v>Canal_07</v>
      </c>
      <c r="AZ8" s="207" t="str">
        <f>Настройки!AH8</f>
        <v>Canal_07</v>
      </c>
      <c r="BA8" s="207" t="str">
        <f>Настройки!AI8</f>
        <v>Canal_07</v>
      </c>
      <c r="BB8" s="207" t="str">
        <f>Настройки!AJ8</f>
        <v>Canal_07</v>
      </c>
      <c r="BC8" s="207" t="str">
        <f>Настройки!AK8</f>
        <v>Canal_07</v>
      </c>
      <c r="BD8" s="207" t="str">
        <f>Настройки!AL8</f>
        <v>Canal_07</v>
      </c>
      <c r="BE8" s="207" t="str">
        <f>Настройки!AM8</f>
        <v>-</v>
      </c>
    </row>
    <row r="9" spans="1:57">
      <c r="A9" s="82"/>
      <c r="B9" s="82"/>
      <c r="C9" s="81"/>
      <c r="D9" s="81"/>
      <c r="E9" s="82"/>
      <c r="F9" s="81"/>
      <c r="G9" s="445"/>
      <c r="H9" s="445"/>
      <c r="I9" s="1"/>
      <c r="M9" s="424" t="str">
        <f>'Конфигурация TREI'!A10</f>
        <v>BR8</v>
      </c>
      <c r="N9" s="424" t="str">
        <f>'Конфигурация TREI'!B10</f>
        <v>M558O</v>
      </c>
      <c r="AE9" s="431">
        <f>Настройки!P9</f>
        <v>8</v>
      </c>
      <c r="AF9" s="380">
        <f>Настройки!Q9</f>
        <v>0</v>
      </c>
      <c r="AG9" s="380" t="str">
        <f>Настройки!R9</f>
        <v>IDIG_4_2</v>
      </c>
      <c r="AH9" s="380" t="str">
        <f>Настройки!S9</f>
        <v>IANS_4_4</v>
      </c>
      <c r="AI9" s="380" t="str">
        <f>Настройки!T9</f>
        <v>out7</v>
      </c>
      <c r="AJ9" s="380" t="str">
        <f>Настройки!U9</f>
        <v>out7</v>
      </c>
      <c r="AK9" s="380" t="str">
        <f>Настройки!V9</f>
        <v>ODIG_8</v>
      </c>
      <c r="AL9" s="380" t="str">
        <f>Настройки!W9</f>
        <v>OAN_8_1</v>
      </c>
      <c r="AM9" s="380" t="str">
        <f>Настройки!X9</f>
        <v>IANS_8_1</v>
      </c>
      <c r="AN9" s="380" t="str">
        <f>Настройки!Y9</f>
        <v>Canal_08</v>
      </c>
      <c r="AO9" s="380" t="str">
        <f>Настройки!Z9</f>
        <v>Canal_08</v>
      </c>
      <c r="AP9" s="380" t="str">
        <f>Настройки!AA9</f>
        <v>Canal_08</v>
      </c>
      <c r="AQ9" s="380" t="str">
        <f>Настройки!AB9</f>
        <v>Canal_08</v>
      </c>
      <c r="AR9" s="380" t="str">
        <f>Настройки!AC9</f>
        <v>IVXX[7]</v>
      </c>
      <c r="AS9" s="380" t="str">
        <f>Настройки!AD9</f>
        <v>IVXX[7]</v>
      </c>
      <c r="AT9" s="207" t="str">
        <f>Настройки!AB9</f>
        <v>Canal_08</v>
      </c>
      <c r="AU9" s="207" t="str">
        <f>Настройки!AC9</f>
        <v>IVXX[7]</v>
      </c>
      <c r="AV9" s="207" t="str">
        <f>Настройки!AD9</f>
        <v>IVXX[7]</v>
      </c>
      <c r="AW9" s="207" t="str">
        <f>Настройки!AE9</f>
        <v>IANS_4_2</v>
      </c>
      <c r="AX9" s="207" t="str">
        <f>Настройки!AF9</f>
        <v>IDIG_2_4</v>
      </c>
      <c r="AY9" s="207" t="str">
        <f>Настройки!AG9</f>
        <v>Canal_08</v>
      </c>
      <c r="AZ9" s="207" t="str">
        <f>Настройки!AH9</f>
        <v>Canal_08</v>
      </c>
      <c r="BA9" s="207" t="str">
        <f>Настройки!AI9</f>
        <v>Canal_08</v>
      </c>
      <c r="BB9" s="207" t="str">
        <f>Настройки!AJ9</f>
        <v>Canal_08</v>
      </c>
      <c r="BC9" s="207" t="str">
        <f>Настройки!AK9</f>
        <v>Canal_08</v>
      </c>
      <c r="BD9" s="207" t="str">
        <f>Настройки!AL9</f>
        <v>Canal_08</v>
      </c>
      <c r="BE9" s="207" t="str">
        <f>Настройки!AM9</f>
        <v>-</v>
      </c>
    </row>
    <row r="10" spans="1:57">
      <c r="A10" s="82"/>
      <c r="B10" s="82"/>
      <c r="C10" s="81"/>
      <c r="D10" s="81"/>
      <c r="E10" s="82"/>
      <c r="F10" s="81"/>
      <c r="G10" s="445"/>
      <c r="H10" s="445"/>
      <c r="I10" s="1"/>
      <c r="M10" s="424" t="str">
        <f>'Конфигурация TREI'!A11</f>
        <v>BR9</v>
      </c>
      <c r="N10" s="424" t="str">
        <f>'Конфигурация TREI'!B11</f>
        <v>M558D</v>
      </c>
      <c r="AE10" s="431">
        <f>Настройки!P10</f>
        <v>9</v>
      </c>
      <c r="AF10" s="380">
        <f>Настройки!Q10</f>
        <v>0</v>
      </c>
      <c r="AG10" s="380" t="str">
        <f>Настройки!R10</f>
        <v>IDIG_5_1</v>
      </c>
      <c r="AH10" s="380" t="str">
        <f>Настройки!S10</f>
        <v>IANS_5_3</v>
      </c>
      <c r="AI10" s="380" t="str">
        <f>Настройки!T10</f>
        <v>out8</v>
      </c>
      <c r="AJ10" s="380" t="str">
        <f>Настройки!U10</f>
        <v>out8</v>
      </c>
      <c r="AK10" s="380" t="str">
        <f>Настройки!V10</f>
        <v>ODIG_9</v>
      </c>
      <c r="AL10" s="380" t="str">
        <f>Настройки!W10</f>
        <v>-</v>
      </c>
      <c r="AM10" s="380" t="str">
        <f>Настройки!X10</f>
        <v>-</v>
      </c>
      <c r="AN10" s="380" t="str">
        <f>Настройки!Y10</f>
        <v>Canal_09</v>
      </c>
      <c r="AO10" s="380" t="str">
        <f>Настройки!Z10</f>
        <v>-</v>
      </c>
      <c r="AP10" s="380" t="str">
        <f>Настройки!AA10</f>
        <v>Canal_09</v>
      </c>
      <c r="AQ10" s="380" t="str">
        <f>Настройки!AB10</f>
        <v>Canal_09</v>
      </c>
      <c r="AR10" s="380" t="str">
        <f>Настройки!AC10</f>
        <v>OCCH[0]</v>
      </c>
      <c r="AS10" s="380" t="str">
        <f>Настройки!AD10</f>
        <v>OCCH[0]</v>
      </c>
      <c r="AT10" s="207" t="str">
        <f>Настройки!AB10</f>
        <v>Canal_09</v>
      </c>
      <c r="AU10" s="207" t="str">
        <f>Настройки!AC10</f>
        <v>OCCH[0]</v>
      </c>
      <c r="AV10" s="207" t="str">
        <f>Настройки!AD10</f>
        <v>OCCH[0]</v>
      </c>
      <c r="AW10" s="207" t="str">
        <f>Настройки!AE10</f>
        <v>IANS_5_1</v>
      </c>
      <c r="AX10" s="207" t="str">
        <f>Настройки!AF10</f>
        <v>IDIG_3_1</v>
      </c>
      <c r="AY10" s="207" t="str">
        <f>Настройки!AG10</f>
        <v>Canal_09</v>
      </c>
      <c r="AZ10" s="207" t="str">
        <f>Настройки!AH10</f>
        <v>Canal_09</v>
      </c>
      <c r="BA10" s="207" t="str">
        <f>Настройки!AI10</f>
        <v>Canal_09</v>
      </c>
      <c r="BB10" s="207" t="str">
        <f>Настройки!AJ10</f>
        <v>Canal_09</v>
      </c>
      <c r="BC10" s="207" t="str">
        <f>Настройки!AK10</f>
        <v>-</v>
      </c>
      <c r="BD10" s="207" t="str">
        <f>Настройки!AL10</f>
        <v>Canal_09</v>
      </c>
      <c r="BE10" s="207" t="str">
        <f>Настройки!AM10</f>
        <v>-</v>
      </c>
    </row>
    <row r="11" spans="1:57">
      <c r="A11" s="82"/>
      <c r="B11" s="82"/>
      <c r="C11" s="81"/>
      <c r="D11" s="81"/>
      <c r="E11" s="82"/>
      <c r="F11" s="81"/>
      <c r="G11" s="445"/>
      <c r="H11" s="445"/>
      <c r="I11" s="1"/>
      <c r="M11" s="424" t="str">
        <f>'Конфигурация TREI'!A12</f>
        <v>BR10</v>
      </c>
      <c r="N11" s="424" t="str">
        <f>'Конфигурация TREI'!B12</f>
        <v>M558O</v>
      </c>
      <c r="AE11" s="431">
        <f>Настройки!P11</f>
        <v>10</v>
      </c>
      <c r="AF11" s="380">
        <f>Настройки!Q11</f>
        <v>0</v>
      </c>
      <c r="AG11" s="380" t="str">
        <f>Настройки!R11</f>
        <v>IDIG_5_2</v>
      </c>
      <c r="AH11" s="380" t="str">
        <f>Настройки!S11</f>
        <v>IANS_5_4</v>
      </c>
      <c r="AI11" s="380" t="str">
        <f>Настройки!T11</f>
        <v>out9</v>
      </c>
      <c r="AJ11" s="380" t="str">
        <f>Настройки!U11</f>
        <v>out9</v>
      </c>
      <c r="AK11" s="380" t="str">
        <f>Настройки!V11</f>
        <v>ODIG_10</v>
      </c>
      <c r="AL11" s="380" t="str">
        <f>Настройки!W11</f>
        <v>-</v>
      </c>
      <c r="AM11" s="380" t="str">
        <f>Настройки!X11</f>
        <v>-</v>
      </c>
      <c r="AN11" s="380" t="str">
        <f>Настройки!Y11</f>
        <v>Canal_10</v>
      </c>
      <c r="AO11" s="380" t="str">
        <f>Настройки!Z11</f>
        <v>-</v>
      </c>
      <c r="AP11" s="380" t="str">
        <f>Настройки!AA11</f>
        <v>Canal_10</v>
      </c>
      <c r="AQ11" s="380" t="str">
        <f>Настройки!AB11</f>
        <v>Canal_10</v>
      </c>
      <c r="AR11" s="380" t="str">
        <f>Настройки!AC11</f>
        <v>OCCH[1]</v>
      </c>
      <c r="AS11" s="380" t="str">
        <f>Настройки!AD11</f>
        <v>OCCH[1]</v>
      </c>
      <c r="AT11" s="207" t="str">
        <f>Настройки!AB11</f>
        <v>Canal_10</v>
      </c>
      <c r="AU11" s="207" t="str">
        <f>Настройки!AC11</f>
        <v>OCCH[1]</v>
      </c>
      <c r="AV11" s="207" t="str">
        <f>Настройки!AD11</f>
        <v>OCCH[1]</v>
      </c>
      <c r="AW11" s="207" t="str">
        <f>Настройки!AE11</f>
        <v>IANS_5_2</v>
      </c>
      <c r="AX11" s="207" t="str">
        <f>Настройки!AF11</f>
        <v>IDIG_3_2</v>
      </c>
      <c r="AY11" s="207" t="str">
        <f>Настройки!AG11</f>
        <v>Canal_10</v>
      </c>
      <c r="AZ11" s="207" t="str">
        <f>Настройки!AH11</f>
        <v>Canal_10</v>
      </c>
      <c r="BA11" s="207" t="str">
        <f>Настройки!AI11</f>
        <v>Canal_10</v>
      </c>
      <c r="BB11" s="207" t="str">
        <f>Настройки!AJ11</f>
        <v>Canal_10</v>
      </c>
      <c r="BC11" s="207" t="str">
        <f>Настройки!AK11</f>
        <v>-</v>
      </c>
      <c r="BD11" s="207" t="str">
        <f>Настройки!AL11</f>
        <v>Canal_10</v>
      </c>
      <c r="BE11" s="207" t="str">
        <f>Настройки!AM11</f>
        <v>-</v>
      </c>
    </row>
    <row r="12" spans="1:57">
      <c r="A12" s="82"/>
      <c r="B12" s="82"/>
      <c r="C12" s="81"/>
      <c r="D12" s="81"/>
      <c r="E12" s="81"/>
      <c r="F12" s="81"/>
      <c r="G12" s="445"/>
      <c r="H12" s="445"/>
      <c r="I12" s="1"/>
      <c r="M12" s="424" t="str">
        <f>'Конфигурация TREI'!A13</f>
        <v>BR11</v>
      </c>
      <c r="N12" s="424" t="str">
        <f>'Конфигурация TREI'!B13</f>
        <v>M558D</v>
      </c>
      <c r="AE12" s="431">
        <f>Настройки!P12</f>
        <v>11</v>
      </c>
      <c r="AF12" s="380">
        <f>Настройки!Q12</f>
        <v>0</v>
      </c>
      <c r="AG12" s="380" t="str">
        <f>Настройки!R12</f>
        <v>IDIG_6_1</v>
      </c>
      <c r="AH12" s="380" t="str">
        <f>Настройки!S12</f>
        <v>IANS_6_3</v>
      </c>
      <c r="AI12" s="380" t="str">
        <f>Настройки!T12</f>
        <v>out10</v>
      </c>
      <c r="AJ12" s="380" t="str">
        <f>Настройки!U12</f>
        <v>out10</v>
      </c>
      <c r="AK12" s="380" t="str">
        <f>Настройки!V12</f>
        <v>ODIG_11</v>
      </c>
      <c r="AL12" s="380" t="str">
        <f>Настройки!W12</f>
        <v>-</v>
      </c>
      <c r="AM12" s="380" t="str">
        <f>Настройки!X12</f>
        <v>-</v>
      </c>
      <c r="AN12" s="380" t="str">
        <f>Настройки!Y12</f>
        <v>Canal_11</v>
      </c>
      <c r="AO12" s="380" t="str">
        <f>Настройки!Z12</f>
        <v>-</v>
      </c>
      <c r="AP12" s="380" t="str">
        <f>Настройки!AA12</f>
        <v>Canal_11</v>
      </c>
      <c r="AQ12" s="380" t="str">
        <f>Настройки!AB12</f>
        <v>Canal_11</v>
      </c>
      <c r="AR12" s="380" t="str">
        <f>Настройки!AC12</f>
        <v>OCCH[2]</v>
      </c>
      <c r="AS12" s="380" t="str">
        <f>Настройки!AD12</f>
        <v>OCCH[2]</v>
      </c>
      <c r="AT12" s="207" t="str">
        <f>Настройки!AB12</f>
        <v>Canal_11</v>
      </c>
      <c r="AU12" s="207" t="str">
        <f>Настройки!AC12</f>
        <v>OCCH[2]</v>
      </c>
      <c r="AV12" s="207" t="str">
        <f>Настройки!AD12</f>
        <v>OCCH[2]</v>
      </c>
      <c r="AW12" s="207" t="str">
        <f>Настройки!AE12</f>
        <v>IANS_6_1</v>
      </c>
      <c r="AX12" s="207" t="str">
        <f>Настройки!AF12</f>
        <v>IDIG_3_3</v>
      </c>
      <c r="AY12" s="207" t="str">
        <f>Настройки!AG12</f>
        <v>Canal_11</v>
      </c>
      <c r="AZ12" s="207" t="str">
        <f>Настройки!AH12</f>
        <v>Canal_11</v>
      </c>
      <c r="BA12" s="207" t="str">
        <f>Настройки!AI12</f>
        <v>Canal_11</v>
      </c>
      <c r="BB12" s="207" t="str">
        <f>Настройки!AJ12</f>
        <v>Canal_11</v>
      </c>
      <c r="BC12" s="207" t="str">
        <f>Настройки!AK12</f>
        <v>-</v>
      </c>
      <c r="BD12" s="207" t="str">
        <f>Настройки!AL12</f>
        <v>Canal_11</v>
      </c>
      <c r="BE12" s="207" t="str">
        <f>Настройки!AM12</f>
        <v>-</v>
      </c>
    </row>
    <row r="13" spans="1:57">
      <c r="A13" s="82"/>
      <c r="B13" s="82"/>
      <c r="C13" s="81"/>
      <c r="D13" s="81"/>
      <c r="E13" s="81"/>
      <c r="F13" s="81"/>
      <c r="G13" s="445"/>
      <c r="H13" s="445"/>
      <c r="I13" s="1"/>
      <c r="M13" s="424" t="str">
        <f>'Конфигурация TREI'!A14</f>
        <v>BR12</v>
      </c>
      <c r="N13" s="424" t="str">
        <f>'Конфигурация TREI'!B14</f>
        <v>M558D</v>
      </c>
      <c r="AE13" s="431">
        <f>Настройки!P13</f>
        <v>12</v>
      </c>
      <c r="AF13" s="380">
        <f>Настройки!Q13</f>
        <v>0</v>
      </c>
      <c r="AG13" s="380" t="str">
        <f>Настройки!R13</f>
        <v>IDIG_6_2</v>
      </c>
      <c r="AH13" s="380" t="str">
        <f>Настройки!S13</f>
        <v>IANS_6_4</v>
      </c>
      <c r="AI13" s="380" t="str">
        <f>Настройки!T13</f>
        <v>out11</v>
      </c>
      <c r="AJ13" s="380" t="str">
        <f>Настройки!U13</f>
        <v>out11</v>
      </c>
      <c r="AK13" s="380" t="str">
        <f>Настройки!V13</f>
        <v>ODIG_12</v>
      </c>
      <c r="AL13" s="380" t="str">
        <f>Настройки!W13</f>
        <v>-</v>
      </c>
      <c r="AM13" s="380" t="str">
        <f>Настройки!X13</f>
        <v>-</v>
      </c>
      <c r="AN13" s="380" t="str">
        <f>Настройки!Y13</f>
        <v>Canal_12</v>
      </c>
      <c r="AO13" s="380" t="str">
        <f>Настройки!Z13</f>
        <v>-</v>
      </c>
      <c r="AP13" s="380" t="str">
        <f>Настройки!AA13</f>
        <v>Canal_12</v>
      </c>
      <c r="AQ13" s="380" t="str">
        <f>Настройки!AB13</f>
        <v>Canal_12</v>
      </c>
      <c r="AR13" s="380" t="str">
        <f>Настройки!AC13</f>
        <v>OCCH[3]</v>
      </c>
      <c r="AS13" s="380" t="str">
        <f>Настройки!AD13</f>
        <v>OCCH[3]</v>
      </c>
      <c r="AT13" s="207" t="str">
        <f>Настройки!AB13</f>
        <v>Canal_12</v>
      </c>
      <c r="AU13" s="207" t="str">
        <f>Настройки!AC13</f>
        <v>OCCH[3]</v>
      </c>
      <c r="AV13" s="207" t="str">
        <f>Настройки!AD13</f>
        <v>OCCH[3]</v>
      </c>
      <c r="AW13" s="207" t="str">
        <f>Настройки!AE13</f>
        <v>IANS_6_2</v>
      </c>
      <c r="AX13" s="207" t="str">
        <f>Настройки!AF13</f>
        <v>IDIG_3_4</v>
      </c>
      <c r="AY13" s="207" t="str">
        <f>Настройки!AG13</f>
        <v>Canal_12</v>
      </c>
      <c r="AZ13" s="207" t="str">
        <f>Настройки!AH13</f>
        <v>Canal_12</v>
      </c>
      <c r="BA13" s="207" t="str">
        <f>Настройки!AI13</f>
        <v>Canal_12</v>
      </c>
      <c r="BB13" s="207" t="str">
        <f>Настройки!AJ13</f>
        <v>Canal_12</v>
      </c>
      <c r="BC13" s="207" t="str">
        <f>Настройки!AK13</f>
        <v>-</v>
      </c>
      <c r="BD13" s="207" t="str">
        <f>Настройки!AL13</f>
        <v>Canal_12</v>
      </c>
      <c r="BE13" s="207" t="str">
        <f>Настройки!AM13</f>
        <v>-</v>
      </c>
    </row>
    <row r="14" spans="1:57">
      <c r="A14" s="82"/>
      <c r="B14" s="82"/>
      <c r="C14" s="81"/>
      <c r="D14" s="81"/>
      <c r="E14" s="81"/>
      <c r="F14" s="81"/>
      <c r="G14" s="445"/>
      <c r="H14" s="447"/>
      <c r="I14" s="1"/>
      <c r="M14" s="424" t="str">
        <f>'Конфигурация TREI'!A15</f>
        <v>BR13</v>
      </c>
      <c r="N14" s="424" t="str">
        <f>'Конфигурация TREI'!B15</f>
        <v>M558D</v>
      </c>
      <c r="AE14" s="431">
        <f>Настройки!P14</f>
        <v>13</v>
      </c>
      <c r="AF14" s="380">
        <f>Настройки!Q14</f>
        <v>0</v>
      </c>
      <c r="AG14" s="380" t="str">
        <f>Настройки!R14</f>
        <v>IDIG_7_1</v>
      </c>
      <c r="AH14" s="380" t="str">
        <f>Настройки!S14</f>
        <v>IANS_7_3</v>
      </c>
      <c r="AI14" s="380" t="str">
        <f>Настройки!T14</f>
        <v>out12</v>
      </c>
      <c r="AJ14" s="380" t="str">
        <f>Настройки!U14</f>
        <v>out12</v>
      </c>
      <c r="AK14" s="380" t="str">
        <f>Настройки!V14</f>
        <v>ODIG_13</v>
      </c>
      <c r="AL14" s="380" t="str">
        <f>Настройки!W14</f>
        <v>-</v>
      </c>
      <c r="AM14" s="380" t="str">
        <f>Настройки!X14</f>
        <v>-</v>
      </c>
      <c r="AN14" s="380" t="str">
        <f>Настройки!Y14</f>
        <v>Canal_13</v>
      </c>
      <c r="AO14" s="380" t="str">
        <f>Настройки!Z14</f>
        <v>-</v>
      </c>
      <c r="AP14" s="380" t="str">
        <f>Настройки!AA14</f>
        <v>Canal_13</v>
      </c>
      <c r="AQ14" s="380" t="str">
        <f>Настройки!AB14</f>
        <v>Canal_13</v>
      </c>
      <c r="AR14" s="380" t="str">
        <f>Настройки!AC14</f>
        <v>OCCH[4]</v>
      </c>
      <c r="AS14" s="380" t="str">
        <f>Настройки!AD14</f>
        <v>OCCH[4]</v>
      </c>
      <c r="AT14" s="207" t="str">
        <f>Настройки!AB14</f>
        <v>Canal_13</v>
      </c>
      <c r="AU14" s="207" t="str">
        <f>Настройки!AC14</f>
        <v>OCCH[4]</v>
      </c>
      <c r="AV14" s="207" t="str">
        <f>Настройки!AD14</f>
        <v>OCCH[4]</v>
      </c>
      <c r="AW14" s="207" t="str">
        <f>Настройки!AE14</f>
        <v>IANS_7_1</v>
      </c>
      <c r="AX14" s="207" t="str">
        <f>Настройки!AF14</f>
        <v>IDIG_4_1</v>
      </c>
      <c r="AY14" s="207" t="str">
        <f>Настройки!AG14</f>
        <v>Canal_13</v>
      </c>
      <c r="AZ14" s="207" t="str">
        <f>Настройки!AH14</f>
        <v>Canal_13</v>
      </c>
      <c r="BA14" s="207" t="str">
        <f>Настройки!AI14</f>
        <v>Canal_13</v>
      </c>
      <c r="BB14" s="207" t="str">
        <f>Настройки!AJ14</f>
        <v>Canal_13</v>
      </c>
      <c r="BC14" s="207" t="str">
        <f>Настройки!AK14</f>
        <v>-</v>
      </c>
      <c r="BD14" s="207" t="str">
        <f>Настройки!AL14</f>
        <v>Canal_13</v>
      </c>
      <c r="BE14" s="207" t="str">
        <f>Настройки!AM14</f>
        <v>-</v>
      </c>
    </row>
    <row r="15" spans="1:57">
      <c r="A15" s="82"/>
      <c r="B15" s="82"/>
      <c r="C15" s="81"/>
      <c r="D15" s="81"/>
      <c r="E15" s="81"/>
      <c r="F15" s="81"/>
      <c r="G15" s="445"/>
      <c r="H15" s="447"/>
      <c r="I15" s="1"/>
      <c r="M15" s="424" t="str">
        <f>'Конфигурация TREI'!A16</f>
        <v>BR14</v>
      </c>
      <c r="N15" s="424" t="str">
        <f>'Конфигурация TREI'!B16</f>
        <v>M558D</v>
      </c>
      <c r="AE15" s="431">
        <f>Настройки!P15</f>
        <v>14</v>
      </c>
      <c r="AF15" s="380">
        <f>Настройки!Q15</f>
        <v>0</v>
      </c>
      <c r="AG15" s="380" t="str">
        <f>Настройки!R15</f>
        <v>IDIG_7_2</v>
      </c>
      <c r="AH15" s="380" t="str">
        <f>Настройки!S15</f>
        <v>IANS_7_4</v>
      </c>
      <c r="AI15" s="380" t="str">
        <f>Настройки!T15</f>
        <v>out13</v>
      </c>
      <c r="AJ15" s="380" t="str">
        <f>Настройки!U15</f>
        <v>out13</v>
      </c>
      <c r="AK15" s="380" t="str">
        <f>Настройки!V15</f>
        <v>ODIG_14</v>
      </c>
      <c r="AL15" s="380" t="str">
        <f>Настройки!W15</f>
        <v>-</v>
      </c>
      <c r="AM15" s="380" t="str">
        <f>Настройки!X15</f>
        <v>-</v>
      </c>
      <c r="AN15" s="380" t="str">
        <f>Настройки!Y15</f>
        <v>Canal_14</v>
      </c>
      <c r="AO15" s="380" t="str">
        <f>Настройки!Z15</f>
        <v>-</v>
      </c>
      <c r="AP15" s="380" t="str">
        <f>Настройки!AA15</f>
        <v>Canal_14</v>
      </c>
      <c r="AQ15" s="380" t="str">
        <f>Настройки!AB15</f>
        <v>Canal_14</v>
      </c>
      <c r="AR15" s="380" t="str">
        <f>Настройки!AC15</f>
        <v>OCCH[5]</v>
      </c>
      <c r="AS15" s="380" t="str">
        <f>Настройки!AD15</f>
        <v>OCCH[5]</v>
      </c>
      <c r="AT15" s="207" t="str">
        <f>Настройки!AB15</f>
        <v>Canal_14</v>
      </c>
      <c r="AU15" s="207" t="str">
        <f>Настройки!AC15</f>
        <v>OCCH[5]</v>
      </c>
      <c r="AV15" s="207" t="str">
        <f>Настройки!AD15</f>
        <v>OCCH[5]</v>
      </c>
      <c r="AW15" s="207" t="str">
        <f>Настройки!AE15</f>
        <v>IANS_7_2</v>
      </c>
      <c r="AX15" s="207" t="str">
        <f>Настройки!AF15</f>
        <v>IDIG_4_2</v>
      </c>
      <c r="AY15" s="207" t="str">
        <f>Настройки!AG15</f>
        <v>Canal_14</v>
      </c>
      <c r="AZ15" s="207" t="str">
        <f>Настройки!AH15</f>
        <v>Canal_14</v>
      </c>
      <c r="BA15" s="207" t="str">
        <f>Настройки!AI15</f>
        <v>Canal_14</v>
      </c>
      <c r="BB15" s="207" t="str">
        <f>Настройки!AJ15</f>
        <v>Canal_14</v>
      </c>
      <c r="BC15" s="207" t="str">
        <f>Настройки!AK15</f>
        <v>-</v>
      </c>
      <c r="BD15" s="207" t="str">
        <f>Настройки!AL15</f>
        <v>Canal_14</v>
      </c>
      <c r="BE15" s="207" t="str">
        <f>Настройки!AM15</f>
        <v>-</v>
      </c>
    </row>
    <row r="16" spans="1:57">
      <c r="A16" s="82"/>
      <c r="B16" s="82"/>
      <c r="C16" s="81"/>
      <c r="D16" s="81"/>
      <c r="E16" s="81"/>
      <c r="F16" s="81"/>
      <c r="G16" s="445"/>
      <c r="H16" s="447"/>
      <c r="I16" s="1"/>
      <c r="M16" s="424" t="str">
        <f>'Конфигурация TREI'!A17</f>
        <v>BR15</v>
      </c>
      <c r="N16" s="424" t="str">
        <f>'Конфигурация TREI'!B17</f>
        <v>M558O</v>
      </c>
      <c r="AE16" s="431">
        <f>Настройки!P16</f>
        <v>15</v>
      </c>
      <c r="AF16" s="380">
        <f>Настройки!Q16</f>
        <v>0</v>
      </c>
      <c r="AG16" s="380" t="str">
        <f>Настройки!R16</f>
        <v>IDIG_8_1</v>
      </c>
      <c r="AH16" s="380" t="str">
        <f>Настройки!S16</f>
        <v>IANS_8_3</v>
      </c>
      <c r="AI16" s="380" t="str">
        <f>Настройки!T16</f>
        <v>out14</v>
      </c>
      <c r="AJ16" s="380" t="str">
        <f>Настройки!U16</f>
        <v>out14</v>
      </c>
      <c r="AK16" s="380" t="str">
        <f>Настройки!V16</f>
        <v>ODIG_15</v>
      </c>
      <c r="AL16" s="380" t="str">
        <f>Настройки!W16</f>
        <v>-</v>
      </c>
      <c r="AM16" s="380" t="str">
        <f>Настройки!X16</f>
        <v>-</v>
      </c>
      <c r="AN16" s="380" t="str">
        <f>Настройки!Y16</f>
        <v>Canal_15</v>
      </c>
      <c r="AO16" s="380" t="str">
        <f>Настройки!Z16</f>
        <v>-</v>
      </c>
      <c r="AP16" s="380" t="str">
        <f>Настройки!AA16</f>
        <v>Canal_15</v>
      </c>
      <c r="AQ16" s="380" t="str">
        <f>Настройки!AB16</f>
        <v>Canal_15</v>
      </c>
      <c r="AR16" s="380" t="str">
        <f>Настройки!AC16</f>
        <v>OCCH[6]</v>
      </c>
      <c r="AS16" s="380" t="str">
        <f>Настройки!AD16</f>
        <v>OCCH[6]</v>
      </c>
      <c r="AT16" s="207" t="str">
        <f>Настройки!AB16</f>
        <v>Canal_15</v>
      </c>
      <c r="AU16" s="207" t="str">
        <f>Настройки!AC16</f>
        <v>OCCH[6]</v>
      </c>
      <c r="AV16" s="207" t="str">
        <f>Настройки!AD16</f>
        <v>OCCH[6]</v>
      </c>
      <c r="AW16" s="207" t="str">
        <f>Настройки!AE16</f>
        <v>IANS_8_1</v>
      </c>
      <c r="AX16" s="207" t="str">
        <f>Настройки!AF16</f>
        <v>IDIG_4_3</v>
      </c>
      <c r="AY16" s="207" t="str">
        <f>Настройки!AG16</f>
        <v>Canal_15</v>
      </c>
      <c r="AZ16" s="207" t="str">
        <f>Настройки!AH16</f>
        <v>Canal_15</v>
      </c>
      <c r="BA16" s="207" t="str">
        <f>Настройки!AI16</f>
        <v>Canal_15</v>
      </c>
      <c r="BB16" s="207" t="str">
        <f>Настройки!AJ16</f>
        <v>Canal_15</v>
      </c>
      <c r="BC16" s="207" t="str">
        <f>Настройки!AK16</f>
        <v>-</v>
      </c>
      <c r="BD16" s="207" t="str">
        <f>Настройки!AL16</f>
        <v>Canal_15</v>
      </c>
      <c r="BE16" s="207" t="str">
        <f>Настройки!AM16</f>
        <v>-</v>
      </c>
    </row>
    <row r="17" spans="1:57">
      <c r="A17" s="82"/>
      <c r="B17" s="82"/>
      <c r="C17" s="81"/>
      <c r="D17" s="81"/>
      <c r="E17" s="81"/>
      <c r="F17" s="81"/>
      <c r="G17" s="445"/>
      <c r="H17" s="447"/>
      <c r="I17" s="1"/>
      <c r="M17" s="424" t="str">
        <f>'Конфигурация TREI'!A18</f>
        <v>BR16</v>
      </c>
      <c r="N17" s="424" t="str">
        <f>'Конфигурация TREI'!B18</f>
        <v>M558O</v>
      </c>
      <c r="AE17" s="431">
        <f>Настройки!P17</f>
        <v>16</v>
      </c>
      <c r="AF17" s="380">
        <f>Настройки!Q17</f>
        <v>0</v>
      </c>
      <c r="AG17" s="380" t="str">
        <f>Настройки!R17</f>
        <v>IDIG_8_2</v>
      </c>
      <c r="AH17" s="380" t="str">
        <f>Настройки!S17</f>
        <v>IANS_8_4</v>
      </c>
      <c r="AI17" s="380" t="str">
        <f>Настройки!T17</f>
        <v>out15</v>
      </c>
      <c r="AJ17" s="380" t="str">
        <f>Настройки!U17</f>
        <v>out15</v>
      </c>
      <c r="AK17" s="380" t="str">
        <f>Настройки!V17</f>
        <v>ODIG_16</v>
      </c>
      <c r="AL17" s="380" t="str">
        <f>Настройки!W17</f>
        <v>-</v>
      </c>
      <c r="AM17" s="380" t="str">
        <f>Настройки!X17</f>
        <v>-</v>
      </c>
      <c r="AN17" s="380" t="str">
        <f>Настройки!Y17</f>
        <v>Canal_16</v>
      </c>
      <c r="AO17" s="380" t="str">
        <f>Настройки!Z17</f>
        <v>-</v>
      </c>
      <c r="AP17" s="380" t="str">
        <f>Настройки!AA17</f>
        <v>Canal_16</v>
      </c>
      <c r="AQ17" s="380" t="str">
        <f>Настройки!AB17</f>
        <v>Canal_16</v>
      </c>
      <c r="AR17" s="380" t="str">
        <f>Настройки!AC17</f>
        <v>OCCH[7]</v>
      </c>
      <c r="AS17" s="380" t="str">
        <f>Настройки!AD17</f>
        <v>OCCH[7]</v>
      </c>
      <c r="AT17" s="207" t="str">
        <f>Настройки!AB17</f>
        <v>Canal_16</v>
      </c>
      <c r="AU17" s="207" t="str">
        <f>Настройки!AC17</f>
        <v>OCCH[7]</v>
      </c>
      <c r="AV17" s="207" t="str">
        <f>Настройки!AD17</f>
        <v>OCCH[7]</v>
      </c>
      <c r="AW17" s="207" t="str">
        <f>Настройки!AE17</f>
        <v>IANS_8_2</v>
      </c>
      <c r="AX17" s="207" t="str">
        <f>Настройки!AF17</f>
        <v>IDIG_4_4</v>
      </c>
      <c r="AY17" s="207" t="str">
        <f>Настройки!AG17</f>
        <v>Canal_16</v>
      </c>
      <c r="AZ17" s="207" t="str">
        <f>Настройки!AH17</f>
        <v>Canal_16</v>
      </c>
      <c r="BA17" s="207" t="str">
        <f>Настройки!AI17</f>
        <v>Canal_16</v>
      </c>
      <c r="BB17" s="207" t="str">
        <f>Настройки!AJ17</f>
        <v>Canal_16</v>
      </c>
      <c r="BC17" s="207" t="str">
        <f>Настройки!AK17</f>
        <v>-</v>
      </c>
      <c r="BD17" s="207" t="str">
        <f>Настройки!AL17</f>
        <v>Canal_16</v>
      </c>
      <c r="BE17" s="207" t="str">
        <f>Настройки!AM17</f>
        <v>-</v>
      </c>
    </row>
    <row r="18" spans="1:57">
      <c r="A18" s="82"/>
      <c r="B18" s="82"/>
      <c r="C18" s="81"/>
      <c r="D18" s="81"/>
      <c r="E18" s="81"/>
      <c r="F18" s="81"/>
      <c r="G18" s="445"/>
      <c r="H18" s="447"/>
      <c r="I18" s="1"/>
      <c r="M18" s="424" t="str">
        <f>'Конфигурация TREI'!A19</f>
        <v>BR17</v>
      </c>
      <c r="N18" s="424" t="str">
        <f>'Конфигурация TREI'!B19</f>
        <v>M558O</v>
      </c>
      <c r="AE18" s="428">
        <f>Настройки!P18</f>
        <v>17</v>
      </c>
      <c r="AF18" s="380">
        <f>Настройки!Q18</f>
        <v>0</v>
      </c>
      <c r="AG18" s="380" t="str">
        <f>Настройки!R18</f>
        <v>-</v>
      </c>
      <c r="AH18" s="380" t="str">
        <f>Настройки!S18</f>
        <v>-</v>
      </c>
      <c r="AI18" s="380" t="str">
        <f>Настройки!T18</f>
        <v>out16</v>
      </c>
      <c r="AJ18" s="380" t="str">
        <f>Настройки!U18</f>
        <v>out16</v>
      </c>
      <c r="AK18" s="380" t="str">
        <f>Настройки!V18</f>
        <v>-</v>
      </c>
      <c r="AL18" s="380" t="str">
        <f>Настройки!W18</f>
        <v>-</v>
      </c>
      <c r="AM18" s="380" t="str">
        <f>Настройки!X18</f>
        <v>-</v>
      </c>
      <c r="AN18" s="380" t="str">
        <f>Настройки!Y18</f>
        <v>-</v>
      </c>
      <c r="AO18" s="380" t="str">
        <f>Настройки!Z18</f>
        <v>-</v>
      </c>
      <c r="AP18" s="380" t="str">
        <f>Настройки!AA18</f>
        <v>Canal_17</v>
      </c>
      <c r="AQ18" s="380" t="str">
        <f>Настройки!AB18</f>
        <v>Canal_17</v>
      </c>
      <c r="AR18" s="380" t="str">
        <f>Настройки!AC18</f>
        <v>-</v>
      </c>
      <c r="AS18" s="380" t="str">
        <f>Настройки!AD18</f>
        <v>-</v>
      </c>
      <c r="AT18" s="207" t="str">
        <f>Настройки!AB18</f>
        <v>Canal_17</v>
      </c>
      <c r="AU18" s="207" t="str">
        <f>Настройки!AC18</f>
        <v>-</v>
      </c>
      <c r="AV18" s="207" t="str">
        <f>Настройки!AD18</f>
        <v>-</v>
      </c>
      <c r="AW18" s="207" t="str">
        <f>Настройки!AE18</f>
        <v>-</v>
      </c>
      <c r="AX18" s="207" t="str">
        <f>Настройки!AF18</f>
        <v>IDIG_5_1</v>
      </c>
      <c r="AY18" s="207" t="str">
        <f>Настройки!AG18</f>
        <v>Canal_17</v>
      </c>
      <c r="AZ18" s="207" t="str">
        <f>Настройки!AH18</f>
        <v>Canal_17</v>
      </c>
      <c r="BA18" s="207" t="str">
        <f>Настройки!AI18</f>
        <v>Canal_17</v>
      </c>
      <c r="BB18" s="207" t="str">
        <f>Настройки!AJ18</f>
        <v>-</v>
      </c>
      <c r="BC18" s="207" t="str">
        <f>Настройки!AK18</f>
        <v>-</v>
      </c>
      <c r="BD18" s="207" t="str">
        <f>Настройки!AL18</f>
        <v>Canal_17</v>
      </c>
      <c r="BE18" s="207" t="str">
        <f>Настройки!AM18</f>
        <v>-</v>
      </c>
    </row>
    <row r="19" spans="1:57">
      <c r="A19" s="82"/>
      <c r="B19" s="82"/>
      <c r="C19" s="81"/>
      <c r="D19" s="81"/>
      <c r="E19" s="81"/>
      <c r="F19" s="81"/>
      <c r="G19" s="445"/>
      <c r="H19" s="447"/>
      <c r="I19" s="1"/>
      <c r="M19" s="424" t="str">
        <f>'Конфигурация TREI'!A20</f>
        <v>BR18</v>
      </c>
      <c r="N19" s="424" t="str">
        <f>'Конфигурация TREI'!B20</f>
        <v>M558O</v>
      </c>
      <c r="AE19" s="428">
        <f>Настройки!P19</f>
        <v>18</v>
      </c>
      <c r="AF19" s="380">
        <f>Настройки!Q19</f>
        <v>0</v>
      </c>
      <c r="AG19" s="380" t="str">
        <f>Настройки!R19</f>
        <v>-</v>
      </c>
      <c r="AH19" s="380" t="str">
        <f>Настройки!S19</f>
        <v>-</v>
      </c>
      <c r="AI19" s="380" t="str">
        <f>Настройки!T19</f>
        <v>out17</v>
      </c>
      <c r="AJ19" s="380" t="str">
        <f>Настройки!U19</f>
        <v>out17</v>
      </c>
      <c r="AK19" s="380" t="str">
        <f>Настройки!V19</f>
        <v>-</v>
      </c>
      <c r="AL19" s="380" t="str">
        <f>Настройки!W19</f>
        <v>-</v>
      </c>
      <c r="AM19" s="380" t="str">
        <f>Настройки!X19</f>
        <v>-</v>
      </c>
      <c r="AN19" s="380" t="str">
        <f>Настройки!Y19</f>
        <v>-</v>
      </c>
      <c r="AO19" s="380" t="str">
        <f>Настройки!Z19</f>
        <v>-</v>
      </c>
      <c r="AP19" s="380" t="str">
        <f>Настройки!AA19</f>
        <v>Canal_18</v>
      </c>
      <c r="AQ19" s="380" t="str">
        <f>Настройки!AB19</f>
        <v>Canal_18</v>
      </c>
      <c r="AR19" s="380" t="str">
        <f>Настройки!AC19</f>
        <v>-</v>
      </c>
      <c r="AS19" s="380" t="str">
        <f>Настройки!AD19</f>
        <v>-</v>
      </c>
      <c r="AT19" s="207" t="str">
        <f>Настройки!AB19</f>
        <v>Canal_18</v>
      </c>
      <c r="AU19" s="207" t="str">
        <f>Настройки!AC19</f>
        <v>-</v>
      </c>
      <c r="AV19" s="207" t="str">
        <f>Настройки!AD19</f>
        <v>-</v>
      </c>
      <c r="AW19" s="207" t="str">
        <f>Настройки!AE19</f>
        <v>-</v>
      </c>
      <c r="AX19" s="207" t="str">
        <f>Настройки!AF19</f>
        <v>IDIG_5_2</v>
      </c>
      <c r="AY19" s="207" t="str">
        <f>Настройки!AG19</f>
        <v>Canal_18</v>
      </c>
      <c r="AZ19" s="207" t="str">
        <f>Настройки!AH19</f>
        <v>Canal_18</v>
      </c>
      <c r="BA19" s="207" t="str">
        <f>Настройки!AI19</f>
        <v>Canal_18</v>
      </c>
      <c r="BB19" s="207" t="str">
        <f>Настройки!AJ19</f>
        <v>-</v>
      </c>
      <c r="BC19" s="207" t="str">
        <f>Настройки!AK19</f>
        <v>-</v>
      </c>
      <c r="BD19" s="207" t="str">
        <f>Настройки!AL19</f>
        <v>Canal_18</v>
      </c>
      <c r="BE19" s="207" t="str">
        <f>Настройки!AM19</f>
        <v>-</v>
      </c>
    </row>
    <row r="20" spans="1:57">
      <c r="A20" s="82"/>
      <c r="B20" s="82"/>
      <c r="C20" s="81"/>
      <c r="D20" s="81"/>
      <c r="E20" s="81"/>
      <c r="F20" s="81"/>
      <c r="G20" s="445"/>
      <c r="H20" s="447"/>
      <c r="I20" s="1"/>
      <c r="M20" s="424" t="str">
        <f>'Конфигурация TREI'!A21</f>
        <v>BR19</v>
      </c>
      <c r="N20" s="424" t="str">
        <f>'Конфигурация TREI'!B21</f>
        <v>M558O</v>
      </c>
      <c r="AE20" s="428">
        <f>Настройки!P20</f>
        <v>19</v>
      </c>
      <c r="AF20" s="380">
        <f>Настройки!Q20</f>
        <v>0</v>
      </c>
      <c r="AG20" s="380" t="str">
        <f>Настройки!R20</f>
        <v>-</v>
      </c>
      <c r="AH20" s="380" t="str">
        <f>Настройки!S20</f>
        <v>-</v>
      </c>
      <c r="AI20" s="380" t="str">
        <f>Настройки!T20</f>
        <v>out18</v>
      </c>
      <c r="AJ20" s="380" t="str">
        <f>Настройки!U20</f>
        <v>out18</v>
      </c>
      <c r="AK20" s="380" t="str">
        <f>Настройки!V20</f>
        <v>-</v>
      </c>
      <c r="AL20" s="380" t="str">
        <f>Настройки!W20</f>
        <v>-</v>
      </c>
      <c r="AM20" s="380" t="str">
        <f>Настройки!X20</f>
        <v>-</v>
      </c>
      <c r="AN20" s="380" t="str">
        <f>Настройки!Y20</f>
        <v>-</v>
      </c>
      <c r="AO20" s="380" t="str">
        <f>Настройки!Z20</f>
        <v>-</v>
      </c>
      <c r="AP20" s="380" t="str">
        <f>Настройки!AA20</f>
        <v>Canal_19</v>
      </c>
      <c r="AQ20" s="380" t="str">
        <f>Настройки!AB20</f>
        <v>Canal_19</v>
      </c>
      <c r="AR20" s="380" t="str">
        <f>Настройки!AC20</f>
        <v>-</v>
      </c>
      <c r="AS20" s="380" t="str">
        <f>Настройки!AD20</f>
        <v>-</v>
      </c>
      <c r="AT20" s="207" t="str">
        <f>Настройки!AB20</f>
        <v>Canal_19</v>
      </c>
      <c r="AU20" s="207" t="str">
        <f>Настройки!AC20</f>
        <v>-</v>
      </c>
      <c r="AV20" s="207" t="str">
        <f>Настройки!AD20</f>
        <v>-</v>
      </c>
      <c r="AW20" s="207" t="str">
        <f>Настройки!AE20</f>
        <v>-</v>
      </c>
      <c r="AX20" s="207" t="str">
        <f>Настройки!AF20</f>
        <v>IDIG_5_3</v>
      </c>
      <c r="AY20" s="207" t="str">
        <f>Настройки!AG20</f>
        <v>Canal_19</v>
      </c>
      <c r="AZ20" s="207" t="str">
        <f>Настройки!AH20</f>
        <v>Canal_19</v>
      </c>
      <c r="BA20" s="207" t="str">
        <f>Настройки!AI20</f>
        <v>Canal_19</v>
      </c>
      <c r="BB20" s="207" t="str">
        <f>Настройки!AJ20</f>
        <v>-</v>
      </c>
      <c r="BC20" s="207" t="str">
        <f>Настройки!AK20</f>
        <v>-</v>
      </c>
      <c r="BD20" s="207" t="str">
        <f>Настройки!AL20</f>
        <v>Canal_19</v>
      </c>
      <c r="BE20" s="207" t="str">
        <f>Настройки!AM20</f>
        <v>-</v>
      </c>
    </row>
    <row r="21" spans="1:57">
      <c r="A21" s="82"/>
      <c r="B21" s="82"/>
      <c r="C21" s="81"/>
      <c r="D21" s="81"/>
      <c r="E21" s="81"/>
      <c r="F21" s="81"/>
      <c r="G21" s="445"/>
      <c r="H21" s="447"/>
      <c r="I21" s="1"/>
      <c r="M21" s="424" t="str">
        <f>'Конфигурация TREI'!A22</f>
        <v>BR20</v>
      </c>
      <c r="N21" s="424" t="str">
        <f>'Конфигурация TREI'!B22</f>
        <v>M558D</v>
      </c>
      <c r="AE21" s="428">
        <f>Настройки!P21</f>
        <v>20</v>
      </c>
      <c r="AF21" s="380">
        <f>Настройки!Q21</f>
        <v>0</v>
      </c>
      <c r="AG21" s="380" t="str">
        <f>Настройки!R21</f>
        <v>-</v>
      </c>
      <c r="AH21" s="380" t="str">
        <f>Настройки!S21</f>
        <v>-</v>
      </c>
      <c r="AI21" s="380" t="str">
        <f>Настройки!T21</f>
        <v>out19</v>
      </c>
      <c r="AJ21" s="380" t="str">
        <f>Настройки!U21</f>
        <v>out19</v>
      </c>
      <c r="AK21" s="380" t="str">
        <f>Настройки!V21</f>
        <v>-</v>
      </c>
      <c r="AL21" s="380" t="str">
        <f>Настройки!W21</f>
        <v>-</v>
      </c>
      <c r="AM21" s="380" t="str">
        <f>Настройки!X21</f>
        <v>-</v>
      </c>
      <c r="AN21" s="380" t="str">
        <f>Настройки!Y21</f>
        <v>-</v>
      </c>
      <c r="AO21" s="380" t="str">
        <f>Настройки!Z21</f>
        <v>-</v>
      </c>
      <c r="AP21" s="380" t="str">
        <f>Настройки!AA21</f>
        <v>Canal_20</v>
      </c>
      <c r="AQ21" s="380" t="str">
        <f>Настройки!AB21</f>
        <v>Canal_20</v>
      </c>
      <c r="AR21" s="380" t="str">
        <f>Настройки!AC21</f>
        <v>-</v>
      </c>
      <c r="AS21" s="380" t="str">
        <f>Настройки!AD21</f>
        <v>-</v>
      </c>
      <c r="AT21" s="207" t="str">
        <f>Настройки!AB21</f>
        <v>Canal_20</v>
      </c>
      <c r="AU21" s="207" t="str">
        <f>Настройки!AC21</f>
        <v>-</v>
      </c>
      <c r="AV21" s="207" t="str">
        <f>Настройки!AD21</f>
        <v>-</v>
      </c>
      <c r="AW21" s="207" t="str">
        <f>Настройки!AE21</f>
        <v>-</v>
      </c>
      <c r="AX21" s="207" t="str">
        <f>Настройки!AF21</f>
        <v>IDIG_5_4</v>
      </c>
      <c r="AY21" s="207" t="str">
        <f>Настройки!AG21</f>
        <v>Canal_20</v>
      </c>
      <c r="AZ21" s="207" t="str">
        <f>Настройки!AH21</f>
        <v>Canal_20</v>
      </c>
      <c r="BA21" s="207" t="str">
        <f>Настройки!AI21</f>
        <v>Canal_20</v>
      </c>
      <c r="BB21" s="207" t="str">
        <f>Настройки!AJ21</f>
        <v>-</v>
      </c>
      <c r="BC21" s="207" t="str">
        <f>Настройки!AK21</f>
        <v>-</v>
      </c>
      <c r="BD21" s="207" t="str">
        <f>Настройки!AL21</f>
        <v>Canal_20</v>
      </c>
      <c r="BE21" s="207" t="str">
        <f>Настройки!AM21</f>
        <v>-</v>
      </c>
    </row>
    <row r="22" spans="1:57">
      <c r="A22" s="82"/>
      <c r="B22" s="82"/>
      <c r="C22" s="81"/>
      <c r="D22" s="81"/>
      <c r="E22" s="81"/>
      <c r="F22" s="81"/>
      <c r="G22" s="445"/>
      <c r="H22" s="447"/>
      <c r="I22" s="1"/>
      <c r="M22" s="424" t="str">
        <f>'Конфигурация TREI'!A23</f>
        <v>BR21</v>
      </c>
      <c r="N22" s="424" t="str">
        <f>'Конфигурация TREI'!B23</f>
        <v>M558O</v>
      </c>
      <c r="AE22" s="428">
        <f>Настройки!P22</f>
        <v>21</v>
      </c>
      <c r="AF22" s="380">
        <f>Настройки!Q22</f>
        <v>0</v>
      </c>
      <c r="AG22" s="380" t="str">
        <f>Настройки!R22</f>
        <v>-</v>
      </c>
      <c r="AH22" s="380" t="str">
        <f>Настройки!S22</f>
        <v>-</v>
      </c>
      <c r="AI22" s="380" t="str">
        <f>Настройки!T22</f>
        <v>out20</v>
      </c>
      <c r="AJ22" s="380" t="str">
        <f>Настройки!U22</f>
        <v>out20</v>
      </c>
      <c r="AK22" s="380" t="str">
        <f>Настройки!V22</f>
        <v>-</v>
      </c>
      <c r="AL22" s="380" t="str">
        <f>Настройки!W22</f>
        <v>-</v>
      </c>
      <c r="AM22" s="380" t="str">
        <f>Настройки!X22</f>
        <v>-</v>
      </c>
      <c r="AN22" s="380" t="str">
        <f>Настройки!Y22</f>
        <v>-</v>
      </c>
      <c r="AO22" s="380" t="str">
        <f>Настройки!Z22</f>
        <v>-</v>
      </c>
      <c r="AP22" s="380" t="str">
        <f>Настройки!AA22</f>
        <v>Canal_21</v>
      </c>
      <c r="AQ22" s="380" t="str">
        <f>Настройки!AB22</f>
        <v>Canal_21</v>
      </c>
      <c r="AR22" s="380" t="str">
        <f>Настройки!AC22</f>
        <v>-</v>
      </c>
      <c r="AS22" s="380" t="str">
        <f>Настройки!AD22</f>
        <v>-</v>
      </c>
      <c r="AT22" s="207" t="str">
        <f>Настройки!AB22</f>
        <v>Canal_21</v>
      </c>
      <c r="AU22" s="207" t="str">
        <f>Настройки!AC22</f>
        <v>-</v>
      </c>
      <c r="AV22" s="207" t="str">
        <f>Настройки!AD22</f>
        <v>-</v>
      </c>
      <c r="AW22" s="207" t="str">
        <f>Настройки!AE22</f>
        <v>-</v>
      </c>
      <c r="AX22" s="207" t="str">
        <f>Настройки!AF22</f>
        <v>IDIG_6_1</v>
      </c>
      <c r="AY22" s="207" t="str">
        <f>Настройки!AG22</f>
        <v>Canal_21</v>
      </c>
      <c r="AZ22" s="207" t="str">
        <f>Настройки!AH22</f>
        <v>Canal_21</v>
      </c>
      <c r="BA22" s="207" t="str">
        <f>Настройки!AI22</f>
        <v>Canal_21</v>
      </c>
      <c r="BB22" s="207" t="str">
        <f>Настройки!AJ22</f>
        <v>-</v>
      </c>
      <c r="BC22" s="207" t="str">
        <f>Настройки!AK22</f>
        <v>-</v>
      </c>
      <c r="BD22" s="207" t="str">
        <f>Настройки!AL22</f>
        <v>Canal_21</v>
      </c>
      <c r="BE22" s="207" t="str">
        <f>Настройки!AM22</f>
        <v>-</v>
      </c>
    </row>
    <row r="23" spans="1:57">
      <c r="A23" s="82"/>
      <c r="B23" s="82"/>
      <c r="C23" s="81"/>
      <c r="D23" s="81"/>
      <c r="E23" s="81"/>
      <c r="F23" s="81"/>
      <c r="G23" s="445"/>
      <c r="H23" s="447"/>
      <c r="I23" s="1"/>
      <c r="M23" s="424" t="str">
        <f>'Конфигурация TREI'!A24</f>
        <v>BR22</v>
      </c>
      <c r="N23" s="424" t="str">
        <f>'Конфигурация TREI'!B24</f>
        <v>M558D</v>
      </c>
      <c r="AE23" s="428">
        <f>Настройки!P23</f>
        <v>22</v>
      </c>
      <c r="AF23" s="380">
        <f>Настройки!Q23</f>
        <v>0</v>
      </c>
      <c r="AG23" s="380" t="str">
        <f>Настройки!R23</f>
        <v>-</v>
      </c>
      <c r="AH23" s="380" t="str">
        <f>Настройки!S23</f>
        <v>-</v>
      </c>
      <c r="AI23" s="380" t="str">
        <f>Настройки!T23</f>
        <v>out21</v>
      </c>
      <c r="AJ23" s="380" t="str">
        <f>Настройки!U23</f>
        <v>out21</v>
      </c>
      <c r="AK23" s="380" t="str">
        <f>Настройки!V23</f>
        <v>-</v>
      </c>
      <c r="AL23" s="380" t="str">
        <f>Настройки!W23</f>
        <v>-</v>
      </c>
      <c r="AM23" s="380" t="str">
        <f>Настройки!X23</f>
        <v>-</v>
      </c>
      <c r="AN23" s="380" t="str">
        <f>Настройки!Y23</f>
        <v>-</v>
      </c>
      <c r="AO23" s="380" t="str">
        <f>Настройки!Z23</f>
        <v>-</v>
      </c>
      <c r="AP23" s="380" t="str">
        <f>Настройки!AA23</f>
        <v>Canal_22</v>
      </c>
      <c r="AQ23" s="380" t="str">
        <f>Настройки!AB23</f>
        <v>Canal_22</v>
      </c>
      <c r="AR23" s="380" t="str">
        <f>Настройки!AC23</f>
        <v>-</v>
      </c>
      <c r="AS23" s="380" t="str">
        <f>Настройки!AD23</f>
        <v>-</v>
      </c>
      <c r="AT23" s="207" t="str">
        <f>Настройки!AB23</f>
        <v>Canal_22</v>
      </c>
      <c r="AU23" s="207" t="str">
        <f>Настройки!AC23</f>
        <v>-</v>
      </c>
      <c r="AV23" s="207" t="str">
        <f>Настройки!AD23</f>
        <v>-</v>
      </c>
      <c r="AW23" s="207" t="str">
        <f>Настройки!AE23</f>
        <v>-</v>
      </c>
      <c r="AX23" s="207" t="str">
        <f>Настройки!AF23</f>
        <v>IDIG_6_2</v>
      </c>
      <c r="AY23" s="207" t="str">
        <f>Настройки!AG23</f>
        <v>Canal_22</v>
      </c>
      <c r="AZ23" s="207" t="str">
        <f>Настройки!AH23</f>
        <v>Canal_22</v>
      </c>
      <c r="BA23" s="207" t="str">
        <f>Настройки!AI23</f>
        <v>Canal_22</v>
      </c>
      <c r="BB23" s="207" t="str">
        <f>Настройки!AJ23</f>
        <v>-</v>
      </c>
      <c r="BC23" s="207" t="str">
        <f>Настройки!AK23</f>
        <v>-</v>
      </c>
      <c r="BD23" s="207" t="str">
        <f>Настройки!AL23</f>
        <v>Canal_22</v>
      </c>
      <c r="BE23" s="207" t="str">
        <f>Настройки!AM23</f>
        <v>-</v>
      </c>
    </row>
    <row r="24" spans="1:57">
      <c r="A24" s="82"/>
      <c r="B24" s="82"/>
      <c r="C24" s="81"/>
      <c r="D24" s="81"/>
      <c r="E24" s="81"/>
      <c r="F24" s="81"/>
      <c r="G24" s="445"/>
      <c r="H24" s="447"/>
      <c r="I24" s="1"/>
      <c r="M24" s="424" t="str">
        <f>'Конфигурация TREI'!A25</f>
        <v>BR23</v>
      </c>
      <c r="N24" s="424" t="str">
        <f>'Конфигурация TREI'!B25</f>
        <v>M558O</v>
      </c>
      <c r="AE24" s="428">
        <f>Настройки!P24</f>
        <v>23</v>
      </c>
      <c r="AF24" s="380">
        <f>Настройки!Q24</f>
        <v>0</v>
      </c>
      <c r="AG24" s="380" t="str">
        <f>Настройки!R24</f>
        <v>-</v>
      </c>
      <c r="AH24" s="380" t="str">
        <f>Настройки!S24</f>
        <v>-</v>
      </c>
      <c r="AI24" s="380" t="str">
        <f>Настройки!T24</f>
        <v>out22</v>
      </c>
      <c r="AJ24" s="380" t="str">
        <f>Настройки!U24</f>
        <v>out22</v>
      </c>
      <c r="AK24" s="380" t="str">
        <f>Настройки!V24</f>
        <v>-</v>
      </c>
      <c r="AL24" s="380" t="str">
        <f>Настройки!W24</f>
        <v>-</v>
      </c>
      <c r="AM24" s="380" t="str">
        <f>Настройки!X24</f>
        <v>-</v>
      </c>
      <c r="AN24" s="380" t="str">
        <f>Настройки!Y24</f>
        <v>-</v>
      </c>
      <c r="AO24" s="380" t="str">
        <f>Настройки!Z24</f>
        <v>-</v>
      </c>
      <c r="AP24" s="380" t="str">
        <f>Настройки!AA24</f>
        <v>Canal_23</v>
      </c>
      <c r="AQ24" s="380" t="str">
        <f>Настройки!AB24</f>
        <v>Canal_23</v>
      </c>
      <c r="AR24" s="380" t="str">
        <f>Настройки!AC24</f>
        <v>-</v>
      </c>
      <c r="AS24" s="380" t="str">
        <f>Настройки!AD24</f>
        <v>-</v>
      </c>
      <c r="AT24" s="207" t="str">
        <f>Настройки!AB24</f>
        <v>Canal_23</v>
      </c>
      <c r="AU24" s="207" t="str">
        <f>Настройки!AC24</f>
        <v>-</v>
      </c>
      <c r="AV24" s="207" t="str">
        <f>Настройки!AD24</f>
        <v>-</v>
      </c>
      <c r="AW24" s="207" t="str">
        <f>Настройки!AE24</f>
        <v>-</v>
      </c>
      <c r="AX24" s="207" t="str">
        <f>Настройки!AF24</f>
        <v>IDIG_6_3</v>
      </c>
      <c r="AY24" s="207" t="str">
        <f>Настройки!AG24</f>
        <v>Canal_23</v>
      </c>
      <c r="AZ24" s="207" t="str">
        <f>Настройки!AH24</f>
        <v>Canal_23</v>
      </c>
      <c r="BA24" s="207" t="str">
        <f>Настройки!AI24</f>
        <v>Canal_23</v>
      </c>
      <c r="BB24" s="207" t="str">
        <f>Настройки!AJ24</f>
        <v>-</v>
      </c>
      <c r="BC24" s="207" t="str">
        <f>Настройки!AK24</f>
        <v>-</v>
      </c>
      <c r="BD24" s="207" t="str">
        <f>Настройки!AL24</f>
        <v>Canal_23</v>
      </c>
      <c r="BE24" s="207" t="str">
        <f>Настройки!AM24</f>
        <v>-</v>
      </c>
    </row>
    <row r="25" spans="1:57">
      <c r="A25" s="82"/>
      <c r="B25" s="82"/>
      <c r="C25" s="81"/>
      <c r="D25" s="81"/>
      <c r="E25" s="81"/>
      <c r="F25" s="81"/>
      <c r="G25" s="445"/>
      <c r="H25" s="447"/>
      <c r="I25" s="1"/>
      <c r="M25" s="424" t="str">
        <f>'Конфигурация TREI'!A26</f>
        <v>BR24</v>
      </c>
      <c r="N25" s="424" t="str">
        <f>'Конфигурация TREI'!B26</f>
        <v>M558D</v>
      </c>
      <c r="AE25" s="428">
        <f>Настройки!P25</f>
        <v>24</v>
      </c>
      <c r="AF25" s="380">
        <f>Настройки!Q25</f>
        <v>0</v>
      </c>
      <c r="AG25" s="380" t="str">
        <f>Настройки!R25</f>
        <v>-</v>
      </c>
      <c r="AH25" s="380" t="str">
        <f>Настройки!S25</f>
        <v>-</v>
      </c>
      <c r="AI25" s="380" t="str">
        <f>Настройки!T25</f>
        <v>out23</v>
      </c>
      <c r="AJ25" s="380" t="str">
        <f>Настройки!U25</f>
        <v>out23</v>
      </c>
      <c r="AK25" s="380" t="str">
        <f>Настройки!V25</f>
        <v>-</v>
      </c>
      <c r="AL25" s="380" t="str">
        <f>Настройки!W25</f>
        <v>-</v>
      </c>
      <c r="AM25" s="380" t="str">
        <f>Настройки!X25</f>
        <v>-</v>
      </c>
      <c r="AN25" s="380" t="str">
        <f>Настройки!Y25</f>
        <v>-</v>
      </c>
      <c r="AO25" s="380" t="str">
        <f>Настройки!Z25</f>
        <v>-</v>
      </c>
      <c r="AP25" s="380" t="str">
        <f>Настройки!AA25</f>
        <v>Canal_24</v>
      </c>
      <c r="AQ25" s="380" t="str">
        <f>Настройки!AB25</f>
        <v>Canal_24</v>
      </c>
      <c r="AR25" s="380" t="str">
        <f>Настройки!AC25</f>
        <v>-</v>
      </c>
      <c r="AS25" s="380" t="str">
        <f>Настройки!AD25</f>
        <v>-</v>
      </c>
      <c r="AT25" s="207" t="str">
        <f>Настройки!AB25</f>
        <v>Canal_24</v>
      </c>
      <c r="AU25" s="207" t="str">
        <f>Настройки!AC25</f>
        <v>-</v>
      </c>
      <c r="AV25" s="207" t="str">
        <f>Настройки!AD25</f>
        <v>-</v>
      </c>
      <c r="AW25" s="207" t="str">
        <f>Настройки!AE25</f>
        <v>-</v>
      </c>
      <c r="AX25" s="207" t="str">
        <f>Настройки!AF25</f>
        <v>IDIG_6_4</v>
      </c>
      <c r="AY25" s="207" t="str">
        <f>Настройки!AG25</f>
        <v>Canal_24</v>
      </c>
      <c r="AZ25" s="207" t="str">
        <f>Настройки!AH25</f>
        <v>Canal_24</v>
      </c>
      <c r="BA25" s="207" t="str">
        <f>Настройки!AI25</f>
        <v>Canal_24</v>
      </c>
      <c r="BB25" s="207" t="str">
        <f>Настройки!AJ25</f>
        <v>-</v>
      </c>
      <c r="BC25" s="207" t="str">
        <f>Настройки!AK25</f>
        <v>-</v>
      </c>
      <c r="BD25" s="207" t="str">
        <f>Настройки!AL25</f>
        <v>Canal_24</v>
      </c>
      <c r="BE25" s="207" t="str">
        <f>Настройки!AM25</f>
        <v>-</v>
      </c>
    </row>
    <row r="26" spans="1:57">
      <c r="A26" s="82"/>
      <c r="B26" s="82"/>
      <c r="C26" s="81"/>
      <c r="D26" s="81"/>
      <c r="E26" s="81"/>
      <c r="F26" s="81"/>
      <c r="G26" s="445"/>
      <c r="H26" s="447"/>
      <c r="I26" s="1"/>
      <c r="M26" s="424" t="str">
        <f>'Конфигурация TREI'!A27</f>
        <v>BR25</v>
      </c>
      <c r="N26" s="424" t="str">
        <f>'Конфигурация TREI'!B27</f>
        <v>M558D</v>
      </c>
      <c r="AE26" s="428">
        <f>Настройки!P26</f>
        <v>25</v>
      </c>
      <c r="AF26" s="380">
        <f>Настройки!Q26</f>
        <v>0</v>
      </c>
      <c r="AG26" s="380" t="str">
        <f>Настройки!R26</f>
        <v>-</v>
      </c>
      <c r="AH26" s="380" t="str">
        <f>Настройки!S26</f>
        <v>-</v>
      </c>
      <c r="AI26" s="380" t="str">
        <f>Настройки!T26</f>
        <v>out24</v>
      </c>
      <c r="AJ26" s="380" t="str">
        <f>Настройки!U26</f>
        <v>out24</v>
      </c>
      <c r="AK26" s="380" t="str">
        <f>Настройки!V26</f>
        <v>-</v>
      </c>
      <c r="AL26" s="380" t="str">
        <f>Настройки!W26</f>
        <v>-</v>
      </c>
      <c r="AM26" s="380" t="str">
        <f>Настройки!X26</f>
        <v>-</v>
      </c>
      <c r="AN26" s="380" t="str">
        <f>Настройки!Y26</f>
        <v>-</v>
      </c>
      <c r="AO26" s="380" t="str">
        <f>Настройки!Z26</f>
        <v>-</v>
      </c>
      <c r="AP26" s="380" t="str">
        <f>Настройки!AA26</f>
        <v>Canal_25</v>
      </c>
      <c r="AQ26" s="380" t="str">
        <f>Настройки!AB26</f>
        <v>Canal_25</v>
      </c>
      <c r="AR26" s="380" t="str">
        <f>Настройки!AC26</f>
        <v>-</v>
      </c>
      <c r="AS26" s="380" t="str">
        <f>Настройки!AD26</f>
        <v>-</v>
      </c>
      <c r="AT26" s="207" t="str">
        <f>Настройки!AB26</f>
        <v>Canal_25</v>
      </c>
      <c r="AU26" s="207" t="str">
        <f>Настройки!AC26</f>
        <v>-</v>
      </c>
      <c r="AV26" s="207" t="str">
        <f>Настройки!AD26</f>
        <v>-</v>
      </c>
      <c r="AW26" s="207" t="str">
        <f>Настройки!AE26</f>
        <v>-</v>
      </c>
      <c r="AX26" s="207" t="str">
        <f>Настройки!AF26</f>
        <v>IDIG_7_1</v>
      </c>
      <c r="AY26" s="207" t="str">
        <f>Настройки!AG26</f>
        <v>Canal_25</v>
      </c>
      <c r="AZ26" s="207" t="str">
        <f>Настройки!AH26</f>
        <v>Canal_25</v>
      </c>
      <c r="BA26" s="207" t="str">
        <f>Настройки!AI26</f>
        <v>Canal_25</v>
      </c>
      <c r="BB26" s="207" t="str">
        <f>Настройки!AJ26</f>
        <v>-</v>
      </c>
      <c r="BC26" s="207" t="str">
        <f>Настройки!AK26</f>
        <v>-</v>
      </c>
      <c r="BD26" s="207" t="str">
        <f>Настройки!AL26</f>
        <v>Canal_25</v>
      </c>
      <c r="BE26" s="207" t="str">
        <f>Настройки!AM26</f>
        <v>-</v>
      </c>
    </row>
    <row r="27" spans="1:57">
      <c r="A27" s="82"/>
      <c r="B27" s="82"/>
      <c r="C27" s="81"/>
      <c r="D27" s="81"/>
      <c r="E27" s="81"/>
      <c r="F27" s="81"/>
      <c r="G27" s="445"/>
      <c r="H27" s="447"/>
      <c r="I27" s="1"/>
      <c r="M27" s="424" t="str">
        <f>'Конфигурация TREI'!A28</f>
        <v>BR26</v>
      </c>
      <c r="N27" s="424" t="str">
        <f>'Конфигурация TREI'!B28</f>
        <v>M558D</v>
      </c>
      <c r="AE27" s="428">
        <f>Настройки!P27</f>
        <v>26</v>
      </c>
      <c r="AF27" s="380">
        <f>Настройки!Q27</f>
        <v>0</v>
      </c>
      <c r="AG27" s="380" t="str">
        <f>Настройки!R27</f>
        <v>-</v>
      </c>
      <c r="AH27" s="380" t="str">
        <f>Настройки!S27</f>
        <v>-</v>
      </c>
      <c r="AI27" s="380" t="str">
        <f>Настройки!T27</f>
        <v>out25</v>
      </c>
      <c r="AJ27" s="380" t="str">
        <f>Настройки!U27</f>
        <v>out25</v>
      </c>
      <c r="AK27" s="380" t="str">
        <f>Настройки!V27</f>
        <v>-</v>
      </c>
      <c r="AL27" s="380" t="str">
        <f>Настройки!W27</f>
        <v>-</v>
      </c>
      <c r="AM27" s="380" t="str">
        <f>Настройки!X27</f>
        <v>-</v>
      </c>
      <c r="AN27" s="380" t="str">
        <f>Настройки!Y27</f>
        <v>-</v>
      </c>
      <c r="AO27" s="380" t="str">
        <f>Настройки!Z27</f>
        <v>-</v>
      </c>
      <c r="AP27" s="380" t="str">
        <f>Настройки!AA27</f>
        <v>Canal_26</v>
      </c>
      <c r="AQ27" s="380" t="str">
        <f>Настройки!AB27</f>
        <v>Canal_26</v>
      </c>
      <c r="AR27" s="380" t="str">
        <f>Настройки!AC27</f>
        <v>-</v>
      </c>
      <c r="AS27" s="380" t="str">
        <f>Настройки!AD27</f>
        <v>-</v>
      </c>
      <c r="AT27" s="207" t="str">
        <f>Настройки!AB27</f>
        <v>Canal_26</v>
      </c>
      <c r="AU27" s="207" t="str">
        <f>Настройки!AC27</f>
        <v>-</v>
      </c>
      <c r="AV27" s="207" t="str">
        <f>Настройки!AD27</f>
        <v>-</v>
      </c>
      <c r="AW27" s="207" t="str">
        <f>Настройки!AE27</f>
        <v>-</v>
      </c>
      <c r="AX27" s="207" t="str">
        <f>Настройки!AF27</f>
        <v>IDIG_7_2</v>
      </c>
      <c r="AY27" s="207" t="str">
        <f>Настройки!AG27</f>
        <v>Canal_26</v>
      </c>
      <c r="AZ27" s="207" t="str">
        <f>Настройки!AH27</f>
        <v>Canal_26</v>
      </c>
      <c r="BA27" s="207" t="str">
        <f>Настройки!AI27</f>
        <v>Canal_26</v>
      </c>
      <c r="BB27" s="207" t="str">
        <f>Настройки!AJ27</f>
        <v>-</v>
      </c>
      <c r="BC27" s="207" t="str">
        <f>Настройки!AK27</f>
        <v>-</v>
      </c>
      <c r="BD27" s="207" t="str">
        <f>Настройки!AL27</f>
        <v>Canal_26</v>
      </c>
      <c r="BE27" s="207" t="str">
        <f>Настройки!AM27</f>
        <v>-</v>
      </c>
    </row>
    <row r="28" spans="1:57">
      <c r="A28" s="82"/>
      <c r="B28" s="82"/>
      <c r="C28" s="81"/>
      <c r="D28" s="81"/>
      <c r="E28" s="81"/>
      <c r="F28" s="81"/>
      <c r="G28" s="445"/>
      <c r="H28" s="447"/>
      <c r="I28" s="1"/>
      <c r="M28" s="424" t="str">
        <f>'Конфигурация TREI'!A29</f>
        <v>BR27</v>
      </c>
      <c r="N28" s="424" t="str">
        <f>'Конфигурация TREI'!B29</f>
        <v>M558D</v>
      </c>
      <c r="AE28" s="428">
        <f>Настройки!P28</f>
        <v>27</v>
      </c>
      <c r="AF28" s="380">
        <f>Настройки!Q28</f>
        <v>0</v>
      </c>
      <c r="AG28" s="380" t="str">
        <f>Настройки!R28</f>
        <v>-</v>
      </c>
      <c r="AH28" s="380" t="str">
        <f>Настройки!S28</f>
        <v>-</v>
      </c>
      <c r="AI28" s="380" t="str">
        <f>Настройки!T28</f>
        <v>out26</v>
      </c>
      <c r="AJ28" s="380" t="str">
        <f>Настройки!U28</f>
        <v>out26</v>
      </c>
      <c r="AK28" s="380" t="str">
        <f>Настройки!V28</f>
        <v>-</v>
      </c>
      <c r="AL28" s="380" t="str">
        <f>Настройки!W28</f>
        <v>-</v>
      </c>
      <c r="AM28" s="380" t="str">
        <f>Настройки!X28</f>
        <v>-</v>
      </c>
      <c r="AN28" s="380" t="str">
        <f>Настройки!Y28</f>
        <v>-</v>
      </c>
      <c r="AO28" s="380" t="str">
        <f>Настройки!Z28</f>
        <v>-</v>
      </c>
      <c r="AP28" s="380" t="str">
        <f>Настройки!AA28</f>
        <v>Canal_27</v>
      </c>
      <c r="AQ28" s="380" t="str">
        <f>Настройки!AB28</f>
        <v>Canal_27</v>
      </c>
      <c r="AR28" s="380" t="str">
        <f>Настройки!AC28</f>
        <v>-</v>
      </c>
      <c r="AS28" s="380" t="str">
        <f>Настройки!AD28</f>
        <v>-</v>
      </c>
      <c r="AT28" s="207" t="str">
        <f>Настройки!AB28</f>
        <v>Canal_27</v>
      </c>
      <c r="AU28" s="207" t="str">
        <f>Настройки!AC28</f>
        <v>-</v>
      </c>
      <c r="AV28" s="207" t="str">
        <f>Настройки!AD28</f>
        <v>-</v>
      </c>
      <c r="AW28" s="207" t="str">
        <f>Настройки!AE28</f>
        <v>-</v>
      </c>
      <c r="AX28" s="207" t="str">
        <f>Настройки!AF28</f>
        <v>IDIG_7_3</v>
      </c>
      <c r="AY28" s="207" t="str">
        <f>Настройки!AG28</f>
        <v>Canal_27</v>
      </c>
      <c r="AZ28" s="207" t="str">
        <f>Настройки!AH28</f>
        <v>Canal_27</v>
      </c>
      <c r="BA28" s="207" t="str">
        <f>Настройки!AI28</f>
        <v>Canal_27</v>
      </c>
      <c r="BB28" s="207" t="str">
        <f>Настройки!AJ28</f>
        <v>-</v>
      </c>
      <c r="BC28" s="207" t="str">
        <f>Настройки!AK28</f>
        <v>-</v>
      </c>
      <c r="BD28" s="207" t="str">
        <f>Настройки!AL28</f>
        <v>Canal_27</v>
      </c>
      <c r="BE28" s="207" t="str">
        <f>Настройки!AM28</f>
        <v>-</v>
      </c>
    </row>
    <row r="29" spans="1:57">
      <c r="A29" s="82"/>
      <c r="B29" s="82"/>
      <c r="C29" s="81"/>
      <c r="D29" s="81"/>
      <c r="E29" s="81"/>
      <c r="F29" s="81"/>
      <c r="G29" s="445"/>
      <c r="H29" s="447"/>
      <c r="I29" s="1"/>
      <c r="M29" s="424" t="str">
        <f>'Конфигурация TREI'!A30</f>
        <v>BR28</v>
      </c>
      <c r="N29" s="424" t="str">
        <f>'Конфигурация TREI'!B30</f>
        <v>M558D</v>
      </c>
      <c r="AE29" s="428">
        <f>Настройки!P29</f>
        <v>28</v>
      </c>
      <c r="AF29" s="380">
        <f>Настройки!Q29</f>
        <v>0</v>
      </c>
      <c r="AG29" s="380" t="str">
        <f>Настройки!R29</f>
        <v>-</v>
      </c>
      <c r="AH29" s="380" t="str">
        <f>Настройки!S29</f>
        <v>-</v>
      </c>
      <c r="AI29" s="380" t="str">
        <f>Настройки!T29</f>
        <v>out27</v>
      </c>
      <c r="AJ29" s="380" t="str">
        <f>Настройки!U29</f>
        <v>out27</v>
      </c>
      <c r="AK29" s="380" t="str">
        <f>Настройки!V29</f>
        <v>-</v>
      </c>
      <c r="AL29" s="380" t="str">
        <f>Настройки!W29</f>
        <v>-</v>
      </c>
      <c r="AM29" s="380" t="str">
        <f>Настройки!X29</f>
        <v>-</v>
      </c>
      <c r="AN29" s="380" t="str">
        <f>Настройки!Y29</f>
        <v>-</v>
      </c>
      <c r="AO29" s="380" t="str">
        <f>Настройки!Z29</f>
        <v>-</v>
      </c>
      <c r="AP29" s="380" t="str">
        <f>Настройки!AA29</f>
        <v>Canal_28</v>
      </c>
      <c r="AQ29" s="380" t="str">
        <f>Настройки!AB29</f>
        <v>Canal_28</v>
      </c>
      <c r="AR29" s="380" t="str">
        <f>Настройки!AC29</f>
        <v>-</v>
      </c>
      <c r="AS29" s="380" t="str">
        <f>Настройки!AD29</f>
        <v>-</v>
      </c>
      <c r="AT29" s="207" t="str">
        <f>Настройки!AB29</f>
        <v>Canal_28</v>
      </c>
      <c r="AU29" s="207" t="str">
        <f>Настройки!AC29</f>
        <v>-</v>
      </c>
      <c r="AV29" s="207" t="str">
        <f>Настройки!AD29</f>
        <v>-</v>
      </c>
      <c r="AW29" s="207" t="str">
        <f>Настройки!AE29</f>
        <v>-</v>
      </c>
      <c r="AX29" s="207" t="str">
        <f>Настройки!AF29</f>
        <v>IDIG_7_4</v>
      </c>
      <c r="AY29" s="207" t="str">
        <f>Настройки!AG29</f>
        <v>Canal_28</v>
      </c>
      <c r="AZ29" s="207" t="str">
        <f>Настройки!AH29</f>
        <v>Canal_28</v>
      </c>
      <c r="BA29" s="207" t="str">
        <f>Настройки!AI29</f>
        <v>Canal_28</v>
      </c>
      <c r="BB29" s="207" t="str">
        <f>Настройки!AJ29</f>
        <v>-</v>
      </c>
      <c r="BC29" s="207" t="str">
        <f>Настройки!AK29</f>
        <v>-</v>
      </c>
      <c r="BD29" s="207" t="str">
        <f>Настройки!AL29</f>
        <v>Canal_28</v>
      </c>
      <c r="BE29" s="207" t="str">
        <f>Настройки!AM29</f>
        <v>-</v>
      </c>
    </row>
    <row r="30" spans="1:57">
      <c r="A30" s="11"/>
      <c r="B30" s="11"/>
      <c r="C30" s="11"/>
      <c r="D30" s="11"/>
      <c r="E30" s="11"/>
      <c r="F30" s="11"/>
      <c r="G30" s="11"/>
      <c r="H30" s="1"/>
      <c r="I30" s="1"/>
      <c r="M30" s="424" t="str">
        <f>'Конфигурация TREI'!A31</f>
        <v>BR29</v>
      </c>
      <c r="N30" s="424" t="str">
        <f>'Конфигурация TREI'!B31</f>
        <v>M558O</v>
      </c>
      <c r="AE30" s="428">
        <f>Настройки!P30</f>
        <v>29</v>
      </c>
      <c r="AF30" s="380">
        <f>Настройки!Q30</f>
        <v>0</v>
      </c>
      <c r="AG30" s="380" t="str">
        <f>Настройки!R30</f>
        <v>-</v>
      </c>
      <c r="AH30" s="380" t="str">
        <f>Настройки!S30</f>
        <v>-</v>
      </c>
      <c r="AI30" s="380" t="str">
        <f>Настройки!T30</f>
        <v>out28</v>
      </c>
      <c r="AJ30" s="380" t="str">
        <f>Настройки!U30</f>
        <v>out28</v>
      </c>
      <c r="AK30" s="380" t="str">
        <f>Настройки!V30</f>
        <v>-</v>
      </c>
      <c r="AL30" s="380" t="str">
        <f>Настройки!W30</f>
        <v>-</v>
      </c>
      <c r="AM30" s="380" t="str">
        <f>Настройки!X30</f>
        <v>-</v>
      </c>
      <c r="AN30" s="380" t="str">
        <f>Настройки!Y30</f>
        <v>-</v>
      </c>
      <c r="AO30" s="380" t="str">
        <f>Настройки!Z30</f>
        <v>-</v>
      </c>
      <c r="AP30" s="380" t="str">
        <f>Настройки!AA30</f>
        <v>Canal_29</v>
      </c>
      <c r="AQ30" s="380" t="str">
        <f>Настройки!AB30</f>
        <v>Canal_29</v>
      </c>
      <c r="AR30" s="380" t="str">
        <f>Настройки!AC30</f>
        <v>-</v>
      </c>
      <c r="AS30" s="380" t="str">
        <f>Настройки!AD30</f>
        <v>-</v>
      </c>
      <c r="AT30" s="207" t="str">
        <f>Настройки!AB30</f>
        <v>Canal_29</v>
      </c>
      <c r="AU30" s="207" t="str">
        <f>Настройки!AC30</f>
        <v>-</v>
      </c>
      <c r="AV30" s="207" t="str">
        <f>Настройки!AD30</f>
        <v>-</v>
      </c>
      <c r="AW30" s="207" t="str">
        <f>Настройки!AE30</f>
        <v>-</v>
      </c>
      <c r="AX30" s="207" t="str">
        <f>Настройки!AF30</f>
        <v>IDIG_8_1</v>
      </c>
      <c r="AY30" s="207" t="str">
        <f>Настройки!AG30</f>
        <v>Canal_29</v>
      </c>
      <c r="AZ30" s="207" t="str">
        <f>Настройки!AH30</f>
        <v>Canal_29</v>
      </c>
      <c r="BA30" s="207" t="str">
        <f>Настройки!AI30</f>
        <v>Canal_29</v>
      </c>
      <c r="BB30" s="207" t="str">
        <f>Настройки!AJ30</f>
        <v>-</v>
      </c>
      <c r="BC30" s="207" t="str">
        <f>Настройки!AK30</f>
        <v>-</v>
      </c>
      <c r="BD30" s="207" t="str">
        <f>Настройки!AL30</f>
        <v>Canal_29</v>
      </c>
      <c r="BE30" s="207" t="str">
        <f>Настройки!AM30</f>
        <v>-</v>
      </c>
    </row>
    <row r="31" spans="1:57">
      <c r="A31" s="82"/>
      <c r="B31" s="82"/>
      <c r="C31" s="81"/>
      <c r="D31" s="81"/>
      <c r="E31" s="81"/>
      <c r="F31" s="81"/>
      <c r="G31" s="445"/>
      <c r="H31" s="445"/>
      <c r="I31" s="1"/>
      <c r="M31" s="424" t="str">
        <f>'Конфигурация TREI'!A32</f>
        <v>BR30</v>
      </c>
      <c r="N31" s="424" t="str">
        <f>'Конфигурация TREI'!B32</f>
        <v>M558D</v>
      </c>
      <c r="AE31" s="428">
        <f>Настройки!P31</f>
        <v>30</v>
      </c>
      <c r="AF31" s="380">
        <f>Настройки!Q31</f>
        <v>0</v>
      </c>
      <c r="AG31" s="380" t="str">
        <f>Настройки!R31</f>
        <v>-</v>
      </c>
      <c r="AH31" s="380" t="str">
        <f>Настройки!S31</f>
        <v>-</v>
      </c>
      <c r="AI31" s="380" t="str">
        <f>Настройки!T31</f>
        <v>out29</v>
      </c>
      <c r="AJ31" s="380" t="str">
        <f>Настройки!U31</f>
        <v>out29</v>
      </c>
      <c r="AK31" s="380" t="str">
        <f>Настройки!V31</f>
        <v>-</v>
      </c>
      <c r="AL31" s="380" t="str">
        <f>Настройки!W31</f>
        <v>-</v>
      </c>
      <c r="AM31" s="380" t="str">
        <f>Настройки!X31</f>
        <v>-</v>
      </c>
      <c r="AN31" s="380" t="str">
        <f>Настройки!Y31</f>
        <v>-</v>
      </c>
      <c r="AO31" s="380" t="str">
        <f>Настройки!Z31</f>
        <v>-</v>
      </c>
      <c r="AP31" s="380" t="str">
        <f>Настройки!AA31</f>
        <v>Canal_30</v>
      </c>
      <c r="AQ31" s="380" t="str">
        <f>Настройки!AB31</f>
        <v>Canal_30</v>
      </c>
      <c r="AR31" s="380" t="str">
        <f>Настройки!AC31</f>
        <v>-</v>
      </c>
      <c r="AS31" s="380" t="str">
        <f>Настройки!AD31</f>
        <v>-</v>
      </c>
      <c r="AT31" s="207" t="str">
        <f>Настройки!AB31</f>
        <v>Canal_30</v>
      </c>
      <c r="AU31" s="207" t="str">
        <f>Настройки!AC31</f>
        <v>-</v>
      </c>
      <c r="AV31" s="207" t="str">
        <f>Настройки!AD31</f>
        <v>-</v>
      </c>
      <c r="AW31" s="207" t="str">
        <f>Настройки!AE31</f>
        <v>-</v>
      </c>
      <c r="AX31" s="207" t="str">
        <f>Настройки!AF31</f>
        <v>IDIG_8_2</v>
      </c>
      <c r="AY31" s="207" t="str">
        <f>Настройки!AG31</f>
        <v>Canal_30</v>
      </c>
      <c r="AZ31" s="207" t="str">
        <f>Настройки!AH31</f>
        <v>Canal_30</v>
      </c>
      <c r="BA31" s="207" t="str">
        <f>Настройки!AI31</f>
        <v>Canal_30</v>
      </c>
      <c r="BB31" s="207" t="str">
        <f>Настройки!AJ31</f>
        <v>-</v>
      </c>
      <c r="BC31" s="207" t="str">
        <f>Настройки!AK31</f>
        <v>-</v>
      </c>
      <c r="BD31" s="207" t="str">
        <f>Настройки!AL31</f>
        <v>Canal_30</v>
      </c>
      <c r="BE31" s="207" t="str">
        <f>Настройки!AM31</f>
        <v>-</v>
      </c>
    </row>
    <row r="32" spans="1:57">
      <c r="A32" s="82"/>
      <c r="B32" s="82"/>
      <c r="C32" s="81"/>
      <c r="D32" s="81"/>
      <c r="E32" s="81"/>
      <c r="F32" s="81"/>
      <c r="G32" s="445"/>
      <c r="H32" s="445"/>
      <c r="I32" s="1"/>
      <c r="M32" s="424" t="str">
        <f>'Конфигурация TREI'!A33</f>
        <v>BR31</v>
      </c>
      <c r="N32" s="424" t="str">
        <f>'Конфигурация TREI'!B33</f>
        <v>M558D</v>
      </c>
      <c r="AE32" s="428">
        <f>Настройки!P32</f>
        <v>31</v>
      </c>
      <c r="AF32" s="380">
        <f>Настройки!Q32</f>
        <v>0</v>
      </c>
      <c r="AG32" s="380" t="str">
        <f>Настройки!R32</f>
        <v>-</v>
      </c>
      <c r="AH32" s="380" t="str">
        <f>Настройки!S32</f>
        <v>-</v>
      </c>
      <c r="AI32" s="380" t="str">
        <f>Настройки!T32</f>
        <v>out30</v>
      </c>
      <c r="AJ32" s="380" t="str">
        <f>Настройки!U32</f>
        <v>out30</v>
      </c>
      <c r="AK32" s="380" t="str">
        <f>Настройки!V32</f>
        <v>-</v>
      </c>
      <c r="AL32" s="380" t="str">
        <f>Настройки!W32</f>
        <v>-</v>
      </c>
      <c r="AM32" s="380" t="str">
        <f>Настройки!X32</f>
        <v>-</v>
      </c>
      <c r="AN32" s="380" t="str">
        <f>Настройки!Y32</f>
        <v>-</v>
      </c>
      <c r="AO32" s="380" t="str">
        <f>Настройки!Z32</f>
        <v>-</v>
      </c>
      <c r="AP32" s="380" t="str">
        <f>Настройки!AA32</f>
        <v>Canal_31</v>
      </c>
      <c r="AQ32" s="380" t="str">
        <f>Настройки!AB32</f>
        <v>Canal_31</v>
      </c>
      <c r="AR32" s="380" t="str">
        <f>Настройки!AC32</f>
        <v>-</v>
      </c>
      <c r="AS32" s="380" t="str">
        <f>Настройки!AD32</f>
        <v>-</v>
      </c>
      <c r="AT32" s="207" t="str">
        <f>Настройки!AB32</f>
        <v>Canal_31</v>
      </c>
      <c r="AU32" s="207" t="str">
        <f>Настройки!AC32</f>
        <v>-</v>
      </c>
      <c r="AV32" s="207" t="str">
        <f>Настройки!AD32</f>
        <v>-</v>
      </c>
      <c r="AW32" s="207" t="str">
        <f>Настройки!AE32</f>
        <v>-</v>
      </c>
      <c r="AX32" s="207" t="str">
        <f>Настройки!AF32</f>
        <v>IDIG_8_3</v>
      </c>
      <c r="AY32" s="207" t="str">
        <f>Настройки!AG32</f>
        <v>Canal_31</v>
      </c>
      <c r="AZ32" s="207" t="str">
        <f>Настройки!AH32</f>
        <v>Canal_31</v>
      </c>
      <c r="BA32" s="207" t="str">
        <f>Настройки!AI32</f>
        <v>Canal_31</v>
      </c>
      <c r="BB32" s="207" t="str">
        <f>Настройки!AJ32</f>
        <v>-</v>
      </c>
      <c r="BC32" s="207" t="str">
        <f>Настройки!AK32</f>
        <v>-</v>
      </c>
      <c r="BD32" s="207" t="str">
        <f>Настройки!AL32</f>
        <v>Canal_31</v>
      </c>
      <c r="BE32" s="207" t="str">
        <f>Настройки!AM32</f>
        <v>-</v>
      </c>
    </row>
    <row r="33" spans="1:57">
      <c r="A33" s="82"/>
      <c r="B33" s="82"/>
      <c r="C33" s="81"/>
      <c r="D33" s="81"/>
      <c r="E33" s="81"/>
      <c r="F33" s="81"/>
      <c r="G33" s="445"/>
      <c r="H33" s="445"/>
      <c r="I33" s="1"/>
      <c r="M33" s="424" t="str">
        <f>'Конфигурация TREI'!A34</f>
        <v>BR32</v>
      </c>
      <c r="N33" s="424" t="str">
        <f>'Конфигурация TREI'!B34</f>
        <v>M558D</v>
      </c>
      <c r="AE33" s="620">
        <f>Настройки!P33</f>
        <v>32</v>
      </c>
      <c r="AF33" s="621">
        <f>Настройки!Q33</f>
        <v>0</v>
      </c>
      <c r="AG33" s="621" t="str">
        <f>Настройки!R33</f>
        <v>-</v>
      </c>
      <c r="AH33" s="621" t="str">
        <f>Настройки!S33</f>
        <v>-</v>
      </c>
      <c r="AI33" s="621" t="str">
        <f>Настройки!T33</f>
        <v>out31</v>
      </c>
      <c r="AJ33" s="621" t="str">
        <f>Настройки!U33</f>
        <v>out31</v>
      </c>
      <c r="AK33" s="621" t="str">
        <f>Настройки!V33</f>
        <v>-</v>
      </c>
      <c r="AL33" s="621" t="str">
        <f>Настройки!W33</f>
        <v>-</v>
      </c>
      <c r="AM33" s="621" t="str">
        <f>Настройки!X33</f>
        <v>-</v>
      </c>
      <c r="AN33" s="621" t="str">
        <f>Настройки!Y33</f>
        <v>-</v>
      </c>
      <c r="AO33" s="621" t="str">
        <f>Настройки!Z33</f>
        <v>-</v>
      </c>
      <c r="AP33" s="621" t="str">
        <f>Настройки!AA33</f>
        <v>Canal_32</v>
      </c>
      <c r="AQ33" s="621" t="str">
        <f>Настройки!AB33</f>
        <v>Canal_32</v>
      </c>
      <c r="AR33" s="621" t="str">
        <f>Настройки!AC33</f>
        <v>-</v>
      </c>
      <c r="AS33" s="621" t="str">
        <f>Настройки!AD33</f>
        <v>-</v>
      </c>
      <c r="AT33" s="622" t="str">
        <f>Настройки!AB33</f>
        <v>Canal_32</v>
      </c>
      <c r="AU33" s="622" t="str">
        <f>Настройки!AC33</f>
        <v>-</v>
      </c>
      <c r="AV33" s="622" t="str">
        <f>Настройки!AD33</f>
        <v>-</v>
      </c>
      <c r="AW33" s="622" t="str">
        <f>Настройки!AE33</f>
        <v>-</v>
      </c>
      <c r="AX33" s="622" t="str">
        <f>Настройки!AF33</f>
        <v>IDIG_8_4</v>
      </c>
      <c r="AY33" s="622" t="str">
        <f>Настройки!AG33</f>
        <v>Canal_32</v>
      </c>
      <c r="AZ33" s="622" t="str">
        <f>Настройки!AH33</f>
        <v>Canal_32</v>
      </c>
      <c r="BA33" s="622" t="str">
        <f>Настройки!AI33</f>
        <v>Canal_32</v>
      </c>
      <c r="BB33" s="622" t="str">
        <f>Настройки!AJ33</f>
        <v>-</v>
      </c>
      <c r="BC33" s="622" t="str">
        <f>Настройки!AK33</f>
        <v>-</v>
      </c>
      <c r="BD33" s="622" t="str">
        <f>Настройки!AL33</f>
        <v>Canal_32</v>
      </c>
      <c r="BE33" s="622" t="str">
        <f>Настройки!AM33</f>
        <v>-</v>
      </c>
    </row>
    <row r="34" spans="1:57">
      <c r="A34" s="82"/>
      <c r="B34" s="82"/>
      <c r="C34" s="81"/>
      <c r="D34" s="81"/>
      <c r="E34" s="81"/>
      <c r="F34" s="81"/>
      <c r="G34" s="445"/>
      <c r="H34" s="445"/>
      <c r="I34" s="1"/>
      <c r="M34" s="424" t="str">
        <f>'Конфигурация TREI'!A35</f>
        <v>BR33</v>
      </c>
      <c r="N34" s="424" t="str">
        <f>'Конфигурация TREI'!B35</f>
        <v>M558D</v>
      </c>
      <c r="AE34" s="624"/>
      <c r="AF34" s="624"/>
      <c r="AG34" s="624"/>
      <c r="AH34" s="624"/>
      <c r="AI34" s="624"/>
      <c r="AJ34" s="624"/>
      <c r="AK34" s="624"/>
      <c r="AL34" s="624"/>
      <c r="AM34" s="624"/>
      <c r="AN34" s="624"/>
      <c r="AO34" s="624"/>
      <c r="AP34" s="624"/>
      <c r="AQ34" s="624"/>
      <c r="AR34" s="624"/>
      <c r="AS34" s="624"/>
      <c r="AT34" s="625"/>
      <c r="AU34" s="625"/>
      <c r="AV34" s="625"/>
      <c r="AW34" s="625"/>
      <c r="AX34" s="625"/>
      <c r="AY34" s="625"/>
      <c r="AZ34" s="625"/>
      <c r="BA34" s="625"/>
      <c r="BB34" s="625"/>
      <c r="BC34" s="625"/>
      <c r="BD34" s="625"/>
      <c r="BE34" s="625"/>
    </row>
    <row r="35" spans="1:57">
      <c r="A35" s="82"/>
      <c r="B35" s="82"/>
      <c r="C35" s="81"/>
      <c r="D35" s="81"/>
      <c r="E35" s="81"/>
      <c r="F35" s="81"/>
      <c r="G35" s="445"/>
      <c r="H35" s="445"/>
      <c r="I35" s="1"/>
      <c r="M35" s="424" t="str">
        <f>'Конфигурация TREI'!A36</f>
        <v>BR34</v>
      </c>
      <c r="N35" s="424" t="str">
        <f>'Конфигурация TREI'!B36</f>
        <v>M558D</v>
      </c>
      <c r="AE35" s="505"/>
      <c r="AF35" s="505"/>
      <c r="AG35" s="505"/>
      <c r="AH35" s="505"/>
      <c r="AI35" s="505"/>
      <c r="AJ35" s="505"/>
      <c r="AK35" s="505"/>
      <c r="AL35" s="505"/>
      <c r="AM35" s="505"/>
      <c r="AN35" s="505"/>
      <c r="AO35" s="505"/>
      <c r="AP35" s="505"/>
      <c r="AQ35" s="505"/>
      <c r="AR35" s="505"/>
      <c r="AS35" s="505"/>
      <c r="AT35" s="623"/>
      <c r="AU35" s="623"/>
      <c r="AV35" s="623"/>
      <c r="AW35" s="623"/>
      <c r="AX35" s="623"/>
      <c r="AY35" s="623"/>
      <c r="AZ35" s="623"/>
      <c r="BA35" s="623"/>
      <c r="BB35" s="623"/>
      <c r="BC35" s="623"/>
      <c r="BD35" s="623"/>
      <c r="BE35" s="623"/>
    </row>
    <row r="36" spans="1:57">
      <c r="A36" s="82"/>
      <c r="B36" s="82"/>
      <c r="C36" s="81"/>
      <c r="D36" s="81"/>
      <c r="E36" s="81"/>
      <c r="F36" s="81"/>
      <c r="G36" s="445"/>
      <c r="H36" s="445"/>
      <c r="I36" s="1"/>
      <c r="M36" s="424" t="str">
        <f>'Конфигурация TREI'!A37</f>
        <v>BR35</v>
      </c>
      <c r="N36" s="424" t="str">
        <f>'Конфигурация TREI'!B37</f>
        <v>M558D</v>
      </c>
      <c r="AE36" s="505"/>
      <c r="AF36" s="505"/>
      <c r="AG36" s="505"/>
      <c r="AH36" s="505"/>
      <c r="AI36" s="505"/>
      <c r="AJ36" s="505"/>
      <c r="AK36" s="505"/>
      <c r="AL36" s="505"/>
      <c r="AM36" s="505"/>
      <c r="AN36" s="505"/>
      <c r="AO36" s="505"/>
      <c r="AP36" s="505"/>
      <c r="AQ36" s="505"/>
      <c r="AR36" s="505"/>
      <c r="AS36" s="505"/>
      <c r="AT36" s="623"/>
      <c r="AU36" s="623"/>
      <c r="AV36" s="623"/>
      <c r="AW36" s="623"/>
      <c r="AX36" s="623"/>
      <c r="AY36" s="623"/>
      <c r="AZ36" s="623"/>
      <c r="BA36" s="623"/>
      <c r="BB36" s="623"/>
      <c r="BC36" s="623"/>
      <c r="BD36" s="623"/>
      <c r="BE36" s="623"/>
    </row>
    <row r="37" spans="1:57" ht="15.75" customHeight="1">
      <c r="A37" s="82"/>
      <c r="B37" s="82"/>
      <c r="C37" s="81"/>
      <c r="D37" s="81"/>
      <c r="E37" s="81"/>
      <c r="F37" s="81"/>
      <c r="G37" s="445"/>
      <c r="H37" s="445"/>
      <c r="I37" s="1"/>
      <c r="M37" s="424" t="str">
        <f>'Конфигурация TREI'!A38</f>
        <v>BR36</v>
      </c>
      <c r="N37" s="424">
        <f>'Конфигурация TREI'!B38</f>
        <v>0</v>
      </c>
      <c r="AE37" s="505"/>
      <c r="AF37" s="505"/>
      <c r="AG37" s="505"/>
      <c r="AH37" s="505"/>
      <c r="AI37" s="505"/>
      <c r="AJ37" s="505"/>
      <c r="AK37" s="505"/>
      <c r="AL37" s="505"/>
      <c r="AM37" s="505"/>
      <c r="AN37" s="505"/>
      <c r="AO37" s="505"/>
      <c r="AP37" s="505"/>
      <c r="AQ37" s="505"/>
      <c r="AR37" s="505"/>
      <c r="AS37" s="505"/>
      <c r="AT37" s="623"/>
      <c r="AU37" s="623"/>
      <c r="AV37" s="623"/>
      <c r="AW37" s="623"/>
      <c r="AX37" s="623"/>
      <c r="AY37" s="623"/>
      <c r="AZ37" s="623"/>
      <c r="BA37" s="623"/>
      <c r="BB37" s="623"/>
      <c r="BC37" s="623"/>
      <c r="BD37" s="623"/>
      <c r="BE37" s="623"/>
    </row>
    <row r="38" spans="1:57">
      <c r="A38" s="82"/>
      <c r="B38" s="82"/>
      <c r="C38" s="81"/>
      <c r="D38" s="81"/>
      <c r="E38" s="81"/>
      <c r="F38" s="81"/>
      <c r="G38" s="445"/>
      <c r="H38" s="445"/>
      <c r="I38" s="1"/>
      <c r="M38" s="424" t="str">
        <f>'Конфигурация TREI'!A39</f>
        <v>BR37</v>
      </c>
      <c r="N38" s="424">
        <f>'Конфигурация TREI'!B39</f>
        <v>0</v>
      </c>
      <c r="AE38" s="505"/>
      <c r="AF38" s="505"/>
      <c r="AG38" s="505"/>
      <c r="AH38" s="505"/>
      <c r="AI38" s="505"/>
      <c r="AJ38" s="505"/>
      <c r="AK38" s="505"/>
      <c r="AL38" s="505"/>
      <c r="AM38" s="505"/>
      <c r="AN38" s="505"/>
      <c r="AO38" s="505"/>
      <c r="AP38" s="505"/>
      <c r="AQ38" s="505"/>
      <c r="AR38" s="505"/>
      <c r="AS38" s="505"/>
      <c r="AT38" s="623"/>
      <c r="AU38" s="623"/>
      <c r="AV38" s="623"/>
      <c r="AW38" s="623"/>
      <c r="AX38" s="623"/>
      <c r="AY38" s="623"/>
      <c r="AZ38" s="623"/>
      <c r="BA38" s="623"/>
      <c r="BB38" s="623"/>
      <c r="BC38" s="623"/>
      <c r="BD38" s="623"/>
      <c r="BE38" s="623"/>
    </row>
    <row r="39" spans="1:57">
      <c r="A39" s="82"/>
      <c r="B39" s="82"/>
      <c r="C39" s="81"/>
      <c r="D39" s="81"/>
      <c r="E39" s="81"/>
      <c r="F39" s="81"/>
      <c r="G39" s="445"/>
      <c r="H39" s="445"/>
      <c r="I39" s="1"/>
      <c r="M39" s="424" t="str">
        <f>'Конфигурация TREI'!A40</f>
        <v>BR38</v>
      </c>
      <c r="N39" s="424">
        <f>'Конфигурация TREI'!B40</f>
        <v>0</v>
      </c>
      <c r="AE39" s="505"/>
      <c r="AF39" s="505"/>
      <c r="AG39" s="505"/>
      <c r="AH39" s="505"/>
      <c r="AI39" s="505"/>
      <c r="AJ39" s="505"/>
      <c r="AK39" s="505"/>
      <c r="AL39" s="505"/>
      <c r="AM39" s="505"/>
      <c r="AN39" s="505"/>
      <c r="AO39" s="505"/>
      <c r="AP39" s="505"/>
      <c r="AQ39" s="505"/>
      <c r="AR39" s="505"/>
      <c r="AS39" s="505"/>
      <c r="AT39" s="623"/>
      <c r="AU39" s="623"/>
      <c r="AV39" s="623"/>
      <c r="AW39" s="623"/>
      <c r="AX39" s="623"/>
      <c r="AY39" s="623"/>
      <c r="AZ39" s="623"/>
      <c r="BA39" s="623"/>
      <c r="BB39" s="623"/>
      <c r="BC39" s="623"/>
      <c r="BD39" s="623"/>
      <c r="BE39" s="623"/>
    </row>
    <row r="40" spans="1:57">
      <c r="A40" s="82"/>
      <c r="B40" s="82"/>
      <c r="C40" s="81"/>
      <c r="D40" s="81"/>
      <c r="E40" s="81"/>
      <c r="F40" s="81"/>
      <c r="G40" s="445"/>
      <c r="H40" s="445"/>
      <c r="I40" s="1"/>
      <c r="M40" s="424" t="str">
        <f>'Конфигурация TREI'!A41</f>
        <v>BR39</v>
      </c>
      <c r="N40" s="424">
        <f>'Конфигурация TREI'!B41</f>
        <v>0</v>
      </c>
      <c r="AE40" s="505"/>
      <c r="AF40" s="505"/>
      <c r="AG40" s="505"/>
      <c r="AH40" s="505"/>
      <c r="AI40" s="505"/>
      <c r="AJ40" s="505"/>
      <c r="AK40" s="505"/>
      <c r="AL40" s="505"/>
      <c r="AM40" s="505"/>
      <c r="AN40" s="505"/>
      <c r="AO40" s="505"/>
      <c r="AP40" s="505"/>
      <c r="AQ40" s="505"/>
      <c r="AR40" s="505"/>
      <c r="AS40" s="505"/>
      <c r="AT40" s="623"/>
      <c r="AU40" s="623"/>
      <c r="AV40" s="623"/>
      <c r="AW40" s="623"/>
      <c r="AX40" s="623"/>
      <c r="AY40" s="623"/>
      <c r="AZ40" s="623"/>
      <c r="BA40" s="623"/>
      <c r="BB40" s="623"/>
      <c r="BC40" s="623"/>
      <c r="BD40" s="623"/>
      <c r="BE40" s="623"/>
    </row>
    <row r="41" spans="1:57">
      <c r="A41" s="82"/>
      <c r="B41" s="82"/>
      <c r="C41" s="81"/>
      <c r="D41" s="81"/>
      <c r="E41" s="81"/>
      <c r="F41" s="81"/>
      <c r="G41" s="445"/>
      <c r="H41" s="445"/>
      <c r="I41" s="1"/>
      <c r="M41" s="424" t="str">
        <f>'Конфигурация TREI'!A42</f>
        <v>BR40</v>
      </c>
      <c r="N41" s="424">
        <f>'Конфигурация TREI'!B42</f>
        <v>0</v>
      </c>
      <c r="AE41" s="505"/>
      <c r="AF41" s="505"/>
      <c r="AG41" s="505"/>
      <c r="AH41" s="505"/>
      <c r="AI41" s="505"/>
      <c r="AJ41" s="505"/>
      <c r="AK41" s="505"/>
      <c r="AL41" s="505"/>
      <c r="AM41" s="505"/>
      <c r="AN41" s="505"/>
      <c r="AO41" s="505"/>
      <c r="AP41" s="505"/>
      <c r="AQ41" s="505"/>
      <c r="AR41" s="505"/>
      <c r="AS41" s="505"/>
      <c r="AT41" s="623"/>
      <c r="AU41" s="623"/>
      <c r="AV41" s="623"/>
      <c r="AW41" s="623"/>
      <c r="AX41" s="623"/>
      <c r="AY41" s="623"/>
      <c r="AZ41" s="623"/>
      <c r="BA41" s="623"/>
      <c r="BB41" s="623"/>
      <c r="BC41" s="623"/>
      <c r="BD41" s="623"/>
      <c r="BE41" s="623"/>
    </row>
    <row r="42" spans="1:57">
      <c r="M42" s="424" t="str">
        <f>'Конфигурация TREI'!A43</f>
        <v>BR41</v>
      </c>
      <c r="N42" s="424">
        <f>'Конфигурация TREI'!B43</f>
        <v>0</v>
      </c>
    </row>
    <row r="43" spans="1:57">
      <c r="M43" s="424" t="str">
        <f>'Конфигурация TREI'!A44</f>
        <v>BR42</v>
      </c>
      <c r="N43" s="424">
        <f>'Конфигурация TREI'!B44</f>
        <v>0</v>
      </c>
    </row>
    <row r="44" spans="1:57">
      <c r="M44" s="424" t="str">
        <f>'Конфигурация TREI'!A45</f>
        <v>BR43</v>
      </c>
      <c r="N44" s="424">
        <f>'Конфигурация TREI'!B45</f>
        <v>0</v>
      </c>
    </row>
    <row r="45" spans="1:57">
      <c r="M45" s="424" t="str">
        <f>'Конфигурация TREI'!A46</f>
        <v>BR44</v>
      </c>
      <c r="N45" s="424">
        <f>'Конфигурация TREI'!B46</f>
        <v>0</v>
      </c>
    </row>
    <row r="46" spans="1:57">
      <c r="M46" s="424" t="str">
        <f>'Конфигурация TREI'!A47</f>
        <v>BR45</v>
      </c>
      <c r="N46" s="424">
        <f>'Конфигурация TREI'!B47</f>
        <v>0</v>
      </c>
    </row>
    <row r="47" spans="1:57">
      <c r="M47" s="424" t="str">
        <f>'Конфигурация TREI'!A48</f>
        <v>BR46</v>
      </c>
      <c r="N47" s="424">
        <f>'Конфигурация TREI'!B48</f>
        <v>0</v>
      </c>
    </row>
    <row r="48" spans="1:57">
      <c r="M48" s="424" t="str">
        <f>'Конфигурация TREI'!A49</f>
        <v>BR47</v>
      </c>
      <c r="N48" s="424">
        <f>'Конфигурация TREI'!B49</f>
        <v>0</v>
      </c>
    </row>
    <row r="49" spans="13:14">
      <c r="M49" s="424" t="str">
        <f>'Конфигурация TREI'!A50</f>
        <v>BR48</v>
      </c>
      <c r="N49" s="424">
        <f>'Конфигурация TREI'!B50</f>
        <v>0</v>
      </c>
    </row>
    <row r="50" spans="13:14">
      <c r="M50" s="424" t="str">
        <f>'Конфигурация TREI'!A51</f>
        <v>BR49</v>
      </c>
      <c r="N50" s="424">
        <f>'Конфигурация TREI'!B51</f>
        <v>0</v>
      </c>
    </row>
    <row r="51" spans="13:14">
      <c r="M51" s="424" t="str">
        <f>'Конфигурация TREI'!A52</f>
        <v>BR50</v>
      </c>
      <c r="N51" s="424">
        <f>'Конфигурация TREI'!B52</f>
        <v>0</v>
      </c>
    </row>
    <row r="52" spans="13:14">
      <c r="M52" s="424" t="str">
        <f>'Конфигурация TREI'!A53</f>
        <v>BR51</v>
      </c>
      <c r="N52" s="424">
        <f>'Конфигурация TREI'!B53</f>
        <v>0</v>
      </c>
    </row>
    <row r="53" spans="13:14">
      <c r="M53" s="424" t="str">
        <f>'Конфигурация TREI'!A54</f>
        <v>BR52</v>
      </c>
      <c r="N53" s="424">
        <f>'Конфигурация TREI'!B54</f>
        <v>0</v>
      </c>
    </row>
    <row r="54" spans="13:14">
      <c r="M54" s="424" t="str">
        <f>'Конфигурация TREI'!A55</f>
        <v>BR53</v>
      </c>
      <c r="N54" s="424">
        <f>'Конфигурация TREI'!B55</f>
        <v>0</v>
      </c>
    </row>
    <row r="55" spans="13:14">
      <c r="M55" s="424" t="str">
        <f>'Конфигурация TREI'!A56</f>
        <v>BR54</v>
      </c>
      <c r="N55" s="424">
        <f>'Конфигурация TREI'!B56</f>
        <v>0</v>
      </c>
    </row>
    <row r="56" spans="13:14">
      <c r="M56" s="424" t="str">
        <f>'Конфигурация TREI'!A57</f>
        <v>BR55</v>
      </c>
      <c r="N56" s="424">
        <f>'Конфигурация TREI'!B57</f>
        <v>0</v>
      </c>
    </row>
    <row r="57" spans="13:14">
      <c r="M57" s="424" t="str">
        <f>'Конфигурация TREI'!A58</f>
        <v>BR56</v>
      </c>
      <c r="N57" s="424">
        <f>'Конфигурация TREI'!B58</f>
        <v>0</v>
      </c>
    </row>
    <row r="58" spans="13:14">
      <c r="M58" s="424" t="str">
        <f>'Конфигурация TREI'!A59</f>
        <v>BR57</v>
      </c>
      <c r="N58" s="424">
        <f>'Конфигурация TREI'!B59</f>
        <v>0</v>
      </c>
    </row>
    <row r="59" spans="13:14">
      <c r="M59" s="424" t="str">
        <f>'Конфигурация TREI'!A60</f>
        <v>BR58</v>
      </c>
      <c r="N59" s="424">
        <f>'Конфигурация TREI'!B60</f>
        <v>0</v>
      </c>
    </row>
    <row r="60" spans="13:14">
      <c r="M60" s="424" t="str">
        <f>'Конфигурация TREI'!A61</f>
        <v>BR59</v>
      </c>
      <c r="N60" s="424">
        <f>'Конфигурация TREI'!B61</f>
        <v>0</v>
      </c>
    </row>
    <row r="61" spans="13:14">
      <c r="M61" s="424" t="str">
        <f>'Конфигурация TREI'!A62</f>
        <v>BR60</v>
      </c>
      <c r="N61" s="424">
        <f>'Конфигурация TREI'!B62</f>
        <v>0</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sheetPr codeName="Лист73">
    <tabColor theme="2" tint="-0.249977111117893"/>
  </sheetPr>
  <dimension ref="A1:BE61"/>
  <sheetViews>
    <sheetView workbookViewId="0">
      <selection activeCell="A5" sqref="A5"/>
    </sheetView>
  </sheetViews>
  <sheetFormatPr defaultRowHeight="14.4"/>
  <cols>
    <col min="1" max="1" width="35.44140625" customWidth="1"/>
    <col min="2" max="2" width="21.44140625" customWidth="1"/>
    <col min="3" max="3" width="3.44140625" customWidth="1"/>
    <col min="4" max="4" width="1.109375" customWidth="1"/>
    <col min="5" max="5" width="33.44140625" customWidth="1"/>
    <col min="6" max="6" width="17.6640625" customWidth="1"/>
    <col min="7" max="7" width="10.5546875" customWidth="1"/>
    <col min="8" max="8" width="14.33203125" customWidth="1"/>
    <col min="9" max="9" width="11.44140625" customWidth="1"/>
    <col min="10" max="10" width="9.109375" hidden="1" customWidth="1"/>
    <col min="11" max="11" width="10.88671875" customWidth="1"/>
    <col min="12" max="12" width="11.5546875" customWidth="1"/>
    <col min="13" max="15" width="9.109375" customWidth="1"/>
    <col min="16" max="16" width="34.6640625" customWidth="1"/>
    <col min="17" max="17" width="39.33203125" customWidth="1"/>
    <col min="18" max="30" width="26.109375" style="55" customWidth="1"/>
    <col min="31" max="31" width="4.5546875" style="427" customWidth="1"/>
    <col min="32" max="32" width="11.109375" customWidth="1"/>
  </cols>
  <sheetData>
    <row r="1" spans="1:57">
      <c r="A1" s="425"/>
      <c r="B1" s="425"/>
      <c r="C1" s="425"/>
      <c r="D1" s="425"/>
      <c r="E1" s="425"/>
      <c r="F1" s="425"/>
      <c r="G1" s="426" t="s">
        <v>846</v>
      </c>
      <c r="H1" s="426" t="s">
        <v>847</v>
      </c>
      <c r="I1" s="424" t="s">
        <v>1181</v>
      </c>
      <c r="J1" s="425"/>
      <c r="M1" s="424" t="str">
        <f>'Конфигурация TREI'!A1</f>
        <v>№ Модуля</v>
      </c>
      <c r="N1" s="424" t="str">
        <f>'Конфигурация TREI'!B2</f>
        <v>M501E(рез)</v>
      </c>
      <c r="O1" s="425"/>
      <c r="P1" s="425" t="str">
        <f>Таблица!D1</f>
        <v>Префикс для TREI
Тэг ОРС для INFINITY</v>
      </c>
      <c r="Q1" s="425" t="str">
        <f>Таблица!E1</f>
        <v>Комментарий для TREI и INFINITY</v>
      </c>
      <c r="R1" s="428" t="s">
        <v>1208</v>
      </c>
      <c r="S1" s="428"/>
      <c r="T1" s="428"/>
      <c r="U1" s="428"/>
      <c r="V1" s="428"/>
      <c r="W1" s="428"/>
      <c r="X1" s="428"/>
      <c r="Y1" s="428"/>
      <c r="Z1" s="428"/>
      <c r="AA1" s="428"/>
      <c r="AB1" s="428"/>
      <c r="AC1" s="428"/>
      <c r="AD1" s="429"/>
      <c r="AE1" s="438"/>
      <c r="AF1" s="438">
        <f>Настройки!Q1</f>
        <v>0</v>
      </c>
      <c r="AG1" s="438" t="str">
        <f>Настройки!R1</f>
        <v>M943DR</v>
      </c>
      <c r="AH1" s="438" t="str">
        <f>Настройки!S1</f>
        <v>M942A</v>
      </c>
      <c r="AI1" s="438" t="str">
        <f>Настройки!T1</f>
        <v>M957D</v>
      </c>
      <c r="AJ1" s="438" t="str">
        <f>Настройки!U1</f>
        <v>M957O</v>
      </c>
      <c r="AK1" s="438" t="str">
        <f>Настройки!V1</f>
        <v>M947R</v>
      </c>
      <c r="AL1" s="438" t="str">
        <f>Настройки!W1</f>
        <v>M931V</v>
      </c>
      <c r="AM1" s="438" t="str">
        <f>Настройки!X1</f>
        <v>M931T</v>
      </c>
      <c r="AN1" s="438" t="str">
        <f>Настройки!Y1</f>
        <v>M547A</v>
      </c>
      <c r="AO1" s="438" t="str">
        <f>Настройки!Z1</f>
        <v>M537V</v>
      </c>
      <c r="AP1" s="438" t="str">
        <f>Настройки!AA1</f>
        <v>M557D</v>
      </c>
      <c r="AQ1" s="438" t="str">
        <f>Настройки!AB1</f>
        <v>M557O</v>
      </c>
      <c r="AR1" s="438" t="str">
        <f>Настройки!AC1</f>
        <v>MOPS</v>
      </c>
      <c r="AS1" s="438" t="str">
        <f>Настройки!AD1</f>
        <v>MUPS</v>
      </c>
      <c r="AT1" s="439" t="str">
        <f>Настройки!AB1</f>
        <v>M557O</v>
      </c>
      <c r="AU1" s="439" t="str">
        <f>Настройки!AC1</f>
        <v>MOPS</v>
      </c>
      <c r="AV1" s="439" t="str">
        <f>Настройки!AD1</f>
        <v>MUPS</v>
      </c>
      <c r="AW1" s="439" t="str">
        <f>Настройки!AE1</f>
        <v>M941A</v>
      </c>
      <c r="AX1" s="439" t="str">
        <f>Настройки!AF1</f>
        <v>M954D</v>
      </c>
      <c r="AY1" s="439" t="str">
        <f>Настройки!AG1</f>
        <v>M557DR</v>
      </c>
      <c r="AZ1" s="439" t="str">
        <f>Настройки!AH1</f>
        <v>M558D</v>
      </c>
      <c r="BA1" s="439" t="str">
        <f>Настройки!AI1</f>
        <v>M558O</v>
      </c>
      <c r="BB1" s="439" t="str">
        <f>Настройки!AJ1</f>
        <v>M548A</v>
      </c>
      <c r="BC1" s="439" t="str">
        <f>Настройки!AK1</f>
        <v>M538V</v>
      </c>
      <c r="BD1" s="439" t="str">
        <f>Настройки!AL1</f>
        <v>M558DR</v>
      </c>
      <c r="BE1" s="439" t="str">
        <f>Настройки!AM1</f>
        <v>*</v>
      </c>
    </row>
    <row r="2" spans="1:57">
      <c r="A2" s="446" t="str">
        <f>"//*********** "&amp;Q2&amp;" ***********"</f>
        <v>//*********** Клапаны однокомандные с КЦ (клапан соленоид) ***********</v>
      </c>
      <c r="B2" s="446"/>
      <c r="C2" s="446"/>
      <c r="D2" s="446"/>
      <c r="E2" s="446"/>
      <c r="F2" s="446" t="s">
        <v>1031</v>
      </c>
      <c r="G2" s="447"/>
      <c r="H2" s="447"/>
      <c r="I2" s="459"/>
      <c r="M2" s="424" t="str">
        <f>'Конфигурация TREI'!A3</f>
        <v>BR1</v>
      </c>
      <c r="N2" s="424" t="str">
        <f>'Конфигурация TREI'!B3</f>
        <v>M558D</v>
      </c>
      <c r="P2" s="2" t="s">
        <v>613</v>
      </c>
      <c r="Q2" s="2" t="s">
        <v>489</v>
      </c>
      <c r="R2" s="379" t="s">
        <v>1301</v>
      </c>
      <c r="S2" s="378"/>
      <c r="T2" s="378"/>
      <c r="U2" s="378"/>
      <c r="V2" s="378"/>
      <c r="W2" s="378"/>
      <c r="X2" s="378"/>
      <c r="Y2" s="378"/>
      <c r="Z2" s="378"/>
      <c r="AA2" s="378"/>
      <c r="AB2" s="378"/>
      <c r="AC2" s="378"/>
      <c r="AE2" s="431">
        <f>Настройки!P2</f>
        <v>1</v>
      </c>
      <c r="AF2" s="380">
        <f>Настройки!Q2</f>
        <v>0</v>
      </c>
      <c r="AG2" s="380" t="str">
        <f>Настройки!R2</f>
        <v>IDIG_1_1</v>
      </c>
      <c r="AH2" s="380" t="str">
        <f>Настройки!S2</f>
        <v>IANS_1_3</v>
      </c>
      <c r="AI2" s="380" t="str">
        <f>Настройки!T2</f>
        <v>out0</v>
      </c>
      <c r="AJ2" s="380" t="str">
        <f>Настройки!U2</f>
        <v>out0</v>
      </c>
      <c r="AK2" s="380" t="str">
        <f>Настройки!V2</f>
        <v>ODIG_1</v>
      </c>
      <c r="AL2" s="380" t="str">
        <f>Настройки!W2</f>
        <v>OAN_1_1</v>
      </c>
      <c r="AM2" s="380" t="str">
        <f>Настройки!X2</f>
        <v>IANS_1_1</v>
      </c>
      <c r="AN2" s="380" t="str">
        <f>Настройки!Y2</f>
        <v>Canal_01</v>
      </c>
      <c r="AO2" s="380" t="str">
        <f>Настройки!Z2</f>
        <v>Canal_01</v>
      </c>
      <c r="AP2" s="380" t="str">
        <f>Настройки!AA2</f>
        <v>Canal_01</v>
      </c>
      <c r="AQ2" s="380" t="str">
        <f>Настройки!AB2</f>
        <v>Canal_01</v>
      </c>
      <c r="AR2" s="380" t="str">
        <f>Настройки!AC2</f>
        <v>IVXX[0]</v>
      </c>
      <c r="AS2" s="380" t="str">
        <f>Настройки!AD2</f>
        <v>IVXX[0]</v>
      </c>
      <c r="AT2" s="207" t="str">
        <f>Настройки!AB2</f>
        <v>Canal_01</v>
      </c>
      <c r="AU2" s="207" t="str">
        <f>Настройки!AC2</f>
        <v>IVXX[0]</v>
      </c>
      <c r="AV2" s="207" t="str">
        <f>Настройки!AD2</f>
        <v>IVXX[0]</v>
      </c>
      <c r="AW2" s="207" t="str">
        <f>Настройки!AE2</f>
        <v>IANS_1_1</v>
      </c>
      <c r="AX2" s="207" t="str">
        <f>Настройки!AF2</f>
        <v>IDIG_1_1</v>
      </c>
      <c r="AY2" s="207" t="str">
        <f>Настройки!AG2</f>
        <v>Canal_01</v>
      </c>
      <c r="AZ2" s="207" t="str">
        <f>Настройки!AH2</f>
        <v>Canal_01</v>
      </c>
      <c r="BA2" s="207" t="str">
        <f>Настройки!AI2</f>
        <v>Canal_01</v>
      </c>
      <c r="BB2" s="207" t="str">
        <f>Настройки!AJ2</f>
        <v>Canal_01</v>
      </c>
      <c r="BC2" s="207" t="str">
        <f>Настройки!AK2</f>
        <v>Canal_01</v>
      </c>
      <c r="BD2" s="207" t="str">
        <f>Настройки!AL2</f>
        <v>Canal_01</v>
      </c>
      <c r="BE2" s="207" t="str">
        <f>Настройки!AM2</f>
        <v>-</v>
      </c>
    </row>
    <row r="3" spans="1:57">
      <c r="A3" s="448" t="str">
        <f>SUBSTITUTE($P$2,"\","|")&amp;"|"&amp; $R$1 &amp;":="&amp;IF(LEFT(SUBSTITUTE($R$2," ",""),1)="!","NOT  ","")</f>
        <v>FB_KL_UPT_S|ISON:=</v>
      </c>
      <c r="B3" s="448" t="str">
        <f>$G$3&amp;"_"&amp;LEFT($R$3,FIND("+",$R$3,1)-1)</f>
        <v>MUPS_1</v>
      </c>
      <c r="C3" s="446"/>
      <c r="D3" s="446" t="s">
        <v>1861</v>
      </c>
      <c r="E3" s="446" t="str">
        <f ca="1">IF($R$2=0,"УДАЛИТЬ",IFERROR(IF(OR($I3="-",$H3="0"),"КАНАЛ ОТСУТСТВУЕТ",IF($I3=0,"МОДУЛЬ ОТСУТСТВУЕТ",$I3)),"ОШИБКА ФОРМАТА"))</f>
        <v>IVXX[1]</v>
      </c>
      <c r="F3" s="446" t="s">
        <v>845</v>
      </c>
      <c r="G3" s="447" t="str">
        <f>LEFT($R$2,4)</f>
        <v>MUPS</v>
      </c>
      <c r="H3" s="447" t="str">
        <f>RIGHT(R$3,LEN(R$3)-FIND("+",R$3,1))</f>
        <v>2</v>
      </c>
      <c r="I3" s="460" t="str">
        <f ca="1">INDIRECT(ADDRESS($H3+1,MATCH($G3,$1:$1,),1))</f>
        <v>IVXX[1]</v>
      </c>
      <c r="M3" s="424" t="str">
        <f>'Конфигурация TREI'!A4</f>
        <v>BR2</v>
      </c>
      <c r="N3" s="424" t="str">
        <f>'Конфигурация TREI'!B4</f>
        <v>M548A</v>
      </c>
      <c r="P3" s="425" t="str">
        <f>'Конфигурация TREI'!D1</f>
        <v>Путь TREI для сигналов NOT_LINK</v>
      </c>
      <c r="R3" s="451" t="str">
        <f>SUBSTITUTE(SUBSTITUTE(SUBSTITUTE(SUBSTITUTE($R$2,"!","")," ",""),"MUPS",""),"MOPS","")</f>
        <v>1+2</v>
      </c>
      <c r="S3" s="450"/>
      <c r="T3" s="450"/>
      <c r="U3" s="450"/>
      <c r="V3" s="450"/>
      <c r="W3" s="450"/>
      <c r="X3" s="450"/>
      <c r="Y3" s="450"/>
      <c r="Z3" s="450"/>
      <c r="AA3" s="450"/>
      <c r="AB3" s="450"/>
      <c r="AC3" s="450"/>
      <c r="AE3" s="431">
        <f>Настройки!P3</f>
        <v>2</v>
      </c>
      <c r="AF3" s="380">
        <f>Настройки!Q3</f>
        <v>0</v>
      </c>
      <c r="AG3" s="380" t="str">
        <f>Настройки!R3</f>
        <v>IDIG_1_2</v>
      </c>
      <c r="AH3" s="380" t="str">
        <f>Настройки!S3</f>
        <v>IANS_1_4</v>
      </c>
      <c r="AI3" s="380" t="str">
        <f>Настройки!T3</f>
        <v>out1</v>
      </c>
      <c r="AJ3" s="380" t="str">
        <f>Настройки!U3</f>
        <v>out1</v>
      </c>
      <c r="AK3" s="380" t="str">
        <f>Настройки!V3</f>
        <v>ODIG_2</v>
      </c>
      <c r="AL3" s="380" t="str">
        <f>Настройки!W3</f>
        <v>OAN_2_1</v>
      </c>
      <c r="AM3" s="380" t="str">
        <f>Настройки!X3</f>
        <v>IANS_2_1</v>
      </c>
      <c r="AN3" s="380" t="str">
        <f>Настройки!Y3</f>
        <v>Canal_02</v>
      </c>
      <c r="AO3" s="380" t="str">
        <f>Настройки!Z3</f>
        <v>Canal_02</v>
      </c>
      <c r="AP3" s="380" t="str">
        <f>Настройки!AA3</f>
        <v>Canal_02</v>
      </c>
      <c r="AQ3" s="380" t="str">
        <f>Настройки!AB3</f>
        <v>Canal_02</v>
      </c>
      <c r="AR3" s="380" t="str">
        <f>Настройки!AC3</f>
        <v>IVXX[1]</v>
      </c>
      <c r="AS3" s="380" t="str">
        <f>Настройки!AD3</f>
        <v>IVXX[1]</v>
      </c>
      <c r="AT3" s="207" t="str">
        <f>Настройки!AB3</f>
        <v>Canal_02</v>
      </c>
      <c r="AU3" s="207" t="str">
        <f>Настройки!AC3</f>
        <v>IVXX[1]</v>
      </c>
      <c r="AV3" s="207" t="str">
        <f>Настройки!AD3</f>
        <v>IVXX[1]</v>
      </c>
      <c r="AW3" s="207" t="str">
        <f>Настройки!AE3</f>
        <v>IANS_1_2</v>
      </c>
      <c r="AX3" s="207" t="str">
        <f>Настройки!AF3</f>
        <v>IDIG_1_2</v>
      </c>
      <c r="AY3" s="207" t="str">
        <f>Настройки!AG3</f>
        <v>Canal_02</v>
      </c>
      <c r="AZ3" s="207" t="str">
        <f>Настройки!AH3</f>
        <v>Canal_02</v>
      </c>
      <c r="BA3" s="207" t="str">
        <f>Настройки!AI3</f>
        <v>Canal_02</v>
      </c>
      <c r="BB3" s="207" t="str">
        <f>Настройки!AJ3</f>
        <v>Canal_02</v>
      </c>
      <c r="BC3" s="207" t="str">
        <f>Настройки!AK3</f>
        <v>Canal_02</v>
      </c>
      <c r="BD3" s="207" t="str">
        <f>Настройки!AL3</f>
        <v>Canal_02</v>
      </c>
      <c r="BE3" s="207" t="str">
        <f>Настройки!AM3</f>
        <v>-</v>
      </c>
    </row>
    <row r="4" spans="1:57">
      <c r="A4" s="448" t="str">
        <f>SUBSTITUTE($P$2,"\","|")&amp;"|"&amp;"D"&amp; RIGHT($R$1,3)&amp;":="</f>
        <v>FB_KL_UPT_S|DSON:=</v>
      </c>
      <c r="B4" s="448" t="str">
        <f>$G$3&amp;"_"&amp;LEFT($R$3,FIND("+",$R$3,1)-1)</f>
        <v>MUPS_1</v>
      </c>
      <c r="C4" s="446"/>
      <c r="D4" s="446" t="s">
        <v>1861</v>
      </c>
      <c r="E4" s="446" t="str">
        <f>IF($R$2=0,"УДАЛИТЬ","DVXX")</f>
        <v>DVXX</v>
      </c>
      <c r="F4" s="446" t="s">
        <v>845</v>
      </c>
      <c r="G4" s="447"/>
      <c r="H4" s="447"/>
      <c r="I4" s="460"/>
      <c r="M4" s="424" t="str">
        <f>'Конфигурация TREI'!A5</f>
        <v>BR3</v>
      </c>
      <c r="N4" s="424" t="str">
        <f>'Конфигурация TREI'!B5</f>
        <v>M548A</v>
      </c>
      <c r="P4" s="3" t="str">
        <f>Настройки!D2</f>
        <v/>
      </c>
      <c r="AE4" s="431">
        <f>Настройки!P4</f>
        <v>3</v>
      </c>
      <c r="AF4" s="380">
        <f>Настройки!Q4</f>
        <v>0</v>
      </c>
      <c r="AG4" s="380" t="str">
        <f>Настройки!R4</f>
        <v>IDIG_2_1</v>
      </c>
      <c r="AH4" s="380" t="str">
        <f>Настройки!S4</f>
        <v>IANS_2_3</v>
      </c>
      <c r="AI4" s="380" t="str">
        <f>Настройки!T4</f>
        <v>out2</v>
      </c>
      <c r="AJ4" s="380" t="str">
        <f>Настройки!U4</f>
        <v>out2</v>
      </c>
      <c r="AK4" s="380" t="str">
        <f>Настройки!V4</f>
        <v>ODIG_3</v>
      </c>
      <c r="AL4" s="380" t="str">
        <f>Настройки!W4</f>
        <v>OAN_3_1</v>
      </c>
      <c r="AM4" s="380" t="str">
        <f>Настройки!X4</f>
        <v>IANS_3_1</v>
      </c>
      <c r="AN4" s="380" t="str">
        <f>Настройки!Y4</f>
        <v>Canal_03</v>
      </c>
      <c r="AO4" s="380" t="str">
        <f>Настройки!Z4</f>
        <v>Canal_03</v>
      </c>
      <c r="AP4" s="380" t="str">
        <f>Настройки!AA4</f>
        <v>Canal_03</v>
      </c>
      <c r="AQ4" s="380" t="str">
        <f>Настройки!AB4</f>
        <v>Canal_03</v>
      </c>
      <c r="AR4" s="380" t="str">
        <f>Настройки!AC4</f>
        <v>IVXX[2]</v>
      </c>
      <c r="AS4" s="380" t="str">
        <f>Настройки!AD4</f>
        <v>IVXX[2]</v>
      </c>
      <c r="AT4" s="207" t="str">
        <f>Настройки!AB4</f>
        <v>Canal_03</v>
      </c>
      <c r="AU4" s="207" t="str">
        <f>Настройки!AC4</f>
        <v>IVXX[2]</v>
      </c>
      <c r="AV4" s="207" t="str">
        <f>Настройки!AD4</f>
        <v>IVXX[2]</v>
      </c>
      <c r="AW4" s="207" t="str">
        <f>Настройки!AE4</f>
        <v>IANS_2_1</v>
      </c>
      <c r="AX4" s="207" t="str">
        <f>Настройки!AF4</f>
        <v>IDIG_1_3</v>
      </c>
      <c r="AY4" s="207" t="str">
        <f>Настройки!AG4</f>
        <v>Canal_03</v>
      </c>
      <c r="AZ4" s="207" t="str">
        <f>Настройки!AH4</f>
        <v>Canal_03</v>
      </c>
      <c r="BA4" s="207" t="str">
        <f>Настройки!AI4</f>
        <v>Canal_03</v>
      </c>
      <c r="BB4" s="207" t="str">
        <f>Настройки!AJ4</f>
        <v>Canal_03</v>
      </c>
      <c r="BC4" s="207" t="str">
        <f>Настройки!AK4</f>
        <v>Canal_03</v>
      </c>
      <c r="BD4" s="207" t="str">
        <f>Настройки!AL4</f>
        <v>Canal_03</v>
      </c>
      <c r="BE4" s="207" t="str">
        <f>Настройки!AM4</f>
        <v>-</v>
      </c>
    </row>
    <row r="5" spans="1:57" ht="14.25" customHeight="1">
      <c r="A5" s="82"/>
      <c r="B5" s="82"/>
      <c r="C5" s="81"/>
      <c r="D5" s="81"/>
      <c r="E5" s="81"/>
      <c r="F5" s="81"/>
      <c r="G5" s="445"/>
      <c r="H5" s="445"/>
      <c r="I5" s="460"/>
      <c r="M5" s="424" t="str">
        <f>'Конфигурация TREI'!A6</f>
        <v>BR4</v>
      </c>
      <c r="N5" s="424" t="str">
        <f>'Конфигурация TREI'!B6</f>
        <v>M558D</v>
      </c>
      <c r="R5" s="56"/>
      <c r="AE5" s="431">
        <f>Настройки!P5</f>
        <v>4</v>
      </c>
      <c r="AF5" s="380">
        <f>Настройки!Q5</f>
        <v>0</v>
      </c>
      <c r="AG5" s="380" t="str">
        <f>Настройки!R5</f>
        <v>IDIG_2_2</v>
      </c>
      <c r="AH5" s="380" t="str">
        <f>Настройки!S5</f>
        <v>IANS_2_4</v>
      </c>
      <c r="AI5" s="380" t="str">
        <f>Настройки!T5</f>
        <v>out3</v>
      </c>
      <c r="AJ5" s="380" t="str">
        <f>Настройки!U5</f>
        <v>out3</v>
      </c>
      <c r="AK5" s="380" t="str">
        <f>Настройки!V5</f>
        <v>ODIG_4</v>
      </c>
      <c r="AL5" s="380" t="str">
        <f>Настройки!W5</f>
        <v>OAN_4_1</v>
      </c>
      <c r="AM5" s="380" t="str">
        <f>Настройки!X5</f>
        <v>IANS_4_1</v>
      </c>
      <c r="AN5" s="380" t="str">
        <f>Настройки!Y5</f>
        <v>Canal_04</v>
      </c>
      <c r="AO5" s="380" t="str">
        <f>Настройки!Z5</f>
        <v>Canal_04</v>
      </c>
      <c r="AP5" s="380" t="str">
        <f>Настройки!AA5</f>
        <v>Canal_04</v>
      </c>
      <c r="AQ5" s="380" t="str">
        <f>Настройки!AB5</f>
        <v>Canal_04</v>
      </c>
      <c r="AR5" s="380" t="str">
        <f>Настройки!AC5</f>
        <v>IVXX[3]</v>
      </c>
      <c r="AS5" s="380" t="str">
        <f>Настройки!AD5</f>
        <v>IVXX[3]</v>
      </c>
      <c r="AT5" s="207" t="str">
        <f>Настройки!AB5</f>
        <v>Canal_04</v>
      </c>
      <c r="AU5" s="207" t="str">
        <f>Настройки!AC5</f>
        <v>IVXX[3]</v>
      </c>
      <c r="AV5" s="207" t="str">
        <f>Настройки!AD5</f>
        <v>IVXX[3]</v>
      </c>
      <c r="AW5" s="207" t="str">
        <f>Настройки!AE5</f>
        <v>IANS_2_2</v>
      </c>
      <c r="AX5" s="207" t="str">
        <f>Настройки!AF5</f>
        <v>IDIG_1_4</v>
      </c>
      <c r="AY5" s="207" t="str">
        <f>Настройки!AG5</f>
        <v>Canal_04</v>
      </c>
      <c r="AZ5" s="207" t="str">
        <f>Настройки!AH5</f>
        <v>Canal_04</v>
      </c>
      <c r="BA5" s="207" t="str">
        <f>Настройки!AI5</f>
        <v>Canal_04</v>
      </c>
      <c r="BB5" s="207" t="str">
        <f>Настройки!AJ5</f>
        <v>Canal_04</v>
      </c>
      <c r="BC5" s="207" t="str">
        <f>Настройки!AK5</f>
        <v>Canal_04</v>
      </c>
      <c r="BD5" s="207" t="str">
        <f>Настройки!AL5</f>
        <v>Canal_04</v>
      </c>
      <c r="BE5" s="207" t="str">
        <f>Настройки!AM5</f>
        <v>-</v>
      </c>
    </row>
    <row r="6" spans="1:57">
      <c r="A6" s="82"/>
      <c r="B6" s="82"/>
      <c r="C6" s="81"/>
      <c r="D6" s="81"/>
      <c r="E6" s="82"/>
      <c r="F6" s="81"/>
      <c r="G6" s="445"/>
      <c r="H6" s="445"/>
      <c r="I6" s="460"/>
      <c r="M6" s="424" t="str">
        <f>'Конфигурация TREI'!A7</f>
        <v>BR5</v>
      </c>
      <c r="N6" s="424" t="str">
        <f>'Конфигурация TREI'!B7</f>
        <v>M558O</v>
      </c>
      <c r="AE6" s="431">
        <f>Настройки!P6</f>
        <v>5</v>
      </c>
      <c r="AF6" s="380">
        <f>Настройки!Q6</f>
        <v>0</v>
      </c>
      <c r="AG6" s="380" t="str">
        <f>Настройки!R6</f>
        <v>IDIG_3_1</v>
      </c>
      <c r="AH6" s="380" t="str">
        <f>Настройки!S6</f>
        <v>IANS_3_3</v>
      </c>
      <c r="AI6" s="380" t="str">
        <f>Настройки!T6</f>
        <v>out4</v>
      </c>
      <c r="AJ6" s="380" t="str">
        <f>Настройки!U6</f>
        <v>out4</v>
      </c>
      <c r="AK6" s="380" t="str">
        <f>Настройки!V6</f>
        <v>ODIG_5</v>
      </c>
      <c r="AL6" s="380" t="str">
        <f>Настройки!W6</f>
        <v>OAN_5_1</v>
      </c>
      <c r="AM6" s="380" t="str">
        <f>Настройки!X6</f>
        <v>IANS_5_1</v>
      </c>
      <c r="AN6" s="380" t="str">
        <f>Настройки!Y6</f>
        <v>Canal_05</v>
      </c>
      <c r="AO6" s="380" t="str">
        <f>Настройки!Z6</f>
        <v>Canal_05</v>
      </c>
      <c r="AP6" s="380" t="str">
        <f>Настройки!AA6</f>
        <v>Canal_05</v>
      </c>
      <c r="AQ6" s="380" t="str">
        <f>Настройки!AB6</f>
        <v>Canal_05</v>
      </c>
      <c r="AR6" s="380" t="str">
        <f>Настройки!AC6</f>
        <v>IVXX[4]</v>
      </c>
      <c r="AS6" s="380" t="str">
        <f>Настройки!AD6</f>
        <v>IVXX[4]</v>
      </c>
      <c r="AT6" s="207" t="str">
        <f>Настройки!AB6</f>
        <v>Canal_05</v>
      </c>
      <c r="AU6" s="207" t="str">
        <f>Настройки!AC6</f>
        <v>IVXX[4]</v>
      </c>
      <c r="AV6" s="207" t="str">
        <f>Настройки!AD6</f>
        <v>IVXX[4]</v>
      </c>
      <c r="AW6" s="207" t="str">
        <f>Настройки!AE6</f>
        <v>IANS_3_1</v>
      </c>
      <c r="AX6" s="207" t="str">
        <f>Настройки!AF6</f>
        <v>IDIG_2_1</v>
      </c>
      <c r="AY6" s="207" t="str">
        <f>Настройки!AG6</f>
        <v>Canal_05</v>
      </c>
      <c r="AZ6" s="207" t="str">
        <f>Настройки!AH6</f>
        <v>Canal_05</v>
      </c>
      <c r="BA6" s="207" t="str">
        <f>Настройки!AI6</f>
        <v>Canal_05</v>
      </c>
      <c r="BB6" s="207" t="str">
        <f>Настройки!AJ6</f>
        <v>Canal_05</v>
      </c>
      <c r="BC6" s="207" t="str">
        <f>Настройки!AK6</f>
        <v>Canal_05</v>
      </c>
      <c r="BD6" s="207" t="str">
        <f>Настройки!AL6</f>
        <v>Canal_05</v>
      </c>
      <c r="BE6" s="207" t="str">
        <f>Настройки!AM6</f>
        <v>-</v>
      </c>
    </row>
    <row r="7" spans="1:57">
      <c r="A7" s="82"/>
      <c r="B7" s="82"/>
      <c r="C7" s="81"/>
      <c r="D7" s="81"/>
      <c r="E7" s="82"/>
      <c r="F7" s="81"/>
      <c r="G7" s="445"/>
      <c r="H7" s="445"/>
      <c r="I7" s="460"/>
      <c r="M7" s="424" t="str">
        <f>'Конфигурация TREI'!A8</f>
        <v>BR6</v>
      </c>
      <c r="N7" s="424" t="str">
        <f>'Конфигурация TREI'!B8</f>
        <v>M558O</v>
      </c>
      <c r="AE7" s="431">
        <f>Настройки!P7</f>
        <v>6</v>
      </c>
      <c r="AF7" s="380">
        <f>Настройки!Q7</f>
        <v>0</v>
      </c>
      <c r="AG7" s="380" t="str">
        <f>Настройки!R7</f>
        <v>IDIG_3_2</v>
      </c>
      <c r="AH7" s="380" t="str">
        <f>Настройки!S7</f>
        <v>IANS_3_4</v>
      </c>
      <c r="AI7" s="380" t="str">
        <f>Настройки!T7</f>
        <v>out5</v>
      </c>
      <c r="AJ7" s="380" t="str">
        <f>Настройки!U7</f>
        <v>out5</v>
      </c>
      <c r="AK7" s="380" t="str">
        <f>Настройки!V7</f>
        <v>ODIG_6</v>
      </c>
      <c r="AL7" s="380" t="str">
        <f>Настройки!W7</f>
        <v>OAN_6_1</v>
      </c>
      <c r="AM7" s="380" t="str">
        <f>Настройки!X7</f>
        <v>IANS_6_1</v>
      </c>
      <c r="AN7" s="380" t="str">
        <f>Настройки!Y7</f>
        <v>Canal_06</v>
      </c>
      <c r="AO7" s="380" t="str">
        <f>Настройки!Z7</f>
        <v>Canal_06</v>
      </c>
      <c r="AP7" s="380" t="str">
        <f>Настройки!AA7</f>
        <v>Canal_06</v>
      </c>
      <c r="AQ7" s="380" t="str">
        <f>Настройки!AB7</f>
        <v>Canal_06</v>
      </c>
      <c r="AR7" s="380" t="str">
        <f>Настройки!AC7</f>
        <v>IVXX[5]</v>
      </c>
      <c r="AS7" s="380" t="str">
        <f>Настройки!AD7</f>
        <v>IVXX[5]</v>
      </c>
      <c r="AT7" s="207" t="str">
        <f>Настройки!AB7</f>
        <v>Canal_06</v>
      </c>
      <c r="AU7" s="207" t="str">
        <f>Настройки!AC7</f>
        <v>IVXX[5]</v>
      </c>
      <c r="AV7" s="207" t="str">
        <f>Настройки!AD7</f>
        <v>IVXX[5]</v>
      </c>
      <c r="AW7" s="207" t="str">
        <f>Настройки!AE7</f>
        <v>IANS_3_2</v>
      </c>
      <c r="AX7" s="207" t="str">
        <f>Настройки!AF7</f>
        <v>IDIG_2_2</v>
      </c>
      <c r="AY7" s="207" t="str">
        <f>Настройки!AG7</f>
        <v>Canal_06</v>
      </c>
      <c r="AZ7" s="207" t="str">
        <f>Настройки!AH7</f>
        <v>Canal_06</v>
      </c>
      <c r="BA7" s="207" t="str">
        <f>Настройки!AI7</f>
        <v>Canal_06</v>
      </c>
      <c r="BB7" s="207" t="str">
        <f>Настройки!AJ7</f>
        <v>Canal_06</v>
      </c>
      <c r="BC7" s="207" t="str">
        <f>Настройки!AK7</f>
        <v>Canal_06</v>
      </c>
      <c r="BD7" s="207" t="str">
        <f>Настройки!AL7</f>
        <v>Canal_06</v>
      </c>
      <c r="BE7" s="207" t="str">
        <f>Настройки!AM7</f>
        <v>-</v>
      </c>
    </row>
    <row r="8" spans="1:57">
      <c r="A8" s="82"/>
      <c r="B8" s="82"/>
      <c r="C8" s="81"/>
      <c r="D8" s="81"/>
      <c r="E8" s="82"/>
      <c r="F8" s="81"/>
      <c r="G8" s="445"/>
      <c r="H8" s="445"/>
      <c r="I8" s="460"/>
      <c r="M8" s="424" t="str">
        <f>'Конфигурация TREI'!A9</f>
        <v>BR7</v>
      </c>
      <c r="N8" s="424" t="str">
        <f>'Конфигурация TREI'!B9</f>
        <v>M558O</v>
      </c>
      <c r="AE8" s="431">
        <f>Настройки!P8</f>
        <v>7</v>
      </c>
      <c r="AF8" s="380">
        <f>Настройки!Q8</f>
        <v>0</v>
      </c>
      <c r="AG8" s="380" t="str">
        <f>Настройки!R8</f>
        <v>IDIG_4_1</v>
      </c>
      <c r="AH8" s="380" t="str">
        <f>Настройки!S8</f>
        <v>IANS_4_3</v>
      </c>
      <c r="AI8" s="380" t="str">
        <f>Настройки!T8</f>
        <v>out6</v>
      </c>
      <c r="AJ8" s="380" t="str">
        <f>Настройки!U8</f>
        <v>out6</v>
      </c>
      <c r="AK8" s="380" t="str">
        <f>Настройки!V8</f>
        <v>ODIG_7</v>
      </c>
      <c r="AL8" s="380" t="str">
        <f>Настройки!W8</f>
        <v>OAN_7_1</v>
      </c>
      <c r="AM8" s="380" t="str">
        <f>Настройки!X8</f>
        <v>IANS_7_1</v>
      </c>
      <c r="AN8" s="380" t="str">
        <f>Настройки!Y8</f>
        <v>Canal_07</v>
      </c>
      <c r="AO8" s="380" t="str">
        <f>Настройки!Z8</f>
        <v>Canal_07</v>
      </c>
      <c r="AP8" s="380" t="str">
        <f>Настройки!AA8</f>
        <v>Canal_07</v>
      </c>
      <c r="AQ8" s="380" t="str">
        <f>Настройки!AB8</f>
        <v>Canal_07</v>
      </c>
      <c r="AR8" s="380" t="str">
        <f>Настройки!AC8</f>
        <v>IVXX[6]</v>
      </c>
      <c r="AS8" s="380" t="str">
        <f>Настройки!AD8</f>
        <v>IVXX[6]</v>
      </c>
      <c r="AT8" s="207" t="str">
        <f>Настройки!AB8</f>
        <v>Canal_07</v>
      </c>
      <c r="AU8" s="207" t="str">
        <f>Настройки!AC8</f>
        <v>IVXX[6]</v>
      </c>
      <c r="AV8" s="207" t="str">
        <f>Настройки!AD8</f>
        <v>IVXX[6]</v>
      </c>
      <c r="AW8" s="207" t="str">
        <f>Настройки!AE8</f>
        <v>IANS_4_1</v>
      </c>
      <c r="AX8" s="207" t="str">
        <f>Настройки!AF8</f>
        <v>IDIG_2_3</v>
      </c>
      <c r="AY8" s="207" t="str">
        <f>Настройки!AG8</f>
        <v>Canal_07</v>
      </c>
      <c r="AZ8" s="207" t="str">
        <f>Настройки!AH8</f>
        <v>Canal_07</v>
      </c>
      <c r="BA8" s="207" t="str">
        <f>Настройки!AI8</f>
        <v>Canal_07</v>
      </c>
      <c r="BB8" s="207" t="str">
        <f>Настройки!AJ8</f>
        <v>Canal_07</v>
      </c>
      <c r="BC8" s="207" t="str">
        <f>Настройки!AK8</f>
        <v>Canal_07</v>
      </c>
      <c r="BD8" s="207" t="str">
        <f>Настройки!AL8</f>
        <v>Canal_07</v>
      </c>
      <c r="BE8" s="207" t="str">
        <f>Настройки!AM8</f>
        <v>-</v>
      </c>
    </row>
    <row r="9" spans="1:57">
      <c r="A9" s="82"/>
      <c r="B9" s="82"/>
      <c r="C9" s="81"/>
      <c r="D9" s="81"/>
      <c r="E9" s="82"/>
      <c r="F9" s="81"/>
      <c r="G9" s="445"/>
      <c r="H9" s="445"/>
      <c r="I9" s="1"/>
      <c r="M9" s="424" t="str">
        <f>'Конфигурация TREI'!A10</f>
        <v>BR8</v>
      </c>
      <c r="N9" s="424" t="str">
        <f>'Конфигурация TREI'!B10</f>
        <v>M558O</v>
      </c>
      <c r="AE9" s="431">
        <f>Настройки!P9</f>
        <v>8</v>
      </c>
      <c r="AF9" s="380">
        <f>Настройки!Q9</f>
        <v>0</v>
      </c>
      <c r="AG9" s="380" t="str">
        <f>Настройки!R9</f>
        <v>IDIG_4_2</v>
      </c>
      <c r="AH9" s="380" t="str">
        <f>Настройки!S9</f>
        <v>IANS_4_4</v>
      </c>
      <c r="AI9" s="380" t="str">
        <f>Настройки!T9</f>
        <v>out7</v>
      </c>
      <c r="AJ9" s="380" t="str">
        <f>Настройки!U9</f>
        <v>out7</v>
      </c>
      <c r="AK9" s="380" t="str">
        <f>Настройки!V9</f>
        <v>ODIG_8</v>
      </c>
      <c r="AL9" s="380" t="str">
        <f>Настройки!W9</f>
        <v>OAN_8_1</v>
      </c>
      <c r="AM9" s="380" t="str">
        <f>Настройки!X9</f>
        <v>IANS_8_1</v>
      </c>
      <c r="AN9" s="380" t="str">
        <f>Настройки!Y9</f>
        <v>Canal_08</v>
      </c>
      <c r="AO9" s="380" t="str">
        <f>Настройки!Z9</f>
        <v>Canal_08</v>
      </c>
      <c r="AP9" s="380" t="str">
        <f>Настройки!AA9</f>
        <v>Canal_08</v>
      </c>
      <c r="AQ9" s="380" t="str">
        <f>Настройки!AB9</f>
        <v>Canal_08</v>
      </c>
      <c r="AR9" s="380" t="str">
        <f>Настройки!AC9</f>
        <v>IVXX[7]</v>
      </c>
      <c r="AS9" s="380" t="str">
        <f>Настройки!AD9</f>
        <v>IVXX[7]</v>
      </c>
      <c r="AT9" s="207" t="str">
        <f>Настройки!AB9</f>
        <v>Canal_08</v>
      </c>
      <c r="AU9" s="207" t="str">
        <f>Настройки!AC9</f>
        <v>IVXX[7]</v>
      </c>
      <c r="AV9" s="207" t="str">
        <f>Настройки!AD9</f>
        <v>IVXX[7]</v>
      </c>
      <c r="AW9" s="207" t="str">
        <f>Настройки!AE9</f>
        <v>IANS_4_2</v>
      </c>
      <c r="AX9" s="207" t="str">
        <f>Настройки!AF9</f>
        <v>IDIG_2_4</v>
      </c>
      <c r="AY9" s="207" t="str">
        <f>Настройки!AG9</f>
        <v>Canal_08</v>
      </c>
      <c r="AZ9" s="207" t="str">
        <f>Настройки!AH9</f>
        <v>Canal_08</v>
      </c>
      <c r="BA9" s="207" t="str">
        <f>Настройки!AI9</f>
        <v>Canal_08</v>
      </c>
      <c r="BB9" s="207" t="str">
        <f>Настройки!AJ9</f>
        <v>Canal_08</v>
      </c>
      <c r="BC9" s="207" t="str">
        <f>Настройки!AK9</f>
        <v>Canal_08</v>
      </c>
      <c r="BD9" s="207" t="str">
        <f>Настройки!AL9</f>
        <v>Canal_08</v>
      </c>
      <c r="BE9" s="207" t="str">
        <f>Настройки!AM9</f>
        <v>-</v>
      </c>
    </row>
    <row r="10" spans="1:57">
      <c r="A10" s="82"/>
      <c r="B10" s="82"/>
      <c r="C10" s="81"/>
      <c r="D10" s="81"/>
      <c r="E10" s="82"/>
      <c r="F10" s="81"/>
      <c r="G10" s="445"/>
      <c r="H10" s="445"/>
      <c r="I10" s="1"/>
      <c r="M10" s="424" t="str">
        <f>'Конфигурация TREI'!A11</f>
        <v>BR9</v>
      </c>
      <c r="N10" s="424" t="str">
        <f>'Конфигурация TREI'!B11</f>
        <v>M558D</v>
      </c>
      <c r="AE10" s="431">
        <f>Настройки!P10</f>
        <v>9</v>
      </c>
      <c r="AF10" s="380">
        <f>Настройки!Q10</f>
        <v>0</v>
      </c>
      <c r="AG10" s="380" t="str">
        <f>Настройки!R10</f>
        <v>IDIG_5_1</v>
      </c>
      <c r="AH10" s="380" t="str">
        <f>Настройки!S10</f>
        <v>IANS_5_3</v>
      </c>
      <c r="AI10" s="380" t="str">
        <f>Настройки!T10</f>
        <v>out8</v>
      </c>
      <c r="AJ10" s="380" t="str">
        <f>Настройки!U10</f>
        <v>out8</v>
      </c>
      <c r="AK10" s="380" t="str">
        <f>Настройки!V10</f>
        <v>ODIG_9</v>
      </c>
      <c r="AL10" s="380" t="str">
        <f>Настройки!W10</f>
        <v>-</v>
      </c>
      <c r="AM10" s="380" t="str">
        <f>Настройки!X10</f>
        <v>-</v>
      </c>
      <c r="AN10" s="380" t="str">
        <f>Настройки!Y10</f>
        <v>Canal_09</v>
      </c>
      <c r="AO10" s="380" t="str">
        <f>Настройки!Z10</f>
        <v>-</v>
      </c>
      <c r="AP10" s="380" t="str">
        <f>Настройки!AA10</f>
        <v>Canal_09</v>
      </c>
      <c r="AQ10" s="380" t="str">
        <f>Настройки!AB10</f>
        <v>Canal_09</v>
      </c>
      <c r="AR10" s="380" t="str">
        <f>Настройки!AC10</f>
        <v>OCCH[0]</v>
      </c>
      <c r="AS10" s="380" t="str">
        <f>Настройки!AD10</f>
        <v>OCCH[0]</v>
      </c>
      <c r="AT10" s="207" t="str">
        <f>Настройки!AB10</f>
        <v>Canal_09</v>
      </c>
      <c r="AU10" s="207" t="str">
        <f>Настройки!AC10</f>
        <v>OCCH[0]</v>
      </c>
      <c r="AV10" s="207" t="str">
        <f>Настройки!AD10</f>
        <v>OCCH[0]</v>
      </c>
      <c r="AW10" s="207" t="str">
        <f>Настройки!AE10</f>
        <v>IANS_5_1</v>
      </c>
      <c r="AX10" s="207" t="str">
        <f>Настройки!AF10</f>
        <v>IDIG_3_1</v>
      </c>
      <c r="AY10" s="207" t="str">
        <f>Настройки!AG10</f>
        <v>Canal_09</v>
      </c>
      <c r="AZ10" s="207" t="str">
        <f>Настройки!AH10</f>
        <v>Canal_09</v>
      </c>
      <c r="BA10" s="207" t="str">
        <f>Настройки!AI10</f>
        <v>Canal_09</v>
      </c>
      <c r="BB10" s="207" t="str">
        <f>Настройки!AJ10</f>
        <v>Canal_09</v>
      </c>
      <c r="BC10" s="207" t="str">
        <f>Настройки!AK10</f>
        <v>-</v>
      </c>
      <c r="BD10" s="207" t="str">
        <f>Настройки!AL10</f>
        <v>Canal_09</v>
      </c>
      <c r="BE10" s="207" t="str">
        <f>Настройки!AM10</f>
        <v>-</v>
      </c>
    </row>
    <row r="11" spans="1:57">
      <c r="A11" s="82"/>
      <c r="B11" s="82"/>
      <c r="C11" s="81"/>
      <c r="D11" s="81"/>
      <c r="E11" s="82"/>
      <c r="F11" s="81"/>
      <c r="G11" s="445"/>
      <c r="H11" s="445"/>
      <c r="I11" s="1"/>
      <c r="M11" s="424" t="str">
        <f>'Конфигурация TREI'!A12</f>
        <v>BR10</v>
      </c>
      <c r="N11" s="424" t="str">
        <f>'Конфигурация TREI'!B12</f>
        <v>M558O</v>
      </c>
      <c r="AE11" s="431">
        <f>Настройки!P11</f>
        <v>10</v>
      </c>
      <c r="AF11" s="380">
        <f>Настройки!Q11</f>
        <v>0</v>
      </c>
      <c r="AG11" s="380" t="str">
        <f>Настройки!R11</f>
        <v>IDIG_5_2</v>
      </c>
      <c r="AH11" s="380" t="str">
        <f>Настройки!S11</f>
        <v>IANS_5_4</v>
      </c>
      <c r="AI11" s="380" t="str">
        <f>Настройки!T11</f>
        <v>out9</v>
      </c>
      <c r="AJ11" s="380" t="str">
        <f>Настройки!U11</f>
        <v>out9</v>
      </c>
      <c r="AK11" s="380" t="str">
        <f>Настройки!V11</f>
        <v>ODIG_10</v>
      </c>
      <c r="AL11" s="380" t="str">
        <f>Настройки!W11</f>
        <v>-</v>
      </c>
      <c r="AM11" s="380" t="str">
        <f>Настройки!X11</f>
        <v>-</v>
      </c>
      <c r="AN11" s="380" t="str">
        <f>Настройки!Y11</f>
        <v>Canal_10</v>
      </c>
      <c r="AO11" s="380" t="str">
        <f>Настройки!Z11</f>
        <v>-</v>
      </c>
      <c r="AP11" s="380" t="str">
        <f>Настройки!AA11</f>
        <v>Canal_10</v>
      </c>
      <c r="AQ11" s="380" t="str">
        <f>Настройки!AB11</f>
        <v>Canal_10</v>
      </c>
      <c r="AR11" s="380" t="str">
        <f>Настройки!AC11</f>
        <v>OCCH[1]</v>
      </c>
      <c r="AS11" s="380" t="str">
        <f>Настройки!AD11</f>
        <v>OCCH[1]</v>
      </c>
      <c r="AT11" s="207" t="str">
        <f>Настройки!AB11</f>
        <v>Canal_10</v>
      </c>
      <c r="AU11" s="207" t="str">
        <f>Настройки!AC11</f>
        <v>OCCH[1]</v>
      </c>
      <c r="AV11" s="207" t="str">
        <f>Настройки!AD11</f>
        <v>OCCH[1]</v>
      </c>
      <c r="AW11" s="207" t="str">
        <f>Настройки!AE11</f>
        <v>IANS_5_2</v>
      </c>
      <c r="AX11" s="207" t="str">
        <f>Настройки!AF11</f>
        <v>IDIG_3_2</v>
      </c>
      <c r="AY11" s="207" t="str">
        <f>Настройки!AG11</f>
        <v>Canal_10</v>
      </c>
      <c r="AZ11" s="207" t="str">
        <f>Настройки!AH11</f>
        <v>Canal_10</v>
      </c>
      <c r="BA11" s="207" t="str">
        <f>Настройки!AI11</f>
        <v>Canal_10</v>
      </c>
      <c r="BB11" s="207" t="str">
        <f>Настройки!AJ11</f>
        <v>Canal_10</v>
      </c>
      <c r="BC11" s="207" t="str">
        <f>Настройки!AK11</f>
        <v>-</v>
      </c>
      <c r="BD11" s="207" t="str">
        <f>Настройки!AL11</f>
        <v>Canal_10</v>
      </c>
      <c r="BE11" s="207" t="str">
        <f>Настройки!AM11</f>
        <v>-</v>
      </c>
    </row>
    <row r="12" spans="1:57">
      <c r="A12" s="82"/>
      <c r="B12" s="82"/>
      <c r="C12" s="81"/>
      <c r="D12" s="81"/>
      <c r="E12" s="81"/>
      <c r="F12" s="81"/>
      <c r="G12" s="445"/>
      <c r="H12" s="445"/>
      <c r="I12" s="1"/>
      <c r="M12" s="424" t="str">
        <f>'Конфигурация TREI'!A13</f>
        <v>BR11</v>
      </c>
      <c r="N12" s="424" t="str">
        <f>'Конфигурация TREI'!B13</f>
        <v>M558D</v>
      </c>
      <c r="AE12" s="431">
        <f>Настройки!P12</f>
        <v>11</v>
      </c>
      <c r="AF12" s="380">
        <f>Настройки!Q12</f>
        <v>0</v>
      </c>
      <c r="AG12" s="380" t="str">
        <f>Настройки!R12</f>
        <v>IDIG_6_1</v>
      </c>
      <c r="AH12" s="380" t="str">
        <f>Настройки!S12</f>
        <v>IANS_6_3</v>
      </c>
      <c r="AI12" s="380" t="str">
        <f>Настройки!T12</f>
        <v>out10</v>
      </c>
      <c r="AJ12" s="380" t="str">
        <f>Настройки!U12</f>
        <v>out10</v>
      </c>
      <c r="AK12" s="380" t="str">
        <f>Настройки!V12</f>
        <v>ODIG_11</v>
      </c>
      <c r="AL12" s="380" t="str">
        <f>Настройки!W12</f>
        <v>-</v>
      </c>
      <c r="AM12" s="380" t="str">
        <f>Настройки!X12</f>
        <v>-</v>
      </c>
      <c r="AN12" s="380" t="str">
        <f>Настройки!Y12</f>
        <v>Canal_11</v>
      </c>
      <c r="AO12" s="380" t="str">
        <f>Настройки!Z12</f>
        <v>-</v>
      </c>
      <c r="AP12" s="380" t="str">
        <f>Настройки!AA12</f>
        <v>Canal_11</v>
      </c>
      <c r="AQ12" s="380" t="str">
        <f>Настройки!AB12</f>
        <v>Canal_11</v>
      </c>
      <c r="AR12" s="380" t="str">
        <f>Настройки!AC12</f>
        <v>OCCH[2]</v>
      </c>
      <c r="AS12" s="380" t="str">
        <f>Настройки!AD12</f>
        <v>OCCH[2]</v>
      </c>
      <c r="AT12" s="207" t="str">
        <f>Настройки!AB12</f>
        <v>Canal_11</v>
      </c>
      <c r="AU12" s="207" t="str">
        <f>Настройки!AC12</f>
        <v>OCCH[2]</v>
      </c>
      <c r="AV12" s="207" t="str">
        <f>Настройки!AD12</f>
        <v>OCCH[2]</v>
      </c>
      <c r="AW12" s="207" t="str">
        <f>Настройки!AE12</f>
        <v>IANS_6_1</v>
      </c>
      <c r="AX12" s="207" t="str">
        <f>Настройки!AF12</f>
        <v>IDIG_3_3</v>
      </c>
      <c r="AY12" s="207" t="str">
        <f>Настройки!AG12</f>
        <v>Canal_11</v>
      </c>
      <c r="AZ12" s="207" t="str">
        <f>Настройки!AH12</f>
        <v>Canal_11</v>
      </c>
      <c r="BA12" s="207" t="str">
        <f>Настройки!AI12</f>
        <v>Canal_11</v>
      </c>
      <c r="BB12" s="207" t="str">
        <f>Настройки!AJ12</f>
        <v>Canal_11</v>
      </c>
      <c r="BC12" s="207" t="str">
        <f>Настройки!AK12</f>
        <v>-</v>
      </c>
      <c r="BD12" s="207" t="str">
        <f>Настройки!AL12</f>
        <v>Canal_11</v>
      </c>
      <c r="BE12" s="207" t="str">
        <f>Настройки!AM12</f>
        <v>-</v>
      </c>
    </row>
    <row r="13" spans="1:57">
      <c r="A13" s="82"/>
      <c r="B13" s="82"/>
      <c r="C13" s="81"/>
      <c r="D13" s="81"/>
      <c r="E13" s="81"/>
      <c r="F13" s="81"/>
      <c r="G13" s="445"/>
      <c r="H13" s="445"/>
      <c r="I13" s="1"/>
      <c r="M13" s="424" t="str">
        <f>'Конфигурация TREI'!A14</f>
        <v>BR12</v>
      </c>
      <c r="N13" s="424" t="str">
        <f>'Конфигурация TREI'!B14</f>
        <v>M558D</v>
      </c>
      <c r="AE13" s="431">
        <f>Настройки!P13</f>
        <v>12</v>
      </c>
      <c r="AF13" s="380">
        <f>Настройки!Q13</f>
        <v>0</v>
      </c>
      <c r="AG13" s="380" t="str">
        <f>Настройки!R13</f>
        <v>IDIG_6_2</v>
      </c>
      <c r="AH13" s="380" t="str">
        <f>Настройки!S13</f>
        <v>IANS_6_4</v>
      </c>
      <c r="AI13" s="380" t="str">
        <f>Настройки!T13</f>
        <v>out11</v>
      </c>
      <c r="AJ13" s="380" t="str">
        <f>Настройки!U13</f>
        <v>out11</v>
      </c>
      <c r="AK13" s="380" t="str">
        <f>Настройки!V13</f>
        <v>ODIG_12</v>
      </c>
      <c r="AL13" s="380" t="str">
        <f>Настройки!W13</f>
        <v>-</v>
      </c>
      <c r="AM13" s="380" t="str">
        <f>Настройки!X13</f>
        <v>-</v>
      </c>
      <c r="AN13" s="380" t="str">
        <f>Настройки!Y13</f>
        <v>Canal_12</v>
      </c>
      <c r="AO13" s="380" t="str">
        <f>Настройки!Z13</f>
        <v>-</v>
      </c>
      <c r="AP13" s="380" t="str">
        <f>Настройки!AA13</f>
        <v>Canal_12</v>
      </c>
      <c r="AQ13" s="380" t="str">
        <f>Настройки!AB13</f>
        <v>Canal_12</v>
      </c>
      <c r="AR13" s="380" t="str">
        <f>Настройки!AC13</f>
        <v>OCCH[3]</v>
      </c>
      <c r="AS13" s="380" t="str">
        <f>Настройки!AD13</f>
        <v>OCCH[3]</v>
      </c>
      <c r="AT13" s="207" t="str">
        <f>Настройки!AB13</f>
        <v>Canal_12</v>
      </c>
      <c r="AU13" s="207" t="str">
        <f>Настройки!AC13</f>
        <v>OCCH[3]</v>
      </c>
      <c r="AV13" s="207" t="str">
        <f>Настройки!AD13</f>
        <v>OCCH[3]</v>
      </c>
      <c r="AW13" s="207" t="str">
        <f>Настройки!AE13</f>
        <v>IANS_6_2</v>
      </c>
      <c r="AX13" s="207" t="str">
        <f>Настройки!AF13</f>
        <v>IDIG_3_4</v>
      </c>
      <c r="AY13" s="207" t="str">
        <f>Настройки!AG13</f>
        <v>Canal_12</v>
      </c>
      <c r="AZ13" s="207" t="str">
        <f>Настройки!AH13</f>
        <v>Canal_12</v>
      </c>
      <c r="BA13" s="207" t="str">
        <f>Настройки!AI13</f>
        <v>Canal_12</v>
      </c>
      <c r="BB13" s="207" t="str">
        <f>Настройки!AJ13</f>
        <v>Canal_12</v>
      </c>
      <c r="BC13" s="207" t="str">
        <f>Настройки!AK13</f>
        <v>-</v>
      </c>
      <c r="BD13" s="207" t="str">
        <f>Настройки!AL13</f>
        <v>Canal_12</v>
      </c>
      <c r="BE13" s="207" t="str">
        <f>Настройки!AM13</f>
        <v>-</v>
      </c>
    </row>
    <row r="14" spans="1:57">
      <c r="A14" s="82"/>
      <c r="B14" s="82"/>
      <c r="C14" s="81"/>
      <c r="D14" s="81"/>
      <c r="E14" s="81"/>
      <c r="F14" s="81"/>
      <c r="G14" s="445"/>
      <c r="H14" s="447"/>
      <c r="I14" s="1"/>
      <c r="M14" s="424" t="str">
        <f>'Конфигурация TREI'!A15</f>
        <v>BR13</v>
      </c>
      <c r="N14" s="424" t="str">
        <f>'Конфигурация TREI'!B15</f>
        <v>M558D</v>
      </c>
      <c r="AE14" s="431">
        <f>Настройки!P14</f>
        <v>13</v>
      </c>
      <c r="AF14" s="380">
        <f>Настройки!Q14</f>
        <v>0</v>
      </c>
      <c r="AG14" s="380" t="str">
        <f>Настройки!R14</f>
        <v>IDIG_7_1</v>
      </c>
      <c r="AH14" s="380" t="str">
        <f>Настройки!S14</f>
        <v>IANS_7_3</v>
      </c>
      <c r="AI14" s="380" t="str">
        <f>Настройки!T14</f>
        <v>out12</v>
      </c>
      <c r="AJ14" s="380" t="str">
        <f>Настройки!U14</f>
        <v>out12</v>
      </c>
      <c r="AK14" s="380" t="str">
        <f>Настройки!V14</f>
        <v>ODIG_13</v>
      </c>
      <c r="AL14" s="380" t="str">
        <f>Настройки!W14</f>
        <v>-</v>
      </c>
      <c r="AM14" s="380" t="str">
        <f>Настройки!X14</f>
        <v>-</v>
      </c>
      <c r="AN14" s="380" t="str">
        <f>Настройки!Y14</f>
        <v>Canal_13</v>
      </c>
      <c r="AO14" s="380" t="str">
        <f>Настройки!Z14</f>
        <v>-</v>
      </c>
      <c r="AP14" s="380" t="str">
        <f>Настройки!AA14</f>
        <v>Canal_13</v>
      </c>
      <c r="AQ14" s="380" t="str">
        <f>Настройки!AB14</f>
        <v>Canal_13</v>
      </c>
      <c r="AR14" s="380" t="str">
        <f>Настройки!AC14</f>
        <v>OCCH[4]</v>
      </c>
      <c r="AS14" s="380" t="str">
        <f>Настройки!AD14</f>
        <v>OCCH[4]</v>
      </c>
      <c r="AT14" s="207" t="str">
        <f>Настройки!AB14</f>
        <v>Canal_13</v>
      </c>
      <c r="AU14" s="207" t="str">
        <f>Настройки!AC14</f>
        <v>OCCH[4]</v>
      </c>
      <c r="AV14" s="207" t="str">
        <f>Настройки!AD14</f>
        <v>OCCH[4]</v>
      </c>
      <c r="AW14" s="207" t="str">
        <f>Настройки!AE14</f>
        <v>IANS_7_1</v>
      </c>
      <c r="AX14" s="207" t="str">
        <f>Настройки!AF14</f>
        <v>IDIG_4_1</v>
      </c>
      <c r="AY14" s="207" t="str">
        <f>Настройки!AG14</f>
        <v>Canal_13</v>
      </c>
      <c r="AZ14" s="207" t="str">
        <f>Настройки!AH14</f>
        <v>Canal_13</v>
      </c>
      <c r="BA14" s="207" t="str">
        <f>Настройки!AI14</f>
        <v>Canal_13</v>
      </c>
      <c r="BB14" s="207" t="str">
        <f>Настройки!AJ14</f>
        <v>Canal_13</v>
      </c>
      <c r="BC14" s="207" t="str">
        <f>Настройки!AK14</f>
        <v>-</v>
      </c>
      <c r="BD14" s="207" t="str">
        <f>Настройки!AL14</f>
        <v>Canal_13</v>
      </c>
      <c r="BE14" s="207" t="str">
        <f>Настройки!AM14</f>
        <v>-</v>
      </c>
    </row>
    <row r="15" spans="1:57">
      <c r="A15" s="82"/>
      <c r="B15" s="82"/>
      <c r="C15" s="81"/>
      <c r="D15" s="81"/>
      <c r="E15" s="81"/>
      <c r="F15" s="81"/>
      <c r="G15" s="445"/>
      <c r="H15" s="447"/>
      <c r="I15" s="1"/>
      <c r="M15" s="424" t="str">
        <f>'Конфигурация TREI'!A16</f>
        <v>BR14</v>
      </c>
      <c r="N15" s="424" t="str">
        <f>'Конфигурация TREI'!B16</f>
        <v>M558D</v>
      </c>
      <c r="AE15" s="431">
        <f>Настройки!P15</f>
        <v>14</v>
      </c>
      <c r="AF15" s="380">
        <f>Настройки!Q15</f>
        <v>0</v>
      </c>
      <c r="AG15" s="380" t="str">
        <f>Настройки!R15</f>
        <v>IDIG_7_2</v>
      </c>
      <c r="AH15" s="380" t="str">
        <f>Настройки!S15</f>
        <v>IANS_7_4</v>
      </c>
      <c r="AI15" s="380" t="str">
        <f>Настройки!T15</f>
        <v>out13</v>
      </c>
      <c r="AJ15" s="380" t="str">
        <f>Настройки!U15</f>
        <v>out13</v>
      </c>
      <c r="AK15" s="380" t="str">
        <f>Настройки!V15</f>
        <v>ODIG_14</v>
      </c>
      <c r="AL15" s="380" t="str">
        <f>Настройки!W15</f>
        <v>-</v>
      </c>
      <c r="AM15" s="380" t="str">
        <f>Настройки!X15</f>
        <v>-</v>
      </c>
      <c r="AN15" s="380" t="str">
        <f>Настройки!Y15</f>
        <v>Canal_14</v>
      </c>
      <c r="AO15" s="380" t="str">
        <f>Настройки!Z15</f>
        <v>-</v>
      </c>
      <c r="AP15" s="380" t="str">
        <f>Настройки!AA15</f>
        <v>Canal_14</v>
      </c>
      <c r="AQ15" s="380" t="str">
        <f>Настройки!AB15</f>
        <v>Canal_14</v>
      </c>
      <c r="AR15" s="380" t="str">
        <f>Настройки!AC15</f>
        <v>OCCH[5]</v>
      </c>
      <c r="AS15" s="380" t="str">
        <f>Настройки!AD15</f>
        <v>OCCH[5]</v>
      </c>
      <c r="AT15" s="207" t="str">
        <f>Настройки!AB15</f>
        <v>Canal_14</v>
      </c>
      <c r="AU15" s="207" t="str">
        <f>Настройки!AC15</f>
        <v>OCCH[5]</v>
      </c>
      <c r="AV15" s="207" t="str">
        <f>Настройки!AD15</f>
        <v>OCCH[5]</v>
      </c>
      <c r="AW15" s="207" t="str">
        <f>Настройки!AE15</f>
        <v>IANS_7_2</v>
      </c>
      <c r="AX15" s="207" t="str">
        <f>Настройки!AF15</f>
        <v>IDIG_4_2</v>
      </c>
      <c r="AY15" s="207" t="str">
        <f>Настройки!AG15</f>
        <v>Canal_14</v>
      </c>
      <c r="AZ15" s="207" t="str">
        <f>Настройки!AH15</f>
        <v>Canal_14</v>
      </c>
      <c r="BA15" s="207" t="str">
        <f>Настройки!AI15</f>
        <v>Canal_14</v>
      </c>
      <c r="BB15" s="207" t="str">
        <f>Настройки!AJ15</f>
        <v>Canal_14</v>
      </c>
      <c r="BC15" s="207" t="str">
        <f>Настройки!AK15</f>
        <v>-</v>
      </c>
      <c r="BD15" s="207" t="str">
        <f>Настройки!AL15</f>
        <v>Canal_14</v>
      </c>
      <c r="BE15" s="207" t="str">
        <f>Настройки!AM15</f>
        <v>-</v>
      </c>
    </row>
    <row r="16" spans="1:57">
      <c r="A16" s="82"/>
      <c r="B16" s="82"/>
      <c r="C16" s="81"/>
      <c r="D16" s="81"/>
      <c r="E16" s="81"/>
      <c r="F16" s="81"/>
      <c r="G16" s="445"/>
      <c r="H16" s="447"/>
      <c r="I16" s="1"/>
      <c r="M16" s="424" t="str">
        <f>'Конфигурация TREI'!A17</f>
        <v>BR15</v>
      </c>
      <c r="N16" s="424" t="str">
        <f>'Конфигурация TREI'!B17</f>
        <v>M558O</v>
      </c>
      <c r="AE16" s="431">
        <f>Настройки!P16</f>
        <v>15</v>
      </c>
      <c r="AF16" s="380">
        <f>Настройки!Q16</f>
        <v>0</v>
      </c>
      <c r="AG16" s="380" t="str">
        <f>Настройки!R16</f>
        <v>IDIG_8_1</v>
      </c>
      <c r="AH16" s="380" t="str">
        <f>Настройки!S16</f>
        <v>IANS_8_3</v>
      </c>
      <c r="AI16" s="380" t="str">
        <f>Настройки!T16</f>
        <v>out14</v>
      </c>
      <c r="AJ16" s="380" t="str">
        <f>Настройки!U16</f>
        <v>out14</v>
      </c>
      <c r="AK16" s="380" t="str">
        <f>Настройки!V16</f>
        <v>ODIG_15</v>
      </c>
      <c r="AL16" s="380" t="str">
        <f>Настройки!W16</f>
        <v>-</v>
      </c>
      <c r="AM16" s="380" t="str">
        <f>Настройки!X16</f>
        <v>-</v>
      </c>
      <c r="AN16" s="380" t="str">
        <f>Настройки!Y16</f>
        <v>Canal_15</v>
      </c>
      <c r="AO16" s="380" t="str">
        <f>Настройки!Z16</f>
        <v>-</v>
      </c>
      <c r="AP16" s="380" t="str">
        <f>Настройки!AA16</f>
        <v>Canal_15</v>
      </c>
      <c r="AQ16" s="380" t="str">
        <f>Настройки!AB16</f>
        <v>Canal_15</v>
      </c>
      <c r="AR16" s="380" t="str">
        <f>Настройки!AC16</f>
        <v>OCCH[6]</v>
      </c>
      <c r="AS16" s="380" t="str">
        <f>Настройки!AD16</f>
        <v>OCCH[6]</v>
      </c>
      <c r="AT16" s="207" t="str">
        <f>Настройки!AB16</f>
        <v>Canal_15</v>
      </c>
      <c r="AU16" s="207" t="str">
        <f>Настройки!AC16</f>
        <v>OCCH[6]</v>
      </c>
      <c r="AV16" s="207" t="str">
        <f>Настройки!AD16</f>
        <v>OCCH[6]</v>
      </c>
      <c r="AW16" s="207" t="str">
        <f>Настройки!AE16</f>
        <v>IANS_8_1</v>
      </c>
      <c r="AX16" s="207" t="str">
        <f>Настройки!AF16</f>
        <v>IDIG_4_3</v>
      </c>
      <c r="AY16" s="207" t="str">
        <f>Настройки!AG16</f>
        <v>Canal_15</v>
      </c>
      <c r="AZ16" s="207" t="str">
        <f>Настройки!AH16</f>
        <v>Canal_15</v>
      </c>
      <c r="BA16" s="207" t="str">
        <f>Настройки!AI16</f>
        <v>Canal_15</v>
      </c>
      <c r="BB16" s="207" t="str">
        <f>Настройки!AJ16</f>
        <v>Canal_15</v>
      </c>
      <c r="BC16" s="207" t="str">
        <f>Настройки!AK16</f>
        <v>-</v>
      </c>
      <c r="BD16" s="207" t="str">
        <f>Настройки!AL16</f>
        <v>Canal_15</v>
      </c>
      <c r="BE16" s="207" t="str">
        <f>Настройки!AM16</f>
        <v>-</v>
      </c>
    </row>
    <row r="17" spans="1:57">
      <c r="A17" s="82"/>
      <c r="B17" s="82"/>
      <c r="C17" s="81"/>
      <c r="D17" s="81"/>
      <c r="E17" s="81"/>
      <c r="F17" s="81"/>
      <c r="G17" s="445"/>
      <c r="H17" s="447"/>
      <c r="I17" s="1"/>
      <c r="M17" s="424" t="str">
        <f>'Конфигурация TREI'!A18</f>
        <v>BR16</v>
      </c>
      <c r="N17" s="424" t="str">
        <f>'Конфигурация TREI'!B18</f>
        <v>M558O</v>
      </c>
      <c r="AE17" s="431">
        <f>Настройки!P17</f>
        <v>16</v>
      </c>
      <c r="AF17" s="380">
        <f>Настройки!Q17</f>
        <v>0</v>
      </c>
      <c r="AG17" s="380" t="str">
        <f>Настройки!R17</f>
        <v>IDIG_8_2</v>
      </c>
      <c r="AH17" s="380" t="str">
        <f>Настройки!S17</f>
        <v>IANS_8_4</v>
      </c>
      <c r="AI17" s="380" t="str">
        <f>Настройки!T17</f>
        <v>out15</v>
      </c>
      <c r="AJ17" s="380" t="str">
        <f>Настройки!U17</f>
        <v>out15</v>
      </c>
      <c r="AK17" s="380" t="str">
        <f>Настройки!V17</f>
        <v>ODIG_16</v>
      </c>
      <c r="AL17" s="380" t="str">
        <f>Настройки!W17</f>
        <v>-</v>
      </c>
      <c r="AM17" s="380" t="str">
        <f>Настройки!X17</f>
        <v>-</v>
      </c>
      <c r="AN17" s="380" t="str">
        <f>Настройки!Y17</f>
        <v>Canal_16</v>
      </c>
      <c r="AO17" s="380" t="str">
        <f>Настройки!Z17</f>
        <v>-</v>
      </c>
      <c r="AP17" s="380" t="str">
        <f>Настройки!AA17</f>
        <v>Canal_16</v>
      </c>
      <c r="AQ17" s="380" t="str">
        <f>Настройки!AB17</f>
        <v>Canal_16</v>
      </c>
      <c r="AR17" s="380" t="str">
        <f>Настройки!AC17</f>
        <v>OCCH[7]</v>
      </c>
      <c r="AS17" s="380" t="str">
        <f>Настройки!AD17</f>
        <v>OCCH[7]</v>
      </c>
      <c r="AT17" s="207" t="str">
        <f>Настройки!AB17</f>
        <v>Canal_16</v>
      </c>
      <c r="AU17" s="207" t="str">
        <f>Настройки!AC17</f>
        <v>OCCH[7]</v>
      </c>
      <c r="AV17" s="207" t="str">
        <f>Настройки!AD17</f>
        <v>OCCH[7]</v>
      </c>
      <c r="AW17" s="207" t="str">
        <f>Настройки!AE17</f>
        <v>IANS_8_2</v>
      </c>
      <c r="AX17" s="207" t="str">
        <f>Настройки!AF17</f>
        <v>IDIG_4_4</v>
      </c>
      <c r="AY17" s="207" t="str">
        <f>Настройки!AG17</f>
        <v>Canal_16</v>
      </c>
      <c r="AZ17" s="207" t="str">
        <f>Настройки!AH17</f>
        <v>Canal_16</v>
      </c>
      <c r="BA17" s="207" t="str">
        <f>Настройки!AI17</f>
        <v>Canal_16</v>
      </c>
      <c r="BB17" s="207" t="str">
        <f>Настройки!AJ17</f>
        <v>Canal_16</v>
      </c>
      <c r="BC17" s="207" t="str">
        <f>Настройки!AK17</f>
        <v>-</v>
      </c>
      <c r="BD17" s="207" t="str">
        <f>Настройки!AL17</f>
        <v>Canal_16</v>
      </c>
      <c r="BE17" s="207" t="str">
        <f>Настройки!AM17</f>
        <v>-</v>
      </c>
    </row>
    <row r="18" spans="1:57">
      <c r="A18" s="82"/>
      <c r="B18" s="82"/>
      <c r="C18" s="81"/>
      <c r="D18" s="81"/>
      <c r="E18" s="81"/>
      <c r="F18" s="81"/>
      <c r="G18" s="445"/>
      <c r="H18" s="447"/>
      <c r="I18" s="1"/>
      <c r="M18" s="424" t="str">
        <f>'Конфигурация TREI'!A19</f>
        <v>BR17</v>
      </c>
      <c r="N18" s="424" t="str">
        <f>'Конфигурация TREI'!B19</f>
        <v>M558O</v>
      </c>
      <c r="AE18" s="428">
        <f>Настройки!P18</f>
        <v>17</v>
      </c>
      <c r="AF18" s="380">
        <f>Настройки!Q18</f>
        <v>0</v>
      </c>
      <c r="AG18" s="380" t="str">
        <f>Настройки!R18</f>
        <v>-</v>
      </c>
      <c r="AH18" s="380" t="str">
        <f>Настройки!S18</f>
        <v>-</v>
      </c>
      <c r="AI18" s="380" t="str">
        <f>Настройки!T18</f>
        <v>out16</v>
      </c>
      <c r="AJ18" s="380" t="str">
        <f>Настройки!U18</f>
        <v>out16</v>
      </c>
      <c r="AK18" s="380" t="str">
        <f>Настройки!V18</f>
        <v>-</v>
      </c>
      <c r="AL18" s="380" t="str">
        <f>Настройки!W18</f>
        <v>-</v>
      </c>
      <c r="AM18" s="380" t="str">
        <f>Настройки!X18</f>
        <v>-</v>
      </c>
      <c r="AN18" s="380" t="str">
        <f>Настройки!Y18</f>
        <v>-</v>
      </c>
      <c r="AO18" s="380" t="str">
        <f>Настройки!Z18</f>
        <v>-</v>
      </c>
      <c r="AP18" s="380" t="str">
        <f>Настройки!AA18</f>
        <v>Canal_17</v>
      </c>
      <c r="AQ18" s="380" t="str">
        <f>Настройки!AB18</f>
        <v>Canal_17</v>
      </c>
      <c r="AR18" s="380" t="str">
        <f>Настройки!AC18</f>
        <v>-</v>
      </c>
      <c r="AS18" s="380" t="str">
        <f>Настройки!AD18</f>
        <v>-</v>
      </c>
      <c r="AT18" s="207" t="str">
        <f>Настройки!AB18</f>
        <v>Canal_17</v>
      </c>
      <c r="AU18" s="207" t="str">
        <f>Настройки!AC18</f>
        <v>-</v>
      </c>
      <c r="AV18" s="207" t="str">
        <f>Настройки!AD18</f>
        <v>-</v>
      </c>
      <c r="AW18" s="207" t="str">
        <f>Настройки!AE18</f>
        <v>-</v>
      </c>
      <c r="AX18" s="207" t="str">
        <f>Настройки!AF18</f>
        <v>IDIG_5_1</v>
      </c>
      <c r="AY18" s="207" t="str">
        <f>Настройки!AG18</f>
        <v>Canal_17</v>
      </c>
      <c r="AZ18" s="207" t="str">
        <f>Настройки!AH18</f>
        <v>Canal_17</v>
      </c>
      <c r="BA18" s="207" t="str">
        <f>Настройки!AI18</f>
        <v>Canal_17</v>
      </c>
      <c r="BB18" s="207" t="str">
        <f>Настройки!AJ18</f>
        <v>-</v>
      </c>
      <c r="BC18" s="207" t="str">
        <f>Настройки!AK18</f>
        <v>-</v>
      </c>
      <c r="BD18" s="207" t="str">
        <f>Настройки!AL18</f>
        <v>Canal_17</v>
      </c>
      <c r="BE18" s="207" t="str">
        <f>Настройки!AM18</f>
        <v>-</v>
      </c>
    </row>
    <row r="19" spans="1:57">
      <c r="A19" s="82"/>
      <c r="B19" s="82"/>
      <c r="C19" s="81"/>
      <c r="D19" s="81"/>
      <c r="E19" s="81"/>
      <c r="F19" s="81"/>
      <c r="G19" s="445"/>
      <c r="H19" s="447"/>
      <c r="I19" s="1"/>
      <c r="M19" s="424" t="str">
        <f>'Конфигурация TREI'!A20</f>
        <v>BR18</v>
      </c>
      <c r="N19" s="424" t="str">
        <f>'Конфигурация TREI'!B20</f>
        <v>M558O</v>
      </c>
      <c r="AE19" s="428">
        <f>Настройки!P19</f>
        <v>18</v>
      </c>
      <c r="AF19" s="380">
        <f>Настройки!Q19</f>
        <v>0</v>
      </c>
      <c r="AG19" s="380" t="str">
        <f>Настройки!R19</f>
        <v>-</v>
      </c>
      <c r="AH19" s="380" t="str">
        <f>Настройки!S19</f>
        <v>-</v>
      </c>
      <c r="AI19" s="380" t="str">
        <f>Настройки!T19</f>
        <v>out17</v>
      </c>
      <c r="AJ19" s="380" t="str">
        <f>Настройки!U19</f>
        <v>out17</v>
      </c>
      <c r="AK19" s="380" t="str">
        <f>Настройки!V19</f>
        <v>-</v>
      </c>
      <c r="AL19" s="380" t="str">
        <f>Настройки!W19</f>
        <v>-</v>
      </c>
      <c r="AM19" s="380" t="str">
        <f>Настройки!X19</f>
        <v>-</v>
      </c>
      <c r="AN19" s="380" t="str">
        <f>Настройки!Y19</f>
        <v>-</v>
      </c>
      <c r="AO19" s="380" t="str">
        <f>Настройки!Z19</f>
        <v>-</v>
      </c>
      <c r="AP19" s="380" t="str">
        <f>Настройки!AA19</f>
        <v>Canal_18</v>
      </c>
      <c r="AQ19" s="380" t="str">
        <f>Настройки!AB19</f>
        <v>Canal_18</v>
      </c>
      <c r="AR19" s="380" t="str">
        <f>Настройки!AC19</f>
        <v>-</v>
      </c>
      <c r="AS19" s="380" t="str">
        <f>Настройки!AD19</f>
        <v>-</v>
      </c>
      <c r="AT19" s="207" t="str">
        <f>Настройки!AB19</f>
        <v>Canal_18</v>
      </c>
      <c r="AU19" s="207" t="str">
        <f>Настройки!AC19</f>
        <v>-</v>
      </c>
      <c r="AV19" s="207" t="str">
        <f>Настройки!AD19</f>
        <v>-</v>
      </c>
      <c r="AW19" s="207" t="str">
        <f>Настройки!AE19</f>
        <v>-</v>
      </c>
      <c r="AX19" s="207" t="str">
        <f>Настройки!AF19</f>
        <v>IDIG_5_2</v>
      </c>
      <c r="AY19" s="207" t="str">
        <f>Настройки!AG19</f>
        <v>Canal_18</v>
      </c>
      <c r="AZ19" s="207" t="str">
        <f>Настройки!AH19</f>
        <v>Canal_18</v>
      </c>
      <c r="BA19" s="207" t="str">
        <f>Настройки!AI19</f>
        <v>Canal_18</v>
      </c>
      <c r="BB19" s="207" t="str">
        <f>Настройки!AJ19</f>
        <v>-</v>
      </c>
      <c r="BC19" s="207" t="str">
        <f>Настройки!AK19</f>
        <v>-</v>
      </c>
      <c r="BD19" s="207" t="str">
        <f>Настройки!AL19</f>
        <v>Canal_18</v>
      </c>
      <c r="BE19" s="207" t="str">
        <f>Настройки!AM19</f>
        <v>-</v>
      </c>
    </row>
    <row r="20" spans="1:57">
      <c r="A20" s="82"/>
      <c r="B20" s="82"/>
      <c r="C20" s="81"/>
      <c r="D20" s="81"/>
      <c r="E20" s="81"/>
      <c r="F20" s="81"/>
      <c r="G20" s="445"/>
      <c r="H20" s="447"/>
      <c r="I20" s="1"/>
      <c r="M20" s="424" t="str">
        <f>'Конфигурация TREI'!A21</f>
        <v>BR19</v>
      </c>
      <c r="N20" s="424" t="str">
        <f>'Конфигурация TREI'!B21</f>
        <v>M558O</v>
      </c>
      <c r="AE20" s="428">
        <f>Настройки!P20</f>
        <v>19</v>
      </c>
      <c r="AF20" s="380">
        <f>Настройки!Q20</f>
        <v>0</v>
      </c>
      <c r="AG20" s="380" t="str">
        <f>Настройки!R20</f>
        <v>-</v>
      </c>
      <c r="AH20" s="380" t="str">
        <f>Настройки!S20</f>
        <v>-</v>
      </c>
      <c r="AI20" s="380" t="str">
        <f>Настройки!T20</f>
        <v>out18</v>
      </c>
      <c r="AJ20" s="380" t="str">
        <f>Настройки!U20</f>
        <v>out18</v>
      </c>
      <c r="AK20" s="380" t="str">
        <f>Настройки!V20</f>
        <v>-</v>
      </c>
      <c r="AL20" s="380" t="str">
        <f>Настройки!W20</f>
        <v>-</v>
      </c>
      <c r="AM20" s="380" t="str">
        <f>Настройки!X20</f>
        <v>-</v>
      </c>
      <c r="AN20" s="380" t="str">
        <f>Настройки!Y20</f>
        <v>-</v>
      </c>
      <c r="AO20" s="380" t="str">
        <f>Настройки!Z20</f>
        <v>-</v>
      </c>
      <c r="AP20" s="380" t="str">
        <f>Настройки!AA20</f>
        <v>Canal_19</v>
      </c>
      <c r="AQ20" s="380" t="str">
        <f>Настройки!AB20</f>
        <v>Canal_19</v>
      </c>
      <c r="AR20" s="380" t="str">
        <f>Настройки!AC20</f>
        <v>-</v>
      </c>
      <c r="AS20" s="380" t="str">
        <f>Настройки!AD20</f>
        <v>-</v>
      </c>
      <c r="AT20" s="207" t="str">
        <f>Настройки!AB20</f>
        <v>Canal_19</v>
      </c>
      <c r="AU20" s="207" t="str">
        <f>Настройки!AC20</f>
        <v>-</v>
      </c>
      <c r="AV20" s="207" t="str">
        <f>Настройки!AD20</f>
        <v>-</v>
      </c>
      <c r="AW20" s="207" t="str">
        <f>Настройки!AE20</f>
        <v>-</v>
      </c>
      <c r="AX20" s="207" t="str">
        <f>Настройки!AF20</f>
        <v>IDIG_5_3</v>
      </c>
      <c r="AY20" s="207" t="str">
        <f>Настройки!AG20</f>
        <v>Canal_19</v>
      </c>
      <c r="AZ20" s="207" t="str">
        <f>Настройки!AH20</f>
        <v>Canal_19</v>
      </c>
      <c r="BA20" s="207" t="str">
        <f>Настройки!AI20</f>
        <v>Canal_19</v>
      </c>
      <c r="BB20" s="207" t="str">
        <f>Настройки!AJ20</f>
        <v>-</v>
      </c>
      <c r="BC20" s="207" t="str">
        <f>Настройки!AK20</f>
        <v>-</v>
      </c>
      <c r="BD20" s="207" t="str">
        <f>Настройки!AL20</f>
        <v>Canal_19</v>
      </c>
      <c r="BE20" s="207" t="str">
        <f>Настройки!AM20</f>
        <v>-</v>
      </c>
    </row>
    <row r="21" spans="1:57">
      <c r="A21" s="82"/>
      <c r="B21" s="82"/>
      <c r="C21" s="81"/>
      <c r="D21" s="81"/>
      <c r="E21" s="81"/>
      <c r="F21" s="81"/>
      <c r="G21" s="445"/>
      <c r="H21" s="447"/>
      <c r="I21" s="1"/>
      <c r="M21" s="424" t="str">
        <f>'Конфигурация TREI'!A22</f>
        <v>BR20</v>
      </c>
      <c r="N21" s="424" t="str">
        <f>'Конфигурация TREI'!B22</f>
        <v>M558D</v>
      </c>
      <c r="AE21" s="428">
        <f>Настройки!P21</f>
        <v>20</v>
      </c>
      <c r="AF21" s="380">
        <f>Настройки!Q21</f>
        <v>0</v>
      </c>
      <c r="AG21" s="380" t="str">
        <f>Настройки!R21</f>
        <v>-</v>
      </c>
      <c r="AH21" s="380" t="str">
        <f>Настройки!S21</f>
        <v>-</v>
      </c>
      <c r="AI21" s="380" t="str">
        <f>Настройки!T21</f>
        <v>out19</v>
      </c>
      <c r="AJ21" s="380" t="str">
        <f>Настройки!U21</f>
        <v>out19</v>
      </c>
      <c r="AK21" s="380" t="str">
        <f>Настройки!V21</f>
        <v>-</v>
      </c>
      <c r="AL21" s="380" t="str">
        <f>Настройки!W21</f>
        <v>-</v>
      </c>
      <c r="AM21" s="380" t="str">
        <f>Настройки!X21</f>
        <v>-</v>
      </c>
      <c r="AN21" s="380" t="str">
        <f>Настройки!Y21</f>
        <v>-</v>
      </c>
      <c r="AO21" s="380" t="str">
        <f>Настройки!Z21</f>
        <v>-</v>
      </c>
      <c r="AP21" s="380" t="str">
        <f>Настройки!AA21</f>
        <v>Canal_20</v>
      </c>
      <c r="AQ21" s="380" t="str">
        <f>Настройки!AB21</f>
        <v>Canal_20</v>
      </c>
      <c r="AR21" s="380" t="str">
        <f>Настройки!AC21</f>
        <v>-</v>
      </c>
      <c r="AS21" s="380" t="str">
        <f>Настройки!AD21</f>
        <v>-</v>
      </c>
      <c r="AT21" s="207" t="str">
        <f>Настройки!AB21</f>
        <v>Canal_20</v>
      </c>
      <c r="AU21" s="207" t="str">
        <f>Настройки!AC21</f>
        <v>-</v>
      </c>
      <c r="AV21" s="207" t="str">
        <f>Настройки!AD21</f>
        <v>-</v>
      </c>
      <c r="AW21" s="207" t="str">
        <f>Настройки!AE21</f>
        <v>-</v>
      </c>
      <c r="AX21" s="207" t="str">
        <f>Настройки!AF21</f>
        <v>IDIG_5_4</v>
      </c>
      <c r="AY21" s="207" t="str">
        <f>Настройки!AG21</f>
        <v>Canal_20</v>
      </c>
      <c r="AZ21" s="207" t="str">
        <f>Настройки!AH21</f>
        <v>Canal_20</v>
      </c>
      <c r="BA21" s="207" t="str">
        <f>Настройки!AI21</f>
        <v>Canal_20</v>
      </c>
      <c r="BB21" s="207" t="str">
        <f>Настройки!AJ21</f>
        <v>-</v>
      </c>
      <c r="BC21" s="207" t="str">
        <f>Настройки!AK21</f>
        <v>-</v>
      </c>
      <c r="BD21" s="207" t="str">
        <f>Настройки!AL21</f>
        <v>Canal_20</v>
      </c>
      <c r="BE21" s="207" t="str">
        <f>Настройки!AM21</f>
        <v>-</v>
      </c>
    </row>
    <row r="22" spans="1:57">
      <c r="A22" s="82"/>
      <c r="B22" s="82"/>
      <c r="C22" s="81"/>
      <c r="D22" s="81"/>
      <c r="E22" s="81"/>
      <c r="F22" s="81"/>
      <c r="G22" s="445"/>
      <c r="H22" s="447"/>
      <c r="I22" s="1"/>
      <c r="M22" s="424" t="str">
        <f>'Конфигурация TREI'!A23</f>
        <v>BR21</v>
      </c>
      <c r="N22" s="424" t="str">
        <f>'Конфигурация TREI'!B23</f>
        <v>M558O</v>
      </c>
      <c r="AE22" s="428">
        <f>Настройки!P22</f>
        <v>21</v>
      </c>
      <c r="AF22" s="380">
        <f>Настройки!Q22</f>
        <v>0</v>
      </c>
      <c r="AG22" s="380" t="str">
        <f>Настройки!R22</f>
        <v>-</v>
      </c>
      <c r="AH22" s="380" t="str">
        <f>Настройки!S22</f>
        <v>-</v>
      </c>
      <c r="AI22" s="380" t="str">
        <f>Настройки!T22</f>
        <v>out20</v>
      </c>
      <c r="AJ22" s="380" t="str">
        <f>Настройки!U22</f>
        <v>out20</v>
      </c>
      <c r="AK22" s="380" t="str">
        <f>Настройки!V22</f>
        <v>-</v>
      </c>
      <c r="AL22" s="380" t="str">
        <f>Настройки!W22</f>
        <v>-</v>
      </c>
      <c r="AM22" s="380" t="str">
        <f>Настройки!X22</f>
        <v>-</v>
      </c>
      <c r="AN22" s="380" t="str">
        <f>Настройки!Y22</f>
        <v>-</v>
      </c>
      <c r="AO22" s="380" t="str">
        <f>Настройки!Z22</f>
        <v>-</v>
      </c>
      <c r="AP22" s="380" t="str">
        <f>Настройки!AA22</f>
        <v>Canal_21</v>
      </c>
      <c r="AQ22" s="380" t="str">
        <f>Настройки!AB22</f>
        <v>Canal_21</v>
      </c>
      <c r="AR22" s="380" t="str">
        <f>Настройки!AC22</f>
        <v>-</v>
      </c>
      <c r="AS22" s="380" t="str">
        <f>Настройки!AD22</f>
        <v>-</v>
      </c>
      <c r="AT22" s="207" t="str">
        <f>Настройки!AB22</f>
        <v>Canal_21</v>
      </c>
      <c r="AU22" s="207" t="str">
        <f>Настройки!AC22</f>
        <v>-</v>
      </c>
      <c r="AV22" s="207" t="str">
        <f>Настройки!AD22</f>
        <v>-</v>
      </c>
      <c r="AW22" s="207" t="str">
        <f>Настройки!AE22</f>
        <v>-</v>
      </c>
      <c r="AX22" s="207" t="str">
        <f>Настройки!AF22</f>
        <v>IDIG_6_1</v>
      </c>
      <c r="AY22" s="207" t="str">
        <f>Настройки!AG22</f>
        <v>Canal_21</v>
      </c>
      <c r="AZ22" s="207" t="str">
        <f>Настройки!AH22</f>
        <v>Canal_21</v>
      </c>
      <c r="BA22" s="207" t="str">
        <f>Настройки!AI22</f>
        <v>Canal_21</v>
      </c>
      <c r="BB22" s="207" t="str">
        <f>Настройки!AJ22</f>
        <v>-</v>
      </c>
      <c r="BC22" s="207" t="str">
        <f>Настройки!AK22</f>
        <v>-</v>
      </c>
      <c r="BD22" s="207" t="str">
        <f>Настройки!AL22</f>
        <v>Canal_21</v>
      </c>
      <c r="BE22" s="207" t="str">
        <f>Настройки!AM22</f>
        <v>-</v>
      </c>
    </row>
    <row r="23" spans="1:57">
      <c r="A23" s="82"/>
      <c r="B23" s="82"/>
      <c r="C23" s="81"/>
      <c r="D23" s="81"/>
      <c r="E23" s="81"/>
      <c r="F23" s="81"/>
      <c r="G23" s="445"/>
      <c r="H23" s="447"/>
      <c r="I23" s="1"/>
      <c r="M23" s="424" t="str">
        <f>'Конфигурация TREI'!A24</f>
        <v>BR22</v>
      </c>
      <c r="N23" s="424" t="str">
        <f>'Конфигурация TREI'!B24</f>
        <v>M558D</v>
      </c>
      <c r="AE23" s="428">
        <f>Настройки!P23</f>
        <v>22</v>
      </c>
      <c r="AF23" s="380">
        <f>Настройки!Q23</f>
        <v>0</v>
      </c>
      <c r="AG23" s="380" t="str">
        <f>Настройки!R23</f>
        <v>-</v>
      </c>
      <c r="AH23" s="380" t="str">
        <f>Настройки!S23</f>
        <v>-</v>
      </c>
      <c r="AI23" s="380" t="str">
        <f>Настройки!T23</f>
        <v>out21</v>
      </c>
      <c r="AJ23" s="380" t="str">
        <f>Настройки!U23</f>
        <v>out21</v>
      </c>
      <c r="AK23" s="380" t="str">
        <f>Настройки!V23</f>
        <v>-</v>
      </c>
      <c r="AL23" s="380" t="str">
        <f>Настройки!W23</f>
        <v>-</v>
      </c>
      <c r="AM23" s="380" t="str">
        <f>Настройки!X23</f>
        <v>-</v>
      </c>
      <c r="AN23" s="380" t="str">
        <f>Настройки!Y23</f>
        <v>-</v>
      </c>
      <c r="AO23" s="380" t="str">
        <f>Настройки!Z23</f>
        <v>-</v>
      </c>
      <c r="AP23" s="380" t="str">
        <f>Настройки!AA23</f>
        <v>Canal_22</v>
      </c>
      <c r="AQ23" s="380" t="str">
        <f>Настройки!AB23</f>
        <v>Canal_22</v>
      </c>
      <c r="AR23" s="380" t="str">
        <f>Настройки!AC23</f>
        <v>-</v>
      </c>
      <c r="AS23" s="380" t="str">
        <f>Настройки!AD23</f>
        <v>-</v>
      </c>
      <c r="AT23" s="207" t="str">
        <f>Настройки!AB23</f>
        <v>Canal_22</v>
      </c>
      <c r="AU23" s="207" t="str">
        <f>Настройки!AC23</f>
        <v>-</v>
      </c>
      <c r="AV23" s="207" t="str">
        <f>Настройки!AD23</f>
        <v>-</v>
      </c>
      <c r="AW23" s="207" t="str">
        <f>Настройки!AE23</f>
        <v>-</v>
      </c>
      <c r="AX23" s="207" t="str">
        <f>Настройки!AF23</f>
        <v>IDIG_6_2</v>
      </c>
      <c r="AY23" s="207" t="str">
        <f>Настройки!AG23</f>
        <v>Canal_22</v>
      </c>
      <c r="AZ23" s="207" t="str">
        <f>Настройки!AH23</f>
        <v>Canal_22</v>
      </c>
      <c r="BA23" s="207" t="str">
        <f>Настройки!AI23</f>
        <v>Canal_22</v>
      </c>
      <c r="BB23" s="207" t="str">
        <f>Настройки!AJ23</f>
        <v>-</v>
      </c>
      <c r="BC23" s="207" t="str">
        <f>Настройки!AK23</f>
        <v>-</v>
      </c>
      <c r="BD23" s="207" t="str">
        <f>Настройки!AL23</f>
        <v>Canal_22</v>
      </c>
      <c r="BE23" s="207" t="str">
        <f>Настройки!AM23</f>
        <v>-</v>
      </c>
    </row>
    <row r="24" spans="1:57">
      <c r="A24" s="82"/>
      <c r="B24" s="82"/>
      <c r="C24" s="81"/>
      <c r="D24" s="81"/>
      <c r="E24" s="81"/>
      <c r="F24" s="81"/>
      <c r="G24" s="445"/>
      <c r="H24" s="447"/>
      <c r="I24" s="1"/>
      <c r="M24" s="424" t="str">
        <f>'Конфигурация TREI'!A25</f>
        <v>BR23</v>
      </c>
      <c r="N24" s="424" t="str">
        <f>'Конфигурация TREI'!B25</f>
        <v>M558O</v>
      </c>
      <c r="AE24" s="428">
        <f>Настройки!P24</f>
        <v>23</v>
      </c>
      <c r="AF24" s="380">
        <f>Настройки!Q24</f>
        <v>0</v>
      </c>
      <c r="AG24" s="380" t="str">
        <f>Настройки!R24</f>
        <v>-</v>
      </c>
      <c r="AH24" s="380" t="str">
        <f>Настройки!S24</f>
        <v>-</v>
      </c>
      <c r="AI24" s="380" t="str">
        <f>Настройки!T24</f>
        <v>out22</v>
      </c>
      <c r="AJ24" s="380" t="str">
        <f>Настройки!U24</f>
        <v>out22</v>
      </c>
      <c r="AK24" s="380" t="str">
        <f>Настройки!V24</f>
        <v>-</v>
      </c>
      <c r="AL24" s="380" t="str">
        <f>Настройки!W24</f>
        <v>-</v>
      </c>
      <c r="AM24" s="380" t="str">
        <f>Настройки!X24</f>
        <v>-</v>
      </c>
      <c r="AN24" s="380" t="str">
        <f>Настройки!Y24</f>
        <v>-</v>
      </c>
      <c r="AO24" s="380" t="str">
        <f>Настройки!Z24</f>
        <v>-</v>
      </c>
      <c r="AP24" s="380" t="str">
        <f>Настройки!AA24</f>
        <v>Canal_23</v>
      </c>
      <c r="AQ24" s="380" t="str">
        <f>Настройки!AB24</f>
        <v>Canal_23</v>
      </c>
      <c r="AR24" s="380" t="str">
        <f>Настройки!AC24</f>
        <v>-</v>
      </c>
      <c r="AS24" s="380" t="str">
        <f>Настройки!AD24</f>
        <v>-</v>
      </c>
      <c r="AT24" s="207" t="str">
        <f>Настройки!AB24</f>
        <v>Canal_23</v>
      </c>
      <c r="AU24" s="207" t="str">
        <f>Настройки!AC24</f>
        <v>-</v>
      </c>
      <c r="AV24" s="207" t="str">
        <f>Настройки!AD24</f>
        <v>-</v>
      </c>
      <c r="AW24" s="207" t="str">
        <f>Настройки!AE24</f>
        <v>-</v>
      </c>
      <c r="AX24" s="207" t="str">
        <f>Настройки!AF24</f>
        <v>IDIG_6_3</v>
      </c>
      <c r="AY24" s="207" t="str">
        <f>Настройки!AG24</f>
        <v>Canal_23</v>
      </c>
      <c r="AZ24" s="207" t="str">
        <f>Настройки!AH24</f>
        <v>Canal_23</v>
      </c>
      <c r="BA24" s="207" t="str">
        <f>Настройки!AI24</f>
        <v>Canal_23</v>
      </c>
      <c r="BB24" s="207" t="str">
        <f>Настройки!AJ24</f>
        <v>-</v>
      </c>
      <c r="BC24" s="207" t="str">
        <f>Настройки!AK24</f>
        <v>-</v>
      </c>
      <c r="BD24" s="207" t="str">
        <f>Настройки!AL24</f>
        <v>Canal_23</v>
      </c>
      <c r="BE24" s="207" t="str">
        <f>Настройки!AM24</f>
        <v>-</v>
      </c>
    </row>
    <row r="25" spans="1:57">
      <c r="A25" s="82"/>
      <c r="B25" s="82"/>
      <c r="C25" s="81"/>
      <c r="D25" s="81"/>
      <c r="E25" s="81"/>
      <c r="F25" s="81"/>
      <c r="G25" s="445"/>
      <c r="H25" s="447"/>
      <c r="I25" s="1"/>
      <c r="M25" s="424" t="str">
        <f>'Конфигурация TREI'!A26</f>
        <v>BR24</v>
      </c>
      <c r="N25" s="424" t="str">
        <f>'Конфигурация TREI'!B26</f>
        <v>M558D</v>
      </c>
      <c r="AE25" s="428">
        <f>Настройки!P25</f>
        <v>24</v>
      </c>
      <c r="AF25" s="380">
        <f>Настройки!Q25</f>
        <v>0</v>
      </c>
      <c r="AG25" s="380" t="str">
        <f>Настройки!R25</f>
        <v>-</v>
      </c>
      <c r="AH25" s="380" t="str">
        <f>Настройки!S25</f>
        <v>-</v>
      </c>
      <c r="AI25" s="380" t="str">
        <f>Настройки!T25</f>
        <v>out23</v>
      </c>
      <c r="AJ25" s="380" t="str">
        <f>Настройки!U25</f>
        <v>out23</v>
      </c>
      <c r="AK25" s="380" t="str">
        <f>Настройки!V25</f>
        <v>-</v>
      </c>
      <c r="AL25" s="380" t="str">
        <f>Настройки!W25</f>
        <v>-</v>
      </c>
      <c r="AM25" s="380" t="str">
        <f>Настройки!X25</f>
        <v>-</v>
      </c>
      <c r="AN25" s="380" t="str">
        <f>Настройки!Y25</f>
        <v>-</v>
      </c>
      <c r="AO25" s="380" t="str">
        <f>Настройки!Z25</f>
        <v>-</v>
      </c>
      <c r="AP25" s="380" t="str">
        <f>Настройки!AA25</f>
        <v>Canal_24</v>
      </c>
      <c r="AQ25" s="380" t="str">
        <f>Настройки!AB25</f>
        <v>Canal_24</v>
      </c>
      <c r="AR25" s="380" t="str">
        <f>Настройки!AC25</f>
        <v>-</v>
      </c>
      <c r="AS25" s="380" t="str">
        <f>Настройки!AD25</f>
        <v>-</v>
      </c>
      <c r="AT25" s="207" t="str">
        <f>Настройки!AB25</f>
        <v>Canal_24</v>
      </c>
      <c r="AU25" s="207" t="str">
        <f>Настройки!AC25</f>
        <v>-</v>
      </c>
      <c r="AV25" s="207" t="str">
        <f>Настройки!AD25</f>
        <v>-</v>
      </c>
      <c r="AW25" s="207" t="str">
        <f>Настройки!AE25</f>
        <v>-</v>
      </c>
      <c r="AX25" s="207" t="str">
        <f>Настройки!AF25</f>
        <v>IDIG_6_4</v>
      </c>
      <c r="AY25" s="207" t="str">
        <f>Настройки!AG25</f>
        <v>Canal_24</v>
      </c>
      <c r="AZ25" s="207" t="str">
        <f>Настройки!AH25</f>
        <v>Canal_24</v>
      </c>
      <c r="BA25" s="207" t="str">
        <f>Настройки!AI25</f>
        <v>Canal_24</v>
      </c>
      <c r="BB25" s="207" t="str">
        <f>Настройки!AJ25</f>
        <v>-</v>
      </c>
      <c r="BC25" s="207" t="str">
        <f>Настройки!AK25</f>
        <v>-</v>
      </c>
      <c r="BD25" s="207" t="str">
        <f>Настройки!AL25</f>
        <v>Canal_24</v>
      </c>
      <c r="BE25" s="207" t="str">
        <f>Настройки!AM25</f>
        <v>-</v>
      </c>
    </row>
    <row r="26" spans="1:57">
      <c r="A26" s="82"/>
      <c r="B26" s="82"/>
      <c r="C26" s="81"/>
      <c r="D26" s="81"/>
      <c r="E26" s="81"/>
      <c r="F26" s="81"/>
      <c r="G26" s="445"/>
      <c r="H26" s="447"/>
      <c r="I26" s="1"/>
      <c r="M26" s="424" t="str">
        <f>'Конфигурация TREI'!A27</f>
        <v>BR25</v>
      </c>
      <c r="N26" s="424" t="str">
        <f>'Конфигурация TREI'!B27</f>
        <v>M558D</v>
      </c>
      <c r="AE26" s="428">
        <f>Настройки!P26</f>
        <v>25</v>
      </c>
      <c r="AF26" s="380">
        <f>Настройки!Q26</f>
        <v>0</v>
      </c>
      <c r="AG26" s="380" t="str">
        <f>Настройки!R26</f>
        <v>-</v>
      </c>
      <c r="AH26" s="380" t="str">
        <f>Настройки!S26</f>
        <v>-</v>
      </c>
      <c r="AI26" s="380" t="str">
        <f>Настройки!T26</f>
        <v>out24</v>
      </c>
      <c r="AJ26" s="380" t="str">
        <f>Настройки!U26</f>
        <v>out24</v>
      </c>
      <c r="AK26" s="380" t="str">
        <f>Настройки!V26</f>
        <v>-</v>
      </c>
      <c r="AL26" s="380" t="str">
        <f>Настройки!W26</f>
        <v>-</v>
      </c>
      <c r="AM26" s="380" t="str">
        <f>Настройки!X26</f>
        <v>-</v>
      </c>
      <c r="AN26" s="380" t="str">
        <f>Настройки!Y26</f>
        <v>-</v>
      </c>
      <c r="AO26" s="380" t="str">
        <f>Настройки!Z26</f>
        <v>-</v>
      </c>
      <c r="AP26" s="380" t="str">
        <f>Настройки!AA26</f>
        <v>Canal_25</v>
      </c>
      <c r="AQ26" s="380" t="str">
        <f>Настройки!AB26</f>
        <v>Canal_25</v>
      </c>
      <c r="AR26" s="380" t="str">
        <f>Настройки!AC26</f>
        <v>-</v>
      </c>
      <c r="AS26" s="380" t="str">
        <f>Настройки!AD26</f>
        <v>-</v>
      </c>
      <c r="AT26" s="207" t="str">
        <f>Настройки!AB26</f>
        <v>Canal_25</v>
      </c>
      <c r="AU26" s="207" t="str">
        <f>Настройки!AC26</f>
        <v>-</v>
      </c>
      <c r="AV26" s="207" t="str">
        <f>Настройки!AD26</f>
        <v>-</v>
      </c>
      <c r="AW26" s="207" t="str">
        <f>Настройки!AE26</f>
        <v>-</v>
      </c>
      <c r="AX26" s="207" t="str">
        <f>Настройки!AF26</f>
        <v>IDIG_7_1</v>
      </c>
      <c r="AY26" s="207" t="str">
        <f>Настройки!AG26</f>
        <v>Canal_25</v>
      </c>
      <c r="AZ26" s="207" t="str">
        <f>Настройки!AH26</f>
        <v>Canal_25</v>
      </c>
      <c r="BA26" s="207" t="str">
        <f>Настройки!AI26</f>
        <v>Canal_25</v>
      </c>
      <c r="BB26" s="207" t="str">
        <f>Настройки!AJ26</f>
        <v>-</v>
      </c>
      <c r="BC26" s="207" t="str">
        <f>Настройки!AK26</f>
        <v>-</v>
      </c>
      <c r="BD26" s="207" t="str">
        <f>Настройки!AL26</f>
        <v>Canal_25</v>
      </c>
      <c r="BE26" s="207" t="str">
        <f>Настройки!AM26</f>
        <v>-</v>
      </c>
    </row>
    <row r="27" spans="1:57">
      <c r="A27" s="82"/>
      <c r="B27" s="82"/>
      <c r="C27" s="81"/>
      <c r="D27" s="81"/>
      <c r="E27" s="81"/>
      <c r="F27" s="81"/>
      <c r="G27" s="445"/>
      <c r="H27" s="447"/>
      <c r="I27" s="1"/>
      <c r="M27" s="424" t="str">
        <f>'Конфигурация TREI'!A28</f>
        <v>BR26</v>
      </c>
      <c r="N27" s="424" t="str">
        <f>'Конфигурация TREI'!B28</f>
        <v>M558D</v>
      </c>
      <c r="AE27" s="428">
        <f>Настройки!P27</f>
        <v>26</v>
      </c>
      <c r="AF27" s="380">
        <f>Настройки!Q27</f>
        <v>0</v>
      </c>
      <c r="AG27" s="380" t="str">
        <f>Настройки!R27</f>
        <v>-</v>
      </c>
      <c r="AH27" s="380" t="str">
        <f>Настройки!S27</f>
        <v>-</v>
      </c>
      <c r="AI27" s="380" t="str">
        <f>Настройки!T27</f>
        <v>out25</v>
      </c>
      <c r="AJ27" s="380" t="str">
        <f>Настройки!U27</f>
        <v>out25</v>
      </c>
      <c r="AK27" s="380" t="str">
        <f>Настройки!V27</f>
        <v>-</v>
      </c>
      <c r="AL27" s="380" t="str">
        <f>Настройки!W27</f>
        <v>-</v>
      </c>
      <c r="AM27" s="380" t="str">
        <f>Настройки!X27</f>
        <v>-</v>
      </c>
      <c r="AN27" s="380" t="str">
        <f>Настройки!Y27</f>
        <v>-</v>
      </c>
      <c r="AO27" s="380" t="str">
        <f>Настройки!Z27</f>
        <v>-</v>
      </c>
      <c r="AP27" s="380" t="str">
        <f>Настройки!AA27</f>
        <v>Canal_26</v>
      </c>
      <c r="AQ27" s="380" t="str">
        <f>Настройки!AB27</f>
        <v>Canal_26</v>
      </c>
      <c r="AR27" s="380" t="str">
        <f>Настройки!AC27</f>
        <v>-</v>
      </c>
      <c r="AS27" s="380" t="str">
        <f>Настройки!AD27</f>
        <v>-</v>
      </c>
      <c r="AT27" s="207" t="str">
        <f>Настройки!AB27</f>
        <v>Canal_26</v>
      </c>
      <c r="AU27" s="207" t="str">
        <f>Настройки!AC27</f>
        <v>-</v>
      </c>
      <c r="AV27" s="207" t="str">
        <f>Настройки!AD27</f>
        <v>-</v>
      </c>
      <c r="AW27" s="207" t="str">
        <f>Настройки!AE27</f>
        <v>-</v>
      </c>
      <c r="AX27" s="207" t="str">
        <f>Настройки!AF27</f>
        <v>IDIG_7_2</v>
      </c>
      <c r="AY27" s="207" t="str">
        <f>Настройки!AG27</f>
        <v>Canal_26</v>
      </c>
      <c r="AZ27" s="207" t="str">
        <f>Настройки!AH27</f>
        <v>Canal_26</v>
      </c>
      <c r="BA27" s="207" t="str">
        <f>Настройки!AI27</f>
        <v>Canal_26</v>
      </c>
      <c r="BB27" s="207" t="str">
        <f>Настройки!AJ27</f>
        <v>-</v>
      </c>
      <c r="BC27" s="207" t="str">
        <f>Настройки!AK27</f>
        <v>-</v>
      </c>
      <c r="BD27" s="207" t="str">
        <f>Настройки!AL27</f>
        <v>Canal_26</v>
      </c>
      <c r="BE27" s="207" t="str">
        <f>Настройки!AM27</f>
        <v>-</v>
      </c>
    </row>
    <row r="28" spans="1:57">
      <c r="A28" s="82"/>
      <c r="B28" s="82"/>
      <c r="C28" s="81"/>
      <c r="D28" s="81"/>
      <c r="E28" s="81"/>
      <c r="F28" s="81"/>
      <c r="G28" s="445"/>
      <c r="H28" s="447"/>
      <c r="I28" s="1"/>
      <c r="M28" s="424" t="str">
        <f>'Конфигурация TREI'!A29</f>
        <v>BR27</v>
      </c>
      <c r="N28" s="424" t="str">
        <f>'Конфигурация TREI'!B29</f>
        <v>M558D</v>
      </c>
      <c r="AE28" s="428">
        <f>Настройки!P28</f>
        <v>27</v>
      </c>
      <c r="AF28" s="380">
        <f>Настройки!Q28</f>
        <v>0</v>
      </c>
      <c r="AG28" s="380" t="str">
        <f>Настройки!R28</f>
        <v>-</v>
      </c>
      <c r="AH28" s="380" t="str">
        <f>Настройки!S28</f>
        <v>-</v>
      </c>
      <c r="AI28" s="380" t="str">
        <f>Настройки!T28</f>
        <v>out26</v>
      </c>
      <c r="AJ28" s="380" t="str">
        <f>Настройки!U28</f>
        <v>out26</v>
      </c>
      <c r="AK28" s="380" t="str">
        <f>Настройки!V28</f>
        <v>-</v>
      </c>
      <c r="AL28" s="380" t="str">
        <f>Настройки!W28</f>
        <v>-</v>
      </c>
      <c r="AM28" s="380" t="str">
        <f>Настройки!X28</f>
        <v>-</v>
      </c>
      <c r="AN28" s="380" t="str">
        <f>Настройки!Y28</f>
        <v>-</v>
      </c>
      <c r="AO28" s="380" t="str">
        <f>Настройки!Z28</f>
        <v>-</v>
      </c>
      <c r="AP28" s="380" t="str">
        <f>Настройки!AA28</f>
        <v>Canal_27</v>
      </c>
      <c r="AQ28" s="380" t="str">
        <f>Настройки!AB28</f>
        <v>Canal_27</v>
      </c>
      <c r="AR28" s="380" t="str">
        <f>Настройки!AC28</f>
        <v>-</v>
      </c>
      <c r="AS28" s="380" t="str">
        <f>Настройки!AD28</f>
        <v>-</v>
      </c>
      <c r="AT28" s="207" t="str">
        <f>Настройки!AB28</f>
        <v>Canal_27</v>
      </c>
      <c r="AU28" s="207" t="str">
        <f>Настройки!AC28</f>
        <v>-</v>
      </c>
      <c r="AV28" s="207" t="str">
        <f>Настройки!AD28</f>
        <v>-</v>
      </c>
      <c r="AW28" s="207" t="str">
        <f>Настройки!AE28</f>
        <v>-</v>
      </c>
      <c r="AX28" s="207" t="str">
        <f>Настройки!AF28</f>
        <v>IDIG_7_3</v>
      </c>
      <c r="AY28" s="207" t="str">
        <f>Настройки!AG28</f>
        <v>Canal_27</v>
      </c>
      <c r="AZ28" s="207" t="str">
        <f>Настройки!AH28</f>
        <v>Canal_27</v>
      </c>
      <c r="BA28" s="207" t="str">
        <f>Настройки!AI28</f>
        <v>Canal_27</v>
      </c>
      <c r="BB28" s="207" t="str">
        <f>Настройки!AJ28</f>
        <v>-</v>
      </c>
      <c r="BC28" s="207" t="str">
        <f>Настройки!AK28</f>
        <v>-</v>
      </c>
      <c r="BD28" s="207" t="str">
        <f>Настройки!AL28</f>
        <v>Canal_27</v>
      </c>
      <c r="BE28" s="207" t="str">
        <f>Настройки!AM28</f>
        <v>-</v>
      </c>
    </row>
    <row r="29" spans="1:57">
      <c r="A29" s="82"/>
      <c r="B29" s="82"/>
      <c r="C29" s="81"/>
      <c r="D29" s="81"/>
      <c r="E29" s="81"/>
      <c r="F29" s="81"/>
      <c r="G29" s="445"/>
      <c r="H29" s="447"/>
      <c r="I29" s="1"/>
      <c r="M29" s="424" t="str">
        <f>'Конфигурация TREI'!A30</f>
        <v>BR28</v>
      </c>
      <c r="N29" s="424" t="str">
        <f>'Конфигурация TREI'!B30</f>
        <v>M558D</v>
      </c>
      <c r="AE29" s="428">
        <f>Настройки!P29</f>
        <v>28</v>
      </c>
      <c r="AF29" s="380">
        <f>Настройки!Q29</f>
        <v>0</v>
      </c>
      <c r="AG29" s="380" t="str">
        <f>Настройки!R29</f>
        <v>-</v>
      </c>
      <c r="AH29" s="380" t="str">
        <f>Настройки!S29</f>
        <v>-</v>
      </c>
      <c r="AI29" s="380" t="str">
        <f>Настройки!T29</f>
        <v>out27</v>
      </c>
      <c r="AJ29" s="380" t="str">
        <f>Настройки!U29</f>
        <v>out27</v>
      </c>
      <c r="AK29" s="380" t="str">
        <f>Настройки!V29</f>
        <v>-</v>
      </c>
      <c r="AL29" s="380" t="str">
        <f>Настройки!W29</f>
        <v>-</v>
      </c>
      <c r="AM29" s="380" t="str">
        <f>Настройки!X29</f>
        <v>-</v>
      </c>
      <c r="AN29" s="380" t="str">
        <f>Настройки!Y29</f>
        <v>-</v>
      </c>
      <c r="AO29" s="380" t="str">
        <f>Настройки!Z29</f>
        <v>-</v>
      </c>
      <c r="AP29" s="380" t="str">
        <f>Настройки!AA29</f>
        <v>Canal_28</v>
      </c>
      <c r="AQ29" s="380" t="str">
        <f>Настройки!AB29</f>
        <v>Canal_28</v>
      </c>
      <c r="AR29" s="380" t="str">
        <f>Настройки!AC29</f>
        <v>-</v>
      </c>
      <c r="AS29" s="380" t="str">
        <f>Настройки!AD29</f>
        <v>-</v>
      </c>
      <c r="AT29" s="207" t="str">
        <f>Настройки!AB29</f>
        <v>Canal_28</v>
      </c>
      <c r="AU29" s="207" t="str">
        <f>Настройки!AC29</f>
        <v>-</v>
      </c>
      <c r="AV29" s="207" t="str">
        <f>Настройки!AD29</f>
        <v>-</v>
      </c>
      <c r="AW29" s="207" t="str">
        <f>Настройки!AE29</f>
        <v>-</v>
      </c>
      <c r="AX29" s="207" t="str">
        <f>Настройки!AF29</f>
        <v>IDIG_7_4</v>
      </c>
      <c r="AY29" s="207" t="str">
        <f>Настройки!AG29</f>
        <v>Canal_28</v>
      </c>
      <c r="AZ29" s="207" t="str">
        <f>Настройки!AH29</f>
        <v>Canal_28</v>
      </c>
      <c r="BA29" s="207" t="str">
        <f>Настройки!AI29</f>
        <v>Canal_28</v>
      </c>
      <c r="BB29" s="207" t="str">
        <f>Настройки!AJ29</f>
        <v>-</v>
      </c>
      <c r="BC29" s="207" t="str">
        <f>Настройки!AK29</f>
        <v>-</v>
      </c>
      <c r="BD29" s="207" t="str">
        <f>Настройки!AL29</f>
        <v>Canal_28</v>
      </c>
      <c r="BE29" s="207" t="str">
        <f>Настройки!AM29</f>
        <v>-</v>
      </c>
    </row>
    <row r="30" spans="1:57">
      <c r="A30" s="11"/>
      <c r="B30" s="11"/>
      <c r="C30" s="11"/>
      <c r="D30" s="11"/>
      <c r="E30" s="11"/>
      <c r="F30" s="11"/>
      <c r="G30" s="11"/>
      <c r="H30" s="1"/>
      <c r="I30" s="1"/>
      <c r="M30" s="424" t="str">
        <f>'Конфигурация TREI'!A31</f>
        <v>BR29</v>
      </c>
      <c r="N30" s="424" t="str">
        <f>'Конфигурация TREI'!B31</f>
        <v>M558O</v>
      </c>
      <c r="AE30" s="428">
        <f>Настройки!P30</f>
        <v>29</v>
      </c>
      <c r="AF30" s="380">
        <f>Настройки!Q30</f>
        <v>0</v>
      </c>
      <c r="AG30" s="380" t="str">
        <f>Настройки!R30</f>
        <v>-</v>
      </c>
      <c r="AH30" s="380" t="str">
        <f>Настройки!S30</f>
        <v>-</v>
      </c>
      <c r="AI30" s="380" t="str">
        <f>Настройки!T30</f>
        <v>out28</v>
      </c>
      <c r="AJ30" s="380" t="str">
        <f>Настройки!U30</f>
        <v>out28</v>
      </c>
      <c r="AK30" s="380" t="str">
        <f>Настройки!V30</f>
        <v>-</v>
      </c>
      <c r="AL30" s="380" t="str">
        <f>Настройки!W30</f>
        <v>-</v>
      </c>
      <c r="AM30" s="380" t="str">
        <f>Настройки!X30</f>
        <v>-</v>
      </c>
      <c r="AN30" s="380" t="str">
        <f>Настройки!Y30</f>
        <v>-</v>
      </c>
      <c r="AO30" s="380" t="str">
        <f>Настройки!Z30</f>
        <v>-</v>
      </c>
      <c r="AP30" s="380" t="str">
        <f>Настройки!AA30</f>
        <v>Canal_29</v>
      </c>
      <c r="AQ30" s="380" t="str">
        <f>Настройки!AB30</f>
        <v>Canal_29</v>
      </c>
      <c r="AR30" s="380" t="str">
        <f>Настройки!AC30</f>
        <v>-</v>
      </c>
      <c r="AS30" s="380" t="str">
        <f>Настройки!AD30</f>
        <v>-</v>
      </c>
      <c r="AT30" s="207" t="str">
        <f>Настройки!AB30</f>
        <v>Canal_29</v>
      </c>
      <c r="AU30" s="207" t="str">
        <f>Настройки!AC30</f>
        <v>-</v>
      </c>
      <c r="AV30" s="207" t="str">
        <f>Настройки!AD30</f>
        <v>-</v>
      </c>
      <c r="AW30" s="207" t="str">
        <f>Настройки!AE30</f>
        <v>-</v>
      </c>
      <c r="AX30" s="207" t="str">
        <f>Настройки!AF30</f>
        <v>IDIG_8_1</v>
      </c>
      <c r="AY30" s="207" t="str">
        <f>Настройки!AG30</f>
        <v>Canal_29</v>
      </c>
      <c r="AZ30" s="207" t="str">
        <f>Настройки!AH30</f>
        <v>Canal_29</v>
      </c>
      <c r="BA30" s="207" t="str">
        <f>Настройки!AI30</f>
        <v>Canal_29</v>
      </c>
      <c r="BB30" s="207" t="str">
        <f>Настройки!AJ30</f>
        <v>-</v>
      </c>
      <c r="BC30" s="207" t="str">
        <f>Настройки!AK30</f>
        <v>-</v>
      </c>
      <c r="BD30" s="207" t="str">
        <f>Настройки!AL30</f>
        <v>Canal_29</v>
      </c>
      <c r="BE30" s="207" t="str">
        <f>Настройки!AM30</f>
        <v>-</v>
      </c>
    </row>
    <row r="31" spans="1:57">
      <c r="A31" s="82"/>
      <c r="B31" s="82"/>
      <c r="C31" s="81"/>
      <c r="D31" s="81"/>
      <c r="E31" s="81"/>
      <c r="F31" s="81"/>
      <c r="G31" s="445"/>
      <c r="H31" s="445"/>
      <c r="I31" s="1"/>
      <c r="M31" s="424" t="str">
        <f>'Конфигурация TREI'!A32</f>
        <v>BR30</v>
      </c>
      <c r="N31" s="424" t="str">
        <f>'Конфигурация TREI'!B32</f>
        <v>M558D</v>
      </c>
      <c r="AE31" s="428">
        <f>Настройки!P31</f>
        <v>30</v>
      </c>
      <c r="AF31" s="380">
        <f>Настройки!Q31</f>
        <v>0</v>
      </c>
      <c r="AG31" s="380" t="str">
        <f>Настройки!R31</f>
        <v>-</v>
      </c>
      <c r="AH31" s="380" t="str">
        <f>Настройки!S31</f>
        <v>-</v>
      </c>
      <c r="AI31" s="380" t="str">
        <f>Настройки!T31</f>
        <v>out29</v>
      </c>
      <c r="AJ31" s="380" t="str">
        <f>Настройки!U31</f>
        <v>out29</v>
      </c>
      <c r="AK31" s="380" t="str">
        <f>Настройки!V31</f>
        <v>-</v>
      </c>
      <c r="AL31" s="380" t="str">
        <f>Настройки!W31</f>
        <v>-</v>
      </c>
      <c r="AM31" s="380" t="str">
        <f>Настройки!X31</f>
        <v>-</v>
      </c>
      <c r="AN31" s="380" t="str">
        <f>Настройки!Y31</f>
        <v>-</v>
      </c>
      <c r="AO31" s="380" t="str">
        <f>Настройки!Z31</f>
        <v>-</v>
      </c>
      <c r="AP31" s="380" t="str">
        <f>Настройки!AA31</f>
        <v>Canal_30</v>
      </c>
      <c r="AQ31" s="380" t="str">
        <f>Настройки!AB31</f>
        <v>Canal_30</v>
      </c>
      <c r="AR31" s="380" t="str">
        <f>Настройки!AC31</f>
        <v>-</v>
      </c>
      <c r="AS31" s="380" t="str">
        <f>Настройки!AD31</f>
        <v>-</v>
      </c>
      <c r="AT31" s="207" t="str">
        <f>Настройки!AB31</f>
        <v>Canal_30</v>
      </c>
      <c r="AU31" s="207" t="str">
        <f>Настройки!AC31</f>
        <v>-</v>
      </c>
      <c r="AV31" s="207" t="str">
        <f>Настройки!AD31</f>
        <v>-</v>
      </c>
      <c r="AW31" s="207" t="str">
        <f>Настройки!AE31</f>
        <v>-</v>
      </c>
      <c r="AX31" s="207" t="str">
        <f>Настройки!AF31</f>
        <v>IDIG_8_2</v>
      </c>
      <c r="AY31" s="207" t="str">
        <f>Настройки!AG31</f>
        <v>Canal_30</v>
      </c>
      <c r="AZ31" s="207" t="str">
        <f>Настройки!AH31</f>
        <v>Canal_30</v>
      </c>
      <c r="BA31" s="207" t="str">
        <f>Настройки!AI31</f>
        <v>Canal_30</v>
      </c>
      <c r="BB31" s="207" t="str">
        <f>Настройки!AJ31</f>
        <v>-</v>
      </c>
      <c r="BC31" s="207" t="str">
        <f>Настройки!AK31</f>
        <v>-</v>
      </c>
      <c r="BD31" s="207" t="str">
        <f>Настройки!AL31</f>
        <v>Canal_30</v>
      </c>
      <c r="BE31" s="207" t="str">
        <f>Настройки!AM31</f>
        <v>-</v>
      </c>
    </row>
    <row r="32" spans="1:57">
      <c r="A32" s="82"/>
      <c r="B32" s="82"/>
      <c r="C32" s="81"/>
      <c r="D32" s="81"/>
      <c r="E32" s="81"/>
      <c r="F32" s="81"/>
      <c r="G32" s="445"/>
      <c r="H32" s="445"/>
      <c r="I32" s="1"/>
      <c r="M32" s="424" t="str">
        <f>'Конфигурация TREI'!A33</f>
        <v>BR31</v>
      </c>
      <c r="N32" s="424" t="str">
        <f>'Конфигурация TREI'!B33</f>
        <v>M558D</v>
      </c>
      <c r="AE32" s="428">
        <f>Настройки!P32</f>
        <v>31</v>
      </c>
      <c r="AF32" s="380">
        <f>Настройки!Q32</f>
        <v>0</v>
      </c>
      <c r="AG32" s="380" t="str">
        <f>Настройки!R32</f>
        <v>-</v>
      </c>
      <c r="AH32" s="380" t="str">
        <f>Настройки!S32</f>
        <v>-</v>
      </c>
      <c r="AI32" s="380" t="str">
        <f>Настройки!T32</f>
        <v>out30</v>
      </c>
      <c r="AJ32" s="380" t="str">
        <f>Настройки!U32</f>
        <v>out30</v>
      </c>
      <c r="AK32" s="380" t="str">
        <f>Настройки!V32</f>
        <v>-</v>
      </c>
      <c r="AL32" s="380" t="str">
        <f>Настройки!W32</f>
        <v>-</v>
      </c>
      <c r="AM32" s="380" t="str">
        <f>Настройки!X32</f>
        <v>-</v>
      </c>
      <c r="AN32" s="380" t="str">
        <f>Настройки!Y32</f>
        <v>-</v>
      </c>
      <c r="AO32" s="380" t="str">
        <f>Настройки!Z32</f>
        <v>-</v>
      </c>
      <c r="AP32" s="380" t="str">
        <f>Настройки!AA32</f>
        <v>Canal_31</v>
      </c>
      <c r="AQ32" s="380" t="str">
        <f>Настройки!AB32</f>
        <v>Canal_31</v>
      </c>
      <c r="AR32" s="380" t="str">
        <f>Настройки!AC32</f>
        <v>-</v>
      </c>
      <c r="AS32" s="380" t="str">
        <f>Настройки!AD32</f>
        <v>-</v>
      </c>
      <c r="AT32" s="207" t="str">
        <f>Настройки!AB32</f>
        <v>Canal_31</v>
      </c>
      <c r="AU32" s="207" t="str">
        <f>Настройки!AC32</f>
        <v>-</v>
      </c>
      <c r="AV32" s="207" t="str">
        <f>Настройки!AD32</f>
        <v>-</v>
      </c>
      <c r="AW32" s="207" t="str">
        <f>Настройки!AE32</f>
        <v>-</v>
      </c>
      <c r="AX32" s="207" t="str">
        <f>Настройки!AF32</f>
        <v>IDIG_8_3</v>
      </c>
      <c r="AY32" s="207" t="str">
        <f>Настройки!AG32</f>
        <v>Canal_31</v>
      </c>
      <c r="AZ32" s="207" t="str">
        <f>Настройки!AH32</f>
        <v>Canal_31</v>
      </c>
      <c r="BA32" s="207" t="str">
        <f>Настройки!AI32</f>
        <v>Canal_31</v>
      </c>
      <c r="BB32" s="207" t="str">
        <f>Настройки!AJ32</f>
        <v>-</v>
      </c>
      <c r="BC32" s="207" t="str">
        <f>Настройки!AK32</f>
        <v>-</v>
      </c>
      <c r="BD32" s="207" t="str">
        <f>Настройки!AL32</f>
        <v>Canal_31</v>
      </c>
      <c r="BE32" s="207" t="str">
        <f>Настройки!AM32</f>
        <v>-</v>
      </c>
    </row>
    <row r="33" spans="1:57">
      <c r="A33" s="82"/>
      <c r="B33" s="82"/>
      <c r="C33" s="81"/>
      <c r="D33" s="81"/>
      <c r="E33" s="81"/>
      <c r="F33" s="81"/>
      <c r="G33" s="445"/>
      <c r="H33" s="445"/>
      <c r="I33" s="1"/>
      <c r="M33" s="424" t="str">
        <f>'Конфигурация TREI'!A34</f>
        <v>BR32</v>
      </c>
      <c r="N33" s="424" t="str">
        <f>'Конфигурация TREI'!B34</f>
        <v>M558D</v>
      </c>
      <c r="AE33" s="620">
        <f>Настройки!P33</f>
        <v>32</v>
      </c>
      <c r="AF33" s="621">
        <f>Настройки!Q33</f>
        <v>0</v>
      </c>
      <c r="AG33" s="621" t="str">
        <f>Настройки!R33</f>
        <v>-</v>
      </c>
      <c r="AH33" s="621" t="str">
        <f>Настройки!S33</f>
        <v>-</v>
      </c>
      <c r="AI33" s="621" t="str">
        <f>Настройки!T33</f>
        <v>out31</v>
      </c>
      <c r="AJ33" s="621" t="str">
        <f>Настройки!U33</f>
        <v>out31</v>
      </c>
      <c r="AK33" s="621" t="str">
        <f>Настройки!V33</f>
        <v>-</v>
      </c>
      <c r="AL33" s="621" t="str">
        <f>Настройки!W33</f>
        <v>-</v>
      </c>
      <c r="AM33" s="621" t="str">
        <f>Настройки!X33</f>
        <v>-</v>
      </c>
      <c r="AN33" s="621" t="str">
        <f>Настройки!Y33</f>
        <v>-</v>
      </c>
      <c r="AO33" s="621" t="str">
        <f>Настройки!Z33</f>
        <v>-</v>
      </c>
      <c r="AP33" s="621" t="str">
        <f>Настройки!AA33</f>
        <v>Canal_32</v>
      </c>
      <c r="AQ33" s="621" t="str">
        <f>Настройки!AB33</f>
        <v>Canal_32</v>
      </c>
      <c r="AR33" s="621" t="str">
        <f>Настройки!AC33</f>
        <v>-</v>
      </c>
      <c r="AS33" s="621" t="str">
        <f>Настройки!AD33</f>
        <v>-</v>
      </c>
      <c r="AT33" s="622" t="str">
        <f>Настройки!AB33</f>
        <v>Canal_32</v>
      </c>
      <c r="AU33" s="622" t="str">
        <f>Настройки!AC33</f>
        <v>-</v>
      </c>
      <c r="AV33" s="622" t="str">
        <f>Настройки!AD33</f>
        <v>-</v>
      </c>
      <c r="AW33" s="622" t="str">
        <f>Настройки!AE33</f>
        <v>-</v>
      </c>
      <c r="AX33" s="622" t="str">
        <f>Настройки!AF33</f>
        <v>IDIG_8_4</v>
      </c>
      <c r="AY33" s="622" t="str">
        <f>Настройки!AG33</f>
        <v>Canal_32</v>
      </c>
      <c r="AZ33" s="622" t="str">
        <f>Настройки!AH33</f>
        <v>Canal_32</v>
      </c>
      <c r="BA33" s="622" t="str">
        <f>Настройки!AI33</f>
        <v>Canal_32</v>
      </c>
      <c r="BB33" s="622" t="str">
        <f>Настройки!AJ33</f>
        <v>-</v>
      </c>
      <c r="BC33" s="622" t="str">
        <f>Настройки!AK33</f>
        <v>-</v>
      </c>
      <c r="BD33" s="622" t="str">
        <f>Настройки!AL33</f>
        <v>Canal_32</v>
      </c>
      <c r="BE33" s="622" t="str">
        <f>Настройки!AM33</f>
        <v>-</v>
      </c>
    </row>
    <row r="34" spans="1:57">
      <c r="A34" s="82"/>
      <c r="B34" s="82"/>
      <c r="C34" s="81"/>
      <c r="D34" s="81"/>
      <c r="E34" s="81"/>
      <c r="F34" s="81"/>
      <c r="G34" s="445"/>
      <c r="H34" s="445"/>
      <c r="I34" s="1"/>
      <c r="M34" s="424" t="str">
        <f>'Конфигурация TREI'!A35</f>
        <v>BR33</v>
      </c>
      <c r="N34" s="424" t="str">
        <f>'Конфигурация TREI'!B35</f>
        <v>M558D</v>
      </c>
      <c r="AE34" s="624"/>
      <c r="AF34" s="624"/>
      <c r="AG34" s="624"/>
      <c r="AH34" s="624"/>
      <c r="AI34" s="624"/>
      <c r="AJ34" s="624"/>
      <c r="AK34" s="624"/>
      <c r="AL34" s="624"/>
      <c r="AM34" s="624"/>
      <c r="AN34" s="624"/>
      <c r="AO34" s="624"/>
      <c r="AP34" s="624"/>
      <c r="AQ34" s="624"/>
      <c r="AR34" s="624"/>
      <c r="AS34" s="624"/>
      <c r="AT34" s="625"/>
      <c r="AU34" s="625"/>
      <c r="AV34" s="625"/>
      <c r="AW34" s="625"/>
      <c r="AX34" s="625"/>
      <c r="AY34" s="625"/>
      <c r="AZ34" s="625"/>
      <c r="BA34" s="625"/>
      <c r="BB34" s="625"/>
      <c r="BC34" s="625"/>
      <c r="BD34" s="625"/>
      <c r="BE34" s="625"/>
    </row>
    <row r="35" spans="1:57">
      <c r="A35" s="82"/>
      <c r="B35" s="82"/>
      <c r="C35" s="81"/>
      <c r="D35" s="81"/>
      <c r="E35" s="81"/>
      <c r="F35" s="81"/>
      <c r="G35" s="445"/>
      <c r="H35" s="445"/>
      <c r="I35" s="1"/>
      <c r="M35" s="424" t="str">
        <f>'Конфигурация TREI'!A36</f>
        <v>BR34</v>
      </c>
      <c r="N35" s="424" t="str">
        <f>'Конфигурация TREI'!B36</f>
        <v>M558D</v>
      </c>
      <c r="AE35" s="505"/>
      <c r="AF35" s="505"/>
      <c r="AG35" s="505"/>
      <c r="AH35" s="505"/>
      <c r="AI35" s="505"/>
      <c r="AJ35" s="505"/>
      <c r="AK35" s="505"/>
      <c r="AL35" s="505"/>
      <c r="AM35" s="505"/>
      <c r="AN35" s="505"/>
      <c r="AO35" s="505"/>
      <c r="AP35" s="505"/>
      <c r="AQ35" s="505"/>
      <c r="AR35" s="505"/>
      <c r="AS35" s="505"/>
      <c r="AT35" s="623"/>
      <c r="AU35" s="623"/>
      <c r="AV35" s="623"/>
      <c r="AW35" s="623"/>
      <c r="AX35" s="623"/>
      <c r="AY35" s="623"/>
      <c r="AZ35" s="623"/>
      <c r="BA35" s="623"/>
      <c r="BB35" s="623"/>
      <c r="BC35" s="623"/>
      <c r="BD35" s="623"/>
      <c r="BE35" s="623"/>
    </row>
    <row r="36" spans="1:57">
      <c r="A36" s="82"/>
      <c r="B36" s="82"/>
      <c r="C36" s="81"/>
      <c r="D36" s="81"/>
      <c r="E36" s="81"/>
      <c r="F36" s="81"/>
      <c r="G36" s="445"/>
      <c r="H36" s="445"/>
      <c r="I36" s="1"/>
      <c r="M36" s="424" t="str">
        <f>'Конфигурация TREI'!A37</f>
        <v>BR35</v>
      </c>
      <c r="N36" s="424" t="str">
        <f>'Конфигурация TREI'!B37</f>
        <v>M558D</v>
      </c>
      <c r="AE36" s="505"/>
      <c r="AF36" s="505"/>
      <c r="AG36" s="505"/>
      <c r="AH36" s="505"/>
      <c r="AI36" s="505"/>
      <c r="AJ36" s="505"/>
      <c r="AK36" s="505"/>
      <c r="AL36" s="505"/>
      <c r="AM36" s="505"/>
      <c r="AN36" s="505"/>
      <c r="AO36" s="505"/>
      <c r="AP36" s="505"/>
      <c r="AQ36" s="505"/>
      <c r="AR36" s="505"/>
      <c r="AS36" s="505"/>
      <c r="AT36" s="623"/>
      <c r="AU36" s="623"/>
      <c r="AV36" s="623"/>
      <c r="AW36" s="623"/>
      <c r="AX36" s="623"/>
      <c r="AY36" s="623"/>
      <c r="AZ36" s="623"/>
      <c r="BA36" s="623"/>
      <c r="BB36" s="623"/>
      <c r="BC36" s="623"/>
      <c r="BD36" s="623"/>
      <c r="BE36" s="623"/>
    </row>
    <row r="37" spans="1:57" ht="15.75" customHeight="1">
      <c r="A37" s="82"/>
      <c r="B37" s="82"/>
      <c r="C37" s="81"/>
      <c r="D37" s="81"/>
      <c r="E37" s="81"/>
      <c r="F37" s="81"/>
      <c r="G37" s="445"/>
      <c r="H37" s="445"/>
      <c r="I37" s="1"/>
      <c r="M37" s="424" t="str">
        <f>'Конфигурация TREI'!A38</f>
        <v>BR36</v>
      </c>
      <c r="N37" s="424">
        <f>'Конфигурация TREI'!B38</f>
        <v>0</v>
      </c>
      <c r="AE37" s="505"/>
      <c r="AF37" s="505"/>
      <c r="AG37" s="505"/>
      <c r="AH37" s="505"/>
      <c r="AI37" s="505"/>
      <c r="AJ37" s="505"/>
      <c r="AK37" s="505"/>
      <c r="AL37" s="505"/>
      <c r="AM37" s="505"/>
      <c r="AN37" s="505"/>
      <c r="AO37" s="505"/>
      <c r="AP37" s="505"/>
      <c r="AQ37" s="505"/>
      <c r="AR37" s="505"/>
      <c r="AS37" s="505"/>
      <c r="AT37" s="623"/>
      <c r="AU37" s="623"/>
      <c r="AV37" s="623"/>
      <c r="AW37" s="623"/>
      <c r="AX37" s="623"/>
      <c r="AY37" s="623"/>
      <c r="AZ37" s="623"/>
      <c r="BA37" s="623"/>
      <c r="BB37" s="623"/>
      <c r="BC37" s="623"/>
      <c r="BD37" s="623"/>
      <c r="BE37" s="623"/>
    </row>
    <row r="38" spans="1:57">
      <c r="A38" s="82"/>
      <c r="B38" s="82"/>
      <c r="C38" s="81"/>
      <c r="D38" s="81"/>
      <c r="E38" s="81"/>
      <c r="F38" s="81"/>
      <c r="G38" s="445"/>
      <c r="H38" s="445"/>
      <c r="I38" s="1"/>
      <c r="M38" s="424" t="str">
        <f>'Конфигурация TREI'!A39</f>
        <v>BR37</v>
      </c>
      <c r="N38" s="424">
        <f>'Конфигурация TREI'!B39</f>
        <v>0</v>
      </c>
      <c r="AE38" s="505"/>
      <c r="AF38" s="505"/>
      <c r="AG38" s="505"/>
      <c r="AH38" s="505"/>
      <c r="AI38" s="505"/>
      <c r="AJ38" s="505"/>
      <c r="AK38" s="505"/>
      <c r="AL38" s="505"/>
      <c r="AM38" s="505"/>
      <c r="AN38" s="505"/>
      <c r="AO38" s="505"/>
      <c r="AP38" s="505"/>
      <c r="AQ38" s="505"/>
      <c r="AR38" s="505"/>
      <c r="AS38" s="505"/>
      <c r="AT38" s="623"/>
      <c r="AU38" s="623"/>
      <c r="AV38" s="623"/>
      <c r="AW38" s="623"/>
      <c r="AX38" s="623"/>
      <c r="AY38" s="623"/>
      <c r="AZ38" s="623"/>
      <c r="BA38" s="623"/>
      <c r="BB38" s="623"/>
      <c r="BC38" s="623"/>
      <c r="BD38" s="623"/>
      <c r="BE38" s="623"/>
    </row>
    <row r="39" spans="1:57">
      <c r="A39" s="82"/>
      <c r="B39" s="82"/>
      <c r="C39" s="81"/>
      <c r="D39" s="81"/>
      <c r="E39" s="81"/>
      <c r="F39" s="81"/>
      <c r="G39" s="445"/>
      <c r="H39" s="445"/>
      <c r="I39" s="1"/>
      <c r="M39" s="424" t="str">
        <f>'Конфигурация TREI'!A40</f>
        <v>BR38</v>
      </c>
      <c r="N39" s="424">
        <f>'Конфигурация TREI'!B40</f>
        <v>0</v>
      </c>
      <c r="AE39" s="505"/>
      <c r="AF39" s="505"/>
      <c r="AG39" s="505"/>
      <c r="AH39" s="505"/>
      <c r="AI39" s="505"/>
      <c r="AJ39" s="505"/>
      <c r="AK39" s="505"/>
      <c r="AL39" s="505"/>
      <c r="AM39" s="505"/>
      <c r="AN39" s="505"/>
      <c r="AO39" s="505"/>
      <c r="AP39" s="505"/>
      <c r="AQ39" s="505"/>
      <c r="AR39" s="505"/>
      <c r="AS39" s="505"/>
      <c r="AT39" s="623"/>
      <c r="AU39" s="623"/>
      <c r="AV39" s="623"/>
      <c r="AW39" s="623"/>
      <c r="AX39" s="623"/>
      <c r="AY39" s="623"/>
      <c r="AZ39" s="623"/>
      <c r="BA39" s="623"/>
      <c r="BB39" s="623"/>
      <c r="BC39" s="623"/>
      <c r="BD39" s="623"/>
      <c r="BE39" s="623"/>
    </row>
    <row r="40" spans="1:57">
      <c r="A40" s="82"/>
      <c r="B40" s="82"/>
      <c r="C40" s="81"/>
      <c r="D40" s="81"/>
      <c r="E40" s="81"/>
      <c r="F40" s="81"/>
      <c r="G40" s="445"/>
      <c r="H40" s="445"/>
      <c r="I40" s="1"/>
      <c r="M40" s="424" t="str">
        <f>'Конфигурация TREI'!A41</f>
        <v>BR39</v>
      </c>
      <c r="N40" s="424">
        <f>'Конфигурация TREI'!B41</f>
        <v>0</v>
      </c>
      <c r="AE40" s="505"/>
      <c r="AF40" s="505"/>
      <c r="AG40" s="505"/>
      <c r="AH40" s="505"/>
      <c r="AI40" s="505"/>
      <c r="AJ40" s="505"/>
      <c r="AK40" s="505"/>
      <c r="AL40" s="505"/>
      <c r="AM40" s="505"/>
      <c r="AN40" s="505"/>
      <c r="AO40" s="505"/>
      <c r="AP40" s="505"/>
      <c r="AQ40" s="505"/>
      <c r="AR40" s="505"/>
      <c r="AS40" s="505"/>
      <c r="AT40" s="623"/>
      <c r="AU40" s="623"/>
      <c r="AV40" s="623"/>
      <c r="AW40" s="623"/>
      <c r="AX40" s="623"/>
      <c r="AY40" s="623"/>
      <c r="AZ40" s="623"/>
      <c r="BA40" s="623"/>
      <c r="BB40" s="623"/>
      <c r="BC40" s="623"/>
      <c r="BD40" s="623"/>
      <c r="BE40" s="623"/>
    </row>
    <row r="41" spans="1:57">
      <c r="A41" s="82"/>
      <c r="B41" s="82"/>
      <c r="C41" s="81"/>
      <c r="D41" s="81"/>
      <c r="E41" s="81"/>
      <c r="F41" s="81"/>
      <c r="G41" s="445"/>
      <c r="H41" s="445"/>
      <c r="I41" s="1"/>
      <c r="M41" s="424" t="str">
        <f>'Конфигурация TREI'!A42</f>
        <v>BR40</v>
      </c>
      <c r="N41" s="424">
        <f>'Конфигурация TREI'!B42</f>
        <v>0</v>
      </c>
      <c r="AE41" s="505"/>
      <c r="AF41" s="505"/>
      <c r="AG41" s="505"/>
      <c r="AH41" s="505"/>
      <c r="AI41" s="505"/>
      <c r="AJ41" s="505"/>
      <c r="AK41" s="505"/>
      <c r="AL41" s="505"/>
      <c r="AM41" s="505"/>
      <c r="AN41" s="505"/>
      <c r="AO41" s="505"/>
      <c r="AP41" s="505"/>
      <c r="AQ41" s="505"/>
      <c r="AR41" s="505"/>
      <c r="AS41" s="505"/>
      <c r="AT41" s="623"/>
      <c r="AU41" s="623"/>
      <c r="AV41" s="623"/>
      <c r="AW41" s="623"/>
      <c r="AX41" s="623"/>
      <c r="AY41" s="623"/>
      <c r="AZ41" s="623"/>
      <c r="BA41" s="623"/>
      <c r="BB41" s="623"/>
      <c r="BC41" s="623"/>
      <c r="BD41" s="623"/>
      <c r="BE41" s="623"/>
    </row>
    <row r="42" spans="1:57">
      <c r="A42" s="82"/>
      <c r="B42" s="82"/>
      <c r="C42" s="81"/>
      <c r="D42" s="81"/>
      <c r="E42" s="81"/>
      <c r="F42" s="81"/>
      <c r="G42" s="445"/>
      <c r="H42" s="445"/>
      <c r="I42" s="1"/>
      <c r="M42" s="424" t="str">
        <f>'Конфигурация TREI'!A43</f>
        <v>BR41</v>
      </c>
      <c r="N42" s="424">
        <f>'Конфигурация TREI'!B43</f>
        <v>0</v>
      </c>
      <c r="AE42" s="505"/>
      <c r="AF42" s="505"/>
      <c r="AG42" s="505"/>
      <c r="AH42" s="505"/>
      <c r="AI42" s="505"/>
      <c r="AJ42" s="505"/>
      <c r="AK42" s="505"/>
      <c r="AL42" s="505"/>
      <c r="AM42" s="505"/>
      <c r="AN42" s="505"/>
      <c r="AO42" s="505"/>
      <c r="AP42" s="505"/>
      <c r="AQ42" s="505"/>
      <c r="AR42" s="505"/>
      <c r="AS42" s="505"/>
      <c r="AT42" s="623"/>
      <c r="AU42" s="623"/>
      <c r="AV42" s="623"/>
      <c r="AW42" s="623"/>
      <c r="AX42" s="623"/>
      <c r="AY42" s="623"/>
      <c r="AZ42" s="623"/>
      <c r="BA42" s="623"/>
      <c r="BB42" s="623"/>
      <c r="BC42" s="623"/>
      <c r="BD42" s="623"/>
      <c r="BE42" s="623"/>
    </row>
    <row r="43" spans="1:57">
      <c r="A43" s="82"/>
      <c r="B43" s="82"/>
      <c r="C43" s="81"/>
      <c r="D43" s="81"/>
      <c r="E43" s="81"/>
      <c r="F43" s="81"/>
      <c r="G43" s="445"/>
      <c r="H43" s="445"/>
      <c r="I43" s="1"/>
      <c r="M43" s="424" t="str">
        <f>'Конфигурация TREI'!A44</f>
        <v>BR42</v>
      </c>
      <c r="N43" s="424">
        <f>'Конфигурация TREI'!B44</f>
        <v>0</v>
      </c>
      <c r="AE43" s="505"/>
      <c r="AF43" s="505"/>
      <c r="AG43" s="505"/>
      <c r="AH43" s="505"/>
      <c r="AI43" s="505"/>
      <c r="AJ43" s="505"/>
      <c r="AK43" s="505"/>
      <c r="AL43" s="505"/>
      <c r="AM43" s="505"/>
      <c r="AN43" s="505"/>
      <c r="AO43" s="505"/>
      <c r="AP43" s="505"/>
      <c r="AQ43" s="505"/>
      <c r="AR43" s="505"/>
      <c r="AS43" s="505"/>
      <c r="AT43" s="623"/>
      <c r="AU43" s="623"/>
      <c r="AV43" s="623"/>
      <c r="AW43" s="623"/>
      <c r="AX43" s="623"/>
      <c r="AY43" s="623"/>
      <c r="AZ43" s="623"/>
      <c r="BA43" s="623"/>
      <c r="BB43" s="623"/>
      <c r="BC43" s="623"/>
      <c r="BD43" s="623"/>
      <c r="BE43" s="623"/>
    </row>
    <row r="44" spans="1:57">
      <c r="A44" s="82"/>
      <c r="B44" s="82"/>
      <c r="C44" s="81"/>
      <c r="D44" s="81"/>
      <c r="E44" s="81"/>
      <c r="F44" s="81"/>
      <c r="G44" s="445"/>
      <c r="H44" s="445"/>
      <c r="I44" s="1"/>
      <c r="M44" s="424" t="str">
        <f>'Конфигурация TREI'!A45</f>
        <v>BR43</v>
      </c>
      <c r="N44" s="424">
        <f>'Конфигурация TREI'!B45</f>
        <v>0</v>
      </c>
      <c r="AE44" s="505"/>
      <c r="AF44" s="505"/>
      <c r="AG44" s="505"/>
      <c r="AH44" s="505"/>
      <c r="AI44" s="505"/>
      <c r="AJ44" s="505"/>
      <c r="AK44" s="505"/>
      <c r="AL44" s="505"/>
      <c r="AM44" s="505"/>
      <c r="AN44" s="505"/>
      <c r="AO44" s="505"/>
      <c r="AP44" s="505"/>
      <c r="AQ44" s="505"/>
      <c r="AR44" s="505"/>
      <c r="AS44" s="505"/>
      <c r="AT44" s="623"/>
      <c r="AU44" s="623"/>
      <c r="AV44" s="623"/>
      <c r="AW44" s="623"/>
      <c r="AX44" s="623"/>
      <c r="AY44" s="623"/>
      <c r="AZ44" s="623"/>
      <c r="BA44" s="623"/>
      <c r="BB44" s="623"/>
      <c r="BC44" s="623"/>
      <c r="BD44" s="623"/>
      <c r="BE44" s="623"/>
    </row>
    <row r="45" spans="1:57">
      <c r="A45" s="82"/>
      <c r="B45" s="82"/>
      <c r="C45" s="81"/>
      <c r="D45" s="81"/>
      <c r="E45" s="81"/>
      <c r="F45" s="81"/>
      <c r="G45" s="445"/>
      <c r="H45" s="445"/>
      <c r="I45" s="1"/>
      <c r="M45" s="424" t="str">
        <f>'Конфигурация TREI'!A46</f>
        <v>BR44</v>
      </c>
      <c r="N45" s="424">
        <f>'Конфигурация TREI'!B46</f>
        <v>0</v>
      </c>
      <c r="AE45" s="505"/>
      <c r="AF45" s="505"/>
      <c r="AG45" s="505"/>
      <c r="AH45" s="505"/>
      <c r="AI45" s="505"/>
      <c r="AJ45" s="505"/>
      <c r="AK45" s="505"/>
      <c r="AL45" s="505"/>
      <c r="AM45" s="505"/>
      <c r="AN45" s="505"/>
      <c r="AO45" s="505"/>
      <c r="AP45" s="505"/>
      <c r="AQ45" s="505"/>
      <c r="AR45" s="505"/>
      <c r="AS45" s="505"/>
      <c r="AT45" s="623"/>
      <c r="AU45" s="623"/>
      <c r="AV45" s="623"/>
      <c r="AW45" s="623"/>
      <c r="AX45" s="623"/>
      <c r="AY45" s="623"/>
      <c r="AZ45" s="623"/>
      <c r="BA45" s="623"/>
      <c r="BB45" s="623"/>
      <c r="BC45" s="623"/>
      <c r="BD45" s="623"/>
      <c r="BE45" s="623"/>
    </row>
    <row r="46" spans="1:57">
      <c r="A46" s="82"/>
      <c r="B46" s="82"/>
      <c r="C46" s="81"/>
      <c r="D46" s="81"/>
      <c r="E46" s="81"/>
      <c r="F46" s="81"/>
      <c r="G46" s="445"/>
      <c r="H46" s="445"/>
      <c r="I46" s="11"/>
      <c r="J46" s="4"/>
      <c r="K46" s="4"/>
      <c r="L46" s="4"/>
      <c r="M46" s="424" t="str">
        <f>'Конфигурация TREI'!A47</f>
        <v>BR45</v>
      </c>
      <c r="N46" s="424">
        <f>'Конфигурация TREI'!B47</f>
        <v>0</v>
      </c>
      <c r="AE46" s="505"/>
      <c r="AF46" s="505"/>
      <c r="AG46" s="505"/>
      <c r="AH46" s="505"/>
      <c r="AI46" s="505"/>
      <c r="AJ46" s="505"/>
      <c r="AK46" s="505"/>
      <c r="AL46" s="505"/>
      <c r="AM46" s="505"/>
      <c r="AN46" s="505"/>
      <c r="AO46" s="505"/>
      <c r="AP46" s="505"/>
      <c r="AQ46" s="505"/>
      <c r="AR46" s="505"/>
      <c r="AS46" s="505"/>
      <c r="AT46" s="623"/>
      <c r="AU46" s="623"/>
      <c r="AV46" s="623"/>
      <c r="AW46" s="623"/>
      <c r="AX46" s="623"/>
      <c r="AY46" s="623"/>
      <c r="AZ46" s="623"/>
      <c r="BA46" s="623"/>
      <c r="BB46" s="623"/>
      <c r="BC46" s="623"/>
      <c r="BD46" s="623"/>
      <c r="BE46" s="623"/>
    </row>
    <row r="47" spans="1:57">
      <c r="A47" s="82"/>
      <c r="B47" s="82"/>
      <c r="C47" s="81"/>
      <c r="D47" s="81"/>
      <c r="E47" s="81"/>
      <c r="F47" s="81"/>
      <c r="G47" s="445"/>
      <c r="H47" s="445"/>
      <c r="I47" s="11"/>
      <c r="J47" s="4"/>
      <c r="K47" s="4"/>
      <c r="L47" s="4"/>
      <c r="M47" s="424" t="str">
        <f>'Конфигурация TREI'!A48</f>
        <v>BR46</v>
      </c>
      <c r="N47" s="424">
        <f>'Конфигурация TREI'!B48</f>
        <v>0</v>
      </c>
      <c r="AE47" s="505"/>
      <c r="AF47" s="505"/>
      <c r="AG47" s="505"/>
      <c r="AH47" s="505"/>
      <c r="AI47" s="505"/>
      <c r="AJ47" s="505"/>
      <c r="AK47" s="505"/>
      <c r="AL47" s="505"/>
      <c r="AM47" s="505"/>
      <c r="AN47" s="505"/>
      <c r="AO47" s="505"/>
      <c r="AP47" s="505"/>
      <c r="AQ47" s="505"/>
      <c r="AR47" s="505"/>
      <c r="AS47" s="505"/>
      <c r="AT47" s="623"/>
      <c r="AU47" s="623"/>
      <c r="AV47" s="623"/>
      <c r="AW47" s="623"/>
      <c r="AX47" s="623"/>
      <c r="AY47" s="623"/>
      <c r="AZ47" s="623"/>
      <c r="BA47" s="623"/>
      <c r="BB47" s="623"/>
      <c r="BC47" s="623"/>
      <c r="BD47" s="623"/>
      <c r="BE47" s="623"/>
    </row>
    <row r="48" spans="1:57">
      <c r="A48" s="82"/>
      <c r="B48" s="82"/>
      <c r="C48" s="81"/>
      <c r="D48" s="81"/>
      <c r="E48" s="81"/>
      <c r="F48" s="81"/>
      <c r="G48" s="445"/>
      <c r="H48" s="445"/>
      <c r="I48" s="11"/>
      <c r="J48" s="4"/>
      <c r="K48" s="4"/>
      <c r="L48" s="4"/>
      <c r="M48" s="424" t="str">
        <f>'Конфигурация TREI'!A49</f>
        <v>BR47</v>
      </c>
      <c r="N48" s="424">
        <f>'Конфигурация TREI'!B49</f>
        <v>0</v>
      </c>
      <c r="AE48" s="505"/>
      <c r="AF48" s="505"/>
      <c r="AG48" s="505"/>
      <c r="AH48" s="505"/>
      <c r="AI48" s="505"/>
      <c r="AJ48" s="505"/>
      <c r="AK48" s="505"/>
      <c r="AL48" s="505"/>
      <c r="AM48" s="505"/>
      <c r="AN48" s="505"/>
      <c r="AO48" s="505"/>
      <c r="AP48" s="505"/>
      <c r="AQ48" s="505"/>
      <c r="AR48" s="505"/>
      <c r="AS48" s="505"/>
      <c r="AT48" s="623"/>
      <c r="AU48" s="623"/>
      <c r="AV48" s="623"/>
      <c r="AW48" s="623"/>
      <c r="AX48" s="623"/>
      <c r="AY48" s="623"/>
      <c r="AZ48" s="623"/>
      <c r="BA48" s="623"/>
      <c r="BB48" s="623"/>
      <c r="BC48" s="623"/>
      <c r="BD48" s="623"/>
      <c r="BE48" s="623"/>
    </row>
    <row r="49" spans="1:57">
      <c r="A49" s="11"/>
      <c r="B49" s="11"/>
      <c r="C49" s="11"/>
      <c r="D49" s="11"/>
      <c r="E49" s="11"/>
      <c r="F49" s="11"/>
      <c r="G49" s="11"/>
      <c r="H49" s="11"/>
      <c r="I49" s="11"/>
      <c r="J49" s="4"/>
      <c r="K49" s="4"/>
      <c r="L49" s="4"/>
      <c r="M49" s="424" t="str">
        <f>'Конфигурация TREI'!A50</f>
        <v>BR48</v>
      </c>
      <c r="N49" s="424">
        <f>'Конфигурация TREI'!B50</f>
        <v>0</v>
      </c>
      <c r="AE49" s="505"/>
      <c r="AF49" s="505"/>
      <c r="AG49" s="505"/>
      <c r="AH49" s="505"/>
      <c r="AI49" s="505"/>
      <c r="AJ49" s="505"/>
      <c r="AK49" s="505"/>
      <c r="AL49" s="505"/>
      <c r="AM49" s="505"/>
      <c r="AN49" s="505"/>
      <c r="AO49" s="505"/>
      <c r="AP49" s="505"/>
      <c r="AQ49" s="505"/>
      <c r="AR49" s="505"/>
      <c r="AS49" s="505"/>
      <c r="AT49" s="623"/>
      <c r="AU49" s="623"/>
      <c r="AV49" s="623"/>
      <c r="AW49" s="623"/>
      <c r="AX49" s="623"/>
      <c r="AY49" s="623"/>
      <c r="AZ49" s="623"/>
      <c r="BA49" s="623"/>
      <c r="BB49" s="623"/>
      <c r="BC49" s="623"/>
      <c r="BD49" s="623"/>
      <c r="BE49" s="623"/>
    </row>
    <row r="50" spans="1:57" s="4" customFormat="1">
      <c r="A50" s="446" t="str">
        <f>"//*********** "&amp;Q2&amp;" ***********"</f>
        <v>//*********** Клапаны однокомандные с КЦ (клапан соленоид) ***********</v>
      </c>
      <c r="B50" s="446"/>
      <c r="C50" s="446"/>
      <c r="D50" s="446"/>
      <c r="E50" s="446"/>
      <c r="F50" s="446" t="s">
        <v>1031</v>
      </c>
      <c r="G50" s="447"/>
      <c r="H50" s="447"/>
      <c r="I50" s="459"/>
      <c r="M50" s="424" t="str">
        <f>'Конфигурация TREI'!A51</f>
        <v>BR49</v>
      </c>
      <c r="N50" s="424">
        <f>'Конфигурация TREI'!B51</f>
        <v>0</v>
      </c>
      <c r="R50" s="381"/>
      <c r="S50" s="381"/>
      <c r="T50" s="381"/>
      <c r="U50" s="381"/>
      <c r="V50" s="381"/>
      <c r="W50" s="381"/>
      <c r="X50" s="381"/>
      <c r="Y50" s="381"/>
      <c r="Z50" s="381"/>
      <c r="AA50" s="381"/>
      <c r="AB50" s="381"/>
      <c r="AC50" s="381"/>
      <c r="AD50" s="381"/>
      <c r="AE50" s="505"/>
      <c r="AF50" s="505"/>
      <c r="AG50" s="505"/>
      <c r="AH50" s="505"/>
      <c r="AI50" s="505"/>
      <c r="AJ50" s="505"/>
      <c r="AK50" s="505"/>
      <c r="AL50" s="505"/>
      <c r="AM50" s="505"/>
      <c r="AN50" s="505"/>
      <c r="AO50" s="505"/>
      <c r="AP50" s="505"/>
      <c r="AQ50" s="505"/>
      <c r="AR50" s="505"/>
      <c r="AS50" s="505"/>
      <c r="AT50" s="623"/>
      <c r="AU50" s="623"/>
      <c r="AV50" s="623"/>
      <c r="AW50" s="623"/>
      <c r="AX50" s="623"/>
      <c r="AY50" s="623"/>
      <c r="AZ50" s="623"/>
      <c r="BA50" s="623"/>
      <c r="BB50" s="623"/>
      <c r="BC50" s="623"/>
      <c r="BD50" s="623"/>
      <c r="BE50" s="623"/>
    </row>
    <row r="51" spans="1:57">
      <c r="A51" s="448" t="str">
        <f>$G$51&amp;"_"&amp;LEFT($R$3,FIND("+",$R$3,1)-1)&amp;"|"</f>
        <v>MUPS_1|</v>
      </c>
      <c r="B51" s="446" t="str">
        <f ca="1">IF($R$2=0,"УДАЛИТЬ",IFERROR(IF(OR($I51="-",$H51="0"),"КАНАЛ ОТСУТСТВУЕТ",IF($I51=0,"МОДУЛЬ ОТСУТСТВУЕТ",$I51)),"ОШИБКА ФОРМАТА"))</f>
        <v>OCCH[1]</v>
      </c>
      <c r="C51" s="446" t="s">
        <v>1860</v>
      </c>
      <c r="D51" s="446"/>
      <c r="E51" s="448" t="str">
        <f>SUBSTITUTE($P$2,"\","|")&amp;"|"&amp; "OXON" &amp;IF(LEFT(SUBSTITUTE($R$2," ",""),1)="!","NOT  ","")</f>
        <v>FB_KL_UPT_S|OXON</v>
      </c>
      <c r="F51" s="446" t="s">
        <v>845</v>
      </c>
      <c r="G51" s="447" t="str">
        <f>LEFT($R$2,4)</f>
        <v>MUPS</v>
      </c>
      <c r="H51" s="447" t="str">
        <f>RIGHT(R$3,LEN(R$3)-FIND("+",R$3,1))</f>
        <v>2</v>
      </c>
      <c r="I51" s="460" t="str">
        <f ca="1">IFERROR(INDIRECT(ADDRESS($H51+1+8,MATCH($G51,$1:$1,),1)),"УДАЛИТЬ")</f>
        <v>OCCH[1]</v>
      </c>
      <c r="J51" s="4"/>
      <c r="K51" s="4"/>
      <c r="L51" s="4"/>
      <c r="M51" s="424" t="str">
        <f>'Конфигурация TREI'!A52</f>
        <v>BR50</v>
      </c>
      <c r="N51" s="424">
        <f>'Конфигурация TREI'!B52</f>
        <v>0</v>
      </c>
      <c r="AE51" s="505"/>
      <c r="AF51" s="505"/>
      <c r="AG51" s="505"/>
      <c r="AH51" s="505"/>
      <c r="AI51" s="505"/>
      <c r="AJ51" s="505"/>
      <c r="AK51" s="505"/>
      <c r="AL51" s="505"/>
      <c r="AM51" s="505"/>
      <c r="AN51" s="505"/>
      <c r="AO51" s="505"/>
      <c r="AP51" s="505"/>
      <c r="AQ51" s="505"/>
      <c r="AR51" s="505"/>
      <c r="AS51" s="505"/>
      <c r="AT51" s="623"/>
      <c r="AU51" s="623"/>
      <c r="AV51" s="623"/>
      <c r="AW51" s="623"/>
      <c r="AX51" s="623"/>
      <c r="AY51" s="623"/>
      <c r="AZ51" s="623"/>
      <c r="BA51" s="623"/>
      <c r="BB51" s="623"/>
      <c r="BC51" s="623"/>
      <c r="BD51" s="623"/>
      <c r="BE51" s="623"/>
    </row>
    <row r="52" spans="1:57">
      <c r="M52" s="424" t="str">
        <f>'Конфигурация TREI'!A53</f>
        <v>BR51</v>
      </c>
      <c r="N52" s="424">
        <f>'Конфигурация TREI'!B53</f>
        <v>0</v>
      </c>
    </row>
    <row r="53" spans="1:57">
      <c r="M53" s="424" t="str">
        <f>'Конфигурация TREI'!A54</f>
        <v>BR52</v>
      </c>
      <c r="N53" s="424">
        <f>'Конфигурация TREI'!B54</f>
        <v>0</v>
      </c>
    </row>
    <row r="54" spans="1:57">
      <c r="M54" s="424" t="str">
        <f>'Конфигурация TREI'!A55</f>
        <v>BR53</v>
      </c>
      <c r="N54" s="424">
        <f>'Конфигурация TREI'!B55</f>
        <v>0</v>
      </c>
    </row>
    <row r="55" spans="1:57">
      <c r="M55" s="424" t="str">
        <f>'Конфигурация TREI'!A56</f>
        <v>BR54</v>
      </c>
      <c r="N55" s="424">
        <f>'Конфигурация TREI'!B56</f>
        <v>0</v>
      </c>
    </row>
    <row r="56" spans="1:57">
      <c r="M56" s="424" t="str">
        <f>'Конфигурация TREI'!A57</f>
        <v>BR55</v>
      </c>
      <c r="N56" s="424">
        <f>'Конфигурация TREI'!B57</f>
        <v>0</v>
      </c>
    </row>
    <row r="57" spans="1:57">
      <c r="M57" s="424" t="str">
        <f>'Конфигурация TREI'!A58</f>
        <v>BR56</v>
      </c>
      <c r="N57" s="424">
        <f>'Конфигурация TREI'!B58</f>
        <v>0</v>
      </c>
    </row>
    <row r="58" spans="1:57">
      <c r="M58" s="424" t="str">
        <f>'Конфигурация TREI'!A59</f>
        <v>BR57</v>
      </c>
      <c r="N58" s="424">
        <f>'Конфигурация TREI'!B59</f>
        <v>0</v>
      </c>
    </row>
    <row r="59" spans="1:57">
      <c r="M59" s="424" t="str">
        <f>'Конфигурация TREI'!A60</f>
        <v>BR58</v>
      </c>
      <c r="N59" s="424">
        <f>'Конфигурация TREI'!B60</f>
        <v>0</v>
      </c>
    </row>
    <row r="60" spans="1:57">
      <c r="M60" s="424" t="str">
        <f>'Конфигурация TREI'!A61</f>
        <v>BR59</v>
      </c>
      <c r="N60" s="424">
        <f>'Конфигурация TREI'!B61</f>
        <v>0</v>
      </c>
    </row>
    <row r="61" spans="1:57">
      <c r="M61" s="424" t="str">
        <f>'Конфигурация TREI'!A62</f>
        <v>BR60</v>
      </c>
      <c r="N61" s="424">
        <f>'Конфигурация TREI'!B62</f>
        <v>0</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sheetPr codeName="Лист95">
    <tabColor theme="2" tint="-0.249977111117893"/>
  </sheetPr>
  <dimension ref="A1:BL61"/>
  <sheetViews>
    <sheetView topLeftCell="A35" workbookViewId="0">
      <selection activeCell="D2" sqref="D2:D4"/>
    </sheetView>
  </sheetViews>
  <sheetFormatPr defaultRowHeight="14.4"/>
  <cols>
    <col min="1" max="1" width="35.44140625" customWidth="1"/>
    <col min="2" max="2" width="21.44140625" customWidth="1"/>
    <col min="3" max="3" width="3.44140625" customWidth="1"/>
    <col min="4" max="4" width="1.109375" customWidth="1"/>
    <col min="5" max="5" width="33.44140625" customWidth="1"/>
    <col min="6" max="6" width="17.6640625" customWidth="1"/>
    <col min="7" max="7" width="10.5546875" customWidth="1"/>
    <col min="8" max="8" width="14.33203125" customWidth="1"/>
    <col min="9" max="9" width="19.33203125" style="456" customWidth="1"/>
    <col min="10" max="10" width="9.109375" hidden="1" customWidth="1"/>
    <col min="11" max="11" width="10.88671875" customWidth="1"/>
    <col min="12" max="12" width="11.5546875" customWidth="1"/>
    <col min="13" max="15" width="9.109375" customWidth="1"/>
    <col min="16" max="16" width="34.6640625" customWidth="1"/>
    <col min="17" max="17" width="39.33203125" customWidth="1"/>
    <col min="18" max="30" width="26.109375" style="55" customWidth="1"/>
    <col min="31" max="31" width="4.5546875" style="427" customWidth="1"/>
    <col min="32" max="32" width="11.109375" customWidth="1"/>
    <col min="47" max="64" width="9.109375" style="456"/>
  </cols>
  <sheetData>
    <row r="1" spans="1:57">
      <c r="A1" s="425"/>
      <c r="B1" s="425"/>
      <c r="C1" s="425"/>
      <c r="D1" s="425"/>
      <c r="E1" s="425"/>
      <c r="F1" s="425"/>
      <c r="G1" s="426" t="s">
        <v>846</v>
      </c>
      <c r="H1" s="426" t="s">
        <v>847</v>
      </c>
      <c r="I1" s="424" t="s">
        <v>1181</v>
      </c>
      <c r="J1" s="464"/>
      <c r="M1" s="424" t="str">
        <f>'Конфигурация TREI'!A1</f>
        <v>№ Модуля</v>
      </c>
      <c r="N1" s="461" t="str">
        <f>'Конфигурация TREI'!B2</f>
        <v>M501E(рез)</v>
      </c>
      <c r="O1" s="425"/>
      <c r="P1" s="425" t="str">
        <f>Таблица!D1</f>
        <v>Префикс для TREI
Тэг ОРС для INFINITY</v>
      </c>
      <c r="Q1" s="425" t="str">
        <f>Таблица!E1</f>
        <v>Комментарий для TREI и INFINITY</v>
      </c>
      <c r="R1" s="428"/>
      <c r="S1" s="428" t="s">
        <v>858</v>
      </c>
      <c r="T1" s="428" t="s">
        <v>859</v>
      </c>
      <c r="U1" s="428"/>
      <c r="V1" s="428"/>
      <c r="W1" s="428" t="s">
        <v>850</v>
      </c>
      <c r="X1" s="428" t="s">
        <v>851</v>
      </c>
      <c r="Y1" s="428" t="s">
        <v>852</v>
      </c>
      <c r="Z1" s="428"/>
      <c r="AA1" s="428"/>
      <c r="AB1" s="428"/>
      <c r="AC1" s="428"/>
      <c r="AD1" s="429"/>
      <c r="AE1" s="438"/>
      <c r="AF1" s="438">
        <f>Настройки!Q1</f>
        <v>0</v>
      </c>
      <c r="AG1" s="438" t="str">
        <f>Настройки!R1</f>
        <v>M943DR</v>
      </c>
      <c r="AH1" s="438" t="str">
        <f>Настройки!S1</f>
        <v>M942A</v>
      </c>
      <c r="AI1" s="438" t="str">
        <f>Настройки!T1</f>
        <v>M957D</v>
      </c>
      <c r="AJ1" s="438" t="str">
        <f>Настройки!U1</f>
        <v>M957O</v>
      </c>
      <c r="AK1" s="438" t="str">
        <f>Настройки!V1</f>
        <v>M947R</v>
      </c>
      <c r="AL1" s="438" t="str">
        <f>Настройки!W1</f>
        <v>M931V</v>
      </c>
      <c r="AM1" s="438" t="str">
        <f>Настройки!X1</f>
        <v>M931T</v>
      </c>
      <c r="AN1" s="438" t="str">
        <f>Настройки!Y1</f>
        <v>M547A</v>
      </c>
      <c r="AO1" s="438" t="str">
        <f>Настройки!Z1</f>
        <v>M537V</v>
      </c>
      <c r="AP1" s="438" t="str">
        <f>Настройки!AA1</f>
        <v>M557D</v>
      </c>
      <c r="AQ1" s="438" t="str">
        <f>Настройки!AB1</f>
        <v>M557O</v>
      </c>
      <c r="AR1" s="438" t="str">
        <f>Настройки!AC1</f>
        <v>MOPS</v>
      </c>
      <c r="AS1" s="438" t="str">
        <f>Настройки!AD1</f>
        <v>MUPS</v>
      </c>
      <c r="AT1" s="439" t="str">
        <f>Настройки!AB1</f>
        <v>M557O</v>
      </c>
      <c r="AU1" s="439" t="str">
        <f>Настройки!AC1</f>
        <v>MOPS</v>
      </c>
      <c r="AV1" s="439" t="str">
        <f>Настройки!AD1</f>
        <v>MUPS</v>
      </c>
      <c r="AW1" s="439" t="str">
        <f>Настройки!AE1</f>
        <v>M941A</v>
      </c>
      <c r="AX1" s="439" t="str">
        <f>Настройки!AF1</f>
        <v>M954D</v>
      </c>
      <c r="AY1" s="439" t="str">
        <f>Настройки!AG1</f>
        <v>M557DR</v>
      </c>
      <c r="AZ1" s="439" t="str">
        <f>Настройки!AH1</f>
        <v>M558D</v>
      </c>
      <c r="BA1" s="439" t="str">
        <f>Настройки!AI1</f>
        <v>M558O</v>
      </c>
      <c r="BB1" s="439" t="str">
        <f>Настройки!AJ1</f>
        <v>M548A</v>
      </c>
      <c r="BC1" s="439" t="str">
        <f>Настройки!AK1</f>
        <v>M538V</v>
      </c>
      <c r="BD1" s="439" t="str">
        <f>Настройки!AL1</f>
        <v>M558DR</v>
      </c>
      <c r="BE1" s="439" t="str">
        <f>Настройки!AM1</f>
        <v>*</v>
      </c>
    </row>
    <row r="2" spans="1:57">
      <c r="A2" s="478" t="str">
        <f>"//*********** "&amp;Q2&amp;" ***********"</f>
        <v>//*********** Огнезадерживающий клапан, клапан дымоудаления ***********</v>
      </c>
      <c r="B2" s="468"/>
      <c r="C2" s="468"/>
      <c r="D2" s="468"/>
      <c r="E2" s="468"/>
      <c r="F2" s="468" t="s">
        <v>1031</v>
      </c>
      <c r="G2" s="469"/>
      <c r="H2" s="469"/>
      <c r="I2" s="479"/>
      <c r="J2" s="1"/>
      <c r="M2" s="424" t="str">
        <f>'Конфигурация TREI'!A3</f>
        <v>BR1</v>
      </c>
      <c r="N2" s="461" t="str">
        <f>'Конфигурация TREI'!B3</f>
        <v>M558D</v>
      </c>
      <c r="P2" s="2" t="s">
        <v>614</v>
      </c>
      <c r="Q2" s="449" t="s">
        <v>488</v>
      </c>
      <c r="R2" s="379"/>
      <c r="S2" s="379" t="s">
        <v>1302</v>
      </c>
      <c r="T2" s="379" t="s">
        <v>1303</v>
      </c>
      <c r="U2" s="379"/>
      <c r="V2" s="379"/>
      <c r="W2" s="379" t="s">
        <v>1304</v>
      </c>
      <c r="X2" s="379" t="s">
        <v>2924</v>
      </c>
      <c r="Y2" s="379" t="s">
        <v>1306</v>
      </c>
      <c r="Z2" s="379"/>
      <c r="AA2" s="379"/>
      <c r="AB2" s="379"/>
      <c r="AC2" s="379"/>
      <c r="AD2" s="378">
        <v>0</v>
      </c>
      <c r="AE2" s="431">
        <f>Настройки!P2</f>
        <v>1</v>
      </c>
      <c r="AF2" s="380">
        <f>Настройки!Q2</f>
        <v>0</v>
      </c>
      <c r="AG2" s="380" t="str">
        <f>Настройки!R2</f>
        <v>IDIG_1_1</v>
      </c>
      <c r="AH2" s="380" t="str">
        <f>Настройки!S2</f>
        <v>IANS_1_3</v>
      </c>
      <c r="AI2" s="380" t="str">
        <f>Настройки!T2</f>
        <v>out0</v>
      </c>
      <c r="AJ2" s="380" t="str">
        <f>Настройки!U2</f>
        <v>out0</v>
      </c>
      <c r="AK2" s="380" t="str">
        <f>Настройки!V2</f>
        <v>ODIG_1</v>
      </c>
      <c r="AL2" s="380" t="str">
        <f>Настройки!W2</f>
        <v>OAN_1_1</v>
      </c>
      <c r="AM2" s="380" t="str">
        <f>Настройки!X2</f>
        <v>IANS_1_1</v>
      </c>
      <c r="AN2" s="380" t="str">
        <f>Настройки!Y2</f>
        <v>Canal_01</v>
      </c>
      <c r="AO2" s="380" t="str">
        <f>Настройки!Z2</f>
        <v>Canal_01</v>
      </c>
      <c r="AP2" s="380" t="str">
        <f>Настройки!AA2</f>
        <v>Canal_01</v>
      </c>
      <c r="AQ2" s="380" t="str">
        <f>Настройки!AB2</f>
        <v>Canal_01</v>
      </c>
      <c r="AR2" s="380" t="str">
        <f>Настройки!AC2</f>
        <v>IVXX[0]</v>
      </c>
      <c r="AS2" s="380" t="str">
        <f>Настройки!AD2</f>
        <v>IVXX[0]</v>
      </c>
      <c r="AT2" s="207" t="str">
        <f>Настройки!AB2</f>
        <v>Canal_01</v>
      </c>
      <c r="AU2" s="207" t="str">
        <f>Настройки!AC2</f>
        <v>IVXX[0]</v>
      </c>
      <c r="AV2" s="207" t="str">
        <f>Настройки!AD2</f>
        <v>IVXX[0]</v>
      </c>
      <c r="AW2" s="207" t="str">
        <f>Настройки!AE2</f>
        <v>IANS_1_1</v>
      </c>
      <c r="AX2" s="207" t="str">
        <f>Настройки!AF2</f>
        <v>IDIG_1_1</v>
      </c>
      <c r="AY2" s="207" t="str">
        <f>Настройки!AG2</f>
        <v>Canal_01</v>
      </c>
      <c r="AZ2" s="207" t="str">
        <f>Настройки!AH2</f>
        <v>Canal_01</v>
      </c>
      <c r="BA2" s="207" t="str">
        <f>Настройки!AI2</f>
        <v>Canal_01</v>
      </c>
      <c r="BB2" s="207" t="str">
        <f>Настройки!AJ2</f>
        <v>Canal_01</v>
      </c>
      <c r="BC2" s="207" t="str">
        <f>Настройки!AK2</f>
        <v>Canal_01</v>
      </c>
      <c r="BD2" s="207" t="str">
        <f>Настройки!AL2</f>
        <v>Canal_01</v>
      </c>
      <c r="BE2" s="207" t="str">
        <f>Настройки!AM2</f>
        <v>-</v>
      </c>
    </row>
    <row r="3" spans="1:57">
      <c r="A3" s="480"/>
      <c r="B3" s="82"/>
      <c r="C3" s="81"/>
      <c r="D3" s="81"/>
      <c r="E3" s="448" t="str">
        <f>IF(LEFT(E6,3)="out","INT_TO_BIT_BR"&amp;C6&amp;"(BR"&amp;C6&amp;".IDIG_MASK)","УДАЛИТЬ")</f>
        <v>УДАЛИТЬ</v>
      </c>
      <c r="F3" s="446" t="s">
        <v>845</v>
      </c>
      <c r="G3" s="447"/>
      <c r="H3" s="447"/>
      <c r="I3" s="481"/>
      <c r="J3" s="1"/>
      <c r="M3" s="424" t="str">
        <f>'Конфигурация TREI'!A4</f>
        <v>BR2</v>
      </c>
      <c r="N3" s="461" t="str">
        <f>'Конфигурация TREI'!B4</f>
        <v>M548A</v>
      </c>
      <c r="P3" s="425" t="str">
        <f>'Конфигурация TREI'!D1</f>
        <v>Путь TREI для сигналов NOT_LINK</v>
      </c>
      <c r="R3" s="451" t="str">
        <f>SUBSTITUTE(SUBSTITUTE(SUBSTITUTE(SUBSTITUTE($R$2,"!","")," ",""),"MUPS",""),"MOPS","")</f>
        <v/>
      </c>
      <c r="S3" s="451" t="str">
        <f>SUBSTITUTE(SUBSTITUTE(SUBSTITUTE(SUBSTITUTE($S$2,"!","")," ",""),"MUPS",""),"MOPS","")</f>
        <v>3+1</v>
      </c>
      <c r="T3" s="451" t="str">
        <f>SUBSTITUTE(SUBSTITUTE(SUBSTITUTE(SUBSTITUTE($T$2,"!","")," ",""),"MUPS",""),"MOPS","")</f>
        <v>3+2</v>
      </c>
      <c r="U3" s="454" t="str">
        <f>SUBSTITUTE(SUBSTITUTE($U$2,"!","")," ","")</f>
        <v/>
      </c>
      <c r="V3" s="454" t="str">
        <f>SUBSTITUTE(SUBSTITUTE($V$2,"!","")," ","")</f>
        <v/>
      </c>
      <c r="W3" s="454" t="str">
        <f>SUBSTITUTE(SUBSTITUTE(SUBSTITUTE(SUBSTITUTE($W$2,"!","")," ",""),"MUPS",""),"MOPS","")</f>
        <v>7+12</v>
      </c>
      <c r="X3" s="454" t="str">
        <f>SUBSTITUTE(SUBSTITUTE(SUBSTITUTE(SUBSTITUTE($X$2,"!","")," ",""),"MUPS",""),"MOPS","")</f>
        <v>3+4</v>
      </c>
      <c r="Y3" s="454" t="str">
        <f>SUBSTITUTE(SUBSTITUTE(SUBSTITUTE(SUBSTITUTE($Y$2,"!","")," ",""),"MUPS",""),"MOPS","")</f>
        <v>3+5</v>
      </c>
      <c r="Z3" s="454" t="str">
        <f>SUBSTITUTE(SUBSTITUTE($Z$2,"!","")," ","")</f>
        <v/>
      </c>
      <c r="AA3" s="454" t="str">
        <f>SUBSTITUTE(SUBSTITUTE($AA$2,"!","")," ","")</f>
        <v/>
      </c>
      <c r="AB3" s="454" t="str">
        <f>SUBSTITUTE(SUBSTITUTE($AB$2,"!","")," ","")</f>
        <v/>
      </c>
      <c r="AC3" s="454" t="str">
        <f>SUBSTITUTE(SUBSTITUTE($AC$2,"!","")," ","")</f>
        <v/>
      </c>
      <c r="AD3" s="451"/>
      <c r="AE3" s="431">
        <f>Настройки!P3</f>
        <v>2</v>
      </c>
      <c r="AF3" s="380">
        <f>Настройки!Q3</f>
        <v>0</v>
      </c>
      <c r="AG3" s="380" t="str">
        <f>Настройки!R3</f>
        <v>IDIG_1_2</v>
      </c>
      <c r="AH3" s="380" t="str">
        <f>Настройки!S3</f>
        <v>IANS_1_4</v>
      </c>
      <c r="AI3" s="380" t="str">
        <f>Настройки!T3</f>
        <v>out1</v>
      </c>
      <c r="AJ3" s="380" t="str">
        <f>Настройки!U3</f>
        <v>out1</v>
      </c>
      <c r="AK3" s="380" t="str">
        <f>Настройки!V3</f>
        <v>ODIG_2</v>
      </c>
      <c r="AL3" s="380" t="str">
        <f>Настройки!W3</f>
        <v>OAN_2_1</v>
      </c>
      <c r="AM3" s="380" t="str">
        <f>Настройки!X3</f>
        <v>IANS_2_1</v>
      </c>
      <c r="AN3" s="380" t="str">
        <f>Настройки!Y3</f>
        <v>Canal_02</v>
      </c>
      <c r="AO3" s="380" t="str">
        <f>Настройки!Z3</f>
        <v>Canal_02</v>
      </c>
      <c r="AP3" s="380" t="str">
        <f>Настройки!AA3</f>
        <v>Canal_02</v>
      </c>
      <c r="AQ3" s="380" t="str">
        <f>Настройки!AB3</f>
        <v>Canal_02</v>
      </c>
      <c r="AR3" s="380" t="str">
        <f>Настройки!AC3</f>
        <v>IVXX[1]</v>
      </c>
      <c r="AS3" s="380" t="str">
        <f>Настройки!AD3</f>
        <v>IVXX[1]</v>
      </c>
      <c r="AT3" s="207" t="str">
        <f>Настройки!AB3</f>
        <v>Canal_02</v>
      </c>
      <c r="AU3" s="207" t="str">
        <f>Настройки!AC3</f>
        <v>IVXX[1]</v>
      </c>
      <c r="AV3" s="207" t="str">
        <f>Настройки!AD3</f>
        <v>IVXX[1]</v>
      </c>
      <c r="AW3" s="207" t="str">
        <f>Настройки!AE3</f>
        <v>IANS_1_2</v>
      </c>
      <c r="AX3" s="207" t="str">
        <f>Настройки!AF3</f>
        <v>IDIG_1_2</v>
      </c>
      <c r="AY3" s="207" t="str">
        <f>Настройки!AG3</f>
        <v>Canal_02</v>
      </c>
      <c r="AZ3" s="207" t="str">
        <f>Настройки!AH3</f>
        <v>Canal_02</v>
      </c>
      <c r="BA3" s="207" t="str">
        <f>Настройки!AI3</f>
        <v>Canal_02</v>
      </c>
      <c r="BB3" s="207" t="str">
        <f>Настройки!AJ3</f>
        <v>Canal_02</v>
      </c>
      <c r="BC3" s="207" t="str">
        <f>Настройки!AK3</f>
        <v>Canal_02</v>
      </c>
      <c r="BD3" s="207" t="str">
        <f>Настройки!AL3</f>
        <v>Canal_02</v>
      </c>
      <c r="BE3" s="207" t="str">
        <f>Настройки!AM3</f>
        <v>-</v>
      </c>
    </row>
    <row r="4" spans="1:57">
      <c r="A4" s="480"/>
      <c r="B4" s="82"/>
      <c r="C4" s="81"/>
      <c r="D4" s="81"/>
      <c r="E4" s="448" t="str">
        <f>IF(LEFT(E7,3)="out","INT_TO_BIT_BR"&amp;C7&amp;"(BR"&amp;C7&amp;".IDIG_MASK)","УДАЛИТЬ")</f>
        <v>УДАЛИТЬ</v>
      </c>
      <c r="F4" s="446" t="s">
        <v>845</v>
      </c>
      <c r="G4" s="447"/>
      <c r="H4" s="447"/>
      <c r="I4" s="481"/>
      <c r="J4" s="1"/>
      <c r="M4" s="424" t="str">
        <f>'Конфигурация TREI'!A5</f>
        <v>BR3</v>
      </c>
      <c r="N4" s="461" t="str">
        <f>'Конфигурация TREI'!B5</f>
        <v>M548A</v>
      </c>
      <c r="P4" s="3" t="str">
        <f>Настройки!D2</f>
        <v/>
      </c>
      <c r="AE4" s="431">
        <f>Настройки!P4</f>
        <v>3</v>
      </c>
      <c r="AF4" s="380">
        <f>Настройки!Q4</f>
        <v>0</v>
      </c>
      <c r="AG4" s="380" t="str">
        <f>Настройки!R4</f>
        <v>IDIG_2_1</v>
      </c>
      <c r="AH4" s="380" t="str">
        <f>Настройки!S4</f>
        <v>IANS_2_3</v>
      </c>
      <c r="AI4" s="380" t="str">
        <f>Настройки!T4</f>
        <v>out2</v>
      </c>
      <c r="AJ4" s="380" t="str">
        <f>Настройки!U4</f>
        <v>out2</v>
      </c>
      <c r="AK4" s="380" t="str">
        <f>Настройки!V4</f>
        <v>ODIG_3</v>
      </c>
      <c r="AL4" s="380" t="str">
        <f>Настройки!W4</f>
        <v>OAN_3_1</v>
      </c>
      <c r="AM4" s="380" t="str">
        <f>Настройки!X4</f>
        <v>IANS_3_1</v>
      </c>
      <c r="AN4" s="380" t="str">
        <f>Настройки!Y4</f>
        <v>Canal_03</v>
      </c>
      <c r="AO4" s="380" t="str">
        <f>Настройки!Z4</f>
        <v>Canal_03</v>
      </c>
      <c r="AP4" s="380" t="str">
        <f>Настройки!AA4</f>
        <v>Canal_03</v>
      </c>
      <c r="AQ4" s="380" t="str">
        <f>Настройки!AB4</f>
        <v>Canal_03</v>
      </c>
      <c r="AR4" s="380" t="str">
        <f>Настройки!AC4</f>
        <v>IVXX[2]</v>
      </c>
      <c r="AS4" s="380" t="str">
        <f>Настройки!AD4</f>
        <v>IVXX[2]</v>
      </c>
      <c r="AT4" s="207" t="str">
        <f>Настройки!AB4</f>
        <v>Canal_03</v>
      </c>
      <c r="AU4" s="207" t="str">
        <f>Настройки!AC4</f>
        <v>IVXX[2]</v>
      </c>
      <c r="AV4" s="207" t="str">
        <f>Настройки!AD4</f>
        <v>IVXX[2]</v>
      </c>
      <c r="AW4" s="207" t="str">
        <f>Настройки!AE4</f>
        <v>IANS_2_1</v>
      </c>
      <c r="AX4" s="207" t="str">
        <f>Настройки!AF4</f>
        <v>IDIG_1_3</v>
      </c>
      <c r="AY4" s="207" t="str">
        <f>Настройки!AG4</f>
        <v>Canal_03</v>
      </c>
      <c r="AZ4" s="207" t="str">
        <f>Настройки!AH4</f>
        <v>Canal_03</v>
      </c>
      <c r="BA4" s="207" t="str">
        <f>Настройки!AI4</f>
        <v>Canal_03</v>
      </c>
      <c r="BB4" s="207" t="str">
        <f>Настройки!AJ4</f>
        <v>Canal_03</v>
      </c>
      <c r="BC4" s="207" t="str">
        <f>Настройки!AK4</f>
        <v>Canal_03</v>
      </c>
      <c r="BD4" s="207" t="str">
        <f>Настройки!AL4</f>
        <v>Canal_03</v>
      </c>
      <c r="BE4" s="207" t="str">
        <f>Настройки!AM4</f>
        <v>-</v>
      </c>
    </row>
    <row r="5" spans="1:57">
      <c r="A5" s="480"/>
      <c r="B5" s="82"/>
      <c r="C5" s="81"/>
      <c r="D5" s="81"/>
      <c r="E5" s="448" t="str">
        <f ca="1">IF(LEFT(E8,3)="out","INT_TO_BIT_BR"&amp;C8&amp;"(BR"&amp;C8&amp;".IDIG_MASK)","УДАЛИТЬ")</f>
        <v>УДАЛИТЬ</v>
      </c>
      <c r="F5" s="446" t="s">
        <v>845</v>
      </c>
      <c r="G5" s="447"/>
      <c r="H5" s="447"/>
      <c r="I5" s="481"/>
      <c r="J5" s="1"/>
      <c r="M5" s="424" t="str">
        <f>'Конфигурация TREI'!A6</f>
        <v>BR4</v>
      </c>
      <c r="N5" s="461" t="str">
        <f>'Конфигурация TREI'!B6</f>
        <v>M558D</v>
      </c>
      <c r="AE5" s="431">
        <f>Настройки!P5</f>
        <v>4</v>
      </c>
      <c r="AF5" s="380">
        <f>Настройки!Q5</f>
        <v>0</v>
      </c>
      <c r="AG5" s="380" t="str">
        <f>Настройки!R5</f>
        <v>IDIG_2_2</v>
      </c>
      <c r="AH5" s="380" t="str">
        <f>Настройки!S5</f>
        <v>IANS_2_4</v>
      </c>
      <c r="AI5" s="380" t="str">
        <f>Настройки!T5</f>
        <v>out3</v>
      </c>
      <c r="AJ5" s="380" t="str">
        <f>Настройки!U5</f>
        <v>out3</v>
      </c>
      <c r="AK5" s="380" t="str">
        <f>Настройки!V5</f>
        <v>ODIG_4</v>
      </c>
      <c r="AL5" s="380" t="str">
        <f>Настройки!W5</f>
        <v>OAN_4_1</v>
      </c>
      <c r="AM5" s="380" t="str">
        <f>Настройки!X5</f>
        <v>IANS_4_1</v>
      </c>
      <c r="AN5" s="380" t="str">
        <f>Настройки!Y5</f>
        <v>Canal_04</v>
      </c>
      <c r="AO5" s="380" t="str">
        <f>Настройки!Z5</f>
        <v>Canal_04</v>
      </c>
      <c r="AP5" s="380" t="str">
        <f>Настройки!AA5</f>
        <v>Canal_04</v>
      </c>
      <c r="AQ5" s="380" t="str">
        <f>Настройки!AB5</f>
        <v>Canal_04</v>
      </c>
      <c r="AR5" s="380" t="str">
        <f>Настройки!AC5</f>
        <v>IVXX[3]</v>
      </c>
      <c r="AS5" s="380" t="str">
        <f>Настройки!AD5</f>
        <v>IVXX[3]</v>
      </c>
      <c r="AT5" s="207" t="str">
        <f>Настройки!AB5</f>
        <v>Canal_04</v>
      </c>
      <c r="AU5" s="207" t="str">
        <f>Настройки!AC5</f>
        <v>IVXX[3]</v>
      </c>
      <c r="AV5" s="207" t="str">
        <f>Настройки!AD5</f>
        <v>IVXX[3]</v>
      </c>
      <c r="AW5" s="207" t="str">
        <f>Настройки!AE5</f>
        <v>IANS_2_2</v>
      </c>
      <c r="AX5" s="207" t="str">
        <f>Настройки!AF5</f>
        <v>IDIG_1_4</v>
      </c>
      <c r="AY5" s="207" t="str">
        <f>Настройки!AG5</f>
        <v>Canal_04</v>
      </c>
      <c r="AZ5" s="207" t="str">
        <f>Настройки!AH5</f>
        <v>Canal_04</v>
      </c>
      <c r="BA5" s="207" t="str">
        <f>Настройки!AI5</f>
        <v>Canal_04</v>
      </c>
      <c r="BB5" s="207" t="str">
        <f>Настройки!AJ5</f>
        <v>Canal_04</v>
      </c>
      <c r="BC5" s="207" t="str">
        <f>Настройки!AK5</f>
        <v>Canal_04</v>
      </c>
      <c r="BD5" s="207" t="str">
        <f>Настройки!AL5</f>
        <v>Canal_04</v>
      </c>
      <c r="BE5" s="207" t="str">
        <f>Настройки!AM5</f>
        <v>-</v>
      </c>
    </row>
    <row r="6" spans="1:57">
      <c r="A6" s="471" t="str">
        <f>SUBSTITUTE($P$2,"\","|")&amp;"|"&amp; $S$1 &amp;":="&amp;IF(LEFT(SUBSTITUTE($S$2," ",""),1)="!","NOT  ","")</f>
        <v>FB_OZK_KD_S|IONX:=</v>
      </c>
      <c r="B6" s="448" t="str">
        <f>IF(LEFT(E6,3)="out","INT_TO_BIT_BR","BR")</f>
        <v>BR</v>
      </c>
      <c r="C6" s="446" t="str">
        <f>LEFT($S$3,FIND("+",$S$3,1)-1)</f>
        <v>3</v>
      </c>
      <c r="D6" s="446" t="s">
        <v>178</v>
      </c>
      <c r="E6" s="446" t="str">
        <f>IF(OR($S$2=0,$G12="MOPS",$G12="MUPS"),"УДАЛИТЬ",IFERROR(IF(OR($I6="-",$H6="0"),"КАНАЛ ОТСУТСТВУЕТ",IF($I6=0,"МОДУЛЬ ОТСУТСТВУЕТ",$I6)),"ОШИБКА ФОРМАТА"))</f>
        <v>УДАЛИТЬ</v>
      </c>
      <c r="F6" s="446" t="s">
        <v>845</v>
      </c>
      <c r="G6" s="447" t="str">
        <f>INDEX($N$2:$N$61,C6)</f>
        <v>M548A</v>
      </c>
      <c r="H6" s="447" t="str">
        <f>RIGHT(S$3,LEN(S$3)-FIND("+",S$3,1))</f>
        <v>1</v>
      </c>
      <c r="I6" s="472" t="str">
        <f ca="1">INDIRECT(ADDRESS($H6+1,MATCH($G6,$1:$1,),1))</f>
        <v>Canal_01</v>
      </c>
      <c r="J6" s="1"/>
      <c r="M6" s="424" t="str">
        <f>'Конфигурация TREI'!A7</f>
        <v>BR5</v>
      </c>
      <c r="N6" s="461" t="str">
        <f>'Конфигурация TREI'!B7</f>
        <v>M558O</v>
      </c>
      <c r="AE6" s="431">
        <f>Настройки!P6</f>
        <v>5</v>
      </c>
      <c r="AF6" s="380">
        <f>Настройки!Q6</f>
        <v>0</v>
      </c>
      <c r="AG6" s="380" t="str">
        <f>Настройки!R6</f>
        <v>IDIG_3_1</v>
      </c>
      <c r="AH6" s="380" t="str">
        <f>Настройки!S6</f>
        <v>IANS_3_3</v>
      </c>
      <c r="AI6" s="380" t="str">
        <f>Настройки!T6</f>
        <v>out4</v>
      </c>
      <c r="AJ6" s="380" t="str">
        <f>Настройки!U6</f>
        <v>out4</v>
      </c>
      <c r="AK6" s="380" t="str">
        <f>Настройки!V6</f>
        <v>ODIG_5</v>
      </c>
      <c r="AL6" s="380" t="str">
        <f>Настройки!W6</f>
        <v>OAN_5_1</v>
      </c>
      <c r="AM6" s="380" t="str">
        <f>Настройки!X6</f>
        <v>IANS_5_1</v>
      </c>
      <c r="AN6" s="380" t="str">
        <f>Настройки!Y6</f>
        <v>Canal_05</v>
      </c>
      <c r="AO6" s="380" t="str">
        <f>Настройки!Z6</f>
        <v>Canal_05</v>
      </c>
      <c r="AP6" s="380" t="str">
        <f>Настройки!AA6</f>
        <v>Canal_05</v>
      </c>
      <c r="AQ6" s="380" t="str">
        <f>Настройки!AB6</f>
        <v>Canal_05</v>
      </c>
      <c r="AR6" s="380" t="str">
        <f>Настройки!AC6</f>
        <v>IVXX[4]</v>
      </c>
      <c r="AS6" s="380" t="str">
        <f>Настройки!AD6</f>
        <v>IVXX[4]</v>
      </c>
      <c r="AT6" s="207" t="str">
        <f>Настройки!AB6</f>
        <v>Canal_05</v>
      </c>
      <c r="AU6" s="207" t="str">
        <f>Настройки!AC6</f>
        <v>IVXX[4]</v>
      </c>
      <c r="AV6" s="207" t="str">
        <f>Настройки!AD6</f>
        <v>IVXX[4]</v>
      </c>
      <c r="AW6" s="207" t="str">
        <f>Настройки!AE6</f>
        <v>IANS_3_1</v>
      </c>
      <c r="AX6" s="207" t="str">
        <f>Настройки!AF6</f>
        <v>IDIG_2_1</v>
      </c>
      <c r="AY6" s="207" t="str">
        <f>Настройки!AG6</f>
        <v>Canal_05</v>
      </c>
      <c r="AZ6" s="207" t="str">
        <f>Настройки!AH6</f>
        <v>Canal_05</v>
      </c>
      <c r="BA6" s="207" t="str">
        <f>Настройки!AI6</f>
        <v>Canal_05</v>
      </c>
      <c r="BB6" s="207" t="str">
        <f>Настройки!AJ6</f>
        <v>Canal_05</v>
      </c>
      <c r="BC6" s="207" t="str">
        <f>Настройки!AK6</f>
        <v>Canal_05</v>
      </c>
      <c r="BD6" s="207" t="str">
        <f>Настройки!AL6</f>
        <v>Canal_05</v>
      </c>
      <c r="BE6" s="207" t="str">
        <f>Настройки!AM6</f>
        <v>-</v>
      </c>
    </row>
    <row r="7" spans="1:57">
      <c r="A7" s="471" t="str">
        <f>SUBSTITUTE($P$2,"\","|")&amp;"|"&amp; $T$1 &amp;":="&amp;IF(LEFT(SUBSTITUTE($T$2," ",""),1)="!","NOT  ","")</f>
        <v>FB_OZK_KD_S|IOFX:=</v>
      </c>
      <c r="B7" s="448" t="str">
        <f>IF(LEFT(E7,3)="out","INT_TO_BIT_BR","BR")</f>
        <v>BR</v>
      </c>
      <c r="C7" s="446" t="str">
        <f>LEFT($T$3,FIND("+",$T$3,1)-1)</f>
        <v>3</v>
      </c>
      <c r="D7" s="446" t="s">
        <v>178</v>
      </c>
      <c r="E7" s="446" t="str">
        <f>IF(OR($T$2=0,$G13="MOPS",$G13="MUPS"),"УДАЛИТЬ",IFERROR(IF(OR($I7="-",$H7="0"),"КАНАЛ ОТСУТСТВУЕТ",IF($I7=0,"МОДУЛЬ ОТСУТСТВУЕТ",$I7)),"ОШИБКА ФОРМАТА"))</f>
        <v>УДАЛИТЬ</v>
      </c>
      <c r="F7" s="446" t="s">
        <v>845</v>
      </c>
      <c r="G7" s="447" t="str">
        <f>INDEX($N$2:$N$61,C7)</f>
        <v>M548A</v>
      </c>
      <c r="H7" s="447" t="str">
        <f>RIGHT(T$3,LEN(T$3)-FIND("+",T$3,1))</f>
        <v>2</v>
      </c>
      <c r="I7" s="472" t="str">
        <f ca="1">INDIRECT(ADDRESS($H7+1,MATCH($G7,$1:$1,),1))</f>
        <v>Canal_02</v>
      </c>
      <c r="J7" s="1"/>
      <c r="M7" s="424" t="str">
        <f>'Конфигурация TREI'!A8</f>
        <v>BR6</v>
      </c>
      <c r="N7" s="461" t="str">
        <f>'Конфигурация TREI'!B8</f>
        <v>M558O</v>
      </c>
      <c r="AE7" s="431">
        <f>Настройки!P7</f>
        <v>6</v>
      </c>
      <c r="AF7" s="380">
        <f>Настройки!Q7</f>
        <v>0</v>
      </c>
      <c r="AG7" s="380" t="str">
        <f>Настройки!R7</f>
        <v>IDIG_3_2</v>
      </c>
      <c r="AH7" s="380" t="str">
        <f>Настройки!S7</f>
        <v>IANS_3_4</v>
      </c>
      <c r="AI7" s="380" t="str">
        <f>Настройки!T7</f>
        <v>out5</v>
      </c>
      <c r="AJ7" s="380" t="str">
        <f>Настройки!U7</f>
        <v>out5</v>
      </c>
      <c r="AK7" s="380" t="str">
        <f>Настройки!V7</f>
        <v>ODIG_6</v>
      </c>
      <c r="AL7" s="380" t="str">
        <f>Настройки!W7</f>
        <v>OAN_6_1</v>
      </c>
      <c r="AM7" s="380" t="str">
        <f>Настройки!X7</f>
        <v>IANS_6_1</v>
      </c>
      <c r="AN7" s="380" t="str">
        <f>Настройки!Y7</f>
        <v>Canal_06</v>
      </c>
      <c r="AO7" s="380" t="str">
        <f>Настройки!Z7</f>
        <v>Canal_06</v>
      </c>
      <c r="AP7" s="380" t="str">
        <f>Настройки!AA7</f>
        <v>Canal_06</v>
      </c>
      <c r="AQ7" s="380" t="str">
        <f>Настройки!AB7</f>
        <v>Canal_06</v>
      </c>
      <c r="AR7" s="380" t="str">
        <f>Настройки!AC7</f>
        <v>IVXX[5]</v>
      </c>
      <c r="AS7" s="380" t="str">
        <f>Настройки!AD7</f>
        <v>IVXX[5]</v>
      </c>
      <c r="AT7" s="207" t="str">
        <f>Настройки!AB7</f>
        <v>Canal_06</v>
      </c>
      <c r="AU7" s="207" t="str">
        <f>Настройки!AC7</f>
        <v>IVXX[5]</v>
      </c>
      <c r="AV7" s="207" t="str">
        <f>Настройки!AD7</f>
        <v>IVXX[5]</v>
      </c>
      <c r="AW7" s="207" t="str">
        <f>Настройки!AE7</f>
        <v>IANS_3_2</v>
      </c>
      <c r="AX7" s="207" t="str">
        <f>Настройки!AF7</f>
        <v>IDIG_2_2</v>
      </c>
      <c r="AY7" s="207" t="str">
        <f>Настройки!AG7</f>
        <v>Canal_06</v>
      </c>
      <c r="AZ7" s="207" t="str">
        <f>Настройки!AH7</f>
        <v>Canal_06</v>
      </c>
      <c r="BA7" s="207" t="str">
        <f>Настройки!AI7</f>
        <v>Canal_06</v>
      </c>
      <c r="BB7" s="207" t="str">
        <f>Настройки!AJ7</f>
        <v>Canal_06</v>
      </c>
      <c r="BC7" s="207" t="str">
        <f>Настройки!AK7</f>
        <v>Canal_06</v>
      </c>
      <c r="BD7" s="207" t="str">
        <f>Настройки!AL7</f>
        <v>Canal_06</v>
      </c>
      <c r="BE7" s="207" t="str">
        <f>Настройки!AM7</f>
        <v>-</v>
      </c>
    </row>
    <row r="8" spans="1:57">
      <c r="A8" s="471" t="str">
        <f>SUBSTITUTE($P$2,"\","|")&amp;"|"&amp; $W$1 &amp;":="&amp;IF(LEFT(SUBSTITUTE($U$2," ",""),1)="!","NOT  ","")</f>
        <v>FB_OZK_KD_S|IFXX:=</v>
      </c>
      <c r="B8" s="448" t="str">
        <f ca="1">IF(LEFT(E8,3)="out","INT_TO_BIT_BR","BR")</f>
        <v>BR</v>
      </c>
      <c r="C8" s="446" t="str">
        <f>LEFT($W$3,FIND("+",$W$3,1)-1)</f>
        <v>7</v>
      </c>
      <c r="D8" s="446" t="s">
        <v>178</v>
      </c>
      <c r="E8" s="446" t="str">
        <f ca="1">IF($W$2=0,"УДАЛИТЬ",IFERROR(IF(OR($I8="-",$H8="0"),"КАНАЛ ОТСУТСТВУЕТ",IF($I8=0,"МОДУЛЬ ОТСУТСТВУЕТ",$I8)),"ОШИБКА ФОРМАТА"))</f>
        <v>Canal_12</v>
      </c>
      <c r="F8" s="446" t="s">
        <v>845</v>
      </c>
      <c r="G8" s="447" t="str">
        <f>INDEX($N$2:$N$61,C8)</f>
        <v>M558O</v>
      </c>
      <c r="H8" s="447" t="str">
        <f>RIGHT($W$3,LEN($W$3)-FIND("+",$W$3,1))</f>
        <v>12</v>
      </c>
      <c r="I8" s="472" t="str">
        <f ca="1">INDIRECT(ADDRESS($H8+1,MATCH($G8,$1:$1,),1))</f>
        <v>Canal_12</v>
      </c>
      <c r="J8" s="1"/>
      <c r="M8" s="424" t="str">
        <f>'Конфигурация TREI'!A9</f>
        <v>BR7</v>
      </c>
      <c r="N8" s="461" t="str">
        <f>'Конфигурация TREI'!B9</f>
        <v>M558O</v>
      </c>
      <c r="AE8" s="431">
        <f>Настройки!P8</f>
        <v>7</v>
      </c>
      <c r="AF8" s="380">
        <f>Настройки!Q8</f>
        <v>0</v>
      </c>
      <c r="AG8" s="380" t="str">
        <f>Настройки!R8</f>
        <v>IDIG_4_1</v>
      </c>
      <c r="AH8" s="380" t="str">
        <f>Настройки!S8</f>
        <v>IANS_4_3</v>
      </c>
      <c r="AI8" s="380" t="str">
        <f>Настройки!T8</f>
        <v>out6</v>
      </c>
      <c r="AJ8" s="380" t="str">
        <f>Настройки!U8</f>
        <v>out6</v>
      </c>
      <c r="AK8" s="380" t="str">
        <f>Настройки!V8</f>
        <v>ODIG_7</v>
      </c>
      <c r="AL8" s="380" t="str">
        <f>Настройки!W8</f>
        <v>OAN_7_1</v>
      </c>
      <c r="AM8" s="380" t="str">
        <f>Настройки!X8</f>
        <v>IANS_7_1</v>
      </c>
      <c r="AN8" s="380" t="str">
        <f>Настройки!Y8</f>
        <v>Canal_07</v>
      </c>
      <c r="AO8" s="380" t="str">
        <f>Настройки!Z8</f>
        <v>Canal_07</v>
      </c>
      <c r="AP8" s="380" t="str">
        <f>Настройки!AA8</f>
        <v>Canal_07</v>
      </c>
      <c r="AQ8" s="380" t="str">
        <f>Настройки!AB8</f>
        <v>Canal_07</v>
      </c>
      <c r="AR8" s="380" t="str">
        <f>Настройки!AC8</f>
        <v>IVXX[6]</v>
      </c>
      <c r="AS8" s="380" t="str">
        <f>Настройки!AD8</f>
        <v>IVXX[6]</v>
      </c>
      <c r="AT8" s="207" t="str">
        <f>Настройки!AB8</f>
        <v>Canal_07</v>
      </c>
      <c r="AU8" s="207" t="str">
        <f>Настройки!AC8</f>
        <v>IVXX[6]</v>
      </c>
      <c r="AV8" s="207" t="str">
        <f>Настройки!AD8</f>
        <v>IVXX[6]</v>
      </c>
      <c r="AW8" s="207" t="str">
        <f>Настройки!AE8</f>
        <v>IANS_4_1</v>
      </c>
      <c r="AX8" s="207" t="str">
        <f>Настройки!AF8</f>
        <v>IDIG_2_3</v>
      </c>
      <c r="AY8" s="207" t="str">
        <f>Настройки!AG8</f>
        <v>Canal_07</v>
      </c>
      <c r="AZ8" s="207" t="str">
        <f>Настройки!AH8</f>
        <v>Canal_07</v>
      </c>
      <c r="BA8" s="207" t="str">
        <f>Настройки!AI8</f>
        <v>Canal_07</v>
      </c>
      <c r="BB8" s="207" t="str">
        <f>Настройки!AJ8</f>
        <v>Canal_07</v>
      </c>
      <c r="BC8" s="207" t="str">
        <f>Настройки!AK8</f>
        <v>Canal_07</v>
      </c>
      <c r="BD8" s="207" t="str">
        <f>Настройки!AL8</f>
        <v>Canal_07</v>
      </c>
      <c r="BE8" s="207" t="str">
        <f>Настройки!AM8</f>
        <v>-</v>
      </c>
    </row>
    <row r="9" spans="1:57">
      <c r="A9" s="471" t="str">
        <f>SUBSTITUTE($P$2,"\","|")&amp;"|"&amp;"D"&amp; RIGHT($S$1,3)&amp;":="&amp;P4&amp;"NOT_LINK_BR"</f>
        <v>FB_OZK_KD_S|DONX:=NOT_LINK_BR</v>
      </c>
      <c r="B9" s="448"/>
      <c r="C9" s="455"/>
      <c r="D9" s="446"/>
      <c r="E9" s="446" t="str">
        <f>IF($E6="УДАЛИТЬ","УДАЛИТЬ",IFERROR(LEFT($S$3,FIND("+",$S$3,1)-1),"УДАЛИТЬ"))</f>
        <v>УДАЛИТЬ</v>
      </c>
      <c r="F9" s="446" t="s">
        <v>845</v>
      </c>
      <c r="G9" s="447"/>
      <c r="H9" s="447"/>
      <c r="I9" s="481"/>
      <c r="J9" s="1"/>
      <c r="M9" s="424" t="str">
        <f>'Конфигурация TREI'!A10</f>
        <v>BR8</v>
      </c>
      <c r="N9" s="461" t="str">
        <f>'Конфигурация TREI'!B10</f>
        <v>M558O</v>
      </c>
      <c r="AE9" s="431">
        <f>Настройки!P9</f>
        <v>8</v>
      </c>
      <c r="AF9" s="380">
        <f>Настройки!Q9</f>
        <v>0</v>
      </c>
      <c r="AG9" s="380" t="str">
        <f>Настройки!R9</f>
        <v>IDIG_4_2</v>
      </c>
      <c r="AH9" s="380" t="str">
        <f>Настройки!S9</f>
        <v>IANS_4_4</v>
      </c>
      <c r="AI9" s="380" t="str">
        <f>Настройки!T9</f>
        <v>out7</v>
      </c>
      <c r="AJ9" s="380" t="str">
        <f>Настройки!U9</f>
        <v>out7</v>
      </c>
      <c r="AK9" s="380" t="str">
        <f>Настройки!V9</f>
        <v>ODIG_8</v>
      </c>
      <c r="AL9" s="380" t="str">
        <f>Настройки!W9</f>
        <v>OAN_8_1</v>
      </c>
      <c r="AM9" s="380" t="str">
        <f>Настройки!X9</f>
        <v>IANS_8_1</v>
      </c>
      <c r="AN9" s="380" t="str">
        <f>Настройки!Y9</f>
        <v>Canal_08</v>
      </c>
      <c r="AO9" s="380" t="str">
        <f>Настройки!Z9</f>
        <v>Canal_08</v>
      </c>
      <c r="AP9" s="380" t="str">
        <f>Настройки!AA9</f>
        <v>Canal_08</v>
      </c>
      <c r="AQ9" s="380" t="str">
        <f>Настройки!AB9</f>
        <v>Canal_08</v>
      </c>
      <c r="AR9" s="380" t="str">
        <f>Настройки!AC9</f>
        <v>IVXX[7]</v>
      </c>
      <c r="AS9" s="380" t="str">
        <f>Настройки!AD9</f>
        <v>IVXX[7]</v>
      </c>
      <c r="AT9" s="207" t="str">
        <f>Настройки!AB9</f>
        <v>Canal_08</v>
      </c>
      <c r="AU9" s="207" t="str">
        <f>Настройки!AC9</f>
        <v>IVXX[7]</v>
      </c>
      <c r="AV9" s="207" t="str">
        <f>Настройки!AD9</f>
        <v>IVXX[7]</v>
      </c>
      <c r="AW9" s="207" t="str">
        <f>Настройки!AE9</f>
        <v>IANS_4_2</v>
      </c>
      <c r="AX9" s="207" t="str">
        <f>Настройки!AF9</f>
        <v>IDIG_2_4</v>
      </c>
      <c r="AY9" s="207" t="str">
        <f>Настройки!AG9</f>
        <v>Canal_08</v>
      </c>
      <c r="AZ9" s="207" t="str">
        <f>Настройки!AH9</f>
        <v>Canal_08</v>
      </c>
      <c r="BA9" s="207" t="str">
        <f>Настройки!AI9</f>
        <v>Canal_08</v>
      </c>
      <c r="BB9" s="207" t="str">
        <f>Настройки!AJ9</f>
        <v>Canal_08</v>
      </c>
      <c r="BC9" s="207" t="str">
        <f>Настройки!AK9</f>
        <v>Canal_08</v>
      </c>
      <c r="BD9" s="207" t="str">
        <f>Настройки!AL9</f>
        <v>Canal_08</v>
      </c>
      <c r="BE9" s="207" t="str">
        <f>Настройки!AM9</f>
        <v>-</v>
      </c>
    </row>
    <row r="10" spans="1:57">
      <c r="A10" s="471" t="str">
        <f>SUBSTITUTE($P$2,"\","|")&amp;"|"&amp;"D"&amp; RIGHT($T$1,3)&amp;":="&amp;P4&amp;"NOT_LINK_BR"</f>
        <v>FB_OZK_KD_S|DOFX:=NOT_LINK_BR</v>
      </c>
      <c r="B10" s="448"/>
      <c r="C10" s="455"/>
      <c r="D10" s="446"/>
      <c r="E10" s="446" t="str">
        <f>IF($E7="УДАЛИТЬ","УДАЛИТЬ",IFERROR(LEFT($T$3,FIND("+",$T$3,1)-1),"УДАЛИТЬ"))</f>
        <v>УДАЛИТЬ</v>
      </c>
      <c r="F10" s="446" t="s">
        <v>845</v>
      </c>
      <c r="G10" s="447"/>
      <c r="H10" s="447"/>
      <c r="I10" s="481"/>
      <c r="J10" s="1"/>
      <c r="M10" s="424" t="str">
        <f>'Конфигурация TREI'!A11</f>
        <v>BR9</v>
      </c>
      <c r="N10" s="461" t="str">
        <f>'Конфигурация TREI'!B11</f>
        <v>M558D</v>
      </c>
      <c r="AE10" s="431">
        <f>Настройки!P10</f>
        <v>9</v>
      </c>
      <c r="AF10" s="380">
        <f>Настройки!Q10</f>
        <v>0</v>
      </c>
      <c r="AG10" s="380" t="str">
        <f>Настройки!R10</f>
        <v>IDIG_5_1</v>
      </c>
      <c r="AH10" s="380" t="str">
        <f>Настройки!S10</f>
        <v>IANS_5_3</v>
      </c>
      <c r="AI10" s="380" t="str">
        <f>Настройки!T10</f>
        <v>out8</v>
      </c>
      <c r="AJ10" s="380" t="str">
        <f>Настройки!U10</f>
        <v>out8</v>
      </c>
      <c r="AK10" s="380" t="str">
        <f>Настройки!V10</f>
        <v>ODIG_9</v>
      </c>
      <c r="AL10" s="380" t="str">
        <f>Настройки!W10</f>
        <v>-</v>
      </c>
      <c r="AM10" s="380" t="str">
        <f>Настройки!X10</f>
        <v>-</v>
      </c>
      <c r="AN10" s="380" t="str">
        <f>Настройки!Y10</f>
        <v>Canal_09</v>
      </c>
      <c r="AO10" s="380" t="str">
        <f>Настройки!Z10</f>
        <v>-</v>
      </c>
      <c r="AP10" s="380" t="str">
        <f>Настройки!AA10</f>
        <v>Canal_09</v>
      </c>
      <c r="AQ10" s="380" t="str">
        <f>Настройки!AB10</f>
        <v>Canal_09</v>
      </c>
      <c r="AR10" s="380" t="str">
        <f>Настройки!AC10</f>
        <v>OCCH[0]</v>
      </c>
      <c r="AS10" s="380" t="str">
        <f>Настройки!AD10</f>
        <v>OCCH[0]</v>
      </c>
      <c r="AT10" s="207" t="str">
        <f>Настройки!AB10</f>
        <v>Canal_09</v>
      </c>
      <c r="AU10" s="207" t="str">
        <f>Настройки!AC10</f>
        <v>OCCH[0]</v>
      </c>
      <c r="AV10" s="207" t="str">
        <f>Настройки!AD10</f>
        <v>OCCH[0]</v>
      </c>
      <c r="AW10" s="207" t="str">
        <f>Настройки!AE10</f>
        <v>IANS_5_1</v>
      </c>
      <c r="AX10" s="207" t="str">
        <f>Настройки!AF10</f>
        <v>IDIG_3_1</v>
      </c>
      <c r="AY10" s="207" t="str">
        <f>Настройки!AG10</f>
        <v>Canal_09</v>
      </c>
      <c r="AZ10" s="207" t="str">
        <f>Настройки!AH10</f>
        <v>Canal_09</v>
      </c>
      <c r="BA10" s="207" t="str">
        <f>Настройки!AI10</f>
        <v>Canal_09</v>
      </c>
      <c r="BB10" s="207" t="str">
        <f>Настройки!AJ10</f>
        <v>Canal_09</v>
      </c>
      <c r="BC10" s="207" t="str">
        <f>Настройки!AK10</f>
        <v>-</v>
      </c>
      <c r="BD10" s="207" t="str">
        <f>Настройки!AL10</f>
        <v>Canal_09</v>
      </c>
      <c r="BE10" s="207" t="str">
        <f>Настройки!AM10</f>
        <v>-</v>
      </c>
    </row>
    <row r="11" spans="1:57">
      <c r="A11" s="471" t="str">
        <f>SUBSTITUTE($P$2,"\","|")&amp;"|"&amp;"D"&amp; RIGHT($W$1,3)&amp;":="&amp;P4&amp;"NOT_LINK_BR"</f>
        <v>FB_OZK_KD_S|DFXX:=NOT_LINK_BR</v>
      </c>
      <c r="B11" s="448"/>
      <c r="C11" s="455"/>
      <c r="D11" s="446"/>
      <c r="E11" s="446" t="str">
        <f ca="1">IF($E8="УДАЛИТЬ","УДАЛИТЬ",IFERROR(LEFT($W$3,FIND("+",$W$3,1)-1),"УДАЛИТЬ"))</f>
        <v>7</v>
      </c>
      <c r="F11" s="446" t="s">
        <v>845</v>
      </c>
      <c r="G11" s="447"/>
      <c r="H11" s="447"/>
      <c r="I11" s="481"/>
      <c r="J11" s="1"/>
      <c r="M11" s="424" t="str">
        <f>'Конфигурация TREI'!A12</f>
        <v>BR10</v>
      </c>
      <c r="N11" s="461" t="str">
        <f>'Конфигурация TREI'!B12</f>
        <v>M558O</v>
      </c>
      <c r="AE11" s="431">
        <f>Настройки!P11</f>
        <v>10</v>
      </c>
      <c r="AF11" s="380">
        <f>Настройки!Q11</f>
        <v>0</v>
      </c>
      <c r="AG11" s="380" t="str">
        <f>Настройки!R11</f>
        <v>IDIG_5_2</v>
      </c>
      <c r="AH11" s="380" t="str">
        <f>Настройки!S11</f>
        <v>IANS_5_4</v>
      </c>
      <c r="AI11" s="380" t="str">
        <f>Настройки!T11</f>
        <v>out9</v>
      </c>
      <c r="AJ11" s="380" t="str">
        <f>Настройки!U11</f>
        <v>out9</v>
      </c>
      <c r="AK11" s="380" t="str">
        <f>Настройки!V11</f>
        <v>ODIG_10</v>
      </c>
      <c r="AL11" s="380" t="str">
        <f>Настройки!W11</f>
        <v>-</v>
      </c>
      <c r="AM11" s="380" t="str">
        <f>Настройки!X11</f>
        <v>-</v>
      </c>
      <c r="AN11" s="380" t="str">
        <f>Настройки!Y11</f>
        <v>Canal_10</v>
      </c>
      <c r="AO11" s="380" t="str">
        <f>Настройки!Z11</f>
        <v>-</v>
      </c>
      <c r="AP11" s="380" t="str">
        <f>Настройки!AA11</f>
        <v>Canal_10</v>
      </c>
      <c r="AQ11" s="380" t="str">
        <f>Настройки!AB11</f>
        <v>Canal_10</v>
      </c>
      <c r="AR11" s="380" t="str">
        <f>Настройки!AC11</f>
        <v>OCCH[1]</v>
      </c>
      <c r="AS11" s="380" t="str">
        <f>Настройки!AD11</f>
        <v>OCCH[1]</v>
      </c>
      <c r="AT11" s="207" t="str">
        <f>Настройки!AB11</f>
        <v>Canal_10</v>
      </c>
      <c r="AU11" s="207" t="str">
        <f>Настройки!AC11</f>
        <v>OCCH[1]</v>
      </c>
      <c r="AV11" s="207" t="str">
        <f>Настройки!AD11</f>
        <v>OCCH[1]</v>
      </c>
      <c r="AW11" s="207" t="str">
        <f>Настройки!AE11</f>
        <v>IANS_5_2</v>
      </c>
      <c r="AX11" s="207" t="str">
        <f>Настройки!AF11</f>
        <v>IDIG_3_2</v>
      </c>
      <c r="AY11" s="207" t="str">
        <f>Настройки!AG11</f>
        <v>Canal_10</v>
      </c>
      <c r="AZ11" s="207" t="str">
        <f>Настройки!AH11</f>
        <v>Canal_10</v>
      </c>
      <c r="BA11" s="207" t="str">
        <f>Настройки!AI11</f>
        <v>Canal_10</v>
      </c>
      <c r="BB11" s="207" t="str">
        <f>Настройки!AJ11</f>
        <v>Canal_10</v>
      </c>
      <c r="BC11" s="207" t="str">
        <f>Настройки!AK11</f>
        <v>-</v>
      </c>
      <c r="BD11" s="207" t="str">
        <f>Настройки!AL11</f>
        <v>Canal_10</v>
      </c>
      <c r="BE11" s="207" t="str">
        <f>Настройки!AM11</f>
        <v>-</v>
      </c>
    </row>
    <row r="12" spans="1:57">
      <c r="A12" s="466" t="str">
        <f>SUBSTITUTE($P$2,"\","|")&amp;"|"&amp; "IONS" &amp;":="&amp;IF(LEFT(SUBSTITUTE($S$2," ",""),1)="!","NOT  ","")</f>
        <v>FB_OZK_KD_S|IONS:=</v>
      </c>
      <c r="B12" s="467" t="str">
        <f>$G12&amp;"_"&amp;LEFT($S$3,FIND("+",$S$3,1)-1)</f>
        <v>MUPS_3</v>
      </c>
      <c r="C12" s="468"/>
      <c r="D12" s="446" t="s">
        <v>1861</v>
      </c>
      <c r="E12" s="468" t="str">
        <f ca="1">IF($S$2=0,"УДАЛИТЬ",IFERROR(IF(OR($I12="-",$H12="0"),"КАНАЛ ОТСУТСТВУЕТ",IF($I12=0,"МОДУЛЬ ОТСУТСТВУЕТ",$I12)),"ОШИБКА ФОРМАТА"))</f>
        <v>IVXX[0]</v>
      </c>
      <c r="F12" s="468" t="s">
        <v>845</v>
      </c>
      <c r="G12" s="469" t="str">
        <f>LEFT(S$2,4)</f>
        <v>MUPS</v>
      </c>
      <c r="H12" s="469" t="str">
        <f>RIGHT(S$3,LEN(S$3)-FIND("+",S$3,1))</f>
        <v>1</v>
      </c>
      <c r="I12" s="470" t="str">
        <f ca="1">IFERROR(INDIRECT(ADDRESS($H12+1,MATCH($G12,$1:$1,),1)),"УДАЛИТЬ")</f>
        <v>IVXX[0]</v>
      </c>
      <c r="J12" s="1"/>
      <c r="M12" s="424" t="str">
        <f>'Конфигурация TREI'!A13</f>
        <v>BR11</v>
      </c>
      <c r="N12" s="461" t="str">
        <f>'Конфигурация TREI'!B13</f>
        <v>M558D</v>
      </c>
      <c r="AE12" s="431">
        <f>Настройки!P12</f>
        <v>11</v>
      </c>
      <c r="AF12" s="380">
        <f>Настройки!Q12</f>
        <v>0</v>
      </c>
      <c r="AG12" s="380" t="str">
        <f>Настройки!R12</f>
        <v>IDIG_6_1</v>
      </c>
      <c r="AH12" s="380" t="str">
        <f>Настройки!S12</f>
        <v>IANS_6_3</v>
      </c>
      <c r="AI12" s="380" t="str">
        <f>Настройки!T12</f>
        <v>out10</v>
      </c>
      <c r="AJ12" s="380" t="str">
        <f>Настройки!U12</f>
        <v>out10</v>
      </c>
      <c r="AK12" s="380" t="str">
        <f>Настройки!V12</f>
        <v>ODIG_11</v>
      </c>
      <c r="AL12" s="380" t="str">
        <f>Настройки!W12</f>
        <v>-</v>
      </c>
      <c r="AM12" s="380" t="str">
        <f>Настройки!X12</f>
        <v>-</v>
      </c>
      <c r="AN12" s="380" t="str">
        <f>Настройки!Y12</f>
        <v>Canal_11</v>
      </c>
      <c r="AO12" s="380" t="str">
        <f>Настройки!Z12</f>
        <v>-</v>
      </c>
      <c r="AP12" s="380" t="str">
        <f>Настройки!AA12</f>
        <v>Canal_11</v>
      </c>
      <c r="AQ12" s="380" t="str">
        <f>Настройки!AB12</f>
        <v>Canal_11</v>
      </c>
      <c r="AR12" s="380" t="str">
        <f>Настройки!AC12</f>
        <v>OCCH[2]</v>
      </c>
      <c r="AS12" s="380" t="str">
        <f>Настройки!AD12</f>
        <v>OCCH[2]</v>
      </c>
      <c r="AT12" s="207" t="str">
        <f>Настройки!AB12</f>
        <v>Canal_11</v>
      </c>
      <c r="AU12" s="207" t="str">
        <f>Настройки!AC12</f>
        <v>OCCH[2]</v>
      </c>
      <c r="AV12" s="207" t="str">
        <f>Настройки!AD12</f>
        <v>OCCH[2]</v>
      </c>
      <c r="AW12" s="207" t="str">
        <f>Настройки!AE12</f>
        <v>IANS_6_1</v>
      </c>
      <c r="AX12" s="207" t="str">
        <f>Настройки!AF12</f>
        <v>IDIG_3_3</v>
      </c>
      <c r="AY12" s="207" t="str">
        <f>Настройки!AG12</f>
        <v>Canal_11</v>
      </c>
      <c r="AZ12" s="207" t="str">
        <f>Настройки!AH12</f>
        <v>Canal_11</v>
      </c>
      <c r="BA12" s="207" t="str">
        <f>Настройки!AI12</f>
        <v>Canal_11</v>
      </c>
      <c r="BB12" s="207" t="str">
        <f>Настройки!AJ12</f>
        <v>Canal_11</v>
      </c>
      <c r="BC12" s="207" t="str">
        <f>Настройки!AK12</f>
        <v>-</v>
      </c>
      <c r="BD12" s="207" t="str">
        <f>Настройки!AL12</f>
        <v>Canal_11</v>
      </c>
      <c r="BE12" s="207" t="str">
        <f>Настройки!AM12</f>
        <v>-</v>
      </c>
    </row>
    <row r="13" spans="1:57">
      <c r="A13" s="471" t="str">
        <f>SUBSTITUTE($P$2,"\","|")&amp;"|"&amp; "IOFS" &amp;":="&amp;IF(LEFT(SUBSTITUTE($T$2," ",""),1)="!","NOT  ","")</f>
        <v>FB_OZK_KD_S|IOFS:=</v>
      </c>
      <c r="B13" s="448" t="str">
        <f>$G13&amp;"_"&amp;LEFT($T$3,FIND("+",$T$3,1)-1)</f>
        <v>MUPS_3</v>
      </c>
      <c r="C13" s="446"/>
      <c r="D13" s="446" t="s">
        <v>1861</v>
      </c>
      <c r="E13" s="446" t="str">
        <f ca="1">IF($T$2=0,"УДАЛИТЬ",IFERROR(IF(OR($I13="-",$H13="0"),"КАНАЛ ОТСУТСТВУЕТ",IF($I13=0,"МОДУЛЬ ОТСУТСТВУЕТ",$I13)),"ОШИБКА ФОРМАТА"))</f>
        <v>IVXX[1]</v>
      </c>
      <c r="F13" s="446" t="s">
        <v>845</v>
      </c>
      <c r="G13" s="447" t="str">
        <f>LEFT(T$2,4)</f>
        <v>MUPS</v>
      </c>
      <c r="H13" s="447" t="str">
        <f>RIGHT(T$3,LEN(T$3)-FIND("+",T$3,1))</f>
        <v>2</v>
      </c>
      <c r="I13" s="472" t="str">
        <f ca="1">IFERROR(INDIRECT(ADDRESS($H13+1,MATCH($G13,$1:$1,),1)),"УДАЛИТЬ")</f>
        <v>IVXX[1]</v>
      </c>
      <c r="J13" s="1"/>
      <c r="M13" s="424" t="str">
        <f>'Конфигурация TREI'!A14</f>
        <v>BR12</v>
      </c>
      <c r="N13" s="461" t="str">
        <f>'Конфигурация TREI'!B14</f>
        <v>M558D</v>
      </c>
      <c r="AE13" s="431">
        <f>Настройки!P13</f>
        <v>12</v>
      </c>
      <c r="AF13" s="380">
        <f>Настройки!Q13</f>
        <v>0</v>
      </c>
      <c r="AG13" s="380" t="str">
        <f>Настройки!R13</f>
        <v>IDIG_6_2</v>
      </c>
      <c r="AH13" s="380" t="str">
        <f>Настройки!S13</f>
        <v>IANS_6_4</v>
      </c>
      <c r="AI13" s="380" t="str">
        <f>Настройки!T13</f>
        <v>out11</v>
      </c>
      <c r="AJ13" s="380" t="str">
        <f>Настройки!U13</f>
        <v>out11</v>
      </c>
      <c r="AK13" s="380" t="str">
        <f>Настройки!V13</f>
        <v>ODIG_12</v>
      </c>
      <c r="AL13" s="380" t="str">
        <f>Настройки!W13</f>
        <v>-</v>
      </c>
      <c r="AM13" s="380" t="str">
        <f>Настройки!X13</f>
        <v>-</v>
      </c>
      <c r="AN13" s="380" t="str">
        <f>Настройки!Y13</f>
        <v>Canal_12</v>
      </c>
      <c r="AO13" s="380" t="str">
        <f>Настройки!Z13</f>
        <v>-</v>
      </c>
      <c r="AP13" s="380" t="str">
        <f>Настройки!AA13</f>
        <v>Canal_12</v>
      </c>
      <c r="AQ13" s="380" t="str">
        <f>Настройки!AB13</f>
        <v>Canal_12</v>
      </c>
      <c r="AR13" s="380" t="str">
        <f>Настройки!AC13</f>
        <v>OCCH[3]</v>
      </c>
      <c r="AS13" s="380" t="str">
        <f>Настройки!AD13</f>
        <v>OCCH[3]</v>
      </c>
      <c r="AT13" s="207" t="str">
        <f>Настройки!AB13</f>
        <v>Canal_12</v>
      </c>
      <c r="AU13" s="207" t="str">
        <f>Настройки!AC13</f>
        <v>OCCH[3]</v>
      </c>
      <c r="AV13" s="207" t="str">
        <f>Настройки!AD13</f>
        <v>OCCH[3]</v>
      </c>
      <c r="AW13" s="207" t="str">
        <f>Настройки!AE13</f>
        <v>IANS_6_2</v>
      </c>
      <c r="AX13" s="207" t="str">
        <f>Настройки!AF13</f>
        <v>IDIG_3_4</v>
      </c>
      <c r="AY13" s="207" t="str">
        <f>Настройки!AG13</f>
        <v>Canal_12</v>
      </c>
      <c r="AZ13" s="207" t="str">
        <f>Настройки!AH13</f>
        <v>Canal_12</v>
      </c>
      <c r="BA13" s="207" t="str">
        <f>Настройки!AI13</f>
        <v>Canal_12</v>
      </c>
      <c r="BB13" s="207" t="str">
        <f>Настройки!AJ13</f>
        <v>Canal_12</v>
      </c>
      <c r="BC13" s="207" t="str">
        <f>Настройки!AK13</f>
        <v>-</v>
      </c>
      <c r="BD13" s="207" t="str">
        <f>Настройки!AL13</f>
        <v>Canal_12</v>
      </c>
      <c r="BE13" s="207" t="str">
        <f>Настройки!AM13</f>
        <v>-</v>
      </c>
    </row>
    <row r="14" spans="1:57">
      <c r="A14" s="471" t="str">
        <f>SUBSTITUTE($P$2,"\","|")&amp;"|"&amp; "ISON" &amp;":="&amp;IF(LEFT(SUBSTITUTE($X$2," ",""),1)="!","NOT  ","")</f>
        <v>FB_OZK_KD_S|ISON:=</v>
      </c>
      <c r="B14" s="448" t="str">
        <f>$G14&amp;"_"&amp;LEFT($X$3,FIND("+",$X$3,1)-1)</f>
        <v>3+4_3</v>
      </c>
      <c r="C14" s="446"/>
      <c r="D14" s="446" t="s">
        <v>1861</v>
      </c>
      <c r="E14" s="446" t="str">
        <f ca="1">IF($X$2=0,"УДАЛИТЬ",IFERROR(IF(OR($I14="-",$H14="0"),"КАНАЛ ОТСУТСТВУЕТ",IF($I14=0,"МОДУЛЬ ОТСУТСТВУЕТ",$I14)),"ОШИБКА ФОРМАТА"))</f>
        <v>УДАЛИТЬ</v>
      </c>
      <c r="F14" s="446" t="s">
        <v>845</v>
      </c>
      <c r="G14" s="447" t="str">
        <f>LEFT(X$2,4)</f>
        <v>3+4</v>
      </c>
      <c r="H14" s="447" t="str">
        <f>RIGHT(X$3,LEN(X$3)-FIND("+",X$3,1))</f>
        <v>4</v>
      </c>
      <c r="I14" s="472" t="str">
        <f t="shared" ref="I14:I19" ca="1" si="0">IFERROR(INDIRECT(ADDRESS($H14+1,MATCH($G14,$1:$1,),1)),"УДАЛИТЬ")</f>
        <v>УДАЛИТЬ</v>
      </c>
      <c r="J14" s="1"/>
      <c r="M14" s="424" t="str">
        <f>'Конфигурация TREI'!A15</f>
        <v>BR13</v>
      </c>
      <c r="N14" s="461" t="str">
        <f>'Конфигурация TREI'!B15</f>
        <v>M558D</v>
      </c>
      <c r="AE14" s="431">
        <f>Настройки!P14</f>
        <v>13</v>
      </c>
      <c r="AF14" s="380">
        <f>Настройки!Q14</f>
        <v>0</v>
      </c>
      <c r="AG14" s="380" t="str">
        <f>Настройки!R14</f>
        <v>IDIG_7_1</v>
      </c>
      <c r="AH14" s="380" t="str">
        <f>Настройки!S14</f>
        <v>IANS_7_3</v>
      </c>
      <c r="AI14" s="380" t="str">
        <f>Настройки!T14</f>
        <v>out12</v>
      </c>
      <c r="AJ14" s="380" t="str">
        <f>Настройки!U14</f>
        <v>out12</v>
      </c>
      <c r="AK14" s="380" t="str">
        <f>Настройки!V14</f>
        <v>ODIG_13</v>
      </c>
      <c r="AL14" s="380" t="str">
        <f>Настройки!W14</f>
        <v>-</v>
      </c>
      <c r="AM14" s="380" t="str">
        <f>Настройки!X14</f>
        <v>-</v>
      </c>
      <c r="AN14" s="380" t="str">
        <f>Настройки!Y14</f>
        <v>Canal_13</v>
      </c>
      <c r="AO14" s="380" t="str">
        <f>Настройки!Z14</f>
        <v>-</v>
      </c>
      <c r="AP14" s="380" t="str">
        <f>Настройки!AA14</f>
        <v>Canal_13</v>
      </c>
      <c r="AQ14" s="380" t="str">
        <f>Настройки!AB14</f>
        <v>Canal_13</v>
      </c>
      <c r="AR14" s="380" t="str">
        <f>Настройки!AC14</f>
        <v>OCCH[4]</v>
      </c>
      <c r="AS14" s="380" t="str">
        <f>Настройки!AD14</f>
        <v>OCCH[4]</v>
      </c>
      <c r="AT14" s="207" t="str">
        <f>Настройки!AB14</f>
        <v>Canal_13</v>
      </c>
      <c r="AU14" s="207" t="str">
        <f>Настройки!AC14</f>
        <v>OCCH[4]</v>
      </c>
      <c r="AV14" s="207" t="str">
        <f>Настройки!AD14</f>
        <v>OCCH[4]</v>
      </c>
      <c r="AW14" s="207" t="str">
        <f>Настройки!AE14</f>
        <v>IANS_7_1</v>
      </c>
      <c r="AX14" s="207" t="str">
        <f>Настройки!AF14</f>
        <v>IDIG_4_1</v>
      </c>
      <c r="AY14" s="207" t="str">
        <f>Настройки!AG14</f>
        <v>Canal_13</v>
      </c>
      <c r="AZ14" s="207" t="str">
        <f>Настройки!AH14</f>
        <v>Canal_13</v>
      </c>
      <c r="BA14" s="207" t="str">
        <f>Настройки!AI14</f>
        <v>Canal_13</v>
      </c>
      <c r="BB14" s="207" t="str">
        <f>Настройки!AJ14</f>
        <v>Canal_13</v>
      </c>
      <c r="BC14" s="207" t="str">
        <f>Настройки!AK14</f>
        <v>-</v>
      </c>
      <c r="BD14" s="207" t="str">
        <f>Настройки!AL14</f>
        <v>Canal_13</v>
      </c>
      <c r="BE14" s="207" t="str">
        <f>Настройки!AM14</f>
        <v>-</v>
      </c>
    </row>
    <row r="15" spans="1:57">
      <c r="A15" s="471" t="str">
        <f>SUBSTITUTE($P$2,"\","|")&amp;"|"&amp; "ISOF" &amp;":="&amp;IF(LEFT(SUBSTITUTE($Y$2," ",""),1)="!","NOT  ","")</f>
        <v>FB_OZK_KD_S|ISOF:=</v>
      </c>
      <c r="B15" s="448" t="str">
        <f>$G15&amp;"_"&amp;LEFT($Y$3,FIND("+",$Y$3,1)-1)</f>
        <v>MOPS_3</v>
      </c>
      <c r="C15" s="446"/>
      <c r="D15" s="446" t="s">
        <v>1861</v>
      </c>
      <c r="E15" s="446" t="str">
        <f ca="1">IF($Y$2=0,"УДАЛИТЬ",IFERROR(IF(OR($I15="-",$H15="0"),"КАНАЛ ОТСУТСТВУЕТ",IF($I15=0,"МОДУЛЬ ОТСУТСТВУЕТ",$I15)),"ОШИБКА ФОРМАТА"))</f>
        <v>IVXX[4]</v>
      </c>
      <c r="F15" s="446" t="s">
        <v>845</v>
      </c>
      <c r="G15" s="447" t="str">
        <f>LEFT(Y$2,4)</f>
        <v>MOPS</v>
      </c>
      <c r="H15" s="447" t="str">
        <f>RIGHT(Y$3,LEN(Y$3)-FIND("+",Y$3,1))</f>
        <v>5</v>
      </c>
      <c r="I15" s="472" t="str">
        <f t="shared" ca="1" si="0"/>
        <v>IVXX[4]</v>
      </c>
      <c r="J15" s="1"/>
      <c r="M15" s="424" t="str">
        <f>'Конфигурация TREI'!A16</f>
        <v>BR14</v>
      </c>
      <c r="N15" s="461" t="str">
        <f>'Конфигурация TREI'!B16</f>
        <v>M558D</v>
      </c>
      <c r="AE15" s="431">
        <f>Настройки!P15</f>
        <v>14</v>
      </c>
      <c r="AF15" s="380">
        <f>Настройки!Q15</f>
        <v>0</v>
      </c>
      <c r="AG15" s="380" t="str">
        <f>Настройки!R15</f>
        <v>IDIG_7_2</v>
      </c>
      <c r="AH15" s="380" t="str">
        <f>Настройки!S15</f>
        <v>IANS_7_4</v>
      </c>
      <c r="AI15" s="380" t="str">
        <f>Настройки!T15</f>
        <v>out13</v>
      </c>
      <c r="AJ15" s="380" t="str">
        <f>Настройки!U15</f>
        <v>out13</v>
      </c>
      <c r="AK15" s="380" t="str">
        <f>Настройки!V15</f>
        <v>ODIG_14</v>
      </c>
      <c r="AL15" s="380" t="str">
        <f>Настройки!W15</f>
        <v>-</v>
      </c>
      <c r="AM15" s="380" t="str">
        <f>Настройки!X15</f>
        <v>-</v>
      </c>
      <c r="AN15" s="380" t="str">
        <f>Настройки!Y15</f>
        <v>Canal_14</v>
      </c>
      <c r="AO15" s="380" t="str">
        <f>Настройки!Z15</f>
        <v>-</v>
      </c>
      <c r="AP15" s="380" t="str">
        <f>Настройки!AA15</f>
        <v>Canal_14</v>
      </c>
      <c r="AQ15" s="380" t="str">
        <f>Настройки!AB15</f>
        <v>Canal_14</v>
      </c>
      <c r="AR15" s="380" t="str">
        <f>Настройки!AC15</f>
        <v>OCCH[5]</v>
      </c>
      <c r="AS15" s="380" t="str">
        <f>Настройки!AD15</f>
        <v>OCCH[5]</v>
      </c>
      <c r="AT15" s="207" t="str">
        <f>Настройки!AB15</f>
        <v>Canal_14</v>
      </c>
      <c r="AU15" s="207" t="str">
        <f>Настройки!AC15</f>
        <v>OCCH[5]</v>
      </c>
      <c r="AV15" s="207" t="str">
        <f>Настройки!AD15</f>
        <v>OCCH[5]</v>
      </c>
      <c r="AW15" s="207" t="str">
        <f>Настройки!AE15</f>
        <v>IANS_7_2</v>
      </c>
      <c r="AX15" s="207" t="str">
        <f>Настройки!AF15</f>
        <v>IDIG_4_2</v>
      </c>
      <c r="AY15" s="207" t="str">
        <f>Настройки!AG15</f>
        <v>Canal_14</v>
      </c>
      <c r="AZ15" s="207" t="str">
        <f>Настройки!AH15</f>
        <v>Canal_14</v>
      </c>
      <c r="BA15" s="207" t="str">
        <f>Настройки!AI15</f>
        <v>Canal_14</v>
      </c>
      <c r="BB15" s="207" t="str">
        <f>Настройки!AJ15</f>
        <v>Canal_14</v>
      </c>
      <c r="BC15" s="207" t="str">
        <f>Настройки!AK15</f>
        <v>-</v>
      </c>
      <c r="BD15" s="207" t="str">
        <f>Настройки!AL15</f>
        <v>Canal_14</v>
      </c>
      <c r="BE15" s="207" t="str">
        <f>Настройки!AM15</f>
        <v>-</v>
      </c>
    </row>
    <row r="16" spans="1:57">
      <c r="A16" s="471" t="str">
        <f>SUBSTITUTE($P$2,"\","|")&amp;"|"&amp;"DONX"&amp; RIGHT($R$1,3)&amp;":="</f>
        <v>FB_OZK_KD_S|DONX:=</v>
      </c>
      <c r="B16" s="448" t="str">
        <f>$G16&amp;"_"&amp;LEFT($S$3,FIND("+",$S$3,1)-1)</f>
        <v>MUPS_3</v>
      </c>
      <c r="C16" s="446"/>
      <c r="D16" s="446" t="s">
        <v>1861</v>
      </c>
      <c r="E16" s="446" t="str">
        <f ca="1">IF(OR($S$2=0,$I16="УДАЛИТЬ"),"УДАЛИТЬ","DVXX")</f>
        <v>DVXX</v>
      </c>
      <c r="F16" s="446" t="s">
        <v>845</v>
      </c>
      <c r="G16" s="447" t="str">
        <f>LEFT(S$2,4)</f>
        <v>MUPS</v>
      </c>
      <c r="H16" s="447" t="str">
        <f>RIGHT(S$3,LEN(S$3)-FIND("+",S$3,1))</f>
        <v>1</v>
      </c>
      <c r="I16" s="472" t="str">
        <f t="shared" ca="1" si="0"/>
        <v>IVXX[0]</v>
      </c>
      <c r="J16" s="1"/>
      <c r="M16" s="424" t="str">
        <f>'Конфигурация TREI'!A17</f>
        <v>BR15</v>
      </c>
      <c r="N16" s="461" t="str">
        <f>'Конфигурация TREI'!B17</f>
        <v>M558O</v>
      </c>
      <c r="AE16" s="431">
        <f>Настройки!P16</f>
        <v>15</v>
      </c>
      <c r="AF16" s="380">
        <f>Настройки!Q16</f>
        <v>0</v>
      </c>
      <c r="AG16" s="380" t="str">
        <f>Настройки!R16</f>
        <v>IDIG_8_1</v>
      </c>
      <c r="AH16" s="380" t="str">
        <f>Настройки!S16</f>
        <v>IANS_8_3</v>
      </c>
      <c r="AI16" s="380" t="str">
        <f>Настройки!T16</f>
        <v>out14</v>
      </c>
      <c r="AJ16" s="380" t="str">
        <f>Настройки!U16</f>
        <v>out14</v>
      </c>
      <c r="AK16" s="380" t="str">
        <f>Настройки!V16</f>
        <v>ODIG_15</v>
      </c>
      <c r="AL16" s="380" t="str">
        <f>Настройки!W16</f>
        <v>-</v>
      </c>
      <c r="AM16" s="380" t="str">
        <f>Настройки!X16</f>
        <v>-</v>
      </c>
      <c r="AN16" s="380" t="str">
        <f>Настройки!Y16</f>
        <v>Canal_15</v>
      </c>
      <c r="AO16" s="380" t="str">
        <f>Настройки!Z16</f>
        <v>-</v>
      </c>
      <c r="AP16" s="380" t="str">
        <f>Настройки!AA16</f>
        <v>Canal_15</v>
      </c>
      <c r="AQ16" s="380" t="str">
        <f>Настройки!AB16</f>
        <v>Canal_15</v>
      </c>
      <c r="AR16" s="380" t="str">
        <f>Настройки!AC16</f>
        <v>OCCH[6]</v>
      </c>
      <c r="AS16" s="380" t="str">
        <f>Настройки!AD16</f>
        <v>OCCH[6]</v>
      </c>
      <c r="AT16" s="207" t="str">
        <f>Настройки!AB16</f>
        <v>Canal_15</v>
      </c>
      <c r="AU16" s="207" t="str">
        <f>Настройки!AC16</f>
        <v>OCCH[6]</v>
      </c>
      <c r="AV16" s="207" t="str">
        <f>Настройки!AD16</f>
        <v>OCCH[6]</v>
      </c>
      <c r="AW16" s="207" t="str">
        <f>Настройки!AE16</f>
        <v>IANS_8_1</v>
      </c>
      <c r="AX16" s="207" t="str">
        <f>Настройки!AF16</f>
        <v>IDIG_4_3</v>
      </c>
      <c r="AY16" s="207" t="str">
        <f>Настройки!AG16</f>
        <v>Canal_15</v>
      </c>
      <c r="AZ16" s="207" t="str">
        <f>Настройки!AH16</f>
        <v>Canal_15</v>
      </c>
      <c r="BA16" s="207" t="str">
        <f>Настройки!AI16</f>
        <v>Canal_15</v>
      </c>
      <c r="BB16" s="207" t="str">
        <f>Настройки!AJ16</f>
        <v>Canal_15</v>
      </c>
      <c r="BC16" s="207" t="str">
        <f>Настройки!AK16</f>
        <v>-</v>
      </c>
      <c r="BD16" s="207" t="str">
        <f>Настройки!AL16</f>
        <v>Canal_15</v>
      </c>
      <c r="BE16" s="207" t="str">
        <f>Настройки!AM16</f>
        <v>-</v>
      </c>
    </row>
    <row r="17" spans="1:57">
      <c r="A17" s="471" t="str">
        <f>SUBSTITUTE($P$2,"\","|")&amp;"|"&amp;"DOFX"&amp; RIGHT($R$1,3)&amp;":="</f>
        <v>FB_OZK_KD_S|DOFX:=</v>
      </c>
      <c r="B17" s="448" t="str">
        <f>$G17&amp;"_"&amp;LEFT($T$3,FIND("+",$T$3,1)-1)</f>
        <v>MUPS_3</v>
      </c>
      <c r="C17" s="446"/>
      <c r="D17" s="446" t="s">
        <v>1861</v>
      </c>
      <c r="E17" s="446" t="str">
        <f ca="1">IF(OR($S$2=0,$I17="УДАЛИТЬ"),"УДАЛИТЬ","DVXX")</f>
        <v>DVXX</v>
      </c>
      <c r="F17" s="446" t="s">
        <v>845</v>
      </c>
      <c r="G17" s="447" t="str">
        <f>LEFT(T$2,4)</f>
        <v>MUPS</v>
      </c>
      <c r="H17" s="447" t="str">
        <f>RIGHT(T$3,LEN(T$3)-FIND("+",T$3,1))</f>
        <v>2</v>
      </c>
      <c r="I17" s="472" t="str">
        <f t="shared" ca="1" si="0"/>
        <v>IVXX[1]</v>
      </c>
      <c r="J17" s="1"/>
      <c r="M17" s="424" t="str">
        <f>'Конфигурация TREI'!A18</f>
        <v>BR16</v>
      </c>
      <c r="N17" s="461" t="str">
        <f>'Конфигурация TREI'!B18</f>
        <v>M558O</v>
      </c>
      <c r="AE17" s="431">
        <f>Настройки!P17</f>
        <v>16</v>
      </c>
      <c r="AF17" s="380">
        <f>Настройки!Q17</f>
        <v>0</v>
      </c>
      <c r="AG17" s="380" t="str">
        <f>Настройки!R17</f>
        <v>IDIG_8_2</v>
      </c>
      <c r="AH17" s="380" t="str">
        <f>Настройки!S17</f>
        <v>IANS_8_4</v>
      </c>
      <c r="AI17" s="380" t="str">
        <f>Настройки!T17</f>
        <v>out15</v>
      </c>
      <c r="AJ17" s="380" t="str">
        <f>Настройки!U17</f>
        <v>out15</v>
      </c>
      <c r="AK17" s="380" t="str">
        <f>Настройки!V17</f>
        <v>ODIG_16</v>
      </c>
      <c r="AL17" s="380" t="str">
        <f>Настройки!W17</f>
        <v>-</v>
      </c>
      <c r="AM17" s="380" t="str">
        <f>Настройки!X17</f>
        <v>-</v>
      </c>
      <c r="AN17" s="380" t="str">
        <f>Настройки!Y17</f>
        <v>Canal_16</v>
      </c>
      <c r="AO17" s="380" t="str">
        <f>Настройки!Z17</f>
        <v>-</v>
      </c>
      <c r="AP17" s="380" t="str">
        <f>Настройки!AA17</f>
        <v>Canal_16</v>
      </c>
      <c r="AQ17" s="380" t="str">
        <f>Настройки!AB17</f>
        <v>Canal_16</v>
      </c>
      <c r="AR17" s="380" t="str">
        <f>Настройки!AC17</f>
        <v>OCCH[7]</v>
      </c>
      <c r="AS17" s="380" t="str">
        <f>Настройки!AD17</f>
        <v>OCCH[7]</v>
      </c>
      <c r="AT17" s="207" t="str">
        <f>Настройки!AB17</f>
        <v>Canal_16</v>
      </c>
      <c r="AU17" s="207" t="str">
        <f>Настройки!AC17</f>
        <v>OCCH[7]</v>
      </c>
      <c r="AV17" s="207" t="str">
        <f>Настройки!AD17</f>
        <v>OCCH[7]</v>
      </c>
      <c r="AW17" s="207" t="str">
        <f>Настройки!AE17</f>
        <v>IANS_8_2</v>
      </c>
      <c r="AX17" s="207" t="str">
        <f>Настройки!AF17</f>
        <v>IDIG_4_4</v>
      </c>
      <c r="AY17" s="207" t="str">
        <f>Настройки!AG17</f>
        <v>Canal_16</v>
      </c>
      <c r="AZ17" s="207" t="str">
        <f>Настройки!AH17</f>
        <v>Canal_16</v>
      </c>
      <c r="BA17" s="207" t="str">
        <f>Настройки!AI17</f>
        <v>Canal_16</v>
      </c>
      <c r="BB17" s="207" t="str">
        <f>Настройки!AJ17</f>
        <v>Canal_16</v>
      </c>
      <c r="BC17" s="207" t="str">
        <f>Настройки!AK17</f>
        <v>-</v>
      </c>
      <c r="BD17" s="207" t="str">
        <f>Настройки!AL17</f>
        <v>Canal_16</v>
      </c>
      <c r="BE17" s="207" t="str">
        <f>Настройки!AM17</f>
        <v>-</v>
      </c>
    </row>
    <row r="18" spans="1:57">
      <c r="A18" s="471" t="str">
        <f>SUBSTITUTE($P$2,"\","|")&amp;"|"&amp;"DOON"&amp; RIGHT($R$1,3)&amp;":="</f>
        <v>FB_OZK_KD_S|DOON:=</v>
      </c>
      <c r="B18" s="448" t="str">
        <f>$G18&amp;"_"&amp;LEFT($X$3,FIND("+",$X$3,1)-1)</f>
        <v>3+4_3</v>
      </c>
      <c r="C18" s="446"/>
      <c r="D18" s="446" t="s">
        <v>1861</v>
      </c>
      <c r="E18" s="446" t="str">
        <f ca="1">IF(OR($S$2=0,$I18="УДАЛИТЬ"),"УДАЛИТЬ","DVXX")</f>
        <v>УДАЛИТЬ</v>
      </c>
      <c r="F18" s="446" t="s">
        <v>845</v>
      </c>
      <c r="G18" s="447" t="str">
        <f>LEFT(X$2,4)</f>
        <v>3+4</v>
      </c>
      <c r="H18" s="447" t="str">
        <f>RIGHT(X$3,LEN(X$3)-FIND("+",X$3,1))</f>
        <v>4</v>
      </c>
      <c r="I18" s="472" t="str">
        <f t="shared" ca="1" si="0"/>
        <v>УДАЛИТЬ</v>
      </c>
      <c r="J18" s="1"/>
      <c r="M18" s="424" t="str">
        <f>'Конфигурация TREI'!A19</f>
        <v>BR17</v>
      </c>
      <c r="N18" s="461" t="str">
        <f>'Конфигурация TREI'!B19</f>
        <v>M558O</v>
      </c>
      <c r="AE18" s="428">
        <f>Настройки!P18</f>
        <v>17</v>
      </c>
      <c r="AF18" s="380">
        <f>Настройки!Q18</f>
        <v>0</v>
      </c>
      <c r="AG18" s="380" t="str">
        <f>Настройки!R18</f>
        <v>-</v>
      </c>
      <c r="AH18" s="380" t="str">
        <f>Настройки!S18</f>
        <v>-</v>
      </c>
      <c r="AI18" s="380" t="str">
        <f>Настройки!T18</f>
        <v>out16</v>
      </c>
      <c r="AJ18" s="380" t="str">
        <f>Настройки!U18</f>
        <v>out16</v>
      </c>
      <c r="AK18" s="380" t="str">
        <f>Настройки!V18</f>
        <v>-</v>
      </c>
      <c r="AL18" s="380" t="str">
        <f>Настройки!W18</f>
        <v>-</v>
      </c>
      <c r="AM18" s="380" t="str">
        <f>Настройки!X18</f>
        <v>-</v>
      </c>
      <c r="AN18" s="380" t="str">
        <f>Настройки!Y18</f>
        <v>-</v>
      </c>
      <c r="AO18" s="380" t="str">
        <f>Настройки!Z18</f>
        <v>-</v>
      </c>
      <c r="AP18" s="380" t="str">
        <f>Настройки!AA18</f>
        <v>Canal_17</v>
      </c>
      <c r="AQ18" s="380" t="str">
        <f>Настройки!AB18</f>
        <v>Canal_17</v>
      </c>
      <c r="AR18" s="380" t="str">
        <f>Настройки!AC18</f>
        <v>-</v>
      </c>
      <c r="AS18" s="380" t="str">
        <f>Настройки!AD18</f>
        <v>-</v>
      </c>
      <c r="AT18" s="207" t="str">
        <f>Настройки!AB18</f>
        <v>Canal_17</v>
      </c>
      <c r="AU18" s="207" t="str">
        <f>Настройки!AC18</f>
        <v>-</v>
      </c>
      <c r="AV18" s="207" t="str">
        <f>Настройки!AD18</f>
        <v>-</v>
      </c>
      <c r="AW18" s="207" t="str">
        <f>Настройки!AE18</f>
        <v>-</v>
      </c>
      <c r="AX18" s="207" t="str">
        <f>Настройки!AF18</f>
        <v>IDIG_5_1</v>
      </c>
      <c r="AY18" s="207" t="str">
        <f>Настройки!AG18</f>
        <v>Canal_17</v>
      </c>
      <c r="AZ18" s="207" t="str">
        <f>Настройки!AH18</f>
        <v>Canal_17</v>
      </c>
      <c r="BA18" s="207" t="str">
        <f>Настройки!AI18</f>
        <v>Canal_17</v>
      </c>
      <c r="BB18" s="207" t="str">
        <f>Настройки!AJ18</f>
        <v>-</v>
      </c>
      <c r="BC18" s="207" t="str">
        <f>Настройки!AK18</f>
        <v>-</v>
      </c>
      <c r="BD18" s="207" t="str">
        <f>Настройки!AL18</f>
        <v>Canal_17</v>
      </c>
      <c r="BE18" s="207" t="str">
        <f>Настройки!AM18</f>
        <v>-</v>
      </c>
    </row>
    <row r="19" spans="1:57">
      <c r="A19" s="473" t="str">
        <f>SUBSTITUTE($P$2,"\","|")&amp;"|"&amp;"DOOF"&amp; RIGHT($R$1,3)&amp;":="</f>
        <v>FB_OZK_KD_S|DOOF:=</v>
      </c>
      <c r="B19" s="474" t="str">
        <f>$G19&amp;"_"&amp;LEFT($Y$3,FIND("+",$Y$3,1)-1)</f>
        <v>MOPS_3</v>
      </c>
      <c r="C19" s="475"/>
      <c r="D19" s="446" t="s">
        <v>1861</v>
      </c>
      <c r="E19" s="475" t="str">
        <f ca="1">IF(OR($S$2=0,$I19="УДАЛИТЬ"),"УДАЛИТЬ","DVXX")</f>
        <v>DVXX</v>
      </c>
      <c r="F19" s="475" t="s">
        <v>845</v>
      </c>
      <c r="G19" s="476" t="str">
        <f>LEFT(Y$2,4)</f>
        <v>MOPS</v>
      </c>
      <c r="H19" s="476" t="str">
        <f>RIGHT(Y$3,LEN(Y$3)-FIND("+",Y$3,1))</f>
        <v>5</v>
      </c>
      <c r="I19" s="477" t="str">
        <f t="shared" ca="1" si="0"/>
        <v>IVXX[4]</v>
      </c>
      <c r="J19" s="1"/>
      <c r="M19" s="424" t="str">
        <f>'Конфигурация TREI'!A20</f>
        <v>BR18</v>
      </c>
      <c r="N19" s="461" t="str">
        <f>'Конфигурация TREI'!B20</f>
        <v>M558O</v>
      </c>
      <c r="AE19" s="428">
        <f>Настройки!P19</f>
        <v>18</v>
      </c>
      <c r="AF19" s="380">
        <f>Настройки!Q19</f>
        <v>0</v>
      </c>
      <c r="AG19" s="380" t="str">
        <f>Настройки!R19</f>
        <v>-</v>
      </c>
      <c r="AH19" s="380" t="str">
        <f>Настройки!S19</f>
        <v>-</v>
      </c>
      <c r="AI19" s="380" t="str">
        <f>Настройки!T19</f>
        <v>out17</v>
      </c>
      <c r="AJ19" s="380" t="str">
        <f>Настройки!U19</f>
        <v>out17</v>
      </c>
      <c r="AK19" s="380" t="str">
        <f>Настройки!V19</f>
        <v>-</v>
      </c>
      <c r="AL19" s="380" t="str">
        <f>Настройки!W19</f>
        <v>-</v>
      </c>
      <c r="AM19" s="380" t="str">
        <f>Настройки!X19</f>
        <v>-</v>
      </c>
      <c r="AN19" s="380" t="str">
        <f>Настройки!Y19</f>
        <v>-</v>
      </c>
      <c r="AO19" s="380" t="str">
        <f>Настройки!Z19</f>
        <v>-</v>
      </c>
      <c r="AP19" s="380" t="str">
        <f>Настройки!AA19</f>
        <v>Canal_18</v>
      </c>
      <c r="AQ19" s="380" t="str">
        <f>Настройки!AB19</f>
        <v>Canal_18</v>
      </c>
      <c r="AR19" s="380" t="str">
        <f>Настройки!AC19</f>
        <v>-</v>
      </c>
      <c r="AS19" s="380" t="str">
        <f>Настройки!AD19</f>
        <v>-</v>
      </c>
      <c r="AT19" s="207" t="str">
        <f>Настройки!AB19</f>
        <v>Canal_18</v>
      </c>
      <c r="AU19" s="207" t="str">
        <f>Настройки!AC19</f>
        <v>-</v>
      </c>
      <c r="AV19" s="207" t="str">
        <f>Настройки!AD19</f>
        <v>-</v>
      </c>
      <c r="AW19" s="207" t="str">
        <f>Настройки!AE19</f>
        <v>-</v>
      </c>
      <c r="AX19" s="207" t="str">
        <f>Настройки!AF19</f>
        <v>IDIG_5_2</v>
      </c>
      <c r="AY19" s="207" t="str">
        <f>Настройки!AG19</f>
        <v>Canal_18</v>
      </c>
      <c r="AZ19" s="207" t="str">
        <f>Настройки!AH19</f>
        <v>Canal_18</v>
      </c>
      <c r="BA19" s="207" t="str">
        <f>Настройки!AI19</f>
        <v>Canal_18</v>
      </c>
      <c r="BB19" s="207" t="str">
        <f>Настройки!AJ19</f>
        <v>-</v>
      </c>
      <c r="BC19" s="207" t="str">
        <f>Настройки!AK19</f>
        <v>-</v>
      </c>
      <c r="BD19" s="207" t="str">
        <f>Настройки!AL19</f>
        <v>Canal_18</v>
      </c>
      <c r="BE19" s="207" t="str">
        <f>Настройки!AM19</f>
        <v>-</v>
      </c>
    </row>
    <row r="20" spans="1:57">
      <c r="A20" s="82"/>
      <c r="B20" s="82"/>
      <c r="C20" s="81"/>
      <c r="D20" s="81"/>
      <c r="E20" s="81"/>
      <c r="F20" s="81"/>
      <c r="G20" s="445"/>
      <c r="H20" s="445"/>
      <c r="I20" s="460"/>
      <c r="J20" s="1"/>
      <c r="M20" s="424" t="str">
        <f>'Конфигурация TREI'!A21</f>
        <v>BR19</v>
      </c>
      <c r="N20" s="461" t="str">
        <f>'Конфигурация TREI'!B21</f>
        <v>M558O</v>
      </c>
      <c r="AE20" s="428">
        <f>Настройки!P20</f>
        <v>19</v>
      </c>
      <c r="AF20" s="380">
        <f>Настройки!Q20</f>
        <v>0</v>
      </c>
      <c r="AG20" s="380" t="str">
        <f>Настройки!R20</f>
        <v>-</v>
      </c>
      <c r="AH20" s="380" t="str">
        <f>Настройки!S20</f>
        <v>-</v>
      </c>
      <c r="AI20" s="380" t="str">
        <f>Настройки!T20</f>
        <v>out18</v>
      </c>
      <c r="AJ20" s="380" t="str">
        <f>Настройки!U20</f>
        <v>out18</v>
      </c>
      <c r="AK20" s="380" t="str">
        <f>Настройки!V20</f>
        <v>-</v>
      </c>
      <c r="AL20" s="380" t="str">
        <f>Настройки!W20</f>
        <v>-</v>
      </c>
      <c r="AM20" s="380" t="str">
        <f>Настройки!X20</f>
        <v>-</v>
      </c>
      <c r="AN20" s="380" t="str">
        <f>Настройки!Y20</f>
        <v>-</v>
      </c>
      <c r="AO20" s="380" t="str">
        <f>Настройки!Z20</f>
        <v>-</v>
      </c>
      <c r="AP20" s="380" t="str">
        <f>Настройки!AA20</f>
        <v>Canal_19</v>
      </c>
      <c r="AQ20" s="380" t="str">
        <f>Настройки!AB20</f>
        <v>Canal_19</v>
      </c>
      <c r="AR20" s="380" t="str">
        <f>Настройки!AC20</f>
        <v>-</v>
      </c>
      <c r="AS20" s="380" t="str">
        <f>Настройки!AD20</f>
        <v>-</v>
      </c>
      <c r="AT20" s="207" t="str">
        <f>Настройки!AB20</f>
        <v>Canal_19</v>
      </c>
      <c r="AU20" s="207" t="str">
        <f>Настройки!AC20</f>
        <v>-</v>
      </c>
      <c r="AV20" s="207" t="str">
        <f>Настройки!AD20</f>
        <v>-</v>
      </c>
      <c r="AW20" s="207" t="str">
        <f>Настройки!AE20</f>
        <v>-</v>
      </c>
      <c r="AX20" s="207" t="str">
        <f>Настройки!AF20</f>
        <v>IDIG_5_3</v>
      </c>
      <c r="AY20" s="207" t="str">
        <f>Настройки!AG20</f>
        <v>Canal_19</v>
      </c>
      <c r="AZ20" s="207" t="str">
        <f>Настройки!AH20</f>
        <v>Canal_19</v>
      </c>
      <c r="BA20" s="207" t="str">
        <f>Настройки!AI20</f>
        <v>Canal_19</v>
      </c>
      <c r="BB20" s="207" t="str">
        <f>Настройки!AJ20</f>
        <v>-</v>
      </c>
      <c r="BC20" s="207" t="str">
        <f>Настройки!AK20</f>
        <v>-</v>
      </c>
      <c r="BD20" s="207" t="str">
        <f>Настройки!AL20</f>
        <v>Canal_19</v>
      </c>
      <c r="BE20" s="207" t="str">
        <f>Настройки!AM20</f>
        <v>-</v>
      </c>
    </row>
    <row r="21" spans="1:57">
      <c r="A21" s="82"/>
      <c r="B21" s="82"/>
      <c r="C21" s="81"/>
      <c r="D21" s="81"/>
      <c r="E21" s="81"/>
      <c r="F21" s="81"/>
      <c r="G21" s="445"/>
      <c r="H21" s="445"/>
      <c r="I21" s="460"/>
      <c r="J21" s="1"/>
      <c r="M21" s="424" t="str">
        <f>'Конфигурация TREI'!A22</f>
        <v>BR20</v>
      </c>
      <c r="N21" s="461" t="str">
        <f>'Конфигурация TREI'!B22</f>
        <v>M558D</v>
      </c>
      <c r="AE21" s="428">
        <f>Настройки!P21</f>
        <v>20</v>
      </c>
      <c r="AF21" s="380">
        <f>Настройки!Q21</f>
        <v>0</v>
      </c>
      <c r="AG21" s="380" t="str">
        <f>Настройки!R21</f>
        <v>-</v>
      </c>
      <c r="AH21" s="380" t="str">
        <f>Настройки!S21</f>
        <v>-</v>
      </c>
      <c r="AI21" s="380" t="str">
        <f>Настройки!T21</f>
        <v>out19</v>
      </c>
      <c r="AJ21" s="380" t="str">
        <f>Настройки!U21</f>
        <v>out19</v>
      </c>
      <c r="AK21" s="380" t="str">
        <f>Настройки!V21</f>
        <v>-</v>
      </c>
      <c r="AL21" s="380" t="str">
        <f>Настройки!W21</f>
        <v>-</v>
      </c>
      <c r="AM21" s="380" t="str">
        <f>Настройки!X21</f>
        <v>-</v>
      </c>
      <c r="AN21" s="380" t="str">
        <f>Настройки!Y21</f>
        <v>-</v>
      </c>
      <c r="AO21" s="380" t="str">
        <f>Настройки!Z21</f>
        <v>-</v>
      </c>
      <c r="AP21" s="380" t="str">
        <f>Настройки!AA21</f>
        <v>Canal_20</v>
      </c>
      <c r="AQ21" s="380" t="str">
        <f>Настройки!AB21</f>
        <v>Canal_20</v>
      </c>
      <c r="AR21" s="380" t="str">
        <f>Настройки!AC21</f>
        <v>-</v>
      </c>
      <c r="AS21" s="380" t="str">
        <f>Настройки!AD21</f>
        <v>-</v>
      </c>
      <c r="AT21" s="207" t="str">
        <f>Настройки!AB21</f>
        <v>Canal_20</v>
      </c>
      <c r="AU21" s="207" t="str">
        <f>Настройки!AC21</f>
        <v>-</v>
      </c>
      <c r="AV21" s="207" t="str">
        <f>Настройки!AD21</f>
        <v>-</v>
      </c>
      <c r="AW21" s="207" t="str">
        <f>Настройки!AE21</f>
        <v>-</v>
      </c>
      <c r="AX21" s="207" t="str">
        <f>Настройки!AF21</f>
        <v>IDIG_5_4</v>
      </c>
      <c r="AY21" s="207" t="str">
        <f>Настройки!AG21</f>
        <v>Canal_20</v>
      </c>
      <c r="AZ21" s="207" t="str">
        <f>Настройки!AH21</f>
        <v>Canal_20</v>
      </c>
      <c r="BA21" s="207" t="str">
        <f>Настройки!AI21</f>
        <v>Canal_20</v>
      </c>
      <c r="BB21" s="207" t="str">
        <f>Настройки!AJ21</f>
        <v>-</v>
      </c>
      <c r="BC21" s="207" t="str">
        <f>Настройки!AK21</f>
        <v>-</v>
      </c>
      <c r="BD21" s="207" t="str">
        <f>Настройки!AL21</f>
        <v>Canal_20</v>
      </c>
      <c r="BE21" s="207" t="str">
        <f>Настройки!AM21</f>
        <v>-</v>
      </c>
    </row>
    <row r="22" spans="1:57">
      <c r="A22" s="82"/>
      <c r="B22" s="82"/>
      <c r="C22" s="81"/>
      <c r="D22" s="81"/>
      <c r="E22" s="81"/>
      <c r="F22" s="81"/>
      <c r="G22" s="445"/>
      <c r="H22" s="445"/>
      <c r="I22" s="460"/>
      <c r="J22" s="1"/>
      <c r="M22" s="424" t="str">
        <f>'Конфигурация TREI'!A23</f>
        <v>BR21</v>
      </c>
      <c r="N22" s="461" t="str">
        <f>'Конфигурация TREI'!B23</f>
        <v>M558O</v>
      </c>
      <c r="AE22" s="428">
        <f>Настройки!P22</f>
        <v>21</v>
      </c>
      <c r="AF22" s="380">
        <f>Настройки!Q22</f>
        <v>0</v>
      </c>
      <c r="AG22" s="380" t="str">
        <f>Настройки!R22</f>
        <v>-</v>
      </c>
      <c r="AH22" s="380" t="str">
        <f>Настройки!S22</f>
        <v>-</v>
      </c>
      <c r="AI22" s="380" t="str">
        <f>Настройки!T22</f>
        <v>out20</v>
      </c>
      <c r="AJ22" s="380" t="str">
        <f>Настройки!U22</f>
        <v>out20</v>
      </c>
      <c r="AK22" s="380" t="str">
        <f>Настройки!V22</f>
        <v>-</v>
      </c>
      <c r="AL22" s="380" t="str">
        <f>Настройки!W22</f>
        <v>-</v>
      </c>
      <c r="AM22" s="380" t="str">
        <f>Настройки!X22</f>
        <v>-</v>
      </c>
      <c r="AN22" s="380" t="str">
        <f>Настройки!Y22</f>
        <v>-</v>
      </c>
      <c r="AO22" s="380" t="str">
        <f>Настройки!Z22</f>
        <v>-</v>
      </c>
      <c r="AP22" s="380" t="str">
        <f>Настройки!AA22</f>
        <v>Canal_21</v>
      </c>
      <c r="AQ22" s="380" t="str">
        <f>Настройки!AB22</f>
        <v>Canal_21</v>
      </c>
      <c r="AR22" s="380" t="str">
        <f>Настройки!AC22</f>
        <v>-</v>
      </c>
      <c r="AS22" s="380" t="str">
        <f>Настройки!AD22</f>
        <v>-</v>
      </c>
      <c r="AT22" s="207" t="str">
        <f>Настройки!AB22</f>
        <v>Canal_21</v>
      </c>
      <c r="AU22" s="207" t="str">
        <f>Настройки!AC22</f>
        <v>-</v>
      </c>
      <c r="AV22" s="207" t="str">
        <f>Настройки!AD22</f>
        <v>-</v>
      </c>
      <c r="AW22" s="207" t="str">
        <f>Настройки!AE22</f>
        <v>-</v>
      </c>
      <c r="AX22" s="207" t="str">
        <f>Настройки!AF22</f>
        <v>IDIG_6_1</v>
      </c>
      <c r="AY22" s="207" t="str">
        <f>Настройки!AG22</f>
        <v>Canal_21</v>
      </c>
      <c r="AZ22" s="207" t="str">
        <f>Настройки!AH22</f>
        <v>Canal_21</v>
      </c>
      <c r="BA22" s="207" t="str">
        <f>Настройки!AI22</f>
        <v>Canal_21</v>
      </c>
      <c r="BB22" s="207" t="str">
        <f>Настройки!AJ22</f>
        <v>-</v>
      </c>
      <c r="BC22" s="207" t="str">
        <f>Настройки!AK22</f>
        <v>-</v>
      </c>
      <c r="BD22" s="207" t="str">
        <f>Настройки!AL22</f>
        <v>Canal_21</v>
      </c>
      <c r="BE22" s="207" t="str">
        <f>Настройки!AM22</f>
        <v>-</v>
      </c>
    </row>
    <row r="23" spans="1:57">
      <c r="A23" s="82"/>
      <c r="B23" s="82"/>
      <c r="C23" s="81"/>
      <c r="D23" s="81"/>
      <c r="E23" s="81"/>
      <c r="F23" s="81"/>
      <c r="G23" s="445"/>
      <c r="H23" s="445"/>
      <c r="I23" s="460"/>
      <c r="J23" s="1"/>
      <c r="M23" s="424" t="str">
        <f>'Конфигурация TREI'!A24</f>
        <v>BR22</v>
      </c>
      <c r="N23" s="461" t="str">
        <f>'Конфигурация TREI'!B24</f>
        <v>M558D</v>
      </c>
      <c r="AE23" s="428">
        <f>Настройки!P23</f>
        <v>22</v>
      </c>
      <c r="AF23" s="380">
        <f>Настройки!Q23</f>
        <v>0</v>
      </c>
      <c r="AG23" s="380" t="str">
        <f>Настройки!R23</f>
        <v>-</v>
      </c>
      <c r="AH23" s="380" t="str">
        <f>Настройки!S23</f>
        <v>-</v>
      </c>
      <c r="AI23" s="380" t="str">
        <f>Настройки!T23</f>
        <v>out21</v>
      </c>
      <c r="AJ23" s="380" t="str">
        <f>Настройки!U23</f>
        <v>out21</v>
      </c>
      <c r="AK23" s="380" t="str">
        <f>Настройки!V23</f>
        <v>-</v>
      </c>
      <c r="AL23" s="380" t="str">
        <f>Настройки!W23</f>
        <v>-</v>
      </c>
      <c r="AM23" s="380" t="str">
        <f>Настройки!X23</f>
        <v>-</v>
      </c>
      <c r="AN23" s="380" t="str">
        <f>Настройки!Y23</f>
        <v>-</v>
      </c>
      <c r="AO23" s="380" t="str">
        <f>Настройки!Z23</f>
        <v>-</v>
      </c>
      <c r="AP23" s="380" t="str">
        <f>Настройки!AA23</f>
        <v>Canal_22</v>
      </c>
      <c r="AQ23" s="380" t="str">
        <f>Настройки!AB23</f>
        <v>Canal_22</v>
      </c>
      <c r="AR23" s="380" t="str">
        <f>Настройки!AC23</f>
        <v>-</v>
      </c>
      <c r="AS23" s="380" t="str">
        <f>Настройки!AD23</f>
        <v>-</v>
      </c>
      <c r="AT23" s="207" t="str">
        <f>Настройки!AB23</f>
        <v>Canal_22</v>
      </c>
      <c r="AU23" s="207" t="str">
        <f>Настройки!AC23</f>
        <v>-</v>
      </c>
      <c r="AV23" s="207" t="str">
        <f>Настройки!AD23</f>
        <v>-</v>
      </c>
      <c r="AW23" s="207" t="str">
        <f>Настройки!AE23</f>
        <v>-</v>
      </c>
      <c r="AX23" s="207" t="str">
        <f>Настройки!AF23</f>
        <v>IDIG_6_2</v>
      </c>
      <c r="AY23" s="207" t="str">
        <f>Настройки!AG23</f>
        <v>Canal_22</v>
      </c>
      <c r="AZ23" s="207" t="str">
        <f>Настройки!AH23</f>
        <v>Canal_22</v>
      </c>
      <c r="BA23" s="207" t="str">
        <f>Настройки!AI23</f>
        <v>Canal_22</v>
      </c>
      <c r="BB23" s="207" t="str">
        <f>Настройки!AJ23</f>
        <v>-</v>
      </c>
      <c r="BC23" s="207" t="str">
        <f>Настройки!AK23</f>
        <v>-</v>
      </c>
      <c r="BD23" s="207" t="str">
        <f>Настройки!AL23</f>
        <v>Canal_22</v>
      </c>
      <c r="BE23" s="207" t="str">
        <f>Настройки!AM23</f>
        <v>-</v>
      </c>
    </row>
    <row r="24" spans="1:57">
      <c r="A24" s="82"/>
      <c r="B24" s="82"/>
      <c r="C24" s="81"/>
      <c r="D24" s="81"/>
      <c r="E24" s="81"/>
      <c r="F24" s="81"/>
      <c r="G24" s="445"/>
      <c r="H24" s="445"/>
      <c r="I24" s="460"/>
      <c r="J24" s="1"/>
      <c r="M24" s="424" t="str">
        <f>'Конфигурация TREI'!A25</f>
        <v>BR23</v>
      </c>
      <c r="N24" s="461" t="str">
        <f>'Конфигурация TREI'!B25</f>
        <v>M558O</v>
      </c>
      <c r="AE24" s="428">
        <f>Настройки!P24</f>
        <v>23</v>
      </c>
      <c r="AF24" s="380">
        <f>Настройки!Q24</f>
        <v>0</v>
      </c>
      <c r="AG24" s="380" t="str">
        <f>Настройки!R24</f>
        <v>-</v>
      </c>
      <c r="AH24" s="380" t="str">
        <f>Настройки!S24</f>
        <v>-</v>
      </c>
      <c r="AI24" s="380" t="str">
        <f>Настройки!T24</f>
        <v>out22</v>
      </c>
      <c r="AJ24" s="380" t="str">
        <f>Настройки!U24</f>
        <v>out22</v>
      </c>
      <c r="AK24" s="380" t="str">
        <f>Настройки!V24</f>
        <v>-</v>
      </c>
      <c r="AL24" s="380" t="str">
        <f>Настройки!W24</f>
        <v>-</v>
      </c>
      <c r="AM24" s="380" t="str">
        <f>Настройки!X24</f>
        <v>-</v>
      </c>
      <c r="AN24" s="380" t="str">
        <f>Настройки!Y24</f>
        <v>-</v>
      </c>
      <c r="AO24" s="380" t="str">
        <f>Настройки!Z24</f>
        <v>-</v>
      </c>
      <c r="AP24" s="380" t="str">
        <f>Настройки!AA24</f>
        <v>Canal_23</v>
      </c>
      <c r="AQ24" s="380" t="str">
        <f>Настройки!AB24</f>
        <v>Canal_23</v>
      </c>
      <c r="AR24" s="380" t="str">
        <f>Настройки!AC24</f>
        <v>-</v>
      </c>
      <c r="AS24" s="380" t="str">
        <f>Настройки!AD24</f>
        <v>-</v>
      </c>
      <c r="AT24" s="207" t="str">
        <f>Настройки!AB24</f>
        <v>Canal_23</v>
      </c>
      <c r="AU24" s="207" t="str">
        <f>Настройки!AC24</f>
        <v>-</v>
      </c>
      <c r="AV24" s="207" t="str">
        <f>Настройки!AD24</f>
        <v>-</v>
      </c>
      <c r="AW24" s="207" t="str">
        <f>Настройки!AE24</f>
        <v>-</v>
      </c>
      <c r="AX24" s="207" t="str">
        <f>Настройки!AF24</f>
        <v>IDIG_6_3</v>
      </c>
      <c r="AY24" s="207" t="str">
        <f>Настройки!AG24</f>
        <v>Canal_23</v>
      </c>
      <c r="AZ24" s="207" t="str">
        <f>Настройки!AH24</f>
        <v>Canal_23</v>
      </c>
      <c r="BA24" s="207" t="str">
        <f>Настройки!AI24</f>
        <v>Canal_23</v>
      </c>
      <c r="BB24" s="207" t="str">
        <f>Настройки!AJ24</f>
        <v>-</v>
      </c>
      <c r="BC24" s="207" t="str">
        <f>Настройки!AK24</f>
        <v>-</v>
      </c>
      <c r="BD24" s="207" t="str">
        <f>Настройки!AL24</f>
        <v>Canal_23</v>
      </c>
      <c r="BE24" s="207" t="str">
        <f>Настройки!AM24</f>
        <v>-</v>
      </c>
    </row>
    <row r="25" spans="1:57">
      <c r="A25" s="82"/>
      <c r="B25" s="82"/>
      <c r="C25" s="81"/>
      <c r="D25" s="81"/>
      <c r="E25" s="81"/>
      <c r="F25" s="81"/>
      <c r="G25" s="445"/>
      <c r="H25" s="445"/>
      <c r="I25" s="460"/>
      <c r="J25" s="1"/>
      <c r="M25" s="424" t="str">
        <f>'Конфигурация TREI'!A26</f>
        <v>BR24</v>
      </c>
      <c r="N25" s="461" t="str">
        <f>'Конфигурация TREI'!B26</f>
        <v>M558D</v>
      </c>
      <c r="AE25" s="428">
        <f>Настройки!P25</f>
        <v>24</v>
      </c>
      <c r="AF25" s="380">
        <f>Настройки!Q25</f>
        <v>0</v>
      </c>
      <c r="AG25" s="380" t="str">
        <f>Настройки!R25</f>
        <v>-</v>
      </c>
      <c r="AH25" s="380" t="str">
        <f>Настройки!S25</f>
        <v>-</v>
      </c>
      <c r="AI25" s="380" t="str">
        <f>Настройки!T25</f>
        <v>out23</v>
      </c>
      <c r="AJ25" s="380" t="str">
        <f>Настройки!U25</f>
        <v>out23</v>
      </c>
      <c r="AK25" s="380" t="str">
        <f>Настройки!V25</f>
        <v>-</v>
      </c>
      <c r="AL25" s="380" t="str">
        <f>Настройки!W25</f>
        <v>-</v>
      </c>
      <c r="AM25" s="380" t="str">
        <f>Настройки!X25</f>
        <v>-</v>
      </c>
      <c r="AN25" s="380" t="str">
        <f>Настройки!Y25</f>
        <v>-</v>
      </c>
      <c r="AO25" s="380" t="str">
        <f>Настройки!Z25</f>
        <v>-</v>
      </c>
      <c r="AP25" s="380" t="str">
        <f>Настройки!AA25</f>
        <v>Canal_24</v>
      </c>
      <c r="AQ25" s="380" t="str">
        <f>Настройки!AB25</f>
        <v>Canal_24</v>
      </c>
      <c r="AR25" s="380" t="str">
        <f>Настройки!AC25</f>
        <v>-</v>
      </c>
      <c r="AS25" s="380" t="str">
        <f>Настройки!AD25</f>
        <v>-</v>
      </c>
      <c r="AT25" s="207" t="str">
        <f>Настройки!AB25</f>
        <v>Canal_24</v>
      </c>
      <c r="AU25" s="207" t="str">
        <f>Настройки!AC25</f>
        <v>-</v>
      </c>
      <c r="AV25" s="207" t="str">
        <f>Настройки!AD25</f>
        <v>-</v>
      </c>
      <c r="AW25" s="207" t="str">
        <f>Настройки!AE25</f>
        <v>-</v>
      </c>
      <c r="AX25" s="207" t="str">
        <f>Настройки!AF25</f>
        <v>IDIG_6_4</v>
      </c>
      <c r="AY25" s="207" t="str">
        <f>Настройки!AG25</f>
        <v>Canal_24</v>
      </c>
      <c r="AZ25" s="207" t="str">
        <f>Настройки!AH25</f>
        <v>Canal_24</v>
      </c>
      <c r="BA25" s="207" t="str">
        <f>Настройки!AI25</f>
        <v>Canal_24</v>
      </c>
      <c r="BB25" s="207" t="str">
        <f>Настройки!AJ25</f>
        <v>-</v>
      </c>
      <c r="BC25" s="207" t="str">
        <f>Настройки!AK25</f>
        <v>-</v>
      </c>
      <c r="BD25" s="207" t="str">
        <f>Настройки!AL25</f>
        <v>Canal_24</v>
      </c>
      <c r="BE25" s="207" t="str">
        <f>Настройки!AM25</f>
        <v>-</v>
      </c>
    </row>
    <row r="26" spans="1:57">
      <c r="A26" s="82"/>
      <c r="B26" s="82"/>
      <c r="C26" s="11"/>
      <c r="D26" s="81"/>
      <c r="E26" s="81"/>
      <c r="F26" s="81"/>
      <c r="G26" s="445"/>
      <c r="H26" s="445"/>
      <c r="I26" s="459"/>
      <c r="J26" s="1"/>
      <c r="M26" s="424" t="str">
        <f>'Конфигурация TREI'!A27</f>
        <v>BR25</v>
      </c>
      <c r="N26" s="461" t="str">
        <f>'Конфигурация TREI'!B27</f>
        <v>M558D</v>
      </c>
      <c r="AE26" s="428">
        <f>Настройки!P26</f>
        <v>25</v>
      </c>
      <c r="AF26" s="380">
        <f>Настройки!Q26</f>
        <v>0</v>
      </c>
      <c r="AG26" s="380" t="str">
        <f>Настройки!R26</f>
        <v>-</v>
      </c>
      <c r="AH26" s="380" t="str">
        <f>Настройки!S26</f>
        <v>-</v>
      </c>
      <c r="AI26" s="380" t="str">
        <f>Настройки!T26</f>
        <v>out24</v>
      </c>
      <c r="AJ26" s="380" t="str">
        <f>Настройки!U26</f>
        <v>out24</v>
      </c>
      <c r="AK26" s="380" t="str">
        <f>Настройки!V26</f>
        <v>-</v>
      </c>
      <c r="AL26" s="380" t="str">
        <f>Настройки!W26</f>
        <v>-</v>
      </c>
      <c r="AM26" s="380" t="str">
        <f>Настройки!X26</f>
        <v>-</v>
      </c>
      <c r="AN26" s="380" t="str">
        <f>Настройки!Y26</f>
        <v>-</v>
      </c>
      <c r="AO26" s="380" t="str">
        <f>Настройки!Z26</f>
        <v>-</v>
      </c>
      <c r="AP26" s="380" t="str">
        <f>Настройки!AA26</f>
        <v>Canal_25</v>
      </c>
      <c r="AQ26" s="380" t="str">
        <f>Настройки!AB26</f>
        <v>Canal_25</v>
      </c>
      <c r="AR26" s="380" t="str">
        <f>Настройки!AC26</f>
        <v>-</v>
      </c>
      <c r="AS26" s="380" t="str">
        <f>Настройки!AD26</f>
        <v>-</v>
      </c>
      <c r="AT26" s="207" t="str">
        <f>Настройки!AB26</f>
        <v>Canal_25</v>
      </c>
      <c r="AU26" s="207" t="str">
        <f>Настройки!AC26</f>
        <v>-</v>
      </c>
      <c r="AV26" s="207" t="str">
        <f>Настройки!AD26</f>
        <v>-</v>
      </c>
      <c r="AW26" s="207" t="str">
        <f>Настройки!AE26</f>
        <v>-</v>
      </c>
      <c r="AX26" s="207" t="str">
        <f>Настройки!AF26</f>
        <v>IDIG_7_1</v>
      </c>
      <c r="AY26" s="207" t="str">
        <f>Настройки!AG26</f>
        <v>Canal_25</v>
      </c>
      <c r="AZ26" s="207" t="str">
        <f>Настройки!AH26</f>
        <v>Canal_25</v>
      </c>
      <c r="BA26" s="207" t="str">
        <f>Настройки!AI26</f>
        <v>Canal_25</v>
      </c>
      <c r="BB26" s="207" t="str">
        <f>Настройки!AJ26</f>
        <v>-</v>
      </c>
      <c r="BC26" s="207" t="str">
        <f>Настройки!AK26</f>
        <v>-</v>
      </c>
      <c r="BD26" s="207" t="str">
        <f>Настройки!AL26</f>
        <v>Canal_25</v>
      </c>
      <c r="BE26" s="207" t="str">
        <f>Настройки!AM26</f>
        <v>-</v>
      </c>
    </row>
    <row r="27" spans="1:57">
      <c r="A27" s="82"/>
      <c r="B27" s="82"/>
      <c r="C27" s="11"/>
      <c r="D27" s="81"/>
      <c r="E27" s="81"/>
      <c r="F27" s="81"/>
      <c r="G27" s="445"/>
      <c r="H27" s="445"/>
      <c r="I27" s="459"/>
      <c r="J27" s="1"/>
      <c r="M27" s="424" t="str">
        <f>'Конфигурация TREI'!A28</f>
        <v>BR26</v>
      </c>
      <c r="N27" s="461" t="str">
        <f>'Конфигурация TREI'!B28</f>
        <v>M558D</v>
      </c>
      <c r="AE27" s="428">
        <f>Настройки!P27</f>
        <v>26</v>
      </c>
      <c r="AF27" s="380">
        <f>Настройки!Q27</f>
        <v>0</v>
      </c>
      <c r="AG27" s="380" t="str">
        <f>Настройки!R27</f>
        <v>-</v>
      </c>
      <c r="AH27" s="380" t="str">
        <f>Настройки!S27</f>
        <v>-</v>
      </c>
      <c r="AI27" s="380" t="str">
        <f>Настройки!T27</f>
        <v>out25</v>
      </c>
      <c r="AJ27" s="380" t="str">
        <f>Настройки!U27</f>
        <v>out25</v>
      </c>
      <c r="AK27" s="380" t="str">
        <f>Настройки!V27</f>
        <v>-</v>
      </c>
      <c r="AL27" s="380" t="str">
        <f>Настройки!W27</f>
        <v>-</v>
      </c>
      <c r="AM27" s="380" t="str">
        <f>Настройки!X27</f>
        <v>-</v>
      </c>
      <c r="AN27" s="380" t="str">
        <f>Настройки!Y27</f>
        <v>-</v>
      </c>
      <c r="AO27" s="380" t="str">
        <f>Настройки!Z27</f>
        <v>-</v>
      </c>
      <c r="AP27" s="380" t="str">
        <f>Настройки!AA27</f>
        <v>Canal_26</v>
      </c>
      <c r="AQ27" s="380" t="str">
        <f>Настройки!AB27</f>
        <v>Canal_26</v>
      </c>
      <c r="AR27" s="380" t="str">
        <f>Настройки!AC27</f>
        <v>-</v>
      </c>
      <c r="AS27" s="380" t="str">
        <f>Настройки!AD27</f>
        <v>-</v>
      </c>
      <c r="AT27" s="207" t="str">
        <f>Настройки!AB27</f>
        <v>Canal_26</v>
      </c>
      <c r="AU27" s="207" t="str">
        <f>Настройки!AC27</f>
        <v>-</v>
      </c>
      <c r="AV27" s="207" t="str">
        <f>Настройки!AD27</f>
        <v>-</v>
      </c>
      <c r="AW27" s="207" t="str">
        <f>Настройки!AE27</f>
        <v>-</v>
      </c>
      <c r="AX27" s="207" t="str">
        <f>Настройки!AF27</f>
        <v>IDIG_7_2</v>
      </c>
      <c r="AY27" s="207" t="str">
        <f>Настройки!AG27</f>
        <v>Canal_26</v>
      </c>
      <c r="AZ27" s="207" t="str">
        <f>Настройки!AH27</f>
        <v>Canal_26</v>
      </c>
      <c r="BA27" s="207" t="str">
        <f>Настройки!AI27</f>
        <v>Canal_26</v>
      </c>
      <c r="BB27" s="207" t="str">
        <f>Настройки!AJ27</f>
        <v>-</v>
      </c>
      <c r="BC27" s="207" t="str">
        <f>Настройки!AK27</f>
        <v>-</v>
      </c>
      <c r="BD27" s="207" t="str">
        <f>Настройки!AL27</f>
        <v>Canal_26</v>
      </c>
      <c r="BE27" s="207" t="str">
        <f>Настройки!AM27</f>
        <v>-</v>
      </c>
    </row>
    <row r="28" spans="1:57">
      <c r="A28" s="82"/>
      <c r="B28" s="82"/>
      <c r="C28" s="11"/>
      <c r="D28" s="81"/>
      <c r="E28" s="81"/>
      <c r="F28" s="81"/>
      <c r="G28" s="445"/>
      <c r="H28" s="445"/>
      <c r="I28" s="459"/>
      <c r="J28" s="1"/>
      <c r="M28" s="424" t="str">
        <f>'Конфигурация TREI'!A29</f>
        <v>BR27</v>
      </c>
      <c r="N28" s="461" t="str">
        <f>'Конфигурация TREI'!B29</f>
        <v>M558D</v>
      </c>
      <c r="AE28" s="428">
        <f>Настройки!P28</f>
        <v>27</v>
      </c>
      <c r="AF28" s="380">
        <f>Настройки!Q28</f>
        <v>0</v>
      </c>
      <c r="AG28" s="380" t="str">
        <f>Настройки!R28</f>
        <v>-</v>
      </c>
      <c r="AH28" s="380" t="str">
        <f>Настройки!S28</f>
        <v>-</v>
      </c>
      <c r="AI28" s="380" t="str">
        <f>Настройки!T28</f>
        <v>out26</v>
      </c>
      <c r="AJ28" s="380" t="str">
        <f>Настройки!U28</f>
        <v>out26</v>
      </c>
      <c r="AK28" s="380" t="str">
        <f>Настройки!V28</f>
        <v>-</v>
      </c>
      <c r="AL28" s="380" t="str">
        <f>Настройки!W28</f>
        <v>-</v>
      </c>
      <c r="AM28" s="380" t="str">
        <f>Настройки!X28</f>
        <v>-</v>
      </c>
      <c r="AN28" s="380" t="str">
        <f>Настройки!Y28</f>
        <v>-</v>
      </c>
      <c r="AO28" s="380" t="str">
        <f>Настройки!Z28</f>
        <v>-</v>
      </c>
      <c r="AP28" s="380" t="str">
        <f>Настройки!AA28</f>
        <v>Canal_27</v>
      </c>
      <c r="AQ28" s="380" t="str">
        <f>Настройки!AB28</f>
        <v>Canal_27</v>
      </c>
      <c r="AR28" s="380" t="str">
        <f>Настройки!AC28</f>
        <v>-</v>
      </c>
      <c r="AS28" s="380" t="str">
        <f>Настройки!AD28</f>
        <v>-</v>
      </c>
      <c r="AT28" s="207" t="str">
        <f>Настройки!AB28</f>
        <v>Canal_27</v>
      </c>
      <c r="AU28" s="207" t="str">
        <f>Настройки!AC28</f>
        <v>-</v>
      </c>
      <c r="AV28" s="207" t="str">
        <f>Настройки!AD28</f>
        <v>-</v>
      </c>
      <c r="AW28" s="207" t="str">
        <f>Настройки!AE28</f>
        <v>-</v>
      </c>
      <c r="AX28" s="207" t="str">
        <f>Настройки!AF28</f>
        <v>IDIG_7_3</v>
      </c>
      <c r="AY28" s="207" t="str">
        <f>Настройки!AG28</f>
        <v>Canal_27</v>
      </c>
      <c r="AZ28" s="207" t="str">
        <f>Настройки!AH28</f>
        <v>Canal_27</v>
      </c>
      <c r="BA28" s="207" t="str">
        <f>Настройки!AI28</f>
        <v>Canal_27</v>
      </c>
      <c r="BB28" s="207" t="str">
        <f>Настройки!AJ28</f>
        <v>-</v>
      </c>
      <c r="BC28" s="207" t="str">
        <f>Настройки!AK28</f>
        <v>-</v>
      </c>
      <c r="BD28" s="207" t="str">
        <f>Настройки!AL28</f>
        <v>Canal_27</v>
      </c>
      <c r="BE28" s="207" t="str">
        <f>Настройки!AM28</f>
        <v>-</v>
      </c>
    </row>
    <row r="29" spans="1:57">
      <c r="A29" s="82"/>
      <c r="B29" s="82"/>
      <c r="C29" s="11"/>
      <c r="D29" s="81"/>
      <c r="E29" s="81"/>
      <c r="F29" s="81"/>
      <c r="G29" s="445"/>
      <c r="H29" s="445"/>
      <c r="I29" s="459"/>
      <c r="J29" s="1"/>
      <c r="M29" s="424" t="str">
        <f>'Конфигурация TREI'!A30</f>
        <v>BR28</v>
      </c>
      <c r="N29" s="461" t="str">
        <f>'Конфигурация TREI'!B30</f>
        <v>M558D</v>
      </c>
      <c r="AE29" s="428">
        <f>Настройки!P29</f>
        <v>28</v>
      </c>
      <c r="AF29" s="380">
        <f>Настройки!Q29</f>
        <v>0</v>
      </c>
      <c r="AG29" s="380" t="str">
        <f>Настройки!R29</f>
        <v>-</v>
      </c>
      <c r="AH29" s="380" t="str">
        <f>Настройки!S29</f>
        <v>-</v>
      </c>
      <c r="AI29" s="380" t="str">
        <f>Настройки!T29</f>
        <v>out27</v>
      </c>
      <c r="AJ29" s="380" t="str">
        <f>Настройки!U29</f>
        <v>out27</v>
      </c>
      <c r="AK29" s="380" t="str">
        <f>Настройки!V29</f>
        <v>-</v>
      </c>
      <c r="AL29" s="380" t="str">
        <f>Настройки!W29</f>
        <v>-</v>
      </c>
      <c r="AM29" s="380" t="str">
        <f>Настройки!X29</f>
        <v>-</v>
      </c>
      <c r="AN29" s="380" t="str">
        <f>Настройки!Y29</f>
        <v>-</v>
      </c>
      <c r="AO29" s="380" t="str">
        <f>Настройки!Z29</f>
        <v>-</v>
      </c>
      <c r="AP29" s="380" t="str">
        <f>Настройки!AA29</f>
        <v>Canal_28</v>
      </c>
      <c r="AQ29" s="380" t="str">
        <f>Настройки!AB29</f>
        <v>Canal_28</v>
      </c>
      <c r="AR29" s="380" t="str">
        <f>Настройки!AC29</f>
        <v>-</v>
      </c>
      <c r="AS29" s="380" t="str">
        <f>Настройки!AD29</f>
        <v>-</v>
      </c>
      <c r="AT29" s="207" t="str">
        <f>Настройки!AB29</f>
        <v>Canal_28</v>
      </c>
      <c r="AU29" s="207" t="str">
        <f>Настройки!AC29</f>
        <v>-</v>
      </c>
      <c r="AV29" s="207" t="str">
        <f>Настройки!AD29</f>
        <v>-</v>
      </c>
      <c r="AW29" s="207" t="str">
        <f>Настройки!AE29</f>
        <v>-</v>
      </c>
      <c r="AX29" s="207" t="str">
        <f>Настройки!AF29</f>
        <v>IDIG_7_4</v>
      </c>
      <c r="AY29" s="207" t="str">
        <f>Настройки!AG29</f>
        <v>Canal_28</v>
      </c>
      <c r="AZ29" s="207" t="str">
        <f>Настройки!AH29</f>
        <v>Canal_28</v>
      </c>
      <c r="BA29" s="207" t="str">
        <f>Настройки!AI29</f>
        <v>Canal_28</v>
      </c>
      <c r="BB29" s="207" t="str">
        <f>Настройки!AJ29</f>
        <v>-</v>
      </c>
      <c r="BC29" s="207" t="str">
        <f>Настройки!AK29</f>
        <v>-</v>
      </c>
      <c r="BD29" s="207" t="str">
        <f>Настройки!AL29</f>
        <v>Canal_28</v>
      </c>
      <c r="BE29" s="207" t="str">
        <f>Настройки!AM29</f>
        <v>-</v>
      </c>
    </row>
    <row r="30" spans="1:57">
      <c r="A30" s="11"/>
      <c r="B30" s="11"/>
      <c r="C30" s="11"/>
      <c r="D30" s="11"/>
      <c r="E30" s="11"/>
      <c r="F30" s="11"/>
      <c r="G30" s="11"/>
      <c r="H30" s="11"/>
      <c r="I30" s="459"/>
      <c r="J30" s="1"/>
      <c r="M30" s="424" t="str">
        <f>'Конфигурация TREI'!A31</f>
        <v>BR29</v>
      </c>
      <c r="N30" s="461" t="str">
        <f>'Конфигурация TREI'!B31</f>
        <v>M558O</v>
      </c>
      <c r="AE30" s="428">
        <f>Настройки!P30</f>
        <v>29</v>
      </c>
      <c r="AF30" s="380">
        <f>Настройки!Q30</f>
        <v>0</v>
      </c>
      <c r="AG30" s="380" t="str">
        <f>Настройки!R30</f>
        <v>-</v>
      </c>
      <c r="AH30" s="380" t="str">
        <f>Настройки!S30</f>
        <v>-</v>
      </c>
      <c r="AI30" s="380" t="str">
        <f>Настройки!T30</f>
        <v>out28</v>
      </c>
      <c r="AJ30" s="380" t="str">
        <f>Настройки!U30</f>
        <v>out28</v>
      </c>
      <c r="AK30" s="380" t="str">
        <f>Настройки!V30</f>
        <v>-</v>
      </c>
      <c r="AL30" s="380" t="str">
        <f>Настройки!W30</f>
        <v>-</v>
      </c>
      <c r="AM30" s="380" t="str">
        <f>Настройки!X30</f>
        <v>-</v>
      </c>
      <c r="AN30" s="380" t="str">
        <f>Настройки!Y30</f>
        <v>-</v>
      </c>
      <c r="AO30" s="380" t="str">
        <f>Настройки!Z30</f>
        <v>-</v>
      </c>
      <c r="AP30" s="380" t="str">
        <f>Настройки!AA30</f>
        <v>Canal_29</v>
      </c>
      <c r="AQ30" s="380" t="str">
        <f>Настройки!AB30</f>
        <v>Canal_29</v>
      </c>
      <c r="AR30" s="380" t="str">
        <f>Настройки!AC30</f>
        <v>-</v>
      </c>
      <c r="AS30" s="380" t="str">
        <f>Настройки!AD30</f>
        <v>-</v>
      </c>
      <c r="AT30" s="207" t="str">
        <f>Настройки!AB30</f>
        <v>Canal_29</v>
      </c>
      <c r="AU30" s="207" t="str">
        <f>Настройки!AC30</f>
        <v>-</v>
      </c>
      <c r="AV30" s="207" t="str">
        <f>Настройки!AD30</f>
        <v>-</v>
      </c>
      <c r="AW30" s="207" t="str">
        <f>Настройки!AE30</f>
        <v>-</v>
      </c>
      <c r="AX30" s="207" t="str">
        <f>Настройки!AF30</f>
        <v>IDIG_8_1</v>
      </c>
      <c r="AY30" s="207" t="str">
        <f>Настройки!AG30</f>
        <v>Canal_29</v>
      </c>
      <c r="AZ30" s="207" t="str">
        <f>Настройки!AH30</f>
        <v>Canal_29</v>
      </c>
      <c r="BA30" s="207" t="str">
        <f>Настройки!AI30</f>
        <v>Canal_29</v>
      </c>
      <c r="BB30" s="207" t="str">
        <f>Настройки!AJ30</f>
        <v>-</v>
      </c>
      <c r="BC30" s="207" t="str">
        <f>Настройки!AK30</f>
        <v>-</v>
      </c>
      <c r="BD30" s="207" t="str">
        <f>Настройки!AL30</f>
        <v>Canal_29</v>
      </c>
      <c r="BE30" s="207" t="str">
        <f>Настройки!AM30</f>
        <v>-</v>
      </c>
    </row>
    <row r="31" spans="1:57">
      <c r="A31" s="82"/>
      <c r="B31" s="82"/>
      <c r="C31" s="81"/>
      <c r="D31" s="81"/>
      <c r="E31" s="81"/>
      <c r="F31" s="81"/>
      <c r="G31" s="445"/>
      <c r="H31" s="445"/>
      <c r="I31" s="459"/>
      <c r="J31" s="1"/>
      <c r="M31" s="424" t="str">
        <f>'Конфигурация TREI'!A32</f>
        <v>BR30</v>
      </c>
      <c r="N31" s="461" t="str">
        <f>'Конфигурация TREI'!B32</f>
        <v>M558D</v>
      </c>
      <c r="AE31" s="428">
        <f>Настройки!P31</f>
        <v>30</v>
      </c>
      <c r="AF31" s="380">
        <f>Настройки!Q31</f>
        <v>0</v>
      </c>
      <c r="AG31" s="380" t="str">
        <f>Настройки!R31</f>
        <v>-</v>
      </c>
      <c r="AH31" s="380" t="str">
        <f>Настройки!S31</f>
        <v>-</v>
      </c>
      <c r="AI31" s="380" t="str">
        <f>Настройки!T31</f>
        <v>out29</v>
      </c>
      <c r="AJ31" s="380" t="str">
        <f>Настройки!U31</f>
        <v>out29</v>
      </c>
      <c r="AK31" s="380" t="str">
        <f>Настройки!V31</f>
        <v>-</v>
      </c>
      <c r="AL31" s="380" t="str">
        <f>Настройки!W31</f>
        <v>-</v>
      </c>
      <c r="AM31" s="380" t="str">
        <f>Настройки!X31</f>
        <v>-</v>
      </c>
      <c r="AN31" s="380" t="str">
        <f>Настройки!Y31</f>
        <v>-</v>
      </c>
      <c r="AO31" s="380" t="str">
        <f>Настройки!Z31</f>
        <v>-</v>
      </c>
      <c r="AP31" s="380" t="str">
        <f>Настройки!AA31</f>
        <v>Canal_30</v>
      </c>
      <c r="AQ31" s="380" t="str">
        <f>Настройки!AB31</f>
        <v>Canal_30</v>
      </c>
      <c r="AR31" s="380" t="str">
        <f>Настройки!AC31</f>
        <v>-</v>
      </c>
      <c r="AS31" s="380" t="str">
        <f>Настройки!AD31</f>
        <v>-</v>
      </c>
      <c r="AT31" s="207" t="str">
        <f>Настройки!AB31</f>
        <v>Canal_30</v>
      </c>
      <c r="AU31" s="207" t="str">
        <f>Настройки!AC31</f>
        <v>-</v>
      </c>
      <c r="AV31" s="207" t="str">
        <f>Настройки!AD31</f>
        <v>-</v>
      </c>
      <c r="AW31" s="207" t="str">
        <f>Настройки!AE31</f>
        <v>-</v>
      </c>
      <c r="AX31" s="207" t="str">
        <f>Настройки!AF31</f>
        <v>IDIG_8_2</v>
      </c>
      <c r="AY31" s="207" t="str">
        <f>Настройки!AG31</f>
        <v>Canal_30</v>
      </c>
      <c r="AZ31" s="207" t="str">
        <f>Настройки!AH31</f>
        <v>Canal_30</v>
      </c>
      <c r="BA31" s="207" t="str">
        <f>Настройки!AI31</f>
        <v>Canal_30</v>
      </c>
      <c r="BB31" s="207" t="str">
        <f>Настройки!AJ31</f>
        <v>-</v>
      </c>
      <c r="BC31" s="207" t="str">
        <f>Настройки!AK31</f>
        <v>-</v>
      </c>
      <c r="BD31" s="207" t="str">
        <f>Настройки!AL31</f>
        <v>Canal_30</v>
      </c>
      <c r="BE31" s="207" t="str">
        <f>Настройки!AM31</f>
        <v>-</v>
      </c>
    </row>
    <row r="32" spans="1:57">
      <c r="A32" s="82"/>
      <c r="B32" s="82"/>
      <c r="C32" s="81"/>
      <c r="D32" s="81"/>
      <c r="E32" s="81"/>
      <c r="F32" s="81"/>
      <c r="G32" s="445"/>
      <c r="H32" s="445"/>
      <c r="I32" s="459"/>
      <c r="J32" s="1"/>
      <c r="M32" s="424" t="str">
        <f>'Конфигурация TREI'!A33</f>
        <v>BR31</v>
      </c>
      <c r="N32" s="461" t="str">
        <f>'Конфигурация TREI'!B33</f>
        <v>M558D</v>
      </c>
      <c r="AE32" s="428">
        <f>Настройки!P32</f>
        <v>31</v>
      </c>
      <c r="AF32" s="380">
        <f>Настройки!Q32</f>
        <v>0</v>
      </c>
      <c r="AG32" s="380" t="str">
        <f>Настройки!R32</f>
        <v>-</v>
      </c>
      <c r="AH32" s="380" t="str">
        <f>Настройки!S32</f>
        <v>-</v>
      </c>
      <c r="AI32" s="380" t="str">
        <f>Настройки!T32</f>
        <v>out30</v>
      </c>
      <c r="AJ32" s="380" t="str">
        <f>Настройки!U32</f>
        <v>out30</v>
      </c>
      <c r="AK32" s="380" t="str">
        <f>Настройки!V32</f>
        <v>-</v>
      </c>
      <c r="AL32" s="380" t="str">
        <f>Настройки!W32</f>
        <v>-</v>
      </c>
      <c r="AM32" s="380" t="str">
        <f>Настройки!X32</f>
        <v>-</v>
      </c>
      <c r="AN32" s="380" t="str">
        <f>Настройки!Y32</f>
        <v>-</v>
      </c>
      <c r="AO32" s="380" t="str">
        <f>Настройки!Z32</f>
        <v>-</v>
      </c>
      <c r="AP32" s="380" t="str">
        <f>Настройки!AA32</f>
        <v>Canal_31</v>
      </c>
      <c r="AQ32" s="380" t="str">
        <f>Настройки!AB32</f>
        <v>Canal_31</v>
      </c>
      <c r="AR32" s="380" t="str">
        <f>Настройки!AC32</f>
        <v>-</v>
      </c>
      <c r="AS32" s="380" t="str">
        <f>Настройки!AD32</f>
        <v>-</v>
      </c>
      <c r="AT32" s="207" t="str">
        <f>Настройки!AB32</f>
        <v>Canal_31</v>
      </c>
      <c r="AU32" s="207" t="str">
        <f>Настройки!AC32</f>
        <v>-</v>
      </c>
      <c r="AV32" s="207" t="str">
        <f>Настройки!AD32</f>
        <v>-</v>
      </c>
      <c r="AW32" s="207" t="str">
        <f>Настройки!AE32</f>
        <v>-</v>
      </c>
      <c r="AX32" s="207" t="str">
        <f>Настройки!AF32</f>
        <v>IDIG_8_3</v>
      </c>
      <c r="AY32" s="207" t="str">
        <f>Настройки!AG32</f>
        <v>Canal_31</v>
      </c>
      <c r="AZ32" s="207" t="str">
        <f>Настройки!AH32</f>
        <v>Canal_31</v>
      </c>
      <c r="BA32" s="207" t="str">
        <f>Настройки!AI32</f>
        <v>Canal_31</v>
      </c>
      <c r="BB32" s="207" t="str">
        <f>Настройки!AJ32</f>
        <v>-</v>
      </c>
      <c r="BC32" s="207" t="str">
        <f>Настройки!AK32</f>
        <v>-</v>
      </c>
      <c r="BD32" s="207" t="str">
        <f>Настройки!AL32</f>
        <v>Canal_31</v>
      </c>
      <c r="BE32" s="207" t="str">
        <f>Настройки!AM32</f>
        <v>-</v>
      </c>
    </row>
    <row r="33" spans="1:57">
      <c r="A33" s="82"/>
      <c r="B33" s="82"/>
      <c r="C33" s="81"/>
      <c r="D33" s="81"/>
      <c r="E33" s="81"/>
      <c r="F33" s="81"/>
      <c r="G33" s="445"/>
      <c r="H33" s="445"/>
      <c r="I33" s="459"/>
      <c r="J33" s="1"/>
      <c r="M33" s="424" t="str">
        <f>'Конфигурация TREI'!A34</f>
        <v>BR32</v>
      </c>
      <c r="N33" s="461" t="str">
        <f>'Конфигурация TREI'!B34</f>
        <v>M558D</v>
      </c>
      <c r="AE33" s="620">
        <f>Настройки!P33</f>
        <v>32</v>
      </c>
      <c r="AF33" s="621">
        <f>Настройки!Q33</f>
        <v>0</v>
      </c>
      <c r="AG33" s="621" t="str">
        <f>Настройки!R33</f>
        <v>-</v>
      </c>
      <c r="AH33" s="621" t="str">
        <f>Настройки!S33</f>
        <v>-</v>
      </c>
      <c r="AI33" s="621" t="str">
        <f>Настройки!T33</f>
        <v>out31</v>
      </c>
      <c r="AJ33" s="621" t="str">
        <f>Настройки!U33</f>
        <v>out31</v>
      </c>
      <c r="AK33" s="621" t="str">
        <f>Настройки!V33</f>
        <v>-</v>
      </c>
      <c r="AL33" s="621" t="str">
        <f>Настройки!W33</f>
        <v>-</v>
      </c>
      <c r="AM33" s="621" t="str">
        <f>Настройки!X33</f>
        <v>-</v>
      </c>
      <c r="AN33" s="621" t="str">
        <f>Настройки!Y33</f>
        <v>-</v>
      </c>
      <c r="AO33" s="621" t="str">
        <f>Настройки!Z33</f>
        <v>-</v>
      </c>
      <c r="AP33" s="621" t="str">
        <f>Настройки!AA33</f>
        <v>Canal_32</v>
      </c>
      <c r="AQ33" s="621" t="str">
        <f>Настройки!AB33</f>
        <v>Canal_32</v>
      </c>
      <c r="AR33" s="621" t="str">
        <f>Настройки!AC33</f>
        <v>-</v>
      </c>
      <c r="AS33" s="621" t="str">
        <f>Настройки!AD33</f>
        <v>-</v>
      </c>
      <c r="AT33" s="622" t="str">
        <f>Настройки!AB33</f>
        <v>Canal_32</v>
      </c>
      <c r="AU33" s="622" t="str">
        <f>Настройки!AC33</f>
        <v>-</v>
      </c>
      <c r="AV33" s="622" t="str">
        <f>Настройки!AD33</f>
        <v>-</v>
      </c>
      <c r="AW33" s="622" t="str">
        <f>Настройки!AE33</f>
        <v>-</v>
      </c>
      <c r="AX33" s="622" t="str">
        <f>Настройки!AF33</f>
        <v>IDIG_8_4</v>
      </c>
      <c r="AY33" s="622" t="str">
        <f>Настройки!AG33</f>
        <v>Canal_32</v>
      </c>
      <c r="AZ33" s="622" t="str">
        <f>Настройки!AH33</f>
        <v>Canal_32</v>
      </c>
      <c r="BA33" s="622" t="str">
        <f>Настройки!AI33</f>
        <v>Canal_32</v>
      </c>
      <c r="BB33" s="622" t="str">
        <f>Настройки!AJ33</f>
        <v>-</v>
      </c>
      <c r="BC33" s="622" t="str">
        <f>Настройки!AK33</f>
        <v>-</v>
      </c>
      <c r="BD33" s="622" t="str">
        <f>Настройки!AL33</f>
        <v>Canal_32</v>
      </c>
      <c r="BE33" s="622" t="str">
        <f>Настройки!AM33</f>
        <v>-</v>
      </c>
    </row>
    <row r="34" spans="1:57">
      <c r="A34" s="82"/>
      <c r="B34" s="82"/>
      <c r="C34" s="81"/>
      <c r="D34" s="81"/>
      <c r="E34" s="81"/>
      <c r="F34" s="81"/>
      <c r="G34" s="445"/>
      <c r="H34" s="445"/>
      <c r="I34" s="459"/>
      <c r="J34" s="1"/>
      <c r="M34" s="424" t="str">
        <f>'Конфигурация TREI'!A35</f>
        <v>BR33</v>
      </c>
      <c r="N34" s="461" t="str">
        <f>'Конфигурация TREI'!B35</f>
        <v>M558D</v>
      </c>
      <c r="AE34" s="624"/>
      <c r="AF34" s="624"/>
      <c r="AG34" s="624"/>
      <c r="AH34" s="624"/>
      <c r="AI34" s="624"/>
      <c r="AJ34" s="624"/>
      <c r="AK34" s="624"/>
      <c r="AL34" s="624"/>
      <c r="AM34" s="624"/>
      <c r="AN34" s="624"/>
      <c r="AO34" s="624"/>
      <c r="AP34" s="624"/>
      <c r="AQ34" s="624"/>
      <c r="AR34" s="624"/>
      <c r="AS34" s="624"/>
      <c r="AT34" s="625"/>
      <c r="AU34" s="625"/>
      <c r="AV34" s="625"/>
      <c r="AW34" s="625"/>
      <c r="AX34" s="625"/>
      <c r="AY34" s="625"/>
      <c r="AZ34" s="625"/>
      <c r="BA34" s="625"/>
      <c r="BB34" s="625"/>
      <c r="BC34" s="625"/>
      <c r="BD34" s="625"/>
      <c r="BE34" s="625"/>
    </row>
    <row r="35" spans="1:57">
      <c r="A35" s="82"/>
      <c r="B35" s="82"/>
      <c r="C35" s="81"/>
      <c r="D35" s="81"/>
      <c r="E35" s="81"/>
      <c r="F35" s="81"/>
      <c r="G35" s="445"/>
      <c r="H35" s="445"/>
      <c r="I35" s="459"/>
      <c r="J35" s="1"/>
      <c r="M35" s="424" t="str">
        <f>'Конфигурация TREI'!A36</f>
        <v>BR34</v>
      </c>
      <c r="N35" s="461" t="str">
        <f>'Конфигурация TREI'!B36</f>
        <v>M558D</v>
      </c>
      <c r="AE35" s="505"/>
      <c r="AF35" s="505"/>
      <c r="AG35" s="505"/>
      <c r="AH35" s="505"/>
      <c r="AI35" s="505"/>
      <c r="AJ35" s="505"/>
      <c r="AK35" s="505"/>
      <c r="AL35" s="505"/>
      <c r="AM35" s="505"/>
      <c r="AN35" s="505"/>
      <c r="AO35" s="505"/>
      <c r="AP35" s="505"/>
      <c r="AQ35" s="505"/>
      <c r="AR35" s="505"/>
      <c r="AS35" s="505"/>
      <c r="AT35" s="623"/>
      <c r="AU35" s="623"/>
      <c r="AV35" s="623"/>
      <c r="AW35" s="623"/>
      <c r="AX35" s="623"/>
      <c r="AY35" s="623"/>
      <c r="AZ35" s="623"/>
      <c r="BA35" s="623"/>
      <c r="BB35" s="623"/>
      <c r="BC35" s="623"/>
      <c r="BD35" s="623"/>
      <c r="BE35" s="623"/>
    </row>
    <row r="36" spans="1:57">
      <c r="A36" s="82"/>
      <c r="B36" s="82"/>
      <c r="C36" s="81"/>
      <c r="D36" s="81"/>
      <c r="E36" s="81"/>
      <c r="F36" s="81"/>
      <c r="G36" s="445"/>
      <c r="H36" s="445"/>
      <c r="I36" s="459"/>
      <c r="J36" s="1"/>
      <c r="M36" s="424" t="str">
        <f>'Конфигурация TREI'!A37</f>
        <v>BR35</v>
      </c>
      <c r="N36" s="461" t="str">
        <f>'Конфигурация TREI'!B37</f>
        <v>M558D</v>
      </c>
      <c r="AE36" s="505"/>
      <c r="AF36" s="505"/>
      <c r="AG36" s="505"/>
      <c r="AH36" s="505"/>
      <c r="AI36" s="505"/>
      <c r="AJ36" s="505"/>
      <c r="AK36" s="505"/>
      <c r="AL36" s="505"/>
      <c r="AM36" s="505"/>
      <c r="AN36" s="505"/>
      <c r="AO36" s="505"/>
      <c r="AP36" s="505"/>
      <c r="AQ36" s="505"/>
      <c r="AR36" s="505"/>
      <c r="AS36" s="505"/>
      <c r="AT36" s="623"/>
      <c r="AU36" s="623"/>
      <c r="AV36" s="623"/>
      <c r="AW36" s="623"/>
      <c r="AX36" s="623"/>
      <c r="AY36" s="623"/>
      <c r="AZ36" s="623"/>
      <c r="BA36" s="623"/>
      <c r="BB36" s="623"/>
      <c r="BC36" s="623"/>
      <c r="BD36" s="623"/>
      <c r="BE36" s="623"/>
    </row>
    <row r="37" spans="1:57" ht="15.75" customHeight="1">
      <c r="A37" s="82"/>
      <c r="B37" s="82"/>
      <c r="C37" s="81"/>
      <c r="D37" s="81"/>
      <c r="E37" s="81"/>
      <c r="F37" s="81"/>
      <c r="G37" s="445"/>
      <c r="H37" s="445"/>
      <c r="I37" s="459"/>
      <c r="J37" s="1"/>
      <c r="M37" s="424" t="str">
        <f>'Конфигурация TREI'!A38</f>
        <v>BR36</v>
      </c>
      <c r="N37" s="461">
        <f>'Конфигурация TREI'!B38</f>
        <v>0</v>
      </c>
      <c r="AE37" s="505"/>
      <c r="AF37" s="505"/>
      <c r="AG37" s="505"/>
      <c r="AH37" s="505"/>
      <c r="AI37" s="505"/>
      <c r="AJ37" s="505"/>
      <c r="AK37" s="505"/>
      <c r="AL37" s="505"/>
      <c r="AM37" s="505"/>
      <c r="AN37" s="505"/>
      <c r="AO37" s="505"/>
      <c r="AP37" s="505"/>
      <c r="AQ37" s="505"/>
      <c r="AR37" s="505"/>
      <c r="AS37" s="505"/>
      <c r="AT37" s="623"/>
      <c r="AU37" s="623"/>
      <c r="AV37" s="623"/>
      <c r="AW37" s="623"/>
      <c r="AX37" s="623"/>
      <c r="AY37" s="623"/>
      <c r="AZ37" s="623"/>
      <c r="BA37" s="623"/>
      <c r="BB37" s="623"/>
      <c r="BC37" s="623"/>
      <c r="BD37" s="623"/>
      <c r="BE37" s="623"/>
    </row>
    <row r="38" spans="1:57">
      <c r="A38" s="82"/>
      <c r="B38" s="82"/>
      <c r="C38" s="81"/>
      <c r="D38" s="81"/>
      <c r="E38" s="81"/>
      <c r="F38" s="81"/>
      <c r="G38" s="445"/>
      <c r="H38" s="445"/>
      <c r="I38" s="459"/>
      <c r="J38" s="1"/>
      <c r="M38" s="424" t="str">
        <f>'Конфигурация TREI'!A39</f>
        <v>BR37</v>
      </c>
      <c r="N38" s="461">
        <f>'Конфигурация TREI'!B39</f>
        <v>0</v>
      </c>
      <c r="AE38" s="505"/>
      <c r="AF38" s="505"/>
      <c r="AG38" s="505"/>
      <c r="AH38" s="505"/>
      <c r="AI38" s="505"/>
      <c r="AJ38" s="505"/>
      <c r="AK38" s="505"/>
      <c r="AL38" s="505"/>
      <c r="AM38" s="505"/>
      <c r="AN38" s="505"/>
      <c r="AO38" s="505"/>
      <c r="AP38" s="505"/>
      <c r="AQ38" s="505"/>
      <c r="AR38" s="505"/>
      <c r="AS38" s="505"/>
      <c r="AT38" s="623"/>
      <c r="AU38" s="623"/>
      <c r="AV38" s="623"/>
      <c r="AW38" s="623"/>
      <c r="AX38" s="623"/>
      <c r="AY38" s="623"/>
      <c r="AZ38" s="623"/>
      <c r="BA38" s="623"/>
      <c r="BB38" s="623"/>
      <c r="BC38" s="623"/>
      <c r="BD38" s="623"/>
      <c r="BE38" s="623"/>
    </row>
    <row r="39" spans="1:57">
      <c r="A39" s="82"/>
      <c r="B39" s="82"/>
      <c r="C39" s="81"/>
      <c r="D39" s="81"/>
      <c r="E39" s="81"/>
      <c r="F39" s="81"/>
      <c r="G39" s="445"/>
      <c r="H39" s="445"/>
      <c r="I39" s="459"/>
      <c r="J39" s="1"/>
      <c r="M39" s="424" t="str">
        <f>'Конфигурация TREI'!A40</f>
        <v>BR38</v>
      </c>
      <c r="N39" s="461">
        <f>'Конфигурация TREI'!B40</f>
        <v>0</v>
      </c>
      <c r="AE39" s="505"/>
      <c r="AF39" s="505"/>
      <c r="AG39" s="505"/>
      <c r="AH39" s="505"/>
      <c r="AI39" s="505"/>
      <c r="AJ39" s="505"/>
      <c r="AK39" s="505"/>
      <c r="AL39" s="505"/>
      <c r="AM39" s="505"/>
      <c r="AN39" s="505"/>
      <c r="AO39" s="505"/>
      <c r="AP39" s="505"/>
      <c r="AQ39" s="505"/>
      <c r="AR39" s="505"/>
      <c r="AS39" s="505"/>
      <c r="AT39" s="623"/>
      <c r="AU39" s="623"/>
      <c r="AV39" s="623"/>
      <c r="AW39" s="623"/>
      <c r="AX39" s="623"/>
      <c r="AY39" s="623"/>
      <c r="AZ39" s="623"/>
      <c r="BA39" s="623"/>
      <c r="BB39" s="623"/>
      <c r="BC39" s="623"/>
      <c r="BD39" s="623"/>
      <c r="BE39" s="623"/>
    </row>
    <row r="40" spans="1:57">
      <c r="A40" s="82"/>
      <c r="B40" s="82"/>
      <c r="C40" s="81"/>
      <c r="D40" s="81"/>
      <c r="E40" s="81"/>
      <c r="F40" s="81"/>
      <c r="G40" s="445"/>
      <c r="H40" s="445"/>
      <c r="I40" s="459"/>
      <c r="J40" s="1"/>
      <c r="M40" s="424" t="str">
        <f>'Конфигурация TREI'!A41</f>
        <v>BR39</v>
      </c>
      <c r="N40" s="461">
        <f>'Конфигурация TREI'!B41</f>
        <v>0</v>
      </c>
      <c r="AE40" s="505"/>
      <c r="AF40" s="505"/>
      <c r="AG40" s="505"/>
      <c r="AH40" s="505"/>
      <c r="AI40" s="505"/>
      <c r="AJ40" s="505"/>
      <c r="AK40" s="505"/>
      <c r="AL40" s="505"/>
      <c r="AM40" s="505"/>
      <c r="AN40" s="505"/>
      <c r="AO40" s="505"/>
      <c r="AP40" s="505"/>
      <c r="AQ40" s="505"/>
      <c r="AR40" s="505"/>
      <c r="AS40" s="505"/>
      <c r="AT40" s="623"/>
      <c r="AU40" s="623"/>
      <c r="AV40" s="623"/>
      <c r="AW40" s="623"/>
      <c r="AX40" s="623"/>
      <c r="AY40" s="623"/>
      <c r="AZ40" s="623"/>
      <c r="BA40" s="623"/>
      <c r="BB40" s="623"/>
      <c r="BC40" s="623"/>
      <c r="BD40" s="623"/>
      <c r="BE40" s="623"/>
    </row>
    <row r="41" spans="1:57">
      <c r="A41" s="82"/>
      <c r="B41" s="82"/>
      <c r="C41" s="81"/>
      <c r="D41" s="81"/>
      <c r="E41" s="81"/>
      <c r="F41" s="81"/>
      <c r="G41" s="445"/>
      <c r="H41" s="445"/>
      <c r="I41" s="459"/>
      <c r="J41" s="1"/>
      <c r="M41" s="424" t="str">
        <f>'Конфигурация TREI'!A42</f>
        <v>BR40</v>
      </c>
      <c r="N41" s="461">
        <f>'Конфигурация TREI'!B42</f>
        <v>0</v>
      </c>
      <c r="AE41" s="505"/>
      <c r="AF41" s="505"/>
      <c r="AG41" s="505"/>
      <c r="AH41" s="505"/>
      <c r="AI41" s="505"/>
      <c r="AJ41" s="505"/>
      <c r="AK41" s="505"/>
      <c r="AL41" s="505"/>
      <c r="AM41" s="505"/>
      <c r="AN41" s="505"/>
      <c r="AO41" s="505"/>
      <c r="AP41" s="505"/>
      <c r="AQ41" s="505"/>
      <c r="AR41" s="505"/>
      <c r="AS41" s="505"/>
      <c r="AT41" s="623"/>
      <c r="AU41" s="623"/>
      <c r="AV41" s="623"/>
      <c r="AW41" s="623"/>
      <c r="AX41" s="623"/>
      <c r="AY41" s="623"/>
      <c r="AZ41" s="623"/>
      <c r="BA41" s="623"/>
      <c r="BB41" s="623"/>
      <c r="BC41" s="623"/>
      <c r="BD41" s="623"/>
      <c r="BE41" s="623"/>
    </row>
    <row r="42" spans="1:57">
      <c r="A42" s="82"/>
      <c r="B42" s="82"/>
      <c r="C42" s="81"/>
      <c r="D42" s="81"/>
      <c r="E42" s="81"/>
      <c r="F42" s="81"/>
      <c r="G42" s="445"/>
      <c r="H42" s="445"/>
      <c r="I42" s="459"/>
      <c r="J42" s="1"/>
      <c r="K42" s="1"/>
      <c r="M42" s="424" t="str">
        <f>'Конфигурация TREI'!A43</f>
        <v>BR41</v>
      </c>
      <c r="N42" s="461">
        <f>'Конфигурация TREI'!B43</f>
        <v>0</v>
      </c>
      <c r="AE42" s="505"/>
      <c r="AF42" s="505"/>
      <c r="AG42" s="505"/>
      <c r="AH42" s="505"/>
      <c r="AI42" s="505"/>
      <c r="AJ42" s="505"/>
      <c r="AK42" s="505"/>
      <c r="AL42" s="505"/>
      <c r="AM42" s="505"/>
      <c r="AN42" s="505"/>
      <c r="AO42" s="505"/>
      <c r="AP42" s="505"/>
      <c r="AQ42" s="505"/>
      <c r="AR42" s="505"/>
      <c r="AS42" s="505"/>
      <c r="AT42" s="623"/>
      <c r="AU42" s="623"/>
      <c r="AV42" s="623"/>
      <c r="AW42" s="623"/>
      <c r="AX42" s="623"/>
      <c r="AY42" s="623"/>
      <c r="AZ42" s="623"/>
      <c r="BA42" s="623"/>
      <c r="BB42" s="623"/>
      <c r="BC42" s="623"/>
      <c r="BD42" s="623"/>
      <c r="BE42" s="623"/>
    </row>
    <row r="43" spans="1:57">
      <c r="A43" s="82"/>
      <c r="B43" s="82"/>
      <c r="C43" s="81"/>
      <c r="D43" s="81"/>
      <c r="E43" s="81"/>
      <c r="F43" s="81"/>
      <c r="G43" s="445"/>
      <c r="H43" s="445"/>
      <c r="I43" s="459"/>
      <c r="J43" s="1"/>
      <c r="K43" s="1"/>
      <c r="M43" s="424" t="str">
        <f>'Конфигурация TREI'!A44</f>
        <v>BR42</v>
      </c>
      <c r="N43" s="461">
        <f>'Конфигурация TREI'!B44</f>
        <v>0</v>
      </c>
      <c r="AE43" s="505"/>
      <c r="AF43" s="505"/>
      <c r="AG43" s="505"/>
      <c r="AH43" s="505"/>
      <c r="AI43" s="505"/>
      <c r="AJ43" s="505"/>
      <c r="AK43" s="505"/>
      <c r="AL43" s="505"/>
      <c r="AM43" s="505"/>
      <c r="AN43" s="505"/>
      <c r="AO43" s="505"/>
      <c r="AP43" s="505"/>
      <c r="AQ43" s="505"/>
      <c r="AR43" s="505"/>
      <c r="AS43" s="505"/>
      <c r="AT43" s="623"/>
      <c r="AU43" s="623"/>
      <c r="AV43" s="623"/>
      <c r="AW43" s="623"/>
      <c r="AX43" s="623"/>
      <c r="AY43" s="623"/>
      <c r="AZ43" s="623"/>
      <c r="BA43" s="623"/>
      <c r="BB43" s="623"/>
      <c r="BC43" s="623"/>
      <c r="BD43" s="623"/>
      <c r="BE43" s="623"/>
    </row>
    <row r="44" spans="1:57">
      <c r="A44" s="82"/>
      <c r="B44" s="82"/>
      <c r="C44" s="81"/>
      <c r="D44" s="81"/>
      <c r="E44" s="81"/>
      <c r="F44" s="81"/>
      <c r="G44" s="445"/>
      <c r="H44" s="445"/>
      <c r="I44" s="459"/>
      <c r="J44" s="1"/>
      <c r="K44" s="1"/>
      <c r="M44" s="424" t="str">
        <f>'Конфигурация TREI'!A45</f>
        <v>BR43</v>
      </c>
      <c r="N44" s="461">
        <f>'Конфигурация TREI'!B45</f>
        <v>0</v>
      </c>
      <c r="AE44" s="505"/>
      <c r="AF44" s="505"/>
      <c r="AG44" s="505"/>
      <c r="AH44" s="505"/>
      <c r="AI44" s="505"/>
      <c r="AJ44" s="505"/>
      <c r="AK44" s="505"/>
      <c r="AL44" s="505"/>
      <c r="AM44" s="505"/>
      <c r="AN44" s="505"/>
      <c r="AO44" s="505"/>
      <c r="AP44" s="505"/>
      <c r="AQ44" s="505"/>
      <c r="AR44" s="505"/>
      <c r="AS44" s="505"/>
      <c r="AT44" s="623"/>
      <c r="AU44" s="623"/>
      <c r="AV44" s="623"/>
      <c r="AW44" s="623"/>
      <c r="AX44" s="623"/>
      <c r="AY44" s="623"/>
      <c r="AZ44" s="623"/>
      <c r="BA44" s="623"/>
      <c r="BB44" s="623"/>
      <c r="BC44" s="623"/>
      <c r="BD44" s="623"/>
      <c r="BE44" s="623"/>
    </row>
    <row r="45" spans="1:57">
      <c r="A45" s="82"/>
      <c r="B45" s="82"/>
      <c r="C45" s="81"/>
      <c r="D45" s="81"/>
      <c r="E45" s="81"/>
      <c r="F45" s="81"/>
      <c r="G45" s="445"/>
      <c r="H45" s="445"/>
      <c r="I45" s="459"/>
      <c r="J45" s="1"/>
      <c r="K45" s="1"/>
      <c r="M45" s="424" t="str">
        <f>'Конфигурация TREI'!A46</f>
        <v>BR44</v>
      </c>
      <c r="N45" s="461">
        <f>'Конфигурация TREI'!B46</f>
        <v>0</v>
      </c>
      <c r="AE45" s="505"/>
      <c r="AF45" s="505"/>
      <c r="AG45" s="505"/>
      <c r="AH45" s="505"/>
      <c r="AI45" s="505"/>
      <c r="AJ45" s="505"/>
      <c r="AK45" s="505"/>
      <c r="AL45" s="505"/>
      <c r="AM45" s="505"/>
      <c r="AN45" s="505"/>
      <c r="AO45" s="505"/>
      <c r="AP45" s="505"/>
      <c r="AQ45" s="505"/>
      <c r="AR45" s="505"/>
      <c r="AS45" s="505"/>
      <c r="AT45" s="623"/>
      <c r="AU45" s="623"/>
      <c r="AV45" s="623"/>
      <c r="AW45" s="623"/>
      <c r="AX45" s="623"/>
      <c r="AY45" s="623"/>
      <c r="AZ45" s="623"/>
      <c r="BA45" s="623"/>
      <c r="BB45" s="623"/>
      <c r="BC45" s="623"/>
      <c r="BD45" s="623"/>
      <c r="BE45" s="623"/>
    </row>
    <row r="46" spans="1:57">
      <c r="A46" s="82"/>
      <c r="B46" s="82"/>
      <c r="C46" s="81"/>
      <c r="D46" s="81"/>
      <c r="E46" s="81"/>
      <c r="F46" s="81"/>
      <c r="G46" s="445"/>
      <c r="H46" s="445"/>
      <c r="I46" s="459"/>
      <c r="J46" s="1"/>
      <c r="K46" s="1"/>
      <c r="M46" s="424" t="str">
        <f>'Конфигурация TREI'!A47</f>
        <v>BR45</v>
      </c>
      <c r="N46" s="461">
        <f>'Конфигурация TREI'!B47</f>
        <v>0</v>
      </c>
      <c r="AE46" s="505"/>
      <c r="AF46" s="505"/>
      <c r="AG46" s="505"/>
      <c r="AH46" s="505"/>
      <c r="AI46" s="505"/>
      <c r="AJ46" s="505"/>
      <c r="AK46" s="505"/>
      <c r="AL46" s="505"/>
      <c r="AM46" s="505"/>
      <c r="AN46" s="505"/>
      <c r="AO46" s="505"/>
      <c r="AP46" s="505"/>
      <c r="AQ46" s="505"/>
      <c r="AR46" s="505"/>
      <c r="AS46" s="505"/>
      <c r="AT46" s="623"/>
      <c r="AU46" s="623"/>
      <c r="AV46" s="623"/>
      <c r="AW46" s="623"/>
      <c r="AX46" s="623"/>
      <c r="AY46" s="623"/>
      <c r="AZ46" s="623"/>
      <c r="BA46" s="623"/>
      <c r="BB46" s="623"/>
      <c r="BC46" s="623"/>
      <c r="BD46" s="623"/>
      <c r="BE46" s="623"/>
    </row>
    <row r="47" spans="1:57">
      <c r="A47" s="82"/>
      <c r="B47" s="82"/>
      <c r="C47" s="81"/>
      <c r="D47" s="81"/>
      <c r="E47" s="81"/>
      <c r="F47" s="81"/>
      <c r="G47" s="445"/>
      <c r="H47" s="445"/>
      <c r="I47" s="459"/>
      <c r="J47" s="1"/>
      <c r="K47" s="1"/>
      <c r="M47" s="424" t="str">
        <f>'Конфигурация TREI'!A48</f>
        <v>BR46</v>
      </c>
      <c r="N47" s="461">
        <f>'Конфигурация TREI'!B48</f>
        <v>0</v>
      </c>
      <c r="AE47" s="505"/>
      <c r="AF47" s="505"/>
      <c r="AG47" s="505"/>
      <c r="AH47" s="505"/>
      <c r="AI47" s="505"/>
      <c r="AJ47" s="505"/>
      <c r="AK47" s="505"/>
      <c r="AL47" s="505"/>
      <c r="AM47" s="505"/>
      <c r="AN47" s="505"/>
      <c r="AO47" s="505"/>
      <c r="AP47" s="505"/>
      <c r="AQ47" s="505"/>
      <c r="AR47" s="505"/>
      <c r="AS47" s="505"/>
      <c r="AT47" s="623"/>
      <c r="AU47" s="623"/>
      <c r="AV47" s="623"/>
      <c r="AW47" s="623"/>
      <c r="AX47" s="623"/>
      <c r="AY47" s="623"/>
      <c r="AZ47" s="623"/>
      <c r="BA47" s="623"/>
      <c r="BB47" s="623"/>
      <c r="BC47" s="623"/>
      <c r="BD47" s="623"/>
      <c r="BE47" s="623"/>
    </row>
    <row r="48" spans="1:57">
      <c r="A48" s="82"/>
      <c r="B48" s="82"/>
      <c r="C48" s="81"/>
      <c r="D48" s="81"/>
      <c r="E48" s="81"/>
      <c r="F48" s="81"/>
      <c r="G48" s="445"/>
      <c r="H48" s="445"/>
      <c r="I48" s="459"/>
      <c r="J48" s="1"/>
      <c r="K48" s="1"/>
      <c r="M48" s="424" t="str">
        <f>'Конфигурация TREI'!A49</f>
        <v>BR47</v>
      </c>
      <c r="N48" s="461">
        <f>'Конфигурация TREI'!B49</f>
        <v>0</v>
      </c>
      <c r="AE48" s="505"/>
      <c r="AF48" s="505"/>
      <c r="AG48" s="505"/>
      <c r="AH48" s="505"/>
      <c r="AI48" s="505"/>
      <c r="AJ48" s="505"/>
      <c r="AK48" s="505"/>
      <c r="AL48" s="505"/>
      <c r="AM48" s="505"/>
      <c r="AN48" s="505"/>
      <c r="AO48" s="505"/>
      <c r="AP48" s="505"/>
      <c r="AQ48" s="505"/>
      <c r="AR48" s="505"/>
      <c r="AS48" s="505"/>
      <c r="AT48" s="623"/>
      <c r="AU48" s="623"/>
      <c r="AV48" s="623"/>
      <c r="AW48" s="623"/>
      <c r="AX48" s="623"/>
      <c r="AY48" s="623"/>
      <c r="AZ48" s="623"/>
      <c r="BA48" s="623"/>
      <c r="BB48" s="623"/>
      <c r="BC48" s="623"/>
      <c r="BD48" s="623"/>
      <c r="BE48" s="623"/>
    </row>
    <row r="49" spans="1:64">
      <c r="A49" s="1"/>
      <c r="B49" s="1"/>
      <c r="C49" s="1"/>
      <c r="D49" s="1"/>
      <c r="E49" s="1"/>
      <c r="F49" s="1"/>
      <c r="G49" s="1"/>
      <c r="H49" s="1"/>
      <c r="I49" s="459"/>
      <c r="J49" s="1"/>
      <c r="K49" s="1"/>
      <c r="M49" s="424" t="str">
        <f>'Конфигурация TREI'!A50</f>
        <v>BR48</v>
      </c>
      <c r="N49" s="461">
        <f>'Конфигурация TREI'!B50</f>
        <v>0</v>
      </c>
      <c r="AE49" s="505"/>
      <c r="AF49" s="505"/>
      <c r="AG49" s="505"/>
      <c r="AH49" s="505"/>
      <c r="AI49" s="505"/>
      <c r="AJ49" s="505"/>
      <c r="AK49" s="505"/>
      <c r="AL49" s="505"/>
      <c r="AM49" s="505"/>
      <c r="AN49" s="505"/>
      <c r="AO49" s="505"/>
      <c r="AP49" s="505"/>
      <c r="AQ49" s="505"/>
      <c r="AR49" s="505"/>
      <c r="AS49" s="505"/>
      <c r="AT49" s="623"/>
      <c r="AU49" s="623"/>
      <c r="AV49" s="623"/>
      <c r="AW49" s="623"/>
      <c r="AX49" s="623"/>
      <c r="AY49" s="623"/>
      <c r="AZ49" s="623"/>
      <c r="BA49" s="623"/>
      <c r="BB49" s="623"/>
      <c r="BC49" s="623"/>
      <c r="BD49" s="623"/>
      <c r="BE49" s="623"/>
    </row>
    <row r="50" spans="1:64" s="4" customFormat="1">
      <c r="A50" s="446" t="str">
        <f>"//*********** "&amp;Q2&amp;" ***********"</f>
        <v>//*********** Огнезадерживающий клапан, клапан дымоудаления ***********</v>
      </c>
      <c r="B50" s="446"/>
      <c r="C50" s="446"/>
      <c r="D50" s="446"/>
      <c r="E50" s="446"/>
      <c r="F50" s="446" t="s">
        <v>1031</v>
      </c>
      <c r="G50" s="445"/>
      <c r="H50" s="445"/>
      <c r="I50" s="462"/>
      <c r="J50" s="11"/>
      <c r="K50" s="11"/>
      <c r="M50" s="424" t="str">
        <f>'Конфигурация TREI'!A51</f>
        <v>BR49</v>
      </c>
      <c r="N50" s="461">
        <f>'Конфигурация TREI'!B51</f>
        <v>0</v>
      </c>
      <c r="R50" s="381"/>
      <c r="S50" s="381"/>
      <c r="T50" s="381"/>
      <c r="U50" s="381"/>
      <c r="V50" s="381"/>
      <c r="W50" s="381"/>
      <c r="X50" s="381"/>
      <c r="Y50" s="381"/>
      <c r="Z50" s="381"/>
      <c r="AA50" s="381"/>
      <c r="AB50" s="381"/>
      <c r="AC50" s="381"/>
      <c r="AD50" s="381"/>
      <c r="AE50" s="505"/>
      <c r="AF50" s="505"/>
      <c r="AG50" s="505"/>
      <c r="AH50" s="505"/>
      <c r="AI50" s="505"/>
      <c r="AJ50" s="505"/>
      <c r="AK50" s="505"/>
      <c r="AL50" s="505"/>
      <c r="AM50" s="505"/>
      <c r="AN50" s="505"/>
      <c r="AO50" s="505"/>
      <c r="AP50" s="505"/>
      <c r="AQ50" s="505"/>
      <c r="AR50" s="505"/>
      <c r="AS50" s="505"/>
      <c r="AT50" s="623"/>
      <c r="AU50" s="623"/>
      <c r="AV50" s="623"/>
      <c r="AW50" s="623"/>
      <c r="AX50" s="623"/>
      <c r="AY50" s="623"/>
      <c r="AZ50" s="623"/>
      <c r="BA50" s="623"/>
      <c r="BB50" s="623"/>
      <c r="BC50" s="623"/>
      <c r="BD50" s="623"/>
      <c r="BE50" s="623"/>
      <c r="BF50" s="458"/>
      <c r="BG50" s="458"/>
      <c r="BH50" s="458"/>
      <c r="BI50" s="458"/>
      <c r="BJ50" s="458"/>
      <c r="BK50" s="458"/>
      <c r="BL50" s="458"/>
    </row>
    <row r="51" spans="1:64">
      <c r="A51" s="485" t="str">
        <f ca="1">IF(LEFT(E53,3)="out","INT_TO_BIT_BR"&amp;C53&amp;"(BR"&amp;C53&amp;".IDIG_MASK);","")</f>
        <v/>
      </c>
      <c r="B51" s="486"/>
      <c r="C51" s="487"/>
      <c r="D51" s="487"/>
      <c r="E51" s="486" t="str">
        <f>IF(LEFT(E54,3)="out","INT_TO_BIT_BR"&amp;C54&amp;"(BR"&amp;C54&amp;".ODIG_MASK)","УДАЛИТЬ")</f>
        <v>УДАЛИТЬ</v>
      </c>
      <c r="F51" s="468" t="s">
        <v>845</v>
      </c>
      <c r="G51" s="482"/>
      <c r="H51" s="482"/>
      <c r="I51" s="479"/>
      <c r="J51" s="1"/>
      <c r="K51" s="1"/>
      <c r="M51" s="424" t="str">
        <f>'Конфигурация TREI'!A52</f>
        <v>BR50</v>
      </c>
      <c r="N51" s="461">
        <f>'Конфигурация TREI'!B52</f>
        <v>0</v>
      </c>
      <c r="AE51" s="505"/>
      <c r="AF51" s="505"/>
      <c r="AG51" s="505"/>
      <c r="AH51" s="505"/>
      <c r="AI51" s="505"/>
      <c r="AJ51" s="505"/>
      <c r="AK51" s="505"/>
      <c r="AL51" s="505"/>
      <c r="AM51" s="505"/>
      <c r="AN51" s="505"/>
      <c r="AO51" s="505"/>
      <c r="AP51" s="505"/>
      <c r="AQ51" s="505"/>
      <c r="AR51" s="505"/>
      <c r="AS51" s="505"/>
      <c r="AT51" s="623"/>
      <c r="AU51" s="623"/>
      <c r="AV51" s="623"/>
      <c r="AW51" s="623"/>
      <c r="AX51" s="623"/>
      <c r="AY51" s="623"/>
      <c r="AZ51" s="623"/>
      <c r="BA51" s="623"/>
      <c r="BB51" s="623"/>
      <c r="BC51" s="623"/>
      <c r="BD51" s="623"/>
      <c r="BE51" s="623"/>
    </row>
    <row r="52" spans="1:64">
      <c r="A52" s="483"/>
      <c r="B52" s="457"/>
      <c r="C52" s="455"/>
      <c r="D52" s="455"/>
      <c r="E52" s="457" t="str">
        <f ca="1">IF(LEFT(E55,3)="out","INT_TO_BIT_BR"&amp;C55&amp;"(BR"&amp;C55&amp;".ODIG_MASK)","УДАЛИТЬ")</f>
        <v>УДАЛИТЬ</v>
      </c>
      <c r="F52" s="446" t="s">
        <v>845</v>
      </c>
      <c r="G52" s="445"/>
      <c r="H52" s="445"/>
      <c r="I52" s="481"/>
      <c r="J52" s="1"/>
      <c r="K52" s="1"/>
      <c r="M52" s="424" t="str">
        <f>'Конфигурация TREI'!A53</f>
        <v>BR51</v>
      </c>
      <c r="N52" s="461">
        <f>'Конфигурация TREI'!B53</f>
        <v>0</v>
      </c>
      <c r="AE52" s="505"/>
      <c r="AF52" s="505"/>
      <c r="AG52" s="505"/>
      <c r="AH52" s="505"/>
      <c r="AI52" s="505"/>
      <c r="AJ52" s="505"/>
      <c r="AK52" s="505"/>
      <c r="AL52" s="505"/>
      <c r="AM52" s="505"/>
      <c r="AN52" s="505"/>
      <c r="AO52" s="505"/>
      <c r="AP52" s="505"/>
      <c r="AQ52" s="505"/>
      <c r="AR52" s="505"/>
      <c r="AS52" s="505"/>
      <c r="AT52" s="623"/>
      <c r="AU52" s="623"/>
      <c r="AV52" s="623"/>
      <c r="AW52" s="623"/>
      <c r="AX52" s="623"/>
      <c r="AY52" s="623"/>
      <c r="AZ52" s="623"/>
      <c r="BA52" s="623"/>
      <c r="BB52" s="623"/>
      <c r="BC52" s="623"/>
      <c r="BD52" s="623"/>
      <c r="BE52" s="623"/>
    </row>
    <row r="53" spans="1:64">
      <c r="A53" s="483"/>
      <c r="B53" s="457" t="str">
        <f ca="1">IF(LEFT(E53,3)="out","INT_TO_BIT_BR","BR")</f>
        <v>BR</v>
      </c>
      <c r="C53" s="455" t="str">
        <f>LEFT($X$3,FIND("+",$X$3,1)-1)</f>
        <v>3</v>
      </c>
      <c r="D53" s="455" t="s">
        <v>178</v>
      </c>
      <c r="E53" s="446" t="str">
        <f ca="1">IF(OR($X$2=0,$G57="MOPS",$G57="MUPS"),"УДАЛИТЬ",IFERROR(IF(OR($I53="-",$H53="0"),"КАНАЛ ОТСУТСТВУЕТ",IF($I53=0,"МОДУЛЬ ОТСУТСТВУЕТ",$I53)),"ОШИБКА ФОРМАТА"))</f>
        <v>Canal_04</v>
      </c>
      <c r="F53" s="455" t="str">
        <f>" :="&amp;SUBSTITUTE($P$2,"\","|")&amp;"|"&amp; $X$1 &amp;";"</f>
        <v xml:space="preserve"> :=FB_OZK_KD_S|OXON;</v>
      </c>
      <c r="G53" s="445" t="str">
        <f>INDEX($N$2:$N$61,C53)</f>
        <v>M548A</v>
      </c>
      <c r="H53" s="445" t="str">
        <f>RIGHT($X$3,LEN($X$3)-FIND("+",$X$3,1))</f>
        <v>4</v>
      </c>
      <c r="I53" s="472" t="str">
        <f ca="1">INDIRECT(ADDRESS($H53+1,MATCH($G53,$1:$1,),1))</f>
        <v>Canal_04</v>
      </c>
      <c r="J53" s="1"/>
      <c r="K53" s="1"/>
      <c r="M53" s="424" t="str">
        <f>'Конфигурация TREI'!A54</f>
        <v>BR52</v>
      </c>
      <c r="N53" s="461">
        <f>'Конфигурация TREI'!B54</f>
        <v>0</v>
      </c>
      <c r="AE53" s="505"/>
      <c r="AF53" s="505"/>
      <c r="AG53" s="505"/>
      <c r="AH53" s="505"/>
      <c r="AI53" s="505"/>
      <c r="AJ53" s="505"/>
      <c r="AK53" s="505"/>
      <c r="AL53" s="505"/>
      <c r="AM53" s="505"/>
      <c r="AN53" s="505"/>
      <c r="AO53" s="505"/>
      <c r="AP53" s="505"/>
      <c r="AQ53" s="505"/>
      <c r="AR53" s="505"/>
      <c r="AS53" s="505"/>
      <c r="AT53" s="623"/>
      <c r="AU53" s="623"/>
      <c r="AV53" s="623"/>
      <c r="AW53" s="623"/>
      <c r="AX53" s="623"/>
      <c r="AY53" s="623"/>
      <c r="AZ53" s="623"/>
      <c r="BA53" s="623"/>
      <c r="BB53" s="623"/>
      <c r="BC53" s="623"/>
      <c r="BD53" s="623"/>
      <c r="BE53" s="623"/>
    </row>
    <row r="54" spans="1:64">
      <c r="A54" s="483"/>
      <c r="B54" s="457" t="str">
        <f>IF(LEFT(E54,3)="out","INT_TO_BIT_BR","BR")</f>
        <v>BR</v>
      </c>
      <c r="C54" s="455" t="str">
        <f>LEFT($Y$3,FIND("+",$Y$3,1)-1)</f>
        <v>3</v>
      </c>
      <c r="D54" s="455" t="s">
        <v>178</v>
      </c>
      <c r="E54" s="446" t="str">
        <f>IF(OR($Y$2=0,$G58="MOPS",$G58="MUPS"),"УДАЛИТЬ",IFERROR(IF(OR($I54="-",$H54="0"),"КАНАЛ ОТСУТСТВУЕТ",IF($I54=0,"МОДУЛЬ ОТСУТСТВУЕТ",$I54)),"ОШИБКА ФОРМАТА"))</f>
        <v>УДАЛИТЬ</v>
      </c>
      <c r="F54" s="455" t="str">
        <f>" :="&amp;SUBSTITUTE($P$2,"\","|")&amp;"|"&amp; $Y$1 &amp;";"</f>
        <v xml:space="preserve"> :=FB_OZK_KD_S|OXOF;</v>
      </c>
      <c r="G54" s="445" t="str">
        <f>INDEX($N$2:$N$61,C54)</f>
        <v>M548A</v>
      </c>
      <c r="H54" s="445" t="str">
        <f>RIGHT($Y$3,LEN($Y$3)-FIND("+",$Y$3,1))</f>
        <v>5</v>
      </c>
      <c r="I54" s="472" t="str">
        <f ca="1">INDIRECT(ADDRESS($H54+1,MATCH($G54,$1:$1,),1))</f>
        <v>Canal_05</v>
      </c>
      <c r="J54" s="1"/>
      <c r="K54" s="1"/>
      <c r="M54" s="424" t="str">
        <f>'Конфигурация TREI'!A55</f>
        <v>BR53</v>
      </c>
      <c r="N54" s="461">
        <f>'Конфигурация TREI'!B55</f>
        <v>0</v>
      </c>
      <c r="AE54" s="505"/>
      <c r="AF54" s="505"/>
      <c r="AG54" s="505"/>
      <c r="AH54" s="505"/>
      <c r="AI54" s="505"/>
      <c r="AJ54" s="505"/>
      <c r="AK54" s="505"/>
      <c r="AL54" s="505"/>
      <c r="AM54" s="505"/>
      <c r="AN54" s="505"/>
      <c r="AO54" s="505"/>
      <c r="AP54" s="505"/>
      <c r="AQ54" s="505"/>
      <c r="AR54" s="505"/>
      <c r="AS54" s="505"/>
      <c r="AT54" s="623"/>
      <c r="AU54" s="623"/>
      <c r="AV54" s="623"/>
      <c r="AW54" s="623"/>
      <c r="AX54" s="623"/>
      <c r="AY54" s="623"/>
      <c r="AZ54" s="623"/>
      <c r="BA54" s="623"/>
      <c r="BB54" s="623"/>
      <c r="BC54" s="623"/>
      <c r="BD54" s="623"/>
      <c r="BE54" s="623"/>
    </row>
    <row r="55" spans="1:64">
      <c r="A55" s="483" t="str">
        <f>SUBSTITUTE($P$2,"\","|")&amp;"|"&amp;"DOON:="&amp;P4&amp;"NOT_LINK_BR"</f>
        <v>FB_OZK_KD_S|DOON:=NOT_LINK_BR</v>
      </c>
      <c r="B55" s="457"/>
      <c r="C55" s="446"/>
      <c r="D55" s="446"/>
      <c r="E55" s="446" t="str">
        <f ca="1">IF($E53="УДАЛИТЬ","УДАЛИТЬ",IFERROR(LEFT($X$3,FIND("+",$X$3,1)-1),"УДАЛИТЬ"))</f>
        <v>3</v>
      </c>
      <c r="F55" s="455" t="s">
        <v>845</v>
      </c>
      <c r="G55" s="445"/>
      <c r="H55" s="445"/>
      <c r="I55" s="472"/>
      <c r="J55" s="1"/>
      <c r="K55" s="1"/>
      <c r="M55" s="424" t="str">
        <f>'Конфигурация TREI'!A56</f>
        <v>BR54</v>
      </c>
      <c r="N55" s="461">
        <f>'Конфигурация TREI'!B56</f>
        <v>0</v>
      </c>
      <c r="AE55" s="505"/>
      <c r="AF55" s="505"/>
      <c r="AG55" s="505"/>
      <c r="AH55" s="505"/>
      <c r="AI55" s="505"/>
      <c r="AJ55" s="505"/>
      <c r="AK55" s="505"/>
      <c r="AL55" s="505"/>
      <c r="AM55" s="505"/>
      <c r="AN55" s="505"/>
      <c r="AO55" s="505"/>
      <c r="AP55" s="505"/>
      <c r="AQ55" s="505"/>
      <c r="AR55" s="505"/>
      <c r="AS55" s="505"/>
      <c r="AT55" s="623"/>
      <c r="AU55" s="623"/>
      <c r="AV55" s="623"/>
      <c r="AW55" s="623"/>
      <c r="AX55" s="623"/>
      <c r="AY55" s="623"/>
      <c r="AZ55" s="623"/>
      <c r="BA55" s="623"/>
      <c r="BB55" s="623"/>
      <c r="BC55" s="623"/>
      <c r="BD55" s="623"/>
      <c r="BE55" s="623"/>
    </row>
    <row r="56" spans="1:64">
      <c r="A56" s="483" t="str">
        <f>SUBSTITUTE($P$2,"\","|")&amp;"|"&amp;"DOOF:="&amp;P4&amp;"NOT_LINK_BR"</f>
        <v>FB_OZK_KD_S|DOOF:=NOT_LINK_BR</v>
      </c>
      <c r="B56" s="457"/>
      <c r="C56" s="446"/>
      <c r="D56" s="446"/>
      <c r="E56" s="446" t="str">
        <f>IF($E54="УДАЛИТЬ","УДАЛИТЬ",IFERROR(LEFT($Y$3,FIND("+",$Y$3,1)-1),"УДАЛИТЬ"))</f>
        <v>УДАЛИТЬ</v>
      </c>
      <c r="F56" s="455" t="s">
        <v>845</v>
      </c>
      <c r="G56" s="484"/>
      <c r="H56" s="484"/>
      <c r="I56" s="477"/>
      <c r="J56" s="1"/>
      <c r="K56" s="1"/>
      <c r="M56" s="424" t="str">
        <f>'Конфигурация TREI'!A57</f>
        <v>BR55</v>
      </c>
      <c r="N56" s="461">
        <f>'Конфигурация TREI'!B57</f>
        <v>0</v>
      </c>
      <c r="AE56" s="505"/>
      <c r="AF56" s="505"/>
      <c r="AG56" s="505"/>
      <c r="AH56" s="505"/>
      <c r="AI56" s="505"/>
      <c r="AJ56" s="505"/>
      <c r="AK56" s="505"/>
      <c r="AL56" s="505"/>
      <c r="AM56" s="505"/>
      <c r="AN56" s="505"/>
      <c r="AO56" s="505"/>
      <c r="AP56" s="505"/>
      <c r="AQ56" s="505"/>
      <c r="AR56" s="505"/>
      <c r="AS56" s="505"/>
      <c r="AT56" s="623"/>
      <c r="AU56" s="623"/>
      <c r="AV56" s="623"/>
      <c r="AW56" s="623"/>
      <c r="AX56" s="623"/>
      <c r="AY56" s="623"/>
      <c r="AZ56" s="623"/>
      <c r="BA56" s="623"/>
      <c r="BB56" s="623"/>
      <c r="BC56" s="623"/>
      <c r="BD56" s="623"/>
      <c r="BE56" s="623"/>
    </row>
    <row r="57" spans="1:64">
      <c r="A57" s="466" t="str">
        <f>$G$57&amp;"_"&amp;LEFT($X$3,FIND("+",$X$3,1)-1)&amp;"|"</f>
        <v>3+4_3|</v>
      </c>
      <c r="B57" s="468" t="str">
        <f ca="1">IF($X$2=0,"УДАЛИТЬ",IFERROR(IF(OR($I57="-",$H57="0"),"КАНАЛ ОТСУТСТВУЕТ",IF($I57=0,"МОДУЛЬ ОТСУТСТВУЕТ",$I57)),"ОШИБКА ФОРМАТА"))</f>
        <v>УДАЛИТЬ</v>
      </c>
      <c r="C57" s="468" t="s">
        <v>1860</v>
      </c>
      <c r="D57" s="468"/>
      <c r="E57" s="467" t="str">
        <f>IF(OR($G$57="MOPS",$G$57="MUPS"),SUBSTITUTE($P$2,"\","|")&amp;"|"&amp; "OXON" &amp;IF(LEFT(SUBSTITUTE($R$2," ",""),1)="!","NOT  ",""),"УДАЛИТЬ")</f>
        <v>УДАЛИТЬ</v>
      </c>
      <c r="F57" s="680" t="s">
        <v>845</v>
      </c>
      <c r="G57" s="469" t="str">
        <f>LEFT($X$2,4)</f>
        <v>3+4</v>
      </c>
      <c r="H57" s="469" t="str">
        <f>RIGHT(X$3,LEN(X$3)-FIND("+",X$3,1))</f>
        <v>4</v>
      </c>
      <c r="I57" s="470" t="str">
        <f ca="1">IFERROR(INDIRECT(ADDRESS($H57+1+8,MATCH($G57,$1:$1,),1)),"УДАЛИТЬ")</f>
        <v>УДАЛИТЬ</v>
      </c>
      <c r="J57" s="1"/>
      <c r="K57" s="1"/>
      <c r="M57" s="424" t="str">
        <f>'Конфигурация TREI'!A58</f>
        <v>BR56</v>
      </c>
      <c r="N57" s="461">
        <f>'Конфигурация TREI'!B58</f>
        <v>0</v>
      </c>
      <c r="AE57" s="505"/>
      <c r="AF57" s="505"/>
      <c r="AG57" s="505"/>
      <c r="AH57" s="505"/>
      <c r="AI57" s="505"/>
      <c r="AJ57" s="505"/>
      <c r="AK57" s="505"/>
      <c r="AL57" s="505"/>
      <c r="AM57" s="505"/>
      <c r="AN57" s="505"/>
      <c r="AO57" s="505"/>
      <c r="AP57" s="505"/>
      <c r="AQ57" s="505"/>
      <c r="AR57" s="505"/>
      <c r="AS57" s="505"/>
      <c r="AT57" s="623"/>
      <c r="AU57" s="623"/>
      <c r="AV57" s="623"/>
      <c r="AW57" s="623"/>
      <c r="AX57" s="623"/>
      <c r="AY57" s="623"/>
      <c r="AZ57" s="623"/>
      <c r="BA57" s="623"/>
      <c r="BB57" s="623"/>
      <c r="BC57" s="623"/>
      <c r="BD57" s="623"/>
      <c r="BE57" s="623"/>
    </row>
    <row r="58" spans="1:64">
      <c r="A58" s="473" t="str">
        <f>$G$58&amp;"_"&amp;LEFT($Y$3,FIND("+",$Y$3,1)-1)&amp;"|"</f>
        <v>MOPS_3|</v>
      </c>
      <c r="B58" s="475" t="str">
        <f ca="1">IF($Y$2=0,"УДАЛИТЬ",IFERROR(IF(OR($I58="-",$H58="0"),"КАНАЛ ОТСУТСТВУЕТ",IF($I58=0,"МОДУЛЬ ОТСУТСТВУЕТ",$I58)),"ОШИБКА ФОРМАТА"))</f>
        <v>OCCH[4]</v>
      </c>
      <c r="C58" s="475" t="s">
        <v>1860</v>
      </c>
      <c r="D58" s="475"/>
      <c r="E58" s="474" t="str">
        <f>IF(OR($G$58="MOPS",$G$58="MUPS"),SUBSTITUTE($P$2,"\","|")&amp;"|"&amp; "OXOF" &amp;IF(LEFT(SUBSTITUTE($R$2," ",""),1)="!","NOT  ",""),"УДАЛИТЬ")</f>
        <v>FB_OZK_KD_S|OXOF</v>
      </c>
      <c r="F58" s="681" t="s">
        <v>845</v>
      </c>
      <c r="G58" s="476" t="str">
        <f>LEFT($Y$2,4)</f>
        <v>MOPS</v>
      </c>
      <c r="H58" s="476" t="str">
        <f>RIGHT(Y$3,LEN(Y$3)-FIND("+",Y$3,1))</f>
        <v>5</v>
      </c>
      <c r="I58" s="477" t="str">
        <f ca="1">IFERROR(INDIRECT(ADDRESS($H58+1+8,MATCH($G58,$1:$1,),1)),"УДАЛИТЬ")</f>
        <v>OCCH[4]</v>
      </c>
      <c r="J58" s="1"/>
      <c r="K58" s="1"/>
      <c r="M58" s="424" t="str">
        <f>'Конфигурация TREI'!A59</f>
        <v>BR57</v>
      </c>
      <c r="N58" s="461">
        <f>'Конфигурация TREI'!B59</f>
        <v>0</v>
      </c>
      <c r="AE58" s="505"/>
      <c r="AF58" s="505"/>
      <c r="AG58" s="505"/>
      <c r="AH58" s="505"/>
      <c r="AI58" s="505"/>
      <c r="AJ58" s="505"/>
      <c r="AK58" s="505"/>
      <c r="AL58" s="505"/>
      <c r="AM58" s="505"/>
      <c r="AN58" s="505"/>
      <c r="AO58" s="505"/>
      <c r="AP58" s="505"/>
      <c r="AQ58" s="505"/>
      <c r="AR58" s="505"/>
      <c r="AS58" s="505"/>
      <c r="AT58" s="623"/>
      <c r="AU58" s="623"/>
      <c r="AV58" s="623"/>
      <c r="AW58" s="623"/>
      <c r="AX58" s="623"/>
      <c r="AY58" s="623"/>
      <c r="AZ58" s="623"/>
      <c r="BA58" s="623"/>
      <c r="BB58" s="623"/>
      <c r="BC58" s="623"/>
      <c r="BD58" s="623"/>
      <c r="BE58" s="623"/>
    </row>
    <row r="59" spans="1:64">
      <c r="M59" s="424" t="str">
        <f>'Конфигурация TREI'!A60</f>
        <v>BR58</v>
      </c>
      <c r="N59" s="461">
        <f>'Конфигурация TREI'!B60</f>
        <v>0</v>
      </c>
    </row>
    <row r="60" spans="1:64">
      <c r="M60" s="424" t="str">
        <f>'Конфигурация TREI'!A61</f>
        <v>BR59</v>
      </c>
      <c r="N60" s="461">
        <f>'Конфигурация TREI'!B61</f>
        <v>0</v>
      </c>
    </row>
    <row r="61" spans="1:64">
      <c r="M61" s="424" t="str">
        <f>'Конфигурация TREI'!A62</f>
        <v>BR60</v>
      </c>
      <c r="N61" s="461">
        <f>'Конфигурация TREI'!B62</f>
        <v>0</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sheetPr codeName="Лист186">
    <tabColor theme="2" tint="-0.249977111117893"/>
  </sheetPr>
  <dimension ref="A1:BF61"/>
  <sheetViews>
    <sheetView topLeftCell="A25" workbookViewId="0">
      <selection activeCell="D2" sqref="D2:D4"/>
    </sheetView>
  </sheetViews>
  <sheetFormatPr defaultRowHeight="14.4"/>
  <cols>
    <col min="1" max="1" width="35.44140625" customWidth="1"/>
    <col min="2" max="2" width="21.44140625" customWidth="1"/>
    <col min="3" max="3" width="3.44140625" customWidth="1"/>
    <col min="4" max="4" width="1.109375" customWidth="1"/>
    <col min="5" max="5" width="50.88671875" customWidth="1"/>
    <col min="6" max="6" width="24.109375" customWidth="1"/>
    <col min="7" max="7" width="10.5546875" customWidth="1"/>
    <col min="8" max="8" width="14.33203125" customWidth="1"/>
    <col min="9" max="9" width="11.44140625" customWidth="1"/>
    <col min="11" max="11" width="10.88671875" customWidth="1"/>
    <col min="12" max="12" width="11.5546875" customWidth="1"/>
    <col min="13" max="15" width="9.109375" customWidth="1"/>
    <col min="16" max="16" width="34.6640625" customWidth="1"/>
    <col min="17" max="17" width="39.33203125" customWidth="1"/>
    <col min="18" max="30" width="26.109375" style="55" customWidth="1"/>
    <col min="31" max="31" width="4.5546875" style="427" customWidth="1"/>
    <col min="32" max="32" width="11.109375" customWidth="1"/>
  </cols>
  <sheetData>
    <row r="1" spans="1:57">
      <c r="A1" s="425"/>
      <c r="B1" s="425"/>
      <c r="C1" s="425"/>
      <c r="D1" s="425"/>
      <c r="E1" s="425"/>
      <c r="F1" s="425"/>
      <c r="G1" s="426" t="s">
        <v>846</v>
      </c>
      <c r="H1" s="426" t="s">
        <v>847</v>
      </c>
      <c r="I1" s="424" t="s">
        <v>1181</v>
      </c>
      <c r="J1" s="425"/>
      <c r="M1" s="424" t="str">
        <f>'Конфигурация TREI'!A1</f>
        <v>№ Модуля</v>
      </c>
      <c r="N1" s="424" t="str">
        <f>'Конфигурация TREI'!B2</f>
        <v>M501E(рез)</v>
      </c>
      <c r="O1" s="425"/>
      <c r="P1" s="425" t="str">
        <f>Таблица!D1</f>
        <v>Префикс для TREI
Тэг ОРС для INFINITY</v>
      </c>
      <c r="Q1" s="425" t="str">
        <f>Таблица!E1</f>
        <v>Комментарий для TREI и INFINITY</v>
      </c>
      <c r="R1" s="428"/>
      <c r="S1" s="428"/>
      <c r="T1" s="428"/>
      <c r="U1" s="428"/>
      <c r="V1" s="428"/>
      <c r="W1" s="428"/>
      <c r="X1" s="428" t="s">
        <v>851</v>
      </c>
      <c r="Y1" s="428"/>
      <c r="Z1" s="428"/>
      <c r="AA1" s="428"/>
      <c r="AB1" s="428"/>
      <c r="AC1" s="428"/>
      <c r="AD1" s="429"/>
      <c r="AE1" s="438"/>
      <c r="AF1" s="438">
        <f>Настройки!Q1</f>
        <v>0</v>
      </c>
      <c r="AG1" s="438" t="str">
        <f>Настройки!R1</f>
        <v>M943DR</v>
      </c>
      <c r="AH1" s="438" t="str">
        <f>Настройки!S1</f>
        <v>M942A</v>
      </c>
      <c r="AI1" s="438" t="str">
        <f>Настройки!T1</f>
        <v>M957D</v>
      </c>
      <c r="AJ1" s="438" t="str">
        <f>Настройки!U1</f>
        <v>M957O</v>
      </c>
      <c r="AK1" s="438" t="str">
        <f>Настройки!V1</f>
        <v>M947R</v>
      </c>
      <c r="AL1" s="438" t="str">
        <f>Настройки!W1</f>
        <v>M931V</v>
      </c>
      <c r="AM1" s="438" t="str">
        <f>Настройки!X1</f>
        <v>M931T</v>
      </c>
      <c r="AN1" s="438" t="str">
        <f>Настройки!Y1</f>
        <v>M547A</v>
      </c>
      <c r="AO1" s="438" t="str">
        <f>Настройки!Z1</f>
        <v>M537V</v>
      </c>
      <c r="AP1" s="438" t="str">
        <f>Настройки!AA1</f>
        <v>M557D</v>
      </c>
      <c r="AQ1" s="438" t="str">
        <f>Настройки!AB1</f>
        <v>M557O</v>
      </c>
      <c r="AR1" s="438" t="str">
        <f>Настройки!AC1</f>
        <v>MOPS</v>
      </c>
      <c r="AS1" s="438" t="str">
        <f>Настройки!AD1</f>
        <v>MUPS</v>
      </c>
      <c r="AT1" s="439" t="str">
        <f>Настройки!AB1</f>
        <v>M557O</v>
      </c>
      <c r="AU1" s="439" t="str">
        <f>Настройки!AC1</f>
        <v>MOPS</v>
      </c>
      <c r="AV1" s="439" t="str">
        <f>Настройки!AD1</f>
        <v>MUPS</v>
      </c>
      <c r="AW1" s="439" t="str">
        <f>Настройки!AE1</f>
        <v>M941A</v>
      </c>
      <c r="AX1" s="439" t="str">
        <f>Настройки!AF1</f>
        <v>M954D</v>
      </c>
      <c r="AY1" s="439" t="str">
        <f>Настройки!AG1</f>
        <v>M557DR</v>
      </c>
      <c r="AZ1" s="439" t="str">
        <f>Настройки!AH1</f>
        <v>M558D</v>
      </c>
      <c r="BA1" s="439" t="str">
        <f>Настройки!AI1</f>
        <v>M558O</v>
      </c>
      <c r="BB1" s="439" t="str">
        <f>Настройки!AJ1</f>
        <v>M548A</v>
      </c>
      <c r="BC1" s="439" t="str">
        <f>Настройки!AK1</f>
        <v>M538V</v>
      </c>
      <c r="BD1" s="439" t="str">
        <f>Настройки!AL1</f>
        <v>M558DR</v>
      </c>
      <c r="BE1" s="439" t="str">
        <f>Настройки!AM1</f>
        <v>*</v>
      </c>
    </row>
    <row r="2" spans="1:57">
      <c r="A2" s="81"/>
      <c r="B2" s="81"/>
      <c r="C2" s="81"/>
      <c r="D2" s="81"/>
      <c r="E2" s="81"/>
      <c r="F2" s="81"/>
      <c r="G2" s="445"/>
      <c r="H2" s="445"/>
      <c r="I2" s="462"/>
      <c r="M2" s="424" t="str">
        <f>'Конфигурация TREI'!A3</f>
        <v>BR1</v>
      </c>
      <c r="N2" s="424" t="str">
        <f>'Конфигурация TREI'!B3</f>
        <v>M558D</v>
      </c>
      <c r="P2" s="2" t="s">
        <v>793</v>
      </c>
      <c r="Q2" s="2" t="s">
        <v>1862</v>
      </c>
      <c r="R2" s="379"/>
      <c r="S2" s="378"/>
      <c r="T2" s="378"/>
      <c r="U2" s="378"/>
      <c r="V2" s="378"/>
      <c r="W2" s="378"/>
      <c r="X2" s="378" t="s">
        <v>1865</v>
      </c>
      <c r="Y2" s="378"/>
      <c r="Z2" s="378"/>
      <c r="AA2" s="378"/>
      <c r="AB2" s="378"/>
      <c r="AC2" s="378"/>
      <c r="AE2" s="431">
        <f>Настройки!P2</f>
        <v>1</v>
      </c>
      <c r="AF2" s="380">
        <f>Настройки!Q2</f>
        <v>0</v>
      </c>
      <c r="AG2" s="380" t="str">
        <f>Настройки!R2</f>
        <v>IDIG_1_1</v>
      </c>
      <c r="AH2" s="380" t="str">
        <f>Настройки!S2</f>
        <v>IANS_1_3</v>
      </c>
      <c r="AI2" s="380" t="str">
        <f>Настройки!T2</f>
        <v>out0</v>
      </c>
      <c r="AJ2" s="380" t="str">
        <f>Настройки!U2</f>
        <v>out0</v>
      </c>
      <c r="AK2" s="380" t="str">
        <f>Настройки!V2</f>
        <v>ODIG_1</v>
      </c>
      <c r="AL2" s="380" t="str">
        <f>Настройки!W2</f>
        <v>OAN_1_1</v>
      </c>
      <c r="AM2" s="380" t="str">
        <f>Настройки!X2</f>
        <v>IANS_1_1</v>
      </c>
      <c r="AN2" s="380" t="str">
        <f>Настройки!Y2</f>
        <v>Canal_01</v>
      </c>
      <c r="AO2" s="380" t="str">
        <f>Настройки!Z2</f>
        <v>Canal_01</v>
      </c>
      <c r="AP2" s="380" t="str">
        <f>Настройки!AA2</f>
        <v>Canal_01</v>
      </c>
      <c r="AQ2" s="380" t="str">
        <f>Настройки!AB2</f>
        <v>Canal_01</v>
      </c>
      <c r="AR2" s="380" t="str">
        <f>Настройки!AC2</f>
        <v>IVXX[0]</v>
      </c>
      <c r="AS2" s="380" t="str">
        <f>Настройки!AD2</f>
        <v>IVXX[0]</v>
      </c>
      <c r="AT2" s="207" t="str">
        <f>Настройки!AB2</f>
        <v>Canal_01</v>
      </c>
      <c r="AU2" s="207" t="str">
        <f>Настройки!AC2</f>
        <v>IVXX[0]</v>
      </c>
      <c r="AV2" s="207" t="str">
        <f>Настройки!AD2</f>
        <v>IVXX[0]</v>
      </c>
      <c r="AW2" s="207" t="str">
        <f>Настройки!AE2</f>
        <v>IANS_1_1</v>
      </c>
      <c r="AX2" s="207" t="str">
        <f>Настройки!AF2</f>
        <v>IDIG_1_1</v>
      </c>
      <c r="AY2" s="207" t="str">
        <f>Настройки!AG2</f>
        <v>Canal_01</v>
      </c>
      <c r="AZ2" s="207" t="str">
        <f>Настройки!AH2</f>
        <v>Canal_01</v>
      </c>
      <c r="BA2" s="207" t="str">
        <f>Настройки!AI2</f>
        <v>Canal_01</v>
      </c>
      <c r="BB2" s="207" t="str">
        <f>Настройки!AJ2</f>
        <v>Canal_01</v>
      </c>
      <c r="BC2" s="207" t="str">
        <f>Настройки!AK2</f>
        <v>Canal_01</v>
      </c>
      <c r="BD2" s="207" t="str">
        <f>Настройки!AL2</f>
        <v>Canal_01</v>
      </c>
      <c r="BE2" s="207" t="str">
        <f>Настройки!AM2</f>
        <v>-</v>
      </c>
    </row>
    <row r="3" spans="1:57">
      <c r="A3" s="82"/>
      <c r="B3" s="82"/>
      <c r="C3" s="81"/>
      <c r="D3" s="81"/>
      <c r="E3" s="82"/>
      <c r="F3" s="81"/>
      <c r="G3" s="445"/>
      <c r="H3" s="445"/>
      <c r="I3" s="462"/>
      <c r="M3" s="424" t="str">
        <f>'Конфигурация TREI'!A4</f>
        <v>BR2</v>
      </c>
      <c r="N3" s="424" t="str">
        <f>'Конфигурация TREI'!B4</f>
        <v>M548A</v>
      </c>
      <c r="P3" s="425" t="str">
        <f>'Конфигурация TREI'!D1</f>
        <v>Путь TREI для сигналов NOT_LINK</v>
      </c>
      <c r="R3" s="451" t="str">
        <f>SUBSTITUTE(SUBSTITUTE($R$2,"!","")," ","")</f>
        <v/>
      </c>
      <c r="S3" s="451" t="str">
        <f t="shared" ref="S3:W3" si="0">SUBSTITUTE(SUBSTITUTE($R$2,"!","")," ","")</f>
        <v/>
      </c>
      <c r="T3" s="451" t="str">
        <f t="shared" si="0"/>
        <v/>
      </c>
      <c r="U3" s="451" t="str">
        <f t="shared" si="0"/>
        <v/>
      </c>
      <c r="V3" s="451" t="str">
        <f t="shared" si="0"/>
        <v/>
      </c>
      <c r="W3" s="451" t="str">
        <f t="shared" si="0"/>
        <v/>
      </c>
      <c r="X3" s="451" t="str">
        <f>SUBSTITUTE(SUBSTITUTE($X$2,"!","")," ","")</f>
        <v>8+8</v>
      </c>
      <c r="Y3" s="450"/>
      <c r="Z3" s="450"/>
      <c r="AA3" s="450"/>
      <c r="AB3" s="450"/>
      <c r="AC3" s="450"/>
      <c r="AE3" s="431">
        <f>Настройки!P3</f>
        <v>2</v>
      </c>
      <c r="AF3" s="380">
        <f>Настройки!Q3</f>
        <v>0</v>
      </c>
      <c r="AG3" s="380" t="str">
        <f>Настройки!R3</f>
        <v>IDIG_1_2</v>
      </c>
      <c r="AH3" s="380" t="str">
        <f>Настройки!S3</f>
        <v>IANS_1_4</v>
      </c>
      <c r="AI3" s="380" t="str">
        <f>Настройки!T3</f>
        <v>out1</v>
      </c>
      <c r="AJ3" s="380" t="str">
        <f>Настройки!U3</f>
        <v>out1</v>
      </c>
      <c r="AK3" s="380" t="str">
        <f>Настройки!V3</f>
        <v>ODIG_2</v>
      </c>
      <c r="AL3" s="380" t="str">
        <f>Настройки!W3</f>
        <v>OAN_2_1</v>
      </c>
      <c r="AM3" s="380" t="str">
        <f>Настройки!X3</f>
        <v>IANS_2_1</v>
      </c>
      <c r="AN3" s="380" t="str">
        <f>Настройки!Y3</f>
        <v>Canal_02</v>
      </c>
      <c r="AO3" s="380" t="str">
        <f>Настройки!Z3</f>
        <v>Canal_02</v>
      </c>
      <c r="AP3" s="380" t="str">
        <f>Настройки!AA3</f>
        <v>Canal_02</v>
      </c>
      <c r="AQ3" s="380" t="str">
        <f>Настройки!AB3</f>
        <v>Canal_02</v>
      </c>
      <c r="AR3" s="380" t="str">
        <f>Настройки!AC3</f>
        <v>IVXX[1]</v>
      </c>
      <c r="AS3" s="380" t="str">
        <f>Настройки!AD3</f>
        <v>IVXX[1]</v>
      </c>
      <c r="AT3" s="207" t="str">
        <f>Настройки!AB3</f>
        <v>Canal_02</v>
      </c>
      <c r="AU3" s="207" t="str">
        <f>Настройки!AC3</f>
        <v>IVXX[1]</v>
      </c>
      <c r="AV3" s="207" t="str">
        <f>Настройки!AD3</f>
        <v>IVXX[1]</v>
      </c>
      <c r="AW3" s="207" t="str">
        <f>Настройки!AE3</f>
        <v>IANS_1_2</v>
      </c>
      <c r="AX3" s="207" t="str">
        <f>Настройки!AF3</f>
        <v>IDIG_1_2</v>
      </c>
      <c r="AY3" s="207" t="str">
        <f>Настройки!AG3</f>
        <v>Canal_02</v>
      </c>
      <c r="AZ3" s="207" t="str">
        <f>Настройки!AH3</f>
        <v>Canal_02</v>
      </c>
      <c r="BA3" s="207" t="str">
        <f>Настройки!AI3</f>
        <v>Canal_02</v>
      </c>
      <c r="BB3" s="207" t="str">
        <f>Настройки!AJ3</f>
        <v>Canal_02</v>
      </c>
      <c r="BC3" s="207" t="str">
        <f>Настройки!AK3</f>
        <v>Canal_02</v>
      </c>
      <c r="BD3" s="207" t="str">
        <f>Настройки!AL3</f>
        <v>Canal_02</v>
      </c>
      <c r="BE3" s="207" t="str">
        <f>Настройки!AM3</f>
        <v>-</v>
      </c>
    </row>
    <row r="4" spans="1:57">
      <c r="A4" s="82"/>
      <c r="B4" s="82"/>
      <c r="C4" s="81"/>
      <c r="D4" s="81"/>
      <c r="E4" s="81"/>
      <c r="F4" s="81"/>
      <c r="G4" s="445"/>
      <c r="H4" s="445"/>
      <c r="I4" s="460"/>
      <c r="M4" s="424" t="str">
        <f>'Конфигурация TREI'!A5</f>
        <v>BR3</v>
      </c>
      <c r="N4" s="424" t="str">
        <f>'Конфигурация TREI'!B5</f>
        <v>M548A</v>
      </c>
      <c r="P4" s="3" t="str">
        <f>Настройки!D2</f>
        <v/>
      </c>
      <c r="AE4" s="431">
        <f>Настройки!P4</f>
        <v>3</v>
      </c>
      <c r="AF4" s="380">
        <f>Настройки!Q4</f>
        <v>0</v>
      </c>
      <c r="AG4" s="380" t="str">
        <f>Настройки!R4</f>
        <v>IDIG_2_1</v>
      </c>
      <c r="AH4" s="380" t="str">
        <f>Настройки!S4</f>
        <v>IANS_2_3</v>
      </c>
      <c r="AI4" s="380" t="str">
        <f>Настройки!T4</f>
        <v>out2</v>
      </c>
      <c r="AJ4" s="380" t="str">
        <f>Настройки!U4</f>
        <v>out2</v>
      </c>
      <c r="AK4" s="380" t="str">
        <f>Настройки!V4</f>
        <v>ODIG_3</v>
      </c>
      <c r="AL4" s="380" t="str">
        <f>Настройки!W4</f>
        <v>OAN_3_1</v>
      </c>
      <c r="AM4" s="380" t="str">
        <f>Настройки!X4</f>
        <v>IANS_3_1</v>
      </c>
      <c r="AN4" s="380" t="str">
        <f>Настройки!Y4</f>
        <v>Canal_03</v>
      </c>
      <c r="AO4" s="380" t="str">
        <f>Настройки!Z4</f>
        <v>Canal_03</v>
      </c>
      <c r="AP4" s="380" t="str">
        <f>Настройки!AA4</f>
        <v>Canal_03</v>
      </c>
      <c r="AQ4" s="380" t="str">
        <f>Настройки!AB4</f>
        <v>Canal_03</v>
      </c>
      <c r="AR4" s="380" t="str">
        <f>Настройки!AC4</f>
        <v>IVXX[2]</v>
      </c>
      <c r="AS4" s="380" t="str">
        <f>Настройки!AD4</f>
        <v>IVXX[2]</v>
      </c>
      <c r="AT4" s="207" t="str">
        <f>Настройки!AB4</f>
        <v>Canal_03</v>
      </c>
      <c r="AU4" s="207" t="str">
        <f>Настройки!AC4</f>
        <v>IVXX[2]</v>
      </c>
      <c r="AV4" s="207" t="str">
        <f>Настройки!AD4</f>
        <v>IVXX[2]</v>
      </c>
      <c r="AW4" s="207" t="str">
        <f>Настройки!AE4</f>
        <v>IANS_2_1</v>
      </c>
      <c r="AX4" s="207" t="str">
        <f>Настройки!AF4</f>
        <v>IDIG_1_3</v>
      </c>
      <c r="AY4" s="207" t="str">
        <f>Настройки!AG4</f>
        <v>Canal_03</v>
      </c>
      <c r="AZ4" s="207" t="str">
        <f>Настройки!AH4</f>
        <v>Canal_03</v>
      </c>
      <c r="BA4" s="207" t="str">
        <f>Настройки!AI4</f>
        <v>Canal_03</v>
      </c>
      <c r="BB4" s="207" t="str">
        <f>Настройки!AJ4</f>
        <v>Canal_03</v>
      </c>
      <c r="BC4" s="207" t="str">
        <f>Настройки!AK4</f>
        <v>Canal_03</v>
      </c>
      <c r="BD4" s="207" t="str">
        <f>Настройки!AL4</f>
        <v>Canal_03</v>
      </c>
      <c r="BE4" s="207" t="str">
        <f>Настройки!AM4</f>
        <v>-</v>
      </c>
    </row>
    <row r="5" spans="1:57" ht="14.25" customHeight="1">
      <c r="A5" s="82"/>
      <c r="B5" s="82"/>
      <c r="C5" s="81"/>
      <c r="D5" s="81"/>
      <c r="E5" s="81"/>
      <c r="F5" s="81"/>
      <c r="G5" s="445"/>
      <c r="H5" s="445"/>
      <c r="I5" s="460"/>
      <c r="M5" s="424" t="str">
        <f>'Конфигурация TREI'!A6</f>
        <v>BR4</v>
      </c>
      <c r="N5" s="424" t="str">
        <f>'Конфигурация TREI'!B6</f>
        <v>M558D</v>
      </c>
      <c r="R5" s="56"/>
      <c r="AE5" s="431">
        <f>Настройки!P5</f>
        <v>4</v>
      </c>
      <c r="AF5" s="380">
        <f>Настройки!Q5</f>
        <v>0</v>
      </c>
      <c r="AG5" s="380" t="str">
        <f>Настройки!R5</f>
        <v>IDIG_2_2</v>
      </c>
      <c r="AH5" s="380" t="str">
        <f>Настройки!S5</f>
        <v>IANS_2_4</v>
      </c>
      <c r="AI5" s="380" t="str">
        <f>Настройки!T5</f>
        <v>out3</v>
      </c>
      <c r="AJ5" s="380" t="str">
        <f>Настройки!U5</f>
        <v>out3</v>
      </c>
      <c r="AK5" s="380" t="str">
        <f>Настройки!V5</f>
        <v>ODIG_4</v>
      </c>
      <c r="AL5" s="380" t="str">
        <f>Настройки!W5</f>
        <v>OAN_4_1</v>
      </c>
      <c r="AM5" s="380" t="str">
        <f>Настройки!X5</f>
        <v>IANS_4_1</v>
      </c>
      <c r="AN5" s="380" t="str">
        <f>Настройки!Y5</f>
        <v>Canal_04</v>
      </c>
      <c r="AO5" s="380" t="str">
        <f>Настройки!Z5</f>
        <v>Canal_04</v>
      </c>
      <c r="AP5" s="380" t="str">
        <f>Настройки!AA5</f>
        <v>Canal_04</v>
      </c>
      <c r="AQ5" s="380" t="str">
        <f>Настройки!AB5</f>
        <v>Canal_04</v>
      </c>
      <c r="AR5" s="380" t="str">
        <f>Настройки!AC5</f>
        <v>IVXX[3]</v>
      </c>
      <c r="AS5" s="380" t="str">
        <f>Настройки!AD5</f>
        <v>IVXX[3]</v>
      </c>
      <c r="AT5" s="207" t="str">
        <f>Настройки!AB5</f>
        <v>Canal_04</v>
      </c>
      <c r="AU5" s="207" t="str">
        <f>Настройки!AC5</f>
        <v>IVXX[3]</v>
      </c>
      <c r="AV5" s="207" t="str">
        <f>Настройки!AD5</f>
        <v>IVXX[3]</v>
      </c>
      <c r="AW5" s="207" t="str">
        <f>Настройки!AE5</f>
        <v>IANS_2_2</v>
      </c>
      <c r="AX5" s="207" t="str">
        <f>Настройки!AF5</f>
        <v>IDIG_1_4</v>
      </c>
      <c r="AY5" s="207" t="str">
        <f>Настройки!AG5</f>
        <v>Canal_04</v>
      </c>
      <c r="AZ5" s="207" t="str">
        <f>Настройки!AH5</f>
        <v>Canal_04</v>
      </c>
      <c r="BA5" s="207" t="str">
        <f>Настройки!AI5</f>
        <v>Canal_04</v>
      </c>
      <c r="BB5" s="207" t="str">
        <f>Настройки!AJ5</f>
        <v>Canal_04</v>
      </c>
      <c r="BC5" s="207" t="str">
        <f>Настройки!AK5</f>
        <v>Canal_04</v>
      </c>
      <c r="BD5" s="207" t="str">
        <f>Настройки!AL5</f>
        <v>Canal_04</v>
      </c>
      <c r="BE5" s="207" t="str">
        <f>Настройки!AM5</f>
        <v>-</v>
      </c>
    </row>
    <row r="6" spans="1:57">
      <c r="A6" s="82"/>
      <c r="B6" s="82"/>
      <c r="C6" s="81"/>
      <c r="D6" s="81"/>
      <c r="E6" s="82"/>
      <c r="F6" s="81"/>
      <c r="G6" s="445"/>
      <c r="H6" s="445"/>
      <c r="I6" s="460"/>
      <c r="M6" s="424" t="str">
        <f>'Конфигурация TREI'!A7</f>
        <v>BR5</v>
      </c>
      <c r="N6" s="424" t="str">
        <f>'Конфигурация TREI'!B7</f>
        <v>M558O</v>
      </c>
      <c r="AE6" s="431">
        <f>Настройки!P6</f>
        <v>5</v>
      </c>
      <c r="AF6" s="380">
        <f>Настройки!Q6</f>
        <v>0</v>
      </c>
      <c r="AG6" s="380" t="str">
        <f>Настройки!R6</f>
        <v>IDIG_3_1</v>
      </c>
      <c r="AH6" s="380" t="str">
        <f>Настройки!S6</f>
        <v>IANS_3_3</v>
      </c>
      <c r="AI6" s="380" t="str">
        <f>Настройки!T6</f>
        <v>out4</v>
      </c>
      <c r="AJ6" s="380" t="str">
        <f>Настройки!U6</f>
        <v>out4</v>
      </c>
      <c r="AK6" s="380" t="str">
        <f>Настройки!V6</f>
        <v>ODIG_5</v>
      </c>
      <c r="AL6" s="380" t="str">
        <f>Настройки!W6</f>
        <v>OAN_5_1</v>
      </c>
      <c r="AM6" s="380" t="str">
        <f>Настройки!X6</f>
        <v>IANS_5_1</v>
      </c>
      <c r="AN6" s="380" t="str">
        <f>Настройки!Y6</f>
        <v>Canal_05</v>
      </c>
      <c r="AO6" s="380" t="str">
        <f>Настройки!Z6</f>
        <v>Canal_05</v>
      </c>
      <c r="AP6" s="380" t="str">
        <f>Настройки!AA6</f>
        <v>Canal_05</v>
      </c>
      <c r="AQ6" s="380" t="str">
        <f>Настройки!AB6</f>
        <v>Canal_05</v>
      </c>
      <c r="AR6" s="380" t="str">
        <f>Настройки!AC6</f>
        <v>IVXX[4]</v>
      </c>
      <c r="AS6" s="380" t="str">
        <f>Настройки!AD6</f>
        <v>IVXX[4]</v>
      </c>
      <c r="AT6" s="207" t="str">
        <f>Настройки!AB6</f>
        <v>Canal_05</v>
      </c>
      <c r="AU6" s="207" t="str">
        <f>Настройки!AC6</f>
        <v>IVXX[4]</v>
      </c>
      <c r="AV6" s="207" t="str">
        <f>Настройки!AD6</f>
        <v>IVXX[4]</v>
      </c>
      <c r="AW6" s="207" t="str">
        <f>Настройки!AE6</f>
        <v>IANS_3_1</v>
      </c>
      <c r="AX6" s="207" t="str">
        <f>Настройки!AF6</f>
        <v>IDIG_2_1</v>
      </c>
      <c r="AY6" s="207" t="str">
        <f>Настройки!AG6</f>
        <v>Canal_05</v>
      </c>
      <c r="AZ6" s="207" t="str">
        <f>Настройки!AH6</f>
        <v>Canal_05</v>
      </c>
      <c r="BA6" s="207" t="str">
        <f>Настройки!AI6</f>
        <v>Canal_05</v>
      </c>
      <c r="BB6" s="207" t="str">
        <f>Настройки!AJ6</f>
        <v>Canal_05</v>
      </c>
      <c r="BC6" s="207" t="str">
        <f>Настройки!AK6</f>
        <v>Canal_05</v>
      </c>
      <c r="BD6" s="207" t="str">
        <f>Настройки!AL6</f>
        <v>Canal_05</v>
      </c>
      <c r="BE6" s="207" t="str">
        <f>Настройки!AM6</f>
        <v>-</v>
      </c>
    </row>
    <row r="7" spans="1:57">
      <c r="A7" s="82"/>
      <c r="B7" s="82"/>
      <c r="C7" s="81"/>
      <c r="D7" s="81"/>
      <c r="E7" s="82"/>
      <c r="F7" s="81"/>
      <c r="G7" s="445"/>
      <c r="H7" s="445"/>
      <c r="I7" s="460"/>
      <c r="M7" s="424" t="str">
        <f>'Конфигурация TREI'!A8</f>
        <v>BR6</v>
      </c>
      <c r="N7" s="424" t="str">
        <f>'Конфигурация TREI'!B8</f>
        <v>M558O</v>
      </c>
      <c r="AE7" s="431">
        <f>Настройки!P7</f>
        <v>6</v>
      </c>
      <c r="AF7" s="380">
        <f>Настройки!Q7</f>
        <v>0</v>
      </c>
      <c r="AG7" s="380" t="str">
        <f>Настройки!R7</f>
        <v>IDIG_3_2</v>
      </c>
      <c r="AH7" s="380" t="str">
        <f>Настройки!S7</f>
        <v>IANS_3_4</v>
      </c>
      <c r="AI7" s="380" t="str">
        <f>Настройки!T7</f>
        <v>out5</v>
      </c>
      <c r="AJ7" s="380" t="str">
        <f>Настройки!U7</f>
        <v>out5</v>
      </c>
      <c r="AK7" s="380" t="str">
        <f>Настройки!V7</f>
        <v>ODIG_6</v>
      </c>
      <c r="AL7" s="380" t="str">
        <f>Настройки!W7</f>
        <v>OAN_6_1</v>
      </c>
      <c r="AM7" s="380" t="str">
        <f>Настройки!X7</f>
        <v>IANS_6_1</v>
      </c>
      <c r="AN7" s="380" t="str">
        <f>Настройки!Y7</f>
        <v>Canal_06</v>
      </c>
      <c r="AO7" s="380" t="str">
        <f>Настройки!Z7</f>
        <v>Canal_06</v>
      </c>
      <c r="AP7" s="380" t="str">
        <f>Настройки!AA7</f>
        <v>Canal_06</v>
      </c>
      <c r="AQ7" s="380" t="str">
        <f>Настройки!AB7</f>
        <v>Canal_06</v>
      </c>
      <c r="AR7" s="380" t="str">
        <f>Настройки!AC7</f>
        <v>IVXX[5]</v>
      </c>
      <c r="AS7" s="380" t="str">
        <f>Настройки!AD7</f>
        <v>IVXX[5]</v>
      </c>
      <c r="AT7" s="207" t="str">
        <f>Настройки!AB7</f>
        <v>Canal_06</v>
      </c>
      <c r="AU7" s="207" t="str">
        <f>Настройки!AC7</f>
        <v>IVXX[5]</v>
      </c>
      <c r="AV7" s="207" t="str">
        <f>Настройки!AD7</f>
        <v>IVXX[5]</v>
      </c>
      <c r="AW7" s="207" t="str">
        <f>Настройки!AE7</f>
        <v>IANS_3_2</v>
      </c>
      <c r="AX7" s="207" t="str">
        <f>Настройки!AF7</f>
        <v>IDIG_2_2</v>
      </c>
      <c r="AY7" s="207" t="str">
        <f>Настройки!AG7</f>
        <v>Canal_06</v>
      </c>
      <c r="AZ7" s="207" t="str">
        <f>Настройки!AH7</f>
        <v>Canal_06</v>
      </c>
      <c r="BA7" s="207" t="str">
        <f>Настройки!AI7</f>
        <v>Canal_06</v>
      </c>
      <c r="BB7" s="207" t="str">
        <f>Настройки!AJ7</f>
        <v>Canal_06</v>
      </c>
      <c r="BC7" s="207" t="str">
        <f>Настройки!AK7</f>
        <v>Canal_06</v>
      </c>
      <c r="BD7" s="207" t="str">
        <f>Настройки!AL7</f>
        <v>Canal_06</v>
      </c>
      <c r="BE7" s="207" t="str">
        <f>Настройки!AM7</f>
        <v>-</v>
      </c>
    </row>
    <row r="8" spans="1:57">
      <c r="A8" s="82"/>
      <c r="B8" s="82"/>
      <c r="C8" s="81"/>
      <c r="D8" s="81"/>
      <c r="E8" s="82"/>
      <c r="F8" s="81"/>
      <c r="G8" s="445"/>
      <c r="H8" s="445"/>
      <c r="I8" s="460"/>
      <c r="M8" s="424" t="str">
        <f>'Конфигурация TREI'!A9</f>
        <v>BR7</v>
      </c>
      <c r="N8" s="424" t="str">
        <f>'Конфигурация TREI'!B9</f>
        <v>M558O</v>
      </c>
      <c r="AE8" s="431">
        <f>Настройки!P8</f>
        <v>7</v>
      </c>
      <c r="AF8" s="380">
        <f>Настройки!Q8</f>
        <v>0</v>
      </c>
      <c r="AG8" s="380" t="str">
        <f>Настройки!R8</f>
        <v>IDIG_4_1</v>
      </c>
      <c r="AH8" s="380" t="str">
        <f>Настройки!S8</f>
        <v>IANS_4_3</v>
      </c>
      <c r="AI8" s="380" t="str">
        <f>Настройки!T8</f>
        <v>out6</v>
      </c>
      <c r="AJ8" s="380" t="str">
        <f>Настройки!U8</f>
        <v>out6</v>
      </c>
      <c r="AK8" s="380" t="str">
        <f>Настройки!V8</f>
        <v>ODIG_7</v>
      </c>
      <c r="AL8" s="380" t="str">
        <f>Настройки!W8</f>
        <v>OAN_7_1</v>
      </c>
      <c r="AM8" s="380" t="str">
        <f>Настройки!X8</f>
        <v>IANS_7_1</v>
      </c>
      <c r="AN8" s="380" t="str">
        <f>Настройки!Y8</f>
        <v>Canal_07</v>
      </c>
      <c r="AO8" s="380" t="str">
        <f>Настройки!Z8</f>
        <v>Canal_07</v>
      </c>
      <c r="AP8" s="380" t="str">
        <f>Настройки!AA8</f>
        <v>Canal_07</v>
      </c>
      <c r="AQ8" s="380" t="str">
        <f>Настройки!AB8</f>
        <v>Canal_07</v>
      </c>
      <c r="AR8" s="380" t="str">
        <f>Настройки!AC8</f>
        <v>IVXX[6]</v>
      </c>
      <c r="AS8" s="380" t="str">
        <f>Настройки!AD8</f>
        <v>IVXX[6]</v>
      </c>
      <c r="AT8" s="207" t="str">
        <f>Настройки!AB8</f>
        <v>Canal_07</v>
      </c>
      <c r="AU8" s="207" t="str">
        <f>Настройки!AC8</f>
        <v>IVXX[6]</v>
      </c>
      <c r="AV8" s="207" t="str">
        <f>Настройки!AD8</f>
        <v>IVXX[6]</v>
      </c>
      <c r="AW8" s="207" t="str">
        <f>Настройки!AE8</f>
        <v>IANS_4_1</v>
      </c>
      <c r="AX8" s="207" t="str">
        <f>Настройки!AF8</f>
        <v>IDIG_2_3</v>
      </c>
      <c r="AY8" s="207" t="str">
        <f>Настройки!AG8</f>
        <v>Canal_07</v>
      </c>
      <c r="AZ8" s="207" t="str">
        <f>Настройки!AH8</f>
        <v>Canal_07</v>
      </c>
      <c r="BA8" s="207" t="str">
        <f>Настройки!AI8</f>
        <v>Canal_07</v>
      </c>
      <c r="BB8" s="207" t="str">
        <f>Настройки!AJ8</f>
        <v>Canal_07</v>
      </c>
      <c r="BC8" s="207" t="str">
        <f>Настройки!AK8</f>
        <v>Canal_07</v>
      </c>
      <c r="BD8" s="207" t="str">
        <f>Настройки!AL8</f>
        <v>Canal_07</v>
      </c>
      <c r="BE8" s="207" t="str">
        <f>Настройки!AM8</f>
        <v>-</v>
      </c>
    </row>
    <row r="9" spans="1:57">
      <c r="A9" s="82"/>
      <c r="B9" s="82"/>
      <c r="C9" s="81"/>
      <c r="D9" s="81"/>
      <c r="E9" s="82"/>
      <c r="F9" s="81"/>
      <c r="G9" s="445"/>
      <c r="H9" s="445"/>
      <c r="I9" s="1"/>
      <c r="M9" s="424" t="str">
        <f>'Конфигурация TREI'!A10</f>
        <v>BR8</v>
      </c>
      <c r="N9" s="424" t="str">
        <f>'Конфигурация TREI'!B10</f>
        <v>M558O</v>
      </c>
      <c r="AE9" s="431">
        <f>Настройки!P9</f>
        <v>8</v>
      </c>
      <c r="AF9" s="380">
        <f>Настройки!Q9</f>
        <v>0</v>
      </c>
      <c r="AG9" s="380" t="str">
        <f>Настройки!R9</f>
        <v>IDIG_4_2</v>
      </c>
      <c r="AH9" s="380" t="str">
        <f>Настройки!S9</f>
        <v>IANS_4_4</v>
      </c>
      <c r="AI9" s="380" t="str">
        <f>Настройки!T9</f>
        <v>out7</v>
      </c>
      <c r="AJ9" s="380" t="str">
        <f>Настройки!U9</f>
        <v>out7</v>
      </c>
      <c r="AK9" s="380" t="str">
        <f>Настройки!V9</f>
        <v>ODIG_8</v>
      </c>
      <c r="AL9" s="380" t="str">
        <f>Настройки!W9</f>
        <v>OAN_8_1</v>
      </c>
      <c r="AM9" s="380" t="str">
        <f>Настройки!X9</f>
        <v>IANS_8_1</v>
      </c>
      <c r="AN9" s="380" t="str">
        <f>Настройки!Y9</f>
        <v>Canal_08</v>
      </c>
      <c r="AO9" s="380" t="str">
        <f>Настройки!Z9</f>
        <v>Canal_08</v>
      </c>
      <c r="AP9" s="380" t="str">
        <f>Настройки!AA9</f>
        <v>Canal_08</v>
      </c>
      <c r="AQ9" s="380" t="str">
        <f>Настройки!AB9</f>
        <v>Canal_08</v>
      </c>
      <c r="AR9" s="380" t="str">
        <f>Настройки!AC9</f>
        <v>IVXX[7]</v>
      </c>
      <c r="AS9" s="380" t="str">
        <f>Настройки!AD9</f>
        <v>IVXX[7]</v>
      </c>
      <c r="AT9" s="207" t="str">
        <f>Настройки!AB9</f>
        <v>Canal_08</v>
      </c>
      <c r="AU9" s="207" t="str">
        <f>Настройки!AC9</f>
        <v>IVXX[7]</v>
      </c>
      <c r="AV9" s="207" t="str">
        <f>Настройки!AD9</f>
        <v>IVXX[7]</v>
      </c>
      <c r="AW9" s="207" t="str">
        <f>Настройки!AE9</f>
        <v>IANS_4_2</v>
      </c>
      <c r="AX9" s="207" t="str">
        <f>Настройки!AF9</f>
        <v>IDIG_2_4</v>
      </c>
      <c r="AY9" s="207" t="str">
        <f>Настройки!AG9</f>
        <v>Canal_08</v>
      </c>
      <c r="AZ9" s="207" t="str">
        <f>Настройки!AH9</f>
        <v>Canal_08</v>
      </c>
      <c r="BA9" s="207" t="str">
        <f>Настройки!AI9</f>
        <v>Canal_08</v>
      </c>
      <c r="BB9" s="207" t="str">
        <f>Настройки!AJ9</f>
        <v>Canal_08</v>
      </c>
      <c r="BC9" s="207" t="str">
        <f>Настройки!AK9</f>
        <v>Canal_08</v>
      </c>
      <c r="BD9" s="207" t="str">
        <f>Настройки!AL9</f>
        <v>Canal_08</v>
      </c>
      <c r="BE9" s="207" t="str">
        <f>Настройки!AM9</f>
        <v>-</v>
      </c>
    </row>
    <row r="10" spans="1:57">
      <c r="A10" s="82"/>
      <c r="B10" s="82"/>
      <c r="C10" s="81"/>
      <c r="D10" s="81"/>
      <c r="E10" s="82"/>
      <c r="F10" s="81"/>
      <c r="G10" s="445"/>
      <c r="H10" s="445"/>
      <c r="I10" s="1"/>
      <c r="M10" s="424" t="str">
        <f>'Конфигурация TREI'!A11</f>
        <v>BR9</v>
      </c>
      <c r="N10" s="424" t="str">
        <f>'Конфигурация TREI'!B11</f>
        <v>M558D</v>
      </c>
      <c r="AE10" s="431">
        <f>Настройки!P10</f>
        <v>9</v>
      </c>
      <c r="AF10" s="380">
        <f>Настройки!Q10</f>
        <v>0</v>
      </c>
      <c r="AG10" s="380" t="str">
        <f>Настройки!R10</f>
        <v>IDIG_5_1</v>
      </c>
      <c r="AH10" s="380" t="str">
        <f>Настройки!S10</f>
        <v>IANS_5_3</v>
      </c>
      <c r="AI10" s="380" t="str">
        <f>Настройки!T10</f>
        <v>out8</v>
      </c>
      <c r="AJ10" s="380" t="str">
        <f>Настройки!U10</f>
        <v>out8</v>
      </c>
      <c r="AK10" s="380" t="str">
        <f>Настройки!V10</f>
        <v>ODIG_9</v>
      </c>
      <c r="AL10" s="380" t="str">
        <f>Настройки!W10</f>
        <v>-</v>
      </c>
      <c r="AM10" s="380" t="str">
        <f>Настройки!X10</f>
        <v>-</v>
      </c>
      <c r="AN10" s="380" t="str">
        <f>Настройки!Y10</f>
        <v>Canal_09</v>
      </c>
      <c r="AO10" s="380" t="str">
        <f>Настройки!Z10</f>
        <v>-</v>
      </c>
      <c r="AP10" s="380" t="str">
        <f>Настройки!AA10</f>
        <v>Canal_09</v>
      </c>
      <c r="AQ10" s="380" t="str">
        <f>Настройки!AB10</f>
        <v>Canal_09</v>
      </c>
      <c r="AR10" s="380" t="str">
        <f>Настройки!AC10</f>
        <v>OCCH[0]</v>
      </c>
      <c r="AS10" s="380" t="str">
        <f>Настройки!AD10</f>
        <v>OCCH[0]</v>
      </c>
      <c r="AT10" s="207" t="str">
        <f>Настройки!AB10</f>
        <v>Canal_09</v>
      </c>
      <c r="AU10" s="207" t="str">
        <f>Настройки!AC10</f>
        <v>OCCH[0]</v>
      </c>
      <c r="AV10" s="207" t="str">
        <f>Настройки!AD10</f>
        <v>OCCH[0]</v>
      </c>
      <c r="AW10" s="207" t="str">
        <f>Настройки!AE10</f>
        <v>IANS_5_1</v>
      </c>
      <c r="AX10" s="207" t="str">
        <f>Настройки!AF10</f>
        <v>IDIG_3_1</v>
      </c>
      <c r="AY10" s="207" t="str">
        <f>Настройки!AG10</f>
        <v>Canal_09</v>
      </c>
      <c r="AZ10" s="207" t="str">
        <f>Настройки!AH10</f>
        <v>Canal_09</v>
      </c>
      <c r="BA10" s="207" t="str">
        <f>Настройки!AI10</f>
        <v>Canal_09</v>
      </c>
      <c r="BB10" s="207" t="str">
        <f>Настройки!AJ10</f>
        <v>Canal_09</v>
      </c>
      <c r="BC10" s="207" t="str">
        <f>Настройки!AK10</f>
        <v>-</v>
      </c>
      <c r="BD10" s="207" t="str">
        <f>Настройки!AL10</f>
        <v>Canal_09</v>
      </c>
      <c r="BE10" s="207" t="str">
        <f>Настройки!AM10</f>
        <v>-</v>
      </c>
    </row>
    <row r="11" spans="1:57">
      <c r="A11" s="82"/>
      <c r="B11" s="82"/>
      <c r="C11" s="81"/>
      <c r="D11" s="81"/>
      <c r="E11" s="82"/>
      <c r="F11" s="81"/>
      <c r="G11" s="445"/>
      <c r="H11" s="445"/>
      <c r="I11" s="1"/>
      <c r="M11" s="424" t="str">
        <f>'Конфигурация TREI'!A12</f>
        <v>BR10</v>
      </c>
      <c r="N11" s="424" t="str">
        <f>'Конфигурация TREI'!B12</f>
        <v>M558O</v>
      </c>
      <c r="AE11" s="431">
        <f>Настройки!P11</f>
        <v>10</v>
      </c>
      <c r="AF11" s="380">
        <f>Настройки!Q11</f>
        <v>0</v>
      </c>
      <c r="AG11" s="380" t="str">
        <f>Настройки!R11</f>
        <v>IDIG_5_2</v>
      </c>
      <c r="AH11" s="380" t="str">
        <f>Настройки!S11</f>
        <v>IANS_5_4</v>
      </c>
      <c r="AI11" s="380" t="str">
        <f>Настройки!T11</f>
        <v>out9</v>
      </c>
      <c r="AJ11" s="380" t="str">
        <f>Настройки!U11</f>
        <v>out9</v>
      </c>
      <c r="AK11" s="380" t="str">
        <f>Настройки!V11</f>
        <v>ODIG_10</v>
      </c>
      <c r="AL11" s="380" t="str">
        <f>Настройки!W11</f>
        <v>-</v>
      </c>
      <c r="AM11" s="380" t="str">
        <f>Настройки!X11</f>
        <v>-</v>
      </c>
      <c r="AN11" s="380" t="str">
        <f>Настройки!Y11</f>
        <v>Canal_10</v>
      </c>
      <c r="AO11" s="380" t="str">
        <f>Настройки!Z11</f>
        <v>-</v>
      </c>
      <c r="AP11" s="380" t="str">
        <f>Настройки!AA11</f>
        <v>Canal_10</v>
      </c>
      <c r="AQ11" s="380" t="str">
        <f>Настройки!AB11</f>
        <v>Canal_10</v>
      </c>
      <c r="AR11" s="380" t="str">
        <f>Настройки!AC11</f>
        <v>OCCH[1]</v>
      </c>
      <c r="AS11" s="380" t="str">
        <f>Настройки!AD11</f>
        <v>OCCH[1]</v>
      </c>
      <c r="AT11" s="207" t="str">
        <f>Настройки!AB11</f>
        <v>Canal_10</v>
      </c>
      <c r="AU11" s="207" t="str">
        <f>Настройки!AC11</f>
        <v>OCCH[1]</v>
      </c>
      <c r="AV11" s="207" t="str">
        <f>Настройки!AD11</f>
        <v>OCCH[1]</v>
      </c>
      <c r="AW11" s="207" t="str">
        <f>Настройки!AE11</f>
        <v>IANS_5_2</v>
      </c>
      <c r="AX11" s="207" t="str">
        <f>Настройки!AF11</f>
        <v>IDIG_3_2</v>
      </c>
      <c r="AY11" s="207" t="str">
        <f>Настройки!AG11</f>
        <v>Canal_10</v>
      </c>
      <c r="AZ11" s="207" t="str">
        <f>Настройки!AH11</f>
        <v>Canal_10</v>
      </c>
      <c r="BA11" s="207" t="str">
        <f>Настройки!AI11</f>
        <v>Canal_10</v>
      </c>
      <c r="BB11" s="207" t="str">
        <f>Настройки!AJ11</f>
        <v>Canal_10</v>
      </c>
      <c r="BC11" s="207" t="str">
        <f>Настройки!AK11</f>
        <v>-</v>
      </c>
      <c r="BD11" s="207" t="str">
        <f>Настройки!AL11</f>
        <v>Canal_10</v>
      </c>
      <c r="BE11" s="207" t="str">
        <f>Настройки!AM11</f>
        <v>-</v>
      </c>
    </row>
    <row r="12" spans="1:57">
      <c r="A12" s="82"/>
      <c r="B12" s="82"/>
      <c r="C12" s="81"/>
      <c r="D12" s="81"/>
      <c r="E12" s="81"/>
      <c r="F12" s="81"/>
      <c r="G12" s="445"/>
      <c r="H12" s="445"/>
      <c r="I12" s="1"/>
      <c r="M12" s="424" t="str">
        <f>'Конфигурация TREI'!A13</f>
        <v>BR11</v>
      </c>
      <c r="N12" s="424" t="str">
        <f>'Конфигурация TREI'!B13</f>
        <v>M558D</v>
      </c>
      <c r="AE12" s="431">
        <f>Настройки!P12</f>
        <v>11</v>
      </c>
      <c r="AF12" s="380">
        <f>Настройки!Q12</f>
        <v>0</v>
      </c>
      <c r="AG12" s="380" t="str">
        <f>Настройки!R12</f>
        <v>IDIG_6_1</v>
      </c>
      <c r="AH12" s="380" t="str">
        <f>Настройки!S12</f>
        <v>IANS_6_3</v>
      </c>
      <c r="AI12" s="380" t="str">
        <f>Настройки!T12</f>
        <v>out10</v>
      </c>
      <c r="AJ12" s="380" t="str">
        <f>Настройки!U12</f>
        <v>out10</v>
      </c>
      <c r="AK12" s="380" t="str">
        <f>Настройки!V12</f>
        <v>ODIG_11</v>
      </c>
      <c r="AL12" s="380" t="str">
        <f>Настройки!W12</f>
        <v>-</v>
      </c>
      <c r="AM12" s="380" t="str">
        <f>Настройки!X12</f>
        <v>-</v>
      </c>
      <c r="AN12" s="380" t="str">
        <f>Настройки!Y12</f>
        <v>Canal_11</v>
      </c>
      <c r="AO12" s="380" t="str">
        <f>Настройки!Z12</f>
        <v>-</v>
      </c>
      <c r="AP12" s="380" t="str">
        <f>Настройки!AA12</f>
        <v>Canal_11</v>
      </c>
      <c r="AQ12" s="380" t="str">
        <f>Настройки!AB12</f>
        <v>Canal_11</v>
      </c>
      <c r="AR12" s="380" t="str">
        <f>Настройки!AC12</f>
        <v>OCCH[2]</v>
      </c>
      <c r="AS12" s="380" t="str">
        <f>Настройки!AD12</f>
        <v>OCCH[2]</v>
      </c>
      <c r="AT12" s="207" t="str">
        <f>Настройки!AB12</f>
        <v>Canal_11</v>
      </c>
      <c r="AU12" s="207" t="str">
        <f>Настройки!AC12</f>
        <v>OCCH[2]</v>
      </c>
      <c r="AV12" s="207" t="str">
        <f>Настройки!AD12</f>
        <v>OCCH[2]</v>
      </c>
      <c r="AW12" s="207" t="str">
        <f>Настройки!AE12</f>
        <v>IANS_6_1</v>
      </c>
      <c r="AX12" s="207" t="str">
        <f>Настройки!AF12</f>
        <v>IDIG_3_3</v>
      </c>
      <c r="AY12" s="207" t="str">
        <f>Настройки!AG12</f>
        <v>Canal_11</v>
      </c>
      <c r="AZ12" s="207" t="str">
        <f>Настройки!AH12</f>
        <v>Canal_11</v>
      </c>
      <c r="BA12" s="207" t="str">
        <f>Настройки!AI12</f>
        <v>Canal_11</v>
      </c>
      <c r="BB12" s="207" t="str">
        <f>Настройки!AJ12</f>
        <v>Canal_11</v>
      </c>
      <c r="BC12" s="207" t="str">
        <f>Настройки!AK12</f>
        <v>-</v>
      </c>
      <c r="BD12" s="207" t="str">
        <f>Настройки!AL12</f>
        <v>Canal_11</v>
      </c>
      <c r="BE12" s="207" t="str">
        <f>Настройки!AM12</f>
        <v>-</v>
      </c>
    </row>
    <row r="13" spans="1:57">
      <c r="A13" s="82"/>
      <c r="B13" s="82"/>
      <c r="C13" s="81"/>
      <c r="D13" s="81"/>
      <c r="E13" s="81"/>
      <c r="F13" s="81"/>
      <c r="G13" s="445"/>
      <c r="H13" s="445"/>
      <c r="I13" s="1"/>
      <c r="M13" s="424" t="str">
        <f>'Конфигурация TREI'!A14</f>
        <v>BR12</v>
      </c>
      <c r="N13" s="424" t="str">
        <f>'Конфигурация TREI'!B14</f>
        <v>M558D</v>
      </c>
      <c r="AE13" s="431">
        <f>Настройки!P13</f>
        <v>12</v>
      </c>
      <c r="AF13" s="380">
        <f>Настройки!Q13</f>
        <v>0</v>
      </c>
      <c r="AG13" s="380" t="str">
        <f>Настройки!R13</f>
        <v>IDIG_6_2</v>
      </c>
      <c r="AH13" s="380" t="str">
        <f>Настройки!S13</f>
        <v>IANS_6_4</v>
      </c>
      <c r="AI13" s="380" t="str">
        <f>Настройки!T13</f>
        <v>out11</v>
      </c>
      <c r="AJ13" s="380" t="str">
        <f>Настройки!U13</f>
        <v>out11</v>
      </c>
      <c r="AK13" s="380" t="str">
        <f>Настройки!V13</f>
        <v>ODIG_12</v>
      </c>
      <c r="AL13" s="380" t="str">
        <f>Настройки!W13</f>
        <v>-</v>
      </c>
      <c r="AM13" s="380" t="str">
        <f>Настройки!X13</f>
        <v>-</v>
      </c>
      <c r="AN13" s="380" t="str">
        <f>Настройки!Y13</f>
        <v>Canal_12</v>
      </c>
      <c r="AO13" s="380" t="str">
        <f>Настройки!Z13</f>
        <v>-</v>
      </c>
      <c r="AP13" s="380" t="str">
        <f>Настройки!AA13</f>
        <v>Canal_12</v>
      </c>
      <c r="AQ13" s="380" t="str">
        <f>Настройки!AB13</f>
        <v>Canal_12</v>
      </c>
      <c r="AR13" s="380" t="str">
        <f>Настройки!AC13</f>
        <v>OCCH[3]</v>
      </c>
      <c r="AS13" s="380" t="str">
        <f>Настройки!AD13</f>
        <v>OCCH[3]</v>
      </c>
      <c r="AT13" s="207" t="str">
        <f>Настройки!AB13</f>
        <v>Canal_12</v>
      </c>
      <c r="AU13" s="207" t="str">
        <f>Настройки!AC13</f>
        <v>OCCH[3]</v>
      </c>
      <c r="AV13" s="207" t="str">
        <f>Настройки!AD13</f>
        <v>OCCH[3]</v>
      </c>
      <c r="AW13" s="207" t="str">
        <f>Настройки!AE13</f>
        <v>IANS_6_2</v>
      </c>
      <c r="AX13" s="207" t="str">
        <f>Настройки!AF13</f>
        <v>IDIG_3_4</v>
      </c>
      <c r="AY13" s="207" t="str">
        <f>Настройки!AG13</f>
        <v>Canal_12</v>
      </c>
      <c r="AZ13" s="207" t="str">
        <f>Настройки!AH13</f>
        <v>Canal_12</v>
      </c>
      <c r="BA13" s="207" t="str">
        <f>Настройки!AI13</f>
        <v>Canal_12</v>
      </c>
      <c r="BB13" s="207" t="str">
        <f>Настройки!AJ13</f>
        <v>Canal_12</v>
      </c>
      <c r="BC13" s="207" t="str">
        <f>Настройки!AK13</f>
        <v>-</v>
      </c>
      <c r="BD13" s="207" t="str">
        <f>Настройки!AL13</f>
        <v>Canal_12</v>
      </c>
      <c r="BE13" s="207" t="str">
        <f>Настройки!AM13</f>
        <v>-</v>
      </c>
    </row>
    <row r="14" spans="1:57">
      <c r="A14" s="82"/>
      <c r="B14" s="82"/>
      <c r="C14" s="81"/>
      <c r="D14" s="81"/>
      <c r="E14" s="81"/>
      <c r="F14" s="81"/>
      <c r="G14" s="445"/>
      <c r="H14" s="447"/>
      <c r="I14" s="1"/>
      <c r="M14" s="424" t="str">
        <f>'Конфигурация TREI'!A15</f>
        <v>BR13</v>
      </c>
      <c r="N14" s="424" t="str">
        <f>'Конфигурация TREI'!B15</f>
        <v>M558D</v>
      </c>
      <c r="AE14" s="431">
        <f>Настройки!P14</f>
        <v>13</v>
      </c>
      <c r="AF14" s="380">
        <f>Настройки!Q14</f>
        <v>0</v>
      </c>
      <c r="AG14" s="380" t="str">
        <f>Настройки!R14</f>
        <v>IDIG_7_1</v>
      </c>
      <c r="AH14" s="380" t="str">
        <f>Настройки!S14</f>
        <v>IANS_7_3</v>
      </c>
      <c r="AI14" s="380" t="str">
        <f>Настройки!T14</f>
        <v>out12</v>
      </c>
      <c r="AJ14" s="380" t="str">
        <f>Настройки!U14</f>
        <v>out12</v>
      </c>
      <c r="AK14" s="380" t="str">
        <f>Настройки!V14</f>
        <v>ODIG_13</v>
      </c>
      <c r="AL14" s="380" t="str">
        <f>Настройки!W14</f>
        <v>-</v>
      </c>
      <c r="AM14" s="380" t="str">
        <f>Настройки!X14</f>
        <v>-</v>
      </c>
      <c r="AN14" s="380" t="str">
        <f>Настройки!Y14</f>
        <v>Canal_13</v>
      </c>
      <c r="AO14" s="380" t="str">
        <f>Настройки!Z14</f>
        <v>-</v>
      </c>
      <c r="AP14" s="380" t="str">
        <f>Настройки!AA14</f>
        <v>Canal_13</v>
      </c>
      <c r="AQ14" s="380" t="str">
        <f>Настройки!AB14</f>
        <v>Canal_13</v>
      </c>
      <c r="AR14" s="380" t="str">
        <f>Настройки!AC14</f>
        <v>OCCH[4]</v>
      </c>
      <c r="AS14" s="380" t="str">
        <f>Настройки!AD14</f>
        <v>OCCH[4]</v>
      </c>
      <c r="AT14" s="207" t="str">
        <f>Настройки!AB14</f>
        <v>Canal_13</v>
      </c>
      <c r="AU14" s="207" t="str">
        <f>Настройки!AC14</f>
        <v>OCCH[4]</v>
      </c>
      <c r="AV14" s="207" t="str">
        <f>Настройки!AD14</f>
        <v>OCCH[4]</v>
      </c>
      <c r="AW14" s="207" t="str">
        <f>Настройки!AE14</f>
        <v>IANS_7_1</v>
      </c>
      <c r="AX14" s="207" t="str">
        <f>Настройки!AF14</f>
        <v>IDIG_4_1</v>
      </c>
      <c r="AY14" s="207" t="str">
        <f>Настройки!AG14</f>
        <v>Canal_13</v>
      </c>
      <c r="AZ14" s="207" t="str">
        <f>Настройки!AH14</f>
        <v>Canal_13</v>
      </c>
      <c r="BA14" s="207" t="str">
        <f>Настройки!AI14</f>
        <v>Canal_13</v>
      </c>
      <c r="BB14" s="207" t="str">
        <f>Настройки!AJ14</f>
        <v>Canal_13</v>
      </c>
      <c r="BC14" s="207" t="str">
        <f>Настройки!AK14</f>
        <v>-</v>
      </c>
      <c r="BD14" s="207" t="str">
        <f>Настройки!AL14</f>
        <v>Canal_13</v>
      </c>
      <c r="BE14" s="207" t="str">
        <f>Настройки!AM14</f>
        <v>-</v>
      </c>
    </row>
    <row r="15" spans="1:57">
      <c r="A15" s="82"/>
      <c r="B15" s="82"/>
      <c r="C15" s="81"/>
      <c r="D15" s="81"/>
      <c r="E15" s="81"/>
      <c r="F15" s="81"/>
      <c r="G15" s="445"/>
      <c r="H15" s="447"/>
      <c r="I15" s="1"/>
      <c r="M15" s="424" t="str">
        <f>'Конфигурация TREI'!A16</f>
        <v>BR14</v>
      </c>
      <c r="N15" s="424" t="str">
        <f>'Конфигурация TREI'!B16</f>
        <v>M558D</v>
      </c>
      <c r="AE15" s="431">
        <f>Настройки!P15</f>
        <v>14</v>
      </c>
      <c r="AF15" s="380">
        <f>Настройки!Q15</f>
        <v>0</v>
      </c>
      <c r="AG15" s="380" t="str">
        <f>Настройки!R15</f>
        <v>IDIG_7_2</v>
      </c>
      <c r="AH15" s="380" t="str">
        <f>Настройки!S15</f>
        <v>IANS_7_4</v>
      </c>
      <c r="AI15" s="380" t="str">
        <f>Настройки!T15</f>
        <v>out13</v>
      </c>
      <c r="AJ15" s="380" t="str">
        <f>Настройки!U15</f>
        <v>out13</v>
      </c>
      <c r="AK15" s="380" t="str">
        <f>Настройки!V15</f>
        <v>ODIG_14</v>
      </c>
      <c r="AL15" s="380" t="str">
        <f>Настройки!W15</f>
        <v>-</v>
      </c>
      <c r="AM15" s="380" t="str">
        <f>Настройки!X15</f>
        <v>-</v>
      </c>
      <c r="AN15" s="380" t="str">
        <f>Настройки!Y15</f>
        <v>Canal_14</v>
      </c>
      <c r="AO15" s="380" t="str">
        <f>Настройки!Z15</f>
        <v>-</v>
      </c>
      <c r="AP15" s="380" t="str">
        <f>Настройки!AA15</f>
        <v>Canal_14</v>
      </c>
      <c r="AQ15" s="380" t="str">
        <f>Настройки!AB15</f>
        <v>Canal_14</v>
      </c>
      <c r="AR15" s="380" t="str">
        <f>Настройки!AC15</f>
        <v>OCCH[5]</v>
      </c>
      <c r="AS15" s="380" t="str">
        <f>Настройки!AD15</f>
        <v>OCCH[5]</v>
      </c>
      <c r="AT15" s="207" t="str">
        <f>Настройки!AB15</f>
        <v>Canal_14</v>
      </c>
      <c r="AU15" s="207" t="str">
        <f>Настройки!AC15</f>
        <v>OCCH[5]</v>
      </c>
      <c r="AV15" s="207" t="str">
        <f>Настройки!AD15</f>
        <v>OCCH[5]</v>
      </c>
      <c r="AW15" s="207" t="str">
        <f>Настройки!AE15</f>
        <v>IANS_7_2</v>
      </c>
      <c r="AX15" s="207" t="str">
        <f>Настройки!AF15</f>
        <v>IDIG_4_2</v>
      </c>
      <c r="AY15" s="207" t="str">
        <f>Настройки!AG15</f>
        <v>Canal_14</v>
      </c>
      <c r="AZ15" s="207" t="str">
        <f>Настройки!AH15</f>
        <v>Canal_14</v>
      </c>
      <c r="BA15" s="207" t="str">
        <f>Настройки!AI15</f>
        <v>Canal_14</v>
      </c>
      <c r="BB15" s="207" t="str">
        <f>Настройки!AJ15</f>
        <v>Canal_14</v>
      </c>
      <c r="BC15" s="207" t="str">
        <f>Настройки!AK15</f>
        <v>-</v>
      </c>
      <c r="BD15" s="207" t="str">
        <f>Настройки!AL15</f>
        <v>Canal_14</v>
      </c>
      <c r="BE15" s="207" t="str">
        <f>Настройки!AM15</f>
        <v>-</v>
      </c>
    </row>
    <row r="16" spans="1:57">
      <c r="A16" s="82"/>
      <c r="B16" s="82"/>
      <c r="C16" s="81"/>
      <c r="D16" s="81"/>
      <c r="E16" s="81"/>
      <c r="F16" s="81"/>
      <c r="G16" s="445"/>
      <c r="H16" s="447"/>
      <c r="I16" s="1"/>
      <c r="M16" s="424" t="str">
        <f>'Конфигурация TREI'!A17</f>
        <v>BR15</v>
      </c>
      <c r="N16" s="424" t="str">
        <f>'Конфигурация TREI'!B17</f>
        <v>M558O</v>
      </c>
      <c r="AE16" s="431">
        <f>Настройки!P16</f>
        <v>15</v>
      </c>
      <c r="AF16" s="380">
        <f>Настройки!Q16</f>
        <v>0</v>
      </c>
      <c r="AG16" s="380" t="str">
        <f>Настройки!R16</f>
        <v>IDIG_8_1</v>
      </c>
      <c r="AH16" s="380" t="str">
        <f>Настройки!S16</f>
        <v>IANS_8_3</v>
      </c>
      <c r="AI16" s="380" t="str">
        <f>Настройки!T16</f>
        <v>out14</v>
      </c>
      <c r="AJ16" s="380" t="str">
        <f>Настройки!U16</f>
        <v>out14</v>
      </c>
      <c r="AK16" s="380" t="str">
        <f>Настройки!V16</f>
        <v>ODIG_15</v>
      </c>
      <c r="AL16" s="380" t="str">
        <f>Настройки!W16</f>
        <v>-</v>
      </c>
      <c r="AM16" s="380" t="str">
        <f>Настройки!X16</f>
        <v>-</v>
      </c>
      <c r="AN16" s="380" t="str">
        <f>Настройки!Y16</f>
        <v>Canal_15</v>
      </c>
      <c r="AO16" s="380" t="str">
        <f>Настройки!Z16</f>
        <v>-</v>
      </c>
      <c r="AP16" s="380" t="str">
        <f>Настройки!AA16</f>
        <v>Canal_15</v>
      </c>
      <c r="AQ16" s="380" t="str">
        <f>Настройки!AB16</f>
        <v>Canal_15</v>
      </c>
      <c r="AR16" s="380" t="str">
        <f>Настройки!AC16</f>
        <v>OCCH[6]</v>
      </c>
      <c r="AS16" s="380" t="str">
        <f>Настройки!AD16</f>
        <v>OCCH[6]</v>
      </c>
      <c r="AT16" s="207" t="str">
        <f>Настройки!AB16</f>
        <v>Canal_15</v>
      </c>
      <c r="AU16" s="207" t="str">
        <f>Настройки!AC16</f>
        <v>OCCH[6]</v>
      </c>
      <c r="AV16" s="207" t="str">
        <f>Настройки!AD16</f>
        <v>OCCH[6]</v>
      </c>
      <c r="AW16" s="207" t="str">
        <f>Настройки!AE16</f>
        <v>IANS_8_1</v>
      </c>
      <c r="AX16" s="207" t="str">
        <f>Настройки!AF16</f>
        <v>IDIG_4_3</v>
      </c>
      <c r="AY16" s="207" t="str">
        <f>Настройки!AG16</f>
        <v>Canal_15</v>
      </c>
      <c r="AZ16" s="207" t="str">
        <f>Настройки!AH16</f>
        <v>Canal_15</v>
      </c>
      <c r="BA16" s="207" t="str">
        <f>Настройки!AI16</f>
        <v>Canal_15</v>
      </c>
      <c r="BB16" s="207" t="str">
        <f>Настройки!AJ16</f>
        <v>Canal_15</v>
      </c>
      <c r="BC16" s="207" t="str">
        <f>Настройки!AK16</f>
        <v>-</v>
      </c>
      <c r="BD16" s="207" t="str">
        <f>Настройки!AL16</f>
        <v>Canal_15</v>
      </c>
      <c r="BE16" s="207" t="str">
        <f>Настройки!AM16</f>
        <v>-</v>
      </c>
    </row>
    <row r="17" spans="1:57">
      <c r="A17" s="82"/>
      <c r="B17" s="82"/>
      <c r="C17" s="81"/>
      <c r="D17" s="81"/>
      <c r="E17" s="81"/>
      <c r="F17" s="81"/>
      <c r="G17" s="445"/>
      <c r="H17" s="447"/>
      <c r="I17" s="1"/>
      <c r="M17" s="424" t="str">
        <f>'Конфигурация TREI'!A18</f>
        <v>BR16</v>
      </c>
      <c r="N17" s="424" t="str">
        <f>'Конфигурация TREI'!B18</f>
        <v>M558O</v>
      </c>
      <c r="AE17" s="431">
        <f>Настройки!P17</f>
        <v>16</v>
      </c>
      <c r="AF17" s="380">
        <f>Настройки!Q17</f>
        <v>0</v>
      </c>
      <c r="AG17" s="380" t="str">
        <f>Настройки!R17</f>
        <v>IDIG_8_2</v>
      </c>
      <c r="AH17" s="380" t="str">
        <f>Настройки!S17</f>
        <v>IANS_8_4</v>
      </c>
      <c r="AI17" s="380" t="str">
        <f>Настройки!T17</f>
        <v>out15</v>
      </c>
      <c r="AJ17" s="380" t="str">
        <f>Настройки!U17</f>
        <v>out15</v>
      </c>
      <c r="AK17" s="380" t="str">
        <f>Настройки!V17</f>
        <v>ODIG_16</v>
      </c>
      <c r="AL17" s="380" t="str">
        <f>Настройки!W17</f>
        <v>-</v>
      </c>
      <c r="AM17" s="380" t="str">
        <f>Настройки!X17</f>
        <v>-</v>
      </c>
      <c r="AN17" s="380" t="str">
        <f>Настройки!Y17</f>
        <v>Canal_16</v>
      </c>
      <c r="AO17" s="380" t="str">
        <f>Настройки!Z17</f>
        <v>-</v>
      </c>
      <c r="AP17" s="380" t="str">
        <f>Настройки!AA17</f>
        <v>Canal_16</v>
      </c>
      <c r="AQ17" s="380" t="str">
        <f>Настройки!AB17</f>
        <v>Canal_16</v>
      </c>
      <c r="AR17" s="380" t="str">
        <f>Настройки!AC17</f>
        <v>OCCH[7]</v>
      </c>
      <c r="AS17" s="380" t="str">
        <f>Настройки!AD17</f>
        <v>OCCH[7]</v>
      </c>
      <c r="AT17" s="207" t="str">
        <f>Настройки!AB17</f>
        <v>Canal_16</v>
      </c>
      <c r="AU17" s="207" t="str">
        <f>Настройки!AC17</f>
        <v>OCCH[7]</v>
      </c>
      <c r="AV17" s="207" t="str">
        <f>Настройки!AD17</f>
        <v>OCCH[7]</v>
      </c>
      <c r="AW17" s="207" t="str">
        <f>Настройки!AE17</f>
        <v>IANS_8_2</v>
      </c>
      <c r="AX17" s="207" t="str">
        <f>Настройки!AF17</f>
        <v>IDIG_4_4</v>
      </c>
      <c r="AY17" s="207" t="str">
        <f>Настройки!AG17</f>
        <v>Canal_16</v>
      </c>
      <c r="AZ17" s="207" t="str">
        <f>Настройки!AH17</f>
        <v>Canal_16</v>
      </c>
      <c r="BA17" s="207" t="str">
        <f>Настройки!AI17</f>
        <v>Canal_16</v>
      </c>
      <c r="BB17" s="207" t="str">
        <f>Настройки!AJ17</f>
        <v>Canal_16</v>
      </c>
      <c r="BC17" s="207" t="str">
        <f>Настройки!AK17</f>
        <v>-</v>
      </c>
      <c r="BD17" s="207" t="str">
        <f>Настройки!AL17</f>
        <v>Canal_16</v>
      </c>
      <c r="BE17" s="207" t="str">
        <f>Настройки!AM17</f>
        <v>-</v>
      </c>
    </row>
    <row r="18" spans="1:57">
      <c r="A18" s="82"/>
      <c r="B18" s="82"/>
      <c r="C18" s="81"/>
      <c r="D18" s="81"/>
      <c r="E18" s="81"/>
      <c r="F18" s="81"/>
      <c r="G18" s="445"/>
      <c r="H18" s="447"/>
      <c r="I18" s="1"/>
      <c r="M18" s="424" t="str">
        <f>'Конфигурация TREI'!A19</f>
        <v>BR17</v>
      </c>
      <c r="N18" s="424" t="str">
        <f>'Конфигурация TREI'!B19</f>
        <v>M558O</v>
      </c>
      <c r="AE18" s="428">
        <f>Настройки!P18</f>
        <v>17</v>
      </c>
      <c r="AF18" s="380">
        <f>Настройки!Q18</f>
        <v>0</v>
      </c>
      <c r="AG18" s="380" t="str">
        <f>Настройки!R18</f>
        <v>-</v>
      </c>
      <c r="AH18" s="380" t="str">
        <f>Настройки!S18</f>
        <v>-</v>
      </c>
      <c r="AI18" s="380" t="str">
        <f>Настройки!T18</f>
        <v>out16</v>
      </c>
      <c r="AJ18" s="380" t="str">
        <f>Настройки!U18</f>
        <v>out16</v>
      </c>
      <c r="AK18" s="380" t="str">
        <f>Настройки!V18</f>
        <v>-</v>
      </c>
      <c r="AL18" s="380" t="str">
        <f>Настройки!W18</f>
        <v>-</v>
      </c>
      <c r="AM18" s="380" t="str">
        <f>Настройки!X18</f>
        <v>-</v>
      </c>
      <c r="AN18" s="380" t="str">
        <f>Настройки!Y18</f>
        <v>-</v>
      </c>
      <c r="AO18" s="380" t="str">
        <f>Настройки!Z18</f>
        <v>-</v>
      </c>
      <c r="AP18" s="380" t="str">
        <f>Настройки!AA18</f>
        <v>Canal_17</v>
      </c>
      <c r="AQ18" s="380" t="str">
        <f>Настройки!AB18</f>
        <v>Canal_17</v>
      </c>
      <c r="AR18" s="380" t="str">
        <f>Настройки!AC18</f>
        <v>-</v>
      </c>
      <c r="AS18" s="380" t="str">
        <f>Настройки!AD18</f>
        <v>-</v>
      </c>
      <c r="AT18" s="207" t="str">
        <f>Настройки!AB18</f>
        <v>Canal_17</v>
      </c>
      <c r="AU18" s="207" t="str">
        <f>Настройки!AC18</f>
        <v>-</v>
      </c>
      <c r="AV18" s="207" t="str">
        <f>Настройки!AD18</f>
        <v>-</v>
      </c>
      <c r="AW18" s="207" t="str">
        <f>Настройки!AE18</f>
        <v>-</v>
      </c>
      <c r="AX18" s="207" t="str">
        <f>Настройки!AF18</f>
        <v>IDIG_5_1</v>
      </c>
      <c r="AY18" s="207" t="str">
        <f>Настройки!AG18</f>
        <v>Canal_17</v>
      </c>
      <c r="AZ18" s="207" t="str">
        <f>Настройки!AH18</f>
        <v>Canal_17</v>
      </c>
      <c r="BA18" s="207" t="str">
        <f>Настройки!AI18</f>
        <v>Canal_17</v>
      </c>
      <c r="BB18" s="207" t="str">
        <f>Настройки!AJ18</f>
        <v>-</v>
      </c>
      <c r="BC18" s="207" t="str">
        <f>Настройки!AK18</f>
        <v>-</v>
      </c>
      <c r="BD18" s="207" t="str">
        <f>Настройки!AL18</f>
        <v>Canal_17</v>
      </c>
      <c r="BE18" s="207" t="str">
        <f>Настройки!AM18</f>
        <v>-</v>
      </c>
    </row>
    <row r="19" spans="1:57">
      <c r="A19" s="82"/>
      <c r="B19" s="82"/>
      <c r="C19" s="81"/>
      <c r="D19" s="81"/>
      <c r="E19" s="81"/>
      <c r="F19" s="81"/>
      <c r="G19" s="445"/>
      <c r="H19" s="447"/>
      <c r="I19" s="1"/>
      <c r="M19" s="424" t="str">
        <f>'Конфигурация TREI'!A20</f>
        <v>BR18</v>
      </c>
      <c r="N19" s="424" t="str">
        <f>'Конфигурация TREI'!B20</f>
        <v>M558O</v>
      </c>
      <c r="AE19" s="428">
        <f>Настройки!P19</f>
        <v>18</v>
      </c>
      <c r="AF19" s="380">
        <f>Настройки!Q19</f>
        <v>0</v>
      </c>
      <c r="AG19" s="380" t="str">
        <f>Настройки!R19</f>
        <v>-</v>
      </c>
      <c r="AH19" s="380" t="str">
        <f>Настройки!S19</f>
        <v>-</v>
      </c>
      <c r="AI19" s="380" t="str">
        <f>Настройки!T19</f>
        <v>out17</v>
      </c>
      <c r="AJ19" s="380" t="str">
        <f>Настройки!U19</f>
        <v>out17</v>
      </c>
      <c r="AK19" s="380" t="str">
        <f>Настройки!V19</f>
        <v>-</v>
      </c>
      <c r="AL19" s="380" t="str">
        <f>Настройки!W19</f>
        <v>-</v>
      </c>
      <c r="AM19" s="380" t="str">
        <f>Настройки!X19</f>
        <v>-</v>
      </c>
      <c r="AN19" s="380" t="str">
        <f>Настройки!Y19</f>
        <v>-</v>
      </c>
      <c r="AO19" s="380" t="str">
        <f>Настройки!Z19</f>
        <v>-</v>
      </c>
      <c r="AP19" s="380" t="str">
        <f>Настройки!AA19</f>
        <v>Canal_18</v>
      </c>
      <c r="AQ19" s="380" t="str">
        <f>Настройки!AB19</f>
        <v>Canal_18</v>
      </c>
      <c r="AR19" s="380" t="str">
        <f>Настройки!AC19</f>
        <v>-</v>
      </c>
      <c r="AS19" s="380" t="str">
        <f>Настройки!AD19</f>
        <v>-</v>
      </c>
      <c r="AT19" s="207" t="str">
        <f>Настройки!AB19</f>
        <v>Canal_18</v>
      </c>
      <c r="AU19" s="207" t="str">
        <f>Настройки!AC19</f>
        <v>-</v>
      </c>
      <c r="AV19" s="207" t="str">
        <f>Настройки!AD19</f>
        <v>-</v>
      </c>
      <c r="AW19" s="207" t="str">
        <f>Настройки!AE19</f>
        <v>-</v>
      </c>
      <c r="AX19" s="207" t="str">
        <f>Настройки!AF19</f>
        <v>IDIG_5_2</v>
      </c>
      <c r="AY19" s="207" t="str">
        <f>Настройки!AG19</f>
        <v>Canal_18</v>
      </c>
      <c r="AZ19" s="207" t="str">
        <f>Настройки!AH19</f>
        <v>Canal_18</v>
      </c>
      <c r="BA19" s="207" t="str">
        <f>Настройки!AI19</f>
        <v>Canal_18</v>
      </c>
      <c r="BB19" s="207" t="str">
        <f>Настройки!AJ19</f>
        <v>-</v>
      </c>
      <c r="BC19" s="207" t="str">
        <f>Настройки!AK19</f>
        <v>-</v>
      </c>
      <c r="BD19" s="207" t="str">
        <f>Настройки!AL19</f>
        <v>Canal_18</v>
      </c>
      <c r="BE19" s="207" t="str">
        <f>Настройки!AM19</f>
        <v>-</v>
      </c>
    </row>
    <row r="20" spans="1:57">
      <c r="A20" s="82"/>
      <c r="B20" s="82"/>
      <c r="C20" s="81"/>
      <c r="D20" s="81"/>
      <c r="E20" s="81"/>
      <c r="F20" s="81"/>
      <c r="G20" s="445"/>
      <c r="H20" s="447"/>
      <c r="I20" s="1"/>
      <c r="M20" s="424" t="str">
        <f>'Конфигурация TREI'!A21</f>
        <v>BR19</v>
      </c>
      <c r="N20" s="424" t="str">
        <f>'Конфигурация TREI'!B21</f>
        <v>M558O</v>
      </c>
      <c r="AE20" s="428">
        <f>Настройки!P20</f>
        <v>19</v>
      </c>
      <c r="AF20" s="380">
        <f>Настройки!Q20</f>
        <v>0</v>
      </c>
      <c r="AG20" s="380" t="str">
        <f>Настройки!R20</f>
        <v>-</v>
      </c>
      <c r="AH20" s="380" t="str">
        <f>Настройки!S20</f>
        <v>-</v>
      </c>
      <c r="AI20" s="380" t="str">
        <f>Настройки!T20</f>
        <v>out18</v>
      </c>
      <c r="AJ20" s="380" t="str">
        <f>Настройки!U20</f>
        <v>out18</v>
      </c>
      <c r="AK20" s="380" t="str">
        <f>Настройки!V20</f>
        <v>-</v>
      </c>
      <c r="AL20" s="380" t="str">
        <f>Настройки!W20</f>
        <v>-</v>
      </c>
      <c r="AM20" s="380" t="str">
        <f>Настройки!X20</f>
        <v>-</v>
      </c>
      <c r="AN20" s="380" t="str">
        <f>Настройки!Y20</f>
        <v>-</v>
      </c>
      <c r="AO20" s="380" t="str">
        <f>Настройки!Z20</f>
        <v>-</v>
      </c>
      <c r="AP20" s="380" t="str">
        <f>Настройки!AA20</f>
        <v>Canal_19</v>
      </c>
      <c r="AQ20" s="380" t="str">
        <f>Настройки!AB20</f>
        <v>Canal_19</v>
      </c>
      <c r="AR20" s="380" t="str">
        <f>Настройки!AC20</f>
        <v>-</v>
      </c>
      <c r="AS20" s="380" t="str">
        <f>Настройки!AD20</f>
        <v>-</v>
      </c>
      <c r="AT20" s="207" t="str">
        <f>Настройки!AB20</f>
        <v>Canal_19</v>
      </c>
      <c r="AU20" s="207" t="str">
        <f>Настройки!AC20</f>
        <v>-</v>
      </c>
      <c r="AV20" s="207" t="str">
        <f>Настройки!AD20</f>
        <v>-</v>
      </c>
      <c r="AW20" s="207" t="str">
        <f>Настройки!AE20</f>
        <v>-</v>
      </c>
      <c r="AX20" s="207" t="str">
        <f>Настройки!AF20</f>
        <v>IDIG_5_3</v>
      </c>
      <c r="AY20" s="207" t="str">
        <f>Настройки!AG20</f>
        <v>Canal_19</v>
      </c>
      <c r="AZ20" s="207" t="str">
        <f>Настройки!AH20</f>
        <v>Canal_19</v>
      </c>
      <c r="BA20" s="207" t="str">
        <f>Настройки!AI20</f>
        <v>Canal_19</v>
      </c>
      <c r="BB20" s="207" t="str">
        <f>Настройки!AJ20</f>
        <v>-</v>
      </c>
      <c r="BC20" s="207" t="str">
        <f>Настройки!AK20</f>
        <v>-</v>
      </c>
      <c r="BD20" s="207" t="str">
        <f>Настройки!AL20</f>
        <v>Canal_19</v>
      </c>
      <c r="BE20" s="207" t="str">
        <f>Настройки!AM20</f>
        <v>-</v>
      </c>
    </row>
    <row r="21" spans="1:57">
      <c r="A21" s="82"/>
      <c r="B21" s="82"/>
      <c r="C21" s="81"/>
      <c r="D21" s="81"/>
      <c r="E21" s="81"/>
      <c r="F21" s="81"/>
      <c r="G21" s="445"/>
      <c r="H21" s="447"/>
      <c r="I21" s="1"/>
      <c r="M21" s="424" t="str">
        <f>'Конфигурация TREI'!A22</f>
        <v>BR20</v>
      </c>
      <c r="N21" s="424" t="str">
        <f>'Конфигурация TREI'!B22</f>
        <v>M558D</v>
      </c>
      <c r="AE21" s="428">
        <f>Настройки!P21</f>
        <v>20</v>
      </c>
      <c r="AF21" s="380">
        <f>Настройки!Q21</f>
        <v>0</v>
      </c>
      <c r="AG21" s="380" t="str">
        <f>Настройки!R21</f>
        <v>-</v>
      </c>
      <c r="AH21" s="380" t="str">
        <f>Настройки!S21</f>
        <v>-</v>
      </c>
      <c r="AI21" s="380" t="str">
        <f>Настройки!T21</f>
        <v>out19</v>
      </c>
      <c r="AJ21" s="380" t="str">
        <f>Настройки!U21</f>
        <v>out19</v>
      </c>
      <c r="AK21" s="380" t="str">
        <f>Настройки!V21</f>
        <v>-</v>
      </c>
      <c r="AL21" s="380" t="str">
        <f>Настройки!W21</f>
        <v>-</v>
      </c>
      <c r="AM21" s="380" t="str">
        <f>Настройки!X21</f>
        <v>-</v>
      </c>
      <c r="AN21" s="380" t="str">
        <f>Настройки!Y21</f>
        <v>-</v>
      </c>
      <c r="AO21" s="380" t="str">
        <f>Настройки!Z21</f>
        <v>-</v>
      </c>
      <c r="AP21" s="380" t="str">
        <f>Настройки!AA21</f>
        <v>Canal_20</v>
      </c>
      <c r="AQ21" s="380" t="str">
        <f>Настройки!AB21</f>
        <v>Canal_20</v>
      </c>
      <c r="AR21" s="380" t="str">
        <f>Настройки!AC21</f>
        <v>-</v>
      </c>
      <c r="AS21" s="380" t="str">
        <f>Настройки!AD21</f>
        <v>-</v>
      </c>
      <c r="AT21" s="207" t="str">
        <f>Настройки!AB21</f>
        <v>Canal_20</v>
      </c>
      <c r="AU21" s="207" t="str">
        <f>Настройки!AC21</f>
        <v>-</v>
      </c>
      <c r="AV21" s="207" t="str">
        <f>Настройки!AD21</f>
        <v>-</v>
      </c>
      <c r="AW21" s="207" t="str">
        <f>Настройки!AE21</f>
        <v>-</v>
      </c>
      <c r="AX21" s="207" t="str">
        <f>Настройки!AF21</f>
        <v>IDIG_5_4</v>
      </c>
      <c r="AY21" s="207" t="str">
        <f>Настройки!AG21</f>
        <v>Canal_20</v>
      </c>
      <c r="AZ21" s="207" t="str">
        <f>Настройки!AH21</f>
        <v>Canal_20</v>
      </c>
      <c r="BA21" s="207" t="str">
        <f>Настройки!AI21</f>
        <v>Canal_20</v>
      </c>
      <c r="BB21" s="207" t="str">
        <f>Настройки!AJ21</f>
        <v>-</v>
      </c>
      <c r="BC21" s="207" t="str">
        <f>Настройки!AK21</f>
        <v>-</v>
      </c>
      <c r="BD21" s="207" t="str">
        <f>Настройки!AL21</f>
        <v>Canal_20</v>
      </c>
      <c r="BE21" s="207" t="str">
        <f>Настройки!AM21</f>
        <v>-</v>
      </c>
    </row>
    <row r="22" spans="1:57">
      <c r="A22" s="82"/>
      <c r="B22" s="82"/>
      <c r="C22" s="81"/>
      <c r="D22" s="81"/>
      <c r="E22" s="81"/>
      <c r="F22" s="81"/>
      <c r="G22" s="445"/>
      <c r="H22" s="447"/>
      <c r="I22" s="1"/>
      <c r="M22" s="424" t="str">
        <f>'Конфигурация TREI'!A23</f>
        <v>BR21</v>
      </c>
      <c r="N22" s="424" t="str">
        <f>'Конфигурация TREI'!B23</f>
        <v>M558O</v>
      </c>
      <c r="AE22" s="428">
        <f>Настройки!P22</f>
        <v>21</v>
      </c>
      <c r="AF22" s="380">
        <f>Настройки!Q22</f>
        <v>0</v>
      </c>
      <c r="AG22" s="380" t="str">
        <f>Настройки!R22</f>
        <v>-</v>
      </c>
      <c r="AH22" s="380" t="str">
        <f>Настройки!S22</f>
        <v>-</v>
      </c>
      <c r="AI22" s="380" t="str">
        <f>Настройки!T22</f>
        <v>out20</v>
      </c>
      <c r="AJ22" s="380" t="str">
        <f>Настройки!U22</f>
        <v>out20</v>
      </c>
      <c r="AK22" s="380" t="str">
        <f>Настройки!V22</f>
        <v>-</v>
      </c>
      <c r="AL22" s="380" t="str">
        <f>Настройки!W22</f>
        <v>-</v>
      </c>
      <c r="AM22" s="380" t="str">
        <f>Настройки!X22</f>
        <v>-</v>
      </c>
      <c r="AN22" s="380" t="str">
        <f>Настройки!Y22</f>
        <v>-</v>
      </c>
      <c r="AO22" s="380" t="str">
        <f>Настройки!Z22</f>
        <v>-</v>
      </c>
      <c r="AP22" s="380" t="str">
        <f>Настройки!AA22</f>
        <v>Canal_21</v>
      </c>
      <c r="AQ22" s="380" t="str">
        <f>Настройки!AB22</f>
        <v>Canal_21</v>
      </c>
      <c r="AR22" s="380" t="str">
        <f>Настройки!AC22</f>
        <v>-</v>
      </c>
      <c r="AS22" s="380" t="str">
        <f>Настройки!AD22</f>
        <v>-</v>
      </c>
      <c r="AT22" s="207" t="str">
        <f>Настройки!AB22</f>
        <v>Canal_21</v>
      </c>
      <c r="AU22" s="207" t="str">
        <f>Настройки!AC22</f>
        <v>-</v>
      </c>
      <c r="AV22" s="207" t="str">
        <f>Настройки!AD22</f>
        <v>-</v>
      </c>
      <c r="AW22" s="207" t="str">
        <f>Настройки!AE22</f>
        <v>-</v>
      </c>
      <c r="AX22" s="207" t="str">
        <f>Настройки!AF22</f>
        <v>IDIG_6_1</v>
      </c>
      <c r="AY22" s="207" t="str">
        <f>Настройки!AG22</f>
        <v>Canal_21</v>
      </c>
      <c r="AZ22" s="207" t="str">
        <f>Настройки!AH22</f>
        <v>Canal_21</v>
      </c>
      <c r="BA22" s="207" t="str">
        <f>Настройки!AI22</f>
        <v>Canal_21</v>
      </c>
      <c r="BB22" s="207" t="str">
        <f>Настройки!AJ22</f>
        <v>-</v>
      </c>
      <c r="BC22" s="207" t="str">
        <f>Настройки!AK22</f>
        <v>-</v>
      </c>
      <c r="BD22" s="207" t="str">
        <f>Настройки!AL22</f>
        <v>Canal_21</v>
      </c>
      <c r="BE22" s="207" t="str">
        <f>Настройки!AM22</f>
        <v>-</v>
      </c>
    </row>
    <row r="23" spans="1:57">
      <c r="A23" s="82"/>
      <c r="B23" s="82"/>
      <c r="C23" s="81"/>
      <c r="D23" s="81"/>
      <c r="E23" s="81"/>
      <c r="F23" s="81"/>
      <c r="G23" s="445"/>
      <c r="H23" s="447"/>
      <c r="I23" s="1"/>
      <c r="M23" s="424" t="str">
        <f>'Конфигурация TREI'!A24</f>
        <v>BR22</v>
      </c>
      <c r="N23" s="424" t="str">
        <f>'Конфигурация TREI'!B24</f>
        <v>M558D</v>
      </c>
      <c r="AE23" s="428">
        <f>Настройки!P23</f>
        <v>22</v>
      </c>
      <c r="AF23" s="380">
        <f>Настройки!Q23</f>
        <v>0</v>
      </c>
      <c r="AG23" s="380" t="str">
        <f>Настройки!R23</f>
        <v>-</v>
      </c>
      <c r="AH23" s="380" t="str">
        <f>Настройки!S23</f>
        <v>-</v>
      </c>
      <c r="AI23" s="380" t="str">
        <f>Настройки!T23</f>
        <v>out21</v>
      </c>
      <c r="AJ23" s="380" t="str">
        <f>Настройки!U23</f>
        <v>out21</v>
      </c>
      <c r="AK23" s="380" t="str">
        <f>Настройки!V23</f>
        <v>-</v>
      </c>
      <c r="AL23" s="380" t="str">
        <f>Настройки!W23</f>
        <v>-</v>
      </c>
      <c r="AM23" s="380" t="str">
        <f>Настройки!X23</f>
        <v>-</v>
      </c>
      <c r="AN23" s="380" t="str">
        <f>Настройки!Y23</f>
        <v>-</v>
      </c>
      <c r="AO23" s="380" t="str">
        <f>Настройки!Z23</f>
        <v>-</v>
      </c>
      <c r="AP23" s="380" t="str">
        <f>Настройки!AA23</f>
        <v>Canal_22</v>
      </c>
      <c r="AQ23" s="380" t="str">
        <f>Настройки!AB23</f>
        <v>Canal_22</v>
      </c>
      <c r="AR23" s="380" t="str">
        <f>Настройки!AC23</f>
        <v>-</v>
      </c>
      <c r="AS23" s="380" t="str">
        <f>Настройки!AD23</f>
        <v>-</v>
      </c>
      <c r="AT23" s="207" t="str">
        <f>Настройки!AB23</f>
        <v>Canal_22</v>
      </c>
      <c r="AU23" s="207" t="str">
        <f>Настройки!AC23</f>
        <v>-</v>
      </c>
      <c r="AV23" s="207" t="str">
        <f>Настройки!AD23</f>
        <v>-</v>
      </c>
      <c r="AW23" s="207" t="str">
        <f>Настройки!AE23</f>
        <v>-</v>
      </c>
      <c r="AX23" s="207" t="str">
        <f>Настройки!AF23</f>
        <v>IDIG_6_2</v>
      </c>
      <c r="AY23" s="207" t="str">
        <f>Настройки!AG23</f>
        <v>Canal_22</v>
      </c>
      <c r="AZ23" s="207" t="str">
        <f>Настройки!AH23</f>
        <v>Canal_22</v>
      </c>
      <c r="BA23" s="207" t="str">
        <f>Настройки!AI23</f>
        <v>Canal_22</v>
      </c>
      <c r="BB23" s="207" t="str">
        <f>Настройки!AJ23</f>
        <v>-</v>
      </c>
      <c r="BC23" s="207" t="str">
        <f>Настройки!AK23</f>
        <v>-</v>
      </c>
      <c r="BD23" s="207" t="str">
        <f>Настройки!AL23</f>
        <v>Canal_22</v>
      </c>
      <c r="BE23" s="207" t="str">
        <f>Настройки!AM23</f>
        <v>-</v>
      </c>
    </row>
    <row r="24" spans="1:57">
      <c r="A24" s="82"/>
      <c r="B24" s="82"/>
      <c r="C24" s="81"/>
      <c r="D24" s="81"/>
      <c r="E24" s="81"/>
      <c r="F24" s="81"/>
      <c r="G24" s="445"/>
      <c r="H24" s="447"/>
      <c r="I24" s="1"/>
      <c r="M24" s="424" t="str">
        <f>'Конфигурация TREI'!A25</f>
        <v>BR23</v>
      </c>
      <c r="N24" s="424" t="str">
        <f>'Конфигурация TREI'!B25</f>
        <v>M558O</v>
      </c>
      <c r="AE24" s="428">
        <f>Настройки!P24</f>
        <v>23</v>
      </c>
      <c r="AF24" s="380">
        <f>Настройки!Q24</f>
        <v>0</v>
      </c>
      <c r="AG24" s="380" t="str">
        <f>Настройки!R24</f>
        <v>-</v>
      </c>
      <c r="AH24" s="380" t="str">
        <f>Настройки!S24</f>
        <v>-</v>
      </c>
      <c r="AI24" s="380" t="str">
        <f>Настройки!T24</f>
        <v>out22</v>
      </c>
      <c r="AJ24" s="380" t="str">
        <f>Настройки!U24</f>
        <v>out22</v>
      </c>
      <c r="AK24" s="380" t="str">
        <f>Настройки!V24</f>
        <v>-</v>
      </c>
      <c r="AL24" s="380" t="str">
        <f>Настройки!W24</f>
        <v>-</v>
      </c>
      <c r="AM24" s="380" t="str">
        <f>Настройки!X24</f>
        <v>-</v>
      </c>
      <c r="AN24" s="380" t="str">
        <f>Настройки!Y24</f>
        <v>-</v>
      </c>
      <c r="AO24" s="380" t="str">
        <f>Настройки!Z24</f>
        <v>-</v>
      </c>
      <c r="AP24" s="380" t="str">
        <f>Настройки!AA24</f>
        <v>Canal_23</v>
      </c>
      <c r="AQ24" s="380" t="str">
        <f>Настройки!AB24</f>
        <v>Canal_23</v>
      </c>
      <c r="AR24" s="380" t="str">
        <f>Настройки!AC24</f>
        <v>-</v>
      </c>
      <c r="AS24" s="380" t="str">
        <f>Настройки!AD24</f>
        <v>-</v>
      </c>
      <c r="AT24" s="207" t="str">
        <f>Настройки!AB24</f>
        <v>Canal_23</v>
      </c>
      <c r="AU24" s="207" t="str">
        <f>Настройки!AC24</f>
        <v>-</v>
      </c>
      <c r="AV24" s="207" t="str">
        <f>Настройки!AD24</f>
        <v>-</v>
      </c>
      <c r="AW24" s="207" t="str">
        <f>Настройки!AE24</f>
        <v>-</v>
      </c>
      <c r="AX24" s="207" t="str">
        <f>Настройки!AF24</f>
        <v>IDIG_6_3</v>
      </c>
      <c r="AY24" s="207" t="str">
        <f>Настройки!AG24</f>
        <v>Canal_23</v>
      </c>
      <c r="AZ24" s="207" t="str">
        <f>Настройки!AH24</f>
        <v>Canal_23</v>
      </c>
      <c r="BA24" s="207" t="str">
        <f>Настройки!AI24</f>
        <v>Canal_23</v>
      </c>
      <c r="BB24" s="207" t="str">
        <f>Настройки!AJ24</f>
        <v>-</v>
      </c>
      <c r="BC24" s="207" t="str">
        <f>Настройки!AK24</f>
        <v>-</v>
      </c>
      <c r="BD24" s="207" t="str">
        <f>Настройки!AL24</f>
        <v>Canal_23</v>
      </c>
      <c r="BE24" s="207" t="str">
        <f>Настройки!AM24</f>
        <v>-</v>
      </c>
    </row>
    <row r="25" spans="1:57">
      <c r="A25" s="82"/>
      <c r="B25" s="82"/>
      <c r="C25" s="81"/>
      <c r="D25" s="81"/>
      <c r="E25" s="81"/>
      <c r="F25" s="81"/>
      <c r="G25" s="445"/>
      <c r="H25" s="447"/>
      <c r="I25" s="1"/>
      <c r="M25" s="424" t="str">
        <f>'Конфигурация TREI'!A26</f>
        <v>BR24</v>
      </c>
      <c r="N25" s="424" t="str">
        <f>'Конфигурация TREI'!B26</f>
        <v>M558D</v>
      </c>
      <c r="AE25" s="428">
        <f>Настройки!P25</f>
        <v>24</v>
      </c>
      <c r="AF25" s="380">
        <f>Настройки!Q25</f>
        <v>0</v>
      </c>
      <c r="AG25" s="380" t="str">
        <f>Настройки!R25</f>
        <v>-</v>
      </c>
      <c r="AH25" s="380" t="str">
        <f>Настройки!S25</f>
        <v>-</v>
      </c>
      <c r="AI25" s="380" t="str">
        <f>Настройки!T25</f>
        <v>out23</v>
      </c>
      <c r="AJ25" s="380" t="str">
        <f>Настройки!U25</f>
        <v>out23</v>
      </c>
      <c r="AK25" s="380" t="str">
        <f>Настройки!V25</f>
        <v>-</v>
      </c>
      <c r="AL25" s="380" t="str">
        <f>Настройки!W25</f>
        <v>-</v>
      </c>
      <c r="AM25" s="380" t="str">
        <f>Настройки!X25</f>
        <v>-</v>
      </c>
      <c r="AN25" s="380" t="str">
        <f>Настройки!Y25</f>
        <v>-</v>
      </c>
      <c r="AO25" s="380" t="str">
        <f>Настройки!Z25</f>
        <v>-</v>
      </c>
      <c r="AP25" s="380" t="str">
        <f>Настройки!AA25</f>
        <v>Canal_24</v>
      </c>
      <c r="AQ25" s="380" t="str">
        <f>Настройки!AB25</f>
        <v>Canal_24</v>
      </c>
      <c r="AR25" s="380" t="str">
        <f>Настройки!AC25</f>
        <v>-</v>
      </c>
      <c r="AS25" s="380" t="str">
        <f>Настройки!AD25</f>
        <v>-</v>
      </c>
      <c r="AT25" s="207" t="str">
        <f>Настройки!AB25</f>
        <v>Canal_24</v>
      </c>
      <c r="AU25" s="207" t="str">
        <f>Настройки!AC25</f>
        <v>-</v>
      </c>
      <c r="AV25" s="207" t="str">
        <f>Настройки!AD25</f>
        <v>-</v>
      </c>
      <c r="AW25" s="207" t="str">
        <f>Настройки!AE25</f>
        <v>-</v>
      </c>
      <c r="AX25" s="207" t="str">
        <f>Настройки!AF25</f>
        <v>IDIG_6_4</v>
      </c>
      <c r="AY25" s="207" t="str">
        <f>Настройки!AG25</f>
        <v>Canal_24</v>
      </c>
      <c r="AZ25" s="207" t="str">
        <f>Настройки!AH25</f>
        <v>Canal_24</v>
      </c>
      <c r="BA25" s="207" t="str">
        <f>Настройки!AI25</f>
        <v>Canal_24</v>
      </c>
      <c r="BB25" s="207" t="str">
        <f>Настройки!AJ25</f>
        <v>-</v>
      </c>
      <c r="BC25" s="207" t="str">
        <f>Настройки!AK25</f>
        <v>-</v>
      </c>
      <c r="BD25" s="207" t="str">
        <f>Настройки!AL25</f>
        <v>Canal_24</v>
      </c>
      <c r="BE25" s="207" t="str">
        <f>Настройки!AM25</f>
        <v>-</v>
      </c>
    </row>
    <row r="26" spans="1:57">
      <c r="A26" s="82"/>
      <c r="B26" s="82"/>
      <c r="C26" s="81"/>
      <c r="D26" s="81"/>
      <c r="E26" s="81"/>
      <c r="F26" s="81"/>
      <c r="G26" s="445"/>
      <c r="H26" s="447"/>
      <c r="I26" s="1"/>
      <c r="M26" s="424" t="str">
        <f>'Конфигурация TREI'!A27</f>
        <v>BR25</v>
      </c>
      <c r="N26" s="424" t="str">
        <f>'Конфигурация TREI'!B27</f>
        <v>M558D</v>
      </c>
      <c r="AE26" s="428">
        <f>Настройки!P26</f>
        <v>25</v>
      </c>
      <c r="AF26" s="380">
        <f>Настройки!Q26</f>
        <v>0</v>
      </c>
      <c r="AG26" s="380" t="str">
        <f>Настройки!R26</f>
        <v>-</v>
      </c>
      <c r="AH26" s="380" t="str">
        <f>Настройки!S26</f>
        <v>-</v>
      </c>
      <c r="AI26" s="380" t="str">
        <f>Настройки!T26</f>
        <v>out24</v>
      </c>
      <c r="AJ26" s="380" t="str">
        <f>Настройки!U26</f>
        <v>out24</v>
      </c>
      <c r="AK26" s="380" t="str">
        <f>Настройки!V26</f>
        <v>-</v>
      </c>
      <c r="AL26" s="380" t="str">
        <f>Настройки!W26</f>
        <v>-</v>
      </c>
      <c r="AM26" s="380" t="str">
        <f>Настройки!X26</f>
        <v>-</v>
      </c>
      <c r="AN26" s="380" t="str">
        <f>Настройки!Y26</f>
        <v>-</v>
      </c>
      <c r="AO26" s="380" t="str">
        <f>Настройки!Z26</f>
        <v>-</v>
      </c>
      <c r="AP26" s="380" t="str">
        <f>Настройки!AA26</f>
        <v>Canal_25</v>
      </c>
      <c r="AQ26" s="380" t="str">
        <f>Настройки!AB26</f>
        <v>Canal_25</v>
      </c>
      <c r="AR26" s="380" t="str">
        <f>Настройки!AC26</f>
        <v>-</v>
      </c>
      <c r="AS26" s="380" t="str">
        <f>Настройки!AD26</f>
        <v>-</v>
      </c>
      <c r="AT26" s="207" t="str">
        <f>Настройки!AB26</f>
        <v>Canal_25</v>
      </c>
      <c r="AU26" s="207" t="str">
        <f>Настройки!AC26</f>
        <v>-</v>
      </c>
      <c r="AV26" s="207" t="str">
        <f>Настройки!AD26</f>
        <v>-</v>
      </c>
      <c r="AW26" s="207" t="str">
        <f>Настройки!AE26</f>
        <v>-</v>
      </c>
      <c r="AX26" s="207" t="str">
        <f>Настройки!AF26</f>
        <v>IDIG_7_1</v>
      </c>
      <c r="AY26" s="207" t="str">
        <f>Настройки!AG26</f>
        <v>Canal_25</v>
      </c>
      <c r="AZ26" s="207" t="str">
        <f>Настройки!AH26</f>
        <v>Canal_25</v>
      </c>
      <c r="BA26" s="207" t="str">
        <f>Настройки!AI26</f>
        <v>Canal_25</v>
      </c>
      <c r="BB26" s="207" t="str">
        <f>Настройки!AJ26</f>
        <v>-</v>
      </c>
      <c r="BC26" s="207" t="str">
        <f>Настройки!AK26</f>
        <v>-</v>
      </c>
      <c r="BD26" s="207" t="str">
        <f>Настройки!AL26</f>
        <v>Canal_25</v>
      </c>
      <c r="BE26" s="207" t="str">
        <f>Настройки!AM26</f>
        <v>-</v>
      </c>
    </row>
    <row r="27" spans="1:57">
      <c r="A27" s="82"/>
      <c r="B27" s="82"/>
      <c r="C27" s="81"/>
      <c r="D27" s="81"/>
      <c r="E27" s="81"/>
      <c r="F27" s="81"/>
      <c r="G27" s="445"/>
      <c r="H27" s="447"/>
      <c r="I27" s="1"/>
      <c r="M27" s="424" t="str">
        <f>'Конфигурация TREI'!A28</f>
        <v>BR26</v>
      </c>
      <c r="N27" s="424" t="str">
        <f>'Конфигурация TREI'!B28</f>
        <v>M558D</v>
      </c>
      <c r="AE27" s="428">
        <f>Настройки!P27</f>
        <v>26</v>
      </c>
      <c r="AF27" s="380">
        <f>Настройки!Q27</f>
        <v>0</v>
      </c>
      <c r="AG27" s="380" t="str">
        <f>Настройки!R27</f>
        <v>-</v>
      </c>
      <c r="AH27" s="380" t="str">
        <f>Настройки!S27</f>
        <v>-</v>
      </c>
      <c r="AI27" s="380" t="str">
        <f>Настройки!T27</f>
        <v>out25</v>
      </c>
      <c r="AJ27" s="380" t="str">
        <f>Настройки!U27</f>
        <v>out25</v>
      </c>
      <c r="AK27" s="380" t="str">
        <f>Настройки!V27</f>
        <v>-</v>
      </c>
      <c r="AL27" s="380" t="str">
        <f>Настройки!W27</f>
        <v>-</v>
      </c>
      <c r="AM27" s="380" t="str">
        <f>Настройки!X27</f>
        <v>-</v>
      </c>
      <c r="AN27" s="380" t="str">
        <f>Настройки!Y27</f>
        <v>-</v>
      </c>
      <c r="AO27" s="380" t="str">
        <f>Настройки!Z27</f>
        <v>-</v>
      </c>
      <c r="AP27" s="380" t="str">
        <f>Настройки!AA27</f>
        <v>Canal_26</v>
      </c>
      <c r="AQ27" s="380" t="str">
        <f>Настройки!AB27</f>
        <v>Canal_26</v>
      </c>
      <c r="AR27" s="380" t="str">
        <f>Настройки!AC27</f>
        <v>-</v>
      </c>
      <c r="AS27" s="380" t="str">
        <f>Настройки!AD27</f>
        <v>-</v>
      </c>
      <c r="AT27" s="207" t="str">
        <f>Настройки!AB27</f>
        <v>Canal_26</v>
      </c>
      <c r="AU27" s="207" t="str">
        <f>Настройки!AC27</f>
        <v>-</v>
      </c>
      <c r="AV27" s="207" t="str">
        <f>Настройки!AD27</f>
        <v>-</v>
      </c>
      <c r="AW27" s="207" t="str">
        <f>Настройки!AE27</f>
        <v>-</v>
      </c>
      <c r="AX27" s="207" t="str">
        <f>Настройки!AF27</f>
        <v>IDIG_7_2</v>
      </c>
      <c r="AY27" s="207" t="str">
        <f>Настройки!AG27</f>
        <v>Canal_26</v>
      </c>
      <c r="AZ27" s="207" t="str">
        <f>Настройки!AH27</f>
        <v>Canal_26</v>
      </c>
      <c r="BA27" s="207" t="str">
        <f>Настройки!AI27</f>
        <v>Canal_26</v>
      </c>
      <c r="BB27" s="207" t="str">
        <f>Настройки!AJ27</f>
        <v>-</v>
      </c>
      <c r="BC27" s="207" t="str">
        <f>Настройки!AK27</f>
        <v>-</v>
      </c>
      <c r="BD27" s="207" t="str">
        <f>Настройки!AL27</f>
        <v>Canal_26</v>
      </c>
      <c r="BE27" s="207" t="str">
        <f>Настройки!AM27</f>
        <v>-</v>
      </c>
    </row>
    <row r="28" spans="1:57">
      <c r="A28" s="82"/>
      <c r="B28" s="82"/>
      <c r="C28" s="81"/>
      <c r="D28" s="81"/>
      <c r="E28" s="81"/>
      <c r="F28" s="81"/>
      <c r="G28" s="445"/>
      <c r="H28" s="447"/>
      <c r="I28" s="1"/>
      <c r="M28" s="424" t="str">
        <f>'Конфигурация TREI'!A29</f>
        <v>BR27</v>
      </c>
      <c r="N28" s="424" t="str">
        <f>'Конфигурация TREI'!B29</f>
        <v>M558D</v>
      </c>
      <c r="AE28" s="428">
        <f>Настройки!P28</f>
        <v>27</v>
      </c>
      <c r="AF28" s="380">
        <f>Настройки!Q28</f>
        <v>0</v>
      </c>
      <c r="AG28" s="380" t="str">
        <f>Настройки!R28</f>
        <v>-</v>
      </c>
      <c r="AH28" s="380" t="str">
        <f>Настройки!S28</f>
        <v>-</v>
      </c>
      <c r="AI28" s="380" t="str">
        <f>Настройки!T28</f>
        <v>out26</v>
      </c>
      <c r="AJ28" s="380" t="str">
        <f>Настройки!U28</f>
        <v>out26</v>
      </c>
      <c r="AK28" s="380" t="str">
        <f>Настройки!V28</f>
        <v>-</v>
      </c>
      <c r="AL28" s="380" t="str">
        <f>Настройки!W28</f>
        <v>-</v>
      </c>
      <c r="AM28" s="380" t="str">
        <f>Настройки!X28</f>
        <v>-</v>
      </c>
      <c r="AN28" s="380" t="str">
        <f>Настройки!Y28</f>
        <v>-</v>
      </c>
      <c r="AO28" s="380" t="str">
        <f>Настройки!Z28</f>
        <v>-</v>
      </c>
      <c r="AP28" s="380" t="str">
        <f>Настройки!AA28</f>
        <v>Canal_27</v>
      </c>
      <c r="AQ28" s="380" t="str">
        <f>Настройки!AB28</f>
        <v>Canal_27</v>
      </c>
      <c r="AR28" s="380" t="str">
        <f>Настройки!AC28</f>
        <v>-</v>
      </c>
      <c r="AS28" s="380" t="str">
        <f>Настройки!AD28</f>
        <v>-</v>
      </c>
      <c r="AT28" s="207" t="str">
        <f>Настройки!AB28</f>
        <v>Canal_27</v>
      </c>
      <c r="AU28" s="207" t="str">
        <f>Настройки!AC28</f>
        <v>-</v>
      </c>
      <c r="AV28" s="207" t="str">
        <f>Настройки!AD28</f>
        <v>-</v>
      </c>
      <c r="AW28" s="207" t="str">
        <f>Настройки!AE28</f>
        <v>-</v>
      </c>
      <c r="AX28" s="207" t="str">
        <f>Настройки!AF28</f>
        <v>IDIG_7_3</v>
      </c>
      <c r="AY28" s="207" t="str">
        <f>Настройки!AG28</f>
        <v>Canal_27</v>
      </c>
      <c r="AZ28" s="207" t="str">
        <f>Настройки!AH28</f>
        <v>Canal_27</v>
      </c>
      <c r="BA28" s="207" t="str">
        <f>Настройки!AI28</f>
        <v>Canal_27</v>
      </c>
      <c r="BB28" s="207" t="str">
        <f>Настройки!AJ28</f>
        <v>-</v>
      </c>
      <c r="BC28" s="207" t="str">
        <f>Настройки!AK28</f>
        <v>-</v>
      </c>
      <c r="BD28" s="207" t="str">
        <f>Настройки!AL28</f>
        <v>Canal_27</v>
      </c>
      <c r="BE28" s="207" t="str">
        <f>Настройки!AM28</f>
        <v>-</v>
      </c>
    </row>
    <row r="29" spans="1:57">
      <c r="A29" s="82"/>
      <c r="B29" s="82"/>
      <c r="C29" s="81"/>
      <c r="D29" s="81"/>
      <c r="E29" s="81"/>
      <c r="F29" s="81"/>
      <c r="G29" s="445"/>
      <c r="H29" s="447"/>
      <c r="I29" s="1"/>
      <c r="M29" s="424" t="str">
        <f>'Конфигурация TREI'!A30</f>
        <v>BR28</v>
      </c>
      <c r="N29" s="424" t="str">
        <f>'Конфигурация TREI'!B30</f>
        <v>M558D</v>
      </c>
      <c r="AE29" s="428">
        <f>Настройки!P29</f>
        <v>28</v>
      </c>
      <c r="AF29" s="380">
        <f>Настройки!Q29</f>
        <v>0</v>
      </c>
      <c r="AG29" s="380" t="str">
        <f>Настройки!R29</f>
        <v>-</v>
      </c>
      <c r="AH29" s="380" t="str">
        <f>Настройки!S29</f>
        <v>-</v>
      </c>
      <c r="AI29" s="380" t="str">
        <f>Настройки!T29</f>
        <v>out27</v>
      </c>
      <c r="AJ29" s="380" t="str">
        <f>Настройки!U29</f>
        <v>out27</v>
      </c>
      <c r="AK29" s="380" t="str">
        <f>Настройки!V29</f>
        <v>-</v>
      </c>
      <c r="AL29" s="380" t="str">
        <f>Настройки!W29</f>
        <v>-</v>
      </c>
      <c r="AM29" s="380" t="str">
        <f>Настройки!X29</f>
        <v>-</v>
      </c>
      <c r="AN29" s="380" t="str">
        <f>Настройки!Y29</f>
        <v>-</v>
      </c>
      <c r="AO29" s="380" t="str">
        <f>Настройки!Z29</f>
        <v>-</v>
      </c>
      <c r="AP29" s="380" t="str">
        <f>Настройки!AA29</f>
        <v>Canal_28</v>
      </c>
      <c r="AQ29" s="380" t="str">
        <f>Настройки!AB29</f>
        <v>Canal_28</v>
      </c>
      <c r="AR29" s="380" t="str">
        <f>Настройки!AC29</f>
        <v>-</v>
      </c>
      <c r="AS29" s="380" t="str">
        <f>Настройки!AD29</f>
        <v>-</v>
      </c>
      <c r="AT29" s="207" t="str">
        <f>Настройки!AB29</f>
        <v>Canal_28</v>
      </c>
      <c r="AU29" s="207" t="str">
        <f>Настройки!AC29</f>
        <v>-</v>
      </c>
      <c r="AV29" s="207" t="str">
        <f>Настройки!AD29</f>
        <v>-</v>
      </c>
      <c r="AW29" s="207" t="str">
        <f>Настройки!AE29</f>
        <v>-</v>
      </c>
      <c r="AX29" s="207" t="str">
        <f>Настройки!AF29</f>
        <v>IDIG_7_4</v>
      </c>
      <c r="AY29" s="207" t="str">
        <f>Настройки!AG29</f>
        <v>Canal_28</v>
      </c>
      <c r="AZ29" s="207" t="str">
        <f>Настройки!AH29</f>
        <v>Canal_28</v>
      </c>
      <c r="BA29" s="207" t="str">
        <f>Настройки!AI29</f>
        <v>Canal_28</v>
      </c>
      <c r="BB29" s="207" t="str">
        <f>Настройки!AJ29</f>
        <v>-</v>
      </c>
      <c r="BC29" s="207" t="str">
        <f>Настройки!AK29</f>
        <v>-</v>
      </c>
      <c r="BD29" s="207" t="str">
        <f>Настройки!AL29</f>
        <v>Canal_28</v>
      </c>
      <c r="BE29" s="207" t="str">
        <f>Настройки!AM29</f>
        <v>-</v>
      </c>
    </row>
    <row r="30" spans="1:57">
      <c r="A30" s="11"/>
      <c r="B30" s="11"/>
      <c r="C30" s="11"/>
      <c r="D30" s="11"/>
      <c r="E30" s="11"/>
      <c r="F30" s="11"/>
      <c r="G30" s="11"/>
      <c r="H30" s="1"/>
      <c r="I30" s="1"/>
      <c r="M30" s="424" t="str">
        <f>'Конфигурация TREI'!A31</f>
        <v>BR29</v>
      </c>
      <c r="N30" s="424" t="str">
        <f>'Конфигурация TREI'!B31</f>
        <v>M558O</v>
      </c>
      <c r="AE30" s="428">
        <f>Настройки!P30</f>
        <v>29</v>
      </c>
      <c r="AF30" s="380">
        <f>Настройки!Q30</f>
        <v>0</v>
      </c>
      <c r="AG30" s="380" t="str">
        <f>Настройки!R30</f>
        <v>-</v>
      </c>
      <c r="AH30" s="380" t="str">
        <f>Настройки!S30</f>
        <v>-</v>
      </c>
      <c r="AI30" s="380" t="str">
        <f>Настройки!T30</f>
        <v>out28</v>
      </c>
      <c r="AJ30" s="380" t="str">
        <f>Настройки!U30</f>
        <v>out28</v>
      </c>
      <c r="AK30" s="380" t="str">
        <f>Настройки!V30</f>
        <v>-</v>
      </c>
      <c r="AL30" s="380" t="str">
        <f>Настройки!W30</f>
        <v>-</v>
      </c>
      <c r="AM30" s="380" t="str">
        <f>Настройки!X30</f>
        <v>-</v>
      </c>
      <c r="AN30" s="380" t="str">
        <f>Настройки!Y30</f>
        <v>-</v>
      </c>
      <c r="AO30" s="380" t="str">
        <f>Настройки!Z30</f>
        <v>-</v>
      </c>
      <c r="AP30" s="380" t="str">
        <f>Настройки!AA30</f>
        <v>Canal_29</v>
      </c>
      <c r="AQ30" s="380" t="str">
        <f>Настройки!AB30</f>
        <v>Canal_29</v>
      </c>
      <c r="AR30" s="380" t="str">
        <f>Настройки!AC30</f>
        <v>-</v>
      </c>
      <c r="AS30" s="380" t="str">
        <f>Настройки!AD30</f>
        <v>-</v>
      </c>
      <c r="AT30" s="207" t="str">
        <f>Настройки!AB30</f>
        <v>Canal_29</v>
      </c>
      <c r="AU30" s="207" t="str">
        <f>Настройки!AC30</f>
        <v>-</v>
      </c>
      <c r="AV30" s="207" t="str">
        <f>Настройки!AD30</f>
        <v>-</v>
      </c>
      <c r="AW30" s="207" t="str">
        <f>Настройки!AE30</f>
        <v>-</v>
      </c>
      <c r="AX30" s="207" t="str">
        <f>Настройки!AF30</f>
        <v>IDIG_8_1</v>
      </c>
      <c r="AY30" s="207" t="str">
        <f>Настройки!AG30</f>
        <v>Canal_29</v>
      </c>
      <c r="AZ30" s="207" t="str">
        <f>Настройки!AH30</f>
        <v>Canal_29</v>
      </c>
      <c r="BA30" s="207" t="str">
        <f>Настройки!AI30</f>
        <v>Canal_29</v>
      </c>
      <c r="BB30" s="207" t="str">
        <f>Настройки!AJ30</f>
        <v>-</v>
      </c>
      <c r="BC30" s="207" t="str">
        <f>Настройки!AK30</f>
        <v>-</v>
      </c>
      <c r="BD30" s="207" t="str">
        <f>Настройки!AL30</f>
        <v>Canal_29</v>
      </c>
      <c r="BE30" s="207" t="str">
        <f>Настройки!AM30</f>
        <v>-</v>
      </c>
    </row>
    <row r="31" spans="1:57">
      <c r="A31" s="82"/>
      <c r="B31" s="82"/>
      <c r="C31" s="81"/>
      <c r="D31" s="81"/>
      <c r="E31" s="81"/>
      <c r="F31" s="81"/>
      <c r="G31" s="445"/>
      <c r="H31" s="445"/>
      <c r="I31" s="1"/>
      <c r="M31" s="424" t="str">
        <f>'Конфигурация TREI'!A32</f>
        <v>BR30</v>
      </c>
      <c r="N31" s="424" t="str">
        <f>'Конфигурация TREI'!B32</f>
        <v>M558D</v>
      </c>
      <c r="AE31" s="428">
        <f>Настройки!P31</f>
        <v>30</v>
      </c>
      <c r="AF31" s="380">
        <f>Настройки!Q31</f>
        <v>0</v>
      </c>
      <c r="AG31" s="380" t="str">
        <f>Настройки!R31</f>
        <v>-</v>
      </c>
      <c r="AH31" s="380" t="str">
        <f>Настройки!S31</f>
        <v>-</v>
      </c>
      <c r="AI31" s="380" t="str">
        <f>Настройки!T31</f>
        <v>out29</v>
      </c>
      <c r="AJ31" s="380" t="str">
        <f>Настройки!U31</f>
        <v>out29</v>
      </c>
      <c r="AK31" s="380" t="str">
        <f>Настройки!V31</f>
        <v>-</v>
      </c>
      <c r="AL31" s="380" t="str">
        <f>Настройки!W31</f>
        <v>-</v>
      </c>
      <c r="AM31" s="380" t="str">
        <f>Настройки!X31</f>
        <v>-</v>
      </c>
      <c r="AN31" s="380" t="str">
        <f>Настройки!Y31</f>
        <v>-</v>
      </c>
      <c r="AO31" s="380" t="str">
        <f>Настройки!Z31</f>
        <v>-</v>
      </c>
      <c r="AP31" s="380" t="str">
        <f>Настройки!AA31</f>
        <v>Canal_30</v>
      </c>
      <c r="AQ31" s="380" t="str">
        <f>Настройки!AB31</f>
        <v>Canal_30</v>
      </c>
      <c r="AR31" s="380" t="str">
        <f>Настройки!AC31</f>
        <v>-</v>
      </c>
      <c r="AS31" s="380" t="str">
        <f>Настройки!AD31</f>
        <v>-</v>
      </c>
      <c r="AT31" s="207" t="str">
        <f>Настройки!AB31</f>
        <v>Canal_30</v>
      </c>
      <c r="AU31" s="207" t="str">
        <f>Настройки!AC31</f>
        <v>-</v>
      </c>
      <c r="AV31" s="207" t="str">
        <f>Настройки!AD31</f>
        <v>-</v>
      </c>
      <c r="AW31" s="207" t="str">
        <f>Настройки!AE31</f>
        <v>-</v>
      </c>
      <c r="AX31" s="207" t="str">
        <f>Настройки!AF31</f>
        <v>IDIG_8_2</v>
      </c>
      <c r="AY31" s="207" t="str">
        <f>Настройки!AG31</f>
        <v>Canal_30</v>
      </c>
      <c r="AZ31" s="207" t="str">
        <f>Настройки!AH31</f>
        <v>Canal_30</v>
      </c>
      <c r="BA31" s="207" t="str">
        <f>Настройки!AI31</f>
        <v>Canal_30</v>
      </c>
      <c r="BB31" s="207" t="str">
        <f>Настройки!AJ31</f>
        <v>-</v>
      </c>
      <c r="BC31" s="207" t="str">
        <f>Настройки!AK31</f>
        <v>-</v>
      </c>
      <c r="BD31" s="207" t="str">
        <f>Настройки!AL31</f>
        <v>Canal_30</v>
      </c>
      <c r="BE31" s="207" t="str">
        <f>Настройки!AM31</f>
        <v>-</v>
      </c>
    </row>
    <row r="32" spans="1:57">
      <c r="A32" s="82"/>
      <c r="B32" s="82"/>
      <c r="C32" s="81"/>
      <c r="D32" s="81"/>
      <c r="E32" s="81"/>
      <c r="F32" s="81"/>
      <c r="G32" s="445"/>
      <c r="H32" s="445"/>
      <c r="I32" s="1"/>
      <c r="M32" s="424" t="str">
        <f>'Конфигурация TREI'!A33</f>
        <v>BR31</v>
      </c>
      <c r="N32" s="424" t="str">
        <f>'Конфигурация TREI'!B33</f>
        <v>M558D</v>
      </c>
      <c r="AE32" s="428">
        <f>Настройки!P32</f>
        <v>31</v>
      </c>
      <c r="AF32" s="380">
        <f>Настройки!Q32</f>
        <v>0</v>
      </c>
      <c r="AG32" s="380" t="str">
        <f>Настройки!R32</f>
        <v>-</v>
      </c>
      <c r="AH32" s="380" t="str">
        <f>Настройки!S32</f>
        <v>-</v>
      </c>
      <c r="AI32" s="380" t="str">
        <f>Настройки!T32</f>
        <v>out30</v>
      </c>
      <c r="AJ32" s="380" t="str">
        <f>Настройки!U32</f>
        <v>out30</v>
      </c>
      <c r="AK32" s="380" t="str">
        <f>Настройки!V32</f>
        <v>-</v>
      </c>
      <c r="AL32" s="380" t="str">
        <f>Настройки!W32</f>
        <v>-</v>
      </c>
      <c r="AM32" s="380" t="str">
        <f>Настройки!X32</f>
        <v>-</v>
      </c>
      <c r="AN32" s="380" t="str">
        <f>Настройки!Y32</f>
        <v>-</v>
      </c>
      <c r="AO32" s="380" t="str">
        <f>Настройки!Z32</f>
        <v>-</v>
      </c>
      <c r="AP32" s="380" t="str">
        <f>Настройки!AA32</f>
        <v>Canal_31</v>
      </c>
      <c r="AQ32" s="380" t="str">
        <f>Настройки!AB32</f>
        <v>Canal_31</v>
      </c>
      <c r="AR32" s="380" t="str">
        <f>Настройки!AC32</f>
        <v>-</v>
      </c>
      <c r="AS32" s="380" t="str">
        <f>Настройки!AD32</f>
        <v>-</v>
      </c>
      <c r="AT32" s="207" t="str">
        <f>Настройки!AB32</f>
        <v>Canal_31</v>
      </c>
      <c r="AU32" s="207" t="str">
        <f>Настройки!AC32</f>
        <v>-</v>
      </c>
      <c r="AV32" s="207" t="str">
        <f>Настройки!AD32</f>
        <v>-</v>
      </c>
      <c r="AW32" s="207" t="str">
        <f>Настройки!AE32</f>
        <v>-</v>
      </c>
      <c r="AX32" s="207" t="str">
        <f>Настройки!AF32</f>
        <v>IDIG_8_3</v>
      </c>
      <c r="AY32" s="207" t="str">
        <f>Настройки!AG32</f>
        <v>Canal_31</v>
      </c>
      <c r="AZ32" s="207" t="str">
        <f>Настройки!AH32</f>
        <v>Canal_31</v>
      </c>
      <c r="BA32" s="207" t="str">
        <f>Настройки!AI32</f>
        <v>Canal_31</v>
      </c>
      <c r="BB32" s="207" t="str">
        <f>Настройки!AJ32</f>
        <v>-</v>
      </c>
      <c r="BC32" s="207" t="str">
        <f>Настройки!AK32</f>
        <v>-</v>
      </c>
      <c r="BD32" s="207" t="str">
        <f>Настройки!AL32</f>
        <v>Canal_31</v>
      </c>
      <c r="BE32" s="207" t="str">
        <f>Настройки!AM32</f>
        <v>-</v>
      </c>
    </row>
    <row r="33" spans="1:58">
      <c r="A33" s="82"/>
      <c r="B33" s="82"/>
      <c r="C33" s="81"/>
      <c r="D33" s="81"/>
      <c r="E33" s="81"/>
      <c r="F33" s="81"/>
      <c r="G33" s="445"/>
      <c r="H33" s="445"/>
      <c r="I33" s="1"/>
      <c r="M33" s="424" t="str">
        <f>'Конфигурация TREI'!A34</f>
        <v>BR32</v>
      </c>
      <c r="N33" s="424" t="str">
        <f>'Конфигурация TREI'!B34</f>
        <v>M558D</v>
      </c>
      <c r="AE33" s="620">
        <f>Настройки!P33</f>
        <v>32</v>
      </c>
      <c r="AF33" s="621">
        <f>Настройки!Q33</f>
        <v>0</v>
      </c>
      <c r="AG33" s="621" t="str">
        <f>Настройки!R33</f>
        <v>-</v>
      </c>
      <c r="AH33" s="621" t="str">
        <f>Настройки!S33</f>
        <v>-</v>
      </c>
      <c r="AI33" s="621" t="str">
        <f>Настройки!T33</f>
        <v>out31</v>
      </c>
      <c r="AJ33" s="621" t="str">
        <f>Настройки!U33</f>
        <v>out31</v>
      </c>
      <c r="AK33" s="621" t="str">
        <f>Настройки!V33</f>
        <v>-</v>
      </c>
      <c r="AL33" s="621" t="str">
        <f>Настройки!W33</f>
        <v>-</v>
      </c>
      <c r="AM33" s="621" t="str">
        <f>Настройки!X33</f>
        <v>-</v>
      </c>
      <c r="AN33" s="621" t="str">
        <f>Настройки!Y33</f>
        <v>-</v>
      </c>
      <c r="AO33" s="621" t="str">
        <f>Настройки!Z33</f>
        <v>-</v>
      </c>
      <c r="AP33" s="621" t="str">
        <f>Настройки!AA33</f>
        <v>Canal_32</v>
      </c>
      <c r="AQ33" s="621" t="str">
        <f>Настройки!AB33</f>
        <v>Canal_32</v>
      </c>
      <c r="AR33" s="621" t="str">
        <f>Настройки!AC33</f>
        <v>-</v>
      </c>
      <c r="AS33" s="621" t="str">
        <f>Настройки!AD33</f>
        <v>-</v>
      </c>
      <c r="AT33" s="622" t="str">
        <f>Настройки!AB33</f>
        <v>Canal_32</v>
      </c>
      <c r="AU33" s="622" t="str">
        <f>Настройки!AC33</f>
        <v>-</v>
      </c>
      <c r="AV33" s="622" t="str">
        <f>Настройки!AD33</f>
        <v>-</v>
      </c>
      <c r="AW33" s="622" t="str">
        <f>Настройки!AE33</f>
        <v>-</v>
      </c>
      <c r="AX33" s="622" t="str">
        <f>Настройки!AF33</f>
        <v>IDIG_8_4</v>
      </c>
      <c r="AY33" s="622" t="str">
        <f>Настройки!AG33</f>
        <v>Canal_32</v>
      </c>
      <c r="AZ33" s="622" t="str">
        <f>Настройки!AH33</f>
        <v>Canal_32</v>
      </c>
      <c r="BA33" s="622" t="str">
        <f>Настройки!AI33</f>
        <v>Canal_32</v>
      </c>
      <c r="BB33" s="622" t="str">
        <f>Настройки!AJ33</f>
        <v>-</v>
      </c>
      <c r="BC33" s="622" t="str">
        <f>Настройки!AK33</f>
        <v>-</v>
      </c>
      <c r="BD33" s="622" t="str">
        <f>Настройки!AL33</f>
        <v>Canal_32</v>
      </c>
      <c r="BE33" s="622" t="str">
        <f>Настройки!AM33</f>
        <v>-</v>
      </c>
    </row>
    <row r="34" spans="1:58">
      <c r="A34" s="82"/>
      <c r="B34" s="82"/>
      <c r="C34" s="81"/>
      <c r="D34" s="81"/>
      <c r="E34" s="81"/>
      <c r="F34" s="81"/>
      <c r="G34" s="445"/>
      <c r="H34" s="445"/>
      <c r="I34" s="1"/>
      <c r="M34" s="424" t="str">
        <f>'Конфигурация TREI'!A35</f>
        <v>BR33</v>
      </c>
      <c r="N34" s="424" t="str">
        <f>'Конфигурация TREI'!B35</f>
        <v>M558D</v>
      </c>
      <c r="AC34" s="626"/>
      <c r="AD34" s="626"/>
      <c r="AE34" s="624"/>
      <c r="AF34" s="624"/>
      <c r="AG34" s="624"/>
      <c r="AH34" s="624"/>
      <c r="AI34" s="624"/>
      <c r="AJ34" s="624"/>
      <c r="AK34" s="624"/>
      <c r="AL34" s="624"/>
      <c r="AM34" s="624"/>
      <c r="AN34" s="624"/>
      <c r="AO34" s="624"/>
      <c r="AP34" s="624"/>
      <c r="AQ34" s="624"/>
      <c r="AR34" s="624"/>
      <c r="AS34" s="624"/>
      <c r="AT34" s="625"/>
      <c r="AU34" s="625"/>
      <c r="AV34" s="625"/>
      <c r="AW34" s="625"/>
      <c r="AX34" s="625"/>
      <c r="AY34" s="625"/>
      <c r="AZ34" s="625"/>
      <c r="BA34" s="625"/>
      <c r="BB34" s="625"/>
      <c r="BC34" s="625"/>
      <c r="BD34" s="625"/>
      <c r="BE34" s="625"/>
      <c r="BF34" s="17"/>
    </row>
    <row r="35" spans="1:58">
      <c r="A35" s="82"/>
      <c r="B35" s="82"/>
      <c r="C35" s="81"/>
      <c r="D35" s="81"/>
      <c r="E35" s="81"/>
      <c r="F35" s="81"/>
      <c r="G35" s="445"/>
      <c r="H35" s="445"/>
      <c r="I35" s="1"/>
      <c r="M35" s="424" t="str">
        <f>'Конфигурация TREI'!A36</f>
        <v>BR34</v>
      </c>
      <c r="N35" s="424" t="str">
        <f>'Конфигурация TREI'!B36</f>
        <v>M558D</v>
      </c>
      <c r="AC35" s="310"/>
      <c r="AD35" s="310"/>
      <c r="AE35" s="505"/>
      <c r="AF35" s="505"/>
      <c r="AG35" s="505"/>
      <c r="AH35" s="505"/>
      <c r="AI35" s="505"/>
      <c r="AJ35" s="505"/>
      <c r="AK35" s="505"/>
      <c r="AL35" s="505"/>
      <c r="AM35" s="505"/>
      <c r="AN35" s="505"/>
      <c r="AO35" s="505"/>
      <c r="AP35" s="505"/>
      <c r="AQ35" s="505"/>
      <c r="AR35" s="505"/>
      <c r="AS35" s="505"/>
      <c r="AT35" s="623"/>
      <c r="AU35" s="623"/>
      <c r="AV35" s="623"/>
      <c r="AW35" s="623"/>
      <c r="AX35" s="623"/>
      <c r="AY35" s="623"/>
      <c r="AZ35" s="623"/>
      <c r="BA35" s="623"/>
      <c r="BB35" s="623"/>
      <c r="BC35" s="623"/>
      <c r="BD35" s="623"/>
      <c r="BE35" s="623"/>
      <c r="BF35" s="11"/>
    </row>
    <row r="36" spans="1:58">
      <c r="A36" s="82"/>
      <c r="B36" s="82"/>
      <c r="C36" s="81"/>
      <c r="D36" s="81"/>
      <c r="E36" s="81"/>
      <c r="F36" s="81"/>
      <c r="G36" s="445"/>
      <c r="H36" s="445"/>
      <c r="I36" s="1"/>
      <c r="M36" s="424" t="str">
        <f>'Конфигурация TREI'!A37</f>
        <v>BR35</v>
      </c>
      <c r="N36" s="424" t="str">
        <f>'Конфигурация TREI'!B37</f>
        <v>M558D</v>
      </c>
      <c r="AC36" s="310"/>
      <c r="AD36" s="310"/>
      <c r="AE36" s="505"/>
      <c r="AF36" s="505"/>
      <c r="AG36" s="505"/>
      <c r="AH36" s="505"/>
      <c r="AI36" s="505"/>
      <c r="AJ36" s="505"/>
      <c r="AK36" s="505"/>
      <c r="AL36" s="505"/>
      <c r="AM36" s="505"/>
      <c r="AN36" s="505"/>
      <c r="AO36" s="505"/>
      <c r="AP36" s="505"/>
      <c r="AQ36" s="505"/>
      <c r="AR36" s="505"/>
      <c r="AS36" s="505"/>
      <c r="AT36" s="623"/>
      <c r="AU36" s="623"/>
      <c r="AV36" s="623"/>
      <c r="AW36" s="623"/>
      <c r="AX36" s="623"/>
      <c r="AY36" s="623"/>
      <c r="AZ36" s="623"/>
      <c r="BA36" s="623"/>
      <c r="BB36" s="623"/>
      <c r="BC36" s="623"/>
      <c r="BD36" s="623"/>
      <c r="BE36" s="623"/>
      <c r="BF36" s="11"/>
    </row>
    <row r="37" spans="1:58" ht="15.75" customHeight="1">
      <c r="A37" s="82"/>
      <c r="B37" s="82"/>
      <c r="C37" s="81"/>
      <c r="D37" s="81"/>
      <c r="E37" s="81"/>
      <c r="F37" s="81"/>
      <c r="G37" s="445"/>
      <c r="H37" s="445"/>
      <c r="I37" s="1"/>
      <c r="M37" s="424" t="str">
        <f>'Конфигурация TREI'!A38</f>
        <v>BR36</v>
      </c>
      <c r="N37" s="424">
        <f>'Конфигурация TREI'!B38</f>
        <v>0</v>
      </c>
      <c r="AC37" s="310"/>
      <c r="AD37" s="310"/>
      <c r="AE37" s="505"/>
      <c r="AF37" s="505"/>
      <c r="AG37" s="505"/>
      <c r="AH37" s="505"/>
      <c r="AI37" s="505"/>
      <c r="AJ37" s="505"/>
      <c r="AK37" s="505"/>
      <c r="AL37" s="505"/>
      <c r="AM37" s="505"/>
      <c r="AN37" s="505"/>
      <c r="AO37" s="505"/>
      <c r="AP37" s="505"/>
      <c r="AQ37" s="505"/>
      <c r="AR37" s="505"/>
      <c r="AS37" s="505"/>
      <c r="AT37" s="623"/>
      <c r="AU37" s="623"/>
      <c r="AV37" s="623"/>
      <c r="AW37" s="623"/>
      <c r="AX37" s="623"/>
      <c r="AY37" s="623"/>
      <c r="AZ37" s="623"/>
      <c r="BA37" s="623"/>
      <c r="BB37" s="623"/>
      <c r="BC37" s="623"/>
      <c r="BD37" s="623"/>
      <c r="BE37" s="623"/>
      <c r="BF37" s="11"/>
    </row>
    <row r="38" spans="1:58">
      <c r="A38" s="82"/>
      <c r="B38" s="82"/>
      <c r="C38" s="81"/>
      <c r="D38" s="81"/>
      <c r="E38" s="81"/>
      <c r="F38" s="81"/>
      <c r="G38" s="445"/>
      <c r="H38" s="445"/>
      <c r="I38" s="1"/>
      <c r="M38" s="424" t="str">
        <f>'Конфигурация TREI'!A39</f>
        <v>BR37</v>
      </c>
      <c r="N38" s="424">
        <f>'Конфигурация TREI'!B39</f>
        <v>0</v>
      </c>
      <c r="AC38" s="310"/>
      <c r="AD38" s="310"/>
      <c r="AE38" s="505"/>
      <c r="AF38" s="505"/>
      <c r="AG38" s="505"/>
      <c r="AH38" s="505"/>
      <c r="AI38" s="505"/>
      <c r="AJ38" s="505"/>
      <c r="AK38" s="505"/>
      <c r="AL38" s="505"/>
      <c r="AM38" s="505"/>
      <c r="AN38" s="505"/>
      <c r="AO38" s="505"/>
      <c r="AP38" s="505"/>
      <c r="AQ38" s="505"/>
      <c r="AR38" s="505"/>
      <c r="AS38" s="505"/>
      <c r="AT38" s="623"/>
      <c r="AU38" s="623"/>
      <c r="AV38" s="623"/>
      <c r="AW38" s="623"/>
      <c r="AX38" s="623"/>
      <c r="AY38" s="623"/>
      <c r="AZ38" s="623"/>
      <c r="BA38" s="623"/>
      <c r="BB38" s="623"/>
      <c r="BC38" s="623"/>
      <c r="BD38" s="623"/>
      <c r="BE38" s="623"/>
      <c r="BF38" s="11"/>
    </row>
    <row r="39" spans="1:58">
      <c r="A39" s="82"/>
      <c r="B39" s="82"/>
      <c r="C39" s="81"/>
      <c r="D39" s="81"/>
      <c r="E39" s="81"/>
      <c r="F39" s="81"/>
      <c r="G39" s="445"/>
      <c r="H39" s="445"/>
      <c r="I39" s="1"/>
      <c r="M39" s="424" t="str">
        <f>'Конфигурация TREI'!A40</f>
        <v>BR38</v>
      </c>
      <c r="N39" s="424">
        <f>'Конфигурация TREI'!B40</f>
        <v>0</v>
      </c>
      <c r="AC39" s="310"/>
      <c r="AD39" s="310"/>
      <c r="AE39" s="505"/>
      <c r="AF39" s="505"/>
      <c r="AG39" s="505"/>
      <c r="AH39" s="505"/>
      <c r="AI39" s="505"/>
      <c r="AJ39" s="505"/>
      <c r="AK39" s="505"/>
      <c r="AL39" s="505"/>
      <c r="AM39" s="505"/>
      <c r="AN39" s="505"/>
      <c r="AO39" s="505"/>
      <c r="AP39" s="505"/>
      <c r="AQ39" s="505"/>
      <c r="AR39" s="505"/>
      <c r="AS39" s="505"/>
      <c r="AT39" s="623"/>
      <c r="AU39" s="623"/>
      <c r="AV39" s="623"/>
      <c r="AW39" s="623"/>
      <c r="AX39" s="623"/>
      <c r="AY39" s="623"/>
      <c r="AZ39" s="623"/>
      <c r="BA39" s="623"/>
      <c r="BB39" s="623"/>
      <c r="BC39" s="623"/>
      <c r="BD39" s="623"/>
      <c r="BE39" s="623"/>
      <c r="BF39" s="11"/>
    </row>
    <row r="40" spans="1:58">
      <c r="A40" s="82"/>
      <c r="B40" s="82"/>
      <c r="C40" s="81"/>
      <c r="D40" s="81"/>
      <c r="E40" s="81"/>
      <c r="F40" s="81"/>
      <c r="G40" s="445"/>
      <c r="H40" s="445"/>
      <c r="I40" s="1"/>
      <c r="M40" s="424" t="str">
        <f>'Конфигурация TREI'!A41</f>
        <v>BR39</v>
      </c>
      <c r="N40" s="424">
        <f>'Конфигурация TREI'!B41</f>
        <v>0</v>
      </c>
      <c r="AC40" s="310"/>
      <c r="AD40" s="310"/>
      <c r="AE40" s="505"/>
      <c r="AF40" s="505"/>
      <c r="AG40" s="505"/>
      <c r="AH40" s="505"/>
      <c r="AI40" s="505"/>
      <c r="AJ40" s="505"/>
      <c r="AK40" s="505"/>
      <c r="AL40" s="505"/>
      <c r="AM40" s="505"/>
      <c r="AN40" s="505"/>
      <c r="AO40" s="505"/>
      <c r="AP40" s="505"/>
      <c r="AQ40" s="505"/>
      <c r="AR40" s="505"/>
      <c r="AS40" s="505"/>
      <c r="AT40" s="623"/>
      <c r="AU40" s="623"/>
      <c r="AV40" s="623"/>
      <c r="AW40" s="623"/>
      <c r="AX40" s="623"/>
      <c r="AY40" s="623"/>
      <c r="AZ40" s="623"/>
      <c r="BA40" s="623"/>
      <c r="BB40" s="623"/>
      <c r="BC40" s="623"/>
      <c r="BD40" s="623"/>
      <c r="BE40" s="623"/>
      <c r="BF40" s="11"/>
    </row>
    <row r="41" spans="1:58">
      <c r="A41" s="82"/>
      <c r="B41" s="82"/>
      <c r="C41" s="81"/>
      <c r="D41" s="81"/>
      <c r="E41" s="81"/>
      <c r="F41" s="81"/>
      <c r="G41" s="445"/>
      <c r="H41" s="445"/>
      <c r="I41" s="1"/>
      <c r="M41" s="424" t="str">
        <f>'Конфигурация TREI'!A42</f>
        <v>BR40</v>
      </c>
      <c r="N41" s="424">
        <f>'Конфигурация TREI'!B42</f>
        <v>0</v>
      </c>
      <c r="AC41" s="310"/>
      <c r="AD41" s="310"/>
      <c r="AE41" s="505"/>
      <c r="AF41" s="505"/>
      <c r="AG41" s="505"/>
      <c r="AH41" s="505"/>
      <c r="AI41" s="505"/>
      <c r="AJ41" s="505"/>
      <c r="AK41" s="505"/>
      <c r="AL41" s="505"/>
      <c r="AM41" s="505"/>
      <c r="AN41" s="505"/>
      <c r="AO41" s="505"/>
      <c r="AP41" s="505"/>
      <c r="AQ41" s="505"/>
      <c r="AR41" s="505"/>
      <c r="AS41" s="505"/>
      <c r="AT41" s="623"/>
      <c r="AU41" s="623"/>
      <c r="AV41" s="623"/>
      <c r="AW41" s="623"/>
      <c r="AX41" s="623"/>
      <c r="AY41" s="623"/>
      <c r="AZ41" s="623"/>
      <c r="BA41" s="623"/>
      <c r="BB41" s="623"/>
      <c r="BC41" s="623"/>
      <c r="BD41" s="623"/>
      <c r="BE41" s="623"/>
      <c r="BF41" s="11"/>
    </row>
    <row r="42" spans="1:58">
      <c r="A42" s="82"/>
      <c r="B42" s="82"/>
      <c r="C42" s="81"/>
      <c r="D42" s="81"/>
      <c r="E42" s="81"/>
      <c r="F42" s="81"/>
      <c r="G42" s="445"/>
      <c r="H42" s="445"/>
      <c r="I42" s="1"/>
      <c r="M42" s="424" t="str">
        <f>'Конфигурация TREI'!A43</f>
        <v>BR41</v>
      </c>
      <c r="N42" s="424">
        <f>'Конфигурация TREI'!B43</f>
        <v>0</v>
      </c>
      <c r="AC42" s="310"/>
      <c r="AD42" s="310"/>
      <c r="AE42" s="505"/>
      <c r="AF42" s="505"/>
      <c r="AG42" s="505"/>
      <c r="AH42" s="505"/>
      <c r="AI42" s="505"/>
      <c r="AJ42" s="505"/>
      <c r="AK42" s="505"/>
      <c r="AL42" s="505"/>
      <c r="AM42" s="505"/>
      <c r="AN42" s="505"/>
      <c r="AO42" s="505"/>
      <c r="AP42" s="505"/>
      <c r="AQ42" s="505"/>
      <c r="AR42" s="505"/>
      <c r="AS42" s="505"/>
      <c r="AT42" s="623"/>
      <c r="AU42" s="623"/>
      <c r="AV42" s="623"/>
      <c r="AW42" s="623"/>
      <c r="AX42" s="623"/>
      <c r="AY42" s="623"/>
      <c r="AZ42" s="623"/>
      <c r="BA42" s="623"/>
      <c r="BB42" s="623"/>
      <c r="BC42" s="623"/>
      <c r="BD42" s="623"/>
      <c r="BE42" s="623"/>
      <c r="BF42" s="11"/>
    </row>
    <row r="43" spans="1:58">
      <c r="A43" s="82"/>
      <c r="B43" s="82"/>
      <c r="C43" s="81"/>
      <c r="D43" s="81"/>
      <c r="E43" s="81"/>
      <c r="F43" s="81"/>
      <c r="G43" s="445"/>
      <c r="H43" s="445"/>
      <c r="I43" s="1"/>
      <c r="M43" s="424" t="str">
        <f>'Конфигурация TREI'!A44</f>
        <v>BR42</v>
      </c>
      <c r="N43" s="424">
        <f>'Конфигурация TREI'!B44</f>
        <v>0</v>
      </c>
      <c r="AC43" s="310"/>
      <c r="AD43" s="310"/>
      <c r="AE43" s="505"/>
      <c r="AF43" s="505"/>
      <c r="AG43" s="505"/>
      <c r="AH43" s="505"/>
      <c r="AI43" s="505"/>
      <c r="AJ43" s="505"/>
      <c r="AK43" s="505"/>
      <c r="AL43" s="505"/>
      <c r="AM43" s="505"/>
      <c r="AN43" s="505"/>
      <c r="AO43" s="505"/>
      <c r="AP43" s="505"/>
      <c r="AQ43" s="505"/>
      <c r="AR43" s="505"/>
      <c r="AS43" s="505"/>
      <c r="AT43" s="623"/>
      <c r="AU43" s="623"/>
      <c r="AV43" s="623"/>
      <c r="AW43" s="623"/>
      <c r="AX43" s="623"/>
      <c r="AY43" s="623"/>
      <c r="AZ43" s="623"/>
      <c r="BA43" s="623"/>
      <c r="BB43" s="623"/>
      <c r="BC43" s="623"/>
      <c r="BD43" s="623"/>
      <c r="BE43" s="623"/>
      <c r="BF43" s="11"/>
    </row>
    <row r="44" spans="1:58">
      <c r="A44" s="82"/>
      <c r="B44" s="82"/>
      <c r="C44" s="81"/>
      <c r="D44" s="81"/>
      <c r="E44" s="81"/>
      <c r="F44" s="81"/>
      <c r="G44" s="445"/>
      <c r="H44" s="445"/>
      <c r="I44" s="1"/>
      <c r="M44" s="424" t="str">
        <f>'Конфигурация TREI'!A45</f>
        <v>BR43</v>
      </c>
      <c r="N44" s="424">
        <f>'Конфигурация TREI'!B45</f>
        <v>0</v>
      </c>
      <c r="AC44" s="310"/>
      <c r="AD44" s="310"/>
      <c r="AE44" s="505"/>
      <c r="AF44" s="505"/>
      <c r="AG44" s="505"/>
      <c r="AH44" s="505"/>
      <c r="AI44" s="505"/>
      <c r="AJ44" s="505"/>
      <c r="AK44" s="505"/>
      <c r="AL44" s="505"/>
      <c r="AM44" s="505"/>
      <c r="AN44" s="505"/>
      <c r="AO44" s="505"/>
      <c r="AP44" s="505"/>
      <c r="AQ44" s="505"/>
      <c r="AR44" s="505"/>
      <c r="AS44" s="505"/>
      <c r="AT44" s="623"/>
      <c r="AU44" s="623"/>
      <c r="AV44" s="623"/>
      <c r="AW44" s="623"/>
      <c r="AX44" s="623"/>
      <c r="AY44" s="623"/>
      <c r="AZ44" s="623"/>
      <c r="BA44" s="623"/>
      <c r="BB44" s="623"/>
      <c r="BC44" s="623"/>
      <c r="BD44" s="623"/>
      <c r="BE44" s="623"/>
      <c r="BF44" s="11"/>
    </row>
    <row r="45" spans="1:58">
      <c r="A45" s="82"/>
      <c r="B45" s="82"/>
      <c r="C45" s="81"/>
      <c r="D45" s="81"/>
      <c r="E45" s="81"/>
      <c r="F45" s="81"/>
      <c r="G45" s="445"/>
      <c r="H45" s="445"/>
      <c r="I45" s="1"/>
      <c r="M45" s="424" t="str">
        <f>'Конфигурация TREI'!A46</f>
        <v>BR44</v>
      </c>
      <c r="N45" s="424">
        <f>'Конфигурация TREI'!B46</f>
        <v>0</v>
      </c>
      <c r="AC45" s="310"/>
      <c r="AD45" s="310"/>
      <c r="AE45" s="505"/>
      <c r="AF45" s="505"/>
      <c r="AG45" s="505"/>
      <c r="AH45" s="505"/>
      <c r="AI45" s="505"/>
      <c r="AJ45" s="505"/>
      <c r="AK45" s="505"/>
      <c r="AL45" s="505"/>
      <c r="AM45" s="505"/>
      <c r="AN45" s="505"/>
      <c r="AO45" s="505"/>
      <c r="AP45" s="505"/>
      <c r="AQ45" s="505"/>
      <c r="AR45" s="505"/>
      <c r="AS45" s="505"/>
      <c r="AT45" s="623"/>
      <c r="AU45" s="623"/>
      <c r="AV45" s="623"/>
      <c r="AW45" s="623"/>
      <c r="AX45" s="623"/>
      <c r="AY45" s="623"/>
      <c r="AZ45" s="623"/>
      <c r="BA45" s="623"/>
      <c r="BB45" s="623"/>
      <c r="BC45" s="623"/>
      <c r="BD45" s="623"/>
      <c r="BE45" s="623"/>
      <c r="BF45" s="11"/>
    </row>
    <row r="46" spans="1:58">
      <c r="A46" s="82"/>
      <c r="B46" s="82"/>
      <c r="C46" s="81"/>
      <c r="D46" s="81"/>
      <c r="E46" s="81"/>
      <c r="F46" s="81"/>
      <c r="G46" s="445"/>
      <c r="H46" s="445"/>
      <c r="I46" s="1"/>
      <c r="M46" s="424" t="str">
        <f>'Конфигурация TREI'!A47</f>
        <v>BR45</v>
      </c>
      <c r="N46" s="424">
        <f>'Конфигурация TREI'!B47</f>
        <v>0</v>
      </c>
      <c r="AE46" s="505"/>
      <c r="AF46" s="505"/>
      <c r="AG46" s="505"/>
      <c r="AH46" s="505"/>
      <c r="AI46" s="505"/>
      <c r="AJ46" s="505"/>
      <c r="AK46" s="505"/>
      <c r="AL46" s="505"/>
      <c r="AM46" s="505"/>
      <c r="AN46" s="505"/>
      <c r="AO46" s="505"/>
      <c r="AP46" s="505"/>
      <c r="AQ46" s="505"/>
      <c r="AR46" s="505"/>
      <c r="AS46" s="505"/>
      <c r="AT46" s="623"/>
      <c r="AU46" s="623"/>
      <c r="AV46" s="623"/>
      <c r="AW46" s="623"/>
      <c r="AX46" s="623"/>
      <c r="AY46" s="623"/>
      <c r="AZ46" s="623"/>
      <c r="BA46" s="623"/>
      <c r="BB46" s="623"/>
      <c r="BC46" s="623"/>
      <c r="BD46" s="623"/>
      <c r="BE46" s="623"/>
    </row>
    <row r="47" spans="1:58">
      <c r="A47" s="82"/>
      <c r="B47" s="82"/>
      <c r="C47" s="81"/>
      <c r="D47" s="81"/>
      <c r="E47" s="81"/>
      <c r="F47" s="81"/>
      <c r="G47" s="445"/>
      <c r="H47" s="445"/>
      <c r="I47" s="1"/>
      <c r="M47" s="424" t="str">
        <f>'Конфигурация TREI'!A48</f>
        <v>BR46</v>
      </c>
      <c r="N47" s="424">
        <f>'Конфигурация TREI'!B48</f>
        <v>0</v>
      </c>
      <c r="AE47" s="505"/>
      <c r="AF47" s="505"/>
      <c r="AG47" s="505"/>
      <c r="AH47" s="505"/>
      <c r="AI47" s="505"/>
      <c r="AJ47" s="505"/>
      <c r="AK47" s="505"/>
      <c r="AL47" s="505"/>
      <c r="AM47" s="505"/>
      <c r="AN47" s="505"/>
      <c r="AO47" s="505"/>
      <c r="AP47" s="505"/>
      <c r="AQ47" s="505"/>
      <c r="AR47" s="505"/>
      <c r="AS47" s="505"/>
      <c r="AT47" s="623"/>
      <c r="AU47" s="623"/>
      <c r="AV47" s="623"/>
      <c r="AW47" s="623"/>
      <c r="AX47" s="623"/>
      <c r="AY47" s="623"/>
      <c r="AZ47" s="623"/>
      <c r="BA47" s="623"/>
      <c r="BB47" s="623"/>
      <c r="BC47" s="623"/>
      <c r="BD47" s="623"/>
      <c r="BE47" s="623"/>
    </row>
    <row r="48" spans="1:58">
      <c r="A48" s="82"/>
      <c r="B48" s="82"/>
      <c r="C48" s="81"/>
      <c r="D48" s="81"/>
      <c r="E48" s="81"/>
      <c r="F48" s="81"/>
      <c r="G48" s="445"/>
      <c r="H48" s="445"/>
      <c r="I48" s="1"/>
      <c r="M48" s="424" t="str">
        <f>'Конфигурация TREI'!A49</f>
        <v>BR47</v>
      </c>
      <c r="N48" s="424">
        <f>'Конфигурация TREI'!B49</f>
        <v>0</v>
      </c>
      <c r="AE48" s="505"/>
      <c r="AF48" s="505"/>
      <c r="AG48" s="505"/>
      <c r="AH48" s="505"/>
      <c r="AI48" s="505"/>
      <c r="AJ48" s="505"/>
      <c r="AK48" s="505"/>
      <c r="AL48" s="505"/>
      <c r="AM48" s="505"/>
      <c r="AN48" s="505"/>
      <c r="AO48" s="505"/>
      <c r="AP48" s="505"/>
      <c r="AQ48" s="505"/>
      <c r="AR48" s="505"/>
      <c r="AS48" s="505"/>
      <c r="AT48" s="623"/>
      <c r="AU48" s="623"/>
      <c r="AV48" s="623"/>
      <c r="AW48" s="623"/>
      <c r="AX48" s="623"/>
      <c r="AY48" s="623"/>
      <c r="AZ48" s="623"/>
      <c r="BA48" s="623"/>
      <c r="BB48" s="623"/>
      <c r="BC48" s="623"/>
      <c r="BD48" s="623"/>
      <c r="BE48" s="623"/>
    </row>
    <row r="49" spans="1:57">
      <c r="A49" s="1"/>
      <c r="B49" s="1"/>
      <c r="C49" s="1"/>
      <c r="D49" s="1"/>
      <c r="E49" s="1"/>
      <c r="F49" s="1"/>
      <c r="G49" s="1"/>
      <c r="H49" s="1"/>
      <c r="I49" s="1"/>
      <c r="M49" s="424" t="str">
        <f>'Конфигурация TREI'!A50</f>
        <v>BR48</v>
      </c>
      <c r="N49" s="424">
        <f>'Конфигурация TREI'!B50</f>
        <v>0</v>
      </c>
      <c r="AE49" s="505"/>
      <c r="AF49" s="505"/>
      <c r="AG49" s="505"/>
      <c r="AH49" s="505"/>
      <c r="AI49" s="505"/>
      <c r="AJ49" s="505"/>
      <c r="AK49" s="505"/>
      <c r="AL49" s="505"/>
      <c r="AM49" s="505"/>
      <c r="AN49" s="505"/>
      <c r="AO49" s="505"/>
      <c r="AP49" s="505"/>
      <c r="AQ49" s="505"/>
      <c r="AR49" s="505"/>
      <c r="AS49" s="505"/>
      <c r="AT49" s="623"/>
      <c r="AU49" s="623"/>
      <c r="AV49" s="623"/>
      <c r="AW49" s="623"/>
      <c r="AX49" s="623"/>
      <c r="AY49" s="623"/>
      <c r="AZ49" s="623"/>
      <c r="BA49" s="623"/>
      <c r="BB49" s="623"/>
      <c r="BC49" s="623"/>
      <c r="BD49" s="623"/>
      <c r="BE49" s="623"/>
    </row>
    <row r="50" spans="1:57" s="4" customFormat="1">
      <c r="A50" s="446" t="str">
        <f>"//*********** "&amp;Q2&amp;" ***********"</f>
        <v>//*********** Блок дискретного выхода включен ***********</v>
      </c>
      <c r="B50" s="446"/>
      <c r="C50" s="446"/>
      <c r="D50" s="446"/>
      <c r="E50" s="446"/>
      <c r="F50" s="446" t="s">
        <v>1031</v>
      </c>
      <c r="G50" s="489"/>
      <c r="H50" s="489"/>
      <c r="I50" s="490"/>
      <c r="J50" s="490" t="s">
        <v>1311</v>
      </c>
      <c r="K50" s="490" t="s">
        <v>1309</v>
      </c>
      <c r="L50" s="491" t="s">
        <v>1310</v>
      </c>
      <c r="M50" s="424" t="str">
        <f>'Конфигурация TREI'!A51</f>
        <v>BR49</v>
      </c>
      <c r="N50" s="424">
        <f>'Конфигурация TREI'!B51</f>
        <v>0</v>
      </c>
      <c r="R50" s="381"/>
      <c r="S50" s="381"/>
      <c r="T50" s="381"/>
      <c r="U50" s="381"/>
      <c r="V50" s="381"/>
      <c r="W50" s="381"/>
      <c r="X50" s="381"/>
      <c r="Y50" s="381"/>
      <c r="Z50" s="381"/>
      <c r="AA50" s="381"/>
      <c r="AB50" s="381"/>
      <c r="AC50" s="381"/>
      <c r="AD50" s="381"/>
      <c r="AE50" s="505"/>
      <c r="AF50" s="505"/>
      <c r="AG50" s="505"/>
      <c r="AH50" s="505"/>
      <c r="AI50" s="505"/>
      <c r="AJ50" s="505"/>
      <c r="AK50" s="505"/>
      <c r="AL50" s="505"/>
      <c r="AM50" s="505"/>
      <c r="AN50" s="505"/>
      <c r="AO50" s="505"/>
      <c r="AP50" s="505"/>
      <c r="AQ50" s="505"/>
      <c r="AR50" s="505"/>
      <c r="AS50" s="505"/>
      <c r="AT50" s="623"/>
      <c r="AU50" s="623"/>
      <c r="AV50" s="623"/>
      <c r="AW50" s="623"/>
      <c r="AX50" s="623"/>
      <c r="AY50" s="623"/>
      <c r="AZ50" s="623"/>
      <c r="BA50" s="623"/>
      <c r="BB50" s="623"/>
      <c r="BC50" s="623"/>
      <c r="BD50" s="623"/>
      <c r="BE50" s="623"/>
    </row>
    <row r="51" spans="1:57">
      <c r="A51" s="457"/>
      <c r="B51" s="457" t="s">
        <v>1213</v>
      </c>
      <c r="C51" s="455" t="str">
        <f>LEFT($L51,FIND("+",$L51,1)-1)</f>
        <v>8</v>
      </c>
      <c r="D51" s="455" t="s">
        <v>178</v>
      </c>
      <c r="E51" s="446" t="str">
        <f ca="1">IFERROR(IF(OR($I51="-", $H51="0"),"КАНАЛ ОТСУТСТВУЕТ",IF($I51=0,"МОДУЛЬ ОТСУТСТВУЕТ",IF(LEFT($I51,3)="out","УДАЛИТЬ",I51))),IF($K51=0,"УДАЛИТЬ","ОШИБКА ФОРМАТА"))</f>
        <v>Canal_08</v>
      </c>
      <c r="F51" s="455" t="str">
        <f>" :="&amp;IF(LEFT(SUBSTITUTE($K51," ",""),1)="!","NOT  ","")&amp;SUBSTITUTE($P$2,"\","|")&amp;"|"&amp; $J51 &amp;";"</f>
        <v xml:space="preserve"> :=FB_DO_STB_S|OXON;</v>
      </c>
      <c r="G51" s="445" t="str">
        <f>INDEX($N$2:$N$61,C51)</f>
        <v>M558O</v>
      </c>
      <c r="H51" s="445" t="str">
        <f>RIGHT($L51,LEN($L51)-FIND("+",$L51,1))</f>
        <v>8</v>
      </c>
      <c r="I51" s="460" t="str">
        <f ca="1">INDIRECT(ADDRESS($H51+1,MATCH($G51,$1:$1,),1))</f>
        <v>Canal_08</v>
      </c>
      <c r="J51" s="502" t="str">
        <f>$X$1</f>
        <v>OXON</v>
      </c>
      <c r="K51" s="503" t="str">
        <f>$X$2</f>
        <v>8+8</v>
      </c>
      <c r="L51" s="504" t="str">
        <f>$X$3</f>
        <v>8+8</v>
      </c>
      <c r="M51" s="424" t="str">
        <f>'Конфигурация TREI'!A52</f>
        <v>BR50</v>
      </c>
      <c r="N51" s="424">
        <f>'Конфигурация TREI'!B52</f>
        <v>0</v>
      </c>
      <c r="AE51" s="505"/>
      <c r="AF51" s="505"/>
      <c r="AG51" s="505"/>
      <c r="AH51" s="505"/>
      <c r="AI51" s="505"/>
      <c r="AJ51" s="505"/>
      <c r="AK51" s="505"/>
      <c r="AL51" s="505"/>
      <c r="AM51" s="505"/>
      <c r="AN51" s="505"/>
      <c r="AO51" s="505"/>
      <c r="AP51" s="505"/>
      <c r="AQ51" s="505"/>
      <c r="AR51" s="505"/>
      <c r="AS51" s="505"/>
      <c r="AT51" s="623"/>
      <c r="AU51" s="623"/>
      <c r="AV51" s="623"/>
      <c r="AW51" s="623"/>
      <c r="AX51" s="623"/>
      <c r="AY51" s="623"/>
      <c r="AZ51" s="623"/>
      <c r="BA51" s="623"/>
      <c r="BB51" s="623"/>
      <c r="BC51" s="623"/>
      <c r="BD51" s="623"/>
      <c r="BE51" s="623"/>
    </row>
    <row r="52" spans="1:57">
      <c r="A52" s="457"/>
      <c r="B52" s="457" t="s">
        <v>1213</v>
      </c>
      <c r="C52" s="455" t="str">
        <f>LEFT($L52,FIND("+",$L52,1)-1)</f>
        <v>8</v>
      </c>
      <c r="D52" s="455"/>
      <c r="E52" s="446" t="str">
        <f ca="1">IFERROR(IF(OR($I51="-", $H51="0"),"КАНАЛ ОТСУТСТВУЕТ",IF($I51=0,"МОДУЛЬ ОТСУТСТВУЕТ",IF(LEFT($I51,3)="out",".ODIG_MASK:=SETBIT("&amp;IF(LEFT(SUBSTITUTE($K51," ",""),1)="!","NOT  ","")&amp;SUBSTITUTE($P$2,"\","|")&amp;"|"&amp; $J51&amp;"@"&amp;REPLACE($I51,1,3,"")&amp;"@BR"&amp;$C51,"УДАЛИТЬ"))),"УДАЛИТЬ")</f>
        <v>УДАЛИТЬ</v>
      </c>
      <c r="F52" s="455" t="str">
        <f>".ODIG_MASK);"</f>
        <v>.ODIG_MASK);</v>
      </c>
      <c r="G52" s="445" t="str">
        <f>INDEX($N$2:$N$61,C52)</f>
        <v>M558O</v>
      </c>
      <c r="H52" s="445" t="str">
        <f>RIGHT($L52,LEN($L52)-FIND("+",$L52,1))</f>
        <v>8</v>
      </c>
      <c r="I52" s="460" t="str">
        <f ca="1">INDIRECT(ADDRESS($H52+1,MATCH($G52,$1:$1,),1))</f>
        <v>Canal_08</v>
      </c>
      <c r="J52" s="502" t="str">
        <f>$X$1</f>
        <v>OXON</v>
      </c>
      <c r="K52" s="503" t="str">
        <f>$X$2</f>
        <v>8+8</v>
      </c>
      <c r="L52" s="504" t="str">
        <f>$X$3</f>
        <v>8+8</v>
      </c>
      <c r="M52" s="424" t="str">
        <f>'Конфигурация TREI'!A53</f>
        <v>BR51</v>
      </c>
      <c r="N52" s="424">
        <f>'Конфигурация TREI'!B53</f>
        <v>0</v>
      </c>
      <c r="AE52" s="505"/>
      <c r="AF52" s="505"/>
      <c r="AG52" s="505"/>
      <c r="AH52" s="505"/>
      <c r="AI52" s="505"/>
      <c r="AJ52" s="505"/>
      <c r="AK52" s="505"/>
      <c r="AL52" s="505"/>
      <c r="AM52" s="505"/>
      <c r="AN52" s="505"/>
      <c r="AO52" s="505"/>
      <c r="AP52" s="505"/>
      <c r="AQ52" s="505"/>
      <c r="AR52" s="505"/>
      <c r="AS52" s="505"/>
      <c r="AT52" s="623"/>
      <c r="AU52" s="623"/>
      <c r="AV52" s="623"/>
      <c r="AW52" s="623"/>
      <c r="AX52" s="623"/>
      <c r="AY52" s="623"/>
      <c r="AZ52" s="623"/>
      <c r="BA52" s="623"/>
      <c r="BB52" s="623"/>
      <c r="BC52" s="623"/>
      <c r="BD52" s="623"/>
      <c r="BE52" s="623"/>
    </row>
    <row r="53" spans="1:57">
      <c r="A53" s="457" t="str">
        <f>SUBSTITUTE($P$2,"\","|")&amp;"|"&amp;"DVXX:="&amp;P4&amp;"NOT_LINK_BR"</f>
        <v>FB_DO_STB_S|DVXX:=NOT_LINK_BR</v>
      </c>
      <c r="B53" s="457"/>
      <c r="C53" s="455"/>
      <c r="D53" s="455"/>
      <c r="E53" s="455" t="str">
        <f>IFERROR(LEFT($L53,FIND("+",$L53,1)-1),"УДАЛИТЬ")</f>
        <v>8</v>
      </c>
      <c r="F53" s="455" t="s">
        <v>845</v>
      </c>
      <c r="G53" s="445"/>
      <c r="H53" s="445"/>
      <c r="I53" s="459"/>
      <c r="J53" s="502" t="str">
        <f>$X$1</f>
        <v>OXON</v>
      </c>
      <c r="K53" s="503" t="str">
        <f>$X$2</f>
        <v>8+8</v>
      </c>
      <c r="L53" s="504" t="str">
        <f>$X$3</f>
        <v>8+8</v>
      </c>
      <c r="M53" s="424" t="str">
        <f>'Конфигурация TREI'!A54</f>
        <v>BR52</v>
      </c>
      <c r="N53" s="424">
        <f>'Конфигурация TREI'!B54</f>
        <v>0</v>
      </c>
      <c r="AE53" s="505"/>
      <c r="AF53" s="505"/>
      <c r="AG53" s="505"/>
      <c r="AH53" s="505"/>
      <c r="AI53" s="505"/>
      <c r="AJ53" s="505"/>
      <c r="AK53" s="505"/>
      <c r="AL53" s="505"/>
      <c r="AM53" s="505"/>
      <c r="AN53" s="505"/>
      <c r="AO53" s="505"/>
      <c r="AP53" s="505"/>
      <c r="AQ53" s="505"/>
      <c r="AR53" s="505"/>
      <c r="AS53" s="505"/>
      <c r="AT53" s="623"/>
      <c r="AU53" s="623"/>
      <c r="AV53" s="623"/>
      <c r="AW53" s="623"/>
      <c r="AX53" s="623"/>
      <c r="AY53" s="623"/>
      <c r="AZ53" s="623"/>
      <c r="BA53" s="623"/>
      <c r="BB53" s="623"/>
      <c r="BC53" s="623"/>
      <c r="BD53" s="623"/>
      <c r="BE53" s="623"/>
    </row>
    <row r="54" spans="1:57">
      <c r="M54" s="424" t="str">
        <f>'Конфигурация TREI'!A55</f>
        <v>BR53</v>
      </c>
      <c r="N54" s="424">
        <f>'Конфигурация TREI'!B55</f>
        <v>0</v>
      </c>
    </row>
    <row r="55" spans="1:57">
      <c r="M55" s="424" t="str">
        <f>'Конфигурация TREI'!A56</f>
        <v>BR54</v>
      </c>
      <c r="N55" s="424">
        <f>'Конфигурация TREI'!B56</f>
        <v>0</v>
      </c>
    </row>
    <row r="56" spans="1:57">
      <c r="M56" s="424" t="str">
        <f>'Конфигурация TREI'!A57</f>
        <v>BR55</v>
      </c>
      <c r="N56" s="424">
        <f>'Конфигурация TREI'!B57</f>
        <v>0</v>
      </c>
    </row>
    <row r="57" spans="1:57">
      <c r="M57" s="424" t="str">
        <f>'Конфигурация TREI'!A58</f>
        <v>BR56</v>
      </c>
      <c r="N57" s="424">
        <f>'Конфигурация TREI'!B58</f>
        <v>0</v>
      </c>
    </row>
    <row r="58" spans="1:57">
      <c r="M58" s="424" t="str">
        <f>'Конфигурация TREI'!A59</f>
        <v>BR57</v>
      </c>
      <c r="N58" s="424">
        <f>'Конфигурация TREI'!B59</f>
        <v>0</v>
      </c>
    </row>
    <row r="59" spans="1:57">
      <c r="M59" s="424" t="str">
        <f>'Конфигурация TREI'!A60</f>
        <v>BR58</v>
      </c>
      <c r="N59" s="424">
        <f>'Конфигурация TREI'!B60</f>
        <v>0</v>
      </c>
    </row>
    <row r="60" spans="1:57">
      <c r="M60" s="424" t="str">
        <f>'Конфигурация TREI'!A61</f>
        <v>BR59</v>
      </c>
      <c r="N60" s="424">
        <f>'Конфигурация TREI'!B61</f>
        <v>0</v>
      </c>
    </row>
    <row r="61" spans="1:57">
      <c r="M61" s="424" t="str">
        <f>'Конфигурация TREI'!A62</f>
        <v>BR60</v>
      </c>
      <c r="N61" s="424">
        <f>'Конфигурация TREI'!B62</f>
        <v>0</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sheetPr codeName="Лист140">
    <tabColor rgb="FF7030A0"/>
  </sheetPr>
  <dimension ref="A1:L9"/>
  <sheetViews>
    <sheetView workbookViewId="0">
      <selection activeCell="D2" sqref="D2:D4"/>
    </sheetView>
  </sheetViews>
  <sheetFormatPr defaultRowHeight="14.4"/>
  <cols>
    <col min="1" max="1" width="41.44140625" style="55" customWidth="1"/>
    <col min="2" max="2" width="6.88671875" style="56" customWidth="1"/>
    <col min="3" max="3" width="7" style="56" customWidth="1"/>
    <col min="4" max="4" width="34.5546875" customWidth="1"/>
    <col min="5" max="5" width="8.6640625" customWidth="1"/>
    <col min="8" max="9" width="40.6640625" customWidth="1"/>
    <col min="10" max="10" width="28.44140625" customWidth="1"/>
    <col min="11" max="11" width="25.6640625" customWidth="1"/>
    <col min="12" max="12" width="23" customWidth="1"/>
  </cols>
  <sheetData>
    <row r="1" spans="1:12">
      <c r="A1" s="57"/>
      <c r="B1" s="538"/>
      <c r="C1" s="538"/>
      <c r="D1" s="10"/>
      <c r="E1" s="10"/>
      <c r="F1" s="10"/>
      <c r="G1" s="10"/>
      <c r="H1" s="54" t="s">
        <v>269</v>
      </c>
      <c r="I1" s="54" t="s">
        <v>268</v>
      </c>
      <c r="J1" s="54" t="s">
        <v>512</v>
      </c>
      <c r="K1" s="54" t="s">
        <v>1536</v>
      </c>
      <c r="L1" s="54" t="s">
        <v>1537</v>
      </c>
    </row>
    <row r="2" spans="1:12" ht="15" customHeight="1">
      <c r="A2" s="57"/>
      <c r="B2" s="538"/>
      <c r="C2" s="538"/>
      <c r="D2" s="10"/>
      <c r="E2" s="10"/>
      <c r="F2" s="10"/>
      <c r="G2" s="10"/>
      <c r="H2" s="537" t="s">
        <v>762</v>
      </c>
      <c r="I2" s="537" t="s">
        <v>591</v>
      </c>
      <c r="J2" s="3" t="s">
        <v>248</v>
      </c>
      <c r="K2" s="3">
        <v>5</v>
      </c>
      <c r="L2" s="3">
        <v>20</v>
      </c>
    </row>
    <row r="3" spans="1:12">
      <c r="A3" s="56" t="str">
        <f>$H$2</f>
        <v>Аналоговый датчик FB</v>
      </c>
      <c r="B3" s="56">
        <f>$K$2</f>
        <v>5</v>
      </c>
      <c r="C3" s="56">
        <f>$L$2</f>
        <v>20</v>
      </c>
      <c r="D3" s="56" t="str">
        <f xml:space="preserve"> $I$2&amp;".XVLX"</f>
        <v>FB_AI_S.XVLX</v>
      </c>
      <c r="E3" s="56" t="str">
        <f>$J$2</f>
        <v>C</v>
      </c>
      <c r="F3" s="56"/>
      <c r="G3" s="56"/>
    </row>
    <row r="4" spans="1:12">
      <c r="A4"/>
    </row>
    <row r="5" spans="1:12">
      <c r="A5"/>
    </row>
    <row r="6" spans="1:12">
      <c r="A6"/>
    </row>
    <row r="7" spans="1:12">
      <c r="A7"/>
    </row>
    <row r="8" spans="1:12">
      <c r="A8"/>
    </row>
    <row r="9" spans="1:12">
      <c r="A9"/>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sheetPr codeName="Лист183">
    <tabColor rgb="FF7030A0"/>
  </sheetPr>
  <dimension ref="A1:L9"/>
  <sheetViews>
    <sheetView workbookViewId="0">
      <selection activeCell="D2" sqref="D2:D4"/>
    </sheetView>
  </sheetViews>
  <sheetFormatPr defaultRowHeight="14.4"/>
  <cols>
    <col min="1" max="1" width="41.44140625" style="55" customWidth="1"/>
    <col min="2" max="2" width="6.88671875" style="56" customWidth="1"/>
    <col min="3" max="3" width="7" style="56" customWidth="1"/>
    <col min="4" max="4" width="34.5546875" customWidth="1"/>
    <col min="5" max="5" width="8.6640625" customWidth="1"/>
    <col min="8" max="9" width="40.6640625" customWidth="1"/>
    <col min="10" max="10" width="28.44140625" customWidth="1"/>
    <col min="11" max="11" width="25.6640625" customWidth="1"/>
    <col min="12" max="12" width="23" customWidth="1"/>
  </cols>
  <sheetData>
    <row r="1" spans="1:12">
      <c r="A1" s="57"/>
      <c r="B1" s="538"/>
      <c r="C1" s="538"/>
      <c r="D1" s="10"/>
      <c r="E1" s="10"/>
      <c r="F1" s="10"/>
      <c r="G1" s="10"/>
      <c r="H1" s="54" t="s">
        <v>269</v>
      </c>
      <c r="I1" s="54" t="s">
        <v>268</v>
      </c>
      <c r="J1" s="54" t="s">
        <v>512</v>
      </c>
      <c r="K1" s="54" t="s">
        <v>1536</v>
      </c>
      <c r="L1" s="54" t="s">
        <v>1537</v>
      </c>
    </row>
    <row r="2" spans="1:12" ht="15" customHeight="1">
      <c r="A2" s="57"/>
      <c r="B2" s="538"/>
      <c r="C2" s="538"/>
      <c r="D2" s="10"/>
      <c r="E2" s="10"/>
      <c r="F2" s="10"/>
      <c r="G2" s="10"/>
      <c r="H2" s="537" t="s">
        <v>1784</v>
      </c>
      <c r="I2" s="537" t="s">
        <v>1783</v>
      </c>
      <c r="J2" s="3" t="s">
        <v>248</v>
      </c>
      <c r="K2" s="3">
        <v>5</v>
      </c>
      <c r="L2" s="3">
        <v>20</v>
      </c>
    </row>
    <row r="3" spans="1:12">
      <c r="A3" s="56" t="str">
        <f>$H$2</f>
        <v>Аналоговый датчик FB с буферизацией</v>
      </c>
      <c r="B3" s="56">
        <f>$K$2</f>
        <v>5</v>
      </c>
      <c r="C3" s="56">
        <f>$L$2</f>
        <v>20</v>
      </c>
      <c r="D3" s="56" t="str">
        <f xml:space="preserve"> $I$2&amp;".XVLX"</f>
        <v>FB_AI_BUF_S.XVLX</v>
      </c>
      <c r="E3" s="56" t="str">
        <f>$J$2</f>
        <v>C</v>
      </c>
      <c r="F3" s="56"/>
      <c r="G3" s="56"/>
    </row>
    <row r="4" spans="1:12">
      <c r="A4" s="56" t="str">
        <f>"Буфер: "&amp;$H$2</f>
        <v>Буфер: Аналоговый датчик FB с буферизацией</v>
      </c>
      <c r="B4" s="56">
        <f>$K$2</f>
        <v>5</v>
      </c>
      <c r="C4" s="56">
        <f>$L$2</f>
        <v>20</v>
      </c>
      <c r="D4" s="56" t="str">
        <f xml:space="preserve"> $I$2&amp;".BUF.XVLX"</f>
        <v>FB_AI_BUF_S.BUF.XVLX</v>
      </c>
      <c r="E4" s="56" t="str">
        <f>$J$2</f>
        <v>C</v>
      </c>
      <c r="F4" s="56"/>
      <c r="G4" s="56"/>
    </row>
    <row r="5" spans="1:12">
      <c r="A5"/>
    </row>
    <row r="6" spans="1:12">
      <c r="A6"/>
    </row>
    <row r="7" spans="1:12">
      <c r="A7"/>
    </row>
    <row r="8" spans="1:12">
      <c r="A8"/>
    </row>
    <row r="9" spans="1:12">
      <c r="A9"/>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sheetPr codeName="Лист141">
    <tabColor rgb="FF7030A0"/>
  </sheetPr>
  <dimension ref="A1:L9"/>
  <sheetViews>
    <sheetView workbookViewId="0">
      <selection activeCell="D2" sqref="D2:D4"/>
    </sheetView>
  </sheetViews>
  <sheetFormatPr defaultRowHeight="14.4"/>
  <cols>
    <col min="1" max="1" width="41.44140625" style="55" customWidth="1"/>
    <col min="2" max="2" width="6.88671875" style="56" customWidth="1"/>
    <col min="3" max="3" width="7" style="56" customWidth="1"/>
    <col min="4" max="4" width="34.5546875" customWidth="1"/>
    <col min="5" max="5" width="8.6640625" customWidth="1"/>
    <col min="8" max="9" width="40.6640625" customWidth="1"/>
    <col min="10" max="10" width="28.44140625" customWidth="1"/>
    <col min="11" max="11" width="25.6640625" customWidth="1"/>
    <col min="12" max="12" width="23" customWidth="1"/>
  </cols>
  <sheetData>
    <row r="1" spans="1:12">
      <c r="A1" s="57"/>
      <c r="B1" s="538"/>
      <c r="C1" s="538"/>
      <c r="D1" s="10"/>
      <c r="E1" s="10"/>
      <c r="F1" s="10"/>
      <c r="G1" s="10"/>
      <c r="H1" s="54" t="s">
        <v>269</v>
      </c>
      <c r="I1" s="54" t="s">
        <v>268</v>
      </c>
      <c r="J1" s="54" t="s">
        <v>512</v>
      </c>
      <c r="K1" s="54" t="s">
        <v>1536</v>
      </c>
      <c r="L1" s="54" t="s">
        <v>1537</v>
      </c>
    </row>
    <row r="2" spans="1:12" ht="15" customHeight="1">
      <c r="A2" s="57"/>
      <c r="B2" s="538"/>
      <c r="C2" s="538"/>
      <c r="D2" s="10"/>
      <c r="E2" s="10"/>
      <c r="F2" s="10"/>
      <c r="G2" s="10"/>
      <c r="H2" s="537" t="s">
        <v>761</v>
      </c>
      <c r="I2" s="537" t="s">
        <v>330</v>
      </c>
      <c r="J2" s="3" t="s">
        <v>248</v>
      </c>
      <c r="K2" s="3"/>
      <c r="L2" s="3"/>
    </row>
    <row r="3" spans="1:12">
      <c r="A3" s="56" t="str">
        <f>$H$2</f>
        <v>Аналоговый датчик</v>
      </c>
      <c r="B3" s="56">
        <f>$K$2</f>
        <v>0</v>
      </c>
      <c r="C3" s="56">
        <f>$L$2</f>
        <v>0</v>
      </c>
      <c r="D3" s="56" t="str">
        <f xml:space="preserve"> $I$2&amp;".Value"</f>
        <v>AI.Value</v>
      </c>
      <c r="E3" s="56" t="str">
        <f>$J$2</f>
        <v>C</v>
      </c>
      <c r="F3" s="56"/>
      <c r="G3" s="56"/>
    </row>
    <row r="4" spans="1:12">
      <c r="A4"/>
    </row>
    <row r="5" spans="1:12">
      <c r="A5"/>
    </row>
    <row r="6" spans="1:12">
      <c r="A6"/>
    </row>
    <row r="7" spans="1:12">
      <c r="A7"/>
    </row>
    <row r="8" spans="1:12">
      <c r="A8"/>
    </row>
    <row r="9" spans="1:12">
      <c r="A9"/>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sheetPr codeName="Лист193">
    <tabColor rgb="FF7030A0"/>
  </sheetPr>
  <dimension ref="A1:L9"/>
  <sheetViews>
    <sheetView workbookViewId="0">
      <selection activeCell="D2" sqref="D2:D4"/>
    </sheetView>
  </sheetViews>
  <sheetFormatPr defaultRowHeight="14.4"/>
  <cols>
    <col min="1" max="1" width="41.44140625" style="55" customWidth="1"/>
    <col min="2" max="2" width="6.88671875" style="56" customWidth="1"/>
    <col min="3" max="3" width="7" style="56" customWidth="1"/>
    <col min="4" max="4" width="34.5546875" customWidth="1"/>
    <col min="5" max="5" width="8.6640625" customWidth="1"/>
    <col min="8" max="9" width="40.6640625" customWidth="1"/>
    <col min="10" max="10" width="28.44140625" customWidth="1"/>
    <col min="11" max="11" width="25.6640625" customWidth="1"/>
    <col min="12" max="12" width="23" customWidth="1"/>
  </cols>
  <sheetData>
    <row r="1" spans="1:12">
      <c r="A1" s="57"/>
      <c r="B1" s="538"/>
      <c r="C1" s="538"/>
      <c r="D1" s="10"/>
      <c r="E1" s="10"/>
      <c r="F1" s="10"/>
      <c r="G1" s="10"/>
      <c r="H1" s="54" t="s">
        <v>269</v>
      </c>
      <c r="I1" s="54" t="s">
        <v>268</v>
      </c>
      <c r="J1" s="54" t="s">
        <v>512</v>
      </c>
      <c r="K1" s="54" t="s">
        <v>1536</v>
      </c>
      <c r="L1" s="54" t="s">
        <v>1537</v>
      </c>
    </row>
    <row r="2" spans="1:12" ht="15" customHeight="1">
      <c r="A2" s="57"/>
      <c r="B2" s="538"/>
      <c r="C2" s="538"/>
      <c r="D2" s="10"/>
      <c r="E2" s="10"/>
      <c r="F2" s="10"/>
      <c r="G2" s="10"/>
      <c r="H2" s="537" t="s">
        <v>761</v>
      </c>
      <c r="I2" s="537" t="s">
        <v>330</v>
      </c>
      <c r="J2" s="3" t="s">
        <v>248</v>
      </c>
      <c r="K2" s="3"/>
      <c r="L2" s="3"/>
    </row>
    <row r="3" spans="1:12">
      <c r="A3" s="56" t="str">
        <f>$H$2</f>
        <v>Аналоговый датчик</v>
      </c>
      <c r="B3" s="56">
        <f>$K$2</f>
        <v>0</v>
      </c>
      <c r="C3" s="56">
        <f>$L$2</f>
        <v>0</v>
      </c>
      <c r="D3" s="56" t="str">
        <f xml:space="preserve"> $I$2&amp;".Value"</f>
        <v>AI.Value</v>
      </c>
      <c r="E3" s="56" t="str">
        <f>$J$2</f>
        <v>C</v>
      </c>
      <c r="F3" s="56"/>
      <c r="G3" s="56"/>
    </row>
    <row r="4" spans="1:12">
      <c r="A4" s="56" t="str">
        <f>"Буфер: "&amp;$H$2</f>
        <v>Буфер: Аналоговый датчик</v>
      </c>
      <c r="B4" s="56">
        <f>$K$2</f>
        <v>0</v>
      </c>
      <c r="C4" s="56">
        <f>$L$2</f>
        <v>0</v>
      </c>
      <c r="D4" s="56" t="str">
        <f xml:space="preserve"> $I$2&amp;".BUF.Value"</f>
        <v>AI.BUF.Value</v>
      </c>
      <c r="E4" s="56" t="str">
        <f>$J$2</f>
        <v>C</v>
      </c>
      <c r="F4" s="56"/>
      <c r="G4" s="56"/>
    </row>
    <row r="5" spans="1:12">
      <c r="A5"/>
    </row>
    <row r="6" spans="1:12">
      <c r="A6"/>
    </row>
    <row r="7" spans="1:12">
      <c r="A7"/>
    </row>
    <row r="8" spans="1:12">
      <c r="A8"/>
    </row>
    <row r="9" spans="1:12">
      <c r="A9"/>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sheetPr codeName="Лист90">
    <tabColor rgb="FF7030A0"/>
  </sheetPr>
  <dimension ref="A1:L9"/>
  <sheetViews>
    <sheetView workbookViewId="0">
      <selection activeCell="D2" sqref="D2:D4"/>
    </sheetView>
  </sheetViews>
  <sheetFormatPr defaultRowHeight="14.4"/>
  <cols>
    <col min="1" max="1" width="41.44140625" style="55" customWidth="1"/>
    <col min="2" max="2" width="6.88671875" style="56" customWidth="1"/>
    <col min="3" max="3" width="7" style="56" customWidth="1"/>
    <col min="4" max="4" width="34.5546875" customWidth="1"/>
    <col min="5" max="5" width="8.6640625" customWidth="1"/>
    <col min="8" max="9" width="40.6640625" customWidth="1"/>
    <col min="10" max="10" width="28.44140625" customWidth="1"/>
    <col min="11" max="11" width="25.6640625" customWidth="1"/>
    <col min="12" max="12" width="23" customWidth="1"/>
  </cols>
  <sheetData>
    <row r="1" spans="1:12">
      <c r="A1" s="57"/>
      <c r="B1" s="538"/>
      <c r="C1" s="538"/>
      <c r="D1" s="10"/>
      <c r="E1" s="10"/>
      <c r="F1" s="10"/>
      <c r="G1" s="10"/>
      <c r="H1" s="54" t="s">
        <v>269</v>
      </c>
      <c r="I1" s="54" t="s">
        <v>268</v>
      </c>
      <c r="J1" s="54" t="s">
        <v>512</v>
      </c>
      <c r="K1" s="54" t="s">
        <v>1536</v>
      </c>
      <c r="L1" s="54" t="s">
        <v>1537</v>
      </c>
    </row>
    <row r="2" spans="1:12" ht="15" customHeight="1">
      <c r="A2" s="57"/>
      <c r="B2" s="538"/>
      <c r="C2" s="538"/>
      <c r="D2" s="10"/>
      <c r="E2" s="10"/>
      <c r="F2" s="10"/>
      <c r="G2" s="10"/>
      <c r="H2" s="537" t="s">
        <v>1745</v>
      </c>
      <c r="I2" s="537" t="s">
        <v>1744</v>
      </c>
      <c r="J2" s="3" t="s">
        <v>248</v>
      </c>
      <c r="K2" s="3"/>
      <c r="L2" s="3"/>
    </row>
    <row r="3" spans="1:12">
      <c r="A3" s="56" t="str">
        <f>$H$2</f>
        <v>Аналоговый сигнал облегченный</v>
      </c>
      <c r="B3" s="56">
        <f>$K$2</f>
        <v>0</v>
      </c>
      <c r="C3" s="56">
        <f>$L$2</f>
        <v>0</v>
      </c>
      <c r="D3" s="56" t="str">
        <f xml:space="preserve"> $I$2</f>
        <v>AI_SLIM</v>
      </c>
      <c r="E3" s="56" t="str">
        <f>$J$2</f>
        <v>C</v>
      </c>
      <c r="F3" s="56"/>
      <c r="G3" s="56"/>
    </row>
    <row r="4" spans="1:12">
      <c r="A4"/>
    </row>
    <row r="5" spans="1:12">
      <c r="A5"/>
    </row>
    <row r="6" spans="1:12">
      <c r="A6"/>
    </row>
    <row r="7" spans="1:12">
      <c r="A7"/>
    </row>
    <row r="8" spans="1:12">
      <c r="A8"/>
    </row>
    <row r="9" spans="1:12">
      <c r="A9"/>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sheetPr codeName="Лист194">
    <tabColor rgb="FF7030A0"/>
  </sheetPr>
  <dimension ref="A1:L9"/>
  <sheetViews>
    <sheetView workbookViewId="0">
      <selection activeCell="D2" sqref="D2:D4"/>
    </sheetView>
  </sheetViews>
  <sheetFormatPr defaultRowHeight="14.4"/>
  <cols>
    <col min="1" max="1" width="41.44140625" style="55" customWidth="1"/>
    <col min="2" max="2" width="6.88671875" style="56" customWidth="1"/>
    <col min="3" max="3" width="7" style="56" customWidth="1"/>
    <col min="4" max="4" width="34.5546875" customWidth="1"/>
    <col min="5" max="5" width="8.6640625" customWidth="1"/>
    <col min="8" max="9" width="40.6640625" customWidth="1"/>
    <col min="10" max="10" width="28.44140625" customWidth="1"/>
    <col min="11" max="11" width="25.6640625" customWidth="1"/>
    <col min="12" max="12" width="23" customWidth="1"/>
  </cols>
  <sheetData>
    <row r="1" spans="1:12">
      <c r="A1" s="57"/>
      <c r="B1" s="538"/>
      <c r="C1" s="538"/>
      <c r="D1" s="10"/>
      <c r="E1" s="10"/>
      <c r="F1" s="10"/>
      <c r="G1" s="10"/>
      <c r="H1" s="54" t="s">
        <v>269</v>
      </c>
      <c r="I1" s="54" t="s">
        <v>268</v>
      </c>
      <c r="J1" s="54" t="s">
        <v>512</v>
      </c>
      <c r="K1" s="54" t="s">
        <v>1536</v>
      </c>
      <c r="L1" s="54" t="s">
        <v>1537</v>
      </c>
    </row>
    <row r="2" spans="1:12" ht="15" customHeight="1">
      <c r="A2" s="57"/>
      <c r="B2" s="538"/>
      <c r="C2" s="538"/>
      <c r="D2" s="10"/>
      <c r="E2" s="10"/>
      <c r="F2" s="10"/>
      <c r="G2" s="10"/>
      <c r="H2" s="537" t="s">
        <v>1745</v>
      </c>
      <c r="I2" s="537" t="s">
        <v>1744</v>
      </c>
      <c r="J2" s="3" t="s">
        <v>248</v>
      </c>
      <c r="K2" s="3"/>
      <c r="L2" s="3"/>
    </row>
    <row r="3" spans="1:12">
      <c r="A3" s="56" t="str">
        <f>$H$2</f>
        <v>Аналоговый сигнал облегченный</v>
      </c>
      <c r="B3" s="56">
        <f>$K$2</f>
        <v>0</v>
      </c>
      <c r="C3" s="56">
        <f>$L$2</f>
        <v>0</v>
      </c>
      <c r="D3" s="56" t="str">
        <f xml:space="preserve"> $I$2</f>
        <v>AI_SLIM</v>
      </c>
      <c r="E3" s="56" t="str">
        <f>$J$2</f>
        <v>C</v>
      </c>
      <c r="F3" s="56"/>
      <c r="G3" s="56"/>
    </row>
    <row r="4" spans="1:12">
      <c r="A4" s="56" t="str">
        <f>"Буфер: "&amp;$H$2</f>
        <v>Буфер: Аналоговый сигнал облегченный</v>
      </c>
      <c r="B4" s="56">
        <f>$K$2</f>
        <v>0</v>
      </c>
      <c r="C4" s="56">
        <f>$L$2</f>
        <v>0</v>
      </c>
      <c r="D4" s="56" t="str">
        <f xml:space="preserve"> $I$2&amp;".BUF"</f>
        <v>AI_SLIM.BUF</v>
      </c>
      <c r="E4" s="56" t="str">
        <f>$J$2</f>
        <v>C</v>
      </c>
      <c r="F4" s="56"/>
      <c r="G4" s="56"/>
    </row>
    <row r="5" spans="1:12">
      <c r="A5"/>
    </row>
    <row r="6" spans="1:12">
      <c r="A6"/>
    </row>
    <row r="7" spans="1:12">
      <c r="A7"/>
    </row>
    <row r="8" spans="1:12">
      <c r="A8"/>
    </row>
    <row r="9" spans="1:12">
      <c r="A9"/>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sheetPr codeName="Лист142">
    <tabColor rgb="FF7030A0"/>
  </sheetPr>
  <dimension ref="A1:L9"/>
  <sheetViews>
    <sheetView workbookViewId="0">
      <selection activeCell="D2" sqref="D2:D4"/>
    </sheetView>
  </sheetViews>
  <sheetFormatPr defaultRowHeight="14.4"/>
  <cols>
    <col min="1" max="1" width="74.33203125" style="55" bestFit="1" customWidth="1"/>
    <col min="2" max="2" width="6.88671875" style="56" customWidth="1"/>
    <col min="3" max="3" width="7" style="56" customWidth="1"/>
    <col min="4" max="4" width="34.5546875" customWidth="1"/>
    <col min="5" max="5" width="8.6640625" customWidth="1"/>
    <col min="8" max="9" width="40.6640625" customWidth="1"/>
    <col min="10" max="10" width="28.44140625" customWidth="1"/>
    <col min="11" max="11" width="25.6640625" customWidth="1"/>
    <col min="12" max="12" width="23" customWidth="1"/>
  </cols>
  <sheetData>
    <row r="1" spans="1:12">
      <c r="A1" s="57"/>
      <c r="B1" s="538"/>
      <c r="C1" s="538"/>
      <c r="D1" s="10"/>
      <c r="E1" s="10"/>
      <c r="F1" s="10"/>
      <c r="G1" s="10"/>
      <c r="H1" s="54" t="s">
        <v>269</v>
      </c>
      <c r="I1" s="54" t="s">
        <v>268</v>
      </c>
      <c r="J1" s="54" t="s">
        <v>512</v>
      </c>
      <c r="K1" s="54" t="s">
        <v>1536</v>
      </c>
      <c r="L1" s="54" t="s">
        <v>1537</v>
      </c>
    </row>
    <row r="2" spans="1:12" ht="15" customHeight="1">
      <c r="A2" s="57"/>
      <c r="B2" s="538"/>
      <c r="C2" s="538"/>
      <c r="D2" s="10"/>
      <c r="E2" s="10"/>
      <c r="F2" s="10"/>
      <c r="G2" s="10"/>
      <c r="H2" s="537" t="s">
        <v>767</v>
      </c>
      <c r="I2" s="537" t="s">
        <v>596</v>
      </c>
      <c r="J2" s="3" t="s">
        <v>295</v>
      </c>
      <c r="K2" s="3"/>
      <c r="L2" s="3"/>
    </row>
    <row r="3" spans="1:12">
      <c r="A3" s="56" t="str">
        <f>$H$2&amp;". Выходное значение Текущее положение"</f>
        <v>Регулятор FB. Выходное значение Текущее положение</v>
      </c>
      <c r="B3" s="56">
        <f>$K$2</f>
        <v>0</v>
      </c>
      <c r="C3" s="56">
        <f>$L$2</f>
        <v>0</v>
      </c>
      <c r="D3" s="56" t="str">
        <f xml:space="preserve"> $I$2&amp;".XCPP"</f>
        <v>FB_REG_S.XCPP</v>
      </c>
      <c r="E3" t="s">
        <v>446</v>
      </c>
      <c r="F3" s="56"/>
      <c r="G3" s="56"/>
    </row>
    <row r="4" spans="1:12">
      <c r="A4" s="56" t="str">
        <f>$H$2&amp;". Задание процента открытия от оператора"</f>
        <v>Регулятор FB. Задание процента открытия от оператора</v>
      </c>
      <c r="B4" s="56">
        <f>$K$2</f>
        <v>0</v>
      </c>
      <c r="C4" s="56">
        <f>$L$2</f>
        <v>0</v>
      </c>
      <c r="D4" s="56" t="str">
        <f xml:space="preserve"> $I$2&amp;".SOPX"</f>
        <v>FB_REG_S.SOPX</v>
      </c>
      <c r="E4" t="s">
        <v>446</v>
      </c>
    </row>
    <row r="5" spans="1:12">
      <c r="A5" s="56" t="str">
        <f>$H$2&amp;". Входное значение Регулируемый параметр (параметрическое)"</f>
        <v>Регулятор FB. Входное значение Регулируемый параметр (параметрическое)</v>
      </c>
      <c r="B5" s="56">
        <f>$K$2</f>
        <v>0</v>
      </c>
      <c r="C5" s="56">
        <f>$L$2</f>
        <v>0</v>
      </c>
      <c r="D5" s="56" t="str">
        <f xml:space="preserve"> $I$2&amp;".XPVX"</f>
        <v>FB_REG_S.XPVX</v>
      </c>
      <c r="E5" t="str">
        <f>$J$2</f>
        <v>С</v>
      </c>
    </row>
    <row r="6" spans="1:12">
      <c r="A6" s="56" t="str">
        <f>$H$2&amp;". Уставка регулирования"</f>
        <v>Регулятор FB. Уставка регулирования</v>
      </c>
      <c r="B6" s="56">
        <f>$K$2</f>
        <v>0</v>
      </c>
      <c r="C6" s="56">
        <f>$L$2</f>
        <v>0</v>
      </c>
      <c r="D6" s="56" t="str">
        <f xml:space="preserve"> $I$2&amp;".SSPX"</f>
        <v>FB_REG_S.SSPX</v>
      </c>
      <c r="E6" t="str">
        <f>$J$2</f>
        <v>С</v>
      </c>
    </row>
    <row r="7" spans="1:12">
      <c r="A7"/>
    </row>
    <row r="8" spans="1:12">
      <c r="A8"/>
    </row>
    <row r="9" spans="1:12">
      <c r="A9"/>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sheetPr codeName="Лист209">
    <tabColor rgb="FF7030A0"/>
  </sheetPr>
  <dimension ref="A1:L10"/>
  <sheetViews>
    <sheetView workbookViewId="0">
      <selection activeCell="D2" sqref="D2:D4"/>
    </sheetView>
  </sheetViews>
  <sheetFormatPr defaultRowHeight="14.4"/>
  <cols>
    <col min="1" max="1" width="57" style="55" customWidth="1"/>
    <col min="2" max="2" width="6.88671875" style="56" customWidth="1"/>
    <col min="3" max="3" width="7" style="56" customWidth="1"/>
    <col min="4" max="4" width="34.5546875" customWidth="1"/>
    <col min="5" max="5" width="8.6640625" customWidth="1"/>
    <col min="8" max="9" width="40.6640625" customWidth="1"/>
    <col min="10" max="10" width="28.44140625" customWidth="1"/>
    <col min="11" max="11" width="25.6640625" customWidth="1"/>
    <col min="12" max="12" width="23" customWidth="1"/>
  </cols>
  <sheetData>
    <row r="1" spans="1:12">
      <c r="A1" s="57"/>
      <c r="B1" s="538"/>
      <c r="C1" s="538"/>
      <c r="D1" s="10"/>
      <c r="E1" s="10"/>
      <c r="F1" s="10"/>
      <c r="G1" s="10"/>
      <c r="H1" s="54" t="s">
        <v>269</v>
      </c>
      <c r="I1" s="54" t="s">
        <v>268</v>
      </c>
      <c r="J1" s="54" t="s">
        <v>512</v>
      </c>
      <c r="K1" s="54" t="s">
        <v>1536</v>
      </c>
      <c r="L1" s="54" t="s">
        <v>1537</v>
      </c>
    </row>
    <row r="2" spans="1:12" ht="15" customHeight="1">
      <c r="A2" s="57"/>
      <c r="B2" s="538"/>
      <c r="C2" s="538"/>
      <c r="D2" s="10"/>
      <c r="E2" s="10"/>
      <c r="F2" s="10"/>
      <c r="G2" s="10"/>
      <c r="H2" s="537" t="s">
        <v>767</v>
      </c>
      <c r="I2" s="537" t="s">
        <v>596</v>
      </c>
      <c r="J2" s="3" t="s">
        <v>295</v>
      </c>
      <c r="K2" s="3"/>
      <c r="L2" s="3"/>
    </row>
    <row r="3" spans="1:12">
      <c r="A3" s="56" t="str">
        <f>$H$2&amp;". Текущее положение"</f>
        <v>Регулятор FB. Текущее положение</v>
      </c>
      <c r="B3" s="56">
        <f>$K$2</f>
        <v>0</v>
      </c>
      <c r="C3" s="56">
        <f>$L$2</f>
        <v>0</v>
      </c>
      <c r="D3" s="56" t="str">
        <f xml:space="preserve"> $I$2&amp;".XCPP"</f>
        <v>FB_REG_S.XCPP</v>
      </c>
      <c r="E3" t="s">
        <v>446</v>
      </c>
      <c r="F3" s="56"/>
      <c r="G3" s="56"/>
    </row>
    <row r="4" spans="1:12">
      <c r="A4" s="56" t="str">
        <f>$H$2&amp;". Выходное значение - управяющее воздействие в процентах"</f>
        <v>Регулятор FB. Выходное значение - управяющее воздействие в процентах</v>
      </c>
      <c r="B4" s="56">
        <f>$K$2</f>
        <v>0</v>
      </c>
      <c r="C4" s="56">
        <f>$L$2</f>
        <v>0</v>
      </c>
      <c r="D4" s="56" t="str">
        <f xml:space="preserve"> $I$2&amp;".XCAP"</f>
        <v>FB_REG_S.XCAP</v>
      </c>
      <c r="E4" t="s">
        <v>446</v>
      </c>
    </row>
    <row r="5" spans="1:12">
      <c r="A5" s="56" t="str">
        <f>$H$2&amp;". Регулируемый параметр"</f>
        <v>Регулятор FB. Регулируемый параметр</v>
      </c>
      <c r="B5" s="56">
        <f t="shared" ref="B5:B6" si="0">$K$2</f>
        <v>0</v>
      </c>
      <c r="C5" s="56">
        <f t="shared" ref="C5:C6" si="1">$L$2</f>
        <v>0</v>
      </c>
      <c r="D5" s="56" t="str">
        <f xml:space="preserve"> $I$2&amp;".XPVX"</f>
        <v>FB_REG_S.XPVX</v>
      </c>
      <c r="E5" t="str">
        <f>$J$2</f>
        <v>С</v>
      </c>
    </row>
    <row r="6" spans="1:12">
      <c r="A6" s="56" t="str">
        <f>$H$2&amp;". Уставка регулирования"</f>
        <v>Регулятор FB. Уставка регулирования</v>
      </c>
      <c r="B6" s="56">
        <f t="shared" si="0"/>
        <v>0</v>
      </c>
      <c r="C6" s="56">
        <f t="shared" si="1"/>
        <v>0</v>
      </c>
      <c r="D6" s="56" t="str">
        <f xml:space="preserve"> $I$2&amp;".SSPX"</f>
        <v>FB_REG_S.SSPX</v>
      </c>
      <c r="E6" t="str">
        <f>$J$2</f>
        <v>С</v>
      </c>
    </row>
    <row r="7" spans="1:12">
      <c r="A7" s="56" t="str">
        <f>"Буфер: "&amp;$H$2&amp;". Текущее положение"</f>
        <v>Буфер: Регулятор FB. Текущее положение</v>
      </c>
      <c r="B7" s="56">
        <f>$K$2</f>
        <v>0</v>
      </c>
      <c r="C7" s="56">
        <f>$L$2</f>
        <v>0</v>
      </c>
      <c r="D7" s="56" t="str">
        <f xml:space="preserve"> $I$2&amp;".BUF.XCPP"</f>
        <v>FB_REG_S.BUF.XCPP</v>
      </c>
      <c r="E7" t="s">
        <v>446</v>
      </c>
    </row>
    <row r="8" spans="1:12">
      <c r="A8" s="56" t="str">
        <f>"Буфер: "&amp;$H$2&amp;". Выходное значение - управяющее воздействие в процентах"</f>
        <v>Буфер: Регулятор FB. Выходное значение - управяющее воздействие в процентах</v>
      </c>
      <c r="B8" s="56">
        <f>$K$2</f>
        <v>0</v>
      </c>
      <c r="C8" s="56">
        <f>$L$2</f>
        <v>0</v>
      </c>
      <c r="D8" s="56" t="str">
        <f xml:space="preserve"> $I$2&amp;".BUF.XCAP"</f>
        <v>FB_REG_S.BUF.XCAP</v>
      </c>
      <c r="E8" t="s">
        <v>446</v>
      </c>
    </row>
    <row r="9" spans="1:12">
      <c r="A9" s="56" t="str">
        <f>"Буфер: "&amp;$H$2&amp;". Регулируемый параметр"</f>
        <v>Буфер: Регулятор FB. Регулируемый параметр</v>
      </c>
      <c r="B9" s="56">
        <f t="shared" ref="B9:B10" si="2">$K$2</f>
        <v>0</v>
      </c>
      <c r="C9" s="56">
        <f t="shared" ref="C9:C10" si="3">$L$2</f>
        <v>0</v>
      </c>
      <c r="D9" s="56" t="str">
        <f xml:space="preserve"> $I$2&amp;".BUF.XPVX"</f>
        <v>FB_REG_S.BUF.XPVX</v>
      </c>
      <c r="E9" t="str">
        <f>$J$2</f>
        <v>С</v>
      </c>
    </row>
    <row r="10" spans="1:12">
      <c r="A10" s="56" t="str">
        <f>"Буфер: "&amp;$H$2&amp;". Уставка регулирования"</f>
        <v>Буфер: Регулятор FB. Уставка регулирования</v>
      </c>
      <c r="B10" s="56">
        <f t="shared" si="2"/>
        <v>0</v>
      </c>
      <c r="C10" s="56">
        <f t="shared" si="3"/>
        <v>0</v>
      </c>
      <c r="D10" s="56" t="str">
        <f xml:space="preserve"> $I$2&amp;".BUF.SSPX"</f>
        <v>FB_REG_S.BUF.SSPX</v>
      </c>
      <c r="E10" t="str">
        <f>$J$2</f>
        <v>С</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sheetPr codeName="Лист195">
    <tabColor rgb="FF7030A0"/>
  </sheetPr>
  <dimension ref="A1:L11"/>
  <sheetViews>
    <sheetView workbookViewId="0">
      <selection activeCell="D2" sqref="D2:D4"/>
    </sheetView>
  </sheetViews>
  <sheetFormatPr defaultRowHeight="14.4"/>
  <cols>
    <col min="1" max="1" width="80.6640625" style="55" customWidth="1"/>
    <col min="2" max="2" width="6.88671875" style="56" customWidth="1"/>
    <col min="3" max="3" width="7" style="56" customWidth="1"/>
    <col min="4" max="4" width="34.5546875" customWidth="1"/>
    <col min="5" max="5" width="8.6640625" customWidth="1"/>
    <col min="8" max="9" width="40.6640625" customWidth="1"/>
    <col min="10" max="10" width="28.44140625" customWidth="1"/>
    <col min="11" max="11" width="25.6640625" customWidth="1"/>
    <col min="12" max="12" width="23" customWidth="1"/>
  </cols>
  <sheetData>
    <row r="1" spans="1:12">
      <c r="A1" s="57"/>
      <c r="B1" s="538"/>
      <c r="C1" s="538"/>
      <c r="D1" s="10"/>
      <c r="E1" s="10"/>
      <c r="F1" s="10"/>
      <c r="G1" s="10"/>
      <c r="H1" s="54" t="s">
        <v>269</v>
      </c>
      <c r="I1" s="54" t="s">
        <v>268</v>
      </c>
      <c r="J1" s="54" t="s">
        <v>512</v>
      </c>
      <c r="K1" s="54" t="s">
        <v>1536</v>
      </c>
      <c r="L1" s="54" t="s">
        <v>1537</v>
      </c>
    </row>
    <row r="2" spans="1:12" ht="15" customHeight="1">
      <c r="A2" s="57"/>
      <c r="B2" s="538"/>
      <c r="C2" s="538"/>
      <c r="D2" s="10"/>
      <c r="E2" s="10"/>
      <c r="F2" s="10"/>
      <c r="G2" s="10"/>
      <c r="H2" s="537" t="s">
        <v>767</v>
      </c>
      <c r="I2" s="537" t="s">
        <v>596</v>
      </c>
      <c r="J2" s="3" t="s">
        <v>295</v>
      </c>
      <c r="K2" s="3"/>
      <c r="L2" s="3"/>
    </row>
    <row r="3" spans="1:12">
      <c r="A3" s="56" t="str">
        <f>$H$2&amp;". Текущее положение"</f>
        <v>Регулятор FB. Текущее положение</v>
      </c>
      <c r="B3" s="56">
        <f>$K$2</f>
        <v>0</v>
      </c>
      <c r="C3" s="56">
        <f>$L$2</f>
        <v>0</v>
      </c>
      <c r="D3" s="56" t="str">
        <f xml:space="preserve"> $I$2&amp;".XCPP"</f>
        <v>FB_REG_S.XCPP</v>
      </c>
      <c r="E3" t="s">
        <v>446</v>
      </c>
      <c r="F3" s="56"/>
      <c r="G3" s="56"/>
    </row>
    <row r="4" spans="1:12">
      <c r="A4" s="56" t="str">
        <f>$H$2&amp;". Выходное значение - управяющее воздействие в процентах"</f>
        <v>Регулятор FB. Выходное значение - управяющее воздействие в процентах</v>
      </c>
      <c r="B4" s="56">
        <f>$K$2</f>
        <v>0</v>
      </c>
      <c r="C4" s="56">
        <f>$L$2</f>
        <v>0</v>
      </c>
      <c r="D4" s="56" t="str">
        <f xml:space="preserve"> $I$2&amp;".XCAP"</f>
        <v>FB_REG_S.XCAP</v>
      </c>
      <c r="E4" t="s">
        <v>446</v>
      </c>
    </row>
    <row r="5" spans="1:12">
      <c r="A5" s="56" t="str">
        <f>$H$2&amp;". Регулируемый параметр"</f>
        <v>Регулятор FB. Регулируемый параметр</v>
      </c>
      <c r="B5" s="56">
        <f t="shared" ref="B5:B6" si="0">$K$2</f>
        <v>0</v>
      </c>
      <c r="C5" s="56">
        <f t="shared" ref="C5:C6" si="1">$L$2</f>
        <v>0</v>
      </c>
      <c r="D5" s="56" t="str">
        <f xml:space="preserve"> $I$2&amp;".XPVX"</f>
        <v>FB_REG_S.XPVX</v>
      </c>
      <c r="E5" t="str">
        <f>$J$2</f>
        <v>С</v>
      </c>
    </row>
    <row r="6" spans="1:12">
      <c r="A6" s="56" t="str">
        <f>$H$2&amp;". Уставка регулирования"</f>
        <v>Регулятор FB. Уставка регулирования</v>
      </c>
      <c r="B6" s="56">
        <f t="shared" si="0"/>
        <v>0</v>
      </c>
      <c r="C6" s="56">
        <f t="shared" si="1"/>
        <v>0</v>
      </c>
      <c r="D6" s="56" t="str">
        <f xml:space="preserve"> $I$2&amp;".SSPX"</f>
        <v>FB_REG_S.SSPX</v>
      </c>
      <c r="E6" t="str">
        <f>$J$2</f>
        <v>С</v>
      </c>
    </row>
    <row r="7" spans="1:12">
      <c r="A7" s="56" t="str">
        <f>"Буфер: "&amp;$H$2&amp;". Текущее положение"</f>
        <v>Буфер: Регулятор FB. Текущее положение</v>
      </c>
      <c r="B7" s="56">
        <f>$K$2</f>
        <v>0</v>
      </c>
      <c r="C7" s="56">
        <f>$L$2</f>
        <v>0</v>
      </c>
      <c r="D7" s="56" t="str">
        <f xml:space="preserve"> $I$2&amp;".BUF.XCPP"</f>
        <v>FB_REG_S.BUF.XCPP</v>
      </c>
      <c r="E7" t="s">
        <v>446</v>
      </c>
    </row>
    <row r="8" spans="1:12">
      <c r="A8" s="56" t="str">
        <f>"Буфер: "&amp;$H$2&amp;". Выходное значение - управяющее воздействие в процентах"</f>
        <v>Буфер: Регулятор FB. Выходное значение - управяющее воздействие в процентах</v>
      </c>
      <c r="B8" s="56">
        <f>$K$2</f>
        <v>0</v>
      </c>
      <c r="C8" s="56">
        <f>$L$2</f>
        <v>0</v>
      </c>
      <c r="D8" s="56" t="str">
        <f xml:space="preserve"> $I$2&amp;".BUF.XCAP"</f>
        <v>FB_REG_S.BUF.XCAP</v>
      </c>
      <c r="E8" t="s">
        <v>446</v>
      </c>
    </row>
    <row r="9" spans="1:12">
      <c r="A9" s="56" t="str">
        <f>"Буфер: "&amp;$H$2&amp;". Регулируемый параметр"</f>
        <v>Буфер: Регулятор FB. Регулируемый параметр</v>
      </c>
      <c r="B9" s="56">
        <f t="shared" ref="B9:B10" si="2">$K$2</f>
        <v>0</v>
      </c>
      <c r="C9" s="56">
        <f t="shared" ref="C9:C10" si="3">$L$2</f>
        <v>0</v>
      </c>
      <c r="D9" s="56" t="str">
        <f xml:space="preserve"> $I$2&amp;".BUF.XPVX"</f>
        <v>FB_REG_S.BUF.XPVX</v>
      </c>
      <c r="E9" t="str">
        <f>$J$2</f>
        <v>С</v>
      </c>
    </row>
    <row r="10" spans="1:12">
      <c r="A10" s="56" t="str">
        <f>"Буфер: "&amp;$H$2&amp;". Уставка регулирования"</f>
        <v>Буфер: Регулятор FB. Уставка регулирования</v>
      </c>
      <c r="B10" s="56">
        <f t="shared" si="2"/>
        <v>0</v>
      </c>
      <c r="C10" s="56">
        <f t="shared" si="3"/>
        <v>0</v>
      </c>
      <c r="D10" s="56" t="str">
        <f xml:space="preserve"> $I$2&amp;".BUF.SSPX"</f>
        <v>FB_REG_S.BUF.SSPX</v>
      </c>
      <c r="E10" t="str">
        <f>$J$2</f>
        <v>С</v>
      </c>
    </row>
    <row r="11" spans="1:12">
      <c r="A11"/>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sheetPr codeName="Лист143">
    <tabColor rgb="FF7030A0"/>
  </sheetPr>
  <dimension ref="A1:L9"/>
  <sheetViews>
    <sheetView workbookViewId="0">
      <selection activeCell="D2" sqref="D2:D4"/>
    </sheetView>
  </sheetViews>
  <sheetFormatPr defaultRowHeight="14.4"/>
  <cols>
    <col min="1" max="1" width="41.44140625" style="55" customWidth="1"/>
    <col min="2" max="2" width="6.88671875" style="56" customWidth="1"/>
    <col min="3" max="3" width="7" style="56" customWidth="1"/>
    <col min="4" max="4" width="34.5546875" customWidth="1"/>
    <col min="5" max="5" width="8.6640625" customWidth="1"/>
    <col min="8" max="9" width="40.6640625" customWidth="1"/>
    <col min="10" max="10" width="28.44140625" customWidth="1"/>
    <col min="11" max="11" width="25.6640625" customWidth="1"/>
    <col min="12" max="12" width="23" customWidth="1"/>
  </cols>
  <sheetData>
    <row r="1" spans="1:12">
      <c r="A1" s="57"/>
      <c r="B1" s="538"/>
      <c r="C1" s="538"/>
      <c r="D1" s="10"/>
      <c r="E1" s="10"/>
      <c r="F1" s="10"/>
      <c r="G1" s="10"/>
      <c r="H1" s="54" t="s">
        <v>269</v>
      </c>
      <c r="I1" s="54" t="s">
        <v>268</v>
      </c>
      <c r="J1" s="54" t="s">
        <v>512</v>
      </c>
      <c r="K1" s="54" t="s">
        <v>1536</v>
      </c>
      <c r="L1" s="54" t="s">
        <v>1537</v>
      </c>
    </row>
    <row r="2" spans="1:12" ht="15" customHeight="1">
      <c r="A2" s="57"/>
      <c r="B2" s="538"/>
      <c r="C2" s="538"/>
      <c r="D2" s="10"/>
      <c r="E2" s="10"/>
      <c r="F2" s="10"/>
      <c r="G2" s="10"/>
      <c r="H2" s="537" t="s">
        <v>776</v>
      </c>
      <c r="I2" s="537" t="s">
        <v>789</v>
      </c>
      <c r="J2" s="3" t="s">
        <v>446</v>
      </c>
      <c r="K2" s="3">
        <v>5</v>
      </c>
      <c r="L2" s="3">
        <v>20</v>
      </c>
    </row>
    <row r="3" spans="1:12">
      <c r="A3" s="56" t="str">
        <f>$H$2</f>
        <v>Загазованность</v>
      </c>
      <c r="B3" s="56">
        <f>$K$2</f>
        <v>5</v>
      </c>
      <c r="C3" s="56">
        <f>$L$2</f>
        <v>20</v>
      </c>
      <c r="D3" s="56" t="str">
        <f xml:space="preserve"> $I$2&amp;".XVLX"</f>
        <v>АСПС.FB_QSA_S.XVLX</v>
      </c>
      <c r="E3" s="56" t="str">
        <f>$J$2</f>
        <v>%</v>
      </c>
      <c r="F3" s="56"/>
      <c r="G3" s="56"/>
    </row>
    <row r="4" spans="1:12">
      <c r="A4"/>
    </row>
    <row r="5" spans="1:12">
      <c r="A5"/>
    </row>
    <row r="6" spans="1:12">
      <c r="A6"/>
    </row>
    <row r="7" spans="1:12">
      <c r="A7"/>
    </row>
    <row r="8" spans="1:12">
      <c r="A8"/>
    </row>
    <row r="9" spans="1:12">
      <c r="A9"/>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sheetPr codeName="Лист145">
    <tabColor rgb="FF7030A0"/>
  </sheetPr>
  <dimension ref="A1:L32"/>
  <sheetViews>
    <sheetView workbookViewId="0">
      <selection activeCell="D2" sqref="D2:D4"/>
    </sheetView>
  </sheetViews>
  <sheetFormatPr defaultRowHeight="14.4"/>
  <cols>
    <col min="1" max="1" width="41.44140625" style="55" customWidth="1"/>
    <col min="2" max="2" width="6.88671875" style="56" customWidth="1"/>
    <col min="3" max="3" width="7" style="56" customWidth="1"/>
    <col min="4" max="4" width="34.5546875" customWidth="1"/>
    <col min="5" max="5" width="8.6640625" customWidth="1"/>
    <col min="8" max="9" width="40.6640625" customWidth="1"/>
    <col min="10" max="10" width="28.44140625" customWidth="1"/>
    <col min="11" max="11" width="25.6640625" customWidth="1"/>
    <col min="12" max="12" width="23" customWidth="1"/>
  </cols>
  <sheetData>
    <row r="1" spans="1:12">
      <c r="A1" s="57"/>
      <c r="B1" s="538"/>
      <c r="C1" s="538"/>
      <c r="D1" s="10"/>
      <c r="E1" s="10"/>
      <c r="F1" s="10"/>
      <c r="G1" s="10"/>
      <c r="H1" s="54" t="s">
        <v>269</v>
      </c>
      <c r="I1" s="54" t="s">
        <v>268</v>
      </c>
      <c r="J1" s="54" t="s">
        <v>512</v>
      </c>
      <c r="K1" s="54" t="s">
        <v>1536</v>
      </c>
      <c r="L1" s="54" t="s">
        <v>1537</v>
      </c>
    </row>
    <row r="2" spans="1:12" ht="15" customHeight="1">
      <c r="A2" s="57"/>
      <c r="B2" s="538"/>
      <c r="C2" s="538"/>
      <c r="D2" s="10"/>
      <c r="E2" s="10"/>
      <c r="F2" s="10"/>
      <c r="G2" s="10"/>
      <c r="H2" s="537" t="s">
        <v>331</v>
      </c>
      <c r="I2" s="537" t="s">
        <v>747</v>
      </c>
      <c r="J2" s="3"/>
      <c r="K2" s="3"/>
      <c r="L2" s="3"/>
    </row>
    <row r="3" spans="1:12">
      <c r="A3" s="56" t="str">
        <f>$H$2&amp;". Косинус Phi"</f>
        <v>SEPAM. Косинус Phi</v>
      </c>
      <c r="B3" s="56">
        <f>$K$2</f>
        <v>0</v>
      </c>
      <c r="C3" s="56">
        <f>$L$2</f>
        <v>0</v>
      </c>
      <c r="D3" s="56" t="str">
        <f xml:space="preserve"> $I$2&amp;".mCosPhi"</f>
        <v>АСУЭ.SEPAM.mCosPhi</v>
      </c>
      <c r="E3" t="s">
        <v>446</v>
      </c>
      <c r="F3" s="56"/>
      <c r="G3" s="56"/>
    </row>
    <row r="4" spans="1:12">
      <c r="A4" s="56" t="str">
        <f>$H$2&amp;". Частота"</f>
        <v>SEPAM. Частота</v>
      </c>
      <c r="B4" s="56">
        <f>$K$2</f>
        <v>0</v>
      </c>
      <c r="C4" s="56">
        <f>$L$2</f>
        <v>0</v>
      </c>
      <c r="D4" s="56" t="str">
        <f xml:space="preserve"> $I$2&amp;".mFreq"</f>
        <v>АСУЭ.SEPAM.mFreq</v>
      </c>
      <c r="E4" t="s">
        <v>1585</v>
      </c>
    </row>
    <row r="5" spans="1:12">
      <c r="A5" s="56" t="str">
        <f>$H$2&amp;". Ток нулевой последовательности"</f>
        <v>SEPAM. Ток нулевой последовательности</v>
      </c>
      <c r="B5" s="56">
        <f t="shared" ref="B5:B32" si="0">$K$2</f>
        <v>0</v>
      </c>
      <c r="C5" s="56">
        <f t="shared" ref="C5:C32" si="1">$L$2</f>
        <v>0</v>
      </c>
      <c r="D5" s="56" t="str">
        <f xml:space="preserve"> $I$2&amp;".mI0"</f>
        <v>АСУЭ.SEPAM.mI0</v>
      </c>
      <c r="E5" t="s">
        <v>1590</v>
      </c>
    </row>
    <row r="6" spans="1:12">
      <c r="A6" s="56" t="str">
        <f>$H$2&amp;". Среднее значение тока Ia"</f>
        <v>SEPAM. Среднее значение тока Ia</v>
      </c>
      <c r="B6" s="56">
        <f t="shared" si="0"/>
        <v>0</v>
      </c>
      <c r="C6" s="56">
        <f t="shared" si="1"/>
        <v>0</v>
      </c>
      <c r="D6" s="56" t="str">
        <f xml:space="preserve"> $I$2&amp;".mIm1"</f>
        <v>АСУЭ.SEPAM.mIm1</v>
      </c>
      <c r="E6" t="s">
        <v>1590</v>
      </c>
    </row>
    <row r="7" spans="1:12">
      <c r="A7" s="56" t="str">
        <f>$H$2&amp;". Среднее значение тока Ib"</f>
        <v>SEPAM. Среднее значение тока Ib</v>
      </c>
      <c r="B7" s="56">
        <f t="shared" si="0"/>
        <v>0</v>
      </c>
      <c r="C7" s="56">
        <f t="shared" si="1"/>
        <v>0</v>
      </c>
      <c r="D7" s="56" t="str">
        <f xml:space="preserve"> $I$2&amp;".mIm2"</f>
        <v>АСУЭ.SEPAM.mIm2</v>
      </c>
      <c r="E7" t="s">
        <v>1590</v>
      </c>
    </row>
    <row r="8" spans="1:12">
      <c r="A8" s="56" t="str">
        <f>$H$2&amp;". Среднее значение тока Ic"</f>
        <v>SEPAM. Среднее значение тока Ic</v>
      </c>
      <c r="B8" s="56">
        <f t="shared" si="0"/>
        <v>0</v>
      </c>
      <c r="C8" s="56">
        <f t="shared" si="1"/>
        <v>0</v>
      </c>
      <c r="D8" s="56" t="str">
        <f xml:space="preserve"> $I$2&amp;".mIm3"</f>
        <v>АСУЭ.SEPAM.mIm3</v>
      </c>
      <c r="E8" t="s">
        <v>1590</v>
      </c>
    </row>
    <row r="9" spans="1:12">
      <c r="A9" s="56" t="str">
        <f>$H$2&amp;". Текущее значение тока Ia"</f>
        <v>SEPAM. Текущее значение тока Ia</v>
      </c>
      <c r="B9" s="56">
        <f t="shared" si="0"/>
        <v>0</v>
      </c>
      <c r="C9" s="56">
        <f t="shared" si="1"/>
        <v>0</v>
      </c>
      <c r="D9" s="56" t="str">
        <f xml:space="preserve"> $I$2&amp;".mI1"</f>
        <v>АСУЭ.SEPAM.mI1</v>
      </c>
      <c r="E9" t="s">
        <v>1590</v>
      </c>
    </row>
    <row r="10" spans="1:12">
      <c r="A10" s="56" t="str">
        <f>$H$2&amp;". Текущее значение тока Ib"</f>
        <v>SEPAM. Текущее значение тока Ib</v>
      </c>
      <c r="B10" s="56">
        <f t="shared" si="0"/>
        <v>0</v>
      </c>
      <c r="C10" s="56">
        <f t="shared" si="1"/>
        <v>0</v>
      </c>
      <c r="D10" s="56" t="str">
        <f xml:space="preserve"> $I$2&amp;".mI2"</f>
        <v>АСУЭ.SEPAM.mI2</v>
      </c>
      <c r="E10" t="s">
        <v>1590</v>
      </c>
    </row>
    <row r="11" spans="1:12">
      <c r="A11" s="56" t="str">
        <f>$H$2&amp;". Текущее значение тока Ic"</f>
        <v>SEPAM. Текущее значение тока Ic</v>
      </c>
      <c r="B11" s="56">
        <f t="shared" si="0"/>
        <v>0</v>
      </c>
      <c r="C11" s="56">
        <f t="shared" si="1"/>
        <v>0</v>
      </c>
      <c r="D11" s="56" t="str">
        <f xml:space="preserve"> $I$2&amp;".mI3"</f>
        <v>АСУЭ.SEPAM.mI3</v>
      </c>
      <c r="E11" t="s">
        <v>1590</v>
      </c>
    </row>
    <row r="12" spans="1:12">
      <c r="A12" s="56" t="str">
        <f>$H$2&amp;". Ток отключения Ia"</f>
        <v>SEPAM. Ток отключения Ia</v>
      </c>
      <c r="B12" s="56">
        <f t="shared" si="0"/>
        <v>0</v>
      </c>
      <c r="C12" s="56">
        <f t="shared" si="1"/>
        <v>0</v>
      </c>
      <c r="D12" s="56" t="str">
        <f xml:space="preserve"> $I$2&amp;".mItrip1"</f>
        <v>АСУЭ.SEPAM.mItrip1</v>
      </c>
      <c r="E12" t="s">
        <v>1590</v>
      </c>
    </row>
    <row r="13" spans="1:12">
      <c r="A13" s="56" t="str">
        <f>$H$2&amp;". Ток отключения Ib"</f>
        <v>SEPAM. Ток отключения Ib</v>
      </c>
      <c r="B13" s="56">
        <f t="shared" si="0"/>
        <v>0</v>
      </c>
      <c r="C13" s="56">
        <f t="shared" si="1"/>
        <v>0</v>
      </c>
      <c r="D13" s="56" t="str">
        <f xml:space="preserve"> $I$2&amp;".mItrip2"</f>
        <v>АСУЭ.SEPAM.mItrip2</v>
      </c>
      <c r="E13" t="s">
        <v>1590</v>
      </c>
    </row>
    <row r="14" spans="1:12">
      <c r="A14" s="56" t="str">
        <f>$H$2&amp;". Ток отключения Ic"</f>
        <v>SEPAM. Ток отключения Ic</v>
      </c>
      <c r="B14" s="56">
        <f t="shared" si="0"/>
        <v>0</v>
      </c>
      <c r="C14" s="56">
        <f t="shared" si="1"/>
        <v>0</v>
      </c>
      <c r="D14" s="56" t="str">
        <f xml:space="preserve"> $I$2&amp;".mItrip3"</f>
        <v>АСУЭ.SEPAM.mItrip3</v>
      </c>
      <c r="E14" t="s">
        <v>1590</v>
      </c>
    </row>
    <row r="15" spans="1:12">
      <c r="A15" s="56" t="str">
        <f>$H$2&amp;". Ток максиметра Ia"</f>
        <v>SEPAM. Ток максиметра Ia</v>
      </c>
      <c r="B15" s="56">
        <f t="shared" si="0"/>
        <v>0</v>
      </c>
      <c r="C15" s="56">
        <f t="shared" si="1"/>
        <v>0</v>
      </c>
      <c r="D15" s="56" t="str">
        <f xml:space="preserve"> $I$2&amp;".mMaxI1"</f>
        <v>АСУЭ.SEPAM.mMaxI1</v>
      </c>
      <c r="E15" t="s">
        <v>1590</v>
      </c>
    </row>
    <row r="16" spans="1:12">
      <c r="A16" s="56" t="str">
        <f>$H$2&amp;". Ток максиметра Ib"</f>
        <v>SEPAM. Ток максиметра Ib</v>
      </c>
      <c r="B16" s="56">
        <f t="shared" si="0"/>
        <v>0</v>
      </c>
      <c r="C16" s="56">
        <f t="shared" si="1"/>
        <v>0</v>
      </c>
      <c r="D16" s="56" t="str">
        <f xml:space="preserve"> $I$2&amp;".mMaxI2"</f>
        <v>АСУЭ.SEPAM.mMaxI2</v>
      </c>
      <c r="E16" t="s">
        <v>1590</v>
      </c>
    </row>
    <row r="17" spans="1:5">
      <c r="A17" s="56" t="str">
        <f>$H$2&amp;". Ток максиметра Ic"</f>
        <v>SEPAM. Ток максиметра Ic</v>
      </c>
      <c r="B17" s="56">
        <f t="shared" si="0"/>
        <v>0</v>
      </c>
      <c r="C17" s="56">
        <f t="shared" si="1"/>
        <v>0</v>
      </c>
      <c r="D17" s="56" t="str">
        <f xml:space="preserve"> $I$2&amp;".mMaxI3"</f>
        <v>АСУЭ.SEPAM.mMaxI3</v>
      </c>
      <c r="E17" t="s">
        <v>1590</v>
      </c>
    </row>
    <row r="18" spans="1:5">
      <c r="A18" s="56" t="str">
        <f>$H$2&amp;". Максимальная мощность активная"</f>
        <v>SEPAM. Максимальная мощность активная</v>
      </c>
      <c r="B18" s="56">
        <f t="shared" si="0"/>
        <v>0</v>
      </c>
      <c r="C18" s="56">
        <f t="shared" si="1"/>
        <v>0</v>
      </c>
      <c r="D18" s="56" t="str">
        <f xml:space="preserve"> $I$2&amp;".mMaxPM"</f>
        <v>АСУЭ.SEPAM.mMaxPM</v>
      </c>
      <c r="E18" t="s">
        <v>1586</v>
      </c>
    </row>
    <row r="19" spans="1:5">
      <c r="A19" s="56" t="str">
        <f>$H$2&amp;". Максимальная мощность реактивная"</f>
        <v>SEPAM. Максимальная мощность реактивная</v>
      </c>
      <c r="B19" s="56">
        <f t="shared" si="0"/>
        <v>0</v>
      </c>
      <c r="C19" s="56">
        <f t="shared" si="1"/>
        <v>0</v>
      </c>
      <c r="D19" s="56" t="str">
        <f xml:space="preserve"> $I$2&amp;".mMaxQM"</f>
        <v>АСУЭ.SEPAM.mMaxQM</v>
      </c>
      <c r="E19" t="s">
        <v>1587</v>
      </c>
    </row>
    <row r="20" spans="1:5">
      <c r="A20" s="56" t="str">
        <f>$H$2&amp;". Напряжение обр. посл-ти"</f>
        <v>SEPAM. Напряжение обр. посл-ти</v>
      </c>
      <c r="B20" s="56">
        <f t="shared" si="0"/>
        <v>0</v>
      </c>
      <c r="C20" s="56">
        <f t="shared" si="1"/>
        <v>0</v>
      </c>
      <c r="D20" s="56" t="str">
        <f xml:space="preserve"> $I$2&amp;".mVi"</f>
        <v>АСУЭ.SEPAM.mVi</v>
      </c>
      <c r="E20" t="s">
        <v>1588</v>
      </c>
    </row>
    <row r="21" spans="1:5">
      <c r="A21" s="56" t="str">
        <f>$H$2&amp;". Напряжение 0-ой посл-ти"</f>
        <v>SEPAM. Напряжение 0-ой посл-ти</v>
      </c>
      <c r="B21" s="56">
        <f t="shared" si="0"/>
        <v>0</v>
      </c>
      <c r="C21" s="56">
        <f t="shared" si="1"/>
        <v>0</v>
      </c>
      <c r="D21" s="56" t="str">
        <f xml:space="preserve"> $I$2&amp;".mVo"</f>
        <v>АСУЭ.SEPAM.mVo</v>
      </c>
      <c r="E21" t="s">
        <v>1588</v>
      </c>
    </row>
    <row r="22" spans="1:5">
      <c r="A22" s="56" t="str">
        <f>$H$2&amp;". Напряжение прям. посл-ти"</f>
        <v>SEPAM. Напряжение прям. посл-ти</v>
      </c>
      <c r="B22" s="56">
        <f t="shared" si="0"/>
        <v>0</v>
      </c>
      <c r="C22" s="56">
        <f t="shared" si="1"/>
        <v>0</v>
      </c>
      <c r="D22" s="56" t="str">
        <f xml:space="preserve"> $I$2&amp;".mVd"</f>
        <v>АСУЭ.SEPAM.mVd</v>
      </c>
      <c r="E22" t="s">
        <v>1588</v>
      </c>
    </row>
    <row r="23" spans="1:5">
      <c r="A23" s="56" t="str">
        <f>$H$2&amp;". Мощность активная"</f>
        <v>SEPAM. Мощность активная</v>
      </c>
      <c r="B23" s="56">
        <f t="shared" si="0"/>
        <v>0</v>
      </c>
      <c r="C23" s="56">
        <f t="shared" si="1"/>
        <v>0</v>
      </c>
      <c r="D23" s="56" t="str">
        <f xml:space="preserve"> $I$2&amp;".mP"</f>
        <v>АСУЭ.SEPAM.mP</v>
      </c>
      <c r="E23" t="s">
        <v>1586</v>
      </c>
    </row>
    <row r="24" spans="1:5">
      <c r="A24" s="56" t="str">
        <f>$H$2&amp;". Мощность реактивная"</f>
        <v>SEPAM. Мощность реактивная</v>
      </c>
      <c r="B24" s="56">
        <f t="shared" si="0"/>
        <v>0</v>
      </c>
      <c r="C24" s="56">
        <f t="shared" si="1"/>
        <v>0</v>
      </c>
      <c r="D24" s="56" t="str">
        <f xml:space="preserve"> $I$2&amp;".mQ"</f>
        <v>АСУЭ.SEPAM.mQ</v>
      </c>
      <c r="E24" t="s">
        <v>1587</v>
      </c>
    </row>
    <row r="25" spans="1:5">
      <c r="A25" s="56" t="str">
        <f>$H$2&amp;". Мощность полная"</f>
        <v>SEPAM. Мощность полная</v>
      </c>
      <c r="B25" s="56">
        <f t="shared" si="0"/>
        <v>0</v>
      </c>
      <c r="C25" s="56">
        <f t="shared" si="1"/>
        <v>0</v>
      </c>
      <c r="D25" s="56" t="str">
        <f xml:space="preserve"> $I$2&amp;".mS"</f>
        <v>АСУЭ.SEPAM.mS</v>
      </c>
      <c r="E25" t="s">
        <v>1589</v>
      </c>
    </row>
    <row r="26" spans="1:5">
      <c r="A26" s="56" t="str">
        <f>$H$2&amp;". Линейное напряжение U13"</f>
        <v>SEPAM. Линейное напряжение U13</v>
      </c>
      <c r="B26" s="56">
        <f t="shared" si="0"/>
        <v>0</v>
      </c>
      <c r="C26" s="56">
        <f t="shared" si="1"/>
        <v>0</v>
      </c>
      <c r="D26" s="56" t="str">
        <f xml:space="preserve"> $I$2&amp;".mU13"</f>
        <v>АСУЭ.SEPAM.mU13</v>
      </c>
      <c r="E26" t="s">
        <v>1588</v>
      </c>
    </row>
    <row r="27" spans="1:5">
      <c r="A27" s="56" t="str">
        <f>$H$2&amp;". Линейное напряжение U21"</f>
        <v>SEPAM. Линейное напряжение U21</v>
      </c>
      <c r="B27" s="56">
        <f t="shared" si="0"/>
        <v>0</v>
      </c>
      <c r="C27" s="56">
        <f t="shared" si="1"/>
        <v>0</v>
      </c>
      <c r="D27" s="56" t="str">
        <f xml:space="preserve"> $I$2&amp;".mU21"</f>
        <v>АСУЭ.SEPAM.mU21</v>
      </c>
      <c r="E27" t="s">
        <v>1588</v>
      </c>
    </row>
    <row r="28" spans="1:5">
      <c r="A28" s="56" t="str">
        <f>$H$2&amp;". Линейное напряжение U32"</f>
        <v>SEPAM. Линейное напряжение U32</v>
      </c>
      <c r="B28" s="56">
        <f t="shared" si="0"/>
        <v>0</v>
      </c>
      <c r="C28" s="56">
        <f t="shared" si="1"/>
        <v>0</v>
      </c>
      <c r="D28" s="56" t="str">
        <f xml:space="preserve"> $I$2&amp;".mU32"</f>
        <v>АСУЭ.SEPAM.mU32</v>
      </c>
      <c r="E28" t="s">
        <v>1588</v>
      </c>
    </row>
    <row r="29" spans="1:5">
      <c r="A29" s="56" t="str">
        <f>$H$2&amp;". Энергия активная(+)"</f>
        <v>SEPAM. Энергия активная(+)</v>
      </c>
      <c r="B29" s="56">
        <f t="shared" si="0"/>
        <v>0</v>
      </c>
      <c r="C29" s="56">
        <f t="shared" si="1"/>
        <v>0</v>
      </c>
      <c r="D29" s="56" t="str">
        <f xml:space="preserve"> $I$2&amp;".mEaPlus"</f>
        <v>АСУЭ.SEPAM.mEaPlus</v>
      </c>
      <c r="E29" t="s">
        <v>1591</v>
      </c>
    </row>
    <row r="30" spans="1:5">
      <c r="A30" s="56" t="str">
        <f>$H$2&amp;". Энергия активная(-)"</f>
        <v>SEPAM. Энергия активная(-)</v>
      </c>
      <c r="B30" s="56">
        <f t="shared" si="0"/>
        <v>0</v>
      </c>
      <c r="C30" s="56">
        <f t="shared" si="1"/>
        <v>0</v>
      </c>
      <c r="D30" s="56" t="str">
        <f xml:space="preserve"> $I$2&amp;".mEaMinus"</f>
        <v>АСУЭ.SEPAM.mEaMinus</v>
      </c>
      <c r="E30" t="s">
        <v>1591</v>
      </c>
    </row>
    <row r="31" spans="1:5">
      <c r="A31" s="56" t="str">
        <f>$H$2&amp;". Энергия реактивная(+)"</f>
        <v>SEPAM. Энергия реактивная(+)</v>
      </c>
      <c r="B31" s="56">
        <f t="shared" si="0"/>
        <v>0</v>
      </c>
      <c r="C31" s="56">
        <f t="shared" si="1"/>
        <v>0</v>
      </c>
      <c r="D31" s="56" t="str">
        <f xml:space="preserve"> $I$2&amp;".mErPlus"</f>
        <v>АСУЭ.SEPAM.mErPlus</v>
      </c>
      <c r="E31" t="s">
        <v>1591</v>
      </c>
    </row>
    <row r="32" spans="1:5">
      <c r="A32" s="56" t="str">
        <f>$H$2&amp;". Энергия реактивная(-)"</f>
        <v>SEPAM. Энергия реактивная(-)</v>
      </c>
      <c r="B32" s="56">
        <f t="shared" si="0"/>
        <v>0</v>
      </c>
      <c r="C32" s="56">
        <f t="shared" si="1"/>
        <v>0</v>
      </c>
      <c r="D32" s="56" t="str">
        <f xml:space="preserve"> $I$2&amp;".mErMinus"</f>
        <v>АСУЭ.SEPAM.mErMinus</v>
      </c>
      <c r="E32" t="s">
        <v>1591</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sheetPr codeName="Лист149">
    <tabColor rgb="FF7030A0"/>
  </sheetPr>
  <dimension ref="A1:L32"/>
  <sheetViews>
    <sheetView workbookViewId="0">
      <selection activeCell="D2" sqref="D2:D4"/>
    </sheetView>
  </sheetViews>
  <sheetFormatPr defaultRowHeight="14.4"/>
  <cols>
    <col min="1" max="1" width="41.44140625" style="55" customWidth="1"/>
    <col min="2" max="2" width="6.88671875" style="56" customWidth="1"/>
    <col min="3" max="3" width="7" style="56" customWidth="1"/>
    <col min="4" max="4" width="34.5546875" customWidth="1"/>
    <col min="5" max="5" width="8.6640625" customWidth="1"/>
    <col min="8" max="9" width="40.6640625" customWidth="1"/>
    <col min="10" max="10" width="28.44140625" customWidth="1"/>
    <col min="11" max="11" width="25.6640625" customWidth="1"/>
    <col min="12" max="12" width="23" customWidth="1"/>
  </cols>
  <sheetData>
    <row r="1" spans="1:12">
      <c r="A1" s="57"/>
      <c r="B1" s="538"/>
      <c r="C1" s="538"/>
      <c r="D1" s="10"/>
      <c r="E1" s="10"/>
      <c r="F1" s="10"/>
      <c r="G1" s="10"/>
      <c r="H1" s="54" t="s">
        <v>269</v>
      </c>
      <c r="I1" s="54" t="s">
        <v>268</v>
      </c>
      <c r="J1" s="54" t="s">
        <v>512</v>
      </c>
      <c r="K1" s="54" t="s">
        <v>1536</v>
      </c>
      <c r="L1" s="54" t="s">
        <v>1537</v>
      </c>
    </row>
    <row r="2" spans="1:12" ht="15" customHeight="1">
      <c r="A2" s="57"/>
      <c r="B2" s="538"/>
      <c r="C2" s="538"/>
      <c r="D2" s="10"/>
      <c r="E2" s="10"/>
      <c r="F2" s="10"/>
      <c r="G2" s="10"/>
      <c r="H2" s="537" t="s">
        <v>331</v>
      </c>
      <c r="I2" s="537" t="s">
        <v>747</v>
      </c>
      <c r="J2" s="3"/>
      <c r="K2" s="3"/>
      <c r="L2" s="3"/>
    </row>
    <row r="3" spans="1:12">
      <c r="A3" s="56" t="str">
        <f>$H$2&amp;". Косинус Phi"</f>
        <v>SEPAM. Косинус Phi</v>
      </c>
      <c r="B3" s="56">
        <f>$K$2</f>
        <v>0</v>
      </c>
      <c r="C3" s="56">
        <f>$L$2</f>
        <v>0</v>
      </c>
      <c r="D3" s="56" t="str">
        <f xml:space="preserve"> $I$2&amp;".mCosPhi"</f>
        <v>АСУЭ.SEPAM.mCosPhi</v>
      </c>
      <c r="E3" t="s">
        <v>446</v>
      </c>
      <c r="F3" s="56"/>
      <c r="G3" s="56"/>
    </row>
    <row r="4" spans="1:12">
      <c r="A4" s="56" t="str">
        <f>$H$2&amp;". Частота"</f>
        <v>SEPAM. Частота</v>
      </c>
      <c r="B4" s="56">
        <f>$K$2</f>
        <v>0</v>
      </c>
      <c r="C4" s="56">
        <f>$L$2</f>
        <v>0</v>
      </c>
      <c r="D4" s="56" t="str">
        <f xml:space="preserve"> $I$2&amp;".mFreq"</f>
        <v>АСУЭ.SEPAM.mFreq</v>
      </c>
      <c r="E4" t="s">
        <v>1585</v>
      </c>
    </row>
    <row r="5" spans="1:12">
      <c r="A5" s="56" t="str">
        <f>$H$2&amp;". Ток нулевой последовательности"</f>
        <v>SEPAM. Ток нулевой последовательности</v>
      </c>
      <c r="B5" s="56">
        <f t="shared" ref="B5:B32" si="0">$K$2</f>
        <v>0</v>
      </c>
      <c r="C5" s="56">
        <f t="shared" ref="C5:C32" si="1">$L$2</f>
        <v>0</v>
      </c>
      <c r="D5" s="56" t="str">
        <f xml:space="preserve"> $I$2&amp;".mI0"</f>
        <v>АСУЭ.SEPAM.mI0</v>
      </c>
      <c r="E5" t="s">
        <v>1590</v>
      </c>
    </row>
    <row r="6" spans="1:12">
      <c r="A6" s="56" t="str">
        <f>$H$2&amp;". Среднее значение тока Ia"</f>
        <v>SEPAM. Среднее значение тока Ia</v>
      </c>
      <c r="B6" s="56">
        <f t="shared" si="0"/>
        <v>0</v>
      </c>
      <c r="C6" s="56">
        <f t="shared" si="1"/>
        <v>0</v>
      </c>
      <c r="D6" s="56" t="str">
        <f xml:space="preserve"> $I$2&amp;".mIm1"</f>
        <v>АСУЭ.SEPAM.mIm1</v>
      </c>
      <c r="E6" t="s">
        <v>1590</v>
      </c>
    </row>
    <row r="7" spans="1:12">
      <c r="A7" s="56" t="str">
        <f>$H$2&amp;". Среднее значение тока Ib"</f>
        <v>SEPAM. Среднее значение тока Ib</v>
      </c>
      <c r="B7" s="56">
        <f t="shared" si="0"/>
        <v>0</v>
      </c>
      <c r="C7" s="56">
        <f t="shared" si="1"/>
        <v>0</v>
      </c>
      <c r="D7" s="56" t="str">
        <f xml:space="preserve"> $I$2&amp;".mIm2"</f>
        <v>АСУЭ.SEPAM.mIm2</v>
      </c>
      <c r="E7" t="s">
        <v>1590</v>
      </c>
    </row>
    <row r="8" spans="1:12">
      <c r="A8" s="56" t="str">
        <f>$H$2&amp;". Среднее значение тока Ic"</f>
        <v>SEPAM. Среднее значение тока Ic</v>
      </c>
      <c r="B8" s="56">
        <f t="shared" si="0"/>
        <v>0</v>
      </c>
      <c r="C8" s="56">
        <f t="shared" si="1"/>
        <v>0</v>
      </c>
      <c r="D8" s="56" t="str">
        <f xml:space="preserve"> $I$2&amp;".mIm3"</f>
        <v>АСУЭ.SEPAM.mIm3</v>
      </c>
      <c r="E8" t="s">
        <v>1590</v>
      </c>
    </row>
    <row r="9" spans="1:12">
      <c r="A9" s="56" t="str">
        <f>$H$2&amp;". Текущее значение тока Ia"</f>
        <v>SEPAM. Текущее значение тока Ia</v>
      </c>
      <c r="B9" s="56">
        <f t="shared" si="0"/>
        <v>0</v>
      </c>
      <c r="C9" s="56">
        <f t="shared" si="1"/>
        <v>0</v>
      </c>
      <c r="D9" s="56" t="str">
        <f xml:space="preserve"> $I$2&amp;".mI1"</f>
        <v>АСУЭ.SEPAM.mI1</v>
      </c>
      <c r="E9" t="s">
        <v>1590</v>
      </c>
    </row>
    <row r="10" spans="1:12">
      <c r="A10" s="56" t="str">
        <f>$H$2&amp;". Текущее значение тока Ib"</f>
        <v>SEPAM. Текущее значение тока Ib</v>
      </c>
      <c r="B10" s="56">
        <f t="shared" si="0"/>
        <v>0</v>
      </c>
      <c r="C10" s="56">
        <f t="shared" si="1"/>
        <v>0</v>
      </c>
      <c r="D10" s="56" t="str">
        <f xml:space="preserve"> $I$2&amp;".mI2"</f>
        <v>АСУЭ.SEPAM.mI2</v>
      </c>
      <c r="E10" t="s">
        <v>1590</v>
      </c>
    </row>
    <row r="11" spans="1:12">
      <c r="A11" s="56" t="str">
        <f>$H$2&amp;". Текущее значение тока Ic"</f>
        <v>SEPAM. Текущее значение тока Ic</v>
      </c>
      <c r="B11" s="56">
        <f t="shared" si="0"/>
        <v>0</v>
      </c>
      <c r="C11" s="56">
        <f t="shared" si="1"/>
        <v>0</v>
      </c>
      <c r="D11" s="56" t="str">
        <f xml:space="preserve"> $I$2&amp;".mI3"</f>
        <v>АСУЭ.SEPAM.mI3</v>
      </c>
      <c r="E11" t="s">
        <v>1590</v>
      </c>
    </row>
    <row r="12" spans="1:12">
      <c r="A12" s="56" t="str">
        <f>$H$2&amp;". Ток отключения Ia"</f>
        <v>SEPAM. Ток отключения Ia</v>
      </c>
      <c r="B12" s="56">
        <f t="shared" si="0"/>
        <v>0</v>
      </c>
      <c r="C12" s="56">
        <f t="shared" si="1"/>
        <v>0</v>
      </c>
      <c r="D12" s="56" t="str">
        <f xml:space="preserve"> $I$2&amp;".mItrip1"</f>
        <v>АСУЭ.SEPAM.mItrip1</v>
      </c>
      <c r="E12" t="s">
        <v>1590</v>
      </c>
    </row>
    <row r="13" spans="1:12">
      <c r="A13" s="56" t="str">
        <f>$H$2&amp;". Ток отключения Ib"</f>
        <v>SEPAM. Ток отключения Ib</v>
      </c>
      <c r="B13" s="56">
        <f t="shared" si="0"/>
        <v>0</v>
      </c>
      <c r="C13" s="56">
        <f t="shared" si="1"/>
        <v>0</v>
      </c>
      <c r="D13" s="56" t="str">
        <f xml:space="preserve"> $I$2&amp;".mItrip2"</f>
        <v>АСУЭ.SEPAM.mItrip2</v>
      </c>
      <c r="E13" t="s">
        <v>1590</v>
      </c>
    </row>
    <row r="14" spans="1:12">
      <c r="A14" s="56" t="str">
        <f>$H$2&amp;". Ток отключения Ic"</f>
        <v>SEPAM. Ток отключения Ic</v>
      </c>
      <c r="B14" s="56">
        <f t="shared" si="0"/>
        <v>0</v>
      </c>
      <c r="C14" s="56">
        <f t="shared" si="1"/>
        <v>0</v>
      </c>
      <c r="D14" s="56" t="str">
        <f xml:space="preserve"> $I$2&amp;".mItrip3"</f>
        <v>АСУЭ.SEPAM.mItrip3</v>
      </c>
      <c r="E14" t="s">
        <v>1590</v>
      </c>
    </row>
    <row r="15" spans="1:12">
      <c r="A15" s="56" t="str">
        <f>$H$2&amp;". Ток максиметра Ia"</f>
        <v>SEPAM. Ток максиметра Ia</v>
      </c>
      <c r="B15" s="56">
        <f t="shared" si="0"/>
        <v>0</v>
      </c>
      <c r="C15" s="56">
        <f t="shared" si="1"/>
        <v>0</v>
      </c>
      <c r="D15" s="56" t="str">
        <f xml:space="preserve"> $I$2&amp;".mMaxI1"</f>
        <v>АСУЭ.SEPAM.mMaxI1</v>
      </c>
      <c r="E15" t="s">
        <v>1590</v>
      </c>
    </row>
    <row r="16" spans="1:12">
      <c r="A16" s="56" t="str">
        <f>$H$2&amp;". Ток максиметра Ib"</f>
        <v>SEPAM. Ток максиметра Ib</v>
      </c>
      <c r="B16" s="56">
        <f t="shared" si="0"/>
        <v>0</v>
      </c>
      <c r="C16" s="56">
        <f t="shared" si="1"/>
        <v>0</v>
      </c>
      <c r="D16" s="56" t="str">
        <f xml:space="preserve"> $I$2&amp;".mMaxI2"</f>
        <v>АСУЭ.SEPAM.mMaxI2</v>
      </c>
      <c r="E16" t="s">
        <v>1590</v>
      </c>
    </row>
    <row r="17" spans="1:5">
      <c r="A17" s="56" t="str">
        <f>$H$2&amp;". Ток максиметра Ic"</f>
        <v>SEPAM. Ток максиметра Ic</v>
      </c>
      <c r="B17" s="56">
        <f t="shared" si="0"/>
        <v>0</v>
      </c>
      <c r="C17" s="56">
        <f t="shared" si="1"/>
        <v>0</v>
      </c>
      <c r="D17" s="56" t="str">
        <f xml:space="preserve"> $I$2&amp;".mMaxI3"</f>
        <v>АСУЭ.SEPAM.mMaxI3</v>
      </c>
      <c r="E17" t="s">
        <v>1590</v>
      </c>
    </row>
    <row r="18" spans="1:5">
      <c r="A18" s="56" t="str">
        <f>$H$2&amp;". Максимальная мощность активная"</f>
        <v>SEPAM. Максимальная мощность активная</v>
      </c>
      <c r="B18" s="56">
        <f t="shared" si="0"/>
        <v>0</v>
      </c>
      <c r="C18" s="56">
        <f t="shared" si="1"/>
        <v>0</v>
      </c>
      <c r="D18" s="56" t="str">
        <f xml:space="preserve"> $I$2&amp;".mMaxPM"</f>
        <v>АСУЭ.SEPAM.mMaxPM</v>
      </c>
      <c r="E18" t="s">
        <v>1586</v>
      </c>
    </row>
    <row r="19" spans="1:5">
      <c r="A19" s="56" t="str">
        <f>$H$2&amp;". Максимальная мощность реактивная"</f>
        <v>SEPAM. Максимальная мощность реактивная</v>
      </c>
      <c r="B19" s="56">
        <f t="shared" si="0"/>
        <v>0</v>
      </c>
      <c r="C19" s="56">
        <f t="shared" si="1"/>
        <v>0</v>
      </c>
      <c r="D19" s="56" t="str">
        <f xml:space="preserve"> $I$2&amp;".mMaxQM"</f>
        <v>АСУЭ.SEPAM.mMaxQM</v>
      </c>
      <c r="E19" t="s">
        <v>1587</v>
      </c>
    </row>
    <row r="20" spans="1:5">
      <c r="A20" s="56" t="str">
        <f>$H$2&amp;". Напряжение обр. посл-ти"</f>
        <v>SEPAM. Напряжение обр. посл-ти</v>
      </c>
      <c r="B20" s="56">
        <f t="shared" si="0"/>
        <v>0</v>
      </c>
      <c r="C20" s="56">
        <f t="shared" si="1"/>
        <v>0</v>
      </c>
      <c r="D20" s="56" t="str">
        <f xml:space="preserve"> $I$2&amp;".mVi"</f>
        <v>АСУЭ.SEPAM.mVi</v>
      </c>
      <c r="E20" t="s">
        <v>1588</v>
      </c>
    </row>
    <row r="21" spans="1:5">
      <c r="A21" s="56" t="str">
        <f>$H$2&amp;". Напряжение 0-ой посл-ти"</f>
        <v>SEPAM. Напряжение 0-ой посл-ти</v>
      </c>
      <c r="B21" s="56">
        <f t="shared" si="0"/>
        <v>0</v>
      </c>
      <c r="C21" s="56">
        <f t="shared" si="1"/>
        <v>0</v>
      </c>
      <c r="D21" s="56" t="str">
        <f xml:space="preserve"> $I$2&amp;".mVo"</f>
        <v>АСУЭ.SEPAM.mVo</v>
      </c>
      <c r="E21" t="s">
        <v>1588</v>
      </c>
    </row>
    <row r="22" spans="1:5">
      <c r="A22" s="56" t="str">
        <f>$H$2&amp;". Напряжение прям. посл-ти"</f>
        <v>SEPAM. Напряжение прям. посл-ти</v>
      </c>
      <c r="B22" s="56">
        <f t="shared" si="0"/>
        <v>0</v>
      </c>
      <c r="C22" s="56">
        <f t="shared" si="1"/>
        <v>0</v>
      </c>
      <c r="D22" s="56" t="str">
        <f xml:space="preserve"> $I$2&amp;".mVd"</f>
        <v>АСУЭ.SEPAM.mVd</v>
      </c>
      <c r="E22" t="s">
        <v>1588</v>
      </c>
    </row>
    <row r="23" spans="1:5">
      <c r="A23" s="56" t="str">
        <f>$H$2&amp;". Мощность активная"</f>
        <v>SEPAM. Мощность активная</v>
      </c>
      <c r="B23" s="56">
        <f t="shared" si="0"/>
        <v>0</v>
      </c>
      <c r="C23" s="56">
        <f t="shared" si="1"/>
        <v>0</v>
      </c>
      <c r="D23" s="56" t="str">
        <f xml:space="preserve"> $I$2&amp;".mP"</f>
        <v>АСУЭ.SEPAM.mP</v>
      </c>
      <c r="E23" t="s">
        <v>1586</v>
      </c>
    </row>
    <row r="24" spans="1:5">
      <c r="A24" s="56" t="str">
        <f>$H$2&amp;". Мощность реактивная"</f>
        <v>SEPAM. Мощность реактивная</v>
      </c>
      <c r="B24" s="56">
        <f t="shared" si="0"/>
        <v>0</v>
      </c>
      <c r="C24" s="56">
        <f t="shared" si="1"/>
        <v>0</v>
      </c>
      <c r="D24" s="56" t="str">
        <f xml:space="preserve"> $I$2&amp;".mQ"</f>
        <v>АСУЭ.SEPAM.mQ</v>
      </c>
      <c r="E24" t="s">
        <v>1587</v>
      </c>
    </row>
    <row r="25" spans="1:5">
      <c r="A25" s="56" t="str">
        <f>$H$2&amp;". Мощность полная"</f>
        <v>SEPAM. Мощность полная</v>
      </c>
      <c r="B25" s="56">
        <f t="shared" si="0"/>
        <v>0</v>
      </c>
      <c r="C25" s="56">
        <f t="shared" si="1"/>
        <v>0</v>
      </c>
      <c r="D25" s="56" t="str">
        <f xml:space="preserve"> $I$2&amp;".mS"</f>
        <v>АСУЭ.SEPAM.mS</v>
      </c>
      <c r="E25" t="s">
        <v>1589</v>
      </c>
    </row>
    <row r="26" spans="1:5">
      <c r="A26" s="56" t="str">
        <f>$H$2&amp;". Линейное напряжение U13"</f>
        <v>SEPAM. Линейное напряжение U13</v>
      </c>
      <c r="B26" s="56">
        <f t="shared" si="0"/>
        <v>0</v>
      </c>
      <c r="C26" s="56">
        <f t="shared" si="1"/>
        <v>0</v>
      </c>
      <c r="D26" s="56" t="str">
        <f xml:space="preserve"> $I$2&amp;".mU13"</f>
        <v>АСУЭ.SEPAM.mU13</v>
      </c>
      <c r="E26" t="s">
        <v>1588</v>
      </c>
    </row>
    <row r="27" spans="1:5">
      <c r="A27" s="56" t="str">
        <f>$H$2&amp;". Линейное напряжение U21"</f>
        <v>SEPAM. Линейное напряжение U21</v>
      </c>
      <c r="B27" s="56">
        <f t="shared" si="0"/>
        <v>0</v>
      </c>
      <c r="C27" s="56">
        <f t="shared" si="1"/>
        <v>0</v>
      </c>
      <c r="D27" s="56" t="str">
        <f xml:space="preserve"> $I$2&amp;".mU21"</f>
        <v>АСУЭ.SEPAM.mU21</v>
      </c>
      <c r="E27" t="s">
        <v>1588</v>
      </c>
    </row>
    <row r="28" spans="1:5">
      <c r="A28" s="56" t="str">
        <f>$H$2&amp;". Линейное напряжение U32"</f>
        <v>SEPAM. Линейное напряжение U32</v>
      </c>
      <c r="B28" s="56">
        <f t="shared" si="0"/>
        <v>0</v>
      </c>
      <c r="C28" s="56">
        <f t="shared" si="1"/>
        <v>0</v>
      </c>
      <c r="D28" s="56" t="str">
        <f xml:space="preserve"> $I$2&amp;".mU32"</f>
        <v>АСУЭ.SEPAM.mU32</v>
      </c>
      <c r="E28" t="s">
        <v>1588</v>
      </c>
    </row>
    <row r="29" spans="1:5">
      <c r="A29" s="56" t="str">
        <f>$H$2&amp;". Энергия активная(+)"</f>
        <v>SEPAM. Энергия активная(+)</v>
      </c>
      <c r="B29" s="56">
        <f t="shared" si="0"/>
        <v>0</v>
      </c>
      <c r="C29" s="56">
        <f t="shared" si="1"/>
        <v>0</v>
      </c>
      <c r="D29" s="56" t="str">
        <f xml:space="preserve"> $I$2&amp;".mEaPlus"</f>
        <v>АСУЭ.SEPAM.mEaPlus</v>
      </c>
      <c r="E29" t="s">
        <v>1591</v>
      </c>
    </row>
    <row r="30" spans="1:5">
      <c r="A30" s="56" t="str">
        <f>$H$2&amp;". Энергия активная(-)"</f>
        <v>SEPAM. Энергия активная(-)</v>
      </c>
      <c r="B30" s="56">
        <f t="shared" si="0"/>
        <v>0</v>
      </c>
      <c r="C30" s="56">
        <f t="shared" si="1"/>
        <v>0</v>
      </c>
      <c r="D30" s="56" t="str">
        <f xml:space="preserve"> $I$2&amp;".mEaMinus"</f>
        <v>АСУЭ.SEPAM.mEaMinus</v>
      </c>
      <c r="E30" t="s">
        <v>1591</v>
      </c>
    </row>
    <row r="31" spans="1:5">
      <c r="A31" s="56" t="str">
        <f>$H$2&amp;". Энергия реактивная(+)"</f>
        <v>SEPAM. Энергия реактивная(+)</v>
      </c>
      <c r="B31" s="56">
        <f t="shared" si="0"/>
        <v>0</v>
      </c>
      <c r="C31" s="56">
        <f t="shared" si="1"/>
        <v>0</v>
      </c>
      <c r="D31" s="56" t="str">
        <f xml:space="preserve"> $I$2&amp;".mErPlus"</f>
        <v>АСУЭ.SEPAM.mErPlus</v>
      </c>
      <c r="E31" t="s">
        <v>1591</v>
      </c>
    </row>
    <row r="32" spans="1:5">
      <c r="A32" s="56" t="str">
        <f>$H$2&amp;". Энергия реактивная(-)"</f>
        <v>SEPAM. Энергия реактивная(-)</v>
      </c>
      <c r="B32" s="56">
        <f t="shared" si="0"/>
        <v>0</v>
      </c>
      <c r="C32" s="56">
        <f t="shared" si="1"/>
        <v>0</v>
      </c>
      <c r="D32" s="56" t="str">
        <f xml:space="preserve"> $I$2&amp;".mErMinus"</f>
        <v>АСУЭ.SEPAM.mErMinus</v>
      </c>
      <c r="E32" t="s">
        <v>1591</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sheetPr codeName="Лист150">
    <tabColor rgb="FF7030A0"/>
  </sheetPr>
  <dimension ref="A1:L32"/>
  <sheetViews>
    <sheetView workbookViewId="0">
      <selection activeCell="D2" sqref="D2:D4"/>
    </sheetView>
  </sheetViews>
  <sheetFormatPr defaultRowHeight="14.4"/>
  <cols>
    <col min="1" max="1" width="41.44140625" style="55" customWidth="1"/>
    <col min="2" max="2" width="6.88671875" style="56" customWidth="1"/>
    <col min="3" max="3" width="7" style="56" customWidth="1"/>
    <col min="4" max="4" width="34.5546875" customWidth="1"/>
    <col min="5" max="5" width="8.6640625" customWidth="1"/>
    <col min="8" max="9" width="40.6640625" customWidth="1"/>
    <col min="10" max="10" width="28.44140625" customWidth="1"/>
    <col min="11" max="11" width="25.6640625" customWidth="1"/>
    <col min="12" max="12" width="23" customWidth="1"/>
  </cols>
  <sheetData>
    <row r="1" spans="1:12">
      <c r="A1" s="57"/>
      <c r="B1" s="538"/>
      <c r="C1" s="538"/>
      <c r="D1" s="10"/>
      <c r="E1" s="10"/>
      <c r="F1" s="10"/>
      <c r="G1" s="10"/>
      <c r="H1" s="54" t="s">
        <v>269</v>
      </c>
      <c r="I1" s="54" t="s">
        <v>268</v>
      </c>
      <c r="J1" s="54" t="s">
        <v>512</v>
      </c>
      <c r="K1" s="54" t="s">
        <v>1536</v>
      </c>
      <c r="L1" s="54" t="s">
        <v>1537</v>
      </c>
    </row>
    <row r="2" spans="1:12" ht="15" customHeight="1">
      <c r="A2" s="57"/>
      <c r="B2" s="538"/>
      <c r="C2" s="538"/>
      <c r="D2" s="10"/>
      <c r="E2" s="10"/>
      <c r="F2" s="10"/>
      <c r="G2" s="10"/>
      <c r="H2" s="537" t="s">
        <v>331</v>
      </c>
      <c r="I2" s="537" t="s">
        <v>747</v>
      </c>
      <c r="J2" s="3"/>
      <c r="K2" s="3"/>
      <c r="L2" s="3"/>
    </row>
    <row r="3" spans="1:12">
      <c r="A3" s="56" t="str">
        <f>$H$2&amp;". Косинус Phi"</f>
        <v>SEPAM. Косинус Phi</v>
      </c>
      <c r="B3" s="56">
        <f>$K$2</f>
        <v>0</v>
      </c>
      <c r="C3" s="56">
        <f>$L$2</f>
        <v>0</v>
      </c>
      <c r="D3" s="56" t="str">
        <f xml:space="preserve"> $I$2&amp;".mCosPhi"</f>
        <v>АСУЭ.SEPAM.mCosPhi</v>
      </c>
      <c r="E3" t="s">
        <v>446</v>
      </c>
      <c r="F3" s="56"/>
      <c r="G3" s="56"/>
    </row>
    <row r="4" spans="1:12">
      <c r="A4" s="56" t="str">
        <f>$H$2&amp;". Частота"</f>
        <v>SEPAM. Частота</v>
      </c>
      <c r="B4" s="56">
        <f>$K$2</f>
        <v>0</v>
      </c>
      <c r="C4" s="56">
        <f>$L$2</f>
        <v>0</v>
      </c>
      <c r="D4" s="56" t="str">
        <f xml:space="preserve"> $I$2&amp;".mFreq"</f>
        <v>АСУЭ.SEPAM.mFreq</v>
      </c>
      <c r="E4" t="s">
        <v>1585</v>
      </c>
    </row>
    <row r="5" spans="1:12">
      <c r="A5" s="56" t="str">
        <f>$H$2&amp;". Ток нулевой последовательности"</f>
        <v>SEPAM. Ток нулевой последовательности</v>
      </c>
      <c r="B5" s="56">
        <f t="shared" ref="B5:B32" si="0">$K$2</f>
        <v>0</v>
      </c>
      <c r="C5" s="56">
        <f t="shared" ref="C5:C32" si="1">$L$2</f>
        <v>0</v>
      </c>
      <c r="D5" s="56" t="str">
        <f xml:space="preserve"> $I$2&amp;".mI0"</f>
        <v>АСУЭ.SEPAM.mI0</v>
      </c>
      <c r="E5" t="s">
        <v>1590</v>
      </c>
    </row>
    <row r="6" spans="1:12">
      <c r="A6" s="56" t="str">
        <f>$H$2&amp;". Среднее значение тока Ia"</f>
        <v>SEPAM. Среднее значение тока Ia</v>
      </c>
      <c r="B6" s="56">
        <f t="shared" si="0"/>
        <v>0</v>
      </c>
      <c r="C6" s="56">
        <f t="shared" si="1"/>
        <v>0</v>
      </c>
      <c r="D6" s="56" t="str">
        <f xml:space="preserve"> $I$2&amp;".mIm1"</f>
        <v>АСУЭ.SEPAM.mIm1</v>
      </c>
      <c r="E6" t="s">
        <v>1590</v>
      </c>
    </row>
    <row r="7" spans="1:12">
      <c r="A7" s="56" t="str">
        <f>$H$2&amp;". Среднее значение тока Ib"</f>
        <v>SEPAM. Среднее значение тока Ib</v>
      </c>
      <c r="B7" s="56">
        <f t="shared" si="0"/>
        <v>0</v>
      </c>
      <c r="C7" s="56">
        <f t="shared" si="1"/>
        <v>0</v>
      </c>
      <c r="D7" s="56" t="str">
        <f xml:space="preserve"> $I$2&amp;".mIm2"</f>
        <v>АСУЭ.SEPAM.mIm2</v>
      </c>
      <c r="E7" t="s">
        <v>1590</v>
      </c>
    </row>
    <row r="8" spans="1:12">
      <c r="A8" s="56" t="str">
        <f>$H$2&amp;". Среднее значение тока Ic"</f>
        <v>SEPAM. Среднее значение тока Ic</v>
      </c>
      <c r="B8" s="56">
        <f t="shared" si="0"/>
        <v>0</v>
      </c>
      <c r="C8" s="56">
        <f t="shared" si="1"/>
        <v>0</v>
      </c>
      <c r="D8" s="56" t="str">
        <f xml:space="preserve"> $I$2&amp;".mIm3"</f>
        <v>АСУЭ.SEPAM.mIm3</v>
      </c>
      <c r="E8" t="s">
        <v>1590</v>
      </c>
    </row>
    <row r="9" spans="1:12">
      <c r="A9" s="56" t="str">
        <f>$H$2&amp;". Текущее значение тока Ia"</f>
        <v>SEPAM. Текущее значение тока Ia</v>
      </c>
      <c r="B9" s="56">
        <f t="shared" si="0"/>
        <v>0</v>
      </c>
      <c r="C9" s="56">
        <f t="shared" si="1"/>
        <v>0</v>
      </c>
      <c r="D9" s="56" t="str">
        <f xml:space="preserve"> $I$2&amp;".mI1"</f>
        <v>АСУЭ.SEPAM.mI1</v>
      </c>
      <c r="E9" t="s">
        <v>1590</v>
      </c>
    </row>
    <row r="10" spans="1:12">
      <c r="A10" s="56" t="str">
        <f>$H$2&amp;". Текущее значение тока Ib"</f>
        <v>SEPAM. Текущее значение тока Ib</v>
      </c>
      <c r="B10" s="56">
        <f t="shared" si="0"/>
        <v>0</v>
      </c>
      <c r="C10" s="56">
        <f t="shared" si="1"/>
        <v>0</v>
      </c>
      <c r="D10" s="56" t="str">
        <f xml:space="preserve"> $I$2&amp;".mI2"</f>
        <v>АСУЭ.SEPAM.mI2</v>
      </c>
      <c r="E10" t="s">
        <v>1590</v>
      </c>
    </row>
    <row r="11" spans="1:12">
      <c r="A11" s="56" t="str">
        <f>$H$2&amp;". Текущее значение тока Ic"</f>
        <v>SEPAM. Текущее значение тока Ic</v>
      </c>
      <c r="B11" s="56">
        <f t="shared" si="0"/>
        <v>0</v>
      </c>
      <c r="C11" s="56">
        <f t="shared" si="1"/>
        <v>0</v>
      </c>
      <c r="D11" s="56" t="str">
        <f xml:space="preserve"> $I$2&amp;".mI3"</f>
        <v>АСУЭ.SEPAM.mI3</v>
      </c>
      <c r="E11" t="s">
        <v>1590</v>
      </c>
    </row>
    <row r="12" spans="1:12">
      <c r="A12" s="56" t="str">
        <f>$H$2&amp;". Ток отключения Ia"</f>
        <v>SEPAM. Ток отключения Ia</v>
      </c>
      <c r="B12" s="56">
        <f t="shared" si="0"/>
        <v>0</v>
      </c>
      <c r="C12" s="56">
        <f t="shared" si="1"/>
        <v>0</v>
      </c>
      <c r="D12" s="56" t="str">
        <f xml:space="preserve"> $I$2&amp;".mItrip1"</f>
        <v>АСУЭ.SEPAM.mItrip1</v>
      </c>
      <c r="E12" t="s">
        <v>1590</v>
      </c>
    </row>
    <row r="13" spans="1:12">
      <c r="A13" s="56" t="str">
        <f>$H$2&amp;". Ток отключения Ib"</f>
        <v>SEPAM. Ток отключения Ib</v>
      </c>
      <c r="B13" s="56">
        <f t="shared" si="0"/>
        <v>0</v>
      </c>
      <c r="C13" s="56">
        <f t="shared" si="1"/>
        <v>0</v>
      </c>
      <c r="D13" s="56" t="str">
        <f xml:space="preserve"> $I$2&amp;".mItrip2"</f>
        <v>АСУЭ.SEPAM.mItrip2</v>
      </c>
      <c r="E13" t="s">
        <v>1590</v>
      </c>
    </row>
    <row r="14" spans="1:12">
      <c r="A14" s="56" t="str">
        <f>$H$2&amp;". Ток отключения Ic"</f>
        <v>SEPAM. Ток отключения Ic</v>
      </c>
      <c r="B14" s="56">
        <f t="shared" si="0"/>
        <v>0</v>
      </c>
      <c r="C14" s="56">
        <f t="shared" si="1"/>
        <v>0</v>
      </c>
      <c r="D14" s="56" t="str">
        <f xml:space="preserve"> $I$2&amp;".mItrip3"</f>
        <v>АСУЭ.SEPAM.mItrip3</v>
      </c>
      <c r="E14" t="s">
        <v>1590</v>
      </c>
    </row>
    <row r="15" spans="1:12">
      <c r="A15" s="56" t="str">
        <f>$H$2&amp;". Ток максиметра Ia"</f>
        <v>SEPAM. Ток максиметра Ia</v>
      </c>
      <c r="B15" s="56">
        <f t="shared" si="0"/>
        <v>0</v>
      </c>
      <c r="C15" s="56">
        <f t="shared" si="1"/>
        <v>0</v>
      </c>
      <c r="D15" s="56" t="str">
        <f xml:space="preserve"> $I$2&amp;".mMaxI1"</f>
        <v>АСУЭ.SEPAM.mMaxI1</v>
      </c>
      <c r="E15" t="s">
        <v>1590</v>
      </c>
    </row>
    <row r="16" spans="1:12">
      <c r="A16" s="56" t="str">
        <f>$H$2&amp;". Ток максиметра Ib"</f>
        <v>SEPAM. Ток максиметра Ib</v>
      </c>
      <c r="B16" s="56">
        <f t="shared" si="0"/>
        <v>0</v>
      </c>
      <c r="C16" s="56">
        <f t="shared" si="1"/>
        <v>0</v>
      </c>
      <c r="D16" s="56" t="str">
        <f xml:space="preserve"> $I$2&amp;".mMaxI2"</f>
        <v>АСУЭ.SEPAM.mMaxI2</v>
      </c>
      <c r="E16" t="s">
        <v>1590</v>
      </c>
    </row>
    <row r="17" spans="1:5">
      <c r="A17" s="56" t="str">
        <f>$H$2&amp;". Ток максиметра Ic"</f>
        <v>SEPAM. Ток максиметра Ic</v>
      </c>
      <c r="B17" s="56">
        <f t="shared" si="0"/>
        <v>0</v>
      </c>
      <c r="C17" s="56">
        <f t="shared" si="1"/>
        <v>0</v>
      </c>
      <c r="D17" s="56" t="str">
        <f xml:space="preserve"> $I$2&amp;".mMaxI3"</f>
        <v>АСУЭ.SEPAM.mMaxI3</v>
      </c>
      <c r="E17" t="s">
        <v>1590</v>
      </c>
    </row>
    <row r="18" spans="1:5">
      <c r="A18" s="56" t="str">
        <f>$H$2&amp;". Максимальная мощность активная"</f>
        <v>SEPAM. Максимальная мощность активная</v>
      </c>
      <c r="B18" s="56">
        <f t="shared" si="0"/>
        <v>0</v>
      </c>
      <c r="C18" s="56">
        <f t="shared" si="1"/>
        <v>0</v>
      </c>
      <c r="D18" s="56" t="str">
        <f xml:space="preserve"> $I$2&amp;".mMaxPM"</f>
        <v>АСУЭ.SEPAM.mMaxPM</v>
      </c>
      <c r="E18" t="s">
        <v>1586</v>
      </c>
    </row>
    <row r="19" spans="1:5">
      <c r="A19" s="56" t="str">
        <f>$H$2&amp;". Максимальная мощность реактивная"</f>
        <v>SEPAM. Максимальная мощность реактивная</v>
      </c>
      <c r="B19" s="56">
        <f t="shared" si="0"/>
        <v>0</v>
      </c>
      <c r="C19" s="56">
        <f t="shared" si="1"/>
        <v>0</v>
      </c>
      <c r="D19" s="56" t="str">
        <f xml:space="preserve"> $I$2&amp;".mMaxQM"</f>
        <v>АСУЭ.SEPAM.mMaxQM</v>
      </c>
      <c r="E19" t="s">
        <v>1587</v>
      </c>
    </row>
    <row r="20" spans="1:5">
      <c r="A20" s="56" t="str">
        <f>$H$2&amp;". Напряжение обр. посл-ти"</f>
        <v>SEPAM. Напряжение обр. посл-ти</v>
      </c>
      <c r="B20" s="56">
        <f t="shared" si="0"/>
        <v>0</v>
      </c>
      <c r="C20" s="56">
        <f t="shared" si="1"/>
        <v>0</v>
      </c>
      <c r="D20" s="56" t="str">
        <f xml:space="preserve"> $I$2&amp;".mVi"</f>
        <v>АСУЭ.SEPAM.mVi</v>
      </c>
      <c r="E20" t="s">
        <v>1588</v>
      </c>
    </row>
    <row r="21" spans="1:5">
      <c r="A21" s="56" t="str">
        <f>$H$2&amp;". Напряжение 0-ой посл-ти"</f>
        <v>SEPAM. Напряжение 0-ой посл-ти</v>
      </c>
      <c r="B21" s="56">
        <f t="shared" si="0"/>
        <v>0</v>
      </c>
      <c r="C21" s="56">
        <f t="shared" si="1"/>
        <v>0</v>
      </c>
      <c r="D21" s="56" t="str">
        <f xml:space="preserve"> $I$2&amp;".mVo"</f>
        <v>АСУЭ.SEPAM.mVo</v>
      </c>
      <c r="E21" t="s">
        <v>1588</v>
      </c>
    </row>
    <row r="22" spans="1:5">
      <c r="A22" s="56" t="str">
        <f>$H$2&amp;". Напряжение прям. посл-ти"</f>
        <v>SEPAM. Напряжение прям. посл-ти</v>
      </c>
      <c r="B22" s="56">
        <f t="shared" si="0"/>
        <v>0</v>
      </c>
      <c r="C22" s="56">
        <f t="shared" si="1"/>
        <v>0</v>
      </c>
      <c r="D22" s="56" t="str">
        <f xml:space="preserve"> $I$2&amp;".mVd"</f>
        <v>АСУЭ.SEPAM.mVd</v>
      </c>
      <c r="E22" t="s">
        <v>1588</v>
      </c>
    </row>
    <row r="23" spans="1:5">
      <c r="A23" s="56" t="str">
        <f>$H$2&amp;". Мощность активная"</f>
        <v>SEPAM. Мощность активная</v>
      </c>
      <c r="B23" s="56">
        <f t="shared" si="0"/>
        <v>0</v>
      </c>
      <c r="C23" s="56">
        <f t="shared" si="1"/>
        <v>0</v>
      </c>
      <c r="D23" s="56" t="str">
        <f xml:space="preserve"> $I$2&amp;".mP"</f>
        <v>АСУЭ.SEPAM.mP</v>
      </c>
      <c r="E23" t="s">
        <v>1586</v>
      </c>
    </row>
    <row r="24" spans="1:5">
      <c r="A24" s="56" t="str">
        <f>$H$2&amp;". Мощность реактивная"</f>
        <v>SEPAM. Мощность реактивная</v>
      </c>
      <c r="B24" s="56">
        <f t="shared" si="0"/>
        <v>0</v>
      </c>
      <c r="C24" s="56">
        <f t="shared" si="1"/>
        <v>0</v>
      </c>
      <c r="D24" s="56" t="str">
        <f xml:space="preserve"> $I$2&amp;".mQ"</f>
        <v>АСУЭ.SEPAM.mQ</v>
      </c>
      <c r="E24" t="s">
        <v>1587</v>
      </c>
    </row>
    <row r="25" spans="1:5">
      <c r="A25" s="56" t="str">
        <f>$H$2&amp;". Мощность полная"</f>
        <v>SEPAM. Мощность полная</v>
      </c>
      <c r="B25" s="56">
        <f t="shared" si="0"/>
        <v>0</v>
      </c>
      <c r="C25" s="56">
        <f t="shared" si="1"/>
        <v>0</v>
      </c>
      <c r="D25" s="56" t="str">
        <f xml:space="preserve"> $I$2&amp;".mS"</f>
        <v>АСУЭ.SEPAM.mS</v>
      </c>
      <c r="E25" t="s">
        <v>1589</v>
      </c>
    </row>
    <row r="26" spans="1:5">
      <c r="A26" s="56" t="str">
        <f>$H$2&amp;". Линейное напряжение U13"</f>
        <v>SEPAM. Линейное напряжение U13</v>
      </c>
      <c r="B26" s="56">
        <f t="shared" si="0"/>
        <v>0</v>
      </c>
      <c r="C26" s="56">
        <f t="shared" si="1"/>
        <v>0</v>
      </c>
      <c r="D26" s="56" t="str">
        <f xml:space="preserve"> $I$2&amp;".mU13"</f>
        <v>АСУЭ.SEPAM.mU13</v>
      </c>
      <c r="E26" t="s">
        <v>1588</v>
      </c>
    </row>
    <row r="27" spans="1:5">
      <c r="A27" s="56" t="str">
        <f>$H$2&amp;". Линейное напряжение U21"</f>
        <v>SEPAM. Линейное напряжение U21</v>
      </c>
      <c r="B27" s="56">
        <f t="shared" si="0"/>
        <v>0</v>
      </c>
      <c r="C27" s="56">
        <f t="shared" si="1"/>
        <v>0</v>
      </c>
      <c r="D27" s="56" t="str">
        <f xml:space="preserve"> $I$2&amp;".mU21"</f>
        <v>АСУЭ.SEPAM.mU21</v>
      </c>
      <c r="E27" t="s">
        <v>1588</v>
      </c>
    </row>
    <row r="28" spans="1:5">
      <c r="A28" s="56" t="str">
        <f>$H$2&amp;". Линейное напряжение U32"</f>
        <v>SEPAM. Линейное напряжение U32</v>
      </c>
      <c r="B28" s="56">
        <f t="shared" si="0"/>
        <v>0</v>
      </c>
      <c r="C28" s="56">
        <f t="shared" si="1"/>
        <v>0</v>
      </c>
      <c r="D28" s="56" t="str">
        <f xml:space="preserve"> $I$2&amp;".mU32"</f>
        <v>АСУЭ.SEPAM.mU32</v>
      </c>
      <c r="E28" t="s">
        <v>1588</v>
      </c>
    </row>
    <row r="29" spans="1:5">
      <c r="A29" s="56" t="str">
        <f>$H$2&amp;". Энергия активная(+)"</f>
        <v>SEPAM. Энергия активная(+)</v>
      </c>
      <c r="B29" s="56">
        <f t="shared" si="0"/>
        <v>0</v>
      </c>
      <c r="C29" s="56">
        <f t="shared" si="1"/>
        <v>0</v>
      </c>
      <c r="D29" s="56" t="str">
        <f xml:space="preserve"> $I$2&amp;".mEaPlus"</f>
        <v>АСУЭ.SEPAM.mEaPlus</v>
      </c>
      <c r="E29" t="s">
        <v>1591</v>
      </c>
    </row>
    <row r="30" spans="1:5">
      <c r="A30" s="56" t="str">
        <f>$H$2&amp;". Энергия активная(-)"</f>
        <v>SEPAM. Энергия активная(-)</v>
      </c>
      <c r="B30" s="56">
        <f t="shared" si="0"/>
        <v>0</v>
      </c>
      <c r="C30" s="56">
        <f t="shared" si="1"/>
        <v>0</v>
      </c>
      <c r="D30" s="56" t="str">
        <f xml:space="preserve"> $I$2&amp;".mEaMinus"</f>
        <v>АСУЭ.SEPAM.mEaMinus</v>
      </c>
      <c r="E30" t="s">
        <v>1591</v>
      </c>
    </row>
    <row r="31" spans="1:5">
      <c r="A31" s="56" t="str">
        <f>$H$2&amp;". Энергия реактивная(+)"</f>
        <v>SEPAM. Энергия реактивная(+)</v>
      </c>
      <c r="B31" s="56">
        <f t="shared" si="0"/>
        <v>0</v>
      </c>
      <c r="C31" s="56">
        <f t="shared" si="1"/>
        <v>0</v>
      </c>
      <c r="D31" s="56" t="str">
        <f xml:space="preserve"> $I$2&amp;".mErPlus"</f>
        <v>АСУЭ.SEPAM.mErPlus</v>
      </c>
      <c r="E31" t="s">
        <v>1591</v>
      </c>
    </row>
    <row r="32" spans="1:5">
      <c r="A32" s="56" t="str">
        <f>$H$2&amp;". Энергия реактивная(-)"</f>
        <v>SEPAM. Энергия реактивная(-)</v>
      </c>
      <c r="B32" s="56">
        <f t="shared" si="0"/>
        <v>0</v>
      </c>
      <c r="C32" s="56">
        <f t="shared" si="1"/>
        <v>0</v>
      </c>
      <c r="D32" s="56" t="str">
        <f xml:space="preserve"> $I$2&amp;".mErMinus"</f>
        <v>АСУЭ.SEPAM.mErMinus</v>
      </c>
      <c r="E32" t="s">
        <v>1591</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sheetPr codeName="Лист151">
    <tabColor rgb="FF7030A0"/>
  </sheetPr>
  <dimension ref="A1:L6"/>
  <sheetViews>
    <sheetView workbookViewId="0">
      <selection activeCell="D2" sqref="D2:D4"/>
    </sheetView>
  </sheetViews>
  <sheetFormatPr defaultRowHeight="14.4"/>
  <cols>
    <col min="1" max="1" width="41.44140625" style="55" customWidth="1"/>
    <col min="2" max="2" width="6.88671875" style="56" customWidth="1"/>
    <col min="3" max="3" width="7" style="56" customWidth="1"/>
    <col min="4" max="4" width="34.5546875" customWidth="1"/>
    <col min="5" max="5" width="8.6640625" customWidth="1"/>
    <col min="8" max="9" width="40.6640625" customWidth="1"/>
    <col min="10" max="10" width="28.44140625" customWidth="1"/>
    <col min="11" max="11" width="25.6640625" customWidth="1"/>
    <col min="12" max="12" width="23" customWidth="1"/>
  </cols>
  <sheetData>
    <row r="1" spans="1:12">
      <c r="A1" s="57"/>
      <c r="B1" s="538"/>
      <c r="C1" s="538"/>
      <c r="D1" s="10"/>
      <c r="E1" s="10"/>
      <c r="F1" s="10"/>
      <c r="G1" s="10"/>
      <c r="H1" s="54" t="s">
        <v>269</v>
      </c>
      <c r="I1" s="54" t="s">
        <v>268</v>
      </c>
      <c r="J1" s="54" t="s">
        <v>512</v>
      </c>
      <c r="K1" s="54" t="s">
        <v>1536</v>
      </c>
      <c r="L1" s="54" t="s">
        <v>1537</v>
      </c>
    </row>
    <row r="2" spans="1:12" ht="15" customHeight="1">
      <c r="A2" s="57"/>
      <c r="B2" s="538"/>
      <c r="C2" s="538"/>
      <c r="D2" s="10"/>
      <c r="E2" s="10"/>
      <c r="F2" s="10"/>
      <c r="G2" s="10"/>
      <c r="H2" s="537" t="s">
        <v>331</v>
      </c>
      <c r="I2" s="537" t="s">
        <v>747</v>
      </c>
      <c r="J2" s="3"/>
      <c r="K2" s="3"/>
      <c r="L2" s="3"/>
    </row>
    <row r="3" spans="1:12">
      <c r="A3" s="56" t="str">
        <f>$H$2&amp;". Частота"</f>
        <v>SEPAM. Частота</v>
      </c>
      <c r="B3" s="56">
        <f>$K$2</f>
        <v>0</v>
      </c>
      <c r="C3" s="56">
        <f>$L$2</f>
        <v>0</v>
      </c>
      <c r="D3" s="56" t="str">
        <f xml:space="preserve"> $I$2&amp;".mFreq"</f>
        <v>АСУЭ.SEPAM.mFreq</v>
      </c>
      <c r="E3" t="s">
        <v>1585</v>
      </c>
    </row>
    <row r="4" spans="1:12">
      <c r="A4" s="56" t="str">
        <f>$H$2&amp;". Линейное напряжение U13"</f>
        <v>SEPAM. Линейное напряжение U13</v>
      </c>
      <c r="B4" s="56">
        <f>$K$2</f>
        <v>0</v>
      </c>
      <c r="C4" s="56">
        <f>$L$2</f>
        <v>0</v>
      </c>
      <c r="D4" s="56" t="str">
        <f xml:space="preserve"> $I$2&amp;".mU13"</f>
        <v>АСУЭ.SEPAM.mU13</v>
      </c>
      <c r="E4" t="s">
        <v>1588</v>
      </c>
    </row>
    <row r="5" spans="1:12">
      <c r="A5" s="56" t="str">
        <f>$H$2&amp;". Линейное напряжение U21"</f>
        <v>SEPAM. Линейное напряжение U21</v>
      </c>
      <c r="B5" s="56">
        <f>$K$2</f>
        <v>0</v>
      </c>
      <c r="C5" s="56">
        <f>$L$2</f>
        <v>0</v>
      </c>
      <c r="D5" s="56" t="str">
        <f xml:space="preserve"> $I$2&amp;".mU21"</f>
        <v>АСУЭ.SEPAM.mU21</v>
      </c>
      <c r="E5" t="s">
        <v>1588</v>
      </c>
    </row>
    <row r="6" spans="1:12">
      <c r="A6" s="56" t="str">
        <f>$H$2&amp;". Линейное напряжение U32"</f>
        <v>SEPAM. Линейное напряжение U32</v>
      </c>
      <c r="B6" s="56">
        <f>$K$2</f>
        <v>0</v>
      </c>
      <c r="C6" s="56">
        <f>$L$2</f>
        <v>0</v>
      </c>
      <c r="D6" s="56" t="str">
        <f xml:space="preserve"> $I$2&amp;".mU32"</f>
        <v>АСУЭ.SEPAM.mU32</v>
      </c>
      <c r="E6" t="s">
        <v>1588</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sheetPr codeName="Лист211">
    <tabColor rgb="FF7030A0"/>
  </sheetPr>
  <dimension ref="A1:L15"/>
  <sheetViews>
    <sheetView workbookViewId="0">
      <selection activeCell="D2" sqref="D2:D4"/>
    </sheetView>
  </sheetViews>
  <sheetFormatPr defaultRowHeight="14.4"/>
  <cols>
    <col min="1" max="1" width="41.44140625" style="55" customWidth="1"/>
    <col min="2" max="2" width="6.88671875" style="56" customWidth="1"/>
    <col min="3" max="3" width="7" style="56" customWidth="1"/>
    <col min="4" max="4" width="34.5546875" customWidth="1"/>
    <col min="5" max="5" width="8.6640625" customWidth="1"/>
    <col min="8" max="9" width="40.6640625" customWidth="1"/>
    <col min="10" max="10" width="28.44140625" customWidth="1"/>
    <col min="11" max="11" width="25.6640625" customWidth="1"/>
    <col min="12" max="12" width="23" customWidth="1"/>
  </cols>
  <sheetData>
    <row r="1" spans="1:12">
      <c r="A1" s="57"/>
      <c r="B1" s="538"/>
      <c r="C1" s="538"/>
      <c r="D1" s="10"/>
      <c r="E1" s="10"/>
      <c r="F1" s="10"/>
      <c r="G1" s="10"/>
      <c r="H1" s="54" t="s">
        <v>269</v>
      </c>
      <c r="I1" s="54" t="s">
        <v>268</v>
      </c>
      <c r="J1" s="54" t="s">
        <v>512</v>
      </c>
      <c r="K1" s="54" t="s">
        <v>1536</v>
      </c>
      <c r="L1" s="54" t="s">
        <v>1537</v>
      </c>
    </row>
    <row r="2" spans="1:12" ht="15" customHeight="1">
      <c r="A2" s="57"/>
      <c r="B2" s="538"/>
      <c r="C2" s="538"/>
      <c r="D2" s="10"/>
      <c r="E2" s="10"/>
      <c r="F2" s="10"/>
      <c r="G2" s="10"/>
      <c r="H2" s="537" t="s">
        <v>2850</v>
      </c>
      <c r="I2" s="537" t="s">
        <v>2849</v>
      </c>
      <c r="J2" s="3" t="s">
        <v>327</v>
      </c>
      <c r="K2" s="3"/>
      <c r="L2" s="3"/>
    </row>
    <row r="3" spans="1:12">
      <c r="A3" s="56" t="str">
        <f>$H$2&amp;". Частота"</f>
        <v>ТОР 200-16 ВВР. Частота</v>
      </c>
      <c r="B3" s="56">
        <f t="shared" ref="B3:B13" si="0">$K$2</f>
        <v>0</v>
      </c>
      <c r="C3" s="56">
        <f t="shared" ref="C3:C13" si="1">$L$2</f>
        <v>0</v>
      </c>
      <c r="D3" s="56" t="str">
        <f xml:space="preserve"> $I$2&amp;".mFreq"</f>
        <v>АСУЭ.TOR_VV.mFreq</v>
      </c>
      <c r="E3" t="s">
        <v>1585</v>
      </c>
    </row>
    <row r="4" spans="1:12">
      <c r="A4" s="56" t="str">
        <f>$H$2&amp;". Линейное напряжение AB"</f>
        <v>ТОР 200-16 ВВР. Линейное напряжение AB</v>
      </c>
      <c r="B4" s="56">
        <f t="shared" si="0"/>
        <v>0</v>
      </c>
      <c r="C4" s="56">
        <f t="shared" si="1"/>
        <v>0</v>
      </c>
      <c r="D4" s="56" t="str">
        <f xml:space="preserve"> $I$2&amp;".mUab"</f>
        <v>АСУЭ.TOR_VV.mUab</v>
      </c>
      <c r="E4" t="s">
        <v>1588</v>
      </c>
    </row>
    <row r="5" spans="1:12">
      <c r="A5" s="56" t="str">
        <f>$H$2&amp;". Линейное напряжение BC"</f>
        <v>ТОР 200-16 ВВР. Линейное напряжение BC</v>
      </c>
      <c r="B5" s="56">
        <f t="shared" si="0"/>
        <v>0</v>
      </c>
      <c r="C5" s="56">
        <f t="shared" si="1"/>
        <v>0</v>
      </c>
      <c r="D5" s="56" t="str">
        <f xml:space="preserve"> $I$2&amp;".mUbc"</f>
        <v>АСУЭ.TOR_VV.mUbc</v>
      </c>
      <c r="E5" t="s">
        <v>1588</v>
      </c>
    </row>
    <row r="6" spans="1:12">
      <c r="A6" s="56" t="str">
        <f>$H$2&amp;". Линейное напряжение AC"</f>
        <v>ТОР 200-16 ВВР. Линейное напряжение AC</v>
      </c>
      <c r="B6" s="56">
        <f t="shared" si="0"/>
        <v>0</v>
      </c>
      <c r="C6" s="56">
        <f t="shared" si="1"/>
        <v>0</v>
      </c>
      <c r="D6" s="56" t="str">
        <f xml:space="preserve"> $I$2&amp;".mUac"</f>
        <v>АСУЭ.TOR_VV.mUac</v>
      </c>
      <c r="E6" t="s">
        <v>1588</v>
      </c>
    </row>
    <row r="7" spans="1:12">
      <c r="A7" s="56" t="str">
        <f>$H$2&amp;". Текущее значение тока Ia"</f>
        <v>ТОР 200-16 ВВР. Текущее значение тока Ia</v>
      </c>
      <c r="B7" s="56">
        <f t="shared" si="0"/>
        <v>0</v>
      </c>
      <c r="C7" s="56">
        <f t="shared" si="1"/>
        <v>0</v>
      </c>
      <c r="D7" s="56" t="str">
        <f xml:space="preserve"> $I$2&amp;".mIa"</f>
        <v>АСУЭ.TOR_VV.mIa</v>
      </c>
      <c r="E7" t="s">
        <v>1192</v>
      </c>
    </row>
    <row r="8" spans="1:12">
      <c r="A8" s="56" t="str">
        <f>$H$2&amp;". Текущее значение тока Ib"</f>
        <v>ТОР 200-16 ВВР. Текущее значение тока Ib</v>
      </c>
      <c r="B8" s="56">
        <f t="shared" si="0"/>
        <v>0</v>
      </c>
      <c r="C8" s="56">
        <f t="shared" si="1"/>
        <v>0</v>
      </c>
      <c r="D8" s="56" t="str">
        <f xml:space="preserve"> $I$2&amp;".mIb"</f>
        <v>АСУЭ.TOR_VV.mIb</v>
      </c>
      <c r="E8" t="s">
        <v>1192</v>
      </c>
    </row>
    <row r="9" spans="1:12">
      <c r="A9" s="56" t="str">
        <f>$H$2&amp;". Текущее значение тока Ic"</f>
        <v>ТОР 200-16 ВВР. Текущее значение тока Ic</v>
      </c>
      <c r="B9" s="56">
        <f t="shared" si="0"/>
        <v>0</v>
      </c>
      <c r="C9" s="56">
        <f t="shared" si="1"/>
        <v>0</v>
      </c>
      <c r="D9" s="56" t="str">
        <f xml:space="preserve"> $I$2&amp;".mIc"</f>
        <v>АСУЭ.TOR_VV.mIc</v>
      </c>
      <c r="E9" t="s">
        <v>1192</v>
      </c>
    </row>
    <row r="10" spans="1:12">
      <c r="A10" s="56" t="str">
        <f>$H$2&amp;". Текущее значение активной трехфазной мощности P"</f>
        <v>ТОР 200-16 ВВР. Текущее значение активной трехфазной мощности P</v>
      </c>
      <c r="B10" s="56">
        <f t="shared" si="0"/>
        <v>0</v>
      </c>
      <c r="C10" s="56">
        <f t="shared" si="1"/>
        <v>0</v>
      </c>
      <c r="D10" s="56" t="str">
        <f xml:space="preserve"> $I$2&amp;".mP"</f>
        <v>АСУЭ.TOR_VV.mP</v>
      </c>
      <c r="E10" t="s">
        <v>1586</v>
      </c>
    </row>
    <row r="11" spans="1:12">
      <c r="A11" s="56" t="str">
        <f>$H$2&amp;". Текущее значение реактивной трехфазной мощности Q"</f>
        <v>ТОР 200-16 ВВР. Текущее значение реактивной трехфазной мощности Q</v>
      </c>
      <c r="B11" s="56">
        <f t="shared" si="0"/>
        <v>0</v>
      </c>
      <c r="C11" s="56">
        <f t="shared" si="1"/>
        <v>0</v>
      </c>
      <c r="D11" s="56" t="str">
        <f xml:space="preserve"> $I$2&amp;".mQ"</f>
        <v>АСУЭ.TOR_VV.mQ</v>
      </c>
      <c r="E11" t="s">
        <v>1587</v>
      </c>
    </row>
    <row r="12" spans="1:12">
      <c r="A12" s="56" t="str">
        <f>$H$2&amp;". Текущее значение полной трехфазной мощности S"</f>
        <v>ТОР 200-16 ВВР. Текущее значение полной трехфазной мощности S</v>
      </c>
      <c r="B12" s="56">
        <f t="shared" si="0"/>
        <v>0</v>
      </c>
      <c r="C12" s="56">
        <f t="shared" si="1"/>
        <v>0</v>
      </c>
      <c r="D12" s="56" t="str">
        <f xml:space="preserve"> $I$2&amp;".mS"</f>
        <v>АСУЭ.TOR_VV.mS</v>
      </c>
      <c r="E12" t="s">
        <v>1589</v>
      </c>
    </row>
    <row r="13" spans="1:12">
      <c r="A13" s="56" t="str">
        <f>$H$2&amp;". Коэффициент мощности (косинус)"</f>
        <v>ТОР 200-16 ВВР. Коэффициент мощности (косинус)</v>
      </c>
      <c r="B13" s="56">
        <f t="shared" si="0"/>
        <v>0</v>
      </c>
      <c r="C13" s="56">
        <f t="shared" si="1"/>
        <v>0</v>
      </c>
      <c r="D13" s="56" t="str">
        <f xml:space="preserve"> $I$2&amp;".mCos"</f>
        <v>АСУЭ.TOR_VV.mCos</v>
      </c>
      <c r="E13" t="s">
        <v>446</v>
      </c>
    </row>
    <row r="14" spans="1:12">
      <c r="A14" s="56" t="str">
        <f>$H$2&amp;". Счетчик коммутаций"</f>
        <v>ТОР 200-16 ВВР. Счетчик коммутаций</v>
      </c>
      <c r="B14" s="56">
        <f t="shared" ref="B14:B15" si="2">$K$2</f>
        <v>0</v>
      </c>
      <c r="C14" s="56">
        <f t="shared" ref="C14:C15" si="3">$L$2</f>
        <v>0</v>
      </c>
      <c r="D14" s="56" t="str">
        <f xml:space="preserve"> $I$2&amp;".mComNum"</f>
        <v>АСУЭ.TOR_VV.mComNum</v>
      </c>
      <c r="E14" t="s">
        <v>293</v>
      </c>
    </row>
    <row r="15" spans="1:12">
      <c r="A15" s="56" t="str">
        <f>$H$2&amp;". Счетчик коммутаций междуфазных КЗ"</f>
        <v>ТОР 200-16 ВВР. Счетчик коммутаций междуфазных КЗ</v>
      </c>
      <c r="B15" s="56">
        <f t="shared" si="2"/>
        <v>0</v>
      </c>
      <c r="C15" s="56">
        <f t="shared" si="3"/>
        <v>0</v>
      </c>
      <c r="D15" s="56" t="str">
        <f xml:space="preserve"> $I$2&amp;".mComNum_KZ"</f>
        <v>АСУЭ.TOR_VV.mComNum_KZ</v>
      </c>
      <c r="E15" t="s">
        <v>293</v>
      </c>
    </row>
  </sheetData>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sheetPr codeName="Лист212">
    <tabColor rgb="FF7030A0"/>
  </sheetPr>
  <dimension ref="A1:L15"/>
  <sheetViews>
    <sheetView workbookViewId="0">
      <selection activeCell="D2" sqref="D2:D4"/>
    </sheetView>
  </sheetViews>
  <sheetFormatPr defaultRowHeight="14.4"/>
  <cols>
    <col min="1" max="1" width="41.44140625" style="55" customWidth="1"/>
    <col min="2" max="2" width="6.88671875" style="56" customWidth="1"/>
    <col min="3" max="3" width="7" style="56" customWidth="1"/>
    <col min="4" max="4" width="34.5546875" customWidth="1"/>
    <col min="5" max="5" width="8.6640625" customWidth="1"/>
    <col min="8" max="9" width="40.6640625" customWidth="1"/>
    <col min="10" max="10" width="28.44140625" customWidth="1"/>
    <col min="11" max="11" width="25.6640625" customWidth="1"/>
    <col min="12" max="12" width="23" customWidth="1"/>
  </cols>
  <sheetData>
    <row r="1" spans="1:12">
      <c r="A1" s="57"/>
      <c r="B1" s="538"/>
      <c r="C1" s="538"/>
      <c r="D1" s="10"/>
      <c r="E1" s="10"/>
      <c r="F1" s="10"/>
      <c r="G1" s="10"/>
      <c r="H1" s="54" t="s">
        <v>269</v>
      </c>
      <c r="I1" s="54" t="s">
        <v>268</v>
      </c>
      <c r="J1" s="54" t="s">
        <v>512</v>
      </c>
      <c r="K1" s="54" t="s">
        <v>1536</v>
      </c>
      <c r="L1" s="54" t="s">
        <v>1537</v>
      </c>
    </row>
    <row r="2" spans="1:12" ht="15" customHeight="1">
      <c r="A2" s="57"/>
      <c r="B2" s="538"/>
      <c r="C2" s="538"/>
      <c r="D2" s="10"/>
      <c r="E2" s="10"/>
      <c r="F2" s="10"/>
      <c r="G2" s="10"/>
      <c r="H2" s="537" t="s">
        <v>331</v>
      </c>
      <c r="I2" s="537" t="s">
        <v>747</v>
      </c>
      <c r="J2" s="3"/>
      <c r="K2" s="3"/>
      <c r="L2" s="3"/>
    </row>
    <row r="3" spans="1:12">
      <c r="A3" s="56" t="str">
        <f>$H$2&amp;". Частота"</f>
        <v>SEPAM. Частота</v>
      </c>
      <c r="B3" s="56">
        <f t="shared" ref="B3:B13" si="0">$K$2</f>
        <v>0</v>
      </c>
      <c r="C3" s="56">
        <f t="shared" ref="C3:C13" si="1">$L$2</f>
        <v>0</v>
      </c>
      <c r="D3" s="56" t="str">
        <f xml:space="preserve"> $I$2&amp;".mFreq"</f>
        <v>АСУЭ.SEPAM.mFreq</v>
      </c>
      <c r="E3" t="s">
        <v>1585</v>
      </c>
    </row>
    <row r="4" spans="1:12">
      <c r="A4" s="56" t="str">
        <f>$H$2&amp;". Линейное напряжение AB"</f>
        <v>SEPAM. Линейное напряжение AB</v>
      </c>
      <c r="B4" s="56">
        <f t="shared" si="0"/>
        <v>0</v>
      </c>
      <c r="C4" s="56">
        <f t="shared" si="1"/>
        <v>0</v>
      </c>
      <c r="D4" s="56" t="str">
        <f xml:space="preserve"> $I$2&amp;".mUab"</f>
        <v>АСУЭ.SEPAM.mUab</v>
      </c>
      <c r="E4" t="s">
        <v>1588</v>
      </c>
    </row>
    <row r="5" spans="1:12">
      <c r="A5" s="56" t="str">
        <f>$H$2&amp;". Линейное напряжение BC"</f>
        <v>SEPAM. Линейное напряжение BC</v>
      </c>
      <c r="B5" s="56">
        <f t="shared" si="0"/>
        <v>0</v>
      </c>
      <c r="C5" s="56">
        <f t="shared" si="1"/>
        <v>0</v>
      </c>
      <c r="D5" s="56" t="str">
        <f xml:space="preserve"> $I$2&amp;".mUbc"</f>
        <v>АСУЭ.SEPAM.mUbc</v>
      </c>
      <c r="E5" t="s">
        <v>1588</v>
      </c>
    </row>
    <row r="6" spans="1:12">
      <c r="A6" s="56" t="str">
        <f>$H$2&amp;". Линейное напряжение AC"</f>
        <v>SEPAM. Линейное напряжение AC</v>
      </c>
      <c r="B6" s="56">
        <f t="shared" si="0"/>
        <v>0</v>
      </c>
      <c r="C6" s="56">
        <f t="shared" si="1"/>
        <v>0</v>
      </c>
      <c r="D6" s="56" t="str">
        <f xml:space="preserve"> $I$2&amp;".mUac"</f>
        <v>АСУЭ.SEPAM.mUac</v>
      </c>
      <c r="E6" t="s">
        <v>1588</v>
      </c>
    </row>
    <row r="7" spans="1:12">
      <c r="A7" s="56" t="str">
        <f>$H$2&amp;". Текущее значение тока Ia"</f>
        <v>SEPAM. Текущее значение тока Ia</v>
      </c>
      <c r="B7" s="56">
        <f t="shared" si="0"/>
        <v>0</v>
      </c>
      <c r="C7" s="56">
        <f t="shared" si="1"/>
        <v>0</v>
      </c>
      <c r="D7" s="56" t="str">
        <f xml:space="preserve"> $I$2&amp;".mIa"</f>
        <v>АСУЭ.SEPAM.mIa</v>
      </c>
      <c r="E7" t="s">
        <v>1192</v>
      </c>
    </row>
    <row r="8" spans="1:12">
      <c r="A8" s="56" t="str">
        <f>$H$2&amp;". Текущее значение тока Ib"</f>
        <v>SEPAM. Текущее значение тока Ib</v>
      </c>
      <c r="B8" s="56">
        <f t="shared" si="0"/>
        <v>0</v>
      </c>
      <c r="C8" s="56">
        <f t="shared" si="1"/>
        <v>0</v>
      </c>
      <c r="D8" s="56" t="str">
        <f xml:space="preserve"> $I$2&amp;".mIb"</f>
        <v>АСУЭ.SEPAM.mIb</v>
      </c>
      <c r="E8" t="s">
        <v>1192</v>
      </c>
    </row>
    <row r="9" spans="1:12">
      <c r="A9" s="56" t="str">
        <f>$H$2&amp;". Текущее значение тока Ic"</f>
        <v>SEPAM. Текущее значение тока Ic</v>
      </c>
      <c r="B9" s="56">
        <f t="shared" si="0"/>
        <v>0</v>
      </c>
      <c r="C9" s="56">
        <f t="shared" si="1"/>
        <v>0</v>
      </c>
      <c r="D9" s="56" t="str">
        <f xml:space="preserve"> $I$2&amp;".mIc"</f>
        <v>АСУЭ.SEPAM.mIc</v>
      </c>
      <c r="E9" t="s">
        <v>1192</v>
      </c>
    </row>
    <row r="10" spans="1:12">
      <c r="A10" s="56" t="str">
        <f>$H$2&amp;". Текущее значение активной трехфазной мощности P"</f>
        <v>SEPAM. Текущее значение активной трехфазной мощности P</v>
      </c>
      <c r="B10" s="56">
        <f t="shared" si="0"/>
        <v>0</v>
      </c>
      <c r="C10" s="56">
        <f t="shared" si="1"/>
        <v>0</v>
      </c>
      <c r="D10" s="56" t="str">
        <f xml:space="preserve"> $I$2&amp;".mP"</f>
        <v>АСУЭ.SEPAM.mP</v>
      </c>
      <c r="E10" t="s">
        <v>1586</v>
      </c>
    </row>
    <row r="11" spans="1:12">
      <c r="A11" s="56" t="str">
        <f>$H$2&amp;". Текущее значение реактивной трехфазной мощности Q"</f>
        <v>SEPAM. Текущее значение реактивной трехфазной мощности Q</v>
      </c>
      <c r="B11" s="56">
        <f t="shared" si="0"/>
        <v>0</v>
      </c>
      <c r="C11" s="56">
        <f t="shared" si="1"/>
        <v>0</v>
      </c>
      <c r="D11" s="56" t="str">
        <f xml:space="preserve"> $I$2&amp;".mQ"</f>
        <v>АСУЭ.SEPAM.mQ</v>
      </c>
      <c r="E11" t="s">
        <v>1587</v>
      </c>
    </row>
    <row r="12" spans="1:12">
      <c r="A12" s="56" t="str">
        <f>$H$2&amp;". Текущее значение полной трехфазной мощности S"</f>
        <v>SEPAM. Текущее значение полной трехфазной мощности S</v>
      </c>
      <c r="B12" s="56">
        <f t="shared" si="0"/>
        <v>0</v>
      </c>
      <c r="C12" s="56">
        <f t="shared" si="1"/>
        <v>0</v>
      </c>
      <c r="D12" s="56" t="str">
        <f xml:space="preserve"> $I$2&amp;".mS"</f>
        <v>АСУЭ.SEPAM.mS</v>
      </c>
      <c r="E12" t="s">
        <v>1589</v>
      </c>
    </row>
    <row r="13" spans="1:12">
      <c r="A13" s="56" t="str">
        <f>$H$2&amp;". Коэффициент мощности (косинус)"</f>
        <v>SEPAM. Коэффициент мощности (косинус)</v>
      </c>
      <c r="B13" s="56">
        <f t="shared" si="0"/>
        <v>0</v>
      </c>
      <c r="C13" s="56">
        <f t="shared" si="1"/>
        <v>0</v>
      </c>
      <c r="D13" s="56" t="str">
        <f xml:space="preserve"> $I$2&amp;".mCos"</f>
        <v>АСУЭ.SEPAM.mCos</v>
      </c>
      <c r="E13" t="s">
        <v>446</v>
      </c>
    </row>
    <row r="14" spans="1:12">
      <c r="A14" s="56" t="str">
        <f>$H$2&amp;". Счетчик коммутаций"</f>
        <v>SEPAM. Счетчик коммутаций</v>
      </c>
      <c r="B14" s="56">
        <f t="shared" ref="B14:B15" si="2">$K$2</f>
        <v>0</v>
      </c>
      <c r="C14" s="56">
        <f t="shared" ref="C14:C15" si="3">$L$2</f>
        <v>0</v>
      </c>
      <c r="D14" s="56" t="str">
        <f xml:space="preserve"> $I$2&amp;".mComNum"</f>
        <v>АСУЭ.SEPAM.mComNum</v>
      </c>
      <c r="E14" t="s">
        <v>293</v>
      </c>
    </row>
    <row r="15" spans="1:12">
      <c r="A15" s="56" t="str">
        <f>$H$2&amp;". Счетчик коммутаций междуфазных КЗ"</f>
        <v>SEPAM. Счетчик коммутаций междуфазных КЗ</v>
      </c>
      <c r="B15" s="56">
        <f t="shared" si="2"/>
        <v>0</v>
      </c>
      <c r="C15" s="56">
        <f t="shared" si="3"/>
        <v>0</v>
      </c>
      <c r="D15" s="56" t="str">
        <f xml:space="preserve"> $I$2&amp;".mComNum_KZ"</f>
        <v>АСУЭ.SEPAM.mComNum_KZ</v>
      </c>
      <c r="E15" t="s">
        <v>293</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sheetPr codeName="Лист213">
    <tabColor rgb="FF7030A0"/>
  </sheetPr>
  <dimension ref="A1:L7"/>
  <sheetViews>
    <sheetView workbookViewId="0">
      <selection activeCell="D2" sqref="D2:D4"/>
    </sheetView>
  </sheetViews>
  <sheetFormatPr defaultRowHeight="14.4"/>
  <cols>
    <col min="1" max="1" width="41.44140625" style="55" customWidth="1"/>
    <col min="2" max="2" width="6.88671875" style="56" customWidth="1"/>
    <col min="3" max="3" width="7" style="56" customWidth="1"/>
    <col min="4" max="4" width="34.5546875" customWidth="1"/>
    <col min="5" max="5" width="8.6640625" customWidth="1"/>
    <col min="8" max="9" width="40.6640625" customWidth="1"/>
    <col min="10" max="10" width="28.44140625" customWidth="1"/>
    <col min="11" max="11" width="25.6640625" customWidth="1"/>
    <col min="12" max="12" width="23" customWidth="1"/>
  </cols>
  <sheetData>
    <row r="1" spans="1:12">
      <c r="A1" s="57"/>
      <c r="B1" s="538"/>
      <c r="C1" s="538"/>
      <c r="D1" s="10"/>
      <c r="E1" s="10"/>
      <c r="F1" s="10"/>
      <c r="G1" s="10"/>
      <c r="H1" s="54" t="s">
        <v>269</v>
      </c>
      <c r="I1" s="54" t="s">
        <v>268</v>
      </c>
      <c r="J1" s="54" t="s">
        <v>512</v>
      </c>
      <c r="K1" s="54" t="s">
        <v>1536</v>
      </c>
      <c r="L1" s="54" t="s">
        <v>1537</v>
      </c>
    </row>
    <row r="2" spans="1:12" ht="15" customHeight="1">
      <c r="A2" s="57"/>
      <c r="B2" s="538"/>
      <c r="C2" s="538"/>
      <c r="D2" s="10"/>
      <c r="E2" s="10"/>
      <c r="F2" s="10"/>
      <c r="G2" s="10"/>
      <c r="H2" s="537" t="s">
        <v>331</v>
      </c>
      <c r="I2" s="537" t="s">
        <v>747</v>
      </c>
      <c r="J2" s="3"/>
      <c r="K2" s="3"/>
      <c r="L2" s="3"/>
    </row>
    <row r="3" spans="1:12">
      <c r="A3" s="56" t="str">
        <f>$H$2&amp;". Текущее значение тока Ia"</f>
        <v>SEPAM. Текущее значение тока Ia</v>
      </c>
      <c r="B3" s="56">
        <f>$K$2</f>
        <v>0</v>
      </c>
      <c r="C3" s="56">
        <f>$L$2</f>
        <v>0</v>
      </c>
      <c r="D3" s="56" t="str">
        <f xml:space="preserve"> $I$2&amp;".mIa"</f>
        <v>АСУЭ.SEPAM.mIa</v>
      </c>
      <c r="E3" t="s">
        <v>1192</v>
      </c>
    </row>
    <row r="4" spans="1:12">
      <c r="A4" s="56" t="str">
        <f>$H$2&amp;". Текущее значение тока Ib"</f>
        <v>SEPAM. Текущее значение тока Ib</v>
      </c>
      <c r="B4" s="56">
        <f>$K$2</f>
        <v>0</v>
      </c>
      <c r="C4" s="56">
        <f>$L$2</f>
        <v>0</v>
      </c>
      <c r="D4" s="56" t="str">
        <f xml:space="preserve"> $I$2&amp;".mIb"</f>
        <v>АСУЭ.SEPAM.mIb</v>
      </c>
      <c r="E4" t="s">
        <v>1192</v>
      </c>
    </row>
    <row r="5" spans="1:12">
      <c r="A5" s="56" t="str">
        <f>$H$2&amp;". Текущее значение тока Ic"</f>
        <v>SEPAM. Текущее значение тока Ic</v>
      </c>
      <c r="B5" s="56">
        <f>$K$2</f>
        <v>0</v>
      </c>
      <c r="C5" s="56">
        <f>$L$2</f>
        <v>0</v>
      </c>
      <c r="D5" s="56" t="str">
        <f xml:space="preserve"> $I$2&amp;".mIc"</f>
        <v>АСУЭ.SEPAM.mIc</v>
      </c>
      <c r="E5" t="s">
        <v>1192</v>
      </c>
    </row>
    <row r="6" spans="1:12">
      <c r="A6" s="56" t="str">
        <f>$H$2&amp;". Счетчик коммутаций"</f>
        <v>SEPAM. Счетчик коммутаций</v>
      </c>
      <c r="B6" s="56">
        <f t="shared" ref="B6:B7" si="0">$K$2</f>
        <v>0</v>
      </c>
      <c r="C6" s="56">
        <f t="shared" ref="C6:C7" si="1">$L$2</f>
        <v>0</v>
      </c>
      <c r="D6" s="56" t="str">
        <f xml:space="preserve"> $I$2&amp;".mComNum"</f>
        <v>АСУЭ.SEPAM.mComNum</v>
      </c>
      <c r="E6" t="s">
        <v>293</v>
      </c>
    </row>
    <row r="7" spans="1:12">
      <c r="A7" s="56" t="str">
        <f>$H$2&amp;". Счетчик коммутаций междуфазных КЗ"</f>
        <v>SEPAM. Счетчик коммутаций междуфазных КЗ</v>
      </c>
      <c r="B7" s="56">
        <f t="shared" si="0"/>
        <v>0</v>
      </c>
      <c r="C7" s="56">
        <f t="shared" si="1"/>
        <v>0</v>
      </c>
      <c r="D7" s="56" t="str">
        <f xml:space="preserve"> $I$2&amp;".mComNum_KZ"</f>
        <v>АСУЭ.SEPAM.mComNum_KZ</v>
      </c>
      <c r="E7" t="s">
        <v>293</v>
      </c>
    </row>
  </sheetData>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sheetPr codeName="Лист214">
    <tabColor rgb="FF7030A0"/>
  </sheetPr>
  <dimension ref="A1:L6"/>
  <sheetViews>
    <sheetView workbookViewId="0">
      <selection activeCell="D2" sqref="D2:D4"/>
    </sheetView>
  </sheetViews>
  <sheetFormatPr defaultRowHeight="14.4"/>
  <cols>
    <col min="1" max="1" width="41.44140625" style="55" customWidth="1"/>
    <col min="2" max="2" width="6.88671875" style="56" customWidth="1"/>
    <col min="3" max="3" width="7" style="56" customWidth="1"/>
    <col min="4" max="4" width="34.5546875" customWidth="1"/>
    <col min="5" max="5" width="8.6640625" customWidth="1"/>
    <col min="8" max="9" width="40.6640625" customWidth="1"/>
    <col min="10" max="10" width="28.44140625" customWidth="1"/>
    <col min="11" max="11" width="25.6640625" customWidth="1"/>
    <col min="12" max="12" width="23" customWidth="1"/>
  </cols>
  <sheetData>
    <row r="1" spans="1:12">
      <c r="A1" s="57"/>
      <c r="B1" s="538"/>
      <c r="C1" s="538"/>
      <c r="D1" s="10"/>
      <c r="E1" s="10"/>
      <c r="F1" s="10"/>
      <c r="G1" s="10"/>
      <c r="H1" s="54" t="s">
        <v>269</v>
      </c>
      <c r="I1" s="54" t="s">
        <v>268</v>
      </c>
      <c r="J1" s="54" t="s">
        <v>512</v>
      </c>
      <c r="K1" s="54" t="s">
        <v>1536</v>
      </c>
      <c r="L1" s="54" t="s">
        <v>1537</v>
      </c>
    </row>
    <row r="2" spans="1:12" ht="15" customHeight="1">
      <c r="A2" s="57"/>
      <c r="B2" s="538"/>
      <c r="C2" s="538"/>
      <c r="D2" s="10"/>
      <c r="E2" s="10"/>
      <c r="F2" s="10"/>
      <c r="G2" s="10"/>
      <c r="H2" s="537" t="s">
        <v>331</v>
      </c>
      <c r="I2" s="537" t="s">
        <v>747</v>
      </c>
      <c r="J2" s="3"/>
      <c r="K2" s="3"/>
      <c r="L2" s="3"/>
    </row>
    <row r="3" spans="1:12">
      <c r="A3" s="56" t="str">
        <f>$H$2&amp;". Частота"</f>
        <v>SEPAM. Частота</v>
      </c>
      <c r="B3" s="56">
        <f>$K$2</f>
        <v>0</v>
      </c>
      <c r="C3" s="56">
        <f>$L$2</f>
        <v>0</v>
      </c>
      <c r="D3" s="56" t="str">
        <f xml:space="preserve"> $I$2&amp;".mFreq"</f>
        <v>АСУЭ.SEPAM.mFreq</v>
      </c>
      <c r="E3" t="s">
        <v>1585</v>
      </c>
    </row>
    <row r="4" spans="1:12">
      <c r="A4" s="56" t="str">
        <f>$H$2&amp;". Линейное напряжение AB"</f>
        <v>SEPAM. Линейное напряжение AB</v>
      </c>
      <c r="B4" s="56">
        <f>$K$2</f>
        <v>0</v>
      </c>
      <c r="C4" s="56">
        <f>$L$2</f>
        <v>0</v>
      </c>
      <c r="D4" s="56" t="str">
        <f xml:space="preserve"> $I$2&amp;".mUab"</f>
        <v>АСУЭ.SEPAM.mUab</v>
      </c>
      <c r="E4" t="s">
        <v>1588</v>
      </c>
    </row>
    <row r="5" spans="1:12">
      <c r="A5" s="56" t="str">
        <f>$H$2&amp;". Линейное напряжение BC"</f>
        <v>SEPAM. Линейное напряжение BC</v>
      </c>
      <c r="B5" s="56">
        <f>$K$2</f>
        <v>0</v>
      </c>
      <c r="C5" s="56">
        <f>$L$2</f>
        <v>0</v>
      </c>
      <c r="D5" s="56" t="str">
        <f xml:space="preserve"> $I$2&amp;".mUbc"</f>
        <v>АСУЭ.SEPAM.mUbc</v>
      </c>
      <c r="E5" t="s">
        <v>1588</v>
      </c>
    </row>
    <row r="6" spans="1:12">
      <c r="A6" s="56" t="str">
        <f>$H$2&amp;". Линейное напряжение AC"</f>
        <v>SEPAM. Линейное напряжение AC</v>
      </c>
      <c r="B6" s="56">
        <f>$K$2</f>
        <v>0</v>
      </c>
      <c r="C6" s="56">
        <f>$L$2</f>
        <v>0</v>
      </c>
      <c r="D6" s="56" t="str">
        <f xml:space="preserve"> $I$2&amp;".mUac"</f>
        <v>АСУЭ.SEPAM.mUac</v>
      </c>
      <c r="E6" t="s">
        <v>1588</v>
      </c>
    </row>
  </sheetData>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sheetPr codeName="Лист215">
    <tabColor rgb="FF7030A0"/>
  </sheetPr>
  <dimension ref="A1"/>
  <sheetViews>
    <sheetView workbookViewId="0">
      <selection activeCell="D2" sqref="D2:D4"/>
    </sheetView>
  </sheetViews>
  <sheetFormatPr defaultRowHeight="14.4"/>
  <sheetData/>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sheetPr codeName="Лист184">
    <tabColor rgb="FF7030A0"/>
  </sheetPr>
  <dimension ref="A1:L19"/>
  <sheetViews>
    <sheetView workbookViewId="0">
      <selection activeCell="D2" sqref="D2:D4"/>
    </sheetView>
  </sheetViews>
  <sheetFormatPr defaultRowHeight="14.4"/>
  <cols>
    <col min="1" max="1" width="41.44140625" style="55" customWidth="1"/>
    <col min="2" max="2" width="6.88671875" style="56" customWidth="1"/>
    <col min="3" max="3" width="7" style="56" customWidth="1"/>
    <col min="4" max="4" width="34.5546875" customWidth="1"/>
    <col min="5" max="5" width="8.6640625" customWidth="1"/>
    <col min="8" max="9" width="40.6640625" customWidth="1"/>
    <col min="10" max="10" width="28.44140625" customWidth="1"/>
    <col min="11" max="11" width="25.6640625" customWidth="1"/>
    <col min="12" max="12" width="23" customWidth="1"/>
  </cols>
  <sheetData>
    <row r="1" spans="1:12">
      <c r="A1" s="57"/>
      <c r="B1" s="538"/>
      <c r="C1" s="538"/>
      <c r="D1" s="10"/>
      <c r="E1" s="10"/>
      <c r="F1" s="10"/>
      <c r="G1" s="10"/>
      <c r="H1" s="54" t="s">
        <v>269</v>
      </c>
      <c r="I1" s="54" t="s">
        <v>268</v>
      </c>
      <c r="J1" s="54" t="s">
        <v>512</v>
      </c>
      <c r="K1" s="54" t="s">
        <v>1536</v>
      </c>
      <c r="L1" s="54" t="s">
        <v>1537</v>
      </c>
    </row>
    <row r="2" spans="1:12" ht="15" customHeight="1">
      <c r="A2" s="57"/>
      <c r="B2" s="538"/>
      <c r="C2" s="538"/>
      <c r="D2" s="10"/>
      <c r="E2" s="10"/>
      <c r="F2" s="10"/>
      <c r="G2" s="10"/>
      <c r="H2" s="537" t="s">
        <v>332</v>
      </c>
      <c r="I2" s="537" t="s">
        <v>749</v>
      </c>
      <c r="J2" s="3" t="s">
        <v>327</v>
      </c>
      <c r="K2" s="3"/>
      <c r="L2" s="3"/>
    </row>
    <row r="3" spans="1:12">
      <c r="A3" s="56" t="str">
        <f>$H$2&amp;". Частота"</f>
        <v>BMRZ. Частота</v>
      </c>
      <c r="B3" s="56">
        <f>$K$2</f>
        <v>0</v>
      </c>
      <c r="C3" s="56">
        <f>$L$2</f>
        <v>0</v>
      </c>
      <c r="D3" s="56" t="str">
        <f xml:space="preserve"> $I$2&amp;".mFreq"</f>
        <v>АСУЭ.BMRZ.mFreq</v>
      </c>
      <c r="E3" t="s">
        <v>1585</v>
      </c>
    </row>
    <row r="4" spans="1:12">
      <c r="A4" s="56" t="str">
        <f>$H$2&amp;". Текущее значение тока Ia"</f>
        <v>BMRZ. Текущее значение тока Ia</v>
      </c>
      <c r="B4" s="56">
        <f>$K$2</f>
        <v>0</v>
      </c>
      <c r="C4" s="56">
        <f>$L$2</f>
        <v>0</v>
      </c>
      <c r="D4" s="56" t="str">
        <f xml:space="preserve"> $I$2&amp;".mI1"</f>
        <v>АСУЭ.BMRZ.mI1</v>
      </c>
      <c r="E4" t="s">
        <v>1590</v>
      </c>
    </row>
    <row r="5" spans="1:12">
      <c r="A5" s="56" t="str">
        <f>$H$2&amp;". Текущее значение тока Ib"</f>
        <v>BMRZ. Текущее значение тока Ib</v>
      </c>
      <c r="B5" s="56">
        <f>$K$2</f>
        <v>0</v>
      </c>
      <c r="C5" s="56">
        <f>$L$2</f>
        <v>0</v>
      </c>
      <c r="D5" s="56" t="str">
        <f xml:space="preserve"> $I$2&amp;".mI2"</f>
        <v>АСУЭ.BMRZ.mI2</v>
      </c>
      <c r="E5" t="s">
        <v>1590</v>
      </c>
    </row>
    <row r="6" spans="1:12">
      <c r="A6" s="56" t="str">
        <f>$H$2&amp;". Текущее значение тока Ic"</f>
        <v>BMRZ. Текущее значение тока Ic</v>
      </c>
      <c r="B6" s="56">
        <f>$K$2</f>
        <v>0</v>
      </c>
      <c r="C6" s="56">
        <f>$L$2</f>
        <v>0</v>
      </c>
      <c r="D6" s="56" t="str">
        <f xml:space="preserve"> $I$2&amp;".mI3"</f>
        <v>АСУЭ.BMRZ.mI3</v>
      </c>
      <c r="E6" t="s">
        <v>1590</v>
      </c>
    </row>
    <row r="7" spans="1:12">
      <c r="A7" s="56" t="str">
        <f>$H$2&amp;". Напряжение ввода фазы А"</f>
        <v>BMRZ. Напряжение ввода фазы А</v>
      </c>
      <c r="B7" s="56">
        <f t="shared" ref="B7:B19" si="0">$K$2</f>
        <v>0</v>
      </c>
      <c r="C7" s="56">
        <f t="shared" ref="C7:C19" si="1">$L$2</f>
        <v>0</v>
      </c>
      <c r="D7" s="56" t="str">
        <f xml:space="preserve"> $I$2&amp;".mUvv1"</f>
        <v>АСУЭ.BMRZ.mUvv1</v>
      </c>
      <c r="E7" t="s">
        <v>1588</v>
      </c>
    </row>
    <row r="8" spans="1:12">
      <c r="A8" s="56" t="str">
        <f>$H$2&amp;". Напряжение ввода фазы B"</f>
        <v>BMRZ. Напряжение ввода фазы B</v>
      </c>
      <c r="B8" s="56">
        <f t="shared" si="0"/>
        <v>0</v>
      </c>
      <c r="C8" s="56">
        <f t="shared" si="1"/>
        <v>0</v>
      </c>
      <c r="D8" s="56" t="str">
        <f xml:space="preserve"> $I$2&amp;".mUvv2"</f>
        <v>АСУЭ.BMRZ.mUvv2</v>
      </c>
      <c r="E8" t="s">
        <v>1588</v>
      </c>
    </row>
    <row r="9" spans="1:12">
      <c r="A9" s="56" t="str">
        <f>$H$2&amp;". Напряжение ввода фазы C"</f>
        <v>BMRZ. Напряжение ввода фазы C</v>
      </c>
      <c r="B9" s="56">
        <f t="shared" si="0"/>
        <v>0</v>
      </c>
      <c r="C9" s="56">
        <f t="shared" si="1"/>
        <v>0</v>
      </c>
      <c r="D9" s="56" t="str">
        <f xml:space="preserve"> $I$2&amp;".mUvv3"</f>
        <v>АСУЭ.BMRZ.mUvv3</v>
      </c>
      <c r="E9" t="s">
        <v>1588</v>
      </c>
    </row>
    <row r="10" spans="1:12">
      <c r="A10" s="56" t="str">
        <f>$H$2&amp;". Ток максиметра Ia"</f>
        <v>BMRZ. Ток максиметра Ia</v>
      </c>
      <c r="B10" s="56">
        <f t="shared" si="0"/>
        <v>0</v>
      </c>
      <c r="C10" s="56">
        <f t="shared" si="1"/>
        <v>0</v>
      </c>
      <c r="D10" s="56" t="str">
        <f xml:space="preserve"> $I$2&amp;".mMaxI1"</f>
        <v>АСУЭ.BMRZ.mMaxI1</v>
      </c>
      <c r="E10" t="s">
        <v>1590</v>
      </c>
    </row>
    <row r="11" spans="1:12">
      <c r="A11" s="56" t="str">
        <f>$H$2&amp;". Ток максиметра Ib"</f>
        <v>BMRZ. Ток максиметра Ib</v>
      </c>
      <c r="B11" s="56">
        <f t="shared" si="0"/>
        <v>0</v>
      </c>
      <c r="C11" s="56">
        <f t="shared" si="1"/>
        <v>0</v>
      </c>
      <c r="D11" s="56" t="str">
        <f xml:space="preserve"> $I$2&amp;".mMaxI2"</f>
        <v>АСУЭ.BMRZ.mMaxI2</v>
      </c>
      <c r="E11" t="s">
        <v>1590</v>
      </c>
    </row>
    <row r="12" spans="1:12">
      <c r="A12" s="56" t="str">
        <f>$H$2&amp;". Ток максиметра Ic"</f>
        <v>BMRZ. Ток максиметра Ic</v>
      </c>
      <c r="B12" s="56">
        <f t="shared" si="0"/>
        <v>0</v>
      </c>
      <c r="C12" s="56">
        <f t="shared" si="1"/>
        <v>0</v>
      </c>
      <c r="D12" s="56" t="str">
        <f xml:space="preserve"> $I$2&amp;".mMaxI3"</f>
        <v>АСУЭ.BMRZ.mMaxI3</v>
      </c>
      <c r="E12" t="s">
        <v>1590</v>
      </c>
    </row>
    <row r="13" spans="1:12">
      <c r="A13" s="56" t="str">
        <f>$H$2&amp;". Линейное напряжение U13"</f>
        <v>BMRZ. Линейное напряжение U13</v>
      </c>
      <c r="B13" s="56">
        <f t="shared" si="0"/>
        <v>0</v>
      </c>
      <c r="C13" s="56">
        <f t="shared" si="1"/>
        <v>0</v>
      </c>
      <c r="D13" s="56" t="str">
        <f xml:space="preserve"> $I$2&amp;".mU13"</f>
        <v>АСУЭ.BMRZ.mU13</v>
      </c>
      <c r="E13" t="s">
        <v>1588</v>
      </c>
    </row>
    <row r="14" spans="1:12">
      <c r="A14" s="56" t="str">
        <f>$H$2&amp;". Линейное напряжение U21"</f>
        <v>BMRZ. Линейное напряжение U21</v>
      </c>
      <c r="B14" s="56">
        <f t="shared" si="0"/>
        <v>0</v>
      </c>
      <c r="C14" s="56">
        <f t="shared" si="1"/>
        <v>0</v>
      </c>
      <c r="D14" s="56" t="str">
        <f xml:space="preserve"> $I$2&amp;".mU21"</f>
        <v>АСУЭ.BMRZ.mU21</v>
      </c>
      <c r="E14" t="s">
        <v>1588</v>
      </c>
    </row>
    <row r="15" spans="1:12">
      <c r="A15" s="56" t="str">
        <f>$H$2&amp;". Линейное напряжение U32"</f>
        <v>BMRZ. Линейное напряжение U32</v>
      </c>
      <c r="B15" s="56">
        <f t="shared" si="0"/>
        <v>0</v>
      </c>
      <c r="C15" s="56">
        <f t="shared" si="1"/>
        <v>0</v>
      </c>
      <c r="D15" s="56" t="str">
        <f xml:space="preserve"> $I$2&amp;".mU32"</f>
        <v>АСУЭ.BMRZ.mU32</v>
      </c>
      <c r="E15" t="s">
        <v>1588</v>
      </c>
    </row>
    <row r="16" spans="1:12">
      <c r="A16" s="56" t="str">
        <f>$H$2&amp;". Текущее значение активной трехфазной мощности P"</f>
        <v>BMRZ. Текущее значение активной трехфазной мощности P</v>
      </c>
      <c r="B16" s="56">
        <f t="shared" si="0"/>
        <v>0</v>
      </c>
      <c r="C16" s="56">
        <f t="shared" si="1"/>
        <v>0</v>
      </c>
      <c r="D16" s="56" t="str">
        <f xml:space="preserve"> $I$2&amp;".P"</f>
        <v>АСУЭ.BMRZ.P</v>
      </c>
      <c r="E16" t="s">
        <v>1586</v>
      </c>
    </row>
    <row r="17" spans="1:5">
      <c r="A17" s="56" t="str">
        <f>$H$2&amp;". Текущее значение реактивной трехфазной мощности Q"</f>
        <v>BMRZ. Текущее значение реактивной трехфазной мощности Q</v>
      </c>
      <c r="B17" s="56">
        <f t="shared" si="0"/>
        <v>0</v>
      </c>
      <c r="C17" s="56">
        <f t="shared" si="1"/>
        <v>0</v>
      </c>
      <c r="D17" s="56" t="str">
        <f xml:space="preserve"> $I$2&amp;".Q"</f>
        <v>АСУЭ.BMRZ.Q</v>
      </c>
      <c r="E17" t="s">
        <v>1825</v>
      </c>
    </row>
    <row r="18" spans="1:5">
      <c r="A18" s="56" t="str">
        <f>$H$2&amp;". Текущее значение полной трехфазной мощности S"</f>
        <v>BMRZ. Текущее значение полной трехфазной мощности S</v>
      </c>
      <c r="B18" s="56">
        <f t="shared" si="0"/>
        <v>0</v>
      </c>
      <c r="C18" s="56">
        <f t="shared" si="1"/>
        <v>0</v>
      </c>
      <c r="D18" s="56" t="str">
        <f xml:space="preserve"> $I$2&amp;".S"</f>
        <v>АСУЭ.BMRZ.S</v>
      </c>
      <c r="E18" t="s">
        <v>1589</v>
      </c>
    </row>
    <row r="19" spans="1:5">
      <c r="A19" s="56" t="str">
        <f>$H$2&amp;". Косинус"</f>
        <v>BMRZ. Косинус</v>
      </c>
      <c r="B19" s="56">
        <f t="shared" si="0"/>
        <v>0</v>
      </c>
      <c r="C19" s="56">
        <f t="shared" si="1"/>
        <v>0</v>
      </c>
      <c r="D19" s="56" t="str">
        <f xml:space="preserve"> $I$2&amp;".cos"</f>
        <v>АСУЭ.BMRZ.cos</v>
      </c>
      <c r="E19" t="s">
        <v>293</v>
      </c>
    </row>
  </sheetData>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sheetPr codeName="Лист25">
    <tabColor theme="0" tint="-0.34998626667073579"/>
  </sheetPr>
  <dimension ref="A1:K15"/>
  <sheetViews>
    <sheetView workbookViewId="0">
      <selection activeCell="D2" sqref="D2:D4"/>
    </sheetView>
  </sheetViews>
  <sheetFormatPr defaultRowHeight="14.4"/>
  <cols>
    <col min="1" max="1" width="52.88671875" style="55" customWidth="1"/>
    <col min="4" max="4" width="85" customWidth="1"/>
    <col min="8" max="9" width="40.6640625" customWidth="1"/>
    <col min="10" max="10" width="28.44140625" customWidth="1"/>
    <col min="11" max="11" width="25.6640625" customWidth="1"/>
  </cols>
  <sheetData>
    <row r="1" spans="1:11">
      <c r="A1" s="57"/>
      <c r="B1" s="10"/>
      <c r="C1" s="10"/>
      <c r="D1" s="10"/>
      <c r="E1" s="10"/>
      <c r="F1" s="10"/>
      <c r="G1" s="10"/>
      <c r="H1" s="54" t="s">
        <v>269</v>
      </c>
      <c r="I1" s="54" t="s">
        <v>268</v>
      </c>
      <c r="J1" s="54" t="s">
        <v>512</v>
      </c>
      <c r="K1" s="54" t="s">
        <v>1471</v>
      </c>
    </row>
    <row r="2" spans="1:11" ht="15" customHeight="1">
      <c r="A2" s="57"/>
      <c r="B2" s="10"/>
      <c r="C2" s="10"/>
      <c r="D2" s="10"/>
      <c r="E2" s="10"/>
      <c r="F2" s="10"/>
      <c r="G2" s="10"/>
      <c r="H2" s="73" t="s">
        <v>762</v>
      </c>
      <c r="I2" s="73" t="s">
        <v>591</v>
      </c>
      <c r="J2" s="2" t="s">
        <v>248</v>
      </c>
      <c r="K2" s="2">
        <f>Настройки!M18</f>
        <v>1000</v>
      </c>
    </row>
    <row r="3" spans="1:11" ht="15" customHeight="1">
      <c r="A3" s="56" t="str">
        <f xml:space="preserve"> $I$2</f>
        <v>FB_AI_S</v>
      </c>
      <c r="B3" s="4">
        <v>101</v>
      </c>
      <c r="C3" t="s">
        <v>0</v>
      </c>
      <c r="D3" t="str">
        <f>$H$2</f>
        <v>Аналоговый датчик FB</v>
      </c>
      <c r="E3" s="4"/>
      <c r="F3" s="4"/>
      <c r="G3" s="4"/>
      <c r="H3" s="239"/>
      <c r="I3" s="239"/>
    </row>
    <row r="4" spans="1:11">
      <c r="A4" s="56" t="str">
        <f t="shared" ref="A4:A9" si="0" xml:space="preserve"> $I$2&amp;".XVLX"</f>
        <v>FB_AI_S.XVLX</v>
      </c>
      <c r="B4">
        <v>1</v>
      </c>
      <c r="C4" t="s">
        <v>1</v>
      </c>
      <c r="D4">
        <v>3</v>
      </c>
    </row>
    <row r="5" spans="1:11">
      <c r="A5" s="56" t="str">
        <f t="shared" si="0"/>
        <v>FB_AI_S.XVLX</v>
      </c>
      <c r="B5">
        <v>8001</v>
      </c>
      <c r="C5" t="s">
        <v>2</v>
      </c>
      <c r="D5" t="s">
        <v>266</v>
      </c>
    </row>
    <row r="6" spans="1:11">
      <c r="A6" s="56" t="str">
        <f t="shared" si="0"/>
        <v>FB_AI_S.XVLX</v>
      </c>
      <c r="B6">
        <v>8006</v>
      </c>
      <c r="C6" t="s">
        <v>2</v>
      </c>
      <c r="D6" t="s">
        <v>175</v>
      </c>
    </row>
    <row r="7" spans="1:11">
      <c r="A7" s="56" t="str">
        <f t="shared" si="0"/>
        <v>FB_AI_S.XVLX</v>
      </c>
      <c r="B7">
        <v>101</v>
      </c>
      <c r="C7" t="s">
        <v>0</v>
      </c>
      <c r="D7" t="str">
        <f>$H$2</f>
        <v>Аналоговый датчик FB</v>
      </c>
    </row>
    <row r="8" spans="1:11">
      <c r="A8" s="56" t="str">
        <f t="shared" si="0"/>
        <v>FB_AI_S.XVLX</v>
      </c>
      <c r="B8">
        <v>100</v>
      </c>
      <c r="C8" t="s">
        <v>0</v>
      </c>
      <c r="D8" t="str">
        <f>$J$2</f>
        <v>C</v>
      </c>
    </row>
    <row r="9" spans="1:11">
      <c r="A9" s="56" t="str">
        <f t="shared" si="0"/>
        <v>FB_AI_S.XVLX</v>
      </c>
      <c r="B9">
        <v>8002</v>
      </c>
      <c r="C9" t="s">
        <v>819</v>
      </c>
      <c r="D9">
        <f>$K$2*10000</f>
        <v>10000000</v>
      </c>
    </row>
    <row r="10" spans="1:11">
      <c r="A10"/>
    </row>
    <row r="11" spans="1:11">
      <c r="A11"/>
    </row>
    <row r="12" spans="1:11">
      <c r="A12"/>
    </row>
    <row r="13" spans="1:11">
      <c r="A13"/>
    </row>
    <row r="14" spans="1:11">
      <c r="A14"/>
    </row>
    <row r="15" spans="1:11">
      <c r="A15"/>
    </row>
  </sheetData>
  <pageMargins left="0.7" right="0.7" top="0.75" bottom="0.75" header="0.3" footer="0.3"/>
  <pageSetup paperSize="9" orientation="portrait"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sheetPr codeName="Лист157">
    <tabColor theme="0" tint="-0.34998626667073579"/>
  </sheetPr>
  <dimension ref="A1:K15"/>
  <sheetViews>
    <sheetView workbookViewId="0">
      <selection activeCell="D2" sqref="D2:D4"/>
    </sheetView>
  </sheetViews>
  <sheetFormatPr defaultRowHeight="14.4"/>
  <cols>
    <col min="1" max="1" width="52.88671875" style="55" customWidth="1"/>
    <col min="4" max="4" width="85" customWidth="1"/>
    <col min="8" max="9" width="40.6640625" customWidth="1"/>
    <col min="10" max="10" width="28.44140625" customWidth="1"/>
    <col min="11" max="11" width="25.6640625" customWidth="1"/>
  </cols>
  <sheetData>
    <row r="1" spans="1:11">
      <c r="A1" s="57"/>
      <c r="B1" s="10"/>
      <c r="C1" s="10"/>
      <c r="D1" s="10"/>
      <c r="E1" s="10"/>
      <c r="F1" s="10"/>
      <c r="G1" s="10"/>
      <c r="H1" s="54" t="s">
        <v>269</v>
      </c>
      <c r="I1" s="54" t="s">
        <v>268</v>
      </c>
      <c r="J1" s="54" t="s">
        <v>512</v>
      </c>
      <c r="K1" s="54" t="s">
        <v>1471</v>
      </c>
    </row>
    <row r="2" spans="1:11" ht="15" customHeight="1">
      <c r="A2" s="57"/>
      <c r="B2" s="10"/>
      <c r="C2" s="10"/>
      <c r="D2" s="10"/>
      <c r="E2" s="10"/>
      <c r="F2" s="10"/>
      <c r="G2" s="10"/>
      <c r="H2" s="73" t="s">
        <v>1784</v>
      </c>
      <c r="I2" s="73" t="s">
        <v>1783</v>
      </c>
      <c r="J2" s="2" t="s">
        <v>248</v>
      </c>
      <c r="K2" s="2">
        <f>Настройки!M18</f>
        <v>1000</v>
      </c>
    </row>
    <row r="3" spans="1:11" ht="15" customHeight="1">
      <c r="A3" s="56" t="str">
        <f xml:space="preserve"> $I$2</f>
        <v>FB_AI_BUF_S</v>
      </c>
      <c r="B3" s="4">
        <v>101</v>
      </c>
      <c r="C3" t="s">
        <v>0</v>
      </c>
      <c r="D3" t="str">
        <f>$H$2</f>
        <v>Аналоговый датчик FB с буферизацией</v>
      </c>
      <c r="E3" s="4"/>
      <c r="F3" s="4"/>
      <c r="G3" s="4"/>
      <c r="H3" s="239"/>
      <c r="I3" s="239"/>
    </row>
    <row r="4" spans="1:11">
      <c r="A4" s="56" t="str">
        <f t="shared" ref="A4:A9" si="0" xml:space="preserve"> $I$2&amp;".XVLX"</f>
        <v>FB_AI_BUF_S.XVLX</v>
      </c>
      <c r="B4">
        <v>1</v>
      </c>
      <c r="C4" t="s">
        <v>1</v>
      </c>
      <c r="D4">
        <v>3</v>
      </c>
    </row>
    <row r="5" spans="1:11">
      <c r="A5" s="56" t="str">
        <f t="shared" si="0"/>
        <v>FB_AI_BUF_S.XVLX</v>
      </c>
      <c r="B5">
        <v>8001</v>
      </c>
      <c r="C5" t="s">
        <v>2</v>
      </c>
      <c r="D5" t="s">
        <v>266</v>
      </c>
    </row>
    <row r="6" spans="1:11">
      <c r="A6" s="56" t="str">
        <f t="shared" si="0"/>
        <v>FB_AI_BUF_S.XVLX</v>
      </c>
      <c r="B6">
        <v>8006</v>
      </c>
      <c r="C6" t="s">
        <v>2</v>
      </c>
      <c r="D6" t="s">
        <v>175</v>
      </c>
    </row>
    <row r="7" spans="1:11">
      <c r="A7" s="56" t="str">
        <f t="shared" si="0"/>
        <v>FB_AI_BUF_S.XVLX</v>
      </c>
      <c r="B7">
        <v>101</v>
      </c>
      <c r="C7" t="s">
        <v>0</v>
      </c>
      <c r="D7" t="str">
        <f>$H$2</f>
        <v>Аналоговый датчик FB с буферизацией</v>
      </c>
    </row>
    <row r="8" spans="1:11">
      <c r="A8" s="56" t="str">
        <f t="shared" si="0"/>
        <v>FB_AI_BUF_S.XVLX</v>
      </c>
      <c r="B8">
        <v>100</v>
      </c>
      <c r="C8" t="s">
        <v>0</v>
      </c>
      <c r="D8" t="str">
        <f>$J$2</f>
        <v>C</v>
      </c>
    </row>
    <row r="9" spans="1:11">
      <c r="A9" s="56" t="str">
        <f t="shared" si="0"/>
        <v>FB_AI_BUF_S.XVLX</v>
      </c>
      <c r="B9">
        <v>8002</v>
      </c>
      <c r="C9" t="s">
        <v>819</v>
      </c>
      <c r="D9">
        <f>$K$2*10000</f>
        <v>10000000</v>
      </c>
    </row>
    <row r="10" spans="1:11">
      <c r="A10" s="56" t="str">
        <f t="shared" ref="A10:A15" si="1" xml:space="preserve"> $I$2&amp;".BUF.XVLX"</f>
        <v>FB_AI_BUF_S.BUF.XVLX</v>
      </c>
      <c r="B10">
        <v>1</v>
      </c>
      <c r="C10" t="s">
        <v>1</v>
      </c>
      <c r="D10">
        <v>3</v>
      </c>
    </row>
    <row r="11" spans="1:11">
      <c r="A11" s="56" t="str">
        <f t="shared" si="1"/>
        <v>FB_AI_BUF_S.BUF.XVLX</v>
      </c>
      <c r="B11">
        <v>8001</v>
      </c>
      <c r="C11" t="s">
        <v>2</v>
      </c>
      <c r="D11" t="s">
        <v>266</v>
      </c>
    </row>
    <row r="12" spans="1:11">
      <c r="A12" s="56" t="str">
        <f t="shared" si="1"/>
        <v>FB_AI_BUF_S.BUF.XVLX</v>
      </c>
      <c r="B12">
        <v>8006</v>
      </c>
      <c r="C12" t="s">
        <v>2</v>
      </c>
      <c r="D12" t="s">
        <v>175</v>
      </c>
    </row>
    <row r="13" spans="1:11">
      <c r="A13" s="56" t="str">
        <f t="shared" si="1"/>
        <v>FB_AI_BUF_S.BUF.XVLX</v>
      </c>
      <c r="B13">
        <v>101</v>
      </c>
      <c r="C13" t="s">
        <v>0</v>
      </c>
      <c r="D13" t="str">
        <f>"Буфер: "&amp;$H$2</f>
        <v>Буфер: Аналоговый датчик FB с буферизацией</v>
      </c>
    </row>
    <row r="14" spans="1:11">
      <c r="A14" s="56" t="str">
        <f t="shared" si="1"/>
        <v>FB_AI_BUF_S.BUF.XVLX</v>
      </c>
      <c r="B14">
        <v>100</v>
      </c>
      <c r="C14" t="s">
        <v>0</v>
      </c>
      <c r="D14" t="str">
        <f>$J$2</f>
        <v>C</v>
      </c>
    </row>
    <row r="15" spans="1:11">
      <c r="A15" s="56" t="str">
        <f t="shared" si="1"/>
        <v>FB_AI_BUF_S.BUF.XVLX</v>
      </c>
      <c r="B15">
        <v>8002</v>
      </c>
      <c r="C15" t="s">
        <v>819</v>
      </c>
      <c r="D15">
        <f>$K$2*10000</f>
        <v>10000000</v>
      </c>
    </row>
  </sheetData>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sheetPr codeName="Лист26">
    <tabColor theme="0" tint="-0.34998626667073579"/>
  </sheetPr>
  <dimension ref="A1:K27"/>
  <sheetViews>
    <sheetView workbookViewId="0">
      <selection activeCell="D2" sqref="D2:D4"/>
    </sheetView>
  </sheetViews>
  <sheetFormatPr defaultRowHeight="14.4"/>
  <cols>
    <col min="1" max="1" width="52.88671875" customWidth="1"/>
    <col min="4" max="4" width="85" customWidth="1"/>
    <col min="8" max="9" width="40.6640625" customWidth="1"/>
    <col min="10" max="10" width="28.44140625" customWidth="1"/>
    <col min="11" max="11" width="24.44140625" customWidth="1"/>
  </cols>
  <sheetData>
    <row r="1" spans="1:11">
      <c r="A1" s="57"/>
      <c r="B1" s="10"/>
      <c r="C1" s="10"/>
      <c r="D1" s="10"/>
      <c r="E1" s="10"/>
      <c r="F1" s="10"/>
      <c r="G1" s="10"/>
      <c r="H1" s="54" t="s">
        <v>269</v>
      </c>
      <c r="I1" s="54" t="s">
        <v>268</v>
      </c>
      <c r="J1" s="54" t="s">
        <v>512</v>
      </c>
      <c r="K1" s="54" t="s">
        <v>1471</v>
      </c>
    </row>
    <row r="2" spans="1:11">
      <c r="A2" s="57"/>
      <c r="B2" s="10"/>
      <c r="C2" s="10"/>
      <c r="D2" s="10"/>
      <c r="E2" s="10"/>
      <c r="F2" s="10"/>
      <c r="G2" s="10"/>
      <c r="H2" s="73" t="s">
        <v>767</v>
      </c>
      <c r="I2" s="73" t="s">
        <v>1792</v>
      </c>
      <c r="J2" s="2" t="s">
        <v>295</v>
      </c>
      <c r="K2" s="2">
        <f>Настройки!M18</f>
        <v>1000</v>
      </c>
    </row>
    <row r="3" spans="1:11">
      <c r="A3" s="56" t="str">
        <f xml:space="preserve"> $I$2</f>
        <v>FB_REG_BUF_S</v>
      </c>
      <c r="B3" s="4">
        <v>101</v>
      </c>
      <c r="C3" t="s">
        <v>0</v>
      </c>
      <c r="D3" t="str">
        <f>$H$2</f>
        <v>Регулятор FB</v>
      </c>
    </row>
    <row r="4" spans="1:11">
      <c r="A4" s="56" t="str">
        <f xml:space="preserve"> $I$2&amp;".XCPP"</f>
        <v>FB_REG_BUF_S.XCPP</v>
      </c>
      <c r="B4">
        <v>1</v>
      </c>
      <c r="C4" t="s">
        <v>1</v>
      </c>
      <c r="D4">
        <v>3</v>
      </c>
    </row>
    <row r="5" spans="1:11">
      <c r="A5" s="56" t="str">
        <f t="shared" ref="A5:A9" si="0" xml:space="preserve"> $I$2&amp;".XCPP"</f>
        <v>FB_REG_BUF_S.XCPP</v>
      </c>
      <c r="B5">
        <v>8001</v>
      </c>
      <c r="C5" t="s">
        <v>2</v>
      </c>
      <c r="D5" t="s">
        <v>266</v>
      </c>
    </row>
    <row r="6" spans="1:11">
      <c r="A6" s="56" t="str">
        <f t="shared" si="0"/>
        <v>FB_REG_BUF_S.XCPP</v>
      </c>
      <c r="B6">
        <v>8006</v>
      </c>
      <c r="C6" t="s">
        <v>2</v>
      </c>
      <c r="D6" t="s">
        <v>175</v>
      </c>
    </row>
    <row r="7" spans="1:11">
      <c r="A7" s="56" t="str">
        <f t="shared" si="0"/>
        <v>FB_REG_BUF_S.XCPP</v>
      </c>
      <c r="B7">
        <v>100</v>
      </c>
      <c r="C7" t="s">
        <v>0</v>
      </c>
      <c r="D7" t="s">
        <v>446</v>
      </c>
    </row>
    <row r="8" spans="1:11">
      <c r="A8" s="56" t="str">
        <f xml:space="preserve"> $I$2&amp;".XCPP"</f>
        <v>FB_REG_BUF_S.XCPP</v>
      </c>
      <c r="B8">
        <v>101</v>
      </c>
      <c r="C8" t="s">
        <v>0</v>
      </c>
      <c r="D8" t="str">
        <f>$H$2&amp;". Текущее положение"</f>
        <v>Регулятор FB. Текущее положение</v>
      </c>
    </row>
    <row r="9" spans="1:11">
      <c r="A9" s="56" t="str">
        <f t="shared" si="0"/>
        <v>FB_REG_BUF_S.XCPP</v>
      </c>
      <c r="B9">
        <v>8002</v>
      </c>
      <c r="C9" t="s">
        <v>819</v>
      </c>
      <c r="D9">
        <f>$K$2*10000</f>
        <v>10000000</v>
      </c>
    </row>
    <row r="10" spans="1:11">
      <c r="A10" s="56" t="str">
        <f xml:space="preserve"> $I$2&amp;".XCAP"</f>
        <v>FB_REG_BUF_S.XCAP</v>
      </c>
      <c r="B10">
        <v>1</v>
      </c>
      <c r="C10" t="s">
        <v>1</v>
      </c>
      <c r="D10">
        <v>3</v>
      </c>
    </row>
    <row r="11" spans="1:11">
      <c r="A11" s="56" t="str">
        <f t="shared" ref="A11:A15" si="1" xml:space="preserve"> $I$2&amp;".XCAP"</f>
        <v>FB_REG_BUF_S.XCAP</v>
      </c>
      <c r="B11">
        <v>8001</v>
      </c>
      <c r="C11" t="s">
        <v>2</v>
      </c>
      <c r="D11" t="s">
        <v>266</v>
      </c>
    </row>
    <row r="12" spans="1:11">
      <c r="A12" s="56" t="str">
        <f t="shared" si="1"/>
        <v>FB_REG_BUF_S.XCAP</v>
      </c>
      <c r="B12">
        <v>8006</v>
      </c>
      <c r="C12" t="s">
        <v>2</v>
      </c>
      <c r="D12" t="s">
        <v>175</v>
      </c>
    </row>
    <row r="13" spans="1:11">
      <c r="A13" s="56" t="str">
        <f t="shared" si="1"/>
        <v>FB_REG_BUF_S.XCAP</v>
      </c>
      <c r="B13">
        <v>101</v>
      </c>
      <c r="C13" t="s">
        <v>0</v>
      </c>
      <c r="D13" t="str">
        <f>$H$2&amp;". Выходное значение - управяющее воздействие в процентах"</f>
        <v>Регулятор FB. Выходное значение - управяющее воздействие в процентах</v>
      </c>
    </row>
    <row r="14" spans="1:11">
      <c r="A14" s="56" t="str">
        <f t="shared" si="1"/>
        <v>FB_REG_BUF_S.XCAP</v>
      </c>
      <c r="B14">
        <v>100</v>
      </c>
      <c r="C14" t="s">
        <v>0</v>
      </c>
      <c r="D14" t="s">
        <v>446</v>
      </c>
    </row>
    <row r="15" spans="1:11">
      <c r="A15" s="56" t="str">
        <f t="shared" si="1"/>
        <v>FB_REG_BUF_S.XCAP</v>
      </c>
      <c r="B15">
        <v>8002</v>
      </c>
      <c r="C15" t="s">
        <v>819</v>
      </c>
      <c r="D15">
        <f>$K$2*10000</f>
        <v>10000000</v>
      </c>
    </row>
    <row r="16" spans="1:11">
      <c r="A16" s="56" t="str">
        <f xml:space="preserve"> $I$2&amp;".XPVX"</f>
        <v>FB_REG_BUF_S.XPVX</v>
      </c>
      <c r="B16">
        <v>1</v>
      </c>
      <c r="C16" t="s">
        <v>1</v>
      </c>
      <c r="D16">
        <v>3</v>
      </c>
    </row>
    <row r="17" spans="1:4">
      <c r="A17" s="56" t="str">
        <f t="shared" ref="A17:A21" si="2" xml:space="preserve"> $I$2&amp;".XPVX"</f>
        <v>FB_REG_BUF_S.XPVX</v>
      </c>
      <c r="B17">
        <v>8001</v>
      </c>
      <c r="C17" t="s">
        <v>2</v>
      </c>
      <c r="D17" t="s">
        <v>266</v>
      </c>
    </row>
    <row r="18" spans="1:4">
      <c r="A18" s="56" t="str">
        <f t="shared" si="2"/>
        <v>FB_REG_BUF_S.XPVX</v>
      </c>
      <c r="B18">
        <v>8006</v>
      </c>
      <c r="C18" t="s">
        <v>2</v>
      </c>
      <c r="D18" t="s">
        <v>175</v>
      </c>
    </row>
    <row r="19" spans="1:4">
      <c r="A19" s="56" t="str">
        <f t="shared" si="2"/>
        <v>FB_REG_BUF_S.XPVX</v>
      </c>
      <c r="B19">
        <v>100</v>
      </c>
      <c r="C19" t="s">
        <v>0</v>
      </c>
      <c r="D19" t="str">
        <f>$J$2</f>
        <v>С</v>
      </c>
    </row>
    <row r="20" spans="1:4">
      <c r="A20" s="56" t="str">
        <f t="shared" si="2"/>
        <v>FB_REG_BUF_S.XPVX</v>
      </c>
      <c r="B20">
        <v>101</v>
      </c>
      <c r="C20" t="s">
        <v>0</v>
      </c>
      <c r="D20" t="str">
        <f>$H$2&amp;". Регулируемый параметр"</f>
        <v>Регулятор FB. Регулируемый параметр</v>
      </c>
    </row>
    <row r="21" spans="1:4">
      <c r="A21" s="56" t="str">
        <f t="shared" si="2"/>
        <v>FB_REG_BUF_S.XPVX</v>
      </c>
      <c r="B21">
        <v>8002</v>
      </c>
      <c r="C21" t="s">
        <v>819</v>
      </c>
      <c r="D21">
        <f>$K$2*10000</f>
        <v>10000000</v>
      </c>
    </row>
    <row r="22" spans="1:4">
      <c r="A22" s="56" t="str">
        <f xml:space="preserve"> $I$2&amp;".SSPX"</f>
        <v>FB_REG_BUF_S.SSPX</v>
      </c>
      <c r="B22">
        <v>1</v>
      </c>
      <c r="C22" t="s">
        <v>1</v>
      </c>
      <c r="D22">
        <v>3</v>
      </c>
    </row>
    <row r="23" spans="1:4">
      <c r="A23" s="56" t="str">
        <f t="shared" ref="A23:A27" si="3" xml:space="preserve"> $I$2&amp;".SSPX"</f>
        <v>FB_REG_BUF_S.SSPX</v>
      </c>
      <c r="B23">
        <v>8001</v>
      </c>
      <c r="C23" t="s">
        <v>2</v>
      </c>
      <c r="D23" t="s">
        <v>266</v>
      </c>
    </row>
    <row r="24" spans="1:4">
      <c r="A24" s="56" t="str">
        <f t="shared" si="3"/>
        <v>FB_REG_BUF_S.SSPX</v>
      </c>
      <c r="B24">
        <v>8006</v>
      </c>
      <c r="C24" t="s">
        <v>2</v>
      </c>
      <c r="D24" t="s">
        <v>175</v>
      </c>
    </row>
    <row r="25" spans="1:4">
      <c r="A25" s="56" t="str">
        <f t="shared" si="3"/>
        <v>FB_REG_BUF_S.SSPX</v>
      </c>
      <c r="B25">
        <v>100</v>
      </c>
      <c r="C25" t="s">
        <v>0</v>
      </c>
      <c r="D25" t="str">
        <f>$J$2</f>
        <v>С</v>
      </c>
    </row>
    <row r="26" spans="1:4">
      <c r="A26" s="56" t="str">
        <f t="shared" si="3"/>
        <v>FB_REG_BUF_S.SSPX</v>
      </c>
      <c r="B26">
        <v>101</v>
      </c>
      <c r="C26" t="s">
        <v>0</v>
      </c>
      <c r="D26" t="str">
        <f>$H$2&amp;". Уставка регулирования"</f>
        <v>Регулятор FB. Уставка регулирования</v>
      </c>
    </row>
    <row r="27" spans="1:4">
      <c r="A27" s="56" t="str">
        <f t="shared" si="3"/>
        <v>FB_REG_BUF_S.SSPX</v>
      </c>
      <c r="B27">
        <v>8002</v>
      </c>
      <c r="C27" t="s">
        <v>819</v>
      </c>
      <c r="D27">
        <f>$K$2*10000</f>
        <v>10000000</v>
      </c>
    </row>
  </sheetData>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sheetPr codeName="Лист166">
    <tabColor theme="0" tint="-0.34998626667073579"/>
  </sheetPr>
  <dimension ref="A1:K51"/>
  <sheetViews>
    <sheetView workbookViewId="0">
      <selection activeCell="D2" sqref="D2:D4"/>
    </sheetView>
  </sheetViews>
  <sheetFormatPr defaultRowHeight="14.4"/>
  <cols>
    <col min="1" max="1" width="52.88671875" customWidth="1"/>
    <col min="4" max="4" width="85" customWidth="1"/>
    <col min="8" max="9" width="40.6640625" customWidth="1"/>
    <col min="10" max="10" width="28.44140625" customWidth="1"/>
    <col min="11" max="11" width="24.44140625" customWidth="1"/>
  </cols>
  <sheetData>
    <row r="1" spans="1:11">
      <c r="A1" s="57"/>
      <c r="B1" s="10"/>
      <c r="C1" s="10"/>
      <c r="D1" s="10"/>
      <c r="E1" s="10"/>
      <c r="F1" s="10"/>
      <c r="G1" s="10"/>
      <c r="H1" s="54" t="s">
        <v>269</v>
      </c>
      <c r="I1" s="54" t="s">
        <v>268</v>
      </c>
      <c r="J1" s="54" t="s">
        <v>512</v>
      </c>
      <c r="K1" s="54" t="s">
        <v>1471</v>
      </c>
    </row>
    <row r="2" spans="1:11">
      <c r="A2" s="57"/>
      <c r="B2" s="10"/>
      <c r="C2" s="10"/>
      <c r="D2" s="10"/>
      <c r="E2" s="10"/>
      <c r="F2" s="10"/>
      <c r="G2" s="10"/>
      <c r="H2" s="73" t="s">
        <v>767</v>
      </c>
      <c r="I2" s="73" t="s">
        <v>1792</v>
      </c>
      <c r="J2" s="2" t="s">
        <v>295</v>
      </c>
      <c r="K2" s="2">
        <f>Настройки!M18</f>
        <v>1000</v>
      </c>
    </row>
    <row r="3" spans="1:11">
      <c r="A3" s="56" t="str">
        <f xml:space="preserve"> $I$2</f>
        <v>FB_REG_BUF_S</v>
      </c>
      <c r="B3" s="4">
        <v>101</v>
      </c>
      <c r="C3" t="s">
        <v>0</v>
      </c>
      <c r="D3" t="str">
        <f>$H$2</f>
        <v>Регулятор FB</v>
      </c>
    </row>
    <row r="4" spans="1:11">
      <c r="A4" s="56" t="str">
        <f xml:space="preserve"> $I$2&amp;".XCPP"</f>
        <v>FB_REG_BUF_S.XCPP</v>
      </c>
      <c r="B4">
        <v>1</v>
      </c>
      <c r="C4" t="s">
        <v>1</v>
      </c>
      <c r="D4">
        <v>3</v>
      </c>
    </row>
    <row r="5" spans="1:11">
      <c r="A5" s="56" t="str">
        <f t="shared" ref="A5:A9" si="0" xml:space="preserve"> $I$2&amp;".XCPP"</f>
        <v>FB_REG_BUF_S.XCPP</v>
      </c>
      <c r="B5">
        <v>8001</v>
      </c>
      <c r="C5" t="s">
        <v>2</v>
      </c>
      <c r="D5" t="s">
        <v>266</v>
      </c>
    </row>
    <row r="6" spans="1:11">
      <c r="A6" s="56" t="str">
        <f t="shared" si="0"/>
        <v>FB_REG_BUF_S.XCPP</v>
      </c>
      <c r="B6">
        <v>8006</v>
      </c>
      <c r="C6" t="s">
        <v>2</v>
      </c>
      <c r="D6" t="s">
        <v>175</v>
      </c>
    </row>
    <row r="7" spans="1:11">
      <c r="A7" s="56" t="str">
        <f t="shared" si="0"/>
        <v>FB_REG_BUF_S.XCPP</v>
      </c>
      <c r="B7">
        <v>100</v>
      </c>
      <c r="C7" t="s">
        <v>0</v>
      </c>
      <c r="D7" t="s">
        <v>446</v>
      </c>
    </row>
    <row r="8" spans="1:11">
      <c r="A8" s="56" t="str">
        <f xml:space="preserve"> $I$2&amp;".XCPP"</f>
        <v>FB_REG_BUF_S.XCPP</v>
      </c>
      <c r="B8">
        <v>101</v>
      </c>
      <c r="C8" t="s">
        <v>0</v>
      </c>
      <c r="D8" t="str">
        <f>$H$2&amp;". Текущее положение"</f>
        <v>Регулятор FB. Текущее положение</v>
      </c>
    </row>
    <row r="9" spans="1:11">
      <c r="A9" s="56" t="str">
        <f t="shared" si="0"/>
        <v>FB_REG_BUF_S.XCPP</v>
      </c>
      <c r="B9">
        <v>8002</v>
      </c>
      <c r="C9" t="s">
        <v>819</v>
      </c>
      <c r="D9">
        <f>$K$2*10000</f>
        <v>10000000</v>
      </c>
    </row>
    <row r="10" spans="1:11">
      <c r="A10" s="56" t="str">
        <f xml:space="preserve"> $I$2&amp;".XCAP"</f>
        <v>FB_REG_BUF_S.XCAP</v>
      </c>
      <c r="B10">
        <v>1</v>
      </c>
      <c r="C10" t="s">
        <v>1</v>
      </c>
      <c r="D10">
        <v>3</v>
      </c>
    </row>
    <row r="11" spans="1:11">
      <c r="A11" s="56" t="str">
        <f t="shared" ref="A11:A15" si="1" xml:space="preserve"> $I$2&amp;".XCAP"</f>
        <v>FB_REG_BUF_S.XCAP</v>
      </c>
      <c r="B11">
        <v>8001</v>
      </c>
      <c r="C11" t="s">
        <v>2</v>
      </c>
      <c r="D11" t="s">
        <v>266</v>
      </c>
    </row>
    <row r="12" spans="1:11">
      <c r="A12" s="56" t="str">
        <f t="shared" si="1"/>
        <v>FB_REG_BUF_S.XCAP</v>
      </c>
      <c r="B12">
        <v>8006</v>
      </c>
      <c r="C12" t="s">
        <v>2</v>
      </c>
      <c r="D12" t="s">
        <v>175</v>
      </c>
    </row>
    <row r="13" spans="1:11">
      <c r="A13" s="56" t="str">
        <f t="shared" si="1"/>
        <v>FB_REG_BUF_S.XCAP</v>
      </c>
      <c r="B13">
        <v>101</v>
      </c>
      <c r="C13" t="s">
        <v>0</v>
      </c>
      <c r="D13" t="str">
        <f>$H$2&amp;". Выходное значение - управяющее воздействие в процентах"</f>
        <v>Регулятор FB. Выходное значение - управяющее воздействие в процентах</v>
      </c>
    </row>
    <row r="14" spans="1:11">
      <c r="A14" s="56" t="str">
        <f t="shared" si="1"/>
        <v>FB_REG_BUF_S.XCAP</v>
      </c>
      <c r="B14">
        <v>100</v>
      </c>
      <c r="C14" t="s">
        <v>0</v>
      </c>
      <c r="D14" t="s">
        <v>446</v>
      </c>
    </row>
    <row r="15" spans="1:11">
      <c r="A15" s="56" t="str">
        <f t="shared" si="1"/>
        <v>FB_REG_BUF_S.XCAP</v>
      </c>
      <c r="B15">
        <v>8002</v>
      </c>
      <c r="C15" t="s">
        <v>819</v>
      </c>
      <c r="D15">
        <f>$K$2*10000</f>
        <v>10000000</v>
      </c>
    </row>
    <row r="16" spans="1:11">
      <c r="A16" s="56" t="str">
        <f xml:space="preserve"> $I$2&amp;".XPVX"</f>
        <v>FB_REG_BUF_S.XPVX</v>
      </c>
      <c r="B16">
        <v>1</v>
      </c>
      <c r="C16" t="s">
        <v>1</v>
      </c>
      <c r="D16">
        <v>3</v>
      </c>
    </row>
    <row r="17" spans="1:4">
      <c r="A17" s="56" t="str">
        <f t="shared" ref="A17:A21" si="2" xml:space="preserve"> $I$2&amp;".XPVX"</f>
        <v>FB_REG_BUF_S.XPVX</v>
      </c>
      <c r="B17">
        <v>8001</v>
      </c>
      <c r="C17" t="s">
        <v>2</v>
      </c>
      <c r="D17" t="s">
        <v>266</v>
      </c>
    </row>
    <row r="18" spans="1:4">
      <c r="A18" s="56" t="str">
        <f t="shared" si="2"/>
        <v>FB_REG_BUF_S.XPVX</v>
      </c>
      <c r="B18">
        <v>8006</v>
      </c>
      <c r="C18" t="s">
        <v>2</v>
      </c>
      <c r="D18" t="s">
        <v>175</v>
      </c>
    </row>
    <row r="19" spans="1:4">
      <c r="A19" s="56" t="str">
        <f t="shared" si="2"/>
        <v>FB_REG_BUF_S.XPVX</v>
      </c>
      <c r="B19">
        <v>100</v>
      </c>
      <c r="C19" t="s">
        <v>0</v>
      </c>
      <c r="D19" t="str">
        <f>$J$2</f>
        <v>С</v>
      </c>
    </row>
    <row r="20" spans="1:4">
      <c r="A20" s="56" t="str">
        <f t="shared" si="2"/>
        <v>FB_REG_BUF_S.XPVX</v>
      </c>
      <c r="B20">
        <v>101</v>
      </c>
      <c r="C20" t="s">
        <v>0</v>
      </c>
      <c r="D20" t="str">
        <f>$H$2&amp;". Регулируемый параметр"</f>
        <v>Регулятор FB. Регулируемый параметр</v>
      </c>
    </row>
    <row r="21" spans="1:4">
      <c r="A21" s="56" t="str">
        <f t="shared" si="2"/>
        <v>FB_REG_BUF_S.XPVX</v>
      </c>
      <c r="B21">
        <v>8002</v>
      </c>
      <c r="C21" t="s">
        <v>819</v>
      </c>
      <c r="D21">
        <f>$K$2*10000</f>
        <v>10000000</v>
      </c>
    </row>
    <row r="22" spans="1:4">
      <c r="A22" s="56" t="str">
        <f xml:space="preserve"> $I$2&amp;".SSPX"</f>
        <v>FB_REG_BUF_S.SSPX</v>
      </c>
      <c r="B22">
        <v>1</v>
      </c>
      <c r="C22" t="s">
        <v>1</v>
      </c>
      <c r="D22">
        <v>3</v>
      </c>
    </row>
    <row r="23" spans="1:4">
      <c r="A23" s="56" t="str">
        <f t="shared" ref="A23:A27" si="3" xml:space="preserve"> $I$2&amp;".SSPX"</f>
        <v>FB_REG_BUF_S.SSPX</v>
      </c>
      <c r="B23">
        <v>8001</v>
      </c>
      <c r="C23" t="s">
        <v>2</v>
      </c>
      <c r="D23" t="s">
        <v>266</v>
      </c>
    </row>
    <row r="24" spans="1:4">
      <c r="A24" s="56" t="str">
        <f t="shared" si="3"/>
        <v>FB_REG_BUF_S.SSPX</v>
      </c>
      <c r="B24">
        <v>8006</v>
      </c>
      <c r="C24" t="s">
        <v>2</v>
      </c>
      <c r="D24" t="s">
        <v>175</v>
      </c>
    </row>
    <row r="25" spans="1:4">
      <c r="A25" s="56" t="str">
        <f t="shared" si="3"/>
        <v>FB_REG_BUF_S.SSPX</v>
      </c>
      <c r="B25">
        <v>100</v>
      </c>
      <c r="C25" t="s">
        <v>0</v>
      </c>
      <c r="D25" t="str">
        <f>$J$2</f>
        <v>С</v>
      </c>
    </row>
    <row r="26" spans="1:4">
      <c r="A26" s="56" t="str">
        <f t="shared" si="3"/>
        <v>FB_REG_BUF_S.SSPX</v>
      </c>
      <c r="B26">
        <v>101</v>
      </c>
      <c r="C26" t="s">
        <v>0</v>
      </c>
      <c r="D26" t="str">
        <f>$H$2&amp;". Уставка регулирования"</f>
        <v>Регулятор FB. Уставка регулирования</v>
      </c>
    </row>
    <row r="27" spans="1:4">
      <c r="A27" s="56" t="str">
        <f t="shared" si="3"/>
        <v>FB_REG_BUF_S.SSPX</v>
      </c>
      <c r="B27">
        <v>8002</v>
      </c>
      <c r="C27" t="s">
        <v>819</v>
      </c>
      <c r="D27">
        <f>$K$2*10000</f>
        <v>10000000</v>
      </c>
    </row>
    <row r="28" spans="1:4">
      <c r="A28" s="56" t="str">
        <f t="shared" ref="A28:A33" si="4" xml:space="preserve"> $I$2&amp;".BUF.XCPP"</f>
        <v>FB_REG_BUF_S.BUF.XCPP</v>
      </c>
      <c r="B28">
        <v>1</v>
      </c>
      <c r="C28" t="s">
        <v>1</v>
      </c>
      <c r="D28">
        <v>3</v>
      </c>
    </row>
    <row r="29" spans="1:4">
      <c r="A29" s="56" t="str">
        <f t="shared" si="4"/>
        <v>FB_REG_BUF_S.BUF.XCPP</v>
      </c>
      <c r="B29">
        <v>8001</v>
      </c>
      <c r="C29" t="s">
        <v>2</v>
      </c>
      <c r="D29" t="s">
        <v>266</v>
      </c>
    </row>
    <row r="30" spans="1:4">
      <c r="A30" s="56" t="str">
        <f t="shared" si="4"/>
        <v>FB_REG_BUF_S.BUF.XCPP</v>
      </c>
      <c r="B30">
        <v>8006</v>
      </c>
      <c r="C30" t="s">
        <v>2</v>
      </c>
      <c r="D30" t="s">
        <v>175</v>
      </c>
    </row>
    <row r="31" spans="1:4">
      <c r="A31" s="56" t="str">
        <f t="shared" si="4"/>
        <v>FB_REG_BUF_S.BUF.XCPP</v>
      </c>
      <c r="B31">
        <v>100</v>
      </c>
      <c r="C31" t="s">
        <v>0</v>
      </c>
      <c r="D31" t="s">
        <v>446</v>
      </c>
    </row>
    <row r="32" spans="1:4">
      <c r="A32" s="56" t="str">
        <f t="shared" si="4"/>
        <v>FB_REG_BUF_S.BUF.XCPP</v>
      </c>
      <c r="B32">
        <v>101</v>
      </c>
      <c r="C32" t="s">
        <v>0</v>
      </c>
      <c r="D32" t="str">
        <f>"Буфер: "&amp;$H$2&amp;". Текущее положение"</f>
        <v>Буфер: Регулятор FB. Текущее положение</v>
      </c>
    </row>
    <row r="33" spans="1:4">
      <c r="A33" s="56" t="str">
        <f t="shared" si="4"/>
        <v>FB_REG_BUF_S.BUF.XCPP</v>
      </c>
      <c r="B33">
        <v>8002</v>
      </c>
      <c r="C33" t="s">
        <v>819</v>
      </c>
      <c r="D33">
        <f>$K$2*10000</f>
        <v>10000000</v>
      </c>
    </row>
    <row r="34" spans="1:4">
      <c r="A34" s="56" t="str">
        <f xml:space="preserve"> $I$2&amp;".BUF.XCAP"</f>
        <v>FB_REG_BUF_S.BUF.XCAP</v>
      </c>
      <c r="B34">
        <v>1</v>
      </c>
      <c r="C34" t="s">
        <v>1</v>
      </c>
      <c r="D34">
        <v>3</v>
      </c>
    </row>
    <row r="35" spans="1:4">
      <c r="A35" s="56" t="str">
        <f t="shared" ref="A35:A39" si="5" xml:space="preserve"> $I$2&amp;".BUF.XCAP"</f>
        <v>FB_REG_BUF_S.BUF.XCAP</v>
      </c>
      <c r="B35">
        <v>8001</v>
      </c>
      <c r="C35" t="s">
        <v>2</v>
      </c>
      <c r="D35" t="s">
        <v>266</v>
      </c>
    </row>
    <row r="36" spans="1:4">
      <c r="A36" s="56" t="str">
        <f t="shared" si="5"/>
        <v>FB_REG_BUF_S.BUF.XCAP</v>
      </c>
      <c r="B36">
        <v>8006</v>
      </c>
      <c r="C36" t="s">
        <v>2</v>
      </c>
      <c r="D36" t="s">
        <v>175</v>
      </c>
    </row>
    <row r="37" spans="1:4">
      <c r="A37" s="56" t="str">
        <f t="shared" si="5"/>
        <v>FB_REG_BUF_S.BUF.XCAP</v>
      </c>
      <c r="B37">
        <v>101</v>
      </c>
      <c r="C37" t="s">
        <v>0</v>
      </c>
      <c r="D37" t="str">
        <f>"Буфер: "&amp;$H$2&amp;". Выходное значение - управяющее воздействие в процентах"</f>
        <v>Буфер: Регулятор FB. Выходное значение - управяющее воздействие в процентах</v>
      </c>
    </row>
    <row r="38" spans="1:4">
      <c r="A38" s="56" t="str">
        <f t="shared" si="5"/>
        <v>FB_REG_BUF_S.BUF.XCAP</v>
      </c>
      <c r="B38">
        <v>100</v>
      </c>
      <c r="C38" t="s">
        <v>0</v>
      </c>
      <c r="D38" t="s">
        <v>446</v>
      </c>
    </row>
    <row r="39" spans="1:4">
      <c r="A39" s="56" t="str">
        <f t="shared" si="5"/>
        <v>FB_REG_BUF_S.BUF.XCAP</v>
      </c>
      <c r="B39">
        <v>8002</v>
      </c>
      <c r="C39" t="s">
        <v>819</v>
      </c>
      <c r="D39">
        <f>$K$2*10000</f>
        <v>10000000</v>
      </c>
    </row>
    <row r="40" spans="1:4">
      <c r="A40" s="56" t="str">
        <f xml:space="preserve"> $I$2&amp;".BUF.XPVX"</f>
        <v>FB_REG_BUF_S.BUF.XPVX</v>
      </c>
      <c r="B40">
        <v>1</v>
      </c>
      <c r="C40" t="s">
        <v>1</v>
      </c>
      <c r="D40">
        <v>3</v>
      </c>
    </row>
    <row r="41" spans="1:4">
      <c r="A41" s="56" t="str">
        <f t="shared" ref="A41:A45" si="6" xml:space="preserve"> $I$2&amp;".BUF.XPVX"</f>
        <v>FB_REG_BUF_S.BUF.XPVX</v>
      </c>
      <c r="B41">
        <v>8001</v>
      </c>
      <c r="C41" t="s">
        <v>2</v>
      </c>
      <c r="D41" t="s">
        <v>266</v>
      </c>
    </row>
    <row r="42" spans="1:4">
      <c r="A42" s="56" t="str">
        <f t="shared" si="6"/>
        <v>FB_REG_BUF_S.BUF.XPVX</v>
      </c>
      <c r="B42">
        <v>8006</v>
      </c>
      <c r="C42" t="s">
        <v>2</v>
      </c>
      <c r="D42" t="s">
        <v>175</v>
      </c>
    </row>
    <row r="43" spans="1:4">
      <c r="A43" s="56" t="str">
        <f t="shared" si="6"/>
        <v>FB_REG_BUF_S.BUF.XPVX</v>
      </c>
      <c r="B43">
        <v>100</v>
      </c>
      <c r="C43" t="s">
        <v>0</v>
      </c>
      <c r="D43" t="str">
        <f>$J$2</f>
        <v>С</v>
      </c>
    </row>
    <row r="44" spans="1:4">
      <c r="A44" s="56" t="str">
        <f t="shared" si="6"/>
        <v>FB_REG_BUF_S.BUF.XPVX</v>
      </c>
      <c r="B44">
        <v>101</v>
      </c>
      <c r="C44" t="s">
        <v>0</v>
      </c>
      <c r="D44" t="str">
        <f>"Буфер: "&amp;$H$2&amp;". Регулируемый параметр"</f>
        <v>Буфер: Регулятор FB. Регулируемый параметр</v>
      </c>
    </row>
    <row r="45" spans="1:4">
      <c r="A45" s="56" t="str">
        <f t="shared" si="6"/>
        <v>FB_REG_BUF_S.BUF.XPVX</v>
      </c>
      <c r="B45">
        <v>8002</v>
      </c>
      <c r="C45" t="s">
        <v>819</v>
      </c>
      <c r="D45">
        <f>$K$2*10000</f>
        <v>10000000</v>
      </c>
    </row>
    <row r="46" spans="1:4">
      <c r="A46" s="56" t="str">
        <f t="shared" ref="A46:A51" si="7" xml:space="preserve"> $I$2&amp;".BUF.SSPX"</f>
        <v>FB_REG_BUF_S.BUF.SSPX</v>
      </c>
      <c r="B46">
        <v>1</v>
      </c>
      <c r="C46" t="s">
        <v>1</v>
      </c>
      <c r="D46">
        <v>3</v>
      </c>
    </row>
    <row r="47" spans="1:4">
      <c r="A47" s="56" t="str">
        <f t="shared" si="7"/>
        <v>FB_REG_BUF_S.BUF.SSPX</v>
      </c>
      <c r="B47">
        <v>8001</v>
      </c>
      <c r="C47" t="s">
        <v>2</v>
      </c>
      <c r="D47" t="s">
        <v>266</v>
      </c>
    </row>
    <row r="48" spans="1:4">
      <c r="A48" s="56" t="str">
        <f t="shared" si="7"/>
        <v>FB_REG_BUF_S.BUF.SSPX</v>
      </c>
      <c r="B48">
        <v>8006</v>
      </c>
      <c r="C48" t="s">
        <v>2</v>
      </c>
      <c r="D48" t="s">
        <v>175</v>
      </c>
    </row>
    <row r="49" spans="1:4">
      <c r="A49" s="56" t="str">
        <f t="shared" si="7"/>
        <v>FB_REG_BUF_S.BUF.SSPX</v>
      </c>
      <c r="B49">
        <v>100</v>
      </c>
      <c r="C49" t="s">
        <v>0</v>
      </c>
      <c r="D49" t="str">
        <f>$J$2</f>
        <v>С</v>
      </c>
    </row>
    <row r="50" spans="1:4">
      <c r="A50" s="56" t="str">
        <f t="shared" si="7"/>
        <v>FB_REG_BUF_S.BUF.SSPX</v>
      </c>
      <c r="B50">
        <v>101</v>
      </c>
      <c r="C50" t="s">
        <v>0</v>
      </c>
      <c r="D50" t="str">
        <f>"Буфер: "&amp;$H$2&amp;". Уставка регулирования"</f>
        <v>Буфер: Регулятор FB. Уставка регулирования</v>
      </c>
    </row>
    <row r="51" spans="1:4">
      <c r="A51" s="56" t="str">
        <f t="shared" si="7"/>
        <v>FB_REG_BUF_S.BUF.SSPX</v>
      </c>
      <c r="B51">
        <v>8002</v>
      </c>
      <c r="C51" t="s">
        <v>819</v>
      </c>
      <c r="D51">
        <f>$K$2*10000</f>
        <v>10000000</v>
      </c>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sheetPr codeName="Лист182">
    <tabColor theme="0" tint="-0.34998626667073579"/>
  </sheetPr>
  <dimension ref="A1:K51"/>
  <sheetViews>
    <sheetView topLeftCell="A22" workbookViewId="0">
      <selection activeCell="D2" sqref="D2:D4"/>
    </sheetView>
  </sheetViews>
  <sheetFormatPr defaultRowHeight="14.4"/>
  <cols>
    <col min="1" max="1" width="52.88671875" customWidth="1"/>
    <col min="4" max="4" width="85" customWidth="1"/>
    <col min="8" max="9" width="40.6640625" customWidth="1"/>
    <col min="10" max="10" width="28.44140625" customWidth="1"/>
    <col min="11" max="11" width="24.44140625" customWidth="1"/>
  </cols>
  <sheetData>
    <row r="1" spans="1:11">
      <c r="A1" s="57"/>
      <c r="B1" s="10"/>
      <c r="C1" s="10"/>
      <c r="D1" s="10"/>
      <c r="E1" s="10"/>
      <c r="F1" s="10"/>
      <c r="G1" s="10"/>
      <c r="H1" s="54" t="s">
        <v>269</v>
      </c>
      <c r="I1" s="54" t="s">
        <v>268</v>
      </c>
      <c r="J1" s="54" t="s">
        <v>512</v>
      </c>
      <c r="K1" s="54" t="s">
        <v>1471</v>
      </c>
    </row>
    <row r="2" spans="1:11">
      <c r="A2" s="57"/>
      <c r="B2" s="10"/>
      <c r="C2" s="10"/>
      <c r="D2" s="10"/>
      <c r="E2" s="10"/>
      <c r="F2" s="10"/>
      <c r="G2" s="10"/>
      <c r="H2" s="73" t="s">
        <v>767</v>
      </c>
      <c r="I2" s="73" t="s">
        <v>1792</v>
      </c>
      <c r="J2" s="2" t="s">
        <v>295</v>
      </c>
      <c r="K2" s="2">
        <f>Настройки!M18</f>
        <v>1000</v>
      </c>
    </row>
    <row r="3" spans="1:11">
      <c r="A3" s="56" t="str">
        <f xml:space="preserve"> $I$2</f>
        <v>FB_REG_BUF_S</v>
      </c>
      <c r="B3" s="4">
        <v>101</v>
      </c>
      <c r="C3" t="s">
        <v>0</v>
      </c>
      <c r="D3" t="str">
        <f>$H$2</f>
        <v>Регулятор FB</v>
      </c>
    </row>
    <row r="4" spans="1:11">
      <c r="A4" s="56" t="str">
        <f xml:space="preserve"> $I$2&amp;".XCPP"</f>
        <v>FB_REG_BUF_S.XCPP</v>
      </c>
      <c r="B4">
        <v>1</v>
      </c>
      <c r="C4" t="s">
        <v>1</v>
      </c>
      <c r="D4">
        <v>3</v>
      </c>
    </row>
    <row r="5" spans="1:11">
      <c r="A5" s="56" t="str">
        <f t="shared" ref="A5:A9" si="0" xml:space="preserve"> $I$2&amp;".XCPP"</f>
        <v>FB_REG_BUF_S.XCPP</v>
      </c>
      <c r="B5">
        <v>8001</v>
      </c>
      <c r="C5" t="s">
        <v>2</v>
      </c>
      <c r="D5" t="s">
        <v>266</v>
      </c>
    </row>
    <row r="6" spans="1:11">
      <c r="A6" s="56" t="str">
        <f t="shared" si="0"/>
        <v>FB_REG_BUF_S.XCPP</v>
      </c>
      <c r="B6">
        <v>8006</v>
      </c>
      <c r="C6" t="s">
        <v>2</v>
      </c>
      <c r="D6" t="s">
        <v>175</v>
      </c>
    </row>
    <row r="7" spans="1:11">
      <c r="A7" s="56" t="str">
        <f t="shared" si="0"/>
        <v>FB_REG_BUF_S.XCPP</v>
      </c>
      <c r="B7">
        <v>100</v>
      </c>
      <c r="C7" t="s">
        <v>0</v>
      </c>
      <c r="D7" t="s">
        <v>446</v>
      </c>
    </row>
    <row r="8" spans="1:11">
      <c r="A8" s="56" t="str">
        <f xml:space="preserve"> $I$2&amp;".XCPP"</f>
        <v>FB_REG_BUF_S.XCPP</v>
      </c>
      <c r="B8">
        <v>101</v>
      </c>
      <c r="C8" t="s">
        <v>0</v>
      </c>
      <c r="D8" t="str">
        <f>$H$2&amp;". Текущее положение"</f>
        <v>Регулятор FB. Текущее положение</v>
      </c>
    </row>
    <row r="9" spans="1:11">
      <c r="A9" s="56" t="str">
        <f t="shared" si="0"/>
        <v>FB_REG_BUF_S.XCPP</v>
      </c>
      <c r="B9">
        <v>8002</v>
      </c>
      <c r="C9" t="s">
        <v>819</v>
      </c>
      <c r="D9">
        <f>$K$2*10000</f>
        <v>10000000</v>
      </c>
    </row>
    <row r="10" spans="1:11">
      <c r="A10" s="56" t="str">
        <f xml:space="preserve"> $I$2&amp;".XCAP"</f>
        <v>FB_REG_BUF_S.XCAP</v>
      </c>
      <c r="B10">
        <v>1</v>
      </c>
      <c r="C10" t="s">
        <v>1</v>
      </c>
      <c r="D10">
        <v>3</v>
      </c>
    </row>
    <row r="11" spans="1:11">
      <c r="A11" s="56" t="str">
        <f t="shared" ref="A11:A15" si="1" xml:space="preserve"> $I$2&amp;".XCAP"</f>
        <v>FB_REG_BUF_S.XCAP</v>
      </c>
      <c r="B11">
        <v>8001</v>
      </c>
      <c r="C11" t="s">
        <v>2</v>
      </c>
      <c r="D11" t="s">
        <v>266</v>
      </c>
    </row>
    <row r="12" spans="1:11">
      <c r="A12" s="56" t="str">
        <f t="shared" si="1"/>
        <v>FB_REG_BUF_S.XCAP</v>
      </c>
      <c r="B12">
        <v>8006</v>
      </c>
      <c r="C12" t="s">
        <v>2</v>
      </c>
      <c r="D12" t="s">
        <v>175</v>
      </c>
    </row>
    <row r="13" spans="1:11">
      <c r="A13" s="56" t="str">
        <f t="shared" si="1"/>
        <v>FB_REG_BUF_S.XCAP</v>
      </c>
      <c r="B13">
        <v>101</v>
      </c>
      <c r="C13" t="s">
        <v>0</v>
      </c>
      <c r="D13" t="str">
        <f>$H$2&amp;". Выходное значение - управяющее воздействие в процентах"</f>
        <v>Регулятор FB. Выходное значение - управяющее воздействие в процентах</v>
      </c>
    </row>
    <row r="14" spans="1:11">
      <c r="A14" s="56" t="str">
        <f t="shared" si="1"/>
        <v>FB_REG_BUF_S.XCAP</v>
      </c>
      <c r="B14">
        <v>100</v>
      </c>
      <c r="C14" t="s">
        <v>0</v>
      </c>
      <c r="D14" t="s">
        <v>446</v>
      </c>
    </row>
    <row r="15" spans="1:11">
      <c r="A15" s="56" t="str">
        <f t="shared" si="1"/>
        <v>FB_REG_BUF_S.XCAP</v>
      </c>
      <c r="B15">
        <v>8002</v>
      </c>
      <c r="C15" t="s">
        <v>819</v>
      </c>
      <c r="D15">
        <f>$K$2*10000</f>
        <v>10000000</v>
      </c>
    </row>
    <row r="16" spans="1:11">
      <c r="A16" s="56" t="str">
        <f xml:space="preserve"> $I$2&amp;".XPVX"</f>
        <v>FB_REG_BUF_S.XPVX</v>
      </c>
      <c r="B16">
        <v>1</v>
      </c>
      <c r="C16" t="s">
        <v>1</v>
      </c>
      <c r="D16">
        <v>3</v>
      </c>
    </row>
    <row r="17" spans="1:4">
      <c r="A17" s="56" t="str">
        <f t="shared" ref="A17:A21" si="2" xml:space="preserve"> $I$2&amp;".XPVX"</f>
        <v>FB_REG_BUF_S.XPVX</v>
      </c>
      <c r="B17">
        <v>8001</v>
      </c>
      <c r="C17" t="s">
        <v>2</v>
      </c>
      <c r="D17" t="s">
        <v>266</v>
      </c>
    </row>
    <row r="18" spans="1:4">
      <c r="A18" s="56" t="str">
        <f t="shared" si="2"/>
        <v>FB_REG_BUF_S.XPVX</v>
      </c>
      <c r="B18">
        <v>8006</v>
      </c>
      <c r="C18" t="s">
        <v>2</v>
      </c>
      <c r="D18" t="s">
        <v>175</v>
      </c>
    </row>
    <row r="19" spans="1:4">
      <c r="A19" s="56" t="str">
        <f t="shared" si="2"/>
        <v>FB_REG_BUF_S.XPVX</v>
      </c>
      <c r="B19">
        <v>100</v>
      </c>
      <c r="C19" t="s">
        <v>0</v>
      </c>
      <c r="D19" t="str">
        <f>$J$2</f>
        <v>С</v>
      </c>
    </row>
    <row r="20" spans="1:4">
      <c r="A20" s="56" t="str">
        <f t="shared" si="2"/>
        <v>FB_REG_BUF_S.XPVX</v>
      </c>
      <c r="B20">
        <v>101</v>
      </c>
      <c r="C20" t="s">
        <v>0</v>
      </c>
      <c r="D20" t="str">
        <f>$H$2&amp;". Регулируемый параметр"</f>
        <v>Регулятор FB. Регулируемый параметр</v>
      </c>
    </row>
    <row r="21" spans="1:4">
      <c r="A21" s="56" t="str">
        <f t="shared" si="2"/>
        <v>FB_REG_BUF_S.XPVX</v>
      </c>
      <c r="B21">
        <v>8002</v>
      </c>
      <c r="C21" t="s">
        <v>819</v>
      </c>
      <c r="D21">
        <f>$K$2*10000</f>
        <v>10000000</v>
      </c>
    </row>
    <row r="22" spans="1:4">
      <c r="A22" s="56" t="str">
        <f xml:space="preserve"> $I$2&amp;".SSPX"</f>
        <v>FB_REG_BUF_S.SSPX</v>
      </c>
      <c r="B22">
        <v>1</v>
      </c>
      <c r="C22" t="s">
        <v>1</v>
      </c>
      <c r="D22">
        <v>3</v>
      </c>
    </row>
    <row r="23" spans="1:4">
      <c r="A23" s="56" t="str">
        <f t="shared" ref="A23:A27" si="3" xml:space="preserve"> $I$2&amp;".SSPX"</f>
        <v>FB_REG_BUF_S.SSPX</v>
      </c>
      <c r="B23">
        <v>8001</v>
      </c>
      <c r="C23" t="s">
        <v>2</v>
      </c>
      <c r="D23" t="s">
        <v>266</v>
      </c>
    </row>
    <row r="24" spans="1:4">
      <c r="A24" s="56" t="str">
        <f t="shared" si="3"/>
        <v>FB_REG_BUF_S.SSPX</v>
      </c>
      <c r="B24">
        <v>8006</v>
      </c>
      <c r="C24" t="s">
        <v>2</v>
      </c>
      <c r="D24" t="s">
        <v>175</v>
      </c>
    </row>
    <row r="25" spans="1:4">
      <c r="A25" s="56" t="str">
        <f t="shared" si="3"/>
        <v>FB_REG_BUF_S.SSPX</v>
      </c>
      <c r="B25">
        <v>100</v>
      </c>
      <c r="C25" t="s">
        <v>0</v>
      </c>
      <c r="D25" t="str">
        <f>$J$2</f>
        <v>С</v>
      </c>
    </row>
    <row r="26" spans="1:4">
      <c r="A26" s="56" t="str">
        <f t="shared" si="3"/>
        <v>FB_REG_BUF_S.SSPX</v>
      </c>
      <c r="B26">
        <v>101</v>
      </c>
      <c r="C26" t="s">
        <v>0</v>
      </c>
      <c r="D26" t="str">
        <f>$H$2&amp;". Уставка регулирования"</f>
        <v>Регулятор FB. Уставка регулирования</v>
      </c>
    </row>
    <row r="27" spans="1:4">
      <c r="A27" s="56" t="str">
        <f t="shared" si="3"/>
        <v>FB_REG_BUF_S.SSPX</v>
      </c>
      <c r="B27">
        <v>8002</v>
      </c>
      <c r="C27" t="s">
        <v>819</v>
      </c>
      <c r="D27">
        <f>$K$2*10000</f>
        <v>10000000</v>
      </c>
    </row>
    <row r="28" spans="1:4">
      <c r="A28" s="56" t="str">
        <f t="shared" ref="A28:A33" si="4" xml:space="preserve"> $I$2&amp;".BUF.XCPP"</f>
        <v>FB_REG_BUF_S.BUF.XCPP</v>
      </c>
      <c r="B28">
        <v>1</v>
      </c>
      <c r="C28" t="s">
        <v>1</v>
      </c>
      <c r="D28">
        <v>3</v>
      </c>
    </row>
    <row r="29" spans="1:4">
      <c r="A29" s="56" t="str">
        <f t="shared" si="4"/>
        <v>FB_REG_BUF_S.BUF.XCPP</v>
      </c>
      <c r="B29">
        <v>8001</v>
      </c>
      <c r="C29" t="s">
        <v>2</v>
      </c>
      <c r="D29" t="s">
        <v>266</v>
      </c>
    </row>
    <row r="30" spans="1:4">
      <c r="A30" s="56" t="str">
        <f t="shared" si="4"/>
        <v>FB_REG_BUF_S.BUF.XCPP</v>
      </c>
      <c r="B30">
        <v>8006</v>
      </c>
      <c r="C30" t="s">
        <v>2</v>
      </c>
      <c r="D30" t="s">
        <v>175</v>
      </c>
    </row>
    <row r="31" spans="1:4">
      <c r="A31" s="56" t="str">
        <f t="shared" si="4"/>
        <v>FB_REG_BUF_S.BUF.XCPP</v>
      </c>
      <c r="B31">
        <v>100</v>
      </c>
      <c r="C31" t="s">
        <v>0</v>
      </c>
      <c r="D31" t="s">
        <v>446</v>
      </c>
    </row>
    <row r="32" spans="1:4">
      <c r="A32" s="56" t="str">
        <f t="shared" si="4"/>
        <v>FB_REG_BUF_S.BUF.XCPP</v>
      </c>
      <c r="B32">
        <v>101</v>
      </c>
      <c r="C32" t="s">
        <v>0</v>
      </c>
      <c r="D32" t="str">
        <f>"Буфер: "&amp;$H$2&amp;". Текущее положение"</f>
        <v>Буфер: Регулятор FB. Текущее положение</v>
      </c>
    </row>
    <row r="33" spans="1:4">
      <c r="A33" s="56" t="str">
        <f t="shared" si="4"/>
        <v>FB_REG_BUF_S.BUF.XCPP</v>
      </c>
      <c r="B33">
        <v>8002</v>
      </c>
      <c r="C33" t="s">
        <v>819</v>
      </c>
      <c r="D33">
        <f>$K$2*10000</f>
        <v>10000000</v>
      </c>
    </row>
    <row r="34" spans="1:4">
      <c r="A34" s="56" t="str">
        <f xml:space="preserve"> $I$2&amp;".BUF.XCAP"</f>
        <v>FB_REG_BUF_S.BUF.XCAP</v>
      </c>
      <c r="B34">
        <v>1</v>
      </c>
      <c r="C34" t="s">
        <v>1</v>
      </c>
      <c r="D34">
        <v>3</v>
      </c>
    </row>
    <row r="35" spans="1:4">
      <c r="A35" s="56" t="str">
        <f t="shared" ref="A35:A39" si="5" xml:space="preserve"> $I$2&amp;".BUF.XCAP"</f>
        <v>FB_REG_BUF_S.BUF.XCAP</v>
      </c>
      <c r="B35">
        <v>8001</v>
      </c>
      <c r="C35" t="s">
        <v>2</v>
      </c>
      <c r="D35" t="s">
        <v>266</v>
      </c>
    </row>
    <row r="36" spans="1:4">
      <c r="A36" s="56" t="str">
        <f t="shared" si="5"/>
        <v>FB_REG_BUF_S.BUF.XCAP</v>
      </c>
      <c r="B36">
        <v>8006</v>
      </c>
      <c r="C36" t="s">
        <v>2</v>
      </c>
      <c r="D36" t="s">
        <v>175</v>
      </c>
    </row>
    <row r="37" spans="1:4">
      <c r="A37" s="56" t="str">
        <f t="shared" si="5"/>
        <v>FB_REG_BUF_S.BUF.XCAP</v>
      </c>
      <c r="B37">
        <v>101</v>
      </c>
      <c r="C37" t="s">
        <v>0</v>
      </c>
      <c r="D37" t="str">
        <f>"Буфер: "&amp;$H$2&amp;". Выходное значение - управяющее воздействие в процентах"</f>
        <v>Буфер: Регулятор FB. Выходное значение - управяющее воздействие в процентах</v>
      </c>
    </row>
    <row r="38" spans="1:4">
      <c r="A38" s="56" t="str">
        <f t="shared" si="5"/>
        <v>FB_REG_BUF_S.BUF.XCAP</v>
      </c>
      <c r="B38">
        <v>100</v>
      </c>
      <c r="C38" t="s">
        <v>0</v>
      </c>
      <c r="D38" t="s">
        <v>446</v>
      </c>
    </row>
    <row r="39" spans="1:4">
      <c r="A39" s="56" t="str">
        <f t="shared" si="5"/>
        <v>FB_REG_BUF_S.BUF.XCAP</v>
      </c>
      <c r="B39">
        <v>8002</v>
      </c>
      <c r="C39" t="s">
        <v>819</v>
      </c>
      <c r="D39">
        <f>$K$2*10000</f>
        <v>10000000</v>
      </c>
    </row>
    <row r="40" spans="1:4">
      <c r="A40" s="56" t="str">
        <f xml:space="preserve"> $I$2&amp;".BUF.XPVX"</f>
        <v>FB_REG_BUF_S.BUF.XPVX</v>
      </c>
      <c r="B40">
        <v>1</v>
      </c>
      <c r="C40" t="s">
        <v>1</v>
      </c>
      <c r="D40">
        <v>3</v>
      </c>
    </row>
    <row r="41" spans="1:4">
      <c r="A41" s="56" t="str">
        <f t="shared" ref="A41:A45" si="6" xml:space="preserve"> $I$2&amp;".BUF.XPVX"</f>
        <v>FB_REG_BUF_S.BUF.XPVX</v>
      </c>
      <c r="B41">
        <v>8001</v>
      </c>
      <c r="C41" t="s">
        <v>2</v>
      </c>
      <c r="D41" t="s">
        <v>266</v>
      </c>
    </row>
    <row r="42" spans="1:4">
      <c r="A42" s="56" t="str">
        <f t="shared" si="6"/>
        <v>FB_REG_BUF_S.BUF.XPVX</v>
      </c>
      <c r="B42">
        <v>8006</v>
      </c>
      <c r="C42" t="s">
        <v>2</v>
      </c>
      <c r="D42" t="s">
        <v>175</v>
      </c>
    </row>
    <row r="43" spans="1:4">
      <c r="A43" s="56" t="str">
        <f t="shared" si="6"/>
        <v>FB_REG_BUF_S.BUF.XPVX</v>
      </c>
      <c r="B43">
        <v>100</v>
      </c>
      <c r="C43" t="s">
        <v>0</v>
      </c>
      <c r="D43" t="str">
        <f>$J$2</f>
        <v>С</v>
      </c>
    </row>
    <row r="44" spans="1:4">
      <c r="A44" s="56" t="str">
        <f t="shared" si="6"/>
        <v>FB_REG_BUF_S.BUF.XPVX</v>
      </c>
      <c r="B44">
        <v>101</v>
      </c>
      <c r="C44" t="s">
        <v>0</v>
      </c>
      <c r="D44" t="str">
        <f>"Буфер: "&amp;$H$2&amp;". Регулируемый параметр"</f>
        <v>Буфер: Регулятор FB. Регулируемый параметр</v>
      </c>
    </row>
    <row r="45" spans="1:4">
      <c r="A45" s="56" t="str">
        <f t="shared" si="6"/>
        <v>FB_REG_BUF_S.BUF.XPVX</v>
      </c>
      <c r="B45">
        <v>8002</v>
      </c>
      <c r="C45" t="s">
        <v>819</v>
      </c>
      <c r="D45">
        <f>$K$2*10000</f>
        <v>10000000</v>
      </c>
    </row>
    <row r="46" spans="1:4">
      <c r="A46" s="56" t="str">
        <f t="shared" ref="A46:A51" si="7" xml:space="preserve"> $I$2&amp;".BUF.SSPX"</f>
        <v>FB_REG_BUF_S.BUF.SSPX</v>
      </c>
      <c r="B46">
        <v>1</v>
      </c>
      <c r="C46" t="s">
        <v>1</v>
      </c>
      <c r="D46">
        <v>3</v>
      </c>
    </row>
    <row r="47" spans="1:4">
      <c r="A47" s="56" t="str">
        <f t="shared" si="7"/>
        <v>FB_REG_BUF_S.BUF.SSPX</v>
      </c>
      <c r="B47">
        <v>8001</v>
      </c>
      <c r="C47" t="s">
        <v>2</v>
      </c>
      <c r="D47" t="s">
        <v>266</v>
      </c>
    </row>
    <row r="48" spans="1:4">
      <c r="A48" s="56" t="str">
        <f t="shared" si="7"/>
        <v>FB_REG_BUF_S.BUF.SSPX</v>
      </c>
      <c r="B48">
        <v>8006</v>
      </c>
      <c r="C48" t="s">
        <v>2</v>
      </c>
      <c r="D48" t="s">
        <v>175</v>
      </c>
    </row>
    <row r="49" spans="1:4">
      <c r="A49" s="56" t="str">
        <f t="shared" si="7"/>
        <v>FB_REG_BUF_S.BUF.SSPX</v>
      </c>
      <c r="B49">
        <v>100</v>
      </c>
      <c r="C49" t="s">
        <v>0</v>
      </c>
      <c r="D49" t="str">
        <f>$J$2</f>
        <v>С</v>
      </c>
    </row>
    <row r="50" spans="1:4">
      <c r="A50" s="56" t="str">
        <f t="shared" si="7"/>
        <v>FB_REG_BUF_S.BUF.SSPX</v>
      </c>
      <c r="B50">
        <v>101</v>
      </c>
      <c r="C50" t="s">
        <v>0</v>
      </c>
      <c r="D50" t="str">
        <f>"Буфер: "&amp;$H$2&amp;". Уставка регулирования"</f>
        <v>Буфер: Регулятор FB. Уставка регулирования</v>
      </c>
    </row>
    <row r="51" spans="1:4">
      <c r="A51" s="56" t="str">
        <f t="shared" si="7"/>
        <v>FB_REG_BUF_S.BUF.SSPX</v>
      </c>
      <c r="B51">
        <v>8002</v>
      </c>
      <c r="C51" t="s">
        <v>819</v>
      </c>
      <c r="D51">
        <f>$K$2*10000</f>
        <v>10000000</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sheetPr codeName="Лист43">
    <tabColor theme="0" tint="-0.34998626667073579"/>
  </sheetPr>
  <dimension ref="A1:K11"/>
  <sheetViews>
    <sheetView workbookViewId="0">
      <selection activeCell="D2" sqref="D2:D4"/>
    </sheetView>
  </sheetViews>
  <sheetFormatPr defaultRowHeight="14.4"/>
  <cols>
    <col min="1" max="1" width="52.88671875" style="55" customWidth="1"/>
    <col min="4" max="4" width="85" customWidth="1"/>
    <col min="8" max="9" width="40.6640625" customWidth="1"/>
    <col min="10" max="10" width="28.44140625" customWidth="1"/>
    <col min="11" max="11" width="24.33203125" customWidth="1"/>
  </cols>
  <sheetData>
    <row r="1" spans="1:11">
      <c r="A1" s="57"/>
      <c r="B1" s="10"/>
      <c r="C1" s="10"/>
      <c r="D1" s="10"/>
      <c r="E1" s="10"/>
      <c r="F1" s="10"/>
      <c r="G1" s="10"/>
      <c r="H1" s="54" t="s">
        <v>269</v>
      </c>
      <c r="I1" s="54" t="s">
        <v>268</v>
      </c>
      <c r="J1" s="54" t="s">
        <v>512</v>
      </c>
      <c r="K1" s="54" t="s">
        <v>1471</v>
      </c>
    </row>
    <row r="2" spans="1:11" ht="28.8">
      <c r="A2" s="57"/>
      <c r="B2" s="10"/>
      <c r="C2" s="10"/>
      <c r="D2" s="10"/>
      <c r="E2" s="10"/>
      <c r="F2" s="10"/>
      <c r="G2" s="10"/>
      <c r="H2" s="73" t="s">
        <v>1754</v>
      </c>
      <c r="I2" s="73" t="s">
        <v>330</v>
      </c>
      <c r="J2" s="2" t="s">
        <v>248</v>
      </c>
      <c r="K2" s="2">
        <f>Настройки!M18</f>
        <v>1000</v>
      </c>
    </row>
    <row r="3" spans="1:11">
      <c r="A3" s="56" t="str">
        <f xml:space="preserve"> $I$2</f>
        <v>AI</v>
      </c>
      <c r="B3" s="4">
        <v>101</v>
      </c>
      <c r="C3" t="s">
        <v>0</v>
      </c>
      <c r="D3" t="str">
        <f>$H$2</f>
        <v>Аналоговый сигнал (уставки и ремонт в INFINITY)</v>
      </c>
    </row>
    <row r="4" spans="1:11">
      <c r="A4" s="56" t="str">
        <f t="shared" ref="A4:A9" si="0" xml:space="preserve"> $I$2&amp;".Value"</f>
        <v>AI.Value</v>
      </c>
      <c r="B4">
        <v>1</v>
      </c>
      <c r="C4" t="s">
        <v>1</v>
      </c>
      <c r="D4">
        <v>3</v>
      </c>
    </row>
    <row r="5" spans="1:11">
      <c r="A5" s="56" t="str">
        <f t="shared" si="0"/>
        <v>AI.Value</v>
      </c>
      <c r="B5">
        <v>8001</v>
      </c>
      <c r="C5" t="s">
        <v>2</v>
      </c>
      <c r="D5" t="s">
        <v>266</v>
      </c>
    </row>
    <row r="6" spans="1:11">
      <c r="A6" s="56" t="str">
        <f t="shared" si="0"/>
        <v>AI.Value</v>
      </c>
      <c r="B6">
        <v>8006</v>
      </c>
      <c r="C6" t="s">
        <v>2</v>
      </c>
      <c r="D6" t="s">
        <v>175</v>
      </c>
    </row>
    <row r="7" spans="1:11">
      <c r="A7" s="56" t="str">
        <f t="shared" si="0"/>
        <v>AI.Value</v>
      </c>
      <c r="B7">
        <v>101</v>
      </c>
      <c r="C7" t="s">
        <v>0</v>
      </c>
      <c r="D7" t="str">
        <f>$H$2</f>
        <v>Аналоговый сигнал (уставки и ремонт в INFINITY)</v>
      </c>
    </row>
    <row r="8" spans="1:11">
      <c r="A8" s="56" t="str">
        <f t="shared" si="0"/>
        <v>AI.Value</v>
      </c>
      <c r="B8">
        <v>100</v>
      </c>
      <c r="C8" t="s">
        <v>0</v>
      </c>
      <c r="D8" t="str">
        <f>$J$2</f>
        <v>C</v>
      </c>
    </row>
    <row r="9" spans="1:11">
      <c r="A9" s="56" t="str">
        <f t="shared" si="0"/>
        <v>AI.Value</v>
      </c>
      <c r="B9">
        <v>8002</v>
      </c>
      <c r="C9" t="s">
        <v>819</v>
      </c>
      <c r="D9">
        <f>$K$2*10000</f>
        <v>10000000</v>
      </c>
    </row>
    <row r="10" spans="1:11">
      <c r="A10" s="56"/>
    </row>
    <row r="11" spans="1:11">
      <c r="A11" s="56"/>
    </row>
  </sheetData>
  <pageMargins left="0.7" right="0.7" top="0.75" bottom="0.75" header="0.3" footer="0.3"/>
  <pageSetup paperSize="9" orientation="portrait"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sheetPr codeName="Лист175">
    <tabColor theme="0" tint="-0.34998626667073579"/>
  </sheetPr>
  <dimension ref="A1:K15"/>
  <sheetViews>
    <sheetView workbookViewId="0">
      <selection activeCell="D2" sqref="D2:D4"/>
    </sheetView>
  </sheetViews>
  <sheetFormatPr defaultRowHeight="14.4"/>
  <cols>
    <col min="1" max="1" width="52.88671875" style="55" customWidth="1"/>
    <col min="4" max="4" width="85" customWidth="1"/>
    <col min="8" max="9" width="40.6640625" customWidth="1"/>
    <col min="10" max="10" width="28.44140625" customWidth="1"/>
    <col min="11" max="11" width="24.33203125" customWidth="1"/>
  </cols>
  <sheetData>
    <row r="1" spans="1:11">
      <c r="A1" s="57"/>
      <c r="B1" s="10"/>
      <c r="C1" s="10"/>
      <c r="D1" s="10"/>
      <c r="E1" s="10"/>
      <c r="F1" s="10"/>
      <c r="G1" s="10"/>
      <c r="H1" s="54" t="s">
        <v>269</v>
      </c>
      <c r="I1" s="54" t="s">
        <v>268</v>
      </c>
      <c r="J1" s="54" t="s">
        <v>512</v>
      </c>
      <c r="K1" s="54" t="s">
        <v>1471</v>
      </c>
    </row>
    <row r="2" spans="1:11" ht="28.8">
      <c r="A2" s="57"/>
      <c r="B2" s="10"/>
      <c r="C2" s="10"/>
      <c r="D2" s="10"/>
      <c r="E2" s="10"/>
      <c r="F2" s="10"/>
      <c r="G2" s="10"/>
      <c r="H2" s="73" t="s">
        <v>1754</v>
      </c>
      <c r="I2" s="73" t="s">
        <v>1801</v>
      </c>
      <c r="J2" s="2" t="s">
        <v>248</v>
      </c>
      <c r="K2" s="2">
        <f>Настройки!M18</f>
        <v>1000</v>
      </c>
    </row>
    <row r="3" spans="1:11">
      <c r="A3" s="56" t="str">
        <f xml:space="preserve"> $I$2</f>
        <v>AI_BUF</v>
      </c>
      <c r="B3" s="4">
        <v>101</v>
      </c>
      <c r="C3" t="s">
        <v>0</v>
      </c>
      <c r="D3" t="str">
        <f>$H$2</f>
        <v>Аналоговый сигнал (уставки и ремонт в INFINITY)</v>
      </c>
    </row>
    <row r="4" spans="1:11">
      <c r="A4" s="56" t="str">
        <f t="shared" ref="A4:A9" si="0" xml:space="preserve"> $I$2&amp;".Value"</f>
        <v>AI_BUF.Value</v>
      </c>
      <c r="B4">
        <v>1</v>
      </c>
      <c r="C4" t="s">
        <v>1</v>
      </c>
      <c r="D4">
        <v>3</v>
      </c>
    </row>
    <row r="5" spans="1:11">
      <c r="A5" s="56" t="str">
        <f t="shared" si="0"/>
        <v>AI_BUF.Value</v>
      </c>
      <c r="B5">
        <v>8001</v>
      </c>
      <c r="C5" t="s">
        <v>2</v>
      </c>
      <c r="D5" t="s">
        <v>266</v>
      </c>
    </row>
    <row r="6" spans="1:11">
      <c r="A6" s="56" t="str">
        <f t="shared" si="0"/>
        <v>AI_BUF.Value</v>
      </c>
      <c r="B6">
        <v>8006</v>
      </c>
      <c r="C6" t="s">
        <v>2</v>
      </c>
      <c r="D6" t="s">
        <v>175</v>
      </c>
    </row>
    <row r="7" spans="1:11">
      <c r="A7" s="56" t="str">
        <f t="shared" si="0"/>
        <v>AI_BUF.Value</v>
      </c>
      <c r="B7">
        <v>101</v>
      </c>
      <c r="C7" t="s">
        <v>0</v>
      </c>
      <c r="D7" t="str">
        <f>$H$2</f>
        <v>Аналоговый сигнал (уставки и ремонт в INFINITY)</v>
      </c>
    </row>
    <row r="8" spans="1:11">
      <c r="A8" s="56" t="str">
        <f t="shared" si="0"/>
        <v>AI_BUF.Value</v>
      </c>
      <c r="B8">
        <v>100</v>
      </c>
      <c r="C8" t="s">
        <v>0</v>
      </c>
      <c r="D8" t="str">
        <f>$J$2</f>
        <v>C</v>
      </c>
    </row>
    <row r="9" spans="1:11">
      <c r="A9" s="56" t="str">
        <f t="shared" si="0"/>
        <v>AI_BUF.Value</v>
      </c>
      <c r="B9">
        <v>8002</v>
      </c>
      <c r="C9" t="s">
        <v>819</v>
      </c>
      <c r="D9">
        <f>$K$2*10000</f>
        <v>10000000</v>
      </c>
    </row>
    <row r="10" spans="1:11">
      <c r="A10" s="56" t="str">
        <f t="shared" ref="A10:A15" si="1" xml:space="preserve"> $I$2&amp;".BUF.Value"</f>
        <v>AI_BUF.BUF.Value</v>
      </c>
      <c r="B10">
        <v>1</v>
      </c>
      <c r="C10" t="s">
        <v>1</v>
      </c>
      <c r="D10">
        <v>3</v>
      </c>
    </row>
    <row r="11" spans="1:11">
      <c r="A11" s="56" t="str">
        <f t="shared" si="1"/>
        <v>AI_BUF.BUF.Value</v>
      </c>
      <c r="B11">
        <v>8001</v>
      </c>
      <c r="C11" t="s">
        <v>2</v>
      </c>
      <c r="D11" t="s">
        <v>266</v>
      </c>
    </row>
    <row r="12" spans="1:11">
      <c r="A12" s="56" t="str">
        <f t="shared" si="1"/>
        <v>AI_BUF.BUF.Value</v>
      </c>
      <c r="B12">
        <v>8006</v>
      </c>
      <c r="C12" t="s">
        <v>2</v>
      </c>
      <c r="D12" t="s">
        <v>175</v>
      </c>
    </row>
    <row r="13" spans="1:11">
      <c r="A13" s="56" t="str">
        <f t="shared" si="1"/>
        <v>AI_BUF.BUF.Value</v>
      </c>
      <c r="B13">
        <v>101</v>
      </c>
      <c r="C13" t="s">
        <v>0</v>
      </c>
      <c r="D13" t="str">
        <f>"Буфер: "&amp;$H$2</f>
        <v>Буфер: Аналоговый сигнал (уставки и ремонт в INFINITY)</v>
      </c>
    </row>
    <row r="14" spans="1:11">
      <c r="A14" s="56" t="str">
        <f t="shared" si="1"/>
        <v>AI_BUF.BUF.Value</v>
      </c>
      <c r="B14">
        <v>100</v>
      </c>
      <c r="C14" t="s">
        <v>0</v>
      </c>
      <c r="D14" t="str">
        <f>$J$2</f>
        <v>C</v>
      </c>
    </row>
    <row r="15" spans="1:11">
      <c r="A15" s="56" t="str">
        <f t="shared" si="1"/>
        <v>AI_BUF.BUF.Value</v>
      </c>
      <c r="B15">
        <v>8002</v>
      </c>
      <c r="C15" t="s">
        <v>819</v>
      </c>
      <c r="D15">
        <f>$K$2*10000</f>
        <v>10000000</v>
      </c>
    </row>
  </sheetData>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sheetPr codeName="Лист153">
    <tabColor theme="0" tint="-0.34998626667073579"/>
  </sheetPr>
  <dimension ref="A1:K10"/>
  <sheetViews>
    <sheetView workbookViewId="0">
      <selection activeCell="D2" sqref="D2:D4"/>
    </sheetView>
  </sheetViews>
  <sheetFormatPr defaultRowHeight="14.4"/>
  <cols>
    <col min="1" max="1" width="52.88671875" style="55" customWidth="1"/>
    <col min="4" max="4" width="85" customWidth="1"/>
    <col min="8" max="9" width="40.6640625" customWidth="1"/>
    <col min="10" max="10" width="28.44140625" customWidth="1"/>
    <col min="11" max="11" width="24.33203125" customWidth="1"/>
  </cols>
  <sheetData>
    <row r="1" spans="1:11">
      <c r="A1" s="57"/>
      <c r="B1" s="10"/>
      <c r="C1" s="10"/>
      <c r="D1" s="10"/>
      <c r="E1" s="10"/>
      <c r="F1" s="10"/>
      <c r="G1" s="10"/>
      <c r="H1" s="54" t="s">
        <v>269</v>
      </c>
      <c r="I1" s="54" t="s">
        <v>268</v>
      </c>
      <c r="J1" s="54" t="s">
        <v>512</v>
      </c>
      <c r="K1" s="54" t="s">
        <v>1471</v>
      </c>
    </row>
    <row r="2" spans="1:11" ht="28.8">
      <c r="A2" s="57"/>
      <c r="B2" s="10"/>
      <c r="C2" s="10"/>
      <c r="D2" s="10"/>
      <c r="E2" s="10"/>
      <c r="F2" s="10"/>
      <c r="G2" s="10"/>
      <c r="H2" s="73" t="s">
        <v>1755</v>
      </c>
      <c r="I2" s="73" t="s">
        <v>1744</v>
      </c>
      <c r="J2" s="2" t="s">
        <v>248</v>
      </c>
      <c r="K2" s="2">
        <f>Настройки!M18</f>
        <v>1000</v>
      </c>
    </row>
    <row r="3" spans="1:11">
      <c r="A3" s="56" t="str">
        <f xml:space="preserve"> $I$2</f>
        <v>AI_SLIM</v>
      </c>
      <c r="B3" s="4">
        <v>101</v>
      </c>
      <c r="C3" t="s">
        <v>0</v>
      </c>
      <c r="D3" t="str">
        <f>$H$2</f>
        <v>Аналоговый сигнал облегченный (только один сигнал)</v>
      </c>
    </row>
    <row r="4" spans="1:11">
      <c r="A4" s="56" t="str">
        <f t="shared" ref="A4:A8" si="0" xml:space="preserve"> $I$2</f>
        <v>AI_SLIM</v>
      </c>
      <c r="B4">
        <v>1</v>
      </c>
      <c r="C4" t="s">
        <v>1</v>
      </c>
      <c r="D4">
        <v>3</v>
      </c>
    </row>
    <row r="5" spans="1:11">
      <c r="A5" s="56" t="str">
        <f t="shared" si="0"/>
        <v>AI_SLIM</v>
      </c>
      <c r="B5">
        <v>8001</v>
      </c>
      <c r="C5" t="s">
        <v>2</v>
      </c>
      <c r="D5" t="s">
        <v>266</v>
      </c>
    </row>
    <row r="6" spans="1:11">
      <c r="A6" s="56" t="str">
        <f t="shared" si="0"/>
        <v>AI_SLIM</v>
      </c>
      <c r="B6">
        <v>8006</v>
      </c>
      <c r="C6" t="s">
        <v>2</v>
      </c>
      <c r="D6" t="s">
        <v>175</v>
      </c>
    </row>
    <row r="7" spans="1:11">
      <c r="A7" s="56" t="str">
        <f t="shared" si="0"/>
        <v>AI_SLIM</v>
      </c>
      <c r="B7">
        <v>100</v>
      </c>
      <c r="C7" t="s">
        <v>0</v>
      </c>
      <c r="D7" t="str">
        <f>$J$2</f>
        <v>C</v>
      </c>
    </row>
    <row r="8" spans="1:11">
      <c r="A8" s="56" t="str">
        <f t="shared" si="0"/>
        <v>AI_SLIM</v>
      </c>
      <c r="B8">
        <v>8002</v>
      </c>
      <c r="C8" t="s">
        <v>819</v>
      </c>
      <c r="D8">
        <f>$K$2*10000</f>
        <v>10000000</v>
      </c>
    </row>
    <row r="9" spans="1:11">
      <c r="A9" s="56"/>
    </row>
    <row r="10" spans="1:11">
      <c r="A10" s="56"/>
    </row>
  </sheetData>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sheetPr codeName="Лист178">
    <tabColor theme="0" tint="-0.34998626667073579"/>
  </sheetPr>
  <dimension ref="A1:K14"/>
  <sheetViews>
    <sheetView workbookViewId="0">
      <selection activeCell="D2" sqref="D2:D4"/>
    </sheetView>
  </sheetViews>
  <sheetFormatPr defaultRowHeight="14.4"/>
  <cols>
    <col min="1" max="1" width="52.88671875" style="55" customWidth="1"/>
    <col min="4" max="4" width="85" customWidth="1"/>
    <col min="8" max="9" width="40.6640625" customWidth="1"/>
    <col min="10" max="10" width="28.44140625" customWidth="1"/>
    <col min="11" max="11" width="24.33203125" customWidth="1"/>
  </cols>
  <sheetData>
    <row r="1" spans="1:11">
      <c r="A1" s="57"/>
      <c r="B1" s="10"/>
      <c r="C1" s="10"/>
      <c r="D1" s="10"/>
      <c r="E1" s="10"/>
      <c r="F1" s="10"/>
      <c r="G1" s="10"/>
      <c r="H1" s="54" t="s">
        <v>269</v>
      </c>
      <c r="I1" s="54" t="s">
        <v>268</v>
      </c>
      <c r="J1" s="54" t="s">
        <v>512</v>
      </c>
      <c r="K1" s="54" t="s">
        <v>1471</v>
      </c>
    </row>
    <row r="2" spans="1:11" ht="28.8">
      <c r="A2" s="57"/>
      <c r="B2" s="10"/>
      <c r="C2" s="10"/>
      <c r="D2" s="10"/>
      <c r="E2" s="10"/>
      <c r="F2" s="10"/>
      <c r="G2" s="10"/>
      <c r="H2" s="73" t="s">
        <v>1755</v>
      </c>
      <c r="I2" s="73" t="s">
        <v>1806</v>
      </c>
      <c r="J2" s="2" t="s">
        <v>248</v>
      </c>
      <c r="K2" s="2">
        <f>Настройки!M18</f>
        <v>1000</v>
      </c>
    </row>
    <row r="3" spans="1:11">
      <c r="A3" s="56" t="str">
        <f xml:space="preserve"> $I$2</f>
        <v>AI_SLIM_BUF</v>
      </c>
      <c r="B3" s="4">
        <v>101</v>
      </c>
      <c r="C3" t="s">
        <v>0</v>
      </c>
      <c r="D3" t="str">
        <f>$H$2</f>
        <v>Аналоговый сигнал облегченный (только один сигнал)</v>
      </c>
    </row>
    <row r="4" spans="1:11">
      <c r="A4" s="56" t="str">
        <f t="shared" ref="A4:A8" si="0" xml:space="preserve"> $I$2</f>
        <v>AI_SLIM_BUF</v>
      </c>
      <c r="B4">
        <v>1</v>
      </c>
      <c r="C4" t="s">
        <v>1</v>
      </c>
      <c r="D4">
        <v>3</v>
      </c>
    </row>
    <row r="5" spans="1:11">
      <c r="A5" s="56" t="str">
        <f t="shared" si="0"/>
        <v>AI_SLIM_BUF</v>
      </c>
      <c r="B5">
        <v>8001</v>
      </c>
      <c r="C5" t="s">
        <v>2</v>
      </c>
      <c r="D5" t="s">
        <v>266</v>
      </c>
    </row>
    <row r="6" spans="1:11">
      <c r="A6" s="56" t="str">
        <f t="shared" si="0"/>
        <v>AI_SLIM_BUF</v>
      </c>
      <c r="B6">
        <v>8006</v>
      </c>
      <c r="C6" t="s">
        <v>2</v>
      </c>
      <c r="D6" t="s">
        <v>175</v>
      </c>
    </row>
    <row r="7" spans="1:11">
      <c r="A7" s="56" t="str">
        <f t="shared" si="0"/>
        <v>AI_SLIM_BUF</v>
      </c>
      <c r="B7">
        <v>100</v>
      </c>
      <c r="C7" t="s">
        <v>0</v>
      </c>
      <c r="D7" t="str">
        <f>$J$2</f>
        <v>C</v>
      </c>
    </row>
    <row r="8" spans="1:11">
      <c r="A8" s="56" t="str">
        <f t="shared" si="0"/>
        <v>AI_SLIM_BUF</v>
      </c>
      <c r="B8">
        <v>8002</v>
      </c>
      <c r="C8" t="s">
        <v>819</v>
      </c>
      <c r="D8">
        <f>$K$2*10000</f>
        <v>10000000</v>
      </c>
    </row>
    <row r="9" spans="1:11">
      <c r="A9" s="56" t="str">
        <f xml:space="preserve"> $I$2&amp;".BUF"</f>
        <v>AI_SLIM_BUF.BUF</v>
      </c>
      <c r="B9" s="4">
        <v>101</v>
      </c>
      <c r="C9" t="s">
        <v>0</v>
      </c>
      <c r="D9" t="str">
        <f>"Буфер: "&amp;$H$2</f>
        <v>Буфер: Аналоговый сигнал облегченный (только один сигнал)</v>
      </c>
    </row>
    <row r="10" spans="1:11">
      <c r="A10" s="56" t="str">
        <f t="shared" ref="A10:A14" si="1" xml:space="preserve"> $I$2&amp;".BUF"</f>
        <v>AI_SLIM_BUF.BUF</v>
      </c>
      <c r="B10">
        <v>1</v>
      </c>
      <c r="C10" t="s">
        <v>1</v>
      </c>
      <c r="D10">
        <v>3</v>
      </c>
    </row>
    <row r="11" spans="1:11">
      <c r="A11" s="56" t="str">
        <f t="shared" si="1"/>
        <v>AI_SLIM_BUF.BUF</v>
      </c>
      <c r="B11">
        <v>8001</v>
      </c>
      <c r="C11" t="s">
        <v>2</v>
      </c>
      <c r="D11" t="s">
        <v>266</v>
      </c>
    </row>
    <row r="12" spans="1:11">
      <c r="A12" s="56" t="str">
        <f t="shared" si="1"/>
        <v>AI_SLIM_BUF.BUF</v>
      </c>
      <c r="B12">
        <v>8006</v>
      </c>
      <c r="C12" t="s">
        <v>2</v>
      </c>
      <c r="D12" t="s">
        <v>175</v>
      </c>
    </row>
    <row r="13" spans="1:11">
      <c r="A13" s="56" t="str">
        <f t="shared" si="1"/>
        <v>AI_SLIM_BUF.BUF</v>
      </c>
      <c r="B13">
        <v>100</v>
      </c>
      <c r="C13" t="s">
        <v>0</v>
      </c>
      <c r="D13" t="str">
        <f>$J$2</f>
        <v>C</v>
      </c>
    </row>
    <row r="14" spans="1:11">
      <c r="A14" s="56" t="str">
        <f t="shared" si="1"/>
        <v>AI_SLIM_BUF.BUF</v>
      </c>
      <c r="B14">
        <v>8002</v>
      </c>
      <c r="C14" t="s">
        <v>819</v>
      </c>
      <c r="D14">
        <f>$K$2*10000</f>
        <v>10000000</v>
      </c>
    </row>
  </sheetData>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sheetPr codeName="Лист72">
    <tabColor theme="0" tint="-0.34998626667073579"/>
  </sheetPr>
  <dimension ref="A1:AR9"/>
  <sheetViews>
    <sheetView topLeftCell="J1" workbookViewId="0">
      <selection activeCell="D2" sqref="D2:D4"/>
    </sheetView>
  </sheetViews>
  <sheetFormatPr defaultRowHeight="14.4"/>
  <cols>
    <col min="1" max="1" width="52.88671875" style="55" customWidth="1"/>
    <col min="4" max="4" width="85" customWidth="1"/>
    <col min="8" max="9" width="40.6640625" customWidth="1"/>
    <col min="10" max="10" width="28.44140625" customWidth="1"/>
    <col min="11" max="11" width="25.44140625" customWidth="1"/>
  </cols>
  <sheetData>
    <row r="1" spans="1:44">
      <c r="A1" s="57"/>
      <c r="B1" s="10"/>
      <c r="C1" s="10"/>
      <c r="D1" s="10"/>
      <c r="E1" s="10"/>
      <c r="F1" s="10"/>
      <c r="G1" s="10"/>
      <c r="H1" s="54" t="s">
        <v>269</v>
      </c>
      <c r="I1" s="54" t="s">
        <v>268</v>
      </c>
      <c r="J1" s="54" t="s">
        <v>512</v>
      </c>
      <c r="K1" s="54" t="s">
        <v>1471</v>
      </c>
    </row>
    <row r="2" spans="1:44" ht="15" customHeight="1">
      <c r="A2" s="57"/>
      <c r="B2" s="10"/>
      <c r="C2" s="10"/>
      <c r="D2" s="10"/>
      <c r="E2" s="10"/>
      <c r="F2" s="10"/>
      <c r="G2" s="10"/>
      <c r="H2" s="73" t="s">
        <v>776</v>
      </c>
      <c r="I2" s="73" t="s">
        <v>789</v>
      </c>
      <c r="J2" s="2" t="s">
        <v>446</v>
      </c>
      <c r="K2" s="2">
        <f>Настройки!M18</f>
        <v>1000</v>
      </c>
      <c r="AO2">
        <v>0</v>
      </c>
      <c r="AQ2">
        <v>5</v>
      </c>
      <c r="AR2">
        <v>20</v>
      </c>
    </row>
    <row r="3" spans="1:44">
      <c r="A3" s="56" t="str">
        <f xml:space="preserve"> $I$2</f>
        <v>АСПС.FB_QSA_S</v>
      </c>
      <c r="B3" s="4">
        <v>101</v>
      </c>
      <c r="C3" t="s">
        <v>0</v>
      </c>
      <c r="D3" t="str">
        <f>$H$2</f>
        <v>Загазованность</v>
      </c>
    </row>
    <row r="4" spans="1:44">
      <c r="A4" s="56" t="str">
        <f t="shared" ref="A4:A9" si="0" xml:space="preserve"> $I$2&amp;".XVLX"</f>
        <v>АСПС.FB_QSA_S.XVLX</v>
      </c>
      <c r="B4">
        <v>1</v>
      </c>
      <c r="C4" t="s">
        <v>1</v>
      </c>
      <c r="D4">
        <v>3</v>
      </c>
    </row>
    <row r="5" spans="1:44">
      <c r="A5" s="56" t="str">
        <f t="shared" si="0"/>
        <v>АСПС.FB_QSA_S.XVLX</v>
      </c>
      <c r="B5">
        <v>8001</v>
      </c>
      <c r="C5" t="s">
        <v>2</v>
      </c>
      <c r="D5" t="s">
        <v>266</v>
      </c>
    </row>
    <row r="6" spans="1:44">
      <c r="A6" s="56" t="str">
        <f t="shared" si="0"/>
        <v>АСПС.FB_QSA_S.XVLX</v>
      </c>
      <c r="B6">
        <v>8006</v>
      </c>
      <c r="C6" t="s">
        <v>2</v>
      </c>
      <c r="D6" t="s">
        <v>175</v>
      </c>
    </row>
    <row r="7" spans="1:44">
      <c r="A7" s="56" t="str">
        <f t="shared" si="0"/>
        <v>АСПС.FB_QSA_S.XVLX</v>
      </c>
      <c r="B7">
        <v>101</v>
      </c>
      <c r="C7" t="s">
        <v>0</v>
      </c>
      <c r="D7" t="str">
        <f>$H$2</f>
        <v>Загазованность</v>
      </c>
    </row>
    <row r="8" spans="1:44">
      <c r="A8" s="56" t="str">
        <f t="shared" si="0"/>
        <v>АСПС.FB_QSA_S.XVLX</v>
      </c>
      <c r="B8">
        <v>100</v>
      </c>
      <c r="C8" t="s">
        <v>0</v>
      </c>
      <c r="D8" t="str">
        <f>$J$2</f>
        <v>%</v>
      </c>
    </row>
    <row r="9" spans="1:44">
      <c r="A9" s="56" t="str">
        <f t="shared" si="0"/>
        <v>АСПС.FB_QSA_S.XVLX</v>
      </c>
      <c r="B9">
        <v>8002</v>
      </c>
      <c r="C9" t="s">
        <v>819</v>
      </c>
      <c r="D9">
        <f>$K$2*10000</f>
        <v>10000000</v>
      </c>
    </row>
  </sheetData>
  <pageMargins left="0.7" right="0.7" top="0.75" bottom="0.75" header="0.3" footer="0.3"/>
  <pageSetup paperSize="9" orientation="portrait"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sheetPr codeName="Лист144">
    <tabColor theme="0" tint="-0.34998626667073579"/>
  </sheetPr>
  <dimension ref="A1:K183"/>
  <sheetViews>
    <sheetView topLeftCell="E1" zoomScale="90" zoomScaleNormal="90" workbookViewId="0">
      <selection activeCell="D2" sqref="D2:D4"/>
    </sheetView>
  </sheetViews>
  <sheetFormatPr defaultRowHeight="14.4"/>
  <cols>
    <col min="1" max="1" width="52.88671875" style="55" customWidth="1"/>
    <col min="4" max="4" width="85" customWidth="1"/>
    <col min="8" max="9" width="40.6640625" customWidth="1"/>
    <col min="10" max="10" width="28.44140625" customWidth="1"/>
    <col min="11" max="11" width="25.6640625" customWidth="1"/>
  </cols>
  <sheetData>
    <row r="1" spans="1:11">
      <c r="A1" s="57"/>
      <c r="B1" s="10"/>
      <c r="C1" s="10"/>
      <c r="D1" s="10"/>
      <c r="E1" s="10"/>
      <c r="F1" s="10"/>
      <c r="G1" s="10"/>
      <c r="H1" s="54" t="s">
        <v>269</v>
      </c>
      <c r="I1" s="54" t="s">
        <v>268</v>
      </c>
      <c r="J1" s="54" t="s">
        <v>512</v>
      </c>
      <c r="K1" s="54" t="s">
        <v>1471</v>
      </c>
    </row>
    <row r="2" spans="1:11" ht="15" customHeight="1">
      <c r="A2" s="57"/>
      <c r="B2" s="10"/>
      <c r="C2" s="10"/>
      <c r="D2" s="10"/>
      <c r="E2" s="10"/>
      <c r="F2" s="10"/>
      <c r="G2" s="10"/>
      <c r="H2" s="73" t="s">
        <v>331</v>
      </c>
      <c r="I2" s="73" t="s">
        <v>747</v>
      </c>
      <c r="J2" s="2"/>
      <c r="K2" s="2">
        <f>Настройки!M18</f>
        <v>1000</v>
      </c>
    </row>
    <row r="3" spans="1:11" ht="15" customHeight="1">
      <c r="A3" s="549" t="str">
        <f xml:space="preserve"> $I$2</f>
        <v>АСУЭ.SEPAM</v>
      </c>
      <c r="B3" s="550">
        <v>101</v>
      </c>
      <c r="C3" s="551" t="s">
        <v>0</v>
      </c>
      <c r="D3" s="552" t="str">
        <f>$H$2</f>
        <v>SEPAM</v>
      </c>
      <c r="E3" s="4"/>
      <c r="F3" s="4"/>
      <c r="G3" s="4"/>
      <c r="H3" s="239"/>
      <c r="I3" s="239"/>
    </row>
    <row r="4" spans="1:11">
      <c r="A4" s="16" t="str">
        <f t="shared" ref="A4:A9" si="0">$I$2&amp;".mCosPhi"</f>
        <v>АСУЭ.SEPAM.mCosPhi</v>
      </c>
      <c r="B4" s="17">
        <v>1</v>
      </c>
      <c r="C4" s="17" t="s">
        <v>1</v>
      </c>
      <c r="D4" s="18">
        <v>3</v>
      </c>
    </row>
    <row r="5" spans="1:11">
      <c r="A5" s="19" t="str">
        <f t="shared" si="0"/>
        <v>АСУЭ.SEPAM.mCosPhi</v>
      </c>
      <c r="B5" s="11">
        <v>8001</v>
      </c>
      <c r="C5" s="11" t="s">
        <v>2</v>
      </c>
      <c r="D5" s="20" t="s">
        <v>266</v>
      </c>
    </row>
    <row r="6" spans="1:11">
      <c r="A6" s="19" t="str">
        <f t="shared" si="0"/>
        <v>АСУЭ.SEPAM.mCosPhi</v>
      </c>
      <c r="B6" s="11">
        <v>8006</v>
      </c>
      <c r="C6" s="11" t="s">
        <v>2</v>
      </c>
      <c r="D6" s="20" t="s">
        <v>175</v>
      </c>
    </row>
    <row r="7" spans="1:11">
      <c r="A7" s="19" t="str">
        <f t="shared" si="0"/>
        <v>АСУЭ.SEPAM.mCosPhi</v>
      </c>
      <c r="B7" s="11">
        <v>101</v>
      </c>
      <c r="C7" s="11" t="s">
        <v>0</v>
      </c>
      <c r="D7" s="20" t="str">
        <f>$H$2&amp;". Косинус Phi"</f>
        <v>SEPAM. Косинус Phi</v>
      </c>
    </row>
    <row r="8" spans="1:11">
      <c r="A8" s="19" t="str">
        <f t="shared" si="0"/>
        <v>АСУЭ.SEPAM.mCosPhi</v>
      </c>
      <c r="B8" s="11">
        <v>100</v>
      </c>
      <c r="C8" s="11" t="s">
        <v>0</v>
      </c>
      <c r="D8" s="20" t="s">
        <v>446</v>
      </c>
    </row>
    <row r="9" spans="1:11">
      <c r="A9" s="21" t="str">
        <f t="shared" si="0"/>
        <v>АСУЭ.SEPAM.mCosPhi</v>
      </c>
      <c r="B9" s="8">
        <v>8002</v>
      </c>
      <c r="C9" s="8" t="s">
        <v>819</v>
      </c>
      <c r="D9" s="22">
        <f>$K$2*10000</f>
        <v>10000000</v>
      </c>
    </row>
    <row r="10" spans="1:11">
      <c r="A10" s="16" t="str">
        <f t="shared" ref="A10:A15" si="1">$I$2&amp;".mFreq"</f>
        <v>АСУЭ.SEPAM.mFreq</v>
      </c>
      <c r="B10" s="17">
        <v>1</v>
      </c>
      <c r="C10" s="17" t="s">
        <v>1</v>
      </c>
      <c r="D10" s="18">
        <v>3</v>
      </c>
    </row>
    <row r="11" spans="1:11">
      <c r="A11" s="19" t="str">
        <f t="shared" si="1"/>
        <v>АСУЭ.SEPAM.mFreq</v>
      </c>
      <c r="B11" s="11">
        <v>8001</v>
      </c>
      <c r="C11" s="11" t="s">
        <v>2</v>
      </c>
      <c r="D11" s="20" t="s">
        <v>266</v>
      </c>
    </row>
    <row r="12" spans="1:11">
      <c r="A12" s="19" t="str">
        <f t="shared" si="1"/>
        <v>АСУЭ.SEPAM.mFreq</v>
      </c>
      <c r="B12" s="11">
        <v>8006</v>
      </c>
      <c r="C12" s="11" t="s">
        <v>2</v>
      </c>
      <c r="D12" s="20" t="s">
        <v>175</v>
      </c>
    </row>
    <row r="13" spans="1:11">
      <c r="A13" s="19" t="str">
        <f t="shared" si="1"/>
        <v>АСУЭ.SEPAM.mFreq</v>
      </c>
      <c r="B13" s="11">
        <v>101</v>
      </c>
      <c r="C13" s="11" t="s">
        <v>0</v>
      </c>
      <c r="D13" s="20" t="str">
        <f>$H$2&amp;". Частота"</f>
        <v>SEPAM. Частота</v>
      </c>
    </row>
    <row r="14" spans="1:11">
      <c r="A14" s="19" t="str">
        <f t="shared" si="1"/>
        <v>АСУЭ.SEPAM.mFreq</v>
      </c>
      <c r="B14" s="11">
        <v>100</v>
      </c>
      <c r="C14" s="11" t="s">
        <v>0</v>
      </c>
      <c r="D14" s="20" t="s">
        <v>1585</v>
      </c>
    </row>
    <row r="15" spans="1:11">
      <c r="A15" s="21" t="str">
        <f t="shared" si="1"/>
        <v>АСУЭ.SEPAM.mFreq</v>
      </c>
      <c r="B15" s="8">
        <v>8002</v>
      </c>
      <c r="C15" s="8" t="s">
        <v>819</v>
      </c>
      <c r="D15" s="22">
        <f>$K$2*10000</f>
        <v>10000000</v>
      </c>
    </row>
    <row r="16" spans="1:11">
      <c r="A16" s="16" t="str">
        <f t="shared" ref="A16:A21" si="2">$I$2&amp;".mI0"</f>
        <v>АСУЭ.SEPAM.mI0</v>
      </c>
      <c r="B16" s="17">
        <v>1</v>
      </c>
      <c r="C16" s="17" t="s">
        <v>1</v>
      </c>
      <c r="D16" s="18">
        <v>3</v>
      </c>
    </row>
    <row r="17" spans="1:4">
      <c r="A17" s="19" t="str">
        <f t="shared" si="2"/>
        <v>АСУЭ.SEPAM.mI0</v>
      </c>
      <c r="B17" s="11">
        <v>8001</v>
      </c>
      <c r="C17" s="11" t="s">
        <v>2</v>
      </c>
      <c r="D17" s="20" t="s">
        <v>266</v>
      </c>
    </row>
    <row r="18" spans="1:4">
      <c r="A18" s="19" t="str">
        <f t="shared" si="2"/>
        <v>АСУЭ.SEPAM.mI0</v>
      </c>
      <c r="B18" s="11">
        <v>8006</v>
      </c>
      <c r="C18" s="11" t="s">
        <v>2</v>
      </c>
      <c r="D18" s="20" t="s">
        <v>175</v>
      </c>
    </row>
    <row r="19" spans="1:4">
      <c r="A19" s="19" t="str">
        <f t="shared" si="2"/>
        <v>АСУЭ.SEPAM.mI0</v>
      </c>
      <c r="B19" s="11">
        <v>101</v>
      </c>
      <c r="C19" s="11" t="s">
        <v>0</v>
      </c>
      <c r="D19" s="20" t="str">
        <f>$H$2&amp;". Ток нулевой последовательности"</f>
        <v>SEPAM. Ток нулевой последовательности</v>
      </c>
    </row>
    <row r="20" spans="1:4">
      <c r="A20" s="19" t="str">
        <f t="shared" si="2"/>
        <v>АСУЭ.SEPAM.mI0</v>
      </c>
      <c r="B20" s="11">
        <v>100</v>
      </c>
      <c r="C20" s="11" t="s">
        <v>0</v>
      </c>
      <c r="D20" s="20" t="s">
        <v>1192</v>
      </c>
    </row>
    <row r="21" spans="1:4">
      <c r="A21" s="21" t="str">
        <f t="shared" si="2"/>
        <v>АСУЭ.SEPAM.mI0</v>
      </c>
      <c r="B21" s="8">
        <v>8002</v>
      </c>
      <c r="C21" s="8" t="s">
        <v>819</v>
      </c>
      <c r="D21" s="22">
        <f>$K$2*10000</f>
        <v>10000000</v>
      </c>
    </row>
    <row r="22" spans="1:4">
      <c r="A22" s="16" t="str">
        <f t="shared" ref="A22:A27" si="3">$I$2&amp;".mIm1"</f>
        <v>АСУЭ.SEPAM.mIm1</v>
      </c>
      <c r="B22" s="17">
        <v>1</v>
      </c>
      <c r="C22" s="17" t="s">
        <v>1</v>
      </c>
      <c r="D22" s="18">
        <v>3</v>
      </c>
    </row>
    <row r="23" spans="1:4">
      <c r="A23" s="19" t="str">
        <f t="shared" si="3"/>
        <v>АСУЭ.SEPAM.mIm1</v>
      </c>
      <c r="B23" s="11">
        <v>8001</v>
      </c>
      <c r="C23" s="11" t="s">
        <v>2</v>
      </c>
      <c r="D23" s="20" t="s">
        <v>266</v>
      </c>
    </row>
    <row r="24" spans="1:4">
      <c r="A24" s="19" t="str">
        <f t="shared" si="3"/>
        <v>АСУЭ.SEPAM.mIm1</v>
      </c>
      <c r="B24" s="11">
        <v>8006</v>
      </c>
      <c r="C24" s="11" t="s">
        <v>2</v>
      </c>
      <c r="D24" s="20" t="s">
        <v>175</v>
      </c>
    </row>
    <row r="25" spans="1:4">
      <c r="A25" s="19" t="str">
        <f t="shared" si="3"/>
        <v>АСУЭ.SEPAM.mIm1</v>
      </c>
      <c r="B25" s="11">
        <v>101</v>
      </c>
      <c r="C25" s="11" t="s">
        <v>0</v>
      </c>
      <c r="D25" s="20" t="str">
        <f>$H$2&amp;". Среднее значение тока Ia"</f>
        <v>SEPAM. Среднее значение тока Ia</v>
      </c>
    </row>
    <row r="26" spans="1:4">
      <c r="A26" s="19" t="str">
        <f t="shared" si="3"/>
        <v>АСУЭ.SEPAM.mIm1</v>
      </c>
      <c r="B26" s="11">
        <v>100</v>
      </c>
      <c r="C26" s="11" t="s">
        <v>0</v>
      </c>
      <c r="D26" s="20" t="s">
        <v>1192</v>
      </c>
    </row>
    <row r="27" spans="1:4">
      <c r="A27" s="21" t="str">
        <f t="shared" si="3"/>
        <v>АСУЭ.SEPAM.mIm1</v>
      </c>
      <c r="B27" s="8">
        <v>8002</v>
      </c>
      <c r="C27" s="8" t="s">
        <v>819</v>
      </c>
      <c r="D27" s="22">
        <f>$K$2*10000</f>
        <v>10000000</v>
      </c>
    </row>
    <row r="28" spans="1:4">
      <c r="A28" s="16" t="str">
        <f t="shared" ref="A28:A33" si="4">$I$2&amp;".mIm2"</f>
        <v>АСУЭ.SEPAM.mIm2</v>
      </c>
      <c r="B28" s="17">
        <v>1</v>
      </c>
      <c r="C28" s="17" t="s">
        <v>1</v>
      </c>
      <c r="D28" s="18">
        <v>3</v>
      </c>
    </row>
    <row r="29" spans="1:4">
      <c r="A29" s="19" t="str">
        <f t="shared" si="4"/>
        <v>АСУЭ.SEPAM.mIm2</v>
      </c>
      <c r="B29" s="11">
        <v>8001</v>
      </c>
      <c r="C29" s="11" t="s">
        <v>2</v>
      </c>
      <c r="D29" s="20" t="s">
        <v>266</v>
      </c>
    </row>
    <row r="30" spans="1:4">
      <c r="A30" s="19" t="str">
        <f t="shared" si="4"/>
        <v>АСУЭ.SEPAM.mIm2</v>
      </c>
      <c r="B30" s="11">
        <v>8006</v>
      </c>
      <c r="C30" s="11" t="s">
        <v>2</v>
      </c>
      <c r="D30" s="20" t="s">
        <v>175</v>
      </c>
    </row>
    <row r="31" spans="1:4">
      <c r="A31" s="19" t="str">
        <f t="shared" si="4"/>
        <v>АСУЭ.SEPAM.mIm2</v>
      </c>
      <c r="B31" s="11">
        <v>101</v>
      </c>
      <c r="C31" s="11" t="s">
        <v>0</v>
      </c>
      <c r="D31" s="20" t="str">
        <f>$H$2&amp;". Среднее значение тока Ib"</f>
        <v>SEPAM. Среднее значение тока Ib</v>
      </c>
    </row>
    <row r="32" spans="1:4">
      <c r="A32" s="19" t="str">
        <f t="shared" si="4"/>
        <v>АСУЭ.SEPAM.mIm2</v>
      </c>
      <c r="B32" s="11">
        <v>100</v>
      </c>
      <c r="C32" s="11" t="s">
        <v>0</v>
      </c>
      <c r="D32" s="20" t="s">
        <v>1192</v>
      </c>
    </row>
    <row r="33" spans="1:4">
      <c r="A33" s="21" t="str">
        <f t="shared" si="4"/>
        <v>АСУЭ.SEPAM.mIm2</v>
      </c>
      <c r="B33" s="8">
        <v>8002</v>
      </c>
      <c r="C33" s="8" t="s">
        <v>819</v>
      </c>
      <c r="D33" s="22">
        <f>$K$2*10000</f>
        <v>10000000</v>
      </c>
    </row>
    <row r="34" spans="1:4">
      <c r="A34" s="16" t="str">
        <f t="shared" ref="A34:A39" si="5">$I$2&amp;".mIm3"</f>
        <v>АСУЭ.SEPAM.mIm3</v>
      </c>
      <c r="B34" s="17">
        <v>1</v>
      </c>
      <c r="C34" s="17" t="s">
        <v>1</v>
      </c>
      <c r="D34" s="18">
        <v>3</v>
      </c>
    </row>
    <row r="35" spans="1:4">
      <c r="A35" s="19" t="str">
        <f t="shared" si="5"/>
        <v>АСУЭ.SEPAM.mIm3</v>
      </c>
      <c r="B35" s="11">
        <v>8001</v>
      </c>
      <c r="C35" s="11" t="s">
        <v>2</v>
      </c>
      <c r="D35" s="20" t="s">
        <v>266</v>
      </c>
    </row>
    <row r="36" spans="1:4">
      <c r="A36" s="19" t="str">
        <f t="shared" si="5"/>
        <v>АСУЭ.SEPAM.mIm3</v>
      </c>
      <c r="B36" s="11">
        <v>8006</v>
      </c>
      <c r="C36" s="11" t="s">
        <v>2</v>
      </c>
      <c r="D36" s="20" t="s">
        <v>175</v>
      </c>
    </row>
    <row r="37" spans="1:4">
      <c r="A37" s="19" t="str">
        <f t="shared" si="5"/>
        <v>АСУЭ.SEPAM.mIm3</v>
      </c>
      <c r="B37" s="11">
        <v>101</v>
      </c>
      <c r="C37" s="11" t="s">
        <v>0</v>
      </c>
      <c r="D37" s="20" t="str">
        <f>$H$2&amp;". Среднее значение тока Ic"</f>
        <v>SEPAM. Среднее значение тока Ic</v>
      </c>
    </row>
    <row r="38" spans="1:4">
      <c r="A38" s="19" t="str">
        <f t="shared" si="5"/>
        <v>АСУЭ.SEPAM.mIm3</v>
      </c>
      <c r="B38" s="11">
        <v>100</v>
      </c>
      <c r="C38" s="11" t="s">
        <v>0</v>
      </c>
      <c r="D38" s="20" t="s">
        <v>1192</v>
      </c>
    </row>
    <row r="39" spans="1:4">
      <c r="A39" s="21" t="str">
        <f t="shared" si="5"/>
        <v>АСУЭ.SEPAM.mIm3</v>
      </c>
      <c r="B39" s="8">
        <v>8002</v>
      </c>
      <c r="C39" s="8" t="s">
        <v>819</v>
      </c>
      <c r="D39" s="22">
        <f>$K$2*10000</f>
        <v>10000000</v>
      </c>
    </row>
    <row r="40" spans="1:4">
      <c r="A40" s="16" t="str">
        <f t="shared" ref="A40:A45" si="6">$I$2&amp;".mI1"</f>
        <v>АСУЭ.SEPAM.mI1</v>
      </c>
      <c r="B40" s="17">
        <v>1</v>
      </c>
      <c r="C40" s="17" t="s">
        <v>1</v>
      </c>
      <c r="D40" s="18">
        <v>3</v>
      </c>
    </row>
    <row r="41" spans="1:4">
      <c r="A41" s="19" t="str">
        <f t="shared" si="6"/>
        <v>АСУЭ.SEPAM.mI1</v>
      </c>
      <c r="B41" s="11">
        <v>8001</v>
      </c>
      <c r="C41" s="11" t="s">
        <v>2</v>
      </c>
      <c r="D41" s="20" t="s">
        <v>266</v>
      </c>
    </row>
    <row r="42" spans="1:4">
      <c r="A42" s="19" t="str">
        <f t="shared" si="6"/>
        <v>АСУЭ.SEPAM.mI1</v>
      </c>
      <c r="B42" s="11">
        <v>8006</v>
      </c>
      <c r="C42" s="11" t="s">
        <v>2</v>
      </c>
      <c r="D42" s="20" t="s">
        <v>175</v>
      </c>
    </row>
    <row r="43" spans="1:4">
      <c r="A43" s="19" t="str">
        <f t="shared" si="6"/>
        <v>АСУЭ.SEPAM.mI1</v>
      </c>
      <c r="B43" s="11">
        <v>101</v>
      </c>
      <c r="C43" s="11" t="s">
        <v>0</v>
      </c>
      <c r="D43" s="20" t="str">
        <f>$H$2&amp;". Текущее значение тока Ia"</f>
        <v>SEPAM. Текущее значение тока Ia</v>
      </c>
    </row>
    <row r="44" spans="1:4">
      <c r="A44" s="19" t="str">
        <f t="shared" si="6"/>
        <v>АСУЭ.SEPAM.mI1</v>
      </c>
      <c r="B44" s="11">
        <v>100</v>
      </c>
      <c r="C44" s="11" t="s">
        <v>0</v>
      </c>
      <c r="D44" s="20" t="s">
        <v>1192</v>
      </c>
    </row>
    <row r="45" spans="1:4">
      <c r="A45" s="21" t="str">
        <f t="shared" si="6"/>
        <v>АСУЭ.SEPAM.mI1</v>
      </c>
      <c r="B45" s="8">
        <v>8002</v>
      </c>
      <c r="C45" s="8" t="s">
        <v>819</v>
      </c>
      <c r="D45" s="22">
        <f>$K$2*10000</f>
        <v>10000000</v>
      </c>
    </row>
    <row r="46" spans="1:4">
      <c r="A46" s="16" t="str">
        <f t="shared" ref="A46:A51" si="7">$I$2&amp;".mI2"</f>
        <v>АСУЭ.SEPAM.mI2</v>
      </c>
      <c r="B46" s="17">
        <v>1</v>
      </c>
      <c r="C46" s="17" t="s">
        <v>1</v>
      </c>
      <c r="D46" s="18">
        <v>3</v>
      </c>
    </row>
    <row r="47" spans="1:4">
      <c r="A47" s="19" t="str">
        <f t="shared" si="7"/>
        <v>АСУЭ.SEPAM.mI2</v>
      </c>
      <c r="B47" s="11">
        <v>8001</v>
      </c>
      <c r="C47" s="11" t="s">
        <v>2</v>
      </c>
      <c r="D47" s="20" t="s">
        <v>266</v>
      </c>
    </row>
    <row r="48" spans="1:4">
      <c r="A48" s="19" t="str">
        <f t="shared" si="7"/>
        <v>АСУЭ.SEPAM.mI2</v>
      </c>
      <c r="B48" s="11">
        <v>8006</v>
      </c>
      <c r="C48" s="11" t="s">
        <v>2</v>
      </c>
      <c r="D48" s="20" t="s">
        <v>175</v>
      </c>
    </row>
    <row r="49" spans="1:4">
      <c r="A49" s="19" t="str">
        <f t="shared" si="7"/>
        <v>АСУЭ.SEPAM.mI2</v>
      </c>
      <c r="B49" s="11">
        <v>101</v>
      </c>
      <c r="C49" s="11" t="s">
        <v>0</v>
      </c>
      <c r="D49" s="20" t="str">
        <f>$H$2&amp;". Текущее значение тока Ib"</f>
        <v>SEPAM. Текущее значение тока Ib</v>
      </c>
    </row>
    <row r="50" spans="1:4">
      <c r="A50" s="19" t="str">
        <f t="shared" si="7"/>
        <v>АСУЭ.SEPAM.mI2</v>
      </c>
      <c r="B50" s="11">
        <v>100</v>
      </c>
      <c r="C50" s="11" t="s">
        <v>0</v>
      </c>
      <c r="D50" s="20" t="s">
        <v>1192</v>
      </c>
    </row>
    <row r="51" spans="1:4">
      <c r="A51" s="21" t="str">
        <f t="shared" si="7"/>
        <v>АСУЭ.SEPAM.mI2</v>
      </c>
      <c r="B51" s="8">
        <v>8002</v>
      </c>
      <c r="C51" s="8" t="s">
        <v>819</v>
      </c>
      <c r="D51" s="22">
        <f>$K$2*10000</f>
        <v>10000000</v>
      </c>
    </row>
    <row r="52" spans="1:4">
      <c r="A52" s="16" t="str">
        <f t="shared" ref="A52:A57" si="8">$I$2&amp;".mI3"</f>
        <v>АСУЭ.SEPAM.mI3</v>
      </c>
      <c r="B52" s="17">
        <v>1</v>
      </c>
      <c r="C52" s="17" t="s">
        <v>1</v>
      </c>
      <c r="D52" s="18">
        <v>3</v>
      </c>
    </row>
    <row r="53" spans="1:4">
      <c r="A53" s="19" t="str">
        <f t="shared" si="8"/>
        <v>АСУЭ.SEPAM.mI3</v>
      </c>
      <c r="B53" s="11">
        <v>8001</v>
      </c>
      <c r="C53" s="11" t="s">
        <v>2</v>
      </c>
      <c r="D53" s="20" t="s">
        <v>266</v>
      </c>
    </row>
    <row r="54" spans="1:4">
      <c r="A54" s="19" t="str">
        <f t="shared" si="8"/>
        <v>АСУЭ.SEPAM.mI3</v>
      </c>
      <c r="B54" s="11">
        <v>8006</v>
      </c>
      <c r="C54" s="11" t="s">
        <v>2</v>
      </c>
      <c r="D54" s="20" t="s">
        <v>175</v>
      </c>
    </row>
    <row r="55" spans="1:4">
      <c r="A55" s="19" t="str">
        <f t="shared" si="8"/>
        <v>АСУЭ.SEPAM.mI3</v>
      </c>
      <c r="B55" s="11">
        <v>101</v>
      </c>
      <c r="C55" s="11" t="s">
        <v>0</v>
      </c>
      <c r="D55" s="20" t="str">
        <f>$H$2&amp;". Текущее значение тока Ic"</f>
        <v>SEPAM. Текущее значение тока Ic</v>
      </c>
    </row>
    <row r="56" spans="1:4">
      <c r="A56" s="19" t="str">
        <f t="shared" si="8"/>
        <v>АСУЭ.SEPAM.mI3</v>
      </c>
      <c r="B56" s="11">
        <v>100</v>
      </c>
      <c r="C56" s="11" t="s">
        <v>0</v>
      </c>
      <c r="D56" s="20" t="s">
        <v>1192</v>
      </c>
    </row>
    <row r="57" spans="1:4">
      <c r="A57" s="21" t="str">
        <f t="shared" si="8"/>
        <v>АСУЭ.SEPAM.mI3</v>
      </c>
      <c r="B57" s="8">
        <v>8002</v>
      </c>
      <c r="C57" s="8" t="s">
        <v>819</v>
      </c>
      <c r="D57" s="22">
        <f>$K$2*10000</f>
        <v>10000000</v>
      </c>
    </row>
    <row r="58" spans="1:4">
      <c r="A58" s="16" t="str">
        <f t="shared" ref="A58:A63" si="9">$I$2&amp;".mItrip1"</f>
        <v>АСУЭ.SEPAM.mItrip1</v>
      </c>
      <c r="B58" s="17">
        <v>1</v>
      </c>
      <c r="C58" s="17" t="s">
        <v>1</v>
      </c>
      <c r="D58" s="18">
        <v>3</v>
      </c>
    </row>
    <row r="59" spans="1:4">
      <c r="A59" s="19" t="str">
        <f t="shared" si="9"/>
        <v>АСУЭ.SEPAM.mItrip1</v>
      </c>
      <c r="B59" s="11">
        <v>8001</v>
      </c>
      <c r="C59" s="11" t="s">
        <v>2</v>
      </c>
      <c r="D59" s="20" t="s">
        <v>266</v>
      </c>
    </row>
    <row r="60" spans="1:4">
      <c r="A60" s="19" t="str">
        <f t="shared" si="9"/>
        <v>АСУЭ.SEPAM.mItrip1</v>
      </c>
      <c r="B60" s="11">
        <v>8006</v>
      </c>
      <c r="C60" s="11" t="s">
        <v>2</v>
      </c>
      <c r="D60" s="20" t="s">
        <v>175</v>
      </c>
    </row>
    <row r="61" spans="1:4">
      <c r="A61" s="19" t="str">
        <f t="shared" si="9"/>
        <v>АСУЭ.SEPAM.mItrip1</v>
      </c>
      <c r="B61" s="11">
        <v>101</v>
      </c>
      <c r="C61" s="11" t="s">
        <v>0</v>
      </c>
      <c r="D61" s="20" t="str">
        <f>$H$2&amp;". Ток отключения Ia"</f>
        <v>SEPAM. Ток отключения Ia</v>
      </c>
    </row>
    <row r="62" spans="1:4">
      <c r="A62" s="19" t="str">
        <f t="shared" si="9"/>
        <v>АСУЭ.SEPAM.mItrip1</v>
      </c>
      <c r="B62" s="11">
        <v>100</v>
      </c>
      <c r="C62" s="11" t="s">
        <v>0</v>
      </c>
      <c r="D62" s="20" t="s">
        <v>1192</v>
      </c>
    </row>
    <row r="63" spans="1:4">
      <c r="A63" s="21" t="str">
        <f t="shared" si="9"/>
        <v>АСУЭ.SEPAM.mItrip1</v>
      </c>
      <c r="B63" s="8">
        <v>8002</v>
      </c>
      <c r="C63" s="8" t="s">
        <v>819</v>
      </c>
      <c r="D63" s="22">
        <f>$K$2*10000</f>
        <v>10000000</v>
      </c>
    </row>
    <row r="64" spans="1:4">
      <c r="A64" s="16" t="str">
        <f t="shared" ref="A64:A69" si="10">$I$2&amp;".mItrip2"</f>
        <v>АСУЭ.SEPAM.mItrip2</v>
      </c>
      <c r="B64" s="17">
        <v>1</v>
      </c>
      <c r="C64" s="17" t="s">
        <v>1</v>
      </c>
      <c r="D64" s="18">
        <v>3</v>
      </c>
    </row>
    <row r="65" spans="1:4">
      <c r="A65" s="19" t="str">
        <f t="shared" si="10"/>
        <v>АСУЭ.SEPAM.mItrip2</v>
      </c>
      <c r="B65" s="11">
        <v>8001</v>
      </c>
      <c r="C65" s="11" t="s">
        <v>2</v>
      </c>
      <c r="D65" s="20" t="s">
        <v>266</v>
      </c>
    </row>
    <row r="66" spans="1:4">
      <c r="A66" s="19" t="str">
        <f t="shared" si="10"/>
        <v>АСУЭ.SEPAM.mItrip2</v>
      </c>
      <c r="B66" s="11">
        <v>8006</v>
      </c>
      <c r="C66" s="11" t="s">
        <v>2</v>
      </c>
      <c r="D66" s="20" t="s">
        <v>175</v>
      </c>
    </row>
    <row r="67" spans="1:4">
      <c r="A67" s="19" t="str">
        <f t="shared" si="10"/>
        <v>АСУЭ.SEPAM.mItrip2</v>
      </c>
      <c r="B67" s="11">
        <v>101</v>
      </c>
      <c r="C67" s="11" t="s">
        <v>0</v>
      </c>
      <c r="D67" s="20" t="str">
        <f>$H$2&amp;". Ток отключения Ib"</f>
        <v>SEPAM. Ток отключения Ib</v>
      </c>
    </row>
    <row r="68" spans="1:4">
      <c r="A68" s="19" t="str">
        <f t="shared" si="10"/>
        <v>АСУЭ.SEPAM.mItrip2</v>
      </c>
      <c r="B68" s="11">
        <v>100</v>
      </c>
      <c r="C68" s="11" t="s">
        <v>0</v>
      </c>
      <c r="D68" s="20" t="s">
        <v>1192</v>
      </c>
    </row>
    <row r="69" spans="1:4">
      <c r="A69" s="21" t="str">
        <f t="shared" si="10"/>
        <v>АСУЭ.SEPAM.mItrip2</v>
      </c>
      <c r="B69" s="8">
        <v>8002</v>
      </c>
      <c r="C69" s="8" t="s">
        <v>819</v>
      </c>
      <c r="D69" s="22">
        <f>$K$2*10000</f>
        <v>10000000</v>
      </c>
    </row>
    <row r="70" spans="1:4">
      <c r="A70" s="16" t="str">
        <f t="shared" ref="A70:A75" si="11">$I$2&amp;".mItrip3"</f>
        <v>АСУЭ.SEPAM.mItrip3</v>
      </c>
      <c r="B70" s="17">
        <v>1</v>
      </c>
      <c r="C70" s="17" t="s">
        <v>1</v>
      </c>
      <c r="D70" s="18">
        <v>3</v>
      </c>
    </row>
    <row r="71" spans="1:4">
      <c r="A71" s="19" t="str">
        <f t="shared" si="11"/>
        <v>АСУЭ.SEPAM.mItrip3</v>
      </c>
      <c r="B71" s="11">
        <v>8001</v>
      </c>
      <c r="C71" s="11" t="s">
        <v>2</v>
      </c>
      <c r="D71" s="20" t="s">
        <v>266</v>
      </c>
    </row>
    <row r="72" spans="1:4">
      <c r="A72" s="19" t="str">
        <f t="shared" si="11"/>
        <v>АСУЭ.SEPAM.mItrip3</v>
      </c>
      <c r="B72" s="11">
        <v>8006</v>
      </c>
      <c r="C72" s="11" t="s">
        <v>2</v>
      </c>
      <c r="D72" s="20" t="s">
        <v>175</v>
      </c>
    </row>
    <row r="73" spans="1:4">
      <c r="A73" s="19" t="str">
        <f t="shared" si="11"/>
        <v>АСУЭ.SEPAM.mItrip3</v>
      </c>
      <c r="B73" s="11">
        <v>101</v>
      </c>
      <c r="C73" s="11" t="s">
        <v>0</v>
      </c>
      <c r="D73" s="20" t="str">
        <f>$H$2&amp;". Ток отключения Ic"</f>
        <v>SEPAM. Ток отключения Ic</v>
      </c>
    </row>
    <row r="74" spans="1:4">
      <c r="A74" s="19" t="str">
        <f t="shared" si="11"/>
        <v>АСУЭ.SEPAM.mItrip3</v>
      </c>
      <c r="B74" s="11">
        <v>100</v>
      </c>
      <c r="C74" s="11" t="s">
        <v>0</v>
      </c>
      <c r="D74" s="20" t="s">
        <v>1192</v>
      </c>
    </row>
    <row r="75" spans="1:4">
      <c r="A75" s="21" t="str">
        <f t="shared" si="11"/>
        <v>АСУЭ.SEPAM.mItrip3</v>
      </c>
      <c r="B75" s="8">
        <v>8002</v>
      </c>
      <c r="C75" s="8" t="s">
        <v>819</v>
      </c>
      <c r="D75" s="22">
        <f>$K$2*10000</f>
        <v>10000000</v>
      </c>
    </row>
    <row r="76" spans="1:4">
      <c r="A76" s="16" t="str">
        <f t="shared" ref="A76:A81" si="12">$I$2&amp;".mMaxI1"</f>
        <v>АСУЭ.SEPAM.mMaxI1</v>
      </c>
      <c r="B76" s="17">
        <v>1</v>
      </c>
      <c r="C76" s="17" t="s">
        <v>1</v>
      </c>
      <c r="D76" s="18">
        <v>3</v>
      </c>
    </row>
    <row r="77" spans="1:4">
      <c r="A77" s="19" t="str">
        <f t="shared" si="12"/>
        <v>АСУЭ.SEPAM.mMaxI1</v>
      </c>
      <c r="B77" s="11">
        <v>8001</v>
      </c>
      <c r="C77" s="11" t="s">
        <v>2</v>
      </c>
      <c r="D77" s="20" t="s">
        <v>266</v>
      </c>
    </row>
    <row r="78" spans="1:4">
      <c r="A78" s="19" t="str">
        <f t="shared" si="12"/>
        <v>АСУЭ.SEPAM.mMaxI1</v>
      </c>
      <c r="B78" s="11">
        <v>8006</v>
      </c>
      <c r="C78" s="11" t="s">
        <v>2</v>
      </c>
      <c r="D78" s="20" t="s">
        <v>175</v>
      </c>
    </row>
    <row r="79" spans="1:4">
      <c r="A79" s="19" t="str">
        <f t="shared" si="12"/>
        <v>АСУЭ.SEPAM.mMaxI1</v>
      </c>
      <c r="B79" s="11">
        <v>101</v>
      </c>
      <c r="C79" s="11" t="s">
        <v>0</v>
      </c>
      <c r="D79" s="20" t="str">
        <f>$H$2&amp;". Ток максиметра Ia"</f>
        <v>SEPAM. Ток максиметра Ia</v>
      </c>
    </row>
    <row r="80" spans="1:4">
      <c r="A80" s="19" t="str">
        <f t="shared" si="12"/>
        <v>АСУЭ.SEPAM.mMaxI1</v>
      </c>
      <c r="B80" s="11">
        <v>100</v>
      </c>
      <c r="C80" s="11" t="s">
        <v>0</v>
      </c>
      <c r="D80" s="20" t="s">
        <v>1192</v>
      </c>
    </row>
    <row r="81" spans="1:4">
      <c r="A81" s="21" t="str">
        <f t="shared" si="12"/>
        <v>АСУЭ.SEPAM.mMaxI1</v>
      </c>
      <c r="B81" s="8">
        <v>8002</v>
      </c>
      <c r="C81" s="8" t="s">
        <v>819</v>
      </c>
      <c r="D81" s="22">
        <f>$K$2*10000</f>
        <v>10000000</v>
      </c>
    </row>
    <row r="82" spans="1:4">
      <c r="A82" s="16" t="str">
        <f t="shared" ref="A82:A87" si="13">$I$2&amp;".mMaxI2"</f>
        <v>АСУЭ.SEPAM.mMaxI2</v>
      </c>
      <c r="B82" s="17">
        <v>1</v>
      </c>
      <c r="C82" s="17" t="s">
        <v>1</v>
      </c>
      <c r="D82" s="18">
        <v>3</v>
      </c>
    </row>
    <row r="83" spans="1:4">
      <c r="A83" s="19" t="str">
        <f t="shared" si="13"/>
        <v>АСУЭ.SEPAM.mMaxI2</v>
      </c>
      <c r="B83" s="11">
        <v>8001</v>
      </c>
      <c r="C83" s="11" t="s">
        <v>2</v>
      </c>
      <c r="D83" s="20" t="s">
        <v>266</v>
      </c>
    </row>
    <row r="84" spans="1:4">
      <c r="A84" s="19" t="str">
        <f t="shared" si="13"/>
        <v>АСУЭ.SEPAM.mMaxI2</v>
      </c>
      <c r="B84" s="11">
        <v>8006</v>
      </c>
      <c r="C84" s="11" t="s">
        <v>2</v>
      </c>
      <c r="D84" s="20" t="s">
        <v>175</v>
      </c>
    </row>
    <row r="85" spans="1:4">
      <c r="A85" s="19" t="str">
        <f t="shared" si="13"/>
        <v>АСУЭ.SEPAM.mMaxI2</v>
      </c>
      <c r="B85" s="11">
        <v>101</v>
      </c>
      <c r="C85" s="11" t="s">
        <v>0</v>
      </c>
      <c r="D85" s="20" t="str">
        <f>$H$2&amp;". Ток максиметра Ib"</f>
        <v>SEPAM. Ток максиметра Ib</v>
      </c>
    </row>
    <row r="86" spans="1:4">
      <c r="A86" s="19" t="str">
        <f t="shared" si="13"/>
        <v>АСУЭ.SEPAM.mMaxI2</v>
      </c>
      <c r="B86" s="11">
        <v>100</v>
      </c>
      <c r="C86" s="11" t="s">
        <v>0</v>
      </c>
      <c r="D86" s="20" t="s">
        <v>1192</v>
      </c>
    </row>
    <row r="87" spans="1:4">
      <c r="A87" s="21" t="str">
        <f t="shared" si="13"/>
        <v>АСУЭ.SEPAM.mMaxI2</v>
      </c>
      <c r="B87" s="8">
        <v>8002</v>
      </c>
      <c r="C87" s="8" t="s">
        <v>819</v>
      </c>
      <c r="D87" s="22">
        <f>$K$2*10000</f>
        <v>10000000</v>
      </c>
    </row>
    <row r="88" spans="1:4">
      <c r="A88" s="16" t="str">
        <f t="shared" ref="A88:A93" si="14">$I$2&amp;".mMaxI3"</f>
        <v>АСУЭ.SEPAM.mMaxI3</v>
      </c>
      <c r="B88" s="17">
        <v>1</v>
      </c>
      <c r="C88" s="17" t="s">
        <v>1</v>
      </c>
      <c r="D88" s="18">
        <v>3</v>
      </c>
    </row>
    <row r="89" spans="1:4">
      <c r="A89" s="19" t="str">
        <f t="shared" si="14"/>
        <v>АСУЭ.SEPAM.mMaxI3</v>
      </c>
      <c r="B89" s="11">
        <v>8001</v>
      </c>
      <c r="C89" s="11" t="s">
        <v>2</v>
      </c>
      <c r="D89" s="20" t="s">
        <v>266</v>
      </c>
    </row>
    <row r="90" spans="1:4">
      <c r="A90" s="19" t="str">
        <f t="shared" si="14"/>
        <v>АСУЭ.SEPAM.mMaxI3</v>
      </c>
      <c r="B90" s="11">
        <v>8006</v>
      </c>
      <c r="C90" s="11" t="s">
        <v>2</v>
      </c>
      <c r="D90" s="20" t="s">
        <v>175</v>
      </c>
    </row>
    <row r="91" spans="1:4">
      <c r="A91" s="19" t="str">
        <f t="shared" si="14"/>
        <v>АСУЭ.SEPAM.mMaxI3</v>
      </c>
      <c r="B91" s="11">
        <v>101</v>
      </c>
      <c r="C91" s="11" t="s">
        <v>0</v>
      </c>
      <c r="D91" s="20" t="str">
        <f>$H$2&amp;". Ток максиметра Ic"</f>
        <v>SEPAM. Ток максиметра Ic</v>
      </c>
    </row>
    <row r="92" spans="1:4">
      <c r="A92" s="19" t="str">
        <f t="shared" si="14"/>
        <v>АСУЭ.SEPAM.mMaxI3</v>
      </c>
      <c r="B92" s="11">
        <v>100</v>
      </c>
      <c r="C92" s="11" t="s">
        <v>0</v>
      </c>
      <c r="D92" s="20" t="s">
        <v>1192</v>
      </c>
    </row>
    <row r="93" spans="1:4">
      <c r="A93" s="21" t="str">
        <f t="shared" si="14"/>
        <v>АСУЭ.SEPAM.mMaxI3</v>
      </c>
      <c r="B93" s="8">
        <v>8002</v>
      </c>
      <c r="C93" s="8" t="s">
        <v>819</v>
      </c>
      <c r="D93" s="22">
        <f>$K$2*10000</f>
        <v>10000000</v>
      </c>
    </row>
    <row r="94" spans="1:4">
      <c r="A94" s="16" t="str">
        <f t="shared" ref="A94:A99" si="15">$I$2&amp;".mMaxPM"</f>
        <v>АСУЭ.SEPAM.mMaxPM</v>
      </c>
      <c r="B94" s="17">
        <v>1</v>
      </c>
      <c r="C94" s="17" t="s">
        <v>1</v>
      </c>
      <c r="D94" s="18">
        <v>3</v>
      </c>
    </row>
    <row r="95" spans="1:4">
      <c r="A95" s="19" t="str">
        <f t="shared" si="15"/>
        <v>АСУЭ.SEPAM.mMaxPM</v>
      </c>
      <c r="B95" s="11">
        <v>8001</v>
      </c>
      <c r="C95" s="11" t="s">
        <v>2</v>
      </c>
      <c r="D95" s="20" t="s">
        <v>266</v>
      </c>
    </row>
    <row r="96" spans="1:4">
      <c r="A96" s="19" t="str">
        <f t="shared" si="15"/>
        <v>АСУЭ.SEPAM.mMaxPM</v>
      </c>
      <c r="B96" s="11">
        <v>8006</v>
      </c>
      <c r="C96" s="11" t="s">
        <v>2</v>
      </c>
      <c r="D96" s="20" t="s">
        <v>175</v>
      </c>
    </row>
    <row r="97" spans="1:4">
      <c r="A97" s="19" t="str">
        <f t="shared" si="15"/>
        <v>АСУЭ.SEPAM.mMaxPM</v>
      </c>
      <c r="B97" s="11">
        <v>101</v>
      </c>
      <c r="C97" s="11" t="s">
        <v>0</v>
      </c>
      <c r="D97" s="20" t="str">
        <f>$H$2&amp;". Максимальная мощность активная"</f>
        <v>SEPAM. Максимальная мощность активная</v>
      </c>
    </row>
    <row r="98" spans="1:4">
      <c r="A98" s="19" t="str">
        <f t="shared" si="15"/>
        <v>АСУЭ.SEPAM.mMaxPM</v>
      </c>
      <c r="B98" s="11">
        <v>100</v>
      </c>
      <c r="C98" s="11" t="s">
        <v>0</v>
      </c>
      <c r="D98" s="20" t="s">
        <v>1586</v>
      </c>
    </row>
    <row r="99" spans="1:4">
      <c r="A99" s="21" t="str">
        <f t="shared" si="15"/>
        <v>АСУЭ.SEPAM.mMaxPM</v>
      </c>
      <c r="B99" s="8">
        <v>8002</v>
      </c>
      <c r="C99" s="8" t="s">
        <v>819</v>
      </c>
      <c r="D99" s="22">
        <f>$K$2*10000</f>
        <v>10000000</v>
      </c>
    </row>
    <row r="100" spans="1:4">
      <c r="A100" s="16" t="str">
        <f t="shared" ref="A100:A105" si="16">$I$2&amp;".mMaxQM"</f>
        <v>АСУЭ.SEPAM.mMaxQM</v>
      </c>
      <c r="B100" s="17">
        <v>1</v>
      </c>
      <c r="C100" s="17" t="s">
        <v>1</v>
      </c>
      <c r="D100" s="18">
        <v>3</v>
      </c>
    </row>
    <row r="101" spans="1:4">
      <c r="A101" s="19" t="str">
        <f t="shared" si="16"/>
        <v>АСУЭ.SEPAM.mMaxQM</v>
      </c>
      <c r="B101" s="11">
        <v>8001</v>
      </c>
      <c r="C101" s="11" t="s">
        <v>2</v>
      </c>
      <c r="D101" s="20" t="s">
        <v>266</v>
      </c>
    </row>
    <row r="102" spans="1:4">
      <c r="A102" s="19" t="str">
        <f t="shared" si="16"/>
        <v>АСУЭ.SEPAM.mMaxQM</v>
      </c>
      <c r="B102" s="11">
        <v>8006</v>
      </c>
      <c r="C102" s="11" t="s">
        <v>2</v>
      </c>
      <c r="D102" s="20" t="s">
        <v>175</v>
      </c>
    </row>
    <row r="103" spans="1:4">
      <c r="A103" s="19" t="str">
        <f t="shared" si="16"/>
        <v>АСУЭ.SEPAM.mMaxQM</v>
      </c>
      <c r="B103" s="11">
        <v>101</v>
      </c>
      <c r="C103" s="11" t="s">
        <v>0</v>
      </c>
      <c r="D103" s="20" t="str">
        <f>$H$2&amp;". Максимальная мощность реактивная"</f>
        <v>SEPAM. Максимальная мощность реактивная</v>
      </c>
    </row>
    <row r="104" spans="1:4">
      <c r="A104" s="19" t="str">
        <f t="shared" si="16"/>
        <v>АСУЭ.SEPAM.mMaxQM</v>
      </c>
      <c r="B104" s="11">
        <v>100</v>
      </c>
      <c r="C104" s="11" t="s">
        <v>0</v>
      </c>
      <c r="D104" s="20" t="s">
        <v>1587</v>
      </c>
    </row>
    <row r="105" spans="1:4">
      <c r="A105" s="21" t="str">
        <f t="shared" si="16"/>
        <v>АСУЭ.SEPAM.mMaxQM</v>
      </c>
      <c r="B105" s="8">
        <v>8002</v>
      </c>
      <c r="C105" s="8" t="s">
        <v>819</v>
      </c>
      <c r="D105" s="22">
        <f>$K$2*10000</f>
        <v>10000000</v>
      </c>
    </row>
    <row r="106" spans="1:4">
      <c r="A106" s="16" t="str">
        <f t="shared" ref="A106:A111" si="17">$I$2&amp;".mVi"</f>
        <v>АСУЭ.SEPAM.mVi</v>
      </c>
      <c r="B106" s="17">
        <v>1</v>
      </c>
      <c r="C106" s="17" t="s">
        <v>1</v>
      </c>
      <c r="D106" s="18">
        <v>3</v>
      </c>
    </row>
    <row r="107" spans="1:4">
      <c r="A107" s="19" t="str">
        <f t="shared" si="17"/>
        <v>АСУЭ.SEPAM.mVi</v>
      </c>
      <c r="B107" s="11">
        <v>8001</v>
      </c>
      <c r="C107" s="11" t="s">
        <v>2</v>
      </c>
      <c r="D107" s="20" t="s">
        <v>266</v>
      </c>
    </row>
    <row r="108" spans="1:4">
      <c r="A108" s="19" t="str">
        <f t="shared" si="17"/>
        <v>АСУЭ.SEPAM.mVi</v>
      </c>
      <c r="B108" s="11">
        <v>8006</v>
      </c>
      <c r="C108" s="11" t="s">
        <v>2</v>
      </c>
      <c r="D108" s="20" t="s">
        <v>175</v>
      </c>
    </row>
    <row r="109" spans="1:4">
      <c r="A109" s="19" t="str">
        <f t="shared" si="17"/>
        <v>АСУЭ.SEPAM.mVi</v>
      </c>
      <c r="B109" s="11">
        <v>101</v>
      </c>
      <c r="C109" s="11" t="s">
        <v>0</v>
      </c>
      <c r="D109" s="20" t="str">
        <f>$H$2&amp;". Напряжение обр. посл-ти"</f>
        <v>SEPAM. Напряжение обр. посл-ти</v>
      </c>
    </row>
    <row r="110" spans="1:4">
      <c r="A110" s="19" t="str">
        <f t="shared" si="17"/>
        <v>АСУЭ.SEPAM.mVi</v>
      </c>
      <c r="B110" s="11">
        <v>100</v>
      </c>
      <c r="C110" s="11" t="s">
        <v>0</v>
      </c>
      <c r="D110" s="20" t="s">
        <v>1588</v>
      </c>
    </row>
    <row r="111" spans="1:4">
      <c r="A111" s="21" t="str">
        <f t="shared" si="17"/>
        <v>АСУЭ.SEPAM.mVi</v>
      </c>
      <c r="B111" s="8">
        <v>8002</v>
      </c>
      <c r="C111" s="8" t="s">
        <v>819</v>
      </c>
      <c r="D111" s="22">
        <f>$K$2*10000</f>
        <v>10000000</v>
      </c>
    </row>
    <row r="112" spans="1:4">
      <c r="A112" s="16" t="str">
        <f t="shared" ref="A112:A117" si="18">$I$2&amp;".mVo"</f>
        <v>АСУЭ.SEPAM.mVo</v>
      </c>
      <c r="B112" s="17">
        <v>1</v>
      </c>
      <c r="C112" s="17" t="s">
        <v>1</v>
      </c>
      <c r="D112" s="18">
        <v>3</v>
      </c>
    </row>
    <row r="113" spans="1:4">
      <c r="A113" s="19" t="str">
        <f t="shared" si="18"/>
        <v>АСУЭ.SEPAM.mVo</v>
      </c>
      <c r="B113" s="11">
        <v>8001</v>
      </c>
      <c r="C113" s="11" t="s">
        <v>2</v>
      </c>
      <c r="D113" s="20" t="s">
        <v>266</v>
      </c>
    </row>
    <row r="114" spans="1:4">
      <c r="A114" s="19" t="str">
        <f t="shared" si="18"/>
        <v>АСУЭ.SEPAM.mVo</v>
      </c>
      <c r="B114" s="11">
        <v>8006</v>
      </c>
      <c r="C114" s="11" t="s">
        <v>2</v>
      </c>
      <c r="D114" s="20" t="s">
        <v>175</v>
      </c>
    </row>
    <row r="115" spans="1:4">
      <c r="A115" s="19" t="str">
        <f t="shared" si="18"/>
        <v>АСУЭ.SEPAM.mVo</v>
      </c>
      <c r="B115" s="11">
        <v>101</v>
      </c>
      <c r="C115" s="11" t="s">
        <v>0</v>
      </c>
      <c r="D115" s="20" t="str">
        <f>$H$2&amp;". Напряжение 0-ой посл-ти"</f>
        <v>SEPAM. Напряжение 0-ой посл-ти</v>
      </c>
    </row>
    <row r="116" spans="1:4">
      <c r="A116" s="19" t="str">
        <f t="shared" si="18"/>
        <v>АСУЭ.SEPAM.mVo</v>
      </c>
      <c r="B116" s="11">
        <v>100</v>
      </c>
      <c r="C116" s="11" t="s">
        <v>0</v>
      </c>
      <c r="D116" s="20" t="s">
        <v>1588</v>
      </c>
    </row>
    <row r="117" spans="1:4">
      <c r="A117" s="21" t="str">
        <f t="shared" si="18"/>
        <v>АСУЭ.SEPAM.mVo</v>
      </c>
      <c r="B117" s="8">
        <v>8002</v>
      </c>
      <c r="C117" s="8" t="s">
        <v>819</v>
      </c>
      <c r="D117" s="22">
        <f>$K$2*10000</f>
        <v>10000000</v>
      </c>
    </row>
    <row r="118" spans="1:4">
      <c r="A118" s="16" t="str">
        <f t="shared" ref="A118:A123" si="19">$I$2&amp;".mVd"</f>
        <v>АСУЭ.SEPAM.mVd</v>
      </c>
      <c r="B118" s="17">
        <v>1</v>
      </c>
      <c r="C118" s="17" t="s">
        <v>1</v>
      </c>
      <c r="D118" s="18">
        <v>3</v>
      </c>
    </row>
    <row r="119" spans="1:4">
      <c r="A119" s="19" t="str">
        <f t="shared" si="19"/>
        <v>АСУЭ.SEPAM.mVd</v>
      </c>
      <c r="B119" s="11">
        <v>8001</v>
      </c>
      <c r="C119" s="11" t="s">
        <v>2</v>
      </c>
      <c r="D119" s="20" t="s">
        <v>266</v>
      </c>
    </row>
    <row r="120" spans="1:4">
      <c r="A120" s="19" t="str">
        <f t="shared" si="19"/>
        <v>АСУЭ.SEPAM.mVd</v>
      </c>
      <c r="B120" s="11">
        <v>8006</v>
      </c>
      <c r="C120" s="11" t="s">
        <v>2</v>
      </c>
      <c r="D120" s="20" t="s">
        <v>175</v>
      </c>
    </row>
    <row r="121" spans="1:4">
      <c r="A121" s="19" t="str">
        <f t="shared" si="19"/>
        <v>АСУЭ.SEPAM.mVd</v>
      </c>
      <c r="B121" s="11">
        <v>101</v>
      </c>
      <c r="C121" s="11" t="s">
        <v>0</v>
      </c>
      <c r="D121" s="20" t="str">
        <f>$H$2&amp;". Напряжение прям. посл-ти"</f>
        <v>SEPAM. Напряжение прям. посл-ти</v>
      </c>
    </row>
    <row r="122" spans="1:4">
      <c r="A122" s="19" t="str">
        <f t="shared" si="19"/>
        <v>АСУЭ.SEPAM.mVd</v>
      </c>
      <c r="B122" s="11">
        <v>100</v>
      </c>
      <c r="C122" s="11" t="s">
        <v>0</v>
      </c>
      <c r="D122" s="20" t="s">
        <v>1588</v>
      </c>
    </row>
    <row r="123" spans="1:4">
      <c r="A123" s="21" t="str">
        <f t="shared" si="19"/>
        <v>АСУЭ.SEPAM.mVd</v>
      </c>
      <c r="B123" s="8">
        <v>8002</v>
      </c>
      <c r="C123" s="8" t="s">
        <v>819</v>
      </c>
      <c r="D123" s="22">
        <f>$K$2*10000</f>
        <v>10000000</v>
      </c>
    </row>
    <row r="124" spans="1:4">
      <c r="A124" s="16" t="str">
        <f t="shared" ref="A124:A129" si="20">$I$2&amp;".mP"</f>
        <v>АСУЭ.SEPAM.mP</v>
      </c>
      <c r="B124" s="17">
        <v>1</v>
      </c>
      <c r="C124" s="17" t="s">
        <v>1</v>
      </c>
      <c r="D124" s="18">
        <v>3</v>
      </c>
    </row>
    <row r="125" spans="1:4">
      <c r="A125" s="19" t="str">
        <f t="shared" si="20"/>
        <v>АСУЭ.SEPAM.mP</v>
      </c>
      <c r="B125" s="11">
        <v>8001</v>
      </c>
      <c r="C125" s="11" t="s">
        <v>2</v>
      </c>
      <c r="D125" s="20" t="s">
        <v>266</v>
      </c>
    </row>
    <row r="126" spans="1:4">
      <c r="A126" s="19" t="str">
        <f t="shared" si="20"/>
        <v>АСУЭ.SEPAM.mP</v>
      </c>
      <c r="B126" s="11">
        <v>8006</v>
      </c>
      <c r="C126" s="11" t="s">
        <v>2</v>
      </c>
      <c r="D126" s="20" t="s">
        <v>175</v>
      </c>
    </row>
    <row r="127" spans="1:4">
      <c r="A127" s="19" t="str">
        <f t="shared" si="20"/>
        <v>АСУЭ.SEPAM.mP</v>
      </c>
      <c r="B127" s="11">
        <v>101</v>
      </c>
      <c r="C127" s="11" t="s">
        <v>0</v>
      </c>
      <c r="D127" s="20" t="str">
        <f>$H$2&amp;". Мощность активная"</f>
        <v>SEPAM. Мощность активная</v>
      </c>
    </row>
    <row r="128" spans="1:4">
      <c r="A128" s="19" t="str">
        <f t="shared" si="20"/>
        <v>АСУЭ.SEPAM.mP</v>
      </c>
      <c r="B128" s="11">
        <v>100</v>
      </c>
      <c r="C128" s="11" t="s">
        <v>0</v>
      </c>
      <c r="D128" s="20" t="s">
        <v>1586</v>
      </c>
    </row>
    <row r="129" spans="1:4">
      <c r="A129" s="21" t="str">
        <f t="shared" si="20"/>
        <v>АСУЭ.SEPAM.mP</v>
      </c>
      <c r="B129" s="8">
        <v>8002</v>
      </c>
      <c r="C129" s="8" t="s">
        <v>819</v>
      </c>
      <c r="D129" s="22">
        <f>$K$2*10000</f>
        <v>10000000</v>
      </c>
    </row>
    <row r="130" spans="1:4">
      <c r="A130" s="16" t="str">
        <f t="shared" ref="A130:A135" si="21">$I$2&amp;".mQ"</f>
        <v>АСУЭ.SEPAM.mQ</v>
      </c>
      <c r="B130" s="17">
        <v>1</v>
      </c>
      <c r="C130" s="17" t="s">
        <v>1</v>
      </c>
      <c r="D130" s="18">
        <v>3</v>
      </c>
    </row>
    <row r="131" spans="1:4">
      <c r="A131" s="19" t="str">
        <f t="shared" si="21"/>
        <v>АСУЭ.SEPAM.mQ</v>
      </c>
      <c r="B131" s="11">
        <v>8001</v>
      </c>
      <c r="C131" s="11" t="s">
        <v>2</v>
      </c>
      <c r="D131" s="20" t="s">
        <v>266</v>
      </c>
    </row>
    <row r="132" spans="1:4">
      <c r="A132" s="19" t="str">
        <f t="shared" si="21"/>
        <v>АСУЭ.SEPAM.mQ</v>
      </c>
      <c r="B132" s="11">
        <v>8006</v>
      </c>
      <c r="C132" s="11" t="s">
        <v>2</v>
      </c>
      <c r="D132" s="20" t="s">
        <v>175</v>
      </c>
    </row>
    <row r="133" spans="1:4">
      <c r="A133" s="19" t="str">
        <f t="shared" si="21"/>
        <v>АСУЭ.SEPAM.mQ</v>
      </c>
      <c r="B133" s="11">
        <v>101</v>
      </c>
      <c r="C133" s="11" t="s">
        <v>0</v>
      </c>
      <c r="D133" s="20" t="str">
        <f>$H$2&amp;". Мощность реактивная"</f>
        <v>SEPAM. Мощность реактивная</v>
      </c>
    </row>
    <row r="134" spans="1:4">
      <c r="A134" s="19" t="str">
        <f t="shared" si="21"/>
        <v>АСУЭ.SEPAM.mQ</v>
      </c>
      <c r="B134" s="11">
        <v>100</v>
      </c>
      <c r="C134" s="11" t="s">
        <v>0</v>
      </c>
      <c r="D134" s="20" t="s">
        <v>1587</v>
      </c>
    </row>
    <row r="135" spans="1:4">
      <c r="A135" s="21" t="str">
        <f t="shared" si="21"/>
        <v>АСУЭ.SEPAM.mQ</v>
      </c>
      <c r="B135" s="8">
        <v>8002</v>
      </c>
      <c r="C135" s="8" t="s">
        <v>819</v>
      </c>
      <c r="D135" s="22">
        <f>$K$2*10000</f>
        <v>10000000</v>
      </c>
    </row>
    <row r="136" spans="1:4">
      <c r="A136" s="16" t="str">
        <f t="shared" ref="A136:A141" si="22">$I$2&amp;".mS"</f>
        <v>АСУЭ.SEPAM.mS</v>
      </c>
      <c r="B136" s="17">
        <v>1</v>
      </c>
      <c r="C136" s="17" t="s">
        <v>1</v>
      </c>
      <c r="D136" s="18">
        <v>3</v>
      </c>
    </row>
    <row r="137" spans="1:4">
      <c r="A137" s="19" t="str">
        <f t="shared" si="22"/>
        <v>АСУЭ.SEPAM.mS</v>
      </c>
      <c r="B137" s="11">
        <v>8001</v>
      </c>
      <c r="C137" s="11" t="s">
        <v>2</v>
      </c>
      <c r="D137" s="20" t="s">
        <v>266</v>
      </c>
    </row>
    <row r="138" spans="1:4">
      <c r="A138" s="19" t="str">
        <f t="shared" si="22"/>
        <v>АСУЭ.SEPAM.mS</v>
      </c>
      <c r="B138" s="11">
        <v>8006</v>
      </c>
      <c r="C138" s="11" t="s">
        <v>2</v>
      </c>
      <c r="D138" s="20" t="s">
        <v>175</v>
      </c>
    </row>
    <row r="139" spans="1:4">
      <c r="A139" s="19" t="str">
        <f t="shared" si="22"/>
        <v>АСУЭ.SEPAM.mS</v>
      </c>
      <c r="B139" s="11">
        <v>101</v>
      </c>
      <c r="C139" s="11" t="s">
        <v>0</v>
      </c>
      <c r="D139" s="20" t="str">
        <f>$H$2&amp;". Мощность полная"</f>
        <v>SEPAM. Мощность полная</v>
      </c>
    </row>
    <row r="140" spans="1:4">
      <c r="A140" s="19" t="str">
        <f t="shared" si="22"/>
        <v>АСУЭ.SEPAM.mS</v>
      </c>
      <c r="B140" s="11">
        <v>100</v>
      </c>
      <c r="C140" s="11" t="s">
        <v>0</v>
      </c>
      <c r="D140" s="20" t="s">
        <v>1589</v>
      </c>
    </row>
    <row r="141" spans="1:4">
      <c r="A141" s="21" t="str">
        <f t="shared" si="22"/>
        <v>АСУЭ.SEPAM.mS</v>
      </c>
      <c r="B141" s="8">
        <v>8002</v>
      </c>
      <c r="C141" s="8" t="s">
        <v>819</v>
      </c>
      <c r="D141" s="22">
        <f>$K$2*10000</f>
        <v>10000000</v>
      </c>
    </row>
    <row r="142" spans="1:4">
      <c r="A142" s="16" t="str">
        <f t="shared" ref="A142:A147" si="23">$I$2&amp;".mU13"</f>
        <v>АСУЭ.SEPAM.mU13</v>
      </c>
      <c r="B142" s="17">
        <v>1</v>
      </c>
      <c r="C142" s="17" t="s">
        <v>1</v>
      </c>
      <c r="D142" s="18">
        <v>3</v>
      </c>
    </row>
    <row r="143" spans="1:4">
      <c r="A143" s="19" t="str">
        <f t="shared" si="23"/>
        <v>АСУЭ.SEPAM.mU13</v>
      </c>
      <c r="B143" s="11">
        <v>8001</v>
      </c>
      <c r="C143" s="11" t="s">
        <v>2</v>
      </c>
      <c r="D143" s="20" t="s">
        <v>266</v>
      </c>
    </row>
    <row r="144" spans="1:4">
      <c r="A144" s="19" t="str">
        <f t="shared" si="23"/>
        <v>АСУЭ.SEPAM.mU13</v>
      </c>
      <c r="B144" s="11">
        <v>8006</v>
      </c>
      <c r="C144" s="11" t="s">
        <v>2</v>
      </c>
      <c r="D144" s="20" t="s">
        <v>175</v>
      </c>
    </row>
    <row r="145" spans="1:4">
      <c r="A145" s="19" t="str">
        <f t="shared" si="23"/>
        <v>АСУЭ.SEPAM.mU13</v>
      </c>
      <c r="B145" s="11">
        <v>101</v>
      </c>
      <c r="C145" s="11" t="s">
        <v>0</v>
      </c>
      <c r="D145" s="20" t="str">
        <f>$H$2&amp;". Линейное напряжение U13"</f>
        <v>SEPAM. Линейное напряжение U13</v>
      </c>
    </row>
    <row r="146" spans="1:4">
      <c r="A146" s="19" t="str">
        <f t="shared" si="23"/>
        <v>АСУЭ.SEPAM.mU13</v>
      </c>
      <c r="B146" s="11">
        <v>100</v>
      </c>
      <c r="C146" s="11" t="s">
        <v>0</v>
      </c>
      <c r="D146" s="20" t="s">
        <v>1588</v>
      </c>
    </row>
    <row r="147" spans="1:4">
      <c r="A147" s="21" t="str">
        <f t="shared" si="23"/>
        <v>АСУЭ.SEPAM.mU13</v>
      </c>
      <c r="B147" s="8">
        <v>8002</v>
      </c>
      <c r="C147" s="8" t="s">
        <v>819</v>
      </c>
      <c r="D147" s="22">
        <f>$K$2*10000</f>
        <v>10000000</v>
      </c>
    </row>
    <row r="148" spans="1:4">
      <c r="A148" s="16" t="str">
        <f t="shared" ref="A148:A153" si="24">$I$2&amp;".mU21"</f>
        <v>АСУЭ.SEPAM.mU21</v>
      </c>
      <c r="B148" s="17">
        <v>1</v>
      </c>
      <c r="C148" s="17" t="s">
        <v>1</v>
      </c>
      <c r="D148" s="18">
        <v>3</v>
      </c>
    </row>
    <row r="149" spans="1:4">
      <c r="A149" s="19" t="str">
        <f t="shared" si="24"/>
        <v>АСУЭ.SEPAM.mU21</v>
      </c>
      <c r="B149" s="11">
        <v>8001</v>
      </c>
      <c r="C149" s="11" t="s">
        <v>2</v>
      </c>
      <c r="D149" s="20" t="s">
        <v>266</v>
      </c>
    </row>
    <row r="150" spans="1:4">
      <c r="A150" s="19" t="str">
        <f t="shared" si="24"/>
        <v>АСУЭ.SEPAM.mU21</v>
      </c>
      <c r="B150" s="11">
        <v>8006</v>
      </c>
      <c r="C150" s="11" t="s">
        <v>2</v>
      </c>
      <c r="D150" s="20" t="s">
        <v>175</v>
      </c>
    </row>
    <row r="151" spans="1:4">
      <c r="A151" s="19" t="str">
        <f t="shared" si="24"/>
        <v>АСУЭ.SEPAM.mU21</v>
      </c>
      <c r="B151" s="11">
        <v>101</v>
      </c>
      <c r="C151" s="11" t="s">
        <v>0</v>
      </c>
      <c r="D151" s="20" t="str">
        <f>$H$2&amp;". Линейное напряжение U21"</f>
        <v>SEPAM. Линейное напряжение U21</v>
      </c>
    </row>
    <row r="152" spans="1:4">
      <c r="A152" s="19" t="str">
        <f t="shared" si="24"/>
        <v>АСУЭ.SEPAM.mU21</v>
      </c>
      <c r="B152" s="11">
        <v>100</v>
      </c>
      <c r="C152" s="11" t="s">
        <v>0</v>
      </c>
      <c r="D152" s="20" t="s">
        <v>1588</v>
      </c>
    </row>
    <row r="153" spans="1:4">
      <c r="A153" s="21" t="str">
        <f t="shared" si="24"/>
        <v>АСУЭ.SEPAM.mU21</v>
      </c>
      <c r="B153" s="8">
        <v>8002</v>
      </c>
      <c r="C153" s="8" t="s">
        <v>819</v>
      </c>
      <c r="D153" s="22">
        <f>$K$2*10000</f>
        <v>10000000</v>
      </c>
    </row>
    <row r="154" spans="1:4">
      <c r="A154" s="16" t="str">
        <f t="shared" ref="A154:A159" si="25">$I$2&amp;".mU32"</f>
        <v>АСУЭ.SEPAM.mU32</v>
      </c>
      <c r="B154" s="17">
        <v>1</v>
      </c>
      <c r="C154" s="17" t="s">
        <v>1</v>
      </c>
      <c r="D154" s="18">
        <v>3</v>
      </c>
    </row>
    <row r="155" spans="1:4">
      <c r="A155" s="19" t="str">
        <f t="shared" si="25"/>
        <v>АСУЭ.SEPAM.mU32</v>
      </c>
      <c r="B155" s="11">
        <v>8001</v>
      </c>
      <c r="C155" s="11" t="s">
        <v>2</v>
      </c>
      <c r="D155" s="20" t="s">
        <v>266</v>
      </c>
    </row>
    <row r="156" spans="1:4">
      <c r="A156" s="19" t="str">
        <f t="shared" si="25"/>
        <v>АСУЭ.SEPAM.mU32</v>
      </c>
      <c r="B156" s="11">
        <v>8006</v>
      </c>
      <c r="C156" s="11" t="s">
        <v>2</v>
      </c>
      <c r="D156" s="20" t="s">
        <v>175</v>
      </c>
    </row>
    <row r="157" spans="1:4">
      <c r="A157" s="19" t="str">
        <f t="shared" si="25"/>
        <v>АСУЭ.SEPAM.mU32</v>
      </c>
      <c r="B157" s="11">
        <v>101</v>
      </c>
      <c r="C157" s="11" t="s">
        <v>0</v>
      </c>
      <c r="D157" s="20" t="str">
        <f>$H$2&amp;". Линейное напряжение U32"</f>
        <v>SEPAM. Линейное напряжение U32</v>
      </c>
    </row>
    <row r="158" spans="1:4">
      <c r="A158" s="19" t="str">
        <f t="shared" si="25"/>
        <v>АСУЭ.SEPAM.mU32</v>
      </c>
      <c r="B158" s="11">
        <v>100</v>
      </c>
      <c r="C158" s="11" t="s">
        <v>0</v>
      </c>
      <c r="D158" s="20" t="s">
        <v>1588</v>
      </c>
    </row>
    <row r="159" spans="1:4">
      <c r="A159" s="21" t="str">
        <f t="shared" si="25"/>
        <v>АСУЭ.SEPAM.mU32</v>
      </c>
      <c r="B159" s="8">
        <v>8002</v>
      </c>
      <c r="C159" s="8" t="s">
        <v>819</v>
      </c>
      <c r="D159" s="22">
        <f>$K$2*10000</f>
        <v>10000000</v>
      </c>
    </row>
    <row r="160" spans="1:4">
      <c r="A160" s="16" t="str">
        <f t="shared" ref="A160:A165" si="26">$I$2&amp;".mEaMinus"</f>
        <v>АСУЭ.SEPAM.mEaMinus</v>
      </c>
      <c r="B160" s="17">
        <v>1</v>
      </c>
      <c r="C160" s="17" t="s">
        <v>1</v>
      </c>
      <c r="D160" s="18">
        <v>3</v>
      </c>
    </row>
    <row r="161" spans="1:4">
      <c r="A161" s="19" t="str">
        <f t="shared" si="26"/>
        <v>АСУЭ.SEPAM.mEaMinus</v>
      </c>
      <c r="B161" s="11">
        <v>8001</v>
      </c>
      <c r="C161" s="11" t="s">
        <v>2</v>
      </c>
      <c r="D161" s="20" t="s">
        <v>266</v>
      </c>
    </row>
    <row r="162" spans="1:4">
      <c r="A162" s="19" t="str">
        <f t="shared" si="26"/>
        <v>АСУЭ.SEPAM.mEaMinus</v>
      </c>
      <c r="B162" s="11">
        <v>8006</v>
      </c>
      <c r="C162" s="11" t="s">
        <v>2</v>
      </c>
      <c r="D162" s="20" t="s">
        <v>175</v>
      </c>
    </row>
    <row r="163" spans="1:4">
      <c r="A163" s="19" t="str">
        <f t="shared" si="26"/>
        <v>АСУЭ.SEPAM.mEaMinus</v>
      </c>
      <c r="B163" s="11">
        <v>101</v>
      </c>
      <c r="C163" s="11" t="s">
        <v>0</v>
      </c>
      <c r="D163" s="20" t="str">
        <f>$H$2&amp;". Энергия активная(-)"</f>
        <v>SEPAM. Энергия активная(-)</v>
      </c>
    </row>
    <row r="164" spans="1:4">
      <c r="A164" s="19" t="str">
        <f t="shared" si="26"/>
        <v>АСУЭ.SEPAM.mEaMinus</v>
      </c>
      <c r="B164" s="11">
        <v>100</v>
      </c>
      <c r="C164" s="11" t="s">
        <v>0</v>
      </c>
      <c r="D164" s="20" t="s">
        <v>1591</v>
      </c>
    </row>
    <row r="165" spans="1:4">
      <c r="A165" s="21" t="str">
        <f t="shared" si="26"/>
        <v>АСУЭ.SEPAM.mEaMinus</v>
      </c>
      <c r="B165" s="8">
        <v>8002</v>
      </c>
      <c r="C165" s="8" t="s">
        <v>819</v>
      </c>
      <c r="D165" s="22">
        <f>$K$2*10000</f>
        <v>10000000</v>
      </c>
    </row>
    <row r="166" spans="1:4">
      <c r="A166" s="16" t="str">
        <f t="shared" ref="A166:A171" si="27">$I$2&amp;".mEaPlus"</f>
        <v>АСУЭ.SEPAM.mEaPlus</v>
      </c>
      <c r="B166" s="17">
        <v>1</v>
      </c>
      <c r="C166" s="17" t="s">
        <v>1</v>
      </c>
      <c r="D166" s="18">
        <v>3</v>
      </c>
    </row>
    <row r="167" spans="1:4">
      <c r="A167" s="19" t="str">
        <f t="shared" si="27"/>
        <v>АСУЭ.SEPAM.mEaPlus</v>
      </c>
      <c r="B167" s="11">
        <v>8001</v>
      </c>
      <c r="C167" s="11" t="s">
        <v>2</v>
      </c>
      <c r="D167" s="20" t="s">
        <v>266</v>
      </c>
    </row>
    <row r="168" spans="1:4">
      <c r="A168" s="19" t="str">
        <f t="shared" si="27"/>
        <v>АСУЭ.SEPAM.mEaPlus</v>
      </c>
      <c r="B168" s="11">
        <v>8006</v>
      </c>
      <c r="C168" s="11" t="s">
        <v>2</v>
      </c>
      <c r="D168" s="20" t="s">
        <v>175</v>
      </c>
    </row>
    <row r="169" spans="1:4">
      <c r="A169" s="19" t="str">
        <f t="shared" si="27"/>
        <v>АСУЭ.SEPAM.mEaPlus</v>
      </c>
      <c r="B169" s="11">
        <v>101</v>
      </c>
      <c r="C169" s="11" t="s">
        <v>0</v>
      </c>
      <c r="D169" s="20" t="str">
        <f>$H$2&amp;". Энергия активная(+)"</f>
        <v>SEPAM. Энергия активная(+)</v>
      </c>
    </row>
    <row r="170" spans="1:4">
      <c r="A170" s="19" t="str">
        <f t="shared" si="27"/>
        <v>АСУЭ.SEPAM.mEaPlus</v>
      </c>
      <c r="B170" s="11">
        <v>100</v>
      </c>
      <c r="C170" s="11" t="s">
        <v>0</v>
      </c>
      <c r="D170" s="20" t="s">
        <v>1591</v>
      </c>
    </row>
    <row r="171" spans="1:4">
      <c r="A171" s="21" t="str">
        <f t="shared" si="27"/>
        <v>АСУЭ.SEPAM.mEaPlus</v>
      </c>
      <c r="B171" s="8">
        <v>8002</v>
      </c>
      <c r="C171" s="8" t="s">
        <v>819</v>
      </c>
      <c r="D171" s="22">
        <f>$K$2*10000</f>
        <v>10000000</v>
      </c>
    </row>
    <row r="172" spans="1:4">
      <c r="A172" s="16" t="str">
        <f t="shared" ref="A172:A177" si="28">$I$2&amp;".mErMinus"</f>
        <v>АСУЭ.SEPAM.mErMinus</v>
      </c>
      <c r="B172" s="17">
        <v>1</v>
      </c>
      <c r="C172" s="17" t="s">
        <v>1</v>
      </c>
      <c r="D172" s="18">
        <v>3</v>
      </c>
    </row>
    <row r="173" spans="1:4">
      <c r="A173" s="19" t="str">
        <f t="shared" si="28"/>
        <v>АСУЭ.SEPAM.mErMinus</v>
      </c>
      <c r="B173" s="11">
        <v>8001</v>
      </c>
      <c r="C173" s="11" t="s">
        <v>2</v>
      </c>
      <c r="D173" s="20" t="s">
        <v>266</v>
      </c>
    </row>
    <row r="174" spans="1:4">
      <c r="A174" s="19" t="str">
        <f t="shared" si="28"/>
        <v>АСУЭ.SEPAM.mErMinus</v>
      </c>
      <c r="B174" s="11">
        <v>8006</v>
      </c>
      <c r="C174" s="11" t="s">
        <v>2</v>
      </c>
      <c r="D174" s="20" t="s">
        <v>175</v>
      </c>
    </row>
    <row r="175" spans="1:4">
      <c r="A175" s="19" t="str">
        <f t="shared" si="28"/>
        <v>АСУЭ.SEPAM.mErMinus</v>
      </c>
      <c r="B175" s="11">
        <v>101</v>
      </c>
      <c r="C175" s="11" t="s">
        <v>0</v>
      </c>
      <c r="D175" s="20" t="str">
        <f>$H$2&amp;". Энергия реактивная(-)"</f>
        <v>SEPAM. Энергия реактивная(-)</v>
      </c>
    </row>
    <row r="176" spans="1:4">
      <c r="A176" s="19" t="str">
        <f t="shared" si="28"/>
        <v>АСУЭ.SEPAM.mErMinus</v>
      </c>
      <c r="B176" s="11">
        <v>100</v>
      </c>
      <c r="C176" s="11" t="s">
        <v>0</v>
      </c>
      <c r="D176" s="20" t="s">
        <v>1591</v>
      </c>
    </row>
    <row r="177" spans="1:4">
      <c r="A177" s="21" t="str">
        <f t="shared" si="28"/>
        <v>АСУЭ.SEPAM.mErMinus</v>
      </c>
      <c r="B177" s="8">
        <v>8002</v>
      </c>
      <c r="C177" s="8" t="s">
        <v>819</v>
      </c>
      <c r="D177" s="22">
        <f>$K$2*10000</f>
        <v>10000000</v>
      </c>
    </row>
    <row r="178" spans="1:4">
      <c r="A178" s="16" t="str">
        <f t="shared" ref="A178:A183" si="29">$I$2&amp;".mErPlus"</f>
        <v>АСУЭ.SEPAM.mErPlus</v>
      </c>
      <c r="B178" s="17">
        <v>1</v>
      </c>
      <c r="C178" s="17" t="s">
        <v>1</v>
      </c>
      <c r="D178" s="18">
        <v>3</v>
      </c>
    </row>
    <row r="179" spans="1:4">
      <c r="A179" s="19" t="str">
        <f t="shared" si="29"/>
        <v>АСУЭ.SEPAM.mErPlus</v>
      </c>
      <c r="B179" s="11">
        <v>8001</v>
      </c>
      <c r="C179" s="11" t="s">
        <v>2</v>
      </c>
      <c r="D179" s="20" t="s">
        <v>266</v>
      </c>
    </row>
    <row r="180" spans="1:4">
      <c r="A180" s="19" t="str">
        <f t="shared" si="29"/>
        <v>АСУЭ.SEPAM.mErPlus</v>
      </c>
      <c r="B180" s="11">
        <v>8006</v>
      </c>
      <c r="C180" s="11" t="s">
        <v>2</v>
      </c>
      <c r="D180" s="20" t="s">
        <v>175</v>
      </c>
    </row>
    <row r="181" spans="1:4">
      <c r="A181" s="19" t="str">
        <f t="shared" si="29"/>
        <v>АСУЭ.SEPAM.mErPlus</v>
      </c>
      <c r="B181" s="11">
        <v>101</v>
      </c>
      <c r="C181" s="11" t="s">
        <v>0</v>
      </c>
      <c r="D181" s="20" t="str">
        <f>$H$2&amp;". Энергия реактивная(+)"</f>
        <v>SEPAM. Энергия реактивная(+)</v>
      </c>
    </row>
    <row r="182" spans="1:4">
      <c r="A182" s="19" t="str">
        <f t="shared" si="29"/>
        <v>АСУЭ.SEPAM.mErPlus</v>
      </c>
      <c r="B182" s="11">
        <v>100</v>
      </c>
      <c r="C182" s="11" t="s">
        <v>0</v>
      </c>
      <c r="D182" s="20" t="s">
        <v>1591</v>
      </c>
    </row>
    <row r="183" spans="1:4">
      <c r="A183" s="21" t="str">
        <f t="shared" si="29"/>
        <v>АСУЭ.SEPAM.mErPlus</v>
      </c>
      <c r="B183" s="8">
        <v>8002</v>
      </c>
      <c r="C183" s="8" t="s">
        <v>819</v>
      </c>
      <c r="D183" s="22">
        <f>$K$2*10000</f>
        <v>10000000</v>
      </c>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sheetPr codeName="Лист146">
    <tabColor theme="0" tint="-0.34998626667073579"/>
  </sheetPr>
  <dimension ref="A1:K183"/>
  <sheetViews>
    <sheetView topLeftCell="E1" workbookViewId="0">
      <selection activeCell="D2" sqref="D2:D4"/>
    </sheetView>
  </sheetViews>
  <sheetFormatPr defaultRowHeight="14.4"/>
  <cols>
    <col min="1" max="1" width="52.88671875" style="55" customWidth="1"/>
    <col min="4" max="4" width="85" customWidth="1"/>
    <col min="8" max="9" width="40.6640625" customWidth="1"/>
    <col min="10" max="10" width="28.44140625" customWidth="1"/>
    <col min="11" max="11" width="25.6640625" customWidth="1"/>
  </cols>
  <sheetData>
    <row r="1" spans="1:11">
      <c r="A1" s="57"/>
      <c r="B1" s="10"/>
      <c r="C1" s="10"/>
      <c r="D1" s="10"/>
      <c r="E1" s="10"/>
      <c r="F1" s="10"/>
      <c r="G1" s="10"/>
      <c r="H1" s="54" t="s">
        <v>269</v>
      </c>
      <c r="I1" s="54" t="s">
        <v>268</v>
      </c>
      <c r="J1" s="54" t="s">
        <v>512</v>
      </c>
      <c r="K1" s="54" t="s">
        <v>1471</v>
      </c>
    </row>
    <row r="2" spans="1:11" ht="15" customHeight="1">
      <c r="A2" s="57"/>
      <c r="B2" s="10"/>
      <c r="C2" s="10"/>
      <c r="D2" s="10"/>
      <c r="E2" s="10"/>
      <c r="F2" s="10"/>
      <c r="G2" s="10"/>
      <c r="H2" s="73" t="s">
        <v>331</v>
      </c>
      <c r="I2" s="73" t="s">
        <v>747</v>
      </c>
      <c r="J2" s="2"/>
      <c r="K2" s="2">
        <f>Настройки!M18</f>
        <v>1000</v>
      </c>
    </row>
    <row r="3" spans="1:11" ht="15" customHeight="1">
      <c r="A3" s="549" t="str">
        <f xml:space="preserve"> $I$2</f>
        <v>АСУЭ.SEPAM</v>
      </c>
      <c r="B3" s="550">
        <v>101</v>
      </c>
      <c r="C3" s="551" t="s">
        <v>0</v>
      </c>
      <c r="D3" s="552" t="str">
        <f>$H$2</f>
        <v>SEPAM</v>
      </c>
      <c r="E3" s="4"/>
      <c r="F3" s="4"/>
      <c r="G3" s="4"/>
      <c r="H3" s="239"/>
      <c r="I3" s="239"/>
    </row>
    <row r="4" spans="1:11">
      <c r="A4" s="16" t="str">
        <f t="shared" ref="A4:A9" si="0">$I$2&amp;".mCosPhi"</f>
        <v>АСУЭ.SEPAM.mCosPhi</v>
      </c>
      <c r="B4" s="17">
        <v>1</v>
      </c>
      <c r="C4" s="17" t="s">
        <v>1</v>
      </c>
      <c r="D4" s="18">
        <v>3</v>
      </c>
    </row>
    <row r="5" spans="1:11">
      <c r="A5" s="19" t="str">
        <f t="shared" si="0"/>
        <v>АСУЭ.SEPAM.mCosPhi</v>
      </c>
      <c r="B5" s="11">
        <v>8001</v>
      </c>
      <c r="C5" s="11" t="s">
        <v>2</v>
      </c>
      <c r="D5" s="20" t="s">
        <v>266</v>
      </c>
    </row>
    <row r="6" spans="1:11">
      <c r="A6" s="19" t="str">
        <f t="shared" si="0"/>
        <v>АСУЭ.SEPAM.mCosPhi</v>
      </c>
      <c r="B6" s="11">
        <v>8006</v>
      </c>
      <c r="C6" s="11" t="s">
        <v>2</v>
      </c>
      <c r="D6" s="20" t="s">
        <v>175</v>
      </c>
    </row>
    <row r="7" spans="1:11">
      <c r="A7" s="19" t="str">
        <f t="shared" si="0"/>
        <v>АСУЭ.SEPAM.mCosPhi</v>
      </c>
      <c r="B7" s="11">
        <v>101</v>
      </c>
      <c r="C7" s="11" t="s">
        <v>0</v>
      </c>
      <c r="D7" s="20" t="str">
        <f>$H$2&amp;". Косинус Phi"</f>
        <v>SEPAM. Косинус Phi</v>
      </c>
    </row>
    <row r="8" spans="1:11">
      <c r="A8" s="19" t="str">
        <f t="shared" si="0"/>
        <v>АСУЭ.SEPAM.mCosPhi</v>
      </c>
      <c r="B8" s="11">
        <v>100</v>
      </c>
      <c r="C8" s="11" t="s">
        <v>0</v>
      </c>
      <c r="D8" s="20" t="s">
        <v>446</v>
      </c>
    </row>
    <row r="9" spans="1:11">
      <c r="A9" s="21" t="str">
        <f t="shared" si="0"/>
        <v>АСУЭ.SEPAM.mCosPhi</v>
      </c>
      <c r="B9" s="8">
        <v>8002</v>
      </c>
      <c r="C9" s="8" t="s">
        <v>819</v>
      </c>
      <c r="D9" s="22">
        <f>$K$2*10000</f>
        <v>10000000</v>
      </c>
    </row>
    <row r="10" spans="1:11">
      <c r="A10" s="16" t="str">
        <f t="shared" ref="A10:A15" si="1">$I$2&amp;".mFreq"</f>
        <v>АСУЭ.SEPAM.mFreq</v>
      </c>
      <c r="B10" s="17">
        <v>1</v>
      </c>
      <c r="C10" s="17" t="s">
        <v>1</v>
      </c>
      <c r="D10" s="18">
        <v>3</v>
      </c>
    </row>
    <row r="11" spans="1:11">
      <c r="A11" s="19" t="str">
        <f t="shared" si="1"/>
        <v>АСУЭ.SEPAM.mFreq</v>
      </c>
      <c r="B11" s="11">
        <v>8001</v>
      </c>
      <c r="C11" s="11" t="s">
        <v>2</v>
      </c>
      <c r="D11" s="20" t="s">
        <v>266</v>
      </c>
    </row>
    <row r="12" spans="1:11">
      <c r="A12" s="19" t="str">
        <f t="shared" si="1"/>
        <v>АСУЭ.SEPAM.mFreq</v>
      </c>
      <c r="B12" s="11">
        <v>8006</v>
      </c>
      <c r="C12" s="11" t="s">
        <v>2</v>
      </c>
      <c r="D12" s="20" t="s">
        <v>175</v>
      </c>
    </row>
    <row r="13" spans="1:11">
      <c r="A13" s="19" t="str">
        <f t="shared" si="1"/>
        <v>АСУЭ.SEPAM.mFreq</v>
      </c>
      <c r="B13" s="11">
        <v>101</v>
      </c>
      <c r="C13" s="11" t="s">
        <v>0</v>
      </c>
      <c r="D13" s="20" t="str">
        <f>$H$2&amp;". Частота"</f>
        <v>SEPAM. Частота</v>
      </c>
    </row>
    <row r="14" spans="1:11">
      <c r="A14" s="19" t="str">
        <f t="shared" si="1"/>
        <v>АСУЭ.SEPAM.mFreq</v>
      </c>
      <c r="B14" s="11">
        <v>100</v>
      </c>
      <c r="C14" s="11" t="s">
        <v>0</v>
      </c>
      <c r="D14" s="20" t="s">
        <v>1585</v>
      </c>
    </row>
    <row r="15" spans="1:11">
      <c r="A15" s="21" t="str">
        <f t="shared" si="1"/>
        <v>АСУЭ.SEPAM.mFreq</v>
      </c>
      <c r="B15" s="8">
        <v>8002</v>
      </c>
      <c r="C15" s="8" t="s">
        <v>819</v>
      </c>
      <c r="D15" s="22">
        <f>$K$2*10000</f>
        <v>10000000</v>
      </c>
    </row>
    <row r="16" spans="1:11">
      <c r="A16" s="16" t="str">
        <f t="shared" ref="A16:A21" si="2">$I$2&amp;".mI0"</f>
        <v>АСУЭ.SEPAM.mI0</v>
      </c>
      <c r="B16" s="17">
        <v>1</v>
      </c>
      <c r="C16" s="17" t="s">
        <v>1</v>
      </c>
      <c r="D16" s="18">
        <v>3</v>
      </c>
    </row>
    <row r="17" spans="1:4">
      <c r="A17" s="19" t="str">
        <f t="shared" si="2"/>
        <v>АСУЭ.SEPAM.mI0</v>
      </c>
      <c r="B17" s="11">
        <v>8001</v>
      </c>
      <c r="C17" s="11" t="s">
        <v>2</v>
      </c>
      <c r="D17" s="20" t="s">
        <v>266</v>
      </c>
    </row>
    <row r="18" spans="1:4">
      <c r="A18" s="19" t="str">
        <f t="shared" si="2"/>
        <v>АСУЭ.SEPAM.mI0</v>
      </c>
      <c r="B18" s="11">
        <v>8006</v>
      </c>
      <c r="C18" s="11" t="s">
        <v>2</v>
      </c>
      <c r="D18" s="20" t="s">
        <v>175</v>
      </c>
    </row>
    <row r="19" spans="1:4">
      <c r="A19" s="19" t="str">
        <f t="shared" si="2"/>
        <v>АСУЭ.SEPAM.mI0</v>
      </c>
      <c r="B19" s="11">
        <v>101</v>
      </c>
      <c r="C19" s="11" t="s">
        <v>0</v>
      </c>
      <c r="D19" s="20" t="str">
        <f>$H$2&amp;". Ток нулевой последовательности"</f>
        <v>SEPAM. Ток нулевой последовательности</v>
      </c>
    </row>
    <row r="20" spans="1:4">
      <c r="A20" s="19" t="str">
        <f t="shared" si="2"/>
        <v>АСУЭ.SEPAM.mI0</v>
      </c>
      <c r="B20" s="11">
        <v>100</v>
      </c>
      <c r="C20" s="11" t="s">
        <v>0</v>
      </c>
      <c r="D20" s="20" t="s">
        <v>1192</v>
      </c>
    </row>
    <row r="21" spans="1:4">
      <c r="A21" s="21" t="str">
        <f t="shared" si="2"/>
        <v>АСУЭ.SEPAM.mI0</v>
      </c>
      <c r="B21" s="8">
        <v>8002</v>
      </c>
      <c r="C21" s="8" t="s">
        <v>819</v>
      </c>
      <c r="D21" s="22">
        <f>$K$2*10000</f>
        <v>10000000</v>
      </c>
    </row>
    <row r="22" spans="1:4">
      <c r="A22" s="16" t="str">
        <f t="shared" ref="A22:A27" si="3">$I$2&amp;".mIm1"</f>
        <v>АСУЭ.SEPAM.mIm1</v>
      </c>
      <c r="B22" s="17">
        <v>1</v>
      </c>
      <c r="C22" s="17" t="s">
        <v>1</v>
      </c>
      <c r="D22" s="18">
        <v>3</v>
      </c>
    </row>
    <row r="23" spans="1:4">
      <c r="A23" s="19" t="str">
        <f t="shared" si="3"/>
        <v>АСУЭ.SEPAM.mIm1</v>
      </c>
      <c r="B23" s="11">
        <v>8001</v>
      </c>
      <c r="C23" s="11" t="s">
        <v>2</v>
      </c>
      <c r="D23" s="20" t="s">
        <v>266</v>
      </c>
    </row>
    <row r="24" spans="1:4">
      <c r="A24" s="19" t="str">
        <f t="shared" si="3"/>
        <v>АСУЭ.SEPAM.mIm1</v>
      </c>
      <c r="B24" s="11">
        <v>8006</v>
      </c>
      <c r="C24" s="11" t="s">
        <v>2</v>
      </c>
      <c r="D24" s="20" t="s">
        <v>175</v>
      </c>
    </row>
    <row r="25" spans="1:4">
      <c r="A25" s="19" t="str">
        <f t="shared" si="3"/>
        <v>АСУЭ.SEPAM.mIm1</v>
      </c>
      <c r="B25" s="11">
        <v>101</v>
      </c>
      <c r="C25" s="11" t="s">
        <v>0</v>
      </c>
      <c r="D25" s="20" t="str">
        <f>$H$2&amp;". Среднее значение тока Ia"</f>
        <v>SEPAM. Среднее значение тока Ia</v>
      </c>
    </row>
    <row r="26" spans="1:4">
      <c r="A26" s="19" t="str">
        <f t="shared" si="3"/>
        <v>АСУЭ.SEPAM.mIm1</v>
      </c>
      <c r="B26" s="11">
        <v>100</v>
      </c>
      <c r="C26" s="11" t="s">
        <v>0</v>
      </c>
      <c r="D26" s="20" t="s">
        <v>1192</v>
      </c>
    </row>
    <row r="27" spans="1:4">
      <c r="A27" s="21" t="str">
        <f t="shared" si="3"/>
        <v>АСУЭ.SEPAM.mIm1</v>
      </c>
      <c r="B27" s="8">
        <v>8002</v>
      </c>
      <c r="C27" s="8" t="s">
        <v>819</v>
      </c>
      <c r="D27" s="22">
        <f>$K$2*10000</f>
        <v>10000000</v>
      </c>
    </row>
    <row r="28" spans="1:4">
      <c r="A28" s="16" t="str">
        <f t="shared" ref="A28:A33" si="4">$I$2&amp;".mIm2"</f>
        <v>АСУЭ.SEPAM.mIm2</v>
      </c>
      <c r="B28" s="17">
        <v>1</v>
      </c>
      <c r="C28" s="17" t="s">
        <v>1</v>
      </c>
      <c r="D28" s="18">
        <v>3</v>
      </c>
    </row>
    <row r="29" spans="1:4">
      <c r="A29" s="19" t="str">
        <f t="shared" si="4"/>
        <v>АСУЭ.SEPAM.mIm2</v>
      </c>
      <c r="B29" s="11">
        <v>8001</v>
      </c>
      <c r="C29" s="11" t="s">
        <v>2</v>
      </c>
      <c r="D29" s="20" t="s">
        <v>266</v>
      </c>
    </row>
    <row r="30" spans="1:4">
      <c r="A30" s="19" t="str">
        <f t="shared" si="4"/>
        <v>АСУЭ.SEPAM.mIm2</v>
      </c>
      <c r="B30" s="11">
        <v>8006</v>
      </c>
      <c r="C30" s="11" t="s">
        <v>2</v>
      </c>
      <c r="D30" s="20" t="s">
        <v>175</v>
      </c>
    </row>
    <row r="31" spans="1:4">
      <c r="A31" s="19" t="str">
        <f t="shared" si="4"/>
        <v>АСУЭ.SEPAM.mIm2</v>
      </c>
      <c r="B31" s="11">
        <v>101</v>
      </c>
      <c r="C31" s="11" t="s">
        <v>0</v>
      </c>
      <c r="D31" s="20" t="str">
        <f>$H$2&amp;". Среднее значение тока Ib"</f>
        <v>SEPAM. Среднее значение тока Ib</v>
      </c>
    </row>
    <row r="32" spans="1:4">
      <c r="A32" s="19" t="str">
        <f t="shared" si="4"/>
        <v>АСУЭ.SEPAM.mIm2</v>
      </c>
      <c r="B32" s="11">
        <v>100</v>
      </c>
      <c r="C32" s="11" t="s">
        <v>0</v>
      </c>
      <c r="D32" s="20" t="s">
        <v>1192</v>
      </c>
    </row>
    <row r="33" spans="1:4">
      <c r="A33" s="21" t="str">
        <f t="shared" si="4"/>
        <v>АСУЭ.SEPAM.mIm2</v>
      </c>
      <c r="B33" s="8">
        <v>8002</v>
      </c>
      <c r="C33" s="8" t="s">
        <v>819</v>
      </c>
      <c r="D33" s="22">
        <f>$K$2*10000</f>
        <v>10000000</v>
      </c>
    </row>
    <row r="34" spans="1:4">
      <c r="A34" s="16" t="str">
        <f t="shared" ref="A34:A39" si="5">$I$2&amp;".mIm3"</f>
        <v>АСУЭ.SEPAM.mIm3</v>
      </c>
      <c r="B34" s="17">
        <v>1</v>
      </c>
      <c r="C34" s="17" t="s">
        <v>1</v>
      </c>
      <c r="D34" s="18">
        <v>3</v>
      </c>
    </row>
    <row r="35" spans="1:4">
      <c r="A35" s="19" t="str">
        <f t="shared" si="5"/>
        <v>АСУЭ.SEPAM.mIm3</v>
      </c>
      <c r="B35" s="11">
        <v>8001</v>
      </c>
      <c r="C35" s="11" t="s">
        <v>2</v>
      </c>
      <c r="D35" s="20" t="s">
        <v>266</v>
      </c>
    </row>
    <row r="36" spans="1:4">
      <c r="A36" s="19" t="str">
        <f t="shared" si="5"/>
        <v>АСУЭ.SEPAM.mIm3</v>
      </c>
      <c r="B36" s="11">
        <v>8006</v>
      </c>
      <c r="C36" s="11" t="s">
        <v>2</v>
      </c>
      <c r="D36" s="20" t="s">
        <v>175</v>
      </c>
    </row>
    <row r="37" spans="1:4">
      <c r="A37" s="19" t="str">
        <f t="shared" si="5"/>
        <v>АСУЭ.SEPAM.mIm3</v>
      </c>
      <c r="B37" s="11">
        <v>101</v>
      </c>
      <c r="C37" s="11" t="s">
        <v>0</v>
      </c>
      <c r="D37" s="20" t="str">
        <f>$H$2&amp;". Среднее значение тока Ic"</f>
        <v>SEPAM. Среднее значение тока Ic</v>
      </c>
    </row>
    <row r="38" spans="1:4">
      <c r="A38" s="19" t="str">
        <f t="shared" si="5"/>
        <v>АСУЭ.SEPAM.mIm3</v>
      </c>
      <c r="B38" s="11">
        <v>100</v>
      </c>
      <c r="C38" s="11" t="s">
        <v>0</v>
      </c>
      <c r="D38" s="20" t="s">
        <v>1192</v>
      </c>
    </row>
    <row r="39" spans="1:4">
      <c r="A39" s="21" t="str">
        <f t="shared" si="5"/>
        <v>АСУЭ.SEPAM.mIm3</v>
      </c>
      <c r="B39" s="8">
        <v>8002</v>
      </c>
      <c r="C39" s="8" t="s">
        <v>819</v>
      </c>
      <c r="D39" s="22">
        <f>$K$2*10000</f>
        <v>10000000</v>
      </c>
    </row>
    <row r="40" spans="1:4">
      <c r="A40" s="16" t="str">
        <f t="shared" ref="A40:A45" si="6">$I$2&amp;".mI1"</f>
        <v>АСУЭ.SEPAM.mI1</v>
      </c>
      <c r="B40" s="17">
        <v>1</v>
      </c>
      <c r="C40" s="17" t="s">
        <v>1</v>
      </c>
      <c r="D40" s="18">
        <v>3</v>
      </c>
    </row>
    <row r="41" spans="1:4">
      <c r="A41" s="19" t="str">
        <f t="shared" si="6"/>
        <v>АСУЭ.SEPAM.mI1</v>
      </c>
      <c r="B41" s="11">
        <v>8001</v>
      </c>
      <c r="C41" s="11" t="s">
        <v>2</v>
      </c>
      <c r="D41" s="20" t="s">
        <v>266</v>
      </c>
    </row>
    <row r="42" spans="1:4">
      <c r="A42" s="19" t="str">
        <f t="shared" si="6"/>
        <v>АСУЭ.SEPAM.mI1</v>
      </c>
      <c r="B42" s="11">
        <v>8006</v>
      </c>
      <c r="C42" s="11" t="s">
        <v>2</v>
      </c>
      <c r="D42" s="20" t="s">
        <v>175</v>
      </c>
    </row>
    <row r="43" spans="1:4">
      <c r="A43" s="19" t="str">
        <f t="shared" si="6"/>
        <v>АСУЭ.SEPAM.mI1</v>
      </c>
      <c r="B43" s="11">
        <v>101</v>
      </c>
      <c r="C43" s="11" t="s">
        <v>0</v>
      </c>
      <c r="D43" s="20" t="str">
        <f>$H$2&amp;". Текущее значение тока Ia"</f>
        <v>SEPAM. Текущее значение тока Ia</v>
      </c>
    </row>
    <row r="44" spans="1:4">
      <c r="A44" s="19" t="str">
        <f t="shared" si="6"/>
        <v>АСУЭ.SEPAM.mI1</v>
      </c>
      <c r="B44" s="11">
        <v>100</v>
      </c>
      <c r="C44" s="11" t="s">
        <v>0</v>
      </c>
      <c r="D44" s="20" t="s">
        <v>1192</v>
      </c>
    </row>
    <row r="45" spans="1:4">
      <c r="A45" s="21" t="str">
        <f t="shared" si="6"/>
        <v>АСУЭ.SEPAM.mI1</v>
      </c>
      <c r="B45" s="8">
        <v>8002</v>
      </c>
      <c r="C45" s="8" t="s">
        <v>819</v>
      </c>
      <c r="D45" s="22">
        <f>$K$2*10000</f>
        <v>10000000</v>
      </c>
    </row>
    <row r="46" spans="1:4">
      <c r="A46" s="16" t="str">
        <f t="shared" ref="A46:A51" si="7">$I$2&amp;".mI2"</f>
        <v>АСУЭ.SEPAM.mI2</v>
      </c>
      <c r="B46" s="17">
        <v>1</v>
      </c>
      <c r="C46" s="17" t="s">
        <v>1</v>
      </c>
      <c r="D46" s="18">
        <v>3</v>
      </c>
    </row>
    <row r="47" spans="1:4">
      <c r="A47" s="19" t="str">
        <f t="shared" si="7"/>
        <v>АСУЭ.SEPAM.mI2</v>
      </c>
      <c r="B47" s="11">
        <v>8001</v>
      </c>
      <c r="C47" s="11" t="s">
        <v>2</v>
      </c>
      <c r="D47" s="20" t="s">
        <v>266</v>
      </c>
    </row>
    <row r="48" spans="1:4">
      <c r="A48" s="19" t="str">
        <f t="shared" si="7"/>
        <v>АСУЭ.SEPAM.mI2</v>
      </c>
      <c r="B48" s="11">
        <v>8006</v>
      </c>
      <c r="C48" s="11" t="s">
        <v>2</v>
      </c>
      <c r="D48" s="20" t="s">
        <v>175</v>
      </c>
    </row>
    <row r="49" spans="1:4">
      <c r="A49" s="19" t="str">
        <f t="shared" si="7"/>
        <v>АСУЭ.SEPAM.mI2</v>
      </c>
      <c r="B49" s="11">
        <v>101</v>
      </c>
      <c r="C49" s="11" t="s">
        <v>0</v>
      </c>
      <c r="D49" s="20" t="str">
        <f>$H$2&amp;". Текущее значение тока Ib"</f>
        <v>SEPAM. Текущее значение тока Ib</v>
      </c>
    </row>
    <row r="50" spans="1:4">
      <c r="A50" s="19" t="str">
        <f t="shared" si="7"/>
        <v>АСУЭ.SEPAM.mI2</v>
      </c>
      <c r="B50" s="11">
        <v>100</v>
      </c>
      <c r="C50" s="11" t="s">
        <v>0</v>
      </c>
      <c r="D50" s="20" t="s">
        <v>1192</v>
      </c>
    </row>
    <row r="51" spans="1:4">
      <c r="A51" s="21" t="str">
        <f t="shared" si="7"/>
        <v>АСУЭ.SEPAM.mI2</v>
      </c>
      <c r="B51" s="8">
        <v>8002</v>
      </c>
      <c r="C51" s="8" t="s">
        <v>819</v>
      </c>
      <c r="D51" s="22">
        <f>$K$2*10000</f>
        <v>10000000</v>
      </c>
    </row>
    <row r="52" spans="1:4">
      <c r="A52" s="16" t="str">
        <f t="shared" ref="A52:A57" si="8">$I$2&amp;".mI3"</f>
        <v>АСУЭ.SEPAM.mI3</v>
      </c>
      <c r="B52" s="17">
        <v>1</v>
      </c>
      <c r="C52" s="17" t="s">
        <v>1</v>
      </c>
      <c r="D52" s="18">
        <v>3</v>
      </c>
    </row>
    <row r="53" spans="1:4">
      <c r="A53" s="19" t="str">
        <f t="shared" si="8"/>
        <v>АСУЭ.SEPAM.mI3</v>
      </c>
      <c r="B53" s="11">
        <v>8001</v>
      </c>
      <c r="C53" s="11" t="s">
        <v>2</v>
      </c>
      <c r="D53" s="20" t="s">
        <v>266</v>
      </c>
    </row>
    <row r="54" spans="1:4">
      <c r="A54" s="19" t="str">
        <f t="shared" si="8"/>
        <v>АСУЭ.SEPAM.mI3</v>
      </c>
      <c r="B54" s="11">
        <v>8006</v>
      </c>
      <c r="C54" s="11" t="s">
        <v>2</v>
      </c>
      <c r="D54" s="20" t="s">
        <v>175</v>
      </c>
    </row>
    <row r="55" spans="1:4">
      <c r="A55" s="19" t="str">
        <f t="shared" si="8"/>
        <v>АСУЭ.SEPAM.mI3</v>
      </c>
      <c r="B55" s="11">
        <v>101</v>
      </c>
      <c r="C55" s="11" t="s">
        <v>0</v>
      </c>
      <c r="D55" s="20" t="str">
        <f>$H$2&amp;". Текущее значение тока Ic"</f>
        <v>SEPAM. Текущее значение тока Ic</v>
      </c>
    </row>
    <row r="56" spans="1:4">
      <c r="A56" s="19" t="str">
        <f t="shared" si="8"/>
        <v>АСУЭ.SEPAM.mI3</v>
      </c>
      <c r="B56" s="11">
        <v>100</v>
      </c>
      <c r="C56" s="11" t="s">
        <v>0</v>
      </c>
      <c r="D56" s="20" t="s">
        <v>1192</v>
      </c>
    </row>
    <row r="57" spans="1:4">
      <c r="A57" s="21" t="str">
        <f t="shared" si="8"/>
        <v>АСУЭ.SEPAM.mI3</v>
      </c>
      <c r="B57" s="8">
        <v>8002</v>
      </c>
      <c r="C57" s="8" t="s">
        <v>819</v>
      </c>
      <c r="D57" s="22">
        <f>$K$2*10000</f>
        <v>10000000</v>
      </c>
    </row>
    <row r="58" spans="1:4">
      <c r="A58" s="16" t="str">
        <f t="shared" ref="A58:A63" si="9">$I$2&amp;".mItrip1"</f>
        <v>АСУЭ.SEPAM.mItrip1</v>
      </c>
      <c r="B58" s="17">
        <v>1</v>
      </c>
      <c r="C58" s="17" t="s">
        <v>1</v>
      </c>
      <c r="D58" s="18">
        <v>3</v>
      </c>
    </row>
    <row r="59" spans="1:4">
      <c r="A59" s="19" t="str">
        <f t="shared" si="9"/>
        <v>АСУЭ.SEPAM.mItrip1</v>
      </c>
      <c r="B59" s="11">
        <v>8001</v>
      </c>
      <c r="C59" s="11" t="s">
        <v>2</v>
      </c>
      <c r="D59" s="20" t="s">
        <v>266</v>
      </c>
    </row>
    <row r="60" spans="1:4">
      <c r="A60" s="19" t="str">
        <f t="shared" si="9"/>
        <v>АСУЭ.SEPAM.mItrip1</v>
      </c>
      <c r="B60" s="11">
        <v>8006</v>
      </c>
      <c r="C60" s="11" t="s">
        <v>2</v>
      </c>
      <c r="D60" s="20" t="s">
        <v>175</v>
      </c>
    </row>
    <row r="61" spans="1:4">
      <c r="A61" s="19" t="str">
        <f t="shared" si="9"/>
        <v>АСУЭ.SEPAM.mItrip1</v>
      </c>
      <c r="B61" s="11">
        <v>101</v>
      </c>
      <c r="C61" s="11" t="s">
        <v>0</v>
      </c>
      <c r="D61" s="20" t="str">
        <f>$H$2&amp;". Ток отключения Ia"</f>
        <v>SEPAM. Ток отключения Ia</v>
      </c>
    </row>
    <row r="62" spans="1:4">
      <c r="A62" s="19" t="str">
        <f t="shared" si="9"/>
        <v>АСУЭ.SEPAM.mItrip1</v>
      </c>
      <c r="B62" s="11">
        <v>100</v>
      </c>
      <c r="C62" s="11" t="s">
        <v>0</v>
      </c>
      <c r="D62" s="20" t="s">
        <v>1192</v>
      </c>
    </row>
    <row r="63" spans="1:4">
      <c r="A63" s="21" t="str">
        <f t="shared" si="9"/>
        <v>АСУЭ.SEPAM.mItrip1</v>
      </c>
      <c r="B63" s="8">
        <v>8002</v>
      </c>
      <c r="C63" s="8" t="s">
        <v>819</v>
      </c>
      <c r="D63" s="22">
        <f>$K$2*10000</f>
        <v>10000000</v>
      </c>
    </row>
    <row r="64" spans="1:4">
      <c r="A64" s="16" t="str">
        <f t="shared" ref="A64:A69" si="10">$I$2&amp;".mItrip2"</f>
        <v>АСУЭ.SEPAM.mItrip2</v>
      </c>
      <c r="B64" s="17">
        <v>1</v>
      </c>
      <c r="C64" s="17" t="s">
        <v>1</v>
      </c>
      <c r="D64" s="18">
        <v>3</v>
      </c>
    </row>
    <row r="65" spans="1:4">
      <c r="A65" s="19" t="str">
        <f t="shared" si="10"/>
        <v>АСУЭ.SEPAM.mItrip2</v>
      </c>
      <c r="B65" s="11">
        <v>8001</v>
      </c>
      <c r="C65" s="11" t="s">
        <v>2</v>
      </c>
      <c r="D65" s="20" t="s">
        <v>266</v>
      </c>
    </row>
    <row r="66" spans="1:4">
      <c r="A66" s="19" t="str">
        <f t="shared" si="10"/>
        <v>АСУЭ.SEPAM.mItrip2</v>
      </c>
      <c r="B66" s="11">
        <v>8006</v>
      </c>
      <c r="C66" s="11" t="s">
        <v>2</v>
      </c>
      <c r="D66" s="20" t="s">
        <v>175</v>
      </c>
    </row>
    <row r="67" spans="1:4">
      <c r="A67" s="19" t="str">
        <f t="shared" si="10"/>
        <v>АСУЭ.SEPAM.mItrip2</v>
      </c>
      <c r="B67" s="11">
        <v>101</v>
      </c>
      <c r="C67" s="11" t="s">
        <v>0</v>
      </c>
      <c r="D67" s="20" t="str">
        <f>$H$2&amp;". Ток отключения Ib"</f>
        <v>SEPAM. Ток отключения Ib</v>
      </c>
    </row>
    <row r="68" spans="1:4">
      <c r="A68" s="19" t="str">
        <f t="shared" si="10"/>
        <v>АСУЭ.SEPAM.mItrip2</v>
      </c>
      <c r="B68" s="11">
        <v>100</v>
      </c>
      <c r="C68" s="11" t="s">
        <v>0</v>
      </c>
      <c r="D68" s="20" t="s">
        <v>1192</v>
      </c>
    </row>
    <row r="69" spans="1:4">
      <c r="A69" s="21" t="str">
        <f t="shared" si="10"/>
        <v>АСУЭ.SEPAM.mItrip2</v>
      </c>
      <c r="B69" s="8">
        <v>8002</v>
      </c>
      <c r="C69" s="8" t="s">
        <v>819</v>
      </c>
      <c r="D69" s="22">
        <f>$K$2*10000</f>
        <v>10000000</v>
      </c>
    </row>
    <row r="70" spans="1:4">
      <c r="A70" s="16" t="str">
        <f t="shared" ref="A70:A75" si="11">$I$2&amp;".mItrip3"</f>
        <v>АСУЭ.SEPAM.mItrip3</v>
      </c>
      <c r="B70" s="17">
        <v>1</v>
      </c>
      <c r="C70" s="17" t="s">
        <v>1</v>
      </c>
      <c r="D70" s="18">
        <v>3</v>
      </c>
    </row>
    <row r="71" spans="1:4">
      <c r="A71" s="19" t="str">
        <f t="shared" si="11"/>
        <v>АСУЭ.SEPAM.mItrip3</v>
      </c>
      <c r="B71" s="11">
        <v>8001</v>
      </c>
      <c r="C71" s="11" t="s">
        <v>2</v>
      </c>
      <c r="D71" s="20" t="s">
        <v>266</v>
      </c>
    </row>
    <row r="72" spans="1:4">
      <c r="A72" s="19" t="str">
        <f t="shared" si="11"/>
        <v>АСУЭ.SEPAM.mItrip3</v>
      </c>
      <c r="B72" s="11">
        <v>8006</v>
      </c>
      <c r="C72" s="11" t="s">
        <v>2</v>
      </c>
      <c r="D72" s="20" t="s">
        <v>175</v>
      </c>
    </row>
    <row r="73" spans="1:4">
      <c r="A73" s="19" t="str">
        <f t="shared" si="11"/>
        <v>АСУЭ.SEPAM.mItrip3</v>
      </c>
      <c r="B73" s="11">
        <v>101</v>
      </c>
      <c r="C73" s="11" t="s">
        <v>0</v>
      </c>
      <c r="D73" s="20" t="str">
        <f>$H$2&amp;". Ток отключения Ic"</f>
        <v>SEPAM. Ток отключения Ic</v>
      </c>
    </row>
    <row r="74" spans="1:4">
      <c r="A74" s="19" t="str">
        <f t="shared" si="11"/>
        <v>АСУЭ.SEPAM.mItrip3</v>
      </c>
      <c r="B74" s="11">
        <v>100</v>
      </c>
      <c r="C74" s="11" t="s">
        <v>0</v>
      </c>
      <c r="D74" s="20" t="s">
        <v>1192</v>
      </c>
    </row>
    <row r="75" spans="1:4">
      <c r="A75" s="21" t="str">
        <f t="shared" si="11"/>
        <v>АСУЭ.SEPAM.mItrip3</v>
      </c>
      <c r="B75" s="8">
        <v>8002</v>
      </c>
      <c r="C75" s="8" t="s">
        <v>819</v>
      </c>
      <c r="D75" s="22">
        <f>$K$2*10000</f>
        <v>10000000</v>
      </c>
    </row>
    <row r="76" spans="1:4">
      <c r="A76" s="16" t="str">
        <f t="shared" ref="A76:A81" si="12">$I$2&amp;".mMaxI1"</f>
        <v>АСУЭ.SEPAM.mMaxI1</v>
      </c>
      <c r="B76" s="17">
        <v>1</v>
      </c>
      <c r="C76" s="17" t="s">
        <v>1</v>
      </c>
      <c r="D76" s="18">
        <v>3</v>
      </c>
    </row>
    <row r="77" spans="1:4">
      <c r="A77" s="19" t="str">
        <f t="shared" si="12"/>
        <v>АСУЭ.SEPAM.mMaxI1</v>
      </c>
      <c r="B77" s="11">
        <v>8001</v>
      </c>
      <c r="C77" s="11" t="s">
        <v>2</v>
      </c>
      <c r="D77" s="20" t="s">
        <v>266</v>
      </c>
    </row>
    <row r="78" spans="1:4">
      <c r="A78" s="19" t="str">
        <f t="shared" si="12"/>
        <v>АСУЭ.SEPAM.mMaxI1</v>
      </c>
      <c r="B78" s="11">
        <v>8006</v>
      </c>
      <c r="C78" s="11" t="s">
        <v>2</v>
      </c>
      <c r="D78" s="20" t="s">
        <v>175</v>
      </c>
    </row>
    <row r="79" spans="1:4">
      <c r="A79" s="19" t="str">
        <f t="shared" si="12"/>
        <v>АСУЭ.SEPAM.mMaxI1</v>
      </c>
      <c r="B79" s="11">
        <v>101</v>
      </c>
      <c r="C79" s="11" t="s">
        <v>0</v>
      </c>
      <c r="D79" s="20" t="str">
        <f>$H$2&amp;". Ток максиметра Ia"</f>
        <v>SEPAM. Ток максиметра Ia</v>
      </c>
    </row>
    <row r="80" spans="1:4">
      <c r="A80" s="19" t="str">
        <f t="shared" si="12"/>
        <v>АСУЭ.SEPAM.mMaxI1</v>
      </c>
      <c r="B80" s="11">
        <v>100</v>
      </c>
      <c r="C80" s="11" t="s">
        <v>0</v>
      </c>
      <c r="D80" s="20" t="s">
        <v>1192</v>
      </c>
    </row>
    <row r="81" spans="1:4">
      <c r="A81" s="21" t="str">
        <f t="shared" si="12"/>
        <v>АСУЭ.SEPAM.mMaxI1</v>
      </c>
      <c r="B81" s="8">
        <v>8002</v>
      </c>
      <c r="C81" s="8" t="s">
        <v>819</v>
      </c>
      <c r="D81" s="22">
        <f>$K$2*10000</f>
        <v>10000000</v>
      </c>
    </row>
    <row r="82" spans="1:4">
      <c r="A82" s="16" t="str">
        <f t="shared" ref="A82:A87" si="13">$I$2&amp;".mMaxI2"</f>
        <v>АСУЭ.SEPAM.mMaxI2</v>
      </c>
      <c r="B82" s="17">
        <v>1</v>
      </c>
      <c r="C82" s="17" t="s">
        <v>1</v>
      </c>
      <c r="D82" s="18">
        <v>3</v>
      </c>
    </row>
    <row r="83" spans="1:4">
      <c r="A83" s="19" t="str">
        <f t="shared" si="13"/>
        <v>АСУЭ.SEPAM.mMaxI2</v>
      </c>
      <c r="B83" s="11">
        <v>8001</v>
      </c>
      <c r="C83" s="11" t="s">
        <v>2</v>
      </c>
      <c r="D83" s="20" t="s">
        <v>266</v>
      </c>
    </row>
    <row r="84" spans="1:4">
      <c r="A84" s="19" t="str">
        <f t="shared" si="13"/>
        <v>АСУЭ.SEPAM.mMaxI2</v>
      </c>
      <c r="B84" s="11">
        <v>8006</v>
      </c>
      <c r="C84" s="11" t="s">
        <v>2</v>
      </c>
      <c r="D84" s="20" t="s">
        <v>175</v>
      </c>
    </row>
    <row r="85" spans="1:4">
      <c r="A85" s="19" t="str">
        <f t="shared" si="13"/>
        <v>АСУЭ.SEPAM.mMaxI2</v>
      </c>
      <c r="B85" s="11">
        <v>101</v>
      </c>
      <c r="C85" s="11" t="s">
        <v>0</v>
      </c>
      <c r="D85" s="20" t="str">
        <f>$H$2&amp;". Ток максиметра Ib"</f>
        <v>SEPAM. Ток максиметра Ib</v>
      </c>
    </row>
    <row r="86" spans="1:4">
      <c r="A86" s="19" t="str">
        <f t="shared" si="13"/>
        <v>АСУЭ.SEPAM.mMaxI2</v>
      </c>
      <c r="B86" s="11">
        <v>100</v>
      </c>
      <c r="C86" s="11" t="s">
        <v>0</v>
      </c>
      <c r="D86" s="20" t="s">
        <v>1192</v>
      </c>
    </row>
    <row r="87" spans="1:4">
      <c r="A87" s="21" t="str">
        <f t="shared" si="13"/>
        <v>АСУЭ.SEPAM.mMaxI2</v>
      </c>
      <c r="B87" s="8">
        <v>8002</v>
      </c>
      <c r="C87" s="8" t="s">
        <v>819</v>
      </c>
      <c r="D87" s="22">
        <f>$K$2*10000</f>
        <v>10000000</v>
      </c>
    </row>
    <row r="88" spans="1:4">
      <c r="A88" s="16" t="str">
        <f t="shared" ref="A88:A93" si="14">$I$2&amp;".mMaxI3"</f>
        <v>АСУЭ.SEPAM.mMaxI3</v>
      </c>
      <c r="B88" s="17">
        <v>1</v>
      </c>
      <c r="C88" s="17" t="s">
        <v>1</v>
      </c>
      <c r="D88" s="18">
        <v>3</v>
      </c>
    </row>
    <row r="89" spans="1:4">
      <c r="A89" s="19" t="str">
        <f t="shared" si="14"/>
        <v>АСУЭ.SEPAM.mMaxI3</v>
      </c>
      <c r="B89" s="11">
        <v>8001</v>
      </c>
      <c r="C89" s="11" t="s">
        <v>2</v>
      </c>
      <c r="D89" s="20" t="s">
        <v>266</v>
      </c>
    </row>
    <row r="90" spans="1:4">
      <c r="A90" s="19" t="str">
        <f t="shared" si="14"/>
        <v>АСУЭ.SEPAM.mMaxI3</v>
      </c>
      <c r="B90" s="11">
        <v>8006</v>
      </c>
      <c r="C90" s="11" t="s">
        <v>2</v>
      </c>
      <c r="D90" s="20" t="s">
        <v>175</v>
      </c>
    </row>
    <row r="91" spans="1:4">
      <c r="A91" s="19" t="str">
        <f t="shared" si="14"/>
        <v>АСУЭ.SEPAM.mMaxI3</v>
      </c>
      <c r="B91" s="11">
        <v>101</v>
      </c>
      <c r="C91" s="11" t="s">
        <v>0</v>
      </c>
      <c r="D91" s="20" t="str">
        <f>$H$2&amp;". Ток максиметра Ic"</f>
        <v>SEPAM. Ток максиметра Ic</v>
      </c>
    </row>
    <row r="92" spans="1:4">
      <c r="A92" s="19" t="str">
        <f t="shared" si="14"/>
        <v>АСУЭ.SEPAM.mMaxI3</v>
      </c>
      <c r="B92" s="11">
        <v>100</v>
      </c>
      <c r="C92" s="11" t="s">
        <v>0</v>
      </c>
      <c r="D92" s="20" t="s">
        <v>1192</v>
      </c>
    </row>
    <row r="93" spans="1:4">
      <c r="A93" s="21" t="str">
        <f t="shared" si="14"/>
        <v>АСУЭ.SEPAM.mMaxI3</v>
      </c>
      <c r="B93" s="8">
        <v>8002</v>
      </c>
      <c r="C93" s="8" t="s">
        <v>819</v>
      </c>
      <c r="D93" s="22">
        <f>$K$2*10000</f>
        <v>10000000</v>
      </c>
    </row>
    <row r="94" spans="1:4">
      <c r="A94" s="16" t="str">
        <f t="shared" ref="A94:A99" si="15">$I$2&amp;".mMaxPM"</f>
        <v>АСУЭ.SEPAM.mMaxPM</v>
      </c>
      <c r="B94" s="17">
        <v>1</v>
      </c>
      <c r="C94" s="17" t="s">
        <v>1</v>
      </c>
      <c r="D94" s="18">
        <v>3</v>
      </c>
    </row>
    <row r="95" spans="1:4">
      <c r="A95" s="19" t="str">
        <f t="shared" si="15"/>
        <v>АСУЭ.SEPAM.mMaxPM</v>
      </c>
      <c r="B95" s="11">
        <v>8001</v>
      </c>
      <c r="C95" s="11" t="s">
        <v>2</v>
      </c>
      <c r="D95" s="20" t="s">
        <v>266</v>
      </c>
    </row>
    <row r="96" spans="1:4">
      <c r="A96" s="19" t="str">
        <f t="shared" si="15"/>
        <v>АСУЭ.SEPAM.mMaxPM</v>
      </c>
      <c r="B96" s="11">
        <v>8006</v>
      </c>
      <c r="C96" s="11" t="s">
        <v>2</v>
      </c>
      <c r="D96" s="20" t="s">
        <v>175</v>
      </c>
    </row>
    <row r="97" spans="1:4">
      <c r="A97" s="19" t="str">
        <f t="shared" si="15"/>
        <v>АСУЭ.SEPAM.mMaxPM</v>
      </c>
      <c r="B97" s="11">
        <v>101</v>
      </c>
      <c r="C97" s="11" t="s">
        <v>0</v>
      </c>
      <c r="D97" s="20" t="str">
        <f>$H$2&amp;". Максимальная мощность активная"</f>
        <v>SEPAM. Максимальная мощность активная</v>
      </c>
    </row>
    <row r="98" spans="1:4">
      <c r="A98" s="19" t="str">
        <f t="shared" si="15"/>
        <v>АСУЭ.SEPAM.mMaxPM</v>
      </c>
      <c r="B98" s="11">
        <v>100</v>
      </c>
      <c r="C98" s="11" t="s">
        <v>0</v>
      </c>
      <c r="D98" s="20" t="s">
        <v>1586</v>
      </c>
    </row>
    <row r="99" spans="1:4">
      <c r="A99" s="21" t="str">
        <f t="shared" si="15"/>
        <v>АСУЭ.SEPAM.mMaxPM</v>
      </c>
      <c r="B99" s="8">
        <v>8002</v>
      </c>
      <c r="C99" s="8" t="s">
        <v>819</v>
      </c>
      <c r="D99" s="22">
        <f>$K$2*10000</f>
        <v>10000000</v>
      </c>
    </row>
    <row r="100" spans="1:4">
      <c r="A100" s="16" t="str">
        <f t="shared" ref="A100:A105" si="16">$I$2&amp;".mMaxQM"</f>
        <v>АСУЭ.SEPAM.mMaxQM</v>
      </c>
      <c r="B100" s="17">
        <v>1</v>
      </c>
      <c r="C100" s="17" t="s">
        <v>1</v>
      </c>
      <c r="D100" s="18">
        <v>3</v>
      </c>
    </row>
    <row r="101" spans="1:4">
      <c r="A101" s="19" t="str">
        <f t="shared" si="16"/>
        <v>АСУЭ.SEPAM.mMaxQM</v>
      </c>
      <c r="B101" s="11">
        <v>8001</v>
      </c>
      <c r="C101" s="11" t="s">
        <v>2</v>
      </c>
      <c r="D101" s="20" t="s">
        <v>266</v>
      </c>
    </row>
    <row r="102" spans="1:4">
      <c r="A102" s="19" t="str">
        <f t="shared" si="16"/>
        <v>АСУЭ.SEPAM.mMaxQM</v>
      </c>
      <c r="B102" s="11">
        <v>8006</v>
      </c>
      <c r="C102" s="11" t="s">
        <v>2</v>
      </c>
      <c r="D102" s="20" t="s">
        <v>175</v>
      </c>
    </row>
    <row r="103" spans="1:4">
      <c r="A103" s="19" t="str">
        <f t="shared" si="16"/>
        <v>АСУЭ.SEPAM.mMaxQM</v>
      </c>
      <c r="B103" s="11">
        <v>101</v>
      </c>
      <c r="C103" s="11" t="s">
        <v>0</v>
      </c>
      <c r="D103" s="20" t="str">
        <f>$H$2&amp;". Максимальная мощность реактивная"</f>
        <v>SEPAM. Максимальная мощность реактивная</v>
      </c>
    </row>
    <row r="104" spans="1:4">
      <c r="A104" s="19" t="str">
        <f t="shared" si="16"/>
        <v>АСУЭ.SEPAM.mMaxQM</v>
      </c>
      <c r="B104" s="11">
        <v>100</v>
      </c>
      <c r="C104" s="11" t="s">
        <v>0</v>
      </c>
      <c r="D104" s="20" t="s">
        <v>1587</v>
      </c>
    </row>
    <row r="105" spans="1:4">
      <c r="A105" s="21" t="str">
        <f t="shared" si="16"/>
        <v>АСУЭ.SEPAM.mMaxQM</v>
      </c>
      <c r="B105" s="8">
        <v>8002</v>
      </c>
      <c r="C105" s="8" t="s">
        <v>819</v>
      </c>
      <c r="D105" s="22">
        <f>$K$2*10000</f>
        <v>10000000</v>
      </c>
    </row>
    <row r="106" spans="1:4">
      <c r="A106" s="16" t="str">
        <f t="shared" ref="A106:A111" si="17">$I$2&amp;".mVi"</f>
        <v>АСУЭ.SEPAM.mVi</v>
      </c>
      <c r="B106" s="17">
        <v>1</v>
      </c>
      <c r="C106" s="17" t="s">
        <v>1</v>
      </c>
      <c r="D106" s="18">
        <v>3</v>
      </c>
    </row>
    <row r="107" spans="1:4">
      <c r="A107" s="19" t="str">
        <f t="shared" si="17"/>
        <v>АСУЭ.SEPAM.mVi</v>
      </c>
      <c r="B107" s="11">
        <v>8001</v>
      </c>
      <c r="C107" s="11" t="s">
        <v>2</v>
      </c>
      <c r="D107" s="20" t="s">
        <v>266</v>
      </c>
    </row>
    <row r="108" spans="1:4">
      <c r="A108" s="19" t="str">
        <f t="shared" si="17"/>
        <v>АСУЭ.SEPAM.mVi</v>
      </c>
      <c r="B108" s="11">
        <v>8006</v>
      </c>
      <c r="C108" s="11" t="s">
        <v>2</v>
      </c>
      <c r="D108" s="20" t="s">
        <v>175</v>
      </c>
    </row>
    <row r="109" spans="1:4">
      <c r="A109" s="19" t="str">
        <f t="shared" si="17"/>
        <v>АСУЭ.SEPAM.mVi</v>
      </c>
      <c r="B109" s="11">
        <v>101</v>
      </c>
      <c r="C109" s="11" t="s">
        <v>0</v>
      </c>
      <c r="D109" s="20" t="str">
        <f>$H$2&amp;". Напряжение обр. посл-ти"</f>
        <v>SEPAM. Напряжение обр. посл-ти</v>
      </c>
    </row>
    <row r="110" spans="1:4">
      <c r="A110" s="19" t="str">
        <f t="shared" si="17"/>
        <v>АСУЭ.SEPAM.mVi</v>
      </c>
      <c r="B110" s="11">
        <v>100</v>
      </c>
      <c r="C110" s="11" t="s">
        <v>0</v>
      </c>
      <c r="D110" s="20" t="s">
        <v>1588</v>
      </c>
    </row>
    <row r="111" spans="1:4">
      <c r="A111" s="21" t="str">
        <f t="shared" si="17"/>
        <v>АСУЭ.SEPAM.mVi</v>
      </c>
      <c r="B111" s="8">
        <v>8002</v>
      </c>
      <c r="C111" s="8" t="s">
        <v>819</v>
      </c>
      <c r="D111" s="22">
        <f>$K$2*10000</f>
        <v>10000000</v>
      </c>
    </row>
    <row r="112" spans="1:4">
      <c r="A112" s="16" t="str">
        <f t="shared" ref="A112:A117" si="18">$I$2&amp;".mVo"</f>
        <v>АСУЭ.SEPAM.mVo</v>
      </c>
      <c r="B112" s="17">
        <v>1</v>
      </c>
      <c r="C112" s="17" t="s">
        <v>1</v>
      </c>
      <c r="D112" s="18">
        <v>3</v>
      </c>
    </row>
    <row r="113" spans="1:4">
      <c r="A113" s="19" t="str">
        <f t="shared" si="18"/>
        <v>АСУЭ.SEPAM.mVo</v>
      </c>
      <c r="B113" s="11">
        <v>8001</v>
      </c>
      <c r="C113" s="11" t="s">
        <v>2</v>
      </c>
      <c r="D113" s="20" t="s">
        <v>266</v>
      </c>
    </row>
    <row r="114" spans="1:4">
      <c r="A114" s="19" t="str">
        <f t="shared" si="18"/>
        <v>АСУЭ.SEPAM.mVo</v>
      </c>
      <c r="B114" s="11">
        <v>8006</v>
      </c>
      <c r="C114" s="11" t="s">
        <v>2</v>
      </c>
      <c r="D114" s="20" t="s">
        <v>175</v>
      </c>
    </row>
    <row r="115" spans="1:4">
      <c r="A115" s="19" t="str">
        <f t="shared" si="18"/>
        <v>АСУЭ.SEPAM.mVo</v>
      </c>
      <c r="B115" s="11">
        <v>101</v>
      </c>
      <c r="C115" s="11" t="s">
        <v>0</v>
      </c>
      <c r="D115" s="20" t="str">
        <f>$H$2&amp;". Напряжение 0-ой посл-ти"</f>
        <v>SEPAM. Напряжение 0-ой посл-ти</v>
      </c>
    </row>
    <row r="116" spans="1:4">
      <c r="A116" s="19" t="str">
        <f t="shared" si="18"/>
        <v>АСУЭ.SEPAM.mVo</v>
      </c>
      <c r="B116" s="11">
        <v>100</v>
      </c>
      <c r="C116" s="11" t="s">
        <v>0</v>
      </c>
      <c r="D116" s="20" t="s">
        <v>1588</v>
      </c>
    </row>
    <row r="117" spans="1:4">
      <c r="A117" s="21" t="str">
        <f t="shared" si="18"/>
        <v>АСУЭ.SEPAM.mVo</v>
      </c>
      <c r="B117" s="8">
        <v>8002</v>
      </c>
      <c r="C117" s="8" t="s">
        <v>819</v>
      </c>
      <c r="D117" s="22">
        <f>$K$2*10000</f>
        <v>10000000</v>
      </c>
    </row>
    <row r="118" spans="1:4">
      <c r="A118" s="16" t="str">
        <f t="shared" ref="A118:A123" si="19">$I$2&amp;".mVd"</f>
        <v>АСУЭ.SEPAM.mVd</v>
      </c>
      <c r="B118" s="17">
        <v>1</v>
      </c>
      <c r="C118" s="17" t="s">
        <v>1</v>
      </c>
      <c r="D118" s="18">
        <v>3</v>
      </c>
    </row>
    <row r="119" spans="1:4">
      <c r="A119" s="19" t="str">
        <f t="shared" si="19"/>
        <v>АСУЭ.SEPAM.mVd</v>
      </c>
      <c r="B119" s="11">
        <v>8001</v>
      </c>
      <c r="C119" s="11" t="s">
        <v>2</v>
      </c>
      <c r="D119" s="20" t="s">
        <v>266</v>
      </c>
    </row>
    <row r="120" spans="1:4">
      <c r="A120" s="19" t="str">
        <f t="shared" si="19"/>
        <v>АСУЭ.SEPAM.mVd</v>
      </c>
      <c r="B120" s="11">
        <v>8006</v>
      </c>
      <c r="C120" s="11" t="s">
        <v>2</v>
      </c>
      <c r="D120" s="20" t="s">
        <v>175</v>
      </c>
    </row>
    <row r="121" spans="1:4">
      <c r="A121" s="19" t="str">
        <f t="shared" si="19"/>
        <v>АСУЭ.SEPAM.mVd</v>
      </c>
      <c r="B121" s="11">
        <v>101</v>
      </c>
      <c r="C121" s="11" t="s">
        <v>0</v>
      </c>
      <c r="D121" s="20" t="str">
        <f>$H$2&amp;". Напряжение прям. посл-ти"</f>
        <v>SEPAM. Напряжение прям. посл-ти</v>
      </c>
    </row>
    <row r="122" spans="1:4">
      <c r="A122" s="19" t="str">
        <f t="shared" si="19"/>
        <v>АСУЭ.SEPAM.mVd</v>
      </c>
      <c r="B122" s="11">
        <v>100</v>
      </c>
      <c r="C122" s="11" t="s">
        <v>0</v>
      </c>
      <c r="D122" s="20" t="s">
        <v>1588</v>
      </c>
    </row>
    <row r="123" spans="1:4">
      <c r="A123" s="21" t="str">
        <f t="shared" si="19"/>
        <v>АСУЭ.SEPAM.mVd</v>
      </c>
      <c r="B123" s="8">
        <v>8002</v>
      </c>
      <c r="C123" s="8" t="s">
        <v>819</v>
      </c>
      <c r="D123" s="22">
        <f>$K$2*10000</f>
        <v>10000000</v>
      </c>
    </row>
    <row r="124" spans="1:4">
      <c r="A124" s="16" t="str">
        <f t="shared" ref="A124:A129" si="20">$I$2&amp;".mP"</f>
        <v>АСУЭ.SEPAM.mP</v>
      </c>
      <c r="B124" s="17">
        <v>1</v>
      </c>
      <c r="C124" s="17" t="s">
        <v>1</v>
      </c>
      <c r="D124" s="18">
        <v>3</v>
      </c>
    </row>
    <row r="125" spans="1:4">
      <c r="A125" s="19" t="str">
        <f t="shared" si="20"/>
        <v>АСУЭ.SEPAM.mP</v>
      </c>
      <c r="B125" s="11">
        <v>8001</v>
      </c>
      <c r="C125" s="11" t="s">
        <v>2</v>
      </c>
      <c r="D125" s="20" t="s">
        <v>266</v>
      </c>
    </row>
    <row r="126" spans="1:4">
      <c r="A126" s="19" t="str">
        <f t="shared" si="20"/>
        <v>АСУЭ.SEPAM.mP</v>
      </c>
      <c r="B126" s="11">
        <v>8006</v>
      </c>
      <c r="C126" s="11" t="s">
        <v>2</v>
      </c>
      <c r="D126" s="20" t="s">
        <v>175</v>
      </c>
    </row>
    <row r="127" spans="1:4">
      <c r="A127" s="19" t="str">
        <f t="shared" si="20"/>
        <v>АСУЭ.SEPAM.mP</v>
      </c>
      <c r="B127" s="11">
        <v>101</v>
      </c>
      <c r="C127" s="11" t="s">
        <v>0</v>
      </c>
      <c r="D127" s="20" t="str">
        <f>$H$2&amp;". Мощность активная"</f>
        <v>SEPAM. Мощность активная</v>
      </c>
    </row>
    <row r="128" spans="1:4">
      <c r="A128" s="19" t="str">
        <f t="shared" si="20"/>
        <v>АСУЭ.SEPAM.mP</v>
      </c>
      <c r="B128" s="11">
        <v>100</v>
      </c>
      <c r="C128" s="11" t="s">
        <v>0</v>
      </c>
      <c r="D128" s="20" t="s">
        <v>1586</v>
      </c>
    </row>
    <row r="129" spans="1:4">
      <c r="A129" s="21" t="str">
        <f t="shared" si="20"/>
        <v>АСУЭ.SEPAM.mP</v>
      </c>
      <c r="B129" s="8">
        <v>8002</v>
      </c>
      <c r="C129" s="8" t="s">
        <v>819</v>
      </c>
      <c r="D129" s="22">
        <f>$K$2*10000</f>
        <v>10000000</v>
      </c>
    </row>
    <row r="130" spans="1:4">
      <c r="A130" s="16" t="str">
        <f t="shared" ref="A130:A135" si="21">$I$2&amp;".mQ"</f>
        <v>АСУЭ.SEPAM.mQ</v>
      </c>
      <c r="B130" s="17">
        <v>1</v>
      </c>
      <c r="C130" s="17" t="s">
        <v>1</v>
      </c>
      <c r="D130" s="18">
        <v>3</v>
      </c>
    </row>
    <row r="131" spans="1:4">
      <c r="A131" s="19" t="str">
        <f t="shared" si="21"/>
        <v>АСУЭ.SEPAM.mQ</v>
      </c>
      <c r="B131" s="11">
        <v>8001</v>
      </c>
      <c r="C131" s="11" t="s">
        <v>2</v>
      </c>
      <c r="D131" s="20" t="s">
        <v>266</v>
      </c>
    </row>
    <row r="132" spans="1:4">
      <c r="A132" s="19" t="str">
        <f t="shared" si="21"/>
        <v>АСУЭ.SEPAM.mQ</v>
      </c>
      <c r="B132" s="11">
        <v>8006</v>
      </c>
      <c r="C132" s="11" t="s">
        <v>2</v>
      </c>
      <c r="D132" s="20" t="s">
        <v>175</v>
      </c>
    </row>
    <row r="133" spans="1:4">
      <c r="A133" s="19" t="str">
        <f t="shared" si="21"/>
        <v>АСУЭ.SEPAM.mQ</v>
      </c>
      <c r="B133" s="11">
        <v>101</v>
      </c>
      <c r="C133" s="11" t="s">
        <v>0</v>
      </c>
      <c r="D133" s="20" t="str">
        <f>$H$2&amp;". Мощность реактивная"</f>
        <v>SEPAM. Мощность реактивная</v>
      </c>
    </row>
    <row r="134" spans="1:4">
      <c r="A134" s="19" t="str">
        <f t="shared" si="21"/>
        <v>АСУЭ.SEPAM.mQ</v>
      </c>
      <c r="B134" s="11">
        <v>100</v>
      </c>
      <c r="C134" s="11" t="s">
        <v>0</v>
      </c>
      <c r="D134" s="20" t="s">
        <v>1587</v>
      </c>
    </row>
    <row r="135" spans="1:4">
      <c r="A135" s="21" t="str">
        <f t="shared" si="21"/>
        <v>АСУЭ.SEPAM.mQ</v>
      </c>
      <c r="B135" s="8">
        <v>8002</v>
      </c>
      <c r="C135" s="8" t="s">
        <v>819</v>
      </c>
      <c r="D135" s="22">
        <f>$K$2*10000</f>
        <v>10000000</v>
      </c>
    </row>
    <row r="136" spans="1:4">
      <c r="A136" s="16" t="str">
        <f t="shared" ref="A136:A141" si="22">$I$2&amp;".mS"</f>
        <v>АСУЭ.SEPAM.mS</v>
      </c>
      <c r="B136" s="17">
        <v>1</v>
      </c>
      <c r="C136" s="17" t="s">
        <v>1</v>
      </c>
      <c r="D136" s="18">
        <v>3</v>
      </c>
    </row>
    <row r="137" spans="1:4">
      <c r="A137" s="19" t="str">
        <f t="shared" si="22"/>
        <v>АСУЭ.SEPAM.mS</v>
      </c>
      <c r="B137" s="11">
        <v>8001</v>
      </c>
      <c r="C137" s="11" t="s">
        <v>2</v>
      </c>
      <c r="D137" s="20" t="s">
        <v>266</v>
      </c>
    </row>
    <row r="138" spans="1:4">
      <c r="A138" s="19" t="str">
        <f t="shared" si="22"/>
        <v>АСУЭ.SEPAM.mS</v>
      </c>
      <c r="B138" s="11">
        <v>8006</v>
      </c>
      <c r="C138" s="11" t="s">
        <v>2</v>
      </c>
      <c r="D138" s="20" t="s">
        <v>175</v>
      </c>
    </row>
    <row r="139" spans="1:4">
      <c r="A139" s="19" t="str">
        <f t="shared" si="22"/>
        <v>АСУЭ.SEPAM.mS</v>
      </c>
      <c r="B139" s="11">
        <v>101</v>
      </c>
      <c r="C139" s="11" t="s">
        <v>0</v>
      </c>
      <c r="D139" s="20" t="str">
        <f>$H$2&amp;". Мощность полная"</f>
        <v>SEPAM. Мощность полная</v>
      </c>
    </row>
    <row r="140" spans="1:4">
      <c r="A140" s="19" t="str">
        <f t="shared" si="22"/>
        <v>АСУЭ.SEPAM.mS</v>
      </c>
      <c r="B140" s="11">
        <v>100</v>
      </c>
      <c r="C140" s="11" t="s">
        <v>0</v>
      </c>
      <c r="D140" s="20" t="s">
        <v>1589</v>
      </c>
    </row>
    <row r="141" spans="1:4">
      <c r="A141" s="21" t="str">
        <f t="shared" si="22"/>
        <v>АСУЭ.SEPAM.mS</v>
      </c>
      <c r="B141" s="8">
        <v>8002</v>
      </c>
      <c r="C141" s="8" t="s">
        <v>819</v>
      </c>
      <c r="D141" s="22">
        <f>$K$2*10000</f>
        <v>10000000</v>
      </c>
    </row>
    <row r="142" spans="1:4">
      <c r="A142" s="16" t="str">
        <f t="shared" ref="A142:A147" si="23">$I$2&amp;".mU13"</f>
        <v>АСУЭ.SEPAM.mU13</v>
      </c>
      <c r="B142" s="17">
        <v>1</v>
      </c>
      <c r="C142" s="17" t="s">
        <v>1</v>
      </c>
      <c r="D142" s="18">
        <v>3</v>
      </c>
    </row>
    <row r="143" spans="1:4">
      <c r="A143" s="19" t="str">
        <f t="shared" si="23"/>
        <v>АСУЭ.SEPAM.mU13</v>
      </c>
      <c r="B143" s="11">
        <v>8001</v>
      </c>
      <c r="C143" s="11" t="s">
        <v>2</v>
      </c>
      <c r="D143" s="20" t="s">
        <v>266</v>
      </c>
    </row>
    <row r="144" spans="1:4">
      <c r="A144" s="19" t="str">
        <f t="shared" si="23"/>
        <v>АСУЭ.SEPAM.mU13</v>
      </c>
      <c r="B144" s="11">
        <v>8006</v>
      </c>
      <c r="C144" s="11" t="s">
        <v>2</v>
      </c>
      <c r="D144" s="20" t="s">
        <v>175</v>
      </c>
    </row>
    <row r="145" spans="1:4">
      <c r="A145" s="19" t="str">
        <f t="shared" si="23"/>
        <v>АСУЭ.SEPAM.mU13</v>
      </c>
      <c r="B145" s="11">
        <v>101</v>
      </c>
      <c r="C145" s="11" t="s">
        <v>0</v>
      </c>
      <c r="D145" s="20" t="str">
        <f>$H$2&amp;". Линейное напряжение U13"</f>
        <v>SEPAM. Линейное напряжение U13</v>
      </c>
    </row>
    <row r="146" spans="1:4">
      <c r="A146" s="19" t="str">
        <f t="shared" si="23"/>
        <v>АСУЭ.SEPAM.mU13</v>
      </c>
      <c r="B146" s="11">
        <v>100</v>
      </c>
      <c r="C146" s="11" t="s">
        <v>0</v>
      </c>
      <c r="D146" s="20" t="s">
        <v>1588</v>
      </c>
    </row>
    <row r="147" spans="1:4">
      <c r="A147" s="21" t="str">
        <f t="shared" si="23"/>
        <v>АСУЭ.SEPAM.mU13</v>
      </c>
      <c r="B147" s="8">
        <v>8002</v>
      </c>
      <c r="C147" s="8" t="s">
        <v>819</v>
      </c>
      <c r="D147" s="22">
        <f>$K$2*10000</f>
        <v>10000000</v>
      </c>
    </row>
    <row r="148" spans="1:4">
      <c r="A148" s="16" t="str">
        <f t="shared" ref="A148:A153" si="24">$I$2&amp;".mU21"</f>
        <v>АСУЭ.SEPAM.mU21</v>
      </c>
      <c r="B148" s="17">
        <v>1</v>
      </c>
      <c r="C148" s="17" t="s">
        <v>1</v>
      </c>
      <c r="D148" s="18">
        <v>3</v>
      </c>
    </row>
    <row r="149" spans="1:4">
      <c r="A149" s="19" t="str">
        <f t="shared" si="24"/>
        <v>АСУЭ.SEPAM.mU21</v>
      </c>
      <c r="B149" s="11">
        <v>8001</v>
      </c>
      <c r="C149" s="11" t="s">
        <v>2</v>
      </c>
      <c r="D149" s="20" t="s">
        <v>266</v>
      </c>
    </row>
    <row r="150" spans="1:4">
      <c r="A150" s="19" t="str">
        <f t="shared" si="24"/>
        <v>АСУЭ.SEPAM.mU21</v>
      </c>
      <c r="B150" s="11">
        <v>8006</v>
      </c>
      <c r="C150" s="11" t="s">
        <v>2</v>
      </c>
      <c r="D150" s="20" t="s">
        <v>175</v>
      </c>
    </row>
    <row r="151" spans="1:4">
      <c r="A151" s="19" t="str">
        <f t="shared" si="24"/>
        <v>АСУЭ.SEPAM.mU21</v>
      </c>
      <c r="B151" s="11">
        <v>101</v>
      </c>
      <c r="C151" s="11" t="s">
        <v>0</v>
      </c>
      <c r="D151" s="20" t="str">
        <f>$H$2&amp;". Линейное напряжение U21"</f>
        <v>SEPAM. Линейное напряжение U21</v>
      </c>
    </row>
    <row r="152" spans="1:4">
      <c r="A152" s="19" t="str">
        <f t="shared" si="24"/>
        <v>АСУЭ.SEPAM.mU21</v>
      </c>
      <c r="B152" s="11">
        <v>100</v>
      </c>
      <c r="C152" s="11" t="s">
        <v>0</v>
      </c>
      <c r="D152" s="20" t="s">
        <v>1588</v>
      </c>
    </row>
    <row r="153" spans="1:4">
      <c r="A153" s="21" t="str">
        <f t="shared" si="24"/>
        <v>АСУЭ.SEPAM.mU21</v>
      </c>
      <c r="B153" s="8">
        <v>8002</v>
      </c>
      <c r="C153" s="8" t="s">
        <v>819</v>
      </c>
      <c r="D153" s="22">
        <f>$K$2*10000</f>
        <v>10000000</v>
      </c>
    </row>
    <row r="154" spans="1:4">
      <c r="A154" s="16" t="str">
        <f t="shared" ref="A154:A159" si="25">$I$2&amp;".mU32"</f>
        <v>АСУЭ.SEPAM.mU32</v>
      </c>
      <c r="B154" s="17">
        <v>1</v>
      </c>
      <c r="C154" s="17" t="s">
        <v>1</v>
      </c>
      <c r="D154" s="18">
        <v>3</v>
      </c>
    </row>
    <row r="155" spans="1:4">
      <c r="A155" s="19" t="str">
        <f t="shared" si="25"/>
        <v>АСУЭ.SEPAM.mU32</v>
      </c>
      <c r="B155" s="11">
        <v>8001</v>
      </c>
      <c r="C155" s="11" t="s">
        <v>2</v>
      </c>
      <c r="D155" s="20" t="s">
        <v>266</v>
      </c>
    </row>
    <row r="156" spans="1:4">
      <c r="A156" s="19" t="str">
        <f t="shared" si="25"/>
        <v>АСУЭ.SEPAM.mU32</v>
      </c>
      <c r="B156" s="11">
        <v>8006</v>
      </c>
      <c r="C156" s="11" t="s">
        <v>2</v>
      </c>
      <c r="D156" s="20" t="s">
        <v>175</v>
      </c>
    </row>
    <row r="157" spans="1:4">
      <c r="A157" s="19" t="str">
        <f t="shared" si="25"/>
        <v>АСУЭ.SEPAM.mU32</v>
      </c>
      <c r="B157" s="11">
        <v>101</v>
      </c>
      <c r="C157" s="11" t="s">
        <v>0</v>
      </c>
      <c r="D157" s="20" t="str">
        <f>$H$2&amp;". Линейное напряжение U32"</f>
        <v>SEPAM. Линейное напряжение U32</v>
      </c>
    </row>
    <row r="158" spans="1:4">
      <c r="A158" s="19" t="str">
        <f t="shared" si="25"/>
        <v>АСУЭ.SEPAM.mU32</v>
      </c>
      <c r="B158" s="11">
        <v>100</v>
      </c>
      <c r="C158" s="11" t="s">
        <v>0</v>
      </c>
      <c r="D158" s="20" t="s">
        <v>1588</v>
      </c>
    </row>
    <row r="159" spans="1:4">
      <c r="A159" s="21" t="str">
        <f t="shared" si="25"/>
        <v>АСУЭ.SEPAM.mU32</v>
      </c>
      <c r="B159" s="8">
        <v>8002</v>
      </c>
      <c r="C159" s="8" t="s">
        <v>819</v>
      </c>
      <c r="D159" s="22">
        <f>$K$2*10000</f>
        <v>10000000</v>
      </c>
    </row>
    <row r="160" spans="1:4">
      <c r="A160" s="16" t="str">
        <f t="shared" ref="A160:A165" si="26">$I$2&amp;".mEaMinus"</f>
        <v>АСУЭ.SEPAM.mEaMinus</v>
      </c>
      <c r="B160" s="17">
        <v>1</v>
      </c>
      <c r="C160" s="17" t="s">
        <v>1</v>
      </c>
      <c r="D160" s="18">
        <v>3</v>
      </c>
    </row>
    <row r="161" spans="1:4">
      <c r="A161" s="19" t="str">
        <f t="shared" si="26"/>
        <v>АСУЭ.SEPAM.mEaMinus</v>
      </c>
      <c r="B161" s="11">
        <v>8001</v>
      </c>
      <c r="C161" s="11" t="s">
        <v>2</v>
      </c>
      <c r="D161" s="20" t="s">
        <v>266</v>
      </c>
    </row>
    <row r="162" spans="1:4">
      <c r="A162" s="19" t="str">
        <f t="shared" si="26"/>
        <v>АСУЭ.SEPAM.mEaMinus</v>
      </c>
      <c r="B162" s="11">
        <v>8006</v>
      </c>
      <c r="C162" s="11" t="s">
        <v>2</v>
      </c>
      <c r="D162" s="20" t="s">
        <v>175</v>
      </c>
    </row>
    <row r="163" spans="1:4">
      <c r="A163" s="19" t="str">
        <f t="shared" si="26"/>
        <v>АСУЭ.SEPAM.mEaMinus</v>
      </c>
      <c r="B163" s="11">
        <v>101</v>
      </c>
      <c r="C163" s="11" t="s">
        <v>0</v>
      </c>
      <c r="D163" s="20" t="str">
        <f>$H$2&amp;". Энергия активная(-)"</f>
        <v>SEPAM. Энергия активная(-)</v>
      </c>
    </row>
    <row r="164" spans="1:4">
      <c r="A164" s="19" t="str">
        <f t="shared" si="26"/>
        <v>АСУЭ.SEPAM.mEaMinus</v>
      </c>
      <c r="B164" s="11">
        <v>100</v>
      </c>
      <c r="C164" s="11" t="s">
        <v>0</v>
      </c>
      <c r="D164" s="20" t="s">
        <v>1591</v>
      </c>
    </row>
    <row r="165" spans="1:4">
      <c r="A165" s="21" t="str">
        <f t="shared" si="26"/>
        <v>АСУЭ.SEPAM.mEaMinus</v>
      </c>
      <c r="B165" s="8">
        <v>8002</v>
      </c>
      <c r="C165" s="8" t="s">
        <v>819</v>
      </c>
      <c r="D165" s="22">
        <f>$K$2*10000</f>
        <v>10000000</v>
      </c>
    </row>
    <row r="166" spans="1:4">
      <c r="A166" s="16" t="str">
        <f t="shared" ref="A166:A171" si="27">$I$2&amp;".mEaPlus"</f>
        <v>АСУЭ.SEPAM.mEaPlus</v>
      </c>
      <c r="B166" s="17">
        <v>1</v>
      </c>
      <c r="C166" s="17" t="s">
        <v>1</v>
      </c>
      <c r="D166" s="18">
        <v>3</v>
      </c>
    </row>
    <row r="167" spans="1:4">
      <c r="A167" s="19" t="str">
        <f t="shared" si="27"/>
        <v>АСУЭ.SEPAM.mEaPlus</v>
      </c>
      <c r="B167" s="11">
        <v>8001</v>
      </c>
      <c r="C167" s="11" t="s">
        <v>2</v>
      </c>
      <c r="D167" s="20" t="s">
        <v>266</v>
      </c>
    </row>
    <row r="168" spans="1:4">
      <c r="A168" s="19" t="str">
        <f t="shared" si="27"/>
        <v>АСУЭ.SEPAM.mEaPlus</v>
      </c>
      <c r="B168" s="11">
        <v>8006</v>
      </c>
      <c r="C168" s="11" t="s">
        <v>2</v>
      </c>
      <c r="D168" s="20" t="s">
        <v>175</v>
      </c>
    </row>
    <row r="169" spans="1:4">
      <c r="A169" s="19" t="str">
        <f t="shared" si="27"/>
        <v>АСУЭ.SEPAM.mEaPlus</v>
      </c>
      <c r="B169" s="11">
        <v>101</v>
      </c>
      <c r="C169" s="11" t="s">
        <v>0</v>
      </c>
      <c r="D169" s="20" t="str">
        <f>$H$2&amp;". Энергия активная(+)"</f>
        <v>SEPAM. Энергия активная(+)</v>
      </c>
    </row>
    <row r="170" spans="1:4">
      <c r="A170" s="19" t="str">
        <f t="shared" si="27"/>
        <v>АСУЭ.SEPAM.mEaPlus</v>
      </c>
      <c r="B170" s="11">
        <v>100</v>
      </c>
      <c r="C170" s="11" t="s">
        <v>0</v>
      </c>
      <c r="D170" s="20" t="s">
        <v>1591</v>
      </c>
    </row>
    <row r="171" spans="1:4">
      <c r="A171" s="21" t="str">
        <f t="shared" si="27"/>
        <v>АСУЭ.SEPAM.mEaPlus</v>
      </c>
      <c r="B171" s="8">
        <v>8002</v>
      </c>
      <c r="C171" s="8" t="s">
        <v>819</v>
      </c>
      <c r="D171" s="22">
        <f>$K$2*10000</f>
        <v>10000000</v>
      </c>
    </row>
    <row r="172" spans="1:4">
      <c r="A172" s="16" t="str">
        <f t="shared" ref="A172:A177" si="28">$I$2&amp;".mErMinus"</f>
        <v>АСУЭ.SEPAM.mErMinus</v>
      </c>
      <c r="B172" s="17">
        <v>1</v>
      </c>
      <c r="C172" s="17" t="s">
        <v>1</v>
      </c>
      <c r="D172" s="18">
        <v>3</v>
      </c>
    </row>
    <row r="173" spans="1:4">
      <c r="A173" s="19" t="str">
        <f t="shared" si="28"/>
        <v>АСУЭ.SEPAM.mErMinus</v>
      </c>
      <c r="B173" s="11">
        <v>8001</v>
      </c>
      <c r="C173" s="11" t="s">
        <v>2</v>
      </c>
      <c r="D173" s="20" t="s">
        <v>266</v>
      </c>
    </row>
    <row r="174" spans="1:4">
      <c r="A174" s="19" t="str">
        <f t="shared" si="28"/>
        <v>АСУЭ.SEPAM.mErMinus</v>
      </c>
      <c r="B174" s="11">
        <v>8006</v>
      </c>
      <c r="C174" s="11" t="s">
        <v>2</v>
      </c>
      <c r="D174" s="20" t="s">
        <v>175</v>
      </c>
    </row>
    <row r="175" spans="1:4">
      <c r="A175" s="19" t="str">
        <f t="shared" si="28"/>
        <v>АСУЭ.SEPAM.mErMinus</v>
      </c>
      <c r="B175" s="11">
        <v>101</v>
      </c>
      <c r="C175" s="11" t="s">
        <v>0</v>
      </c>
      <c r="D175" s="20" t="str">
        <f>$H$2&amp;". Энергия реактивная(-)"</f>
        <v>SEPAM. Энергия реактивная(-)</v>
      </c>
    </row>
    <row r="176" spans="1:4">
      <c r="A176" s="19" t="str">
        <f t="shared" si="28"/>
        <v>АСУЭ.SEPAM.mErMinus</v>
      </c>
      <c r="B176" s="11">
        <v>100</v>
      </c>
      <c r="C176" s="11" t="s">
        <v>0</v>
      </c>
      <c r="D176" s="20" t="s">
        <v>1591</v>
      </c>
    </row>
    <row r="177" spans="1:4">
      <c r="A177" s="21" t="str">
        <f t="shared" si="28"/>
        <v>АСУЭ.SEPAM.mErMinus</v>
      </c>
      <c r="B177" s="8">
        <v>8002</v>
      </c>
      <c r="C177" s="8" t="s">
        <v>819</v>
      </c>
      <c r="D177" s="22">
        <f>$K$2*10000</f>
        <v>10000000</v>
      </c>
    </row>
    <row r="178" spans="1:4">
      <c r="A178" s="16" t="str">
        <f t="shared" ref="A178:A183" si="29">$I$2&amp;".mErPlus"</f>
        <v>АСУЭ.SEPAM.mErPlus</v>
      </c>
      <c r="B178" s="17">
        <v>1</v>
      </c>
      <c r="C178" s="17" t="s">
        <v>1</v>
      </c>
      <c r="D178" s="18">
        <v>3</v>
      </c>
    </row>
    <row r="179" spans="1:4">
      <c r="A179" s="19" t="str">
        <f t="shared" si="29"/>
        <v>АСУЭ.SEPAM.mErPlus</v>
      </c>
      <c r="B179" s="11">
        <v>8001</v>
      </c>
      <c r="C179" s="11" t="s">
        <v>2</v>
      </c>
      <c r="D179" s="20" t="s">
        <v>266</v>
      </c>
    </row>
    <row r="180" spans="1:4">
      <c r="A180" s="19" t="str">
        <f t="shared" si="29"/>
        <v>АСУЭ.SEPAM.mErPlus</v>
      </c>
      <c r="B180" s="11">
        <v>8006</v>
      </c>
      <c r="C180" s="11" t="s">
        <v>2</v>
      </c>
      <c r="D180" s="20" t="s">
        <v>175</v>
      </c>
    </row>
    <row r="181" spans="1:4">
      <c r="A181" s="19" t="str">
        <f t="shared" si="29"/>
        <v>АСУЭ.SEPAM.mErPlus</v>
      </c>
      <c r="B181" s="11">
        <v>101</v>
      </c>
      <c r="C181" s="11" t="s">
        <v>0</v>
      </c>
      <c r="D181" s="20" t="str">
        <f>$H$2&amp;". Энергия реактивная(+)"</f>
        <v>SEPAM. Энергия реактивная(+)</v>
      </c>
    </row>
    <row r="182" spans="1:4">
      <c r="A182" s="19" t="str">
        <f t="shared" si="29"/>
        <v>АСУЭ.SEPAM.mErPlus</v>
      </c>
      <c r="B182" s="11">
        <v>100</v>
      </c>
      <c r="C182" s="11" t="s">
        <v>0</v>
      </c>
      <c r="D182" s="20" t="s">
        <v>1591</v>
      </c>
    </row>
    <row r="183" spans="1:4">
      <c r="A183" s="21" t="str">
        <f t="shared" si="29"/>
        <v>АСУЭ.SEPAM.mErPlus</v>
      </c>
      <c r="B183" s="8">
        <v>8002</v>
      </c>
      <c r="C183" s="8" t="s">
        <v>819</v>
      </c>
      <c r="D183" s="22">
        <f>$K$2*10000</f>
        <v>10000000</v>
      </c>
    </row>
  </sheetData>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sheetPr codeName="Лист147">
    <tabColor theme="0" tint="-0.34998626667073579"/>
  </sheetPr>
  <dimension ref="A1:K183"/>
  <sheetViews>
    <sheetView topLeftCell="E1" workbookViewId="0">
      <selection activeCell="D2" sqref="D2:D4"/>
    </sheetView>
  </sheetViews>
  <sheetFormatPr defaultRowHeight="14.4"/>
  <cols>
    <col min="1" max="1" width="52.88671875" style="55" customWidth="1"/>
    <col min="4" max="4" width="85" customWidth="1"/>
    <col min="8" max="9" width="40.6640625" customWidth="1"/>
    <col min="10" max="10" width="28.44140625" customWidth="1"/>
    <col min="11" max="11" width="25.6640625" customWidth="1"/>
  </cols>
  <sheetData>
    <row r="1" spans="1:11">
      <c r="A1" s="57"/>
      <c r="B1" s="10"/>
      <c r="C1" s="10"/>
      <c r="D1" s="10"/>
      <c r="E1" s="10"/>
      <c r="F1" s="10"/>
      <c r="G1" s="10"/>
      <c r="H1" s="54" t="s">
        <v>269</v>
      </c>
      <c r="I1" s="54" t="s">
        <v>268</v>
      </c>
      <c r="J1" s="54" t="s">
        <v>512</v>
      </c>
      <c r="K1" s="54" t="s">
        <v>1471</v>
      </c>
    </row>
    <row r="2" spans="1:11" ht="15" customHeight="1">
      <c r="A2" s="57"/>
      <c r="B2" s="10"/>
      <c r="C2" s="10"/>
      <c r="D2" s="10"/>
      <c r="E2" s="10"/>
      <c r="F2" s="10"/>
      <c r="G2" s="10"/>
      <c r="H2" s="73" t="s">
        <v>331</v>
      </c>
      <c r="I2" s="73" t="s">
        <v>747</v>
      </c>
      <c r="J2" s="2"/>
      <c r="K2" s="2">
        <f>Настройки!M18</f>
        <v>1000</v>
      </c>
    </row>
    <row r="3" spans="1:11" ht="15" customHeight="1">
      <c r="A3" s="549" t="str">
        <f xml:space="preserve"> $I$2</f>
        <v>АСУЭ.SEPAM</v>
      </c>
      <c r="B3" s="550">
        <v>101</v>
      </c>
      <c r="C3" s="551" t="s">
        <v>0</v>
      </c>
      <c r="D3" s="552" t="str">
        <f>$H$2</f>
        <v>SEPAM</v>
      </c>
      <c r="E3" s="4"/>
      <c r="F3" s="4"/>
      <c r="G3" s="4"/>
      <c r="H3" s="239"/>
      <c r="I3" s="239"/>
    </row>
    <row r="4" spans="1:11">
      <c r="A4" s="16" t="str">
        <f t="shared" ref="A4:A9" si="0">$I$2&amp;".mCosPhi"</f>
        <v>АСУЭ.SEPAM.mCosPhi</v>
      </c>
      <c r="B4" s="17">
        <v>1</v>
      </c>
      <c r="C4" s="17" t="s">
        <v>1</v>
      </c>
      <c r="D4" s="18">
        <v>3</v>
      </c>
    </row>
    <row r="5" spans="1:11">
      <c r="A5" s="19" t="str">
        <f t="shared" si="0"/>
        <v>АСУЭ.SEPAM.mCosPhi</v>
      </c>
      <c r="B5" s="11">
        <v>8001</v>
      </c>
      <c r="C5" s="11" t="s">
        <v>2</v>
      </c>
      <c r="D5" s="20" t="s">
        <v>266</v>
      </c>
    </row>
    <row r="6" spans="1:11">
      <c r="A6" s="19" t="str">
        <f t="shared" si="0"/>
        <v>АСУЭ.SEPAM.mCosPhi</v>
      </c>
      <c r="B6" s="11">
        <v>8006</v>
      </c>
      <c r="C6" s="11" t="s">
        <v>2</v>
      </c>
      <c r="D6" s="20" t="s">
        <v>175</v>
      </c>
    </row>
    <row r="7" spans="1:11">
      <c r="A7" s="19" t="str">
        <f t="shared" si="0"/>
        <v>АСУЭ.SEPAM.mCosPhi</v>
      </c>
      <c r="B7" s="11">
        <v>101</v>
      </c>
      <c r="C7" s="11" t="s">
        <v>0</v>
      </c>
      <c r="D7" s="20" t="str">
        <f>$H$2&amp;". Косинус Phi"</f>
        <v>SEPAM. Косинус Phi</v>
      </c>
    </row>
    <row r="8" spans="1:11">
      <c r="A8" s="19" t="str">
        <f t="shared" si="0"/>
        <v>АСУЭ.SEPAM.mCosPhi</v>
      </c>
      <c r="B8" s="11">
        <v>100</v>
      </c>
      <c r="C8" s="11" t="s">
        <v>0</v>
      </c>
      <c r="D8" s="20" t="s">
        <v>446</v>
      </c>
    </row>
    <row r="9" spans="1:11">
      <c r="A9" s="21" t="str">
        <f t="shared" si="0"/>
        <v>АСУЭ.SEPAM.mCosPhi</v>
      </c>
      <c r="B9" s="8">
        <v>8002</v>
      </c>
      <c r="C9" s="8" t="s">
        <v>819</v>
      </c>
      <c r="D9" s="22">
        <f>$K$2*10000</f>
        <v>10000000</v>
      </c>
    </row>
    <row r="10" spans="1:11">
      <c r="A10" s="16" t="str">
        <f t="shared" ref="A10:A15" si="1">$I$2&amp;".mFreq"</f>
        <v>АСУЭ.SEPAM.mFreq</v>
      </c>
      <c r="B10" s="17">
        <v>1</v>
      </c>
      <c r="C10" s="17" t="s">
        <v>1</v>
      </c>
      <c r="D10" s="18">
        <v>3</v>
      </c>
    </row>
    <row r="11" spans="1:11">
      <c r="A11" s="19" t="str">
        <f t="shared" si="1"/>
        <v>АСУЭ.SEPAM.mFreq</v>
      </c>
      <c r="B11" s="11">
        <v>8001</v>
      </c>
      <c r="C11" s="11" t="s">
        <v>2</v>
      </c>
      <c r="D11" s="20" t="s">
        <v>266</v>
      </c>
    </row>
    <row r="12" spans="1:11">
      <c r="A12" s="19" t="str">
        <f t="shared" si="1"/>
        <v>АСУЭ.SEPAM.mFreq</v>
      </c>
      <c r="B12" s="11">
        <v>8006</v>
      </c>
      <c r="C12" s="11" t="s">
        <v>2</v>
      </c>
      <c r="D12" s="20" t="s">
        <v>175</v>
      </c>
    </row>
    <row r="13" spans="1:11">
      <c r="A13" s="19" t="str">
        <f t="shared" si="1"/>
        <v>АСУЭ.SEPAM.mFreq</v>
      </c>
      <c r="B13" s="11">
        <v>101</v>
      </c>
      <c r="C13" s="11" t="s">
        <v>0</v>
      </c>
      <c r="D13" s="20" t="str">
        <f>$H$2&amp;". Частота"</f>
        <v>SEPAM. Частота</v>
      </c>
    </row>
    <row r="14" spans="1:11">
      <c r="A14" s="19" t="str">
        <f t="shared" si="1"/>
        <v>АСУЭ.SEPAM.mFreq</v>
      </c>
      <c r="B14" s="11">
        <v>100</v>
      </c>
      <c r="C14" s="11" t="s">
        <v>0</v>
      </c>
      <c r="D14" s="20" t="s">
        <v>1585</v>
      </c>
    </row>
    <row r="15" spans="1:11">
      <c r="A15" s="21" t="str">
        <f t="shared" si="1"/>
        <v>АСУЭ.SEPAM.mFreq</v>
      </c>
      <c r="B15" s="8">
        <v>8002</v>
      </c>
      <c r="C15" s="8" t="s">
        <v>819</v>
      </c>
      <c r="D15" s="22">
        <f>$K$2*10000</f>
        <v>10000000</v>
      </c>
    </row>
    <row r="16" spans="1:11">
      <c r="A16" s="16" t="str">
        <f t="shared" ref="A16:A21" si="2">$I$2&amp;".mI0"</f>
        <v>АСУЭ.SEPAM.mI0</v>
      </c>
      <c r="B16" s="17">
        <v>1</v>
      </c>
      <c r="C16" s="17" t="s">
        <v>1</v>
      </c>
      <c r="D16" s="18">
        <v>3</v>
      </c>
    </row>
    <row r="17" spans="1:4">
      <c r="A17" s="19" t="str">
        <f t="shared" si="2"/>
        <v>АСУЭ.SEPAM.mI0</v>
      </c>
      <c r="B17" s="11">
        <v>8001</v>
      </c>
      <c r="C17" s="11" t="s">
        <v>2</v>
      </c>
      <c r="D17" s="20" t="s">
        <v>266</v>
      </c>
    </row>
    <row r="18" spans="1:4">
      <c r="A18" s="19" t="str">
        <f t="shared" si="2"/>
        <v>АСУЭ.SEPAM.mI0</v>
      </c>
      <c r="B18" s="11">
        <v>8006</v>
      </c>
      <c r="C18" s="11" t="s">
        <v>2</v>
      </c>
      <c r="D18" s="20" t="s">
        <v>175</v>
      </c>
    </row>
    <row r="19" spans="1:4">
      <c r="A19" s="19" t="str">
        <f t="shared" si="2"/>
        <v>АСУЭ.SEPAM.mI0</v>
      </c>
      <c r="B19" s="11">
        <v>101</v>
      </c>
      <c r="C19" s="11" t="s">
        <v>0</v>
      </c>
      <c r="D19" s="20" t="str">
        <f>$H$2&amp;". Ток нулевой последовательности"</f>
        <v>SEPAM. Ток нулевой последовательности</v>
      </c>
    </row>
    <row r="20" spans="1:4">
      <c r="A20" s="19" t="str">
        <f t="shared" si="2"/>
        <v>АСУЭ.SEPAM.mI0</v>
      </c>
      <c r="B20" s="11">
        <v>100</v>
      </c>
      <c r="C20" s="11" t="s">
        <v>0</v>
      </c>
      <c r="D20" s="20" t="s">
        <v>1192</v>
      </c>
    </row>
    <row r="21" spans="1:4">
      <c r="A21" s="21" t="str">
        <f t="shared" si="2"/>
        <v>АСУЭ.SEPAM.mI0</v>
      </c>
      <c r="B21" s="8">
        <v>8002</v>
      </c>
      <c r="C21" s="8" t="s">
        <v>819</v>
      </c>
      <c r="D21" s="22">
        <f>$K$2*10000</f>
        <v>10000000</v>
      </c>
    </row>
    <row r="22" spans="1:4">
      <c r="A22" s="16" t="str">
        <f t="shared" ref="A22:A27" si="3">$I$2&amp;".mIm1"</f>
        <v>АСУЭ.SEPAM.mIm1</v>
      </c>
      <c r="B22" s="17">
        <v>1</v>
      </c>
      <c r="C22" s="17" t="s">
        <v>1</v>
      </c>
      <c r="D22" s="18">
        <v>3</v>
      </c>
    </row>
    <row r="23" spans="1:4">
      <c r="A23" s="19" t="str">
        <f t="shared" si="3"/>
        <v>АСУЭ.SEPAM.mIm1</v>
      </c>
      <c r="B23" s="11">
        <v>8001</v>
      </c>
      <c r="C23" s="11" t="s">
        <v>2</v>
      </c>
      <c r="D23" s="20" t="s">
        <v>266</v>
      </c>
    </row>
    <row r="24" spans="1:4">
      <c r="A24" s="19" t="str">
        <f t="shared" si="3"/>
        <v>АСУЭ.SEPAM.mIm1</v>
      </c>
      <c r="B24" s="11">
        <v>8006</v>
      </c>
      <c r="C24" s="11" t="s">
        <v>2</v>
      </c>
      <c r="D24" s="20" t="s">
        <v>175</v>
      </c>
    </row>
    <row r="25" spans="1:4">
      <c r="A25" s="19" t="str">
        <f t="shared" si="3"/>
        <v>АСУЭ.SEPAM.mIm1</v>
      </c>
      <c r="B25" s="11">
        <v>101</v>
      </c>
      <c r="C25" s="11" t="s">
        <v>0</v>
      </c>
      <c r="D25" s="20" t="str">
        <f>$H$2&amp;". Среднее значение тока Ia"</f>
        <v>SEPAM. Среднее значение тока Ia</v>
      </c>
    </row>
    <row r="26" spans="1:4">
      <c r="A26" s="19" t="str">
        <f t="shared" si="3"/>
        <v>АСУЭ.SEPAM.mIm1</v>
      </c>
      <c r="B26" s="11">
        <v>100</v>
      </c>
      <c r="C26" s="11" t="s">
        <v>0</v>
      </c>
      <c r="D26" s="20" t="s">
        <v>1192</v>
      </c>
    </row>
    <row r="27" spans="1:4">
      <c r="A27" s="21" t="str">
        <f t="shared" si="3"/>
        <v>АСУЭ.SEPAM.mIm1</v>
      </c>
      <c r="B27" s="8">
        <v>8002</v>
      </c>
      <c r="C27" s="8" t="s">
        <v>819</v>
      </c>
      <c r="D27" s="22">
        <f>$K$2*10000</f>
        <v>10000000</v>
      </c>
    </row>
    <row r="28" spans="1:4">
      <c r="A28" s="16" t="str">
        <f t="shared" ref="A28:A33" si="4">$I$2&amp;".mIm2"</f>
        <v>АСУЭ.SEPAM.mIm2</v>
      </c>
      <c r="B28" s="17">
        <v>1</v>
      </c>
      <c r="C28" s="17" t="s">
        <v>1</v>
      </c>
      <c r="D28" s="18">
        <v>3</v>
      </c>
    </row>
    <row r="29" spans="1:4">
      <c r="A29" s="19" t="str">
        <f t="shared" si="4"/>
        <v>АСУЭ.SEPAM.mIm2</v>
      </c>
      <c r="B29" s="11">
        <v>8001</v>
      </c>
      <c r="C29" s="11" t="s">
        <v>2</v>
      </c>
      <c r="D29" s="20" t="s">
        <v>266</v>
      </c>
    </row>
    <row r="30" spans="1:4">
      <c r="A30" s="19" t="str">
        <f t="shared" si="4"/>
        <v>АСУЭ.SEPAM.mIm2</v>
      </c>
      <c r="B30" s="11">
        <v>8006</v>
      </c>
      <c r="C30" s="11" t="s">
        <v>2</v>
      </c>
      <c r="D30" s="20" t="s">
        <v>175</v>
      </c>
    </row>
    <row r="31" spans="1:4">
      <c r="A31" s="19" t="str">
        <f t="shared" si="4"/>
        <v>АСУЭ.SEPAM.mIm2</v>
      </c>
      <c r="B31" s="11">
        <v>101</v>
      </c>
      <c r="C31" s="11" t="s">
        <v>0</v>
      </c>
      <c r="D31" s="20" t="str">
        <f>$H$2&amp;". Среднее значение тока Ib"</f>
        <v>SEPAM. Среднее значение тока Ib</v>
      </c>
    </row>
    <row r="32" spans="1:4">
      <c r="A32" s="19" t="str">
        <f t="shared" si="4"/>
        <v>АСУЭ.SEPAM.mIm2</v>
      </c>
      <c r="B32" s="11">
        <v>100</v>
      </c>
      <c r="C32" s="11" t="s">
        <v>0</v>
      </c>
      <c r="D32" s="20" t="s">
        <v>1192</v>
      </c>
    </row>
    <row r="33" spans="1:4">
      <c r="A33" s="21" t="str">
        <f t="shared" si="4"/>
        <v>АСУЭ.SEPAM.mIm2</v>
      </c>
      <c r="B33" s="8">
        <v>8002</v>
      </c>
      <c r="C33" s="8" t="s">
        <v>819</v>
      </c>
      <c r="D33" s="22">
        <f>$K$2*10000</f>
        <v>10000000</v>
      </c>
    </row>
    <row r="34" spans="1:4">
      <c r="A34" s="16" t="str">
        <f t="shared" ref="A34:A39" si="5">$I$2&amp;".mIm3"</f>
        <v>АСУЭ.SEPAM.mIm3</v>
      </c>
      <c r="B34" s="17">
        <v>1</v>
      </c>
      <c r="C34" s="17" t="s">
        <v>1</v>
      </c>
      <c r="D34" s="18">
        <v>3</v>
      </c>
    </row>
    <row r="35" spans="1:4">
      <c r="A35" s="19" t="str">
        <f t="shared" si="5"/>
        <v>АСУЭ.SEPAM.mIm3</v>
      </c>
      <c r="B35" s="11">
        <v>8001</v>
      </c>
      <c r="C35" s="11" t="s">
        <v>2</v>
      </c>
      <c r="D35" s="20" t="s">
        <v>266</v>
      </c>
    </row>
    <row r="36" spans="1:4">
      <c r="A36" s="19" t="str">
        <f t="shared" si="5"/>
        <v>АСУЭ.SEPAM.mIm3</v>
      </c>
      <c r="B36" s="11">
        <v>8006</v>
      </c>
      <c r="C36" s="11" t="s">
        <v>2</v>
      </c>
      <c r="D36" s="20" t="s">
        <v>175</v>
      </c>
    </row>
    <row r="37" spans="1:4">
      <c r="A37" s="19" t="str">
        <f t="shared" si="5"/>
        <v>АСУЭ.SEPAM.mIm3</v>
      </c>
      <c r="B37" s="11">
        <v>101</v>
      </c>
      <c r="C37" s="11" t="s">
        <v>0</v>
      </c>
      <c r="D37" s="20" t="str">
        <f>$H$2&amp;". Среднее значение тока Ic"</f>
        <v>SEPAM. Среднее значение тока Ic</v>
      </c>
    </row>
    <row r="38" spans="1:4">
      <c r="A38" s="19" t="str">
        <f t="shared" si="5"/>
        <v>АСУЭ.SEPAM.mIm3</v>
      </c>
      <c r="B38" s="11">
        <v>100</v>
      </c>
      <c r="C38" s="11" t="s">
        <v>0</v>
      </c>
      <c r="D38" s="20" t="s">
        <v>1192</v>
      </c>
    </row>
    <row r="39" spans="1:4">
      <c r="A39" s="21" t="str">
        <f t="shared" si="5"/>
        <v>АСУЭ.SEPAM.mIm3</v>
      </c>
      <c r="B39" s="8">
        <v>8002</v>
      </c>
      <c r="C39" s="8" t="s">
        <v>819</v>
      </c>
      <c r="D39" s="22">
        <f>$K$2*10000</f>
        <v>10000000</v>
      </c>
    </row>
    <row r="40" spans="1:4">
      <c r="A40" s="16" t="str">
        <f t="shared" ref="A40:A45" si="6">$I$2&amp;".mI1"</f>
        <v>АСУЭ.SEPAM.mI1</v>
      </c>
      <c r="B40" s="17">
        <v>1</v>
      </c>
      <c r="C40" s="17" t="s">
        <v>1</v>
      </c>
      <c r="D40" s="18">
        <v>3</v>
      </c>
    </row>
    <row r="41" spans="1:4">
      <c r="A41" s="19" t="str">
        <f t="shared" si="6"/>
        <v>АСУЭ.SEPAM.mI1</v>
      </c>
      <c r="B41" s="11">
        <v>8001</v>
      </c>
      <c r="C41" s="11" t="s">
        <v>2</v>
      </c>
      <c r="D41" s="20" t="s">
        <v>266</v>
      </c>
    </row>
    <row r="42" spans="1:4">
      <c r="A42" s="19" t="str">
        <f t="shared" si="6"/>
        <v>АСУЭ.SEPAM.mI1</v>
      </c>
      <c r="B42" s="11">
        <v>8006</v>
      </c>
      <c r="C42" s="11" t="s">
        <v>2</v>
      </c>
      <c r="D42" s="20" t="s">
        <v>175</v>
      </c>
    </row>
    <row r="43" spans="1:4">
      <c r="A43" s="19" t="str">
        <f t="shared" si="6"/>
        <v>АСУЭ.SEPAM.mI1</v>
      </c>
      <c r="B43" s="11">
        <v>101</v>
      </c>
      <c r="C43" s="11" t="s">
        <v>0</v>
      </c>
      <c r="D43" s="20" t="str">
        <f>$H$2&amp;". Текущее значение тока Ia"</f>
        <v>SEPAM. Текущее значение тока Ia</v>
      </c>
    </row>
    <row r="44" spans="1:4">
      <c r="A44" s="19" t="str">
        <f t="shared" si="6"/>
        <v>АСУЭ.SEPAM.mI1</v>
      </c>
      <c r="B44" s="11">
        <v>100</v>
      </c>
      <c r="C44" s="11" t="s">
        <v>0</v>
      </c>
      <c r="D44" s="20" t="s">
        <v>1192</v>
      </c>
    </row>
    <row r="45" spans="1:4">
      <c r="A45" s="21" t="str">
        <f t="shared" si="6"/>
        <v>АСУЭ.SEPAM.mI1</v>
      </c>
      <c r="B45" s="8">
        <v>8002</v>
      </c>
      <c r="C45" s="8" t="s">
        <v>819</v>
      </c>
      <c r="D45" s="22">
        <f>$K$2*10000</f>
        <v>10000000</v>
      </c>
    </row>
    <row r="46" spans="1:4">
      <c r="A46" s="16" t="str">
        <f t="shared" ref="A46:A51" si="7">$I$2&amp;".mI2"</f>
        <v>АСУЭ.SEPAM.mI2</v>
      </c>
      <c r="B46" s="17">
        <v>1</v>
      </c>
      <c r="C46" s="17" t="s">
        <v>1</v>
      </c>
      <c r="D46" s="18">
        <v>3</v>
      </c>
    </row>
    <row r="47" spans="1:4">
      <c r="A47" s="19" t="str">
        <f t="shared" si="7"/>
        <v>АСУЭ.SEPAM.mI2</v>
      </c>
      <c r="B47" s="11">
        <v>8001</v>
      </c>
      <c r="C47" s="11" t="s">
        <v>2</v>
      </c>
      <c r="D47" s="20" t="s">
        <v>266</v>
      </c>
    </row>
    <row r="48" spans="1:4">
      <c r="A48" s="19" t="str">
        <f t="shared" si="7"/>
        <v>АСУЭ.SEPAM.mI2</v>
      </c>
      <c r="B48" s="11">
        <v>8006</v>
      </c>
      <c r="C48" s="11" t="s">
        <v>2</v>
      </c>
      <c r="D48" s="20" t="s">
        <v>175</v>
      </c>
    </row>
    <row r="49" spans="1:4">
      <c r="A49" s="19" t="str">
        <f t="shared" si="7"/>
        <v>АСУЭ.SEPAM.mI2</v>
      </c>
      <c r="B49" s="11">
        <v>101</v>
      </c>
      <c r="C49" s="11" t="s">
        <v>0</v>
      </c>
      <c r="D49" s="20" t="str">
        <f>$H$2&amp;". Текущее значение тока Ib"</f>
        <v>SEPAM. Текущее значение тока Ib</v>
      </c>
    </row>
    <row r="50" spans="1:4">
      <c r="A50" s="19" t="str">
        <f t="shared" si="7"/>
        <v>АСУЭ.SEPAM.mI2</v>
      </c>
      <c r="B50" s="11">
        <v>100</v>
      </c>
      <c r="C50" s="11" t="s">
        <v>0</v>
      </c>
      <c r="D50" s="20" t="s">
        <v>1192</v>
      </c>
    </row>
    <row r="51" spans="1:4">
      <c r="A51" s="21" t="str">
        <f t="shared" si="7"/>
        <v>АСУЭ.SEPAM.mI2</v>
      </c>
      <c r="B51" s="8">
        <v>8002</v>
      </c>
      <c r="C51" s="8" t="s">
        <v>819</v>
      </c>
      <c r="D51" s="22">
        <f>$K$2*10000</f>
        <v>10000000</v>
      </c>
    </row>
    <row r="52" spans="1:4">
      <c r="A52" s="16" t="str">
        <f t="shared" ref="A52:A57" si="8">$I$2&amp;".mI3"</f>
        <v>АСУЭ.SEPAM.mI3</v>
      </c>
      <c r="B52" s="17">
        <v>1</v>
      </c>
      <c r="C52" s="17" t="s">
        <v>1</v>
      </c>
      <c r="D52" s="18">
        <v>3</v>
      </c>
    </row>
    <row r="53" spans="1:4">
      <c r="A53" s="19" t="str">
        <f t="shared" si="8"/>
        <v>АСУЭ.SEPAM.mI3</v>
      </c>
      <c r="B53" s="11">
        <v>8001</v>
      </c>
      <c r="C53" s="11" t="s">
        <v>2</v>
      </c>
      <c r="D53" s="20" t="s">
        <v>266</v>
      </c>
    </row>
    <row r="54" spans="1:4">
      <c r="A54" s="19" t="str">
        <f t="shared" si="8"/>
        <v>АСУЭ.SEPAM.mI3</v>
      </c>
      <c r="B54" s="11">
        <v>8006</v>
      </c>
      <c r="C54" s="11" t="s">
        <v>2</v>
      </c>
      <c r="D54" s="20" t="s">
        <v>175</v>
      </c>
    </row>
    <row r="55" spans="1:4">
      <c r="A55" s="19" t="str">
        <f t="shared" si="8"/>
        <v>АСУЭ.SEPAM.mI3</v>
      </c>
      <c r="B55" s="11">
        <v>101</v>
      </c>
      <c r="C55" s="11" t="s">
        <v>0</v>
      </c>
      <c r="D55" s="20" t="str">
        <f>$H$2&amp;". Текущее значение тока Ic"</f>
        <v>SEPAM. Текущее значение тока Ic</v>
      </c>
    </row>
    <row r="56" spans="1:4">
      <c r="A56" s="19" t="str">
        <f t="shared" si="8"/>
        <v>АСУЭ.SEPAM.mI3</v>
      </c>
      <c r="B56" s="11">
        <v>100</v>
      </c>
      <c r="C56" s="11" t="s">
        <v>0</v>
      </c>
      <c r="D56" s="20" t="s">
        <v>1192</v>
      </c>
    </row>
    <row r="57" spans="1:4">
      <c r="A57" s="21" t="str">
        <f t="shared" si="8"/>
        <v>АСУЭ.SEPAM.mI3</v>
      </c>
      <c r="B57" s="8">
        <v>8002</v>
      </c>
      <c r="C57" s="8" t="s">
        <v>819</v>
      </c>
      <c r="D57" s="22">
        <f>$K$2*10000</f>
        <v>10000000</v>
      </c>
    </row>
    <row r="58" spans="1:4">
      <c r="A58" s="16" t="str">
        <f t="shared" ref="A58:A63" si="9">$I$2&amp;".mItrip1"</f>
        <v>АСУЭ.SEPAM.mItrip1</v>
      </c>
      <c r="B58" s="17">
        <v>1</v>
      </c>
      <c r="C58" s="17" t="s">
        <v>1</v>
      </c>
      <c r="D58" s="18">
        <v>3</v>
      </c>
    </row>
    <row r="59" spans="1:4">
      <c r="A59" s="19" t="str">
        <f t="shared" si="9"/>
        <v>АСУЭ.SEPAM.mItrip1</v>
      </c>
      <c r="B59" s="11">
        <v>8001</v>
      </c>
      <c r="C59" s="11" t="s">
        <v>2</v>
      </c>
      <c r="D59" s="20" t="s">
        <v>266</v>
      </c>
    </row>
    <row r="60" spans="1:4">
      <c r="A60" s="19" t="str">
        <f t="shared" si="9"/>
        <v>АСУЭ.SEPAM.mItrip1</v>
      </c>
      <c r="B60" s="11">
        <v>8006</v>
      </c>
      <c r="C60" s="11" t="s">
        <v>2</v>
      </c>
      <c r="D60" s="20" t="s">
        <v>175</v>
      </c>
    </row>
    <row r="61" spans="1:4">
      <c r="A61" s="19" t="str">
        <f t="shared" si="9"/>
        <v>АСУЭ.SEPAM.mItrip1</v>
      </c>
      <c r="B61" s="11">
        <v>101</v>
      </c>
      <c r="C61" s="11" t="s">
        <v>0</v>
      </c>
      <c r="D61" s="20" t="str">
        <f>$H$2&amp;". Ток отключения Ia"</f>
        <v>SEPAM. Ток отключения Ia</v>
      </c>
    </row>
    <row r="62" spans="1:4">
      <c r="A62" s="19" t="str">
        <f t="shared" si="9"/>
        <v>АСУЭ.SEPAM.mItrip1</v>
      </c>
      <c r="B62" s="11">
        <v>100</v>
      </c>
      <c r="C62" s="11" t="s">
        <v>0</v>
      </c>
      <c r="D62" s="20" t="s">
        <v>1192</v>
      </c>
    </row>
    <row r="63" spans="1:4">
      <c r="A63" s="21" t="str">
        <f t="shared" si="9"/>
        <v>АСУЭ.SEPAM.mItrip1</v>
      </c>
      <c r="B63" s="8">
        <v>8002</v>
      </c>
      <c r="C63" s="8" t="s">
        <v>819</v>
      </c>
      <c r="D63" s="22">
        <f>$K$2*10000</f>
        <v>10000000</v>
      </c>
    </row>
    <row r="64" spans="1:4">
      <c r="A64" s="16" t="str">
        <f t="shared" ref="A64:A69" si="10">$I$2&amp;".mItrip2"</f>
        <v>АСУЭ.SEPAM.mItrip2</v>
      </c>
      <c r="B64" s="17">
        <v>1</v>
      </c>
      <c r="C64" s="17" t="s">
        <v>1</v>
      </c>
      <c r="D64" s="18">
        <v>3</v>
      </c>
    </row>
    <row r="65" spans="1:4">
      <c r="A65" s="19" t="str">
        <f t="shared" si="10"/>
        <v>АСУЭ.SEPAM.mItrip2</v>
      </c>
      <c r="B65" s="11">
        <v>8001</v>
      </c>
      <c r="C65" s="11" t="s">
        <v>2</v>
      </c>
      <c r="D65" s="20" t="s">
        <v>266</v>
      </c>
    </row>
    <row r="66" spans="1:4">
      <c r="A66" s="19" t="str">
        <f t="shared" si="10"/>
        <v>АСУЭ.SEPAM.mItrip2</v>
      </c>
      <c r="B66" s="11">
        <v>8006</v>
      </c>
      <c r="C66" s="11" t="s">
        <v>2</v>
      </c>
      <c r="D66" s="20" t="s">
        <v>175</v>
      </c>
    </row>
    <row r="67" spans="1:4">
      <c r="A67" s="19" t="str">
        <f t="shared" si="10"/>
        <v>АСУЭ.SEPAM.mItrip2</v>
      </c>
      <c r="B67" s="11">
        <v>101</v>
      </c>
      <c r="C67" s="11" t="s">
        <v>0</v>
      </c>
      <c r="D67" s="20" t="str">
        <f>$H$2&amp;". Ток отключения Ib"</f>
        <v>SEPAM. Ток отключения Ib</v>
      </c>
    </row>
    <row r="68" spans="1:4">
      <c r="A68" s="19" t="str">
        <f t="shared" si="10"/>
        <v>АСУЭ.SEPAM.mItrip2</v>
      </c>
      <c r="B68" s="11">
        <v>100</v>
      </c>
      <c r="C68" s="11" t="s">
        <v>0</v>
      </c>
      <c r="D68" s="20" t="s">
        <v>1192</v>
      </c>
    </row>
    <row r="69" spans="1:4">
      <c r="A69" s="21" t="str">
        <f t="shared" si="10"/>
        <v>АСУЭ.SEPAM.mItrip2</v>
      </c>
      <c r="B69" s="8">
        <v>8002</v>
      </c>
      <c r="C69" s="8" t="s">
        <v>819</v>
      </c>
      <c r="D69" s="22">
        <f>$K$2*10000</f>
        <v>10000000</v>
      </c>
    </row>
    <row r="70" spans="1:4">
      <c r="A70" s="16" t="str">
        <f t="shared" ref="A70:A75" si="11">$I$2&amp;".mItrip3"</f>
        <v>АСУЭ.SEPAM.mItrip3</v>
      </c>
      <c r="B70" s="17">
        <v>1</v>
      </c>
      <c r="C70" s="17" t="s">
        <v>1</v>
      </c>
      <c r="D70" s="18">
        <v>3</v>
      </c>
    </row>
    <row r="71" spans="1:4">
      <c r="A71" s="19" t="str">
        <f t="shared" si="11"/>
        <v>АСУЭ.SEPAM.mItrip3</v>
      </c>
      <c r="B71" s="11">
        <v>8001</v>
      </c>
      <c r="C71" s="11" t="s">
        <v>2</v>
      </c>
      <c r="D71" s="20" t="s">
        <v>266</v>
      </c>
    </row>
    <row r="72" spans="1:4">
      <c r="A72" s="19" t="str">
        <f t="shared" si="11"/>
        <v>АСУЭ.SEPAM.mItrip3</v>
      </c>
      <c r="B72" s="11">
        <v>8006</v>
      </c>
      <c r="C72" s="11" t="s">
        <v>2</v>
      </c>
      <c r="D72" s="20" t="s">
        <v>175</v>
      </c>
    </row>
    <row r="73" spans="1:4">
      <c r="A73" s="19" t="str">
        <f t="shared" si="11"/>
        <v>АСУЭ.SEPAM.mItrip3</v>
      </c>
      <c r="B73" s="11">
        <v>101</v>
      </c>
      <c r="C73" s="11" t="s">
        <v>0</v>
      </c>
      <c r="D73" s="20" t="str">
        <f>$H$2&amp;". Ток отключения Ic"</f>
        <v>SEPAM. Ток отключения Ic</v>
      </c>
    </row>
    <row r="74" spans="1:4">
      <c r="A74" s="19" t="str">
        <f t="shared" si="11"/>
        <v>АСУЭ.SEPAM.mItrip3</v>
      </c>
      <c r="B74" s="11">
        <v>100</v>
      </c>
      <c r="C74" s="11" t="s">
        <v>0</v>
      </c>
      <c r="D74" s="20" t="s">
        <v>1192</v>
      </c>
    </row>
    <row r="75" spans="1:4">
      <c r="A75" s="21" t="str">
        <f t="shared" si="11"/>
        <v>АСУЭ.SEPAM.mItrip3</v>
      </c>
      <c r="B75" s="8">
        <v>8002</v>
      </c>
      <c r="C75" s="8" t="s">
        <v>819</v>
      </c>
      <c r="D75" s="22">
        <f>$K$2*10000</f>
        <v>10000000</v>
      </c>
    </row>
    <row r="76" spans="1:4">
      <c r="A76" s="16" t="str">
        <f t="shared" ref="A76:A81" si="12">$I$2&amp;".mMaxI1"</f>
        <v>АСУЭ.SEPAM.mMaxI1</v>
      </c>
      <c r="B76" s="17">
        <v>1</v>
      </c>
      <c r="C76" s="17" t="s">
        <v>1</v>
      </c>
      <c r="D76" s="18">
        <v>3</v>
      </c>
    </row>
    <row r="77" spans="1:4">
      <c r="A77" s="19" t="str">
        <f t="shared" si="12"/>
        <v>АСУЭ.SEPAM.mMaxI1</v>
      </c>
      <c r="B77" s="11">
        <v>8001</v>
      </c>
      <c r="C77" s="11" t="s">
        <v>2</v>
      </c>
      <c r="D77" s="20" t="s">
        <v>266</v>
      </c>
    </row>
    <row r="78" spans="1:4">
      <c r="A78" s="19" t="str">
        <f t="shared" si="12"/>
        <v>АСУЭ.SEPAM.mMaxI1</v>
      </c>
      <c r="B78" s="11">
        <v>8006</v>
      </c>
      <c r="C78" s="11" t="s">
        <v>2</v>
      </c>
      <c r="D78" s="20" t="s">
        <v>175</v>
      </c>
    </row>
    <row r="79" spans="1:4">
      <c r="A79" s="19" t="str">
        <f t="shared" si="12"/>
        <v>АСУЭ.SEPAM.mMaxI1</v>
      </c>
      <c r="B79" s="11">
        <v>101</v>
      </c>
      <c r="C79" s="11" t="s">
        <v>0</v>
      </c>
      <c r="D79" s="20" t="str">
        <f>$H$2&amp;". Ток максиметра Ia"</f>
        <v>SEPAM. Ток максиметра Ia</v>
      </c>
    </row>
    <row r="80" spans="1:4">
      <c r="A80" s="19" t="str">
        <f t="shared" si="12"/>
        <v>АСУЭ.SEPAM.mMaxI1</v>
      </c>
      <c r="B80" s="11">
        <v>100</v>
      </c>
      <c r="C80" s="11" t="s">
        <v>0</v>
      </c>
      <c r="D80" s="20" t="s">
        <v>1192</v>
      </c>
    </row>
    <row r="81" spans="1:4">
      <c r="A81" s="21" t="str">
        <f t="shared" si="12"/>
        <v>АСУЭ.SEPAM.mMaxI1</v>
      </c>
      <c r="B81" s="8">
        <v>8002</v>
      </c>
      <c r="C81" s="8" t="s">
        <v>819</v>
      </c>
      <c r="D81" s="22">
        <f>$K$2*10000</f>
        <v>10000000</v>
      </c>
    </row>
    <row r="82" spans="1:4">
      <c r="A82" s="16" t="str">
        <f t="shared" ref="A82:A87" si="13">$I$2&amp;".mMaxI2"</f>
        <v>АСУЭ.SEPAM.mMaxI2</v>
      </c>
      <c r="B82" s="17">
        <v>1</v>
      </c>
      <c r="C82" s="17" t="s">
        <v>1</v>
      </c>
      <c r="D82" s="18">
        <v>3</v>
      </c>
    </row>
    <row r="83" spans="1:4">
      <c r="A83" s="19" t="str">
        <f t="shared" si="13"/>
        <v>АСУЭ.SEPAM.mMaxI2</v>
      </c>
      <c r="B83" s="11">
        <v>8001</v>
      </c>
      <c r="C83" s="11" t="s">
        <v>2</v>
      </c>
      <c r="D83" s="20" t="s">
        <v>266</v>
      </c>
    </row>
    <row r="84" spans="1:4">
      <c r="A84" s="19" t="str">
        <f t="shared" si="13"/>
        <v>АСУЭ.SEPAM.mMaxI2</v>
      </c>
      <c r="B84" s="11">
        <v>8006</v>
      </c>
      <c r="C84" s="11" t="s">
        <v>2</v>
      </c>
      <c r="D84" s="20" t="s">
        <v>175</v>
      </c>
    </row>
    <row r="85" spans="1:4">
      <c r="A85" s="19" t="str">
        <f t="shared" si="13"/>
        <v>АСУЭ.SEPAM.mMaxI2</v>
      </c>
      <c r="B85" s="11">
        <v>101</v>
      </c>
      <c r="C85" s="11" t="s">
        <v>0</v>
      </c>
      <c r="D85" s="20" t="str">
        <f>$H$2&amp;". Ток максиметра Ib"</f>
        <v>SEPAM. Ток максиметра Ib</v>
      </c>
    </row>
    <row r="86" spans="1:4">
      <c r="A86" s="19" t="str">
        <f t="shared" si="13"/>
        <v>АСУЭ.SEPAM.mMaxI2</v>
      </c>
      <c r="B86" s="11">
        <v>100</v>
      </c>
      <c r="C86" s="11" t="s">
        <v>0</v>
      </c>
      <c r="D86" s="20" t="s">
        <v>1192</v>
      </c>
    </row>
    <row r="87" spans="1:4">
      <c r="A87" s="21" t="str">
        <f t="shared" si="13"/>
        <v>АСУЭ.SEPAM.mMaxI2</v>
      </c>
      <c r="B87" s="8">
        <v>8002</v>
      </c>
      <c r="C87" s="8" t="s">
        <v>819</v>
      </c>
      <c r="D87" s="22">
        <f>$K$2*10000</f>
        <v>10000000</v>
      </c>
    </row>
    <row r="88" spans="1:4">
      <c r="A88" s="16" t="str">
        <f t="shared" ref="A88:A93" si="14">$I$2&amp;".mMaxI3"</f>
        <v>АСУЭ.SEPAM.mMaxI3</v>
      </c>
      <c r="B88" s="17">
        <v>1</v>
      </c>
      <c r="C88" s="17" t="s">
        <v>1</v>
      </c>
      <c r="D88" s="18">
        <v>3</v>
      </c>
    </row>
    <row r="89" spans="1:4">
      <c r="A89" s="19" t="str">
        <f t="shared" si="14"/>
        <v>АСУЭ.SEPAM.mMaxI3</v>
      </c>
      <c r="B89" s="11">
        <v>8001</v>
      </c>
      <c r="C89" s="11" t="s">
        <v>2</v>
      </c>
      <c r="D89" s="20" t="s">
        <v>266</v>
      </c>
    </row>
    <row r="90" spans="1:4">
      <c r="A90" s="19" t="str">
        <f t="shared" si="14"/>
        <v>АСУЭ.SEPAM.mMaxI3</v>
      </c>
      <c r="B90" s="11">
        <v>8006</v>
      </c>
      <c r="C90" s="11" t="s">
        <v>2</v>
      </c>
      <c r="D90" s="20" t="s">
        <v>175</v>
      </c>
    </row>
    <row r="91" spans="1:4">
      <c r="A91" s="19" t="str">
        <f t="shared" si="14"/>
        <v>АСУЭ.SEPAM.mMaxI3</v>
      </c>
      <c r="B91" s="11">
        <v>101</v>
      </c>
      <c r="C91" s="11" t="s">
        <v>0</v>
      </c>
      <c r="D91" s="20" t="str">
        <f>$H$2&amp;". Ток максиметра Ic"</f>
        <v>SEPAM. Ток максиметра Ic</v>
      </c>
    </row>
    <row r="92" spans="1:4">
      <c r="A92" s="19" t="str">
        <f t="shared" si="14"/>
        <v>АСУЭ.SEPAM.mMaxI3</v>
      </c>
      <c r="B92" s="11">
        <v>100</v>
      </c>
      <c r="C92" s="11" t="s">
        <v>0</v>
      </c>
      <c r="D92" s="20" t="s">
        <v>1192</v>
      </c>
    </row>
    <row r="93" spans="1:4">
      <c r="A93" s="21" t="str">
        <f t="shared" si="14"/>
        <v>АСУЭ.SEPAM.mMaxI3</v>
      </c>
      <c r="B93" s="8">
        <v>8002</v>
      </c>
      <c r="C93" s="8" t="s">
        <v>819</v>
      </c>
      <c r="D93" s="22">
        <f>$K$2*10000</f>
        <v>10000000</v>
      </c>
    </row>
    <row r="94" spans="1:4">
      <c r="A94" s="16" t="str">
        <f t="shared" ref="A94:A99" si="15">$I$2&amp;".mMaxPM"</f>
        <v>АСУЭ.SEPAM.mMaxPM</v>
      </c>
      <c r="B94" s="17">
        <v>1</v>
      </c>
      <c r="C94" s="17" t="s">
        <v>1</v>
      </c>
      <c r="D94" s="18">
        <v>3</v>
      </c>
    </row>
    <row r="95" spans="1:4">
      <c r="A95" s="19" t="str">
        <f t="shared" si="15"/>
        <v>АСУЭ.SEPAM.mMaxPM</v>
      </c>
      <c r="B95" s="11">
        <v>8001</v>
      </c>
      <c r="C95" s="11" t="s">
        <v>2</v>
      </c>
      <c r="D95" s="20" t="s">
        <v>266</v>
      </c>
    </row>
    <row r="96" spans="1:4">
      <c r="A96" s="19" t="str">
        <f t="shared" si="15"/>
        <v>АСУЭ.SEPAM.mMaxPM</v>
      </c>
      <c r="B96" s="11">
        <v>8006</v>
      </c>
      <c r="C96" s="11" t="s">
        <v>2</v>
      </c>
      <c r="D96" s="20" t="s">
        <v>175</v>
      </c>
    </row>
    <row r="97" spans="1:4">
      <c r="A97" s="19" t="str">
        <f t="shared" si="15"/>
        <v>АСУЭ.SEPAM.mMaxPM</v>
      </c>
      <c r="B97" s="11">
        <v>101</v>
      </c>
      <c r="C97" s="11" t="s">
        <v>0</v>
      </c>
      <c r="D97" s="20" t="str">
        <f>$H$2&amp;". Максимальная мощность активная"</f>
        <v>SEPAM. Максимальная мощность активная</v>
      </c>
    </row>
    <row r="98" spans="1:4">
      <c r="A98" s="19" t="str">
        <f t="shared" si="15"/>
        <v>АСУЭ.SEPAM.mMaxPM</v>
      </c>
      <c r="B98" s="11">
        <v>100</v>
      </c>
      <c r="C98" s="11" t="s">
        <v>0</v>
      </c>
      <c r="D98" s="20" t="s">
        <v>1586</v>
      </c>
    </row>
    <row r="99" spans="1:4">
      <c r="A99" s="21" t="str">
        <f t="shared" si="15"/>
        <v>АСУЭ.SEPAM.mMaxPM</v>
      </c>
      <c r="B99" s="8">
        <v>8002</v>
      </c>
      <c r="C99" s="8" t="s">
        <v>819</v>
      </c>
      <c r="D99" s="22">
        <f>$K$2*10000</f>
        <v>10000000</v>
      </c>
    </row>
    <row r="100" spans="1:4">
      <c r="A100" s="16" t="str">
        <f t="shared" ref="A100:A105" si="16">$I$2&amp;".mMaxQM"</f>
        <v>АСУЭ.SEPAM.mMaxQM</v>
      </c>
      <c r="B100" s="17">
        <v>1</v>
      </c>
      <c r="C100" s="17" t="s">
        <v>1</v>
      </c>
      <c r="D100" s="18">
        <v>3</v>
      </c>
    </row>
    <row r="101" spans="1:4">
      <c r="A101" s="19" t="str">
        <f t="shared" si="16"/>
        <v>АСУЭ.SEPAM.mMaxQM</v>
      </c>
      <c r="B101" s="11">
        <v>8001</v>
      </c>
      <c r="C101" s="11" t="s">
        <v>2</v>
      </c>
      <c r="D101" s="20" t="s">
        <v>266</v>
      </c>
    </row>
    <row r="102" spans="1:4">
      <c r="A102" s="19" t="str">
        <f t="shared" si="16"/>
        <v>АСУЭ.SEPAM.mMaxQM</v>
      </c>
      <c r="B102" s="11">
        <v>8006</v>
      </c>
      <c r="C102" s="11" t="s">
        <v>2</v>
      </c>
      <c r="D102" s="20" t="s">
        <v>175</v>
      </c>
    </row>
    <row r="103" spans="1:4">
      <c r="A103" s="19" t="str">
        <f t="shared" si="16"/>
        <v>АСУЭ.SEPAM.mMaxQM</v>
      </c>
      <c r="B103" s="11">
        <v>101</v>
      </c>
      <c r="C103" s="11" t="s">
        <v>0</v>
      </c>
      <c r="D103" s="20" t="str">
        <f>$H$2&amp;". Максимальная мощность реактивная"</f>
        <v>SEPAM. Максимальная мощность реактивная</v>
      </c>
    </row>
    <row r="104" spans="1:4">
      <c r="A104" s="19" t="str">
        <f t="shared" si="16"/>
        <v>АСУЭ.SEPAM.mMaxQM</v>
      </c>
      <c r="B104" s="11">
        <v>100</v>
      </c>
      <c r="C104" s="11" t="s">
        <v>0</v>
      </c>
      <c r="D104" s="20" t="s">
        <v>1587</v>
      </c>
    </row>
    <row r="105" spans="1:4">
      <c r="A105" s="21" t="str">
        <f t="shared" si="16"/>
        <v>АСУЭ.SEPAM.mMaxQM</v>
      </c>
      <c r="B105" s="8">
        <v>8002</v>
      </c>
      <c r="C105" s="8" t="s">
        <v>819</v>
      </c>
      <c r="D105" s="22">
        <f>$K$2*10000</f>
        <v>10000000</v>
      </c>
    </row>
    <row r="106" spans="1:4">
      <c r="A106" s="16" t="str">
        <f t="shared" ref="A106:A111" si="17">$I$2&amp;".mVi"</f>
        <v>АСУЭ.SEPAM.mVi</v>
      </c>
      <c r="B106" s="17">
        <v>1</v>
      </c>
      <c r="C106" s="17" t="s">
        <v>1</v>
      </c>
      <c r="D106" s="18">
        <v>3</v>
      </c>
    </row>
    <row r="107" spans="1:4">
      <c r="A107" s="19" t="str">
        <f t="shared" si="17"/>
        <v>АСУЭ.SEPAM.mVi</v>
      </c>
      <c r="B107" s="11">
        <v>8001</v>
      </c>
      <c r="C107" s="11" t="s">
        <v>2</v>
      </c>
      <c r="D107" s="20" t="s">
        <v>266</v>
      </c>
    </row>
    <row r="108" spans="1:4">
      <c r="A108" s="19" t="str">
        <f t="shared" si="17"/>
        <v>АСУЭ.SEPAM.mVi</v>
      </c>
      <c r="B108" s="11">
        <v>8006</v>
      </c>
      <c r="C108" s="11" t="s">
        <v>2</v>
      </c>
      <c r="D108" s="20" t="s">
        <v>175</v>
      </c>
    </row>
    <row r="109" spans="1:4">
      <c r="A109" s="19" t="str">
        <f t="shared" si="17"/>
        <v>АСУЭ.SEPAM.mVi</v>
      </c>
      <c r="B109" s="11">
        <v>101</v>
      </c>
      <c r="C109" s="11" t="s">
        <v>0</v>
      </c>
      <c r="D109" s="20" t="str">
        <f>$H$2&amp;". Напряжение обр. посл-ти"</f>
        <v>SEPAM. Напряжение обр. посл-ти</v>
      </c>
    </row>
    <row r="110" spans="1:4">
      <c r="A110" s="19" t="str">
        <f t="shared" si="17"/>
        <v>АСУЭ.SEPAM.mVi</v>
      </c>
      <c r="B110" s="11">
        <v>100</v>
      </c>
      <c r="C110" s="11" t="s">
        <v>0</v>
      </c>
      <c r="D110" s="20" t="s">
        <v>1588</v>
      </c>
    </row>
    <row r="111" spans="1:4">
      <c r="A111" s="21" t="str">
        <f t="shared" si="17"/>
        <v>АСУЭ.SEPAM.mVi</v>
      </c>
      <c r="B111" s="8">
        <v>8002</v>
      </c>
      <c r="C111" s="8" t="s">
        <v>819</v>
      </c>
      <c r="D111" s="22">
        <f>$K$2*10000</f>
        <v>10000000</v>
      </c>
    </row>
    <row r="112" spans="1:4">
      <c r="A112" s="16" t="str">
        <f t="shared" ref="A112:A117" si="18">$I$2&amp;".mVo"</f>
        <v>АСУЭ.SEPAM.mVo</v>
      </c>
      <c r="B112" s="17">
        <v>1</v>
      </c>
      <c r="C112" s="17" t="s">
        <v>1</v>
      </c>
      <c r="D112" s="18">
        <v>3</v>
      </c>
    </row>
    <row r="113" spans="1:4">
      <c r="A113" s="19" t="str">
        <f t="shared" si="18"/>
        <v>АСУЭ.SEPAM.mVo</v>
      </c>
      <c r="B113" s="11">
        <v>8001</v>
      </c>
      <c r="C113" s="11" t="s">
        <v>2</v>
      </c>
      <c r="D113" s="20" t="s">
        <v>266</v>
      </c>
    </row>
    <row r="114" spans="1:4">
      <c r="A114" s="19" t="str">
        <f t="shared" si="18"/>
        <v>АСУЭ.SEPAM.mVo</v>
      </c>
      <c r="B114" s="11">
        <v>8006</v>
      </c>
      <c r="C114" s="11" t="s">
        <v>2</v>
      </c>
      <c r="D114" s="20" t="s">
        <v>175</v>
      </c>
    </row>
    <row r="115" spans="1:4">
      <c r="A115" s="19" t="str">
        <f t="shared" si="18"/>
        <v>АСУЭ.SEPAM.mVo</v>
      </c>
      <c r="B115" s="11">
        <v>101</v>
      </c>
      <c r="C115" s="11" t="s">
        <v>0</v>
      </c>
      <c r="D115" s="20" t="str">
        <f>$H$2&amp;". Напряжение 0-ой посл-ти"</f>
        <v>SEPAM. Напряжение 0-ой посл-ти</v>
      </c>
    </row>
    <row r="116" spans="1:4">
      <c r="A116" s="19" t="str">
        <f t="shared" si="18"/>
        <v>АСУЭ.SEPAM.mVo</v>
      </c>
      <c r="B116" s="11">
        <v>100</v>
      </c>
      <c r="C116" s="11" t="s">
        <v>0</v>
      </c>
      <c r="D116" s="20" t="s">
        <v>1588</v>
      </c>
    </row>
    <row r="117" spans="1:4">
      <c r="A117" s="21" t="str">
        <f t="shared" si="18"/>
        <v>АСУЭ.SEPAM.mVo</v>
      </c>
      <c r="B117" s="8">
        <v>8002</v>
      </c>
      <c r="C117" s="8" t="s">
        <v>819</v>
      </c>
      <c r="D117" s="22">
        <f>$K$2*10000</f>
        <v>10000000</v>
      </c>
    </row>
    <row r="118" spans="1:4">
      <c r="A118" s="16" t="str">
        <f t="shared" ref="A118:A123" si="19">$I$2&amp;".mVd"</f>
        <v>АСУЭ.SEPAM.mVd</v>
      </c>
      <c r="B118" s="17">
        <v>1</v>
      </c>
      <c r="C118" s="17" t="s">
        <v>1</v>
      </c>
      <c r="D118" s="18">
        <v>3</v>
      </c>
    </row>
    <row r="119" spans="1:4">
      <c r="A119" s="19" t="str">
        <f t="shared" si="19"/>
        <v>АСУЭ.SEPAM.mVd</v>
      </c>
      <c r="B119" s="11">
        <v>8001</v>
      </c>
      <c r="C119" s="11" t="s">
        <v>2</v>
      </c>
      <c r="D119" s="20" t="s">
        <v>266</v>
      </c>
    </row>
    <row r="120" spans="1:4">
      <c r="A120" s="19" t="str">
        <f t="shared" si="19"/>
        <v>АСУЭ.SEPAM.mVd</v>
      </c>
      <c r="B120" s="11">
        <v>8006</v>
      </c>
      <c r="C120" s="11" t="s">
        <v>2</v>
      </c>
      <c r="D120" s="20" t="s">
        <v>175</v>
      </c>
    </row>
    <row r="121" spans="1:4">
      <c r="A121" s="19" t="str">
        <f t="shared" si="19"/>
        <v>АСУЭ.SEPAM.mVd</v>
      </c>
      <c r="B121" s="11">
        <v>101</v>
      </c>
      <c r="C121" s="11" t="s">
        <v>0</v>
      </c>
      <c r="D121" s="20" t="str">
        <f>$H$2&amp;". Напряжение прям. посл-ти"</f>
        <v>SEPAM. Напряжение прям. посл-ти</v>
      </c>
    </row>
    <row r="122" spans="1:4">
      <c r="A122" s="19" t="str">
        <f t="shared" si="19"/>
        <v>АСУЭ.SEPAM.mVd</v>
      </c>
      <c r="B122" s="11">
        <v>100</v>
      </c>
      <c r="C122" s="11" t="s">
        <v>0</v>
      </c>
      <c r="D122" s="20" t="s">
        <v>1588</v>
      </c>
    </row>
    <row r="123" spans="1:4">
      <c r="A123" s="21" t="str">
        <f t="shared" si="19"/>
        <v>АСУЭ.SEPAM.mVd</v>
      </c>
      <c r="B123" s="8">
        <v>8002</v>
      </c>
      <c r="C123" s="8" t="s">
        <v>819</v>
      </c>
      <c r="D123" s="22">
        <f>$K$2*10000</f>
        <v>10000000</v>
      </c>
    </row>
    <row r="124" spans="1:4">
      <c r="A124" s="16" t="str">
        <f t="shared" ref="A124:A129" si="20">$I$2&amp;".mP"</f>
        <v>АСУЭ.SEPAM.mP</v>
      </c>
      <c r="B124" s="17">
        <v>1</v>
      </c>
      <c r="C124" s="17" t="s">
        <v>1</v>
      </c>
      <c r="D124" s="18">
        <v>3</v>
      </c>
    </row>
    <row r="125" spans="1:4">
      <c r="A125" s="19" t="str">
        <f t="shared" si="20"/>
        <v>АСУЭ.SEPAM.mP</v>
      </c>
      <c r="B125" s="11">
        <v>8001</v>
      </c>
      <c r="C125" s="11" t="s">
        <v>2</v>
      </c>
      <c r="D125" s="20" t="s">
        <v>266</v>
      </c>
    </row>
    <row r="126" spans="1:4">
      <c r="A126" s="19" t="str">
        <f t="shared" si="20"/>
        <v>АСУЭ.SEPAM.mP</v>
      </c>
      <c r="B126" s="11">
        <v>8006</v>
      </c>
      <c r="C126" s="11" t="s">
        <v>2</v>
      </c>
      <c r="D126" s="20" t="s">
        <v>175</v>
      </c>
    </row>
    <row r="127" spans="1:4">
      <c r="A127" s="19" t="str">
        <f t="shared" si="20"/>
        <v>АСУЭ.SEPAM.mP</v>
      </c>
      <c r="B127" s="11">
        <v>101</v>
      </c>
      <c r="C127" s="11" t="s">
        <v>0</v>
      </c>
      <c r="D127" s="20" t="str">
        <f>$H$2&amp;". Мощность активная"</f>
        <v>SEPAM. Мощность активная</v>
      </c>
    </row>
    <row r="128" spans="1:4">
      <c r="A128" s="19" t="str">
        <f t="shared" si="20"/>
        <v>АСУЭ.SEPAM.mP</v>
      </c>
      <c r="B128" s="11">
        <v>100</v>
      </c>
      <c r="C128" s="11" t="s">
        <v>0</v>
      </c>
      <c r="D128" s="20" t="s">
        <v>1586</v>
      </c>
    </row>
    <row r="129" spans="1:4">
      <c r="A129" s="21" t="str">
        <f t="shared" si="20"/>
        <v>АСУЭ.SEPAM.mP</v>
      </c>
      <c r="B129" s="8">
        <v>8002</v>
      </c>
      <c r="C129" s="8" t="s">
        <v>819</v>
      </c>
      <c r="D129" s="22">
        <f>$K$2*10000</f>
        <v>10000000</v>
      </c>
    </row>
    <row r="130" spans="1:4">
      <c r="A130" s="16" t="str">
        <f t="shared" ref="A130:A135" si="21">$I$2&amp;".mQ"</f>
        <v>АСУЭ.SEPAM.mQ</v>
      </c>
      <c r="B130" s="17">
        <v>1</v>
      </c>
      <c r="C130" s="17" t="s">
        <v>1</v>
      </c>
      <c r="D130" s="18">
        <v>3</v>
      </c>
    </row>
    <row r="131" spans="1:4">
      <c r="A131" s="19" t="str">
        <f t="shared" si="21"/>
        <v>АСУЭ.SEPAM.mQ</v>
      </c>
      <c r="B131" s="11">
        <v>8001</v>
      </c>
      <c r="C131" s="11" t="s">
        <v>2</v>
      </c>
      <c r="D131" s="20" t="s">
        <v>266</v>
      </c>
    </row>
    <row r="132" spans="1:4">
      <c r="A132" s="19" t="str">
        <f t="shared" si="21"/>
        <v>АСУЭ.SEPAM.mQ</v>
      </c>
      <c r="B132" s="11">
        <v>8006</v>
      </c>
      <c r="C132" s="11" t="s">
        <v>2</v>
      </c>
      <c r="D132" s="20" t="s">
        <v>175</v>
      </c>
    </row>
    <row r="133" spans="1:4">
      <c r="A133" s="19" t="str">
        <f t="shared" si="21"/>
        <v>АСУЭ.SEPAM.mQ</v>
      </c>
      <c r="B133" s="11">
        <v>101</v>
      </c>
      <c r="C133" s="11" t="s">
        <v>0</v>
      </c>
      <c r="D133" s="20" t="str">
        <f>$H$2&amp;". Мощность реактивная"</f>
        <v>SEPAM. Мощность реактивная</v>
      </c>
    </row>
    <row r="134" spans="1:4">
      <c r="A134" s="19" t="str">
        <f t="shared" si="21"/>
        <v>АСУЭ.SEPAM.mQ</v>
      </c>
      <c r="B134" s="11">
        <v>100</v>
      </c>
      <c r="C134" s="11" t="s">
        <v>0</v>
      </c>
      <c r="D134" s="20" t="s">
        <v>1587</v>
      </c>
    </row>
    <row r="135" spans="1:4">
      <c r="A135" s="21" t="str">
        <f t="shared" si="21"/>
        <v>АСУЭ.SEPAM.mQ</v>
      </c>
      <c r="B135" s="8">
        <v>8002</v>
      </c>
      <c r="C135" s="8" t="s">
        <v>819</v>
      </c>
      <c r="D135" s="22">
        <f>$K$2*10000</f>
        <v>10000000</v>
      </c>
    </row>
    <row r="136" spans="1:4">
      <c r="A136" s="16" t="str">
        <f t="shared" ref="A136:A141" si="22">$I$2&amp;".mS"</f>
        <v>АСУЭ.SEPAM.mS</v>
      </c>
      <c r="B136" s="17">
        <v>1</v>
      </c>
      <c r="C136" s="17" t="s">
        <v>1</v>
      </c>
      <c r="D136" s="18">
        <v>3</v>
      </c>
    </row>
    <row r="137" spans="1:4">
      <c r="A137" s="19" t="str">
        <f t="shared" si="22"/>
        <v>АСУЭ.SEPAM.mS</v>
      </c>
      <c r="B137" s="11">
        <v>8001</v>
      </c>
      <c r="C137" s="11" t="s">
        <v>2</v>
      </c>
      <c r="D137" s="20" t="s">
        <v>266</v>
      </c>
    </row>
    <row r="138" spans="1:4">
      <c r="A138" s="19" t="str">
        <f t="shared" si="22"/>
        <v>АСУЭ.SEPAM.mS</v>
      </c>
      <c r="B138" s="11">
        <v>8006</v>
      </c>
      <c r="C138" s="11" t="s">
        <v>2</v>
      </c>
      <c r="D138" s="20" t="s">
        <v>175</v>
      </c>
    </row>
    <row r="139" spans="1:4">
      <c r="A139" s="19" t="str">
        <f t="shared" si="22"/>
        <v>АСУЭ.SEPAM.mS</v>
      </c>
      <c r="B139" s="11">
        <v>101</v>
      </c>
      <c r="C139" s="11" t="s">
        <v>0</v>
      </c>
      <c r="D139" s="20" t="str">
        <f>$H$2&amp;". Мощность полная"</f>
        <v>SEPAM. Мощность полная</v>
      </c>
    </row>
    <row r="140" spans="1:4">
      <c r="A140" s="19" t="str">
        <f t="shared" si="22"/>
        <v>АСУЭ.SEPAM.mS</v>
      </c>
      <c r="B140" s="11">
        <v>100</v>
      </c>
      <c r="C140" s="11" t="s">
        <v>0</v>
      </c>
      <c r="D140" s="20" t="s">
        <v>1589</v>
      </c>
    </row>
    <row r="141" spans="1:4">
      <c r="A141" s="21" t="str">
        <f t="shared" si="22"/>
        <v>АСУЭ.SEPAM.mS</v>
      </c>
      <c r="B141" s="8">
        <v>8002</v>
      </c>
      <c r="C141" s="8" t="s">
        <v>819</v>
      </c>
      <c r="D141" s="22">
        <f>$K$2*10000</f>
        <v>10000000</v>
      </c>
    </row>
    <row r="142" spans="1:4">
      <c r="A142" s="16" t="str">
        <f t="shared" ref="A142:A147" si="23">$I$2&amp;".mU13"</f>
        <v>АСУЭ.SEPAM.mU13</v>
      </c>
      <c r="B142" s="17">
        <v>1</v>
      </c>
      <c r="C142" s="17" t="s">
        <v>1</v>
      </c>
      <c r="D142" s="18">
        <v>3</v>
      </c>
    </row>
    <row r="143" spans="1:4">
      <c r="A143" s="19" t="str">
        <f t="shared" si="23"/>
        <v>АСУЭ.SEPAM.mU13</v>
      </c>
      <c r="B143" s="11">
        <v>8001</v>
      </c>
      <c r="C143" s="11" t="s">
        <v>2</v>
      </c>
      <c r="D143" s="20" t="s">
        <v>266</v>
      </c>
    </row>
    <row r="144" spans="1:4">
      <c r="A144" s="19" t="str">
        <f t="shared" si="23"/>
        <v>АСУЭ.SEPAM.mU13</v>
      </c>
      <c r="B144" s="11">
        <v>8006</v>
      </c>
      <c r="C144" s="11" t="s">
        <v>2</v>
      </c>
      <c r="D144" s="20" t="s">
        <v>175</v>
      </c>
    </row>
    <row r="145" spans="1:4">
      <c r="A145" s="19" t="str">
        <f t="shared" si="23"/>
        <v>АСУЭ.SEPAM.mU13</v>
      </c>
      <c r="B145" s="11">
        <v>101</v>
      </c>
      <c r="C145" s="11" t="s">
        <v>0</v>
      </c>
      <c r="D145" s="20" t="str">
        <f>$H$2&amp;". Линейное напряжение U13"</f>
        <v>SEPAM. Линейное напряжение U13</v>
      </c>
    </row>
    <row r="146" spans="1:4">
      <c r="A146" s="19" t="str">
        <f t="shared" si="23"/>
        <v>АСУЭ.SEPAM.mU13</v>
      </c>
      <c r="B146" s="11">
        <v>100</v>
      </c>
      <c r="C146" s="11" t="s">
        <v>0</v>
      </c>
      <c r="D146" s="20" t="s">
        <v>1588</v>
      </c>
    </row>
    <row r="147" spans="1:4">
      <c r="A147" s="21" t="str">
        <f t="shared" si="23"/>
        <v>АСУЭ.SEPAM.mU13</v>
      </c>
      <c r="B147" s="8">
        <v>8002</v>
      </c>
      <c r="C147" s="8" t="s">
        <v>819</v>
      </c>
      <c r="D147" s="22">
        <f>$K$2*10000</f>
        <v>10000000</v>
      </c>
    </row>
    <row r="148" spans="1:4">
      <c r="A148" s="16" t="str">
        <f t="shared" ref="A148:A153" si="24">$I$2&amp;".mU21"</f>
        <v>АСУЭ.SEPAM.mU21</v>
      </c>
      <c r="B148" s="17">
        <v>1</v>
      </c>
      <c r="C148" s="17" t="s">
        <v>1</v>
      </c>
      <c r="D148" s="18">
        <v>3</v>
      </c>
    </row>
    <row r="149" spans="1:4">
      <c r="A149" s="19" t="str">
        <f t="shared" si="24"/>
        <v>АСУЭ.SEPAM.mU21</v>
      </c>
      <c r="B149" s="11">
        <v>8001</v>
      </c>
      <c r="C149" s="11" t="s">
        <v>2</v>
      </c>
      <c r="D149" s="20" t="s">
        <v>266</v>
      </c>
    </row>
    <row r="150" spans="1:4">
      <c r="A150" s="19" t="str">
        <f t="shared" si="24"/>
        <v>АСУЭ.SEPAM.mU21</v>
      </c>
      <c r="B150" s="11">
        <v>8006</v>
      </c>
      <c r="C150" s="11" t="s">
        <v>2</v>
      </c>
      <c r="D150" s="20" t="s">
        <v>175</v>
      </c>
    </row>
    <row r="151" spans="1:4">
      <c r="A151" s="19" t="str">
        <f t="shared" si="24"/>
        <v>АСУЭ.SEPAM.mU21</v>
      </c>
      <c r="B151" s="11">
        <v>101</v>
      </c>
      <c r="C151" s="11" t="s">
        <v>0</v>
      </c>
      <c r="D151" s="20" t="str">
        <f>$H$2&amp;". Линейное напряжение U21"</f>
        <v>SEPAM. Линейное напряжение U21</v>
      </c>
    </row>
    <row r="152" spans="1:4">
      <c r="A152" s="19" t="str">
        <f t="shared" si="24"/>
        <v>АСУЭ.SEPAM.mU21</v>
      </c>
      <c r="B152" s="11">
        <v>100</v>
      </c>
      <c r="C152" s="11" t="s">
        <v>0</v>
      </c>
      <c r="D152" s="20" t="s">
        <v>1588</v>
      </c>
    </row>
    <row r="153" spans="1:4">
      <c r="A153" s="21" t="str">
        <f t="shared" si="24"/>
        <v>АСУЭ.SEPAM.mU21</v>
      </c>
      <c r="B153" s="8">
        <v>8002</v>
      </c>
      <c r="C153" s="8" t="s">
        <v>819</v>
      </c>
      <c r="D153" s="22">
        <f>$K$2*10000</f>
        <v>10000000</v>
      </c>
    </row>
    <row r="154" spans="1:4">
      <c r="A154" s="16" t="str">
        <f t="shared" ref="A154:A159" si="25">$I$2&amp;".mU32"</f>
        <v>АСУЭ.SEPAM.mU32</v>
      </c>
      <c r="B154" s="17">
        <v>1</v>
      </c>
      <c r="C154" s="17" t="s">
        <v>1</v>
      </c>
      <c r="D154" s="18">
        <v>3</v>
      </c>
    </row>
    <row r="155" spans="1:4">
      <c r="A155" s="19" t="str">
        <f t="shared" si="25"/>
        <v>АСУЭ.SEPAM.mU32</v>
      </c>
      <c r="B155" s="11">
        <v>8001</v>
      </c>
      <c r="C155" s="11" t="s">
        <v>2</v>
      </c>
      <c r="D155" s="20" t="s">
        <v>266</v>
      </c>
    </row>
    <row r="156" spans="1:4">
      <c r="A156" s="19" t="str">
        <f t="shared" si="25"/>
        <v>АСУЭ.SEPAM.mU32</v>
      </c>
      <c r="B156" s="11">
        <v>8006</v>
      </c>
      <c r="C156" s="11" t="s">
        <v>2</v>
      </c>
      <c r="D156" s="20" t="s">
        <v>175</v>
      </c>
    </row>
    <row r="157" spans="1:4">
      <c r="A157" s="19" t="str">
        <f t="shared" si="25"/>
        <v>АСУЭ.SEPAM.mU32</v>
      </c>
      <c r="B157" s="11">
        <v>101</v>
      </c>
      <c r="C157" s="11" t="s">
        <v>0</v>
      </c>
      <c r="D157" s="20" t="str">
        <f>$H$2&amp;". Линейное напряжение U32"</f>
        <v>SEPAM. Линейное напряжение U32</v>
      </c>
    </row>
    <row r="158" spans="1:4">
      <c r="A158" s="19" t="str">
        <f t="shared" si="25"/>
        <v>АСУЭ.SEPAM.mU32</v>
      </c>
      <c r="B158" s="11">
        <v>100</v>
      </c>
      <c r="C158" s="11" t="s">
        <v>0</v>
      </c>
      <c r="D158" s="20" t="s">
        <v>1588</v>
      </c>
    </row>
    <row r="159" spans="1:4">
      <c r="A159" s="21" t="str">
        <f t="shared" si="25"/>
        <v>АСУЭ.SEPAM.mU32</v>
      </c>
      <c r="B159" s="8">
        <v>8002</v>
      </c>
      <c r="C159" s="8" t="s">
        <v>819</v>
      </c>
      <c r="D159" s="22">
        <f>$K$2*10000</f>
        <v>10000000</v>
      </c>
    </row>
    <row r="160" spans="1:4">
      <c r="A160" s="16" t="str">
        <f t="shared" ref="A160:A165" si="26">$I$2&amp;".mEaMinus"</f>
        <v>АСУЭ.SEPAM.mEaMinus</v>
      </c>
      <c r="B160" s="17">
        <v>1</v>
      </c>
      <c r="C160" s="17" t="s">
        <v>1</v>
      </c>
      <c r="D160" s="18">
        <v>3</v>
      </c>
    </row>
    <row r="161" spans="1:4">
      <c r="A161" s="19" t="str">
        <f t="shared" si="26"/>
        <v>АСУЭ.SEPAM.mEaMinus</v>
      </c>
      <c r="B161" s="11">
        <v>8001</v>
      </c>
      <c r="C161" s="11" t="s">
        <v>2</v>
      </c>
      <c r="D161" s="20" t="s">
        <v>266</v>
      </c>
    </row>
    <row r="162" spans="1:4">
      <c r="A162" s="19" t="str">
        <f t="shared" si="26"/>
        <v>АСУЭ.SEPAM.mEaMinus</v>
      </c>
      <c r="B162" s="11">
        <v>8006</v>
      </c>
      <c r="C162" s="11" t="s">
        <v>2</v>
      </c>
      <c r="D162" s="20" t="s">
        <v>175</v>
      </c>
    </row>
    <row r="163" spans="1:4">
      <c r="A163" s="19" t="str">
        <f t="shared" si="26"/>
        <v>АСУЭ.SEPAM.mEaMinus</v>
      </c>
      <c r="B163" s="11">
        <v>101</v>
      </c>
      <c r="C163" s="11" t="s">
        <v>0</v>
      </c>
      <c r="D163" s="20" t="str">
        <f>$H$2&amp;". Энергия активная(-)"</f>
        <v>SEPAM. Энергия активная(-)</v>
      </c>
    </row>
    <row r="164" spans="1:4">
      <c r="A164" s="19" t="str">
        <f t="shared" si="26"/>
        <v>АСУЭ.SEPAM.mEaMinus</v>
      </c>
      <c r="B164" s="11">
        <v>100</v>
      </c>
      <c r="C164" s="11" t="s">
        <v>0</v>
      </c>
      <c r="D164" s="20" t="s">
        <v>1591</v>
      </c>
    </row>
    <row r="165" spans="1:4">
      <c r="A165" s="21" t="str">
        <f t="shared" si="26"/>
        <v>АСУЭ.SEPAM.mEaMinus</v>
      </c>
      <c r="B165" s="8">
        <v>8002</v>
      </c>
      <c r="C165" s="8" t="s">
        <v>819</v>
      </c>
      <c r="D165" s="22">
        <f>$K$2*10000</f>
        <v>10000000</v>
      </c>
    </row>
    <row r="166" spans="1:4">
      <c r="A166" s="16" t="str">
        <f t="shared" ref="A166:A171" si="27">$I$2&amp;".mEaPlus"</f>
        <v>АСУЭ.SEPAM.mEaPlus</v>
      </c>
      <c r="B166" s="17">
        <v>1</v>
      </c>
      <c r="C166" s="17" t="s">
        <v>1</v>
      </c>
      <c r="D166" s="18">
        <v>3</v>
      </c>
    </row>
    <row r="167" spans="1:4">
      <c r="A167" s="19" t="str">
        <f t="shared" si="27"/>
        <v>АСУЭ.SEPAM.mEaPlus</v>
      </c>
      <c r="B167" s="11">
        <v>8001</v>
      </c>
      <c r="C167" s="11" t="s">
        <v>2</v>
      </c>
      <c r="D167" s="20" t="s">
        <v>266</v>
      </c>
    </row>
    <row r="168" spans="1:4">
      <c r="A168" s="19" t="str">
        <f t="shared" si="27"/>
        <v>АСУЭ.SEPAM.mEaPlus</v>
      </c>
      <c r="B168" s="11">
        <v>8006</v>
      </c>
      <c r="C168" s="11" t="s">
        <v>2</v>
      </c>
      <c r="D168" s="20" t="s">
        <v>175</v>
      </c>
    </row>
    <row r="169" spans="1:4">
      <c r="A169" s="19" t="str">
        <f t="shared" si="27"/>
        <v>АСУЭ.SEPAM.mEaPlus</v>
      </c>
      <c r="B169" s="11">
        <v>101</v>
      </c>
      <c r="C169" s="11" t="s">
        <v>0</v>
      </c>
      <c r="D169" s="20" t="str">
        <f>$H$2&amp;". Энергия активная(+)"</f>
        <v>SEPAM. Энергия активная(+)</v>
      </c>
    </row>
    <row r="170" spans="1:4">
      <c r="A170" s="19" t="str">
        <f t="shared" si="27"/>
        <v>АСУЭ.SEPAM.mEaPlus</v>
      </c>
      <c r="B170" s="11">
        <v>100</v>
      </c>
      <c r="C170" s="11" t="s">
        <v>0</v>
      </c>
      <c r="D170" s="20" t="s">
        <v>1591</v>
      </c>
    </row>
    <row r="171" spans="1:4">
      <c r="A171" s="21" t="str">
        <f t="shared" si="27"/>
        <v>АСУЭ.SEPAM.mEaPlus</v>
      </c>
      <c r="B171" s="8">
        <v>8002</v>
      </c>
      <c r="C171" s="8" t="s">
        <v>819</v>
      </c>
      <c r="D171" s="22">
        <f>$K$2*10000</f>
        <v>10000000</v>
      </c>
    </row>
    <row r="172" spans="1:4">
      <c r="A172" s="16" t="str">
        <f t="shared" ref="A172:A177" si="28">$I$2&amp;".mErMinus"</f>
        <v>АСУЭ.SEPAM.mErMinus</v>
      </c>
      <c r="B172" s="17">
        <v>1</v>
      </c>
      <c r="C172" s="17" t="s">
        <v>1</v>
      </c>
      <c r="D172" s="18">
        <v>3</v>
      </c>
    </row>
    <row r="173" spans="1:4">
      <c r="A173" s="19" t="str">
        <f t="shared" si="28"/>
        <v>АСУЭ.SEPAM.mErMinus</v>
      </c>
      <c r="B173" s="11">
        <v>8001</v>
      </c>
      <c r="C173" s="11" t="s">
        <v>2</v>
      </c>
      <c r="D173" s="20" t="s">
        <v>266</v>
      </c>
    </row>
    <row r="174" spans="1:4">
      <c r="A174" s="19" t="str">
        <f t="shared" si="28"/>
        <v>АСУЭ.SEPAM.mErMinus</v>
      </c>
      <c r="B174" s="11">
        <v>8006</v>
      </c>
      <c r="C174" s="11" t="s">
        <v>2</v>
      </c>
      <c r="D174" s="20" t="s">
        <v>175</v>
      </c>
    </row>
    <row r="175" spans="1:4">
      <c r="A175" s="19" t="str">
        <f t="shared" si="28"/>
        <v>АСУЭ.SEPAM.mErMinus</v>
      </c>
      <c r="B175" s="11">
        <v>101</v>
      </c>
      <c r="C175" s="11" t="s">
        <v>0</v>
      </c>
      <c r="D175" s="20" t="str">
        <f>$H$2&amp;". Энергия реактивная(-)"</f>
        <v>SEPAM. Энергия реактивная(-)</v>
      </c>
    </row>
    <row r="176" spans="1:4">
      <c r="A176" s="19" t="str">
        <f t="shared" si="28"/>
        <v>АСУЭ.SEPAM.mErMinus</v>
      </c>
      <c r="B176" s="11">
        <v>100</v>
      </c>
      <c r="C176" s="11" t="s">
        <v>0</v>
      </c>
      <c r="D176" s="20" t="s">
        <v>1591</v>
      </c>
    </row>
    <row r="177" spans="1:4">
      <c r="A177" s="21" t="str">
        <f t="shared" si="28"/>
        <v>АСУЭ.SEPAM.mErMinus</v>
      </c>
      <c r="B177" s="8">
        <v>8002</v>
      </c>
      <c r="C177" s="8" t="s">
        <v>819</v>
      </c>
      <c r="D177" s="22">
        <f>$K$2*10000</f>
        <v>10000000</v>
      </c>
    </row>
    <row r="178" spans="1:4">
      <c r="A178" s="16" t="str">
        <f t="shared" ref="A178:A183" si="29">$I$2&amp;".mErPlus"</f>
        <v>АСУЭ.SEPAM.mErPlus</v>
      </c>
      <c r="B178" s="17">
        <v>1</v>
      </c>
      <c r="C178" s="17" t="s">
        <v>1</v>
      </c>
      <c r="D178" s="18">
        <v>3</v>
      </c>
    </row>
    <row r="179" spans="1:4">
      <c r="A179" s="19" t="str">
        <f t="shared" si="29"/>
        <v>АСУЭ.SEPAM.mErPlus</v>
      </c>
      <c r="B179" s="11">
        <v>8001</v>
      </c>
      <c r="C179" s="11" t="s">
        <v>2</v>
      </c>
      <c r="D179" s="20" t="s">
        <v>266</v>
      </c>
    </row>
    <row r="180" spans="1:4">
      <c r="A180" s="19" t="str">
        <f t="shared" si="29"/>
        <v>АСУЭ.SEPAM.mErPlus</v>
      </c>
      <c r="B180" s="11">
        <v>8006</v>
      </c>
      <c r="C180" s="11" t="s">
        <v>2</v>
      </c>
      <c r="D180" s="20" t="s">
        <v>175</v>
      </c>
    </row>
    <row r="181" spans="1:4">
      <c r="A181" s="19" t="str">
        <f t="shared" si="29"/>
        <v>АСУЭ.SEPAM.mErPlus</v>
      </c>
      <c r="B181" s="11">
        <v>101</v>
      </c>
      <c r="C181" s="11" t="s">
        <v>0</v>
      </c>
      <c r="D181" s="20" t="str">
        <f>$H$2&amp;". Энергия реактивная(+)"</f>
        <v>SEPAM. Энергия реактивная(+)</v>
      </c>
    </row>
    <row r="182" spans="1:4">
      <c r="A182" s="19" t="str">
        <f t="shared" si="29"/>
        <v>АСУЭ.SEPAM.mErPlus</v>
      </c>
      <c r="B182" s="11">
        <v>100</v>
      </c>
      <c r="C182" s="11" t="s">
        <v>0</v>
      </c>
      <c r="D182" s="20" t="s">
        <v>1591</v>
      </c>
    </row>
    <row r="183" spans="1:4">
      <c r="A183" s="21" t="str">
        <f t="shared" si="29"/>
        <v>АСУЭ.SEPAM.mErPlus</v>
      </c>
      <c r="B183" s="8">
        <v>8002</v>
      </c>
      <c r="C183" s="8" t="s">
        <v>819</v>
      </c>
      <c r="D183" s="22">
        <f>$K$2*10000</f>
        <v>10000000</v>
      </c>
    </row>
  </sheetData>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sheetPr codeName="Лист148">
    <tabColor theme="0" tint="-0.34998626667073579"/>
  </sheetPr>
  <dimension ref="A1:K27"/>
  <sheetViews>
    <sheetView workbookViewId="0">
      <selection activeCell="D2" sqref="D2:D4"/>
    </sheetView>
  </sheetViews>
  <sheetFormatPr defaultRowHeight="14.4"/>
  <cols>
    <col min="1" max="1" width="52.88671875" style="55" customWidth="1"/>
    <col min="4" max="4" width="85" customWidth="1"/>
    <col min="8" max="9" width="40.6640625" customWidth="1"/>
    <col min="10" max="10" width="28.44140625" customWidth="1"/>
    <col min="11" max="11" width="25.6640625" customWidth="1"/>
  </cols>
  <sheetData>
    <row r="1" spans="1:11">
      <c r="A1" s="57"/>
      <c r="B1" s="10"/>
      <c r="C1" s="10"/>
      <c r="D1" s="10"/>
      <c r="E1" s="10"/>
      <c r="F1" s="10"/>
      <c r="G1" s="10"/>
      <c r="H1" s="54" t="s">
        <v>269</v>
      </c>
      <c r="I1" s="54" t="s">
        <v>268</v>
      </c>
      <c r="J1" s="54" t="s">
        <v>512</v>
      </c>
      <c r="K1" s="54" t="s">
        <v>1471</v>
      </c>
    </row>
    <row r="2" spans="1:11" ht="15" customHeight="1">
      <c r="A2" s="57"/>
      <c r="B2" s="10"/>
      <c r="C2" s="10"/>
      <c r="D2" s="10"/>
      <c r="E2" s="10"/>
      <c r="F2" s="10"/>
      <c r="G2" s="10"/>
      <c r="H2" s="73" t="s">
        <v>331</v>
      </c>
      <c r="I2" s="73" t="s">
        <v>747</v>
      </c>
      <c r="J2" s="2"/>
      <c r="K2" s="2">
        <f>Настройки!M18</f>
        <v>1000</v>
      </c>
    </row>
    <row r="3" spans="1:11" ht="15" customHeight="1">
      <c r="A3" s="549" t="str">
        <f xml:space="preserve"> $I$2</f>
        <v>АСУЭ.SEPAM</v>
      </c>
      <c r="B3" s="550">
        <v>101</v>
      </c>
      <c r="C3" s="551" t="s">
        <v>0</v>
      </c>
      <c r="D3" s="552" t="str">
        <f>$H$2</f>
        <v>SEPAM</v>
      </c>
      <c r="E3" s="4"/>
      <c r="F3" s="4"/>
      <c r="G3" s="4"/>
      <c r="H3" s="239"/>
      <c r="I3" s="239"/>
    </row>
    <row r="4" spans="1:11">
      <c r="A4" s="16" t="str">
        <f t="shared" ref="A4:A9" si="0">$I$2&amp;".mFreq"</f>
        <v>АСУЭ.SEPAM.mFreq</v>
      </c>
      <c r="B4" s="17">
        <v>1</v>
      </c>
      <c r="C4" s="17" t="s">
        <v>1</v>
      </c>
      <c r="D4" s="18">
        <v>3</v>
      </c>
    </row>
    <row r="5" spans="1:11">
      <c r="A5" s="19" t="str">
        <f t="shared" si="0"/>
        <v>АСУЭ.SEPAM.mFreq</v>
      </c>
      <c r="B5" s="11">
        <v>8001</v>
      </c>
      <c r="C5" s="11" t="s">
        <v>2</v>
      </c>
      <c r="D5" s="20" t="s">
        <v>266</v>
      </c>
    </row>
    <row r="6" spans="1:11">
      <c r="A6" s="19" t="str">
        <f t="shared" si="0"/>
        <v>АСУЭ.SEPAM.mFreq</v>
      </c>
      <c r="B6" s="11">
        <v>8006</v>
      </c>
      <c r="C6" s="11" t="s">
        <v>2</v>
      </c>
      <c r="D6" s="20" t="s">
        <v>175</v>
      </c>
    </row>
    <row r="7" spans="1:11">
      <c r="A7" s="19" t="str">
        <f t="shared" si="0"/>
        <v>АСУЭ.SEPAM.mFreq</v>
      </c>
      <c r="B7" s="11">
        <v>101</v>
      </c>
      <c r="C7" s="11" t="s">
        <v>0</v>
      </c>
      <c r="D7" s="20" t="str">
        <f>$H$2&amp;". Частота"</f>
        <v>SEPAM. Частота</v>
      </c>
    </row>
    <row r="8" spans="1:11">
      <c r="A8" s="19" t="str">
        <f t="shared" si="0"/>
        <v>АСУЭ.SEPAM.mFreq</v>
      </c>
      <c r="B8" s="11">
        <v>100</v>
      </c>
      <c r="C8" s="11" t="s">
        <v>0</v>
      </c>
      <c r="D8" s="20" t="s">
        <v>1585</v>
      </c>
    </row>
    <row r="9" spans="1:11">
      <c r="A9" s="21" t="str">
        <f t="shared" si="0"/>
        <v>АСУЭ.SEPAM.mFreq</v>
      </c>
      <c r="B9" s="8">
        <v>8002</v>
      </c>
      <c r="C9" s="8" t="s">
        <v>819</v>
      </c>
      <c r="D9" s="22">
        <f>$K$2*10000</f>
        <v>10000000</v>
      </c>
    </row>
    <row r="10" spans="1:11">
      <c r="A10" s="16" t="str">
        <f t="shared" ref="A10:A15" si="1">$I$2&amp;".mU13"</f>
        <v>АСУЭ.SEPAM.mU13</v>
      </c>
      <c r="B10" s="17">
        <v>1</v>
      </c>
      <c r="C10" s="17" t="s">
        <v>1</v>
      </c>
      <c r="D10" s="18">
        <v>3</v>
      </c>
    </row>
    <row r="11" spans="1:11">
      <c r="A11" s="19" t="str">
        <f t="shared" si="1"/>
        <v>АСУЭ.SEPAM.mU13</v>
      </c>
      <c r="B11" s="11">
        <v>8001</v>
      </c>
      <c r="C11" s="11" t="s">
        <v>2</v>
      </c>
      <c r="D11" s="20" t="s">
        <v>266</v>
      </c>
    </row>
    <row r="12" spans="1:11">
      <c r="A12" s="19" t="str">
        <f t="shared" si="1"/>
        <v>АСУЭ.SEPAM.mU13</v>
      </c>
      <c r="B12" s="11">
        <v>8006</v>
      </c>
      <c r="C12" s="11" t="s">
        <v>2</v>
      </c>
      <c r="D12" s="20" t="s">
        <v>175</v>
      </c>
    </row>
    <row r="13" spans="1:11">
      <c r="A13" s="19" t="str">
        <f t="shared" si="1"/>
        <v>АСУЭ.SEPAM.mU13</v>
      </c>
      <c r="B13" s="11">
        <v>101</v>
      </c>
      <c r="C13" s="11" t="s">
        <v>0</v>
      </c>
      <c r="D13" s="20" t="str">
        <f>$H$2&amp;". Линейное напряжение U13"</f>
        <v>SEPAM. Линейное напряжение U13</v>
      </c>
    </row>
    <row r="14" spans="1:11">
      <c r="A14" s="19" t="str">
        <f t="shared" si="1"/>
        <v>АСУЭ.SEPAM.mU13</v>
      </c>
      <c r="B14" s="11">
        <v>100</v>
      </c>
      <c r="C14" s="11" t="s">
        <v>0</v>
      </c>
      <c r="D14" s="20" t="s">
        <v>1588</v>
      </c>
    </row>
    <row r="15" spans="1:11">
      <c r="A15" s="21" t="str">
        <f t="shared" si="1"/>
        <v>АСУЭ.SEPAM.mU13</v>
      </c>
      <c r="B15" s="8">
        <v>8002</v>
      </c>
      <c r="C15" s="8" t="s">
        <v>819</v>
      </c>
      <c r="D15" s="22">
        <f>$K$2*10000</f>
        <v>10000000</v>
      </c>
    </row>
    <row r="16" spans="1:11">
      <c r="A16" s="16" t="str">
        <f t="shared" ref="A16:A21" si="2">$I$2&amp;".mU21"</f>
        <v>АСУЭ.SEPAM.mU21</v>
      </c>
      <c r="B16" s="17">
        <v>1</v>
      </c>
      <c r="C16" s="17" t="s">
        <v>1</v>
      </c>
      <c r="D16" s="18">
        <v>3</v>
      </c>
    </row>
    <row r="17" spans="1:4">
      <c r="A17" s="19" t="str">
        <f t="shared" si="2"/>
        <v>АСУЭ.SEPAM.mU21</v>
      </c>
      <c r="B17" s="11">
        <v>8001</v>
      </c>
      <c r="C17" s="11" t="s">
        <v>2</v>
      </c>
      <c r="D17" s="20" t="s">
        <v>266</v>
      </c>
    </row>
    <row r="18" spans="1:4">
      <c r="A18" s="19" t="str">
        <f t="shared" si="2"/>
        <v>АСУЭ.SEPAM.mU21</v>
      </c>
      <c r="B18" s="11">
        <v>8006</v>
      </c>
      <c r="C18" s="11" t="s">
        <v>2</v>
      </c>
      <c r="D18" s="20" t="s">
        <v>175</v>
      </c>
    </row>
    <row r="19" spans="1:4">
      <c r="A19" s="19" t="str">
        <f t="shared" si="2"/>
        <v>АСУЭ.SEPAM.mU21</v>
      </c>
      <c r="B19" s="11">
        <v>101</v>
      </c>
      <c r="C19" s="11" t="s">
        <v>0</v>
      </c>
      <c r="D19" s="20" t="str">
        <f>$H$2&amp;". Линейное напряжение U21"</f>
        <v>SEPAM. Линейное напряжение U21</v>
      </c>
    </row>
    <row r="20" spans="1:4">
      <c r="A20" s="19" t="str">
        <f t="shared" si="2"/>
        <v>АСУЭ.SEPAM.mU21</v>
      </c>
      <c r="B20" s="11">
        <v>100</v>
      </c>
      <c r="C20" s="11" t="s">
        <v>0</v>
      </c>
      <c r="D20" s="20" t="s">
        <v>1588</v>
      </c>
    </row>
    <row r="21" spans="1:4">
      <c r="A21" s="21" t="str">
        <f t="shared" si="2"/>
        <v>АСУЭ.SEPAM.mU21</v>
      </c>
      <c r="B21" s="8">
        <v>8002</v>
      </c>
      <c r="C21" s="8" t="s">
        <v>819</v>
      </c>
      <c r="D21" s="22">
        <f>$K$2*10000</f>
        <v>10000000</v>
      </c>
    </row>
    <row r="22" spans="1:4">
      <c r="A22" s="16" t="str">
        <f t="shared" ref="A22:A27" si="3">$I$2&amp;".mU32"</f>
        <v>АСУЭ.SEPAM.mU32</v>
      </c>
      <c r="B22" s="17">
        <v>1</v>
      </c>
      <c r="C22" s="17" t="s">
        <v>1</v>
      </c>
      <c r="D22" s="18">
        <v>3</v>
      </c>
    </row>
    <row r="23" spans="1:4">
      <c r="A23" s="19" t="str">
        <f t="shared" si="3"/>
        <v>АСУЭ.SEPAM.mU32</v>
      </c>
      <c r="B23" s="11">
        <v>8001</v>
      </c>
      <c r="C23" s="11" t="s">
        <v>2</v>
      </c>
      <c r="D23" s="20" t="s">
        <v>266</v>
      </c>
    </row>
    <row r="24" spans="1:4">
      <c r="A24" s="19" t="str">
        <f t="shared" si="3"/>
        <v>АСУЭ.SEPAM.mU32</v>
      </c>
      <c r="B24" s="11">
        <v>8006</v>
      </c>
      <c r="C24" s="11" t="s">
        <v>2</v>
      </c>
      <c r="D24" s="20" t="s">
        <v>175</v>
      </c>
    </row>
    <row r="25" spans="1:4">
      <c r="A25" s="19" t="str">
        <f t="shared" si="3"/>
        <v>АСУЭ.SEPAM.mU32</v>
      </c>
      <c r="B25" s="11">
        <v>101</v>
      </c>
      <c r="C25" s="11" t="s">
        <v>0</v>
      </c>
      <c r="D25" s="20" t="str">
        <f>$H$2&amp;". Линейное напряжение U32"</f>
        <v>SEPAM. Линейное напряжение U32</v>
      </c>
    </row>
    <row r="26" spans="1:4">
      <c r="A26" s="19" t="str">
        <f t="shared" si="3"/>
        <v>АСУЭ.SEPAM.mU32</v>
      </c>
      <c r="B26" s="11">
        <v>100</v>
      </c>
      <c r="C26" s="11" t="s">
        <v>0</v>
      </c>
      <c r="D26" s="20" t="s">
        <v>1588</v>
      </c>
    </row>
    <row r="27" spans="1:4">
      <c r="A27" s="21" t="str">
        <f t="shared" si="3"/>
        <v>АСУЭ.SEPAM.mU32</v>
      </c>
      <c r="B27" s="8">
        <v>8002</v>
      </c>
      <c r="C27" s="8" t="s">
        <v>819</v>
      </c>
      <c r="D27" s="22">
        <f>$K$2*10000</f>
        <v>10000000</v>
      </c>
    </row>
  </sheetData>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sheetPr codeName="Лист216">
    <tabColor theme="0" tint="-0.34998626667073579"/>
  </sheetPr>
  <dimension ref="A1:K75"/>
  <sheetViews>
    <sheetView topLeftCell="B1" workbookViewId="0">
      <selection activeCell="D2" sqref="D2:D4"/>
    </sheetView>
  </sheetViews>
  <sheetFormatPr defaultRowHeight="14.4"/>
  <cols>
    <col min="1" max="1" width="52.88671875" style="55" customWidth="1"/>
    <col min="4" max="4" width="85" customWidth="1"/>
    <col min="8" max="9" width="40.6640625" customWidth="1"/>
    <col min="10" max="10" width="28.44140625" customWidth="1"/>
    <col min="11" max="11" width="25.6640625" customWidth="1"/>
  </cols>
  <sheetData>
    <row r="1" spans="1:11">
      <c r="A1" s="57"/>
      <c r="B1" s="10"/>
      <c r="C1" s="10"/>
      <c r="D1" s="10"/>
      <c r="E1" s="10"/>
      <c r="F1" s="10"/>
      <c r="G1" s="10"/>
      <c r="H1" s="54" t="s">
        <v>269</v>
      </c>
      <c r="I1" s="54" t="s">
        <v>268</v>
      </c>
      <c r="J1" s="54" t="s">
        <v>512</v>
      </c>
      <c r="K1" s="54" t="s">
        <v>1471</v>
      </c>
    </row>
    <row r="2" spans="1:11" ht="15" customHeight="1">
      <c r="A2" s="57"/>
      <c r="B2" s="10"/>
      <c r="C2" s="10"/>
      <c r="D2" s="10"/>
      <c r="E2" s="10"/>
      <c r="F2" s="10"/>
      <c r="G2" s="10"/>
      <c r="H2" s="73" t="s">
        <v>2850</v>
      </c>
      <c r="I2" s="73" t="s">
        <v>2849</v>
      </c>
      <c r="J2" s="2" t="s">
        <v>327</v>
      </c>
      <c r="K2" s="2">
        <f>Настройки!M18</f>
        <v>1000</v>
      </c>
    </row>
    <row r="3" spans="1:11" ht="15" customHeight="1">
      <c r="A3" s="549" t="str">
        <f xml:space="preserve"> $I$2</f>
        <v>АСУЭ.TOR_VV</v>
      </c>
      <c r="B3" s="550">
        <v>101</v>
      </c>
      <c r="C3" s="551" t="s">
        <v>0</v>
      </c>
      <c r="D3" s="552" t="str">
        <f>$H$2</f>
        <v>ТОР 200-16 ВВР</v>
      </c>
      <c r="E3" s="4"/>
      <c r="F3" s="4"/>
      <c r="G3" s="4"/>
      <c r="H3" s="239"/>
      <c r="I3" s="239"/>
    </row>
    <row r="4" spans="1:11">
      <c r="A4" s="16" t="str">
        <f>$I$2&amp;".mComNum"</f>
        <v>АСУЭ.TOR_VV.mComNum</v>
      </c>
      <c r="B4" s="17">
        <v>1</v>
      </c>
      <c r="C4" s="17" t="s">
        <v>1</v>
      </c>
      <c r="D4" s="18">
        <v>3</v>
      </c>
    </row>
    <row r="5" spans="1:11">
      <c r="A5" s="19" t="str">
        <f t="shared" ref="A5:A9" si="0">$I$2&amp;".mComNum"</f>
        <v>АСУЭ.TOR_VV.mComNum</v>
      </c>
      <c r="B5" s="11">
        <v>8001</v>
      </c>
      <c r="C5" s="11" t="s">
        <v>2</v>
      </c>
      <c r="D5" s="20" t="s">
        <v>266</v>
      </c>
    </row>
    <row r="6" spans="1:11">
      <c r="A6" s="19" t="str">
        <f t="shared" si="0"/>
        <v>АСУЭ.TOR_VV.mComNum</v>
      </c>
      <c r="B6" s="11">
        <v>8006</v>
      </c>
      <c r="C6" s="11" t="s">
        <v>2</v>
      </c>
      <c r="D6" s="20" t="s">
        <v>175</v>
      </c>
    </row>
    <row r="7" spans="1:11">
      <c r="A7" s="19" t="str">
        <f t="shared" si="0"/>
        <v>АСУЭ.TOR_VV.mComNum</v>
      </c>
      <c r="B7" s="11">
        <v>101</v>
      </c>
      <c r="C7" s="11" t="s">
        <v>0</v>
      </c>
      <c r="D7" s="20" t="str">
        <f>$H$2&amp;". Счетчик коммутаций"</f>
        <v>ТОР 200-16 ВВР. Счетчик коммутаций</v>
      </c>
    </row>
    <row r="8" spans="1:11">
      <c r="A8" s="19" t="str">
        <f t="shared" si="0"/>
        <v>АСУЭ.TOR_VV.mComNum</v>
      </c>
      <c r="B8" s="11">
        <v>100</v>
      </c>
      <c r="C8" s="11" t="s">
        <v>0</v>
      </c>
      <c r="D8" s="20" t="s">
        <v>293</v>
      </c>
    </row>
    <row r="9" spans="1:11">
      <c r="A9" s="21" t="str">
        <f t="shared" si="0"/>
        <v>АСУЭ.TOR_VV.mComNum</v>
      </c>
      <c r="B9" s="8">
        <v>8002</v>
      </c>
      <c r="C9" s="8" t="s">
        <v>819</v>
      </c>
      <c r="D9" s="22">
        <f>$K$2*10000</f>
        <v>10000000</v>
      </c>
    </row>
    <row r="10" spans="1:11">
      <c r="A10" s="16" t="str">
        <f>$I$2&amp;".mComNum_KZ"</f>
        <v>АСУЭ.TOR_VV.mComNum_KZ</v>
      </c>
      <c r="B10" s="17">
        <v>1</v>
      </c>
      <c r="C10" s="17" t="s">
        <v>1</v>
      </c>
      <c r="D10" s="18">
        <v>3</v>
      </c>
    </row>
    <row r="11" spans="1:11">
      <c r="A11" s="19" t="str">
        <f t="shared" ref="A11:A15" si="1">$I$2&amp;".mComNum_KZ"</f>
        <v>АСУЭ.TOR_VV.mComNum_KZ</v>
      </c>
      <c r="B11" s="11">
        <v>8001</v>
      </c>
      <c r="C11" s="11" t="s">
        <v>2</v>
      </c>
      <c r="D11" s="20" t="s">
        <v>266</v>
      </c>
    </row>
    <row r="12" spans="1:11">
      <c r="A12" s="19" t="str">
        <f t="shared" si="1"/>
        <v>АСУЭ.TOR_VV.mComNum_KZ</v>
      </c>
      <c r="B12" s="11">
        <v>8006</v>
      </c>
      <c r="C12" s="11" t="s">
        <v>2</v>
      </c>
      <c r="D12" s="20" t="s">
        <v>175</v>
      </c>
    </row>
    <row r="13" spans="1:11">
      <c r="A13" s="19" t="str">
        <f t="shared" si="1"/>
        <v>АСУЭ.TOR_VV.mComNum_KZ</v>
      </c>
      <c r="B13" s="11">
        <v>101</v>
      </c>
      <c r="C13" s="11" t="s">
        <v>0</v>
      </c>
      <c r="D13" s="20" t="str">
        <f>$H$2&amp;". Счетчик коммутаций междуфазных КЗ"</f>
        <v>ТОР 200-16 ВВР. Счетчик коммутаций междуфазных КЗ</v>
      </c>
    </row>
    <row r="14" spans="1:11">
      <c r="A14" s="19" t="str">
        <f t="shared" si="1"/>
        <v>АСУЭ.TOR_VV.mComNum_KZ</v>
      </c>
      <c r="B14" s="11">
        <v>100</v>
      </c>
      <c r="C14" s="11" t="s">
        <v>0</v>
      </c>
      <c r="D14" s="20" t="s">
        <v>293</v>
      </c>
    </row>
    <row r="15" spans="1:11">
      <c r="A15" s="21" t="str">
        <f t="shared" si="1"/>
        <v>АСУЭ.TOR_VV.mComNum_KZ</v>
      </c>
      <c r="B15" s="8">
        <v>8002</v>
      </c>
      <c r="C15" s="8" t="s">
        <v>819</v>
      </c>
      <c r="D15" s="22">
        <f>$K$2*10000</f>
        <v>10000000</v>
      </c>
    </row>
    <row r="16" spans="1:11">
      <c r="A16" s="16" t="str">
        <f>$I$2&amp;".mIa"</f>
        <v>АСУЭ.TOR_VV.mIa</v>
      </c>
      <c r="B16" s="17">
        <v>1</v>
      </c>
      <c r="C16" s="17" t="s">
        <v>1</v>
      </c>
      <c r="D16" s="18">
        <v>3</v>
      </c>
    </row>
    <row r="17" spans="1:4">
      <c r="A17" s="19" t="str">
        <f t="shared" ref="A17:A21" si="2">$I$2&amp;".mIa"</f>
        <v>АСУЭ.TOR_VV.mIa</v>
      </c>
      <c r="B17" s="11">
        <v>8001</v>
      </c>
      <c r="C17" s="11" t="s">
        <v>2</v>
      </c>
      <c r="D17" s="20" t="s">
        <v>266</v>
      </c>
    </row>
    <row r="18" spans="1:4">
      <c r="A18" s="19" t="str">
        <f t="shared" si="2"/>
        <v>АСУЭ.TOR_VV.mIa</v>
      </c>
      <c r="B18" s="11">
        <v>8006</v>
      </c>
      <c r="C18" s="11" t="s">
        <v>2</v>
      </c>
      <c r="D18" s="20" t="s">
        <v>175</v>
      </c>
    </row>
    <row r="19" spans="1:4">
      <c r="A19" s="19" t="str">
        <f t="shared" si="2"/>
        <v>АСУЭ.TOR_VV.mIa</v>
      </c>
      <c r="B19" s="11">
        <v>101</v>
      </c>
      <c r="C19" s="11" t="s">
        <v>0</v>
      </c>
      <c r="D19" s="20" t="str">
        <f>$H$2&amp;". Текущее значение тока Ia"</f>
        <v>ТОР 200-16 ВВР. Текущее значение тока Ia</v>
      </c>
    </row>
    <row r="20" spans="1:4">
      <c r="A20" s="19" t="str">
        <f t="shared" si="2"/>
        <v>АСУЭ.TOR_VV.mIa</v>
      </c>
      <c r="B20" s="11">
        <v>100</v>
      </c>
      <c r="C20" s="11" t="s">
        <v>0</v>
      </c>
      <c r="D20" s="20" t="s">
        <v>1590</v>
      </c>
    </row>
    <row r="21" spans="1:4">
      <c r="A21" s="21" t="str">
        <f t="shared" si="2"/>
        <v>АСУЭ.TOR_VV.mIa</v>
      </c>
      <c r="B21" s="8">
        <v>8002</v>
      </c>
      <c r="C21" s="8" t="s">
        <v>819</v>
      </c>
      <c r="D21" s="22">
        <f>$K$2*10000</f>
        <v>10000000</v>
      </c>
    </row>
    <row r="22" spans="1:4">
      <c r="A22" s="16" t="str">
        <f>$I$2&amp;".mIb"</f>
        <v>АСУЭ.TOR_VV.mIb</v>
      </c>
      <c r="B22" s="17">
        <v>1</v>
      </c>
      <c r="C22" s="17" t="s">
        <v>1</v>
      </c>
      <c r="D22" s="18">
        <v>3</v>
      </c>
    </row>
    <row r="23" spans="1:4">
      <c r="A23" s="19" t="str">
        <f t="shared" ref="A23:A27" si="3">$I$2&amp;".mIb"</f>
        <v>АСУЭ.TOR_VV.mIb</v>
      </c>
      <c r="B23" s="11">
        <v>8001</v>
      </c>
      <c r="C23" s="11" t="s">
        <v>2</v>
      </c>
      <c r="D23" s="20" t="s">
        <v>266</v>
      </c>
    </row>
    <row r="24" spans="1:4">
      <c r="A24" s="19" t="str">
        <f t="shared" si="3"/>
        <v>АСУЭ.TOR_VV.mIb</v>
      </c>
      <c r="B24" s="11">
        <v>8006</v>
      </c>
      <c r="C24" s="11" t="s">
        <v>2</v>
      </c>
      <c r="D24" s="20" t="s">
        <v>175</v>
      </c>
    </row>
    <row r="25" spans="1:4">
      <c r="A25" s="19" t="str">
        <f t="shared" si="3"/>
        <v>АСУЭ.TOR_VV.mIb</v>
      </c>
      <c r="B25" s="11">
        <v>101</v>
      </c>
      <c r="C25" s="11" t="s">
        <v>0</v>
      </c>
      <c r="D25" s="20" t="str">
        <f>$H$2&amp;". Текущее значение тока Ib"</f>
        <v>ТОР 200-16 ВВР. Текущее значение тока Ib</v>
      </c>
    </row>
    <row r="26" spans="1:4">
      <c r="A26" s="19" t="str">
        <f t="shared" si="3"/>
        <v>АСУЭ.TOR_VV.mIb</v>
      </c>
      <c r="B26" s="11">
        <v>100</v>
      </c>
      <c r="C26" s="11" t="s">
        <v>0</v>
      </c>
      <c r="D26" s="20" t="s">
        <v>1590</v>
      </c>
    </row>
    <row r="27" spans="1:4">
      <c r="A27" s="21" t="str">
        <f t="shared" si="3"/>
        <v>АСУЭ.TOR_VV.mIb</v>
      </c>
      <c r="B27" s="8">
        <v>8002</v>
      </c>
      <c r="C27" s="8" t="s">
        <v>819</v>
      </c>
      <c r="D27" s="22">
        <f>$K$2*10000</f>
        <v>10000000</v>
      </c>
    </row>
    <row r="28" spans="1:4">
      <c r="A28" s="16" t="str">
        <f>$I$2&amp;".mIc"</f>
        <v>АСУЭ.TOR_VV.mIc</v>
      </c>
      <c r="B28" s="17">
        <v>1</v>
      </c>
      <c r="C28" s="17" t="s">
        <v>1</v>
      </c>
      <c r="D28" s="18">
        <v>3</v>
      </c>
    </row>
    <row r="29" spans="1:4">
      <c r="A29" s="19" t="str">
        <f t="shared" ref="A29:A33" si="4">$I$2&amp;".mIc"</f>
        <v>АСУЭ.TOR_VV.mIc</v>
      </c>
      <c r="B29" s="11">
        <v>8001</v>
      </c>
      <c r="C29" s="11" t="s">
        <v>2</v>
      </c>
      <c r="D29" s="20" t="s">
        <v>266</v>
      </c>
    </row>
    <row r="30" spans="1:4">
      <c r="A30" s="19" t="str">
        <f t="shared" si="4"/>
        <v>АСУЭ.TOR_VV.mIc</v>
      </c>
      <c r="B30" s="11">
        <v>8006</v>
      </c>
      <c r="C30" s="11" t="s">
        <v>2</v>
      </c>
      <c r="D30" s="20" t="s">
        <v>175</v>
      </c>
    </row>
    <row r="31" spans="1:4">
      <c r="A31" s="19" t="str">
        <f t="shared" si="4"/>
        <v>АСУЭ.TOR_VV.mIc</v>
      </c>
      <c r="B31" s="11">
        <v>101</v>
      </c>
      <c r="C31" s="11" t="s">
        <v>0</v>
      </c>
      <c r="D31" s="20" t="str">
        <f>$H$2&amp;". Текущее значение тока Ic"</f>
        <v>ТОР 200-16 ВВР. Текущее значение тока Ic</v>
      </c>
    </row>
    <row r="32" spans="1:4">
      <c r="A32" s="19" t="str">
        <f t="shared" si="4"/>
        <v>АСУЭ.TOR_VV.mIc</v>
      </c>
      <c r="B32" s="11">
        <v>100</v>
      </c>
      <c r="C32" s="11" t="s">
        <v>0</v>
      </c>
      <c r="D32" s="20" t="s">
        <v>1590</v>
      </c>
    </row>
    <row r="33" spans="1:4">
      <c r="A33" s="21" t="str">
        <f t="shared" si="4"/>
        <v>АСУЭ.TOR_VV.mIc</v>
      </c>
      <c r="B33" s="8">
        <v>8002</v>
      </c>
      <c r="C33" s="8" t="s">
        <v>819</v>
      </c>
      <c r="D33" s="22">
        <f>$K$2*10000</f>
        <v>10000000</v>
      </c>
    </row>
    <row r="34" spans="1:4">
      <c r="A34" s="16" t="str">
        <f t="shared" ref="A34:A39" si="5">$I$2&amp;".mFreq"</f>
        <v>АСУЭ.TOR_VV.mFreq</v>
      </c>
      <c r="B34" s="17">
        <v>1</v>
      </c>
      <c r="C34" s="17" t="s">
        <v>1</v>
      </c>
      <c r="D34" s="18">
        <v>3</v>
      </c>
    </row>
    <row r="35" spans="1:4">
      <c r="A35" s="19" t="str">
        <f t="shared" si="5"/>
        <v>АСУЭ.TOR_VV.mFreq</v>
      </c>
      <c r="B35" s="11">
        <v>8001</v>
      </c>
      <c r="C35" s="11" t="s">
        <v>2</v>
      </c>
      <c r="D35" s="20" t="s">
        <v>266</v>
      </c>
    </row>
    <row r="36" spans="1:4">
      <c r="A36" s="19" t="str">
        <f t="shared" si="5"/>
        <v>АСУЭ.TOR_VV.mFreq</v>
      </c>
      <c r="B36" s="11">
        <v>8006</v>
      </c>
      <c r="C36" s="11" t="s">
        <v>2</v>
      </c>
      <c r="D36" s="20" t="s">
        <v>175</v>
      </c>
    </row>
    <row r="37" spans="1:4">
      <c r="A37" s="19" t="str">
        <f t="shared" si="5"/>
        <v>АСУЭ.TOR_VV.mFreq</v>
      </c>
      <c r="B37" s="11">
        <v>101</v>
      </c>
      <c r="C37" s="11" t="s">
        <v>0</v>
      </c>
      <c r="D37" s="20" t="str">
        <f>$H$2&amp;". Частота"</f>
        <v>ТОР 200-16 ВВР. Частота</v>
      </c>
    </row>
    <row r="38" spans="1:4">
      <c r="A38" s="19" t="str">
        <f t="shared" si="5"/>
        <v>АСУЭ.TOR_VV.mFreq</v>
      </c>
      <c r="B38" s="11">
        <v>100</v>
      </c>
      <c r="C38" s="11" t="s">
        <v>0</v>
      </c>
      <c r="D38" s="20" t="s">
        <v>1585</v>
      </c>
    </row>
    <row r="39" spans="1:4">
      <c r="A39" s="21" t="str">
        <f t="shared" si="5"/>
        <v>АСУЭ.TOR_VV.mFreq</v>
      </c>
      <c r="B39" s="8">
        <v>8002</v>
      </c>
      <c r="C39" s="8" t="s">
        <v>819</v>
      </c>
      <c r="D39" s="22">
        <f>$K$2*10000</f>
        <v>10000000</v>
      </c>
    </row>
    <row r="40" spans="1:4">
      <c r="A40" s="16" t="str">
        <f>$I$2&amp;".mUab"</f>
        <v>АСУЭ.TOR_VV.mUab</v>
      </c>
      <c r="B40" s="17">
        <v>1</v>
      </c>
      <c r="C40" s="17" t="s">
        <v>1</v>
      </c>
      <c r="D40" s="18">
        <v>3</v>
      </c>
    </row>
    <row r="41" spans="1:4">
      <c r="A41" s="19" t="str">
        <f t="shared" ref="A41:A45" si="6">$I$2&amp;".mUab"</f>
        <v>АСУЭ.TOR_VV.mUab</v>
      </c>
      <c r="B41" s="11">
        <v>8001</v>
      </c>
      <c r="C41" s="11" t="s">
        <v>2</v>
      </c>
      <c r="D41" s="20" t="s">
        <v>266</v>
      </c>
    </row>
    <row r="42" spans="1:4">
      <c r="A42" s="19" t="str">
        <f t="shared" si="6"/>
        <v>АСУЭ.TOR_VV.mUab</v>
      </c>
      <c r="B42" s="11">
        <v>8006</v>
      </c>
      <c r="C42" s="11" t="s">
        <v>2</v>
      </c>
      <c r="D42" s="20" t="s">
        <v>175</v>
      </c>
    </row>
    <row r="43" spans="1:4">
      <c r="A43" s="19" t="str">
        <f t="shared" si="6"/>
        <v>АСУЭ.TOR_VV.mUab</v>
      </c>
      <c r="B43" s="11">
        <v>101</v>
      </c>
      <c r="C43" s="11" t="s">
        <v>0</v>
      </c>
      <c r="D43" s="20" t="str">
        <f>$H$2&amp;". Линейное напряжение АВ"</f>
        <v>ТОР 200-16 ВВР. Линейное напряжение АВ</v>
      </c>
    </row>
    <row r="44" spans="1:4">
      <c r="A44" s="19" t="str">
        <f t="shared" si="6"/>
        <v>АСУЭ.TOR_VV.mUab</v>
      </c>
      <c r="B44" s="11">
        <v>100</v>
      </c>
      <c r="C44" s="11" t="s">
        <v>0</v>
      </c>
      <c r="D44" s="20" t="s">
        <v>1588</v>
      </c>
    </row>
    <row r="45" spans="1:4">
      <c r="A45" s="21" t="str">
        <f t="shared" si="6"/>
        <v>АСУЭ.TOR_VV.mUab</v>
      </c>
      <c r="B45" s="8">
        <v>8002</v>
      </c>
      <c r="C45" s="8" t="s">
        <v>819</v>
      </c>
      <c r="D45" s="22">
        <f>$K$2*10000</f>
        <v>10000000</v>
      </c>
    </row>
    <row r="46" spans="1:4">
      <c r="A46" s="16" t="str">
        <f>$I$2&amp;".mUbc"</f>
        <v>АСУЭ.TOR_VV.mUbc</v>
      </c>
      <c r="B46" s="17">
        <v>1</v>
      </c>
      <c r="C46" s="17" t="s">
        <v>1</v>
      </c>
      <c r="D46" s="18">
        <v>3</v>
      </c>
    </row>
    <row r="47" spans="1:4">
      <c r="A47" s="19" t="str">
        <f t="shared" ref="A47:A51" si="7">$I$2&amp;".mUbc"</f>
        <v>АСУЭ.TOR_VV.mUbc</v>
      </c>
      <c r="B47" s="11">
        <v>8001</v>
      </c>
      <c r="C47" s="11" t="s">
        <v>2</v>
      </c>
      <c r="D47" s="20" t="s">
        <v>266</v>
      </c>
    </row>
    <row r="48" spans="1:4">
      <c r="A48" s="19" t="str">
        <f t="shared" si="7"/>
        <v>АСУЭ.TOR_VV.mUbc</v>
      </c>
      <c r="B48" s="11">
        <v>8006</v>
      </c>
      <c r="C48" s="11" t="s">
        <v>2</v>
      </c>
      <c r="D48" s="20" t="s">
        <v>175</v>
      </c>
    </row>
    <row r="49" spans="1:4">
      <c r="A49" s="19" t="str">
        <f t="shared" si="7"/>
        <v>АСУЭ.TOR_VV.mUbc</v>
      </c>
      <c r="B49" s="11">
        <v>101</v>
      </c>
      <c r="C49" s="11" t="s">
        <v>0</v>
      </c>
      <c r="D49" s="20" t="str">
        <f>$H$2&amp;". Линейное напряжение BC"</f>
        <v>ТОР 200-16 ВВР. Линейное напряжение BC</v>
      </c>
    </row>
    <row r="50" spans="1:4">
      <c r="A50" s="19" t="str">
        <f t="shared" si="7"/>
        <v>АСУЭ.TOR_VV.mUbc</v>
      </c>
      <c r="B50" s="11">
        <v>100</v>
      </c>
      <c r="C50" s="11" t="s">
        <v>0</v>
      </c>
      <c r="D50" s="20" t="s">
        <v>1588</v>
      </c>
    </row>
    <row r="51" spans="1:4">
      <c r="A51" s="21" t="str">
        <f t="shared" si="7"/>
        <v>АСУЭ.TOR_VV.mUbc</v>
      </c>
      <c r="B51" s="8">
        <v>8002</v>
      </c>
      <c r="C51" s="8" t="s">
        <v>819</v>
      </c>
      <c r="D51" s="22">
        <f>$K$2*10000</f>
        <v>10000000</v>
      </c>
    </row>
    <row r="52" spans="1:4">
      <c r="A52" s="16" t="str">
        <f>$I$2&amp;".mUac"</f>
        <v>АСУЭ.TOR_VV.mUac</v>
      </c>
      <c r="B52" s="17">
        <v>1</v>
      </c>
      <c r="C52" s="17" t="s">
        <v>1</v>
      </c>
      <c r="D52" s="18">
        <v>3</v>
      </c>
    </row>
    <row r="53" spans="1:4">
      <c r="A53" s="19" t="str">
        <f t="shared" ref="A53:A57" si="8">$I$2&amp;".mUac"</f>
        <v>АСУЭ.TOR_VV.mUac</v>
      </c>
      <c r="B53" s="11">
        <v>8001</v>
      </c>
      <c r="C53" s="11" t="s">
        <v>2</v>
      </c>
      <c r="D53" s="20" t="s">
        <v>266</v>
      </c>
    </row>
    <row r="54" spans="1:4">
      <c r="A54" s="19" t="str">
        <f t="shared" si="8"/>
        <v>АСУЭ.TOR_VV.mUac</v>
      </c>
      <c r="B54" s="11">
        <v>8006</v>
      </c>
      <c r="C54" s="11" t="s">
        <v>2</v>
      </c>
      <c r="D54" s="20" t="s">
        <v>175</v>
      </c>
    </row>
    <row r="55" spans="1:4">
      <c r="A55" s="19" t="str">
        <f t="shared" si="8"/>
        <v>АСУЭ.TOR_VV.mUac</v>
      </c>
      <c r="B55" s="11">
        <v>101</v>
      </c>
      <c r="C55" s="11" t="s">
        <v>0</v>
      </c>
      <c r="D55" s="20" t="str">
        <f>$H$2&amp;". Линейное напряжение AC"</f>
        <v>ТОР 200-16 ВВР. Линейное напряжение AC</v>
      </c>
    </row>
    <row r="56" spans="1:4">
      <c r="A56" s="19" t="str">
        <f t="shared" si="8"/>
        <v>АСУЭ.TOR_VV.mUac</v>
      </c>
      <c r="B56" s="11">
        <v>100</v>
      </c>
      <c r="C56" s="11" t="s">
        <v>0</v>
      </c>
      <c r="D56" s="20" t="s">
        <v>1588</v>
      </c>
    </row>
    <row r="57" spans="1:4">
      <c r="A57" s="21" t="str">
        <f t="shared" si="8"/>
        <v>АСУЭ.TOR_VV.mUac</v>
      </c>
      <c r="B57" s="8">
        <v>8002</v>
      </c>
      <c r="C57" s="8" t="s">
        <v>819</v>
      </c>
      <c r="D57" s="22">
        <f>$K$2*10000</f>
        <v>10000000</v>
      </c>
    </row>
    <row r="58" spans="1:4">
      <c r="A58" s="16" t="str">
        <f>$I$2&amp;".mP"</f>
        <v>АСУЭ.TOR_VV.mP</v>
      </c>
      <c r="B58" s="17">
        <v>1</v>
      </c>
      <c r="C58" s="17" t="s">
        <v>1</v>
      </c>
      <c r="D58" s="18">
        <v>3</v>
      </c>
    </row>
    <row r="59" spans="1:4">
      <c r="A59" s="19" t="str">
        <f t="shared" ref="A59:A63" si="9">$I$2&amp;".mP"</f>
        <v>АСУЭ.TOR_VV.mP</v>
      </c>
      <c r="B59" s="11">
        <v>8001</v>
      </c>
      <c r="C59" s="11" t="s">
        <v>2</v>
      </c>
      <c r="D59" s="20" t="s">
        <v>266</v>
      </c>
    </row>
    <row r="60" spans="1:4">
      <c r="A60" s="19" t="str">
        <f t="shared" si="9"/>
        <v>АСУЭ.TOR_VV.mP</v>
      </c>
      <c r="B60" s="11">
        <v>8006</v>
      </c>
      <c r="C60" s="11" t="s">
        <v>2</v>
      </c>
      <c r="D60" s="20" t="s">
        <v>175</v>
      </c>
    </row>
    <row r="61" spans="1:4">
      <c r="A61" s="19" t="str">
        <f t="shared" si="9"/>
        <v>АСУЭ.TOR_VV.mP</v>
      </c>
      <c r="B61" s="11">
        <v>101</v>
      </c>
      <c r="C61" s="11" t="s">
        <v>0</v>
      </c>
      <c r="D61" s="20" t="str">
        <f>$H$2&amp;". Текущее значение активной трехфазной мощности P"</f>
        <v>ТОР 200-16 ВВР. Текущее значение активной трехфазной мощности P</v>
      </c>
    </row>
    <row r="62" spans="1:4">
      <c r="A62" s="19" t="str">
        <f t="shared" si="9"/>
        <v>АСУЭ.TOR_VV.mP</v>
      </c>
      <c r="B62" s="11">
        <v>100</v>
      </c>
      <c r="C62" s="11" t="s">
        <v>0</v>
      </c>
      <c r="D62" s="20" t="s">
        <v>1586</v>
      </c>
    </row>
    <row r="63" spans="1:4">
      <c r="A63" s="21" t="str">
        <f t="shared" si="9"/>
        <v>АСУЭ.TOR_VV.mP</v>
      </c>
      <c r="B63" s="8">
        <v>8002</v>
      </c>
      <c r="C63" s="8" t="s">
        <v>819</v>
      </c>
      <c r="D63" s="22">
        <f>$K$2*10000</f>
        <v>10000000</v>
      </c>
    </row>
    <row r="64" spans="1:4">
      <c r="A64" s="16" t="str">
        <f>$I$2&amp;".mQ"</f>
        <v>АСУЭ.TOR_VV.mQ</v>
      </c>
      <c r="B64" s="17">
        <v>1</v>
      </c>
      <c r="C64" s="17" t="s">
        <v>1</v>
      </c>
      <c r="D64" s="18">
        <v>3</v>
      </c>
    </row>
    <row r="65" spans="1:4">
      <c r="A65" s="19" t="str">
        <f t="shared" ref="A65:A69" si="10">$I$2&amp;".mQ"</f>
        <v>АСУЭ.TOR_VV.mQ</v>
      </c>
      <c r="B65" s="11">
        <v>8001</v>
      </c>
      <c r="C65" s="11" t="s">
        <v>2</v>
      </c>
      <c r="D65" s="20" t="s">
        <v>266</v>
      </c>
    </row>
    <row r="66" spans="1:4">
      <c r="A66" s="19" t="str">
        <f t="shared" si="10"/>
        <v>АСУЭ.TOR_VV.mQ</v>
      </c>
      <c r="B66" s="11">
        <v>8006</v>
      </c>
      <c r="C66" s="11" t="s">
        <v>2</v>
      </c>
      <c r="D66" s="20" t="s">
        <v>175</v>
      </c>
    </row>
    <row r="67" spans="1:4">
      <c r="A67" s="19" t="str">
        <f t="shared" si="10"/>
        <v>АСУЭ.TOR_VV.mQ</v>
      </c>
      <c r="B67" s="11">
        <v>101</v>
      </c>
      <c r="C67" s="11" t="s">
        <v>0</v>
      </c>
      <c r="D67" s="20" t="str">
        <f>$H$2&amp;". Текущее значение реактивной трехфазной мощности Q"</f>
        <v>ТОР 200-16 ВВР. Текущее значение реактивной трехфазной мощности Q</v>
      </c>
    </row>
    <row r="68" spans="1:4">
      <c r="A68" s="19" t="str">
        <f t="shared" si="10"/>
        <v>АСУЭ.TOR_VV.mQ</v>
      </c>
      <c r="B68" s="11">
        <v>100</v>
      </c>
      <c r="C68" s="11" t="s">
        <v>0</v>
      </c>
      <c r="D68" s="20" t="s">
        <v>1587</v>
      </c>
    </row>
    <row r="69" spans="1:4">
      <c r="A69" s="21" t="str">
        <f t="shared" si="10"/>
        <v>АСУЭ.TOR_VV.mQ</v>
      </c>
      <c r="B69" s="8">
        <v>8002</v>
      </c>
      <c r="C69" s="8" t="s">
        <v>819</v>
      </c>
      <c r="D69" s="22">
        <f>$K$2*10000</f>
        <v>10000000</v>
      </c>
    </row>
    <row r="70" spans="1:4">
      <c r="A70" s="16" t="str">
        <f>$I$2&amp;".mS"</f>
        <v>АСУЭ.TOR_VV.mS</v>
      </c>
      <c r="B70" s="17">
        <v>1</v>
      </c>
      <c r="C70" s="17" t="s">
        <v>1</v>
      </c>
      <c r="D70" s="18">
        <v>3</v>
      </c>
    </row>
    <row r="71" spans="1:4">
      <c r="A71" s="19" t="str">
        <f t="shared" ref="A71:A75" si="11">$I$2&amp;".mS"</f>
        <v>АСУЭ.TOR_VV.mS</v>
      </c>
      <c r="B71" s="11">
        <v>8001</v>
      </c>
      <c r="C71" s="11" t="s">
        <v>2</v>
      </c>
      <c r="D71" s="20" t="s">
        <v>266</v>
      </c>
    </row>
    <row r="72" spans="1:4">
      <c r="A72" s="19" t="str">
        <f t="shared" si="11"/>
        <v>АСУЭ.TOR_VV.mS</v>
      </c>
      <c r="B72" s="11">
        <v>8006</v>
      </c>
      <c r="C72" s="11" t="s">
        <v>2</v>
      </c>
      <c r="D72" s="20" t="s">
        <v>175</v>
      </c>
    </row>
    <row r="73" spans="1:4">
      <c r="A73" s="19" t="str">
        <f t="shared" si="11"/>
        <v>АСУЭ.TOR_VV.mS</v>
      </c>
      <c r="B73" s="11">
        <v>101</v>
      </c>
      <c r="C73" s="11" t="s">
        <v>0</v>
      </c>
      <c r="D73" s="20" t="str">
        <f>$H$2&amp;". Текущее значение полной трехфазной мощности S"</f>
        <v>ТОР 200-16 ВВР. Текущее значение полной трехфазной мощности S</v>
      </c>
    </row>
    <row r="74" spans="1:4">
      <c r="A74" s="19" t="str">
        <f t="shared" si="11"/>
        <v>АСУЭ.TOR_VV.mS</v>
      </c>
      <c r="B74" s="11">
        <v>100</v>
      </c>
      <c r="C74" s="11" t="s">
        <v>0</v>
      </c>
      <c r="D74" s="20" t="s">
        <v>1589</v>
      </c>
    </row>
    <row r="75" spans="1:4">
      <c r="A75" s="21" t="str">
        <f t="shared" si="11"/>
        <v>АСУЭ.TOR_VV.mS</v>
      </c>
      <c r="B75" s="8">
        <v>8002</v>
      </c>
      <c r="C75" s="8" t="s">
        <v>819</v>
      </c>
      <c r="D75" s="22">
        <f>$K$2*10000</f>
        <v>10000000</v>
      </c>
    </row>
  </sheetData>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sheetPr codeName="Лист217">
    <tabColor theme="0" tint="-0.34998626667073579"/>
  </sheetPr>
  <dimension ref="A1:K75"/>
  <sheetViews>
    <sheetView topLeftCell="A10" workbookViewId="0">
      <selection activeCell="D2" sqref="D2:D4"/>
    </sheetView>
  </sheetViews>
  <sheetFormatPr defaultRowHeight="14.4"/>
  <cols>
    <col min="1" max="1" width="52.88671875" style="55" customWidth="1"/>
    <col min="4" max="4" width="85" customWidth="1"/>
    <col min="8" max="9" width="40.6640625" customWidth="1"/>
    <col min="10" max="10" width="28.44140625" customWidth="1"/>
    <col min="11" max="11" width="25.6640625" customWidth="1"/>
  </cols>
  <sheetData>
    <row r="1" spans="1:11">
      <c r="A1" s="57"/>
      <c r="B1" s="10"/>
      <c r="C1" s="10"/>
      <c r="D1" s="10"/>
      <c r="E1" s="10"/>
      <c r="F1" s="10"/>
      <c r="G1" s="10"/>
      <c r="H1" s="54" t="s">
        <v>269</v>
      </c>
      <c r="I1" s="54" t="s">
        <v>268</v>
      </c>
      <c r="J1" s="54" t="s">
        <v>512</v>
      </c>
      <c r="K1" s="54" t="s">
        <v>1471</v>
      </c>
    </row>
    <row r="2" spans="1:11" ht="15" customHeight="1">
      <c r="A2" s="57"/>
      <c r="B2" s="10"/>
      <c r="C2" s="10"/>
      <c r="D2" s="10"/>
      <c r="E2" s="10"/>
      <c r="F2" s="10"/>
      <c r="G2" s="10"/>
      <c r="H2" s="73" t="s">
        <v>331</v>
      </c>
      <c r="I2" s="73" t="s">
        <v>747</v>
      </c>
      <c r="J2" s="2"/>
      <c r="K2" s="2">
        <f>Настройки!M18</f>
        <v>1000</v>
      </c>
    </row>
    <row r="3" spans="1:11" ht="15" customHeight="1">
      <c r="A3" s="549" t="str">
        <f xml:space="preserve"> $I$2</f>
        <v>АСУЭ.SEPAM</v>
      </c>
      <c r="B3" s="550">
        <v>101</v>
      </c>
      <c r="C3" s="551" t="s">
        <v>0</v>
      </c>
      <c r="D3" s="552" t="str">
        <f>$H$2</f>
        <v>SEPAM</v>
      </c>
      <c r="E3" s="4"/>
      <c r="F3" s="4"/>
      <c r="G3" s="4"/>
      <c r="H3" s="239"/>
      <c r="I3" s="239"/>
    </row>
    <row r="4" spans="1:11">
      <c r="A4" s="16" t="str">
        <f>$I$2&amp;".mComNum"</f>
        <v>АСУЭ.SEPAM.mComNum</v>
      </c>
      <c r="B4" s="17">
        <v>1</v>
      </c>
      <c r="C4" s="17" t="s">
        <v>1</v>
      </c>
      <c r="D4" s="18">
        <v>3</v>
      </c>
    </row>
    <row r="5" spans="1:11">
      <c r="A5" s="19" t="str">
        <f t="shared" ref="A5:A9" si="0">$I$2&amp;".mComNum"</f>
        <v>АСУЭ.SEPAM.mComNum</v>
      </c>
      <c r="B5" s="11">
        <v>8001</v>
      </c>
      <c r="C5" s="11" t="s">
        <v>2</v>
      </c>
      <c r="D5" s="20" t="s">
        <v>266</v>
      </c>
    </row>
    <row r="6" spans="1:11">
      <c r="A6" s="19" t="str">
        <f t="shared" si="0"/>
        <v>АСУЭ.SEPAM.mComNum</v>
      </c>
      <c r="B6" s="11">
        <v>8006</v>
      </c>
      <c r="C6" s="11" t="s">
        <v>2</v>
      </c>
      <c r="D6" s="20" t="s">
        <v>175</v>
      </c>
    </row>
    <row r="7" spans="1:11">
      <c r="A7" s="19" t="str">
        <f t="shared" si="0"/>
        <v>АСУЭ.SEPAM.mComNum</v>
      </c>
      <c r="B7" s="11">
        <v>101</v>
      </c>
      <c r="C7" s="11" t="s">
        <v>0</v>
      </c>
      <c r="D7" s="20" t="str">
        <f>$H$2&amp;". Счетчик коммутаций"</f>
        <v>SEPAM. Счетчик коммутаций</v>
      </c>
    </row>
    <row r="8" spans="1:11">
      <c r="A8" s="19" t="str">
        <f t="shared" si="0"/>
        <v>АСУЭ.SEPAM.mComNum</v>
      </c>
      <c r="B8" s="11">
        <v>100</v>
      </c>
      <c r="C8" s="11" t="s">
        <v>0</v>
      </c>
      <c r="D8" s="20" t="s">
        <v>293</v>
      </c>
    </row>
    <row r="9" spans="1:11">
      <c r="A9" s="21" t="str">
        <f t="shared" si="0"/>
        <v>АСУЭ.SEPAM.mComNum</v>
      </c>
      <c r="B9" s="8">
        <v>8002</v>
      </c>
      <c r="C9" s="8" t="s">
        <v>819</v>
      </c>
      <c r="D9" s="22">
        <f>$K$2*10000</f>
        <v>10000000</v>
      </c>
    </row>
    <row r="10" spans="1:11">
      <c r="A10" s="16" t="str">
        <f>$I$2&amp;".mComNum_KZ"</f>
        <v>АСУЭ.SEPAM.mComNum_KZ</v>
      </c>
      <c r="B10" s="17">
        <v>1</v>
      </c>
      <c r="C10" s="17" t="s">
        <v>1</v>
      </c>
      <c r="D10" s="18">
        <v>3</v>
      </c>
    </row>
    <row r="11" spans="1:11">
      <c r="A11" s="19" t="str">
        <f t="shared" ref="A11:A15" si="1">$I$2&amp;".mComNum_KZ"</f>
        <v>АСУЭ.SEPAM.mComNum_KZ</v>
      </c>
      <c r="B11" s="11">
        <v>8001</v>
      </c>
      <c r="C11" s="11" t="s">
        <v>2</v>
      </c>
      <c r="D11" s="20" t="s">
        <v>266</v>
      </c>
    </row>
    <row r="12" spans="1:11">
      <c r="A12" s="19" t="str">
        <f t="shared" si="1"/>
        <v>АСУЭ.SEPAM.mComNum_KZ</v>
      </c>
      <c r="B12" s="11">
        <v>8006</v>
      </c>
      <c r="C12" s="11" t="s">
        <v>2</v>
      </c>
      <c r="D12" s="20" t="s">
        <v>175</v>
      </c>
    </row>
    <row r="13" spans="1:11">
      <c r="A13" s="19" t="str">
        <f t="shared" si="1"/>
        <v>АСУЭ.SEPAM.mComNum_KZ</v>
      </c>
      <c r="B13" s="11">
        <v>101</v>
      </c>
      <c r="C13" s="11" t="s">
        <v>0</v>
      </c>
      <c r="D13" s="20" t="str">
        <f>$H$2&amp;". Счетчик коммутаций междуфазных КЗ"</f>
        <v>SEPAM. Счетчик коммутаций междуфазных КЗ</v>
      </c>
    </row>
    <row r="14" spans="1:11">
      <c r="A14" s="19" t="str">
        <f t="shared" si="1"/>
        <v>АСУЭ.SEPAM.mComNum_KZ</v>
      </c>
      <c r="B14" s="11">
        <v>100</v>
      </c>
      <c r="C14" s="11" t="s">
        <v>0</v>
      </c>
      <c r="D14" s="20" t="s">
        <v>293</v>
      </c>
    </row>
    <row r="15" spans="1:11">
      <c r="A15" s="21" t="str">
        <f t="shared" si="1"/>
        <v>АСУЭ.SEPAM.mComNum_KZ</v>
      </c>
      <c r="B15" s="8">
        <v>8002</v>
      </c>
      <c r="C15" s="8" t="s">
        <v>819</v>
      </c>
      <c r="D15" s="22">
        <f>$K$2*10000</f>
        <v>10000000</v>
      </c>
    </row>
    <row r="16" spans="1:11">
      <c r="A16" s="16" t="str">
        <f>$I$2&amp;".mIa"</f>
        <v>АСУЭ.SEPAM.mIa</v>
      </c>
      <c r="B16" s="17">
        <v>1</v>
      </c>
      <c r="C16" s="17" t="s">
        <v>1</v>
      </c>
      <c r="D16" s="18">
        <v>3</v>
      </c>
    </row>
    <row r="17" spans="1:4">
      <c r="A17" s="19" t="str">
        <f t="shared" ref="A17:A21" si="2">$I$2&amp;".mIa"</f>
        <v>АСУЭ.SEPAM.mIa</v>
      </c>
      <c r="B17" s="11">
        <v>8001</v>
      </c>
      <c r="C17" s="11" t="s">
        <v>2</v>
      </c>
      <c r="D17" s="20" t="s">
        <v>266</v>
      </c>
    </row>
    <row r="18" spans="1:4">
      <c r="A18" s="19" t="str">
        <f t="shared" si="2"/>
        <v>АСУЭ.SEPAM.mIa</v>
      </c>
      <c r="B18" s="11">
        <v>8006</v>
      </c>
      <c r="C18" s="11" t="s">
        <v>2</v>
      </c>
      <c r="D18" s="20" t="s">
        <v>175</v>
      </c>
    </row>
    <row r="19" spans="1:4">
      <c r="A19" s="19" t="str">
        <f t="shared" si="2"/>
        <v>АСУЭ.SEPAM.mIa</v>
      </c>
      <c r="B19" s="11">
        <v>101</v>
      </c>
      <c r="C19" s="11" t="s">
        <v>0</v>
      </c>
      <c r="D19" s="20" t="str">
        <f>$H$2&amp;". Текущее значение тока Ia"</f>
        <v>SEPAM. Текущее значение тока Ia</v>
      </c>
    </row>
    <row r="20" spans="1:4">
      <c r="A20" s="19" t="str">
        <f t="shared" si="2"/>
        <v>АСУЭ.SEPAM.mIa</v>
      </c>
      <c r="B20" s="11">
        <v>100</v>
      </c>
      <c r="C20" s="11" t="s">
        <v>0</v>
      </c>
      <c r="D20" s="20" t="s">
        <v>1590</v>
      </c>
    </row>
    <row r="21" spans="1:4">
      <c r="A21" s="21" t="str">
        <f t="shared" si="2"/>
        <v>АСУЭ.SEPAM.mIa</v>
      </c>
      <c r="B21" s="8">
        <v>8002</v>
      </c>
      <c r="C21" s="8" t="s">
        <v>819</v>
      </c>
      <c r="D21" s="22">
        <f>$K$2*10000</f>
        <v>10000000</v>
      </c>
    </row>
    <row r="22" spans="1:4">
      <c r="A22" s="16" t="str">
        <f>$I$2&amp;".mIb"</f>
        <v>АСУЭ.SEPAM.mIb</v>
      </c>
      <c r="B22" s="17">
        <v>1</v>
      </c>
      <c r="C22" s="17" t="s">
        <v>1</v>
      </c>
      <c r="D22" s="18">
        <v>3</v>
      </c>
    </row>
    <row r="23" spans="1:4">
      <c r="A23" s="19" t="str">
        <f t="shared" ref="A23:A27" si="3">$I$2&amp;".mIb"</f>
        <v>АСУЭ.SEPAM.mIb</v>
      </c>
      <c r="B23" s="11">
        <v>8001</v>
      </c>
      <c r="C23" s="11" t="s">
        <v>2</v>
      </c>
      <c r="D23" s="20" t="s">
        <v>266</v>
      </c>
    </row>
    <row r="24" spans="1:4">
      <c r="A24" s="19" t="str">
        <f t="shared" si="3"/>
        <v>АСУЭ.SEPAM.mIb</v>
      </c>
      <c r="B24" s="11">
        <v>8006</v>
      </c>
      <c r="C24" s="11" t="s">
        <v>2</v>
      </c>
      <c r="D24" s="20" t="s">
        <v>175</v>
      </c>
    </row>
    <row r="25" spans="1:4">
      <c r="A25" s="19" t="str">
        <f t="shared" si="3"/>
        <v>АСУЭ.SEPAM.mIb</v>
      </c>
      <c r="B25" s="11">
        <v>101</v>
      </c>
      <c r="C25" s="11" t="s">
        <v>0</v>
      </c>
      <c r="D25" s="20" t="str">
        <f>$H$2&amp;". Текущее значение тока Ib"</f>
        <v>SEPAM. Текущее значение тока Ib</v>
      </c>
    </row>
    <row r="26" spans="1:4">
      <c r="A26" s="19" t="str">
        <f t="shared" si="3"/>
        <v>АСУЭ.SEPAM.mIb</v>
      </c>
      <c r="B26" s="11">
        <v>100</v>
      </c>
      <c r="C26" s="11" t="s">
        <v>0</v>
      </c>
      <c r="D26" s="20" t="s">
        <v>1590</v>
      </c>
    </row>
    <row r="27" spans="1:4">
      <c r="A27" s="21" t="str">
        <f t="shared" si="3"/>
        <v>АСУЭ.SEPAM.mIb</v>
      </c>
      <c r="B27" s="8">
        <v>8002</v>
      </c>
      <c r="C27" s="8" t="s">
        <v>819</v>
      </c>
      <c r="D27" s="22">
        <f>$K$2*10000</f>
        <v>10000000</v>
      </c>
    </row>
    <row r="28" spans="1:4">
      <c r="A28" s="16" t="str">
        <f>$I$2&amp;".mIc"</f>
        <v>АСУЭ.SEPAM.mIc</v>
      </c>
      <c r="B28" s="17">
        <v>1</v>
      </c>
      <c r="C28" s="17" t="s">
        <v>1</v>
      </c>
      <c r="D28" s="18">
        <v>3</v>
      </c>
    </row>
    <row r="29" spans="1:4">
      <c r="A29" s="19" t="str">
        <f t="shared" ref="A29:A33" si="4">$I$2&amp;".mIc"</f>
        <v>АСУЭ.SEPAM.mIc</v>
      </c>
      <c r="B29" s="11">
        <v>8001</v>
      </c>
      <c r="C29" s="11" t="s">
        <v>2</v>
      </c>
      <c r="D29" s="20" t="s">
        <v>266</v>
      </c>
    </row>
    <row r="30" spans="1:4">
      <c r="A30" s="19" t="str">
        <f t="shared" si="4"/>
        <v>АСУЭ.SEPAM.mIc</v>
      </c>
      <c r="B30" s="11">
        <v>8006</v>
      </c>
      <c r="C30" s="11" t="s">
        <v>2</v>
      </c>
      <c r="D30" s="20" t="s">
        <v>175</v>
      </c>
    </row>
    <row r="31" spans="1:4">
      <c r="A31" s="19" t="str">
        <f t="shared" si="4"/>
        <v>АСУЭ.SEPAM.mIc</v>
      </c>
      <c r="B31" s="11">
        <v>101</v>
      </c>
      <c r="C31" s="11" t="s">
        <v>0</v>
      </c>
      <c r="D31" s="20" t="str">
        <f>$H$2&amp;". Текущее значение тока Ic"</f>
        <v>SEPAM. Текущее значение тока Ic</v>
      </c>
    </row>
    <row r="32" spans="1:4">
      <c r="A32" s="19" t="str">
        <f t="shared" si="4"/>
        <v>АСУЭ.SEPAM.mIc</v>
      </c>
      <c r="B32" s="11">
        <v>100</v>
      </c>
      <c r="C32" s="11" t="s">
        <v>0</v>
      </c>
      <c r="D32" s="20" t="s">
        <v>1590</v>
      </c>
    </row>
    <row r="33" spans="1:4">
      <c r="A33" s="21" t="str">
        <f t="shared" si="4"/>
        <v>АСУЭ.SEPAM.mIc</v>
      </c>
      <c r="B33" s="8">
        <v>8002</v>
      </c>
      <c r="C33" s="8" t="s">
        <v>819</v>
      </c>
      <c r="D33" s="22">
        <f>$K$2*10000</f>
        <v>10000000</v>
      </c>
    </row>
    <row r="34" spans="1:4">
      <c r="A34" s="16" t="str">
        <f t="shared" ref="A34:A39" si="5">$I$2&amp;".mFreq"</f>
        <v>АСУЭ.SEPAM.mFreq</v>
      </c>
      <c r="B34" s="17">
        <v>1</v>
      </c>
      <c r="C34" s="17" t="s">
        <v>1</v>
      </c>
      <c r="D34" s="18">
        <v>3</v>
      </c>
    </row>
    <row r="35" spans="1:4">
      <c r="A35" s="19" t="str">
        <f t="shared" si="5"/>
        <v>АСУЭ.SEPAM.mFreq</v>
      </c>
      <c r="B35" s="11">
        <v>8001</v>
      </c>
      <c r="C35" s="11" t="s">
        <v>2</v>
      </c>
      <c r="D35" s="20" t="s">
        <v>266</v>
      </c>
    </row>
    <row r="36" spans="1:4">
      <c r="A36" s="19" t="str">
        <f t="shared" si="5"/>
        <v>АСУЭ.SEPAM.mFreq</v>
      </c>
      <c r="B36" s="11">
        <v>8006</v>
      </c>
      <c r="C36" s="11" t="s">
        <v>2</v>
      </c>
      <c r="D36" s="20" t="s">
        <v>175</v>
      </c>
    </row>
    <row r="37" spans="1:4">
      <c r="A37" s="19" t="str">
        <f t="shared" si="5"/>
        <v>АСУЭ.SEPAM.mFreq</v>
      </c>
      <c r="B37" s="11">
        <v>101</v>
      </c>
      <c r="C37" s="11" t="s">
        <v>0</v>
      </c>
      <c r="D37" s="20" t="str">
        <f>$H$2&amp;". Частота"</f>
        <v>SEPAM. Частота</v>
      </c>
    </row>
    <row r="38" spans="1:4">
      <c r="A38" s="19" t="str">
        <f t="shared" si="5"/>
        <v>АСУЭ.SEPAM.mFreq</v>
      </c>
      <c r="B38" s="11">
        <v>100</v>
      </c>
      <c r="C38" s="11" t="s">
        <v>0</v>
      </c>
      <c r="D38" s="20" t="s">
        <v>1585</v>
      </c>
    </row>
    <row r="39" spans="1:4">
      <c r="A39" s="21" t="str">
        <f t="shared" si="5"/>
        <v>АСУЭ.SEPAM.mFreq</v>
      </c>
      <c r="B39" s="8">
        <v>8002</v>
      </c>
      <c r="C39" s="8" t="s">
        <v>819</v>
      </c>
      <c r="D39" s="22">
        <f>$K$2*10000</f>
        <v>10000000</v>
      </c>
    </row>
    <row r="40" spans="1:4">
      <c r="A40" s="16" t="str">
        <f>$I$2&amp;".mUab"</f>
        <v>АСУЭ.SEPAM.mUab</v>
      </c>
      <c r="B40" s="17">
        <v>1</v>
      </c>
      <c r="C40" s="17" t="s">
        <v>1</v>
      </c>
      <c r="D40" s="18">
        <v>3</v>
      </c>
    </row>
    <row r="41" spans="1:4">
      <c r="A41" s="19" t="str">
        <f t="shared" ref="A41:A45" si="6">$I$2&amp;".mUab"</f>
        <v>АСУЭ.SEPAM.mUab</v>
      </c>
      <c r="B41" s="11">
        <v>8001</v>
      </c>
      <c r="C41" s="11" t="s">
        <v>2</v>
      </c>
      <c r="D41" s="20" t="s">
        <v>266</v>
      </c>
    </row>
    <row r="42" spans="1:4">
      <c r="A42" s="19" t="str">
        <f t="shared" si="6"/>
        <v>АСУЭ.SEPAM.mUab</v>
      </c>
      <c r="B42" s="11">
        <v>8006</v>
      </c>
      <c r="C42" s="11" t="s">
        <v>2</v>
      </c>
      <c r="D42" s="20" t="s">
        <v>175</v>
      </c>
    </row>
    <row r="43" spans="1:4">
      <c r="A43" s="19" t="str">
        <f t="shared" si="6"/>
        <v>АСУЭ.SEPAM.mUab</v>
      </c>
      <c r="B43" s="11">
        <v>101</v>
      </c>
      <c r="C43" s="11" t="s">
        <v>0</v>
      </c>
      <c r="D43" s="20" t="str">
        <f>$H$2&amp;". Линейное напряжение АВ"</f>
        <v>SEPAM. Линейное напряжение АВ</v>
      </c>
    </row>
    <row r="44" spans="1:4">
      <c r="A44" s="19" t="str">
        <f t="shared" si="6"/>
        <v>АСУЭ.SEPAM.mUab</v>
      </c>
      <c r="B44" s="11">
        <v>100</v>
      </c>
      <c r="C44" s="11" t="s">
        <v>0</v>
      </c>
      <c r="D44" s="20" t="s">
        <v>1588</v>
      </c>
    </row>
    <row r="45" spans="1:4">
      <c r="A45" s="21" t="str">
        <f t="shared" si="6"/>
        <v>АСУЭ.SEPAM.mUab</v>
      </c>
      <c r="B45" s="8">
        <v>8002</v>
      </c>
      <c r="C45" s="8" t="s">
        <v>819</v>
      </c>
      <c r="D45" s="22">
        <f>$K$2*10000</f>
        <v>10000000</v>
      </c>
    </row>
    <row r="46" spans="1:4">
      <c r="A46" s="16" t="str">
        <f>$I$2&amp;".mUbc"</f>
        <v>АСУЭ.SEPAM.mUbc</v>
      </c>
      <c r="B46" s="17">
        <v>1</v>
      </c>
      <c r="C46" s="17" t="s">
        <v>1</v>
      </c>
      <c r="D46" s="18">
        <v>3</v>
      </c>
    </row>
    <row r="47" spans="1:4">
      <c r="A47" s="19" t="str">
        <f t="shared" ref="A47:A51" si="7">$I$2&amp;".mUbc"</f>
        <v>АСУЭ.SEPAM.mUbc</v>
      </c>
      <c r="B47" s="11">
        <v>8001</v>
      </c>
      <c r="C47" s="11" t="s">
        <v>2</v>
      </c>
      <c r="D47" s="20" t="s">
        <v>266</v>
      </c>
    </row>
    <row r="48" spans="1:4">
      <c r="A48" s="19" t="str">
        <f t="shared" si="7"/>
        <v>АСУЭ.SEPAM.mUbc</v>
      </c>
      <c r="B48" s="11">
        <v>8006</v>
      </c>
      <c r="C48" s="11" t="s">
        <v>2</v>
      </c>
      <c r="D48" s="20" t="s">
        <v>175</v>
      </c>
    </row>
    <row r="49" spans="1:4">
      <c r="A49" s="19" t="str">
        <f t="shared" si="7"/>
        <v>АСУЭ.SEPAM.mUbc</v>
      </c>
      <c r="B49" s="11">
        <v>101</v>
      </c>
      <c r="C49" s="11" t="s">
        <v>0</v>
      </c>
      <c r="D49" s="20" t="str">
        <f>$H$2&amp;". Линейное напряжение BC"</f>
        <v>SEPAM. Линейное напряжение BC</v>
      </c>
    </row>
    <row r="50" spans="1:4">
      <c r="A50" s="19" t="str">
        <f t="shared" si="7"/>
        <v>АСУЭ.SEPAM.mUbc</v>
      </c>
      <c r="B50" s="11">
        <v>100</v>
      </c>
      <c r="C50" s="11" t="s">
        <v>0</v>
      </c>
      <c r="D50" s="20" t="s">
        <v>1588</v>
      </c>
    </row>
    <row r="51" spans="1:4">
      <c r="A51" s="21" t="str">
        <f t="shared" si="7"/>
        <v>АСУЭ.SEPAM.mUbc</v>
      </c>
      <c r="B51" s="8">
        <v>8002</v>
      </c>
      <c r="C51" s="8" t="s">
        <v>819</v>
      </c>
      <c r="D51" s="22">
        <f>$K$2*10000</f>
        <v>10000000</v>
      </c>
    </row>
    <row r="52" spans="1:4">
      <c r="A52" s="16" t="str">
        <f>$I$2&amp;".mUac"</f>
        <v>АСУЭ.SEPAM.mUac</v>
      </c>
      <c r="B52" s="17">
        <v>1</v>
      </c>
      <c r="C52" s="17" t="s">
        <v>1</v>
      </c>
      <c r="D52" s="18">
        <v>3</v>
      </c>
    </row>
    <row r="53" spans="1:4">
      <c r="A53" s="19" t="str">
        <f t="shared" ref="A53:A57" si="8">$I$2&amp;".mUac"</f>
        <v>АСУЭ.SEPAM.mUac</v>
      </c>
      <c r="B53" s="11">
        <v>8001</v>
      </c>
      <c r="C53" s="11" t="s">
        <v>2</v>
      </c>
      <c r="D53" s="20" t="s">
        <v>266</v>
      </c>
    </row>
    <row r="54" spans="1:4">
      <c r="A54" s="19" t="str">
        <f t="shared" si="8"/>
        <v>АСУЭ.SEPAM.mUac</v>
      </c>
      <c r="B54" s="11">
        <v>8006</v>
      </c>
      <c r="C54" s="11" t="s">
        <v>2</v>
      </c>
      <c r="D54" s="20" t="s">
        <v>175</v>
      </c>
    </row>
    <row r="55" spans="1:4">
      <c r="A55" s="19" t="str">
        <f t="shared" si="8"/>
        <v>АСУЭ.SEPAM.mUac</v>
      </c>
      <c r="B55" s="11">
        <v>101</v>
      </c>
      <c r="C55" s="11" t="s">
        <v>0</v>
      </c>
      <c r="D55" s="20" t="str">
        <f>$H$2&amp;". Линейное напряжение AC"</f>
        <v>SEPAM. Линейное напряжение AC</v>
      </c>
    </row>
    <row r="56" spans="1:4">
      <c r="A56" s="19" t="str">
        <f t="shared" si="8"/>
        <v>АСУЭ.SEPAM.mUac</v>
      </c>
      <c r="B56" s="11">
        <v>100</v>
      </c>
      <c r="C56" s="11" t="s">
        <v>0</v>
      </c>
      <c r="D56" s="20" t="s">
        <v>1588</v>
      </c>
    </row>
    <row r="57" spans="1:4">
      <c r="A57" s="21" t="str">
        <f t="shared" si="8"/>
        <v>АСУЭ.SEPAM.mUac</v>
      </c>
      <c r="B57" s="8">
        <v>8002</v>
      </c>
      <c r="C57" s="8" t="s">
        <v>819</v>
      </c>
      <c r="D57" s="22">
        <f>$K$2*10000</f>
        <v>10000000</v>
      </c>
    </row>
    <row r="58" spans="1:4">
      <c r="A58" s="16" t="str">
        <f>$I$2&amp;".mP"</f>
        <v>АСУЭ.SEPAM.mP</v>
      </c>
      <c r="B58" s="17">
        <v>1</v>
      </c>
      <c r="C58" s="17" t="s">
        <v>1</v>
      </c>
      <c r="D58" s="18">
        <v>3</v>
      </c>
    </row>
    <row r="59" spans="1:4">
      <c r="A59" s="19" t="str">
        <f t="shared" ref="A59:A63" si="9">$I$2&amp;".mP"</f>
        <v>АСУЭ.SEPAM.mP</v>
      </c>
      <c r="B59" s="11">
        <v>8001</v>
      </c>
      <c r="C59" s="11" t="s">
        <v>2</v>
      </c>
      <c r="D59" s="20" t="s">
        <v>266</v>
      </c>
    </row>
    <row r="60" spans="1:4">
      <c r="A60" s="19" t="str">
        <f t="shared" si="9"/>
        <v>АСУЭ.SEPAM.mP</v>
      </c>
      <c r="B60" s="11">
        <v>8006</v>
      </c>
      <c r="C60" s="11" t="s">
        <v>2</v>
      </c>
      <c r="D60" s="20" t="s">
        <v>175</v>
      </c>
    </row>
    <row r="61" spans="1:4">
      <c r="A61" s="19" t="str">
        <f t="shared" si="9"/>
        <v>АСУЭ.SEPAM.mP</v>
      </c>
      <c r="B61" s="11">
        <v>101</v>
      </c>
      <c r="C61" s="11" t="s">
        <v>0</v>
      </c>
      <c r="D61" s="20" t="str">
        <f>$H$2&amp;". Текущее значение активной трехфазной мощности P"</f>
        <v>SEPAM. Текущее значение активной трехфазной мощности P</v>
      </c>
    </row>
    <row r="62" spans="1:4">
      <c r="A62" s="19" t="str">
        <f t="shared" si="9"/>
        <v>АСУЭ.SEPAM.mP</v>
      </c>
      <c r="B62" s="11">
        <v>100</v>
      </c>
      <c r="C62" s="11" t="s">
        <v>0</v>
      </c>
      <c r="D62" s="20" t="s">
        <v>1586</v>
      </c>
    </row>
    <row r="63" spans="1:4">
      <c r="A63" s="21" t="str">
        <f t="shared" si="9"/>
        <v>АСУЭ.SEPAM.mP</v>
      </c>
      <c r="B63" s="8">
        <v>8002</v>
      </c>
      <c r="C63" s="8" t="s">
        <v>819</v>
      </c>
      <c r="D63" s="22">
        <f>$K$2*10000</f>
        <v>10000000</v>
      </c>
    </row>
    <row r="64" spans="1:4">
      <c r="A64" s="16" t="str">
        <f>$I$2&amp;".mQ"</f>
        <v>АСУЭ.SEPAM.mQ</v>
      </c>
      <c r="B64" s="17">
        <v>1</v>
      </c>
      <c r="C64" s="17" t="s">
        <v>1</v>
      </c>
      <c r="D64" s="18">
        <v>3</v>
      </c>
    </row>
    <row r="65" spans="1:4">
      <c r="A65" s="19" t="str">
        <f t="shared" ref="A65:A69" si="10">$I$2&amp;".mQ"</f>
        <v>АСУЭ.SEPAM.mQ</v>
      </c>
      <c r="B65" s="11">
        <v>8001</v>
      </c>
      <c r="C65" s="11" t="s">
        <v>2</v>
      </c>
      <c r="D65" s="20" t="s">
        <v>266</v>
      </c>
    </row>
    <row r="66" spans="1:4">
      <c r="A66" s="19" t="str">
        <f t="shared" si="10"/>
        <v>АСУЭ.SEPAM.mQ</v>
      </c>
      <c r="B66" s="11">
        <v>8006</v>
      </c>
      <c r="C66" s="11" t="s">
        <v>2</v>
      </c>
      <c r="D66" s="20" t="s">
        <v>175</v>
      </c>
    </row>
    <row r="67" spans="1:4">
      <c r="A67" s="19" t="str">
        <f t="shared" si="10"/>
        <v>АСУЭ.SEPAM.mQ</v>
      </c>
      <c r="B67" s="11">
        <v>101</v>
      </c>
      <c r="C67" s="11" t="s">
        <v>0</v>
      </c>
      <c r="D67" s="20" t="str">
        <f>$H$2&amp;". Текущее значение реактивной трехфазной мощности Q"</f>
        <v>SEPAM. Текущее значение реактивной трехфазной мощности Q</v>
      </c>
    </row>
    <row r="68" spans="1:4">
      <c r="A68" s="19" t="str">
        <f t="shared" si="10"/>
        <v>АСУЭ.SEPAM.mQ</v>
      </c>
      <c r="B68" s="11">
        <v>100</v>
      </c>
      <c r="C68" s="11" t="s">
        <v>0</v>
      </c>
      <c r="D68" s="20" t="s">
        <v>1587</v>
      </c>
    </row>
    <row r="69" spans="1:4">
      <c r="A69" s="21" t="str">
        <f t="shared" si="10"/>
        <v>АСУЭ.SEPAM.mQ</v>
      </c>
      <c r="B69" s="8">
        <v>8002</v>
      </c>
      <c r="C69" s="8" t="s">
        <v>819</v>
      </c>
      <c r="D69" s="22">
        <f>$K$2*10000</f>
        <v>10000000</v>
      </c>
    </row>
    <row r="70" spans="1:4">
      <c r="A70" s="16" t="str">
        <f>$I$2&amp;".mS"</f>
        <v>АСУЭ.SEPAM.mS</v>
      </c>
      <c r="B70" s="17">
        <v>1</v>
      </c>
      <c r="C70" s="17" t="s">
        <v>1</v>
      </c>
      <c r="D70" s="18">
        <v>3</v>
      </c>
    </row>
    <row r="71" spans="1:4">
      <c r="A71" s="19" t="str">
        <f t="shared" ref="A71:A75" si="11">$I$2&amp;".mS"</f>
        <v>АСУЭ.SEPAM.mS</v>
      </c>
      <c r="B71" s="11">
        <v>8001</v>
      </c>
      <c r="C71" s="11" t="s">
        <v>2</v>
      </c>
      <c r="D71" s="20" t="s">
        <v>266</v>
      </c>
    </row>
    <row r="72" spans="1:4">
      <c r="A72" s="19" t="str">
        <f t="shared" si="11"/>
        <v>АСУЭ.SEPAM.mS</v>
      </c>
      <c r="B72" s="11">
        <v>8006</v>
      </c>
      <c r="C72" s="11" t="s">
        <v>2</v>
      </c>
      <c r="D72" s="20" t="s">
        <v>175</v>
      </c>
    </row>
    <row r="73" spans="1:4">
      <c r="A73" s="19" t="str">
        <f t="shared" si="11"/>
        <v>АСУЭ.SEPAM.mS</v>
      </c>
      <c r="B73" s="11">
        <v>101</v>
      </c>
      <c r="C73" s="11" t="s">
        <v>0</v>
      </c>
      <c r="D73" s="20" t="str">
        <f>$H$2&amp;". Текущее значение полной трехфазной мощности S"</f>
        <v>SEPAM. Текущее значение полной трехфазной мощности S</v>
      </c>
    </row>
    <row r="74" spans="1:4">
      <c r="A74" s="19" t="str">
        <f t="shared" si="11"/>
        <v>АСУЭ.SEPAM.mS</v>
      </c>
      <c r="B74" s="11">
        <v>100</v>
      </c>
      <c r="C74" s="11" t="s">
        <v>0</v>
      </c>
      <c r="D74" s="20" t="s">
        <v>1589</v>
      </c>
    </row>
    <row r="75" spans="1:4">
      <c r="A75" s="21" t="str">
        <f t="shared" si="11"/>
        <v>АСУЭ.SEPAM.mS</v>
      </c>
      <c r="B75" s="8">
        <v>8002</v>
      </c>
      <c r="C75" s="8" t="s">
        <v>819</v>
      </c>
      <c r="D75" s="22">
        <f>$K$2*10000</f>
        <v>10000000</v>
      </c>
    </row>
  </sheetData>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sheetPr codeName="Лист218">
    <tabColor theme="0" tint="-0.34998626667073579"/>
  </sheetPr>
  <dimension ref="A1:K33"/>
  <sheetViews>
    <sheetView workbookViewId="0">
      <selection activeCell="D2" sqref="D2:D4"/>
    </sheetView>
  </sheetViews>
  <sheetFormatPr defaultRowHeight="14.4"/>
  <cols>
    <col min="1" max="1" width="52.88671875" style="55" customWidth="1"/>
    <col min="4" max="4" width="85" customWidth="1"/>
    <col min="8" max="9" width="40.6640625" customWidth="1"/>
    <col min="10" max="10" width="28.44140625" customWidth="1"/>
    <col min="11" max="11" width="25.6640625" customWidth="1"/>
  </cols>
  <sheetData>
    <row r="1" spans="1:11">
      <c r="A1" s="57"/>
      <c r="B1" s="10"/>
      <c r="C1" s="10"/>
      <c r="D1" s="10"/>
      <c r="E1" s="10"/>
      <c r="F1" s="10"/>
      <c r="G1" s="10"/>
      <c r="H1" s="54" t="s">
        <v>269</v>
      </c>
      <c r="I1" s="54" t="s">
        <v>268</v>
      </c>
      <c r="J1" s="54" t="s">
        <v>512</v>
      </c>
      <c r="K1" s="54" t="s">
        <v>1471</v>
      </c>
    </row>
    <row r="2" spans="1:11" ht="15" customHeight="1">
      <c r="A2" s="57"/>
      <c r="B2" s="10"/>
      <c r="C2" s="10"/>
      <c r="D2" s="10"/>
      <c r="E2" s="10"/>
      <c r="F2" s="10"/>
      <c r="G2" s="10"/>
      <c r="H2" s="73" t="s">
        <v>331</v>
      </c>
      <c r="I2" s="73" t="s">
        <v>747</v>
      </c>
      <c r="J2" s="2"/>
      <c r="K2" s="2">
        <f>Настройки!M18</f>
        <v>1000</v>
      </c>
    </row>
    <row r="3" spans="1:11" ht="15" customHeight="1">
      <c r="A3" s="549" t="str">
        <f xml:space="preserve"> $I$2</f>
        <v>АСУЭ.SEPAM</v>
      </c>
      <c r="B3" s="550">
        <v>101</v>
      </c>
      <c r="C3" s="551" t="s">
        <v>0</v>
      </c>
      <c r="D3" s="552" t="str">
        <f>$H$2</f>
        <v>SEPAM</v>
      </c>
      <c r="E3" s="4"/>
      <c r="F3" s="4"/>
      <c r="G3" s="4"/>
      <c r="H3" s="239"/>
      <c r="I3" s="239"/>
    </row>
    <row r="4" spans="1:11">
      <c r="A4" s="16" t="str">
        <f>$I$2&amp;".mComNum"</f>
        <v>АСУЭ.SEPAM.mComNum</v>
      </c>
      <c r="B4" s="17">
        <v>1</v>
      </c>
      <c r="C4" s="17" t="s">
        <v>1</v>
      </c>
      <c r="D4" s="18">
        <v>3</v>
      </c>
    </row>
    <row r="5" spans="1:11">
      <c r="A5" s="19" t="str">
        <f t="shared" ref="A5:A9" si="0">$I$2&amp;".mComNum"</f>
        <v>АСУЭ.SEPAM.mComNum</v>
      </c>
      <c r="B5" s="11">
        <v>8001</v>
      </c>
      <c r="C5" s="11" t="s">
        <v>2</v>
      </c>
      <c r="D5" s="20" t="s">
        <v>266</v>
      </c>
    </row>
    <row r="6" spans="1:11">
      <c r="A6" s="19" t="str">
        <f t="shared" si="0"/>
        <v>АСУЭ.SEPAM.mComNum</v>
      </c>
      <c r="B6" s="11">
        <v>8006</v>
      </c>
      <c r="C6" s="11" t="s">
        <v>2</v>
      </c>
      <c r="D6" s="20" t="s">
        <v>175</v>
      </c>
    </row>
    <row r="7" spans="1:11">
      <c r="A7" s="19" t="str">
        <f t="shared" si="0"/>
        <v>АСУЭ.SEPAM.mComNum</v>
      </c>
      <c r="B7" s="11">
        <v>101</v>
      </c>
      <c r="C7" s="11" t="s">
        <v>0</v>
      </c>
      <c r="D7" s="20" t="str">
        <f>$H$2&amp;". Счетчик коммутаций"</f>
        <v>SEPAM. Счетчик коммутаций</v>
      </c>
    </row>
    <row r="8" spans="1:11">
      <c r="A8" s="19" t="str">
        <f t="shared" si="0"/>
        <v>АСУЭ.SEPAM.mComNum</v>
      </c>
      <c r="B8" s="11">
        <v>100</v>
      </c>
      <c r="C8" s="11" t="s">
        <v>0</v>
      </c>
      <c r="D8" s="20" t="s">
        <v>293</v>
      </c>
    </row>
    <row r="9" spans="1:11">
      <c r="A9" s="21" t="str">
        <f t="shared" si="0"/>
        <v>АСУЭ.SEPAM.mComNum</v>
      </c>
      <c r="B9" s="8">
        <v>8002</v>
      </c>
      <c r="C9" s="8" t="s">
        <v>819</v>
      </c>
      <c r="D9" s="22">
        <f>$K$2*10000</f>
        <v>10000000</v>
      </c>
    </row>
    <row r="10" spans="1:11">
      <c r="A10" s="16" t="str">
        <f>$I$2&amp;".mComNum_KZ"</f>
        <v>АСУЭ.SEPAM.mComNum_KZ</v>
      </c>
      <c r="B10" s="17">
        <v>1</v>
      </c>
      <c r="C10" s="17" t="s">
        <v>1</v>
      </c>
      <c r="D10" s="18">
        <v>3</v>
      </c>
    </row>
    <row r="11" spans="1:11">
      <c r="A11" s="19" t="str">
        <f t="shared" ref="A11:A15" si="1">$I$2&amp;".mComNum_KZ"</f>
        <v>АСУЭ.SEPAM.mComNum_KZ</v>
      </c>
      <c r="B11" s="11">
        <v>8001</v>
      </c>
      <c r="C11" s="11" t="s">
        <v>2</v>
      </c>
      <c r="D11" s="20" t="s">
        <v>266</v>
      </c>
    </row>
    <row r="12" spans="1:11">
      <c r="A12" s="19" t="str">
        <f t="shared" si="1"/>
        <v>АСУЭ.SEPAM.mComNum_KZ</v>
      </c>
      <c r="B12" s="11">
        <v>8006</v>
      </c>
      <c r="C12" s="11" t="s">
        <v>2</v>
      </c>
      <c r="D12" s="20" t="s">
        <v>175</v>
      </c>
    </row>
    <row r="13" spans="1:11">
      <c r="A13" s="19" t="str">
        <f t="shared" si="1"/>
        <v>АСУЭ.SEPAM.mComNum_KZ</v>
      </c>
      <c r="B13" s="11">
        <v>101</v>
      </c>
      <c r="C13" s="11" t="s">
        <v>0</v>
      </c>
      <c r="D13" s="20" t="str">
        <f>$H$2&amp;". Счетчик коммутаций междуфазных КЗ"</f>
        <v>SEPAM. Счетчик коммутаций междуфазных КЗ</v>
      </c>
    </row>
    <row r="14" spans="1:11">
      <c r="A14" s="19" t="str">
        <f t="shared" si="1"/>
        <v>АСУЭ.SEPAM.mComNum_KZ</v>
      </c>
      <c r="B14" s="11">
        <v>100</v>
      </c>
      <c r="C14" s="11" t="s">
        <v>0</v>
      </c>
      <c r="D14" s="20" t="s">
        <v>293</v>
      </c>
    </row>
    <row r="15" spans="1:11">
      <c r="A15" s="21" t="str">
        <f t="shared" si="1"/>
        <v>АСУЭ.SEPAM.mComNum_KZ</v>
      </c>
      <c r="B15" s="8">
        <v>8002</v>
      </c>
      <c r="C15" s="8" t="s">
        <v>819</v>
      </c>
      <c r="D15" s="22">
        <f>$K$2*10000</f>
        <v>10000000</v>
      </c>
    </row>
    <row r="16" spans="1:11">
      <c r="A16" s="16" t="str">
        <f>$I$2&amp;".mIa"</f>
        <v>АСУЭ.SEPAM.mIa</v>
      </c>
      <c r="B16" s="17">
        <v>1</v>
      </c>
      <c r="C16" s="17" t="s">
        <v>1</v>
      </c>
      <c r="D16" s="18">
        <v>3</v>
      </c>
    </row>
    <row r="17" spans="1:4">
      <c r="A17" s="19" t="str">
        <f t="shared" ref="A17:A21" si="2">$I$2&amp;".mIa"</f>
        <v>АСУЭ.SEPAM.mIa</v>
      </c>
      <c r="B17" s="11">
        <v>8001</v>
      </c>
      <c r="C17" s="11" t="s">
        <v>2</v>
      </c>
      <c r="D17" s="20" t="s">
        <v>266</v>
      </c>
    </row>
    <row r="18" spans="1:4">
      <c r="A18" s="19" t="str">
        <f t="shared" si="2"/>
        <v>АСУЭ.SEPAM.mIa</v>
      </c>
      <c r="B18" s="11">
        <v>8006</v>
      </c>
      <c r="C18" s="11" t="s">
        <v>2</v>
      </c>
      <c r="D18" s="20" t="s">
        <v>175</v>
      </c>
    </row>
    <row r="19" spans="1:4">
      <c r="A19" s="19" t="str">
        <f t="shared" si="2"/>
        <v>АСУЭ.SEPAM.mIa</v>
      </c>
      <c r="B19" s="11">
        <v>101</v>
      </c>
      <c r="C19" s="11" t="s">
        <v>0</v>
      </c>
      <c r="D19" s="20" t="str">
        <f>$H$2&amp;". Текущее значение тока Ia"</f>
        <v>SEPAM. Текущее значение тока Ia</v>
      </c>
    </row>
    <row r="20" spans="1:4">
      <c r="A20" s="19" t="str">
        <f t="shared" si="2"/>
        <v>АСУЭ.SEPAM.mIa</v>
      </c>
      <c r="B20" s="11">
        <v>100</v>
      </c>
      <c r="C20" s="11" t="s">
        <v>0</v>
      </c>
      <c r="D20" s="20" t="s">
        <v>1590</v>
      </c>
    </row>
    <row r="21" spans="1:4">
      <c r="A21" s="21" t="str">
        <f t="shared" si="2"/>
        <v>АСУЭ.SEPAM.mIa</v>
      </c>
      <c r="B21" s="8">
        <v>8002</v>
      </c>
      <c r="C21" s="8" t="s">
        <v>819</v>
      </c>
      <c r="D21" s="22">
        <f>$K$2*10000</f>
        <v>10000000</v>
      </c>
    </row>
    <row r="22" spans="1:4">
      <c r="A22" s="16" t="str">
        <f>$I$2&amp;".mIb"</f>
        <v>АСУЭ.SEPAM.mIb</v>
      </c>
      <c r="B22" s="17">
        <v>1</v>
      </c>
      <c r="C22" s="17" t="s">
        <v>1</v>
      </c>
      <c r="D22" s="18">
        <v>3</v>
      </c>
    </row>
    <row r="23" spans="1:4">
      <c r="A23" s="19" t="str">
        <f t="shared" ref="A23:A27" si="3">$I$2&amp;".mIb"</f>
        <v>АСУЭ.SEPAM.mIb</v>
      </c>
      <c r="B23" s="11">
        <v>8001</v>
      </c>
      <c r="C23" s="11" t="s">
        <v>2</v>
      </c>
      <c r="D23" s="20" t="s">
        <v>266</v>
      </c>
    </row>
    <row r="24" spans="1:4">
      <c r="A24" s="19" t="str">
        <f t="shared" si="3"/>
        <v>АСУЭ.SEPAM.mIb</v>
      </c>
      <c r="B24" s="11">
        <v>8006</v>
      </c>
      <c r="C24" s="11" t="s">
        <v>2</v>
      </c>
      <c r="D24" s="20" t="s">
        <v>175</v>
      </c>
    </row>
    <row r="25" spans="1:4">
      <c r="A25" s="19" t="str">
        <f t="shared" si="3"/>
        <v>АСУЭ.SEPAM.mIb</v>
      </c>
      <c r="B25" s="11">
        <v>101</v>
      </c>
      <c r="C25" s="11" t="s">
        <v>0</v>
      </c>
      <c r="D25" s="20" t="str">
        <f>$H$2&amp;". Текущее значение тока Ib"</f>
        <v>SEPAM. Текущее значение тока Ib</v>
      </c>
    </row>
    <row r="26" spans="1:4">
      <c r="A26" s="19" t="str">
        <f t="shared" si="3"/>
        <v>АСУЭ.SEPAM.mIb</v>
      </c>
      <c r="B26" s="11">
        <v>100</v>
      </c>
      <c r="C26" s="11" t="s">
        <v>0</v>
      </c>
      <c r="D26" s="20" t="s">
        <v>1590</v>
      </c>
    </row>
    <row r="27" spans="1:4">
      <c r="A27" s="21" t="str">
        <f t="shared" si="3"/>
        <v>АСУЭ.SEPAM.mIb</v>
      </c>
      <c r="B27" s="8">
        <v>8002</v>
      </c>
      <c r="C27" s="8" t="s">
        <v>819</v>
      </c>
      <c r="D27" s="22">
        <f>$K$2*10000</f>
        <v>10000000</v>
      </c>
    </row>
    <row r="28" spans="1:4">
      <c r="A28" s="16" t="str">
        <f>$I$2&amp;".mIc"</f>
        <v>АСУЭ.SEPAM.mIc</v>
      </c>
      <c r="B28" s="17">
        <v>1</v>
      </c>
      <c r="C28" s="17" t="s">
        <v>1</v>
      </c>
      <c r="D28" s="18">
        <v>3</v>
      </c>
    </row>
    <row r="29" spans="1:4">
      <c r="A29" s="19" t="str">
        <f t="shared" ref="A29:A33" si="4">$I$2&amp;".mIc"</f>
        <v>АСУЭ.SEPAM.mIc</v>
      </c>
      <c r="B29" s="11">
        <v>8001</v>
      </c>
      <c r="C29" s="11" t="s">
        <v>2</v>
      </c>
      <c r="D29" s="20" t="s">
        <v>266</v>
      </c>
    </row>
    <row r="30" spans="1:4">
      <c r="A30" s="19" t="str">
        <f t="shared" si="4"/>
        <v>АСУЭ.SEPAM.mIc</v>
      </c>
      <c r="B30" s="11">
        <v>8006</v>
      </c>
      <c r="C30" s="11" t="s">
        <v>2</v>
      </c>
      <c r="D30" s="20" t="s">
        <v>175</v>
      </c>
    </row>
    <row r="31" spans="1:4">
      <c r="A31" s="19" t="str">
        <f t="shared" si="4"/>
        <v>АСУЭ.SEPAM.mIc</v>
      </c>
      <c r="B31" s="11">
        <v>101</v>
      </c>
      <c r="C31" s="11" t="s">
        <v>0</v>
      </c>
      <c r="D31" s="20" t="str">
        <f>$H$2&amp;". Текущее значение тока Ic"</f>
        <v>SEPAM. Текущее значение тока Ic</v>
      </c>
    </row>
    <row r="32" spans="1:4">
      <c r="A32" s="19" t="str">
        <f t="shared" si="4"/>
        <v>АСУЭ.SEPAM.mIc</v>
      </c>
      <c r="B32" s="11">
        <v>100</v>
      </c>
      <c r="C32" s="11" t="s">
        <v>0</v>
      </c>
      <c r="D32" s="20" t="s">
        <v>1590</v>
      </c>
    </row>
    <row r="33" spans="1:4">
      <c r="A33" s="21" t="str">
        <f t="shared" si="4"/>
        <v>АСУЭ.SEPAM.mIc</v>
      </c>
      <c r="B33" s="8">
        <v>8002</v>
      </c>
      <c r="C33" s="8" t="s">
        <v>819</v>
      </c>
      <c r="D33" s="22">
        <f>$K$2*10000</f>
        <v>10000000</v>
      </c>
    </row>
  </sheetData>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sheetPr codeName="Лист219">
    <tabColor theme="0" tint="-0.34998626667073579"/>
  </sheetPr>
  <dimension ref="A1:K27"/>
  <sheetViews>
    <sheetView workbookViewId="0">
      <selection activeCell="D2" sqref="D2:D4"/>
    </sheetView>
  </sheetViews>
  <sheetFormatPr defaultRowHeight="14.4"/>
  <cols>
    <col min="1" max="1" width="52.88671875" style="55" customWidth="1"/>
    <col min="4" max="4" width="85" customWidth="1"/>
    <col min="8" max="9" width="40.6640625" customWidth="1"/>
    <col min="10" max="10" width="28.44140625" customWidth="1"/>
    <col min="11" max="11" width="25.6640625" customWidth="1"/>
  </cols>
  <sheetData>
    <row r="1" spans="1:11">
      <c r="A1" s="57"/>
      <c r="B1" s="10"/>
      <c r="C1" s="10"/>
      <c r="D1" s="10"/>
      <c r="E1" s="10"/>
      <c r="F1" s="10"/>
      <c r="G1" s="10"/>
      <c r="H1" s="54" t="s">
        <v>269</v>
      </c>
      <c r="I1" s="54" t="s">
        <v>268</v>
      </c>
      <c r="J1" s="54" t="s">
        <v>512</v>
      </c>
      <c r="K1" s="54" t="s">
        <v>1471</v>
      </c>
    </row>
    <row r="2" spans="1:11" ht="15" customHeight="1">
      <c r="A2" s="57"/>
      <c r="B2" s="10"/>
      <c r="C2" s="10"/>
      <c r="D2" s="10"/>
      <c r="E2" s="10"/>
      <c r="F2" s="10"/>
      <c r="G2" s="10"/>
      <c r="H2" s="73" t="s">
        <v>331</v>
      </c>
      <c r="I2" s="73" t="s">
        <v>747</v>
      </c>
      <c r="J2" s="2"/>
      <c r="K2" s="2">
        <f>Настройки!M18</f>
        <v>1000</v>
      </c>
    </row>
    <row r="3" spans="1:11" ht="15" customHeight="1">
      <c r="A3" s="549" t="str">
        <f xml:space="preserve"> $I$2</f>
        <v>АСУЭ.SEPAM</v>
      </c>
      <c r="B3" s="550">
        <v>101</v>
      </c>
      <c r="C3" s="551" t="s">
        <v>0</v>
      </c>
      <c r="D3" s="552" t="str">
        <f>$H$2</f>
        <v>SEPAM</v>
      </c>
      <c r="E3" s="4"/>
      <c r="F3" s="4"/>
      <c r="G3" s="4"/>
      <c r="H3" s="239"/>
      <c r="I3" s="239"/>
    </row>
    <row r="4" spans="1:11">
      <c r="A4" s="16" t="str">
        <f t="shared" ref="A4:A9" si="0">$I$2&amp;".mFreq"</f>
        <v>АСУЭ.SEPAM.mFreq</v>
      </c>
      <c r="B4" s="17">
        <v>1</v>
      </c>
      <c r="C4" s="17" t="s">
        <v>1</v>
      </c>
      <c r="D4" s="18">
        <v>3</v>
      </c>
    </row>
    <row r="5" spans="1:11">
      <c r="A5" s="19" t="str">
        <f t="shared" si="0"/>
        <v>АСУЭ.SEPAM.mFreq</v>
      </c>
      <c r="B5" s="11">
        <v>8001</v>
      </c>
      <c r="C5" s="11" t="s">
        <v>2</v>
      </c>
      <c r="D5" s="20" t="s">
        <v>266</v>
      </c>
    </row>
    <row r="6" spans="1:11">
      <c r="A6" s="19" t="str">
        <f t="shared" si="0"/>
        <v>АСУЭ.SEPAM.mFreq</v>
      </c>
      <c r="B6" s="11">
        <v>8006</v>
      </c>
      <c r="C6" s="11" t="s">
        <v>2</v>
      </c>
      <c r="D6" s="20" t="s">
        <v>175</v>
      </c>
    </row>
    <row r="7" spans="1:11">
      <c r="A7" s="19" t="str">
        <f t="shared" si="0"/>
        <v>АСУЭ.SEPAM.mFreq</v>
      </c>
      <c r="B7" s="11">
        <v>101</v>
      </c>
      <c r="C7" s="11" t="s">
        <v>0</v>
      </c>
      <c r="D7" s="20" t="str">
        <f>$H$2&amp;". Частота"</f>
        <v>SEPAM. Частота</v>
      </c>
    </row>
    <row r="8" spans="1:11">
      <c r="A8" s="19" t="str">
        <f t="shared" si="0"/>
        <v>АСУЭ.SEPAM.mFreq</v>
      </c>
      <c r="B8" s="11">
        <v>100</v>
      </c>
      <c r="C8" s="11" t="s">
        <v>0</v>
      </c>
      <c r="D8" s="20" t="s">
        <v>1585</v>
      </c>
    </row>
    <row r="9" spans="1:11">
      <c r="A9" s="21" t="str">
        <f t="shared" si="0"/>
        <v>АСУЭ.SEPAM.mFreq</v>
      </c>
      <c r="B9" s="8">
        <v>8002</v>
      </c>
      <c r="C9" s="8" t="s">
        <v>819</v>
      </c>
      <c r="D9" s="22">
        <f>$K$2*10000</f>
        <v>10000000</v>
      </c>
    </row>
    <row r="10" spans="1:11">
      <c r="A10" s="16" t="str">
        <f>$I$2&amp;".mUab"</f>
        <v>АСУЭ.SEPAM.mUab</v>
      </c>
      <c r="B10" s="17">
        <v>1</v>
      </c>
      <c r="C10" s="17" t="s">
        <v>1</v>
      </c>
      <c r="D10" s="18">
        <v>3</v>
      </c>
    </row>
    <row r="11" spans="1:11">
      <c r="A11" s="19" t="str">
        <f t="shared" ref="A11:A15" si="1">$I$2&amp;".mUab"</f>
        <v>АСУЭ.SEPAM.mUab</v>
      </c>
      <c r="B11" s="11">
        <v>8001</v>
      </c>
      <c r="C11" s="11" t="s">
        <v>2</v>
      </c>
      <c r="D11" s="20" t="s">
        <v>266</v>
      </c>
    </row>
    <row r="12" spans="1:11">
      <c r="A12" s="19" t="str">
        <f t="shared" si="1"/>
        <v>АСУЭ.SEPAM.mUab</v>
      </c>
      <c r="B12" s="11">
        <v>8006</v>
      </c>
      <c r="C12" s="11" t="s">
        <v>2</v>
      </c>
      <c r="D12" s="20" t="s">
        <v>175</v>
      </c>
    </row>
    <row r="13" spans="1:11">
      <c r="A13" s="19" t="str">
        <f t="shared" si="1"/>
        <v>АСУЭ.SEPAM.mUab</v>
      </c>
      <c r="B13" s="11">
        <v>101</v>
      </c>
      <c r="C13" s="11" t="s">
        <v>0</v>
      </c>
      <c r="D13" s="20" t="str">
        <f>$H$2&amp;". Линейное напряжение АВ"</f>
        <v>SEPAM. Линейное напряжение АВ</v>
      </c>
    </row>
    <row r="14" spans="1:11">
      <c r="A14" s="19" t="str">
        <f t="shared" si="1"/>
        <v>АСУЭ.SEPAM.mUab</v>
      </c>
      <c r="B14" s="11">
        <v>100</v>
      </c>
      <c r="C14" s="11" t="s">
        <v>0</v>
      </c>
      <c r="D14" s="20" t="s">
        <v>1588</v>
      </c>
    </row>
    <row r="15" spans="1:11">
      <c r="A15" s="21" t="str">
        <f t="shared" si="1"/>
        <v>АСУЭ.SEPAM.mUab</v>
      </c>
      <c r="B15" s="8">
        <v>8002</v>
      </c>
      <c r="C15" s="8" t="s">
        <v>819</v>
      </c>
      <c r="D15" s="22">
        <f>$K$2*10000</f>
        <v>10000000</v>
      </c>
    </row>
    <row r="16" spans="1:11">
      <c r="A16" s="16" t="str">
        <f>$I$2&amp;".mUbc"</f>
        <v>АСУЭ.SEPAM.mUbc</v>
      </c>
      <c r="B16" s="17">
        <v>1</v>
      </c>
      <c r="C16" s="17" t="s">
        <v>1</v>
      </c>
      <c r="D16" s="18">
        <v>3</v>
      </c>
    </row>
    <row r="17" spans="1:4">
      <c r="A17" s="19" t="str">
        <f t="shared" ref="A17:A21" si="2">$I$2&amp;".mUbc"</f>
        <v>АСУЭ.SEPAM.mUbc</v>
      </c>
      <c r="B17" s="11">
        <v>8001</v>
      </c>
      <c r="C17" s="11" t="s">
        <v>2</v>
      </c>
      <c r="D17" s="20" t="s">
        <v>266</v>
      </c>
    </row>
    <row r="18" spans="1:4">
      <c r="A18" s="19" t="str">
        <f t="shared" si="2"/>
        <v>АСУЭ.SEPAM.mUbc</v>
      </c>
      <c r="B18" s="11">
        <v>8006</v>
      </c>
      <c r="C18" s="11" t="s">
        <v>2</v>
      </c>
      <c r="D18" s="20" t="s">
        <v>175</v>
      </c>
    </row>
    <row r="19" spans="1:4">
      <c r="A19" s="19" t="str">
        <f t="shared" si="2"/>
        <v>АСУЭ.SEPAM.mUbc</v>
      </c>
      <c r="B19" s="11">
        <v>101</v>
      </c>
      <c r="C19" s="11" t="s">
        <v>0</v>
      </c>
      <c r="D19" s="20" t="str">
        <f>$H$2&amp;". Линейное напряжение BC"</f>
        <v>SEPAM. Линейное напряжение BC</v>
      </c>
    </row>
    <row r="20" spans="1:4">
      <c r="A20" s="19" t="str">
        <f t="shared" si="2"/>
        <v>АСУЭ.SEPAM.mUbc</v>
      </c>
      <c r="B20" s="11">
        <v>100</v>
      </c>
      <c r="C20" s="11" t="s">
        <v>0</v>
      </c>
      <c r="D20" s="20" t="s">
        <v>1588</v>
      </c>
    </row>
    <row r="21" spans="1:4">
      <c r="A21" s="21" t="str">
        <f t="shared" si="2"/>
        <v>АСУЭ.SEPAM.mUbc</v>
      </c>
      <c r="B21" s="8">
        <v>8002</v>
      </c>
      <c r="C21" s="8" t="s">
        <v>819</v>
      </c>
      <c r="D21" s="22">
        <f>$K$2*10000</f>
        <v>10000000</v>
      </c>
    </row>
    <row r="22" spans="1:4">
      <c r="A22" s="16" t="str">
        <f>$I$2&amp;".mUac"</f>
        <v>АСУЭ.SEPAM.mUac</v>
      </c>
      <c r="B22" s="17">
        <v>1</v>
      </c>
      <c r="C22" s="17" t="s">
        <v>1</v>
      </c>
      <c r="D22" s="18">
        <v>3</v>
      </c>
    </row>
    <row r="23" spans="1:4">
      <c r="A23" s="19" t="str">
        <f t="shared" ref="A23:A27" si="3">$I$2&amp;".mUac"</f>
        <v>АСУЭ.SEPAM.mUac</v>
      </c>
      <c r="B23" s="11">
        <v>8001</v>
      </c>
      <c r="C23" s="11" t="s">
        <v>2</v>
      </c>
      <c r="D23" s="20" t="s">
        <v>266</v>
      </c>
    </row>
    <row r="24" spans="1:4">
      <c r="A24" s="19" t="str">
        <f t="shared" si="3"/>
        <v>АСУЭ.SEPAM.mUac</v>
      </c>
      <c r="B24" s="11">
        <v>8006</v>
      </c>
      <c r="C24" s="11" t="s">
        <v>2</v>
      </c>
      <c r="D24" s="20" t="s">
        <v>175</v>
      </c>
    </row>
    <row r="25" spans="1:4">
      <c r="A25" s="19" t="str">
        <f t="shared" si="3"/>
        <v>АСУЭ.SEPAM.mUac</v>
      </c>
      <c r="B25" s="11">
        <v>101</v>
      </c>
      <c r="C25" s="11" t="s">
        <v>0</v>
      </c>
      <c r="D25" s="20" t="str">
        <f>$H$2&amp;". Линейное напряжение AC"</f>
        <v>SEPAM. Линейное напряжение AC</v>
      </c>
    </row>
    <row r="26" spans="1:4">
      <c r="A26" s="19" t="str">
        <f t="shared" si="3"/>
        <v>АСУЭ.SEPAM.mUac</v>
      </c>
      <c r="B26" s="11">
        <v>100</v>
      </c>
      <c r="C26" s="11" t="s">
        <v>0</v>
      </c>
      <c r="D26" s="20" t="s">
        <v>1588</v>
      </c>
    </row>
    <row r="27" spans="1:4">
      <c r="A27" s="21" t="str">
        <f t="shared" si="3"/>
        <v>АСУЭ.SEPAM.mUac</v>
      </c>
      <c r="B27" s="8">
        <v>8002</v>
      </c>
      <c r="C27" s="8" t="s">
        <v>819</v>
      </c>
      <c r="D27" s="22">
        <f>$K$2*10000</f>
        <v>10000000</v>
      </c>
    </row>
  </sheetData>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sheetPr codeName="Лист220">
    <tabColor theme="0" tint="-0.34998626667073579"/>
  </sheetPr>
  <dimension ref="A1"/>
  <sheetViews>
    <sheetView workbookViewId="0">
      <selection activeCell="D2" sqref="D2:D4"/>
    </sheetView>
  </sheetViews>
  <sheetFormatPr defaultRowHeight="14.4"/>
  <sheetData/>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sheetPr codeName="Лист185">
    <tabColor theme="0" tint="-0.34998626667073579"/>
  </sheetPr>
  <dimension ref="A1:K105"/>
  <sheetViews>
    <sheetView topLeftCell="A58" workbookViewId="0">
      <selection activeCell="D2" sqref="D2:D4"/>
    </sheetView>
  </sheetViews>
  <sheetFormatPr defaultRowHeight="14.4"/>
  <cols>
    <col min="1" max="1" width="52.88671875" style="55" customWidth="1"/>
    <col min="4" max="4" width="85" customWidth="1"/>
    <col min="8" max="9" width="40.6640625" customWidth="1"/>
    <col min="10" max="10" width="28.44140625" customWidth="1"/>
    <col min="11" max="11" width="25.6640625" customWidth="1"/>
  </cols>
  <sheetData>
    <row r="1" spans="1:11">
      <c r="A1" s="57"/>
      <c r="B1" s="10"/>
      <c r="C1" s="10"/>
      <c r="D1" s="10"/>
      <c r="E1" s="10"/>
      <c r="F1" s="10"/>
      <c r="G1" s="10"/>
      <c r="H1" s="54" t="s">
        <v>269</v>
      </c>
      <c r="I1" s="54" t="s">
        <v>268</v>
      </c>
      <c r="J1" s="54" t="s">
        <v>512</v>
      </c>
      <c r="K1" s="54" t="s">
        <v>1471</v>
      </c>
    </row>
    <row r="2" spans="1:11" ht="15" customHeight="1">
      <c r="A2" s="57"/>
      <c r="B2" s="10"/>
      <c r="C2" s="10"/>
      <c r="D2" s="10"/>
      <c r="E2" s="10"/>
      <c r="F2" s="10"/>
      <c r="G2" s="10"/>
      <c r="H2" s="73" t="s">
        <v>332</v>
      </c>
      <c r="I2" s="73" t="s">
        <v>749</v>
      </c>
      <c r="J2" s="2" t="s">
        <v>327</v>
      </c>
      <c r="K2" s="2">
        <f>Настройки!M18</f>
        <v>1000</v>
      </c>
    </row>
    <row r="3" spans="1:11" ht="15" customHeight="1">
      <c r="A3" s="549" t="str">
        <f xml:space="preserve"> $I$2</f>
        <v>АСУЭ.BMRZ</v>
      </c>
      <c r="B3" s="550">
        <v>101</v>
      </c>
      <c r="C3" s="551" t="s">
        <v>0</v>
      </c>
      <c r="D3" s="552" t="str">
        <f>$H$2</f>
        <v>BMRZ</v>
      </c>
      <c r="E3" s="4"/>
      <c r="F3" s="4"/>
      <c r="G3" s="4"/>
      <c r="H3" s="239"/>
      <c r="I3" s="239"/>
    </row>
    <row r="4" spans="1:11">
      <c r="A4" s="16" t="str">
        <f t="shared" ref="A4:A9" si="0">$I$2&amp;".mFreq"</f>
        <v>АСУЭ.BMRZ.mFreq</v>
      </c>
      <c r="B4" s="17">
        <v>1</v>
      </c>
      <c r="C4" s="17" t="s">
        <v>1</v>
      </c>
      <c r="D4" s="18">
        <v>3</v>
      </c>
    </row>
    <row r="5" spans="1:11">
      <c r="A5" s="19" t="str">
        <f t="shared" si="0"/>
        <v>АСУЭ.BMRZ.mFreq</v>
      </c>
      <c r="B5" s="11">
        <v>8001</v>
      </c>
      <c r="C5" s="11" t="s">
        <v>2</v>
      </c>
      <c r="D5" s="20" t="s">
        <v>266</v>
      </c>
    </row>
    <row r="6" spans="1:11">
      <c r="A6" s="19" t="str">
        <f t="shared" si="0"/>
        <v>АСУЭ.BMRZ.mFreq</v>
      </c>
      <c r="B6" s="11">
        <v>8006</v>
      </c>
      <c r="C6" s="11" t="s">
        <v>2</v>
      </c>
      <c r="D6" s="20" t="s">
        <v>175</v>
      </c>
    </row>
    <row r="7" spans="1:11">
      <c r="A7" s="19" t="str">
        <f t="shared" si="0"/>
        <v>АСУЭ.BMRZ.mFreq</v>
      </c>
      <c r="B7" s="11">
        <v>101</v>
      </c>
      <c r="C7" s="11" t="s">
        <v>0</v>
      </c>
      <c r="D7" s="20" t="str">
        <f>$H$2&amp;". Частота"</f>
        <v>BMRZ. Частота</v>
      </c>
    </row>
    <row r="8" spans="1:11">
      <c r="A8" s="19" t="str">
        <f t="shared" si="0"/>
        <v>АСУЭ.BMRZ.mFreq</v>
      </c>
      <c r="B8" s="11">
        <v>100</v>
      </c>
      <c r="C8" s="11" t="s">
        <v>0</v>
      </c>
      <c r="D8" s="20" t="s">
        <v>1585</v>
      </c>
    </row>
    <row r="9" spans="1:11">
      <c r="A9" s="21" t="str">
        <f t="shared" si="0"/>
        <v>АСУЭ.BMRZ.mFreq</v>
      </c>
      <c r="B9" s="8">
        <v>8002</v>
      </c>
      <c r="C9" s="8" t="s">
        <v>819</v>
      </c>
      <c r="D9" s="22">
        <f>$K$2*10000</f>
        <v>10000000</v>
      </c>
    </row>
    <row r="10" spans="1:11">
      <c r="A10" s="16" t="str">
        <f>$I$2&amp;".mI1"</f>
        <v>АСУЭ.BMRZ.mI1</v>
      </c>
      <c r="B10" s="17">
        <v>1</v>
      </c>
      <c r="C10" s="17" t="s">
        <v>1</v>
      </c>
      <c r="D10" s="18">
        <v>3</v>
      </c>
    </row>
    <row r="11" spans="1:11">
      <c r="A11" s="19" t="str">
        <f t="shared" ref="A11:A15" si="1">$I$2&amp;".mI1"</f>
        <v>АСУЭ.BMRZ.mI1</v>
      </c>
      <c r="B11" s="11">
        <v>8001</v>
      </c>
      <c r="C11" s="11" t="s">
        <v>2</v>
      </c>
      <c r="D11" s="20" t="s">
        <v>266</v>
      </c>
    </row>
    <row r="12" spans="1:11">
      <c r="A12" s="19" t="str">
        <f t="shared" si="1"/>
        <v>АСУЭ.BMRZ.mI1</v>
      </c>
      <c r="B12" s="11">
        <v>8006</v>
      </c>
      <c r="C12" s="11" t="s">
        <v>2</v>
      </c>
      <c r="D12" s="20" t="s">
        <v>175</v>
      </c>
    </row>
    <row r="13" spans="1:11">
      <c r="A13" s="19" t="str">
        <f t="shared" si="1"/>
        <v>АСУЭ.BMRZ.mI1</v>
      </c>
      <c r="B13" s="11">
        <v>101</v>
      </c>
      <c r="C13" s="11" t="s">
        <v>0</v>
      </c>
      <c r="D13" s="20" t="str">
        <f>$H$2&amp;". Текущее значение тока Ia"</f>
        <v>BMRZ. Текущее значение тока Ia</v>
      </c>
    </row>
    <row r="14" spans="1:11">
      <c r="A14" s="19" t="str">
        <f t="shared" si="1"/>
        <v>АСУЭ.BMRZ.mI1</v>
      </c>
      <c r="B14" s="11">
        <v>100</v>
      </c>
      <c r="C14" s="11" t="s">
        <v>0</v>
      </c>
      <c r="D14" s="20" t="s">
        <v>1192</v>
      </c>
    </row>
    <row r="15" spans="1:11">
      <c r="A15" s="21" t="str">
        <f t="shared" si="1"/>
        <v>АСУЭ.BMRZ.mI1</v>
      </c>
      <c r="B15" s="8">
        <v>8002</v>
      </c>
      <c r="C15" s="8" t="s">
        <v>819</v>
      </c>
      <c r="D15" s="22">
        <f>$K$2*10000</f>
        <v>10000000</v>
      </c>
    </row>
    <row r="16" spans="1:11">
      <c r="A16" s="16" t="str">
        <f>$I$2&amp;".mI2"</f>
        <v>АСУЭ.BMRZ.mI2</v>
      </c>
      <c r="B16" s="17">
        <v>1</v>
      </c>
      <c r="C16" s="17" t="s">
        <v>1</v>
      </c>
      <c r="D16" s="18">
        <v>3</v>
      </c>
    </row>
    <row r="17" spans="1:4">
      <c r="A17" s="19" t="str">
        <f t="shared" ref="A17:A21" si="2">$I$2&amp;".mI2"</f>
        <v>АСУЭ.BMRZ.mI2</v>
      </c>
      <c r="B17" s="11">
        <v>8001</v>
      </c>
      <c r="C17" s="11" t="s">
        <v>2</v>
      </c>
      <c r="D17" s="20" t="s">
        <v>266</v>
      </c>
    </row>
    <row r="18" spans="1:4">
      <c r="A18" s="19" t="str">
        <f t="shared" si="2"/>
        <v>АСУЭ.BMRZ.mI2</v>
      </c>
      <c r="B18" s="11">
        <v>8006</v>
      </c>
      <c r="C18" s="11" t="s">
        <v>2</v>
      </c>
      <c r="D18" s="20" t="s">
        <v>175</v>
      </c>
    </row>
    <row r="19" spans="1:4">
      <c r="A19" s="19" t="str">
        <f t="shared" si="2"/>
        <v>АСУЭ.BMRZ.mI2</v>
      </c>
      <c r="B19" s="11">
        <v>101</v>
      </c>
      <c r="C19" s="11" t="s">
        <v>0</v>
      </c>
      <c r="D19" s="20" t="str">
        <f>$H$2&amp;". Текущее значение тока Ib"</f>
        <v>BMRZ. Текущее значение тока Ib</v>
      </c>
    </row>
    <row r="20" spans="1:4">
      <c r="A20" s="19" t="str">
        <f t="shared" si="2"/>
        <v>АСУЭ.BMRZ.mI2</v>
      </c>
      <c r="B20" s="11">
        <v>100</v>
      </c>
      <c r="C20" s="11" t="s">
        <v>0</v>
      </c>
      <c r="D20" s="20" t="s">
        <v>1192</v>
      </c>
    </row>
    <row r="21" spans="1:4">
      <c r="A21" s="21" t="str">
        <f t="shared" si="2"/>
        <v>АСУЭ.BMRZ.mI2</v>
      </c>
      <c r="B21" s="8">
        <v>8002</v>
      </c>
      <c r="C21" s="8" t="s">
        <v>819</v>
      </c>
      <c r="D21" s="22">
        <f>$K$2*10000</f>
        <v>10000000</v>
      </c>
    </row>
    <row r="22" spans="1:4">
      <c r="A22" s="16" t="str">
        <f>$I$2&amp;".mI3"</f>
        <v>АСУЭ.BMRZ.mI3</v>
      </c>
      <c r="B22" s="17">
        <v>1</v>
      </c>
      <c r="C22" s="17" t="s">
        <v>1</v>
      </c>
      <c r="D22" s="18">
        <v>3</v>
      </c>
    </row>
    <row r="23" spans="1:4">
      <c r="A23" s="19" t="str">
        <f t="shared" ref="A23:A27" si="3">$I$2&amp;".mI3"</f>
        <v>АСУЭ.BMRZ.mI3</v>
      </c>
      <c r="B23" s="11">
        <v>8001</v>
      </c>
      <c r="C23" s="11" t="s">
        <v>2</v>
      </c>
      <c r="D23" s="20" t="s">
        <v>266</v>
      </c>
    </row>
    <row r="24" spans="1:4">
      <c r="A24" s="19" t="str">
        <f t="shared" si="3"/>
        <v>АСУЭ.BMRZ.mI3</v>
      </c>
      <c r="B24" s="11">
        <v>8006</v>
      </c>
      <c r="C24" s="11" t="s">
        <v>2</v>
      </c>
      <c r="D24" s="20" t="s">
        <v>175</v>
      </c>
    </row>
    <row r="25" spans="1:4">
      <c r="A25" s="19" t="str">
        <f t="shared" si="3"/>
        <v>АСУЭ.BMRZ.mI3</v>
      </c>
      <c r="B25" s="11">
        <v>101</v>
      </c>
      <c r="C25" s="11" t="s">
        <v>0</v>
      </c>
      <c r="D25" s="20" t="str">
        <f>$H$2&amp;". Текущее значение тока Ic"</f>
        <v>BMRZ. Текущее значение тока Ic</v>
      </c>
    </row>
    <row r="26" spans="1:4">
      <c r="A26" s="19" t="str">
        <f t="shared" si="3"/>
        <v>АСУЭ.BMRZ.mI3</v>
      </c>
      <c r="B26" s="11">
        <v>100</v>
      </c>
      <c r="C26" s="11" t="s">
        <v>0</v>
      </c>
      <c r="D26" s="20" t="s">
        <v>1192</v>
      </c>
    </row>
    <row r="27" spans="1:4">
      <c r="A27" s="21" t="str">
        <f t="shared" si="3"/>
        <v>АСУЭ.BMRZ.mI3</v>
      </c>
      <c r="B27" s="8">
        <v>8002</v>
      </c>
      <c r="C27" s="8" t="s">
        <v>819</v>
      </c>
      <c r="D27" s="22">
        <f>$K$2*10000</f>
        <v>10000000</v>
      </c>
    </row>
    <row r="28" spans="1:4">
      <c r="A28" s="16" t="str">
        <f>$I$2&amp;".mUvv1"</f>
        <v>АСУЭ.BMRZ.mUvv1</v>
      </c>
      <c r="B28" s="17">
        <v>1</v>
      </c>
      <c r="C28" s="17" t="s">
        <v>1</v>
      </c>
      <c r="D28" s="18">
        <v>3</v>
      </c>
    </row>
    <row r="29" spans="1:4">
      <c r="A29" s="19" t="str">
        <f t="shared" ref="A29:A33" si="4">$I$2&amp;".mUvv1"</f>
        <v>АСУЭ.BMRZ.mUvv1</v>
      </c>
      <c r="B29" s="11">
        <v>8001</v>
      </c>
      <c r="C29" s="11" t="s">
        <v>2</v>
      </c>
      <c r="D29" s="20" t="s">
        <v>266</v>
      </c>
    </row>
    <row r="30" spans="1:4">
      <c r="A30" s="19" t="str">
        <f t="shared" si="4"/>
        <v>АСУЭ.BMRZ.mUvv1</v>
      </c>
      <c r="B30" s="11">
        <v>8006</v>
      </c>
      <c r="C30" s="11" t="s">
        <v>2</v>
      </c>
      <c r="D30" s="20" t="s">
        <v>175</v>
      </c>
    </row>
    <row r="31" spans="1:4">
      <c r="A31" s="19" t="str">
        <f t="shared" si="4"/>
        <v>АСУЭ.BMRZ.mUvv1</v>
      </c>
      <c r="B31" s="11">
        <v>101</v>
      </c>
      <c r="C31" s="11" t="s">
        <v>0</v>
      </c>
      <c r="D31" s="20" t="str">
        <f>$H$2&amp;". Напряжение ввода фазы А"</f>
        <v>BMRZ. Напряжение ввода фазы А</v>
      </c>
    </row>
    <row r="32" spans="1:4">
      <c r="A32" s="19" t="str">
        <f t="shared" si="4"/>
        <v>АСУЭ.BMRZ.mUvv1</v>
      </c>
      <c r="B32" s="11">
        <v>100</v>
      </c>
      <c r="C32" s="11" t="s">
        <v>0</v>
      </c>
      <c r="D32" s="20" t="s">
        <v>1588</v>
      </c>
    </row>
    <row r="33" spans="1:4">
      <c r="A33" s="21" t="str">
        <f t="shared" si="4"/>
        <v>АСУЭ.BMRZ.mUvv1</v>
      </c>
      <c r="B33" s="8">
        <v>8002</v>
      </c>
      <c r="C33" s="8" t="s">
        <v>819</v>
      </c>
      <c r="D33" s="22">
        <f>$K$2*10000</f>
        <v>10000000</v>
      </c>
    </row>
    <row r="34" spans="1:4">
      <c r="A34" s="16" t="str">
        <f>$I$2&amp;".mUvv2"</f>
        <v>АСУЭ.BMRZ.mUvv2</v>
      </c>
      <c r="B34" s="17">
        <v>1</v>
      </c>
      <c r="C34" s="17" t="s">
        <v>1</v>
      </c>
      <c r="D34" s="18">
        <v>3</v>
      </c>
    </row>
    <row r="35" spans="1:4">
      <c r="A35" s="19" t="str">
        <f t="shared" ref="A35:A39" si="5">$I$2&amp;".mUvv2"</f>
        <v>АСУЭ.BMRZ.mUvv2</v>
      </c>
      <c r="B35" s="11">
        <v>8001</v>
      </c>
      <c r="C35" s="11" t="s">
        <v>2</v>
      </c>
      <c r="D35" s="20" t="s">
        <v>266</v>
      </c>
    </row>
    <row r="36" spans="1:4">
      <c r="A36" s="19" t="str">
        <f t="shared" si="5"/>
        <v>АСУЭ.BMRZ.mUvv2</v>
      </c>
      <c r="B36" s="11">
        <v>8006</v>
      </c>
      <c r="C36" s="11" t="s">
        <v>2</v>
      </c>
      <c r="D36" s="20" t="s">
        <v>175</v>
      </c>
    </row>
    <row r="37" spans="1:4">
      <c r="A37" s="19" t="str">
        <f t="shared" si="5"/>
        <v>АСУЭ.BMRZ.mUvv2</v>
      </c>
      <c r="B37" s="11">
        <v>101</v>
      </c>
      <c r="C37" s="11" t="s">
        <v>0</v>
      </c>
      <c r="D37" s="20" t="str">
        <f>$H$2&amp;". Напряжение ввода фазы B"</f>
        <v>BMRZ. Напряжение ввода фазы B</v>
      </c>
    </row>
    <row r="38" spans="1:4">
      <c r="A38" s="19" t="str">
        <f t="shared" si="5"/>
        <v>АСУЭ.BMRZ.mUvv2</v>
      </c>
      <c r="B38" s="11">
        <v>100</v>
      </c>
      <c r="C38" s="11" t="s">
        <v>0</v>
      </c>
      <c r="D38" s="20" t="s">
        <v>1588</v>
      </c>
    </row>
    <row r="39" spans="1:4">
      <c r="A39" s="21" t="str">
        <f t="shared" si="5"/>
        <v>АСУЭ.BMRZ.mUvv2</v>
      </c>
      <c r="B39" s="8">
        <v>8002</v>
      </c>
      <c r="C39" s="8" t="s">
        <v>819</v>
      </c>
      <c r="D39" s="22">
        <f>$K$2*10000</f>
        <v>10000000</v>
      </c>
    </row>
    <row r="40" spans="1:4">
      <c r="A40" s="16" t="str">
        <f>$I$2&amp;".mUvv3"</f>
        <v>АСУЭ.BMRZ.mUvv3</v>
      </c>
      <c r="B40" s="17">
        <v>1</v>
      </c>
      <c r="C40" s="17" t="s">
        <v>1</v>
      </c>
      <c r="D40" s="18">
        <v>3</v>
      </c>
    </row>
    <row r="41" spans="1:4">
      <c r="A41" s="19" t="str">
        <f t="shared" ref="A41:A45" si="6">$I$2&amp;".mUvv3"</f>
        <v>АСУЭ.BMRZ.mUvv3</v>
      </c>
      <c r="B41" s="11">
        <v>8001</v>
      </c>
      <c r="C41" s="11" t="s">
        <v>2</v>
      </c>
      <c r="D41" s="20" t="s">
        <v>266</v>
      </c>
    </row>
    <row r="42" spans="1:4">
      <c r="A42" s="19" t="str">
        <f t="shared" si="6"/>
        <v>АСУЭ.BMRZ.mUvv3</v>
      </c>
      <c r="B42" s="11">
        <v>8006</v>
      </c>
      <c r="C42" s="11" t="s">
        <v>2</v>
      </c>
      <c r="D42" s="20" t="s">
        <v>175</v>
      </c>
    </row>
    <row r="43" spans="1:4">
      <c r="A43" s="19" t="str">
        <f t="shared" si="6"/>
        <v>АСУЭ.BMRZ.mUvv3</v>
      </c>
      <c r="B43" s="11">
        <v>101</v>
      </c>
      <c r="C43" s="11" t="s">
        <v>0</v>
      </c>
      <c r="D43" s="20" t="str">
        <f>$H$2&amp;". Напряжение ввода фазы C"</f>
        <v>BMRZ. Напряжение ввода фазы C</v>
      </c>
    </row>
    <row r="44" spans="1:4">
      <c r="A44" s="19" t="str">
        <f t="shared" si="6"/>
        <v>АСУЭ.BMRZ.mUvv3</v>
      </c>
      <c r="B44" s="11">
        <v>100</v>
      </c>
      <c r="C44" s="11" t="s">
        <v>0</v>
      </c>
      <c r="D44" s="20" t="s">
        <v>1588</v>
      </c>
    </row>
    <row r="45" spans="1:4">
      <c r="A45" s="21" t="str">
        <f t="shared" si="6"/>
        <v>АСУЭ.BMRZ.mUvv3</v>
      </c>
      <c r="B45" s="8">
        <v>8002</v>
      </c>
      <c r="C45" s="8" t="s">
        <v>819</v>
      </c>
      <c r="D45" s="22">
        <f>$K$2*10000</f>
        <v>10000000</v>
      </c>
    </row>
    <row r="46" spans="1:4">
      <c r="A46" s="16" t="str">
        <f>$I$2&amp;".mMaxI1"</f>
        <v>АСУЭ.BMRZ.mMaxI1</v>
      </c>
      <c r="B46" s="17">
        <v>1</v>
      </c>
      <c r="C46" s="17" t="s">
        <v>1</v>
      </c>
      <c r="D46" s="18">
        <v>3</v>
      </c>
    </row>
    <row r="47" spans="1:4">
      <c r="A47" s="19" t="str">
        <f t="shared" ref="A47:A51" si="7">$I$2&amp;".mMaxI1"</f>
        <v>АСУЭ.BMRZ.mMaxI1</v>
      </c>
      <c r="B47" s="11">
        <v>8001</v>
      </c>
      <c r="C47" s="11" t="s">
        <v>2</v>
      </c>
      <c r="D47" s="20" t="s">
        <v>266</v>
      </c>
    </row>
    <row r="48" spans="1:4">
      <c r="A48" s="19" t="str">
        <f t="shared" si="7"/>
        <v>АСУЭ.BMRZ.mMaxI1</v>
      </c>
      <c r="B48" s="11">
        <v>8006</v>
      </c>
      <c r="C48" s="11" t="s">
        <v>2</v>
      </c>
      <c r="D48" s="20" t="s">
        <v>175</v>
      </c>
    </row>
    <row r="49" spans="1:4">
      <c r="A49" s="19" t="str">
        <f t="shared" si="7"/>
        <v>АСУЭ.BMRZ.mMaxI1</v>
      </c>
      <c r="B49" s="11">
        <v>101</v>
      </c>
      <c r="C49" s="11" t="s">
        <v>0</v>
      </c>
      <c r="D49" s="20" t="str">
        <f>$H$2&amp;". Ток максиметра Ia"</f>
        <v>BMRZ. Ток максиметра Ia</v>
      </c>
    </row>
    <row r="50" spans="1:4">
      <c r="A50" s="19" t="str">
        <f t="shared" si="7"/>
        <v>АСУЭ.BMRZ.mMaxI1</v>
      </c>
      <c r="B50" s="11">
        <v>100</v>
      </c>
      <c r="C50" s="11" t="s">
        <v>0</v>
      </c>
      <c r="D50" s="20" t="s">
        <v>1192</v>
      </c>
    </row>
    <row r="51" spans="1:4">
      <c r="A51" s="21" t="str">
        <f t="shared" si="7"/>
        <v>АСУЭ.BMRZ.mMaxI1</v>
      </c>
      <c r="B51" s="8">
        <v>8002</v>
      </c>
      <c r="C51" s="8" t="s">
        <v>819</v>
      </c>
      <c r="D51" s="22">
        <f>$K$2*10000</f>
        <v>10000000</v>
      </c>
    </row>
    <row r="52" spans="1:4">
      <c r="A52" s="16" t="str">
        <f>$I$2&amp;".mMaxI2"</f>
        <v>АСУЭ.BMRZ.mMaxI2</v>
      </c>
      <c r="B52" s="17">
        <v>1</v>
      </c>
      <c r="C52" s="17" t="s">
        <v>1</v>
      </c>
      <c r="D52" s="18">
        <v>3</v>
      </c>
    </row>
    <row r="53" spans="1:4">
      <c r="A53" s="19" t="str">
        <f t="shared" ref="A53:A57" si="8">$I$2&amp;".mMaxI2"</f>
        <v>АСУЭ.BMRZ.mMaxI2</v>
      </c>
      <c r="B53" s="11">
        <v>8001</v>
      </c>
      <c r="C53" s="11" t="s">
        <v>2</v>
      </c>
      <c r="D53" s="20" t="s">
        <v>266</v>
      </c>
    </row>
    <row r="54" spans="1:4">
      <c r="A54" s="19" t="str">
        <f t="shared" si="8"/>
        <v>АСУЭ.BMRZ.mMaxI2</v>
      </c>
      <c r="B54" s="11">
        <v>8006</v>
      </c>
      <c r="C54" s="11" t="s">
        <v>2</v>
      </c>
      <c r="D54" s="20" t="s">
        <v>175</v>
      </c>
    </row>
    <row r="55" spans="1:4">
      <c r="A55" s="19" t="str">
        <f t="shared" si="8"/>
        <v>АСУЭ.BMRZ.mMaxI2</v>
      </c>
      <c r="B55" s="11">
        <v>101</v>
      </c>
      <c r="C55" s="11" t="s">
        <v>0</v>
      </c>
      <c r="D55" s="20" t="str">
        <f>$H$2&amp;". Ток максиметра Ib"</f>
        <v>BMRZ. Ток максиметра Ib</v>
      </c>
    </row>
    <row r="56" spans="1:4">
      <c r="A56" s="19" t="str">
        <f t="shared" si="8"/>
        <v>АСУЭ.BMRZ.mMaxI2</v>
      </c>
      <c r="B56" s="11">
        <v>100</v>
      </c>
      <c r="C56" s="11" t="s">
        <v>0</v>
      </c>
      <c r="D56" s="20" t="s">
        <v>1192</v>
      </c>
    </row>
    <row r="57" spans="1:4">
      <c r="A57" s="21" t="str">
        <f t="shared" si="8"/>
        <v>АСУЭ.BMRZ.mMaxI2</v>
      </c>
      <c r="B57" s="8">
        <v>8002</v>
      </c>
      <c r="C57" s="8" t="s">
        <v>819</v>
      </c>
      <c r="D57" s="22">
        <f>$K$2*10000</f>
        <v>10000000</v>
      </c>
    </row>
    <row r="58" spans="1:4">
      <c r="A58" s="16" t="str">
        <f>$I$2&amp;".mMaxI3"</f>
        <v>АСУЭ.BMRZ.mMaxI3</v>
      </c>
      <c r="B58" s="17">
        <v>1</v>
      </c>
      <c r="C58" s="17" t="s">
        <v>1</v>
      </c>
      <c r="D58" s="18">
        <v>3</v>
      </c>
    </row>
    <row r="59" spans="1:4">
      <c r="A59" s="19" t="str">
        <f t="shared" ref="A59:A63" si="9">$I$2&amp;".mMaxI3"</f>
        <v>АСУЭ.BMRZ.mMaxI3</v>
      </c>
      <c r="B59" s="11">
        <v>8001</v>
      </c>
      <c r="C59" s="11" t="s">
        <v>2</v>
      </c>
      <c r="D59" s="20" t="s">
        <v>266</v>
      </c>
    </row>
    <row r="60" spans="1:4">
      <c r="A60" s="19" t="str">
        <f t="shared" si="9"/>
        <v>АСУЭ.BMRZ.mMaxI3</v>
      </c>
      <c r="B60" s="11">
        <v>8006</v>
      </c>
      <c r="C60" s="11" t="s">
        <v>2</v>
      </c>
      <c r="D60" s="20" t="s">
        <v>175</v>
      </c>
    </row>
    <row r="61" spans="1:4">
      <c r="A61" s="19" t="str">
        <f t="shared" si="9"/>
        <v>АСУЭ.BMRZ.mMaxI3</v>
      </c>
      <c r="B61" s="11">
        <v>101</v>
      </c>
      <c r="C61" s="11" t="s">
        <v>0</v>
      </c>
      <c r="D61" s="20" t="str">
        <f>$H$2&amp;". Ток максиметра Ic"</f>
        <v>BMRZ. Ток максиметра Ic</v>
      </c>
    </row>
    <row r="62" spans="1:4">
      <c r="A62" s="19" t="str">
        <f t="shared" si="9"/>
        <v>АСУЭ.BMRZ.mMaxI3</v>
      </c>
      <c r="B62" s="11">
        <v>100</v>
      </c>
      <c r="C62" s="11" t="s">
        <v>0</v>
      </c>
      <c r="D62" s="20" t="s">
        <v>1192</v>
      </c>
    </row>
    <row r="63" spans="1:4">
      <c r="A63" s="21" t="str">
        <f t="shared" si="9"/>
        <v>АСУЭ.BMRZ.mMaxI3</v>
      </c>
      <c r="B63" s="8">
        <v>8002</v>
      </c>
      <c r="C63" s="8" t="s">
        <v>819</v>
      </c>
      <c r="D63" s="22">
        <f>$K$2*10000</f>
        <v>10000000</v>
      </c>
    </row>
    <row r="64" spans="1:4">
      <c r="A64" s="16" t="str">
        <f>$I$2&amp;".mU13"</f>
        <v>АСУЭ.BMRZ.mU13</v>
      </c>
      <c r="B64" s="17">
        <v>1</v>
      </c>
      <c r="C64" s="17" t="s">
        <v>1</v>
      </c>
      <c r="D64" s="18">
        <v>3</v>
      </c>
    </row>
    <row r="65" spans="1:4">
      <c r="A65" s="19" t="str">
        <f t="shared" ref="A65:A69" si="10">$I$2&amp;".mU13"</f>
        <v>АСУЭ.BMRZ.mU13</v>
      </c>
      <c r="B65" s="11">
        <v>8001</v>
      </c>
      <c r="C65" s="11" t="s">
        <v>2</v>
      </c>
      <c r="D65" s="20" t="s">
        <v>266</v>
      </c>
    </row>
    <row r="66" spans="1:4">
      <c r="A66" s="19" t="str">
        <f t="shared" si="10"/>
        <v>АСУЭ.BMRZ.mU13</v>
      </c>
      <c r="B66" s="11">
        <v>8006</v>
      </c>
      <c r="C66" s="11" t="s">
        <v>2</v>
      </c>
      <c r="D66" s="20" t="s">
        <v>175</v>
      </c>
    </row>
    <row r="67" spans="1:4">
      <c r="A67" s="19" t="str">
        <f t="shared" si="10"/>
        <v>АСУЭ.BMRZ.mU13</v>
      </c>
      <c r="B67" s="11">
        <v>101</v>
      </c>
      <c r="C67" s="11" t="s">
        <v>0</v>
      </c>
      <c r="D67" s="20" t="str">
        <f>$H$2&amp;". Линейное напряжение U13"</f>
        <v>BMRZ. Линейное напряжение U13</v>
      </c>
    </row>
    <row r="68" spans="1:4">
      <c r="A68" s="19" t="str">
        <f t="shared" si="10"/>
        <v>АСУЭ.BMRZ.mU13</v>
      </c>
      <c r="B68" s="11">
        <v>100</v>
      </c>
      <c r="C68" s="11" t="s">
        <v>0</v>
      </c>
      <c r="D68" s="20" t="s">
        <v>1588</v>
      </c>
    </row>
    <row r="69" spans="1:4">
      <c r="A69" s="21" t="str">
        <f t="shared" si="10"/>
        <v>АСУЭ.BMRZ.mU13</v>
      </c>
      <c r="B69" s="8">
        <v>8002</v>
      </c>
      <c r="C69" s="8" t="s">
        <v>819</v>
      </c>
      <c r="D69" s="22">
        <f>$K$2*10000</f>
        <v>10000000</v>
      </c>
    </row>
    <row r="70" spans="1:4">
      <c r="A70" s="16" t="str">
        <f>$I$2&amp;".mU21"</f>
        <v>АСУЭ.BMRZ.mU21</v>
      </c>
      <c r="B70" s="17">
        <v>1</v>
      </c>
      <c r="C70" s="17" t="s">
        <v>1</v>
      </c>
      <c r="D70" s="18">
        <v>3</v>
      </c>
    </row>
    <row r="71" spans="1:4">
      <c r="A71" s="19" t="str">
        <f t="shared" ref="A71:A75" si="11">$I$2&amp;".mU21"</f>
        <v>АСУЭ.BMRZ.mU21</v>
      </c>
      <c r="B71" s="11">
        <v>8001</v>
      </c>
      <c r="C71" s="11" t="s">
        <v>2</v>
      </c>
      <c r="D71" s="20" t="s">
        <v>266</v>
      </c>
    </row>
    <row r="72" spans="1:4">
      <c r="A72" s="19" t="str">
        <f t="shared" si="11"/>
        <v>АСУЭ.BMRZ.mU21</v>
      </c>
      <c r="B72" s="11">
        <v>8006</v>
      </c>
      <c r="C72" s="11" t="s">
        <v>2</v>
      </c>
      <c r="D72" s="20" t="s">
        <v>175</v>
      </c>
    </row>
    <row r="73" spans="1:4">
      <c r="A73" s="19" t="str">
        <f t="shared" si="11"/>
        <v>АСУЭ.BMRZ.mU21</v>
      </c>
      <c r="B73" s="11">
        <v>101</v>
      </c>
      <c r="C73" s="11" t="s">
        <v>0</v>
      </c>
      <c r="D73" s="20" t="str">
        <f>$H$2&amp;". Линейное напряжение U21"</f>
        <v>BMRZ. Линейное напряжение U21</v>
      </c>
    </row>
    <row r="74" spans="1:4">
      <c r="A74" s="19" t="str">
        <f t="shared" si="11"/>
        <v>АСУЭ.BMRZ.mU21</v>
      </c>
      <c r="B74" s="11">
        <v>100</v>
      </c>
      <c r="C74" s="11" t="s">
        <v>0</v>
      </c>
      <c r="D74" s="20" t="s">
        <v>1588</v>
      </c>
    </row>
    <row r="75" spans="1:4">
      <c r="A75" s="21" t="str">
        <f t="shared" si="11"/>
        <v>АСУЭ.BMRZ.mU21</v>
      </c>
      <c r="B75" s="8">
        <v>8002</v>
      </c>
      <c r="C75" s="8" t="s">
        <v>819</v>
      </c>
      <c r="D75" s="22">
        <f>$K$2*10000</f>
        <v>10000000</v>
      </c>
    </row>
    <row r="76" spans="1:4">
      <c r="A76" s="16" t="str">
        <f>$I$2&amp;".mU32"</f>
        <v>АСУЭ.BMRZ.mU32</v>
      </c>
      <c r="B76" s="17">
        <v>1</v>
      </c>
      <c r="C76" s="17" t="s">
        <v>1</v>
      </c>
      <c r="D76" s="18">
        <v>3</v>
      </c>
    </row>
    <row r="77" spans="1:4">
      <c r="A77" s="19" t="str">
        <f t="shared" ref="A77:A81" si="12">$I$2&amp;".mU32"</f>
        <v>АСУЭ.BMRZ.mU32</v>
      </c>
      <c r="B77" s="11">
        <v>8001</v>
      </c>
      <c r="C77" s="11" t="s">
        <v>2</v>
      </c>
      <c r="D77" s="20" t="s">
        <v>266</v>
      </c>
    </row>
    <row r="78" spans="1:4">
      <c r="A78" s="19" t="str">
        <f t="shared" si="12"/>
        <v>АСУЭ.BMRZ.mU32</v>
      </c>
      <c r="B78" s="11">
        <v>8006</v>
      </c>
      <c r="C78" s="11" t="s">
        <v>2</v>
      </c>
      <c r="D78" s="20" t="s">
        <v>175</v>
      </c>
    </row>
    <row r="79" spans="1:4">
      <c r="A79" s="19" t="str">
        <f t="shared" si="12"/>
        <v>АСУЭ.BMRZ.mU32</v>
      </c>
      <c r="B79" s="11">
        <v>101</v>
      </c>
      <c r="C79" s="11" t="s">
        <v>0</v>
      </c>
      <c r="D79" s="20" t="str">
        <f>$H$2&amp;". Линейное напряжение U32"</f>
        <v>BMRZ. Линейное напряжение U32</v>
      </c>
    </row>
    <row r="80" spans="1:4">
      <c r="A80" s="19" t="str">
        <f t="shared" si="12"/>
        <v>АСУЭ.BMRZ.mU32</v>
      </c>
      <c r="B80" s="11">
        <v>100</v>
      </c>
      <c r="C80" s="11" t="s">
        <v>0</v>
      </c>
      <c r="D80" s="20" t="s">
        <v>1588</v>
      </c>
    </row>
    <row r="81" spans="1:4">
      <c r="A81" s="21" t="str">
        <f t="shared" si="12"/>
        <v>АСУЭ.BMRZ.mU32</v>
      </c>
      <c r="B81" s="8">
        <v>8002</v>
      </c>
      <c r="C81" s="8" t="s">
        <v>819</v>
      </c>
      <c r="D81" s="22">
        <f>$K$2*10000</f>
        <v>10000000</v>
      </c>
    </row>
    <row r="82" spans="1:4">
      <c r="A82" s="16" t="str">
        <f>$I$2&amp;".P"</f>
        <v>АСУЭ.BMRZ.P</v>
      </c>
      <c r="B82" s="17">
        <v>1</v>
      </c>
      <c r="C82" s="17" t="s">
        <v>1</v>
      </c>
      <c r="D82" s="18">
        <v>3</v>
      </c>
    </row>
    <row r="83" spans="1:4">
      <c r="A83" s="19" t="str">
        <f t="shared" ref="A83:A87" si="13">$I$2&amp;".P"</f>
        <v>АСУЭ.BMRZ.P</v>
      </c>
      <c r="B83" s="11">
        <v>8001</v>
      </c>
      <c r="C83" s="11" t="s">
        <v>2</v>
      </c>
      <c r="D83" s="20" t="s">
        <v>266</v>
      </c>
    </row>
    <row r="84" spans="1:4">
      <c r="A84" s="19" t="str">
        <f t="shared" si="13"/>
        <v>АСУЭ.BMRZ.P</v>
      </c>
      <c r="B84" s="11">
        <v>8006</v>
      </c>
      <c r="C84" s="11" t="s">
        <v>2</v>
      </c>
      <c r="D84" s="20" t="s">
        <v>175</v>
      </c>
    </row>
    <row r="85" spans="1:4">
      <c r="A85" s="19" t="str">
        <f t="shared" si="13"/>
        <v>АСУЭ.BMRZ.P</v>
      </c>
      <c r="B85" s="11">
        <v>101</v>
      </c>
      <c r="C85" s="11" t="s">
        <v>0</v>
      </c>
      <c r="D85" s="20" t="str">
        <f>$H$2&amp;". Текущее значение активной трехфазной мощности P"</f>
        <v>BMRZ. Текущее значение активной трехфазной мощности P</v>
      </c>
    </row>
    <row r="86" spans="1:4">
      <c r="A86" s="19" t="str">
        <f t="shared" si="13"/>
        <v>АСУЭ.BMRZ.P</v>
      </c>
      <c r="B86" s="11">
        <v>100</v>
      </c>
      <c r="C86" s="11" t="s">
        <v>0</v>
      </c>
      <c r="D86" s="20" t="s">
        <v>1826</v>
      </c>
    </row>
    <row r="87" spans="1:4">
      <c r="A87" s="21" t="str">
        <f t="shared" si="13"/>
        <v>АСУЭ.BMRZ.P</v>
      </c>
      <c r="B87" s="8">
        <v>8002</v>
      </c>
      <c r="C87" s="8" t="s">
        <v>819</v>
      </c>
      <c r="D87" s="22">
        <f>$K$2*10000</f>
        <v>10000000</v>
      </c>
    </row>
    <row r="88" spans="1:4">
      <c r="A88" s="16" t="str">
        <f>$I$2&amp;".Q"</f>
        <v>АСУЭ.BMRZ.Q</v>
      </c>
      <c r="B88" s="17">
        <v>1</v>
      </c>
      <c r="C88" s="17" t="s">
        <v>1</v>
      </c>
      <c r="D88" s="18">
        <v>3</v>
      </c>
    </row>
    <row r="89" spans="1:4">
      <c r="A89" s="19" t="str">
        <f t="shared" ref="A89:A93" si="14">$I$2&amp;".Q"</f>
        <v>АСУЭ.BMRZ.Q</v>
      </c>
      <c r="B89" s="11">
        <v>8001</v>
      </c>
      <c r="C89" s="11" t="s">
        <v>2</v>
      </c>
      <c r="D89" s="20" t="s">
        <v>266</v>
      </c>
    </row>
    <row r="90" spans="1:4">
      <c r="A90" s="19" t="str">
        <f t="shared" si="14"/>
        <v>АСУЭ.BMRZ.Q</v>
      </c>
      <c r="B90" s="11">
        <v>8006</v>
      </c>
      <c r="C90" s="11" t="s">
        <v>2</v>
      </c>
      <c r="D90" s="20" t="s">
        <v>175</v>
      </c>
    </row>
    <row r="91" spans="1:4">
      <c r="A91" s="19" t="str">
        <f t="shared" si="14"/>
        <v>АСУЭ.BMRZ.Q</v>
      </c>
      <c r="B91" s="11">
        <v>101</v>
      </c>
      <c r="C91" s="11" t="s">
        <v>0</v>
      </c>
      <c r="D91" s="20" t="str">
        <f>$H$2&amp;". Текущее значение реактивной трехфазной мощности Q"</f>
        <v>BMRZ. Текущее значение реактивной трехфазной мощности Q</v>
      </c>
    </row>
    <row r="92" spans="1:4">
      <c r="A92" s="19" t="str">
        <f t="shared" si="14"/>
        <v>АСУЭ.BMRZ.Q</v>
      </c>
      <c r="B92" s="11">
        <v>100</v>
      </c>
      <c r="C92" s="11" t="s">
        <v>0</v>
      </c>
      <c r="D92" s="20" t="s">
        <v>1587</v>
      </c>
    </row>
    <row r="93" spans="1:4">
      <c r="A93" s="21" t="str">
        <f t="shared" si="14"/>
        <v>АСУЭ.BMRZ.Q</v>
      </c>
      <c r="B93" s="8">
        <v>8002</v>
      </c>
      <c r="C93" s="8" t="s">
        <v>819</v>
      </c>
      <c r="D93" s="22">
        <f>$K$2*10000</f>
        <v>10000000</v>
      </c>
    </row>
    <row r="94" spans="1:4">
      <c r="A94" s="16" t="str">
        <f>$I$2&amp;".S"</f>
        <v>АСУЭ.BMRZ.S</v>
      </c>
      <c r="B94" s="17">
        <v>1</v>
      </c>
      <c r="C94" s="17" t="s">
        <v>1</v>
      </c>
      <c r="D94" s="18">
        <v>3</v>
      </c>
    </row>
    <row r="95" spans="1:4">
      <c r="A95" s="19" t="str">
        <f t="shared" ref="A95:A99" si="15">$I$2&amp;".S"</f>
        <v>АСУЭ.BMRZ.S</v>
      </c>
      <c r="B95" s="11">
        <v>8001</v>
      </c>
      <c r="C95" s="11" t="s">
        <v>2</v>
      </c>
      <c r="D95" s="20" t="s">
        <v>266</v>
      </c>
    </row>
    <row r="96" spans="1:4">
      <c r="A96" s="19" t="str">
        <f t="shared" si="15"/>
        <v>АСУЭ.BMRZ.S</v>
      </c>
      <c r="B96" s="11">
        <v>8006</v>
      </c>
      <c r="C96" s="11" t="s">
        <v>2</v>
      </c>
      <c r="D96" s="20" t="s">
        <v>175</v>
      </c>
    </row>
    <row r="97" spans="1:4">
      <c r="A97" s="19" t="str">
        <f t="shared" si="15"/>
        <v>АСУЭ.BMRZ.S</v>
      </c>
      <c r="B97" s="11">
        <v>101</v>
      </c>
      <c r="C97" s="11" t="s">
        <v>0</v>
      </c>
      <c r="D97" s="20" t="str">
        <f>$H$2&amp;". Текущее значение полной трехфазной мощности S"</f>
        <v>BMRZ. Текущее значение полной трехфазной мощности S</v>
      </c>
    </row>
    <row r="98" spans="1:4">
      <c r="A98" s="19" t="str">
        <f t="shared" si="15"/>
        <v>АСУЭ.BMRZ.S</v>
      </c>
      <c r="B98" s="11">
        <v>100</v>
      </c>
      <c r="C98" s="11" t="s">
        <v>0</v>
      </c>
      <c r="D98" s="20" t="s">
        <v>1589</v>
      </c>
    </row>
    <row r="99" spans="1:4">
      <c r="A99" s="21" t="str">
        <f t="shared" si="15"/>
        <v>АСУЭ.BMRZ.S</v>
      </c>
      <c r="B99" s="8">
        <v>8002</v>
      </c>
      <c r="C99" s="8" t="s">
        <v>819</v>
      </c>
      <c r="D99" s="22">
        <f>$K$2*10000</f>
        <v>10000000</v>
      </c>
    </row>
    <row r="100" spans="1:4">
      <c r="A100" s="16" t="str">
        <f>$I$2&amp;".cos"</f>
        <v>АСУЭ.BMRZ.cos</v>
      </c>
      <c r="B100" s="17">
        <v>1</v>
      </c>
      <c r="C100" s="17" t="s">
        <v>1</v>
      </c>
      <c r="D100" s="18">
        <v>3</v>
      </c>
    </row>
    <row r="101" spans="1:4">
      <c r="A101" s="19" t="str">
        <f t="shared" ref="A101:A105" si="16">$I$2&amp;".cos"</f>
        <v>АСУЭ.BMRZ.cos</v>
      </c>
      <c r="B101" s="11">
        <v>8001</v>
      </c>
      <c r="C101" s="11" t="s">
        <v>2</v>
      </c>
      <c r="D101" s="20" t="s">
        <v>266</v>
      </c>
    </row>
    <row r="102" spans="1:4">
      <c r="A102" s="19" t="str">
        <f t="shared" si="16"/>
        <v>АСУЭ.BMRZ.cos</v>
      </c>
      <c r="B102" s="11">
        <v>8006</v>
      </c>
      <c r="C102" s="11" t="s">
        <v>2</v>
      </c>
      <c r="D102" s="20" t="s">
        <v>175</v>
      </c>
    </row>
    <row r="103" spans="1:4">
      <c r="A103" s="19" t="str">
        <f t="shared" si="16"/>
        <v>АСУЭ.BMRZ.cos</v>
      </c>
      <c r="B103" s="11">
        <v>101</v>
      </c>
      <c r="C103" s="11" t="s">
        <v>0</v>
      </c>
      <c r="D103" s="20" t="str">
        <f>$H$2&amp;". Косинус"</f>
        <v>BMRZ. Косинус</v>
      </c>
    </row>
    <row r="104" spans="1:4">
      <c r="A104" s="19" t="str">
        <f t="shared" si="16"/>
        <v>АСУЭ.BMRZ.cos</v>
      </c>
      <c r="B104" s="11">
        <v>100</v>
      </c>
      <c r="C104" s="11" t="s">
        <v>0</v>
      </c>
      <c r="D104" s="20" t="s">
        <v>293</v>
      </c>
    </row>
    <row r="105" spans="1:4">
      <c r="A105" s="21" t="str">
        <f t="shared" si="16"/>
        <v>АСУЭ.BMRZ.cos</v>
      </c>
      <c r="B105" s="8">
        <v>8002</v>
      </c>
      <c r="C105" s="8" t="s">
        <v>819</v>
      </c>
      <c r="D105" s="22">
        <f>$K$2*10000</f>
        <v>10000000</v>
      </c>
    </row>
  </sheetData>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sheetPr codeName="Лист152">
    <tabColor theme="8" tint="-0.249977111117893"/>
  </sheetPr>
  <dimension ref="A1:V39"/>
  <sheetViews>
    <sheetView workbookViewId="0">
      <selection activeCell="D2" sqref="D2:D4"/>
    </sheetView>
  </sheetViews>
  <sheetFormatPr defaultRowHeight="14.4"/>
  <cols>
    <col min="1" max="1" width="41.33203125" customWidth="1"/>
    <col min="2" max="2" width="3.33203125" customWidth="1"/>
    <col min="3" max="3" width="5" style="10" customWidth="1"/>
    <col min="4" max="5" width="2.5546875" style="10" customWidth="1"/>
    <col min="6" max="6" width="15.109375" customWidth="1"/>
    <col min="8" max="8" width="1.88671875" customWidth="1"/>
    <col min="10" max="10" width="4.5546875" customWidth="1"/>
    <col min="11" max="11" width="2" customWidth="1"/>
    <col min="12" max="12" width="1.88671875" style="10" customWidth="1"/>
    <col min="13" max="13" width="3" customWidth="1"/>
    <col min="14" max="14" width="5" customWidth="1"/>
    <col min="15" max="15" width="5.44140625" customWidth="1"/>
    <col min="16" max="16" width="4.6640625" customWidth="1"/>
    <col min="17" max="17" width="4.88671875" customWidth="1"/>
    <col min="18" max="18" width="65.44140625" customWidth="1"/>
    <col min="19" max="21" width="0" hidden="1" customWidth="1"/>
    <col min="22" max="22" width="16.6640625" customWidth="1"/>
  </cols>
  <sheetData>
    <row r="1" spans="1:22">
      <c r="A1" s="10"/>
      <c r="B1" s="10"/>
      <c r="F1" s="10"/>
      <c r="G1" s="10"/>
      <c r="H1" s="10"/>
      <c r="I1" s="10"/>
      <c r="J1" s="10"/>
      <c r="K1" s="10"/>
      <c r="M1" s="10"/>
      <c r="N1" s="10"/>
      <c r="O1" s="10"/>
      <c r="P1" s="10"/>
      <c r="Q1" s="10"/>
      <c r="R1" s="10"/>
      <c r="V1" s="54" t="s">
        <v>846</v>
      </c>
    </row>
    <row r="2" spans="1:22" ht="15" customHeight="1">
      <c r="A2" s="10"/>
      <c r="B2" s="10"/>
      <c r="F2" s="10"/>
      <c r="G2" s="10"/>
      <c r="H2" s="10"/>
      <c r="I2" s="10"/>
      <c r="J2" s="10"/>
      <c r="K2" s="10"/>
      <c r="M2" s="10"/>
      <c r="N2" s="10"/>
      <c r="O2" s="10"/>
      <c r="P2" s="10"/>
      <c r="Q2" s="10"/>
      <c r="R2" s="10"/>
      <c r="V2" s="73" t="s">
        <v>1002</v>
      </c>
    </row>
    <row r="3" spans="1:22">
      <c r="A3" t="str">
        <f>"HDA|"&amp;$V$2</f>
        <v>HDA|BR12</v>
      </c>
      <c r="B3" t="s">
        <v>1192</v>
      </c>
      <c r="C3" s="4" t="s">
        <v>1695</v>
      </c>
      <c r="D3" t="s">
        <v>74</v>
      </c>
      <c r="E3">
        <v>0</v>
      </c>
      <c r="F3" s="10"/>
      <c r="G3" t="s">
        <v>71</v>
      </c>
      <c r="I3" t="s">
        <v>72</v>
      </c>
      <c r="J3" t="s">
        <v>73</v>
      </c>
      <c r="K3">
        <v>0</v>
      </c>
      <c r="M3" s="10"/>
      <c r="N3" s="10"/>
      <c r="O3" s="10"/>
      <c r="P3" s="10"/>
      <c r="Q3" s="10"/>
    </row>
    <row r="4" spans="1:22">
      <c r="A4" t="str">
        <f>"HDA|"&amp;$V$2&amp;"[0]"</f>
        <v>HDA|BR12[0]</v>
      </c>
      <c r="B4" t="s">
        <v>74</v>
      </c>
      <c r="F4" t="s">
        <v>72</v>
      </c>
      <c r="G4" t="s">
        <v>71</v>
      </c>
      <c r="H4">
        <v>0</v>
      </c>
      <c r="I4" t="s">
        <v>72</v>
      </c>
      <c r="J4" t="s">
        <v>73</v>
      </c>
      <c r="K4">
        <v>0</v>
      </c>
      <c r="M4">
        <v>1</v>
      </c>
      <c r="N4" t="s">
        <v>1697</v>
      </c>
      <c r="O4">
        <v>512</v>
      </c>
      <c r="P4">
        <v>0</v>
      </c>
      <c r="Q4">
        <v>0</v>
      </c>
      <c r="R4" t="str">
        <f>$V$2&amp;".DI1"</f>
        <v>BR12.DI1</v>
      </c>
    </row>
    <row r="5" spans="1:22">
      <c r="A5" t="str">
        <f>"HDA|"&amp;$V$2&amp;"[1]"</f>
        <v>HDA|BR12[1]</v>
      </c>
      <c r="B5" t="s">
        <v>74</v>
      </c>
      <c r="F5" t="s">
        <v>72</v>
      </c>
      <c r="G5" t="s">
        <v>71</v>
      </c>
      <c r="H5">
        <v>0</v>
      </c>
      <c r="I5" t="s">
        <v>72</v>
      </c>
      <c r="J5" t="s">
        <v>73</v>
      </c>
      <c r="K5">
        <v>0</v>
      </c>
      <c r="M5">
        <v>1</v>
      </c>
      <c r="N5" t="s">
        <v>1697</v>
      </c>
      <c r="O5">
        <v>512</v>
      </c>
      <c r="P5">
        <v>0</v>
      </c>
      <c r="Q5">
        <v>0</v>
      </c>
      <c r="R5" t="str">
        <f>$V$2&amp;".DI2"</f>
        <v>BR12.DI2</v>
      </c>
    </row>
    <row r="6" spans="1:22">
      <c r="A6" t="str">
        <f>"HDA|"&amp;$V$2&amp;"[2]"</f>
        <v>HDA|BR12[2]</v>
      </c>
      <c r="B6" t="s">
        <v>74</v>
      </c>
      <c r="F6" t="s">
        <v>72</v>
      </c>
      <c r="G6" t="s">
        <v>71</v>
      </c>
      <c r="H6">
        <v>0</v>
      </c>
      <c r="I6" t="s">
        <v>72</v>
      </c>
      <c r="J6" t="s">
        <v>73</v>
      </c>
      <c r="K6">
        <v>0</v>
      </c>
      <c r="M6">
        <v>1</v>
      </c>
      <c r="N6" t="s">
        <v>1697</v>
      </c>
      <c r="O6">
        <v>512</v>
      </c>
      <c r="P6">
        <v>0</v>
      </c>
      <c r="Q6">
        <v>0</v>
      </c>
      <c r="R6" t="str">
        <f>$V$2&amp;".DI3"</f>
        <v>BR12.DI3</v>
      </c>
    </row>
    <row r="7" spans="1:22">
      <c r="A7" t="str">
        <f>"HDA|"&amp;$V$2&amp;"[3]"</f>
        <v>HDA|BR12[3]</v>
      </c>
      <c r="B7" t="s">
        <v>74</v>
      </c>
      <c r="F7" t="s">
        <v>72</v>
      </c>
      <c r="G7" t="s">
        <v>71</v>
      </c>
      <c r="H7">
        <v>0</v>
      </c>
      <c r="I7" t="s">
        <v>72</v>
      </c>
      <c r="J7" t="s">
        <v>73</v>
      </c>
      <c r="K7">
        <v>0</v>
      </c>
      <c r="M7">
        <v>1</v>
      </c>
      <c r="N7" t="s">
        <v>1697</v>
      </c>
      <c r="O7">
        <v>512</v>
      </c>
      <c r="P7">
        <v>0</v>
      </c>
      <c r="Q7">
        <v>0</v>
      </c>
      <c r="R7" t="str">
        <f>$V$2&amp;".DI4"</f>
        <v>BR12.DI4</v>
      </c>
    </row>
    <row r="8" spans="1:22">
      <c r="A8" t="str">
        <f>"HDA|"&amp;$V$2&amp;"[4]"</f>
        <v>HDA|BR12[4]</v>
      </c>
      <c r="B8" t="s">
        <v>74</v>
      </c>
      <c r="F8" t="s">
        <v>72</v>
      </c>
      <c r="G8" t="s">
        <v>71</v>
      </c>
      <c r="H8">
        <v>0</v>
      </c>
      <c r="I8" t="s">
        <v>72</v>
      </c>
      <c r="J8" t="s">
        <v>73</v>
      </c>
      <c r="K8">
        <v>0</v>
      </c>
      <c r="M8">
        <v>1</v>
      </c>
      <c r="N8" t="s">
        <v>1697</v>
      </c>
      <c r="O8">
        <v>512</v>
      </c>
      <c r="P8">
        <v>0</v>
      </c>
      <c r="Q8">
        <v>0</v>
      </c>
      <c r="R8" t="str">
        <f>$V$2&amp;".DI5"</f>
        <v>BR12.DI5</v>
      </c>
    </row>
    <row r="9" spans="1:22">
      <c r="A9" t="str">
        <f>"HDA|"&amp;$V$2&amp;"[5]"</f>
        <v>HDA|BR12[5]</v>
      </c>
      <c r="B9" t="s">
        <v>74</v>
      </c>
      <c r="F9" t="s">
        <v>72</v>
      </c>
      <c r="G9" t="s">
        <v>71</v>
      </c>
      <c r="H9">
        <v>0</v>
      </c>
      <c r="I9" t="s">
        <v>72</v>
      </c>
      <c r="J9" t="s">
        <v>73</v>
      </c>
      <c r="K9">
        <v>0</v>
      </c>
      <c r="M9">
        <v>1</v>
      </c>
      <c r="N9" t="s">
        <v>1697</v>
      </c>
      <c r="O9">
        <v>512</v>
      </c>
      <c r="P9">
        <v>0</v>
      </c>
      <c r="Q9">
        <v>0</v>
      </c>
      <c r="R9" t="str">
        <f>$V$2&amp;".DI6"</f>
        <v>BR12.DI6</v>
      </c>
    </row>
    <row r="10" spans="1:22">
      <c r="A10" t="str">
        <f>"HDA|"&amp;$V$2&amp;"[6]"</f>
        <v>HDA|BR12[6]</v>
      </c>
      <c r="B10" t="s">
        <v>74</v>
      </c>
      <c r="F10" t="s">
        <v>72</v>
      </c>
      <c r="G10" t="s">
        <v>71</v>
      </c>
      <c r="H10">
        <v>0</v>
      </c>
      <c r="I10" t="s">
        <v>72</v>
      </c>
      <c r="J10" t="s">
        <v>73</v>
      </c>
      <c r="K10">
        <v>0</v>
      </c>
      <c r="M10">
        <v>1</v>
      </c>
      <c r="N10" t="s">
        <v>1697</v>
      </c>
      <c r="O10">
        <v>512</v>
      </c>
      <c r="P10">
        <v>0</v>
      </c>
      <c r="Q10">
        <v>0</v>
      </c>
      <c r="R10" t="str">
        <f>$V$2&amp;".DI7"</f>
        <v>BR12.DI7</v>
      </c>
    </row>
    <row r="11" spans="1:22">
      <c r="A11" t="str">
        <f>"HDA|"&amp;$V$2&amp;"[7]"</f>
        <v>HDA|BR12[7]</v>
      </c>
      <c r="B11" t="s">
        <v>74</v>
      </c>
      <c r="F11" t="s">
        <v>72</v>
      </c>
      <c r="G11" t="s">
        <v>71</v>
      </c>
      <c r="H11">
        <v>0</v>
      </c>
      <c r="I11" t="s">
        <v>72</v>
      </c>
      <c r="J11" t="s">
        <v>73</v>
      </c>
      <c r="K11">
        <v>0</v>
      </c>
      <c r="M11">
        <v>1</v>
      </c>
      <c r="N11" t="s">
        <v>1697</v>
      </c>
      <c r="O11">
        <v>512</v>
      </c>
      <c r="P11">
        <v>0</v>
      </c>
      <c r="Q11">
        <v>0</v>
      </c>
      <c r="R11" t="str">
        <f>$V$2&amp;".DI8"</f>
        <v>BR12.DI8</v>
      </c>
    </row>
    <row r="12" spans="1:22">
      <c r="A12" t="str">
        <f>"HDA|"&amp;$V$2&amp;"[8]"</f>
        <v>HDA|BR12[8]</v>
      </c>
      <c r="B12" t="s">
        <v>74</v>
      </c>
      <c r="F12" t="s">
        <v>72</v>
      </c>
      <c r="G12" t="s">
        <v>71</v>
      </c>
      <c r="H12">
        <v>0</v>
      </c>
      <c r="I12" t="s">
        <v>72</v>
      </c>
      <c r="J12" t="s">
        <v>73</v>
      </c>
      <c r="K12">
        <v>0</v>
      </c>
      <c r="M12">
        <v>1</v>
      </c>
      <c r="N12" t="s">
        <v>1697</v>
      </c>
      <c r="O12">
        <v>512</v>
      </c>
      <c r="P12">
        <v>0</v>
      </c>
      <c r="Q12">
        <v>0</v>
      </c>
      <c r="R12" t="str">
        <f>$V$2&amp;".DI9"</f>
        <v>BR12.DI9</v>
      </c>
    </row>
    <row r="13" spans="1:22">
      <c r="A13" t="str">
        <f>"HDA|"&amp;$V$2&amp;"[9]"</f>
        <v>HDA|BR12[9]</v>
      </c>
      <c r="B13" t="s">
        <v>74</v>
      </c>
      <c r="F13" t="s">
        <v>72</v>
      </c>
      <c r="G13" t="s">
        <v>71</v>
      </c>
      <c r="H13">
        <v>0</v>
      </c>
      <c r="I13" t="s">
        <v>72</v>
      </c>
      <c r="J13" t="s">
        <v>73</v>
      </c>
      <c r="K13">
        <v>0</v>
      </c>
      <c r="M13">
        <v>1</v>
      </c>
      <c r="N13" t="s">
        <v>1697</v>
      </c>
      <c r="O13">
        <v>512</v>
      </c>
      <c r="P13">
        <v>0</v>
      </c>
      <c r="Q13">
        <v>0</v>
      </c>
      <c r="R13" t="str">
        <f>$V$2&amp;".DI10"</f>
        <v>BR12.DI10</v>
      </c>
    </row>
    <row r="14" spans="1:22">
      <c r="A14" t="str">
        <f>"HDA|"&amp;$V$2&amp;"[10]"</f>
        <v>HDA|BR12[10]</v>
      </c>
      <c r="B14" t="s">
        <v>74</v>
      </c>
      <c r="F14" t="s">
        <v>72</v>
      </c>
      <c r="G14" t="s">
        <v>71</v>
      </c>
      <c r="H14">
        <v>0</v>
      </c>
      <c r="I14" t="s">
        <v>72</v>
      </c>
      <c r="J14" t="s">
        <v>73</v>
      </c>
      <c r="K14">
        <v>0</v>
      </c>
      <c r="M14">
        <v>1</v>
      </c>
      <c r="N14" t="s">
        <v>1697</v>
      </c>
      <c r="O14">
        <v>512</v>
      </c>
      <c r="P14">
        <v>0</v>
      </c>
      <c r="Q14">
        <v>0</v>
      </c>
      <c r="R14" t="str">
        <f>$V$2&amp;".DI11"</f>
        <v>BR12.DI11</v>
      </c>
    </row>
    <row r="15" spans="1:22">
      <c r="A15" t="str">
        <f>"HDA|"&amp;$V$2&amp;"[11]"</f>
        <v>HDA|BR12[11]</v>
      </c>
      <c r="B15" t="s">
        <v>74</v>
      </c>
      <c r="F15" t="s">
        <v>72</v>
      </c>
      <c r="G15" t="s">
        <v>71</v>
      </c>
      <c r="H15">
        <v>0</v>
      </c>
      <c r="I15" t="s">
        <v>72</v>
      </c>
      <c r="J15" t="s">
        <v>73</v>
      </c>
      <c r="K15">
        <v>0</v>
      </c>
      <c r="M15">
        <v>1</v>
      </c>
      <c r="N15" t="s">
        <v>1697</v>
      </c>
      <c r="O15">
        <v>512</v>
      </c>
      <c r="P15">
        <v>0</v>
      </c>
      <c r="Q15">
        <v>0</v>
      </c>
      <c r="R15" t="str">
        <f>$V$2&amp;".DI12"</f>
        <v>BR12.DI12</v>
      </c>
    </row>
    <row r="16" spans="1:22">
      <c r="A16" t="str">
        <f>"HDA|"&amp;$V$2&amp;"[12]"</f>
        <v>HDA|BR12[12]</v>
      </c>
      <c r="B16" t="s">
        <v>74</v>
      </c>
      <c r="F16" t="s">
        <v>72</v>
      </c>
      <c r="G16" t="s">
        <v>71</v>
      </c>
      <c r="H16">
        <v>0</v>
      </c>
      <c r="I16" t="s">
        <v>72</v>
      </c>
      <c r="J16" t="s">
        <v>73</v>
      </c>
      <c r="K16">
        <v>0</v>
      </c>
      <c r="M16">
        <v>1</v>
      </c>
      <c r="N16" t="s">
        <v>1697</v>
      </c>
      <c r="O16">
        <v>512</v>
      </c>
      <c r="P16">
        <v>0</v>
      </c>
      <c r="Q16">
        <v>0</v>
      </c>
      <c r="R16" t="str">
        <f>$V$2&amp;".DI13"</f>
        <v>BR12.DI13</v>
      </c>
    </row>
    <row r="17" spans="1:18">
      <c r="A17" t="str">
        <f>"HDA|"&amp;$V$2&amp;"[13]"</f>
        <v>HDA|BR12[13]</v>
      </c>
      <c r="B17" t="s">
        <v>74</v>
      </c>
      <c r="F17" t="s">
        <v>72</v>
      </c>
      <c r="G17" t="s">
        <v>71</v>
      </c>
      <c r="H17">
        <v>0</v>
      </c>
      <c r="I17" t="s">
        <v>72</v>
      </c>
      <c r="J17" t="s">
        <v>73</v>
      </c>
      <c r="K17">
        <v>0</v>
      </c>
      <c r="M17">
        <v>1</v>
      </c>
      <c r="N17" t="s">
        <v>1697</v>
      </c>
      <c r="O17">
        <v>512</v>
      </c>
      <c r="P17">
        <v>0</v>
      </c>
      <c r="Q17">
        <v>0</v>
      </c>
      <c r="R17" t="str">
        <f>$V$2&amp;".DI14"</f>
        <v>BR12.DI14</v>
      </c>
    </row>
    <row r="18" spans="1:18">
      <c r="A18" t="str">
        <f>"HDA|"&amp;$V$2&amp;"[14]"</f>
        <v>HDA|BR12[14]</v>
      </c>
      <c r="B18" t="s">
        <v>74</v>
      </c>
      <c r="F18" t="s">
        <v>72</v>
      </c>
      <c r="G18" t="s">
        <v>71</v>
      </c>
      <c r="H18">
        <v>0</v>
      </c>
      <c r="I18" t="s">
        <v>72</v>
      </c>
      <c r="J18" t="s">
        <v>73</v>
      </c>
      <c r="K18">
        <v>0</v>
      </c>
      <c r="M18">
        <v>1</v>
      </c>
      <c r="N18" t="s">
        <v>1697</v>
      </c>
      <c r="O18">
        <v>512</v>
      </c>
      <c r="P18">
        <v>0</v>
      </c>
      <c r="Q18">
        <v>0</v>
      </c>
      <c r="R18" t="str">
        <f>$V$2&amp;".DI15"</f>
        <v>BR12.DI15</v>
      </c>
    </row>
    <row r="19" spans="1:18">
      <c r="A19" t="str">
        <f>"HDA|"&amp;$V$2&amp;"[15]"</f>
        <v>HDA|BR12[15]</v>
      </c>
      <c r="B19" t="s">
        <v>74</v>
      </c>
      <c r="F19" t="s">
        <v>72</v>
      </c>
      <c r="G19" t="s">
        <v>71</v>
      </c>
      <c r="H19">
        <v>0</v>
      </c>
      <c r="I19" t="s">
        <v>72</v>
      </c>
      <c r="J19" t="s">
        <v>73</v>
      </c>
      <c r="K19">
        <v>0</v>
      </c>
      <c r="M19">
        <v>1</v>
      </c>
      <c r="N19" t="s">
        <v>1697</v>
      </c>
      <c r="O19">
        <v>512</v>
      </c>
      <c r="P19">
        <v>0</v>
      </c>
      <c r="Q19">
        <v>0</v>
      </c>
      <c r="R19" t="str">
        <f>$V$2&amp;".DI16"</f>
        <v>BR12.DI16</v>
      </c>
    </row>
    <row r="20" spans="1:18">
      <c r="A20" t="str">
        <f>"HDA|"&amp;$V$2&amp;"[16]"</f>
        <v>HDA|BR12[16]</v>
      </c>
      <c r="B20" t="s">
        <v>74</v>
      </c>
      <c r="F20" t="s">
        <v>72</v>
      </c>
      <c r="G20" t="s">
        <v>71</v>
      </c>
      <c r="H20">
        <v>0</v>
      </c>
      <c r="I20" t="s">
        <v>72</v>
      </c>
      <c r="J20" t="s">
        <v>73</v>
      </c>
      <c r="K20">
        <v>0</v>
      </c>
      <c r="M20">
        <v>1</v>
      </c>
      <c r="N20" t="s">
        <v>1697</v>
      </c>
      <c r="O20">
        <v>512</v>
      </c>
      <c r="P20">
        <v>0</v>
      </c>
      <c r="Q20">
        <v>0</v>
      </c>
      <c r="R20" t="str">
        <f>$V$2&amp;".DI17"</f>
        <v>BR12.DI17</v>
      </c>
    </row>
    <row r="21" spans="1:18">
      <c r="A21" t="str">
        <f>"HDA|"&amp;$V$2&amp;"[17]"</f>
        <v>HDA|BR12[17]</v>
      </c>
      <c r="B21" t="s">
        <v>74</v>
      </c>
      <c r="F21" t="s">
        <v>72</v>
      </c>
      <c r="G21" t="s">
        <v>71</v>
      </c>
      <c r="H21">
        <v>0</v>
      </c>
      <c r="I21" t="s">
        <v>72</v>
      </c>
      <c r="J21" t="s">
        <v>73</v>
      </c>
      <c r="K21">
        <v>0</v>
      </c>
      <c r="M21">
        <v>1</v>
      </c>
      <c r="N21" t="s">
        <v>1697</v>
      </c>
      <c r="O21">
        <v>512</v>
      </c>
      <c r="P21">
        <v>0</v>
      </c>
      <c r="Q21">
        <v>0</v>
      </c>
      <c r="R21" t="str">
        <f>$V$2&amp;".DI18"</f>
        <v>BR12.DI18</v>
      </c>
    </row>
    <row r="22" spans="1:18">
      <c r="A22" t="str">
        <f>"HDA|"&amp;$V$2&amp;"[18]"</f>
        <v>HDA|BR12[18]</v>
      </c>
      <c r="B22" t="s">
        <v>74</v>
      </c>
      <c r="F22" t="s">
        <v>72</v>
      </c>
      <c r="G22" t="s">
        <v>71</v>
      </c>
      <c r="H22">
        <v>0</v>
      </c>
      <c r="I22" t="s">
        <v>72</v>
      </c>
      <c r="J22" t="s">
        <v>73</v>
      </c>
      <c r="K22">
        <v>0</v>
      </c>
      <c r="M22">
        <v>1</v>
      </c>
      <c r="N22" t="s">
        <v>1697</v>
      </c>
      <c r="O22">
        <v>512</v>
      </c>
      <c r="P22">
        <v>0</v>
      </c>
      <c r="Q22">
        <v>0</v>
      </c>
      <c r="R22" t="str">
        <f>$V$2&amp;".DI19"</f>
        <v>BR12.DI19</v>
      </c>
    </row>
    <row r="23" spans="1:18">
      <c r="A23" t="str">
        <f>"HDA|"&amp;$V$2&amp;"[19]"</f>
        <v>HDA|BR12[19]</v>
      </c>
      <c r="B23" t="s">
        <v>74</v>
      </c>
      <c r="F23" t="s">
        <v>72</v>
      </c>
      <c r="G23" t="s">
        <v>71</v>
      </c>
      <c r="H23">
        <v>0</v>
      </c>
      <c r="I23" t="s">
        <v>72</v>
      </c>
      <c r="J23" t="s">
        <v>73</v>
      </c>
      <c r="K23">
        <v>0</v>
      </c>
      <c r="M23">
        <v>1</v>
      </c>
      <c r="N23" t="s">
        <v>1697</v>
      </c>
      <c r="O23">
        <v>512</v>
      </c>
      <c r="P23">
        <v>0</v>
      </c>
      <c r="Q23">
        <v>0</v>
      </c>
      <c r="R23" t="str">
        <f>$V$2&amp;".DI20"</f>
        <v>BR12.DI20</v>
      </c>
    </row>
    <row r="24" spans="1:18">
      <c r="A24" t="str">
        <f>"HDA|"&amp;$V$2&amp;"[20]"</f>
        <v>HDA|BR12[20]</v>
      </c>
      <c r="B24" t="s">
        <v>74</v>
      </c>
      <c r="F24" t="s">
        <v>72</v>
      </c>
      <c r="G24" t="s">
        <v>71</v>
      </c>
      <c r="H24">
        <v>0</v>
      </c>
      <c r="I24" t="s">
        <v>72</v>
      </c>
      <c r="J24" t="s">
        <v>73</v>
      </c>
      <c r="K24">
        <v>0</v>
      </c>
      <c r="M24">
        <v>1</v>
      </c>
      <c r="N24" t="s">
        <v>1697</v>
      </c>
      <c r="O24">
        <v>512</v>
      </c>
      <c r="P24">
        <v>0</v>
      </c>
      <c r="Q24">
        <v>0</v>
      </c>
      <c r="R24" t="str">
        <f>$V$2&amp;".DI21"</f>
        <v>BR12.DI21</v>
      </c>
    </row>
    <row r="25" spans="1:18">
      <c r="A25" t="str">
        <f>"HDA|"&amp;$V$2&amp;"[21]"</f>
        <v>HDA|BR12[21]</v>
      </c>
      <c r="B25" t="s">
        <v>74</v>
      </c>
      <c r="F25" t="s">
        <v>72</v>
      </c>
      <c r="G25" t="s">
        <v>71</v>
      </c>
      <c r="H25">
        <v>0</v>
      </c>
      <c r="I25" t="s">
        <v>72</v>
      </c>
      <c r="J25" t="s">
        <v>73</v>
      </c>
      <c r="K25">
        <v>0</v>
      </c>
      <c r="M25">
        <v>1</v>
      </c>
      <c r="N25" t="s">
        <v>1697</v>
      </c>
      <c r="O25">
        <v>512</v>
      </c>
      <c r="P25">
        <v>0</v>
      </c>
      <c r="Q25">
        <v>0</v>
      </c>
      <c r="R25" t="str">
        <f>$V$2&amp;".DI22"</f>
        <v>BR12.DI22</v>
      </c>
    </row>
    <row r="26" spans="1:18">
      <c r="A26" t="str">
        <f>"HDA|"&amp;$V$2&amp;"[22]"</f>
        <v>HDA|BR12[22]</v>
      </c>
      <c r="B26" t="s">
        <v>74</v>
      </c>
      <c r="F26" t="s">
        <v>72</v>
      </c>
      <c r="G26" t="s">
        <v>71</v>
      </c>
      <c r="H26">
        <v>0</v>
      </c>
      <c r="I26" t="s">
        <v>72</v>
      </c>
      <c r="J26" t="s">
        <v>73</v>
      </c>
      <c r="K26">
        <v>0</v>
      </c>
      <c r="M26">
        <v>1</v>
      </c>
      <c r="N26" t="s">
        <v>1697</v>
      </c>
      <c r="O26">
        <v>512</v>
      </c>
      <c r="P26">
        <v>0</v>
      </c>
      <c r="Q26">
        <v>0</v>
      </c>
      <c r="R26" t="str">
        <f>$V$2&amp;".DI23"</f>
        <v>BR12.DI23</v>
      </c>
    </row>
    <row r="27" spans="1:18">
      <c r="A27" t="str">
        <f>"HDA|"&amp;$V$2&amp;"[23]"</f>
        <v>HDA|BR12[23]</v>
      </c>
      <c r="B27" t="s">
        <v>74</v>
      </c>
      <c r="F27" t="s">
        <v>72</v>
      </c>
      <c r="G27" t="s">
        <v>71</v>
      </c>
      <c r="H27">
        <v>0</v>
      </c>
      <c r="I27" t="s">
        <v>72</v>
      </c>
      <c r="J27" t="s">
        <v>73</v>
      </c>
      <c r="K27">
        <v>0</v>
      </c>
      <c r="M27">
        <v>1</v>
      </c>
      <c r="N27" t="s">
        <v>1697</v>
      </c>
      <c r="O27">
        <v>512</v>
      </c>
      <c r="P27">
        <v>0</v>
      </c>
      <c r="Q27">
        <v>0</v>
      </c>
      <c r="R27" t="str">
        <f>$V$2&amp;".DI24"</f>
        <v>BR12.DI24</v>
      </c>
    </row>
    <row r="28" spans="1:18">
      <c r="A28" t="str">
        <f>"HDA|"&amp;$V$2&amp;"[24]"</f>
        <v>HDA|BR12[24]</v>
      </c>
      <c r="B28" t="s">
        <v>74</v>
      </c>
      <c r="F28" t="s">
        <v>72</v>
      </c>
      <c r="G28" t="s">
        <v>71</v>
      </c>
      <c r="H28">
        <v>0</v>
      </c>
      <c r="I28" t="s">
        <v>72</v>
      </c>
      <c r="J28" t="s">
        <v>73</v>
      </c>
      <c r="K28">
        <v>0</v>
      </c>
      <c r="M28">
        <v>1</v>
      </c>
      <c r="N28" t="s">
        <v>1697</v>
      </c>
      <c r="O28">
        <v>512</v>
      </c>
      <c r="P28">
        <v>0</v>
      </c>
      <c r="Q28">
        <v>0</v>
      </c>
      <c r="R28" t="str">
        <f>$V$2&amp;".DI25"</f>
        <v>BR12.DI25</v>
      </c>
    </row>
    <row r="29" spans="1:18">
      <c r="A29" t="str">
        <f>"HDA|"&amp;$V$2&amp;"[25]"</f>
        <v>HDA|BR12[25]</v>
      </c>
      <c r="B29" t="s">
        <v>74</v>
      </c>
      <c r="F29" t="s">
        <v>72</v>
      </c>
      <c r="G29" t="s">
        <v>71</v>
      </c>
      <c r="H29">
        <v>0</v>
      </c>
      <c r="I29" t="s">
        <v>72</v>
      </c>
      <c r="J29" t="s">
        <v>73</v>
      </c>
      <c r="K29">
        <v>0</v>
      </c>
      <c r="M29">
        <v>1</v>
      </c>
      <c r="N29" t="s">
        <v>1697</v>
      </c>
      <c r="O29">
        <v>512</v>
      </c>
      <c r="P29">
        <v>0</v>
      </c>
      <c r="Q29">
        <v>0</v>
      </c>
      <c r="R29" t="str">
        <f>$V$2&amp;".DI26"</f>
        <v>BR12.DI26</v>
      </c>
    </row>
    <row r="30" spans="1:18">
      <c r="A30" t="str">
        <f>"HDA|"&amp;$V$2&amp;"[26]"</f>
        <v>HDA|BR12[26]</v>
      </c>
      <c r="B30" t="s">
        <v>74</v>
      </c>
      <c r="F30" t="s">
        <v>72</v>
      </c>
      <c r="G30" t="s">
        <v>71</v>
      </c>
      <c r="H30">
        <v>0</v>
      </c>
      <c r="I30" t="s">
        <v>72</v>
      </c>
      <c r="J30" t="s">
        <v>73</v>
      </c>
      <c r="K30">
        <v>0</v>
      </c>
      <c r="M30">
        <v>1</v>
      </c>
      <c r="N30" t="s">
        <v>1697</v>
      </c>
      <c r="O30">
        <v>512</v>
      </c>
      <c r="P30">
        <v>0</v>
      </c>
      <c r="Q30">
        <v>0</v>
      </c>
      <c r="R30" t="str">
        <f>$V$2&amp;".DI27"</f>
        <v>BR12.DI27</v>
      </c>
    </row>
    <row r="31" spans="1:18">
      <c r="A31" t="str">
        <f>"HDA|"&amp;$V$2&amp;"[27]"</f>
        <v>HDA|BR12[27]</v>
      </c>
      <c r="B31" t="s">
        <v>74</v>
      </c>
      <c r="F31" t="s">
        <v>72</v>
      </c>
      <c r="G31" t="s">
        <v>71</v>
      </c>
      <c r="H31">
        <v>0</v>
      </c>
      <c r="I31" t="s">
        <v>72</v>
      </c>
      <c r="J31" t="s">
        <v>73</v>
      </c>
      <c r="K31">
        <v>0</v>
      </c>
      <c r="M31">
        <v>1</v>
      </c>
      <c r="N31" t="s">
        <v>1697</v>
      </c>
      <c r="O31">
        <v>512</v>
      </c>
      <c r="P31">
        <v>0</v>
      </c>
      <c r="Q31">
        <v>0</v>
      </c>
      <c r="R31" t="str">
        <f>$V$2&amp;".DI28"</f>
        <v>BR12.DI28</v>
      </c>
    </row>
    <row r="32" spans="1:18">
      <c r="A32" t="str">
        <f>"HDA|"&amp;$V$2&amp;"[28]"</f>
        <v>HDA|BR12[28]</v>
      </c>
      <c r="B32" t="s">
        <v>74</v>
      </c>
      <c r="F32" t="s">
        <v>72</v>
      </c>
      <c r="G32" t="s">
        <v>71</v>
      </c>
      <c r="H32">
        <v>0</v>
      </c>
      <c r="I32" t="s">
        <v>72</v>
      </c>
      <c r="J32" t="s">
        <v>73</v>
      </c>
      <c r="K32">
        <v>0</v>
      </c>
      <c r="M32">
        <v>1</v>
      </c>
      <c r="N32" t="s">
        <v>1697</v>
      </c>
      <c r="O32">
        <v>512</v>
      </c>
      <c r="P32">
        <v>0</v>
      </c>
      <c r="Q32">
        <v>0</v>
      </c>
      <c r="R32" t="str">
        <f>$V$2&amp;".DI29"</f>
        <v>BR12.DI29</v>
      </c>
    </row>
    <row r="33" spans="1:18">
      <c r="A33" t="str">
        <f>"HDA|"&amp;$V$2&amp;"[29]"</f>
        <v>HDA|BR12[29]</v>
      </c>
      <c r="B33" t="s">
        <v>74</v>
      </c>
      <c r="F33" t="s">
        <v>72</v>
      </c>
      <c r="G33" t="s">
        <v>71</v>
      </c>
      <c r="H33">
        <v>0</v>
      </c>
      <c r="I33" t="s">
        <v>72</v>
      </c>
      <c r="J33" t="s">
        <v>73</v>
      </c>
      <c r="K33">
        <v>0</v>
      </c>
      <c r="M33">
        <v>1</v>
      </c>
      <c r="N33" t="s">
        <v>1697</v>
      </c>
      <c r="O33">
        <v>512</v>
      </c>
      <c r="P33">
        <v>0</v>
      </c>
      <c r="Q33">
        <v>0</v>
      </c>
      <c r="R33" t="str">
        <f>$V$2&amp;".DI30"</f>
        <v>BR12.DI30</v>
      </c>
    </row>
    <row r="34" spans="1:18">
      <c r="A34" t="str">
        <f>"HDA|"&amp;$V$2&amp;"[30]"</f>
        <v>HDA|BR12[30]</v>
      </c>
      <c r="B34" t="s">
        <v>74</v>
      </c>
      <c r="F34" t="s">
        <v>72</v>
      </c>
      <c r="G34" t="s">
        <v>71</v>
      </c>
      <c r="H34">
        <v>0</v>
      </c>
      <c r="I34" t="s">
        <v>72</v>
      </c>
      <c r="J34" t="s">
        <v>73</v>
      </c>
      <c r="K34">
        <v>0</v>
      </c>
      <c r="M34">
        <v>1</v>
      </c>
      <c r="N34" t="s">
        <v>1697</v>
      </c>
      <c r="O34">
        <v>512</v>
      </c>
      <c r="P34">
        <v>0</v>
      </c>
      <c r="Q34">
        <v>0</v>
      </c>
      <c r="R34" t="str">
        <f>$V$2&amp;".DI31"</f>
        <v>BR12.DI31</v>
      </c>
    </row>
    <row r="35" spans="1:18">
      <c r="A35" t="str">
        <f>"HDA|"&amp;$V$2&amp;"[31]"</f>
        <v>HDA|BR12[31]</v>
      </c>
      <c r="B35" t="s">
        <v>74</v>
      </c>
      <c r="F35" t="s">
        <v>72</v>
      </c>
      <c r="G35" t="s">
        <v>71</v>
      </c>
      <c r="H35">
        <v>0</v>
      </c>
      <c r="I35" t="s">
        <v>72</v>
      </c>
      <c r="J35" t="s">
        <v>73</v>
      </c>
      <c r="K35">
        <v>0</v>
      </c>
      <c r="M35">
        <v>1</v>
      </c>
      <c r="N35" t="s">
        <v>1697</v>
      </c>
      <c r="O35">
        <v>512</v>
      </c>
      <c r="P35">
        <v>0</v>
      </c>
      <c r="Q35">
        <v>0</v>
      </c>
      <c r="R35" t="str">
        <f>$V$2&amp;".DI32"</f>
        <v>BR12.DI32</v>
      </c>
    </row>
    <row r="36" spans="1:18">
      <c r="A36" t="str">
        <f>"HDA|"&amp;$V$2&amp;"_Q"</f>
        <v>HDA|BR12_Q</v>
      </c>
      <c r="B36" t="s">
        <v>78</v>
      </c>
      <c r="F36">
        <v>0</v>
      </c>
      <c r="G36" t="s">
        <v>71</v>
      </c>
      <c r="H36">
        <v>0</v>
      </c>
      <c r="I36" t="s">
        <v>72</v>
      </c>
      <c r="J36" t="s">
        <v>73</v>
      </c>
    </row>
    <row r="37" spans="1:18">
      <c r="A37" t="str">
        <f>"HDA|"&amp;$V$2&amp;"_TO_HDA"</f>
        <v>HDA|BR12_TO_HDA</v>
      </c>
      <c r="B37" t="s">
        <v>1038</v>
      </c>
      <c r="C37"/>
      <c r="D37" t="s">
        <v>1696</v>
      </c>
      <c r="E37"/>
      <c r="M37">
        <v>0</v>
      </c>
    </row>
    <row r="39" spans="1:18">
      <c r="A39" s="4"/>
      <c r="B39" s="4"/>
      <c r="F39" s="4"/>
      <c r="G39" s="4"/>
      <c r="H39" s="4"/>
      <c r="I39" s="4"/>
      <c r="J39" s="4"/>
      <c r="K39" s="4"/>
      <c r="M39" s="4"/>
    </row>
  </sheetData>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sheetPr codeName="Лист135">
    <tabColor theme="8" tint="-0.249977111117893"/>
  </sheetPr>
  <dimension ref="A1:BI488"/>
  <sheetViews>
    <sheetView topLeftCell="A97" zoomScale="80" zoomScaleNormal="80" workbookViewId="0">
      <selection activeCell="D2" sqref="D2:D4"/>
    </sheetView>
  </sheetViews>
  <sheetFormatPr defaultRowHeight="14.4"/>
  <cols>
    <col min="1" max="1" width="37.109375" customWidth="1"/>
    <col min="2" max="2" width="9.5546875" customWidth="1"/>
    <col min="4" max="4" width="63.88671875" customWidth="1"/>
    <col min="5" max="15" width="0" hidden="1" customWidth="1"/>
    <col min="16" max="16" width="23" customWidth="1"/>
    <col min="17" max="17" width="40.6640625" customWidth="1"/>
    <col min="18" max="18" width="37.88671875" customWidth="1"/>
    <col min="19" max="19" width="11.5546875" customWidth="1"/>
    <col min="20" max="20" width="25" customWidth="1"/>
    <col min="21" max="21" width="17.6640625" customWidth="1"/>
    <col min="22" max="22" width="34.33203125" customWidth="1"/>
    <col min="23" max="23" width="22.6640625" customWidth="1"/>
    <col min="24" max="24" width="24.44140625" customWidth="1"/>
    <col min="25" max="25" width="30.44140625" customWidth="1"/>
    <col min="26" max="26" width="17.44140625" customWidth="1"/>
    <col min="27" max="27" width="18.88671875" customWidth="1"/>
    <col min="28" max="28" width="27.5546875" customWidth="1"/>
    <col min="29" max="30" width="27" customWidth="1"/>
    <col min="31" max="31" width="40.33203125" customWidth="1"/>
    <col min="32" max="35" width="9.109375" hidden="1" customWidth="1"/>
    <col min="36" max="36" width="6.88671875" hidden="1" customWidth="1"/>
    <col min="37" max="48" width="36.6640625" customWidth="1"/>
    <col min="49" max="49" width="19" customWidth="1"/>
    <col min="50" max="50" width="20" customWidth="1"/>
    <col min="51" max="51" width="21.33203125" customWidth="1"/>
    <col min="52" max="52" width="20.6640625" customWidth="1"/>
    <col min="53" max="53" width="23.5546875" customWidth="1"/>
    <col min="54" max="54" width="7.109375" customWidth="1"/>
    <col min="55" max="55" width="10.88671875" customWidth="1"/>
    <col min="57" max="57" width="65.109375" customWidth="1"/>
  </cols>
  <sheetData>
    <row r="1" spans="1:61" s="258" customFormat="1" ht="204.6" thickBot="1">
      <c r="A1" s="257"/>
      <c r="B1" s="260" t="s">
        <v>84</v>
      </c>
      <c r="C1" s="257"/>
      <c r="D1" s="257"/>
      <c r="E1" s="257"/>
      <c r="F1" s="257"/>
      <c r="P1" s="263" t="str">
        <f>Таблица!D1</f>
        <v>Префикс для TREI
Тэг ОРС для INFINITY</v>
      </c>
      <c r="Q1" s="263" t="str">
        <f>Таблица!E1</f>
        <v>Комментарий для TREI и INFINITY</v>
      </c>
      <c r="R1" s="263" t="str">
        <f>Таблица!F1</f>
        <v>ТЭГ в дереве INFINITY Server</v>
      </c>
      <c r="S1" s="263" t="str">
        <f>Таблица!G1</f>
        <v xml:space="preserve">№ модуля OPC клиента(0-25)
№ канала Modbus TCP(0-20)
№ модуля IEC204, Modbus RTU, Modbus over TCP(2-26)
PING: Номер модуля ICMP
SW_S302, SW_MAYAK, SW_MES3508, SW_MES3348F, SYS_DIAG: Номер модуля SNMP </v>
      </c>
      <c r="T1" s="263" t="str">
        <f>Таблица!H1</f>
        <v>OPC путь 
№ маршрута Modbus TCP, Modbus RTU, Modbus over TCP (1-255)
№ КП IEC104 (1-65534)</v>
      </c>
      <c r="U1" s="263" t="str">
        <f>Таблица!I1</f>
        <v>OPC путь</v>
      </c>
      <c r="V1" s="263" t="str">
        <f>Таблица!J1</f>
        <v>Мнемосхема</v>
      </c>
      <c r="W1" s="263" t="str">
        <f>Таблица!K1</f>
        <v xml:space="preserve">FB_AI_S, AI, FB_QSA_S, AI_SLIM: Тип.изм.(P,L,dP,F)
SW_S301, SW_MAYAK, SYS_DIAG, SW_MES3508, SW_MES3348F: Номер клиента SNMP
FB_DI_S: Тип.изм.(dP,L)
FB_IMstp_S, FB_IMt_MON_S, FB_IMst_MON_S, BMRZ, BMPA, IMstp, IMt_MON, TOR: Формула для цвета верх. линии при нал. напряж.
ENUM: Номер файла перечисления
</v>
      </c>
      <c r="X1" s="263" t="str">
        <f>Таблица!L1</f>
        <v>FB_AI_S, FB_REG_S, AI, FB_QSA_S, AI_SLIM: Ед.изм.
FB_IMstp_S, FB_IMt_MON_S, FB_IMst_MON_S, BMRZ, BMPA, IMstp, IMt_MON, TOR: Формула для цвета нижней линии при нал. напряж., формула цвета верхней обмотки трансформатора
FB_IMs_S,FB_IMsp_S, IMsp: формула для цвета высоков. выкл.
ENUM: Номер перечисляемого элемента
SW_MAYAK: Подключение к порту G1,G2 (через "\")</v>
      </c>
      <c r="Y1" s="263" t="str">
        <f>Таблица!M1</f>
        <v>FB_IMt_MON_S, IMt_MON: Только для трансформатора. Цвет нижних обмоток(-ки) при наличии напряжения</v>
      </c>
      <c r="Z1" s="263" t="str">
        <f>Таблица!N1</f>
        <v>FB_AI_S, FB_DI_S, AI: Позиция датчика
FB_SHPS_S: Тип датчика (1-BTH, 2- не используется, 3- BTM, 4-BTK, 5-SB)
PING: Интервал отсылки пакетов модуля ICMP, с
FB_UPG_S: Наличие 2-й очереди (1-есть, 0- нет)
FB_QSA_S: Тип контроллируемого газа
SW_S301, SW_MAYAK, SW_MES3508, SW_MES3348F: Маска подсети
FB_SHOP_S: Тип оповещения (Свет, Звук)
IMp, IMv, IMstp, IMsp, IM_ADES: Время перестановки</v>
      </c>
      <c r="AA1" s="263" t="str">
        <f>Таблица!O1</f>
        <v xml:space="preserve">FB_AI_S, AI, FB_QSA_S, FB_DI_S: Тип прибора
PING: IP адрес абонента
DI_DIAG, DI, FB_MPS_S: Инвертировать XVLX (0-нет, 1-да)
SW_S301, SW_MAYAK, SW_MES3508, SW_MES3348F: IP адрес
FB_SHPS_S(SB): Сообщение для XFRX
BMCS: Кол-во сигналов (1-40)
FB_BTF_S: Тип (0-DI,1-DI+FEXX  без КЦ,2-DI+FEXX  с КЦ,3-AI,4-AI+FEXX  без КЦ,5-AI+FEXX  с КЦ,6-RS485)
</v>
      </c>
      <c r="AB1" s="263" t="str">
        <f>Таблица!P1</f>
        <v xml:space="preserve">FB_DI_S, FB_DO_S, DI, DI_DIAG, FB_DO_STB_S: Тип сигнализации (Авария, предупреждение, телесигнализация и тд.)
FB_SHPS_S(SB), FB_BTF_S: Тип сигнализации XFRX
</v>
      </c>
      <c r="AC1" s="263" t="str">
        <f>Таблица!Q1</f>
        <v>FB_IMstp_S, FB_IMs_S, FB_IMsp_S, S_ IMst_MON, FB_IMt_MON_S, BMRZ, BMPA, IMstp, IMs_MON, IMt_MON: Цвет линии при наличии напряжения 
FB_DI_S, FB_DO_S, DI, DI_DIAG, FB_DO_STB_S, FB_SHOP_S, FB_SHPS_S: Цвет иконки
FB_IM_ADES_S, IM_ADES: Цвет состояния работа</v>
      </c>
      <c r="AD1" s="263" t="str">
        <f>Таблица!R1</f>
        <v>SEPAM: Тип ячейки (OL,SV,VV,TN)
BMRZ: Тип ячейки (VV,AV)
TOR: Тип ячейки (OL,SV,VV,TN,BK)</v>
      </c>
      <c r="AE1" s="263" t="str">
        <f>Таблица!S1</f>
        <v>Формула для fNoLink.Device</v>
      </c>
      <c r="AF1" s="263">
        <f>Таблица!T1</f>
        <v>0</v>
      </c>
      <c r="AG1" s="263">
        <f>Таблица!U1</f>
        <v>0</v>
      </c>
      <c r="AH1" s="263">
        <f>Таблица!V1</f>
        <v>0</v>
      </c>
      <c r="AI1" s="263">
        <f>Таблица!W1</f>
        <v>0</v>
      </c>
      <c r="AJ1" s="263">
        <f>Таблица!X1</f>
        <v>0</v>
      </c>
      <c r="AK1" s="440" t="s">
        <v>1343</v>
      </c>
      <c r="AL1" s="440" t="s">
        <v>1180</v>
      </c>
      <c r="AM1" s="440" t="s">
        <v>1179</v>
      </c>
      <c r="AN1" s="440" t="s">
        <v>1341</v>
      </c>
      <c r="AO1" s="440" t="s">
        <v>1178</v>
      </c>
      <c r="AP1" s="440" t="s">
        <v>1177</v>
      </c>
      <c r="AQ1" s="440" t="s">
        <v>1176</v>
      </c>
      <c r="AR1" s="440" t="s">
        <v>1171</v>
      </c>
      <c r="AS1" s="440" t="s">
        <v>1172</v>
      </c>
      <c r="AT1" s="440" t="s">
        <v>1173</v>
      </c>
      <c r="AU1" s="440" t="s">
        <v>1174</v>
      </c>
      <c r="AV1" s="440" t="s">
        <v>1175</v>
      </c>
      <c r="AW1" s="261" t="str">
        <f>Таблица!AK1</f>
        <v>Для TREI
FB_AI_S, FB_QSA_S: Тип входного значения( 0-мА; 1-мВ; 2-цифровое)
FB_DI_S: Время фильтрации
FB_IMp_S, FB_IMv_S, FB_IM_ADES_S: Время подачи команды
AI, AO, AI_SLIM: Тип переменной (INT, REAL)
FB_SHPS_S(SB): SMEM (0,1)</v>
      </c>
      <c r="AX1" s="261" t="str">
        <f>Таблица!AL1</f>
        <v>Для TREI
FB_IMstp_S, FB_IMs_S, FB_IMp_S, FB_IMv_S, FB_IM_ADES_S: Настройка перехода ручной-/автоматический-(TRUE/FALSE) 
FB_DI_S: Генерировать метки времени (TRUE/FALSE)</v>
      </c>
      <c r="AY1" s="261" t="str">
        <f>Таблица!AM1</f>
        <v>Для TREI
FB_AI_S, FB_QSA_S: Нижний предел датчика
FB_BTF_S: Тип ИП пламени (0-5)
FB_OZK_KD_S: Тип датчика (0 - ОЗК, 1- КД)
AO: Начальное значение
FB_SHPS_S: Тип датчика (0 - МОПС, 1- Рубеж (Пожар), 2- Рубеж (Внимание))
FB_SHOP_S: Тип датчика (0 - МУПС, 1- Рубеж)</v>
      </c>
      <c r="AZ1" s="261" t="str">
        <f>Таблица!AN1</f>
        <v>Для TREI
FB_AI_S, FB_QSA_S: Верхний предел датчика
FB_IMp_S, FB_IMv_S, FB_IM_ADES_S, FB_OZK_KD_S: Время перестановки</v>
      </c>
      <c r="BA1" s="261" t="str">
        <f>Таблица!AO1</f>
        <v>Для TREI
FB_IMp_S, FB_IMv_S, FB_IM_ADES_S: Наличие контроля цепи управления (0 -нет, 1 - цепь состояния, 2- цепь управления,3 - цепь управления + цепь состояния, 4- через МОПС, 5- через МУПС, 6 - МОПС+МУПС)</v>
      </c>
      <c r="BF1" s="259"/>
      <c r="BG1" s="259"/>
      <c r="BH1" s="259"/>
      <c r="BI1" s="259"/>
    </row>
    <row r="2" spans="1:61" ht="15" customHeight="1">
      <c r="A2" s="9"/>
      <c r="B2" s="9"/>
      <c r="C2" s="9"/>
      <c r="D2" s="9"/>
      <c r="E2" s="9"/>
      <c r="F2" s="9"/>
      <c r="P2" s="2" t="s">
        <v>1744</v>
      </c>
      <c r="Q2" s="2" t="s">
        <v>1816</v>
      </c>
      <c r="R2" s="2" t="s">
        <v>1806</v>
      </c>
      <c r="S2" s="3">
        <v>1</v>
      </c>
      <c r="T2" s="3" t="s">
        <v>1698</v>
      </c>
      <c r="U2" s="3"/>
      <c r="V2" s="3" t="s">
        <v>569</v>
      </c>
      <c r="W2" s="12" t="s">
        <v>247</v>
      </c>
      <c r="X2" s="12" t="s">
        <v>248</v>
      </c>
      <c r="Y2" s="12"/>
      <c r="Z2" s="12"/>
      <c r="AA2" s="12"/>
      <c r="AB2" s="2"/>
      <c r="AC2" s="2"/>
      <c r="AD2" s="2"/>
      <c r="AE2" s="2" t="s">
        <v>1414</v>
      </c>
      <c r="AF2" s="2"/>
      <c r="AG2" s="2"/>
      <c r="AH2" s="2"/>
      <c r="AI2" s="2"/>
      <c r="AJ2" s="2"/>
      <c r="AK2" s="3"/>
      <c r="AL2" s="3"/>
      <c r="AM2" s="3"/>
      <c r="AN2" s="3"/>
      <c r="AO2" s="3"/>
      <c r="AP2" s="3"/>
      <c r="AQ2" s="3"/>
      <c r="AR2" s="3"/>
      <c r="AS2" s="3"/>
      <c r="AT2" s="3"/>
      <c r="AU2" s="3"/>
      <c r="AV2" s="3"/>
      <c r="AW2" s="2" t="s">
        <v>618</v>
      </c>
      <c r="AX2" s="2"/>
      <c r="AY2" s="2"/>
      <c r="AZ2" s="2"/>
      <c r="BA2" s="2"/>
      <c r="BF2" s="4"/>
      <c r="BG2" s="4"/>
      <c r="BH2" s="4"/>
      <c r="BI2" s="4"/>
    </row>
    <row r="3" spans="1:61" ht="15" customHeight="1">
      <c r="A3" s="9"/>
      <c r="B3" s="9"/>
      <c r="C3" s="9"/>
      <c r="D3" s="9"/>
      <c r="E3" s="9"/>
      <c r="F3" s="9"/>
      <c r="P3" s="10"/>
      <c r="Q3" s="10"/>
      <c r="R3" s="10"/>
      <c r="S3" s="10"/>
      <c r="T3" s="10"/>
      <c r="U3" s="10"/>
      <c r="V3" s="10"/>
      <c r="W3" s="10"/>
      <c r="X3" s="10"/>
      <c r="Y3" s="10"/>
      <c r="Z3" s="10"/>
      <c r="AA3" s="10"/>
      <c r="AK3" s="454">
        <f>IFERROR(IF(SEARCH("!",AK$2,1),SUBSTITUTE(AK$2,"+",""),SUBSTITUTE(AK$2," ","")),AK$2)</f>
        <v>0</v>
      </c>
      <c r="AL3" s="454">
        <f t="shared" ref="AL3:AV3" si="0">IFERROR(IF(SEARCH("!",AL$2,1),SUBSTITUTE(AL$2,"+",""),SUBSTITUTE(AL$2," ","")),AL$2)</f>
        <v>0</v>
      </c>
      <c r="AM3" s="454">
        <f t="shared" si="0"/>
        <v>0</v>
      </c>
      <c r="AN3" s="454">
        <f t="shared" si="0"/>
        <v>0</v>
      </c>
      <c r="AO3" s="454">
        <f t="shared" si="0"/>
        <v>0</v>
      </c>
      <c r="AP3" s="454">
        <f t="shared" si="0"/>
        <v>0</v>
      </c>
      <c r="AQ3" s="454">
        <f t="shared" si="0"/>
        <v>0</v>
      </c>
      <c r="AR3" s="454">
        <f t="shared" si="0"/>
        <v>0</v>
      </c>
      <c r="AS3" s="454">
        <f t="shared" si="0"/>
        <v>0</v>
      </c>
      <c r="AT3" s="454">
        <f t="shared" si="0"/>
        <v>0</v>
      </c>
      <c r="AU3" s="454">
        <f t="shared" si="0"/>
        <v>0</v>
      </c>
      <c r="AV3" s="454">
        <f t="shared" si="0"/>
        <v>0</v>
      </c>
      <c r="BF3" s="4"/>
      <c r="BG3" s="4"/>
      <c r="BH3" s="4"/>
      <c r="BI3" s="4"/>
    </row>
    <row r="4" spans="1:61" ht="15" customHeight="1">
      <c r="A4" s="9"/>
      <c r="B4" s="9"/>
      <c r="C4" s="9"/>
      <c r="D4" s="9"/>
      <c r="E4" s="9"/>
      <c r="F4" s="9"/>
      <c r="P4" s="7" t="str">
        <f>Настройки!A1</f>
        <v>Событие</v>
      </c>
      <c r="Q4" s="7" t="str">
        <f>Настройки!B1</f>
        <v>Важность</v>
      </c>
      <c r="R4" s="7" t="str">
        <f>Настройки!C1</f>
        <v>Звук</v>
      </c>
      <c r="T4" s="548" t="str">
        <f>Настройки!M13</f>
        <v>Номер модуля IEC 4</v>
      </c>
      <c r="U4" s="606" t="str">
        <f>Настройки!M15</f>
        <v>Номер КП модуля IEC 4</v>
      </c>
      <c r="V4" s="606" t="str">
        <f>Настройки!D13</f>
        <v>Путь INFINITY для меток времени</v>
      </c>
      <c r="W4" s="10"/>
      <c r="X4" s="10"/>
      <c r="Y4" s="10"/>
      <c r="Z4" s="10"/>
      <c r="AA4" s="10"/>
      <c r="AK4" s="3" t="e">
        <f>LEFT(AK$3,FIND("+",AK$3,1)-1)</f>
        <v>#VALUE!</v>
      </c>
      <c r="AL4" s="3" t="e">
        <f>LEFT(AL$3,FIND("+",AL$3,1)-1)</f>
        <v>#VALUE!</v>
      </c>
      <c r="AM4" s="3" t="e">
        <f>LEFT(AM$3,FIND("+",AM$3,1)-1)</f>
        <v>#VALUE!</v>
      </c>
      <c r="AN4" s="3" t="e">
        <f t="shared" ref="AN4:AV4" si="1">LEFT(AN$3,FIND("+",AN$3,1)-1)</f>
        <v>#VALUE!</v>
      </c>
      <c r="AO4" s="3" t="e">
        <f t="shared" si="1"/>
        <v>#VALUE!</v>
      </c>
      <c r="AP4" s="3" t="e">
        <f t="shared" si="1"/>
        <v>#VALUE!</v>
      </c>
      <c r="AQ4" s="3" t="e">
        <f t="shared" si="1"/>
        <v>#VALUE!</v>
      </c>
      <c r="AR4" s="3" t="e">
        <f t="shared" si="1"/>
        <v>#VALUE!</v>
      </c>
      <c r="AS4" s="3" t="e">
        <f t="shared" si="1"/>
        <v>#VALUE!</v>
      </c>
      <c r="AT4" s="3" t="e">
        <f t="shared" si="1"/>
        <v>#VALUE!</v>
      </c>
      <c r="AU4" s="3" t="e">
        <f t="shared" si="1"/>
        <v>#VALUE!</v>
      </c>
      <c r="AV4" s="3" t="e">
        <f t="shared" si="1"/>
        <v>#VALUE!</v>
      </c>
      <c r="BF4" s="4"/>
      <c r="BG4" s="4"/>
      <c r="BH4" s="4"/>
      <c r="BI4" s="4"/>
    </row>
    <row r="5" spans="1:61" ht="15" customHeight="1">
      <c r="A5" s="9"/>
      <c r="B5" s="9"/>
      <c r="C5" s="9"/>
      <c r="D5" s="9"/>
      <c r="E5" s="9"/>
      <c r="F5" s="9"/>
      <c r="P5" s="6" t="str">
        <f>Настройки!A2</f>
        <v>Авария</v>
      </c>
      <c r="Q5" s="5">
        <f>Настройки!B2</f>
        <v>4</v>
      </c>
      <c r="R5" s="5" t="str">
        <f>Настройки!C2</f>
        <v>Авария</v>
      </c>
      <c r="T5" s="458">
        <f>Настройки!M14</f>
        <v>1</v>
      </c>
      <c r="U5" s="607">
        <f>Настройки!M16</f>
        <v>1</v>
      </c>
      <c r="V5" s="607" t="str">
        <f>Настройки!D14</f>
        <v>TimeStampSignals.УСО18.</v>
      </c>
      <c r="W5" s="10"/>
      <c r="X5" s="10"/>
      <c r="Y5" s="10"/>
      <c r="Z5" s="10"/>
      <c r="AA5" s="10"/>
      <c r="AK5" s="3" t="e">
        <f>RIGHT(AK$3,LEN(AK$3)-FIND("+",AK$3,1))</f>
        <v>#VALUE!</v>
      </c>
      <c r="AL5" s="3" t="e">
        <f>RIGHT(AL$3,LEN(AL$3)-FIND("+",AL$3,1))</f>
        <v>#VALUE!</v>
      </c>
      <c r="AM5" s="3" t="e">
        <f>RIGHT(AM$3,LEN(AM$3)-FIND("+",AM$3,1))</f>
        <v>#VALUE!</v>
      </c>
      <c r="AN5" s="3" t="e">
        <f t="shared" ref="AN5:AV5" si="2">RIGHT(AN$3,LEN(AN$3)-FIND("+",AN$3,1))</f>
        <v>#VALUE!</v>
      </c>
      <c r="AO5" s="3" t="e">
        <f t="shared" si="2"/>
        <v>#VALUE!</v>
      </c>
      <c r="AP5" s="3" t="e">
        <f t="shared" si="2"/>
        <v>#VALUE!</v>
      </c>
      <c r="AQ5" s="3" t="e">
        <f t="shared" si="2"/>
        <v>#VALUE!</v>
      </c>
      <c r="AR5" s="3" t="e">
        <f t="shared" si="2"/>
        <v>#VALUE!</v>
      </c>
      <c r="AS5" s="3" t="e">
        <f t="shared" si="2"/>
        <v>#VALUE!</v>
      </c>
      <c r="AT5" s="3" t="e">
        <f t="shared" si="2"/>
        <v>#VALUE!</v>
      </c>
      <c r="AU5" s="3" t="e">
        <f t="shared" si="2"/>
        <v>#VALUE!</v>
      </c>
      <c r="AV5" s="3" t="e">
        <f t="shared" si="2"/>
        <v>#VALUE!</v>
      </c>
      <c r="BF5" s="4"/>
      <c r="BG5" s="4"/>
      <c r="BH5" s="4"/>
      <c r="BI5" s="4"/>
    </row>
    <row r="6" spans="1:61" ht="15" customHeight="1">
      <c r="A6" s="9"/>
      <c r="B6" s="9"/>
      <c r="C6" s="9"/>
      <c r="D6" s="9"/>
      <c r="E6" s="9"/>
      <c r="F6" s="9"/>
      <c r="P6" s="6" t="str">
        <f>Настройки!A3</f>
        <v>Предупреждение</v>
      </c>
      <c r="Q6" s="5">
        <f>Настройки!B3</f>
        <v>8</v>
      </c>
      <c r="R6" s="5" t="str">
        <f>Настройки!C3</f>
        <v>Предупреждение</v>
      </c>
      <c r="S6" s="10"/>
      <c r="T6" s="10"/>
      <c r="U6" s="10"/>
      <c r="V6" s="10"/>
      <c r="W6" s="10"/>
      <c r="X6" s="10"/>
      <c r="Y6" s="10"/>
      <c r="Z6" s="10"/>
      <c r="AA6" s="10"/>
      <c r="BF6" s="4"/>
      <c r="BG6" s="4"/>
      <c r="BH6" s="4"/>
      <c r="BI6" s="4"/>
    </row>
    <row r="7" spans="1:61" ht="15" customHeight="1">
      <c r="A7" s="9"/>
      <c r="B7" s="9"/>
      <c r="C7" s="9"/>
      <c r="D7" s="9"/>
      <c r="E7" s="9"/>
      <c r="F7" s="9"/>
      <c r="P7" s="6" t="str">
        <f>Настройки!A4</f>
        <v>Неисправность</v>
      </c>
      <c r="Q7" s="5">
        <f>Настройки!B4</f>
        <v>12</v>
      </c>
      <c r="R7" s="5" t="str">
        <f>Настройки!C4</f>
        <v>Неисправность</v>
      </c>
      <c r="S7" s="10"/>
      <c r="T7" s="10"/>
      <c r="U7" s="10"/>
      <c r="V7" s="10"/>
      <c r="W7" s="10"/>
      <c r="X7" s="10"/>
      <c r="Y7" s="10"/>
      <c r="Z7" s="10"/>
      <c r="AA7" s="10"/>
      <c r="BF7" s="4"/>
      <c r="BG7" s="4"/>
      <c r="BH7" s="4"/>
      <c r="BI7" s="4"/>
    </row>
    <row r="8" spans="1:61" ht="15" customHeight="1">
      <c r="A8" s="9"/>
      <c r="B8" s="9"/>
      <c r="C8" s="9"/>
      <c r="D8" s="9"/>
      <c r="E8" s="9"/>
      <c r="F8" s="9"/>
      <c r="P8" s="6" t="str">
        <f>Настройки!A5</f>
        <v>Телесигнализация</v>
      </c>
      <c r="Q8" s="5">
        <f>Настройки!B5</f>
        <v>18</v>
      </c>
      <c r="R8" s="5" t="str">
        <f>Настройки!C5</f>
        <v>Телесигнализация</v>
      </c>
      <c r="S8" s="10"/>
      <c r="T8" s="10"/>
      <c r="U8" s="10"/>
      <c r="V8" s="10"/>
      <c r="W8" s="10"/>
      <c r="X8" s="10"/>
      <c r="Y8" s="10"/>
      <c r="Z8" s="10"/>
      <c r="AA8" s="10"/>
      <c r="BF8" s="4"/>
      <c r="BG8" s="4"/>
      <c r="BH8" s="4"/>
      <c r="BI8" s="4"/>
    </row>
    <row r="9" spans="1:61" ht="15" customHeight="1">
      <c r="A9" s="9"/>
      <c r="B9" s="9"/>
      <c r="C9" s="9"/>
      <c r="D9" s="9"/>
      <c r="E9" s="9"/>
      <c r="F9" s="9"/>
      <c r="P9" s="6" t="str">
        <f>Настройки!A6</f>
        <v>Недостоверность</v>
      </c>
      <c r="Q9" s="5">
        <f>Настройки!B6</f>
        <v>10</v>
      </c>
      <c r="R9" s="5" t="str">
        <f>Настройки!C6</f>
        <v>Недостоверность</v>
      </c>
      <c r="S9" s="10"/>
      <c r="T9" s="10"/>
      <c r="U9" s="10"/>
      <c r="V9" s="10"/>
      <c r="W9" s="10"/>
      <c r="X9" s="10"/>
      <c r="Y9" s="10"/>
      <c r="Z9" s="10"/>
      <c r="AA9" s="10"/>
      <c r="BF9" s="4"/>
      <c r="BG9" s="4"/>
      <c r="BH9" s="4"/>
      <c r="BI9" s="4"/>
    </row>
    <row r="10" spans="1:61" ht="15" customHeight="1">
      <c r="A10" s="9"/>
      <c r="B10" s="9"/>
      <c r="C10" s="9"/>
      <c r="D10" s="9"/>
      <c r="E10" s="9"/>
      <c r="F10" s="9"/>
      <c r="P10" s="6" t="str">
        <f>Настройки!A7</f>
        <v>Имитация</v>
      </c>
      <c r="Q10" s="5">
        <f>Настройки!B7</f>
        <v>16</v>
      </c>
      <c r="R10" s="5" t="str">
        <f>Настройки!C7</f>
        <v>Имитация</v>
      </c>
      <c r="S10" s="10"/>
      <c r="T10" s="10"/>
      <c r="U10" s="10"/>
      <c r="V10" s="10"/>
      <c r="W10" s="10"/>
      <c r="X10" s="10"/>
      <c r="Y10" s="10"/>
      <c r="Z10" s="10"/>
      <c r="AA10" s="10"/>
      <c r="BF10" s="4"/>
      <c r="BG10" s="4"/>
      <c r="BH10" s="4"/>
      <c r="BI10" s="4"/>
    </row>
    <row r="11" spans="1:61" ht="15" customHeight="1">
      <c r="A11" s="9"/>
      <c r="B11" s="9"/>
      <c r="C11" s="9"/>
      <c r="D11" s="9"/>
      <c r="E11" s="9"/>
      <c r="F11" s="9"/>
      <c r="P11" s="6" t="str">
        <f>Настройки!A8</f>
        <v>Ремонт</v>
      </c>
      <c r="Q11" s="5">
        <f>Настройки!B8</f>
        <v>14</v>
      </c>
      <c r="R11" s="5" t="str">
        <f>Настройки!C8</f>
        <v>Ремонт</v>
      </c>
      <c r="S11" s="10"/>
      <c r="T11" s="10"/>
      <c r="U11" s="10"/>
      <c r="V11" s="10"/>
      <c r="W11" s="10"/>
      <c r="X11" s="10"/>
      <c r="Y11" s="10"/>
      <c r="Z11" s="10"/>
      <c r="AA11" s="10"/>
      <c r="BF11" s="4"/>
      <c r="BG11" s="4"/>
      <c r="BH11" s="4"/>
      <c r="BI11" s="4"/>
    </row>
    <row r="12" spans="1:61" ht="15" customHeight="1">
      <c r="A12" s="9"/>
      <c r="B12" s="9"/>
      <c r="C12" s="9"/>
      <c r="D12" s="9"/>
      <c r="E12" s="9"/>
      <c r="F12" s="9"/>
      <c r="P12" s="6" t="str">
        <f>Настройки!A9</f>
        <v>Команда оператора</v>
      </c>
      <c r="Q12" s="5">
        <f>Настройки!B9</f>
        <v>20</v>
      </c>
      <c r="R12" s="5" t="str">
        <f>Настройки!C9</f>
        <v>Команда оператора</v>
      </c>
      <c r="S12" s="10"/>
      <c r="T12" s="10"/>
      <c r="U12" s="10"/>
      <c r="V12" s="10"/>
      <c r="W12" s="10"/>
      <c r="X12" s="10"/>
      <c r="Y12" s="10"/>
      <c r="Z12" s="10"/>
      <c r="AA12" s="10"/>
      <c r="BF12" s="4"/>
      <c r="BG12" s="4"/>
      <c r="BH12" s="4"/>
      <c r="BI12" s="4"/>
    </row>
    <row r="13" spans="1:61" ht="15" customHeight="1">
      <c r="A13" s="9"/>
      <c r="B13" s="9"/>
      <c r="C13" s="9"/>
      <c r="D13" s="9"/>
      <c r="E13" s="9"/>
      <c r="F13" s="9"/>
      <c r="P13" s="6" t="str">
        <f>Настройки!A10</f>
        <v>Тревога</v>
      </c>
      <c r="Q13" s="5">
        <f>Настройки!B10</f>
        <v>5</v>
      </c>
      <c r="R13" s="5" t="str">
        <f>Настройки!C10</f>
        <v>Тревога</v>
      </c>
      <c r="S13" s="10"/>
      <c r="T13" s="10"/>
      <c r="U13" s="10"/>
      <c r="V13" s="10"/>
      <c r="W13" s="10"/>
      <c r="X13" s="10"/>
      <c r="Y13" s="10"/>
      <c r="Z13" s="10"/>
      <c r="AA13" s="10"/>
      <c r="BF13" s="4"/>
      <c r="BG13" s="4"/>
      <c r="BH13" s="4"/>
      <c r="BI13" s="4"/>
    </row>
    <row r="14" spans="1:61" ht="15" customHeight="1">
      <c r="A14" s="9"/>
      <c r="B14" s="9"/>
      <c r="C14" s="9"/>
      <c r="D14" s="9"/>
      <c r="E14" s="9"/>
      <c r="F14" s="9"/>
      <c r="P14" s="6" t="str">
        <f>Настройки!A11</f>
        <v>Тушение</v>
      </c>
      <c r="Q14" s="5">
        <f>Настройки!B11</f>
        <v>1</v>
      </c>
      <c r="R14" s="5" t="str">
        <f>Настройки!C11</f>
        <v>Тушение</v>
      </c>
      <c r="S14" s="10"/>
      <c r="T14" s="10"/>
      <c r="U14" s="10"/>
      <c r="V14" s="10"/>
      <c r="W14" s="10"/>
      <c r="X14" s="10"/>
      <c r="Y14" s="10"/>
      <c r="Z14" s="10"/>
      <c r="AA14" s="10"/>
      <c r="BF14" s="4"/>
      <c r="BG14" s="4"/>
      <c r="BH14" s="4"/>
      <c r="BI14" s="4"/>
    </row>
    <row r="15" spans="1:61" ht="15" customHeight="1">
      <c r="A15" s="9"/>
      <c r="B15" s="9"/>
      <c r="C15" s="9"/>
      <c r="D15" s="9"/>
      <c r="E15" s="9"/>
      <c r="F15" s="9"/>
      <c r="P15" s="6" t="str">
        <f>Настройки!A12</f>
        <v>Пожар</v>
      </c>
      <c r="Q15" s="5">
        <f>Настройки!B12</f>
        <v>2</v>
      </c>
      <c r="R15" s="5" t="str">
        <f>Настройки!C12</f>
        <v>Пожар</v>
      </c>
      <c r="S15" s="10"/>
      <c r="T15" s="10"/>
      <c r="U15" s="10"/>
      <c r="V15" s="10"/>
      <c r="W15" s="10"/>
      <c r="X15" s="10"/>
      <c r="Y15" s="10"/>
      <c r="Z15" s="10"/>
      <c r="AA15" s="10"/>
      <c r="BF15" s="4"/>
      <c r="BG15" s="4"/>
      <c r="BH15" s="4"/>
      <c r="BI15" s="4"/>
    </row>
    <row r="16" spans="1:61" ht="15" customHeight="1">
      <c r="A16" s="9"/>
      <c r="B16" s="9"/>
      <c r="C16" s="9"/>
      <c r="D16" s="9"/>
      <c r="E16" s="9"/>
      <c r="F16" s="9"/>
      <c r="P16" s="6" t="str">
        <f>Настройки!A13</f>
        <v>Порог 2</v>
      </c>
      <c r="Q16" s="5">
        <f>Настройки!B13</f>
        <v>3</v>
      </c>
      <c r="R16" s="5" t="str">
        <f>Настройки!C13</f>
        <v>Порог 2</v>
      </c>
      <c r="S16" s="10"/>
      <c r="T16" s="10"/>
      <c r="U16" s="10"/>
      <c r="V16" s="10"/>
      <c r="W16" s="10"/>
      <c r="X16" s="10"/>
      <c r="Y16" s="10"/>
      <c r="Z16" s="10"/>
      <c r="AA16" s="10"/>
      <c r="BF16" s="4"/>
      <c r="BG16" s="4"/>
      <c r="BH16" s="4"/>
      <c r="BI16" s="4"/>
    </row>
    <row r="17" spans="1:61" ht="15" customHeight="1">
      <c r="A17" s="9"/>
      <c r="B17" s="9"/>
      <c r="C17" s="9"/>
      <c r="D17" s="9"/>
      <c r="E17" s="9"/>
      <c r="F17" s="9"/>
      <c r="P17" s="6" t="str">
        <f>Настройки!A14</f>
        <v>Порог 1</v>
      </c>
      <c r="Q17" s="5">
        <f>Настройки!B14</f>
        <v>6</v>
      </c>
      <c r="R17" s="5" t="str">
        <f>Настройки!C14</f>
        <v>Порог 1</v>
      </c>
      <c r="S17" s="10"/>
      <c r="T17" s="10"/>
      <c r="U17" s="10"/>
      <c r="V17" s="10"/>
      <c r="W17" s="10"/>
      <c r="X17" s="10"/>
      <c r="Y17" s="10"/>
      <c r="Z17" s="10"/>
      <c r="AA17" s="10"/>
      <c r="BF17" s="4"/>
      <c r="BG17" s="4"/>
      <c r="BH17" s="4"/>
      <c r="BI17" s="4"/>
    </row>
    <row r="18" spans="1:61" ht="15" customHeight="1">
      <c r="A18" s="9"/>
      <c r="B18" s="9"/>
      <c r="C18" s="9"/>
      <c r="D18" s="9"/>
      <c r="E18" s="9"/>
      <c r="F18" s="9"/>
      <c r="P18" s="6" t="str">
        <f>Настройки!A15</f>
        <v>Отключение</v>
      </c>
      <c r="Q18" s="5">
        <f>Настройки!B15</f>
        <v>13</v>
      </c>
      <c r="R18" s="5" t="str">
        <f>Настройки!C15</f>
        <v>Отключение</v>
      </c>
      <c r="S18" s="10"/>
      <c r="T18" s="10"/>
      <c r="U18" s="10"/>
      <c r="V18" s="10"/>
      <c r="W18" s="10"/>
      <c r="X18" s="10"/>
      <c r="Y18" s="10"/>
      <c r="Z18" s="10"/>
      <c r="AA18" s="10"/>
      <c r="BF18" s="4"/>
      <c r="BG18" s="4"/>
      <c r="BH18" s="4"/>
      <c r="BI18" s="4"/>
    </row>
    <row r="19" spans="1:61" ht="15" customHeight="1">
      <c r="A19" s="9"/>
      <c r="B19" s="9"/>
      <c r="C19" s="9"/>
      <c r="D19" s="9"/>
      <c r="E19" s="9"/>
      <c r="F19" s="9"/>
      <c r="P19" s="6" t="str">
        <f>Настройки!A16</f>
        <v>Информация</v>
      </c>
      <c r="Q19" s="5">
        <f>Настройки!B16</f>
        <v>22</v>
      </c>
      <c r="R19" s="5" t="str">
        <f>Настройки!C16</f>
        <v>Информация</v>
      </c>
      <c r="S19" s="10"/>
      <c r="T19" s="10"/>
      <c r="U19" s="10"/>
      <c r="V19" s="10"/>
      <c r="W19" s="10"/>
      <c r="X19" s="10"/>
      <c r="Y19" s="10"/>
      <c r="Z19" s="10"/>
      <c r="AA19" s="10"/>
      <c r="BF19" s="4"/>
      <c r="BG19" s="4"/>
      <c r="BH19" s="4"/>
      <c r="BI19" s="4"/>
    </row>
    <row r="20" spans="1:61" ht="15" customHeight="1">
      <c r="A20" s="599" t="s">
        <v>592</v>
      </c>
      <c r="B20" s="600"/>
      <c r="C20" s="600"/>
      <c r="D20" s="601"/>
      <c r="BF20" s="4"/>
      <c r="BG20" s="4"/>
      <c r="BH20" s="4"/>
      <c r="BI20" s="4"/>
    </row>
    <row r="21" spans="1:61" ht="15" customHeight="1">
      <c r="A21" s="16" t="str">
        <f t="shared" ref="A21:A30" si="3">IFERROR($V$5 &amp; "BR"&amp;$AK$4&amp;".DI"&amp;AK$5,"УДАЛИТЬ")</f>
        <v>УДАЛИТЬ</v>
      </c>
      <c r="B21" s="17">
        <v>11001</v>
      </c>
      <c r="C21" s="17" t="s">
        <v>0</v>
      </c>
      <c r="D21" s="18" t="str">
        <f>$Q$2</f>
        <v>Аналоговый сигнал облегченный (только один сигнал) с буферизацией</v>
      </c>
      <c r="E21" s="4"/>
      <c r="F21" s="4"/>
      <c r="BF21" s="4"/>
      <c r="BG21" s="4"/>
      <c r="BH21" s="4"/>
      <c r="BI21" s="4"/>
    </row>
    <row r="22" spans="1:61" ht="15" customHeight="1">
      <c r="A22" s="602" t="str">
        <f t="shared" si="3"/>
        <v>УДАЛИТЬ</v>
      </c>
      <c r="B22" s="603">
        <v>11154</v>
      </c>
      <c r="C22" s="603" t="s">
        <v>4</v>
      </c>
      <c r="D22" s="604">
        <f>$Q$19</f>
        <v>22</v>
      </c>
      <c r="BF22" s="4"/>
      <c r="BG22" s="4"/>
      <c r="BH22" s="4"/>
      <c r="BI22" s="4"/>
    </row>
    <row r="23" spans="1:61" ht="15" customHeight="1">
      <c r="A23" s="602" t="str">
        <f t="shared" si="3"/>
        <v>УДАЛИТЬ</v>
      </c>
      <c r="B23" s="603">
        <v>11155</v>
      </c>
      <c r="C23" s="603" t="s">
        <v>4</v>
      </c>
      <c r="D23" s="604">
        <f>$Q$19</f>
        <v>22</v>
      </c>
      <c r="BF23" s="4"/>
      <c r="BG23" s="4"/>
      <c r="BH23" s="4"/>
      <c r="BI23" s="4"/>
    </row>
    <row r="24" spans="1:61" ht="15" customHeight="1">
      <c r="A24" s="602" t="str">
        <f t="shared" si="3"/>
        <v>УДАЛИТЬ</v>
      </c>
      <c r="B24" s="603">
        <v>11150</v>
      </c>
      <c r="C24" s="603" t="s">
        <v>0</v>
      </c>
      <c r="D24" s="605" t="s">
        <v>1644</v>
      </c>
      <c r="BF24" s="4"/>
      <c r="BG24" s="4"/>
      <c r="BH24" s="4"/>
      <c r="BI24" s="4"/>
    </row>
    <row r="25" spans="1:61" ht="15" customHeight="1">
      <c r="A25" s="602" t="str">
        <f t="shared" si="3"/>
        <v>УДАЛИТЬ</v>
      </c>
      <c r="B25" s="603">
        <v>11151</v>
      </c>
      <c r="C25" s="603" t="s">
        <v>0</v>
      </c>
      <c r="D25" s="605" t="s">
        <v>1645</v>
      </c>
      <c r="BF25" s="4"/>
      <c r="BG25" s="4"/>
      <c r="BH25" s="4"/>
      <c r="BI25" s="4"/>
    </row>
    <row r="26" spans="1:61" ht="15" customHeight="1">
      <c r="A26" s="602" t="str">
        <f t="shared" si="3"/>
        <v>УДАЛИТЬ</v>
      </c>
      <c r="B26" s="603">
        <v>11000</v>
      </c>
      <c r="C26" s="603" t="s">
        <v>5</v>
      </c>
      <c r="D26" s="605">
        <v>2147483744</v>
      </c>
      <c r="BF26" s="4"/>
      <c r="BG26" s="4"/>
      <c r="BH26" s="4"/>
      <c r="BI26" s="4"/>
    </row>
    <row r="27" spans="1:61" ht="15" customHeight="1">
      <c r="A27" s="19" t="str">
        <f t="shared" si="3"/>
        <v>УДАЛИТЬ</v>
      </c>
      <c r="B27" s="11">
        <v>3</v>
      </c>
      <c r="C27" s="11" t="s">
        <v>1</v>
      </c>
      <c r="D27" s="20">
        <v>192</v>
      </c>
      <c r="BF27" s="4"/>
      <c r="BG27" s="4"/>
      <c r="BH27" s="4"/>
      <c r="BI27" s="4"/>
    </row>
    <row r="28" spans="1:61" ht="15" customHeight="1">
      <c r="A28" s="19" t="str">
        <f t="shared" si="3"/>
        <v>УДАЛИТЬ</v>
      </c>
      <c r="B28" s="11">
        <v>2</v>
      </c>
      <c r="C28" s="11" t="s">
        <v>2</v>
      </c>
      <c r="D28" s="20" t="s">
        <v>3</v>
      </c>
      <c r="BF28" s="4"/>
      <c r="BG28" s="4"/>
      <c r="BH28" s="4"/>
      <c r="BI28" s="4"/>
    </row>
    <row r="29" spans="1:61" ht="15" customHeight="1">
      <c r="A29" s="19" t="str">
        <f t="shared" si="3"/>
        <v>УДАЛИТЬ</v>
      </c>
      <c r="B29" s="11">
        <v>1</v>
      </c>
      <c r="C29" s="11" t="s">
        <v>1</v>
      </c>
      <c r="D29" s="20">
        <v>11</v>
      </c>
      <c r="BF29" s="4"/>
      <c r="BG29" s="4"/>
      <c r="BH29" s="4"/>
      <c r="BI29" s="4"/>
    </row>
    <row r="30" spans="1:61" ht="15" customHeight="1">
      <c r="A30" s="26" t="str">
        <f t="shared" si="3"/>
        <v>УДАЛИТЬ</v>
      </c>
      <c r="B30" s="27">
        <v>7050</v>
      </c>
      <c r="C30" s="27" t="s">
        <v>0</v>
      </c>
      <c r="D30" s="28" t="str">
        <f>"&lt;Addr AnswerSignalType=©0© Protocol=©IEC4Std© Type=©Protocol© ProtocolType=©30© Address=©XXX© ModuleNo=©" &amp; $T$5 &amp; "© Role=©Master© Station=©" &amp; $U$5 &amp; "©  /&gt;"</f>
        <v>&lt;Addr AnswerSignalType=©0© Protocol=©IEC4Std© Type=©Protocol© ProtocolType=©30© Address=©XXX© ModuleNo=©1© Role=©Master© Station=©1©  /&gt;</v>
      </c>
      <c r="BF30" s="4"/>
      <c r="BG30" s="4"/>
      <c r="BH30" s="4"/>
      <c r="BI30" s="4"/>
    </row>
    <row r="31" spans="1:61" ht="15" customHeight="1">
      <c r="A31" s="599" t="s">
        <v>597</v>
      </c>
      <c r="B31" s="600"/>
      <c r="C31" s="600"/>
      <c r="D31" s="601"/>
      <c r="BF31" s="4"/>
      <c r="BG31" s="4"/>
      <c r="BH31" s="4"/>
      <c r="BI31" s="4"/>
    </row>
    <row r="32" spans="1:61" ht="15" customHeight="1">
      <c r="A32" s="16" t="str">
        <f t="shared" ref="A32:A41" si="4">IFERROR($V$5 &amp; "BR"&amp;$AL$4&amp;".DI"&amp;AL$5,"УДАЛИТЬ")</f>
        <v>УДАЛИТЬ</v>
      </c>
      <c r="B32" s="17">
        <v>11001</v>
      </c>
      <c r="C32" s="17" t="s">
        <v>0</v>
      </c>
      <c r="D32" s="18" t="str">
        <f>$Q$2</f>
        <v>Аналоговый сигнал облегченный (только один сигнал) с буферизацией</v>
      </c>
      <c r="E32" s="4"/>
      <c r="F32" s="4"/>
      <c r="BF32" s="4"/>
      <c r="BG32" s="4"/>
      <c r="BH32" s="4"/>
      <c r="BI32" s="4"/>
    </row>
    <row r="33" spans="1:61" ht="15" customHeight="1">
      <c r="A33" s="602" t="str">
        <f t="shared" si="4"/>
        <v>УДАЛИТЬ</v>
      </c>
      <c r="B33" s="603">
        <v>11154</v>
      </c>
      <c r="C33" s="603" t="s">
        <v>4</v>
      </c>
      <c r="D33" s="604">
        <f>$Q$19</f>
        <v>22</v>
      </c>
      <c r="BF33" s="4"/>
      <c r="BG33" s="4"/>
      <c r="BH33" s="4"/>
      <c r="BI33" s="4"/>
    </row>
    <row r="34" spans="1:61" ht="15" customHeight="1">
      <c r="A34" s="602" t="str">
        <f t="shared" si="4"/>
        <v>УДАЛИТЬ</v>
      </c>
      <c r="B34" s="603">
        <v>11155</v>
      </c>
      <c r="C34" s="603" t="s">
        <v>4</v>
      </c>
      <c r="D34" s="604">
        <f>$Q$19</f>
        <v>22</v>
      </c>
      <c r="BF34" s="4"/>
      <c r="BG34" s="4"/>
      <c r="BH34" s="4"/>
      <c r="BI34" s="4"/>
    </row>
    <row r="35" spans="1:61" ht="15" customHeight="1">
      <c r="A35" s="602" t="str">
        <f t="shared" si="4"/>
        <v>УДАЛИТЬ</v>
      </c>
      <c r="B35" s="603">
        <v>11150</v>
      </c>
      <c r="C35" s="603" t="s">
        <v>0</v>
      </c>
      <c r="D35" s="605" t="s">
        <v>1646</v>
      </c>
    </row>
    <row r="36" spans="1:61" ht="15" customHeight="1">
      <c r="A36" s="602" t="str">
        <f t="shared" si="4"/>
        <v>УДАЛИТЬ</v>
      </c>
      <c r="B36" s="603">
        <v>11151</v>
      </c>
      <c r="C36" s="603" t="s">
        <v>0</v>
      </c>
      <c r="D36" s="605" t="s">
        <v>1647</v>
      </c>
    </row>
    <row r="37" spans="1:61">
      <c r="A37" s="602" t="str">
        <f t="shared" si="4"/>
        <v>УДАЛИТЬ</v>
      </c>
      <c r="B37" s="603">
        <v>11000</v>
      </c>
      <c r="C37" s="603" t="s">
        <v>5</v>
      </c>
      <c r="D37" s="605">
        <v>2147483744</v>
      </c>
    </row>
    <row r="38" spans="1:61">
      <c r="A38" s="19" t="str">
        <f t="shared" si="4"/>
        <v>УДАЛИТЬ</v>
      </c>
      <c r="B38" s="11">
        <v>3</v>
      </c>
      <c r="C38" s="11" t="s">
        <v>1</v>
      </c>
      <c r="D38" s="20">
        <v>192</v>
      </c>
    </row>
    <row r="39" spans="1:61">
      <c r="A39" s="19" t="str">
        <f t="shared" si="4"/>
        <v>УДАЛИТЬ</v>
      </c>
      <c r="B39" s="11">
        <v>2</v>
      </c>
      <c r="C39" s="11" t="s">
        <v>2</v>
      </c>
      <c r="D39" s="20" t="s">
        <v>3</v>
      </c>
    </row>
    <row r="40" spans="1:61">
      <c r="A40" s="19" t="str">
        <f t="shared" si="4"/>
        <v>УДАЛИТЬ</v>
      </c>
      <c r="B40" s="11">
        <v>1</v>
      </c>
      <c r="C40" s="11" t="s">
        <v>1</v>
      </c>
      <c r="D40" s="20">
        <v>11</v>
      </c>
    </row>
    <row r="41" spans="1:61">
      <c r="A41" s="26" t="str">
        <f t="shared" si="4"/>
        <v>УДАЛИТЬ</v>
      </c>
      <c r="B41" s="27">
        <v>7050</v>
      </c>
      <c r="C41" s="27" t="s">
        <v>0</v>
      </c>
      <c r="D41" s="28" t="str">
        <f>"&lt;Addr AnswerSignalType=©0© Protocol=©IEC4Std© Type=©Protocol© ProtocolType=©30© Address=©XXX© ModuleNo=©" &amp; $T$5 &amp; "© Role=©Master© Station=©" &amp; $U$5 &amp; "©  /&gt;"</f>
        <v>&lt;Addr AnswerSignalType=©0© Protocol=©IEC4Std© Type=©Protocol© ProtocolType=©30© Address=©XXX© ModuleNo=©1© Role=©Master© Station=©1©  /&gt;</v>
      </c>
    </row>
    <row r="42" spans="1:61" ht="15" customHeight="1">
      <c r="A42" s="16" t="str">
        <f t="shared" ref="A42:A51" si="5">IFERROR($V$5 &amp; "BR"&amp;$AM$4&amp;".DI"&amp;AM$5,"УДАЛИТЬ")</f>
        <v>УДАЛИТЬ</v>
      </c>
      <c r="B42" s="17">
        <v>11001</v>
      </c>
      <c r="C42" s="17" t="s">
        <v>0</v>
      </c>
      <c r="D42" s="18" t="str">
        <f>$Q$2</f>
        <v>Аналоговый сигнал облегченный (только один сигнал) с буферизацией</v>
      </c>
      <c r="E42" s="4"/>
      <c r="F42" s="4"/>
      <c r="BF42" s="4"/>
      <c r="BG42" s="4"/>
      <c r="BH42" s="4"/>
      <c r="BI42" s="4"/>
    </row>
    <row r="43" spans="1:61">
      <c r="A43" s="602" t="str">
        <f t="shared" si="5"/>
        <v>УДАЛИТЬ</v>
      </c>
      <c r="B43" s="603">
        <v>11154</v>
      </c>
      <c r="C43" s="603" t="s">
        <v>4</v>
      </c>
      <c r="D43" s="604">
        <f>$Q$19</f>
        <v>22</v>
      </c>
    </row>
    <row r="44" spans="1:61">
      <c r="A44" s="602" t="str">
        <f t="shared" si="5"/>
        <v>УДАЛИТЬ</v>
      </c>
      <c r="B44" s="603">
        <v>11155</v>
      </c>
      <c r="C44" s="603" t="s">
        <v>4</v>
      </c>
      <c r="D44" s="604">
        <f>$Q$19</f>
        <v>22</v>
      </c>
    </row>
    <row r="45" spans="1:61">
      <c r="A45" s="602" t="str">
        <f t="shared" si="5"/>
        <v>УДАЛИТЬ</v>
      </c>
      <c r="B45" s="603">
        <v>11150</v>
      </c>
      <c r="C45" s="603" t="s">
        <v>0</v>
      </c>
      <c r="D45" s="605" t="s">
        <v>1648</v>
      </c>
    </row>
    <row r="46" spans="1:61">
      <c r="A46" s="602" t="str">
        <f t="shared" si="5"/>
        <v>УДАЛИТЬ</v>
      </c>
      <c r="B46" s="603">
        <v>11151</v>
      </c>
      <c r="C46" s="603" t="s">
        <v>0</v>
      </c>
      <c r="D46" s="605" t="s">
        <v>1649</v>
      </c>
    </row>
    <row r="47" spans="1:61">
      <c r="A47" s="602" t="str">
        <f t="shared" si="5"/>
        <v>УДАЛИТЬ</v>
      </c>
      <c r="B47" s="603">
        <v>11000</v>
      </c>
      <c r="C47" s="603" t="s">
        <v>5</v>
      </c>
      <c r="D47" s="605">
        <v>2147483744</v>
      </c>
    </row>
    <row r="48" spans="1:61">
      <c r="A48" s="19" t="str">
        <f t="shared" si="5"/>
        <v>УДАЛИТЬ</v>
      </c>
      <c r="B48" s="11">
        <v>3</v>
      </c>
      <c r="C48" s="11" t="s">
        <v>1</v>
      </c>
      <c r="D48" s="20">
        <v>192</v>
      </c>
    </row>
    <row r="49" spans="1:61">
      <c r="A49" s="19" t="str">
        <f t="shared" si="5"/>
        <v>УДАЛИТЬ</v>
      </c>
      <c r="B49" s="11">
        <v>2</v>
      </c>
      <c r="C49" s="11" t="s">
        <v>2</v>
      </c>
      <c r="D49" s="20" t="s">
        <v>3</v>
      </c>
    </row>
    <row r="50" spans="1:61">
      <c r="A50" s="19" t="str">
        <f t="shared" si="5"/>
        <v>УДАЛИТЬ</v>
      </c>
      <c r="B50" s="11">
        <v>1</v>
      </c>
      <c r="C50" s="11" t="s">
        <v>1</v>
      </c>
      <c r="D50" s="20">
        <v>11</v>
      </c>
    </row>
    <row r="51" spans="1:61">
      <c r="A51" s="26" t="str">
        <f t="shared" si="5"/>
        <v>УДАЛИТЬ</v>
      </c>
      <c r="B51" s="27">
        <v>7050</v>
      </c>
      <c r="C51" s="27" t="s">
        <v>0</v>
      </c>
      <c r="D51" s="28" t="str">
        <f>"&lt;Addr AnswerSignalType=©0© Protocol=©IEC4Std© Type=©Protocol© ProtocolType=©30© Address=©XXX© ModuleNo=©" &amp; $T$5 &amp; "© Role=©Master© Station=©" &amp; $U$5 &amp; "©  /&gt;"</f>
        <v>&lt;Addr AnswerSignalType=©0© Protocol=©IEC4Std© Type=©Protocol© ProtocolType=©30© Address=©XXX© ModuleNo=©1© Role=©Master© Station=©1©  /&gt;</v>
      </c>
    </row>
    <row r="52" spans="1:61" ht="15" customHeight="1">
      <c r="A52" s="16" t="str">
        <f t="shared" ref="A52:A61" si="6">IFERROR($V$5 &amp; "BR"&amp;$AN$4&amp;".DI"&amp;AN$5,"УДАЛИТЬ")</f>
        <v>УДАЛИТЬ</v>
      </c>
      <c r="B52" s="17">
        <v>11001</v>
      </c>
      <c r="C52" s="17" t="s">
        <v>0</v>
      </c>
      <c r="D52" s="18" t="str">
        <f>$Q$2</f>
        <v>Аналоговый сигнал облегченный (только один сигнал) с буферизацией</v>
      </c>
      <c r="E52" s="4"/>
      <c r="F52" s="4"/>
      <c r="BF52" s="4"/>
      <c r="BG52" s="4"/>
      <c r="BH52" s="4"/>
      <c r="BI52" s="4"/>
    </row>
    <row r="53" spans="1:61">
      <c r="A53" s="602" t="str">
        <f t="shared" si="6"/>
        <v>УДАЛИТЬ</v>
      </c>
      <c r="B53" s="603">
        <v>11154</v>
      </c>
      <c r="C53" s="603" t="s">
        <v>4</v>
      </c>
      <c r="D53" s="604">
        <f>$Q$19</f>
        <v>22</v>
      </c>
    </row>
    <row r="54" spans="1:61">
      <c r="A54" s="602" t="str">
        <f t="shared" si="6"/>
        <v>УДАЛИТЬ</v>
      </c>
      <c r="B54" s="603">
        <v>11155</v>
      </c>
      <c r="C54" s="603" t="s">
        <v>4</v>
      </c>
      <c r="D54" s="604">
        <f>$Q$19</f>
        <v>22</v>
      </c>
    </row>
    <row r="55" spans="1:61">
      <c r="A55" s="602" t="str">
        <f t="shared" si="6"/>
        <v>УДАЛИТЬ</v>
      </c>
      <c r="B55" s="603">
        <v>11150</v>
      </c>
      <c r="C55" s="603" t="s">
        <v>0</v>
      </c>
      <c r="D55" s="605" t="s">
        <v>1650</v>
      </c>
    </row>
    <row r="56" spans="1:61">
      <c r="A56" s="602" t="str">
        <f t="shared" si="6"/>
        <v>УДАЛИТЬ</v>
      </c>
      <c r="B56" s="603">
        <v>11151</v>
      </c>
      <c r="C56" s="603" t="s">
        <v>0</v>
      </c>
      <c r="D56" s="605" t="s">
        <v>1651</v>
      </c>
    </row>
    <row r="57" spans="1:61">
      <c r="A57" s="602" t="str">
        <f t="shared" si="6"/>
        <v>УДАЛИТЬ</v>
      </c>
      <c r="B57" s="603">
        <v>11000</v>
      </c>
      <c r="C57" s="603" t="s">
        <v>5</v>
      </c>
      <c r="D57" s="605">
        <v>2147483744</v>
      </c>
    </row>
    <row r="58" spans="1:61">
      <c r="A58" s="19" t="str">
        <f t="shared" si="6"/>
        <v>УДАЛИТЬ</v>
      </c>
      <c r="B58" s="11">
        <v>3</v>
      </c>
      <c r="C58" s="11" t="s">
        <v>1</v>
      </c>
      <c r="D58" s="20">
        <v>192</v>
      </c>
    </row>
    <row r="59" spans="1:61">
      <c r="A59" s="19" t="str">
        <f t="shared" si="6"/>
        <v>УДАЛИТЬ</v>
      </c>
      <c r="B59" s="11">
        <v>2</v>
      </c>
      <c r="C59" s="11" t="s">
        <v>2</v>
      </c>
      <c r="D59" s="20" t="s">
        <v>3</v>
      </c>
    </row>
    <row r="60" spans="1:61">
      <c r="A60" s="19" t="str">
        <f t="shared" si="6"/>
        <v>УДАЛИТЬ</v>
      </c>
      <c r="B60" s="11">
        <v>1</v>
      </c>
      <c r="C60" s="11" t="s">
        <v>1</v>
      </c>
      <c r="D60" s="20">
        <v>11</v>
      </c>
    </row>
    <row r="61" spans="1:61">
      <c r="A61" s="26" t="str">
        <f t="shared" si="6"/>
        <v>УДАЛИТЬ</v>
      </c>
      <c r="B61" s="27">
        <v>7050</v>
      </c>
      <c r="C61" s="27" t="s">
        <v>0</v>
      </c>
      <c r="D61" s="28" t="str">
        <f>"&lt;Addr AnswerSignalType=©0© Protocol=©IEC4Std© Type=©Protocol© ProtocolType=©30© Address=©XXX© ModuleNo=©" &amp; $T$5 &amp; "© Role=©Master© Station=©" &amp; $U$5 &amp; "©  /&gt;"</f>
        <v>&lt;Addr AnswerSignalType=©0© Protocol=©IEC4Std© Type=©Protocol© ProtocolType=©30© Address=©XXX© ModuleNo=©1© Role=©Master© Station=©1©  /&gt;</v>
      </c>
    </row>
    <row r="62" spans="1:61" ht="15" customHeight="1">
      <c r="A62" s="16" t="str">
        <f t="shared" ref="A62:A71" si="7">IFERROR($V$5 &amp; "BR"&amp;$AO$4&amp;".DI"&amp;AO$5,"УДАЛИТЬ")</f>
        <v>УДАЛИТЬ</v>
      </c>
      <c r="B62" s="17">
        <v>11001</v>
      </c>
      <c r="C62" s="17" t="s">
        <v>0</v>
      </c>
      <c r="D62" s="18" t="str">
        <f>$Q$2</f>
        <v>Аналоговый сигнал облегченный (только один сигнал) с буферизацией</v>
      </c>
      <c r="E62" s="4"/>
      <c r="F62" s="4"/>
      <c r="BF62" s="4"/>
      <c r="BG62" s="4"/>
      <c r="BH62" s="4"/>
      <c r="BI62" s="4"/>
    </row>
    <row r="63" spans="1:61">
      <c r="A63" s="602" t="str">
        <f t="shared" si="7"/>
        <v>УДАЛИТЬ</v>
      </c>
      <c r="B63" s="603">
        <v>11154</v>
      </c>
      <c r="C63" s="603" t="s">
        <v>4</v>
      </c>
      <c r="D63" s="604">
        <f>$Q$19</f>
        <v>22</v>
      </c>
    </row>
    <row r="64" spans="1:61">
      <c r="A64" s="602" t="str">
        <f t="shared" si="7"/>
        <v>УДАЛИТЬ</v>
      </c>
      <c r="B64" s="603">
        <v>11155</v>
      </c>
      <c r="C64" s="603" t="s">
        <v>4</v>
      </c>
      <c r="D64" s="604">
        <f>$Q$19</f>
        <v>22</v>
      </c>
    </row>
    <row r="65" spans="1:61">
      <c r="A65" s="602" t="str">
        <f t="shared" si="7"/>
        <v>УДАЛИТЬ</v>
      </c>
      <c r="B65" s="603">
        <v>11150</v>
      </c>
      <c r="C65" s="603" t="s">
        <v>0</v>
      </c>
      <c r="D65" s="605" t="s">
        <v>1652</v>
      </c>
    </row>
    <row r="66" spans="1:61">
      <c r="A66" s="602" t="str">
        <f t="shared" si="7"/>
        <v>УДАЛИТЬ</v>
      </c>
      <c r="B66" s="603">
        <v>11151</v>
      </c>
      <c r="C66" s="603" t="s">
        <v>0</v>
      </c>
      <c r="D66" s="605" t="s">
        <v>1653</v>
      </c>
    </row>
    <row r="67" spans="1:61">
      <c r="A67" s="602" t="str">
        <f t="shared" si="7"/>
        <v>УДАЛИТЬ</v>
      </c>
      <c r="B67" s="603">
        <v>11000</v>
      </c>
      <c r="C67" s="603" t="s">
        <v>5</v>
      </c>
      <c r="D67" s="605">
        <v>2147483744</v>
      </c>
    </row>
    <row r="68" spans="1:61">
      <c r="A68" s="19" t="str">
        <f t="shared" si="7"/>
        <v>УДАЛИТЬ</v>
      </c>
      <c r="B68" s="11">
        <v>3</v>
      </c>
      <c r="C68" s="11" t="s">
        <v>1</v>
      </c>
      <c r="D68" s="20">
        <v>192</v>
      </c>
    </row>
    <row r="69" spans="1:61">
      <c r="A69" s="19" t="str">
        <f t="shared" si="7"/>
        <v>УДАЛИТЬ</v>
      </c>
      <c r="B69" s="11">
        <v>2</v>
      </c>
      <c r="C69" s="11" t="s">
        <v>2</v>
      </c>
      <c r="D69" s="20" t="s">
        <v>3</v>
      </c>
    </row>
    <row r="70" spans="1:61">
      <c r="A70" s="19" t="str">
        <f t="shared" si="7"/>
        <v>УДАЛИТЬ</v>
      </c>
      <c r="B70" s="11">
        <v>1</v>
      </c>
      <c r="C70" s="11" t="s">
        <v>1</v>
      </c>
      <c r="D70" s="20">
        <v>11</v>
      </c>
    </row>
    <row r="71" spans="1:61">
      <c r="A71" s="26" t="str">
        <f t="shared" si="7"/>
        <v>УДАЛИТЬ</v>
      </c>
      <c r="B71" s="27">
        <v>7050</v>
      </c>
      <c r="C71" s="27" t="s">
        <v>0</v>
      </c>
      <c r="D71" s="28" t="str">
        <f>"&lt;Addr AnswerSignalType=©0© Protocol=©IEC4Std© Type=©Protocol© ProtocolType=©30© Address=©XXX© ModuleNo=©" &amp; $T$5 &amp; "© Role=©Master© Station=©" &amp; $U$5 &amp; "©  /&gt;"</f>
        <v>&lt;Addr AnswerSignalType=©0© Protocol=©IEC4Std© Type=©Protocol© ProtocolType=©30© Address=©XXX© ModuleNo=©1© Role=©Master© Station=©1©  /&gt;</v>
      </c>
    </row>
    <row r="72" spans="1:61" ht="15" customHeight="1">
      <c r="A72" s="16" t="str">
        <f t="shared" ref="A72:A81" si="8">IFERROR($V$5 &amp; "BR"&amp;$AP$4&amp;".DI"&amp;AP$5,"УДАЛИТЬ")</f>
        <v>УДАЛИТЬ</v>
      </c>
      <c r="B72" s="17">
        <v>11001</v>
      </c>
      <c r="C72" s="17" t="s">
        <v>0</v>
      </c>
      <c r="D72" s="18" t="str">
        <f>$Q$2</f>
        <v>Аналоговый сигнал облегченный (только один сигнал) с буферизацией</v>
      </c>
      <c r="E72" s="4"/>
      <c r="F72" s="4"/>
      <c r="BF72" s="4"/>
      <c r="BG72" s="4"/>
      <c r="BH72" s="4"/>
      <c r="BI72" s="4"/>
    </row>
    <row r="73" spans="1:61">
      <c r="A73" s="602" t="str">
        <f t="shared" si="8"/>
        <v>УДАЛИТЬ</v>
      </c>
      <c r="B73" s="603">
        <v>11154</v>
      </c>
      <c r="C73" s="603" t="s">
        <v>4</v>
      </c>
      <c r="D73" s="604">
        <f>$Q$19</f>
        <v>22</v>
      </c>
    </row>
    <row r="74" spans="1:61">
      <c r="A74" s="602" t="str">
        <f t="shared" si="8"/>
        <v>УДАЛИТЬ</v>
      </c>
      <c r="B74" s="603">
        <v>11155</v>
      </c>
      <c r="C74" s="603" t="s">
        <v>4</v>
      </c>
      <c r="D74" s="604">
        <f>$Q$19</f>
        <v>22</v>
      </c>
    </row>
    <row r="75" spans="1:61">
      <c r="A75" s="602" t="str">
        <f t="shared" si="8"/>
        <v>УДАЛИТЬ</v>
      </c>
      <c r="B75" s="603">
        <v>11150</v>
      </c>
      <c r="C75" s="603" t="s">
        <v>0</v>
      </c>
      <c r="D75" s="605" t="s">
        <v>1654</v>
      </c>
    </row>
    <row r="76" spans="1:61">
      <c r="A76" s="602" t="str">
        <f t="shared" si="8"/>
        <v>УДАЛИТЬ</v>
      </c>
      <c r="B76" s="603">
        <v>11151</v>
      </c>
      <c r="C76" s="603" t="s">
        <v>0</v>
      </c>
      <c r="D76" s="605" t="s">
        <v>1655</v>
      </c>
    </row>
    <row r="77" spans="1:61">
      <c r="A77" s="602" t="str">
        <f t="shared" si="8"/>
        <v>УДАЛИТЬ</v>
      </c>
      <c r="B77" s="603">
        <v>11000</v>
      </c>
      <c r="C77" s="603" t="s">
        <v>5</v>
      </c>
      <c r="D77" s="605">
        <v>2147483744</v>
      </c>
    </row>
    <row r="78" spans="1:61">
      <c r="A78" s="19" t="str">
        <f t="shared" si="8"/>
        <v>УДАЛИТЬ</v>
      </c>
      <c r="B78" s="11">
        <v>3</v>
      </c>
      <c r="C78" s="11" t="s">
        <v>1</v>
      </c>
      <c r="D78" s="20">
        <v>192</v>
      </c>
    </row>
    <row r="79" spans="1:61">
      <c r="A79" s="19" t="str">
        <f t="shared" si="8"/>
        <v>УДАЛИТЬ</v>
      </c>
      <c r="B79" s="11">
        <v>2</v>
      </c>
      <c r="C79" s="11" t="s">
        <v>2</v>
      </c>
      <c r="D79" s="20" t="s">
        <v>3</v>
      </c>
    </row>
    <row r="80" spans="1:61">
      <c r="A80" s="19" t="str">
        <f t="shared" si="8"/>
        <v>УДАЛИТЬ</v>
      </c>
      <c r="B80" s="11">
        <v>1</v>
      </c>
      <c r="C80" s="11" t="s">
        <v>1</v>
      </c>
      <c r="D80" s="20">
        <v>11</v>
      </c>
    </row>
    <row r="81" spans="1:61">
      <c r="A81" s="26" t="str">
        <f t="shared" si="8"/>
        <v>УДАЛИТЬ</v>
      </c>
      <c r="B81" s="27">
        <v>7050</v>
      </c>
      <c r="C81" s="27" t="s">
        <v>0</v>
      </c>
      <c r="D81" s="28" t="str">
        <f>"&lt;Addr AnswerSignalType=©0© Protocol=©IEC4Std© Type=©Protocol© ProtocolType=©30© Address=©XXX© ModuleNo=©" &amp; $T$5 &amp; "© Role=©Master© Station=©" &amp; $U$5 &amp; "©  /&gt;"</f>
        <v>&lt;Addr AnswerSignalType=©0© Protocol=©IEC4Std© Type=©Protocol© ProtocolType=©30© Address=©XXX© ModuleNo=©1© Role=©Master© Station=©1©  /&gt;</v>
      </c>
    </row>
    <row r="82" spans="1:61" ht="15" customHeight="1">
      <c r="A82" s="16" t="str">
        <f t="shared" ref="A82:A91" si="9">IFERROR($V$5 &amp; "BR"&amp;$AS$4&amp;".DI"&amp;AS$5,"УДАЛИТЬ")</f>
        <v>УДАЛИТЬ</v>
      </c>
      <c r="B82" s="17">
        <v>11001</v>
      </c>
      <c r="C82" s="17" t="s">
        <v>0</v>
      </c>
      <c r="D82" s="18" t="str">
        <f>$Q$2</f>
        <v>Аналоговый сигнал облегченный (только один сигнал) с буферизацией</v>
      </c>
      <c r="E82" s="4"/>
      <c r="F82" s="4"/>
      <c r="BF82" s="4"/>
      <c r="BG82" s="4"/>
      <c r="BH82" s="4"/>
      <c r="BI82" s="4"/>
    </row>
    <row r="83" spans="1:61">
      <c r="A83" s="602" t="str">
        <f t="shared" si="9"/>
        <v>УДАЛИТЬ</v>
      </c>
      <c r="B83" s="603">
        <v>11154</v>
      </c>
      <c r="C83" s="603" t="s">
        <v>4</v>
      </c>
      <c r="D83" s="604">
        <f>$Q$19</f>
        <v>22</v>
      </c>
    </row>
    <row r="84" spans="1:61">
      <c r="A84" s="602" t="str">
        <f t="shared" si="9"/>
        <v>УДАЛИТЬ</v>
      </c>
      <c r="B84" s="603">
        <v>11155</v>
      </c>
      <c r="C84" s="603" t="s">
        <v>4</v>
      </c>
      <c r="D84" s="604">
        <f>$Q$19</f>
        <v>22</v>
      </c>
    </row>
    <row r="85" spans="1:61">
      <c r="A85" s="602" t="str">
        <f t="shared" si="9"/>
        <v>УДАЛИТЬ</v>
      </c>
      <c r="B85" s="603">
        <v>11150</v>
      </c>
      <c r="C85" s="603" t="s">
        <v>0</v>
      </c>
      <c r="D85" s="605" t="s">
        <v>1663</v>
      </c>
    </row>
    <row r="86" spans="1:61">
      <c r="A86" s="602" t="str">
        <f t="shared" si="9"/>
        <v>УДАЛИТЬ</v>
      </c>
      <c r="B86" s="603">
        <v>11151</v>
      </c>
      <c r="C86" s="603" t="s">
        <v>0</v>
      </c>
      <c r="D86" s="605" t="s">
        <v>1662</v>
      </c>
    </row>
    <row r="87" spans="1:61">
      <c r="A87" s="602" t="str">
        <f t="shared" si="9"/>
        <v>УДАЛИТЬ</v>
      </c>
      <c r="B87" s="603">
        <v>11000</v>
      </c>
      <c r="C87" s="603" t="s">
        <v>5</v>
      </c>
      <c r="D87" s="605">
        <v>2147483744</v>
      </c>
    </row>
    <row r="88" spans="1:61">
      <c r="A88" s="19" t="str">
        <f t="shared" si="9"/>
        <v>УДАЛИТЬ</v>
      </c>
      <c r="B88" s="11">
        <v>3</v>
      </c>
      <c r="C88" s="11" t="s">
        <v>1</v>
      </c>
      <c r="D88" s="20">
        <v>192</v>
      </c>
    </row>
    <row r="89" spans="1:61">
      <c r="A89" s="19" t="str">
        <f t="shared" si="9"/>
        <v>УДАЛИТЬ</v>
      </c>
      <c r="B89" s="11">
        <v>2</v>
      </c>
      <c r="C89" s="11" t="s">
        <v>2</v>
      </c>
      <c r="D89" s="20" t="s">
        <v>3</v>
      </c>
    </row>
    <row r="90" spans="1:61">
      <c r="A90" s="19" t="str">
        <f t="shared" si="9"/>
        <v>УДАЛИТЬ</v>
      </c>
      <c r="B90" s="11">
        <v>1</v>
      </c>
      <c r="C90" s="11" t="s">
        <v>1</v>
      </c>
      <c r="D90" s="20">
        <v>11</v>
      </c>
    </row>
    <row r="91" spans="1:61">
      <c r="A91" s="26" t="str">
        <f t="shared" si="9"/>
        <v>УДАЛИТЬ</v>
      </c>
      <c r="B91" s="27">
        <v>7050</v>
      </c>
      <c r="C91" s="27" t="s">
        <v>0</v>
      </c>
      <c r="D91" s="28" t="str">
        <f>"&lt;Addr AnswerSignalType=©0© Protocol=©IEC4Std© Type=©Protocol© ProtocolType=©30© Address=©XXX© ModuleNo=©" &amp; $T$5 &amp; "© Role=©Master© Station=©" &amp; $U$5 &amp; "©  /&gt;"</f>
        <v>&lt;Addr AnswerSignalType=©0© Protocol=©IEC4Std© Type=©Protocol© ProtocolType=©30© Address=©XXX© ModuleNo=©1© Role=©Master© Station=©1©  /&gt;</v>
      </c>
    </row>
    <row r="92" spans="1:61" ht="15" customHeight="1">
      <c r="A92" s="16" t="str">
        <f t="shared" ref="A92:A101" si="10">IFERROR($V$5 &amp; "BR"&amp;$AT$4&amp;".DI"&amp;AT$5,"УДАЛИТЬ")</f>
        <v>УДАЛИТЬ</v>
      </c>
      <c r="B92" s="17">
        <v>11001</v>
      </c>
      <c r="C92" s="17" t="s">
        <v>0</v>
      </c>
      <c r="D92" s="18" t="str">
        <f>$Q$2</f>
        <v>Аналоговый сигнал облегченный (только один сигнал) с буферизацией</v>
      </c>
      <c r="E92" s="4"/>
      <c r="F92" s="4"/>
      <c r="BF92" s="4"/>
      <c r="BG92" s="4"/>
      <c r="BH92" s="4"/>
      <c r="BI92" s="4"/>
    </row>
    <row r="93" spans="1:61">
      <c r="A93" s="602" t="str">
        <f t="shared" si="10"/>
        <v>УДАЛИТЬ</v>
      </c>
      <c r="B93" s="603">
        <v>11154</v>
      </c>
      <c r="C93" s="603" t="s">
        <v>4</v>
      </c>
      <c r="D93" s="604">
        <f>$Q$19</f>
        <v>22</v>
      </c>
    </row>
    <row r="94" spans="1:61">
      <c r="A94" s="602" t="str">
        <f t="shared" si="10"/>
        <v>УДАЛИТЬ</v>
      </c>
      <c r="B94" s="603">
        <v>11155</v>
      </c>
      <c r="C94" s="603" t="s">
        <v>4</v>
      </c>
      <c r="D94" s="604">
        <f>$Q$19</f>
        <v>22</v>
      </c>
    </row>
    <row r="95" spans="1:61">
      <c r="A95" s="602" t="str">
        <f t="shared" si="10"/>
        <v>УДАЛИТЬ</v>
      </c>
      <c r="B95" s="603">
        <v>11150</v>
      </c>
      <c r="C95" s="603" t="s">
        <v>0</v>
      </c>
      <c r="D95" s="605" t="s">
        <v>1656</v>
      </c>
    </row>
    <row r="96" spans="1:61">
      <c r="A96" s="602" t="str">
        <f t="shared" si="10"/>
        <v>УДАЛИТЬ</v>
      </c>
      <c r="B96" s="603">
        <v>11151</v>
      </c>
      <c r="C96" s="603" t="s">
        <v>0</v>
      </c>
      <c r="D96" s="605" t="s">
        <v>1657</v>
      </c>
    </row>
    <row r="97" spans="1:61">
      <c r="A97" s="602" t="str">
        <f t="shared" si="10"/>
        <v>УДАЛИТЬ</v>
      </c>
      <c r="B97" s="603">
        <v>11000</v>
      </c>
      <c r="C97" s="603" t="s">
        <v>5</v>
      </c>
      <c r="D97" s="605">
        <v>2147483744</v>
      </c>
    </row>
    <row r="98" spans="1:61">
      <c r="A98" s="19" t="str">
        <f t="shared" si="10"/>
        <v>УДАЛИТЬ</v>
      </c>
      <c r="B98" s="11">
        <v>3</v>
      </c>
      <c r="C98" s="11" t="s">
        <v>1</v>
      </c>
      <c r="D98" s="20">
        <v>192</v>
      </c>
    </row>
    <row r="99" spans="1:61">
      <c r="A99" s="19" t="str">
        <f t="shared" si="10"/>
        <v>УДАЛИТЬ</v>
      </c>
      <c r="B99" s="11">
        <v>2</v>
      </c>
      <c r="C99" s="11" t="s">
        <v>2</v>
      </c>
      <c r="D99" s="20" t="s">
        <v>3</v>
      </c>
    </row>
    <row r="100" spans="1:61">
      <c r="A100" s="19" t="str">
        <f t="shared" si="10"/>
        <v>УДАЛИТЬ</v>
      </c>
      <c r="B100" s="11">
        <v>1</v>
      </c>
      <c r="C100" s="11" t="s">
        <v>1</v>
      </c>
      <c r="D100" s="20">
        <v>11</v>
      </c>
    </row>
    <row r="101" spans="1:61">
      <c r="A101" s="26" t="str">
        <f t="shared" si="10"/>
        <v>УДАЛИТЬ</v>
      </c>
      <c r="B101" s="27">
        <v>7050</v>
      </c>
      <c r="C101" s="27" t="s">
        <v>0</v>
      </c>
      <c r="D101" s="28" t="str">
        <f>"&lt;Addr AnswerSignalType=©0© Protocol=©IEC4Std© Type=©Protocol© ProtocolType=©30© Address=©XXX© ModuleNo=©" &amp; $T$5 &amp; "© Role=©Master© Station=©" &amp; $U$5 &amp; "©  /&gt;"</f>
        <v>&lt;Addr AnswerSignalType=©0© Protocol=©IEC4Std© Type=©Protocol© ProtocolType=©30© Address=©XXX© ModuleNo=©1© Role=©Master© Station=©1©  /&gt;</v>
      </c>
    </row>
    <row r="102" spans="1:61" ht="15" customHeight="1">
      <c r="A102" s="16" t="str">
        <f t="shared" ref="A102:A111" si="11">IFERROR($V$5 &amp; "BR"&amp;$AU$4&amp;".DI"&amp;AU$5,"УДАЛИТЬ")</f>
        <v>УДАЛИТЬ</v>
      </c>
      <c r="B102" s="17">
        <v>11001</v>
      </c>
      <c r="C102" s="17" t="s">
        <v>0</v>
      </c>
      <c r="D102" s="18" t="str">
        <f>$Q$2</f>
        <v>Аналоговый сигнал облегченный (только один сигнал) с буферизацией</v>
      </c>
      <c r="E102" s="4"/>
      <c r="F102" s="4"/>
      <c r="BF102" s="4"/>
      <c r="BG102" s="4"/>
      <c r="BH102" s="4"/>
      <c r="BI102" s="4"/>
    </row>
    <row r="103" spans="1:61">
      <c r="A103" s="602" t="str">
        <f t="shared" si="11"/>
        <v>УДАЛИТЬ</v>
      </c>
      <c r="B103" s="603">
        <v>11154</v>
      </c>
      <c r="C103" s="603" t="s">
        <v>4</v>
      </c>
      <c r="D103" s="604">
        <f>$Q$19</f>
        <v>22</v>
      </c>
    </row>
    <row r="104" spans="1:61">
      <c r="A104" s="602" t="str">
        <f t="shared" si="11"/>
        <v>УДАЛИТЬ</v>
      </c>
      <c r="B104" s="603">
        <v>11155</v>
      </c>
      <c r="C104" s="603" t="s">
        <v>4</v>
      </c>
      <c r="D104" s="604">
        <f>$Q$19</f>
        <v>22</v>
      </c>
    </row>
    <row r="105" spans="1:61">
      <c r="A105" s="602" t="str">
        <f t="shared" si="11"/>
        <v>УДАЛИТЬ</v>
      </c>
      <c r="B105" s="603">
        <v>11150</v>
      </c>
      <c r="C105" s="603" t="s">
        <v>0</v>
      </c>
      <c r="D105" s="605" t="s">
        <v>1658</v>
      </c>
    </row>
    <row r="106" spans="1:61">
      <c r="A106" s="602" t="str">
        <f t="shared" si="11"/>
        <v>УДАЛИТЬ</v>
      </c>
      <c r="B106" s="603">
        <v>11151</v>
      </c>
      <c r="C106" s="603" t="s">
        <v>0</v>
      </c>
      <c r="D106" s="605" t="s">
        <v>1659</v>
      </c>
    </row>
    <row r="107" spans="1:61">
      <c r="A107" s="602" t="str">
        <f t="shared" si="11"/>
        <v>УДАЛИТЬ</v>
      </c>
      <c r="B107" s="603">
        <v>11000</v>
      </c>
      <c r="C107" s="603" t="s">
        <v>5</v>
      </c>
      <c r="D107" s="605">
        <v>2147483744</v>
      </c>
    </row>
    <row r="108" spans="1:61">
      <c r="A108" s="19" t="str">
        <f t="shared" si="11"/>
        <v>УДАЛИТЬ</v>
      </c>
      <c r="B108" s="11">
        <v>3</v>
      </c>
      <c r="C108" s="11" t="s">
        <v>1</v>
      </c>
      <c r="D108" s="20">
        <v>192</v>
      </c>
    </row>
    <row r="109" spans="1:61">
      <c r="A109" s="19" t="str">
        <f t="shared" si="11"/>
        <v>УДАЛИТЬ</v>
      </c>
      <c r="B109" s="11">
        <v>2</v>
      </c>
      <c r="C109" s="11" t="s">
        <v>2</v>
      </c>
      <c r="D109" s="20" t="s">
        <v>3</v>
      </c>
    </row>
    <row r="110" spans="1:61">
      <c r="A110" s="19" t="str">
        <f t="shared" si="11"/>
        <v>УДАЛИТЬ</v>
      </c>
      <c r="B110" s="11">
        <v>1</v>
      </c>
      <c r="C110" s="11" t="s">
        <v>1</v>
      </c>
      <c r="D110" s="20">
        <v>11</v>
      </c>
    </row>
    <row r="111" spans="1:61">
      <c r="A111" s="26" t="str">
        <f t="shared" si="11"/>
        <v>УДАЛИТЬ</v>
      </c>
      <c r="B111" s="27">
        <v>7050</v>
      </c>
      <c r="C111" s="27" t="s">
        <v>0</v>
      </c>
      <c r="D111" s="28" t="str">
        <f>"&lt;Addr AnswerSignalType=©0© Protocol=©IEC4Std© Type=©Protocol© ProtocolType=©30© Address=©XXX© ModuleNo=©" &amp; $T$5 &amp; "© Role=©Master© Station=©" &amp; $U$5 &amp; "©  /&gt;"</f>
        <v>&lt;Addr AnswerSignalType=©0© Protocol=©IEC4Std© Type=©Protocol© ProtocolType=©30© Address=©XXX© ModuleNo=©1© Role=©Master© Station=©1©  /&gt;</v>
      </c>
    </row>
    <row r="112" spans="1:61" ht="15" customHeight="1">
      <c r="A112" s="16" t="str">
        <f t="shared" ref="A112:A121" si="12">IFERROR($V$5 &amp; "BR"&amp;$AV$4&amp;".DI"&amp;AV$5,"УДАЛИТЬ")</f>
        <v>УДАЛИТЬ</v>
      </c>
      <c r="B112" s="17">
        <v>11001</v>
      </c>
      <c r="C112" s="17" t="s">
        <v>0</v>
      </c>
      <c r="D112" s="18" t="str">
        <f>$Q$2</f>
        <v>Аналоговый сигнал облегченный (только один сигнал) с буферизацией</v>
      </c>
      <c r="E112" s="4"/>
      <c r="F112" s="4"/>
      <c r="BF112" s="4"/>
      <c r="BG112" s="4"/>
      <c r="BH112" s="4"/>
      <c r="BI112" s="4"/>
    </row>
    <row r="113" spans="1:4">
      <c r="A113" s="602" t="str">
        <f t="shared" si="12"/>
        <v>УДАЛИТЬ</v>
      </c>
      <c r="B113" s="603">
        <v>11154</v>
      </c>
      <c r="C113" s="603" t="s">
        <v>4</v>
      </c>
      <c r="D113" s="604">
        <f>$Q$19</f>
        <v>22</v>
      </c>
    </row>
    <row r="114" spans="1:4">
      <c r="A114" s="602" t="str">
        <f t="shared" si="12"/>
        <v>УДАЛИТЬ</v>
      </c>
      <c r="B114" s="603">
        <v>11155</v>
      </c>
      <c r="C114" s="603" t="s">
        <v>4</v>
      </c>
      <c r="D114" s="604">
        <f>$Q$19</f>
        <v>22</v>
      </c>
    </row>
    <row r="115" spans="1:4">
      <c r="A115" s="602" t="str">
        <f t="shared" si="12"/>
        <v>УДАЛИТЬ</v>
      </c>
      <c r="B115" s="603">
        <v>11150</v>
      </c>
      <c r="C115" s="603" t="s">
        <v>0</v>
      </c>
      <c r="D115" s="605" t="s">
        <v>1661</v>
      </c>
    </row>
    <row r="116" spans="1:4">
      <c r="A116" s="602" t="str">
        <f t="shared" si="12"/>
        <v>УДАЛИТЬ</v>
      </c>
      <c r="B116" s="603">
        <v>11151</v>
      </c>
      <c r="C116" s="603" t="s">
        <v>0</v>
      </c>
      <c r="D116" s="605" t="s">
        <v>1660</v>
      </c>
    </row>
    <row r="117" spans="1:4">
      <c r="A117" s="602" t="str">
        <f t="shared" si="12"/>
        <v>УДАЛИТЬ</v>
      </c>
      <c r="B117" s="603">
        <v>11000</v>
      </c>
      <c r="C117" s="603" t="s">
        <v>5</v>
      </c>
      <c r="D117" s="605">
        <v>2147483744</v>
      </c>
    </row>
    <row r="118" spans="1:4">
      <c r="A118" s="19" t="str">
        <f t="shared" si="12"/>
        <v>УДАЛИТЬ</v>
      </c>
      <c r="B118" s="11">
        <v>3</v>
      </c>
      <c r="C118" s="11" t="s">
        <v>1</v>
      </c>
      <c r="D118" s="20">
        <v>192</v>
      </c>
    </row>
    <row r="119" spans="1:4">
      <c r="A119" s="19" t="str">
        <f t="shared" si="12"/>
        <v>УДАЛИТЬ</v>
      </c>
      <c r="B119" s="11">
        <v>2</v>
      </c>
      <c r="C119" s="11" t="s">
        <v>2</v>
      </c>
      <c r="D119" s="20" t="s">
        <v>3</v>
      </c>
    </row>
    <row r="120" spans="1:4">
      <c r="A120" s="19" t="str">
        <f t="shared" si="12"/>
        <v>УДАЛИТЬ</v>
      </c>
      <c r="B120" s="11">
        <v>1</v>
      </c>
      <c r="C120" s="11" t="s">
        <v>1</v>
      </c>
      <c r="D120" s="20">
        <v>11</v>
      </c>
    </row>
    <row r="121" spans="1:4">
      <c r="A121" s="26" t="str">
        <f t="shared" si="12"/>
        <v>УДАЛИТЬ</v>
      </c>
      <c r="B121" s="27">
        <v>7050</v>
      </c>
      <c r="C121" s="27" t="s">
        <v>0</v>
      </c>
      <c r="D121" s="28" t="str">
        <f>"&lt;Addr AnswerSignalType=©0© Protocol=©IEC4Std© Type=©Protocol© ProtocolType=©30© Address=©XXX© ModuleNo=©" &amp; $T$5 &amp; "© Role=©Master© Station=©" &amp; $U$5 &amp; "©  /&gt;"</f>
        <v>&lt;Addr AnswerSignalType=©0© Protocol=©IEC4Std© Type=©Protocol© ProtocolType=©30© Address=©XXX© ModuleNo=©1© Role=©Master© Station=©1©  /&gt;</v>
      </c>
    </row>
    <row r="122" spans="1:4">
      <c r="A122" s="599" t="s">
        <v>598</v>
      </c>
      <c r="B122" s="600"/>
      <c r="C122" s="600"/>
      <c r="D122" s="601"/>
    </row>
    <row r="123" spans="1:4">
      <c r="A123" s="16" t="str">
        <f t="shared" ref="A123:A132" si="13">IFERROR($V$5 &amp; "BR"&amp;$AL$4&amp;".DI"&amp;AL$5,"УДАЛИТЬ")</f>
        <v>УДАЛИТЬ</v>
      </c>
      <c r="B123" s="17">
        <v>11001</v>
      </c>
      <c r="C123" s="17" t="s">
        <v>0</v>
      </c>
      <c r="D123" s="18" t="str">
        <f>$Q$2</f>
        <v>Аналоговый сигнал облегченный (только один сигнал) с буферизацией</v>
      </c>
    </row>
    <row r="124" spans="1:4">
      <c r="A124" s="602" t="str">
        <f t="shared" si="13"/>
        <v>УДАЛИТЬ</v>
      </c>
      <c r="B124" s="603">
        <v>11154</v>
      </c>
      <c r="C124" s="603" t="s">
        <v>4</v>
      </c>
      <c r="D124" s="604">
        <f>$Q$19</f>
        <v>22</v>
      </c>
    </row>
    <row r="125" spans="1:4">
      <c r="A125" s="602" t="str">
        <f>IFERROR($V$5 &amp; "BR"&amp;$AL$4&amp;".DI"&amp;AL$5,"УДАЛИТЬ")</f>
        <v>УДАЛИТЬ</v>
      </c>
      <c r="B125" s="603">
        <v>11155</v>
      </c>
      <c r="C125" s="603" t="s">
        <v>4</v>
      </c>
      <c r="D125" s="604">
        <f>$Q$19</f>
        <v>22</v>
      </c>
    </row>
    <row r="126" spans="1:4">
      <c r="A126" s="602" t="str">
        <f t="shared" si="13"/>
        <v>УДАЛИТЬ</v>
      </c>
      <c r="B126" s="603">
        <v>11150</v>
      </c>
      <c r="C126" s="603" t="s">
        <v>0</v>
      </c>
      <c r="D126" s="605" t="s">
        <v>1646</v>
      </c>
    </row>
    <row r="127" spans="1:4">
      <c r="A127" s="602" t="str">
        <f t="shared" si="13"/>
        <v>УДАЛИТЬ</v>
      </c>
      <c r="B127" s="603">
        <v>11151</v>
      </c>
      <c r="C127" s="603" t="s">
        <v>0</v>
      </c>
      <c r="D127" s="605" t="s">
        <v>1647</v>
      </c>
    </row>
    <row r="128" spans="1:4">
      <c r="A128" s="602" t="str">
        <f t="shared" si="13"/>
        <v>УДАЛИТЬ</v>
      </c>
      <c r="B128" s="603">
        <v>11000</v>
      </c>
      <c r="C128" s="603" t="s">
        <v>5</v>
      </c>
      <c r="D128" s="605">
        <v>2147483744</v>
      </c>
    </row>
    <row r="129" spans="1:4">
      <c r="A129" s="19" t="str">
        <f t="shared" si="13"/>
        <v>УДАЛИТЬ</v>
      </c>
      <c r="B129" s="11">
        <v>3</v>
      </c>
      <c r="C129" s="11" t="s">
        <v>1</v>
      </c>
      <c r="D129" s="20">
        <v>192</v>
      </c>
    </row>
    <row r="130" spans="1:4">
      <c r="A130" s="19" t="str">
        <f t="shared" si="13"/>
        <v>УДАЛИТЬ</v>
      </c>
      <c r="B130" s="11">
        <v>2</v>
      </c>
      <c r="C130" s="11" t="s">
        <v>2</v>
      </c>
      <c r="D130" s="20" t="s">
        <v>3</v>
      </c>
    </row>
    <row r="131" spans="1:4">
      <c r="A131" s="19" t="str">
        <f t="shared" si="13"/>
        <v>УДАЛИТЬ</v>
      </c>
      <c r="B131" s="11">
        <v>1</v>
      </c>
      <c r="C131" s="11" t="s">
        <v>1</v>
      </c>
      <c r="D131" s="20">
        <v>11</v>
      </c>
    </row>
    <row r="132" spans="1:4">
      <c r="A132" s="26" t="str">
        <f t="shared" si="13"/>
        <v>УДАЛИТЬ</v>
      </c>
      <c r="B132" s="27">
        <v>7050</v>
      </c>
      <c r="C132" s="27" t="s">
        <v>0</v>
      </c>
      <c r="D132" s="28" t="str">
        <f>"&lt;Addr AnswerSignalType=©0© Protocol=©IEC4Std© Type=©Protocol© ProtocolType=©30© Address=©XXX© ModuleNo=©" &amp; $T$5 &amp; "© Role=©Master© Station=©" &amp; $U$5 &amp; "©  /&gt;"</f>
        <v>&lt;Addr AnswerSignalType=©0© Protocol=©IEC4Std© Type=©Protocol© ProtocolType=©30© Address=©XXX© ModuleNo=©1© Role=©Master© Station=©1©  /&gt;</v>
      </c>
    </row>
    <row r="133" spans="1:4">
      <c r="A133" s="16" t="str">
        <f t="shared" ref="A133:A142" si="14">IFERROR($V$5 &amp; "BR"&amp;$AM$4&amp;".DI"&amp;AM$5,"УДАЛИТЬ")</f>
        <v>УДАЛИТЬ</v>
      </c>
      <c r="B133" s="17">
        <v>11001</v>
      </c>
      <c r="C133" s="17" t="s">
        <v>0</v>
      </c>
      <c r="D133" s="18" t="str">
        <f>$Q$2</f>
        <v>Аналоговый сигнал облегченный (только один сигнал) с буферизацией</v>
      </c>
    </row>
    <row r="134" spans="1:4">
      <c r="A134" s="602" t="str">
        <f t="shared" si="14"/>
        <v>УДАЛИТЬ</v>
      </c>
      <c r="B134" s="603">
        <v>11154</v>
      </c>
      <c r="C134" s="603" t="s">
        <v>4</v>
      </c>
      <c r="D134" s="604">
        <f>$Q$19</f>
        <v>22</v>
      </c>
    </row>
    <row r="135" spans="1:4">
      <c r="A135" s="602" t="str">
        <f t="shared" si="14"/>
        <v>УДАЛИТЬ</v>
      </c>
      <c r="B135" s="603">
        <v>11155</v>
      </c>
      <c r="C135" s="603" t="s">
        <v>4</v>
      </c>
      <c r="D135" s="604">
        <f>$Q$19</f>
        <v>22</v>
      </c>
    </row>
    <row r="136" spans="1:4">
      <c r="A136" s="602" t="str">
        <f t="shared" si="14"/>
        <v>УДАЛИТЬ</v>
      </c>
      <c r="B136" s="603">
        <v>11150</v>
      </c>
      <c r="C136" s="603" t="s">
        <v>0</v>
      </c>
      <c r="D136" s="605" t="s">
        <v>1648</v>
      </c>
    </row>
    <row r="137" spans="1:4">
      <c r="A137" s="602" t="str">
        <f t="shared" si="14"/>
        <v>УДАЛИТЬ</v>
      </c>
      <c r="B137" s="603">
        <v>11151</v>
      </c>
      <c r="C137" s="603" t="s">
        <v>0</v>
      </c>
      <c r="D137" s="605" t="s">
        <v>1649</v>
      </c>
    </row>
    <row r="138" spans="1:4">
      <c r="A138" s="602" t="str">
        <f t="shared" si="14"/>
        <v>УДАЛИТЬ</v>
      </c>
      <c r="B138" s="603">
        <v>11000</v>
      </c>
      <c r="C138" s="603" t="s">
        <v>5</v>
      </c>
      <c r="D138" s="605">
        <v>2147483744</v>
      </c>
    </row>
    <row r="139" spans="1:4">
      <c r="A139" s="19" t="str">
        <f t="shared" si="14"/>
        <v>УДАЛИТЬ</v>
      </c>
      <c r="B139" s="11">
        <v>3</v>
      </c>
      <c r="C139" s="11" t="s">
        <v>1</v>
      </c>
      <c r="D139" s="20">
        <v>192</v>
      </c>
    </row>
    <row r="140" spans="1:4">
      <c r="A140" s="19" t="str">
        <f t="shared" si="14"/>
        <v>УДАЛИТЬ</v>
      </c>
      <c r="B140" s="11">
        <v>2</v>
      </c>
      <c r="C140" s="11" t="s">
        <v>2</v>
      </c>
      <c r="D140" s="20" t="s">
        <v>3</v>
      </c>
    </row>
    <row r="141" spans="1:4">
      <c r="A141" s="19" t="str">
        <f t="shared" si="14"/>
        <v>УДАЛИТЬ</v>
      </c>
      <c r="B141" s="11">
        <v>1</v>
      </c>
      <c r="C141" s="11" t="s">
        <v>1</v>
      </c>
      <c r="D141" s="20">
        <v>11</v>
      </c>
    </row>
    <row r="142" spans="1:4">
      <c r="A142" s="26" t="str">
        <f t="shared" si="14"/>
        <v>УДАЛИТЬ</v>
      </c>
      <c r="B142" s="27">
        <v>7050</v>
      </c>
      <c r="C142" s="27" t="s">
        <v>0</v>
      </c>
      <c r="D142" s="28" t="str">
        <f>"&lt;Addr AnswerSignalType=©0© Protocol=©IEC4Std© Type=©Protocol© ProtocolType=©30© Address=©XXX© ModuleNo=©" &amp; $T$5 &amp; "© Role=©Master© Station=©" &amp; $U$5 &amp; "©  /&gt;"</f>
        <v>&lt;Addr AnswerSignalType=©0© Protocol=©IEC4Std© Type=©Protocol© ProtocolType=©30© Address=©XXX© ModuleNo=©1© Role=©Master© Station=©1©  /&gt;</v>
      </c>
    </row>
    <row r="143" spans="1:4">
      <c r="A143" s="16" t="str">
        <f t="shared" ref="A143:A152" si="15">IFERROR($V$5 &amp; "BR"&amp;$AN$4&amp;".DI"&amp;AN$5,"УДАЛИТЬ")</f>
        <v>УДАЛИТЬ</v>
      </c>
      <c r="B143" s="17">
        <v>11001</v>
      </c>
      <c r="C143" s="17" t="s">
        <v>0</v>
      </c>
      <c r="D143" s="18" t="str">
        <f>$Q$2</f>
        <v>Аналоговый сигнал облегченный (только один сигнал) с буферизацией</v>
      </c>
    </row>
    <row r="144" spans="1:4">
      <c r="A144" s="602" t="str">
        <f t="shared" si="15"/>
        <v>УДАЛИТЬ</v>
      </c>
      <c r="B144" s="603">
        <v>11154</v>
      </c>
      <c r="C144" s="603" t="s">
        <v>4</v>
      </c>
      <c r="D144" s="604">
        <f>$Q$19</f>
        <v>22</v>
      </c>
    </row>
    <row r="145" spans="1:4">
      <c r="A145" s="602" t="str">
        <f t="shared" si="15"/>
        <v>УДАЛИТЬ</v>
      </c>
      <c r="B145" s="603">
        <v>11155</v>
      </c>
      <c r="C145" s="603" t="s">
        <v>4</v>
      </c>
      <c r="D145" s="604">
        <f>$Q$19</f>
        <v>22</v>
      </c>
    </row>
    <row r="146" spans="1:4">
      <c r="A146" s="602" t="str">
        <f t="shared" si="15"/>
        <v>УДАЛИТЬ</v>
      </c>
      <c r="B146" s="603">
        <v>11150</v>
      </c>
      <c r="C146" s="603" t="s">
        <v>0</v>
      </c>
      <c r="D146" s="605" t="s">
        <v>1650</v>
      </c>
    </row>
    <row r="147" spans="1:4">
      <c r="A147" s="602" t="str">
        <f t="shared" si="15"/>
        <v>УДАЛИТЬ</v>
      </c>
      <c r="B147" s="603">
        <v>11151</v>
      </c>
      <c r="C147" s="603" t="s">
        <v>0</v>
      </c>
      <c r="D147" s="605" t="s">
        <v>1651</v>
      </c>
    </row>
    <row r="148" spans="1:4">
      <c r="A148" s="602" t="str">
        <f t="shared" si="15"/>
        <v>УДАЛИТЬ</v>
      </c>
      <c r="B148" s="603">
        <v>11000</v>
      </c>
      <c r="C148" s="603" t="s">
        <v>5</v>
      </c>
      <c r="D148" s="605">
        <v>2147483744</v>
      </c>
    </row>
    <row r="149" spans="1:4">
      <c r="A149" s="19" t="str">
        <f t="shared" si="15"/>
        <v>УДАЛИТЬ</v>
      </c>
      <c r="B149" s="11">
        <v>3</v>
      </c>
      <c r="C149" s="11" t="s">
        <v>1</v>
      </c>
      <c r="D149" s="20">
        <v>192</v>
      </c>
    </row>
    <row r="150" spans="1:4">
      <c r="A150" s="19" t="str">
        <f t="shared" si="15"/>
        <v>УДАЛИТЬ</v>
      </c>
      <c r="B150" s="11">
        <v>2</v>
      </c>
      <c r="C150" s="11" t="s">
        <v>2</v>
      </c>
      <c r="D150" s="20" t="s">
        <v>3</v>
      </c>
    </row>
    <row r="151" spans="1:4">
      <c r="A151" s="19" t="str">
        <f t="shared" si="15"/>
        <v>УДАЛИТЬ</v>
      </c>
      <c r="B151" s="11">
        <v>1</v>
      </c>
      <c r="C151" s="11" t="s">
        <v>1</v>
      </c>
      <c r="D151" s="20">
        <v>11</v>
      </c>
    </row>
    <row r="152" spans="1:4">
      <c r="A152" s="26" t="str">
        <f t="shared" si="15"/>
        <v>УДАЛИТЬ</v>
      </c>
      <c r="B152" s="27">
        <v>7050</v>
      </c>
      <c r="C152" s="27" t="s">
        <v>0</v>
      </c>
      <c r="D152" s="28" t="str">
        <f>"&lt;Addr AnswerSignalType=©0© Protocol=©IEC4Std© Type=©Protocol© ProtocolType=©30© Address=©XXX© ModuleNo=©" &amp; $T$5 &amp; "© Role=©Master© Station=©" &amp; $U$5 &amp; "©  /&gt;"</f>
        <v>&lt;Addr AnswerSignalType=©0© Protocol=©IEC4Std© Type=©Protocol© ProtocolType=©30© Address=©XXX© ModuleNo=©1© Role=©Master© Station=©1©  /&gt;</v>
      </c>
    </row>
    <row r="153" spans="1:4">
      <c r="A153" s="16" t="str">
        <f t="shared" ref="A153:A162" si="16">IFERROR($V$5 &amp; "BR"&amp;$AO$4&amp;".DI"&amp;AO$5,"УДАЛИТЬ")</f>
        <v>УДАЛИТЬ</v>
      </c>
      <c r="B153" s="17">
        <v>11001</v>
      </c>
      <c r="C153" s="17" t="s">
        <v>0</v>
      </c>
      <c r="D153" s="18" t="str">
        <f>$Q$2</f>
        <v>Аналоговый сигнал облегченный (только один сигнал) с буферизацией</v>
      </c>
    </row>
    <row r="154" spans="1:4">
      <c r="A154" s="602" t="str">
        <f t="shared" si="16"/>
        <v>УДАЛИТЬ</v>
      </c>
      <c r="B154" s="603">
        <v>11154</v>
      </c>
      <c r="C154" s="603" t="s">
        <v>4</v>
      </c>
      <c r="D154" s="604">
        <f>$Q$19</f>
        <v>22</v>
      </c>
    </row>
    <row r="155" spans="1:4">
      <c r="A155" s="602" t="str">
        <f t="shared" si="16"/>
        <v>УДАЛИТЬ</v>
      </c>
      <c r="B155" s="603">
        <v>11155</v>
      </c>
      <c r="C155" s="603" t="s">
        <v>4</v>
      </c>
      <c r="D155" s="604">
        <f>$Q$19</f>
        <v>22</v>
      </c>
    </row>
    <row r="156" spans="1:4">
      <c r="A156" s="602" t="str">
        <f t="shared" si="16"/>
        <v>УДАЛИТЬ</v>
      </c>
      <c r="B156" s="603">
        <v>11150</v>
      </c>
      <c r="C156" s="603" t="s">
        <v>0</v>
      </c>
      <c r="D156" s="605" t="s">
        <v>1652</v>
      </c>
    </row>
    <row r="157" spans="1:4">
      <c r="A157" s="602" t="str">
        <f t="shared" si="16"/>
        <v>УДАЛИТЬ</v>
      </c>
      <c r="B157" s="603">
        <v>11151</v>
      </c>
      <c r="C157" s="603" t="s">
        <v>0</v>
      </c>
      <c r="D157" s="605" t="s">
        <v>1653</v>
      </c>
    </row>
    <row r="158" spans="1:4">
      <c r="A158" s="602" t="str">
        <f t="shared" si="16"/>
        <v>УДАЛИТЬ</v>
      </c>
      <c r="B158" s="603">
        <v>11000</v>
      </c>
      <c r="C158" s="603" t="s">
        <v>5</v>
      </c>
      <c r="D158" s="605">
        <v>2147483744</v>
      </c>
    </row>
    <row r="159" spans="1:4">
      <c r="A159" s="19" t="str">
        <f t="shared" si="16"/>
        <v>УДАЛИТЬ</v>
      </c>
      <c r="B159" s="11">
        <v>3</v>
      </c>
      <c r="C159" s="11" t="s">
        <v>1</v>
      </c>
      <c r="D159" s="20">
        <v>192</v>
      </c>
    </row>
    <row r="160" spans="1:4">
      <c r="A160" s="19" t="str">
        <f t="shared" si="16"/>
        <v>УДАЛИТЬ</v>
      </c>
      <c r="B160" s="11">
        <v>2</v>
      </c>
      <c r="C160" s="11" t="s">
        <v>2</v>
      </c>
      <c r="D160" s="20" t="s">
        <v>3</v>
      </c>
    </row>
    <row r="161" spans="1:4">
      <c r="A161" s="19" t="str">
        <f t="shared" si="16"/>
        <v>УДАЛИТЬ</v>
      </c>
      <c r="B161" s="11">
        <v>1</v>
      </c>
      <c r="C161" s="11" t="s">
        <v>1</v>
      </c>
      <c r="D161" s="20">
        <v>11</v>
      </c>
    </row>
    <row r="162" spans="1:4">
      <c r="A162" s="26" t="str">
        <f t="shared" si="16"/>
        <v>УДАЛИТЬ</v>
      </c>
      <c r="B162" s="27">
        <v>7050</v>
      </c>
      <c r="C162" s="27" t="s">
        <v>0</v>
      </c>
      <c r="D162" s="28" t="str">
        <f>"&lt;Addr AnswerSignalType=©0© Protocol=©IEC4Std© Type=©Protocol© ProtocolType=©30© Address=©XXX© ModuleNo=©" &amp; $T$5 &amp; "© Role=©Master© Station=©" &amp; $U$5 &amp; "©  /&gt;"</f>
        <v>&lt;Addr AnswerSignalType=©0© Protocol=©IEC4Std© Type=©Protocol© ProtocolType=©30© Address=©XXX© ModuleNo=©1© Role=©Master© Station=©1©  /&gt;</v>
      </c>
    </row>
    <row r="163" spans="1:4">
      <c r="A163" s="16" t="str">
        <f t="shared" ref="A163:A172" si="17">IFERROR($V$5 &amp; "BR"&amp;$AP$4&amp;".DI"&amp;AP$5,"УДАЛИТЬ")</f>
        <v>УДАЛИТЬ</v>
      </c>
      <c r="B163" s="17">
        <v>11001</v>
      </c>
      <c r="C163" s="17" t="s">
        <v>0</v>
      </c>
      <c r="D163" s="18" t="str">
        <f>$Q$2</f>
        <v>Аналоговый сигнал облегченный (только один сигнал) с буферизацией</v>
      </c>
    </row>
    <row r="164" spans="1:4">
      <c r="A164" s="602" t="str">
        <f t="shared" si="17"/>
        <v>УДАЛИТЬ</v>
      </c>
      <c r="B164" s="603">
        <v>11154</v>
      </c>
      <c r="C164" s="603" t="s">
        <v>4</v>
      </c>
      <c r="D164" s="604">
        <f>$Q$19</f>
        <v>22</v>
      </c>
    </row>
    <row r="165" spans="1:4">
      <c r="A165" s="602" t="str">
        <f t="shared" si="17"/>
        <v>УДАЛИТЬ</v>
      </c>
      <c r="B165" s="603">
        <v>11155</v>
      </c>
      <c r="C165" s="603" t="s">
        <v>4</v>
      </c>
      <c r="D165" s="604">
        <f>$Q$19</f>
        <v>22</v>
      </c>
    </row>
    <row r="166" spans="1:4">
      <c r="A166" s="602" t="str">
        <f t="shared" si="17"/>
        <v>УДАЛИТЬ</v>
      </c>
      <c r="B166" s="603">
        <v>11150</v>
      </c>
      <c r="C166" s="603" t="s">
        <v>0</v>
      </c>
      <c r="D166" s="605" t="s">
        <v>1654</v>
      </c>
    </row>
    <row r="167" spans="1:4">
      <c r="A167" s="602" t="str">
        <f t="shared" si="17"/>
        <v>УДАЛИТЬ</v>
      </c>
      <c r="B167" s="603">
        <v>11151</v>
      </c>
      <c r="C167" s="603" t="s">
        <v>0</v>
      </c>
      <c r="D167" s="605" t="s">
        <v>1655</v>
      </c>
    </row>
    <row r="168" spans="1:4">
      <c r="A168" s="602" t="str">
        <f t="shared" si="17"/>
        <v>УДАЛИТЬ</v>
      </c>
      <c r="B168" s="603">
        <v>11000</v>
      </c>
      <c r="C168" s="603" t="s">
        <v>5</v>
      </c>
      <c r="D168" s="605">
        <v>2147483744</v>
      </c>
    </row>
    <row r="169" spans="1:4">
      <c r="A169" s="19" t="str">
        <f t="shared" si="17"/>
        <v>УДАЛИТЬ</v>
      </c>
      <c r="B169" s="11">
        <v>3</v>
      </c>
      <c r="C169" s="11" t="s">
        <v>1</v>
      </c>
      <c r="D169" s="20">
        <v>192</v>
      </c>
    </row>
    <row r="170" spans="1:4">
      <c r="A170" s="19" t="str">
        <f t="shared" si="17"/>
        <v>УДАЛИТЬ</v>
      </c>
      <c r="B170" s="11">
        <v>2</v>
      </c>
      <c r="C170" s="11" t="s">
        <v>2</v>
      </c>
      <c r="D170" s="20" t="s">
        <v>3</v>
      </c>
    </row>
    <row r="171" spans="1:4">
      <c r="A171" s="19" t="str">
        <f t="shared" si="17"/>
        <v>УДАЛИТЬ</v>
      </c>
      <c r="B171" s="11">
        <v>1</v>
      </c>
      <c r="C171" s="11" t="s">
        <v>1</v>
      </c>
      <c r="D171" s="20">
        <v>11</v>
      </c>
    </row>
    <row r="172" spans="1:4">
      <c r="A172" s="26" t="str">
        <f t="shared" si="17"/>
        <v>УДАЛИТЬ</v>
      </c>
      <c r="B172" s="27">
        <v>7050</v>
      </c>
      <c r="C172" s="27" t="s">
        <v>0</v>
      </c>
      <c r="D172" s="28" t="str">
        <f>"&lt;Addr AnswerSignalType=©0© Protocol=©IEC4Std© Type=©Protocol© ProtocolType=©30© Address=©XXX© ModuleNo=©" &amp; $T$5 &amp; "© Role=©Master© Station=©" &amp; $U$5 &amp; "©  /&gt;"</f>
        <v>&lt;Addr AnswerSignalType=©0© Protocol=©IEC4Std© Type=©Protocol© ProtocolType=©30© Address=©XXX© ModuleNo=©1© Role=©Master© Station=©1©  /&gt;</v>
      </c>
    </row>
    <row r="173" spans="1:4">
      <c r="A173" s="16" t="str">
        <f t="shared" ref="A173:A182" si="18">IFERROR($V$5 &amp; "BR"&amp;$AS$4&amp;".DI"&amp;AS$5,"УДАЛИТЬ")</f>
        <v>УДАЛИТЬ</v>
      </c>
      <c r="B173" s="17">
        <v>11001</v>
      </c>
      <c r="C173" s="17" t="s">
        <v>0</v>
      </c>
      <c r="D173" s="18" t="str">
        <f>$Q$2</f>
        <v>Аналоговый сигнал облегченный (только один сигнал) с буферизацией</v>
      </c>
    </row>
    <row r="174" spans="1:4">
      <c r="A174" s="602" t="str">
        <f t="shared" si="18"/>
        <v>УДАЛИТЬ</v>
      </c>
      <c r="B174" s="603">
        <v>11154</v>
      </c>
      <c r="C174" s="603" t="s">
        <v>4</v>
      </c>
      <c r="D174" s="604">
        <f>$Q$19</f>
        <v>22</v>
      </c>
    </row>
    <row r="175" spans="1:4">
      <c r="A175" s="602" t="str">
        <f t="shared" si="18"/>
        <v>УДАЛИТЬ</v>
      </c>
      <c r="B175" s="603">
        <v>11155</v>
      </c>
      <c r="C175" s="603" t="s">
        <v>4</v>
      </c>
      <c r="D175" s="604">
        <f>$Q$19</f>
        <v>22</v>
      </c>
    </row>
    <row r="176" spans="1:4">
      <c r="A176" s="602" t="str">
        <f t="shared" si="18"/>
        <v>УДАЛИТЬ</v>
      </c>
      <c r="B176" s="603">
        <v>11150</v>
      </c>
      <c r="C176" s="603" t="s">
        <v>0</v>
      </c>
      <c r="D176" s="605" t="s">
        <v>1663</v>
      </c>
    </row>
    <row r="177" spans="1:4">
      <c r="A177" s="602" t="str">
        <f t="shared" si="18"/>
        <v>УДАЛИТЬ</v>
      </c>
      <c r="B177" s="603">
        <v>11151</v>
      </c>
      <c r="C177" s="603" t="s">
        <v>0</v>
      </c>
      <c r="D177" s="605" t="s">
        <v>1662</v>
      </c>
    </row>
    <row r="178" spans="1:4">
      <c r="A178" s="602" t="str">
        <f t="shared" si="18"/>
        <v>УДАЛИТЬ</v>
      </c>
      <c r="B178" s="603">
        <v>11000</v>
      </c>
      <c r="C178" s="603" t="s">
        <v>5</v>
      </c>
      <c r="D178" s="605">
        <v>2147483744</v>
      </c>
    </row>
    <row r="179" spans="1:4">
      <c r="A179" s="19" t="str">
        <f t="shared" si="18"/>
        <v>УДАЛИТЬ</v>
      </c>
      <c r="B179" s="11">
        <v>3</v>
      </c>
      <c r="C179" s="11" t="s">
        <v>1</v>
      </c>
      <c r="D179" s="20">
        <v>192</v>
      </c>
    </row>
    <row r="180" spans="1:4">
      <c r="A180" s="19" t="str">
        <f t="shared" si="18"/>
        <v>УДАЛИТЬ</v>
      </c>
      <c r="B180" s="11">
        <v>2</v>
      </c>
      <c r="C180" s="11" t="s">
        <v>2</v>
      </c>
      <c r="D180" s="20" t="s">
        <v>3</v>
      </c>
    </row>
    <row r="181" spans="1:4">
      <c r="A181" s="19" t="str">
        <f t="shared" si="18"/>
        <v>УДАЛИТЬ</v>
      </c>
      <c r="B181" s="11">
        <v>1</v>
      </c>
      <c r="C181" s="11" t="s">
        <v>1</v>
      </c>
      <c r="D181" s="20">
        <v>11</v>
      </c>
    </row>
    <row r="182" spans="1:4">
      <c r="A182" s="26" t="str">
        <f t="shared" si="18"/>
        <v>УДАЛИТЬ</v>
      </c>
      <c r="B182" s="27">
        <v>7050</v>
      </c>
      <c r="C182" s="27" t="s">
        <v>0</v>
      </c>
      <c r="D182" s="28" t="str">
        <f>"&lt;Addr AnswerSignalType=©0© Protocol=©IEC4Std© Type=©Protocol© ProtocolType=©30© Address=©XXX© ModuleNo=©" &amp; $T$5 &amp; "© Role=©Master© Station=©" &amp; $U$5 &amp; "©  /&gt;"</f>
        <v>&lt;Addr AnswerSignalType=©0© Protocol=©IEC4Std© Type=©Protocol© ProtocolType=©30© Address=©XXX© ModuleNo=©1© Role=©Master© Station=©1©  /&gt;</v>
      </c>
    </row>
    <row r="183" spans="1:4">
      <c r="A183" s="16" t="str">
        <f t="shared" ref="A183:A192" si="19">IFERROR($V$5 &amp; "BR"&amp;$AV$4&amp;".DI"&amp;AV$5,"УДАЛИТЬ")</f>
        <v>УДАЛИТЬ</v>
      </c>
      <c r="B183" s="17">
        <v>11001</v>
      </c>
      <c r="C183" s="17" t="s">
        <v>0</v>
      </c>
      <c r="D183" s="18" t="str">
        <f>$Q$2</f>
        <v>Аналоговый сигнал облегченный (только один сигнал) с буферизацией</v>
      </c>
    </row>
    <row r="184" spans="1:4">
      <c r="A184" s="602" t="str">
        <f t="shared" si="19"/>
        <v>УДАЛИТЬ</v>
      </c>
      <c r="B184" s="603">
        <v>11154</v>
      </c>
      <c r="C184" s="603" t="s">
        <v>4</v>
      </c>
      <c r="D184" s="604">
        <f>$Q$19</f>
        <v>22</v>
      </c>
    </row>
    <row r="185" spans="1:4">
      <c r="A185" s="602" t="str">
        <f t="shared" si="19"/>
        <v>УДАЛИТЬ</v>
      </c>
      <c r="B185" s="603">
        <v>11155</v>
      </c>
      <c r="C185" s="603" t="s">
        <v>4</v>
      </c>
      <c r="D185" s="604">
        <f>$Q$19</f>
        <v>22</v>
      </c>
    </row>
    <row r="186" spans="1:4">
      <c r="A186" s="602" t="str">
        <f t="shared" si="19"/>
        <v>УДАЛИТЬ</v>
      </c>
      <c r="B186" s="603">
        <v>11150</v>
      </c>
      <c r="C186" s="603" t="s">
        <v>0</v>
      </c>
      <c r="D186" s="605" t="s">
        <v>1661</v>
      </c>
    </row>
    <row r="187" spans="1:4">
      <c r="A187" s="602" t="str">
        <f t="shared" si="19"/>
        <v>УДАЛИТЬ</v>
      </c>
      <c r="B187" s="603">
        <v>11151</v>
      </c>
      <c r="C187" s="603" t="s">
        <v>0</v>
      </c>
      <c r="D187" s="605" t="s">
        <v>1660</v>
      </c>
    </row>
    <row r="188" spans="1:4">
      <c r="A188" s="602" t="str">
        <f t="shared" si="19"/>
        <v>УДАЛИТЬ</v>
      </c>
      <c r="B188" s="603">
        <v>11000</v>
      </c>
      <c r="C188" s="603" t="s">
        <v>5</v>
      </c>
      <c r="D188" s="605">
        <v>2147483744</v>
      </c>
    </row>
    <row r="189" spans="1:4">
      <c r="A189" s="19" t="str">
        <f t="shared" si="19"/>
        <v>УДАЛИТЬ</v>
      </c>
      <c r="B189" s="11">
        <v>3</v>
      </c>
      <c r="C189" s="11" t="s">
        <v>1</v>
      </c>
      <c r="D189" s="20">
        <v>192</v>
      </c>
    </row>
    <row r="190" spans="1:4">
      <c r="A190" s="19" t="str">
        <f t="shared" si="19"/>
        <v>УДАЛИТЬ</v>
      </c>
      <c r="B190" s="11">
        <v>2</v>
      </c>
      <c r="C190" s="11" t="s">
        <v>2</v>
      </c>
      <c r="D190" s="20" t="s">
        <v>3</v>
      </c>
    </row>
    <row r="191" spans="1:4">
      <c r="A191" s="19" t="str">
        <f t="shared" si="19"/>
        <v>УДАЛИТЬ</v>
      </c>
      <c r="B191" s="11">
        <v>1</v>
      </c>
      <c r="C191" s="11" t="s">
        <v>1</v>
      </c>
      <c r="D191" s="20">
        <v>11</v>
      </c>
    </row>
    <row r="192" spans="1:4">
      <c r="A192" s="26" t="str">
        <f t="shared" si="19"/>
        <v>УДАЛИТЬ</v>
      </c>
      <c r="B192" s="27">
        <v>7050</v>
      </c>
      <c r="C192" s="27" t="s">
        <v>0</v>
      </c>
      <c r="D192" s="28" t="str">
        <f>"&lt;Addr AnswerSignalType=©0© Protocol=©IEC4Std© Type=©Protocol© ProtocolType=©30© Address=©XXX© ModuleNo=©" &amp; $T$5 &amp; "© Role=©Master© Station=©" &amp; $U$5 &amp; "©  /&gt;"</f>
        <v>&lt;Addr AnswerSignalType=©0© Protocol=©IEC4Std© Type=©Protocol© ProtocolType=©30© Address=©XXX© ModuleNo=©1© Role=©Master© Station=©1©  /&gt;</v>
      </c>
    </row>
    <row r="193" spans="1:4">
      <c r="A193" s="599" t="s">
        <v>599</v>
      </c>
      <c r="B193" s="600"/>
      <c r="C193" s="600"/>
      <c r="D193" s="601"/>
    </row>
    <row r="194" spans="1:4">
      <c r="A194" s="16" t="str">
        <f t="shared" ref="A194:A203" si="20">IFERROR($V$5 &amp; "BR"&amp;$AL$4&amp;".DI"&amp;AL$5,"УДАЛИТЬ")</f>
        <v>УДАЛИТЬ</v>
      </c>
      <c r="B194" s="17">
        <v>11001</v>
      </c>
      <c r="C194" s="17" t="s">
        <v>0</v>
      </c>
      <c r="D194" s="18" t="str">
        <f>$Q$2</f>
        <v>Аналоговый сигнал облегченный (только один сигнал) с буферизацией</v>
      </c>
    </row>
    <row r="195" spans="1:4">
      <c r="A195" s="602" t="str">
        <f t="shared" si="20"/>
        <v>УДАЛИТЬ</v>
      </c>
      <c r="B195" s="603">
        <v>11154</v>
      </c>
      <c r="C195" s="603" t="s">
        <v>4</v>
      </c>
      <c r="D195" s="604">
        <f>$Q$19</f>
        <v>22</v>
      </c>
    </row>
    <row r="196" spans="1:4">
      <c r="A196" s="602" t="str">
        <f t="shared" si="20"/>
        <v>УДАЛИТЬ</v>
      </c>
      <c r="B196" s="603">
        <v>11155</v>
      </c>
      <c r="C196" s="603" t="s">
        <v>4</v>
      </c>
      <c r="D196" s="604">
        <f>$Q$19</f>
        <v>22</v>
      </c>
    </row>
    <row r="197" spans="1:4">
      <c r="A197" s="602" t="str">
        <f t="shared" si="20"/>
        <v>УДАЛИТЬ</v>
      </c>
      <c r="B197" s="603">
        <v>11150</v>
      </c>
      <c r="C197" s="603" t="s">
        <v>0</v>
      </c>
      <c r="D197" s="605" t="s">
        <v>1646</v>
      </c>
    </row>
    <row r="198" spans="1:4">
      <c r="A198" s="602" t="str">
        <f t="shared" si="20"/>
        <v>УДАЛИТЬ</v>
      </c>
      <c r="B198" s="603">
        <v>11151</v>
      </c>
      <c r="C198" s="603" t="s">
        <v>0</v>
      </c>
      <c r="D198" s="605" t="s">
        <v>1647</v>
      </c>
    </row>
    <row r="199" spans="1:4">
      <c r="A199" s="602" t="str">
        <f t="shared" si="20"/>
        <v>УДАЛИТЬ</v>
      </c>
      <c r="B199" s="603">
        <v>11000</v>
      </c>
      <c r="C199" s="603" t="s">
        <v>5</v>
      </c>
      <c r="D199" s="605">
        <v>2147483744</v>
      </c>
    </row>
    <row r="200" spans="1:4">
      <c r="A200" s="19" t="str">
        <f t="shared" si="20"/>
        <v>УДАЛИТЬ</v>
      </c>
      <c r="B200" s="11">
        <v>3</v>
      </c>
      <c r="C200" s="11" t="s">
        <v>1</v>
      </c>
      <c r="D200" s="20">
        <v>192</v>
      </c>
    </row>
    <row r="201" spans="1:4">
      <c r="A201" s="19" t="str">
        <f t="shared" si="20"/>
        <v>УДАЛИТЬ</v>
      </c>
      <c r="B201" s="11">
        <v>2</v>
      </c>
      <c r="C201" s="11" t="s">
        <v>2</v>
      </c>
      <c r="D201" s="20" t="s">
        <v>3</v>
      </c>
    </row>
    <row r="202" spans="1:4">
      <c r="A202" s="19" t="str">
        <f t="shared" si="20"/>
        <v>УДАЛИТЬ</v>
      </c>
      <c r="B202" s="11">
        <v>1</v>
      </c>
      <c r="C202" s="11" t="s">
        <v>1</v>
      </c>
      <c r="D202" s="20">
        <v>11</v>
      </c>
    </row>
    <row r="203" spans="1:4">
      <c r="A203" s="26" t="str">
        <f t="shared" si="20"/>
        <v>УДАЛИТЬ</v>
      </c>
      <c r="B203" s="27">
        <v>7050</v>
      </c>
      <c r="C203" s="27" t="s">
        <v>0</v>
      </c>
      <c r="D203" s="28" t="str">
        <f>"&lt;Addr AnswerSignalType=©0© Protocol=©IEC4Std© Type=©Protocol© ProtocolType=©30© Address=©XXX© ModuleNo=©" &amp; $T$5 &amp; "© Role=©Master© Station=©" &amp; $U$5 &amp; "©  /&gt;"</f>
        <v>&lt;Addr AnswerSignalType=©0© Protocol=©IEC4Std© Type=©Protocol© ProtocolType=©30© Address=©XXX© ModuleNo=©1© Role=©Master© Station=©1©  /&gt;</v>
      </c>
    </row>
    <row r="204" spans="1:4">
      <c r="A204" s="16" t="str">
        <f t="shared" ref="A204:A213" si="21">IFERROR($V$5 &amp; "BR"&amp;$AM$4&amp;".DI"&amp;AM$5,"УДАЛИТЬ")</f>
        <v>УДАЛИТЬ</v>
      </c>
      <c r="B204" s="17">
        <v>11001</v>
      </c>
      <c r="C204" s="17" t="s">
        <v>0</v>
      </c>
      <c r="D204" s="18" t="str">
        <f>$Q$2</f>
        <v>Аналоговый сигнал облегченный (только один сигнал) с буферизацией</v>
      </c>
    </row>
    <row r="205" spans="1:4">
      <c r="A205" s="602" t="str">
        <f t="shared" si="21"/>
        <v>УДАЛИТЬ</v>
      </c>
      <c r="B205" s="603">
        <v>11154</v>
      </c>
      <c r="C205" s="603" t="s">
        <v>4</v>
      </c>
      <c r="D205" s="604">
        <f>$Q$19</f>
        <v>22</v>
      </c>
    </row>
    <row r="206" spans="1:4">
      <c r="A206" s="602" t="str">
        <f t="shared" si="21"/>
        <v>УДАЛИТЬ</v>
      </c>
      <c r="B206" s="603">
        <v>11155</v>
      </c>
      <c r="C206" s="603" t="s">
        <v>4</v>
      </c>
      <c r="D206" s="604">
        <f>$Q$19</f>
        <v>22</v>
      </c>
    </row>
    <row r="207" spans="1:4">
      <c r="A207" s="602" t="str">
        <f t="shared" si="21"/>
        <v>УДАЛИТЬ</v>
      </c>
      <c r="B207" s="603">
        <v>11150</v>
      </c>
      <c r="C207" s="603" t="s">
        <v>0</v>
      </c>
      <c r="D207" s="605" t="s">
        <v>1648</v>
      </c>
    </row>
    <row r="208" spans="1:4">
      <c r="A208" s="602" t="str">
        <f t="shared" si="21"/>
        <v>УДАЛИТЬ</v>
      </c>
      <c r="B208" s="603">
        <v>11151</v>
      </c>
      <c r="C208" s="603" t="s">
        <v>0</v>
      </c>
      <c r="D208" s="605" t="s">
        <v>1649</v>
      </c>
    </row>
    <row r="209" spans="1:4">
      <c r="A209" s="602" t="str">
        <f t="shared" si="21"/>
        <v>УДАЛИТЬ</v>
      </c>
      <c r="B209" s="603">
        <v>11000</v>
      </c>
      <c r="C209" s="603" t="s">
        <v>5</v>
      </c>
      <c r="D209" s="605">
        <v>2147483744</v>
      </c>
    </row>
    <row r="210" spans="1:4">
      <c r="A210" s="19" t="str">
        <f t="shared" si="21"/>
        <v>УДАЛИТЬ</v>
      </c>
      <c r="B210" s="11">
        <v>3</v>
      </c>
      <c r="C210" s="11" t="s">
        <v>1</v>
      </c>
      <c r="D210" s="20">
        <v>192</v>
      </c>
    </row>
    <row r="211" spans="1:4">
      <c r="A211" s="19" t="str">
        <f t="shared" si="21"/>
        <v>УДАЛИТЬ</v>
      </c>
      <c r="B211" s="11">
        <v>2</v>
      </c>
      <c r="C211" s="11" t="s">
        <v>2</v>
      </c>
      <c r="D211" s="20" t="s">
        <v>3</v>
      </c>
    </row>
    <row r="212" spans="1:4">
      <c r="A212" s="19" t="str">
        <f t="shared" si="21"/>
        <v>УДАЛИТЬ</v>
      </c>
      <c r="B212" s="11">
        <v>1</v>
      </c>
      <c r="C212" s="11" t="s">
        <v>1</v>
      </c>
      <c r="D212" s="20">
        <v>11</v>
      </c>
    </row>
    <row r="213" spans="1:4">
      <c r="A213" s="26" t="str">
        <f t="shared" si="21"/>
        <v>УДАЛИТЬ</v>
      </c>
      <c r="B213" s="27">
        <v>7050</v>
      </c>
      <c r="C213" s="27" t="s">
        <v>0</v>
      </c>
      <c r="D213" s="28" t="str">
        <f>"&lt;Addr AnswerSignalType=©0© Protocol=©IEC4Std© Type=©Protocol© ProtocolType=©30© Address=©XXX© ModuleNo=©" &amp; $T$5 &amp; "© Role=©Master© Station=©" &amp; $U$5 &amp; "©  /&gt;"</f>
        <v>&lt;Addr AnswerSignalType=©0© Protocol=©IEC4Std© Type=©Protocol© ProtocolType=©30© Address=©XXX© ModuleNo=©1© Role=©Master© Station=©1©  /&gt;</v>
      </c>
    </row>
    <row r="214" spans="1:4">
      <c r="A214" s="16" t="str">
        <f t="shared" ref="A214:A223" si="22">IFERROR($V$5 &amp; "BR"&amp;$AN$4&amp;".DI"&amp;AN$5,"УДАЛИТЬ")</f>
        <v>УДАЛИТЬ</v>
      </c>
      <c r="B214" s="17">
        <v>11001</v>
      </c>
      <c r="C214" s="17" t="s">
        <v>0</v>
      </c>
      <c r="D214" s="18" t="str">
        <f>$Q$2</f>
        <v>Аналоговый сигнал облегченный (только один сигнал) с буферизацией</v>
      </c>
    </row>
    <row r="215" spans="1:4">
      <c r="A215" s="602" t="str">
        <f t="shared" si="22"/>
        <v>УДАЛИТЬ</v>
      </c>
      <c r="B215" s="603">
        <v>11154</v>
      </c>
      <c r="C215" s="603" t="s">
        <v>4</v>
      </c>
      <c r="D215" s="604">
        <f>$Q$19</f>
        <v>22</v>
      </c>
    </row>
    <row r="216" spans="1:4">
      <c r="A216" s="602" t="str">
        <f t="shared" si="22"/>
        <v>УДАЛИТЬ</v>
      </c>
      <c r="B216" s="603">
        <v>11155</v>
      </c>
      <c r="C216" s="603" t="s">
        <v>4</v>
      </c>
      <c r="D216" s="604">
        <f>$Q$19</f>
        <v>22</v>
      </c>
    </row>
    <row r="217" spans="1:4">
      <c r="A217" s="602" t="str">
        <f t="shared" si="22"/>
        <v>УДАЛИТЬ</v>
      </c>
      <c r="B217" s="603">
        <v>11150</v>
      </c>
      <c r="C217" s="603" t="s">
        <v>0</v>
      </c>
      <c r="D217" s="605" t="s">
        <v>1650</v>
      </c>
    </row>
    <row r="218" spans="1:4">
      <c r="A218" s="602" t="str">
        <f t="shared" si="22"/>
        <v>УДАЛИТЬ</v>
      </c>
      <c r="B218" s="603">
        <v>11151</v>
      </c>
      <c r="C218" s="603" t="s">
        <v>0</v>
      </c>
      <c r="D218" s="605" t="s">
        <v>1651</v>
      </c>
    </row>
    <row r="219" spans="1:4">
      <c r="A219" s="602" t="str">
        <f t="shared" si="22"/>
        <v>УДАЛИТЬ</v>
      </c>
      <c r="B219" s="603">
        <v>11000</v>
      </c>
      <c r="C219" s="603" t="s">
        <v>5</v>
      </c>
      <c r="D219" s="605">
        <v>2147483744</v>
      </c>
    </row>
    <row r="220" spans="1:4">
      <c r="A220" s="19" t="str">
        <f t="shared" si="22"/>
        <v>УДАЛИТЬ</v>
      </c>
      <c r="B220" s="11">
        <v>3</v>
      </c>
      <c r="C220" s="11" t="s">
        <v>1</v>
      </c>
      <c r="D220" s="20">
        <v>192</v>
      </c>
    </row>
    <row r="221" spans="1:4">
      <c r="A221" s="19" t="str">
        <f t="shared" si="22"/>
        <v>УДАЛИТЬ</v>
      </c>
      <c r="B221" s="11">
        <v>2</v>
      </c>
      <c r="C221" s="11" t="s">
        <v>2</v>
      </c>
      <c r="D221" s="20" t="s">
        <v>3</v>
      </c>
    </row>
    <row r="222" spans="1:4">
      <c r="A222" s="19" t="str">
        <f t="shared" si="22"/>
        <v>УДАЛИТЬ</v>
      </c>
      <c r="B222" s="11">
        <v>1</v>
      </c>
      <c r="C222" s="11" t="s">
        <v>1</v>
      </c>
      <c r="D222" s="20">
        <v>11</v>
      </c>
    </row>
    <row r="223" spans="1:4">
      <c r="A223" s="26" t="str">
        <f t="shared" si="22"/>
        <v>УДАЛИТЬ</v>
      </c>
      <c r="B223" s="27">
        <v>7050</v>
      </c>
      <c r="C223" s="27" t="s">
        <v>0</v>
      </c>
      <c r="D223" s="28" t="str">
        <f>"&lt;Addr AnswerSignalType=©0© Protocol=©IEC4Std© Type=©Protocol© ProtocolType=©30© Address=©XXX© ModuleNo=©" &amp; $T$5 &amp; "© Role=©Master© Station=©" &amp; $U$5 &amp; "©  /&gt;"</f>
        <v>&lt;Addr AnswerSignalType=©0© Protocol=©IEC4Std© Type=©Protocol© ProtocolType=©30© Address=©XXX© ModuleNo=©1© Role=©Master© Station=©1©  /&gt;</v>
      </c>
    </row>
    <row r="224" spans="1:4">
      <c r="A224" s="16" t="str">
        <f t="shared" ref="A224:A233" si="23">IFERROR($V$5 &amp; "BR"&amp;$AO$4&amp;".DI"&amp;AO$5,"УДАЛИТЬ")</f>
        <v>УДАЛИТЬ</v>
      </c>
      <c r="B224" s="17">
        <v>11001</v>
      </c>
      <c r="C224" s="17" t="s">
        <v>0</v>
      </c>
      <c r="D224" s="18" t="str">
        <f>$Q$2</f>
        <v>Аналоговый сигнал облегченный (только один сигнал) с буферизацией</v>
      </c>
    </row>
    <row r="225" spans="1:4">
      <c r="A225" s="602" t="str">
        <f t="shared" si="23"/>
        <v>УДАЛИТЬ</v>
      </c>
      <c r="B225" s="603">
        <v>11154</v>
      </c>
      <c r="C225" s="603" t="s">
        <v>4</v>
      </c>
      <c r="D225" s="604">
        <f>$Q$19</f>
        <v>22</v>
      </c>
    </row>
    <row r="226" spans="1:4">
      <c r="A226" s="602" t="str">
        <f t="shared" si="23"/>
        <v>УДАЛИТЬ</v>
      </c>
      <c r="B226" s="603">
        <v>11155</v>
      </c>
      <c r="C226" s="603" t="s">
        <v>4</v>
      </c>
      <c r="D226" s="604">
        <f>$Q$19</f>
        <v>22</v>
      </c>
    </row>
    <row r="227" spans="1:4">
      <c r="A227" s="602" t="str">
        <f t="shared" si="23"/>
        <v>УДАЛИТЬ</v>
      </c>
      <c r="B227" s="603">
        <v>11150</v>
      </c>
      <c r="C227" s="603" t="s">
        <v>0</v>
      </c>
      <c r="D227" s="605" t="s">
        <v>1652</v>
      </c>
    </row>
    <row r="228" spans="1:4">
      <c r="A228" s="602" t="str">
        <f t="shared" si="23"/>
        <v>УДАЛИТЬ</v>
      </c>
      <c r="B228" s="603">
        <v>11151</v>
      </c>
      <c r="C228" s="603" t="s">
        <v>0</v>
      </c>
      <c r="D228" s="605" t="s">
        <v>1653</v>
      </c>
    </row>
    <row r="229" spans="1:4">
      <c r="A229" s="602" t="str">
        <f t="shared" si="23"/>
        <v>УДАЛИТЬ</v>
      </c>
      <c r="B229" s="603">
        <v>11000</v>
      </c>
      <c r="C229" s="603" t="s">
        <v>5</v>
      </c>
      <c r="D229" s="605">
        <v>2147483744</v>
      </c>
    </row>
    <row r="230" spans="1:4">
      <c r="A230" s="19" t="str">
        <f t="shared" si="23"/>
        <v>УДАЛИТЬ</v>
      </c>
      <c r="B230" s="11">
        <v>3</v>
      </c>
      <c r="C230" s="11" t="s">
        <v>1</v>
      </c>
      <c r="D230" s="20">
        <v>192</v>
      </c>
    </row>
    <row r="231" spans="1:4">
      <c r="A231" s="19" t="str">
        <f t="shared" si="23"/>
        <v>УДАЛИТЬ</v>
      </c>
      <c r="B231" s="11">
        <v>2</v>
      </c>
      <c r="C231" s="11" t="s">
        <v>2</v>
      </c>
      <c r="D231" s="20" t="s">
        <v>3</v>
      </c>
    </row>
    <row r="232" spans="1:4">
      <c r="A232" s="19" t="str">
        <f t="shared" si="23"/>
        <v>УДАЛИТЬ</v>
      </c>
      <c r="B232" s="11">
        <v>1</v>
      </c>
      <c r="C232" s="11" t="s">
        <v>1</v>
      </c>
      <c r="D232" s="20">
        <v>11</v>
      </c>
    </row>
    <row r="233" spans="1:4">
      <c r="A233" s="26" t="str">
        <f t="shared" si="23"/>
        <v>УДАЛИТЬ</v>
      </c>
      <c r="B233" s="27">
        <v>7050</v>
      </c>
      <c r="C233" s="27" t="s">
        <v>0</v>
      </c>
      <c r="D233" s="28" t="str">
        <f>"&lt;Addr AnswerSignalType=©0© Protocol=©IEC4Std© Type=©Protocol© ProtocolType=©30© Address=©XXX© ModuleNo=©" &amp; $T$5 &amp; "© Role=©Master© Station=©" &amp; $U$5 &amp; "©  /&gt;"</f>
        <v>&lt;Addr AnswerSignalType=©0© Protocol=©IEC4Std© Type=©Protocol© ProtocolType=©30© Address=©XXX© ModuleNo=©1© Role=©Master© Station=©1©  /&gt;</v>
      </c>
    </row>
    <row r="234" spans="1:4">
      <c r="A234" s="16" t="str">
        <f t="shared" ref="A234:A243" si="24">IFERROR($V$5 &amp; "BR"&amp;$AP$4&amp;".DI"&amp;AP$5,"УДАЛИТЬ")</f>
        <v>УДАЛИТЬ</v>
      </c>
      <c r="B234" s="17">
        <v>11001</v>
      </c>
      <c r="C234" s="17" t="s">
        <v>0</v>
      </c>
      <c r="D234" s="18" t="str">
        <f>$Q$2</f>
        <v>Аналоговый сигнал облегченный (только один сигнал) с буферизацией</v>
      </c>
    </row>
    <row r="235" spans="1:4">
      <c r="A235" s="602" t="str">
        <f t="shared" si="24"/>
        <v>УДАЛИТЬ</v>
      </c>
      <c r="B235" s="603">
        <v>11154</v>
      </c>
      <c r="C235" s="603" t="s">
        <v>4</v>
      </c>
      <c r="D235" s="604">
        <f>$Q$19</f>
        <v>22</v>
      </c>
    </row>
    <row r="236" spans="1:4">
      <c r="A236" s="602" t="str">
        <f t="shared" si="24"/>
        <v>УДАЛИТЬ</v>
      </c>
      <c r="B236" s="603">
        <v>11155</v>
      </c>
      <c r="C236" s="603" t="s">
        <v>4</v>
      </c>
      <c r="D236" s="604">
        <f>$Q$19</f>
        <v>22</v>
      </c>
    </row>
    <row r="237" spans="1:4">
      <c r="A237" s="602" t="str">
        <f t="shared" si="24"/>
        <v>УДАЛИТЬ</v>
      </c>
      <c r="B237" s="603">
        <v>11150</v>
      </c>
      <c r="C237" s="603" t="s">
        <v>0</v>
      </c>
      <c r="D237" s="605" t="s">
        <v>1654</v>
      </c>
    </row>
    <row r="238" spans="1:4">
      <c r="A238" s="602" t="str">
        <f t="shared" si="24"/>
        <v>УДАЛИТЬ</v>
      </c>
      <c r="B238" s="603">
        <v>11151</v>
      </c>
      <c r="C238" s="603" t="s">
        <v>0</v>
      </c>
      <c r="D238" s="605" t="s">
        <v>1655</v>
      </c>
    </row>
    <row r="239" spans="1:4">
      <c r="A239" s="602" t="str">
        <f t="shared" si="24"/>
        <v>УДАЛИТЬ</v>
      </c>
      <c r="B239" s="603">
        <v>11000</v>
      </c>
      <c r="C239" s="603" t="s">
        <v>5</v>
      </c>
      <c r="D239" s="605">
        <v>2147483744</v>
      </c>
    </row>
    <row r="240" spans="1:4">
      <c r="A240" s="19" t="str">
        <f t="shared" si="24"/>
        <v>УДАЛИТЬ</v>
      </c>
      <c r="B240" s="11">
        <v>3</v>
      </c>
      <c r="C240" s="11" t="s">
        <v>1</v>
      </c>
      <c r="D240" s="20">
        <v>192</v>
      </c>
    </row>
    <row r="241" spans="1:4">
      <c r="A241" s="19" t="str">
        <f t="shared" si="24"/>
        <v>УДАЛИТЬ</v>
      </c>
      <c r="B241" s="11">
        <v>2</v>
      </c>
      <c r="C241" s="11" t="s">
        <v>2</v>
      </c>
      <c r="D241" s="20" t="s">
        <v>3</v>
      </c>
    </row>
    <row r="242" spans="1:4">
      <c r="A242" s="19" t="str">
        <f t="shared" si="24"/>
        <v>УДАЛИТЬ</v>
      </c>
      <c r="B242" s="11">
        <v>1</v>
      </c>
      <c r="C242" s="11" t="s">
        <v>1</v>
      </c>
      <c r="D242" s="20">
        <v>11</v>
      </c>
    </row>
    <row r="243" spans="1:4">
      <c r="A243" s="26" t="str">
        <f t="shared" si="24"/>
        <v>УДАЛИТЬ</v>
      </c>
      <c r="B243" s="27">
        <v>7050</v>
      </c>
      <c r="C243" s="27" t="s">
        <v>0</v>
      </c>
      <c r="D243" s="28" t="str">
        <f>"&lt;Addr AnswerSignalType=©0© Protocol=©IEC4Std© Type=©Protocol© ProtocolType=©30© Address=©XXX© ModuleNo=©" &amp; $T$5 &amp; "© Role=©Master© Station=©" &amp; $U$5 &amp; "©  /&gt;"</f>
        <v>&lt;Addr AnswerSignalType=©0© Protocol=©IEC4Std© Type=©Protocol© ProtocolType=©30© Address=©XXX© ModuleNo=©1© Role=©Master© Station=©1©  /&gt;</v>
      </c>
    </row>
    <row r="244" spans="1:4">
      <c r="A244" s="599" t="s">
        <v>600</v>
      </c>
      <c r="B244" s="600"/>
      <c r="C244" s="600"/>
      <c r="D244" s="601"/>
    </row>
    <row r="245" spans="1:4">
      <c r="A245" s="16" t="str">
        <f t="shared" ref="A245:A254" si="25">IFERROR($V$5 &amp; "BR"&amp;$AL$4&amp;".DI"&amp;AL$5,"УДАЛИТЬ")</f>
        <v>УДАЛИТЬ</v>
      </c>
      <c r="B245" s="17">
        <v>11001</v>
      </c>
      <c r="C245" s="17" t="s">
        <v>0</v>
      </c>
      <c r="D245" s="18" t="str">
        <f>$Q$2</f>
        <v>Аналоговый сигнал облегченный (только один сигнал) с буферизацией</v>
      </c>
    </row>
    <row r="246" spans="1:4">
      <c r="A246" s="602" t="str">
        <f t="shared" si="25"/>
        <v>УДАЛИТЬ</v>
      </c>
      <c r="B246" s="603">
        <v>11154</v>
      </c>
      <c r="C246" s="603" t="s">
        <v>4</v>
      </c>
      <c r="D246" s="604">
        <f>$Q$19</f>
        <v>22</v>
      </c>
    </row>
    <row r="247" spans="1:4">
      <c r="A247" s="602" t="str">
        <f t="shared" si="25"/>
        <v>УДАЛИТЬ</v>
      </c>
      <c r="B247" s="603">
        <v>11155</v>
      </c>
      <c r="C247" s="603" t="s">
        <v>4</v>
      </c>
      <c r="D247" s="604">
        <f>$Q$19</f>
        <v>22</v>
      </c>
    </row>
    <row r="248" spans="1:4">
      <c r="A248" s="602" t="str">
        <f t="shared" si="25"/>
        <v>УДАЛИТЬ</v>
      </c>
      <c r="B248" s="603">
        <v>11150</v>
      </c>
      <c r="C248" s="603" t="s">
        <v>0</v>
      </c>
      <c r="D248" s="605" t="s">
        <v>1646</v>
      </c>
    </row>
    <row r="249" spans="1:4">
      <c r="A249" s="602" t="str">
        <f t="shared" si="25"/>
        <v>УДАЛИТЬ</v>
      </c>
      <c r="B249" s="603">
        <v>11151</v>
      </c>
      <c r="C249" s="603" t="s">
        <v>0</v>
      </c>
      <c r="D249" s="605" t="s">
        <v>1647</v>
      </c>
    </row>
    <row r="250" spans="1:4">
      <c r="A250" s="602" t="str">
        <f t="shared" si="25"/>
        <v>УДАЛИТЬ</v>
      </c>
      <c r="B250" s="603">
        <v>11000</v>
      </c>
      <c r="C250" s="603" t="s">
        <v>5</v>
      </c>
      <c r="D250" s="605">
        <v>2147483744</v>
      </c>
    </row>
    <row r="251" spans="1:4">
      <c r="A251" s="19" t="str">
        <f t="shared" si="25"/>
        <v>УДАЛИТЬ</v>
      </c>
      <c r="B251" s="11">
        <v>3</v>
      </c>
      <c r="C251" s="11" t="s">
        <v>1</v>
      </c>
      <c r="D251" s="20">
        <v>192</v>
      </c>
    </row>
    <row r="252" spans="1:4">
      <c r="A252" s="19" t="str">
        <f t="shared" si="25"/>
        <v>УДАЛИТЬ</v>
      </c>
      <c r="B252" s="11">
        <v>2</v>
      </c>
      <c r="C252" s="11" t="s">
        <v>2</v>
      </c>
      <c r="D252" s="20" t="s">
        <v>3</v>
      </c>
    </row>
    <row r="253" spans="1:4">
      <c r="A253" s="19" t="str">
        <f t="shared" si="25"/>
        <v>УДАЛИТЬ</v>
      </c>
      <c r="B253" s="11">
        <v>1</v>
      </c>
      <c r="C253" s="11" t="s">
        <v>1</v>
      </c>
      <c r="D253" s="20">
        <v>11</v>
      </c>
    </row>
    <row r="254" spans="1:4">
      <c r="A254" s="26" t="str">
        <f t="shared" si="25"/>
        <v>УДАЛИТЬ</v>
      </c>
      <c r="B254" s="27">
        <v>7050</v>
      </c>
      <c r="C254" s="27" t="s">
        <v>0</v>
      </c>
      <c r="D254" s="28" t="str">
        <f>"&lt;Addr AnswerSignalType=©0© Protocol=©IEC4Std© Type=©Protocol© ProtocolType=©30© Address=©XXX© ModuleNo=©" &amp; $T$5 &amp; "© Role=©Master© Station=©" &amp; $U$5 &amp; "©  /&gt;"</f>
        <v>&lt;Addr AnswerSignalType=©0© Protocol=©IEC4Std© Type=©Protocol© ProtocolType=©30© Address=©XXX© ModuleNo=©1© Role=©Master© Station=©1©  /&gt;</v>
      </c>
    </row>
    <row r="255" spans="1:4">
      <c r="A255" s="16" t="str">
        <f t="shared" ref="A255:A264" si="26">IFERROR($V$5 &amp; "BR"&amp;$AM$4&amp;".DI"&amp;AM$5,"УДАЛИТЬ")</f>
        <v>УДАЛИТЬ</v>
      </c>
      <c r="B255" s="17">
        <v>11001</v>
      </c>
      <c r="C255" s="17" t="s">
        <v>0</v>
      </c>
      <c r="D255" s="18" t="str">
        <f>$Q$2</f>
        <v>Аналоговый сигнал облегченный (только один сигнал) с буферизацией</v>
      </c>
    </row>
    <row r="256" spans="1:4">
      <c r="A256" s="602" t="str">
        <f t="shared" si="26"/>
        <v>УДАЛИТЬ</v>
      </c>
      <c r="B256" s="603">
        <v>11154</v>
      </c>
      <c r="C256" s="603" t="s">
        <v>4</v>
      </c>
      <c r="D256" s="604">
        <f>$Q$19</f>
        <v>22</v>
      </c>
    </row>
    <row r="257" spans="1:4">
      <c r="A257" s="602" t="str">
        <f t="shared" si="26"/>
        <v>УДАЛИТЬ</v>
      </c>
      <c r="B257" s="603">
        <v>11155</v>
      </c>
      <c r="C257" s="603" t="s">
        <v>4</v>
      </c>
      <c r="D257" s="604">
        <f>$Q$19</f>
        <v>22</v>
      </c>
    </row>
    <row r="258" spans="1:4">
      <c r="A258" s="602" t="str">
        <f t="shared" si="26"/>
        <v>УДАЛИТЬ</v>
      </c>
      <c r="B258" s="603">
        <v>11150</v>
      </c>
      <c r="C258" s="603" t="s">
        <v>0</v>
      </c>
      <c r="D258" s="605" t="s">
        <v>1648</v>
      </c>
    </row>
    <row r="259" spans="1:4">
      <c r="A259" s="602" t="str">
        <f t="shared" si="26"/>
        <v>УДАЛИТЬ</v>
      </c>
      <c r="B259" s="603">
        <v>11151</v>
      </c>
      <c r="C259" s="603" t="s">
        <v>0</v>
      </c>
      <c r="D259" s="605" t="s">
        <v>1649</v>
      </c>
    </row>
    <row r="260" spans="1:4">
      <c r="A260" s="602" t="str">
        <f t="shared" si="26"/>
        <v>УДАЛИТЬ</v>
      </c>
      <c r="B260" s="603">
        <v>11000</v>
      </c>
      <c r="C260" s="603" t="s">
        <v>5</v>
      </c>
      <c r="D260" s="605">
        <v>2147483744</v>
      </c>
    </row>
    <row r="261" spans="1:4">
      <c r="A261" s="19" t="str">
        <f t="shared" si="26"/>
        <v>УДАЛИТЬ</v>
      </c>
      <c r="B261" s="11">
        <v>3</v>
      </c>
      <c r="C261" s="11" t="s">
        <v>1</v>
      </c>
      <c r="D261" s="20">
        <v>192</v>
      </c>
    </row>
    <row r="262" spans="1:4">
      <c r="A262" s="19" t="str">
        <f t="shared" si="26"/>
        <v>УДАЛИТЬ</v>
      </c>
      <c r="B262" s="11">
        <v>2</v>
      </c>
      <c r="C262" s="11" t="s">
        <v>2</v>
      </c>
      <c r="D262" s="20" t="s">
        <v>3</v>
      </c>
    </row>
    <row r="263" spans="1:4">
      <c r="A263" s="19" t="str">
        <f t="shared" si="26"/>
        <v>УДАЛИТЬ</v>
      </c>
      <c r="B263" s="11">
        <v>1</v>
      </c>
      <c r="C263" s="11" t="s">
        <v>1</v>
      </c>
      <c r="D263" s="20">
        <v>11</v>
      </c>
    </row>
    <row r="264" spans="1:4">
      <c r="A264" s="26" t="str">
        <f t="shared" si="26"/>
        <v>УДАЛИТЬ</v>
      </c>
      <c r="B264" s="27">
        <v>7050</v>
      </c>
      <c r="C264" s="27" t="s">
        <v>0</v>
      </c>
      <c r="D264" s="28" t="str">
        <f>"&lt;Addr AnswerSignalType=©0© Protocol=©IEC4Std© Type=©Protocol© ProtocolType=©30© Address=©XXX© ModuleNo=©" &amp; $T$5 &amp; "© Role=©Master© Station=©" &amp; $U$5 &amp; "©  /&gt;"</f>
        <v>&lt;Addr AnswerSignalType=©0© Protocol=©IEC4Std© Type=©Protocol© ProtocolType=©30© Address=©XXX© ModuleNo=©1© Role=©Master© Station=©1©  /&gt;</v>
      </c>
    </row>
    <row r="265" spans="1:4">
      <c r="A265" s="16" t="str">
        <f t="shared" ref="A265:A274" si="27">IFERROR($V$5 &amp; "BR"&amp;$AP$4&amp;".DI"&amp;AP$5,"УДАЛИТЬ")</f>
        <v>УДАЛИТЬ</v>
      </c>
      <c r="B265" s="17">
        <v>11001</v>
      </c>
      <c r="C265" s="17" t="s">
        <v>0</v>
      </c>
      <c r="D265" s="18" t="str">
        <f>$Q$2</f>
        <v>Аналоговый сигнал облегченный (только один сигнал) с буферизацией</v>
      </c>
    </row>
    <row r="266" spans="1:4">
      <c r="A266" s="602" t="str">
        <f t="shared" si="27"/>
        <v>УДАЛИТЬ</v>
      </c>
      <c r="B266" s="603">
        <v>11154</v>
      </c>
      <c r="C266" s="603" t="s">
        <v>4</v>
      </c>
      <c r="D266" s="604">
        <f>$Q$19</f>
        <v>22</v>
      </c>
    </row>
    <row r="267" spans="1:4">
      <c r="A267" s="602" t="str">
        <f t="shared" si="27"/>
        <v>УДАЛИТЬ</v>
      </c>
      <c r="B267" s="603">
        <v>11155</v>
      </c>
      <c r="C267" s="603" t="s">
        <v>4</v>
      </c>
      <c r="D267" s="604">
        <f>$Q$19</f>
        <v>22</v>
      </c>
    </row>
    <row r="268" spans="1:4">
      <c r="A268" s="602" t="str">
        <f t="shared" si="27"/>
        <v>УДАЛИТЬ</v>
      </c>
      <c r="B268" s="603">
        <v>11150</v>
      </c>
      <c r="C268" s="603" t="s">
        <v>0</v>
      </c>
      <c r="D268" s="605" t="s">
        <v>1654</v>
      </c>
    </row>
    <row r="269" spans="1:4">
      <c r="A269" s="602" t="str">
        <f t="shared" si="27"/>
        <v>УДАЛИТЬ</v>
      </c>
      <c r="B269" s="603">
        <v>11151</v>
      </c>
      <c r="C269" s="603" t="s">
        <v>0</v>
      </c>
      <c r="D269" s="605" t="s">
        <v>1655</v>
      </c>
    </row>
    <row r="270" spans="1:4">
      <c r="A270" s="602" t="str">
        <f t="shared" si="27"/>
        <v>УДАЛИТЬ</v>
      </c>
      <c r="B270" s="603">
        <v>11000</v>
      </c>
      <c r="C270" s="603" t="s">
        <v>5</v>
      </c>
      <c r="D270" s="605">
        <v>2147483744</v>
      </c>
    </row>
    <row r="271" spans="1:4">
      <c r="A271" s="19" t="str">
        <f t="shared" si="27"/>
        <v>УДАЛИТЬ</v>
      </c>
      <c r="B271" s="11">
        <v>3</v>
      </c>
      <c r="C271" s="11" t="s">
        <v>1</v>
      </c>
      <c r="D271" s="20">
        <v>192</v>
      </c>
    </row>
    <row r="272" spans="1:4">
      <c r="A272" s="19" t="str">
        <f t="shared" si="27"/>
        <v>УДАЛИТЬ</v>
      </c>
      <c r="B272" s="11">
        <v>2</v>
      </c>
      <c r="C272" s="11" t="s">
        <v>2</v>
      </c>
      <c r="D272" s="20" t="s">
        <v>3</v>
      </c>
    </row>
    <row r="273" spans="1:4">
      <c r="A273" s="19" t="str">
        <f t="shared" si="27"/>
        <v>УДАЛИТЬ</v>
      </c>
      <c r="B273" s="11">
        <v>1</v>
      </c>
      <c r="C273" s="11" t="s">
        <v>1</v>
      </c>
      <c r="D273" s="20">
        <v>11</v>
      </c>
    </row>
    <row r="274" spans="1:4">
      <c r="A274" s="26" t="str">
        <f t="shared" si="27"/>
        <v>УДАЛИТЬ</v>
      </c>
      <c r="B274" s="27">
        <v>7050</v>
      </c>
      <c r="C274" s="27" t="s">
        <v>0</v>
      </c>
      <c r="D274" s="28" t="str">
        <f>"&lt;Addr AnswerSignalType=©0© Protocol=©IEC4Std© Type=©Protocol© ProtocolType=©30© Address=©XXX© ModuleNo=©" &amp; $T$5 &amp; "© Role=©Master© Station=©" &amp; $U$5 &amp; "©  /&gt;"</f>
        <v>&lt;Addr AnswerSignalType=©0© Protocol=©IEC4Std© Type=©Protocol© ProtocolType=©30© Address=©XXX© ModuleNo=©1© Role=©Master© Station=©1©  /&gt;</v>
      </c>
    </row>
    <row r="275" spans="1:4">
      <c r="A275" s="16" t="str">
        <f t="shared" ref="A275:A284" si="28">IFERROR($V$5 &amp; "BR"&amp;$AT$4&amp;".DI"&amp;AT$5,"УДАЛИТЬ")</f>
        <v>УДАЛИТЬ</v>
      </c>
      <c r="B275" s="17">
        <v>11001</v>
      </c>
      <c r="C275" s="17" t="s">
        <v>0</v>
      </c>
      <c r="D275" s="18" t="str">
        <f>$Q$2</f>
        <v>Аналоговый сигнал облегченный (только один сигнал) с буферизацией</v>
      </c>
    </row>
    <row r="276" spans="1:4">
      <c r="A276" s="602" t="str">
        <f t="shared" si="28"/>
        <v>УДАЛИТЬ</v>
      </c>
      <c r="B276" s="603">
        <v>11154</v>
      </c>
      <c r="C276" s="603" t="s">
        <v>4</v>
      </c>
      <c r="D276" s="604">
        <f>$Q$19</f>
        <v>22</v>
      </c>
    </row>
    <row r="277" spans="1:4">
      <c r="A277" s="602" t="str">
        <f t="shared" si="28"/>
        <v>УДАЛИТЬ</v>
      </c>
      <c r="B277" s="603">
        <v>11155</v>
      </c>
      <c r="C277" s="603" t="s">
        <v>4</v>
      </c>
      <c r="D277" s="604">
        <f>$Q$19</f>
        <v>22</v>
      </c>
    </row>
    <row r="278" spans="1:4">
      <c r="A278" s="602" t="str">
        <f t="shared" si="28"/>
        <v>УДАЛИТЬ</v>
      </c>
      <c r="B278" s="603">
        <v>11150</v>
      </c>
      <c r="C278" s="603" t="s">
        <v>0</v>
      </c>
      <c r="D278" s="605" t="s">
        <v>1656</v>
      </c>
    </row>
    <row r="279" spans="1:4">
      <c r="A279" s="602" t="str">
        <f t="shared" si="28"/>
        <v>УДАЛИТЬ</v>
      </c>
      <c r="B279" s="603">
        <v>11151</v>
      </c>
      <c r="C279" s="603" t="s">
        <v>0</v>
      </c>
      <c r="D279" s="605" t="s">
        <v>1657</v>
      </c>
    </row>
    <row r="280" spans="1:4">
      <c r="A280" s="602" t="str">
        <f t="shared" si="28"/>
        <v>УДАЛИТЬ</v>
      </c>
      <c r="B280" s="603">
        <v>11000</v>
      </c>
      <c r="C280" s="603" t="s">
        <v>5</v>
      </c>
      <c r="D280" s="605">
        <v>2147483744</v>
      </c>
    </row>
    <row r="281" spans="1:4">
      <c r="A281" s="19" t="str">
        <f t="shared" si="28"/>
        <v>УДАЛИТЬ</v>
      </c>
      <c r="B281" s="11">
        <v>3</v>
      </c>
      <c r="C281" s="11" t="s">
        <v>1</v>
      </c>
      <c r="D281" s="20">
        <v>192</v>
      </c>
    </row>
    <row r="282" spans="1:4">
      <c r="A282" s="19" t="str">
        <f t="shared" si="28"/>
        <v>УДАЛИТЬ</v>
      </c>
      <c r="B282" s="11">
        <v>2</v>
      </c>
      <c r="C282" s="11" t="s">
        <v>2</v>
      </c>
      <c r="D282" s="20" t="s">
        <v>3</v>
      </c>
    </row>
    <row r="283" spans="1:4">
      <c r="A283" s="19" t="str">
        <f t="shared" si="28"/>
        <v>УДАЛИТЬ</v>
      </c>
      <c r="B283" s="11">
        <v>1</v>
      </c>
      <c r="C283" s="11" t="s">
        <v>1</v>
      </c>
      <c r="D283" s="20">
        <v>11</v>
      </c>
    </row>
    <row r="284" spans="1:4">
      <c r="A284" s="26" t="str">
        <f t="shared" si="28"/>
        <v>УДАЛИТЬ</v>
      </c>
      <c r="B284" s="27">
        <v>7050</v>
      </c>
      <c r="C284" s="27" t="s">
        <v>0</v>
      </c>
      <c r="D284" s="28" t="str">
        <f>"&lt;Addr AnswerSignalType=©0© Protocol=©IEC4Std© Type=©Protocol© ProtocolType=©30© Address=©XXX© ModuleNo=©" &amp; $T$5 &amp; "© Role=©Master© Station=©" &amp; $U$5 &amp; "©  /&gt;"</f>
        <v>&lt;Addr AnswerSignalType=©0© Protocol=©IEC4Std© Type=©Protocol© ProtocolType=©30© Address=©XXX© ModuleNo=©1© Role=©Master© Station=©1©  /&gt;</v>
      </c>
    </row>
    <row r="285" spans="1:4">
      <c r="A285" s="16" t="str">
        <f t="shared" ref="A285:A294" si="29">IFERROR($V$5 &amp; "BR"&amp;$AU$4&amp;".DI"&amp;AU$5,"УДАЛИТЬ")</f>
        <v>УДАЛИТЬ</v>
      </c>
      <c r="B285" s="17">
        <v>11001</v>
      </c>
      <c r="C285" s="17" t="s">
        <v>0</v>
      </c>
      <c r="D285" s="18" t="str">
        <f>$Q$2</f>
        <v>Аналоговый сигнал облегченный (только один сигнал) с буферизацией</v>
      </c>
    </row>
    <row r="286" spans="1:4">
      <c r="A286" s="602" t="str">
        <f t="shared" si="29"/>
        <v>УДАЛИТЬ</v>
      </c>
      <c r="B286" s="603">
        <v>11154</v>
      </c>
      <c r="C286" s="603" t="s">
        <v>4</v>
      </c>
      <c r="D286" s="604">
        <f>$Q$19</f>
        <v>22</v>
      </c>
    </row>
    <row r="287" spans="1:4">
      <c r="A287" s="602" t="str">
        <f t="shared" si="29"/>
        <v>УДАЛИТЬ</v>
      </c>
      <c r="B287" s="603">
        <v>11155</v>
      </c>
      <c r="C287" s="603" t="s">
        <v>4</v>
      </c>
      <c r="D287" s="604">
        <f>$Q$19</f>
        <v>22</v>
      </c>
    </row>
    <row r="288" spans="1:4">
      <c r="A288" s="602" t="str">
        <f t="shared" si="29"/>
        <v>УДАЛИТЬ</v>
      </c>
      <c r="B288" s="603">
        <v>11150</v>
      </c>
      <c r="C288" s="603" t="s">
        <v>0</v>
      </c>
      <c r="D288" s="605" t="s">
        <v>1658</v>
      </c>
    </row>
    <row r="289" spans="1:4">
      <c r="A289" s="602" t="str">
        <f t="shared" si="29"/>
        <v>УДАЛИТЬ</v>
      </c>
      <c r="B289" s="603">
        <v>11151</v>
      </c>
      <c r="C289" s="603" t="s">
        <v>0</v>
      </c>
      <c r="D289" s="605" t="s">
        <v>1659</v>
      </c>
    </row>
    <row r="290" spans="1:4">
      <c r="A290" s="602" t="str">
        <f t="shared" si="29"/>
        <v>УДАЛИТЬ</v>
      </c>
      <c r="B290" s="603">
        <v>11000</v>
      </c>
      <c r="C290" s="603" t="s">
        <v>5</v>
      </c>
      <c r="D290" s="605">
        <v>2147483744</v>
      </c>
    </row>
    <row r="291" spans="1:4">
      <c r="A291" s="19" t="str">
        <f t="shared" si="29"/>
        <v>УДАЛИТЬ</v>
      </c>
      <c r="B291" s="11">
        <v>3</v>
      </c>
      <c r="C291" s="11" t="s">
        <v>1</v>
      </c>
      <c r="D291" s="20">
        <v>192</v>
      </c>
    </row>
    <row r="292" spans="1:4">
      <c r="A292" s="19" t="str">
        <f t="shared" si="29"/>
        <v>УДАЛИТЬ</v>
      </c>
      <c r="B292" s="11">
        <v>2</v>
      </c>
      <c r="C292" s="11" t="s">
        <v>2</v>
      </c>
      <c r="D292" s="20" t="s">
        <v>3</v>
      </c>
    </row>
    <row r="293" spans="1:4">
      <c r="A293" s="19" t="str">
        <f t="shared" si="29"/>
        <v>УДАЛИТЬ</v>
      </c>
      <c r="B293" s="11">
        <v>1</v>
      </c>
      <c r="C293" s="11" t="s">
        <v>1</v>
      </c>
      <c r="D293" s="20">
        <v>11</v>
      </c>
    </row>
    <row r="294" spans="1:4">
      <c r="A294" s="26" t="str">
        <f t="shared" si="29"/>
        <v>УДАЛИТЬ</v>
      </c>
      <c r="B294" s="27">
        <v>7050</v>
      </c>
      <c r="C294" s="27" t="s">
        <v>0</v>
      </c>
      <c r="D294" s="28" t="str">
        <f>"&lt;Addr AnswerSignalType=©0© Protocol=©IEC4Std© Type=©Protocol© ProtocolType=©30© Address=©XXX© ModuleNo=©" &amp; $T$5 &amp; "© Role=©Master© Station=©" &amp; $U$5 &amp; "©  /&gt;"</f>
        <v>&lt;Addr AnswerSignalType=©0© Protocol=©IEC4Std© Type=©Protocol© ProtocolType=©30© Address=©XXX© ModuleNo=©1© Role=©Master© Station=©1©  /&gt;</v>
      </c>
    </row>
    <row r="295" spans="1:4">
      <c r="A295" s="599" t="s">
        <v>602</v>
      </c>
      <c r="B295" s="600"/>
      <c r="C295" s="600"/>
      <c r="D295" s="601"/>
    </row>
    <row r="296" spans="1:4">
      <c r="A296" s="16" t="str">
        <f t="shared" ref="A296:A305" si="30">IFERROR($V$5 &amp; "BR"&amp;$AL$4&amp;".DI"&amp;AL$5,"УДАЛИТЬ")</f>
        <v>УДАЛИТЬ</v>
      </c>
      <c r="B296" s="17">
        <v>11001</v>
      </c>
      <c r="C296" s="17" t="s">
        <v>0</v>
      </c>
      <c r="D296" s="18" t="str">
        <f>$Q$2</f>
        <v>Аналоговый сигнал облегченный (только один сигнал) с буферизацией</v>
      </c>
    </row>
    <row r="297" spans="1:4">
      <c r="A297" s="602" t="str">
        <f t="shared" si="30"/>
        <v>УДАЛИТЬ</v>
      </c>
      <c r="B297" s="603">
        <v>11154</v>
      </c>
      <c r="C297" s="603" t="s">
        <v>4</v>
      </c>
      <c r="D297" s="604">
        <f>$Q$19</f>
        <v>22</v>
      </c>
    </row>
    <row r="298" spans="1:4">
      <c r="A298" s="602" t="str">
        <f t="shared" si="30"/>
        <v>УДАЛИТЬ</v>
      </c>
      <c r="B298" s="603">
        <v>11155</v>
      </c>
      <c r="C298" s="603" t="s">
        <v>4</v>
      </c>
      <c r="D298" s="604">
        <f>$Q$19</f>
        <v>22</v>
      </c>
    </row>
    <row r="299" spans="1:4">
      <c r="A299" s="602" t="str">
        <f t="shared" si="30"/>
        <v>УДАЛИТЬ</v>
      </c>
      <c r="B299" s="603">
        <v>11150</v>
      </c>
      <c r="C299" s="603" t="s">
        <v>0</v>
      </c>
      <c r="D299" s="605" t="s">
        <v>1646</v>
      </c>
    </row>
    <row r="300" spans="1:4">
      <c r="A300" s="602" t="str">
        <f t="shared" si="30"/>
        <v>УДАЛИТЬ</v>
      </c>
      <c r="B300" s="603">
        <v>11151</v>
      </c>
      <c r="C300" s="603" t="s">
        <v>0</v>
      </c>
      <c r="D300" s="605" t="s">
        <v>1647</v>
      </c>
    </row>
    <row r="301" spans="1:4">
      <c r="A301" s="602" t="str">
        <f t="shared" si="30"/>
        <v>УДАЛИТЬ</v>
      </c>
      <c r="B301" s="603">
        <v>11000</v>
      </c>
      <c r="C301" s="603" t="s">
        <v>5</v>
      </c>
      <c r="D301" s="605">
        <v>2147483744</v>
      </c>
    </row>
    <row r="302" spans="1:4">
      <c r="A302" s="19" t="str">
        <f t="shared" si="30"/>
        <v>УДАЛИТЬ</v>
      </c>
      <c r="B302" s="11">
        <v>3</v>
      </c>
      <c r="C302" s="11" t="s">
        <v>1</v>
      </c>
      <c r="D302" s="20">
        <v>192</v>
      </c>
    </row>
    <row r="303" spans="1:4">
      <c r="A303" s="19" t="str">
        <f t="shared" si="30"/>
        <v>УДАЛИТЬ</v>
      </c>
      <c r="B303" s="11">
        <v>2</v>
      </c>
      <c r="C303" s="11" t="s">
        <v>2</v>
      </c>
      <c r="D303" s="20" t="s">
        <v>3</v>
      </c>
    </row>
    <row r="304" spans="1:4">
      <c r="A304" s="19" t="str">
        <f t="shared" si="30"/>
        <v>УДАЛИТЬ</v>
      </c>
      <c r="B304" s="11">
        <v>1</v>
      </c>
      <c r="C304" s="11" t="s">
        <v>1</v>
      </c>
      <c r="D304" s="20">
        <v>11</v>
      </c>
    </row>
    <row r="305" spans="1:4">
      <c r="A305" s="26" t="str">
        <f t="shared" si="30"/>
        <v>УДАЛИТЬ</v>
      </c>
      <c r="B305" s="27">
        <v>7050</v>
      </c>
      <c r="C305" s="27" t="s">
        <v>0</v>
      </c>
      <c r="D305" s="28" t="str">
        <f>"&lt;Addr AnswerSignalType=©0© Protocol=©IEC4Std© Type=©Protocol© ProtocolType=©30© Address=©XXX© ModuleNo=©" &amp; $T$5 &amp; "© Role=©Master© Station=©" &amp; $U$5 &amp; "©  /&gt;"</f>
        <v>&lt;Addr AnswerSignalType=©0© Protocol=©IEC4Std© Type=©Protocol© ProtocolType=©30© Address=©XXX© ModuleNo=©1© Role=©Master© Station=©1©  /&gt;</v>
      </c>
    </row>
    <row r="306" spans="1:4">
      <c r="A306" s="16" t="str">
        <f t="shared" ref="A306:A315" si="31">IFERROR($V$5 &amp; "BR"&amp;$AM$4&amp;".DI"&amp;AM$5,"УДАЛИТЬ")</f>
        <v>УДАЛИТЬ</v>
      </c>
      <c r="B306" s="17">
        <v>11001</v>
      </c>
      <c r="C306" s="17" t="s">
        <v>0</v>
      </c>
      <c r="D306" s="18" t="str">
        <f>$Q$2</f>
        <v>Аналоговый сигнал облегченный (только один сигнал) с буферизацией</v>
      </c>
    </row>
    <row r="307" spans="1:4">
      <c r="A307" s="602" t="str">
        <f t="shared" si="31"/>
        <v>УДАЛИТЬ</v>
      </c>
      <c r="B307" s="603">
        <v>11154</v>
      </c>
      <c r="C307" s="603" t="s">
        <v>4</v>
      </c>
      <c r="D307" s="604">
        <f>$Q$19</f>
        <v>22</v>
      </c>
    </row>
    <row r="308" spans="1:4">
      <c r="A308" s="602" t="str">
        <f t="shared" si="31"/>
        <v>УДАЛИТЬ</v>
      </c>
      <c r="B308" s="603">
        <v>11155</v>
      </c>
      <c r="C308" s="603" t="s">
        <v>4</v>
      </c>
      <c r="D308" s="604">
        <f>$Q$19</f>
        <v>22</v>
      </c>
    </row>
    <row r="309" spans="1:4">
      <c r="A309" s="602" t="str">
        <f t="shared" si="31"/>
        <v>УДАЛИТЬ</v>
      </c>
      <c r="B309" s="603">
        <v>11150</v>
      </c>
      <c r="C309" s="603" t="s">
        <v>0</v>
      </c>
      <c r="D309" s="605" t="s">
        <v>1648</v>
      </c>
    </row>
    <row r="310" spans="1:4">
      <c r="A310" s="602" t="str">
        <f t="shared" si="31"/>
        <v>УДАЛИТЬ</v>
      </c>
      <c r="B310" s="603">
        <v>11151</v>
      </c>
      <c r="C310" s="603" t="s">
        <v>0</v>
      </c>
      <c r="D310" s="605" t="s">
        <v>1649</v>
      </c>
    </row>
    <row r="311" spans="1:4">
      <c r="A311" s="602" t="str">
        <f t="shared" si="31"/>
        <v>УДАЛИТЬ</v>
      </c>
      <c r="B311" s="603">
        <v>11000</v>
      </c>
      <c r="C311" s="603" t="s">
        <v>5</v>
      </c>
      <c r="D311" s="605">
        <v>2147483744</v>
      </c>
    </row>
    <row r="312" spans="1:4">
      <c r="A312" s="19" t="str">
        <f t="shared" si="31"/>
        <v>УДАЛИТЬ</v>
      </c>
      <c r="B312" s="11">
        <v>3</v>
      </c>
      <c r="C312" s="11" t="s">
        <v>1</v>
      </c>
      <c r="D312" s="20">
        <v>192</v>
      </c>
    </row>
    <row r="313" spans="1:4">
      <c r="A313" s="19" t="str">
        <f t="shared" si="31"/>
        <v>УДАЛИТЬ</v>
      </c>
      <c r="B313" s="11">
        <v>2</v>
      </c>
      <c r="C313" s="11" t="s">
        <v>2</v>
      </c>
      <c r="D313" s="20" t="s">
        <v>3</v>
      </c>
    </row>
    <row r="314" spans="1:4">
      <c r="A314" s="19" t="str">
        <f t="shared" si="31"/>
        <v>УДАЛИТЬ</v>
      </c>
      <c r="B314" s="11">
        <v>1</v>
      </c>
      <c r="C314" s="11" t="s">
        <v>1</v>
      </c>
      <c r="D314" s="20">
        <v>11</v>
      </c>
    </row>
    <row r="315" spans="1:4">
      <c r="A315" s="26" t="str">
        <f t="shared" si="31"/>
        <v>УДАЛИТЬ</v>
      </c>
      <c r="B315" s="27">
        <v>7050</v>
      </c>
      <c r="C315" s="27" t="s">
        <v>0</v>
      </c>
      <c r="D315" s="28" t="str">
        <f>"&lt;Addr AnswerSignalType=©0© Protocol=©IEC4Std© Type=©Protocol© ProtocolType=©30© Address=©XXX© ModuleNo=©" &amp; $T$5 &amp; "© Role=©Master© Station=©" &amp; $U$5 &amp; "©  /&gt;"</f>
        <v>&lt;Addr AnswerSignalType=©0© Protocol=©IEC4Std© Type=©Protocol© ProtocolType=©30© Address=©XXX© ModuleNo=©1© Role=©Master© Station=©1©  /&gt;</v>
      </c>
    </row>
    <row r="316" spans="1:4">
      <c r="A316" s="16" t="str">
        <f t="shared" ref="A316:A325" si="32">IFERROR($V$5 &amp; "BR"&amp;$AP$4&amp;".DI"&amp;AP$5,"УДАЛИТЬ")</f>
        <v>УДАЛИТЬ</v>
      </c>
      <c r="B316" s="17">
        <v>11001</v>
      </c>
      <c r="C316" s="17" t="s">
        <v>0</v>
      </c>
      <c r="D316" s="18" t="str">
        <f>$Q$2</f>
        <v>Аналоговый сигнал облегченный (только один сигнал) с буферизацией</v>
      </c>
    </row>
    <row r="317" spans="1:4">
      <c r="A317" s="602" t="str">
        <f t="shared" si="32"/>
        <v>УДАЛИТЬ</v>
      </c>
      <c r="B317" s="603">
        <v>11154</v>
      </c>
      <c r="C317" s="603" t="s">
        <v>4</v>
      </c>
      <c r="D317" s="604">
        <f>$Q$19</f>
        <v>22</v>
      </c>
    </row>
    <row r="318" spans="1:4">
      <c r="A318" s="602" t="str">
        <f t="shared" si="32"/>
        <v>УДАЛИТЬ</v>
      </c>
      <c r="B318" s="603">
        <v>11155</v>
      </c>
      <c r="C318" s="603" t="s">
        <v>4</v>
      </c>
      <c r="D318" s="604">
        <f>$Q$19</f>
        <v>22</v>
      </c>
    </row>
    <row r="319" spans="1:4">
      <c r="A319" s="602" t="str">
        <f t="shared" si="32"/>
        <v>УДАЛИТЬ</v>
      </c>
      <c r="B319" s="603">
        <v>11150</v>
      </c>
      <c r="C319" s="603" t="s">
        <v>0</v>
      </c>
      <c r="D319" s="605" t="s">
        <v>1654</v>
      </c>
    </row>
    <row r="320" spans="1:4">
      <c r="A320" s="602" t="str">
        <f t="shared" si="32"/>
        <v>УДАЛИТЬ</v>
      </c>
      <c r="B320" s="603">
        <v>11151</v>
      </c>
      <c r="C320" s="603" t="s">
        <v>0</v>
      </c>
      <c r="D320" s="605" t="s">
        <v>1655</v>
      </c>
    </row>
    <row r="321" spans="1:4">
      <c r="A321" s="602" t="str">
        <f t="shared" si="32"/>
        <v>УДАЛИТЬ</v>
      </c>
      <c r="B321" s="603">
        <v>11000</v>
      </c>
      <c r="C321" s="603" t="s">
        <v>5</v>
      </c>
      <c r="D321" s="605">
        <v>2147483744</v>
      </c>
    </row>
    <row r="322" spans="1:4">
      <c r="A322" s="19" t="str">
        <f t="shared" si="32"/>
        <v>УДАЛИТЬ</v>
      </c>
      <c r="B322" s="11">
        <v>3</v>
      </c>
      <c r="C322" s="11" t="s">
        <v>1</v>
      </c>
      <c r="D322" s="20">
        <v>192</v>
      </c>
    </row>
    <row r="323" spans="1:4">
      <c r="A323" s="19" t="str">
        <f t="shared" si="32"/>
        <v>УДАЛИТЬ</v>
      </c>
      <c r="B323" s="11">
        <v>2</v>
      </c>
      <c r="C323" s="11" t="s">
        <v>2</v>
      </c>
      <c r="D323" s="20" t="s">
        <v>3</v>
      </c>
    </row>
    <row r="324" spans="1:4">
      <c r="A324" s="19" t="str">
        <f t="shared" si="32"/>
        <v>УДАЛИТЬ</v>
      </c>
      <c r="B324" s="11">
        <v>1</v>
      </c>
      <c r="C324" s="11" t="s">
        <v>1</v>
      </c>
      <c r="D324" s="20">
        <v>11</v>
      </c>
    </row>
    <row r="325" spans="1:4">
      <c r="A325" s="26" t="str">
        <f t="shared" si="32"/>
        <v>УДАЛИТЬ</v>
      </c>
      <c r="B325" s="27">
        <v>7050</v>
      </c>
      <c r="C325" s="27" t="s">
        <v>0</v>
      </c>
      <c r="D325" s="28" t="str">
        <f>"&lt;Addr AnswerSignalType=©0© Protocol=©IEC4Std© Type=©Protocol© ProtocolType=©30© Address=©XXX© ModuleNo=©" &amp; $T$5 &amp; "© Role=©Master© Station=©" &amp; $U$5 &amp; "©  /&gt;"</f>
        <v>&lt;Addr AnswerSignalType=©0© Protocol=©IEC4Std© Type=©Protocol© ProtocolType=©30© Address=©XXX© ModuleNo=©1© Role=©Master© Station=©1©  /&gt;</v>
      </c>
    </row>
    <row r="326" spans="1:4">
      <c r="A326" s="16" t="str">
        <f t="shared" ref="A326:A335" si="33">IFERROR($V$5 &amp; "BR"&amp;$AS$4&amp;".DI"&amp;AS$5,"УДАЛИТЬ")</f>
        <v>УДАЛИТЬ</v>
      </c>
      <c r="B326" s="17">
        <v>11001</v>
      </c>
      <c r="C326" s="17" t="s">
        <v>0</v>
      </c>
      <c r="D326" s="18" t="str">
        <f>$Q$2</f>
        <v>Аналоговый сигнал облегченный (только один сигнал) с буферизацией</v>
      </c>
    </row>
    <row r="327" spans="1:4">
      <c r="A327" s="602" t="str">
        <f t="shared" si="33"/>
        <v>УДАЛИТЬ</v>
      </c>
      <c r="B327" s="603">
        <v>11154</v>
      </c>
      <c r="C327" s="603" t="s">
        <v>4</v>
      </c>
      <c r="D327" s="604">
        <f>$Q$19</f>
        <v>22</v>
      </c>
    </row>
    <row r="328" spans="1:4">
      <c r="A328" s="602" t="str">
        <f t="shared" si="33"/>
        <v>УДАЛИТЬ</v>
      </c>
      <c r="B328" s="603">
        <v>11155</v>
      </c>
      <c r="C328" s="603" t="s">
        <v>4</v>
      </c>
      <c r="D328" s="604">
        <f>$Q$19</f>
        <v>22</v>
      </c>
    </row>
    <row r="329" spans="1:4">
      <c r="A329" s="602" t="str">
        <f t="shared" si="33"/>
        <v>УДАЛИТЬ</v>
      </c>
      <c r="B329" s="603">
        <v>11150</v>
      </c>
      <c r="C329" s="603" t="s">
        <v>0</v>
      </c>
      <c r="D329" s="605" t="s">
        <v>1663</v>
      </c>
    </row>
    <row r="330" spans="1:4">
      <c r="A330" s="602" t="str">
        <f t="shared" si="33"/>
        <v>УДАЛИТЬ</v>
      </c>
      <c r="B330" s="603">
        <v>11151</v>
      </c>
      <c r="C330" s="603" t="s">
        <v>0</v>
      </c>
      <c r="D330" s="605" t="s">
        <v>1662</v>
      </c>
    </row>
    <row r="331" spans="1:4">
      <c r="A331" s="602" t="str">
        <f t="shared" si="33"/>
        <v>УДАЛИТЬ</v>
      </c>
      <c r="B331" s="603">
        <v>11000</v>
      </c>
      <c r="C331" s="603" t="s">
        <v>5</v>
      </c>
      <c r="D331" s="605">
        <v>2147483744</v>
      </c>
    </row>
    <row r="332" spans="1:4">
      <c r="A332" s="19" t="str">
        <f t="shared" si="33"/>
        <v>УДАЛИТЬ</v>
      </c>
      <c r="B332" s="11">
        <v>3</v>
      </c>
      <c r="C332" s="11" t="s">
        <v>1</v>
      </c>
      <c r="D332" s="20">
        <v>192</v>
      </c>
    </row>
    <row r="333" spans="1:4">
      <c r="A333" s="19" t="str">
        <f t="shared" si="33"/>
        <v>УДАЛИТЬ</v>
      </c>
      <c r="B333" s="11">
        <v>2</v>
      </c>
      <c r="C333" s="11" t="s">
        <v>2</v>
      </c>
      <c r="D333" s="20" t="s">
        <v>3</v>
      </c>
    </row>
    <row r="334" spans="1:4">
      <c r="A334" s="19" t="str">
        <f t="shared" si="33"/>
        <v>УДАЛИТЬ</v>
      </c>
      <c r="B334" s="11">
        <v>1</v>
      </c>
      <c r="C334" s="11" t="s">
        <v>1</v>
      </c>
      <c r="D334" s="20">
        <v>11</v>
      </c>
    </row>
    <row r="335" spans="1:4">
      <c r="A335" s="26" t="str">
        <f t="shared" si="33"/>
        <v>УДАЛИТЬ</v>
      </c>
      <c r="B335" s="27">
        <v>7050</v>
      </c>
      <c r="C335" s="27" t="s">
        <v>0</v>
      </c>
      <c r="D335" s="28" t="str">
        <f>"&lt;Addr AnswerSignalType=©0© Protocol=©IEC4Std© Type=©Protocol© ProtocolType=©30© Address=©XXX© ModuleNo=©" &amp; $T$5 &amp; "© Role=©Master© Station=©" &amp; $U$5 &amp; "©  /&gt;"</f>
        <v>&lt;Addr AnswerSignalType=©0© Protocol=©IEC4Std© Type=©Protocol© ProtocolType=©30© Address=©XXX© ModuleNo=©1© Role=©Master© Station=©1©  /&gt;</v>
      </c>
    </row>
    <row r="336" spans="1:4">
      <c r="A336" s="16" t="str">
        <f t="shared" ref="A336:A345" si="34">IFERROR($V$5 &amp; "BR"&amp;$AV$4&amp;".DI"&amp;AV$5,"УДАЛИТЬ")</f>
        <v>УДАЛИТЬ</v>
      </c>
      <c r="B336" s="17">
        <v>11001</v>
      </c>
      <c r="C336" s="17" t="s">
        <v>0</v>
      </c>
      <c r="D336" s="18" t="str">
        <f>$Q$2</f>
        <v>Аналоговый сигнал облегченный (только один сигнал) с буферизацией</v>
      </c>
    </row>
    <row r="337" spans="1:4">
      <c r="A337" s="602" t="str">
        <f t="shared" si="34"/>
        <v>УДАЛИТЬ</v>
      </c>
      <c r="B337" s="603">
        <v>11154</v>
      </c>
      <c r="C337" s="603" t="s">
        <v>4</v>
      </c>
      <c r="D337" s="604">
        <f>$Q$19</f>
        <v>22</v>
      </c>
    </row>
    <row r="338" spans="1:4">
      <c r="A338" s="602" t="str">
        <f t="shared" si="34"/>
        <v>УДАЛИТЬ</v>
      </c>
      <c r="B338" s="603">
        <v>11155</v>
      </c>
      <c r="C338" s="603" t="s">
        <v>4</v>
      </c>
      <c r="D338" s="604">
        <f>$Q$19</f>
        <v>22</v>
      </c>
    </row>
    <row r="339" spans="1:4">
      <c r="A339" s="602" t="str">
        <f t="shared" si="34"/>
        <v>УДАЛИТЬ</v>
      </c>
      <c r="B339" s="603">
        <v>11150</v>
      </c>
      <c r="C339" s="603" t="s">
        <v>0</v>
      </c>
      <c r="D339" s="605" t="s">
        <v>1661</v>
      </c>
    </row>
    <row r="340" spans="1:4">
      <c r="A340" s="602" t="str">
        <f t="shared" si="34"/>
        <v>УДАЛИТЬ</v>
      </c>
      <c r="B340" s="603">
        <v>11151</v>
      </c>
      <c r="C340" s="603" t="s">
        <v>0</v>
      </c>
      <c r="D340" s="605" t="s">
        <v>1660</v>
      </c>
    </row>
    <row r="341" spans="1:4">
      <c r="A341" s="602" t="str">
        <f t="shared" si="34"/>
        <v>УДАЛИТЬ</v>
      </c>
      <c r="B341" s="603">
        <v>11000</v>
      </c>
      <c r="C341" s="603" t="s">
        <v>5</v>
      </c>
      <c r="D341" s="605">
        <v>2147483744</v>
      </c>
    </row>
    <row r="342" spans="1:4">
      <c r="A342" s="19" t="str">
        <f t="shared" si="34"/>
        <v>УДАЛИТЬ</v>
      </c>
      <c r="B342" s="11">
        <v>3</v>
      </c>
      <c r="C342" s="11" t="s">
        <v>1</v>
      </c>
      <c r="D342" s="20">
        <v>192</v>
      </c>
    </row>
    <row r="343" spans="1:4">
      <c r="A343" s="19" t="str">
        <f t="shared" si="34"/>
        <v>УДАЛИТЬ</v>
      </c>
      <c r="B343" s="11">
        <v>2</v>
      </c>
      <c r="C343" s="11" t="s">
        <v>2</v>
      </c>
      <c r="D343" s="20" t="s">
        <v>3</v>
      </c>
    </row>
    <row r="344" spans="1:4">
      <c r="A344" s="19" t="str">
        <f t="shared" si="34"/>
        <v>УДАЛИТЬ</v>
      </c>
      <c r="B344" s="11">
        <v>1</v>
      </c>
      <c r="C344" s="11" t="s">
        <v>1</v>
      </c>
      <c r="D344" s="20">
        <v>11</v>
      </c>
    </row>
    <row r="345" spans="1:4">
      <c r="A345" s="26" t="str">
        <f t="shared" si="34"/>
        <v>УДАЛИТЬ</v>
      </c>
      <c r="B345" s="27">
        <v>7050</v>
      </c>
      <c r="C345" s="27" t="s">
        <v>0</v>
      </c>
      <c r="D345" s="28" t="str">
        <f>"&lt;Addr AnswerSignalType=©0© Protocol=©IEC4Std© Type=©Protocol© ProtocolType=©30© Address=©XXX© ModuleNo=©" &amp; $T$5 &amp; "© Role=©Master© Station=©" &amp; $U$5 &amp; "©  /&gt;"</f>
        <v>&lt;Addr AnswerSignalType=©0© Protocol=©IEC4Std© Type=©Protocol© ProtocolType=©30© Address=©XXX© ModuleNo=©1© Role=©Master© Station=©1©  /&gt;</v>
      </c>
    </row>
    <row r="346" spans="1:4">
      <c r="A346" s="599" t="s">
        <v>604</v>
      </c>
      <c r="B346" s="600"/>
      <c r="C346" s="600"/>
      <c r="D346" s="601"/>
    </row>
    <row r="347" spans="1:4">
      <c r="A347" s="16" t="str">
        <f t="shared" ref="A347:A356" si="35">IFERROR($V$5 &amp; "BR"&amp;$AL$4&amp;".DI"&amp;AL$5,"УДАЛИТЬ")</f>
        <v>УДАЛИТЬ</v>
      </c>
      <c r="B347" s="17">
        <v>11001</v>
      </c>
      <c r="C347" s="17" t="s">
        <v>0</v>
      </c>
      <c r="D347" s="18" t="str">
        <f>$Q$2</f>
        <v>Аналоговый сигнал облегченный (только один сигнал) с буферизацией</v>
      </c>
    </row>
    <row r="348" spans="1:4">
      <c r="A348" s="602" t="str">
        <f t="shared" si="35"/>
        <v>УДАЛИТЬ</v>
      </c>
      <c r="B348" s="603">
        <v>11154</v>
      </c>
      <c r="C348" s="603" t="s">
        <v>4</v>
      </c>
      <c r="D348" s="604">
        <f>$Q$19</f>
        <v>22</v>
      </c>
    </row>
    <row r="349" spans="1:4">
      <c r="A349" s="602" t="str">
        <f t="shared" si="35"/>
        <v>УДАЛИТЬ</v>
      </c>
      <c r="B349" s="603">
        <v>11155</v>
      </c>
      <c r="C349" s="603" t="s">
        <v>4</v>
      </c>
      <c r="D349" s="604">
        <f>$Q$19</f>
        <v>22</v>
      </c>
    </row>
    <row r="350" spans="1:4">
      <c r="A350" s="602" t="str">
        <f t="shared" si="35"/>
        <v>УДАЛИТЬ</v>
      </c>
      <c r="B350" s="603">
        <v>11150</v>
      </c>
      <c r="C350" s="603" t="s">
        <v>0</v>
      </c>
      <c r="D350" s="605" t="s">
        <v>1646</v>
      </c>
    </row>
    <row r="351" spans="1:4">
      <c r="A351" s="602" t="str">
        <f t="shared" si="35"/>
        <v>УДАЛИТЬ</v>
      </c>
      <c r="B351" s="603">
        <v>11151</v>
      </c>
      <c r="C351" s="603" t="s">
        <v>0</v>
      </c>
      <c r="D351" s="605" t="s">
        <v>1647</v>
      </c>
    </row>
    <row r="352" spans="1:4">
      <c r="A352" s="602" t="str">
        <f t="shared" si="35"/>
        <v>УДАЛИТЬ</v>
      </c>
      <c r="B352" s="603">
        <v>11000</v>
      </c>
      <c r="C352" s="603" t="s">
        <v>5</v>
      </c>
      <c r="D352" s="605">
        <v>2147483744</v>
      </c>
    </row>
    <row r="353" spans="1:4">
      <c r="A353" s="19" t="str">
        <f t="shared" si="35"/>
        <v>УДАЛИТЬ</v>
      </c>
      <c r="B353" s="11">
        <v>3</v>
      </c>
      <c r="C353" s="11" t="s">
        <v>1</v>
      </c>
      <c r="D353" s="20">
        <v>192</v>
      </c>
    </row>
    <row r="354" spans="1:4">
      <c r="A354" s="19" t="str">
        <f t="shared" si="35"/>
        <v>УДАЛИТЬ</v>
      </c>
      <c r="B354" s="11">
        <v>2</v>
      </c>
      <c r="C354" s="11" t="s">
        <v>2</v>
      </c>
      <c r="D354" s="20" t="s">
        <v>3</v>
      </c>
    </row>
    <row r="355" spans="1:4">
      <c r="A355" s="19" t="str">
        <f t="shared" si="35"/>
        <v>УДАЛИТЬ</v>
      </c>
      <c r="B355" s="11">
        <v>1</v>
      </c>
      <c r="C355" s="11" t="s">
        <v>1</v>
      </c>
      <c r="D355" s="20">
        <v>11</v>
      </c>
    </row>
    <row r="356" spans="1:4">
      <c r="A356" s="26" t="str">
        <f t="shared" si="35"/>
        <v>УДАЛИТЬ</v>
      </c>
      <c r="B356" s="27">
        <v>7050</v>
      </c>
      <c r="C356" s="27" t="s">
        <v>0</v>
      </c>
      <c r="D356" s="28" t="str">
        <f>"&lt;Addr AnswerSignalType=©0© Protocol=©IEC4Std© Type=©Protocol© ProtocolType=©30© Address=©XXX© ModuleNo=©" &amp; $T$5 &amp; "© Role=©Master© Station=©" &amp; $U$5 &amp; "©  /&gt;"</f>
        <v>&lt;Addr AnswerSignalType=©0© Protocol=©IEC4Std© Type=©Protocol© ProtocolType=©30© Address=©XXX© ModuleNo=©1© Role=©Master© Station=©1©  /&gt;</v>
      </c>
    </row>
    <row r="357" spans="1:4">
      <c r="A357" s="16" t="str">
        <f t="shared" ref="A357:A366" si="36">IFERROR($V$5 &amp; "BR"&amp;$AM$4&amp;".DI"&amp;AM$5,"УДАЛИТЬ")</f>
        <v>УДАЛИТЬ</v>
      </c>
      <c r="B357" s="17">
        <v>11001</v>
      </c>
      <c r="C357" s="17" t="s">
        <v>0</v>
      </c>
      <c r="D357" s="18" t="str">
        <f>$Q$2</f>
        <v>Аналоговый сигнал облегченный (только один сигнал) с буферизацией</v>
      </c>
    </row>
    <row r="358" spans="1:4">
      <c r="A358" s="602" t="str">
        <f t="shared" si="36"/>
        <v>УДАЛИТЬ</v>
      </c>
      <c r="B358" s="603">
        <v>11154</v>
      </c>
      <c r="C358" s="603" t="s">
        <v>4</v>
      </c>
      <c r="D358" s="604">
        <f>$Q$19</f>
        <v>22</v>
      </c>
    </row>
    <row r="359" spans="1:4">
      <c r="A359" s="602" t="str">
        <f t="shared" si="36"/>
        <v>УДАЛИТЬ</v>
      </c>
      <c r="B359" s="603">
        <v>11155</v>
      </c>
      <c r="C359" s="603" t="s">
        <v>4</v>
      </c>
      <c r="D359" s="604">
        <f>$Q$19</f>
        <v>22</v>
      </c>
    </row>
    <row r="360" spans="1:4">
      <c r="A360" s="602" t="str">
        <f t="shared" si="36"/>
        <v>УДАЛИТЬ</v>
      </c>
      <c r="B360" s="603">
        <v>11150</v>
      </c>
      <c r="C360" s="603" t="s">
        <v>0</v>
      </c>
      <c r="D360" s="605" t="s">
        <v>1648</v>
      </c>
    </row>
    <row r="361" spans="1:4">
      <c r="A361" s="602" t="str">
        <f t="shared" si="36"/>
        <v>УДАЛИТЬ</v>
      </c>
      <c r="B361" s="603">
        <v>11151</v>
      </c>
      <c r="C361" s="603" t="s">
        <v>0</v>
      </c>
      <c r="D361" s="605" t="s">
        <v>1649</v>
      </c>
    </row>
    <row r="362" spans="1:4">
      <c r="A362" s="602" t="str">
        <f t="shared" si="36"/>
        <v>УДАЛИТЬ</v>
      </c>
      <c r="B362" s="603">
        <v>11000</v>
      </c>
      <c r="C362" s="603" t="s">
        <v>5</v>
      </c>
      <c r="D362" s="605">
        <v>2147483744</v>
      </c>
    </row>
    <row r="363" spans="1:4">
      <c r="A363" s="19" t="str">
        <f t="shared" si="36"/>
        <v>УДАЛИТЬ</v>
      </c>
      <c r="B363" s="11">
        <v>3</v>
      </c>
      <c r="C363" s="11" t="s">
        <v>1</v>
      </c>
      <c r="D363" s="20">
        <v>192</v>
      </c>
    </row>
    <row r="364" spans="1:4">
      <c r="A364" s="19" t="str">
        <f t="shared" si="36"/>
        <v>УДАЛИТЬ</v>
      </c>
      <c r="B364" s="11">
        <v>2</v>
      </c>
      <c r="C364" s="11" t="s">
        <v>2</v>
      </c>
      <c r="D364" s="20" t="s">
        <v>3</v>
      </c>
    </row>
    <row r="365" spans="1:4">
      <c r="A365" s="19" t="str">
        <f t="shared" si="36"/>
        <v>УДАЛИТЬ</v>
      </c>
      <c r="B365" s="11">
        <v>1</v>
      </c>
      <c r="C365" s="11" t="s">
        <v>1</v>
      </c>
      <c r="D365" s="20">
        <v>11</v>
      </c>
    </row>
    <row r="366" spans="1:4">
      <c r="A366" s="26" t="str">
        <f t="shared" si="36"/>
        <v>УДАЛИТЬ</v>
      </c>
      <c r="B366" s="27">
        <v>7050</v>
      </c>
      <c r="C366" s="27" t="s">
        <v>0</v>
      </c>
      <c r="D366" s="28" t="str">
        <f>"&lt;Addr AnswerSignalType=©0© Protocol=©IEC4Std© Type=©Protocol© ProtocolType=©30© Address=©XXX© ModuleNo=©" &amp; $T$5 &amp; "© Role=©Master© Station=©" &amp; $U$5 &amp; "©  /&gt;"</f>
        <v>&lt;Addr AnswerSignalType=©0© Protocol=©IEC4Std© Type=©Protocol© ProtocolType=©30© Address=©XXX© ModuleNo=©1© Role=©Master© Station=©1©  /&gt;</v>
      </c>
    </row>
    <row r="367" spans="1:4">
      <c r="A367" s="16" t="str">
        <f t="shared" ref="A367:A376" si="37">IFERROR($V$5 &amp; "BR"&amp;$AP$4&amp;".DI"&amp;AP$5,"УДАЛИТЬ")</f>
        <v>УДАЛИТЬ</v>
      </c>
      <c r="B367" s="17">
        <v>11001</v>
      </c>
      <c r="C367" s="17" t="s">
        <v>0</v>
      </c>
      <c r="D367" s="18" t="str">
        <f>$Q$2</f>
        <v>Аналоговый сигнал облегченный (только один сигнал) с буферизацией</v>
      </c>
    </row>
    <row r="368" spans="1:4">
      <c r="A368" s="602" t="str">
        <f t="shared" si="37"/>
        <v>УДАЛИТЬ</v>
      </c>
      <c r="B368" s="603">
        <v>11154</v>
      </c>
      <c r="C368" s="603" t="s">
        <v>4</v>
      </c>
      <c r="D368" s="604">
        <f>$Q$19</f>
        <v>22</v>
      </c>
    </row>
    <row r="369" spans="1:4">
      <c r="A369" s="602" t="str">
        <f t="shared" si="37"/>
        <v>УДАЛИТЬ</v>
      </c>
      <c r="B369" s="603">
        <v>11155</v>
      </c>
      <c r="C369" s="603" t="s">
        <v>4</v>
      </c>
      <c r="D369" s="604">
        <f>$Q$19</f>
        <v>22</v>
      </c>
    </row>
    <row r="370" spans="1:4">
      <c r="A370" s="602" t="str">
        <f t="shared" si="37"/>
        <v>УДАЛИТЬ</v>
      </c>
      <c r="B370" s="603">
        <v>11150</v>
      </c>
      <c r="C370" s="603" t="s">
        <v>0</v>
      </c>
      <c r="D370" s="605" t="s">
        <v>1654</v>
      </c>
    </row>
    <row r="371" spans="1:4">
      <c r="A371" s="602" t="str">
        <f t="shared" si="37"/>
        <v>УДАЛИТЬ</v>
      </c>
      <c r="B371" s="603">
        <v>11151</v>
      </c>
      <c r="C371" s="603" t="s">
        <v>0</v>
      </c>
      <c r="D371" s="605" t="s">
        <v>1655</v>
      </c>
    </row>
    <row r="372" spans="1:4">
      <c r="A372" s="602" t="str">
        <f t="shared" si="37"/>
        <v>УДАЛИТЬ</v>
      </c>
      <c r="B372" s="603">
        <v>11000</v>
      </c>
      <c r="C372" s="603" t="s">
        <v>5</v>
      </c>
      <c r="D372" s="605">
        <v>2147483744</v>
      </c>
    </row>
    <row r="373" spans="1:4">
      <c r="A373" s="19" t="str">
        <f t="shared" si="37"/>
        <v>УДАЛИТЬ</v>
      </c>
      <c r="B373" s="11">
        <v>3</v>
      </c>
      <c r="C373" s="11" t="s">
        <v>1</v>
      </c>
      <c r="D373" s="20">
        <v>192</v>
      </c>
    </row>
    <row r="374" spans="1:4">
      <c r="A374" s="19" t="str">
        <f t="shared" si="37"/>
        <v>УДАЛИТЬ</v>
      </c>
      <c r="B374" s="11">
        <v>2</v>
      </c>
      <c r="C374" s="11" t="s">
        <v>2</v>
      </c>
      <c r="D374" s="20" t="s">
        <v>3</v>
      </c>
    </row>
    <row r="375" spans="1:4">
      <c r="A375" s="19" t="str">
        <f t="shared" si="37"/>
        <v>УДАЛИТЬ</v>
      </c>
      <c r="B375" s="11">
        <v>1</v>
      </c>
      <c r="C375" s="11" t="s">
        <v>1</v>
      </c>
      <c r="D375" s="20">
        <v>11</v>
      </c>
    </row>
    <row r="376" spans="1:4">
      <c r="A376" s="26" t="str">
        <f t="shared" si="37"/>
        <v>УДАЛИТЬ</v>
      </c>
      <c r="B376" s="27">
        <v>7050</v>
      </c>
      <c r="C376" s="27" t="s">
        <v>0</v>
      </c>
      <c r="D376" s="28" t="str">
        <f>"&lt;Addr AnswerSignalType=©0© Protocol=©IEC4Std© Type=©Protocol© ProtocolType=©30© Address=©XXX© ModuleNo=©" &amp; $T$5 &amp; "© Role=©Master© Station=©" &amp; $U$5 &amp; "©  /&gt;"</f>
        <v>&lt;Addr AnswerSignalType=©0© Protocol=©IEC4Std© Type=©Protocol© ProtocolType=©30© Address=©XXX© ModuleNo=©1© Role=©Master© Station=©1©  /&gt;</v>
      </c>
    </row>
    <row r="377" spans="1:4">
      <c r="A377" s="599" t="s">
        <v>601</v>
      </c>
      <c r="B377" s="600"/>
      <c r="C377" s="600"/>
      <c r="D377" s="601"/>
    </row>
    <row r="378" spans="1:4">
      <c r="A378" s="16" t="str">
        <f t="shared" ref="A378:A387" si="38">IFERROR($V$5 &amp; "BR"&amp;$AP$4&amp;".DI"&amp;AP$5,"УДАЛИТЬ")</f>
        <v>УДАЛИТЬ</v>
      </c>
      <c r="B378" s="17">
        <v>11001</v>
      </c>
      <c r="C378" s="17" t="s">
        <v>0</v>
      </c>
      <c r="D378" s="18" t="str">
        <f>$Q$2</f>
        <v>Аналоговый сигнал облегченный (только один сигнал) с буферизацией</v>
      </c>
    </row>
    <row r="379" spans="1:4">
      <c r="A379" s="602" t="str">
        <f t="shared" si="38"/>
        <v>УДАЛИТЬ</v>
      </c>
      <c r="B379" s="603">
        <v>11154</v>
      </c>
      <c r="C379" s="603" t="s">
        <v>4</v>
      </c>
      <c r="D379" s="604">
        <f>$Q$19</f>
        <v>22</v>
      </c>
    </row>
    <row r="380" spans="1:4">
      <c r="A380" s="602" t="str">
        <f t="shared" si="38"/>
        <v>УДАЛИТЬ</v>
      </c>
      <c r="B380" s="603">
        <v>11155</v>
      </c>
      <c r="C380" s="603" t="s">
        <v>4</v>
      </c>
      <c r="D380" s="604">
        <f>$Q$19</f>
        <v>22</v>
      </c>
    </row>
    <row r="381" spans="1:4">
      <c r="A381" s="602" t="str">
        <f t="shared" si="38"/>
        <v>УДАЛИТЬ</v>
      </c>
      <c r="B381" s="603">
        <v>11150</v>
      </c>
      <c r="C381" s="603" t="s">
        <v>0</v>
      </c>
      <c r="D381" s="605" t="s">
        <v>1654</v>
      </c>
    </row>
    <row r="382" spans="1:4">
      <c r="A382" s="602" t="str">
        <f t="shared" si="38"/>
        <v>УДАЛИТЬ</v>
      </c>
      <c r="B382" s="603">
        <v>11151</v>
      </c>
      <c r="C382" s="603" t="s">
        <v>0</v>
      </c>
      <c r="D382" s="605" t="s">
        <v>1655</v>
      </c>
    </row>
    <row r="383" spans="1:4">
      <c r="A383" s="602" t="str">
        <f t="shared" si="38"/>
        <v>УДАЛИТЬ</v>
      </c>
      <c r="B383" s="603">
        <v>11000</v>
      </c>
      <c r="C383" s="603" t="s">
        <v>5</v>
      </c>
      <c r="D383" s="605">
        <v>2147483744</v>
      </c>
    </row>
    <row r="384" spans="1:4">
      <c r="A384" s="19" t="str">
        <f t="shared" si="38"/>
        <v>УДАЛИТЬ</v>
      </c>
      <c r="B384" s="11">
        <v>3</v>
      </c>
      <c r="C384" s="11" t="s">
        <v>1</v>
      </c>
      <c r="D384" s="20">
        <v>192</v>
      </c>
    </row>
    <row r="385" spans="1:4">
      <c r="A385" s="19" t="str">
        <f t="shared" si="38"/>
        <v>УДАЛИТЬ</v>
      </c>
      <c r="B385" s="11">
        <v>2</v>
      </c>
      <c r="C385" s="11" t="s">
        <v>2</v>
      </c>
      <c r="D385" s="20" t="s">
        <v>3</v>
      </c>
    </row>
    <row r="386" spans="1:4">
      <c r="A386" s="19" t="str">
        <f t="shared" si="38"/>
        <v>УДАЛИТЬ</v>
      </c>
      <c r="B386" s="11">
        <v>1</v>
      </c>
      <c r="C386" s="11" t="s">
        <v>1</v>
      </c>
      <c r="D386" s="20">
        <v>11</v>
      </c>
    </row>
    <row r="387" spans="1:4">
      <c r="A387" s="26" t="str">
        <f t="shared" si="38"/>
        <v>УДАЛИТЬ</v>
      </c>
      <c r="B387" s="27">
        <v>7050</v>
      </c>
      <c r="C387" s="27" t="s">
        <v>0</v>
      </c>
      <c r="D387" s="28" t="str">
        <f>"&lt;Addr AnswerSignalType=©0© Protocol=©IEC4Std© Type=©Protocol© ProtocolType=©30© Address=©XXX© ModuleNo=©" &amp; $T$5 &amp; "© Role=©Master© Station=©" &amp; $U$5 &amp; "©  /&gt;"</f>
        <v>&lt;Addr AnswerSignalType=©0© Protocol=©IEC4Std© Type=©Protocol© ProtocolType=©30© Address=©XXX© ModuleNo=©1© Role=©Master© Station=©1©  /&gt;</v>
      </c>
    </row>
    <row r="388" spans="1:4">
      <c r="A388" s="16" t="str">
        <f t="shared" ref="A388:A397" si="39">IFERROR($V$5 &amp; "BR"&amp;$AT$4&amp;".DI"&amp;AT$5,"УДАЛИТЬ")</f>
        <v>УДАЛИТЬ</v>
      </c>
      <c r="B388" s="17">
        <v>11001</v>
      </c>
      <c r="C388" s="17" t="s">
        <v>0</v>
      </c>
      <c r="D388" s="18" t="str">
        <f>$Q$2</f>
        <v>Аналоговый сигнал облегченный (только один сигнал) с буферизацией</v>
      </c>
    </row>
    <row r="389" spans="1:4">
      <c r="A389" s="602" t="str">
        <f t="shared" si="39"/>
        <v>УДАЛИТЬ</v>
      </c>
      <c r="B389" s="603">
        <v>11154</v>
      </c>
      <c r="C389" s="603" t="s">
        <v>4</v>
      </c>
      <c r="D389" s="604">
        <f>$Q$19</f>
        <v>22</v>
      </c>
    </row>
    <row r="390" spans="1:4">
      <c r="A390" s="602" t="str">
        <f t="shared" si="39"/>
        <v>УДАЛИТЬ</v>
      </c>
      <c r="B390" s="603">
        <v>11155</v>
      </c>
      <c r="C390" s="603" t="s">
        <v>4</v>
      </c>
      <c r="D390" s="604">
        <f>$Q$19</f>
        <v>22</v>
      </c>
    </row>
    <row r="391" spans="1:4">
      <c r="A391" s="602" t="str">
        <f t="shared" si="39"/>
        <v>УДАЛИТЬ</v>
      </c>
      <c r="B391" s="603">
        <v>11150</v>
      </c>
      <c r="C391" s="603" t="s">
        <v>0</v>
      </c>
      <c r="D391" s="605" t="s">
        <v>1656</v>
      </c>
    </row>
    <row r="392" spans="1:4">
      <c r="A392" s="602" t="str">
        <f t="shared" si="39"/>
        <v>УДАЛИТЬ</v>
      </c>
      <c r="B392" s="603">
        <v>11151</v>
      </c>
      <c r="C392" s="603" t="s">
        <v>0</v>
      </c>
      <c r="D392" s="605" t="s">
        <v>1657</v>
      </c>
    </row>
    <row r="393" spans="1:4">
      <c r="A393" s="602" t="str">
        <f t="shared" si="39"/>
        <v>УДАЛИТЬ</v>
      </c>
      <c r="B393" s="603">
        <v>11000</v>
      </c>
      <c r="C393" s="603" t="s">
        <v>5</v>
      </c>
      <c r="D393" s="605">
        <v>2147483744</v>
      </c>
    </row>
    <row r="394" spans="1:4">
      <c r="A394" s="19" t="str">
        <f t="shared" si="39"/>
        <v>УДАЛИТЬ</v>
      </c>
      <c r="B394" s="11">
        <v>3</v>
      </c>
      <c r="C394" s="11" t="s">
        <v>1</v>
      </c>
      <c r="D394" s="20">
        <v>192</v>
      </c>
    </row>
    <row r="395" spans="1:4">
      <c r="A395" s="19" t="str">
        <f t="shared" si="39"/>
        <v>УДАЛИТЬ</v>
      </c>
      <c r="B395" s="11">
        <v>2</v>
      </c>
      <c r="C395" s="11" t="s">
        <v>2</v>
      </c>
      <c r="D395" s="20" t="s">
        <v>3</v>
      </c>
    </row>
    <row r="396" spans="1:4">
      <c r="A396" s="19" t="str">
        <f t="shared" si="39"/>
        <v>УДАЛИТЬ</v>
      </c>
      <c r="B396" s="11">
        <v>1</v>
      </c>
      <c r="C396" s="11" t="s">
        <v>1</v>
      </c>
      <c r="D396" s="20">
        <v>11</v>
      </c>
    </row>
    <row r="397" spans="1:4">
      <c r="A397" s="26" t="str">
        <f t="shared" si="39"/>
        <v>УДАЛИТЬ</v>
      </c>
      <c r="B397" s="27">
        <v>7050</v>
      </c>
      <c r="C397" s="27" t="s">
        <v>0</v>
      </c>
      <c r="D397" s="28" t="str">
        <f>"&lt;Addr AnswerSignalType=©0© Protocol=©IEC4Std© Type=©Protocol© ProtocolType=©30© Address=©XXX© ModuleNo=©" &amp; $T$5 &amp; "© Role=©Master© Station=©" &amp; $U$5 &amp; "©  /&gt;"</f>
        <v>&lt;Addr AnswerSignalType=©0© Protocol=©IEC4Std© Type=©Protocol© ProtocolType=©30© Address=©XXX© ModuleNo=©1© Role=©Master© Station=©1©  /&gt;</v>
      </c>
    </row>
    <row r="398" spans="1:4">
      <c r="A398" s="16" t="str">
        <f t="shared" ref="A398:A407" si="40">IFERROR($V$5 &amp; "BR"&amp;$AU$4&amp;".DI"&amp;AU$5,"УДАЛИТЬ")</f>
        <v>УДАЛИТЬ</v>
      </c>
      <c r="B398" s="17">
        <v>11001</v>
      </c>
      <c r="C398" s="17" t="s">
        <v>0</v>
      </c>
      <c r="D398" s="18" t="str">
        <f>$Q$2</f>
        <v>Аналоговый сигнал облегченный (только один сигнал) с буферизацией</v>
      </c>
    </row>
    <row r="399" spans="1:4">
      <c r="A399" s="602" t="str">
        <f t="shared" si="40"/>
        <v>УДАЛИТЬ</v>
      </c>
      <c r="B399" s="603">
        <v>11154</v>
      </c>
      <c r="C399" s="603" t="s">
        <v>4</v>
      </c>
      <c r="D399" s="604">
        <f>$Q$19</f>
        <v>22</v>
      </c>
    </row>
    <row r="400" spans="1:4">
      <c r="A400" s="602" t="str">
        <f t="shared" si="40"/>
        <v>УДАЛИТЬ</v>
      </c>
      <c r="B400" s="603">
        <v>11155</v>
      </c>
      <c r="C400" s="603" t="s">
        <v>4</v>
      </c>
      <c r="D400" s="604">
        <f>$Q$19</f>
        <v>22</v>
      </c>
    </row>
    <row r="401" spans="1:4">
      <c r="A401" s="602" t="str">
        <f t="shared" si="40"/>
        <v>УДАЛИТЬ</v>
      </c>
      <c r="B401" s="603">
        <v>11150</v>
      </c>
      <c r="C401" s="603" t="s">
        <v>0</v>
      </c>
      <c r="D401" s="605" t="s">
        <v>1658</v>
      </c>
    </row>
    <row r="402" spans="1:4">
      <c r="A402" s="602" t="str">
        <f t="shared" si="40"/>
        <v>УДАЛИТЬ</v>
      </c>
      <c r="B402" s="603">
        <v>11151</v>
      </c>
      <c r="C402" s="603" t="s">
        <v>0</v>
      </c>
      <c r="D402" s="605" t="s">
        <v>1659</v>
      </c>
    </row>
    <row r="403" spans="1:4">
      <c r="A403" s="602" t="str">
        <f t="shared" si="40"/>
        <v>УДАЛИТЬ</v>
      </c>
      <c r="B403" s="603">
        <v>11000</v>
      </c>
      <c r="C403" s="603" t="s">
        <v>5</v>
      </c>
      <c r="D403" s="605">
        <v>2147483744</v>
      </c>
    </row>
    <row r="404" spans="1:4">
      <c r="A404" s="19" t="str">
        <f t="shared" si="40"/>
        <v>УДАЛИТЬ</v>
      </c>
      <c r="B404" s="11">
        <v>3</v>
      </c>
      <c r="C404" s="11" t="s">
        <v>1</v>
      </c>
      <c r="D404" s="20">
        <v>192</v>
      </c>
    </row>
    <row r="405" spans="1:4">
      <c r="A405" s="19" t="str">
        <f t="shared" si="40"/>
        <v>УДАЛИТЬ</v>
      </c>
      <c r="B405" s="11">
        <v>2</v>
      </c>
      <c r="C405" s="11" t="s">
        <v>2</v>
      </c>
      <c r="D405" s="20" t="s">
        <v>3</v>
      </c>
    </row>
    <row r="406" spans="1:4">
      <c r="A406" s="19" t="str">
        <f t="shared" si="40"/>
        <v>УДАЛИТЬ</v>
      </c>
      <c r="B406" s="11">
        <v>1</v>
      </c>
      <c r="C406" s="11" t="s">
        <v>1</v>
      </c>
      <c r="D406" s="20">
        <v>11</v>
      </c>
    </row>
    <row r="407" spans="1:4">
      <c r="A407" s="26" t="str">
        <f t="shared" si="40"/>
        <v>УДАЛИТЬ</v>
      </c>
      <c r="B407" s="27">
        <v>7050</v>
      </c>
      <c r="C407" s="27" t="s">
        <v>0</v>
      </c>
      <c r="D407" s="28" t="str">
        <f>"&lt;Addr AnswerSignalType=©0© Protocol=©IEC4Std© Type=©Protocol© ProtocolType=©30© Address=©XXX© ModuleNo=©" &amp; $T$5 &amp; "© Role=©Master© Station=©" &amp; $U$5 &amp; "©  /&gt;"</f>
        <v>&lt;Addr AnswerSignalType=©0© Protocol=©IEC4Std© Type=©Protocol© ProtocolType=©30© Address=©XXX© ModuleNo=©1© Role=©Master© Station=©1©  /&gt;</v>
      </c>
    </row>
    <row r="408" spans="1:4">
      <c r="A408" s="599" t="s">
        <v>597</v>
      </c>
      <c r="B408" s="600"/>
      <c r="C408" s="600"/>
      <c r="D408" s="601"/>
    </row>
    <row r="409" spans="1:4">
      <c r="A409" s="16" t="str">
        <f t="shared" ref="A409:A418" si="41">IFERROR($V$5 &amp; "BR"&amp;$AL$4&amp;".DI"&amp;AL$5,"УДАЛИТЬ")</f>
        <v>УДАЛИТЬ</v>
      </c>
      <c r="B409" s="17">
        <v>11001</v>
      </c>
      <c r="C409" s="17" t="s">
        <v>0</v>
      </c>
      <c r="D409" s="18" t="str">
        <f>$Q$2</f>
        <v>Аналоговый сигнал облегченный (только один сигнал) с буферизацией</v>
      </c>
    </row>
    <row r="410" spans="1:4">
      <c r="A410" s="602" t="str">
        <f t="shared" si="41"/>
        <v>УДАЛИТЬ</v>
      </c>
      <c r="B410" s="603">
        <v>11154</v>
      </c>
      <c r="C410" s="603" t="s">
        <v>4</v>
      </c>
      <c r="D410" s="604">
        <f>$Q$19</f>
        <v>22</v>
      </c>
    </row>
    <row r="411" spans="1:4">
      <c r="A411" s="602" t="str">
        <f t="shared" si="41"/>
        <v>УДАЛИТЬ</v>
      </c>
      <c r="B411" s="603">
        <v>11155</v>
      </c>
      <c r="C411" s="603" t="s">
        <v>4</v>
      </c>
      <c r="D411" s="604">
        <f>$Q$19</f>
        <v>22</v>
      </c>
    </row>
    <row r="412" spans="1:4">
      <c r="A412" s="602" t="str">
        <f t="shared" si="41"/>
        <v>УДАЛИТЬ</v>
      </c>
      <c r="B412" s="603">
        <v>11150</v>
      </c>
      <c r="C412" s="603" t="s">
        <v>0</v>
      </c>
      <c r="D412" s="605" t="s">
        <v>1666</v>
      </c>
    </row>
    <row r="413" spans="1:4">
      <c r="A413" s="602" t="str">
        <f t="shared" si="41"/>
        <v>УДАЛИТЬ</v>
      </c>
      <c r="B413" s="603">
        <v>11151</v>
      </c>
      <c r="C413" s="603" t="s">
        <v>0</v>
      </c>
      <c r="D413" s="605" t="s">
        <v>1667</v>
      </c>
    </row>
    <row r="414" spans="1:4">
      <c r="A414" s="602" t="str">
        <f t="shared" si="41"/>
        <v>УДАЛИТЬ</v>
      </c>
      <c r="B414" s="603">
        <v>11000</v>
      </c>
      <c r="C414" s="603" t="s">
        <v>5</v>
      </c>
      <c r="D414" s="605">
        <v>2147483744</v>
      </c>
    </row>
    <row r="415" spans="1:4">
      <c r="A415" s="19" t="str">
        <f t="shared" si="41"/>
        <v>УДАЛИТЬ</v>
      </c>
      <c r="B415" s="11">
        <v>3</v>
      </c>
      <c r="C415" s="11" t="s">
        <v>1</v>
      </c>
      <c r="D415" s="20">
        <v>192</v>
      </c>
    </row>
    <row r="416" spans="1:4">
      <c r="A416" s="19" t="str">
        <f t="shared" si="41"/>
        <v>УДАЛИТЬ</v>
      </c>
      <c r="B416" s="11">
        <v>2</v>
      </c>
      <c r="C416" s="11" t="s">
        <v>2</v>
      </c>
      <c r="D416" s="20" t="s">
        <v>3</v>
      </c>
    </row>
    <row r="417" spans="1:4">
      <c r="A417" s="19" t="str">
        <f t="shared" si="41"/>
        <v>УДАЛИТЬ</v>
      </c>
      <c r="B417" s="11">
        <v>1</v>
      </c>
      <c r="C417" s="11" t="s">
        <v>1</v>
      </c>
      <c r="D417" s="20">
        <v>11</v>
      </c>
    </row>
    <row r="418" spans="1:4">
      <c r="A418" s="26" t="str">
        <f t="shared" si="41"/>
        <v>УДАЛИТЬ</v>
      </c>
      <c r="B418" s="27">
        <v>7050</v>
      </c>
      <c r="C418" s="27" t="s">
        <v>0</v>
      </c>
      <c r="D418" s="28" t="str">
        <f>"&lt;Addr AnswerSignalType=©0© Protocol=©IEC4Std© Type=©Protocol© ProtocolType=©30© Address=©XXX© ModuleNo=©" &amp; $T$5 &amp; "© Role=©Master© Station=©" &amp; $U$5 &amp; "©  /&gt;"</f>
        <v>&lt;Addr AnswerSignalType=©0© Protocol=©IEC4Std© Type=©Protocol© ProtocolType=©30© Address=©XXX© ModuleNo=©1© Role=©Master© Station=©1©  /&gt;</v>
      </c>
    </row>
    <row r="419" spans="1:4">
      <c r="A419" s="16" t="str">
        <f t="shared" ref="A419:A428" si="42">IFERROR($V$5 &amp; "BR"&amp;$AM$4&amp;".DI"&amp;AM$5,"УДАЛИТЬ")</f>
        <v>УДАЛИТЬ</v>
      </c>
      <c r="B419" s="17">
        <v>11001</v>
      </c>
      <c r="C419" s="17" t="s">
        <v>0</v>
      </c>
      <c r="D419" s="18" t="str">
        <f>$Q$2</f>
        <v>Аналоговый сигнал облегченный (только один сигнал) с буферизацией</v>
      </c>
    </row>
    <row r="420" spans="1:4">
      <c r="A420" s="602" t="str">
        <f t="shared" si="42"/>
        <v>УДАЛИТЬ</v>
      </c>
      <c r="B420" s="603">
        <v>11154</v>
      </c>
      <c r="C420" s="603" t="s">
        <v>4</v>
      </c>
      <c r="D420" s="604">
        <f>$Q$19</f>
        <v>22</v>
      </c>
    </row>
    <row r="421" spans="1:4">
      <c r="A421" s="602" t="str">
        <f t="shared" si="42"/>
        <v>УДАЛИТЬ</v>
      </c>
      <c r="B421" s="603">
        <v>11155</v>
      </c>
      <c r="C421" s="603" t="s">
        <v>4</v>
      </c>
      <c r="D421" s="604">
        <f>$Q$19</f>
        <v>22</v>
      </c>
    </row>
    <row r="422" spans="1:4">
      <c r="A422" s="602" t="str">
        <f t="shared" si="42"/>
        <v>УДАЛИТЬ</v>
      </c>
      <c r="B422" s="603">
        <v>11150</v>
      </c>
      <c r="C422" s="603" t="s">
        <v>0</v>
      </c>
      <c r="D422" s="605" t="s">
        <v>1668</v>
      </c>
    </row>
    <row r="423" spans="1:4">
      <c r="A423" s="602" t="str">
        <f t="shared" si="42"/>
        <v>УДАЛИТЬ</v>
      </c>
      <c r="B423" s="603">
        <v>11151</v>
      </c>
      <c r="C423" s="603" t="s">
        <v>0</v>
      </c>
      <c r="D423" s="605" t="s">
        <v>1669</v>
      </c>
    </row>
    <row r="424" spans="1:4">
      <c r="A424" s="602" t="str">
        <f t="shared" si="42"/>
        <v>УДАЛИТЬ</v>
      </c>
      <c r="B424" s="603">
        <v>11000</v>
      </c>
      <c r="C424" s="603" t="s">
        <v>5</v>
      </c>
      <c r="D424" s="605">
        <v>2147483744</v>
      </c>
    </row>
    <row r="425" spans="1:4">
      <c r="A425" s="19" t="str">
        <f t="shared" si="42"/>
        <v>УДАЛИТЬ</v>
      </c>
      <c r="B425" s="11">
        <v>3</v>
      </c>
      <c r="C425" s="11" t="s">
        <v>1</v>
      </c>
      <c r="D425" s="20">
        <v>192</v>
      </c>
    </row>
    <row r="426" spans="1:4">
      <c r="A426" s="19" t="str">
        <f t="shared" si="42"/>
        <v>УДАЛИТЬ</v>
      </c>
      <c r="B426" s="11">
        <v>2</v>
      </c>
      <c r="C426" s="11" t="s">
        <v>2</v>
      </c>
      <c r="D426" s="20" t="s">
        <v>3</v>
      </c>
    </row>
    <row r="427" spans="1:4">
      <c r="A427" s="19" t="str">
        <f t="shared" si="42"/>
        <v>УДАЛИТЬ</v>
      </c>
      <c r="B427" s="11">
        <v>1</v>
      </c>
      <c r="C427" s="11" t="s">
        <v>1</v>
      </c>
      <c r="D427" s="20">
        <v>11</v>
      </c>
    </row>
    <row r="428" spans="1:4">
      <c r="A428" s="26" t="str">
        <f t="shared" si="42"/>
        <v>УДАЛИТЬ</v>
      </c>
      <c r="B428" s="27">
        <v>7050</v>
      </c>
      <c r="C428" s="27" t="s">
        <v>0</v>
      </c>
      <c r="D428" s="28" t="str">
        <f>"&lt;Addr AnswerSignalType=©0© Protocol=©IEC4Std© Type=©Protocol© ProtocolType=©30© Address=©XXX© ModuleNo=©" &amp; $T$5 &amp; "© Role=©Master© Station=©" &amp; $U$5 &amp; "©  /&gt;"</f>
        <v>&lt;Addr AnswerSignalType=©0© Protocol=©IEC4Std© Type=©Protocol© ProtocolType=©30© Address=©XXX© ModuleNo=©1© Role=©Master© Station=©1©  /&gt;</v>
      </c>
    </row>
    <row r="429" spans="1:4">
      <c r="A429" s="16" t="str">
        <f t="shared" ref="A429:A438" si="43">IFERROR($V$5 &amp; "BR"&amp;$AN$4&amp;".DI"&amp;AN$5,"УДАЛИТЬ")</f>
        <v>УДАЛИТЬ</v>
      </c>
      <c r="B429" s="17">
        <v>11001</v>
      </c>
      <c r="C429" s="17" t="s">
        <v>0</v>
      </c>
      <c r="D429" s="18" t="str">
        <f>$Q$2</f>
        <v>Аналоговый сигнал облегченный (только один сигнал) с буферизацией</v>
      </c>
    </row>
    <row r="430" spans="1:4">
      <c r="A430" s="602" t="str">
        <f t="shared" si="43"/>
        <v>УДАЛИТЬ</v>
      </c>
      <c r="B430" s="603">
        <v>11154</v>
      </c>
      <c r="C430" s="603" t="s">
        <v>4</v>
      </c>
      <c r="D430" s="604">
        <f>$Q$19</f>
        <v>22</v>
      </c>
    </row>
    <row r="431" spans="1:4">
      <c r="A431" s="602" t="str">
        <f t="shared" si="43"/>
        <v>УДАЛИТЬ</v>
      </c>
      <c r="B431" s="603">
        <v>11155</v>
      </c>
      <c r="C431" s="603" t="s">
        <v>4</v>
      </c>
      <c r="D431" s="604">
        <f>$Q$19</f>
        <v>22</v>
      </c>
    </row>
    <row r="432" spans="1:4">
      <c r="A432" s="602" t="str">
        <f t="shared" si="43"/>
        <v>УДАЛИТЬ</v>
      </c>
      <c r="B432" s="603">
        <v>11150</v>
      </c>
      <c r="C432" s="603" t="s">
        <v>0</v>
      </c>
      <c r="D432" s="605" t="s">
        <v>1650</v>
      </c>
    </row>
    <row r="433" spans="1:4">
      <c r="A433" s="602" t="str">
        <f t="shared" si="43"/>
        <v>УДАЛИТЬ</v>
      </c>
      <c r="B433" s="603">
        <v>11151</v>
      </c>
      <c r="C433" s="603" t="s">
        <v>0</v>
      </c>
      <c r="D433" s="605" t="s">
        <v>1651</v>
      </c>
    </row>
    <row r="434" spans="1:4">
      <c r="A434" s="602" t="str">
        <f t="shared" si="43"/>
        <v>УДАЛИТЬ</v>
      </c>
      <c r="B434" s="603">
        <v>11000</v>
      </c>
      <c r="C434" s="603" t="s">
        <v>5</v>
      </c>
      <c r="D434" s="605">
        <v>2147483744</v>
      </c>
    </row>
    <row r="435" spans="1:4">
      <c r="A435" s="19" t="str">
        <f t="shared" si="43"/>
        <v>УДАЛИТЬ</v>
      </c>
      <c r="B435" s="11">
        <v>3</v>
      </c>
      <c r="C435" s="11" t="s">
        <v>1</v>
      </c>
      <c r="D435" s="20">
        <v>192</v>
      </c>
    </row>
    <row r="436" spans="1:4">
      <c r="A436" s="19" t="str">
        <f t="shared" si="43"/>
        <v>УДАЛИТЬ</v>
      </c>
      <c r="B436" s="11">
        <v>2</v>
      </c>
      <c r="C436" s="11" t="s">
        <v>2</v>
      </c>
      <c r="D436" s="20" t="s">
        <v>3</v>
      </c>
    </row>
    <row r="437" spans="1:4">
      <c r="A437" s="19" t="str">
        <f t="shared" si="43"/>
        <v>УДАЛИТЬ</v>
      </c>
      <c r="B437" s="11">
        <v>1</v>
      </c>
      <c r="C437" s="11" t="s">
        <v>1</v>
      </c>
      <c r="D437" s="20">
        <v>11</v>
      </c>
    </row>
    <row r="438" spans="1:4">
      <c r="A438" s="26" t="str">
        <f t="shared" si="43"/>
        <v>УДАЛИТЬ</v>
      </c>
      <c r="B438" s="27">
        <v>7050</v>
      </c>
      <c r="C438" s="27" t="s">
        <v>0</v>
      </c>
      <c r="D438" s="28" t="str">
        <f>"&lt;Addr AnswerSignalType=©0© Protocol=©IEC4Std© Type=©Protocol© ProtocolType=©30© Address=©XXX© ModuleNo=©" &amp; $T$5 &amp; "© Role=©Master© Station=©" &amp; $U$5 &amp; "©  /&gt;"</f>
        <v>&lt;Addr AnswerSignalType=©0© Protocol=©IEC4Std© Type=©Protocol© ProtocolType=©30© Address=©XXX© ModuleNo=©1© Role=©Master© Station=©1©  /&gt;</v>
      </c>
    </row>
    <row r="439" spans="1:4">
      <c r="A439" s="16" t="str">
        <f t="shared" ref="A439:A448" si="44">IFERROR($V$5 &amp; "BR"&amp;$AO$4&amp;".DI"&amp;AO$5,"УДАЛИТЬ")</f>
        <v>УДАЛИТЬ</v>
      </c>
      <c r="B439" s="17">
        <v>11001</v>
      </c>
      <c r="C439" s="17" t="s">
        <v>0</v>
      </c>
      <c r="D439" s="18" t="str">
        <f>$Q$2</f>
        <v>Аналоговый сигнал облегченный (только один сигнал) с буферизацией</v>
      </c>
    </row>
    <row r="440" spans="1:4">
      <c r="A440" s="602" t="str">
        <f t="shared" si="44"/>
        <v>УДАЛИТЬ</v>
      </c>
      <c r="B440" s="603">
        <v>11154</v>
      </c>
      <c r="C440" s="603" t="s">
        <v>4</v>
      </c>
      <c r="D440" s="604">
        <f>$Q$19</f>
        <v>22</v>
      </c>
    </row>
    <row r="441" spans="1:4">
      <c r="A441" s="602" t="str">
        <f t="shared" si="44"/>
        <v>УДАЛИТЬ</v>
      </c>
      <c r="B441" s="603">
        <v>11155</v>
      </c>
      <c r="C441" s="603" t="s">
        <v>4</v>
      </c>
      <c r="D441" s="604">
        <f>$Q$19</f>
        <v>22</v>
      </c>
    </row>
    <row r="442" spans="1:4">
      <c r="A442" s="602" t="str">
        <f t="shared" si="44"/>
        <v>УДАЛИТЬ</v>
      </c>
      <c r="B442" s="603">
        <v>11150</v>
      </c>
      <c r="C442" s="603" t="s">
        <v>0</v>
      </c>
      <c r="D442" s="605" t="s">
        <v>1652</v>
      </c>
    </row>
    <row r="443" spans="1:4">
      <c r="A443" s="602" t="str">
        <f t="shared" si="44"/>
        <v>УДАЛИТЬ</v>
      </c>
      <c r="B443" s="603">
        <v>11151</v>
      </c>
      <c r="C443" s="603" t="s">
        <v>0</v>
      </c>
      <c r="D443" s="605" t="s">
        <v>1653</v>
      </c>
    </row>
    <row r="444" spans="1:4">
      <c r="A444" s="602" t="str">
        <f t="shared" si="44"/>
        <v>УДАЛИТЬ</v>
      </c>
      <c r="B444" s="603">
        <v>11000</v>
      </c>
      <c r="C444" s="603" t="s">
        <v>5</v>
      </c>
      <c r="D444" s="605">
        <v>2147483744</v>
      </c>
    </row>
    <row r="445" spans="1:4">
      <c r="A445" s="19" t="str">
        <f t="shared" si="44"/>
        <v>УДАЛИТЬ</v>
      </c>
      <c r="B445" s="11">
        <v>3</v>
      </c>
      <c r="C445" s="11" t="s">
        <v>1</v>
      </c>
      <c r="D445" s="20">
        <v>192</v>
      </c>
    </row>
    <row r="446" spans="1:4">
      <c r="A446" s="19" t="str">
        <f t="shared" si="44"/>
        <v>УДАЛИТЬ</v>
      </c>
      <c r="B446" s="11">
        <v>2</v>
      </c>
      <c r="C446" s="11" t="s">
        <v>2</v>
      </c>
      <c r="D446" s="20" t="s">
        <v>3</v>
      </c>
    </row>
    <row r="447" spans="1:4">
      <c r="A447" s="19" t="str">
        <f t="shared" si="44"/>
        <v>УДАЛИТЬ</v>
      </c>
      <c r="B447" s="11">
        <v>1</v>
      </c>
      <c r="C447" s="11" t="s">
        <v>1</v>
      </c>
      <c r="D447" s="20">
        <v>11</v>
      </c>
    </row>
    <row r="448" spans="1:4">
      <c r="A448" s="26" t="str">
        <f t="shared" si="44"/>
        <v>УДАЛИТЬ</v>
      </c>
      <c r="B448" s="27">
        <v>7050</v>
      </c>
      <c r="C448" s="27" t="s">
        <v>0</v>
      </c>
      <c r="D448" s="28" t="str">
        <f>"&lt;Addr AnswerSignalType=©0© Protocol=©IEC4Std© Type=©Protocol© ProtocolType=©30© Address=©XXX© ModuleNo=©" &amp; $T$5 &amp; "© Role=©Master© Station=©" &amp; $U$5 &amp; "©  /&gt;"</f>
        <v>&lt;Addr AnswerSignalType=©0© Protocol=©IEC4Std© Type=©Protocol© ProtocolType=©30© Address=©XXX© ModuleNo=©1© Role=©Master© Station=©1©  /&gt;</v>
      </c>
    </row>
    <row r="449" spans="1:4">
      <c r="A449" s="16" t="str">
        <f t="shared" ref="A449:A458" si="45">IFERROR($V$5 &amp; "BR"&amp;$AP$4&amp;".DI"&amp;AP$5,"УДАЛИТЬ")</f>
        <v>УДАЛИТЬ</v>
      </c>
      <c r="B449" s="17">
        <v>11001</v>
      </c>
      <c r="C449" s="17" t="s">
        <v>0</v>
      </c>
      <c r="D449" s="18" t="str">
        <f>$Q$2</f>
        <v>Аналоговый сигнал облегченный (только один сигнал) с буферизацией</v>
      </c>
    </row>
    <row r="450" spans="1:4">
      <c r="A450" s="602" t="str">
        <f t="shared" si="45"/>
        <v>УДАЛИТЬ</v>
      </c>
      <c r="B450" s="603">
        <v>11154</v>
      </c>
      <c r="C450" s="603" t="s">
        <v>4</v>
      </c>
      <c r="D450" s="604">
        <f>$Q$19</f>
        <v>22</v>
      </c>
    </row>
    <row r="451" spans="1:4">
      <c r="A451" s="602" t="str">
        <f t="shared" si="45"/>
        <v>УДАЛИТЬ</v>
      </c>
      <c r="B451" s="603">
        <v>11155</v>
      </c>
      <c r="C451" s="603" t="s">
        <v>4</v>
      </c>
      <c r="D451" s="604">
        <f>$Q$19</f>
        <v>22</v>
      </c>
    </row>
    <row r="452" spans="1:4">
      <c r="A452" s="602" t="str">
        <f t="shared" si="45"/>
        <v>УДАЛИТЬ</v>
      </c>
      <c r="B452" s="603">
        <v>11150</v>
      </c>
      <c r="C452" s="603" t="s">
        <v>0</v>
      </c>
      <c r="D452" s="605" t="s">
        <v>1654</v>
      </c>
    </row>
    <row r="453" spans="1:4">
      <c r="A453" s="602" t="str">
        <f t="shared" si="45"/>
        <v>УДАЛИТЬ</v>
      </c>
      <c r="B453" s="603">
        <v>11151</v>
      </c>
      <c r="C453" s="603" t="s">
        <v>0</v>
      </c>
      <c r="D453" s="605" t="s">
        <v>1655</v>
      </c>
    </row>
    <row r="454" spans="1:4">
      <c r="A454" s="602" t="str">
        <f t="shared" si="45"/>
        <v>УДАЛИТЬ</v>
      </c>
      <c r="B454" s="603">
        <v>11000</v>
      </c>
      <c r="C454" s="603" t="s">
        <v>5</v>
      </c>
      <c r="D454" s="605">
        <v>2147483744</v>
      </c>
    </row>
    <row r="455" spans="1:4">
      <c r="A455" s="19" t="str">
        <f t="shared" si="45"/>
        <v>УДАЛИТЬ</v>
      </c>
      <c r="B455" s="11">
        <v>3</v>
      </c>
      <c r="C455" s="11" t="s">
        <v>1</v>
      </c>
      <c r="D455" s="20">
        <v>192</v>
      </c>
    </row>
    <row r="456" spans="1:4">
      <c r="A456" s="19" t="str">
        <f t="shared" si="45"/>
        <v>УДАЛИТЬ</v>
      </c>
      <c r="B456" s="11">
        <v>2</v>
      </c>
      <c r="C456" s="11" t="s">
        <v>2</v>
      </c>
      <c r="D456" s="20" t="s">
        <v>3</v>
      </c>
    </row>
    <row r="457" spans="1:4">
      <c r="A457" s="19" t="str">
        <f t="shared" si="45"/>
        <v>УДАЛИТЬ</v>
      </c>
      <c r="B457" s="11">
        <v>1</v>
      </c>
      <c r="C457" s="11" t="s">
        <v>1</v>
      </c>
      <c r="D457" s="20">
        <v>11</v>
      </c>
    </row>
    <row r="458" spans="1:4">
      <c r="A458" s="26" t="str">
        <f t="shared" si="45"/>
        <v>УДАЛИТЬ</v>
      </c>
      <c r="B458" s="27">
        <v>7050</v>
      </c>
      <c r="C458" s="27" t="s">
        <v>0</v>
      </c>
      <c r="D458" s="28" t="str">
        <f>"&lt;Addr AnswerSignalType=©0© Protocol=©IEC4Std© Type=©Protocol© ProtocolType=©30© Address=©XXX© ModuleNo=©" &amp; $T$5 &amp; "© Role=©Master© Station=©" &amp; $U$5 &amp; "©  /&gt;"</f>
        <v>&lt;Addr AnswerSignalType=©0© Protocol=©IEC4Std© Type=©Protocol© ProtocolType=©30© Address=©XXX© ModuleNo=©1© Role=©Master© Station=©1©  /&gt;</v>
      </c>
    </row>
    <row r="459" spans="1:4">
      <c r="A459" s="16" t="str">
        <f t="shared" ref="A459:A468" si="46">IFERROR($V$5 &amp; "BR"&amp;$AT$4&amp;".DI"&amp;AT$5,"УДАЛИТЬ")</f>
        <v>УДАЛИТЬ</v>
      </c>
      <c r="B459" s="17">
        <v>11001</v>
      </c>
      <c r="C459" s="17" t="s">
        <v>0</v>
      </c>
      <c r="D459" s="18" t="str">
        <f>$Q$2</f>
        <v>Аналоговый сигнал облегченный (только один сигнал) с буферизацией</v>
      </c>
    </row>
    <row r="460" spans="1:4">
      <c r="A460" s="602" t="str">
        <f t="shared" si="46"/>
        <v>УДАЛИТЬ</v>
      </c>
      <c r="B460" s="603">
        <v>11154</v>
      </c>
      <c r="C460" s="603" t="s">
        <v>4</v>
      </c>
      <c r="D460" s="604">
        <f>$Q$19</f>
        <v>22</v>
      </c>
    </row>
    <row r="461" spans="1:4">
      <c r="A461" s="602" t="str">
        <f t="shared" si="46"/>
        <v>УДАЛИТЬ</v>
      </c>
      <c r="B461" s="603">
        <v>11155</v>
      </c>
      <c r="C461" s="603" t="s">
        <v>4</v>
      </c>
      <c r="D461" s="604">
        <f>$Q$19</f>
        <v>22</v>
      </c>
    </row>
    <row r="462" spans="1:4">
      <c r="A462" s="602" t="str">
        <f t="shared" si="46"/>
        <v>УДАЛИТЬ</v>
      </c>
      <c r="B462" s="603">
        <v>11150</v>
      </c>
      <c r="C462" s="603" t="s">
        <v>0</v>
      </c>
      <c r="D462" s="605" t="s">
        <v>1670</v>
      </c>
    </row>
    <row r="463" spans="1:4">
      <c r="A463" s="602" t="str">
        <f t="shared" si="46"/>
        <v>УДАЛИТЬ</v>
      </c>
      <c r="B463" s="603">
        <v>11151</v>
      </c>
      <c r="C463" s="603" t="s">
        <v>0</v>
      </c>
      <c r="D463" s="605" t="s">
        <v>1671</v>
      </c>
    </row>
    <row r="464" spans="1:4">
      <c r="A464" s="602" t="str">
        <f t="shared" si="46"/>
        <v>УДАЛИТЬ</v>
      </c>
      <c r="B464" s="603">
        <v>11000</v>
      </c>
      <c r="C464" s="603" t="s">
        <v>5</v>
      </c>
      <c r="D464" s="605">
        <v>2147483744</v>
      </c>
    </row>
    <row r="465" spans="1:4">
      <c r="A465" s="19" t="str">
        <f t="shared" si="46"/>
        <v>УДАЛИТЬ</v>
      </c>
      <c r="B465" s="11">
        <v>3</v>
      </c>
      <c r="C465" s="11" t="s">
        <v>1</v>
      </c>
      <c r="D465" s="20">
        <v>192</v>
      </c>
    </row>
    <row r="466" spans="1:4">
      <c r="A466" s="19" t="str">
        <f t="shared" si="46"/>
        <v>УДАЛИТЬ</v>
      </c>
      <c r="B466" s="11">
        <v>2</v>
      </c>
      <c r="C466" s="11" t="s">
        <v>2</v>
      </c>
      <c r="D466" s="20" t="s">
        <v>3</v>
      </c>
    </row>
    <row r="467" spans="1:4">
      <c r="A467" s="19" t="str">
        <f t="shared" si="46"/>
        <v>УДАЛИТЬ</v>
      </c>
      <c r="B467" s="11">
        <v>1</v>
      </c>
      <c r="C467" s="11" t="s">
        <v>1</v>
      </c>
      <c r="D467" s="20">
        <v>11</v>
      </c>
    </row>
    <row r="468" spans="1:4">
      <c r="A468" s="26" t="str">
        <f t="shared" si="46"/>
        <v>УДАЛИТЬ</v>
      </c>
      <c r="B468" s="27">
        <v>7050</v>
      </c>
      <c r="C468" s="27" t="s">
        <v>0</v>
      </c>
      <c r="D468" s="28" t="str">
        <f>"&lt;Addr AnswerSignalType=©0© Protocol=©IEC4Std© Type=©Protocol© ProtocolType=©30© Address=©XXX© ModuleNo=©" &amp; $T$5 &amp; "© Role=©Master© Station=©" &amp; $U$5 &amp; "©  /&gt;"</f>
        <v>&lt;Addr AnswerSignalType=©0© Protocol=©IEC4Std© Type=©Protocol© ProtocolType=©30© Address=©XXX© ModuleNo=©1© Role=©Master© Station=©1©  /&gt;</v>
      </c>
    </row>
    <row r="469" spans="1:4">
      <c r="A469" s="16" t="str">
        <f t="shared" ref="A469:A478" si="47">IFERROR($V$5 &amp; "BR"&amp;$AU$4&amp;".DI"&amp;AU$5,"УДАЛИТЬ")</f>
        <v>УДАЛИТЬ</v>
      </c>
      <c r="B469" s="17">
        <v>11001</v>
      </c>
      <c r="C469" s="17" t="s">
        <v>0</v>
      </c>
      <c r="D469" s="18" t="str">
        <f>$Q$2</f>
        <v>Аналоговый сигнал облегченный (только один сигнал) с буферизацией</v>
      </c>
    </row>
    <row r="470" spans="1:4">
      <c r="A470" s="602" t="str">
        <f t="shared" si="47"/>
        <v>УДАЛИТЬ</v>
      </c>
      <c r="B470" s="603">
        <v>11154</v>
      </c>
      <c r="C470" s="603" t="s">
        <v>4</v>
      </c>
      <c r="D470" s="604">
        <f>$Q$19</f>
        <v>22</v>
      </c>
    </row>
    <row r="471" spans="1:4">
      <c r="A471" s="602" t="str">
        <f t="shared" si="47"/>
        <v>УДАЛИТЬ</v>
      </c>
      <c r="B471" s="603">
        <v>11155</v>
      </c>
      <c r="C471" s="603" t="s">
        <v>4</v>
      </c>
      <c r="D471" s="604">
        <f>$Q$19</f>
        <v>22</v>
      </c>
    </row>
    <row r="472" spans="1:4">
      <c r="A472" s="602" t="str">
        <f t="shared" si="47"/>
        <v>УДАЛИТЬ</v>
      </c>
      <c r="B472" s="603">
        <v>11150</v>
      </c>
      <c r="C472" s="603" t="s">
        <v>0</v>
      </c>
      <c r="D472" s="605" t="s">
        <v>1672</v>
      </c>
    </row>
    <row r="473" spans="1:4">
      <c r="A473" s="602" t="str">
        <f t="shared" si="47"/>
        <v>УДАЛИТЬ</v>
      </c>
      <c r="B473" s="603">
        <v>11151</v>
      </c>
      <c r="C473" s="603" t="s">
        <v>0</v>
      </c>
      <c r="D473" s="605" t="s">
        <v>1673</v>
      </c>
    </row>
    <row r="474" spans="1:4">
      <c r="A474" s="602" t="str">
        <f t="shared" si="47"/>
        <v>УДАЛИТЬ</v>
      </c>
      <c r="B474" s="603">
        <v>11000</v>
      </c>
      <c r="C474" s="603" t="s">
        <v>5</v>
      </c>
      <c r="D474" s="605">
        <v>2147483744</v>
      </c>
    </row>
    <row r="475" spans="1:4">
      <c r="A475" s="19" t="str">
        <f t="shared" si="47"/>
        <v>УДАЛИТЬ</v>
      </c>
      <c r="B475" s="11">
        <v>3</v>
      </c>
      <c r="C475" s="11" t="s">
        <v>1</v>
      </c>
      <c r="D475" s="20">
        <v>192</v>
      </c>
    </row>
    <row r="476" spans="1:4">
      <c r="A476" s="19" t="str">
        <f t="shared" si="47"/>
        <v>УДАЛИТЬ</v>
      </c>
      <c r="B476" s="11">
        <v>2</v>
      </c>
      <c r="C476" s="11" t="s">
        <v>2</v>
      </c>
      <c r="D476" s="20" t="s">
        <v>3</v>
      </c>
    </row>
    <row r="477" spans="1:4">
      <c r="A477" s="19" t="str">
        <f t="shared" si="47"/>
        <v>УДАЛИТЬ</v>
      </c>
      <c r="B477" s="11">
        <v>1</v>
      </c>
      <c r="C477" s="11" t="s">
        <v>1</v>
      </c>
      <c r="D477" s="20">
        <v>11</v>
      </c>
    </row>
    <row r="478" spans="1:4">
      <c r="A478" s="26" t="str">
        <f t="shared" si="47"/>
        <v>УДАЛИТЬ</v>
      </c>
      <c r="B478" s="27">
        <v>7050</v>
      </c>
      <c r="C478" s="27" t="s">
        <v>0</v>
      </c>
      <c r="D478" s="28" t="str">
        <f>"&lt;Addr AnswerSignalType=©0© Protocol=©IEC4Std© Type=©Protocol© ProtocolType=©30© Address=©XXX© ModuleNo=©" &amp; $T$5 &amp; "© Role=©Master© Station=©" &amp; $U$5 &amp; "©  /&gt;"</f>
        <v>&lt;Addr AnswerSignalType=©0© Protocol=©IEC4Std© Type=©Protocol© ProtocolType=©30© Address=©XXX© ModuleNo=©1© Role=©Master© Station=©1©  /&gt;</v>
      </c>
    </row>
    <row r="479" spans="1:4">
      <c r="A479" s="16" t="str">
        <f t="shared" ref="A479:A488" si="48">IFERROR($V$5 &amp; "BR"&amp;$AV$4&amp;".DI"&amp;AV$5,"УДАЛИТЬ")</f>
        <v>УДАЛИТЬ</v>
      </c>
      <c r="B479" s="17">
        <v>11001</v>
      </c>
      <c r="C479" s="17" t="s">
        <v>0</v>
      </c>
      <c r="D479" s="18" t="str">
        <f>$Q$2</f>
        <v>Аналоговый сигнал облегченный (только один сигнал) с буферизацией</v>
      </c>
    </row>
    <row r="480" spans="1:4">
      <c r="A480" s="602" t="str">
        <f t="shared" si="48"/>
        <v>УДАЛИТЬ</v>
      </c>
      <c r="B480" s="603">
        <v>11154</v>
      </c>
      <c r="C480" s="603" t="s">
        <v>4</v>
      </c>
      <c r="D480" s="604">
        <f>$Q$19</f>
        <v>22</v>
      </c>
    </row>
    <row r="481" spans="1:4">
      <c r="A481" s="602" t="str">
        <f t="shared" si="48"/>
        <v>УДАЛИТЬ</v>
      </c>
      <c r="B481" s="603">
        <v>11155</v>
      </c>
      <c r="C481" s="603" t="s">
        <v>4</v>
      </c>
      <c r="D481" s="604">
        <f>$Q$19</f>
        <v>22</v>
      </c>
    </row>
    <row r="482" spans="1:4">
      <c r="A482" s="602" t="str">
        <f t="shared" si="48"/>
        <v>УДАЛИТЬ</v>
      </c>
      <c r="B482" s="603">
        <v>11150</v>
      </c>
      <c r="C482" s="603" t="s">
        <v>0</v>
      </c>
      <c r="D482" s="605" t="s">
        <v>1674</v>
      </c>
    </row>
    <row r="483" spans="1:4">
      <c r="A483" s="602" t="str">
        <f t="shared" si="48"/>
        <v>УДАЛИТЬ</v>
      </c>
      <c r="B483" s="603">
        <v>11151</v>
      </c>
      <c r="C483" s="603" t="s">
        <v>0</v>
      </c>
      <c r="D483" s="605" t="s">
        <v>1675</v>
      </c>
    </row>
    <row r="484" spans="1:4">
      <c r="A484" s="602" t="str">
        <f t="shared" si="48"/>
        <v>УДАЛИТЬ</v>
      </c>
      <c r="B484" s="603">
        <v>11000</v>
      </c>
      <c r="C484" s="603" t="s">
        <v>5</v>
      </c>
      <c r="D484" s="605">
        <v>2147483744</v>
      </c>
    </row>
    <row r="485" spans="1:4">
      <c r="A485" s="19" t="str">
        <f t="shared" si="48"/>
        <v>УДАЛИТЬ</v>
      </c>
      <c r="B485" s="11">
        <v>3</v>
      </c>
      <c r="C485" s="11" t="s">
        <v>1</v>
      </c>
      <c r="D485" s="20">
        <v>192</v>
      </c>
    </row>
    <row r="486" spans="1:4">
      <c r="A486" s="19" t="str">
        <f t="shared" si="48"/>
        <v>УДАЛИТЬ</v>
      </c>
      <c r="B486" s="11">
        <v>2</v>
      </c>
      <c r="C486" s="11" t="s">
        <v>2</v>
      </c>
      <c r="D486" s="20" t="s">
        <v>3</v>
      </c>
    </row>
    <row r="487" spans="1:4">
      <c r="A487" s="19" t="str">
        <f t="shared" si="48"/>
        <v>УДАЛИТЬ</v>
      </c>
      <c r="B487" s="11">
        <v>1</v>
      </c>
      <c r="C487" s="11" t="s">
        <v>1</v>
      </c>
      <c r="D487" s="20">
        <v>11</v>
      </c>
    </row>
    <row r="488" spans="1:4">
      <c r="A488" s="26" t="str">
        <f t="shared" si="48"/>
        <v>УДАЛИТЬ</v>
      </c>
      <c r="B488" s="27">
        <v>7050</v>
      </c>
      <c r="C488" s="27" t="s">
        <v>0</v>
      </c>
      <c r="D488" s="28" t="str">
        <f>"&lt;Addr AnswerSignalType=©0© Protocol=©IEC4Std© Type=©Protocol© ProtocolType=©30© Address=©XXX© ModuleNo=©" &amp; $T$5 &amp; "© Role=©Master© Station=©" &amp; $U$5 &amp; "©  /&gt;"</f>
        <v>&lt;Addr AnswerSignalType=©0© Protocol=©IEC4Std© Type=©Protocol© ProtocolType=©30© Address=©XXX© ModuleNo=©1© Role=©Master© Station=©1©  /&gt;</v>
      </c>
    </row>
  </sheetData>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sheetPr codeName="Лист134">
    <tabColor theme="9" tint="0.39997558519241921"/>
  </sheetPr>
  <dimension ref="A1:J66"/>
  <sheetViews>
    <sheetView workbookViewId="0">
      <selection activeCell="D2" sqref="D2:D4"/>
    </sheetView>
  </sheetViews>
  <sheetFormatPr defaultRowHeight="14.4"/>
  <cols>
    <col min="1" max="1" width="20.44140625" customWidth="1"/>
    <col min="2" max="2" width="18.88671875" customWidth="1"/>
    <col min="3" max="3" width="14.88671875" style="56" customWidth="1"/>
    <col min="4" max="4" width="127.44140625" customWidth="1"/>
    <col min="5" max="5" width="13" customWidth="1"/>
    <col min="6" max="6" width="27.6640625" customWidth="1"/>
    <col min="7" max="7" width="87.88671875" customWidth="1"/>
    <col min="8" max="8" width="97.109375" style="456" customWidth="1"/>
    <col min="9" max="10" width="9.109375" style="456"/>
  </cols>
  <sheetData>
    <row r="1" spans="1:8">
      <c r="A1" s="517" t="s">
        <v>591</v>
      </c>
      <c r="B1" s="517"/>
      <c r="C1" s="770"/>
      <c r="D1" s="517"/>
      <c r="E1" s="517"/>
      <c r="F1" s="517" t="s">
        <v>1389</v>
      </c>
      <c r="G1" s="516" t="s">
        <v>1384</v>
      </c>
      <c r="H1" s="516" t="s">
        <v>1390</v>
      </c>
    </row>
    <row r="2" spans="1:8">
      <c r="A2" s="11" t="s">
        <v>1386</v>
      </c>
      <c r="B2" s="11" t="str">
        <f>$G$3</f>
        <v>KMZ1</v>
      </c>
      <c r="C2" s="81" t="s">
        <v>1807</v>
      </c>
      <c r="D2" s="11" t="str">
        <f>$G$3 &amp; "|XRPX@"  &amp; $G$3 &amp; "|CIMX@" &amp; $G$3 &amp; "|FXXX@" &amp; $G$3 &amp; "|XDAX"</f>
        <v>KMZ1|XRPX@KMZ1|CIMX@KMZ1|FXXX@KMZ1|XDAX</v>
      </c>
      <c r="E2" s="11"/>
      <c r="F2" s="11" t="s">
        <v>1389</v>
      </c>
      <c r="G2" s="518" t="s">
        <v>1399</v>
      </c>
      <c r="H2" s="519" t="str">
        <f>"// "&amp;G2&amp;" "&amp;REPT("*",(LEN(A2)+LEN(B2)+LEN(C2)+LEN(D2)-LEN(G2)))</f>
        <v>// KMZ1 ************************************************************************</v>
      </c>
    </row>
    <row r="3" spans="1:8">
      <c r="A3" s="11"/>
      <c r="B3" s="11"/>
      <c r="C3" s="771" t="str">
        <f>IFERROR(REPT(" ",LEN(A$2)+LEN(B$2)+LEN(C$2)+LEN(D$2)-LEN(D3)),"")</f>
        <v xml:space="preserve">                 </v>
      </c>
      <c r="D3" s="11" t="str">
        <f>$G$3 &amp; "|XHAS@" &amp; $G$3 &amp; "|XLAS@" &amp; $G$3 &amp; "|XHWS@" &amp; $G$3 &amp; "|XLWS@NOT " &amp; $G$3 &amp; "|FXXX@false"</f>
        <v>KMZ1|XHAS@KMZ1|XLAS@KMZ1|XHWS@KMZ1|XLWS@NOT KMZ1|FXXX@false</v>
      </c>
      <c r="E3" s="11"/>
      <c r="F3" s="11" t="s">
        <v>1389</v>
      </c>
      <c r="G3" s="518" t="str">
        <f>SUBSTITUTE($G$2,"\","|")</f>
        <v>KMZ1</v>
      </c>
    </row>
    <row r="4" spans="1:8">
      <c r="A4" s="11"/>
      <c r="B4" s="11"/>
      <c r="C4" s="771" t="str">
        <f>IFERROR(REPT(" ",LEN(A$2)+LEN(B$2)+LEN(C$2)+LEN(D$2)-LEN(D4)),"")</f>
        <v xml:space="preserve">           </v>
      </c>
      <c r="D4" s="11" t="str">
        <f>"false@false@false@false@false@false@false@false@false@false@false"</f>
        <v>false@false@false@false@false@false@false@false@false@false@false</v>
      </c>
      <c r="E4" s="11"/>
      <c r="F4" s="11" t="s">
        <v>1389</v>
      </c>
      <c r="G4" s="447"/>
    </row>
    <row r="5" spans="1:8">
      <c r="A5" s="11"/>
      <c r="B5" s="11"/>
      <c r="C5" s="771" t="str">
        <f>IFERROR(REPT(" ",LEN(A$2)+LEN(B$2)+LEN(C$2)+LEN(D$2)-LEN(D5)),"")</f>
        <v xml:space="preserve">           </v>
      </c>
      <c r="D5" s="11" t="str">
        <f>"false@false@false@false@false@false@false@false@false@false@false"</f>
        <v>false@false@false@false@false@false@false@false@false@false@false</v>
      </c>
      <c r="E5" s="11"/>
      <c r="F5" s="11" t="s">
        <v>1385</v>
      </c>
      <c r="G5" s="447"/>
    </row>
    <row r="6" spans="1:8">
      <c r="A6" s="11" t="s">
        <v>1387</v>
      </c>
      <c r="B6" s="11" t="str">
        <f>$G$3</f>
        <v>KMZ1</v>
      </c>
      <c r="C6" s="81" t="s">
        <v>1807</v>
      </c>
      <c r="D6" s="11" t="str">
        <f>$G$3 &amp; "|FSCX@" &amp; $G$3 &amp; "|FBXX@" &amp; $G$3 &amp; "|FHSX@"&amp;$G$3&amp;"|FLSX"</f>
        <v>KMZ1|FSCX@KMZ1|FBXX@KMZ1|FHSX@KMZ1|FLSX</v>
      </c>
      <c r="E6" s="11"/>
      <c r="F6" s="11" t="s">
        <v>1389</v>
      </c>
    </row>
    <row r="7" spans="1:8">
      <c r="A7" s="11"/>
      <c r="B7" s="11"/>
      <c r="C7" s="771" t="str">
        <f>IFERROR(REPT(" ",LEN(A$6)+LEN(B$6)+LEN(C$6)+LEN(D$6)-LEN(D7)),"")</f>
        <v xml:space="preserve">           </v>
      </c>
      <c r="D7" s="4" t="str">
        <f>$G$3 &amp; "|FSLX@" &amp; $G$3 &amp; "|FZCX@" &amp; $G$3 &amp; "|DVXX@"&amp;"false@false@false@false@false@false"</f>
        <v>KMZ1|FSLX@KMZ1|FZCX@KMZ1|DVXX@false@false@false@false@false@false</v>
      </c>
      <c r="E7" s="11"/>
      <c r="F7" s="11" t="s">
        <v>1389</v>
      </c>
    </row>
    <row r="8" spans="1:8">
      <c r="A8" s="11"/>
      <c r="B8" s="11"/>
      <c r="C8" s="771" t="str">
        <f>IFERROR(REPT(" ",LEN(A$6)+LEN(B$6)+LEN(C$6)+LEN(D$6)-LEN(D8)),"")</f>
        <v xml:space="preserve">                 </v>
      </c>
      <c r="D8" s="4" t="str">
        <f>"false@false@false@false@false@false@false@false@false@false"</f>
        <v>false@false@false@false@false@false@false@false@false@false</v>
      </c>
      <c r="E8" s="11"/>
      <c r="F8" s="11" t="s">
        <v>1389</v>
      </c>
    </row>
    <row r="9" spans="1:8">
      <c r="A9" s="11"/>
      <c r="B9" s="11"/>
      <c r="C9" s="771" t="str">
        <f>IFERROR(REPT(" ",LEN(A$6)+LEN(B$6)+LEN(C$6)+LEN(D$6)-LEN(D9)),"")</f>
        <v xml:space="preserve">                       </v>
      </c>
      <c r="D9" s="4" t="str">
        <f>"false@false@false@false@false@false@false@false@false"</f>
        <v>false@false@false@false@false@false@false@false@false</v>
      </c>
      <c r="E9" s="11"/>
      <c r="F9" s="11" t="s">
        <v>1385</v>
      </c>
    </row>
    <row r="10" spans="1:8">
      <c r="A10" s="517" t="s">
        <v>592</v>
      </c>
      <c r="B10" s="517"/>
      <c r="C10" s="770"/>
      <c r="D10" s="517"/>
      <c r="E10" s="517"/>
      <c r="F10" s="517" t="s">
        <v>1389</v>
      </c>
    </row>
    <row r="11" spans="1:8">
      <c r="A11" s="11" t="s">
        <v>1386</v>
      </c>
      <c r="B11" s="11" t="str">
        <f>$G$3</f>
        <v>KMZ1</v>
      </c>
      <c r="C11" s="465" t="s">
        <v>1807</v>
      </c>
      <c r="D11" s="1" t="str">
        <f>$G$3&amp;"|XRPX@"&amp;$G$3&amp;"|CIMX AND "&amp;$G$3&amp;"|SIMX@" &amp; $G$3&amp;"|CIMX AND (NOT " &amp; $G$3&amp;"|SIMX)"</f>
        <v>KMZ1|XRPX@KMZ1|CIMX AND KMZ1|SIMX@KMZ1|CIMX AND (NOT KMZ1|SIMX)</v>
      </c>
      <c r="E11" s="1"/>
      <c r="F11" s="11" t="s">
        <v>1389</v>
      </c>
    </row>
    <row r="12" spans="1:8">
      <c r="A12" s="1"/>
      <c r="B12" s="1"/>
      <c r="C12" s="771" t="str">
        <f>IFERROR(REPT(" ",LEN(A$11)+LEN(B$11)+LEN(C$11)+LEN(D$11)-LEN(D12)),"")</f>
        <v xml:space="preserve">             </v>
      </c>
      <c r="D12" s="1" t="str">
        <f>$G$3&amp;"|FXXX@"&amp; $G$3&amp;"|XDAX AND " &amp; $G$3&amp;"|IVXX@" &amp; $G$3 &amp; "|XDAX AND (NOT "&amp;$G$3&amp;"|IVXX)@"&amp; $G$3 &amp; "|XVLX@NOT " &amp; $G$3 &amp; "|FXXX"</f>
        <v>KMZ1|FXXX@KMZ1|XDAX AND KMZ1|IVXX@KMZ1|XDAX AND (NOT KMZ1|IVXX)@KMZ1|XVLX@NOT KMZ1|FXXX</v>
      </c>
      <c r="E12" s="1"/>
      <c r="F12" s="11" t="s">
        <v>1389</v>
      </c>
    </row>
    <row r="13" spans="1:8">
      <c r="A13" s="1"/>
      <c r="B13" s="1"/>
      <c r="C13" s="771" t="str">
        <f>IFERROR(REPT(" ",LEN(A$11)+LEN(B$11)+LEN(C$11)+LEN(D$11)-LEN(D13)),"")</f>
        <v xml:space="preserve">                             </v>
      </c>
      <c r="D13" s="4" t="str">
        <f>"false@false@false@false@false@false@false@false@false@false@false@false"</f>
        <v>false@false@false@false@false@false@false@false@false@false@false@false</v>
      </c>
      <c r="E13" s="1"/>
      <c r="F13" s="11" t="s">
        <v>1389</v>
      </c>
    </row>
    <row r="14" spans="1:8">
      <c r="A14" s="1"/>
      <c r="B14" s="1"/>
      <c r="C14" s="771" t="str">
        <f>IFERROR(REPT(" ",LEN(A$11)+LEN(B$11)+LEN(C$11)+LEN(D$11)-LEN(D14)),"")</f>
        <v xml:space="preserve">                             </v>
      </c>
      <c r="D14" s="4" t="str">
        <f>"false@false@false@false@false@false@false@false@false@false@false@false"</f>
        <v>false@false@false@false@false@false@false@false@false@false@false@false</v>
      </c>
      <c r="E14" s="1"/>
      <c r="F14" s="11" t="s">
        <v>1385</v>
      </c>
    </row>
    <row r="15" spans="1:8">
      <c r="A15" s="517" t="s">
        <v>593</v>
      </c>
      <c r="B15" s="517"/>
      <c r="C15" s="770"/>
      <c r="D15" s="517"/>
      <c r="E15" s="517"/>
      <c r="F15" s="517" t="s">
        <v>1389</v>
      </c>
    </row>
    <row r="16" spans="1:8">
      <c r="A16" s="11" t="s">
        <v>1386</v>
      </c>
      <c r="B16" s="11" t="str">
        <f>$G$3</f>
        <v>KMZ1</v>
      </c>
      <c r="C16" s="81" t="s">
        <v>1807</v>
      </c>
      <c r="D16" s="1" t="str">
        <f>$G$3&amp;"|XRPX@"&amp;$G$3&amp;"|DOON@"&amp;$G$3&amp;"|OCON@" &amp; $G$3&amp;"|OCOF"</f>
        <v>KMZ1|XRPX@KMZ1|DOON@KMZ1|OCON@KMZ1|OCOF</v>
      </c>
      <c r="E16" s="1"/>
      <c r="F16" s="11" t="s">
        <v>1389</v>
      </c>
    </row>
    <row r="17" spans="1:6">
      <c r="A17" s="1"/>
      <c r="B17" s="1"/>
      <c r="C17" s="771" t="str">
        <f>IFERROR(REPT(" ",LEN(A$16)+LEN(B$16)+LEN(C$16)+LEN(D$16)-LEN(D17)),"")</f>
        <v xml:space="preserve">                                         </v>
      </c>
      <c r="D17" t="str">
        <f>$G$3&amp;"|XRCX@"&amp;$G$3&amp;"|XMMX@"&amp;$G$3&amp;"|FXXX"&amp;"@false"</f>
        <v>KMZ1|XRCX@KMZ1|XMMX@KMZ1|FXXX@false</v>
      </c>
      <c r="E17" s="1"/>
      <c r="F17" s="11" t="s">
        <v>1389</v>
      </c>
    </row>
    <row r="18" spans="1:6">
      <c r="A18" s="1"/>
      <c r="B18" s="1"/>
      <c r="C18" s="771" t="str">
        <f>IFERROR(REPT(" ",LEN(A$16)+LEN(B$16)+LEN(C$16)+LEN(D$16)-LEN(D18)),"")</f>
        <v xml:space="preserve">     </v>
      </c>
      <c r="D18" s="1" t="str">
        <f>"false@false@false@false@false@false@false@false@false@false@false@false"</f>
        <v>false@false@false@false@false@false@false@false@false@false@false@false</v>
      </c>
      <c r="E18" s="1"/>
      <c r="F18" s="11" t="s">
        <v>1389</v>
      </c>
    </row>
    <row r="19" spans="1:6">
      <c r="A19" s="1"/>
      <c r="B19" s="1"/>
      <c r="C19" s="771" t="str">
        <f>IFERROR(REPT(" ",LEN(A$16)+LEN(B$16)+LEN(C$16)+LEN(D$16)-LEN(D19)),"")</f>
        <v xml:space="preserve">     </v>
      </c>
      <c r="D19" s="1" t="str">
        <f>"false@false@false@false@false@false@false@false@false@false@false@false"</f>
        <v>false@false@false@false@false@false@false@false@false@false@false@false</v>
      </c>
      <c r="E19" s="1"/>
      <c r="F19" s="11" t="s">
        <v>1385</v>
      </c>
    </row>
    <row r="20" spans="1:6">
      <c r="A20" s="517" t="s">
        <v>595</v>
      </c>
      <c r="B20" s="517"/>
      <c r="C20" s="770"/>
      <c r="D20" s="517"/>
      <c r="E20" s="517"/>
      <c r="F20" s="517" t="s">
        <v>1389</v>
      </c>
    </row>
    <row r="21" spans="1:6">
      <c r="A21" s="11" t="s">
        <v>1386</v>
      </c>
      <c r="B21" s="11" t="str">
        <f>$G$3</f>
        <v>KMZ1</v>
      </c>
      <c r="C21" s="81" t="s">
        <v>1807</v>
      </c>
      <c r="D21" s="11" t="str">
        <f>$G$3 &amp; "|XRPX@" &amp; $G$3 &amp; "|DONX OR " &amp; $G$3 &amp; "|DOFX OR " &amp; $G$3&amp;"|FDSX OR " &amp; $G$3 &amp; "|FUSX"</f>
        <v>KMZ1|XRPX@KMZ1|DONX OR KMZ1|DOFX OR KMZ1|FDSX OR KMZ1|FUSX</v>
      </c>
      <c r="E21" s="1"/>
      <c r="F21" s="11" t="s">
        <v>1389</v>
      </c>
    </row>
    <row r="22" spans="1:6">
      <c r="A22" s="1"/>
      <c r="B22" s="1"/>
      <c r="C22" s="771" t="str">
        <f>IFERROR(REPT(" ",LEN(A$21)+LEN(B$21)+LEN(C$21)+LEN(D$21)-LEN(D22)),"")</f>
        <v/>
      </c>
      <c r="D22" t="str">
        <f>"NOT (" &amp; $G$3 &amp; "|DONX OR " &amp; $G$3 &amp; "|DOFX OR " &amp; $G$3&amp;"|FDSX OR " &amp; $G$3 &amp; "|FUSX OR " &amp; $G$3&amp;"|XONX OR " &amp; $G$3&amp;"|XONP OR " &amp; $G$3&amp;"|XOFX OR " &amp; $G$3&amp;"|XOFP)"</f>
        <v>NOT (KMZ1|DONX OR KMZ1|DOFX OR KMZ1|FDSX OR KMZ1|FUSX OR KMZ1|XONX OR KMZ1|XONP OR KMZ1|XOFX OR KMZ1|XOFP)</v>
      </c>
      <c r="E22" s="1"/>
      <c r="F22" s="11" t="s">
        <v>1389</v>
      </c>
    </row>
    <row r="23" spans="1:6">
      <c r="A23" s="1"/>
      <c r="B23" s="1"/>
      <c r="C23" s="771" t="str">
        <f>IFERROR(REPT(" ",LEN(A$21)+LEN(B$21)+LEN(C$21)+LEN(D$21)-LEN(D23)),"")</f>
        <v xml:space="preserve">          </v>
      </c>
      <c r="D23" s="11" t="str">
        <f>$G$3 &amp; "|XONX@" &amp; $G$3 &amp; "|XOFX@" &amp; $G$3 &amp; "|XONP@" &amp; $G$3 &amp; "|XOFP@" &amp;"NOT " &amp; $G$3 &amp; "|XRCX@" &amp; $G$3 &amp; "|XMMX@"&amp; $G$3 &amp; "|FXXX@" &amp; "false@false"</f>
        <v>KMZ1|XONX@KMZ1|XOFX@KMZ1|XONP@KMZ1|XOFP@NOT KMZ1|XRCX@KMZ1|XMMX@KMZ1|FXXX@false@false</v>
      </c>
      <c r="E23" s="1"/>
      <c r="F23" s="11" t="s">
        <v>1389</v>
      </c>
    </row>
    <row r="24" spans="1:6">
      <c r="A24" s="1"/>
      <c r="B24" s="1"/>
      <c r="C24" s="771" t="str">
        <f>IFERROR(REPT(" ",LEN(A$21)+LEN(B$21)+LEN(C$21)+LEN(D$21)-LEN(D24)),"")</f>
        <v/>
      </c>
      <c r="D24" s="4" t="str">
        <f>"false@false@false@false@false@false@false@false@false@false@false@false@false@false@false@false@false@false@false@false"</f>
        <v>false@false@false@false@false@false@false@false@false@false@false@false@false@false@false@false@false@false@false@false</v>
      </c>
      <c r="E24" s="1"/>
      <c r="F24" s="11" t="s">
        <v>1385</v>
      </c>
    </row>
    <row r="25" spans="1:6">
      <c r="A25" s="11" t="s">
        <v>1387</v>
      </c>
      <c r="B25" s="11" t="str">
        <f>$G$3</f>
        <v>KMZ1</v>
      </c>
      <c r="C25" s="81" t="s">
        <v>1807</v>
      </c>
      <c r="D25" s="11" t="str">
        <f>$G$3 &amp; "|IFXX@" &amp; $G$3 &amp; "|DONX@" &amp; $G$3 &amp; "|DOFX@" &amp; $G$3&amp;"|DOON@" &amp;$G$3 &amp; "|DOOF@"&amp;$G$3 &amp; "|DFXX@" &amp; $G$3 &amp; "|DLCX"</f>
        <v>KMZ1|IFXX@KMZ1|DONX@KMZ1|DOFX@KMZ1|DOON@KMZ1|DOOF@KMZ1|DFXX@KMZ1|DLCX</v>
      </c>
      <c r="E25" s="1"/>
      <c r="F25" s="11" t="s">
        <v>1389</v>
      </c>
    </row>
    <row r="26" spans="1:6">
      <c r="A26" s="1"/>
      <c r="B26" s="1"/>
      <c r="C26" s="771" t="str">
        <f>IFERROR(REPT(" ",LEN(A$25)+LEN(B$25)+LEN(C$25)+LEN(D$25)-LEN(D26)),"")</f>
        <v xml:space="preserve">                 </v>
      </c>
      <c r="D26" s="11" t="str">
        <f xml:space="preserve"> $G$3 &amp; "|FFON@" &amp; $G$3 &amp; "|FFOF@"&amp; $G$3 &amp; "|FCOM@" &amp; $G$3 &amp; "|FDSX@"&amp;$G$3 &amp; "|FDCX@" &amp; $G$3 &amp; "|FONX@" &amp; $G$3 &amp; "|FOFX@" &amp; $G$3 &amp; "|FUSX@"&amp; $G$3 &amp; "|FUCX"</f>
        <v>KMZ1|FFON@KMZ1|FFOF@KMZ1|FCOM@KMZ1|FDSX@KMZ1|FDCX@KMZ1|FONX@KMZ1|FOFX@KMZ1|FUSX@KMZ1|FUCX</v>
      </c>
      <c r="E26" s="1"/>
      <c r="F26" s="11" t="s">
        <v>1389</v>
      </c>
    </row>
    <row r="27" spans="1:6">
      <c r="A27" s="1"/>
      <c r="B27" s="1"/>
      <c r="C27" s="771" t="str">
        <f>IFERROR(REPT(" ",LEN(A$25)+LEN(B$25)+LEN(C$25)+LEN(D$25)-LEN(D27)),"")</f>
        <v xml:space="preserve">           </v>
      </c>
      <c r="D27" s="4" t="str">
        <f>"false@false@false@false@false@false@false@false@false@false@false@false@false@false@false@false"</f>
        <v>false@false@false@false@false@false@false@false@false@false@false@false@false@false@false@false</v>
      </c>
      <c r="E27" s="1"/>
      <c r="F27" s="11" t="s">
        <v>1385</v>
      </c>
    </row>
    <row r="28" spans="1:6">
      <c r="A28" s="517" t="s">
        <v>594</v>
      </c>
      <c r="B28" s="517"/>
      <c r="C28" s="770"/>
      <c r="D28" s="517"/>
      <c r="E28" s="517"/>
      <c r="F28" s="517" t="s">
        <v>1389</v>
      </c>
    </row>
    <row r="29" spans="1:6">
      <c r="A29" s="11" t="s">
        <v>1386</v>
      </c>
      <c r="B29" s="11" t="str">
        <f>$G$3</f>
        <v>KMZ1</v>
      </c>
      <c r="C29" s="81" t="s">
        <v>1807</v>
      </c>
      <c r="D29" s="11" t="str">
        <f>$G$3 &amp; "|XRPX@" &amp; $G$3 &amp; "|DONX OR " &amp; $G$3 &amp; "|DOFX OR " &amp; $G$3&amp;"|FDSX OR " &amp; $G$3 &amp; "|FUSX@false"</f>
        <v>KMZ1|XRPX@KMZ1|DONX OR KMZ1|DOFX OR KMZ1|FDSX OR KMZ1|FUSX@false</v>
      </c>
      <c r="E29" s="1"/>
      <c r="F29" s="11" t="s">
        <v>1389</v>
      </c>
    </row>
    <row r="30" spans="1:6">
      <c r="A30" s="1"/>
      <c r="B30" s="1"/>
      <c r="C30" s="771" t="str">
        <f>IFERROR(REPT(" ",LEN(A$29)+LEN(B$29)+LEN(C$29)+LEN(D$29)-LEN(D30)),"")</f>
        <v xml:space="preserve">                </v>
      </c>
      <c r="D30" s="11" t="str">
        <f>$G$3 &amp; "|XONX@" &amp; $G$3 &amp; "|XOFX@" &amp; $G$3 &amp; "|XONP@" &amp; $G$3 &amp; "|XOFP@" &amp;"NOT " &amp; $G$3 &amp; "|XRCX@" &amp; $G$3 &amp; "|XMMX@"&amp; $G$3 &amp; "|FXXX@" &amp; "false@false"</f>
        <v>KMZ1|XONX@KMZ1|XOFX@KMZ1|XONP@KMZ1|XOFP@NOT KMZ1|XRCX@KMZ1|XMMX@KMZ1|FXXX@false@false</v>
      </c>
      <c r="E30" s="1"/>
      <c r="F30" s="11" t="s">
        <v>1389</v>
      </c>
    </row>
    <row r="31" spans="1:6">
      <c r="A31" s="1"/>
      <c r="B31" s="1"/>
      <c r="C31" s="771" t="str">
        <f>IFERROR(REPT(" ",LEN(A$29)+LEN(B$29)+LEN(C$29)+LEN(D$29)-LEN(D31)),"")</f>
        <v/>
      </c>
      <c r="D31" s="4" t="str">
        <f>"false@false@false@false@false@false@false@false@false@false@false@false@false@false@false@false@false@false@false@false"</f>
        <v>false@false@false@false@false@false@false@false@false@false@false@false@false@false@false@false@false@false@false@false</v>
      </c>
      <c r="E31" s="1"/>
      <c r="F31" s="11" t="s">
        <v>1385</v>
      </c>
    </row>
    <row r="32" spans="1:6">
      <c r="A32" s="11" t="s">
        <v>1387</v>
      </c>
      <c r="B32" s="11" t="str">
        <f>$G$3</f>
        <v>KMZ1</v>
      </c>
      <c r="C32" s="81" t="s">
        <v>1807</v>
      </c>
      <c r="D32" s="11" t="str">
        <f>$G$3 &amp; "|IFXX@" &amp; $G$3 &amp; "|DONX@" &amp; $G$3 &amp; "|DOFX@" &amp; $G$3&amp;"|DOON@" &amp;$G$3 &amp; "|DOOF@"&amp;$G$3 &amp; "|DFXX@" &amp; $G$3 &amp; "|DLCX"</f>
        <v>KMZ1|IFXX@KMZ1|DONX@KMZ1|DOFX@KMZ1|DOON@KMZ1|DOOF@KMZ1|DFXX@KMZ1|DLCX</v>
      </c>
      <c r="E32" s="1"/>
      <c r="F32" s="11" t="s">
        <v>1389</v>
      </c>
    </row>
    <row r="33" spans="1:6">
      <c r="A33" s="1"/>
      <c r="B33" s="1"/>
      <c r="C33" s="771" t="str">
        <f>IFERROR(REPT(" ",LEN(A$32)+LEN(B$32)+LEN(C$32)+LEN(D$32)-LEN(D33)),"")</f>
        <v xml:space="preserve">                 </v>
      </c>
      <c r="D33" s="11" t="str">
        <f xml:space="preserve"> $G$3 &amp; "|FFON@" &amp; $G$3 &amp; "|FFOF@"&amp; $G$3 &amp; "|FCOM@" &amp; $G$3 &amp; "|FDSX@"&amp;$G$3 &amp; "|FDCX@" &amp; $G$3 &amp; "|FONX@" &amp; $G$3 &amp; "|FOFX@" &amp; $G$3 &amp; "|FUSX@"&amp; $G$3 &amp; "|FUCX"</f>
        <v>KMZ1|FFON@KMZ1|FFOF@KMZ1|FCOM@KMZ1|FDSX@KMZ1|FDCX@KMZ1|FONX@KMZ1|FOFX@KMZ1|FUSX@KMZ1|FUCX</v>
      </c>
      <c r="E33" s="1"/>
      <c r="F33" s="11" t="s">
        <v>1389</v>
      </c>
    </row>
    <row r="34" spans="1:6">
      <c r="A34" s="1"/>
      <c r="B34" s="1"/>
      <c r="C34" s="771" t="str">
        <f>IFERROR(REPT(" ",LEN(A$32)+LEN(B$32)+LEN(C$32)+LEN(D$32)-LEN(D34)),"")</f>
        <v xml:space="preserve">           </v>
      </c>
      <c r="D34" s="4" t="str">
        <f>"false@false@false@false@false@false@false@false@false@false@false@false@false@false@false@false"</f>
        <v>false@false@false@false@false@false@false@false@false@false@false@false@false@false@false@false</v>
      </c>
      <c r="E34" s="1"/>
      <c r="F34" s="11" t="s">
        <v>1385</v>
      </c>
    </row>
    <row r="35" spans="1:6">
      <c r="A35" s="517" t="s">
        <v>1820</v>
      </c>
      <c r="B35" s="517"/>
      <c r="C35" s="770"/>
      <c r="D35" s="517"/>
      <c r="E35" s="517"/>
      <c r="F35" s="517" t="s">
        <v>1389</v>
      </c>
    </row>
    <row r="36" spans="1:6">
      <c r="A36" s="11" t="s">
        <v>1386</v>
      </c>
      <c r="B36" s="11" t="str">
        <f>$G$3</f>
        <v>KMZ1</v>
      </c>
      <c r="C36" s="81" t="s">
        <v>1807</v>
      </c>
      <c r="D36" s="11" t="str">
        <f>$G$3 &amp; "|XRPX@" &amp; $G$3 &amp; "|FXXX@" &amp; "NOT ("&amp; $G$3 &amp; "|XONX OR " &amp; $G$3&amp;"|XOFX)"</f>
        <v>KMZ1|XRPX@KMZ1|FXXX@NOT (KMZ1|XONX OR KMZ1|XOFX)</v>
      </c>
      <c r="E36" s="1"/>
      <c r="F36" s="11" t="s">
        <v>1389</v>
      </c>
    </row>
    <row r="37" spans="1:6">
      <c r="A37" s="11"/>
      <c r="B37" s="11"/>
      <c r="C37" s="771" t="str">
        <f>IFERROR(REPT(" ",LEN(A$36)+LEN(B$36)+LEN(C$36)+LEN(D$36)-LEN(D37)),"")</f>
        <v xml:space="preserve">                                          </v>
      </c>
      <c r="D37" s="11" t="str">
        <f>$G$3 &amp; "|XONX@" &amp; $G$3 &amp; "|XOFX@" &amp; "NOT " &amp; $G$3 &amp; "|XRCX@" &amp; $G$3 &amp; "|XMMX"</f>
        <v>KMZ1|XONX@KMZ1|XOFX@NOT KMZ1|XRCX@KMZ1|XMMX</v>
      </c>
      <c r="E37" s="1"/>
      <c r="F37" s="11" t="s">
        <v>1389</v>
      </c>
    </row>
    <row r="38" spans="1:6">
      <c r="A38" s="1"/>
      <c r="B38" s="1"/>
      <c r="C38" s="771" t="str">
        <f>IFERROR(REPT(" ",LEN(A$36)+LEN(B$36)+LEN(C$36)+LEN(D$36)-LEN(D38)),"")</f>
        <v xml:space="preserve">        </v>
      </c>
      <c r="D38" s="4" t="str">
        <f>"false@false@false@false@false@false@false@false@false@false@false@false@false"</f>
        <v>false@false@false@false@false@false@false@false@false@false@false@false@false</v>
      </c>
      <c r="E38" s="1"/>
      <c r="F38" s="11" t="s">
        <v>1389</v>
      </c>
    </row>
    <row r="39" spans="1:6">
      <c r="A39" s="1"/>
      <c r="B39" s="1"/>
      <c r="C39" s="771" t="str">
        <f>IFERROR(REPT(" ",LEN(A$36)+LEN(B$36)+LEN(C$36)+LEN(D$36)-LEN(D39)),"")</f>
        <v xml:space="preserve">              </v>
      </c>
      <c r="D39" s="4" t="str">
        <f>"false@false@false@false@false@false@false@false@false@false@false@false"</f>
        <v>false@false@false@false@false@false@false@false@false@false@false@false</v>
      </c>
      <c r="E39" s="1"/>
      <c r="F39" s="11" t="s">
        <v>1385</v>
      </c>
    </row>
    <row r="40" spans="1:6">
      <c r="A40" s="11" t="s">
        <v>1387</v>
      </c>
      <c r="B40" s="11" t="str">
        <f>$G$3</f>
        <v>KMZ1</v>
      </c>
      <c r="C40" s="81" t="s">
        <v>1807</v>
      </c>
      <c r="D40" s="11" t="str">
        <f>$G$3 &amp; "|DAPX@" &amp; $G$3 &amp; "|XDAX@" &amp; $G$3 &amp; "|DLCX@" &amp; $G$3&amp;"|DRCX@" &amp; $G$3 &amp; "|DFXX"</f>
        <v>KMZ1|DAPX@KMZ1|XDAX@KMZ1|DLCX@KMZ1|DRCX@KMZ1|DFXX</v>
      </c>
      <c r="E40" s="1"/>
      <c r="F40" s="11" t="s">
        <v>1389</v>
      </c>
    </row>
    <row r="41" spans="1:6">
      <c r="A41" s="11"/>
      <c r="B41" s="11"/>
      <c r="C41" s="771" t="str">
        <f>IFERROR(REPT(" ",LEN(A$40)+LEN(B$40)+LEN(C$40)+LEN(D$40)-LEN(D41)),"")</f>
        <v xml:space="preserve">                                     </v>
      </c>
      <c r="D41" s="11" t="str">
        <f xml:space="preserve"> $G$3 &amp; "|DCAX@" &amp; $G$3 &amp; "|FBXX@" &amp; $G$3 &amp; "|FSCX@" &amp; $G$3 &amp; "|FUCM@" &amp; $G$3 &amp; "|FDCM"</f>
        <v>KMZ1|DCAX@KMZ1|FBXX@KMZ1|FSCX@KMZ1|FUCM@KMZ1|FDCM</v>
      </c>
      <c r="E41" s="1"/>
      <c r="F41" s="11" t="s">
        <v>1389</v>
      </c>
    </row>
    <row r="42" spans="1:6">
      <c r="A42" s="11"/>
      <c r="B42" s="11"/>
      <c r="C42" s="771" t="str">
        <f>IFERROR(REPT(" ",LEN(A$40)+LEN(B$40)+LEN(C$40)+LEN(D$40)-LEN(D42)),"")</f>
        <v xml:space="preserve">                         </v>
      </c>
      <c r="D42" s="11" t="str">
        <f>$G$3 &amp; "|FMVX@" &amp; $G$3 &amp; "|FCPX@" &amp; "false@false@false@false@false@false@false"</f>
        <v>KMZ1|FMVX@KMZ1|FCPX@false@false@false@false@false@false@false</v>
      </c>
      <c r="E42" s="1"/>
      <c r="F42" s="11" t="s">
        <v>1389</v>
      </c>
    </row>
    <row r="43" spans="1:6">
      <c r="A43" s="1"/>
      <c r="B43" s="1"/>
      <c r="C43" s="771" t="str">
        <f>IFERROR(REPT(" ",LEN(A$40)+LEN(B$40)+LEN(C$40)+LEN(D$40)-LEN(D43)),"")</f>
        <v xml:space="preserve">         </v>
      </c>
      <c r="D43" s="4" t="str">
        <f>"false@false@false@false@false@false@false@false@false@false@false@false@false"</f>
        <v>false@false@false@false@false@false@false@false@false@false@false@false@false</v>
      </c>
      <c r="E43" s="1"/>
      <c r="F43" s="11" t="s">
        <v>1385</v>
      </c>
    </row>
    <row r="44" spans="1:6">
      <c r="A44" s="517" t="s">
        <v>596</v>
      </c>
      <c r="B44" s="517"/>
      <c r="C44" s="770"/>
      <c r="D44" s="517"/>
      <c r="E44" s="517"/>
      <c r="F44" s="517" t="s">
        <v>1389</v>
      </c>
    </row>
    <row r="45" spans="1:6">
      <c r="A45" s="11" t="s">
        <v>1386</v>
      </c>
      <c r="B45" s="11" t="str">
        <f>$G$3</f>
        <v>KMZ1</v>
      </c>
      <c r="C45" s="81" t="s">
        <v>1807</v>
      </c>
      <c r="D45" s="11" t="str">
        <f>$G$3 &amp; "|XRPX@" &amp; $G$3 &amp; "|FXXX@" &amp; "NOT ("&amp; $G$3 &amp; "|XONX OR " &amp; $G$3&amp;"|XOFX)"</f>
        <v>KMZ1|XRPX@KMZ1|FXXX@NOT (KMZ1|XONX OR KMZ1|XOFX)</v>
      </c>
      <c r="E45" s="1"/>
      <c r="F45" s="11" t="s">
        <v>1389</v>
      </c>
    </row>
    <row r="46" spans="1:6">
      <c r="A46" s="11"/>
      <c r="B46" s="11"/>
      <c r="C46" s="771" t="str">
        <f>IFERROR(REPT(" ",LEN(A$45)+LEN(B$45)+LEN(C$45)+LEN(D$36)-LEN(D46)),"")</f>
        <v xml:space="preserve">                                          </v>
      </c>
      <c r="D46" s="11" t="str">
        <f>$G$3 &amp; "|XONX@" &amp; $G$3 &amp; "|XOFX@" &amp; "NOT " &amp; $G$3 &amp; "|XRCX@" &amp; $G$3 &amp; "|XMMX"</f>
        <v>KMZ1|XONX@KMZ1|XOFX@NOT KMZ1|XRCX@KMZ1|XMMX</v>
      </c>
      <c r="E46" s="1"/>
      <c r="F46" s="11" t="s">
        <v>1389</v>
      </c>
    </row>
    <row r="47" spans="1:6">
      <c r="A47" s="1"/>
      <c r="B47" s="1"/>
      <c r="C47" s="771" t="str">
        <f>IFERROR(REPT(" ",LEN(A$45)+LEN(B$45)+LEN(C$45)+LEN(D$36)-LEN(D47)),"")</f>
        <v xml:space="preserve">        </v>
      </c>
      <c r="D47" s="4" t="str">
        <f>"false@false@false@false@false@false@false@false@false@false@false@false@false"</f>
        <v>false@false@false@false@false@false@false@false@false@false@false@false@false</v>
      </c>
      <c r="E47" s="1"/>
      <c r="F47" s="11" t="s">
        <v>1389</v>
      </c>
    </row>
    <row r="48" spans="1:6">
      <c r="A48" s="1"/>
      <c r="B48" s="1"/>
      <c r="C48" s="771" t="str">
        <f>IFERROR(REPT(" ",LEN(A$45)+LEN(B$45)+LEN(C$45)+LEN(D$36)-LEN(D48)),"")</f>
        <v xml:space="preserve">              </v>
      </c>
      <c r="D48" s="4" t="str">
        <f>"false@false@false@false@false@false@false@false@false@false@false@false"</f>
        <v>false@false@false@false@false@false@false@false@false@false@false@false</v>
      </c>
      <c r="E48" s="1"/>
      <c r="F48" s="11" t="s">
        <v>1385</v>
      </c>
    </row>
    <row r="49" spans="1:6">
      <c r="A49" s="11" t="s">
        <v>1387</v>
      </c>
      <c r="B49" s="11" t="str">
        <f>$G$3</f>
        <v>KMZ1</v>
      </c>
      <c r="C49" s="81" t="s">
        <v>1807</v>
      </c>
      <c r="D49" s="11" t="str">
        <f>$G$3 &amp; "|DAPX@" &amp; $G$3 &amp; "|XDAX@" &amp; $G$3 &amp; "|DLCX@" &amp; $G$3&amp;"|DRCX@" &amp; $G$3 &amp; "|DFXX"</f>
        <v>KMZ1|DAPX@KMZ1|XDAX@KMZ1|DLCX@KMZ1|DRCX@KMZ1|DFXX</v>
      </c>
      <c r="E49" s="1"/>
      <c r="F49" s="11" t="s">
        <v>1389</v>
      </c>
    </row>
    <row r="50" spans="1:6">
      <c r="A50" s="11"/>
      <c r="B50" s="11"/>
      <c r="C50" s="771" t="str">
        <f>IFERROR(REPT(" ",LEN(A$49)+LEN(B$49)+LEN(C$49)+LEN(D$49)-LEN(D50)),"")</f>
        <v xml:space="preserve">                                     </v>
      </c>
      <c r="D50" s="11" t="str">
        <f xml:space="preserve"> $G$3 &amp; "|DCAX@" &amp; $G$3 &amp; "|FBXX@" &amp; $G$3 &amp; "|FSCX@" &amp; $G$3 &amp; "|FUCM@" &amp; $G$3 &amp; "|FDCM"</f>
        <v>KMZ1|DCAX@KMZ1|FBXX@KMZ1|FSCX@KMZ1|FUCM@KMZ1|FDCM</v>
      </c>
      <c r="E50" s="1"/>
      <c r="F50" s="11" t="s">
        <v>1389</v>
      </c>
    </row>
    <row r="51" spans="1:6">
      <c r="A51" s="11"/>
      <c r="B51" s="11"/>
      <c r="C51" s="771" t="str">
        <f>IFERROR(REPT(" ",LEN(A$49)+LEN(B$49)+LEN(C$49)+LEN(D$49)-LEN(D51)),"")</f>
        <v xml:space="preserve">                         </v>
      </c>
      <c r="D51" s="11" t="str">
        <f>$G$3 &amp; "|FMVX@" &amp; $G$3 &amp; "|FCPX@" &amp; "false@false@false@false@false@false@false"</f>
        <v>KMZ1|FMVX@KMZ1|FCPX@false@false@false@false@false@false@false</v>
      </c>
      <c r="E51" s="1"/>
      <c r="F51" s="11" t="s">
        <v>1389</v>
      </c>
    </row>
    <row r="52" spans="1:6">
      <c r="A52" s="1"/>
      <c r="B52" s="1"/>
      <c r="C52" s="771" t="str">
        <f>IFERROR(REPT(" ",LEN(A$49)+LEN(B$49)+LEN(C$49)+LEN(D$49)-LEN(D52)),"")</f>
        <v xml:space="preserve">         </v>
      </c>
      <c r="D52" s="4" t="str">
        <f>"false@false@false@false@false@false@false@false@false@false@false@false@false"</f>
        <v>false@false@false@false@false@false@false@false@false@false@false@false@false</v>
      </c>
      <c r="E52" s="1"/>
      <c r="F52" s="11" t="s">
        <v>1385</v>
      </c>
    </row>
    <row r="53" spans="1:6">
      <c r="A53" s="517" t="s">
        <v>605</v>
      </c>
      <c r="B53" s="517"/>
      <c r="C53" s="770"/>
      <c r="D53" s="517"/>
      <c r="E53" s="517"/>
      <c r="F53" s="517" t="s">
        <v>1389</v>
      </c>
    </row>
    <row r="54" spans="1:6">
      <c r="A54" s="11" t="s">
        <v>1386</v>
      </c>
      <c r="B54" s="11" t="str">
        <f>$G$3</f>
        <v>KMZ1</v>
      </c>
      <c r="C54" s="81" t="s">
        <v>1807</v>
      </c>
      <c r="D54" s="11" t="str">
        <f>$G$3 &amp; "|XRPX@" &amp; $G$3 &amp; "|DONX OR " &amp; $G$3 &amp; "|DOFX OR " &amp; $G$3&amp;"|FDSX OR " &amp; $G$3 &amp; "|FUSX@false"</f>
        <v>KMZ1|XRPX@KMZ1|DONX OR KMZ1|DOFX OR KMZ1|FDSX OR KMZ1|FUSX@false</v>
      </c>
      <c r="E54" s="1"/>
      <c r="F54" s="11" t="s">
        <v>1389</v>
      </c>
    </row>
    <row r="55" spans="1:6">
      <c r="A55" s="1"/>
      <c r="B55" s="1"/>
      <c r="C55" s="771" t="str">
        <f>IFERROR(REPT(" ",LEN(A$54)+LEN(B$54)+LEN(C$54)+LEN(D$54)-LEN(D55)),"")</f>
        <v xml:space="preserve">                                    </v>
      </c>
      <c r="D55" s="11" t="str">
        <f>$G$3 &amp; "|XONX@" &amp; $G$3 &amp; "|XOFX@false@false@false@false@"&amp; $G$3 &amp; "|FXXX@" &amp; "false@false"</f>
        <v>KMZ1|XONX@KMZ1|XOFX@false@false@false@false@KMZ1|FXXX@false@false</v>
      </c>
      <c r="E55" s="1"/>
      <c r="F55" s="11" t="s">
        <v>1389</v>
      </c>
    </row>
    <row r="56" spans="1:6">
      <c r="A56" s="1"/>
      <c r="B56" s="1"/>
      <c r="C56" s="771" t="str">
        <f>IFERROR(REPT(" ",LEN(A$54)+LEN(B$54)+LEN(C$54)+LEN(D$54)-LEN(D56)),"")</f>
        <v/>
      </c>
      <c r="D56" s="4" t="str">
        <f>"false@false@false@false@false@false@false@false@false@false@false@false@false@false@false@false@false@false@false@false"</f>
        <v>false@false@false@false@false@false@false@false@false@false@false@false@false@false@false@false@false@false@false@false</v>
      </c>
      <c r="E56" s="1"/>
      <c r="F56" s="11" t="s">
        <v>1385</v>
      </c>
    </row>
    <row r="57" spans="1:6">
      <c r="A57" s="11" t="s">
        <v>1387</v>
      </c>
      <c r="B57" s="11" t="str">
        <f>$G$3</f>
        <v>KMZ1</v>
      </c>
      <c r="C57" s="81" t="s">
        <v>1807</v>
      </c>
      <c r="D57" s="11" t="str">
        <f>$G$3 &amp; "|IFXX@" &amp; $G$3 &amp; "|DONX@" &amp; $G$3 &amp; "|DOFX@false@false@"&amp;$G$3 &amp; "|DFXX@false"</f>
        <v>KMZ1|IFXX@KMZ1|DONX@KMZ1|DOFX@false@false@KMZ1|DFXX@false</v>
      </c>
      <c r="E57" s="1"/>
      <c r="F57" s="11" t="s">
        <v>1389</v>
      </c>
    </row>
    <row r="58" spans="1:6">
      <c r="A58" s="1"/>
      <c r="B58" s="1"/>
      <c r="C58" s="771" t="str">
        <f>IFERROR(REPT(" ",LEN(A$57)+LEN(B$57)+LEN(C$57)+LEN(D$57)-LEN(D58)),"")</f>
        <v xml:space="preserve">                                 </v>
      </c>
      <c r="D58" s="11" t="str">
        <f xml:space="preserve"> "false@false@false@" &amp; $G$3 &amp; "|FDSX@false@false@false@" &amp; $G$3 &amp; "|FUSX@false"</f>
        <v>false@false@false@KMZ1|FDSX@false@false@false@KMZ1|FUSX@false</v>
      </c>
      <c r="E58" s="1"/>
      <c r="F58" s="11" t="s">
        <v>1389</v>
      </c>
    </row>
    <row r="59" spans="1:6">
      <c r="A59" s="1"/>
      <c r="B59" s="1"/>
      <c r="C59" s="771" t="str">
        <f>IFERROR(REPT(" ",LEN(A$57)+LEN(B$57)+LEN(C$57)+LEN(D$57)-LEN(D59)),"")</f>
        <v/>
      </c>
      <c r="D59" s="4" t="str">
        <f>"false@false@false@false@false@false@false@false@false@false@false@false@false@false@false@false"</f>
        <v>false@false@false@false@false@false@false@false@false@false@false@false@false@false@false@false</v>
      </c>
      <c r="E59" s="1"/>
      <c r="F59" s="11" t="s">
        <v>1385</v>
      </c>
    </row>
    <row r="60" spans="1:6">
      <c r="A60" s="517" t="s">
        <v>606</v>
      </c>
      <c r="B60" s="517"/>
      <c r="C60" s="770"/>
      <c r="D60" s="517"/>
      <c r="E60" s="517"/>
      <c r="F60" s="517" t="s">
        <v>1389</v>
      </c>
    </row>
    <row r="61" spans="1:6">
      <c r="A61" s="11" t="s">
        <v>1386</v>
      </c>
      <c r="B61" s="11" t="str">
        <f>$G$3</f>
        <v>KMZ1</v>
      </c>
      <c r="C61" s="81" t="s">
        <v>1807</v>
      </c>
      <c r="D61" s="11" t="str">
        <f>$G$3 &amp; "|XRPX@" &amp; $G$3 &amp; "|DONX OR " &amp; $G$3 &amp; "|DOFX OR " &amp; $G$3&amp;"|FDSX OR " &amp; $G$3 &amp; "|FUSX@false"</f>
        <v>KMZ1|XRPX@KMZ1|DONX OR KMZ1|DOFX OR KMZ1|FDSX OR KMZ1|FUSX@false</v>
      </c>
      <c r="E61" s="1"/>
      <c r="F61" s="11" t="s">
        <v>1389</v>
      </c>
    </row>
    <row r="62" spans="1:6">
      <c r="A62" s="1"/>
      <c r="B62" s="1"/>
      <c r="C62" s="771" t="str">
        <f>IFERROR(REPT(" ",LEN(A$54)+LEN(B$54)+LEN(C$54)+LEN(D$54)-LEN(D62)),"")</f>
        <v xml:space="preserve">                                    </v>
      </c>
      <c r="D62" s="11" t="str">
        <f>$G$3 &amp; "|XONX@" &amp; $G$3 &amp; "|XOFX@false@false@false@false@"&amp; $G$3 &amp; "|FXXX@" &amp; "false@false"</f>
        <v>KMZ1|XONX@KMZ1|XOFX@false@false@false@false@KMZ1|FXXX@false@false</v>
      </c>
      <c r="E62" s="1"/>
      <c r="F62" s="11" t="s">
        <v>1389</v>
      </c>
    </row>
    <row r="63" spans="1:6">
      <c r="A63" s="1"/>
      <c r="B63" s="1"/>
      <c r="C63" s="771" t="str">
        <f>IFERROR(REPT(" ",LEN(A$54)+LEN(B$54)+LEN(C$54)+LEN(D$54)-LEN(D63)),"")</f>
        <v/>
      </c>
      <c r="D63" s="4" t="str">
        <f>"false@false@false@false@false@false@false@false@false@false@false@false@false@false@false@false@false@false@false@false"</f>
        <v>false@false@false@false@false@false@false@false@false@false@false@false@false@false@false@false@false@false@false@false</v>
      </c>
      <c r="E63" s="1"/>
      <c r="F63" s="11" t="s">
        <v>1385</v>
      </c>
    </row>
    <row r="64" spans="1:6">
      <c r="A64" s="11" t="s">
        <v>1387</v>
      </c>
      <c r="B64" s="11" t="str">
        <f>$G$3</f>
        <v>KMZ1</v>
      </c>
      <c r="C64" s="81" t="s">
        <v>1807</v>
      </c>
      <c r="D64" s="11" t="str">
        <f>$G$3 &amp; "|IFXX@" &amp; $G$3 &amp; "|DONX@" &amp; $G$3 &amp; "|DOFX@false@false@"&amp;$G$3 &amp; "|DFXX@false"</f>
        <v>KMZ1|IFXX@KMZ1|DONX@KMZ1|DOFX@false@false@KMZ1|DFXX@false</v>
      </c>
      <c r="E64" s="1"/>
      <c r="F64" s="11" t="s">
        <v>1389</v>
      </c>
    </row>
    <row r="65" spans="1:6">
      <c r="A65" s="1"/>
      <c r="B65" s="1"/>
      <c r="C65" s="771" t="str">
        <f>IFERROR(REPT(" ",LEN(A$57)+LEN(B$57)+LEN(C$57)+LEN(D$57)-LEN(D65)),"")</f>
        <v xml:space="preserve">                                 </v>
      </c>
      <c r="D65" s="11" t="str">
        <f xml:space="preserve"> "false@false@false@" &amp; $G$3 &amp; "|FDSX@false@false@false@" &amp; $G$3 &amp; "|FUSX@false"</f>
        <v>false@false@false@KMZ1|FDSX@false@false@false@KMZ1|FUSX@false</v>
      </c>
      <c r="E65" s="1"/>
      <c r="F65" s="11" t="s">
        <v>1389</v>
      </c>
    </row>
    <row r="66" spans="1:6">
      <c r="A66" s="1"/>
      <c r="B66" s="1"/>
      <c r="C66" s="771" t="str">
        <f>IFERROR(REPT(" ",LEN(A$57)+LEN(B$57)+LEN(C$57)+LEN(D$57)-LEN(D66)),"")</f>
        <v/>
      </c>
      <c r="D66" s="4" t="str">
        <f>"false@false@false@false@false@false@false@false@false@false@false@false@false@false@false@false"</f>
        <v>false@false@false@false@false@false@false@false@false@false@false@false@false@false@false@false</v>
      </c>
      <c r="E66" s="1"/>
      <c r="F66" s="11" t="s">
        <v>1385</v>
      </c>
    </row>
  </sheetData>
  <pageMargins left="0.7" right="0.7" top="0.75" bottom="0.75" header="0.3" footer="0.3"/>
  <pageSetup paperSize="9" orientation="portrait" r:id="rId1"/>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sheetPr codeName="Лист192">
    <tabColor theme="7" tint="0.59999389629810485"/>
  </sheetPr>
  <dimension ref="A1:N746"/>
  <sheetViews>
    <sheetView topLeftCell="A550" workbookViewId="0">
      <selection activeCell="D2" sqref="D2:D4"/>
    </sheetView>
  </sheetViews>
  <sheetFormatPr defaultRowHeight="14.4"/>
  <cols>
    <col min="1" max="1" width="25.6640625" bestFit="1" customWidth="1"/>
    <col min="2" max="2" width="6.33203125" customWidth="1"/>
    <col min="3" max="3" width="214.88671875" bestFit="1" customWidth="1"/>
    <col min="4" max="4" width="5.5546875" customWidth="1"/>
    <col min="5" max="5" width="14.88671875" customWidth="1"/>
    <col min="6" max="6" width="107.33203125" bestFit="1" customWidth="1"/>
    <col min="7" max="7" width="58.6640625" bestFit="1" customWidth="1"/>
  </cols>
  <sheetData>
    <row r="1" spans="1:14">
      <c r="A1" s="690" t="s">
        <v>1972</v>
      </c>
      <c r="B1" s="690"/>
      <c r="C1" s="690"/>
      <c r="D1" s="690"/>
      <c r="E1" s="690"/>
      <c r="F1" s="690" t="s">
        <v>1972</v>
      </c>
      <c r="J1" t="s">
        <v>2302</v>
      </c>
      <c r="L1" t="str">
        <f>"© NickName=©"&amp;O1&amp;"© Path=©"&amp;P1&amp;"© Sync=©0© OID=©"</f>
        <v>© NickName=©© Path=©© Sync=©0© OID=©</v>
      </c>
      <c r="N1" t="s">
        <v>2303</v>
      </c>
    </row>
    <row r="2" spans="1:14">
      <c r="A2" t="s">
        <v>2302</v>
      </c>
      <c r="C2" t="str">
        <f>"© NickName=©"&amp;F2&amp;"© Path=©"&amp;F2&amp;"© Sync=©0© OID=©"</f>
        <v>© NickName=©C:\Windows\SysWOW64\haeps.dll© Path=©C:\Windows\SysWOW64\haeps.dll© Sync=©0© OID=©</v>
      </c>
      <c r="E2" t="s">
        <v>2303</v>
      </c>
      <c r="F2" t="s">
        <v>2058</v>
      </c>
    </row>
    <row r="3" spans="1:14">
      <c r="A3" t="s">
        <v>2302</v>
      </c>
      <c r="C3" t="str">
        <f t="shared" ref="C3:C14" si="0">"© NickName=©"&amp;F3&amp;"© Path=©"&amp;F3&amp;"© Sync=©0© OID=©"</f>
        <v>© NickName=©C:\Program Files (x86)\Common Files\Aladdin Shared\Hasp\haspvlib_61937.dll© Path=©C:\Program Files (x86)\Common Files\Aladdin Shared\Hasp\haspvlib_61937.dll© Sync=©0© OID=©</v>
      </c>
      <c r="E3" t="s">
        <v>2303</v>
      </c>
      <c r="F3" t="s">
        <v>1983</v>
      </c>
    </row>
    <row r="4" spans="1:14">
      <c r="A4" t="s">
        <v>2302</v>
      </c>
      <c r="C4" t="str">
        <f t="shared" si="0"/>
        <v>© NickName=©C:\Program Files (x86)\EleSy\SCADA Infinity\InfinityAlarms\InfinityAlarms.exe© Path=©C:\Program Files (x86)\EleSy\SCADA Infinity\InfinityAlarms\InfinityAlarms.exe© Sync=©0© OID=©</v>
      </c>
      <c r="E4" t="s">
        <v>2303</v>
      </c>
      <c r="F4" t="s">
        <v>1984</v>
      </c>
    </row>
    <row r="5" spans="1:14">
      <c r="A5" t="s">
        <v>2302</v>
      </c>
      <c r="C5" t="str">
        <f t="shared" si="0"/>
        <v>© NickName=©C:\Program Files (x86)\EleSy\SCADA Infinity\InfinityAlarms\InfinityWebAlarms.OPCAEControl.ocx© Path=©C:\Program Files (x86)\EleSy\SCADA Infinity\InfinityAlarms\InfinityWebAlarms.OPCAEControl.ocx© Sync=©0© OID=©</v>
      </c>
      <c r="E5" t="s">
        <v>2303</v>
      </c>
      <c r="F5" t="s">
        <v>1985</v>
      </c>
    </row>
    <row r="6" spans="1:14">
      <c r="A6" t="s">
        <v>2302</v>
      </c>
      <c r="C6" t="str">
        <f t="shared" si="0"/>
        <v>© NickName=©C:\Program Files (x86)\EleSy\SCADA Infinity\InfinityAlarms\InfinityAlarmViewProj.ocx© Path=©C:\Program Files (x86)\EleSy\SCADA Infinity\InfinityAlarms\InfinityAlarmViewProj.ocx© Sync=©0© OID=©</v>
      </c>
      <c r="E6" t="s">
        <v>2303</v>
      </c>
      <c r="F6" t="s">
        <v>1986</v>
      </c>
    </row>
    <row r="7" spans="1:14">
      <c r="A7" t="s">
        <v>2302</v>
      </c>
      <c r="C7" t="str">
        <f t="shared" si="0"/>
        <v>© NickName=©C:\Windows\SysWOW64\OPCUAClientLibWrapperNew.dll© Path=©C:\Windows\SysWOW64\OPCUAClientLibWrapperNew.dll© Sync=©0© OID=©</v>
      </c>
      <c r="E7" t="s">
        <v>2303</v>
      </c>
      <c r="F7" t="s">
        <v>2860</v>
      </c>
    </row>
    <row r="8" spans="1:14">
      <c r="A8" t="s">
        <v>2302</v>
      </c>
      <c r="C8" t="str">
        <f t="shared" si="0"/>
        <v>© NickName=©C:\Program Files (x86)\EleSy\SCADA Infinity\InfinityAlarms\Sound\alarm.wav© Path=©C:\Program Files (x86)\EleSy\SCADA Infinity\InfinityAlarms\Sound\alarm.wav© Sync=©0© OID=©</v>
      </c>
      <c r="E8" t="s">
        <v>2303</v>
      </c>
      <c r="F8" t="s">
        <v>1987</v>
      </c>
    </row>
    <row r="9" spans="1:14">
      <c r="A9" t="s">
        <v>2302</v>
      </c>
      <c r="C9" t="str">
        <f t="shared" si="0"/>
        <v>© NickName=©C:\Program Files (x86)\EleSy\SCADA Infinity\InfinityTools\InfinityCompleteness.exe© Path=©C:\Program Files (x86)\EleSy\SCADA Infinity\InfinityTools\InfinityCompleteness.exe© Sync=©0© OID=©</v>
      </c>
      <c r="E9" t="s">
        <v>2303</v>
      </c>
      <c r="F9" t="s">
        <v>1988</v>
      </c>
    </row>
    <row r="10" spans="1:14">
      <c r="A10" t="s">
        <v>2302</v>
      </c>
      <c r="C10" t="str">
        <f t="shared" si="0"/>
        <v>© NickName=©C:\Program Files (x86)\EleSy\SCADA Infinity\InfinityTools\ignore.files© Path=©C:\Program Files (x86)\EleSy\SCADA Infinity\InfinityTools\ignore.files© Sync=©0© OID=©</v>
      </c>
      <c r="E10" t="s">
        <v>2303</v>
      </c>
      <c r="F10" t="s">
        <v>1989</v>
      </c>
    </row>
    <row r="11" spans="1:14">
      <c r="A11" t="s">
        <v>2302</v>
      </c>
      <c r="C11" t="str">
        <f t="shared" si="0"/>
        <v>© NickName=©C:\Windows\SysWOW64\Localize.dll© Path=©C:\Windows\SysWOW64\Localize.dll© Sync=©0© OID=©</v>
      </c>
      <c r="E11" t="s">
        <v>2303</v>
      </c>
      <c r="F11" t="s">
        <v>2067</v>
      </c>
    </row>
    <row r="12" spans="1:14">
      <c r="A12" t="s">
        <v>2302</v>
      </c>
      <c r="C12" t="str">
        <f t="shared" si="0"/>
        <v>© NickName=©C:\Windows\SysWOW64\msvcp60.dll© Path=©C:\Windows\SysWOW64\msvcp60.dll© Sync=©0© OID=©</v>
      </c>
      <c r="E12" t="s">
        <v>2303</v>
      </c>
      <c r="F12" t="s">
        <v>2068</v>
      </c>
    </row>
    <row r="13" spans="1:14">
      <c r="A13" t="s">
        <v>2302</v>
      </c>
      <c r="C13" t="str">
        <f t="shared" si="0"/>
        <v>© NickName=©C:\Program Files (x86)\EleSy\SCADA Infinity\InfinityTools\SystemCnfg.exe© Path=©C:\Program Files (x86)\EleSy\SCADA Infinity\InfinityTools\SystemCnfg.exe© Sync=©0© OID=©</v>
      </c>
      <c r="E13" t="s">
        <v>2303</v>
      </c>
      <c r="F13" t="s">
        <v>1991</v>
      </c>
    </row>
    <row r="14" spans="1:14">
      <c r="A14" t="s">
        <v>2302</v>
      </c>
      <c r="C14" t="str">
        <f t="shared" si="0"/>
        <v>© NickName=©C:\Program Files (x86)\EleSy\SCADA Infinity\InfinityTools\SystemCnfg.dat© Path=©C:\Program Files (x86)\EleSy\SCADA Infinity\InfinityTools\SystemCnfg.dat© Sync=©0© OID=©</v>
      </c>
      <c r="E14" t="s">
        <v>2303</v>
      </c>
      <c r="F14" t="s">
        <v>1992</v>
      </c>
    </row>
    <row r="15" spans="1:14">
      <c r="A15" s="690" t="s">
        <v>1974</v>
      </c>
      <c r="B15" s="690"/>
      <c r="C15" s="690"/>
      <c r="D15" s="690"/>
      <c r="E15" s="690"/>
      <c r="F15" s="690" t="s">
        <v>1974</v>
      </c>
    </row>
    <row r="16" spans="1:14">
      <c r="A16" t="s">
        <v>2302</v>
      </c>
      <c r="C16" t="str">
        <f>"© NickName=©"&amp;F16&amp;"© Path=©"&amp;F16&amp;"© Sync=©0© OID=©"</f>
        <v>© NickName=©C:\Program Files (x86)\EleSy\SCADA Infinity\InfinityTools\LogViewer\View_ICS.dll© Path=©C:\Program Files (x86)\EleSy\SCADA Infinity\InfinityTools\LogViewer\View_ICS.dll© Sync=©0© OID=©</v>
      </c>
      <c r="E16" t="s">
        <v>2303</v>
      </c>
      <c r="F16" t="s">
        <v>1993</v>
      </c>
    </row>
    <row r="17" spans="1:6">
      <c r="A17" t="s">
        <v>2302</v>
      </c>
      <c r="C17" t="str">
        <f t="shared" ref="C17:C27" si="1">"© NickName=©"&amp;F17&amp;"© Path=©"&amp;F17&amp;"© Sync=©0© OID=©"</f>
        <v>© NickName=©C:\Program Files (x86)\Common Files\Aladdin Shared\Hasp\haspvlib_61937.dll© Path=©C:\Program Files (x86)\Common Files\Aladdin Shared\Hasp\haspvlib_61937.dll© Sync=©0© OID=©</v>
      </c>
      <c r="E17" t="s">
        <v>2303</v>
      </c>
      <c r="F17" t="s">
        <v>1983</v>
      </c>
    </row>
    <row r="18" spans="1:6">
      <c r="A18" t="s">
        <v>2302</v>
      </c>
      <c r="C18" t="str">
        <f t="shared" si="1"/>
        <v>© NickName=©C:\Program Files (x86)\EleSy\SCADA Infinity\InfinityClientSecurity\ICSWatcher.exe© Path=©C:\Program Files (x86)\EleSy\SCADA Infinity\InfinityClientSecurity\ICSWatcher.exe© Sync=©0© OID=©</v>
      </c>
      <c r="E18" t="s">
        <v>2303</v>
      </c>
      <c r="F18" t="s">
        <v>1994</v>
      </c>
    </row>
    <row r="19" spans="1:6">
      <c r="A19" t="s">
        <v>2302</v>
      </c>
      <c r="C19" t="str">
        <f t="shared" si="1"/>
        <v>© NickName=©C:\Program Files (x86)\EleSy\SCADA Infinity\InfinityClientSecurity\ICSWatcher64.exe© Path=©C:\Program Files (x86)\EleSy\SCADA Infinity\InfinityClientSecurity\ICSWatcher64.exe© Sync=©0© OID=©</v>
      </c>
      <c r="E19" t="s">
        <v>2303</v>
      </c>
      <c r="F19" t="s">
        <v>2861</v>
      </c>
    </row>
    <row r="20" spans="1:6">
      <c r="A20" t="s">
        <v>2302</v>
      </c>
      <c r="C20" t="str">
        <f t="shared" si="1"/>
        <v>© NickName=©C:\Program Files (x86)\EleSy\SCADA Infinity\InfinityClientSecurity\ICShook.dll© Path=©C:\Program Files (x86)\EleSy\SCADA Infinity\InfinityClientSecurity\ICShook.dll© Sync=©0© OID=©</v>
      </c>
      <c r="E20" t="s">
        <v>2303</v>
      </c>
      <c r="F20" t="s">
        <v>1995</v>
      </c>
    </row>
    <row r="21" spans="1:6">
      <c r="A21" t="s">
        <v>2302</v>
      </c>
      <c r="C21" t="str">
        <f t="shared" si="1"/>
        <v>© NickName=©C:\Program Files (x86)\EleSy\SCADA Infinity\InfinityClientSecurity\ICShook64.dll© Path=©C:\Program Files (x86)\EleSy\SCADA Infinity\InfinityClientSecurity\ICShook64.dll© Sync=©0© OID=©</v>
      </c>
      <c r="E21" t="s">
        <v>2303</v>
      </c>
      <c r="F21" t="s">
        <v>2862</v>
      </c>
    </row>
    <row r="22" spans="1:6">
      <c r="A22" t="s">
        <v>2302</v>
      </c>
      <c r="C22" t="str">
        <f t="shared" si="1"/>
        <v>© NickName=©C:\Program Files (x86)\EleSy\SCADA Infinity\InfinityClientSecurity\InfinitySecurity.exe© Path=©C:\Program Files (x86)\EleSy\SCADA Infinity\InfinityClientSecurity\InfinitySecurity.exe© Sync=©0© OID=©</v>
      </c>
      <c r="E22" t="s">
        <v>2303</v>
      </c>
      <c r="F22" t="s">
        <v>1997</v>
      </c>
    </row>
    <row r="23" spans="1:6">
      <c r="A23" t="s">
        <v>2302</v>
      </c>
      <c r="C23" t="str">
        <f t="shared" si="1"/>
        <v>© NickName=©C:\Program Files (x86)\EleSy\SCADA Infinity\InfinityClientSecurity\ishelp_ps.dll© Path=©C:\Program Files (x86)\EleSy\SCADA Infinity\InfinityClientSecurity\ishelp_ps.dll© Sync=©0© OID=©</v>
      </c>
      <c r="E23" t="s">
        <v>2303</v>
      </c>
      <c r="F23" t="s">
        <v>2863</v>
      </c>
    </row>
    <row r="24" spans="1:6">
      <c r="A24" t="s">
        <v>2302</v>
      </c>
      <c r="C24" t="str">
        <f t="shared" si="1"/>
        <v>© NickName=©C:\Program Files (x86)\EleSy\SCADA Infinity\InfinityClientSecurity\x64\ishelp_ps.dll© Path=©C:\Program Files (x86)\EleSy\SCADA Infinity\InfinityClientSecurity\x64\ishelp_ps.dll© Sync=©0© OID=©</v>
      </c>
      <c r="E24" t="s">
        <v>2303</v>
      </c>
      <c r="F24" t="s">
        <v>2864</v>
      </c>
    </row>
    <row r="25" spans="1:6">
      <c r="A25" t="s">
        <v>2302</v>
      </c>
      <c r="C25" t="str">
        <f t="shared" si="1"/>
        <v>© NickName=©C:\Program Files (x86)\EleSy\SCADA Infinity\InfinityClientSecurity\ishelper.exe© Path=©C:\Program Files (x86)\EleSy\SCADA Infinity\InfinityClientSecurity\ishelper.exe© Sync=©0© OID=©</v>
      </c>
      <c r="E25" t="s">
        <v>2303</v>
      </c>
      <c r="F25" t="s">
        <v>2865</v>
      </c>
    </row>
    <row r="26" spans="1:6">
      <c r="A26" t="s">
        <v>2302</v>
      </c>
      <c r="C26" t="str">
        <f t="shared" si="1"/>
        <v>© NickName=©C:\Program Files (x86)\EleSy\SCADA Infinity\InfinityClientSecurity\x64\ishelper.exe© Path=©C:\Program Files (x86)\EleSy\SCADA Infinity\InfinityClientSecurity\x64\ishelper.exe© Sync=©0© OID=©</v>
      </c>
      <c r="E26" t="s">
        <v>2303</v>
      </c>
      <c r="F26" t="s">
        <v>2866</v>
      </c>
    </row>
    <row r="27" spans="1:6">
      <c r="A27" t="s">
        <v>2302</v>
      </c>
      <c r="C27" t="str">
        <f t="shared" si="1"/>
        <v>© NickName=©C:\Windows\SysWOW64\borlndmm.dll© Path=©C:\Windows\SysWOW64\borlndmm.dll© Sync=©0© OID=©</v>
      </c>
      <c r="E27" t="s">
        <v>2303</v>
      </c>
      <c r="F27" t="s">
        <v>2061</v>
      </c>
    </row>
    <row r="28" spans="1:6">
      <c r="A28" t="s">
        <v>2302</v>
      </c>
      <c r="C28" t="str">
        <f>"© NickName=©"&amp;F28&amp;"© Path=©"&amp;F28&amp;"© Sync=©0© OID=©"</f>
        <v>© NickName=©C:\Program Files (x86)\EleSy\SCADA Infinity\InfinityTools\LogViewer\LogViewer.exe© Path=©C:\Program Files (x86)\EleSy\SCADA Infinity\InfinityTools\LogViewer\LogViewer.exe© Sync=©0© OID=©</v>
      </c>
      <c r="E28" t="s">
        <v>2303</v>
      </c>
      <c r="F28" t="s">
        <v>1999</v>
      </c>
    </row>
    <row r="29" spans="1:6">
      <c r="A29" t="s">
        <v>2302</v>
      </c>
      <c r="C29" t="str">
        <f t="shared" ref="C29:C43" si="2">"© NickName=©"&amp;F29&amp;"© Path=©"&amp;F29&amp;"© Sync=©0© OID=©"</f>
        <v>© NickName=©C:\Windows\SysWOW64\log2.dll© Path=©C:\Windows\SysWOW64\log2.dll© Sync=©0© OID=©</v>
      </c>
      <c r="E29" t="s">
        <v>2303</v>
      </c>
      <c r="F29" t="s">
        <v>2062</v>
      </c>
    </row>
    <row r="30" spans="1:6">
      <c r="A30" t="s">
        <v>2302</v>
      </c>
      <c r="C30" t="str">
        <f t="shared" si="2"/>
        <v>© NickName=©C:\Program Files (x86)\EleSy\SCADA Infinity\InfinityTools\InfinityCompleteness.exe© Path=©C:\Program Files (x86)\EleSy\SCADA Infinity\InfinityTools\InfinityCompleteness.exe© Sync=©0© OID=©</v>
      </c>
      <c r="E30" t="s">
        <v>2303</v>
      </c>
      <c r="F30" t="s">
        <v>1988</v>
      </c>
    </row>
    <row r="31" spans="1:6">
      <c r="A31" t="s">
        <v>2302</v>
      </c>
      <c r="C31" t="str">
        <f t="shared" si="2"/>
        <v>© NickName=©C:\Program Files (x86)\EleSy\SCADA Infinity\InfinityTools\ignore.files© Path=©C:\Program Files (x86)\EleSy\SCADA Infinity\InfinityTools\ignore.files© Sync=©0© OID=©</v>
      </c>
      <c r="E31" t="s">
        <v>2303</v>
      </c>
      <c r="F31" t="s">
        <v>1989</v>
      </c>
    </row>
    <row r="32" spans="1:6">
      <c r="A32" t="s">
        <v>2302</v>
      </c>
      <c r="C32" t="str">
        <f t="shared" si="2"/>
        <v>© NickName=©C:\Program Files (x86)\EleSy\SCADA Infinity\InfinityTools\HotReserveManager.exe© Path=©C:\Program Files (x86)\EleSy\SCADA Infinity\InfinityTools\HotReserveManager.exe© Sync=©0© OID=©</v>
      </c>
      <c r="E32" t="s">
        <v>2303</v>
      </c>
      <c r="F32" t="s">
        <v>2001</v>
      </c>
    </row>
    <row r="33" spans="1:7">
      <c r="A33" t="s">
        <v>2302</v>
      </c>
      <c r="C33" t="str">
        <f t="shared" si="2"/>
        <v>© NickName=©C:\Windows\SysWOW64\log2.dll© Path=©C:\Windows\SysWOW64\log2.dll© Sync=©0© OID=©</v>
      </c>
      <c r="E33" t="s">
        <v>2303</v>
      </c>
      <c r="F33" t="s">
        <v>2062</v>
      </c>
    </row>
    <row r="34" spans="1:7">
      <c r="A34" t="s">
        <v>2302</v>
      </c>
      <c r="C34" t="str">
        <f t="shared" si="2"/>
        <v>© NickName=©C:\Program Files (x86)\Common Files\EleSy\System\SecurityCtx_PS.dll© Path=©C:\Program Files (x86)\Common Files\EleSy\System\SecurityCtx_PS.dll© Sync=©0© OID=©</v>
      </c>
      <c r="E34" t="s">
        <v>2303</v>
      </c>
      <c r="F34" t="s">
        <v>2002</v>
      </c>
    </row>
    <row r="35" spans="1:7">
      <c r="A35" t="s">
        <v>2302</v>
      </c>
      <c r="C35" t="str">
        <f t="shared" si="2"/>
        <v>© NickName=©C:\Windows\SysWOW64\SecurityEditor.dll© Path=©C:\Windows\SysWOW64\SecurityEditor.dll© Sync=©0© OID=©</v>
      </c>
      <c r="E35" t="s">
        <v>2303</v>
      </c>
      <c r="F35" t="s">
        <v>2065</v>
      </c>
    </row>
    <row r="36" spans="1:7">
      <c r="A36" t="s">
        <v>2302</v>
      </c>
      <c r="C36" t="str">
        <f t="shared" si="2"/>
        <v>© NickName=©C:\Program Files (x86)\Common Files\EleSy\System\SecurityMgt_PS.dll© Path=©C:\Program Files (x86)\Common Files\EleSy\System\SecurityMgt_PS.dll© Sync=©0© OID=©</v>
      </c>
      <c r="E36" t="s">
        <v>2303</v>
      </c>
      <c r="F36" t="s">
        <v>2003</v>
      </c>
    </row>
    <row r="37" spans="1:7">
      <c r="A37" t="s">
        <v>2302</v>
      </c>
      <c r="C37" t="str">
        <f t="shared" si="2"/>
        <v>© NickName=©C:\Windows\SysWOW64\dnaccbrw.dll© Path=©C:\Windows\SysWOW64\dnaccbrw.dll© Sync=©0© OID=©</v>
      </c>
      <c r="E37" t="s">
        <v>2303</v>
      </c>
      <c r="F37" t="s">
        <v>2064</v>
      </c>
    </row>
    <row r="38" spans="1:7">
      <c r="A38" t="s">
        <v>2302</v>
      </c>
      <c r="C38" t="str">
        <f t="shared" si="2"/>
        <v>© NickName=©C:\Program Files (x86)\Common Files\EleSy\Infinity\Resources\ru\hagentmc.dll.ru© Path=©C:\Program Files (x86)\Common Files\EleSy\Infinity\Resources\ru\hagentmc.dll.ru© Sync=©0© OID=©</v>
      </c>
      <c r="E38" t="s">
        <v>2303</v>
      </c>
      <c r="F38" t="s">
        <v>2004</v>
      </c>
    </row>
    <row r="39" spans="1:7">
      <c r="A39" t="s">
        <v>2302</v>
      </c>
      <c r="C39" t="str">
        <f t="shared" si="2"/>
        <v>© NickName=©C:\Windows\SysWOW64\hagentps.dll© Path=©C:\Windows\SysWOW64\hagentps.dll© Sync=©0© OID=©</v>
      </c>
      <c r="E39" t="s">
        <v>2303</v>
      </c>
      <c r="F39" t="s">
        <v>2066</v>
      </c>
    </row>
    <row r="40" spans="1:7">
      <c r="A40" t="s">
        <v>2302</v>
      </c>
      <c r="C40" t="str">
        <f t="shared" si="2"/>
        <v>© NickName=©C:\Windows\SysWOW64\Localize.dll© Path=©C:\Windows\SysWOW64\Localize.dll© Sync=©0© OID=©</v>
      </c>
      <c r="E40" t="s">
        <v>2303</v>
      </c>
      <c r="F40" t="s">
        <v>2067</v>
      </c>
    </row>
    <row r="41" spans="1:7">
      <c r="A41" t="s">
        <v>2302</v>
      </c>
      <c r="C41" t="str">
        <f t="shared" si="2"/>
        <v>© NickName=©C:\Windows\SysWOW64\msvcp60.dll© Path=©C:\Windows\SysWOW64\msvcp60.dll© Sync=©0© OID=©</v>
      </c>
      <c r="E41" t="s">
        <v>2303</v>
      </c>
      <c r="F41" t="s">
        <v>2068</v>
      </c>
    </row>
    <row r="42" spans="1:7">
      <c r="A42" t="s">
        <v>2302</v>
      </c>
      <c r="C42" t="str">
        <f t="shared" si="2"/>
        <v>© NickName=©C:\Program Files (x86)\EleSy\SCADA Infinity\InfinityTools\SystemCnfg.exe© Path=©C:\Program Files (x86)\EleSy\SCADA Infinity\InfinityTools\SystemCnfg.exe© Sync=©0© OID=©</v>
      </c>
      <c r="E42" t="s">
        <v>2303</v>
      </c>
      <c r="F42" t="s">
        <v>1991</v>
      </c>
    </row>
    <row r="43" spans="1:7">
      <c r="A43" t="s">
        <v>2302</v>
      </c>
      <c r="C43" t="str">
        <f t="shared" si="2"/>
        <v>© NickName=©C:\Program Files (x86)\EleSy\SCADA Infinity\InfinityTools\SystemCnfg.dat© Path=©C:\Program Files (x86)\EleSy\SCADA Infinity\InfinityTools\SystemCnfg.dat© Sync=©0© OID=©</v>
      </c>
      <c r="E43" t="s">
        <v>2303</v>
      </c>
      <c r="F43" t="s">
        <v>1992</v>
      </c>
    </row>
    <row r="44" spans="1:7">
      <c r="A44" t="s">
        <v>2302</v>
      </c>
      <c r="C44" t="str">
        <f t="shared" ref="C44" si="3">"© NickName=©"&amp;F44&amp;"© Path=©"&amp;F44&amp;"© Sync=©0© OID=©"</f>
        <v>© NickName=©C:\Program Files (x86)\EleSy\SCADA Infinity\InfinityClientSecurity\security.isam© Path=©C:\Program Files (x86)\EleSy\SCADA Infinity\InfinityClientSecurity\security.isam© Sync=©0© OID=©</v>
      </c>
      <c r="E44" t="s">
        <v>2303</v>
      </c>
      <c r="F44" s="734" t="s">
        <v>2906</v>
      </c>
      <c r="G44" s="4" t="s">
        <v>2737</v>
      </c>
    </row>
    <row r="45" spans="1:7">
      <c r="A45" s="690" t="s">
        <v>1971</v>
      </c>
      <c r="B45" s="690"/>
      <c r="C45" s="690"/>
      <c r="D45" s="690"/>
      <c r="E45" s="690"/>
      <c r="F45" s="690" t="s">
        <v>1971</v>
      </c>
    </row>
    <row r="46" spans="1:7">
      <c r="A46" t="s">
        <v>2302</v>
      </c>
      <c r="C46" t="str">
        <f t="shared" ref="C46:C57" si="4">"© NickName=©"&amp;F46&amp;"© Path=©"&amp;F46&amp;"© Sync=©0© OID=©"</f>
        <v>© NickName=©C:\Program Files (x86)\EleSy\SCADA Infinity\InfinityTools\InfinityCompleteness.exe© Path=©C:\Program Files (x86)\EleSy\SCADA Infinity\InfinityTools\InfinityCompleteness.exe© Sync=©0© OID=©</v>
      </c>
      <c r="E46" t="s">
        <v>2303</v>
      </c>
      <c r="F46" t="s">
        <v>1988</v>
      </c>
    </row>
    <row r="47" spans="1:7">
      <c r="A47" t="s">
        <v>2302</v>
      </c>
      <c r="C47" t="str">
        <f t="shared" si="4"/>
        <v>© NickName=©C:\Program Files (x86)\EleSy\SCADA Infinity\InfinityTools\ignore.files© Path=©C:\Program Files (x86)\EleSy\SCADA Infinity\InfinityTools\ignore.files© Sync=©0© OID=©</v>
      </c>
      <c r="E47" t="s">
        <v>2303</v>
      </c>
      <c r="F47" t="s">
        <v>1989</v>
      </c>
    </row>
    <row r="48" spans="1:7">
      <c r="A48" t="s">
        <v>2302</v>
      </c>
      <c r="C48" t="str">
        <f t="shared" si="4"/>
        <v>© NickName=©C:\Program Files (x86)\EleSy\SCADA Infinity\InfinityTools\ApplCfg.exe© Path=©C:\Program Files (x86)\EleSy\SCADA Infinity\InfinityTools\ApplCfg.exe© Sync=©0© OID=©</v>
      </c>
      <c r="E48" t="s">
        <v>2303</v>
      </c>
      <c r="F48" t="s">
        <v>2006</v>
      </c>
    </row>
    <row r="49" spans="1:7">
      <c r="A49" t="s">
        <v>2302</v>
      </c>
      <c r="C49" t="str">
        <f t="shared" si="4"/>
        <v>© NickName=©C:\Program Files (x86)\EleSy\SCADA Infinity\InfinityOPCAEDualSource\OPCAEDualSource.dll© Path=©C:\Program Files (x86)\EleSy\SCADA Infinity\InfinityOPCAEDualSource\OPCAEDualSource.dll© Sync=©0© OID=©</v>
      </c>
      <c r="E49" t="s">
        <v>2303</v>
      </c>
      <c r="F49" t="s">
        <v>2007</v>
      </c>
    </row>
    <row r="50" spans="1:7">
      <c r="A50" t="s">
        <v>2302</v>
      </c>
      <c r="C50" t="str">
        <f t="shared" si="4"/>
        <v>© NickName=©C:\Windows\SysWOW64\Localize.dll© Path=©C:\Windows\SysWOW64\Localize.dll© Sync=©0© OID=©</v>
      </c>
      <c r="E50" t="s">
        <v>2303</v>
      </c>
      <c r="F50" t="s">
        <v>2067</v>
      </c>
    </row>
    <row r="51" spans="1:7">
      <c r="A51" t="s">
        <v>2302</v>
      </c>
      <c r="C51" t="str">
        <f t="shared" si="4"/>
        <v>© NickName=©C:\Windows\SysWOW64\msvcp60.dll© Path=©C:\Windows\SysWOW64\msvcp60.dll© Sync=©0© OID=©</v>
      </c>
      <c r="E51" t="s">
        <v>2303</v>
      </c>
      <c r="F51" t="s">
        <v>2068</v>
      </c>
    </row>
    <row r="52" spans="1:7">
      <c r="A52" t="s">
        <v>2302</v>
      </c>
      <c r="C52" t="str">
        <f t="shared" si="4"/>
        <v>© NickName=©C:\Program Files (x86)\EleSy\SCADA Infinity\InfinityTools\SystemCnfg.exe© Path=©C:\Program Files (x86)\EleSy\SCADA Infinity\InfinityTools\SystemCnfg.exe© Sync=©0© OID=©</v>
      </c>
      <c r="E52" t="s">
        <v>2303</v>
      </c>
      <c r="F52" t="s">
        <v>1991</v>
      </c>
    </row>
    <row r="53" spans="1:7">
      <c r="A53" t="s">
        <v>2302</v>
      </c>
      <c r="C53" t="str">
        <f t="shared" si="4"/>
        <v>© NickName=©C:\Program Files (x86)\EleSy\SCADA Infinity\InfinityTools\SystemCnfg.dat© Path=©C:\Program Files (x86)\EleSy\SCADA Infinity\InfinityTools\SystemCnfg.dat© Sync=©0© OID=©</v>
      </c>
      <c r="E53" t="s">
        <v>2303</v>
      </c>
      <c r="F53" t="s">
        <v>1992</v>
      </c>
    </row>
    <row r="54" spans="1:7">
      <c r="A54" t="s">
        <v>2302</v>
      </c>
      <c r="C54" t="str">
        <f t="shared" si="4"/>
        <v>© NickName=©C:\Program Files (x86)\EleSy\SCADA Infinity\InfinityHAEDualSource\HAEDualSource.dll© Path=©C:\Program Files (x86)\EleSy\SCADA Infinity\InfinityHAEDualSource\HAEDualSource.dll© Sync=©0© OID=©</v>
      </c>
      <c r="E54" t="s">
        <v>2303</v>
      </c>
      <c r="F54" t="s">
        <v>2008</v>
      </c>
    </row>
    <row r="55" spans="1:7">
      <c r="A55" t="s">
        <v>2302</v>
      </c>
      <c r="C55" t="str">
        <f t="shared" si="4"/>
        <v>© NickName=©C:\Program Files (x86)\EleSy\SCADA Infinity\InfinityOPCHDADualSource\OPCHDADualSource.dll© Path=©C:\Program Files (x86)\EleSy\SCADA Infinity\InfinityOPCHDADualSource\OPCHDADualSource.dll© Sync=©0© OID=©</v>
      </c>
      <c r="E55" t="s">
        <v>2303</v>
      </c>
      <c r="F55" t="s">
        <v>2009</v>
      </c>
    </row>
    <row r="56" spans="1:7">
      <c r="A56" t="s">
        <v>2302</v>
      </c>
      <c r="C56" t="str">
        <f t="shared" si="4"/>
        <v>© NickName=©C:\Program Files (x86)\EleSy\SCADA Infinity\InfinityOPCDualSource\InfinityOPCDualSource.exe© Path=©C:\Program Files (x86)\EleSy\SCADA Infinity\InfinityOPCDualSource\InfinityOPCDualSource.exe© Sync=©0© OID=©</v>
      </c>
      <c r="E56" t="s">
        <v>2303</v>
      </c>
      <c r="F56" t="s">
        <v>2010</v>
      </c>
    </row>
    <row r="57" spans="1:7">
      <c r="A57" t="s">
        <v>2302</v>
      </c>
      <c r="C57" t="str">
        <f t="shared" si="4"/>
        <v>© NickName=©C:\Program Files (x86)\EleSy\SCADA Infinity\InfinityOPCDualSource\OPCDualSource.dll© Path=©C:\Program Files (x86)\EleSy\SCADA Infinity\InfinityOPCDualSource\OPCDualSource.dll© Sync=©0© OID=©</v>
      </c>
      <c r="E57" t="s">
        <v>2303</v>
      </c>
      <c r="F57" t="s">
        <v>2011</v>
      </c>
    </row>
    <row r="58" spans="1:7">
      <c r="A58" t="s">
        <v>2302</v>
      </c>
      <c r="C58" t="str">
        <f>"© NickName=©"&amp;F58&amp;"© Path=©"&amp;F58&amp;"© Sync=©0© OID=©"</f>
        <v>© NickName=©C:\Program Files (x86)\EleSy\SCADA Infinity\InfinityHAEDualSource\HAEDualSource.ini© Path=©C:\Program Files (x86)\EleSy\SCADA Infinity\InfinityHAEDualSource\HAEDualSource.ini© Sync=©0© OID=©</v>
      </c>
      <c r="E58" t="s">
        <v>2303</v>
      </c>
      <c r="F58" s="734" t="s">
        <v>2718</v>
      </c>
      <c r="G58" t="s">
        <v>2730</v>
      </c>
    </row>
    <row r="59" spans="1:7">
      <c r="A59" t="s">
        <v>2302</v>
      </c>
      <c r="C59" t="str">
        <f>"© NickName=©"&amp;F59&amp;"© Path=©"&amp;F59&amp;"© Sync=©0© OID=©"</f>
        <v>© NickName=©C:\Program Files (x86)\EleSy\SCADA Infinity\InfinityOPCAEDualSource\OPCAEDualSource.ini© Path=©C:\Program Files (x86)\EleSy\SCADA Infinity\InfinityOPCAEDualSource\OPCAEDualSource.ini© Sync=©0© OID=©</v>
      </c>
      <c r="E59" t="s">
        <v>2303</v>
      </c>
      <c r="F59" s="734" t="s">
        <v>2719</v>
      </c>
      <c r="G59" t="s">
        <v>2731</v>
      </c>
    </row>
    <row r="60" spans="1:7">
      <c r="A60" t="s">
        <v>2302</v>
      </c>
      <c r="C60" t="str">
        <f>"© NickName=©"&amp;F60&amp;"© Path=©"&amp;F60&amp;"© Sync=©0© OID=©"</f>
        <v>© NickName=©C:\Program Files (x86)\EleSy\SCADA Infinity\InfinityOPCHDADualSource\OPCHDADualSource.ini© Path=©C:\Program Files (x86)\EleSy\SCADA Infinity\InfinityOPCHDADualSource\OPCHDADualSource.ini© Sync=©0© OID=©</v>
      </c>
      <c r="E60" t="s">
        <v>2303</v>
      </c>
      <c r="F60" s="734" t="s">
        <v>2720</v>
      </c>
      <c r="G60" t="s">
        <v>2729</v>
      </c>
    </row>
    <row r="61" spans="1:7">
      <c r="A61" t="s">
        <v>2302</v>
      </c>
      <c r="C61" t="str">
        <f>"© NickName=©"&amp;F61&amp;"© Path=©"&amp;F61&amp;"© Sync=©0© OID=©"</f>
        <v>© NickName=©C:\Program Files (x86)\EleSy\SCADA Infinity\InfinityOPCDualSource\InfinityOPCDualSource.ini© Path=©C:\Program Files (x86)\EleSy\SCADA Infinity\InfinityOPCDualSource\InfinityOPCDualSource.ini© Sync=©0© OID=©</v>
      </c>
      <c r="E61" t="s">
        <v>2303</v>
      </c>
      <c r="F61" s="734" t="s">
        <v>2721</v>
      </c>
      <c r="G61" t="s">
        <v>2728</v>
      </c>
    </row>
    <row r="62" spans="1:7">
      <c r="A62" t="s">
        <v>2302</v>
      </c>
      <c r="C62" t="str">
        <f>"© NickName=©"&amp;F62&amp;"© Path=©"&amp;F62&amp;"© Sync=©0© OID=©"</f>
        <v>© NickName=©C:\Program Files (x86)\EleSy\SCADA Infinity\InfinityOPCDualSource\OPCDualSource.ini© Path=©C:\Program Files (x86)\EleSy\SCADA Infinity\InfinityOPCDualSource\OPCDualSource.ini© Sync=©0© OID=©</v>
      </c>
      <c r="E62" t="s">
        <v>2303</v>
      </c>
      <c r="F62" s="734" t="s">
        <v>2722</v>
      </c>
      <c r="G62" t="s">
        <v>2727</v>
      </c>
    </row>
    <row r="63" spans="1:7">
      <c r="A63" s="690" t="s">
        <v>1977</v>
      </c>
      <c r="B63" s="690"/>
      <c r="C63" s="690"/>
      <c r="D63" s="690"/>
      <c r="E63" s="690"/>
      <c r="F63" s="690" t="s">
        <v>1977</v>
      </c>
    </row>
    <row r="64" spans="1:7">
      <c r="A64" t="s">
        <v>2302</v>
      </c>
      <c r="C64" t="str">
        <f t="shared" ref="C64:C127" si="5">"© NickName=©"&amp;F64&amp;"© Path=©"&amp;F64&amp;"© Sync=©0© OID=©"</f>
        <v>© NickName=©C:\Program Files (x86)\Common Files\Aladdin Shared\Hasp\haspvlib_61937.dll© Path=©C:\Program Files (x86)\Common Files\Aladdin Shared\Hasp\haspvlib_61937.dll© Sync=©0© OID=©</v>
      </c>
      <c r="E64" t="s">
        <v>2303</v>
      </c>
      <c r="F64" t="s">
        <v>1983</v>
      </c>
    </row>
    <row r="65" spans="1:6">
      <c r="A65" t="s">
        <v>2302</v>
      </c>
      <c r="C65" t="str">
        <f t="shared" si="5"/>
        <v>© NickName=©C:\Program Files (x86)\EleSy\SCADA Infinity\InfinityHistoryServer3.0\svrcfgtr.dll© Path=©C:\Program Files (x86)\EleSy\SCADA Infinity\InfinityHistoryServer3.0\svrcfgtr.dll© Sync=©0© OID=©</v>
      </c>
      <c r="E65" t="s">
        <v>2303</v>
      </c>
      <c r="F65" t="s">
        <v>2012</v>
      </c>
    </row>
    <row r="66" spans="1:6">
      <c r="A66" t="s">
        <v>2302</v>
      </c>
      <c r="C66" t="str">
        <f t="shared" si="5"/>
        <v>© NickName=©C:\Program Files (x86)\EleSy\SCADA Infinity\InfinityHistoryServer3.0\opcrs.dll© Path=©C:\Program Files (x86)\EleSy\SCADA Infinity\InfinityHistoryServer3.0\opcrs.dll© Sync=©0© OID=©</v>
      </c>
      <c r="E66" t="s">
        <v>2303</v>
      </c>
      <c r="F66" t="s">
        <v>2013</v>
      </c>
    </row>
    <row r="67" spans="1:6">
      <c r="A67" t="s">
        <v>2302</v>
      </c>
      <c r="C67" t="str">
        <f t="shared" si="5"/>
        <v>© NickName=©C:\Program Files (x86)\EleSy\SCADA Infinity\InfinityHistoryServer3.0\datsprt.dll© Path=©C:\Program Files (x86)\EleSy\SCADA Infinity\InfinityHistoryServer3.0\datsprt.dll© Sync=©0© OID=©</v>
      </c>
      <c r="E67" t="s">
        <v>2303</v>
      </c>
      <c r="F67" t="s">
        <v>2014</v>
      </c>
    </row>
    <row r="68" spans="1:6">
      <c r="A68" t="s">
        <v>2302</v>
      </c>
      <c r="C68" t="str">
        <f t="shared" si="5"/>
        <v>© NickName=©C:\Program Files (x86)\EleSy\SCADA Infinity\InfinityHistoryServer3.0\config.dll© Path=©C:\Program Files (x86)\EleSy\SCADA Infinity\InfinityHistoryServer3.0\config.dll© Sync=©0© OID=©</v>
      </c>
      <c r="E68" t="s">
        <v>2303</v>
      </c>
      <c r="F68" t="s">
        <v>2015</v>
      </c>
    </row>
    <row r="69" spans="1:6">
      <c r="A69" t="s">
        <v>2302</v>
      </c>
      <c r="C69" t="str">
        <f t="shared" si="5"/>
        <v>© NickName=©C:\Program Files (x86)\EleSy\SCADA Infinity\InfinityHistoryServer3.0\dsc.dll© Path=©C:\Program Files (x86)\EleSy\SCADA Infinity\InfinityHistoryServer3.0\dsc.dll© Sync=©0© OID=©</v>
      </c>
      <c r="E69" t="s">
        <v>2303</v>
      </c>
      <c r="F69" t="s">
        <v>2016</v>
      </c>
    </row>
    <row r="70" spans="1:6">
      <c r="A70" t="s">
        <v>2302</v>
      </c>
      <c r="C70" t="str">
        <f t="shared" si="5"/>
        <v>© NickName=©C:\Program Files (x86)\EleSy\SCADA Infinity\InfinityHistoryServer3.0\hsvrkrnl.dll© Path=©C:\Program Files (x86)\EleSy\SCADA Infinity\InfinityHistoryServer3.0\hsvrkrnl.dll© Sync=©0© OID=©</v>
      </c>
      <c r="E70" t="s">
        <v>2303</v>
      </c>
      <c r="F70" t="s">
        <v>2017</v>
      </c>
    </row>
    <row r="71" spans="1:6">
      <c r="A71" t="s">
        <v>2302</v>
      </c>
      <c r="C71" t="str">
        <f t="shared" si="5"/>
        <v>© NickName=©C:\Program Files (x86)\EleSy\SCADA Infinity\InfinityHistoryServer3.0\opcda.dll© Path=©C:\Program Files (x86)\EleSy\SCADA Infinity\InfinityHistoryServer3.0\opcda.dll© Sync=©0© OID=©</v>
      </c>
      <c r="E71" t="s">
        <v>2303</v>
      </c>
      <c r="F71" t="s">
        <v>2018</v>
      </c>
    </row>
    <row r="72" spans="1:6">
      <c r="A72" t="s">
        <v>2302</v>
      </c>
      <c r="C72" t="str">
        <f t="shared" si="5"/>
        <v>© NickName=©C:\Program Files (x86)\EleSy\SCADA Infinity\InfinityHistoryServer3.0\hsvrcfg.exe© Path=©C:\Program Files (x86)\EleSy\SCADA Infinity\InfinityHistoryServer3.0\hsvrcfg.exe© Sync=©0© OID=©</v>
      </c>
      <c r="E72" t="s">
        <v>2303</v>
      </c>
      <c r="F72" t="s">
        <v>2019</v>
      </c>
    </row>
    <row r="73" spans="1:6">
      <c r="A73" t="s">
        <v>2302</v>
      </c>
      <c r="C73" t="str">
        <f t="shared" si="5"/>
        <v>© NickName=©C:\Program Files (x86)\EleSy\SCADA Infinity\InfinityHistoryServer3.0\cfgstg.dll© Path=©C:\Program Files (x86)\EleSy\SCADA Infinity\InfinityHistoryServer3.0\cfgstg.dll© Sync=©0© OID=©</v>
      </c>
      <c r="E73" t="s">
        <v>2303</v>
      </c>
      <c r="F73" t="s">
        <v>2020</v>
      </c>
    </row>
    <row r="74" spans="1:6">
      <c r="A74" t="s">
        <v>2302</v>
      </c>
      <c r="C74" t="str">
        <f t="shared" si="5"/>
        <v>© NickName=©C:\Windows\SysWOW64\svrappmgt_ps.dll© Path=©C:\Windows\SysWOW64\svrappmgt_ps.dll© Sync=©0© OID=©</v>
      </c>
      <c r="E74" t="s">
        <v>2303</v>
      </c>
      <c r="F74" t="s">
        <v>2059</v>
      </c>
    </row>
    <row r="75" spans="1:6">
      <c r="A75" t="s">
        <v>2302</v>
      </c>
      <c r="C75" t="str">
        <f t="shared" si="5"/>
        <v>© NickName=©C:\Program Files (x86)\EleSy\SCADA Infinity\InfinityHistoryServer3.0\cfgmf.dll© Path=©C:\Program Files (x86)\EleSy\SCADA Infinity\InfinityHistoryServer3.0\cfgmf.dll© Sync=©0© OID=©</v>
      </c>
      <c r="E75" t="s">
        <v>2303</v>
      </c>
      <c r="F75" t="s">
        <v>2022</v>
      </c>
    </row>
    <row r="76" spans="1:6">
      <c r="A76" t="s">
        <v>2302</v>
      </c>
      <c r="C76" t="str">
        <f t="shared" si="5"/>
        <v>© NickName=©C:\Program Files (x86)\EleSy\SCADA Infinity\InfinityHistoryServer3.0\opcae.dll© Path=©C:\Program Files (x86)\EleSy\SCADA Infinity\InfinityHistoryServer3.0\opcae.dll© Sync=©0© OID=©</v>
      </c>
      <c r="E76" t="s">
        <v>2303</v>
      </c>
      <c r="F76" t="s">
        <v>2023</v>
      </c>
    </row>
    <row r="77" spans="1:6">
      <c r="A77" t="s">
        <v>2302</v>
      </c>
      <c r="C77" t="str">
        <f t="shared" si="5"/>
        <v>© NickName=©C:\Program Files (x86)\EleSy\SCADA Infinity\InfinityHistoryServer3.0\ihsds.dll© Path=©C:\Program Files (x86)\EleSy\SCADA Infinity\InfinityHistoryServer3.0\ihsds.dll© Sync=©0© OID=©</v>
      </c>
      <c r="E77" t="s">
        <v>2303</v>
      </c>
      <c r="F77" t="s">
        <v>2024</v>
      </c>
    </row>
    <row r="78" spans="1:6">
      <c r="A78" t="s">
        <v>2302</v>
      </c>
      <c r="C78" t="str">
        <f t="shared" si="5"/>
        <v>© NickName=©C:\Program Files (x86)\EleSy\SCADA Infinity\InfinityHistoryServer3.0\hscimp.imx© Path=©C:\Program Files (x86)\EleSy\SCADA Infinity\InfinityHistoryServer3.0\hscimp.imx© Sync=©0© OID=©</v>
      </c>
      <c r="E78" t="s">
        <v>2303</v>
      </c>
      <c r="F78" t="s">
        <v>2025</v>
      </c>
    </row>
    <row r="79" spans="1:6">
      <c r="A79" t="s">
        <v>2302</v>
      </c>
      <c r="C79" t="str">
        <f t="shared" si="5"/>
        <v>© NickName=©C:\Windows\SysWOW64\usp.dll© Path=©C:\Windows\SysWOW64\usp.dll© Sync=©0© OID=©</v>
      </c>
      <c r="E79" t="s">
        <v>2303</v>
      </c>
      <c r="F79" t="s">
        <v>2071</v>
      </c>
    </row>
    <row r="80" spans="1:6">
      <c r="A80" t="s">
        <v>2302</v>
      </c>
      <c r="C80" t="str">
        <f t="shared" si="5"/>
        <v>© NickName=©C:\Windows\SysWOW64\ihflib.dll© Path=©C:\Windows\SysWOW64\ihflib.dll© Sync=©0© OID=©</v>
      </c>
      <c r="E80" t="s">
        <v>2303</v>
      </c>
      <c r="F80" t="s">
        <v>2072</v>
      </c>
    </row>
    <row r="81" spans="1:6">
      <c r="A81" t="s">
        <v>2302</v>
      </c>
      <c r="C81" t="str">
        <f t="shared" si="5"/>
        <v>© NickName=©C:\Windows\SysWOW64\afinprocsvchost.dll© Path=©C:\Windows\SysWOW64\afinprocsvchost.dll© Sync=©0© OID=©</v>
      </c>
      <c r="E81" t="s">
        <v>2303</v>
      </c>
      <c r="F81" t="s">
        <v>2060</v>
      </c>
    </row>
    <row r="82" spans="1:6">
      <c r="A82" t="s">
        <v>2302</v>
      </c>
      <c r="C82" t="str">
        <f t="shared" si="5"/>
        <v>© NickName=©C:\Program Files (x86)\EleSy\SCADA Infinity\InfinityTools\LogViewer\View_IHS3x.dll© Path=©C:\Program Files (x86)\EleSy\SCADA Infinity\InfinityTools\LogViewer\View_IHS3x.dll© Sync=©0© OID=©</v>
      </c>
      <c r="E82" t="s">
        <v>2303</v>
      </c>
      <c r="F82" t="s">
        <v>2029</v>
      </c>
    </row>
    <row r="83" spans="1:6">
      <c r="A83" t="s">
        <v>2302</v>
      </c>
      <c r="C83" t="str">
        <f t="shared" si="5"/>
        <v>© NickName=©C:\Program Files (x86)\EleSy\SCADA Infinity\InfinityHistoryServer3.0\hsvrcfg.exe.manifest© Path=©C:\Program Files (x86)\EleSy\SCADA Infinity\InfinityHistoryServer3.0\hsvrcfg.exe.manifest© Sync=©0© OID=©</v>
      </c>
      <c r="E83" t="s">
        <v>2303</v>
      </c>
      <c r="F83" t="s">
        <v>2030</v>
      </c>
    </row>
    <row r="84" spans="1:6">
      <c r="A84" t="s">
        <v>2302</v>
      </c>
      <c r="C84" t="str">
        <f t="shared" si="5"/>
        <v>© NickName=©C:\Program Files (x86)\Common Files\Elesy\System\dbghelp.dll© Path=©C:\Program Files (x86)\Common Files\Elesy\System\dbghelp.dll© Sync=©0© OID=©</v>
      </c>
      <c r="E84" t="s">
        <v>2303</v>
      </c>
      <c r="F84" t="s">
        <v>2031</v>
      </c>
    </row>
    <row r="85" spans="1:6">
      <c r="A85" t="s">
        <v>2302</v>
      </c>
      <c r="C85" t="str">
        <f t="shared" si="5"/>
        <v>© NickName=©C:\Program Files (x86)\EleSy\SCADA Infinity\InfinityHistoryServer3.0\cas.dll© Path=©C:\Program Files (x86)\EleSy\SCADA Infinity\InfinityHistoryServer3.0\cas.dll© Sync=©0© OID=©</v>
      </c>
      <c r="E85" t="s">
        <v>2303</v>
      </c>
      <c r="F85" t="s">
        <v>2032</v>
      </c>
    </row>
    <row r="86" spans="1:6">
      <c r="A86" t="s">
        <v>2302</v>
      </c>
      <c r="C86" t="str">
        <f t="shared" si="5"/>
        <v>© NickName=©C:\Program Files (x86)\EleSy\SCADA Infinity\InfinityHistoryServer3.0\dq.dll© Path=©C:\Program Files (x86)\EleSy\SCADA Infinity\InfinityHistoryServer3.0\dq.dll© Sync=©0© OID=©</v>
      </c>
      <c r="E86" t="s">
        <v>2303</v>
      </c>
      <c r="F86" t="s">
        <v>2033</v>
      </c>
    </row>
    <row r="87" spans="1:6">
      <c r="A87" t="s">
        <v>2302</v>
      </c>
      <c r="C87" t="str">
        <f t="shared" si="5"/>
        <v>© NickName=©C:\Program Files (x86)\EleSy\SCADA Infinity\InfinityHistoryServer3.0\dtbufsmgr.dll© Path=©C:\Program Files (x86)\EleSy\SCADA Infinity\InfinityHistoryServer3.0\dtbufsmgr.dll© Sync=©0© OID=©</v>
      </c>
      <c r="E87" t="s">
        <v>2303</v>
      </c>
      <c r="F87" t="s">
        <v>2034</v>
      </c>
    </row>
    <row r="88" spans="1:6">
      <c r="A88" t="s">
        <v>2302</v>
      </c>
      <c r="C88" t="str">
        <f t="shared" si="5"/>
        <v>© NickName=©C:\Program Files (x86)\EleSy\SCADA Infinity\InfinityHistoryServer3.0\clctr.exe© Path=©C:\Program Files (x86)\EleSy\SCADA Infinity\InfinityHistoryServer3.0\clctr.exe© Sync=©0© OID=©</v>
      </c>
      <c r="E88" t="s">
        <v>2303</v>
      </c>
      <c r="F88" t="s">
        <v>2035</v>
      </c>
    </row>
    <row r="89" spans="1:6">
      <c r="A89" t="s">
        <v>2302</v>
      </c>
      <c r="C89" t="str">
        <f t="shared" si="5"/>
        <v>© NickName=©C:\Program Files (x86)\EleSy\SCADA Infinity\InfinityHistoryServer3.0\stat.dll© Path=©C:\Program Files (x86)\EleSy\SCADA Infinity\InfinityHistoryServer3.0\stat.dll© Sync=©0© OID=©</v>
      </c>
      <c r="E89" t="s">
        <v>2303</v>
      </c>
      <c r="F89" t="s">
        <v>2036</v>
      </c>
    </row>
    <row r="90" spans="1:6">
      <c r="A90" t="s">
        <v>2302</v>
      </c>
      <c r="C90" t="str">
        <f t="shared" si="5"/>
        <v>© NickName=©C:\Program Files (x86)\EleSy\SCADA Infinity\InfinityHistoryServer3.0\hcsipclnt.dll© Path=©C:\Program Files (x86)\EleSy\SCADA Infinity\InfinityHistoryServer3.0\hcsipclnt.dll© Sync=©0© OID=©</v>
      </c>
      <c r="E90" t="s">
        <v>2303</v>
      </c>
      <c r="F90" t="s">
        <v>2037</v>
      </c>
    </row>
    <row r="91" spans="1:6">
      <c r="A91" t="s">
        <v>2302</v>
      </c>
      <c r="C91" t="str">
        <f t="shared" si="5"/>
        <v>© NickName=©C:\Program Files (x86)\EleSy\SCADA Infinity\InfinityHistoryServer3.0\appmgr.dll© Path=©C:\Program Files (x86)\EleSy\SCADA Infinity\InfinityHistoryServer3.0\appmgr.dll© Sync=©0© OID=©</v>
      </c>
      <c r="E91" t="s">
        <v>2303</v>
      </c>
      <c r="F91" t="s">
        <v>2038</v>
      </c>
    </row>
    <row r="92" spans="1:6">
      <c r="A92" t="s">
        <v>2302</v>
      </c>
      <c r="C92" t="str">
        <f t="shared" si="5"/>
        <v>© NickName=©C:\Program Files (x86)\EleSy\SCADA Infinity\InfinityHistoryServer3.0\clsfac.dll© Path=©C:\Program Files (x86)\EleSy\SCADA Infinity\InfinityHistoryServer3.0\clsfac.dll© Sync=©0© OID=©</v>
      </c>
      <c r="E92" t="s">
        <v>2303</v>
      </c>
      <c r="F92" t="s">
        <v>2039</v>
      </c>
    </row>
    <row r="93" spans="1:6">
      <c r="A93" t="s">
        <v>2302</v>
      </c>
      <c r="C93" t="str">
        <f t="shared" si="5"/>
        <v>© NickName=©C:\Program Files (x86)\EleSy\SCADA Infinity\InfinityHistoryServer3.0\storage.dll© Path=©C:\Program Files (x86)\EleSy\SCADA Infinity\InfinityHistoryServer3.0\storage.dll© Sync=©0© OID=©</v>
      </c>
      <c r="E93" t="s">
        <v>2303</v>
      </c>
      <c r="F93" t="s">
        <v>2040</v>
      </c>
    </row>
    <row r="94" spans="1:6">
      <c r="A94" t="s">
        <v>2302</v>
      </c>
      <c r="C94" t="str">
        <f t="shared" si="5"/>
        <v>© NickName=©C:\Program Files (x86)\EleSy\SCADA Infinity\InfinityHistoryServer3.0\opchda.dll© Path=©C:\Program Files (x86)\EleSy\SCADA Infinity\InfinityHistoryServer3.0\opchda.dll© Sync=©0© OID=©</v>
      </c>
      <c r="E94" t="s">
        <v>2303</v>
      </c>
      <c r="F94" t="s">
        <v>2041</v>
      </c>
    </row>
    <row r="95" spans="1:6">
      <c r="A95" t="s">
        <v>2302</v>
      </c>
      <c r="C95" t="str">
        <f t="shared" si="5"/>
        <v>© NickName=©C:\Program Files (x86)\EleSy\SCADA Infinity\InfinityHistoryServer3.0\hcsipsvr.dll© Path=©C:\Program Files (x86)\EleSy\SCADA Infinity\InfinityHistoryServer3.0\hcsipsvr.dll© Sync=©0© OID=©</v>
      </c>
      <c r="E95" t="s">
        <v>2303</v>
      </c>
      <c r="F95" t="s">
        <v>2042</v>
      </c>
    </row>
    <row r="96" spans="1:6">
      <c r="A96" t="s">
        <v>2302</v>
      </c>
      <c r="C96" t="str">
        <f t="shared" si="5"/>
        <v>© NickName=©C:\Program Files (x86)\EleSy\SCADA Infinity\InfinityHistoryServer3.0\hae.dll© Path=©C:\Program Files (x86)\EleSy\SCADA Infinity\InfinityHistoryServer3.0\hae.dll© Sync=©0© OID=©</v>
      </c>
      <c r="E96" t="s">
        <v>2303</v>
      </c>
      <c r="F96" t="s">
        <v>2043</v>
      </c>
    </row>
    <row r="97" spans="1:6">
      <c r="A97" t="s">
        <v>2302</v>
      </c>
      <c r="C97" t="str">
        <f t="shared" si="5"/>
        <v>© NickName=©C:\Windows\SysWOW64\haeps.dll© Path=©C:\Windows\SysWOW64\haeps.dll© Sync=©0© OID=©</v>
      </c>
      <c r="E97" t="s">
        <v>2303</v>
      </c>
      <c r="F97" t="s">
        <v>2058</v>
      </c>
    </row>
    <row r="98" spans="1:6">
      <c r="A98" t="s">
        <v>2302</v>
      </c>
      <c r="C98" t="str">
        <f t="shared" si="5"/>
        <v>© NickName=©C:\Program Files (x86)\EleSy\SCADA Infinity\InfinityHistoryServer3.0\TCPNetModule.dll© Path=©C:\Program Files (x86)\EleSy\SCADA Infinity\InfinityHistoryServer3.0\TCPNetModule.dll© Sync=©0© OID=©</v>
      </c>
      <c r="E98" t="s">
        <v>2303</v>
      </c>
      <c r="F98" t="s">
        <v>2044</v>
      </c>
    </row>
    <row r="99" spans="1:6">
      <c r="A99" t="s">
        <v>2302</v>
      </c>
      <c r="C99" t="str">
        <f t="shared" si="5"/>
        <v>© NickName=©C:\Windows\SysWOW64\appfrmwrk.dll© Path=©C:\Windows\SysWOW64\appfrmwrk.dll© Sync=©0© OID=©</v>
      </c>
      <c r="E99" t="s">
        <v>2303</v>
      </c>
      <c r="F99" t="s">
        <v>2055</v>
      </c>
    </row>
    <row r="100" spans="1:6">
      <c r="A100" t="s">
        <v>2302</v>
      </c>
      <c r="C100" t="str">
        <f t="shared" si="5"/>
        <v>© NickName=©C:\Program Files (x86)\EleSy\SCADA Infinity\InfinityHistoryServer3.0\hcvtlib.dll© Path=©C:\Program Files (x86)\EleSy\SCADA Infinity\InfinityHistoryServer3.0\hcvtlib.dll© Sync=©0© OID=©</v>
      </c>
      <c r="E100" t="s">
        <v>2303</v>
      </c>
      <c r="F100" t="s">
        <v>2046</v>
      </c>
    </row>
    <row r="101" spans="1:6">
      <c r="A101" t="s">
        <v>2302</v>
      </c>
      <c r="C101" t="str">
        <f t="shared" si="5"/>
        <v>© NickName=©C:\Program Files (x86)\EleSy\SCADA Infinity\InfinityHistoryServer3.0\hsvr.exe© Path=©C:\Program Files (x86)\EleSy\SCADA Infinity\InfinityHistoryServer3.0\hsvr.exe© Sync=©0© OID=©</v>
      </c>
      <c r="E101" t="s">
        <v>2303</v>
      </c>
      <c r="F101" t="s">
        <v>2047</v>
      </c>
    </row>
    <row r="102" spans="1:6">
      <c r="A102" t="s">
        <v>2302</v>
      </c>
      <c r="C102" t="str">
        <f t="shared" si="5"/>
        <v>© NickName=©C:\Windows\SysWOW64\EleSyLogging.dll© Path=©C:\Windows\SysWOW64\EleSyLogging.dll© Sync=©0© OID=©</v>
      </c>
      <c r="E102" t="s">
        <v>2303</v>
      </c>
      <c r="F102" t="s">
        <v>2063</v>
      </c>
    </row>
    <row r="103" spans="1:6">
      <c r="A103" t="s">
        <v>2302</v>
      </c>
      <c r="C103" t="str">
        <f t="shared" si="5"/>
        <v>© NickName=©C:\Program Files (x86)\EleSy\SCADA Infinity\InfinityTools\ViewEventLog.exe© Path=©C:\Program Files (x86)\EleSy\SCADA Infinity\InfinityTools\ViewEventLog.exe© Sync=©0© OID=©</v>
      </c>
      <c r="E103" t="s">
        <v>2303</v>
      </c>
      <c r="F103" t="s">
        <v>2049</v>
      </c>
    </row>
    <row r="104" spans="1:6">
      <c r="A104" t="s">
        <v>2302</v>
      </c>
      <c r="C104" t="str">
        <f t="shared" si="5"/>
        <v>© NickName=©C:\Windows\SysWOW64\borlndmm.dll© Path=©C:\Windows\SysWOW64\borlndmm.dll© Sync=©0© OID=©</v>
      </c>
      <c r="E104" t="s">
        <v>2303</v>
      </c>
      <c r="F104" t="s">
        <v>2061</v>
      </c>
    </row>
    <row r="105" spans="1:6">
      <c r="A105" t="s">
        <v>2302</v>
      </c>
      <c r="C105" t="str">
        <f t="shared" si="5"/>
        <v>© NickName=©C:\Program Files (x86)\EleSy\SCADA Infinity\InfinityTools\LogViewer\LogViewer.exe© Path=©C:\Program Files (x86)\EleSy\SCADA Infinity\InfinityTools\LogViewer\LogViewer.exe© Sync=©0© OID=©</v>
      </c>
      <c r="E105" t="s">
        <v>2303</v>
      </c>
      <c r="F105" t="s">
        <v>1999</v>
      </c>
    </row>
    <row r="106" spans="1:6">
      <c r="A106" t="s">
        <v>2302</v>
      </c>
      <c r="C106" t="str">
        <f t="shared" si="5"/>
        <v>© NickName=©C:\Windows\SysWOW64\log2.dll© Path=©C:\Windows\SysWOW64\log2.dll© Sync=©0© OID=©</v>
      </c>
      <c r="E106" t="s">
        <v>2303</v>
      </c>
      <c r="F106" t="s">
        <v>2062</v>
      </c>
    </row>
    <row r="107" spans="1:6">
      <c r="A107" t="s">
        <v>2302</v>
      </c>
      <c r="C107" t="str">
        <f t="shared" si="5"/>
        <v>© NickName=©C:\Program Files (x86)\EleSy\SCADA Infinity\InfinityTools\InfinityCompleteness.exe© Path=©C:\Program Files (x86)\EleSy\SCADA Infinity\InfinityTools\InfinityCompleteness.exe© Sync=©0© OID=©</v>
      </c>
      <c r="E107" t="s">
        <v>2303</v>
      </c>
      <c r="F107" t="s">
        <v>1988</v>
      </c>
    </row>
    <row r="108" spans="1:6">
      <c r="A108" t="s">
        <v>2302</v>
      </c>
      <c r="C108" t="str">
        <f t="shared" si="5"/>
        <v>© NickName=©C:\Program Files (x86)\EleSy\SCADA Infinity\InfinityTools\ignore.files© Path=©C:\Program Files (x86)\EleSy\SCADA Infinity\InfinityTools\ignore.files© Sync=©0© OID=©</v>
      </c>
      <c r="E108" t="s">
        <v>2303</v>
      </c>
      <c r="F108" t="s">
        <v>1989</v>
      </c>
    </row>
    <row r="109" spans="1:6">
      <c r="A109" t="s">
        <v>2302</v>
      </c>
      <c r="C109" t="str">
        <f t="shared" si="5"/>
        <v>© NickName=©C:\Program Files (x86)\EleSy\SCADA Infinity\InfinityTools\EleSyStatViewer.exe© Path=©C:\Program Files (x86)\EleSy\SCADA Infinity\InfinityTools\EleSyStatViewer.exe© Sync=©0© OID=©</v>
      </c>
      <c r="E109" t="s">
        <v>2303</v>
      </c>
      <c r="F109" t="s">
        <v>2050</v>
      </c>
    </row>
    <row r="110" spans="1:6">
      <c r="A110" t="s">
        <v>2302</v>
      </c>
      <c r="C110" t="str">
        <f t="shared" si="5"/>
        <v>© NickName=©C:\Program Files (x86)\Common Files\EleSy\System\EleSyStatistic.dll© Path=©C:\Program Files (x86)\Common Files\EleSy\System\EleSyStatistic.dll© Sync=©0© OID=©</v>
      </c>
      <c r="E110" t="s">
        <v>2303</v>
      </c>
      <c r="F110" t="s">
        <v>2051</v>
      </c>
    </row>
    <row r="111" spans="1:6">
      <c r="A111" t="s">
        <v>2302</v>
      </c>
      <c r="C111" t="str">
        <f t="shared" si="5"/>
        <v>© NickName=©C:\Program Files (x86)\EleSy\SCADA Infinity\InfinityTools\HotReserveManager.exe© Path=©C:\Program Files (x86)\EleSy\SCADA Infinity\InfinityTools\HotReserveManager.exe© Sync=©0© OID=©</v>
      </c>
      <c r="E111" t="s">
        <v>2303</v>
      </c>
      <c r="F111" t="s">
        <v>2001</v>
      </c>
    </row>
    <row r="112" spans="1:6">
      <c r="A112" t="s">
        <v>2302</v>
      </c>
      <c r="C112" t="str">
        <f t="shared" si="5"/>
        <v>© NickName=©C:\Windows\SysWOW64\log2.dll© Path=©C:\Windows\SysWOW64\log2.dll© Sync=©0© OID=©</v>
      </c>
      <c r="E112" t="s">
        <v>2303</v>
      </c>
      <c r="F112" t="s">
        <v>2062</v>
      </c>
    </row>
    <row r="113" spans="1:6">
      <c r="A113" t="s">
        <v>2302</v>
      </c>
      <c r="C113" t="str">
        <f t="shared" si="5"/>
        <v>© NickName=©C:\Program Files (x86)\Common Files\EleSy\System\SecurityCtx_PS.dll© Path=©C:\Program Files (x86)\Common Files\EleSy\System\SecurityCtx_PS.dll© Sync=©0© OID=©</v>
      </c>
      <c r="E113" t="s">
        <v>2303</v>
      </c>
      <c r="F113" t="s">
        <v>2002</v>
      </c>
    </row>
    <row r="114" spans="1:6">
      <c r="A114" t="s">
        <v>2302</v>
      </c>
      <c r="C114" t="str">
        <f t="shared" si="5"/>
        <v>© NickName=©C:\Windows\SysWOW64\SecurityEditor.dll© Path=©C:\Windows\SysWOW64\SecurityEditor.dll© Sync=©0© OID=©</v>
      </c>
      <c r="E114" t="s">
        <v>2303</v>
      </c>
      <c r="F114" t="s">
        <v>2065</v>
      </c>
    </row>
    <row r="115" spans="1:6">
      <c r="A115" t="s">
        <v>2302</v>
      </c>
      <c r="C115" t="str">
        <f t="shared" si="5"/>
        <v>© NickName=©C:\Program Files (x86)\Common Files\EleSy\System\SecurityMgt_PS.dll© Path=©C:\Program Files (x86)\Common Files\EleSy\System\SecurityMgt_PS.dll© Sync=©0© OID=©</v>
      </c>
      <c r="E115" t="s">
        <v>2303</v>
      </c>
      <c r="F115" t="s">
        <v>2003</v>
      </c>
    </row>
    <row r="116" spans="1:6">
      <c r="A116" t="s">
        <v>2302</v>
      </c>
      <c r="C116" t="str">
        <f t="shared" si="5"/>
        <v>© NickName=©C:\Windows\SysWOW64\dnaccbrw.dll© Path=©C:\Windows\SysWOW64\dnaccbrw.dll© Sync=©0© OID=©</v>
      </c>
      <c r="E116" t="s">
        <v>2303</v>
      </c>
      <c r="F116" t="s">
        <v>2064</v>
      </c>
    </row>
    <row r="117" spans="1:6">
      <c r="A117" t="s">
        <v>2302</v>
      </c>
      <c r="C117" t="str">
        <f t="shared" si="5"/>
        <v>© NickName=©C:\Program Files (x86)\Common Files\EleSy\Infinity\Resources\ru\hagentmc.dll.ru© Path=©C:\Program Files (x86)\Common Files\EleSy\Infinity\Resources\ru\hagentmc.dll.ru© Sync=©0© OID=©</v>
      </c>
      <c r="E117" t="s">
        <v>2303</v>
      </c>
      <c r="F117" t="s">
        <v>2004</v>
      </c>
    </row>
    <row r="118" spans="1:6">
      <c r="A118" t="s">
        <v>2302</v>
      </c>
      <c r="C118" t="str">
        <f t="shared" si="5"/>
        <v>© NickName=©C:\Windows\SysWOW64\hagentps.dll© Path=©C:\Windows\SysWOW64\hagentps.dll© Sync=©0© OID=©</v>
      </c>
      <c r="E118" t="s">
        <v>2303</v>
      </c>
      <c r="F118" t="s">
        <v>2066</v>
      </c>
    </row>
    <row r="119" spans="1:6">
      <c r="A119" t="s">
        <v>2302</v>
      </c>
      <c r="C119" t="str">
        <f t="shared" si="5"/>
        <v>© NickName=©C:\Windows\SysWOW64\Localize.dll© Path=©C:\Windows\SysWOW64\Localize.dll© Sync=©0© OID=©</v>
      </c>
      <c r="E119" t="s">
        <v>2303</v>
      </c>
      <c r="F119" t="s">
        <v>2067</v>
      </c>
    </row>
    <row r="120" spans="1:6">
      <c r="A120" t="s">
        <v>2302</v>
      </c>
      <c r="C120" t="str">
        <f t="shared" si="5"/>
        <v>© NickName=©C:\Windows\SysWOW64\msvcp60.dll© Path=©C:\Windows\SysWOW64\msvcp60.dll© Sync=©0© OID=©</v>
      </c>
      <c r="E120" t="s">
        <v>2303</v>
      </c>
      <c r="F120" t="s">
        <v>2068</v>
      </c>
    </row>
    <row r="121" spans="1:6">
      <c r="A121" t="s">
        <v>2302</v>
      </c>
      <c r="C121" t="str">
        <f t="shared" si="5"/>
        <v>© NickName=©C:\Windows\SysWOW64\msxml4.dll© Path=©C:\Windows\SysWOW64\msxml4.dll© Sync=©0© OID=©</v>
      </c>
      <c r="E121" t="s">
        <v>2303</v>
      </c>
      <c r="F121" t="s">
        <v>2069</v>
      </c>
    </row>
    <row r="122" spans="1:6">
      <c r="A122" t="s">
        <v>2302</v>
      </c>
      <c r="C122" t="str">
        <f t="shared" si="5"/>
        <v>© NickName=©C:\Windows\SysWOW64\msxml4r.dll© Path=©C:\Windows\SysWOW64\msxml4r.dll© Sync=©0© OID=©</v>
      </c>
      <c r="E122" t="s">
        <v>2303</v>
      </c>
      <c r="F122" t="s">
        <v>2070</v>
      </c>
    </row>
    <row r="123" spans="1:6">
      <c r="A123" t="s">
        <v>2302</v>
      </c>
      <c r="C123" t="str">
        <f t="shared" si="5"/>
        <v>© NickName=©C:\Program Files (x86)\EleSy\SCADA Infinity\InfinityTools\SystemCnfg.exe© Path=©C:\Program Files (x86)\EleSy\SCADA Infinity\InfinityTools\SystemCnfg.exe© Sync=©0© OID=©</v>
      </c>
      <c r="E123" t="s">
        <v>2303</v>
      </c>
      <c r="F123" t="s">
        <v>1991</v>
      </c>
    </row>
    <row r="124" spans="1:6">
      <c r="A124" t="s">
        <v>2302</v>
      </c>
      <c r="C124" t="str">
        <f t="shared" si="5"/>
        <v>© NickName=©C:\Program Files (x86)\EleSy\SCADA Infinity\InfinityTools\SystemCnfg.dat© Path=©C:\Program Files (x86)\EleSy\SCADA Infinity\InfinityTools\SystemCnfg.dat© Sync=©0© OID=©</v>
      </c>
      <c r="E124" t="s">
        <v>2303</v>
      </c>
      <c r="F124" t="s">
        <v>1992</v>
      </c>
    </row>
    <row r="125" spans="1:6">
      <c r="A125" t="s">
        <v>2302</v>
      </c>
      <c r="C125" t="str">
        <f t="shared" si="5"/>
        <v>© NickName=©C:\Program Files (x86)\EleSy\SCADA Infinity\InfinityHistoryServer3.0\hs2xdb.dll© Path=©C:\Program Files (x86)\EleSy\SCADA Infinity\InfinityHistoryServer3.0\hs2xdb.dll© Sync=©0© OID=©</v>
      </c>
      <c r="E125" t="s">
        <v>2303</v>
      </c>
      <c r="F125" t="s">
        <v>2052</v>
      </c>
    </row>
    <row r="126" spans="1:6">
      <c r="A126" t="s">
        <v>2302</v>
      </c>
      <c r="C126" t="str">
        <f t="shared" si="5"/>
        <v>© NickName=©C:\Program Files (x86)\EleSy\SCADA Infinity\InfinityHistoryServer3.0\hdw.dll© Path=©C:\Program Files (x86)\EleSy\SCADA Infinity\InfinityHistoryServer3.0\hdw.dll© Sync=©0© OID=©</v>
      </c>
      <c r="E126" t="s">
        <v>2303</v>
      </c>
      <c r="F126" t="s">
        <v>2053</v>
      </c>
    </row>
    <row r="127" spans="1:6">
      <c r="A127" t="s">
        <v>2302</v>
      </c>
      <c r="C127" t="str">
        <f t="shared" si="5"/>
        <v>© NickName=©C:\Program Files (x86)\EleSy\SCADA Infinity\InfinityHistoryServer3.0\ibcvt.dll© Path=©C:\Program Files (x86)\EleSy\SCADA Infinity\InfinityHistoryServer3.0\ibcvt.dll© Sync=©0© OID=©</v>
      </c>
      <c r="E127" t="s">
        <v>2303</v>
      </c>
      <c r="F127" t="s">
        <v>2054</v>
      </c>
    </row>
    <row r="128" spans="1:6">
      <c r="A128" s="690" t="s">
        <v>2903</v>
      </c>
      <c r="B128" s="690"/>
      <c r="C128" s="690"/>
      <c r="D128" s="690"/>
      <c r="E128" s="690"/>
      <c r="F128" s="690" t="s">
        <v>2903</v>
      </c>
    </row>
    <row r="129" spans="1:6">
      <c r="A129" t="s">
        <v>2302</v>
      </c>
      <c r="C129" t="str">
        <f t="shared" ref="C129:C192" si="6">"© NickName=©"&amp;F129&amp;"© Path=©"&amp;F129&amp;"© Sync=©0© OID=©"</f>
        <v>© NickName=©C:\Program Files (x86)\Common Files\Aladdin Shared\Hasp\haspvlib_61937.dll© Path=©C:\Program Files (x86)\Common Files\Aladdin Shared\Hasp\haspvlib_61937.dll© Sync=©0© OID=©</v>
      </c>
      <c r="E129" t="s">
        <v>2303</v>
      </c>
      <c r="F129" t="s">
        <v>1983</v>
      </c>
    </row>
    <row r="130" spans="1:6">
      <c r="A130" t="s">
        <v>2302</v>
      </c>
      <c r="C130" t="str">
        <f t="shared" si="6"/>
        <v>© NickName=©C:\Program Files\EleSy\SCADA Infinity\InfinityHistoryServer3.0\svrcfgtr.dll© Path=©C:\Program Files\EleSy\SCADA Infinity\InfinityHistoryServer3.0\svrcfgtr.dll© Sync=©0© OID=©</v>
      </c>
      <c r="E130" t="s">
        <v>2303</v>
      </c>
      <c r="F130" t="s">
        <v>2638</v>
      </c>
    </row>
    <row r="131" spans="1:6">
      <c r="A131" t="s">
        <v>2302</v>
      </c>
      <c r="C131" t="str">
        <f t="shared" si="6"/>
        <v>© NickName=©C:\Program Files\EleSy\SCADA Infinity\InfinityHistoryServer3.0\opcrs.dll© Path=©C:\Program Files\EleSy\SCADA Infinity\InfinityHistoryServer3.0\opcrs.dll© Sync=©0© OID=©</v>
      </c>
      <c r="E131" t="s">
        <v>2303</v>
      </c>
      <c r="F131" t="s">
        <v>2639</v>
      </c>
    </row>
    <row r="132" spans="1:6">
      <c r="A132" t="s">
        <v>2302</v>
      </c>
      <c r="C132" t="str">
        <f t="shared" si="6"/>
        <v>© NickName=©C:\Program Files\EleSy\SCADA Infinity\InfinityHistoryServer3.0\datsprt.dll© Path=©C:\Program Files\EleSy\SCADA Infinity\InfinityHistoryServer3.0\datsprt.dll© Sync=©0© OID=©</v>
      </c>
      <c r="E132" t="s">
        <v>2303</v>
      </c>
      <c r="F132" t="s">
        <v>2640</v>
      </c>
    </row>
    <row r="133" spans="1:6">
      <c r="A133" t="s">
        <v>2302</v>
      </c>
      <c r="C133" t="str">
        <f t="shared" si="6"/>
        <v>© NickName=©C:\Program Files\EleSy\SCADA Infinity\InfinityHistoryServer3.0\config.dll© Path=©C:\Program Files\EleSy\SCADA Infinity\InfinityHistoryServer3.0\config.dll© Sync=©0© OID=©</v>
      </c>
      <c r="E133" t="s">
        <v>2303</v>
      </c>
      <c r="F133" t="s">
        <v>2641</v>
      </c>
    </row>
    <row r="134" spans="1:6">
      <c r="A134" t="s">
        <v>2302</v>
      </c>
      <c r="C134" t="str">
        <f t="shared" si="6"/>
        <v>© NickName=©C:\Program Files\EleSy\SCADA Infinity\InfinityHistoryServer3.0\dsc.dll© Path=©C:\Program Files\EleSy\SCADA Infinity\InfinityHistoryServer3.0\dsc.dll© Sync=©0© OID=©</v>
      </c>
      <c r="E134" t="s">
        <v>2303</v>
      </c>
      <c r="F134" t="s">
        <v>2642</v>
      </c>
    </row>
    <row r="135" spans="1:6">
      <c r="A135" t="s">
        <v>2302</v>
      </c>
      <c r="C135" t="str">
        <f t="shared" si="6"/>
        <v>© NickName=©C:\Program Files\EleSy\SCADA Infinity\InfinityHistoryServer3.0\hsvrkrnl.dll© Path=©C:\Program Files\EleSy\SCADA Infinity\InfinityHistoryServer3.0\hsvrkrnl.dll© Sync=©0© OID=©</v>
      </c>
      <c r="E135" t="s">
        <v>2303</v>
      </c>
      <c r="F135" t="s">
        <v>2643</v>
      </c>
    </row>
    <row r="136" spans="1:6">
      <c r="A136" t="s">
        <v>2302</v>
      </c>
      <c r="C136" t="str">
        <f t="shared" si="6"/>
        <v>© NickName=©C:\Program Files\EleSy\SCADA Infinity\InfinityHistoryServer3.0\opcda.dll© Path=©C:\Program Files\EleSy\SCADA Infinity\InfinityHistoryServer3.0\opcda.dll© Sync=©0© OID=©</v>
      </c>
      <c r="E136" t="s">
        <v>2303</v>
      </c>
      <c r="F136" t="s">
        <v>2644</v>
      </c>
    </row>
    <row r="137" spans="1:6">
      <c r="A137" t="s">
        <v>2302</v>
      </c>
      <c r="C137" t="str">
        <f t="shared" si="6"/>
        <v>© NickName=©C:\Program Files\EleSy\SCADA Infinity\InfinityHistoryServer3.0\hsvrcfg.exe© Path=©C:\Program Files\EleSy\SCADA Infinity\InfinityHistoryServer3.0\hsvrcfg.exe© Sync=©0© OID=©</v>
      </c>
      <c r="E137" t="s">
        <v>2303</v>
      </c>
      <c r="F137" t="s">
        <v>2645</v>
      </c>
    </row>
    <row r="138" spans="1:6">
      <c r="A138" t="s">
        <v>2302</v>
      </c>
      <c r="C138" t="str">
        <f t="shared" si="6"/>
        <v>© NickName=©C:\Program Files\EleSy\SCADA Infinity\InfinityHistoryServer3.0\cfgstg.dll© Path=©C:\Program Files\EleSy\SCADA Infinity\InfinityHistoryServer3.0\cfgstg.dll© Sync=©0© OID=©</v>
      </c>
      <c r="E138" t="s">
        <v>2303</v>
      </c>
      <c r="F138" t="s">
        <v>2646</v>
      </c>
    </row>
    <row r="139" spans="1:6">
      <c r="A139" t="s">
        <v>2302</v>
      </c>
      <c r="C139" t="str">
        <f t="shared" si="6"/>
        <v>© NickName=©C:\Windows\system32\svrappmgt_ps.dll© Path=©C:\Windows\system32\svrappmgt_ps.dll© Sync=©0© OID=©</v>
      </c>
      <c r="E139" t="s">
        <v>2303</v>
      </c>
      <c r="F139" t="s">
        <v>2021</v>
      </c>
    </row>
    <row r="140" spans="1:6">
      <c r="A140" t="s">
        <v>2302</v>
      </c>
      <c r="C140" t="str">
        <f t="shared" si="6"/>
        <v>© NickName=©C:\Program Files\EleSy\SCADA Infinity\InfinityHistoryServer3.0\cfgmf.dll© Path=©C:\Program Files\EleSy\SCADA Infinity\InfinityHistoryServer3.0\cfgmf.dll© Sync=©0© OID=©</v>
      </c>
      <c r="E140" t="s">
        <v>2303</v>
      </c>
      <c r="F140" t="s">
        <v>2647</v>
      </c>
    </row>
    <row r="141" spans="1:6">
      <c r="A141" t="s">
        <v>2302</v>
      </c>
      <c r="C141" t="str">
        <f t="shared" si="6"/>
        <v>© NickName=©C:\Windows\SysWOW64\appfrmwrk.dll© Path=©C:\Windows\SysWOW64\appfrmwrk.dll© Sync=©0© OID=©</v>
      </c>
      <c r="E141" t="s">
        <v>2303</v>
      </c>
      <c r="F141" t="s">
        <v>2055</v>
      </c>
    </row>
    <row r="142" spans="1:6">
      <c r="A142" t="s">
        <v>2302</v>
      </c>
      <c r="C142" t="str">
        <f t="shared" si="6"/>
        <v>© NickName=©C:\Program Files\EleSy\SCADA Infinity\InfinityHistoryServer3.0\opcae.dll© Path=©C:\Program Files\EleSy\SCADA Infinity\InfinityHistoryServer3.0\opcae.dll© Sync=©0© OID=©</v>
      </c>
      <c r="E142" t="s">
        <v>2303</v>
      </c>
      <c r="F142" t="s">
        <v>2648</v>
      </c>
    </row>
    <row r="143" spans="1:6">
      <c r="A143" t="s">
        <v>2302</v>
      </c>
      <c r="C143" t="str">
        <f t="shared" si="6"/>
        <v>© NickName=©C:\Program Files\EleSy\SCADA Infinity\InfinityHistoryServer3.0\ihsds.dll© Path=©C:\Program Files\EleSy\SCADA Infinity\InfinityHistoryServer3.0\ihsds.dll© Sync=©0© OID=©</v>
      </c>
      <c r="E143" t="s">
        <v>2303</v>
      </c>
      <c r="F143" t="s">
        <v>2649</v>
      </c>
    </row>
    <row r="144" spans="1:6">
      <c r="A144" t="s">
        <v>2302</v>
      </c>
      <c r="C144" t="str">
        <f t="shared" si="6"/>
        <v>© NickName=©C:\Program Files\EleSy\SCADA Infinity\InfinityHistoryServer3.0\hscimp.imx© Path=©C:\Program Files\EleSy\SCADA Infinity\InfinityHistoryServer3.0\hscimp.imx© Sync=©0© OID=©</v>
      </c>
      <c r="E144" t="s">
        <v>2303</v>
      </c>
      <c r="F144" t="s">
        <v>2650</v>
      </c>
    </row>
    <row r="145" spans="1:6">
      <c r="A145" t="s">
        <v>2302</v>
      </c>
      <c r="C145" t="str">
        <f t="shared" si="6"/>
        <v>© NickName=©C:\Windows\system32\usp.dll© Path=©C:\Windows\system32\usp.dll© Sync=©0© OID=©</v>
      </c>
      <c r="E145" t="s">
        <v>2303</v>
      </c>
      <c r="F145" t="s">
        <v>2026</v>
      </c>
    </row>
    <row r="146" spans="1:6">
      <c r="A146" t="s">
        <v>2302</v>
      </c>
      <c r="C146" t="str">
        <f t="shared" si="6"/>
        <v>© NickName=©C:\Windows\system32\ihflib.dll© Path=©C:\Windows\system32\ihflib.dll© Sync=©0© OID=©</v>
      </c>
      <c r="E146" t="s">
        <v>2303</v>
      </c>
      <c r="F146" t="s">
        <v>2027</v>
      </c>
    </row>
    <row r="147" spans="1:6">
      <c r="A147" t="s">
        <v>2302</v>
      </c>
      <c r="C147" t="str">
        <f t="shared" si="6"/>
        <v>© NickName=©C:\Windows\system32\afinprocsvchost.dll© Path=©C:\Windows\system32\afinprocsvchost.dll© Sync=©0© OID=©</v>
      </c>
      <c r="E147" t="s">
        <v>2303</v>
      </c>
      <c r="F147" t="s">
        <v>2028</v>
      </c>
    </row>
    <row r="148" spans="1:6">
      <c r="A148" t="s">
        <v>2302</v>
      </c>
      <c r="C148" t="str">
        <f t="shared" si="6"/>
        <v>© NickName=©C:\Program Files (x86)\EleSy\SCADA Infinity\InfinityTools\LogViewer\View_IHS3x.dll© Path=©C:\Program Files (x86)\EleSy\SCADA Infinity\InfinityTools\LogViewer\View_IHS3x.dll© Sync=©0© OID=©</v>
      </c>
      <c r="E148" t="s">
        <v>2303</v>
      </c>
      <c r="F148" t="s">
        <v>2029</v>
      </c>
    </row>
    <row r="149" spans="1:6">
      <c r="A149" t="s">
        <v>2302</v>
      </c>
      <c r="C149" t="str">
        <f t="shared" si="6"/>
        <v>© NickName=©C:\Program    Files\EleSy\SCADA    Infinity\InfinityHistoryServer3.0\hsvrcfg.exe.manifest© Path=©C:\Program    Files\EleSy\SCADA    Infinity\InfinityHistoryServer3.0\hsvrcfg.exe.manifest© Sync=©0© OID=©</v>
      </c>
      <c r="E149" t="s">
        <v>2303</v>
      </c>
      <c r="F149" t="s">
        <v>2867</v>
      </c>
    </row>
    <row r="150" spans="1:6">
      <c r="A150" t="s">
        <v>2302</v>
      </c>
      <c r="C150" t="str">
        <f t="shared" si="6"/>
        <v>© NickName=©C:\Program Files (x86)\Common Files\Elesy\System\dbghelp.dll© Path=©C:\Program Files (x86)\Common Files\Elesy\System\dbghelp.dll© Sync=©0© OID=©</v>
      </c>
      <c r="E150" t="s">
        <v>2303</v>
      </c>
      <c r="F150" t="s">
        <v>2031</v>
      </c>
    </row>
    <row r="151" spans="1:6">
      <c r="A151" t="s">
        <v>2302</v>
      </c>
      <c r="C151" t="str">
        <f t="shared" si="6"/>
        <v>© NickName=©C:\Program Files\EleSy\SCADA Infinity\InfinityHistoryServer3.0\cas.dll© Path=©C:\Program Files\EleSy\SCADA Infinity\InfinityHistoryServer3.0\cas.dll© Sync=©0© OID=©</v>
      </c>
      <c r="E151" t="s">
        <v>2303</v>
      </c>
      <c r="F151" t="s">
        <v>2651</v>
      </c>
    </row>
    <row r="152" spans="1:6">
      <c r="A152" t="s">
        <v>2302</v>
      </c>
      <c r="C152" t="str">
        <f t="shared" si="6"/>
        <v>© NickName=©C:\Program Files\EleSy\SCADA Infinity\InfinityHistoryServer3.0\dq.dll© Path=©C:\Program Files\EleSy\SCADA Infinity\InfinityHistoryServer3.0\dq.dll© Sync=©0© OID=©</v>
      </c>
      <c r="E152" t="s">
        <v>2303</v>
      </c>
      <c r="F152" t="s">
        <v>2652</v>
      </c>
    </row>
    <row r="153" spans="1:6">
      <c r="A153" t="s">
        <v>2302</v>
      </c>
      <c r="C153" t="str">
        <f t="shared" si="6"/>
        <v>© NickName=©C:\Program Files\EleSy\SCADA Infinity\InfinityHistoryServer3.0\dtbufsmgr.dll© Path=©C:\Program Files\EleSy\SCADA Infinity\InfinityHistoryServer3.0\dtbufsmgr.dll© Sync=©0© OID=©</v>
      </c>
      <c r="E153" t="s">
        <v>2303</v>
      </c>
      <c r="F153" t="s">
        <v>2653</v>
      </c>
    </row>
    <row r="154" spans="1:6">
      <c r="A154" t="s">
        <v>2302</v>
      </c>
      <c r="C154" t="str">
        <f t="shared" si="6"/>
        <v>© NickName=©C:\Program Files\EleSy\SCADA Infinity\InfinityHistoryServer3.0\clctr.exe© Path=©C:\Program Files\EleSy\SCADA Infinity\InfinityHistoryServer3.0\clctr.exe© Sync=©0© OID=©</v>
      </c>
      <c r="E154" t="s">
        <v>2303</v>
      </c>
      <c r="F154" t="s">
        <v>2654</v>
      </c>
    </row>
    <row r="155" spans="1:6">
      <c r="A155" t="s">
        <v>2302</v>
      </c>
      <c r="C155" t="str">
        <f t="shared" si="6"/>
        <v>© NickName=©C:\Program Files\EleSy\SCADA Infinity\InfinityHistoryServer3.0\stat.dll© Path=©C:\Program Files\EleSy\SCADA Infinity\InfinityHistoryServer3.0\stat.dll© Sync=©0© OID=©</v>
      </c>
      <c r="E155" t="s">
        <v>2303</v>
      </c>
      <c r="F155" t="s">
        <v>2655</v>
      </c>
    </row>
    <row r="156" spans="1:6">
      <c r="A156" t="s">
        <v>2302</v>
      </c>
      <c r="C156" t="str">
        <f t="shared" si="6"/>
        <v>© NickName=©C:\Program Files\EleSy\SCADA Infinity\InfinityHistoryServer3.0\hcsipclnt.dll© Path=©C:\Program Files\EleSy\SCADA Infinity\InfinityHistoryServer3.0\hcsipclnt.dll© Sync=©0© OID=©</v>
      </c>
      <c r="E156" t="s">
        <v>2303</v>
      </c>
      <c r="F156" t="s">
        <v>2656</v>
      </c>
    </row>
    <row r="157" spans="1:6">
      <c r="A157" t="s">
        <v>2302</v>
      </c>
      <c r="C157" t="str">
        <f t="shared" si="6"/>
        <v>© NickName=©C:\Program Files\EleSy\SCADA Infinity\InfinityHistoryServer3.0\appmgr.dll© Path=©C:\Program Files\EleSy\SCADA Infinity\InfinityHistoryServer3.0\appmgr.dll© Sync=©0© OID=©</v>
      </c>
      <c r="E157" t="s">
        <v>2303</v>
      </c>
      <c r="F157" t="s">
        <v>2657</v>
      </c>
    </row>
    <row r="158" spans="1:6">
      <c r="A158" t="s">
        <v>2302</v>
      </c>
      <c r="C158" t="str">
        <f t="shared" si="6"/>
        <v>© NickName=©C:\Program Files\EleSy\SCADA Infinity\InfinityHistoryServer3.0\clsfac.dll© Path=©C:\Program Files\EleSy\SCADA Infinity\InfinityHistoryServer3.0\clsfac.dll© Sync=©0© OID=©</v>
      </c>
      <c r="E158" t="s">
        <v>2303</v>
      </c>
      <c r="F158" t="s">
        <v>2658</v>
      </c>
    </row>
    <row r="159" spans="1:6">
      <c r="A159" t="s">
        <v>2302</v>
      </c>
      <c r="C159" t="str">
        <f t="shared" si="6"/>
        <v>© NickName=©C:\Program Files\EleSy\SCADA Infinity\InfinityHistoryServer3.0\storage.dll© Path=©C:\Program Files\EleSy\SCADA Infinity\InfinityHistoryServer3.0\storage.dll© Sync=©0© OID=©</v>
      </c>
      <c r="E159" t="s">
        <v>2303</v>
      </c>
      <c r="F159" t="s">
        <v>2659</v>
      </c>
    </row>
    <row r="160" spans="1:6">
      <c r="A160" t="s">
        <v>2302</v>
      </c>
      <c r="C160" t="str">
        <f t="shared" si="6"/>
        <v>© NickName=©C:\Program Files\EleSy\SCADA Infinity\InfinityHistoryServer3.0\opchda.dll© Path=©C:\Program Files\EleSy\SCADA Infinity\InfinityHistoryServer3.0\opchda.dll© Sync=©0© OID=©</v>
      </c>
      <c r="E160" t="s">
        <v>2303</v>
      </c>
      <c r="F160" t="s">
        <v>2660</v>
      </c>
    </row>
    <row r="161" spans="1:6">
      <c r="A161" t="s">
        <v>2302</v>
      </c>
      <c r="C161" t="str">
        <f t="shared" si="6"/>
        <v>© NickName=©C:\Program Files\EleSy\SCADA Infinity\InfinityHistoryServer3.0\hcsipsvr.dll© Path=©C:\Program Files\EleSy\SCADA Infinity\InfinityHistoryServer3.0\hcsipsvr.dll© Sync=©0© OID=©</v>
      </c>
      <c r="E161" t="s">
        <v>2303</v>
      </c>
      <c r="F161" t="s">
        <v>2661</v>
      </c>
    </row>
    <row r="162" spans="1:6">
      <c r="A162" t="s">
        <v>2302</v>
      </c>
      <c r="C162" t="str">
        <f t="shared" si="6"/>
        <v>© NickName=©C:\Program Files\EleSy\SCADA Infinity\InfinityHistoryServer3.0\hae.dll© Path=©C:\Program Files\EleSy\SCADA Infinity\InfinityHistoryServer3.0\hae.dll© Sync=©0© OID=©</v>
      </c>
      <c r="E162" t="s">
        <v>2303</v>
      </c>
      <c r="F162" t="s">
        <v>2662</v>
      </c>
    </row>
    <row r="163" spans="1:6">
      <c r="A163" t="s">
        <v>2302</v>
      </c>
      <c r="C163" t="str">
        <f t="shared" si="6"/>
        <v>© NickName=©C:\Windows\system32\haeps.dll© Path=©C:\Windows\system32\haeps.dll© Sync=©0© OID=©</v>
      </c>
      <c r="E163" t="s">
        <v>2303</v>
      </c>
      <c r="F163" t="s">
        <v>1982</v>
      </c>
    </row>
    <row r="164" spans="1:6">
      <c r="A164" t="s">
        <v>2302</v>
      </c>
      <c r="C164" t="str">
        <f t="shared" si="6"/>
        <v>© NickName=©C:\Windows\system32\EleSyLogging.dll© Path=©C:\Windows\system32\EleSyLogging.dll© Sync=©0© OID=©</v>
      </c>
      <c r="E164" t="s">
        <v>2303</v>
      </c>
      <c r="F164" t="s">
        <v>2048</v>
      </c>
    </row>
    <row r="165" spans="1:6">
      <c r="A165" t="s">
        <v>2302</v>
      </c>
      <c r="C165" t="str">
        <f t="shared" si="6"/>
        <v>© NickName=©C:\Windows\system32\log2.dll© Path=©C:\Windows\system32\log2.dll© Sync=©0© OID=©</v>
      </c>
      <c r="E165" t="s">
        <v>2303</v>
      </c>
      <c r="F165" t="s">
        <v>2000</v>
      </c>
    </row>
    <row r="166" spans="1:6">
      <c r="A166" t="s">
        <v>2302</v>
      </c>
      <c r="C166" t="str">
        <f t="shared" si="6"/>
        <v>© NickName=©C:\Windows\SysWOW64\TCPNetModule.dll© Path=©C:\Windows\SysWOW64\TCPNetModule.dll© Sync=©0© OID=©</v>
      </c>
      <c r="E166" t="s">
        <v>2303</v>
      </c>
      <c r="F166" t="s">
        <v>2056</v>
      </c>
    </row>
    <row r="167" spans="1:6">
      <c r="A167" t="s">
        <v>2302</v>
      </c>
      <c r="C167" t="str">
        <f t="shared" si="6"/>
        <v>© NickName=©C:\Windows\system32\TCPNetModule.dll© Path=©C:\Windows\system32\TCPNetModule.dll© Sync=©0© OID=©</v>
      </c>
      <c r="E167" t="s">
        <v>2303</v>
      </c>
      <c r="F167" t="s">
        <v>2057</v>
      </c>
    </row>
    <row r="168" spans="1:6">
      <c r="A168" t="s">
        <v>2302</v>
      </c>
      <c r="C168" t="str">
        <f t="shared" si="6"/>
        <v>© NickName=©C:\Windows\system32\appfrmwrk.dll© Path=©C:\Windows\system32\appfrmwrk.dll© Sync=©0© OID=©</v>
      </c>
      <c r="E168" t="s">
        <v>2303</v>
      </c>
      <c r="F168" t="s">
        <v>2045</v>
      </c>
    </row>
    <row r="169" spans="1:6">
      <c r="A169" t="s">
        <v>2302</v>
      </c>
      <c r="C169" t="str">
        <f t="shared" si="6"/>
        <v>© NickName=©C:\Windows\SysWOW64\haeps.dll© Path=©C:\Windows\SysWOW64\haeps.dll© Sync=©0© OID=©</v>
      </c>
      <c r="E169" t="s">
        <v>2303</v>
      </c>
      <c r="F169" t="s">
        <v>2058</v>
      </c>
    </row>
    <row r="170" spans="1:6">
      <c r="A170" t="s">
        <v>2302</v>
      </c>
      <c r="C170" t="str">
        <f t="shared" si="6"/>
        <v>© NickName=©C:\Windows\SysWOW64\svrappmgt_ps.dll© Path=©C:\Windows\SysWOW64\svrappmgt_ps.dll© Sync=©0© OID=©</v>
      </c>
      <c r="E170" t="s">
        <v>2303</v>
      </c>
      <c r="F170" t="s">
        <v>2059</v>
      </c>
    </row>
    <row r="171" spans="1:6">
      <c r="A171" t="s">
        <v>2302</v>
      </c>
      <c r="C171" t="str">
        <f t="shared" si="6"/>
        <v>© NickName=©C:\Program Files (x86)\EleSy\SCADA Infinity\InfinityHistoryServer3.0\hsvrkrnl.dll© Path=©C:\Program Files (x86)\EleSy\SCADA Infinity\InfinityHistoryServer3.0\hsvrkrnl.dll© Sync=©0© OID=©</v>
      </c>
      <c r="E171" t="s">
        <v>2303</v>
      </c>
      <c r="F171" t="s">
        <v>2017</v>
      </c>
    </row>
    <row r="172" spans="1:6">
      <c r="A172" t="s">
        <v>2302</v>
      </c>
      <c r="C172" t="str">
        <f t="shared" si="6"/>
        <v>© NickName=©C:\Program Files (x86)\EleSy\SCADA Infinity\InfinityHistoryServer3.0\config.dll© Path=©C:\Program Files (x86)\EleSy\SCADA Infinity\InfinityHistoryServer3.0\config.dll© Sync=©0© OID=©</v>
      </c>
      <c r="E172" t="s">
        <v>2303</v>
      </c>
      <c r="F172" t="s">
        <v>2015</v>
      </c>
    </row>
    <row r="173" spans="1:6">
      <c r="A173" t="s">
        <v>2302</v>
      </c>
      <c r="C173" t="str">
        <f t="shared" si="6"/>
        <v>© NickName=©C:\Program Files (x86)\EleSy\SCADA Infinity\InfinityHistoryServer3.0\datsprt.dll© Path=©C:\Program Files (x86)\EleSy\SCADA Infinity\InfinityHistoryServer3.0\datsprt.dll© Sync=©0© OID=©</v>
      </c>
      <c r="E173" t="s">
        <v>2303</v>
      </c>
      <c r="F173" t="s">
        <v>2014</v>
      </c>
    </row>
    <row r="174" spans="1:6">
      <c r="A174" t="s">
        <v>2302</v>
      </c>
      <c r="C174" t="str">
        <f t="shared" si="6"/>
        <v>© NickName=©C:\Windows\SysWOW64\afinprocsvchost.dll© Path=©C:\Windows\SysWOW64\afinprocsvchost.dll© Sync=©0© OID=©</v>
      </c>
      <c r="E174" t="s">
        <v>2303</v>
      </c>
      <c r="F174" t="s">
        <v>2060</v>
      </c>
    </row>
    <row r="175" spans="1:6">
      <c r="A175" t="s">
        <v>2302</v>
      </c>
      <c r="C175" t="str">
        <f t="shared" si="6"/>
        <v>© NickName=©C:\Program Files (x86)\EleSy\SCADA Infinity\InfinityTools\InfinityCompleteness.exe© Path=©C:\Program Files (x86)\EleSy\SCADA Infinity\InfinityTools\InfinityCompleteness.exe© Sync=©0© OID=©</v>
      </c>
      <c r="E175" t="s">
        <v>2303</v>
      </c>
      <c r="F175" t="s">
        <v>1988</v>
      </c>
    </row>
    <row r="176" spans="1:6">
      <c r="A176" t="s">
        <v>2302</v>
      </c>
      <c r="C176" t="str">
        <f t="shared" si="6"/>
        <v>© NickName=©C:\Program Files (x86)\EleSy\SCADA Infinity\InfinityTools\ignore.files© Path=©C:\Program Files (x86)\EleSy\SCADA Infinity\InfinityTools\ignore.files© Sync=©0© OID=©</v>
      </c>
      <c r="E176" t="s">
        <v>2303</v>
      </c>
      <c r="F176" t="s">
        <v>1989</v>
      </c>
    </row>
    <row r="177" spans="1:6">
      <c r="A177" t="s">
        <v>2302</v>
      </c>
      <c r="C177" t="str">
        <f t="shared" si="6"/>
        <v>© NickName=©C:\Windows\SysWOW64\borlndmm.dll© Path=©C:\Windows\SysWOW64\borlndmm.dll© Sync=©0© OID=©</v>
      </c>
      <c r="E177" t="s">
        <v>2303</v>
      </c>
      <c r="F177" t="s">
        <v>2061</v>
      </c>
    </row>
    <row r="178" spans="1:6">
      <c r="A178" t="s">
        <v>2302</v>
      </c>
      <c r="C178" t="str">
        <f t="shared" si="6"/>
        <v>© NickName=©C:\Program Files (x86)\EleSy\SCADA Infinity\InfinityTools\LogViewer\LogViewer.exe© Path=©C:\Program Files (x86)\EleSy\SCADA Infinity\InfinityTools\LogViewer\LogViewer.exe© Sync=©0© OID=©</v>
      </c>
      <c r="E178" t="s">
        <v>2303</v>
      </c>
      <c r="F178" t="s">
        <v>1999</v>
      </c>
    </row>
    <row r="179" spans="1:6">
      <c r="A179" t="s">
        <v>2302</v>
      </c>
      <c r="C179" t="str">
        <f t="shared" si="6"/>
        <v>© NickName=©C:\Windows\SysWOW64\log2.dll© Path=©C:\Windows\SysWOW64\log2.dll© Sync=©0© OID=©</v>
      </c>
      <c r="E179" t="s">
        <v>2303</v>
      </c>
      <c r="F179" t="s">
        <v>2062</v>
      </c>
    </row>
    <row r="180" spans="1:6">
      <c r="A180" t="s">
        <v>2302</v>
      </c>
      <c r="C180" t="str">
        <f t="shared" si="6"/>
        <v>© NickName=©C:\Windows\SysWOW64\EleSyLogging.dll© Path=©C:\Windows\SysWOW64\EleSyLogging.dll© Sync=©0© OID=©</v>
      </c>
      <c r="E180" t="s">
        <v>2303</v>
      </c>
      <c r="F180" t="s">
        <v>2063</v>
      </c>
    </row>
    <row r="181" spans="1:6">
      <c r="A181" t="s">
        <v>2302</v>
      </c>
      <c r="C181" t="str">
        <f t="shared" si="6"/>
        <v>© NickName=©C:\Program Files (x86)\EleSy\SCADA Infinity\InfinityTools\ViewEventLog.exe© Path=©C:\Program Files (x86)\EleSy\SCADA Infinity\InfinityTools\ViewEventLog.exe© Sync=©0© OID=©</v>
      </c>
      <c r="E181" t="s">
        <v>2303</v>
      </c>
      <c r="F181" t="s">
        <v>2049</v>
      </c>
    </row>
    <row r="182" spans="1:6">
      <c r="A182" t="s">
        <v>2302</v>
      </c>
      <c r="C182" t="str">
        <f t="shared" si="6"/>
        <v>© NickName=©C:\Program Files (x86)\EleSy\SCADA Infinity\InfinityTools\EleSyStatViewer.exe© Path=©C:\Program Files (x86)\EleSy\SCADA Infinity\InfinityTools\EleSyStatViewer.exe© Sync=©0© OID=©</v>
      </c>
      <c r="E182" t="s">
        <v>2303</v>
      </c>
      <c r="F182" t="s">
        <v>2050</v>
      </c>
    </row>
    <row r="183" spans="1:6">
      <c r="A183" t="s">
        <v>2302</v>
      </c>
      <c r="C183" t="str">
        <f t="shared" si="6"/>
        <v>© NickName=©C:\Program Files\Common Files\EleSy\System\EleSyStatistic.dll© Path=©C:\Program Files\Common Files\EleSy\System\EleSyStatistic.dll© Sync=©0© OID=©</v>
      </c>
      <c r="E183" t="s">
        <v>2303</v>
      </c>
      <c r="F183" t="s">
        <v>2637</v>
      </c>
    </row>
    <row r="184" spans="1:6">
      <c r="A184" t="s">
        <v>2302</v>
      </c>
      <c r="C184" t="str">
        <f t="shared" si="6"/>
        <v>© NickName=©C:\Program Files (x86)\Common Files\EleSy\System\EleSyStatistic.dll© Path=©C:\Program Files (x86)\Common Files\EleSy\System\EleSyStatistic.dll© Sync=©0© OID=©</v>
      </c>
      <c r="E184" t="s">
        <v>2303</v>
      </c>
      <c r="F184" t="s">
        <v>2051</v>
      </c>
    </row>
    <row r="185" spans="1:6">
      <c r="A185" t="s">
        <v>2302</v>
      </c>
      <c r="C185" t="str">
        <f t="shared" si="6"/>
        <v>© NickName=©C:\Program Files (x86)\EleSy\SCADA Infinity\InfinityTools\HotReserveManager.exe© Path=©C:\Program Files (x86)\EleSy\SCADA Infinity\InfinityTools\HotReserveManager.exe© Sync=©0© OID=©</v>
      </c>
      <c r="E185" t="s">
        <v>2303</v>
      </c>
      <c r="F185" t="s">
        <v>2001</v>
      </c>
    </row>
    <row r="186" spans="1:6">
      <c r="A186" t="s">
        <v>2302</v>
      </c>
      <c r="C186" t="str">
        <f t="shared" si="6"/>
        <v>© NickName=©C:\Windows\SysWOW64\log2.dll© Path=©C:\Windows\SysWOW64\log2.dll© Sync=©0© OID=©</v>
      </c>
      <c r="E186" t="s">
        <v>2303</v>
      </c>
      <c r="F186" t="s">
        <v>2062</v>
      </c>
    </row>
    <row r="187" spans="1:6">
      <c r="A187" t="s">
        <v>2302</v>
      </c>
      <c r="C187" t="str">
        <f t="shared" si="6"/>
        <v>© NickName=©C:\Program Files (x86)\Common Files\EleSy\System\SecurityCtx_PS.dll© Path=©C:\Program Files (x86)\Common Files\EleSy\System\SecurityCtx_PS.dll© Sync=©0© OID=©</v>
      </c>
      <c r="E187" t="s">
        <v>2303</v>
      </c>
      <c r="F187" t="s">
        <v>2002</v>
      </c>
    </row>
    <row r="188" spans="1:6">
      <c r="A188" t="s">
        <v>2302</v>
      </c>
      <c r="C188" t="str">
        <f t="shared" si="6"/>
        <v>© NickName=©C:\Windows\SysWOW64\SecurityEditor.dll© Path=©C:\Windows\SysWOW64\SecurityEditor.dll© Sync=©0© OID=©</v>
      </c>
      <c r="E188" t="s">
        <v>2303</v>
      </c>
      <c r="F188" t="s">
        <v>2065</v>
      </c>
    </row>
    <row r="189" spans="1:6">
      <c r="A189" t="s">
        <v>2302</v>
      </c>
      <c r="C189" t="str">
        <f t="shared" si="6"/>
        <v>© NickName=©C:\Program Files\Common Files\EleSy\System\SecurityMgt_PS.dll© Path=©C:\Program Files\Common Files\EleSy\System\SecurityMgt_PS.dll© Sync=©0© OID=©</v>
      </c>
      <c r="E189" t="s">
        <v>2303</v>
      </c>
      <c r="F189" t="s">
        <v>2621</v>
      </c>
    </row>
    <row r="190" spans="1:6">
      <c r="A190" t="s">
        <v>2302</v>
      </c>
      <c r="C190" t="str">
        <f t="shared" si="6"/>
        <v>© NickName=©C:\Program Files (x86)\Common Files\EleSy\System\SecurityMgt_PS.dll© Path=©C:\Program Files (x86)\Common Files\EleSy\System\SecurityMgt_PS.dll© Sync=©0© OID=©</v>
      </c>
      <c r="E190" t="s">
        <v>2303</v>
      </c>
      <c r="F190" t="s">
        <v>2003</v>
      </c>
    </row>
    <row r="191" spans="1:6">
      <c r="A191" t="s">
        <v>2302</v>
      </c>
      <c r="C191" t="str">
        <f t="shared" si="6"/>
        <v>© NickName=©C:\Windows\SysWOW64\dnaccbrw.dll© Path=©C:\Windows\SysWOW64\dnaccbrw.dll© Sync=©0© OID=©</v>
      </c>
      <c r="E191" t="s">
        <v>2303</v>
      </c>
      <c r="F191" t="s">
        <v>2064</v>
      </c>
    </row>
    <row r="192" spans="1:6">
      <c r="A192" t="s">
        <v>2302</v>
      </c>
      <c r="C192" t="str">
        <f t="shared" si="6"/>
        <v>© NickName=©C:\Program Files (x86)\Common Files\EleSy\Infinity\Resources\ru\hagentmc.dll.ru© Path=©C:\Program Files (x86)\Common Files\EleSy\Infinity\Resources\ru\hagentmc.dll.ru© Sync=©0© OID=©</v>
      </c>
      <c r="E192" t="s">
        <v>2303</v>
      </c>
      <c r="F192" t="s">
        <v>2004</v>
      </c>
    </row>
    <row r="193" spans="1:6">
      <c r="A193" t="s">
        <v>2302</v>
      </c>
      <c r="C193" t="str">
        <f t="shared" ref="C193:C208" si="7">"© NickName=©"&amp;F193&amp;"© Path=©"&amp;F193&amp;"© Sync=©0© OID=©"</f>
        <v>© NickName=©C:\Windows\system32\hagentps.dll© Path=©C:\Windows\system32\hagentps.dll© Sync=©0© OID=©</v>
      </c>
      <c r="E193" t="s">
        <v>2303</v>
      </c>
      <c r="F193" t="s">
        <v>2005</v>
      </c>
    </row>
    <row r="194" spans="1:6">
      <c r="A194" t="s">
        <v>2302</v>
      </c>
      <c r="C194" t="str">
        <f t="shared" si="7"/>
        <v>© NickName=©C:\Windows\SysWOW64\hagentps.dll© Path=©C:\Windows\SysWOW64\hagentps.dll© Sync=©0© OID=©</v>
      </c>
      <c r="E194" t="s">
        <v>2303</v>
      </c>
      <c r="F194" t="s">
        <v>2066</v>
      </c>
    </row>
    <row r="195" spans="1:6">
      <c r="A195" t="s">
        <v>2302</v>
      </c>
      <c r="C195" t="str">
        <f t="shared" si="7"/>
        <v>© NickName=©C:\Windows\system32\Localize.dll© Path=©C:\Windows\system32\Localize.dll© Sync=©0© OID=©</v>
      </c>
      <c r="E195" t="s">
        <v>2303</v>
      </c>
      <c r="F195" t="s">
        <v>1990</v>
      </c>
    </row>
    <row r="196" spans="1:6">
      <c r="A196" t="s">
        <v>2302</v>
      </c>
      <c r="C196" t="str">
        <f t="shared" si="7"/>
        <v>© NickName=©C:\Windows\SysWOW64\Localize.dll© Path=©C:\Windows\SysWOW64\Localize.dll© Sync=©0© OID=©</v>
      </c>
      <c r="E196" t="s">
        <v>2303</v>
      </c>
      <c r="F196" t="s">
        <v>2067</v>
      </c>
    </row>
    <row r="197" spans="1:6">
      <c r="A197" t="s">
        <v>2302</v>
      </c>
      <c r="C197" t="str">
        <f t="shared" si="7"/>
        <v>© NickName=©C:\Windows\SysWOW64\msvcp60.dll© Path=©C:\Windows\SysWOW64\msvcp60.dll© Sync=©0© OID=©</v>
      </c>
      <c r="E197" t="s">
        <v>2303</v>
      </c>
      <c r="F197" t="s">
        <v>2068</v>
      </c>
    </row>
    <row r="198" spans="1:6">
      <c r="A198" t="s">
        <v>2302</v>
      </c>
      <c r="C198" t="str">
        <f t="shared" si="7"/>
        <v>© NickName=©C:\Windows\SysWOW64\msxml4.dll© Path=©C:\Windows\SysWOW64\msxml4.dll© Sync=©0© OID=©</v>
      </c>
      <c r="E198" t="s">
        <v>2303</v>
      </c>
      <c r="F198" t="s">
        <v>2069</v>
      </c>
    </row>
    <row r="199" spans="1:6">
      <c r="A199" t="s">
        <v>2302</v>
      </c>
      <c r="C199" t="str">
        <f t="shared" si="7"/>
        <v>© NickName=©C:\Windows\SysWOW64\msxml4r.dll© Path=©C:\Windows\SysWOW64\msxml4r.dll© Sync=©0© OID=©</v>
      </c>
      <c r="E199" t="s">
        <v>2303</v>
      </c>
      <c r="F199" t="s">
        <v>2070</v>
      </c>
    </row>
    <row r="200" spans="1:6">
      <c r="A200" t="s">
        <v>2302</v>
      </c>
      <c r="C200" t="str">
        <f t="shared" si="7"/>
        <v>© NickName=©C:\Program Files (x86)\EleSy\SCADA Infinity\InfinityTools\SystemCnfg.exe© Path=©C:\Program Files (x86)\EleSy\SCADA Infinity\InfinityTools\SystemCnfg.exe© Sync=©0© OID=©</v>
      </c>
      <c r="E200" t="s">
        <v>2303</v>
      </c>
      <c r="F200" t="s">
        <v>1991</v>
      </c>
    </row>
    <row r="201" spans="1:6">
      <c r="A201" t="s">
        <v>2302</v>
      </c>
      <c r="C201" t="str">
        <f t="shared" si="7"/>
        <v>© NickName=©C:\Program Files (x86)\EleSy\SCADA Infinity\InfinityTools\SystemCnfg.dat© Path=©C:\Program Files (x86)\EleSy\SCADA Infinity\InfinityTools\SystemCnfg.dat© Sync=©0© OID=©</v>
      </c>
      <c r="E201" t="s">
        <v>2303</v>
      </c>
      <c r="F201" t="s">
        <v>1992</v>
      </c>
    </row>
    <row r="202" spans="1:6">
      <c r="A202" t="s">
        <v>2302</v>
      </c>
      <c r="C202" t="str">
        <f t="shared" si="7"/>
        <v>© NickName=©C:\Program Files\EleSy\SCADA Infinity\InfinityHistoryServer3.0\hs2xdb.dll© Path=©C:\Program Files\EleSy\SCADA Infinity\InfinityHistoryServer3.0\hs2xdb.dll© Sync=©0© OID=©</v>
      </c>
      <c r="E202" t="s">
        <v>2303</v>
      </c>
      <c r="F202" t="s">
        <v>2663</v>
      </c>
    </row>
    <row r="203" spans="1:6">
      <c r="A203" t="s">
        <v>2302</v>
      </c>
      <c r="C203" t="str">
        <f t="shared" si="7"/>
        <v>© NickName=©C:\Program Files\EleSy\SCADA Infinity\InfinityHistoryServer3.0\hdw.dll© Path=©C:\Program Files\EleSy\SCADA Infinity\InfinityHistoryServer3.0\hdw.dll© Sync=©0© OID=©</v>
      </c>
      <c r="E203" t="s">
        <v>2303</v>
      </c>
      <c r="F203" t="s">
        <v>2664</v>
      </c>
    </row>
    <row r="204" spans="1:6">
      <c r="A204" t="s">
        <v>2302</v>
      </c>
      <c r="C204" t="str">
        <f t="shared" si="7"/>
        <v>© NickName=©C:\Program Files\EleSy\SCADA Infinity\InfinityHistoryServer3.0\hcvtlib.dll© Path=©C:\Program Files\EleSy\SCADA Infinity\InfinityHistoryServer3.0\hcvtlib.dll© Sync=©0© OID=©</v>
      </c>
      <c r="E204" t="s">
        <v>2303</v>
      </c>
      <c r="F204" t="s">
        <v>2665</v>
      </c>
    </row>
    <row r="205" spans="1:6">
      <c r="A205" t="s">
        <v>2302</v>
      </c>
      <c r="C205" t="str">
        <f t="shared" si="7"/>
        <v>© NickName=©C:\Program Files\EleSy\SCADA Infinity\InfinityHistoryServer3.0\ibcvt.dll© Path=©C:\Program Files\EleSy\SCADA Infinity\InfinityHistoryServer3.0\ibcvt.dll© Sync=©0© OID=©</v>
      </c>
      <c r="E205" t="s">
        <v>2303</v>
      </c>
      <c r="F205" t="s">
        <v>2666</v>
      </c>
    </row>
    <row r="206" spans="1:6">
      <c r="A206" t="s">
        <v>2302</v>
      </c>
      <c r="C206" t="str">
        <f t="shared" si="7"/>
        <v>© NickName=©C:\Program Files\EleSy\SCADA Infinity\InfinityHistoryServer3.0\hsvr.exe© Path=©C:\Program Files\EleSy\SCADA Infinity\InfinityHistoryServer3.0\hsvr.exe© Sync=©0© OID=©</v>
      </c>
      <c r="E206" t="s">
        <v>2303</v>
      </c>
      <c r="F206" t="s">
        <v>2667</v>
      </c>
    </row>
    <row r="207" spans="1:6">
      <c r="A207" t="s">
        <v>2302</v>
      </c>
      <c r="C207" t="str">
        <f t="shared" si="7"/>
        <v>© NickName=©C:\Windows\SysWOW64\usp.dll© Path=©C:\Windows\SysWOW64\usp.dll© Sync=©0© OID=©</v>
      </c>
      <c r="E207" t="s">
        <v>2303</v>
      </c>
      <c r="F207" t="s">
        <v>2071</v>
      </c>
    </row>
    <row r="208" spans="1:6">
      <c r="A208" t="s">
        <v>2302</v>
      </c>
      <c r="C208" t="str">
        <f t="shared" si="7"/>
        <v>© NickName=©C:\Windows\SysWOW64\ihflib.dll© Path=©C:\Windows\SysWOW64\ihflib.dll© Sync=©0© OID=©</v>
      </c>
      <c r="E208" t="s">
        <v>2303</v>
      </c>
      <c r="F208" t="s">
        <v>2072</v>
      </c>
    </row>
    <row r="209" spans="1:6">
      <c r="A209" s="690" t="s">
        <v>1969</v>
      </c>
      <c r="B209" s="690"/>
      <c r="C209" s="690"/>
      <c r="D209" s="690"/>
      <c r="E209" s="690"/>
      <c r="F209" s="690" t="s">
        <v>1969</v>
      </c>
    </row>
    <row r="210" spans="1:6">
      <c r="A210" t="s">
        <v>2302</v>
      </c>
      <c r="C210" t="str">
        <f t="shared" ref="C210:C267" si="8">"© NickName=©"&amp;F210&amp;"© Path=©"&amp;F210&amp;"© Sync=©0© OID=©"</f>
        <v>© NickName=©C:\Program Files (x86)\Common Files\Aladdin Shared\Hasp\haspvlib_61937.dll© Path=©C:\Program Files (x86)\Common Files\Aladdin Shared\Hasp\haspvlib_61937.dll© Sync=©0© OID=©</v>
      </c>
      <c r="E210" t="s">
        <v>2303</v>
      </c>
      <c r="F210" t="s">
        <v>1983</v>
      </c>
    </row>
    <row r="211" spans="1:6">
      <c r="A211" t="s">
        <v>2302</v>
      </c>
      <c r="C211" t="str">
        <f t="shared" si="8"/>
        <v>© NickName=©C:\Program Files (x86)\EleSy\SCADA Infinity\InfinityHMI\HMISecurityAdapter.dll© Path=©C:\Program Files (x86)\EleSy\SCADA Infinity\InfinityHMI\HMISecurityAdapter.dll© Sync=©0© OID=©</v>
      </c>
      <c r="E211" t="s">
        <v>2303</v>
      </c>
      <c r="F211" t="s">
        <v>2073</v>
      </c>
    </row>
    <row r="212" spans="1:6">
      <c r="A212" t="s">
        <v>2302</v>
      </c>
      <c r="C212" t="str">
        <f t="shared" si="8"/>
        <v>© NickName=©C:\Program Files (x86)\EleSy\SCADA Infinity\InfinityHMI\InfinityHMI.exe© Path=©C:\Program Files (x86)\EleSy\SCADA Infinity\InfinityHMI\InfinityHMI.exe© Sync=©0© OID=©</v>
      </c>
      <c r="E212" t="s">
        <v>2303</v>
      </c>
      <c r="F212" t="s">
        <v>2074</v>
      </c>
    </row>
    <row r="213" spans="1:6">
      <c r="A213" t="s">
        <v>2302</v>
      </c>
      <c r="C213" t="str">
        <f t="shared" si="8"/>
        <v>© NickName=©C:\Windows\SysWOW64\OPCDAAuto.dll© Path=©C:\Windows\SysWOW64\OPCDAAuto.dll© Sync=©0© OID=©</v>
      </c>
      <c r="E213" t="s">
        <v>2303</v>
      </c>
      <c r="F213" t="s">
        <v>2868</v>
      </c>
    </row>
    <row r="214" spans="1:6">
      <c r="A214" t="s">
        <v>2302</v>
      </c>
      <c r="C214" t="str">
        <f t="shared" si="8"/>
        <v>© NickName=©C:\Program Files (x86)\Common Files\Microsoft Shared\VBA\VBA6\VBE6.DLL© Path=©C:\Program Files (x86)\Common Files\Microsoft Shared\VBA\VBA6\VBE6.DLL© Sync=©0© OID=©</v>
      </c>
      <c r="E214" t="s">
        <v>2303</v>
      </c>
      <c r="F214" t="s">
        <v>2075</v>
      </c>
    </row>
    <row r="215" spans="1:6">
      <c r="A215" t="s">
        <v>2302</v>
      </c>
      <c r="C215" t="str">
        <f t="shared" si="8"/>
        <v>© NickName=©C:\Program Files (x86)\EleSy\SCADA Infinity\InfinityHMI\WebHMIRegUtil.exe© Path=©C:\Program Files (x86)\EleSy\SCADA Infinity\InfinityHMI\WebHMIRegUtil.exe© Sync=©0© OID=©</v>
      </c>
      <c r="E215" t="s">
        <v>2303</v>
      </c>
      <c r="F215" t="s">
        <v>2076</v>
      </c>
    </row>
    <row r="216" spans="1:6">
      <c r="A216" t="s">
        <v>2302</v>
      </c>
      <c r="C216" t="str">
        <f t="shared" si="8"/>
        <v>© NickName=©C:\Windows\SysWOW64\OPCUAClientLibWrapperNew.dll© Path=©C:\Windows\SysWOW64\OPCUAClientLibWrapperNew.dll© Sync=©0© OID=©</v>
      </c>
      <c r="E216" t="s">
        <v>2303</v>
      </c>
      <c r="F216" t="s">
        <v>2860</v>
      </c>
    </row>
    <row r="217" spans="1:6">
      <c r="A217" t="s">
        <v>2302</v>
      </c>
      <c r="C217" t="str">
        <f t="shared" si="8"/>
        <v>© NickName=©C:\Program Files (x86)\EleSy\SCADA Infinity\InfinityHMI\InfinityHMIOle.tlb© Path=©C:\Program Files (x86)\EleSy\SCADA Infinity\InfinityHMI\InfinityHMIOle.tlb© Sync=©0© OID=©</v>
      </c>
      <c r="E217" t="s">
        <v>2303</v>
      </c>
      <c r="F217" t="s">
        <v>2077</v>
      </c>
    </row>
    <row r="218" spans="1:6">
      <c r="A218" t="s">
        <v>2302</v>
      </c>
      <c r="C218" t="str">
        <f t="shared" si="8"/>
        <v>© NickName=©C:\Program Files (x86)\Common Files\Microsoft Shared\VBA\VBA6\APC63.dll© Path=©C:\Program Files (x86)\Common Files\Microsoft Shared\VBA\VBA6\APC63.dll© Sync=©0© OID=©</v>
      </c>
      <c r="E218" t="s">
        <v>2303</v>
      </c>
      <c r="F218" t="s">
        <v>2078</v>
      </c>
    </row>
    <row r="219" spans="1:6">
      <c r="A219" t="s">
        <v>2302</v>
      </c>
      <c r="C219" t="str">
        <f t="shared" si="8"/>
        <v>© NickName=©C:\Program Files (x86)\Common Files\Microsoft Shared\VBA\VBA6\1033\APC60itl.dll© Path=©C:\Program Files (x86)\Common Files\Microsoft Shared\VBA\VBA6\1033\APC60itl.dll© Sync=©0© OID=©</v>
      </c>
      <c r="E219" t="s">
        <v>2303</v>
      </c>
      <c r="F219" t="s">
        <v>2079</v>
      </c>
    </row>
    <row r="220" spans="1:6">
      <c r="A220" t="s">
        <v>2302</v>
      </c>
      <c r="C220" t="str">
        <f t="shared" si="8"/>
        <v>© NickName=©C:\Windows\SysWOW64\comcat.dll© Path=©C:\Windows\SysWOW64\comcat.dll© Sync=©0© OID=©</v>
      </c>
      <c r="E220" t="s">
        <v>2303</v>
      </c>
      <c r="F220" t="s">
        <v>2869</v>
      </c>
    </row>
    <row r="221" spans="1:6">
      <c r="A221" t="s">
        <v>2302</v>
      </c>
      <c r="C221" t="str">
        <f t="shared" si="8"/>
        <v>© NickName=©C:\Program Files (x86)\EleSy\SCADA Infinity\InfinityTools\InfinityCompleteness.exe© Path=©C:\Program Files (x86)\EleSy\SCADA Infinity\InfinityTools\InfinityCompleteness.exe© Sync=©0© OID=©</v>
      </c>
      <c r="E221" t="s">
        <v>2303</v>
      </c>
      <c r="F221" t="s">
        <v>1988</v>
      </c>
    </row>
    <row r="222" spans="1:6">
      <c r="A222" t="s">
        <v>2302</v>
      </c>
      <c r="C222" t="str">
        <f t="shared" si="8"/>
        <v>© NickName=©C:\Program Files (x86)\EleSy\SCADA Infinity\InfinityTools\ignore.files© Path=©C:\Program Files (x86)\EleSy\SCADA Infinity\InfinityTools\ignore.files© Sync=©0© OID=©</v>
      </c>
      <c r="E222" t="s">
        <v>2303</v>
      </c>
      <c r="F222" t="s">
        <v>1989</v>
      </c>
    </row>
    <row r="223" spans="1:6">
      <c r="A223" t="s">
        <v>2302</v>
      </c>
      <c r="C223" t="str">
        <f t="shared" si="8"/>
        <v>© NickName=©C:\Windows\SysWOW64\Localize.dll© Path=©C:\Windows\SysWOW64\Localize.dll© Sync=©0© OID=©</v>
      </c>
      <c r="E223" t="s">
        <v>2303</v>
      </c>
      <c r="F223" t="s">
        <v>2067</v>
      </c>
    </row>
    <row r="224" spans="1:6">
      <c r="A224" t="s">
        <v>2302</v>
      </c>
      <c r="C224" t="str">
        <f t="shared" si="8"/>
        <v>© NickName=©C:\Windows\SysWOW64\msvcp60.dll© Path=©C:\Windows\SysWOW64\msvcp60.dll© Sync=©0© OID=©</v>
      </c>
      <c r="E224" t="s">
        <v>2303</v>
      </c>
      <c r="F224" t="s">
        <v>2068</v>
      </c>
    </row>
    <row r="225" spans="1:6">
      <c r="A225" t="s">
        <v>2302</v>
      </c>
      <c r="C225" t="str">
        <f t="shared" si="8"/>
        <v>© NickName=©C:\Windows\SysWOW64\msstdfmt.dll© Path=©C:\Windows\SysWOW64\msstdfmt.dll© Sync=©0© OID=©</v>
      </c>
      <c r="E225" t="s">
        <v>2303</v>
      </c>
      <c r="F225" t="s">
        <v>2870</v>
      </c>
    </row>
    <row r="226" spans="1:6">
      <c r="A226" t="s">
        <v>2302</v>
      </c>
      <c r="C226" t="str">
        <f t="shared" si="8"/>
        <v>© NickName=©C:\Windows\SysWOW64\msstkprp.dll© Path=©C:\Windows\SysWOW64\msstkprp.dll© Sync=©0© OID=©</v>
      </c>
      <c r="E226" t="s">
        <v>2303</v>
      </c>
      <c r="F226" t="s">
        <v>2871</v>
      </c>
    </row>
    <row r="227" spans="1:6">
      <c r="A227" t="s">
        <v>2302</v>
      </c>
      <c r="C227" t="str">
        <f t="shared" si="8"/>
        <v>© NickName=©C:\Windows\SysWOW64\msvbvm60.dll© Path=©C:\Windows\SysWOW64\msvbvm60.dll© Sync=©0© OID=©</v>
      </c>
      <c r="E227" t="s">
        <v>2303</v>
      </c>
      <c r="F227" t="s">
        <v>2872</v>
      </c>
    </row>
    <row r="228" spans="1:6">
      <c r="A228" t="s">
        <v>2302</v>
      </c>
      <c r="C228" t="str">
        <f t="shared" si="8"/>
        <v>© NickName=©C:\Program Files (x86)\Common Files\Microsoft Shared\VBA\VBA6\vb6debug.dll© Path=©C:\Program Files (x86)\Common Files\Microsoft Shared\VBA\VBA6\vb6debug.dll© Sync=©0© OID=©</v>
      </c>
      <c r="E228" t="s">
        <v>2303</v>
      </c>
      <c r="F228" t="s">
        <v>2080</v>
      </c>
    </row>
    <row r="229" spans="1:6">
      <c r="A229" t="s">
        <v>2302</v>
      </c>
      <c r="C229" t="str">
        <f t="shared" si="8"/>
        <v>© NickName=©C:\Program Files (x86)\Common Files\Designer\mtdsr.dll© Path=©C:\Program Files (x86)\Common Files\Designer\mtdsr.dll© Sync=©0© OID=©</v>
      </c>
      <c r="E229" t="s">
        <v>2303</v>
      </c>
      <c r="F229" t="s">
        <v>2081</v>
      </c>
    </row>
    <row r="230" spans="1:6">
      <c r="A230" t="s">
        <v>2302</v>
      </c>
      <c r="C230" t="str">
        <f t="shared" si="8"/>
        <v>© NickName=©C:\Program Files (x86)\Common Files\Microsoft Shared\VBA\VBA6\mspdb60.dll© Path=©C:\Program Files (x86)\Common Files\Microsoft Shared\VBA\VBA6\mspdb60.dll© Sync=©0© OID=©</v>
      </c>
      <c r="E230" t="s">
        <v>2303</v>
      </c>
      <c r="F230" t="s">
        <v>2082</v>
      </c>
    </row>
    <row r="231" spans="1:6">
      <c r="A231" t="s">
        <v>2302</v>
      </c>
      <c r="C231" t="str">
        <f t="shared" si="8"/>
        <v>© NickName=©C:\Program Files (x86)\Common Files\Microsoft Shared\VBA\VBA6\link.exe© Path=©C:\Program Files (x86)\Common Files\Microsoft Shared\VBA\VBA6\link.exe© Sync=©0© OID=©</v>
      </c>
      <c r="E231" t="s">
        <v>2303</v>
      </c>
      <c r="F231" t="s">
        <v>2083</v>
      </c>
    </row>
    <row r="232" spans="1:6">
      <c r="A232" t="s">
        <v>2302</v>
      </c>
      <c r="C232" t="str">
        <f t="shared" si="8"/>
        <v>© NickName=©C:\Program Files (x86)\Common Files\Microsoft Shared\VBA\VBA6\vba6mtrt.dll© Path=©C:\Program Files (x86)\Common Files\Microsoft Shared\VBA\VBA6\vba6mtrt.dll© Sync=©0© OID=©</v>
      </c>
      <c r="E232" t="s">
        <v>2303</v>
      </c>
      <c r="F232" t="s">
        <v>2084</v>
      </c>
    </row>
    <row r="233" spans="1:6">
      <c r="A233" t="s">
        <v>2302</v>
      </c>
      <c r="C233" t="str">
        <f t="shared" si="8"/>
        <v>© NickName=©C:\Program Files (x86)\Microsoft Office\Office10\SIGNER.DLL© Path=©C:\Program Files (x86)\Microsoft Office\Office10\SIGNER.DLL© Sync=©0© OID=©</v>
      </c>
      <c r="E233" t="s">
        <v>2303</v>
      </c>
      <c r="F233" t="s">
        <v>2085</v>
      </c>
    </row>
    <row r="234" spans="1:6">
      <c r="A234" t="s">
        <v>2302</v>
      </c>
      <c r="C234" t="str">
        <f t="shared" si="8"/>
        <v>© NickName=©C:\Program Files (x86)\Microsoft Office\Office10\SELFCERT.EXE© Path=©C:\Program Files (x86)\Microsoft Office\Office10\SELFCERT.EXE© Sync=©0© OID=©</v>
      </c>
      <c r="E234" t="s">
        <v>2303</v>
      </c>
      <c r="F234" t="s">
        <v>2086</v>
      </c>
    </row>
    <row r="235" spans="1:6">
      <c r="A235" t="s">
        <v>2302</v>
      </c>
      <c r="C235" t="str">
        <f t="shared" si="8"/>
        <v>© NickName=©C:\Program Files (x86)\Microsoft Office\Office10\MAKECERT.EXE© Path=©C:\Program Files (x86)\Microsoft Office\Office10\MAKECERT.EXE© Sync=©0© OID=©</v>
      </c>
      <c r="E235" t="s">
        <v>2303</v>
      </c>
      <c r="F235" t="s">
        <v>2087</v>
      </c>
    </row>
    <row r="236" spans="1:6">
      <c r="A236" t="s">
        <v>2302</v>
      </c>
      <c r="C236" t="str">
        <f t="shared" si="8"/>
        <v>© NickName=©C:\Windows\SysWOW64\olepro32.dll© Path=©C:\Windows\SysWOW64\olepro32.dll© Sync=©0© OID=©</v>
      </c>
      <c r="E236" t="s">
        <v>2303</v>
      </c>
      <c r="F236" t="s">
        <v>2873</v>
      </c>
    </row>
    <row r="237" spans="1:6">
      <c r="A237" t="s">
        <v>2302</v>
      </c>
      <c r="C237" t="str">
        <f t="shared" si="8"/>
        <v>© NickName=©C:\Windows\SysWOW64\stdole2.tlb© Path=©C:\Windows\SysWOW64\stdole2.tlb© Sync=©0© OID=©</v>
      </c>
      <c r="E237" t="s">
        <v>2303</v>
      </c>
      <c r="F237" t="s">
        <v>2874</v>
      </c>
    </row>
    <row r="238" spans="1:6">
      <c r="A238" t="s">
        <v>2302</v>
      </c>
      <c r="C238" t="str">
        <f t="shared" si="8"/>
        <v>© NickName=©C:\Windows\SysWOW64\asycfilt.dll© Path=©C:\Windows\SysWOW64\asycfilt.dll© Sync=©0© OID=©</v>
      </c>
      <c r="E238" t="s">
        <v>2303</v>
      </c>
      <c r="F238" t="s">
        <v>2875</v>
      </c>
    </row>
    <row r="239" spans="1:6">
      <c r="A239" t="s">
        <v>2302</v>
      </c>
      <c r="C239" t="str">
        <f t="shared" si="8"/>
        <v>© NickName=©C:\Windows\SysWOW64\oleaut32.dll© Path=©C:\Windows\SysWOW64\oleaut32.dll© Sync=©0© OID=©</v>
      </c>
      <c r="E239" t="s">
        <v>2303</v>
      </c>
      <c r="F239" t="s">
        <v>2876</v>
      </c>
    </row>
    <row r="240" spans="1:6">
      <c r="A240" t="s">
        <v>2302</v>
      </c>
      <c r="C240" t="str">
        <f t="shared" si="8"/>
        <v>© NickName=©C:\Program Files (x86)\Common Files\Microsoft Shared\Office10\RICHED20.DLL© Path=©C:\Program Files (x86)\Common Files\Microsoft Shared\Office10\RICHED20.DLL© Sync=©0© OID=©</v>
      </c>
      <c r="E240" t="s">
        <v>2303</v>
      </c>
      <c r="F240" t="s">
        <v>2088</v>
      </c>
    </row>
    <row r="241" spans="1:6">
      <c r="A241" t="s">
        <v>2302</v>
      </c>
      <c r="C241" t="str">
        <f t="shared" si="8"/>
        <v>© NickName=©C:\Program Files (x86)\Common Files\Microsoft Shared\Office10\MSO.DLL© Path=©C:\Program Files (x86)\Common Files\Microsoft Shared\Office10\MSO.DLL© Sync=©0© OID=©</v>
      </c>
      <c r="E241" t="s">
        <v>2303</v>
      </c>
      <c r="F241" t="s">
        <v>2089</v>
      </c>
    </row>
    <row r="242" spans="1:6">
      <c r="A242" t="s">
        <v>2302</v>
      </c>
      <c r="C242" t="str">
        <f t="shared" si="8"/>
        <v>© NickName=©C:\Program Files (x86)\Common Files\Microsoft Shared\Office10\MSO7FTP.EXE© Path=©C:\Program Files (x86)\Common Files\Microsoft Shared\Office10\MSO7FTP.EXE© Sync=©0© OID=©</v>
      </c>
      <c r="E242" t="s">
        <v>2303</v>
      </c>
      <c r="F242" t="s">
        <v>2090</v>
      </c>
    </row>
    <row r="243" spans="1:6">
      <c r="A243" t="s">
        <v>2302</v>
      </c>
      <c r="C243" t="str">
        <f t="shared" si="8"/>
        <v>© NickName=©C:\Program Files (x86)\Common Files\Microsoft Shared\Office10\MSO7FTPA.EXE© Path=©C:\Program Files (x86)\Common Files\Microsoft Shared\Office10\MSO7FTPA.EXE© Sync=©0© OID=©</v>
      </c>
      <c r="E243" t="s">
        <v>2303</v>
      </c>
      <c r="F243" t="s">
        <v>2091</v>
      </c>
    </row>
    <row r="244" spans="1:6">
      <c r="A244" t="s">
        <v>2302</v>
      </c>
      <c r="C244" t="str">
        <f t="shared" si="8"/>
        <v>© NickName=©C:\Program Files (x86)\Common Files\Microsoft Shared\Office10\MSO7FTPS.EXE© Path=©C:\Program Files (x86)\Common Files\Microsoft Shared\Office10\MSO7FTPS.EXE© Sync=©0© OID=©</v>
      </c>
      <c r="E244" t="s">
        <v>2303</v>
      </c>
      <c r="F244" t="s">
        <v>2092</v>
      </c>
    </row>
    <row r="245" spans="1:6">
      <c r="A245" t="s">
        <v>2302</v>
      </c>
      <c r="C245" t="str">
        <f t="shared" si="8"/>
        <v>© NickName=©C:\Program Files (x86)\Common Files\Microsoft Shared\Office10\1033\MSOINTL.DLL© Path=©C:\Program Files (x86)\Common Files\Microsoft Shared\Office10\1033\MSOINTL.DLL© Sync=©0© OID=©</v>
      </c>
      <c r="E245" t="s">
        <v>2303</v>
      </c>
      <c r="F245" t="s">
        <v>2093</v>
      </c>
    </row>
    <row r="246" spans="1:6">
      <c r="A246" t="s">
        <v>2302</v>
      </c>
      <c r="C246" t="str">
        <f t="shared" si="8"/>
        <v>© NickName=©C:\Office10\1033\VBAOF10.AW© Path=©C:\Office10\1033\VBAOF10.AW© Sync=©0© OID=©</v>
      </c>
      <c r="E246" t="s">
        <v>2303</v>
      </c>
      <c r="F246" t="s">
        <v>2094</v>
      </c>
    </row>
    <row r="247" spans="1:6">
      <c r="A247" t="s">
        <v>2302</v>
      </c>
      <c r="C247" t="str">
        <f t="shared" si="8"/>
        <v>© NickName=©C:\Office10\1033\ADO210.AW© Path=©C:\Office10\1033\ADO210.AW© Sync=©0© OID=©</v>
      </c>
      <c r="E247" t="s">
        <v>2303</v>
      </c>
      <c r="F247" t="s">
        <v>2095</v>
      </c>
    </row>
    <row r="248" spans="1:6">
      <c r="A248" t="s">
        <v>2302</v>
      </c>
      <c r="C248" t="str">
        <f t="shared" si="8"/>
        <v>© NickName=©C:\Office10\1033\DAO360.AW© Path=©C:\Office10\1033\DAO360.AW© Sync=©0© OID=©</v>
      </c>
      <c r="E248" t="s">
        <v>2303</v>
      </c>
      <c r="F248" t="s">
        <v>2096</v>
      </c>
    </row>
    <row r="249" spans="1:6">
      <c r="A249" t="s">
        <v>2302</v>
      </c>
      <c r="C249" t="str">
        <f t="shared" si="8"/>
        <v>© NickName=©C:\Office10\1033\FM20.AW© Path=©C:\Office10\1033\FM20.AW© Sync=©0© OID=©</v>
      </c>
      <c r="E249" t="s">
        <v>2303</v>
      </c>
      <c r="F249" t="s">
        <v>2097</v>
      </c>
    </row>
    <row r="250" spans="1:6">
      <c r="A250" t="s">
        <v>2302</v>
      </c>
      <c r="C250" t="str">
        <f t="shared" si="8"/>
        <v>© NickName=©C:\Office10\1033\VEEN3.AW© Path=©C:\Office10\1033\VEEN3.AW© Sync=©0© OID=©</v>
      </c>
      <c r="E250" t="s">
        <v>2303</v>
      </c>
      <c r="F250" t="s">
        <v>2098</v>
      </c>
    </row>
    <row r="251" spans="1:6">
      <c r="A251" t="s">
        <v>2302</v>
      </c>
      <c r="C251" t="str">
        <f t="shared" si="8"/>
        <v>© NickName=©C:\Windows\SysWOW64\FM20.DLL© Path=©C:\Windows\SysWOW64\FM20.DLL© Sync=©0© OID=©</v>
      </c>
      <c r="E251" t="s">
        <v>2303</v>
      </c>
      <c r="F251" t="s">
        <v>2877</v>
      </c>
    </row>
    <row r="252" spans="1:6">
      <c r="A252" t="s">
        <v>2302</v>
      </c>
      <c r="C252" t="str">
        <f t="shared" si="8"/>
        <v>© NickName=©C:\Program Files (x86)\Common Files\Microsoft Shared\VBA\VBA6\VBE6EXT.OLB© Path=©C:\Program Files (x86)\Common Files\Microsoft Shared\VBA\VBA6\VBE6EXT.OLB© Sync=©0© OID=©</v>
      </c>
      <c r="E252" t="s">
        <v>2303</v>
      </c>
      <c r="F252" t="s">
        <v>2099</v>
      </c>
    </row>
    <row r="253" spans="1:6">
      <c r="A253" t="s">
        <v>2302</v>
      </c>
      <c r="C253" t="str">
        <f t="shared" si="8"/>
        <v>© NickName=©C:\Program Files (x86)\Common Files\Microsoft Shared\VBA\VBA6\VBE6.DLL© Path=©C:\Program Files (x86)\Common Files\Microsoft Shared\VBA\VBA6\VBE6.DLL© Sync=©0© OID=©</v>
      </c>
      <c r="E253" t="s">
        <v>2303</v>
      </c>
      <c r="F253" t="s">
        <v>2075</v>
      </c>
    </row>
    <row r="254" spans="1:6">
      <c r="A254" t="s">
        <v>2302</v>
      </c>
      <c r="C254" t="str">
        <f t="shared" si="8"/>
        <v>© NickName=©C:\Windows\SysWOW64\SCP32.DLL© Path=©C:\Windows\SysWOW64\SCP32.DLL© Sync=©0© OID=©</v>
      </c>
      <c r="E254" t="s">
        <v>2303</v>
      </c>
      <c r="F254" t="s">
        <v>2878</v>
      </c>
    </row>
    <row r="255" spans="1:6">
      <c r="A255" t="s">
        <v>2302</v>
      </c>
      <c r="C255" t="str">
        <f t="shared" si="8"/>
        <v>© NickName=©C:\Windows\SysWOW64\VBAME.DLL© Path=©C:\Windows\SysWOW64\VBAME.DLL© Sync=©0© OID=©</v>
      </c>
      <c r="E255" t="s">
        <v>2303</v>
      </c>
      <c r="F255" t="s">
        <v>2879</v>
      </c>
    </row>
    <row r="256" spans="1:6">
      <c r="A256" t="s">
        <v>2302</v>
      </c>
      <c r="C256" t="str">
        <f t="shared" si="8"/>
        <v>© NickName=©C:\Windows\SysWOW64\FM20ENU.DLL© Path=©C:\Windows\SysWOW64\FM20ENU.DLL© Sync=©0© OID=©</v>
      </c>
      <c r="E256" t="s">
        <v>2303</v>
      </c>
      <c r="F256" t="s">
        <v>2880</v>
      </c>
    </row>
    <row r="257" spans="1:6">
      <c r="A257" t="s">
        <v>2302</v>
      </c>
      <c r="C257" t="str">
        <f t="shared" si="8"/>
        <v>© NickName=©C:\Program Files (x86)\Common Files\Microsoft Shared\VBA\VBA6\1033\VBE6INTL.DLL© Path=©C:\Program Files (x86)\Common Files\Microsoft Shared\VBA\VBA6\1033\VBE6INTL.DLL© Sync=©0© OID=©</v>
      </c>
      <c r="E257" t="s">
        <v>2303</v>
      </c>
      <c r="F257" t="s">
        <v>2100</v>
      </c>
    </row>
    <row r="258" spans="1:6">
      <c r="A258" t="s">
        <v>2302</v>
      </c>
      <c r="C258" t="str">
        <f t="shared" si="8"/>
        <v>© NickName=©C:\Program Files (x86)\EleSy\SCADA Infinity\InfinityTools\SystemCnfg.exe© Path=©C:\Program Files (x86)\EleSy\SCADA Infinity\InfinityTools\SystemCnfg.exe© Sync=©0© OID=©</v>
      </c>
      <c r="E258" t="s">
        <v>2303</v>
      </c>
      <c r="F258" t="s">
        <v>1991</v>
      </c>
    </row>
    <row r="259" spans="1:6">
      <c r="A259" t="s">
        <v>2302</v>
      </c>
      <c r="C259" t="str">
        <f t="shared" si="8"/>
        <v>© NickName=©C:\Program Files (x86)\EleSy\SCADA Infinity\InfinityTools\SystemCnfg.dat© Path=©C:\Program Files (x86)\EleSy\SCADA Infinity\InfinityTools\SystemCnfg.dat© Sync=©0© OID=©</v>
      </c>
      <c r="E259" t="s">
        <v>2303</v>
      </c>
      <c r="F259" t="s">
        <v>1992</v>
      </c>
    </row>
    <row r="260" spans="1:6">
      <c r="A260" t="s">
        <v>2302</v>
      </c>
      <c r="C260" t="str">
        <f t="shared" si="8"/>
        <v>© NickName=©C:\Program Files (x86)\Common Files\Microsoft Shared\VBA\VBA6\1033\vbob6.cnt© Path=©C:\Program Files (x86)\Common Files\Microsoft Shared\VBA\VBA6\1033\vbob6.cnt© Sync=©0© OID=©</v>
      </c>
      <c r="E260" t="s">
        <v>2303</v>
      </c>
      <c r="F260" t="s">
        <v>2101</v>
      </c>
    </row>
    <row r="261" spans="1:6">
      <c r="A261" t="s">
        <v>2302</v>
      </c>
      <c r="C261" t="str">
        <f t="shared" si="8"/>
        <v>© NickName=©C:\Program Files (x86)\Microsoft Office\Office10\1033\vbaof10.cnt© Path=©C:\Program Files (x86)\Microsoft Office\Office10\1033\vbaof10.cnt© Sync=©0© OID=©</v>
      </c>
      <c r="E261" t="s">
        <v>2303</v>
      </c>
      <c r="F261" t="s">
        <v>2102</v>
      </c>
    </row>
    <row r="262" spans="1:6">
      <c r="A262" t="s">
        <v>2302</v>
      </c>
      <c r="C262" t="str">
        <f t="shared" si="8"/>
        <v>© NickName=©C:\Program Files (x86)\Common Files\Microsoft Shared\VBA\VBA6\1033\fm20.cnt© Path=©C:\Program Files (x86)\Common Files\Microsoft Shared\VBA\VBA6\1033\fm20.cnt© Sync=©0© OID=©</v>
      </c>
      <c r="E262" t="s">
        <v>2303</v>
      </c>
      <c r="F262" t="s">
        <v>2103</v>
      </c>
    </row>
    <row r="263" spans="1:6">
      <c r="A263" t="s">
        <v>2302</v>
      </c>
      <c r="C263" t="str">
        <f t="shared" si="8"/>
        <v>© NickName=©C:\Program Files (x86)\Common Files\Microsoft Shared\VBA\VBA6\1033\vbui6.cnt© Path=©C:\Program Files (x86)\Common Files\Microsoft Shared\VBA\VBA6\1033\vbui6.cnt© Sync=©0© OID=©</v>
      </c>
      <c r="E263" t="s">
        <v>2303</v>
      </c>
      <c r="F263" t="s">
        <v>2104</v>
      </c>
    </row>
    <row r="264" spans="1:6">
      <c r="A264" t="s">
        <v>2302</v>
      </c>
      <c r="C264" t="str">
        <f t="shared" si="8"/>
        <v>© NickName=©C:\Program Files (x86)\Common Files\Microsoft Shared\VBA\VBA6\1033\vblr6.cnt© Path=©C:\Program Files (x86)\Common Files\Microsoft Shared\VBA\VBA6\1033\vblr6.cnt© Sync=©0© OID=©</v>
      </c>
      <c r="E264" t="s">
        <v>2303</v>
      </c>
      <c r="F264" t="s">
        <v>2105</v>
      </c>
    </row>
    <row r="265" spans="1:6">
      <c r="A265" t="s">
        <v>2302</v>
      </c>
      <c r="C265" t="str">
        <f t="shared" si="8"/>
        <v>© NickName=©C:\Program Files (x86)\Common Files\Microsoft Shared\VBA\VBA6\1033\vbcn6.cnt© Path=©C:\Program Files (x86)\Common Files\Microsoft Shared\VBA\VBA6\1033\vbcn6.cnt© Sync=©0© OID=©</v>
      </c>
      <c r="E265" t="s">
        <v>2303</v>
      </c>
      <c r="F265" t="s">
        <v>2106</v>
      </c>
    </row>
    <row r="266" spans="1:6">
      <c r="A266" t="s">
        <v>2302</v>
      </c>
      <c r="C266" t="str">
        <f t="shared" si="8"/>
        <v>© NickName=©C:\Program Files (x86)\Common Files\Microsoft Shared\VBA\VBA6\1033\vbendf98.cnt© Path=©C:\Program Files (x86)\Common Files\Microsoft Shared\VBA\VBA6\1033\vbendf98.cnt© Sync=©0© OID=©</v>
      </c>
      <c r="E266" t="s">
        <v>2303</v>
      </c>
      <c r="F266" t="s">
        <v>2107</v>
      </c>
    </row>
    <row r="267" spans="1:6">
      <c r="A267" t="s">
        <v>2302</v>
      </c>
      <c r="C267" t="str">
        <f t="shared" si="8"/>
        <v>© NickName=©C:\Program Files (x86)\Common Files\Microsoft Shared\VBA\VBA6\1033\vbhw6.cnt© Path=©C:\Program Files (x86)\Common Files\Microsoft Shared\VBA\VBA6\1033\vbhw6.cnt© Sync=©0© OID=©</v>
      </c>
      <c r="E267" t="s">
        <v>2303</v>
      </c>
      <c r="F267" t="s">
        <v>2108</v>
      </c>
    </row>
    <row r="268" spans="1:6">
      <c r="A268" s="690" t="s">
        <v>1975</v>
      </c>
      <c r="B268" s="690"/>
      <c r="C268" s="690"/>
      <c r="D268" s="690"/>
      <c r="E268" s="690"/>
      <c r="F268" s="690" t="s">
        <v>1975</v>
      </c>
    </row>
    <row r="269" spans="1:6">
      <c r="A269" t="s">
        <v>2302</v>
      </c>
      <c r="C269" t="str">
        <f t="shared" ref="C269:C278" si="9">"© NickName=©"&amp;F269&amp;"© Path=©"&amp;F269&amp;"© Sync=©0© OID=©"</f>
        <v>© NickName=©C:\Program Files (x86)\EleSy\SCADA Infinity\InfinityInformationSecurity\SecurityJournalService.exe© Path=©C:\Program Files (x86)\EleSy\SCADA Infinity\InfinityInformationSecurity\SecurityJournalService.exe© Sync=©0© OID=©</v>
      </c>
      <c r="E269" t="s">
        <v>2303</v>
      </c>
      <c r="F269" t="s">
        <v>2109</v>
      </c>
    </row>
    <row r="270" spans="1:6">
      <c r="A270" t="s">
        <v>2302</v>
      </c>
      <c r="C270" t="str">
        <f t="shared" si="9"/>
        <v>© NickName=©C:\Program Files (x86)\EleSy\SCADA Infinity\InfinityInformationSecurity\SecurityJournalViewer.exe© Path=©C:\Program Files (x86)\EleSy\SCADA Infinity\InfinityInformationSecurity\SecurityJournalViewer.exe© Sync=©0© OID=©</v>
      </c>
      <c r="E270" t="s">
        <v>2303</v>
      </c>
      <c r="F270" t="s">
        <v>2110</v>
      </c>
    </row>
    <row r="271" spans="1:6">
      <c r="A271" t="s">
        <v>2302</v>
      </c>
      <c r="C271" t="str">
        <f t="shared" si="9"/>
        <v>© NickName=©C:\Program Files (x86)\EleSy\SCADA Infinity\InfinityInformationSecurity\SecurityManagementTCPService.exe© Path=©C:\Program Files (x86)\EleSy\SCADA Infinity\InfinityInformationSecurity\SecurityManagementTCPService.exe© Sync=©0© OID=©</v>
      </c>
      <c r="E271" t="s">
        <v>2303</v>
      </c>
      <c r="F271" t="s">
        <v>2111</v>
      </c>
    </row>
    <row r="272" spans="1:6">
      <c r="A272" t="s">
        <v>2302</v>
      </c>
      <c r="C272" t="str">
        <f t="shared" si="9"/>
        <v>© NickName=©C:\Program Files (x86)\EleSy\SCADA Infinity\InfinityInformationSecurity\SecuritySettings.exe© Path=©C:\Program Files (x86)\EleSy\SCADA Infinity\InfinityInformationSecurity\SecuritySettings.exe© Sync=©0© OID=©</v>
      </c>
      <c r="E272" t="s">
        <v>2303</v>
      </c>
      <c r="F272" t="s">
        <v>2112</v>
      </c>
    </row>
    <row r="273" spans="1:6">
      <c r="A273" t="s">
        <v>2302</v>
      </c>
      <c r="C273" t="str">
        <f t="shared" si="9"/>
        <v>© NickName=©C:\Program Files (x86)\EleSy\SCADA Infinity\InfinityInformationSecurity\hasp_windows_61937.dll© Path=©C:\Program Files (x86)\EleSy\SCADA Infinity\InfinityInformationSecurity\hasp_windows_61937.dll© Sync=©0© OID=©</v>
      </c>
      <c r="E273" t="s">
        <v>2303</v>
      </c>
      <c r="F273" t="s">
        <v>2113</v>
      </c>
    </row>
    <row r="274" spans="1:6">
      <c r="A274" t="s">
        <v>2302</v>
      </c>
      <c r="C274" t="str">
        <f t="shared" si="9"/>
        <v>© NickName=©C:\Program Files (x86)\EleSy\SCADA Infinity\InfinityInformationSecurity\hasp_net_windows.dll© Path=©C:\Program Files (x86)\EleSy\SCADA Infinity\InfinityInformationSecurity\hasp_net_windows.dll© Sync=©0© OID=©</v>
      </c>
      <c r="E274" t="s">
        <v>2303</v>
      </c>
      <c r="F274" t="s">
        <v>2114</v>
      </c>
    </row>
    <row r="275" spans="1:6">
      <c r="A275" t="s">
        <v>2302</v>
      </c>
      <c r="C275" t="str">
        <f t="shared" si="9"/>
        <v>© NickName=©C:\Program Files (x86)\EleSy\SCADA Infinity\InfinityInformationSecurity\apidsp_windows.dll© Path=©C:\Program Files (x86)\EleSy\SCADA Infinity\InfinityInformationSecurity\apidsp_windows.dll© Sync=©0© OID=©</v>
      </c>
      <c r="E275" t="s">
        <v>2303</v>
      </c>
      <c r="F275" t="s">
        <v>2115</v>
      </c>
    </row>
    <row r="276" spans="1:6">
      <c r="A276" t="s">
        <v>2302</v>
      </c>
      <c r="C276" t="str">
        <f t="shared" si="9"/>
        <v>© NickName=©C:\Program Files (x86)\EleSy\SCADA Infinity\InfinityTools\ProjectManager\ProjectManager.exe© Path=©C:\Program Files (x86)\EleSy\SCADA Infinity\InfinityTools\ProjectManager\ProjectManager.exe© Sync=©0© OID=©</v>
      </c>
      <c r="E276" t="s">
        <v>2303</v>
      </c>
      <c r="F276" t="s">
        <v>2116</v>
      </c>
    </row>
    <row r="277" spans="1:6">
      <c r="A277" t="s">
        <v>2302</v>
      </c>
      <c r="C277" t="str">
        <f t="shared" si="9"/>
        <v>© NickName=©C:\Program Files (x86)\EleSy\SCADA Infinity\InfinityTools\ProjectManager\ProjectManager.tlb© Path=©C:\Program Files (x86)\EleSy\SCADA Infinity\InfinityTools\ProjectManager\ProjectManager.tlb© Sync=©0© OID=©</v>
      </c>
      <c r="E277" t="s">
        <v>2303</v>
      </c>
      <c r="F277" t="s">
        <v>2117</v>
      </c>
    </row>
    <row r="278" spans="1:6">
      <c r="A278" t="s">
        <v>2302</v>
      </c>
      <c r="C278" t="str">
        <f t="shared" si="9"/>
        <v>© NickName=©C:\Program Files (x86)\EleSy\SCADA Infinity\InfinityTools\LogViewer\View_IPM.dll© Path=©C:\Program Files (x86)\EleSy\SCADA Infinity\InfinityTools\LogViewer\View_IPM.dll© Sync=©0© OID=©</v>
      </c>
      <c r="E278" t="s">
        <v>2303</v>
      </c>
      <c r="F278" t="s">
        <v>2118</v>
      </c>
    </row>
    <row r="279" spans="1:6">
      <c r="A279" s="690" t="s">
        <v>1976</v>
      </c>
      <c r="B279" s="690"/>
      <c r="C279" s="690"/>
      <c r="D279" s="690"/>
      <c r="E279" s="690"/>
      <c r="F279" s="690" t="s">
        <v>1976</v>
      </c>
    </row>
    <row r="280" spans="1:6">
      <c r="A280" t="s">
        <v>2302</v>
      </c>
      <c r="C280" t="str">
        <f t="shared" ref="C280:C304" si="10">"© NickName=©"&amp;F280&amp;"© Path=©"&amp;F280&amp;"© Sync=©0© OID=©"</f>
        <v>© NickName=©C:\Program Files (x86)\EleSy\SCADA Infinity\InfinityTools\LogViewer\View_Monitoring.dll© Path=©C:\Program Files (x86)\EleSy\SCADA Infinity\InfinityTools\LogViewer\View_Monitoring.dll© Sync=©0© OID=©</v>
      </c>
      <c r="E280" t="s">
        <v>2303</v>
      </c>
      <c r="F280" t="s">
        <v>2119</v>
      </c>
    </row>
    <row r="281" spans="1:6">
      <c r="A281" t="s">
        <v>2302</v>
      </c>
      <c r="C281" t="str">
        <f t="shared" si="10"/>
        <v>© NickName=©C:\Program Files (x86)\Common Files\Aladdin Shared\Hasp\haspvlib_61937.dll© Path=©C:\Program Files (x86)\Common Files\Aladdin Shared\Hasp\haspvlib_61937.dll© Sync=©0© OID=©</v>
      </c>
      <c r="E281" t="s">
        <v>2303</v>
      </c>
      <c r="F281" t="s">
        <v>1983</v>
      </c>
    </row>
    <row r="282" spans="1:6">
      <c r="A282" t="s">
        <v>2302</v>
      </c>
      <c r="C282" t="str">
        <f t="shared" si="10"/>
        <v>© NickName=©C:\Program Files (x86)\EleSy\SCADA Infinity\InfinityMonitoring\InfinityMonitoring.exe© Path=©C:\Program Files (x86)\EleSy\SCADA Infinity\InfinityMonitoring\InfinityMonitoring.exe© Sync=©0© OID=©</v>
      </c>
      <c r="E282" t="s">
        <v>2303</v>
      </c>
      <c r="F282" t="s">
        <v>2120</v>
      </c>
    </row>
    <row r="283" spans="1:6">
      <c r="A283" t="s">
        <v>2302</v>
      </c>
      <c r="C283" t="str">
        <f t="shared" si="10"/>
        <v>© NickName=©C:\Program Files (x86)\EleSy\SCADA Infinity\InfinityMonitoring\InfinityMonitoringService.exe© Path=©C:\Program Files (x86)\EleSy\SCADA Infinity\InfinityMonitoring\InfinityMonitoringService.exe© Sync=©0© OID=©</v>
      </c>
      <c r="E283" t="s">
        <v>2303</v>
      </c>
      <c r="F283" t="s">
        <v>2121</v>
      </c>
    </row>
    <row r="284" spans="1:6">
      <c r="A284" t="s">
        <v>2302</v>
      </c>
      <c r="C284" t="str">
        <f t="shared" si="10"/>
        <v>© NickName=©C:\Program Files (x86)\EleSy\SCADA Infinity\InfinityMonitoring\Web\Index.htm© Path=©C:\Program Files (x86)\EleSy\SCADA Infinity\InfinityMonitoring\Web\Index.htm© Sync=©0© OID=©</v>
      </c>
      <c r="E284" t="s">
        <v>2303</v>
      </c>
      <c r="F284" t="s">
        <v>2122</v>
      </c>
    </row>
    <row r="285" spans="1:6">
      <c r="A285" t="s">
        <v>2302</v>
      </c>
      <c r="C285" t="str">
        <f t="shared" si="10"/>
        <v>© NickName=©C:\Program Files (x86)\EleSy\SCADA Infinity\InfinityMonitoring\MonitoringActivity.exe© Path=©C:\Program Files (x86)\EleSy\SCADA Infinity\InfinityMonitoring\MonitoringActivity.exe© Sync=©0© OID=©</v>
      </c>
      <c r="E285" t="s">
        <v>2303</v>
      </c>
      <c r="F285" t="s">
        <v>2123</v>
      </c>
    </row>
    <row r="286" spans="1:6">
      <c r="A286" t="s">
        <v>2302</v>
      </c>
      <c r="C286" t="str">
        <f t="shared" si="10"/>
        <v>© NickName=©C:\Windows\SysWOW64\EleSyLogging.dll© Path=©C:\Windows\SysWOW64\EleSyLogging.dll© Sync=©0© OID=©</v>
      </c>
      <c r="E286" t="s">
        <v>2303</v>
      </c>
      <c r="F286" t="s">
        <v>2063</v>
      </c>
    </row>
    <row r="287" spans="1:6">
      <c r="A287" t="s">
        <v>2302</v>
      </c>
      <c r="C287" t="str">
        <f t="shared" si="10"/>
        <v>© NickName=©C:\Program Files (x86)\EleSy\SCADA Infinity\InfinityTools\ViewEventLog.exe© Path=©C:\Program Files (x86)\EleSy\SCADA Infinity\InfinityTools\ViewEventLog.exe© Sync=©0© OID=©</v>
      </c>
      <c r="E287" t="s">
        <v>2303</v>
      </c>
      <c r="F287" t="s">
        <v>2049</v>
      </c>
    </row>
    <row r="288" spans="1:6">
      <c r="A288" t="s">
        <v>2302</v>
      </c>
      <c r="C288" t="str">
        <f t="shared" si="10"/>
        <v>© NickName=©C:\Windows\SysWOW64\borlndmm.dll© Path=©C:\Windows\SysWOW64\borlndmm.dll© Sync=©0© OID=©</v>
      </c>
      <c r="E288" t="s">
        <v>2303</v>
      </c>
      <c r="F288" t="s">
        <v>2061</v>
      </c>
    </row>
    <row r="289" spans="1:6">
      <c r="A289" t="s">
        <v>2302</v>
      </c>
      <c r="C289" t="str">
        <f t="shared" si="10"/>
        <v>© NickName=©C:\Program Files (x86)\EleSy\SCADA Infinity\InfinityTools\LogViewer\LogViewer.exe© Path=©C:\Program Files (x86)\EleSy\SCADA Infinity\InfinityTools\LogViewer\LogViewer.exe© Sync=©0© OID=©</v>
      </c>
      <c r="E289" t="s">
        <v>2303</v>
      </c>
      <c r="F289" t="s">
        <v>1999</v>
      </c>
    </row>
    <row r="290" spans="1:6">
      <c r="A290" t="s">
        <v>2302</v>
      </c>
      <c r="C290" t="str">
        <f t="shared" si="10"/>
        <v>© NickName=©C:\Windows\SysWOW64\log2.dll© Path=©C:\Windows\SysWOW64\log2.dll© Sync=©0© OID=©</v>
      </c>
      <c r="E290" t="s">
        <v>2303</v>
      </c>
      <c r="F290" t="s">
        <v>2062</v>
      </c>
    </row>
    <row r="291" spans="1:6">
      <c r="A291" t="s">
        <v>2302</v>
      </c>
      <c r="C291" t="str">
        <f t="shared" si="10"/>
        <v>© NickName=©C:\Program Files (x86)\EleSy\SCADA Infinity\InfinityTools\InfinityCompleteness.exe© Path=©C:\Program Files (x86)\EleSy\SCADA Infinity\InfinityTools\InfinityCompleteness.exe© Sync=©0© OID=©</v>
      </c>
      <c r="E291" t="s">
        <v>2303</v>
      </c>
      <c r="F291" t="s">
        <v>1988</v>
      </c>
    </row>
    <row r="292" spans="1:6">
      <c r="A292" t="s">
        <v>2302</v>
      </c>
      <c r="C292" t="str">
        <f t="shared" si="10"/>
        <v>© NickName=©C:\Program Files (x86)\EleSy\SCADA Infinity\InfinityTools\ignore.files© Path=©C:\Program Files (x86)\EleSy\SCADA Infinity\InfinityTools\ignore.files© Sync=©0© OID=©</v>
      </c>
      <c r="E292" t="s">
        <v>2303</v>
      </c>
      <c r="F292" t="s">
        <v>1989</v>
      </c>
    </row>
    <row r="293" spans="1:6">
      <c r="A293" t="s">
        <v>2302</v>
      </c>
      <c r="C293" t="str">
        <f t="shared" si="10"/>
        <v>© NickName=©C:\Program Files (x86)\EleSy\SCADA Infinity\InfinityTools\EleSyStatViewer.exe© Path=©C:\Program Files (x86)\EleSy\SCADA Infinity\InfinityTools\EleSyStatViewer.exe© Sync=©0© OID=©</v>
      </c>
      <c r="E293" t="s">
        <v>2303</v>
      </c>
      <c r="F293" t="s">
        <v>2050</v>
      </c>
    </row>
    <row r="294" spans="1:6">
      <c r="A294" t="s">
        <v>2302</v>
      </c>
      <c r="C294" t="str">
        <f t="shared" si="10"/>
        <v>© NickName=©C:\Program Files (x86)\Common Files\EleSy\System\EleSyStatistic.dll© Path=©C:\Program Files (x86)\Common Files\EleSy\System\EleSyStatistic.dll© Sync=©0© OID=©</v>
      </c>
      <c r="E294" t="s">
        <v>2303</v>
      </c>
      <c r="F294" t="s">
        <v>2051</v>
      </c>
    </row>
    <row r="295" spans="1:6">
      <c r="A295" t="s">
        <v>2302</v>
      </c>
      <c r="C295" t="str">
        <f t="shared" si="10"/>
        <v>© NickName=©C:\Program Files (x86)\EleSy\SCADA Infinity\InfinityTools\HotReserveManager.exe© Path=©C:\Program Files (x86)\EleSy\SCADA Infinity\InfinityTools\HotReserveManager.exe© Sync=©0© OID=©</v>
      </c>
      <c r="E295" t="s">
        <v>2303</v>
      </c>
      <c r="F295" t="s">
        <v>2001</v>
      </c>
    </row>
    <row r="296" spans="1:6">
      <c r="A296" t="s">
        <v>2302</v>
      </c>
      <c r="C296" t="str">
        <f t="shared" si="10"/>
        <v>© NickName=©C:\Windows\SysWOW64\log2.dll© Path=©C:\Windows\SysWOW64\log2.dll© Sync=©0© OID=©</v>
      </c>
      <c r="E296" t="s">
        <v>2303</v>
      </c>
      <c r="F296" t="s">
        <v>2062</v>
      </c>
    </row>
    <row r="297" spans="1:6">
      <c r="A297" t="s">
        <v>2302</v>
      </c>
      <c r="C297" t="str">
        <f t="shared" si="10"/>
        <v>© NickName=©C:\Program Files (x86)\Common Files\EleSy\System\SecurityCtx_PS.dll© Path=©C:\Program Files (x86)\Common Files\EleSy\System\SecurityCtx_PS.dll© Sync=©0© OID=©</v>
      </c>
      <c r="E297" t="s">
        <v>2303</v>
      </c>
      <c r="F297" t="s">
        <v>2002</v>
      </c>
    </row>
    <row r="298" spans="1:6">
      <c r="A298" t="s">
        <v>2302</v>
      </c>
      <c r="C298" t="str">
        <f t="shared" si="10"/>
        <v>© NickName=©C:\Windows\SysWOW64\SecurityEditor.dll© Path=©C:\Windows\SysWOW64\SecurityEditor.dll© Sync=©0© OID=©</v>
      </c>
      <c r="E298" t="s">
        <v>2303</v>
      </c>
      <c r="F298" t="s">
        <v>2065</v>
      </c>
    </row>
    <row r="299" spans="1:6">
      <c r="A299" t="s">
        <v>2302</v>
      </c>
      <c r="C299" t="str">
        <f t="shared" si="10"/>
        <v>© NickName=©C:\Program Files (x86)\Common Files\EleSy\System\SecurityMgt_PS.dll© Path=©C:\Program Files (x86)\Common Files\EleSy\System\SecurityMgt_PS.dll© Sync=©0© OID=©</v>
      </c>
      <c r="E299" t="s">
        <v>2303</v>
      </c>
      <c r="F299" t="s">
        <v>2003</v>
      </c>
    </row>
    <row r="300" spans="1:6">
      <c r="A300" t="s">
        <v>2302</v>
      </c>
      <c r="C300" t="str">
        <f t="shared" si="10"/>
        <v>© NickName=©C:\Windows\SysWOW64\dnaccbrw.dll© Path=©C:\Windows\SysWOW64\dnaccbrw.dll© Sync=©0© OID=©</v>
      </c>
      <c r="E300" t="s">
        <v>2303</v>
      </c>
      <c r="F300" t="s">
        <v>2064</v>
      </c>
    </row>
    <row r="301" spans="1:6">
      <c r="A301" t="s">
        <v>2302</v>
      </c>
      <c r="C301" t="str">
        <f t="shared" si="10"/>
        <v>© NickName=©C:\Program Files (x86)\Common Files\EleSy\Infinity\Resources\ru\hagentmc.dll.ru© Path=©C:\Program Files (x86)\Common Files\EleSy\Infinity\Resources\ru\hagentmc.dll.ru© Sync=©0© OID=©</v>
      </c>
      <c r="E301" t="s">
        <v>2303</v>
      </c>
      <c r="F301" t="s">
        <v>2004</v>
      </c>
    </row>
    <row r="302" spans="1:6">
      <c r="A302" t="s">
        <v>2302</v>
      </c>
      <c r="C302" t="str">
        <f t="shared" si="10"/>
        <v>© NickName=©C:\Windows\SysWOW64\hagentps.dll© Path=©C:\Windows\SysWOW64\hagentps.dll© Sync=©0© OID=©</v>
      </c>
      <c r="E302" t="s">
        <v>2303</v>
      </c>
      <c r="F302" t="s">
        <v>2066</v>
      </c>
    </row>
    <row r="303" spans="1:6">
      <c r="A303" t="s">
        <v>2302</v>
      </c>
      <c r="C303" t="str">
        <f t="shared" si="10"/>
        <v>© NickName=©C:\Windows\SysWOW64\Localize.dll© Path=©C:\Windows\SysWOW64\Localize.dll© Sync=©0© OID=©</v>
      </c>
      <c r="E303" t="s">
        <v>2303</v>
      </c>
      <c r="F303" t="s">
        <v>2067</v>
      </c>
    </row>
    <row r="304" spans="1:6">
      <c r="A304" t="s">
        <v>2302</v>
      </c>
      <c r="C304" t="str">
        <f t="shared" si="10"/>
        <v>© NickName=©C:\Windows\SysWOW64\msvcp60.dll© Path=©C:\Windows\SysWOW64\msvcp60.dll© Sync=©0© OID=©</v>
      </c>
      <c r="E304" t="s">
        <v>2303</v>
      </c>
      <c r="F304" t="s">
        <v>2068</v>
      </c>
    </row>
    <row r="305" spans="1:6">
      <c r="A305" s="690" t="s">
        <v>1968</v>
      </c>
      <c r="B305" s="690"/>
      <c r="C305" s="690"/>
      <c r="D305" s="690"/>
      <c r="E305" s="690"/>
      <c r="F305" s="690" t="s">
        <v>1968</v>
      </c>
    </row>
    <row r="306" spans="1:6">
      <c r="A306" t="s">
        <v>2302</v>
      </c>
      <c r="C306" t="str">
        <f t="shared" ref="C306:C369" si="11">"© NickName=©"&amp;F306&amp;"© Path=©"&amp;F306&amp;"© Sync=©0© OID=©"</f>
        <v>© NickName=©C:\Program Files (x86)\EleSy\SCADA Infinity\InfinityServer\Server\si.exe© Path=©C:\Program Files (x86)\EleSy\SCADA Infinity\InfinityServer\Server\si.exe© Sync=©0© OID=©</v>
      </c>
      <c r="E306" t="s">
        <v>2303</v>
      </c>
      <c r="F306" t="s">
        <v>2124</v>
      </c>
    </row>
    <row r="307" spans="1:6">
      <c r="A307" t="s">
        <v>2302</v>
      </c>
      <c r="C307" t="str">
        <f t="shared" si="11"/>
        <v>© NickName=©C:\Program Files (x86)\EleSy\SCADA Infinity\InfinityServer\Reserve\HotReserveAgent.exe© Path=©C:\Program Files (x86)\EleSy\SCADA Infinity\InfinityServer\Reserve\HotReserveAgent.exe© Sync=©0© OID=©</v>
      </c>
      <c r="E307" t="s">
        <v>2303</v>
      </c>
      <c r="F307" t="s">
        <v>2125</v>
      </c>
    </row>
    <row r="308" spans="1:6">
      <c r="A308" t="s">
        <v>2302</v>
      </c>
      <c r="C308" t="str">
        <f t="shared" si="11"/>
        <v>© NickName=©C:\Program Files (x86)\EleSy\SCADA Infinity\InfinityTools\LogViewer\View_HRAInterComm.dll© Path=©C:\Program Files (x86)\EleSy\SCADA Infinity\InfinityTools\LogViewer\View_HRAInterComm.dll© Sync=©0© OID=©</v>
      </c>
      <c r="E308" t="s">
        <v>2303</v>
      </c>
      <c r="F308" t="s">
        <v>2126</v>
      </c>
    </row>
    <row r="309" spans="1:6">
      <c r="A309" t="s">
        <v>2302</v>
      </c>
      <c r="C309" t="str">
        <f t="shared" si="11"/>
        <v>© NickName=©C:\Program Files (x86)\Common Files\EleSy\System\dbghelp.dll© Path=©C:\Program Files (x86)\Common Files\EleSy\System\dbghelp.dll© Sync=©0© OID=©</v>
      </c>
      <c r="E309" t="s">
        <v>2303</v>
      </c>
      <c r="F309" t="s">
        <v>2127</v>
      </c>
    </row>
    <row r="310" spans="1:6">
      <c r="A310" t="s">
        <v>2302</v>
      </c>
      <c r="C310" t="str">
        <f t="shared" si="11"/>
        <v>© NickName=©C:\Program Files (x86)\Common Files\Aladdin Shared\Hasp\haspvlib_61937.dll© Path=©C:\Program Files (x86)\Common Files\Aladdin Shared\Hasp\haspvlib_61937.dll© Sync=©0© OID=©</v>
      </c>
      <c r="E310" t="s">
        <v>2303</v>
      </c>
      <c r="F310" t="s">
        <v>1983</v>
      </c>
    </row>
    <row r="311" spans="1:6">
      <c r="A311" t="s">
        <v>2302</v>
      </c>
      <c r="C311" t="str">
        <f t="shared" si="11"/>
        <v>© NickName=©C:\Program Files (x86)\Common Files\EleSy\System\SecurityMgt_PS.dll© Path=©C:\Program Files (x86)\Common Files\EleSy\System\SecurityMgt_PS.dll© Sync=©0© OID=©</v>
      </c>
      <c r="E311" t="s">
        <v>2303</v>
      </c>
      <c r="F311" t="s">
        <v>2003</v>
      </c>
    </row>
    <row r="312" spans="1:6">
      <c r="A312" t="s">
        <v>2302</v>
      </c>
      <c r="C312" t="str">
        <f t="shared" si="11"/>
        <v>© NickName=©C:\Program Files (x86)\Common Files\EleSy\System\HistoryProxy.dll© Path=©C:\Program Files (x86)\Common Files\EleSy\System\HistoryProxy.dll© Sync=©0© OID=©</v>
      </c>
      <c r="E312" t="s">
        <v>2303</v>
      </c>
      <c r="F312" t="s">
        <v>2128</v>
      </c>
    </row>
    <row r="313" spans="1:6">
      <c r="A313" t="s">
        <v>2302</v>
      </c>
      <c r="C313" t="str">
        <f t="shared" si="11"/>
        <v>© NickName=©C:\Program Files (x86)\EleSy\SCADA Infinity\InfinityServer\Server\InfinityServer.exe© Path=©C:\Program Files (x86)\EleSy\SCADA Infinity\InfinityServer\Server\InfinityServer.exe© Sync=©0© OID=©</v>
      </c>
      <c r="E313" t="s">
        <v>2303</v>
      </c>
      <c r="F313" t="s">
        <v>2129</v>
      </c>
    </row>
    <row r="314" spans="1:6">
      <c r="A314" t="s">
        <v>2302</v>
      </c>
      <c r="C314" t="str">
        <f t="shared" si="11"/>
        <v>© NickName=©C:\Windows\SysWOW64\InfinityServerMgt_ps.dll© Path=©C:\Windows\SysWOW64\InfinityServerMgt_ps.dll© Sync=©0© OID=©</v>
      </c>
      <c r="E314" t="s">
        <v>2303</v>
      </c>
      <c r="F314" t="s">
        <v>2205</v>
      </c>
    </row>
    <row r="315" spans="1:6">
      <c r="A315" t="s">
        <v>2302</v>
      </c>
      <c r="C315" t="str">
        <f t="shared" si="11"/>
        <v>© NickName=©C:\Program Files (x86)\Common Files\EleSy\System\SecurityCtx_PS.dll© Path=©C:\Program Files (x86)\Common Files\EleSy\System\SecurityCtx_PS.dll© Sync=©0© OID=©</v>
      </c>
      <c r="E315" t="s">
        <v>2303</v>
      </c>
      <c r="F315" t="s">
        <v>2002</v>
      </c>
    </row>
    <row r="316" spans="1:6">
      <c r="A316" t="s">
        <v>2302</v>
      </c>
      <c r="C316" t="str">
        <f t="shared" si="11"/>
        <v>© NickName=©C:\Program Files (x86)\EleSy\SCADA Infinity\InfinityServer\Security\InfinityDBAccessCfg.exe© Path=©C:\Program Files (x86)\EleSy\SCADA Infinity\InfinityServer\Security\InfinityDBAccessCfg.exe© Sync=©0© OID=©</v>
      </c>
      <c r="E316" t="s">
        <v>2303</v>
      </c>
      <c r="F316" t="s">
        <v>2131</v>
      </c>
    </row>
    <row r="317" spans="1:6">
      <c r="A317" t="s">
        <v>2302</v>
      </c>
      <c r="C317" t="str">
        <f t="shared" si="11"/>
        <v>© NickName=©C:\Program Files (x86)\EleSy\SCADA Infinity\InfinityTools\LogViewer\View_Audit.dll© Path=©C:\Program Files (x86)\EleSy\SCADA Infinity\InfinityTools\LogViewer\View_Audit.dll© Sync=©0© OID=©</v>
      </c>
      <c r="E317" t="s">
        <v>2303</v>
      </c>
      <c r="F317" t="s">
        <v>2132</v>
      </c>
    </row>
    <row r="318" spans="1:6">
      <c r="A318" t="s">
        <v>2302</v>
      </c>
      <c r="C318" t="str">
        <f t="shared" si="11"/>
        <v>© NickName=©C:\Program Files (x86)\EleSy\SCADA Infinity\InfinityTools\LogViewer\View_MBTCP.dll© Path=©C:\Program Files (x86)\EleSy\SCADA Infinity\InfinityTools\LogViewer\View_MBTCP.dll© Sync=©0© OID=©</v>
      </c>
      <c r="E318" t="s">
        <v>2303</v>
      </c>
      <c r="F318" t="s">
        <v>2133</v>
      </c>
    </row>
    <row r="319" spans="1:6">
      <c r="A319" t="s">
        <v>2302</v>
      </c>
      <c r="C319" t="str">
        <f t="shared" si="11"/>
        <v>© NickName=©C:\Program Files (x86)\EleSy\SCADA Infinity\InfinityTools\LogViewer\View_Miec4.dll© Path=©C:\Program Files (x86)\EleSy\SCADA Infinity\InfinityTools\LogViewer\View_Miec4.dll© Sync=©0© OID=©</v>
      </c>
      <c r="E319" t="s">
        <v>2303</v>
      </c>
      <c r="F319" t="s">
        <v>2134</v>
      </c>
    </row>
    <row r="320" spans="1:6">
      <c r="A320" t="s">
        <v>2302</v>
      </c>
      <c r="C320" t="str">
        <f t="shared" si="11"/>
        <v>© NickName=©C:\Program Files (x86)\EleSy\SCADA Infinity\InfinityTools\LogViewer\View_SNMP.dll© Path=©C:\Program Files (x86)\EleSy\SCADA Infinity\InfinityTools\LogViewer\View_SNMP.dll© Sync=©0© OID=©</v>
      </c>
      <c r="E320" t="s">
        <v>2303</v>
      </c>
      <c r="F320" t="s">
        <v>2135</v>
      </c>
    </row>
    <row r="321" spans="1:6">
      <c r="A321" t="s">
        <v>2302</v>
      </c>
      <c r="C321" t="str">
        <f t="shared" si="11"/>
        <v>© NickName=©C:\Program Files (x86)\EleSy\SCADA Infinity\InfinityTools\InfinityCompleteness.exe© Path=©C:\Program Files (x86)\EleSy\SCADA Infinity\InfinityTools\InfinityCompleteness.exe© Sync=©0© OID=©</v>
      </c>
      <c r="E321" t="s">
        <v>2303</v>
      </c>
      <c r="F321" t="s">
        <v>1988</v>
      </c>
    </row>
    <row r="322" spans="1:6">
      <c r="A322" t="s">
        <v>2302</v>
      </c>
      <c r="C322" t="str">
        <f t="shared" si="11"/>
        <v>© NickName=©C:\Program Files (x86)\EleSy\SCADA Infinity\InfinityTools\ignore.files© Path=©C:\Program Files (x86)\EleSy\SCADA Infinity\InfinityTools\ignore.files© Sync=©0© OID=©</v>
      </c>
      <c r="E322" t="s">
        <v>2303</v>
      </c>
      <c r="F322" t="s">
        <v>1989</v>
      </c>
    </row>
    <row r="323" spans="1:6">
      <c r="A323" t="s">
        <v>2302</v>
      </c>
      <c r="C323" t="str">
        <f t="shared" si="11"/>
        <v>© NickName=©C:\Windows\SysWOW64\Localize.dll© Path=©C:\Windows\SysWOW64\Localize.dll© Sync=©0© OID=©</v>
      </c>
      <c r="E323" t="s">
        <v>2303</v>
      </c>
      <c r="F323" t="s">
        <v>2067</v>
      </c>
    </row>
    <row r="324" spans="1:6">
      <c r="A324" t="s">
        <v>2302</v>
      </c>
      <c r="C324" t="str">
        <f t="shared" si="11"/>
        <v>© NickName=©C:\Windows\SysWOW64\MSVCP60.DLL© Path=©C:\Windows\SysWOW64\MSVCP60.DLL© Sync=©0© OID=©</v>
      </c>
      <c r="E324" t="s">
        <v>2303</v>
      </c>
      <c r="F324" t="s">
        <v>2207</v>
      </c>
    </row>
    <row r="325" spans="1:6">
      <c r="A325" t="s">
        <v>2302</v>
      </c>
      <c r="C325" t="str">
        <f t="shared" si="11"/>
        <v>© NickName=©C:\Windows\SysWOW64\msvcp60.dll© Path=©C:\Windows\SysWOW64\msvcp60.dll© Sync=©0© OID=©</v>
      </c>
      <c r="E325" t="s">
        <v>2303</v>
      </c>
      <c r="F325" t="s">
        <v>2068</v>
      </c>
    </row>
    <row r="326" spans="1:6">
      <c r="A326" t="s">
        <v>2302</v>
      </c>
      <c r="C326" t="str">
        <f t="shared" si="11"/>
        <v>© NickName=©C:\Program Files (x86)\EleSy\SCADA Infinity\InfinityTools\SystemCnfg.exe© Path=©C:\Program Files (x86)\EleSy\SCADA Infinity\InfinityTools\SystemCnfg.exe© Sync=©0© OID=©</v>
      </c>
      <c r="E326" t="s">
        <v>2303</v>
      </c>
      <c r="F326" t="s">
        <v>1991</v>
      </c>
    </row>
    <row r="327" spans="1:6">
      <c r="A327" t="s">
        <v>2302</v>
      </c>
      <c r="C327" t="str">
        <f t="shared" si="11"/>
        <v>© NickName=©C:\Program Files (x86)\EleSy\SCADA Infinity\InfinityTools\SystemCnfg.dat© Path=©C:\Program Files (x86)\EleSy\SCADA Infinity\InfinityTools\SystemCnfg.dat© Sync=©0© OID=©</v>
      </c>
      <c r="E327" t="s">
        <v>2303</v>
      </c>
      <c r="F327" t="s">
        <v>1992</v>
      </c>
    </row>
    <row r="328" spans="1:6">
      <c r="A328" t="s">
        <v>2302</v>
      </c>
      <c r="C328" t="str">
        <f t="shared" si="11"/>
        <v>© NickName=©C:\Windows\SysWOW64\EleSyLogging.dll© Path=©C:\Windows\SysWOW64\EleSyLogging.dll© Sync=©0© OID=©</v>
      </c>
      <c r="E328" t="s">
        <v>2303</v>
      </c>
      <c r="F328" t="s">
        <v>2063</v>
      </c>
    </row>
    <row r="329" spans="1:6">
      <c r="A329" t="s">
        <v>2302</v>
      </c>
      <c r="C329" t="str">
        <f t="shared" si="11"/>
        <v>© NickName=©C:\Program Files (x86)\EleSy\SCADA Infinity\InfinityTools\ViewEventLog.exe© Path=©C:\Program Files (x86)\EleSy\SCADA Infinity\InfinityTools\ViewEventLog.exe© Sync=©0© OID=©</v>
      </c>
      <c r="E329" t="s">
        <v>2303</v>
      </c>
      <c r="F329" t="s">
        <v>2049</v>
      </c>
    </row>
    <row r="330" spans="1:6">
      <c r="A330" t="s">
        <v>2302</v>
      </c>
      <c r="C330" t="str">
        <f t="shared" si="11"/>
        <v>© NickName=©C:\Program Files (x86)\EleSy\SCADA Infinity\InfinityTools\HotReserveManager.exe© Path=©C:\Program Files (x86)\EleSy\SCADA Infinity\InfinityTools\HotReserveManager.exe© Sync=©0© OID=©</v>
      </c>
      <c r="E330" t="s">
        <v>2303</v>
      </c>
      <c r="F330" t="s">
        <v>2001</v>
      </c>
    </row>
    <row r="331" spans="1:6">
      <c r="A331" t="s">
        <v>2302</v>
      </c>
      <c r="C331" t="str">
        <f t="shared" si="11"/>
        <v>© NickName=©C:\Windows\SysWOW64\log2.dll© Path=©C:\Windows\SysWOW64\log2.dll© Sync=©0© OID=©</v>
      </c>
      <c r="E331" t="s">
        <v>2303</v>
      </c>
      <c r="F331" t="s">
        <v>2062</v>
      </c>
    </row>
    <row r="332" spans="1:6">
      <c r="A332" t="s">
        <v>2302</v>
      </c>
      <c r="C332" t="str">
        <f t="shared" si="11"/>
        <v>© NickName=©C:\Program Files (x86)\Common Files\EleSy\System\SecurityCtx_PS.dll© Path=©C:\Program Files (x86)\Common Files\EleSy\System\SecurityCtx_PS.dll© Sync=©0© OID=©</v>
      </c>
      <c r="E332" t="s">
        <v>2303</v>
      </c>
      <c r="F332" t="s">
        <v>2002</v>
      </c>
    </row>
    <row r="333" spans="1:6">
      <c r="A333" t="s">
        <v>2302</v>
      </c>
      <c r="C333" t="str">
        <f t="shared" si="11"/>
        <v>© NickName=©C:\Windows\SysWOW64\SecurityEditor.dll© Path=©C:\Windows\SysWOW64\SecurityEditor.dll© Sync=©0© OID=©</v>
      </c>
      <c r="E333" t="s">
        <v>2303</v>
      </c>
      <c r="F333" t="s">
        <v>2065</v>
      </c>
    </row>
    <row r="334" spans="1:6">
      <c r="A334" t="s">
        <v>2302</v>
      </c>
      <c r="C334" t="str">
        <f t="shared" si="11"/>
        <v>© NickName=©C:\Program Files (x86)\Common Files\EleSy\System\SecurityMgt_PS.dll© Path=©C:\Program Files (x86)\Common Files\EleSy\System\SecurityMgt_PS.dll© Sync=©0© OID=©</v>
      </c>
      <c r="E334" t="s">
        <v>2303</v>
      </c>
      <c r="F334" t="s">
        <v>2003</v>
      </c>
    </row>
    <row r="335" spans="1:6">
      <c r="A335" t="s">
        <v>2302</v>
      </c>
      <c r="C335" t="str">
        <f t="shared" si="11"/>
        <v>© NickName=©C:\Windows\SysWOW64\dnaccbrw.dll© Path=©C:\Windows\SysWOW64\dnaccbrw.dll© Sync=©0© OID=©</v>
      </c>
      <c r="E335" t="s">
        <v>2303</v>
      </c>
      <c r="F335" t="s">
        <v>2064</v>
      </c>
    </row>
    <row r="336" spans="1:6">
      <c r="A336" t="s">
        <v>2302</v>
      </c>
      <c r="C336" t="str">
        <f t="shared" si="11"/>
        <v>© NickName=©C:\Program Files (x86)\Common Files\EleSy\Infinity\Resources\ru\hagentmc.dll.ru© Path=©C:\Program Files (x86)\Common Files\EleSy\Infinity\Resources\ru\hagentmc.dll.ru© Sync=©0© OID=©</v>
      </c>
      <c r="E336" t="s">
        <v>2303</v>
      </c>
      <c r="F336" t="s">
        <v>2004</v>
      </c>
    </row>
    <row r="337" spans="1:6">
      <c r="A337" t="s">
        <v>2302</v>
      </c>
      <c r="C337" t="str">
        <f t="shared" si="11"/>
        <v>© NickName=©C:\Windows\SysWOW64\hagentps.dll© Path=©C:\Windows\SysWOW64\hagentps.dll© Sync=©0© OID=©</v>
      </c>
      <c r="E337" t="s">
        <v>2303</v>
      </c>
      <c r="F337" t="s">
        <v>2066</v>
      </c>
    </row>
    <row r="338" spans="1:6">
      <c r="A338" t="s">
        <v>2302</v>
      </c>
      <c r="C338" t="str">
        <f t="shared" si="11"/>
        <v>© NickName=©C:\Program Files (x86)\EleSy\SCADA Infinity\InfinityTools\IB_WISQL.exe© Path=©C:\Program Files (x86)\EleSy\SCADA Infinity\InfinityTools\IB_WISQL.exe© Sync=©0© OID=©</v>
      </c>
      <c r="E338" t="s">
        <v>2303</v>
      </c>
      <c r="F338" t="s">
        <v>2136</v>
      </c>
    </row>
    <row r="339" spans="1:6">
      <c r="A339" t="s">
        <v>2302</v>
      </c>
      <c r="C339" t="str">
        <f t="shared" si="11"/>
        <v>© NickName=©C:\Windows\SysWOW64\GDS32.DLL© Path=©C:\Windows\SysWOW64\GDS32.DLL© Sync=©0© OID=©</v>
      </c>
      <c r="E339" t="s">
        <v>2303</v>
      </c>
      <c r="F339" t="s">
        <v>2881</v>
      </c>
    </row>
    <row r="340" spans="1:6">
      <c r="A340" t="s">
        <v>2302</v>
      </c>
      <c r="C340" t="str">
        <f t="shared" si="11"/>
        <v>© NickName=©C:\Windows\SysWOW64\fbclient.dll© Path=©C:\Windows\SysWOW64\fbclient.dll© Sync=©0© OID=©</v>
      </c>
      <c r="E340" t="s">
        <v>2303</v>
      </c>
      <c r="F340" t="s">
        <v>2208</v>
      </c>
    </row>
    <row r="341" spans="1:6">
      <c r="A341" t="s">
        <v>2302</v>
      </c>
      <c r="C341" t="str">
        <f t="shared" si="11"/>
        <v>© NickName=©C:\Program Files (x86)\EleSy\SCADA Infinity\InfinityServer\Configuration\Modules\CfgAddr.dll© Path=©C:\Program Files (x86)\EleSy\SCADA Infinity\InfinityServer\Configuration\Modules\CfgAddr.dll© Sync=©0© OID=©</v>
      </c>
      <c r="E341" t="s">
        <v>2303</v>
      </c>
      <c r="F341" t="s">
        <v>2138</v>
      </c>
    </row>
    <row r="342" spans="1:6">
      <c r="A342" t="s">
        <v>2302</v>
      </c>
      <c r="C342" t="str">
        <f t="shared" si="11"/>
        <v>© NickName=©C:\Program Files (x86)\EleSy\SCADA Infinity\InfinityServer\Configuration\Modules\CfgFtpFileAccessComp.dll© Path=©C:\Program Files (x86)\EleSy\SCADA Infinity\InfinityServer\Configuration\Modules\CfgFtpFileAccessComp.dll© Sync=©0© OID=©</v>
      </c>
      <c r="E342" t="s">
        <v>2303</v>
      </c>
      <c r="F342" t="s">
        <v>2139</v>
      </c>
    </row>
    <row r="343" spans="1:6">
      <c r="A343" t="s">
        <v>2302</v>
      </c>
      <c r="C343" t="str">
        <f t="shared" si="11"/>
        <v>© NickName=©C:\Program Files (x86)\EleSy\SCADA Infinity\InfinityServer\Configuration\Modules\CfgICMPComp.dll© Path=©C:\Program Files (x86)\EleSy\SCADA Infinity\InfinityServer\Configuration\Modules\CfgICMPComp.dll© Sync=©0© OID=©</v>
      </c>
      <c r="E343" t="s">
        <v>2303</v>
      </c>
      <c r="F343" t="s">
        <v>2140</v>
      </c>
    </row>
    <row r="344" spans="1:6">
      <c r="A344" t="s">
        <v>2302</v>
      </c>
      <c r="C344" t="str">
        <f t="shared" si="11"/>
        <v>© NickName=©C:\Program Files (x86)\EleSy\SCADA Infinity\InfinityServer\Configuration\Modules\CfgImportExport.dll© Path=©C:\Program Files (x86)\EleSy\SCADA Infinity\InfinityServer\Configuration\Modules\CfgImportExport.dll© Sync=©0© OID=©</v>
      </c>
      <c r="E344" t="s">
        <v>2303</v>
      </c>
      <c r="F344" t="s">
        <v>2141</v>
      </c>
    </row>
    <row r="345" spans="1:6">
      <c r="A345" t="s">
        <v>2302</v>
      </c>
      <c r="C345" t="str">
        <f t="shared" si="11"/>
        <v>© NickName=©C:\Program Files (x86)\EleSy\SCADA Infinity\InfinityServer\Configuration\Modules\CfgLogic2.dll© Path=©C:\Program Files (x86)\EleSy\SCADA Infinity\InfinityServer\Configuration\Modules\CfgLogic2.dll© Sync=©0© OID=©</v>
      </c>
      <c r="E345" t="s">
        <v>2303</v>
      </c>
      <c r="F345" t="s">
        <v>2142</v>
      </c>
    </row>
    <row r="346" spans="1:6">
      <c r="A346" t="s">
        <v>2302</v>
      </c>
      <c r="C346" t="str">
        <f t="shared" si="11"/>
        <v>© NickName=©C:\Program Files (x86)\EleSy\SCADA Infinity\InfinityServer\Configuration\Modules\CfgMiec4StdComp.dll© Path=©C:\Program Files (x86)\EleSy\SCADA Infinity\InfinityServer\Configuration\Modules\CfgMiec4StdComp.dll© Sync=©0© OID=©</v>
      </c>
      <c r="E346" t="s">
        <v>2303</v>
      </c>
      <c r="F346" t="s">
        <v>2143</v>
      </c>
    </row>
    <row r="347" spans="1:6">
      <c r="A347" t="s">
        <v>2302</v>
      </c>
      <c r="C347" t="str">
        <f t="shared" si="11"/>
        <v>© NickName=©C:\Program Files (x86)\EleSy\SCADA Infinity\InfinityServer\Configuration\Modules\CfgModbusComp.dll© Path=©C:\Program Files (x86)\EleSy\SCADA Infinity\InfinityServer\Configuration\Modules\CfgModbusComp.dll© Sync=©0© OID=©</v>
      </c>
      <c r="E347" t="s">
        <v>2303</v>
      </c>
      <c r="F347" t="s">
        <v>2144</v>
      </c>
    </row>
    <row r="348" spans="1:6">
      <c r="A348" t="s">
        <v>2302</v>
      </c>
      <c r="C348" t="str">
        <f t="shared" si="11"/>
        <v>© NickName=©C:\Program Files (x86)\EleSy\SCADA Infinity\InfinityServer\Configuration\Modules\CfgModbusTCPIPMaster.dll© Path=©C:\Program Files (x86)\EleSy\SCADA Infinity\InfinityServer\Configuration\Modules\CfgModbusTCPIPMaster.dll© Sync=©0© OID=©</v>
      </c>
      <c r="E348" t="s">
        <v>2303</v>
      </c>
      <c r="F348" t="s">
        <v>2145</v>
      </c>
    </row>
    <row r="349" spans="1:6">
      <c r="A349" t="s">
        <v>2302</v>
      </c>
      <c r="C349" t="str">
        <f t="shared" si="11"/>
        <v>© NickName=©C:\Program Files (x86)\EleSy\SCADA Infinity\InfinityServer\Configuration\Modules\CfgNodeProp.dll© Path=©C:\Program Files (x86)\EleSy\SCADA Infinity\InfinityServer\Configuration\Modules\CfgNodeProp.dll© Sync=©0© OID=©</v>
      </c>
      <c r="E349" t="s">
        <v>2303</v>
      </c>
      <c r="F349" t="s">
        <v>2146</v>
      </c>
    </row>
    <row r="350" spans="1:6">
      <c r="A350" t="s">
        <v>2302</v>
      </c>
      <c r="C350" t="str">
        <f t="shared" si="11"/>
        <v>© NickName=©C:\Program Files (x86)\EleSy\SCADA Infinity\InfinityServer\Configuration\Modules\CfgNodeProp2.dll© Path=©C:\Program Files (x86)\EleSy\SCADA Infinity\InfinityServer\Configuration\Modules\CfgNodeProp2.dll© Sync=©0© OID=©</v>
      </c>
      <c r="E350" t="s">
        <v>2303</v>
      </c>
      <c r="F350" t="s">
        <v>2147</v>
      </c>
    </row>
    <row r="351" spans="1:6">
      <c r="A351" t="s">
        <v>2302</v>
      </c>
      <c r="C351" t="str">
        <f t="shared" si="11"/>
        <v>© NickName=©C:\Program Files (x86)\EleSy\SCADA Infinity\InfinityServer\Configuration\Modules\CfgOPCAEServer.dll© Path=©C:\Program Files (x86)\EleSy\SCADA Infinity\InfinityServer\Configuration\Modules\CfgOPCAEServer.dll© Sync=©0© OID=©</v>
      </c>
      <c r="E351" t="s">
        <v>2303</v>
      </c>
      <c r="F351" t="s">
        <v>2148</v>
      </c>
    </row>
    <row r="352" spans="1:6">
      <c r="A352" t="s">
        <v>2302</v>
      </c>
      <c r="C352" t="str">
        <f t="shared" si="11"/>
        <v>© NickName=©C:\Program Files (x86)\EleSy\SCADA Infinity\InfinityServer\Configuration\Modules\CfgOPCClientComp.dll© Path=©C:\Program Files (x86)\EleSy\SCADA Infinity\InfinityServer\Configuration\Modules\CfgOPCClientComp.dll© Sync=©0© OID=©</v>
      </c>
      <c r="E352" t="s">
        <v>2303</v>
      </c>
      <c r="F352" t="s">
        <v>2149</v>
      </c>
    </row>
    <row r="353" spans="1:6">
      <c r="A353" t="s">
        <v>2302</v>
      </c>
      <c r="C353" t="str">
        <f t="shared" si="11"/>
        <v>© NickName=©C:\Program Files (x86)\EleSy\SCADA Infinity\InfinityServer\Configuration\Modules\CfgOPCComp.dll© Path=©C:\Program Files (x86)\EleSy\SCADA Infinity\InfinityServer\Configuration\Modules\CfgOPCComp.dll© Sync=©0© OID=©</v>
      </c>
      <c r="E353" t="s">
        <v>2303</v>
      </c>
      <c r="F353" t="s">
        <v>2150</v>
      </c>
    </row>
    <row r="354" spans="1:6">
      <c r="A354" t="s">
        <v>2302</v>
      </c>
      <c r="C354" t="str">
        <f t="shared" si="11"/>
        <v>© NickName=©C:\Program Files (x86)\EleSy\SCADA Infinity\InfinityServer\Configuration\Modules\CfgOPCUADataComp.dll© Path=©C:\Program Files (x86)\EleSy\SCADA Infinity\InfinityServer\Configuration\Modules\CfgOPCUADataComp.dll© Sync=©0© OID=©</v>
      </c>
      <c r="E354" t="s">
        <v>2303</v>
      </c>
      <c r="F354" t="s">
        <v>2151</v>
      </c>
    </row>
    <row r="355" spans="1:6">
      <c r="A355" t="s">
        <v>2302</v>
      </c>
      <c r="C355" t="str">
        <f t="shared" si="11"/>
        <v>© NickName=©C:\Program Files (x86)\EleSy\SCADA Infinity\InfinityServer\Configuration\Modules\CfgRange.dll© Path=©C:\Program Files (x86)\EleSy\SCADA Infinity\InfinityServer\Configuration\Modules\CfgRange.dll© Sync=©0© OID=©</v>
      </c>
      <c r="E355" t="s">
        <v>2303</v>
      </c>
      <c r="F355" t="s">
        <v>2152</v>
      </c>
    </row>
    <row r="356" spans="1:6">
      <c r="A356" t="s">
        <v>2302</v>
      </c>
      <c r="C356" t="str">
        <f t="shared" si="11"/>
        <v>© NickName=©C:\Program Files (x86)\EleSy\SCADA Infinity\InfinityServer\Configuration\Modules\CfgStatClient.dll© Path=©C:\Program Files (x86)\EleSy\SCADA Infinity\InfinityServer\Configuration\Modules\CfgStatClient.dll© Sync=©0© OID=©</v>
      </c>
      <c r="E356" t="s">
        <v>2303</v>
      </c>
      <c r="F356" t="s">
        <v>2153</v>
      </c>
    </row>
    <row r="357" spans="1:6">
      <c r="A357" t="s">
        <v>2302</v>
      </c>
      <c r="C357" t="str">
        <f t="shared" si="11"/>
        <v>© NickName=©C:\Windows\SysWOW64\ElesyCalc.dll© Path=©C:\Windows\SysWOW64\ElesyCalc.dll© Sync=©0© OID=©</v>
      </c>
      <c r="E357" t="s">
        <v>2303</v>
      </c>
      <c r="F357" t="s">
        <v>2209</v>
      </c>
    </row>
    <row r="358" spans="1:6">
      <c r="A358" t="s">
        <v>2302</v>
      </c>
      <c r="C358" t="str">
        <f t="shared" si="11"/>
        <v>© NickName=©C:\Program Files (x86)\Common Files\EleSy\System\EleSyConfiguration.dll© Path=©C:\Program Files (x86)\Common Files\EleSy\System\EleSyConfiguration.dll© Sync=©0© OID=©</v>
      </c>
      <c r="E358" t="s">
        <v>2303</v>
      </c>
      <c r="F358" t="s">
        <v>2155</v>
      </c>
    </row>
    <row r="359" spans="1:6">
      <c r="A359" t="s">
        <v>2302</v>
      </c>
      <c r="C359" t="str">
        <f t="shared" si="11"/>
        <v>© NickName=©C:\Program Files (x86)\Common Files\EleSy\System\ElesyServerMgt.dll© Path=©C:\Program Files (x86)\Common Files\EleSy\System\ElesyServerMgt.dll© Sync=©0© OID=©</v>
      </c>
      <c r="E359" t="s">
        <v>2303</v>
      </c>
      <c r="F359" t="s">
        <v>2156</v>
      </c>
    </row>
    <row r="360" spans="1:6">
      <c r="A360" t="s">
        <v>2302</v>
      </c>
      <c r="C360" t="str">
        <f t="shared" si="11"/>
        <v>© NickName=©C:\Program Files (x86)\EleSy\SCADA Infinity\InfinityServer\Configuration\InfinityCfg.exe© Path=©C:\Program Files (x86)\EleSy\SCADA Infinity\InfinityServer\Configuration\InfinityCfg.exe© Sync=©0© OID=©</v>
      </c>
      <c r="E360" t="s">
        <v>2303</v>
      </c>
      <c r="F360" t="s">
        <v>2157</v>
      </c>
    </row>
    <row r="361" spans="1:6">
      <c r="A361" t="s">
        <v>2302</v>
      </c>
      <c r="C361" t="str">
        <f t="shared" si="11"/>
        <v>© NickName=©C:\Windows\SysWOW64\SecurityEditor.dll© Path=©C:\Windows\SysWOW64\SecurityEditor.dll© Sync=©0© OID=©</v>
      </c>
      <c r="E361" t="s">
        <v>2303</v>
      </c>
      <c r="F361" t="s">
        <v>2065</v>
      </c>
    </row>
    <row r="362" spans="1:6">
      <c r="A362" t="s">
        <v>2302</v>
      </c>
      <c r="C362" t="str">
        <f t="shared" si="11"/>
        <v>© NickName=©C:\Windows\SysWOW64\dnaccbrw.dll© Path=©C:\Windows\SysWOW64\dnaccbrw.dll© Sync=©0© OID=©</v>
      </c>
      <c r="E362" t="s">
        <v>2303</v>
      </c>
      <c r="F362" t="s">
        <v>2064</v>
      </c>
    </row>
    <row r="363" spans="1:6">
      <c r="A363" t="s">
        <v>2302</v>
      </c>
      <c r="C363" t="str">
        <f t="shared" si="11"/>
        <v>© NickName=©C:\Windows\SysWOW64\scl.dll© Path=©C:\Windows\SysWOW64\scl.dll© Sync=©0© OID=©</v>
      </c>
      <c r="E363" t="s">
        <v>2303</v>
      </c>
      <c r="F363" t="s">
        <v>2212</v>
      </c>
    </row>
    <row r="364" spans="1:6">
      <c r="A364" t="s">
        <v>2302</v>
      </c>
      <c r="C364" t="str">
        <f t="shared" si="11"/>
        <v>© NickName=©C:\Program Files (x86)\EleSy\SCADA Infinity\InfinityServer\Configuration\Modules\CfgSiec4StdComp.dll© Path=©C:\Program Files (x86)\EleSy\SCADA Infinity\InfinityServer\Configuration\Modules\CfgSiec4StdComp.dll© Sync=©0© OID=©</v>
      </c>
      <c r="E364" t="s">
        <v>2303</v>
      </c>
      <c r="F364" t="s">
        <v>2158</v>
      </c>
    </row>
    <row r="365" spans="1:6">
      <c r="A365" t="s">
        <v>2302</v>
      </c>
      <c r="C365" t="str">
        <f t="shared" si="11"/>
        <v>© NickName=©C:\Program Files (x86)\EleSy\SCADA Infinity\InfinityServer\Configuration\Modules\CfgMiec103StdComp.dll© Path=©C:\Program Files (x86)\EleSy\SCADA Infinity\InfinityServer\Configuration\Modules\CfgMiec103StdComp.dll© Sync=©0© OID=©</v>
      </c>
      <c r="E365" t="s">
        <v>2303</v>
      </c>
      <c r="F365" t="s">
        <v>2159</v>
      </c>
    </row>
    <row r="366" spans="1:6">
      <c r="A366" t="s">
        <v>2302</v>
      </c>
      <c r="C366" t="str">
        <f t="shared" si="11"/>
        <v>© NickName=©C:\Program Files (x86)\EleSy\SCADA Infinity\InfinityServer\Configuration\Modules\CfgOPCClientPropSync.dll© Path=©C:\Program Files (x86)\EleSy\SCADA Infinity\InfinityServer\Configuration\Modules\CfgOPCClientPropSync.dll© Sync=©0© OID=©</v>
      </c>
      <c r="E366" t="s">
        <v>2303</v>
      </c>
      <c r="F366" t="s">
        <v>2160</v>
      </c>
    </row>
    <row r="367" spans="1:6">
      <c r="A367" t="s">
        <v>2302</v>
      </c>
      <c r="C367" t="str">
        <f t="shared" si="11"/>
        <v>© NickName=©C:\Program Files (x86)\EleSy\SCADA Infinity\InfinityServer\Configuration\Modules\CfgOPCUADataClientComp.dll© Path=©C:\Program Files (x86)\EleSy\SCADA Infinity\InfinityServer\Configuration\Modules\CfgOPCUADataClientComp.dll© Sync=©0© OID=©</v>
      </c>
      <c r="E367" t="s">
        <v>2303</v>
      </c>
      <c r="F367" s="376" t="s">
        <v>2905</v>
      </c>
    </row>
    <row r="368" spans="1:6">
      <c r="A368" t="s">
        <v>2302</v>
      </c>
      <c r="C368" t="str">
        <f t="shared" si="11"/>
        <v>© NickName=©C:\Program Files (x86)\EleSy\SCADA Infinity\InfinityServer\Configuration\Modules\CfgOPCUAAEComp.dll© Path=©C:\Program Files (x86)\EleSy\SCADA Infinity\InfinityServer\Configuration\Modules\CfgOPCUAAEComp.dll© Sync=©0© OID=©</v>
      </c>
      <c r="E368" t="s">
        <v>2303</v>
      </c>
      <c r="F368" t="s">
        <v>2161</v>
      </c>
    </row>
    <row r="369" spans="1:6">
      <c r="A369" t="s">
        <v>2302</v>
      </c>
      <c r="C369" t="str">
        <f t="shared" si="11"/>
        <v>© NickName=©C:\Program Files (x86)\EleSy\SCADA Infinity\InfinityServer\Configuration\Modules\CfgSNMPMaster.dll© Path=©C:\Program Files (x86)\EleSy\SCADA Infinity\InfinityServer\Configuration\Modules\CfgSNMPMaster.dll© Sync=©0© OID=©</v>
      </c>
      <c r="E369" t="s">
        <v>2303</v>
      </c>
      <c r="F369" t="s">
        <v>2162</v>
      </c>
    </row>
    <row r="370" spans="1:6">
      <c r="A370" t="s">
        <v>2302</v>
      </c>
      <c r="C370" t="str">
        <f t="shared" ref="C370:C428" si="12">"© NickName=©"&amp;F370&amp;"© Path=©"&amp;F370&amp;"© Sync=©0© OID=©"</f>
        <v>© NickName=©C:\Windows\SysWOW64\rtl70.bpl© Path=©C:\Windows\SysWOW64\rtl70.bpl© Sync=©0© OID=©</v>
      </c>
      <c r="E370" t="s">
        <v>2303</v>
      </c>
      <c r="F370" t="s">
        <v>2213</v>
      </c>
    </row>
    <row r="371" spans="1:6">
      <c r="A371" t="s">
        <v>2302</v>
      </c>
      <c r="C371" t="str">
        <f t="shared" si="12"/>
        <v>© NickName=©C:\Windows\SysWOW64\vcl70.bpl© Path=©C:\Windows\SysWOW64\vcl70.bpl© Sync=©0© OID=©</v>
      </c>
      <c r="E371" t="s">
        <v>2303</v>
      </c>
      <c r="F371" t="s">
        <v>2214</v>
      </c>
    </row>
    <row r="372" spans="1:6">
      <c r="A372" t="s">
        <v>2302</v>
      </c>
      <c r="C372" t="str">
        <f t="shared" si="12"/>
        <v>© NickName=©C:\Program Files (x86)\EleSy\SCADA Infinity\InfinityServer\Server\OPCClientPropSync.dll© Path=©C:\Program Files (x86)\EleSy\SCADA Infinity\InfinityServer\Server\OPCClientPropSync.dll© Sync=©0© OID=©</v>
      </c>
      <c r="E372" t="s">
        <v>2303</v>
      </c>
      <c r="F372" t="s">
        <v>2163</v>
      </c>
    </row>
    <row r="373" spans="1:6">
      <c r="A373" t="s">
        <v>2302</v>
      </c>
      <c r="C373" t="str">
        <f t="shared" si="12"/>
        <v>© NickName=©C:\Program Files (x86)\EleSy\SCADA Infinity\InfinityServer\Server\MIEC103StdComp.dll© Path=©C:\Program Files (x86)\EleSy\SCADA Infinity\InfinityServer\Server\MIEC103StdComp.dll© Sync=©0© OID=©</v>
      </c>
      <c r="E373" t="s">
        <v>2303</v>
      </c>
      <c r="F373" t="s">
        <v>2164</v>
      </c>
    </row>
    <row r="374" spans="1:6">
      <c r="A374" t="s">
        <v>2302</v>
      </c>
      <c r="C374" t="str">
        <f t="shared" si="12"/>
        <v>© NickName=©C:\Program Files (x86)\EleSy\SCADA Infinity\InfinityServer\Server\OPCUAAEComp.dll© Path=©C:\Program Files (x86)\EleSy\SCADA Infinity\InfinityServer\Server\OPCUAAEComp.dll© Sync=©0© OID=©</v>
      </c>
      <c r="E374" t="s">
        <v>2303</v>
      </c>
      <c r="F374" t="s">
        <v>2165</v>
      </c>
    </row>
    <row r="375" spans="1:6">
      <c r="A375" t="s">
        <v>2302</v>
      </c>
      <c r="C375" t="str">
        <f t="shared" si="12"/>
        <v>© NickName=©C:\Program Files (x86)\EleSy\SCADA Infinity\InfinityServer\Server\OPCUADataClientComp.dll© Path=©C:\Program Files (x86)\EleSy\SCADA Infinity\InfinityServer\Server\OPCUADataClientComp.dll© Sync=©0© OID=©</v>
      </c>
      <c r="E375" t="s">
        <v>2303</v>
      </c>
      <c r="F375" t="s">
        <v>2166</v>
      </c>
    </row>
    <row r="376" spans="1:6">
      <c r="A376" t="s">
        <v>2302</v>
      </c>
      <c r="C376" t="str">
        <f t="shared" si="12"/>
        <v>© NickName=©C:\Program Files (x86)\EleSy\SCADA Infinity\InfinityServer\Server\Logic2.dll© Path=©C:\Program Files (x86)\EleSy\SCADA Infinity\InfinityServer\Server\Logic2.dll© Sync=©0© OID=©</v>
      </c>
      <c r="E376" t="s">
        <v>2303</v>
      </c>
      <c r="F376" t="s">
        <v>2167</v>
      </c>
    </row>
    <row r="377" spans="1:6">
      <c r="A377" t="s">
        <v>2302</v>
      </c>
      <c r="C377" t="str">
        <f t="shared" si="12"/>
        <v>© NickName=©C:\Program Files (x86)\EleSy\SCADA Infinity\InfinityServer\Server\ModbusComp.dll© Path=©C:\Program Files (x86)\EleSy\SCADA Infinity\InfinityServer\Server\ModbusComp.dll© Sync=©0© OID=©</v>
      </c>
      <c r="E377" t="s">
        <v>2303</v>
      </c>
      <c r="F377" t="s">
        <v>2168</v>
      </c>
    </row>
    <row r="378" spans="1:6">
      <c r="A378" t="s">
        <v>2302</v>
      </c>
      <c r="C378" t="str">
        <f t="shared" si="12"/>
        <v>© NickName=©C:\Program Files (x86)\EleSy\SCADA Infinity\InfinityServer\Server\ModbusTCPIPMaster.dll© Path=©C:\Program Files (x86)\EleSy\SCADA Infinity\InfinityServer\Server\ModbusTCPIPMaster.dll© Sync=©0© OID=©</v>
      </c>
      <c r="E378" t="s">
        <v>2303</v>
      </c>
      <c r="F378" t="s">
        <v>2169</v>
      </c>
    </row>
    <row r="379" spans="1:6">
      <c r="A379" t="s">
        <v>2302</v>
      </c>
      <c r="C379" t="str">
        <f t="shared" si="12"/>
        <v>© NickName=©C:\Program Files (x86)\EleSy\SCADA Infinity\InfinityServer\Server\OPCAEServer.dll© Path=©C:\Program Files (x86)\EleSy\SCADA Infinity\InfinityServer\Server\OPCAEServer.dll© Sync=©0© OID=©</v>
      </c>
      <c r="E379" t="s">
        <v>2303</v>
      </c>
      <c r="F379" t="s">
        <v>2170</v>
      </c>
    </row>
    <row r="380" spans="1:6">
      <c r="A380" t="s">
        <v>2302</v>
      </c>
      <c r="C380" t="str">
        <f t="shared" si="12"/>
        <v>© NickName=©C:\Program Files (x86)\EleSy\SCADA Infinity\InfinityServer\Server\OPCClientComp.dll© Path=©C:\Program Files (x86)\EleSy\SCADA Infinity\InfinityServer\Server\OPCClientComp.dll© Sync=©0© OID=©</v>
      </c>
      <c r="E380" t="s">
        <v>2303</v>
      </c>
      <c r="F380" t="s">
        <v>2171</v>
      </c>
    </row>
    <row r="381" spans="1:6">
      <c r="A381" t="s">
        <v>2302</v>
      </c>
      <c r="C381" t="str">
        <f t="shared" si="12"/>
        <v>© NickName=©C:\Program Files (x86)\EleSy\SCADA Infinity\InfinityServer\Server\OPCComp.dll© Path=©C:\Program Files (x86)\EleSy\SCADA Infinity\InfinityServer\Server\OPCComp.dll© Sync=©0© OID=©</v>
      </c>
      <c r="E381" t="s">
        <v>2303</v>
      </c>
      <c r="F381" t="s">
        <v>2172</v>
      </c>
    </row>
    <row r="382" spans="1:6">
      <c r="A382" t="s">
        <v>2302</v>
      </c>
      <c r="C382" t="str">
        <f t="shared" si="12"/>
        <v>© NickName=©C:\Program Files (x86)\EleSy\SCADA Infinity\InfinityServer\Server\TCPDevice.dll© Path=©C:\Program Files (x86)\EleSy\SCADA Infinity\InfinityServer\Server\TCPDevice.dll© Sync=©0© OID=©</v>
      </c>
      <c r="E382" t="s">
        <v>2303</v>
      </c>
      <c r="F382" t="s">
        <v>2173</v>
      </c>
    </row>
    <row r="383" spans="1:6">
      <c r="A383" t="s">
        <v>2302</v>
      </c>
      <c r="C383" t="str">
        <f t="shared" si="12"/>
        <v>© NickName=©C:\Program Files (x86)\EleSy\SCADA Infinity\InfinityServer\Server\EleSyLog.dll© Path=©C:\Program Files (x86)\EleSy\SCADA Infinity\InfinityServer\Server\EleSyLog.dll© Sync=©0© OID=©</v>
      </c>
      <c r="E383" t="s">
        <v>2303</v>
      </c>
      <c r="F383" t="s">
        <v>2174</v>
      </c>
    </row>
    <row r="384" spans="1:6">
      <c r="A384" t="s">
        <v>2302</v>
      </c>
      <c r="C384" t="str">
        <f t="shared" si="12"/>
        <v>© NickName=©C:\Program Files (x86)\EleSy\SCADA Infinity\InfinityServer\Server\EleSyCS.dll© Path=©C:\Program Files (x86)\EleSy\SCADA Infinity\InfinityServer\Server\EleSyCS.dll© Sync=©0© OID=©</v>
      </c>
      <c r="E384" t="s">
        <v>2303</v>
      </c>
      <c r="F384" t="s">
        <v>2175</v>
      </c>
    </row>
    <row r="385" spans="1:6">
      <c r="A385" t="s">
        <v>2302</v>
      </c>
      <c r="C385" t="str">
        <f t="shared" si="12"/>
        <v>© NickName=©C:\Program Files (x86)\EleSy\SCADA Infinity\InfinityServer\Server\StatClient.dll© Path=©C:\Program Files (x86)\EleSy\SCADA Infinity\InfinityServer\Server\StatClient.dll© Sync=©0© OID=©</v>
      </c>
      <c r="E385" t="s">
        <v>2303</v>
      </c>
      <c r="F385" t="s">
        <v>2176</v>
      </c>
    </row>
    <row r="386" spans="1:6">
      <c r="A386" t="s">
        <v>2302</v>
      </c>
      <c r="C386" t="str">
        <f t="shared" si="12"/>
        <v>© NickName=©C:\Program Files (x86)\EleSy\SCADA Infinity\InfinityServer\Server\ICMPComp.dll© Path=©C:\Program Files (x86)\EleSy\SCADA Infinity\InfinityServer\Server\ICMPComp.dll© Sync=©0© OID=©</v>
      </c>
      <c r="E386" t="s">
        <v>2303</v>
      </c>
      <c r="F386" t="s">
        <v>2177</v>
      </c>
    </row>
    <row r="387" spans="1:6">
      <c r="A387" t="s">
        <v>2302</v>
      </c>
      <c r="C387" t="str">
        <f t="shared" si="12"/>
        <v>© NickName=©C:\Program Files (x86)\EleSy\SCADA Infinity\InfinityServer\Server\Siec4StdComp.dll© Path=©C:\Program Files (x86)\EleSy\SCADA Infinity\InfinityServer\Server\Siec4StdComp.dll© Sync=©0© OID=©</v>
      </c>
      <c r="E387" t="s">
        <v>2303</v>
      </c>
      <c r="F387" t="s">
        <v>2178</v>
      </c>
    </row>
    <row r="388" spans="1:6">
      <c r="A388" t="s">
        <v>2302</v>
      </c>
      <c r="C388" t="str">
        <f t="shared" si="12"/>
        <v>© NickName=©C:\Program Files (x86)\EleSy\SCADA Infinity\InfinityServer\Server\COMPortDevice.dll© Path=©C:\Program Files (x86)\EleSy\SCADA Infinity\InfinityServer\Server\COMPortDevice.dll© Sync=©0© OID=©</v>
      </c>
      <c r="E388" t="s">
        <v>2303</v>
      </c>
      <c r="F388" t="s">
        <v>2179</v>
      </c>
    </row>
    <row r="389" spans="1:6">
      <c r="A389" t="s">
        <v>2302</v>
      </c>
      <c r="C389" t="str">
        <f t="shared" si="12"/>
        <v>© NickName=©C:\Program Files (x86)\EleSy\SCADA Infinity\InfinityServer\Server\Miec4StdComp.dll© Path=©C:\Program Files (x86)\EleSy\SCADA Infinity\InfinityServer\Server\Miec4StdComp.dll© Sync=©0© OID=©</v>
      </c>
      <c r="E389" t="s">
        <v>2303</v>
      </c>
      <c r="F389" t="s">
        <v>2180</v>
      </c>
    </row>
    <row r="390" spans="1:6">
      <c r="A390" t="s">
        <v>2302</v>
      </c>
      <c r="C390" t="str">
        <f t="shared" si="12"/>
        <v>© NickName=©C:\Program Files (x86)\EleSy\SCADA Infinity\InfinityServer\Server\OPCUADataComp.dll© Path=©C:\Program Files (x86)\EleSy\SCADA Infinity\InfinityServer\Server\OPCUADataComp.dll© Sync=©0© OID=©</v>
      </c>
      <c r="E390" t="s">
        <v>2303</v>
      </c>
      <c r="F390" t="s">
        <v>2181</v>
      </c>
    </row>
    <row r="391" spans="1:6">
      <c r="A391" t="s">
        <v>2302</v>
      </c>
      <c r="C391" t="str">
        <f t="shared" si="12"/>
        <v>© NickName=©C:\Program Files (x86)\EleSy\SCADA Infinity\InfinityServer\Server\FtpFileAccessComp.dll© Path=©C:\Program Files (x86)\EleSy\SCADA Infinity\InfinityServer\Server\FtpFileAccessComp.dll© Sync=©0© OID=©</v>
      </c>
      <c r="E391" t="s">
        <v>2303</v>
      </c>
      <c r="F391" t="s">
        <v>2182</v>
      </c>
    </row>
    <row r="392" spans="1:6">
      <c r="A392" t="s">
        <v>2302</v>
      </c>
      <c r="C392" t="str">
        <f t="shared" si="12"/>
        <v>© NickName=©C:\Program Files (x86)\EleSy\SCADA Infinity\InfinityServer\Server\SNMPMaster.dll© Path=©C:\Program Files (x86)\EleSy\SCADA Infinity\InfinityServer\Server\SNMPMaster.dll© Sync=©0© OID=©</v>
      </c>
      <c r="E392" t="s">
        <v>2303</v>
      </c>
      <c r="F392" t="s">
        <v>2183</v>
      </c>
    </row>
    <row r="393" spans="1:6">
      <c r="A393" t="s">
        <v>2302</v>
      </c>
      <c r="C393" t="str">
        <f t="shared" si="12"/>
        <v>© NickName=©C:\Program Files (x86)\EleSy\SCADA Infinity\InfinityServer\Server\DeviceFileCatalog.dll© Path=©C:\Program Files (x86)\EleSy\SCADA Infinity\InfinityServer\Server\DeviceFileCatalog.dll© Sync=©0© OID=©</v>
      </c>
      <c r="E393" t="s">
        <v>2303</v>
      </c>
      <c r="F393" t="s">
        <v>2184</v>
      </c>
    </row>
    <row r="394" spans="1:6">
      <c r="A394" t="s">
        <v>2302</v>
      </c>
      <c r="C394" t="str">
        <f t="shared" si="12"/>
        <v>© NickName=©C:\Program Files (x86)\EleSy\SCADA Infinity\InfinityServer\Server\InfinitySvrCore.dll© Path=©C:\Program Files (x86)\EleSy\SCADA Infinity\InfinityServer\Server\InfinitySvrCore.dll© Sync=©0© OID=©</v>
      </c>
      <c r="E394" t="s">
        <v>2303</v>
      </c>
      <c r="F394" t="s">
        <v>2185</v>
      </c>
    </row>
    <row r="395" spans="1:6">
      <c r="A395" t="s">
        <v>2302</v>
      </c>
      <c r="C395" t="str">
        <f t="shared" si="12"/>
        <v>© NickName=©C:\Program Files (x86)\EleSy\SCADA Infinity\InfinityServer\Reserve\si3.exe© Path=©C:\Program Files (x86)\EleSy\SCADA Infinity\InfinityServer\Reserve\si3.exe© Sync=©0© OID=©</v>
      </c>
      <c r="E395" t="s">
        <v>2303</v>
      </c>
      <c r="F395" t="s">
        <v>2186</v>
      </c>
    </row>
    <row r="396" spans="1:6">
      <c r="A396" t="s">
        <v>2302</v>
      </c>
      <c r="C396" t="str">
        <f t="shared" si="12"/>
        <v>© NickName=©C:\Windows\SysWOW64\EleSyDB.dll© Path=©C:\Windows\SysWOW64\EleSyDB.dll© Sync=©0© OID=©</v>
      </c>
      <c r="E396" t="s">
        <v>2303</v>
      </c>
      <c r="F396" t="s">
        <v>2882</v>
      </c>
    </row>
    <row r="397" spans="1:6">
      <c r="A397" t="s">
        <v>2302</v>
      </c>
      <c r="C397" t="str">
        <f t="shared" si="12"/>
        <v>© NickName=©C:\Windows\SysWOW64\EleSyLogging.dll© Path=©C:\Windows\SysWOW64\EleSyLogging.dll© Sync=©0© OID=©</v>
      </c>
      <c r="E397" t="s">
        <v>2303</v>
      </c>
      <c r="F397" t="s">
        <v>2063</v>
      </c>
    </row>
    <row r="398" spans="1:6">
      <c r="A398" t="s">
        <v>2302</v>
      </c>
      <c r="C398" t="str">
        <f t="shared" si="12"/>
        <v>© NickName=©C:\Windows\SysWOW64\EleSyScDB.dll© Path=©C:\Windows\SysWOW64\EleSyScDB.dll© Sync=©0© OID=©</v>
      </c>
      <c r="E398" t="s">
        <v>2303</v>
      </c>
      <c r="F398" t="s">
        <v>2217</v>
      </c>
    </row>
    <row r="399" spans="1:6">
      <c r="A399" t="s">
        <v>2302</v>
      </c>
      <c r="C399" t="str">
        <f t="shared" si="12"/>
        <v>© NickName=©C:\Windows\SysWOW64\InfinityDatabase.dll© Path=©C:\Windows\SysWOW64\InfinityDatabase.dll© Sync=©0© OID=©</v>
      </c>
      <c r="E399" t="s">
        <v>2303</v>
      </c>
      <c r="F399" t="s">
        <v>2218</v>
      </c>
    </row>
    <row r="400" spans="1:6">
      <c r="A400" t="s">
        <v>2302</v>
      </c>
      <c r="C400" t="str">
        <f t="shared" si="12"/>
        <v>© NickName=©C:\Windows\SysWOW64\Log.dll© Path=©C:\Windows\SysWOW64\Log.dll© Sync=©0© OID=©</v>
      </c>
      <c r="E400" t="s">
        <v>2303</v>
      </c>
      <c r="F400" t="s">
        <v>2883</v>
      </c>
    </row>
    <row r="401" spans="1:6">
      <c r="A401" t="s">
        <v>2302</v>
      </c>
      <c r="C401" t="str">
        <f t="shared" si="12"/>
        <v>© NickName=©C:\Windows\SysWOW64\MFC42.DLL© Path=©C:\Windows\SysWOW64\MFC42.DLL© Sync=©0© OID=©</v>
      </c>
      <c r="E401" t="s">
        <v>2303</v>
      </c>
      <c r="F401" t="s">
        <v>2219</v>
      </c>
    </row>
    <row r="402" spans="1:6">
      <c r="A402" t="s">
        <v>2302</v>
      </c>
      <c r="C402" t="str">
        <f t="shared" si="12"/>
        <v>© NickName=©C:\Windows\SysWOW64\SecurityModule.dll© Path=©C:\Windows\SysWOW64\SecurityModule.dll© Sync=©0© OID=©</v>
      </c>
      <c r="E402" t="s">
        <v>2303</v>
      </c>
      <c r="F402" t="s">
        <v>2221</v>
      </c>
    </row>
    <row r="403" spans="1:6">
      <c r="A403" t="s">
        <v>2302</v>
      </c>
      <c r="C403" t="str">
        <f t="shared" si="12"/>
        <v>© NickName=©C:\Windows\SysWOW64\VCL50.BPL© Path=©C:\Windows\SysWOW64\VCL50.BPL© Sync=©0© OID=©</v>
      </c>
      <c r="E403" t="s">
        <v>2303</v>
      </c>
      <c r="F403" t="s">
        <v>2220</v>
      </c>
    </row>
    <row r="404" spans="1:6">
      <c r="A404" t="s">
        <v>2302</v>
      </c>
      <c r="C404" t="str">
        <f t="shared" si="12"/>
        <v>© NickName=©C:\Data\RESTORE.BAT© Path=©C:\Data\RESTORE.BAT© Sync=©0© OID=©</v>
      </c>
      <c r="E404" t="s">
        <v>2303</v>
      </c>
      <c r="F404" t="s">
        <v>2188</v>
      </c>
    </row>
    <row r="405" spans="1:6">
      <c r="A405" t="s">
        <v>2302</v>
      </c>
      <c r="C405" t="str">
        <f t="shared" si="12"/>
        <v>© NickName=©C:\Data\BACKUP.BAT© Path=©C:\Data\BACKUP.BAT© Sync=©0© OID=©</v>
      </c>
      <c r="E405" t="s">
        <v>2303</v>
      </c>
      <c r="F405" t="s">
        <v>2189</v>
      </c>
    </row>
    <row r="406" spans="1:6">
      <c r="A406" t="s">
        <v>2302</v>
      </c>
      <c r="C406" t="str">
        <f t="shared" si="12"/>
        <v>© NickName=©C:\Data\EleSyDB.sql© Path=©C:\Data\EleSyDB.sql© Sync=©0© OID=©</v>
      </c>
      <c r="E406" t="s">
        <v>2303</v>
      </c>
      <c r="F406" t="s">
        <v>2190</v>
      </c>
    </row>
    <row r="407" spans="1:6">
      <c r="A407" t="s">
        <v>2302</v>
      </c>
      <c r="C407" t="str">
        <f t="shared" si="12"/>
        <v>© NickName=©C:\Data\Infdb.exe© Path=©C:\Data\Infdb.exe© Sync=©0© OID=©</v>
      </c>
      <c r="E407" t="s">
        <v>2303</v>
      </c>
      <c r="F407" t="s">
        <v>2191</v>
      </c>
    </row>
    <row r="408" spans="1:6">
      <c r="A408" t="s">
        <v>2302</v>
      </c>
      <c r="C408" t="str">
        <f t="shared" si="12"/>
        <v>© NickName=©C:\Program Files (x86)\EleSy\SCADA Infinity\InfinityTools\LogViewer\View_ISMgt.dll© Path=©C:\Program Files (x86)\EleSy\SCADA Infinity\InfinityTools\LogViewer\View_ISMgt.dll© Sync=©0© OID=©</v>
      </c>
      <c r="E408" t="s">
        <v>2303</v>
      </c>
      <c r="F408" t="s">
        <v>2192</v>
      </c>
    </row>
    <row r="409" spans="1:6">
      <c r="A409" t="s">
        <v>2302</v>
      </c>
      <c r="C409" t="str">
        <f t="shared" si="12"/>
        <v>© NickName=©C:\Program Files (x86)\EleSy\SCADA Infinity\InfinityTools\LogViewer\View_HAgent.dll© Path=©C:\Program Files (x86)\EleSy\SCADA Infinity\InfinityTools\LogViewer\View_HAgent.dll© Sync=©0© OID=©</v>
      </c>
      <c r="E409" t="s">
        <v>2303</v>
      </c>
      <c r="F409" t="s">
        <v>2193</v>
      </c>
    </row>
    <row r="410" spans="1:6">
      <c r="A410" t="s">
        <v>2302</v>
      </c>
      <c r="C410" t="str">
        <f t="shared" si="12"/>
        <v>© NickName=©C:\Program Files (x86)\EleSy\SCADA Infinity\InfinityTools\LogViewer\View_SIEC4Std.dll© Path=©C:\Program Files (x86)\EleSy\SCADA Infinity\InfinityTools\LogViewer\View_SIEC4Std.dll© Sync=©0© OID=©</v>
      </c>
      <c r="E410" t="s">
        <v>2303</v>
      </c>
      <c r="F410" t="s">
        <v>2194</v>
      </c>
    </row>
    <row r="411" spans="1:6">
      <c r="A411" t="s">
        <v>2302</v>
      </c>
      <c r="C411" t="str">
        <f t="shared" si="12"/>
        <v>© NickName=©C:\Program Files (x86)\EleSy\SCADA Infinity\InfinityTools\LogViewer\View_MIEC103COM.dll© Path=©C:\Program Files (x86)\EleSy\SCADA Infinity\InfinityTools\LogViewer\View_MIEC103COM.dll© Sync=©0© OID=©</v>
      </c>
      <c r="E411" t="s">
        <v>2303</v>
      </c>
      <c r="F411" t="s">
        <v>2195</v>
      </c>
    </row>
    <row r="412" spans="1:6">
      <c r="A412" t="s">
        <v>2302</v>
      </c>
      <c r="C412" t="str">
        <f t="shared" si="12"/>
        <v>© NickName=©C:\Program Files (x86)\EleSy\SCADA Infinity\InfinityTools\LogViewer\View_MIEC103.dll© Path=©C:\Program Files (x86)\EleSy\SCADA Infinity\InfinityTools\LogViewer\View_MIEC103.dll© Sync=©0© OID=©</v>
      </c>
      <c r="E412" t="s">
        <v>2303</v>
      </c>
      <c r="F412" t="s">
        <v>2196</v>
      </c>
    </row>
    <row r="413" spans="1:6">
      <c r="A413" t="s">
        <v>2302</v>
      </c>
      <c r="C413" t="str">
        <f t="shared" si="12"/>
        <v>© NickName=©C:\Program Files (x86)\EleSy\SCADA Infinity\InfinityTools\LogViewer\View_FtpFileAccessComp.dll© Path=©C:\Program Files (x86)\EleSy\SCADA Infinity\InfinityTools\LogViewer\View_FtpFileAccessComp.dll© Sync=©0© OID=©</v>
      </c>
      <c r="E413" t="s">
        <v>2303</v>
      </c>
      <c r="F413" t="s">
        <v>2197</v>
      </c>
    </row>
    <row r="414" spans="1:6">
      <c r="A414" t="s">
        <v>2302</v>
      </c>
      <c r="C414" t="str">
        <f t="shared" si="12"/>
        <v>© NickName=©C:\PKI\Trusted\Certs\InfinityServer.OPCUAEventServer.pem© Path=©C:\PKI\Trusted\Certs\InfinityServer.OPCUAEventServer.pem© Sync=©0© OID=©</v>
      </c>
      <c r="E414" t="s">
        <v>2303</v>
      </c>
      <c r="F414" t="s">
        <v>2198</v>
      </c>
    </row>
    <row r="415" spans="1:6">
      <c r="A415" t="s">
        <v>2302</v>
      </c>
      <c r="C415" t="str">
        <f t="shared" si="12"/>
        <v>© NickName=©C:\PKI\Trusted\Certs\InfinityServer.OPCUAEventServer.der© Path=©C:\PKI\Trusted\Certs\InfinityServer.OPCUAEventServer.der© Sync=©0© OID=©</v>
      </c>
      <c r="E415" t="s">
        <v>2303</v>
      </c>
      <c r="F415" t="s">
        <v>2199</v>
      </c>
    </row>
    <row r="416" spans="1:6">
      <c r="A416" t="s">
        <v>2302</v>
      </c>
      <c r="C416" t="str">
        <f t="shared" si="12"/>
        <v>© NickName=©C:\PKI\Trusted\Certs\InfinityServer.OPCUADataServer.pem© Path=©C:\PKI\Trusted\Certs\InfinityServer.OPCUADataServer.pem© Sync=©0© OID=©</v>
      </c>
      <c r="E416" t="s">
        <v>2303</v>
      </c>
      <c r="F416" t="s">
        <v>2200</v>
      </c>
    </row>
    <row r="417" spans="1:7">
      <c r="A417" t="s">
        <v>2302</v>
      </c>
      <c r="C417" t="str">
        <f t="shared" si="12"/>
        <v>© NickName=©C:\PKI\Trusted\Certs\InfinityServer.OPCUADataServer.der© Path=©C:\PKI\Trusted\Certs\InfinityServer.OPCUADataServer.der© Sync=©0© OID=©</v>
      </c>
      <c r="E417" t="s">
        <v>2303</v>
      </c>
      <c r="F417" t="s">
        <v>2201</v>
      </c>
    </row>
    <row r="418" spans="1:7">
      <c r="A418" t="s">
        <v>2302</v>
      </c>
      <c r="C418" t="str">
        <f t="shared" si="12"/>
        <v>© NickName=©C:\PKI\Trusted\Certs\InfinityServer.OPCUADataClient.pem© Path=©C:\PKI\Trusted\Certs\InfinityServer.OPCUADataClient.pem© Sync=©0© OID=©</v>
      </c>
      <c r="E418" t="s">
        <v>2303</v>
      </c>
      <c r="F418" t="s">
        <v>2202</v>
      </c>
    </row>
    <row r="419" spans="1:7">
      <c r="A419" t="s">
        <v>2302</v>
      </c>
      <c r="C419" t="str">
        <f t="shared" si="12"/>
        <v>© NickName=©C:\PKI\Trusted\Certs\InfinityServer.OPCUADataClient.der© Path=©C:\PKI\Trusted\Certs\InfinityServer.OPCUADataClient.der© Sync=©0© OID=©</v>
      </c>
      <c r="E419" t="s">
        <v>2303</v>
      </c>
      <c r="F419" t="s">
        <v>2203</v>
      </c>
    </row>
    <row r="420" spans="1:7">
      <c r="A420" t="s">
        <v>2302</v>
      </c>
      <c r="C420" t="str">
        <f t="shared" si="12"/>
        <v>© NickName=©C:\Windows\SysWOW64\borlndmm.dll© Path=©C:\Windows\SysWOW64\borlndmm.dll© Sync=©0© OID=©</v>
      </c>
      <c r="E420" t="s">
        <v>2303</v>
      </c>
      <c r="F420" t="s">
        <v>2061</v>
      </c>
    </row>
    <row r="421" spans="1:7">
      <c r="A421" t="s">
        <v>2302</v>
      </c>
      <c r="C421" t="str">
        <f t="shared" si="12"/>
        <v>© NickName=©C:\Program Files (x86)\EleSy\SCADA Infinity\InfinityTools\LogViewer\LogViewer.exe© Path=©C:\Program Files (x86)\EleSy\SCADA Infinity\InfinityTools\LogViewer\LogViewer.exe© Sync=©0© OID=©</v>
      </c>
      <c r="E421" t="s">
        <v>2303</v>
      </c>
      <c r="F421" t="s">
        <v>1999</v>
      </c>
    </row>
    <row r="422" spans="1:7">
      <c r="A422" t="s">
        <v>2302</v>
      </c>
      <c r="C422" t="str">
        <f t="shared" si="12"/>
        <v>© NickName=©C:\Windows\SysWOW64\log2.dll© Path=©C:\Windows\SysWOW64\log2.dll© Sync=©0© OID=©</v>
      </c>
      <c r="E422" t="s">
        <v>2303</v>
      </c>
      <c r="F422" t="s">
        <v>2062</v>
      </c>
    </row>
    <row r="423" spans="1:7">
      <c r="A423" t="s">
        <v>2302</v>
      </c>
      <c r="C423" t="str">
        <f t="shared" si="12"/>
        <v>© NickName=©C:\Program Files (x86)\EleSy\SCADA Infinity\InfinityTools\ApplCfg.exe© Path=©C:\Program Files (x86)\EleSy\SCADA Infinity\InfinityTools\ApplCfg.exe© Sync=©0© OID=©</v>
      </c>
      <c r="E423" t="s">
        <v>2303</v>
      </c>
      <c r="F423" t="s">
        <v>2006</v>
      </c>
    </row>
    <row r="424" spans="1:7">
      <c r="A424" t="s">
        <v>2302</v>
      </c>
      <c r="C424" t="str">
        <f t="shared" si="12"/>
        <v>© NickName=©C:\Windows\SysWOW64\msxml4.dll© Path=©C:\Windows\SysWOW64\msxml4.dll© Sync=©0© OID=©</v>
      </c>
      <c r="E424" t="s">
        <v>2303</v>
      </c>
      <c r="F424" t="s">
        <v>2069</v>
      </c>
    </row>
    <row r="425" spans="1:7">
      <c r="A425" t="s">
        <v>2302</v>
      </c>
      <c r="C425" t="str">
        <f t="shared" si="12"/>
        <v>© NickName=©C:\Windows\SysWOW64\msxml4r.dll© Path=©C:\Windows\SysWOW64\msxml4r.dll© Sync=©0© OID=©</v>
      </c>
      <c r="E425" t="s">
        <v>2303</v>
      </c>
      <c r="F425" t="s">
        <v>2070</v>
      </c>
    </row>
    <row r="426" spans="1:7">
      <c r="A426" t="s">
        <v>2302</v>
      </c>
      <c r="C426" t="str">
        <f t="shared" si="12"/>
        <v>© NickName=©C:\Program Files (x86)\EleSy\SCADA Infinity\InfinityTools\OPCtools.exe© Path=©C:\Program Files (x86)\EleSy\SCADA Infinity\InfinityTools\OPCtools.exe© Sync=©0© OID=©</v>
      </c>
      <c r="E426" t="s">
        <v>2303</v>
      </c>
      <c r="F426" t="s">
        <v>2204</v>
      </c>
    </row>
    <row r="427" spans="1:7">
      <c r="A427" t="s">
        <v>2302</v>
      </c>
      <c r="C427" t="str">
        <f t="shared" si="12"/>
        <v>© NickName=©C:\Program Files (x86)\EleSy\SCADA Infinity\InfinityTools\EleSyStatViewer.exe© Path=©C:\Program Files (x86)\EleSy\SCADA Infinity\InfinityTools\EleSyStatViewer.exe© Sync=©0© OID=©</v>
      </c>
      <c r="E427" t="s">
        <v>2303</v>
      </c>
      <c r="F427" t="s">
        <v>2050</v>
      </c>
    </row>
    <row r="428" spans="1:7">
      <c r="A428" t="s">
        <v>2302</v>
      </c>
      <c r="C428" t="str">
        <f t="shared" si="12"/>
        <v>© NickName=©C:\Program Files (x86)\Common Files\EleSy\System\EleSyStatistic.dll© Path=©C:\Program Files (x86)\Common Files\EleSy\System\EleSyStatistic.dll© Sync=©0© OID=©</v>
      </c>
      <c r="E428" t="s">
        <v>2303</v>
      </c>
      <c r="F428" t="s">
        <v>2051</v>
      </c>
    </row>
    <row r="429" spans="1:7">
      <c r="A429" t="s">
        <v>2302</v>
      </c>
      <c r="C429" t="str">
        <f>"© NickName=©"&amp;F429&amp;"© Path=©"&amp;F429&amp;"© Sync=©0© OID=©"</f>
        <v>© NickName=©C:\Program Files (x86)\EleSy\SCADA Infinity\InfinityServer\Server\InfinityServer.ini© Path=©C:\Program Files (x86)\EleSy\SCADA Infinity\InfinityServer\Server\InfinityServer.ini© Sync=©0© OID=©</v>
      </c>
      <c r="E429" t="s">
        <v>2303</v>
      </c>
      <c r="F429" s="734" t="s">
        <v>2723</v>
      </c>
      <c r="G429" t="s">
        <v>2734</v>
      </c>
    </row>
    <row r="430" spans="1:7">
      <c r="A430" t="s">
        <v>2302</v>
      </c>
      <c r="C430" t="str">
        <f>"© NickName=©"&amp;F430&amp;"© Path=©"&amp;F430&amp;"© Sync=©0© OID=©"</f>
        <v>© NickName=©C:\Program Files (x86)\EleSy\SCADA Infinity\InfinityServer\Server\Security.ini© Path=©C:\Program Files (x86)\EleSy\SCADA Infinity\InfinityServer\Server\Security.ini© Sync=©0© OID=©</v>
      </c>
      <c r="E430" t="s">
        <v>2303</v>
      </c>
      <c r="F430" s="734" t="s">
        <v>2724</v>
      </c>
      <c r="G430" t="s">
        <v>2735</v>
      </c>
    </row>
    <row r="431" spans="1:7">
      <c r="A431" t="s">
        <v>2302</v>
      </c>
      <c r="C431" t="str">
        <f>"© NickName=©"&amp;F431&amp;"© Path=©"&amp;F431&amp;"© Sync=©0© OID=©"</f>
        <v>© NickName=©C:\Program Files (x86)\EleSy\SCADA Infinity\InfinityServer\Reserve\Security.ini© Path=©C:\Program Files (x86)\EleSy\SCADA Infinity\InfinityServer\Reserve\Security.ini© Sync=©0© OID=©</v>
      </c>
      <c r="E431" t="s">
        <v>2303</v>
      </c>
      <c r="F431" s="734" t="s">
        <v>2725</v>
      </c>
      <c r="G431" t="s">
        <v>2736</v>
      </c>
    </row>
    <row r="432" spans="1:7">
      <c r="A432" t="s">
        <v>2302</v>
      </c>
      <c r="C432" t="str">
        <f>"© NickName=©"&amp;F432&amp;"© Path=©"&amp;F432&amp;"© Sync=©0© OID=©"</f>
        <v>© NickName=©C:\Program Files (x86)\EleSy\SCADA Infinity\InfinityClientSecurity\ISM.exe© Path=©C:\Program Files (x86)\EleSy\SCADA Infinity\InfinityClientSecurity\ISM.exe© Sync=©0© OID=©</v>
      </c>
      <c r="E432" t="s">
        <v>2303</v>
      </c>
      <c r="F432" s="734" t="s">
        <v>1996</v>
      </c>
    </row>
    <row r="433" spans="1:6">
      <c r="A433" t="s">
        <v>2302</v>
      </c>
      <c r="C433" t="str">
        <f>"© NickName=©"&amp;F433&amp;"© Path=©"&amp;F433&amp;"© Sync=©0© OID=©"</f>
        <v>© NickName=©C:\Program Files (x86)\EleSy\SCADA Infinity\InfinityClientSecurity\SSMon.exe© Path=©C:\Program Files (x86)\EleSy\SCADA Infinity\InfinityClientSecurity\SSMon.exe© Sync=©0© OID=©</v>
      </c>
      <c r="E433" t="s">
        <v>2303</v>
      </c>
      <c r="F433" s="734" t="s">
        <v>1998</v>
      </c>
    </row>
    <row r="434" spans="1:6">
      <c r="A434" s="690" t="s">
        <v>2904</v>
      </c>
      <c r="B434" s="690"/>
      <c r="C434" s="690"/>
      <c r="D434" s="690"/>
      <c r="E434" s="690"/>
      <c r="F434" s="690" t="s">
        <v>2904</v>
      </c>
    </row>
    <row r="435" spans="1:6">
      <c r="A435" t="s">
        <v>2302</v>
      </c>
      <c r="C435" t="str">
        <f t="shared" ref="C435:C498" si="13">"© NickName=©"&amp;F435&amp;"© Path=©"&amp;F435&amp;"© Sync=©0© OID=©"</f>
        <v>© NickName=©C:\Program Files\EleSy\SCADA Infinity\InfinityServer\Server\si.exe© Path=©C:\Program Files\EleSy\SCADA Infinity\InfinityServer\Server\si.exe© Sync=©0© OID=©</v>
      </c>
      <c r="E435" t="s">
        <v>2303</v>
      </c>
      <c r="F435" t="s">
        <v>2620</v>
      </c>
    </row>
    <row r="436" spans="1:6">
      <c r="A436" t="s">
        <v>2302</v>
      </c>
      <c r="C436" t="str">
        <f t="shared" si="13"/>
        <v>© NickName=©C:\Program Files (x86)\EleSy\SCADA Infinity\InfinityServer\Reserve\HotReserveAgent.exe© Path=©C:\Program Files (x86)\EleSy\SCADA Infinity\InfinityServer\Reserve\HotReserveAgent.exe© Sync=©0© OID=©</v>
      </c>
      <c r="E436" t="s">
        <v>2303</v>
      </c>
      <c r="F436" t="s">
        <v>2125</v>
      </c>
    </row>
    <row r="437" spans="1:6">
      <c r="A437" t="s">
        <v>2302</v>
      </c>
      <c r="C437" t="str">
        <f t="shared" si="13"/>
        <v>© NickName=©C:\Program Files (x86)\EleSy\SCADA Infinity\InfinityTools\LogViewer\View_HRAInterComm.dll© Path=©C:\Program Files (x86)\EleSy\SCADA Infinity\InfinityTools\LogViewer\View_HRAInterComm.dll© Sync=©0© OID=©</v>
      </c>
      <c r="E437" t="s">
        <v>2303</v>
      </c>
      <c r="F437" t="s">
        <v>2126</v>
      </c>
    </row>
    <row r="438" spans="1:6">
      <c r="A438" t="s">
        <v>2302</v>
      </c>
      <c r="C438" t="str">
        <f t="shared" si="13"/>
        <v>© NickName=©C:\Program Files (x86)\Common Files\EleSy\System\dbghelp.dll© Path=©C:\Program Files (x86)\Common Files\EleSy\System\dbghelp.dll© Sync=©0© OID=©</v>
      </c>
      <c r="E438" t="s">
        <v>2303</v>
      </c>
      <c r="F438" t="s">
        <v>2127</v>
      </c>
    </row>
    <row r="439" spans="1:6">
      <c r="A439" t="s">
        <v>2302</v>
      </c>
      <c r="C439" t="str">
        <f t="shared" si="13"/>
        <v>© NickName=©C:\Program Files (x86)\Common Files\Aladdin Shared\Hasp\haspvlib_61937.dll© Path=©C:\Program Files (x86)\Common Files\Aladdin Shared\Hasp\haspvlib_61937.dll© Sync=©0© OID=©</v>
      </c>
      <c r="E439" t="s">
        <v>2303</v>
      </c>
      <c r="F439" t="s">
        <v>1983</v>
      </c>
    </row>
    <row r="440" spans="1:6">
      <c r="A440" t="s">
        <v>2302</v>
      </c>
      <c r="C440" t="str">
        <f t="shared" si="13"/>
        <v>© NickName=©C:\Program Files\Common Files\EleSy\System\SecurityMgt_PS.dll© Path=©C:\Program Files\Common Files\EleSy\System\SecurityMgt_PS.dll© Sync=©0© OID=©</v>
      </c>
      <c r="E440" t="s">
        <v>2303</v>
      </c>
      <c r="F440" t="s">
        <v>2621</v>
      </c>
    </row>
    <row r="441" spans="1:6">
      <c r="A441" t="s">
        <v>2302</v>
      </c>
      <c r="C441" t="str">
        <f t="shared" si="13"/>
        <v>© NickName=©C:\Windows\system32\EleSyLogging.dll© Path=©C:\Windows\system32\EleSyLogging.dll© Sync=©0© OID=©</v>
      </c>
      <c r="E441" t="s">
        <v>2303</v>
      </c>
      <c r="F441" t="s">
        <v>2048</v>
      </c>
    </row>
    <row r="442" spans="1:6">
      <c r="A442" t="s">
        <v>2302</v>
      </c>
      <c r="C442" t="str">
        <f t="shared" si="13"/>
        <v>© NickName=©C:\Windows\system32\InfinityServerMgt_ps.dll© Path=©C:\Windows\system32\InfinityServerMgt_ps.dll© Sync=©0© OID=©</v>
      </c>
      <c r="E442" t="s">
        <v>2303</v>
      </c>
      <c r="F442" t="s">
        <v>2130</v>
      </c>
    </row>
    <row r="443" spans="1:6">
      <c r="A443" t="s">
        <v>2302</v>
      </c>
      <c r="C443" t="str">
        <f t="shared" si="13"/>
        <v>© NickName=©C:\Windows\SysWOW64\InfinityServerMgt_ps.dll© Path=©C:\Windows\SysWOW64\InfinityServerMgt_ps.dll© Sync=©0© OID=©</v>
      </c>
      <c r="E443" t="s">
        <v>2303</v>
      </c>
      <c r="F443" t="s">
        <v>2205</v>
      </c>
    </row>
    <row r="444" spans="1:6">
      <c r="A444" t="s">
        <v>2302</v>
      </c>
      <c r="C444" t="str">
        <f t="shared" si="13"/>
        <v>© NickName=©C:\Program Files\EleSy\SCADA Infinity\InfinityServer\Server\InfinitySvrCore.dll© Path=©C:\Program Files\EleSy\SCADA Infinity\InfinityServer\Server\InfinitySvrCore.dll© Sync=©0© OID=©</v>
      </c>
      <c r="E444" t="s">
        <v>2303</v>
      </c>
      <c r="F444" t="s">
        <v>2622</v>
      </c>
    </row>
    <row r="445" spans="1:6">
      <c r="A445" t="s">
        <v>2302</v>
      </c>
      <c r="C445" t="str">
        <f t="shared" si="13"/>
        <v>© NickName=©C:\Program Files (x86)\Common Files\EleSy\System\SecurityCtx_PS.dll© Path=©C:\Program Files (x86)\Common Files\EleSy\System\SecurityCtx_PS.dll© Sync=©0© OID=©</v>
      </c>
      <c r="E445" t="s">
        <v>2303</v>
      </c>
      <c r="F445" t="s">
        <v>2002</v>
      </c>
    </row>
    <row r="446" spans="1:6">
      <c r="A446" t="s">
        <v>2302</v>
      </c>
      <c r="C446" t="str">
        <f t="shared" si="13"/>
        <v>© NickName=©C:\Program Files (x86)\EleSy\SCADA Infinity\InfinityServer\Security\InfinityDBAccessCfg.exe© Path=©C:\Program Files (x86)\EleSy\SCADA Infinity\InfinityServer\Security\InfinityDBAccessCfg.exe© Sync=©0© OID=©</v>
      </c>
      <c r="E446" t="s">
        <v>2303</v>
      </c>
      <c r="F446" t="s">
        <v>2131</v>
      </c>
    </row>
    <row r="447" spans="1:6">
      <c r="A447" t="s">
        <v>2302</v>
      </c>
      <c r="C447" t="str">
        <f t="shared" si="13"/>
        <v>© NickName=©C:\Windows\SysWOW64\SecurityModule.dll© Path=©C:\Windows\SysWOW64\SecurityModule.dll© Sync=©0© OID=©</v>
      </c>
      <c r="E447" t="s">
        <v>2303</v>
      </c>
      <c r="F447" t="s">
        <v>2221</v>
      </c>
    </row>
    <row r="448" spans="1:6">
      <c r="A448" t="s">
        <v>2302</v>
      </c>
      <c r="C448" t="str">
        <f t="shared" si="13"/>
        <v>© NickName=©C:\Windows\system32\SecurityModule.dll© Path=©C:\Windows\system32\SecurityModule.dll© Sync=©0© OID=©</v>
      </c>
      <c r="E448" t="s">
        <v>2303</v>
      </c>
      <c r="F448" t="s">
        <v>2187</v>
      </c>
    </row>
    <row r="449" spans="1:6">
      <c r="A449" t="s">
        <v>2302</v>
      </c>
      <c r="C449" t="str">
        <f t="shared" si="13"/>
        <v>© NickName=©C:\Windows\SysWOW64\log.dll© Path=©C:\Windows\SysWOW64\log.dll© Sync=©0© OID=©</v>
      </c>
      <c r="E449" t="s">
        <v>2303</v>
      </c>
      <c r="F449" t="s">
        <v>2206</v>
      </c>
    </row>
    <row r="450" spans="1:6">
      <c r="A450" t="s">
        <v>2302</v>
      </c>
      <c r="C450" t="str">
        <f t="shared" si="13"/>
        <v>© NickName=©C:\Program Files (x86)\EleSy\SCADA Infinity\InfinityTools\LogViewer\View_Audit.dll© Path=©C:\Program Files (x86)\EleSy\SCADA Infinity\InfinityTools\LogViewer\View_Audit.dll© Sync=©0© OID=©</v>
      </c>
      <c r="E450" t="s">
        <v>2303</v>
      </c>
      <c r="F450" t="s">
        <v>2132</v>
      </c>
    </row>
    <row r="451" spans="1:6">
      <c r="A451" t="s">
        <v>2302</v>
      </c>
      <c r="C451" t="str">
        <f t="shared" si="13"/>
        <v>© NickName=©C:\Program Files (x86)\EleSy\SCADA Infinity\InfinityTools\LogViewer\View_MBTCP.dll© Path=©C:\Program Files (x86)\EleSy\SCADA Infinity\InfinityTools\LogViewer\View_MBTCP.dll© Sync=©0© OID=©</v>
      </c>
      <c r="E451" t="s">
        <v>2303</v>
      </c>
      <c r="F451" t="s">
        <v>2133</v>
      </c>
    </row>
    <row r="452" spans="1:6">
      <c r="A452" t="s">
        <v>2302</v>
      </c>
      <c r="C452" t="str">
        <f t="shared" si="13"/>
        <v>© NickName=©C:\Program Files (x86)\EleSy\SCADA Infinity\InfinityTools\LogViewer\View_HAgent.dll© Path=©C:\Program Files (x86)\EleSy\SCADA Infinity\InfinityTools\LogViewer\View_HAgent.dll© Sync=©0© OID=©</v>
      </c>
      <c r="E452" t="s">
        <v>2303</v>
      </c>
      <c r="F452" t="s">
        <v>2193</v>
      </c>
    </row>
    <row r="453" spans="1:6">
      <c r="A453" t="s">
        <v>2302</v>
      </c>
      <c r="C453" t="str">
        <f t="shared" si="13"/>
        <v>© NickName=©C:\Windows\system32\log.dll© Path=©C:\Windows\system32\log.dll© Sync=©0© OID=©</v>
      </c>
      <c r="E453" t="s">
        <v>2303</v>
      </c>
      <c r="F453" t="s">
        <v>2215</v>
      </c>
    </row>
    <row r="454" spans="1:6">
      <c r="A454" t="s">
        <v>2302</v>
      </c>
      <c r="C454" t="str">
        <f t="shared" si="13"/>
        <v>© NickName=©C:\Program Files (x86)\EleSy\SCADA Infinity\InfinityTools\LogViewer\View_Miec4.dll© Path=©C:\Program Files (x86)\EleSy\SCADA Infinity\InfinityTools\LogViewer\View_Miec4.dll© Sync=©0© OID=©</v>
      </c>
      <c r="E454" t="s">
        <v>2303</v>
      </c>
      <c r="F454" t="s">
        <v>2134</v>
      </c>
    </row>
    <row r="455" spans="1:6">
      <c r="A455" t="s">
        <v>2302</v>
      </c>
      <c r="C455" t="str">
        <f t="shared" si="13"/>
        <v>© NickName=©C:\Program Files (x86)\EleSy\SCADA Infinity\InfinityTools\LogViewer\View_SNMP.dll© Path=©C:\Program Files (x86)\EleSy\SCADA Infinity\InfinityTools\LogViewer\View_SNMP.dll© Sync=©0© OID=©</v>
      </c>
      <c r="E455" t="s">
        <v>2303</v>
      </c>
      <c r="F455" t="s">
        <v>2135</v>
      </c>
    </row>
    <row r="456" spans="1:6">
      <c r="A456" t="s">
        <v>2302</v>
      </c>
      <c r="C456" t="str">
        <f t="shared" si="13"/>
        <v>© NickName=©C:\Program Files (x86)\EleSy\SCADA Infinity\InfinityTools\LogViewer\View_ISMgt.dll© Path=©C:\Program Files (x86)\EleSy\SCADA Infinity\InfinityTools\LogViewer\View_ISMgt.dll© Sync=©0© OID=©</v>
      </c>
      <c r="E456" t="s">
        <v>2303</v>
      </c>
      <c r="F456" t="s">
        <v>2192</v>
      </c>
    </row>
    <row r="457" spans="1:6">
      <c r="A457" t="s">
        <v>2302</v>
      </c>
      <c r="C457" t="str">
        <f t="shared" si="13"/>
        <v>© NickName=©C:\Program Files (x86)\EleSy\SCADA Infinity\InfinityTools\InfinityCompleteness.exe© Path=©C:\Program Files (x86)\EleSy\SCADA Infinity\InfinityTools\InfinityCompleteness.exe© Sync=©0© OID=©</v>
      </c>
      <c r="E457" t="s">
        <v>2303</v>
      </c>
      <c r="F457" t="s">
        <v>1988</v>
      </c>
    </row>
    <row r="458" spans="1:6">
      <c r="A458" t="s">
        <v>2302</v>
      </c>
      <c r="C458" t="str">
        <f t="shared" si="13"/>
        <v>© NickName=©C:\Program Files (x86)\EleSy\SCADA Infinity\InfinityTools\ignore.files© Path=©C:\Program Files (x86)\EleSy\SCADA Infinity\InfinityTools\ignore.files© Sync=©0© OID=©</v>
      </c>
      <c r="E458" t="s">
        <v>2303</v>
      </c>
      <c r="F458" t="s">
        <v>1989</v>
      </c>
    </row>
    <row r="459" spans="1:6">
      <c r="A459" t="s">
        <v>2302</v>
      </c>
      <c r="C459" t="str">
        <f t="shared" si="13"/>
        <v>© NickName=©C:\Windows\system32\Localize.dll© Path=©C:\Windows\system32\Localize.dll© Sync=©0© OID=©</v>
      </c>
      <c r="E459" t="s">
        <v>2303</v>
      </c>
      <c r="F459" t="s">
        <v>1990</v>
      </c>
    </row>
    <row r="460" spans="1:6">
      <c r="A460" t="s">
        <v>2302</v>
      </c>
      <c r="C460" t="str">
        <f t="shared" si="13"/>
        <v>© NickName=©C:\Windows\SysWOW64\Localize.dll© Path=©C:\Windows\SysWOW64\Localize.dll© Sync=©0© OID=©</v>
      </c>
      <c r="E460" t="s">
        <v>2303</v>
      </c>
      <c r="F460" t="s">
        <v>2067</v>
      </c>
    </row>
    <row r="461" spans="1:6">
      <c r="A461" t="s">
        <v>2302</v>
      </c>
      <c r="C461" t="str">
        <f t="shared" si="13"/>
        <v>© NickName=©C:\Windows\SysWOW64\MSVCP60.DLL© Path=©C:\Windows\SysWOW64\MSVCP60.DLL© Sync=©0© OID=©</v>
      </c>
      <c r="E461" t="s">
        <v>2303</v>
      </c>
      <c r="F461" t="s">
        <v>2207</v>
      </c>
    </row>
    <row r="462" spans="1:6">
      <c r="A462" t="s">
        <v>2302</v>
      </c>
      <c r="C462" t="str">
        <f t="shared" si="13"/>
        <v>© NickName=©C:\Windows\SysWOW64\msvcp60.dll© Path=©C:\Windows\SysWOW64\msvcp60.dll© Sync=©0© OID=©</v>
      </c>
      <c r="E462" t="s">
        <v>2303</v>
      </c>
      <c r="F462" t="s">
        <v>2068</v>
      </c>
    </row>
    <row r="463" spans="1:6">
      <c r="A463" t="s">
        <v>2302</v>
      </c>
      <c r="C463" t="str">
        <f t="shared" si="13"/>
        <v>© NickName=©C:\Program Files (x86)\EleSy\SCADA Infinity\InfinityTools\SystemCnfg.exe© Path=©C:\Program Files (x86)\EleSy\SCADA Infinity\InfinityTools\SystemCnfg.exe© Sync=©0© OID=©</v>
      </c>
      <c r="E463" t="s">
        <v>2303</v>
      </c>
      <c r="F463" t="s">
        <v>1991</v>
      </c>
    </row>
    <row r="464" spans="1:6">
      <c r="A464" t="s">
        <v>2302</v>
      </c>
      <c r="C464" t="str">
        <f t="shared" si="13"/>
        <v>© NickName=©C:\Program Files (x86)\EleSy\SCADA Infinity\InfinityTools\SystemCnfg.dat© Path=©C:\Program Files (x86)\EleSy\SCADA Infinity\InfinityTools\SystemCnfg.dat© Sync=©0© OID=©</v>
      </c>
      <c r="E464" t="s">
        <v>2303</v>
      </c>
      <c r="F464" t="s">
        <v>1992</v>
      </c>
    </row>
    <row r="465" spans="1:6">
      <c r="A465" t="s">
        <v>2302</v>
      </c>
      <c r="C465" t="str">
        <f t="shared" si="13"/>
        <v>© NickName=©C:\Windows\SysWOW64\EleSyLogging.dll© Path=©C:\Windows\SysWOW64\EleSyLogging.dll© Sync=©0© OID=©</v>
      </c>
      <c r="E465" t="s">
        <v>2303</v>
      </c>
      <c r="F465" t="s">
        <v>2063</v>
      </c>
    </row>
    <row r="466" spans="1:6">
      <c r="A466" t="s">
        <v>2302</v>
      </c>
      <c r="C466" t="str">
        <f t="shared" si="13"/>
        <v>© NickName=©C:\Program Files (x86)\EleSy\SCADA Infinity\InfinityTools\ViewEventLog.exe© Path=©C:\Program Files (x86)\EleSy\SCADA Infinity\InfinityTools\ViewEventLog.exe© Sync=©0© OID=©</v>
      </c>
      <c r="E466" t="s">
        <v>2303</v>
      </c>
      <c r="F466" t="s">
        <v>2049</v>
      </c>
    </row>
    <row r="467" spans="1:6">
      <c r="A467" t="s">
        <v>2302</v>
      </c>
      <c r="C467" t="str">
        <f t="shared" si="13"/>
        <v>© NickName=©C:\Program Files (x86)\EleSy\SCADA Infinity\InfinityTools\HotReserveManager.exe© Path=©C:\Program Files (x86)\EleSy\SCADA Infinity\InfinityTools\HotReserveManager.exe© Sync=©0© OID=©</v>
      </c>
      <c r="E467" t="s">
        <v>2303</v>
      </c>
      <c r="F467" t="s">
        <v>2001</v>
      </c>
    </row>
    <row r="468" spans="1:6">
      <c r="A468" t="s">
        <v>2302</v>
      </c>
      <c r="C468" t="str">
        <f t="shared" si="13"/>
        <v>© NickName=©C:\Windows\system32\log2.dll© Path=©C:\Windows\system32\log2.dll© Sync=©0© OID=©</v>
      </c>
      <c r="E468" t="s">
        <v>2303</v>
      </c>
      <c r="F468" t="s">
        <v>2000</v>
      </c>
    </row>
    <row r="469" spans="1:6">
      <c r="A469" t="s">
        <v>2302</v>
      </c>
      <c r="C469" t="str">
        <f t="shared" si="13"/>
        <v>© NickName=©C:\Program Files (x86)\Common Files\EleSy\System\SecurityCtx_PS.dll© Path=©C:\Program Files (x86)\Common Files\EleSy\System\SecurityCtx_PS.dll© Sync=©0© OID=©</v>
      </c>
      <c r="E469" t="s">
        <v>2303</v>
      </c>
      <c r="F469" t="s">
        <v>2002</v>
      </c>
    </row>
    <row r="470" spans="1:6">
      <c r="A470" t="s">
        <v>2302</v>
      </c>
      <c r="C470" t="str">
        <f t="shared" si="13"/>
        <v>© NickName=©C:\Windows\SysWOW64\SecurityEditor.dll© Path=©C:\Windows\SysWOW64\SecurityEditor.dll© Sync=©0© OID=©</v>
      </c>
      <c r="E470" t="s">
        <v>2303</v>
      </c>
      <c r="F470" t="s">
        <v>2065</v>
      </c>
    </row>
    <row r="471" spans="1:6">
      <c r="A471" t="s">
        <v>2302</v>
      </c>
      <c r="C471" t="str">
        <f t="shared" si="13"/>
        <v>© NickName=©C:\Program Files\Common Files\EleSy\System\SecurityMgt_PS.dll© Path=©C:\Program Files\Common Files\EleSy\System\SecurityMgt_PS.dll© Sync=©0© OID=©</v>
      </c>
      <c r="E471" t="s">
        <v>2303</v>
      </c>
      <c r="F471" t="s">
        <v>2621</v>
      </c>
    </row>
    <row r="472" spans="1:6">
      <c r="A472" t="s">
        <v>2302</v>
      </c>
      <c r="C472" t="str">
        <f t="shared" si="13"/>
        <v>© NickName=©C:\Program Files (x86)\Common Files\EleSy\System\SecurityMgt_PS.dll© Path=©C:\Program Files (x86)\Common Files\EleSy\System\SecurityMgt_PS.dll© Sync=©0© OID=©</v>
      </c>
      <c r="E472" t="s">
        <v>2303</v>
      </c>
      <c r="F472" t="s">
        <v>2003</v>
      </c>
    </row>
    <row r="473" spans="1:6">
      <c r="A473" t="s">
        <v>2302</v>
      </c>
      <c r="C473" t="str">
        <f t="shared" si="13"/>
        <v>© NickName=©C:\Windows\SysWOW64\dnaccbrw.dll© Path=©C:\Windows\SysWOW64\dnaccbrw.dll© Sync=©0© OID=©</v>
      </c>
      <c r="E473" t="s">
        <v>2303</v>
      </c>
      <c r="F473" t="s">
        <v>2064</v>
      </c>
    </row>
    <row r="474" spans="1:6">
      <c r="A474" t="s">
        <v>2302</v>
      </c>
      <c r="C474" t="str">
        <f t="shared" si="13"/>
        <v>© NickName=©C:\Program Files (x86)\Common Files\EleSy\Infinity\Resources\ru\hagentmc.dll.ru© Path=©C:\Program Files (x86)\Common Files\EleSy\Infinity\Resources\ru\hagentmc.dll.ru© Sync=©0© OID=©</v>
      </c>
      <c r="E474" t="s">
        <v>2303</v>
      </c>
      <c r="F474" t="s">
        <v>2004</v>
      </c>
    </row>
    <row r="475" spans="1:6">
      <c r="A475" t="s">
        <v>2302</v>
      </c>
      <c r="C475" t="str">
        <f t="shared" si="13"/>
        <v>© NickName=©C:\Windows\system32\hagentps.dll© Path=©C:\Windows\system32\hagentps.dll© Sync=©0© OID=©</v>
      </c>
      <c r="E475" t="s">
        <v>2303</v>
      </c>
      <c r="F475" t="s">
        <v>2005</v>
      </c>
    </row>
    <row r="476" spans="1:6">
      <c r="A476" t="s">
        <v>2302</v>
      </c>
      <c r="C476" t="str">
        <f t="shared" si="13"/>
        <v>© NickName=©C:\Windows\SysWOW64\hagentps.dll© Path=©C:\Windows\SysWOW64\hagentps.dll© Sync=©0© OID=©</v>
      </c>
      <c r="E476" t="s">
        <v>2303</v>
      </c>
      <c r="F476" t="s">
        <v>2066</v>
      </c>
    </row>
    <row r="477" spans="1:6">
      <c r="A477" t="s">
        <v>2302</v>
      </c>
      <c r="C477" t="str">
        <f t="shared" si="13"/>
        <v>© NickName=©C:\Program Files (x86)\EleSy\SCADA Infinity\InfinityTools\IB_WISQL.exe© Path=©C:\Program Files (x86)\EleSy\SCADA Infinity\InfinityTools\IB_WISQL.exe© Sync=©0© OID=©</v>
      </c>
      <c r="E477" t="s">
        <v>2303</v>
      </c>
      <c r="F477" t="s">
        <v>2136</v>
      </c>
    </row>
    <row r="478" spans="1:6">
      <c r="A478" t="s">
        <v>2302</v>
      </c>
      <c r="C478" t="str">
        <f t="shared" si="13"/>
        <v>© NickName=©C:\Windows\SysWOW64\fbclient.dll© Path=©C:\Windows\SysWOW64\fbclient.dll© Sync=©0© OID=©</v>
      </c>
      <c r="E478" t="s">
        <v>2303</v>
      </c>
      <c r="F478" t="s">
        <v>2208</v>
      </c>
    </row>
    <row r="479" spans="1:6">
      <c r="A479" t="s">
        <v>2302</v>
      </c>
      <c r="C479" t="str">
        <f t="shared" si="13"/>
        <v>© NickName=©C:\Windows\system32\fbclient.dll© Path=©C:\Windows\system32\fbclient.dll© Sync=©0© OID=©</v>
      </c>
      <c r="E479" t="s">
        <v>2303</v>
      </c>
      <c r="F479" t="s">
        <v>2137</v>
      </c>
    </row>
    <row r="480" spans="1:6">
      <c r="A480" t="s">
        <v>2302</v>
      </c>
      <c r="C480" t="str">
        <f t="shared" si="13"/>
        <v>© NickName=©C:\Program Files (x86)\EleSy\SCADA Infinity\InfinityServer\Configuration\Modules\CfgAddr.dll© Path=©C:\Program Files (x86)\EleSy\SCADA Infinity\InfinityServer\Configuration\Modules\CfgAddr.dll© Sync=©0© OID=©</v>
      </c>
      <c r="E480" t="s">
        <v>2303</v>
      </c>
      <c r="F480" t="s">
        <v>2138</v>
      </c>
    </row>
    <row r="481" spans="1:6">
      <c r="A481" t="s">
        <v>2302</v>
      </c>
      <c r="C481" t="str">
        <f t="shared" si="13"/>
        <v>© NickName=©C:\Program Files (x86)\EleSy\SCADA Infinity\InfinityServer\Configuration\Modules\CfgFtpFileAccessComp.dll© Path=©C:\Program Files (x86)\EleSy\SCADA Infinity\InfinityServer\Configuration\Modules\CfgFtpFileAccessComp.dll© Sync=©0© OID=©</v>
      </c>
      <c r="E481" t="s">
        <v>2303</v>
      </c>
      <c r="F481" t="s">
        <v>2139</v>
      </c>
    </row>
    <row r="482" spans="1:6">
      <c r="A482" t="s">
        <v>2302</v>
      </c>
      <c r="C482" t="str">
        <f t="shared" si="13"/>
        <v>© NickName=©C:\Program Files (x86)\EleSy\SCADA Infinity\InfinityServer\Configuration\Modules\CfgICMPComp.dll© Path=©C:\Program Files (x86)\EleSy\SCADA Infinity\InfinityServer\Configuration\Modules\CfgICMPComp.dll© Sync=©0© OID=©</v>
      </c>
      <c r="E482" t="s">
        <v>2303</v>
      </c>
      <c r="F482" t="s">
        <v>2140</v>
      </c>
    </row>
    <row r="483" spans="1:6">
      <c r="A483" t="s">
        <v>2302</v>
      </c>
      <c r="C483" t="str">
        <f t="shared" si="13"/>
        <v>© NickName=©C:\Program Files (x86)\EleSy\SCADA Infinity\InfinityServer\Configuration\Modules\CfgImportExport.dll© Path=©C:\Program Files (x86)\EleSy\SCADA Infinity\InfinityServer\Configuration\Modules\CfgImportExport.dll© Sync=©0© OID=©</v>
      </c>
      <c r="E483" t="s">
        <v>2303</v>
      </c>
      <c r="F483" t="s">
        <v>2141</v>
      </c>
    </row>
    <row r="484" spans="1:6">
      <c r="A484" t="s">
        <v>2302</v>
      </c>
      <c r="C484" t="str">
        <f t="shared" si="13"/>
        <v>© NickName=©C:\Program Files (x86)\EleSy\SCADA Infinity\InfinityServer\Configuration\Modules\CfgLogic2.dll© Path=©C:\Program Files (x86)\EleSy\SCADA Infinity\InfinityServer\Configuration\Modules\CfgLogic2.dll© Sync=©0© OID=©</v>
      </c>
      <c r="E484" t="s">
        <v>2303</v>
      </c>
      <c r="F484" t="s">
        <v>2142</v>
      </c>
    </row>
    <row r="485" spans="1:6">
      <c r="A485" t="s">
        <v>2302</v>
      </c>
      <c r="C485" t="str">
        <f t="shared" si="13"/>
        <v>© NickName=©C:\Program Files (x86)\EleSy\SCADA Infinity\InfinityServer\Configuration\Modules\CfgMiec4StdComp.dll© Path=©C:\Program Files (x86)\EleSy\SCADA Infinity\InfinityServer\Configuration\Modules\CfgMiec4StdComp.dll© Sync=©0© OID=©</v>
      </c>
      <c r="E485" t="s">
        <v>2303</v>
      </c>
      <c r="F485" t="s">
        <v>2143</v>
      </c>
    </row>
    <row r="486" spans="1:6">
      <c r="A486" t="s">
        <v>2302</v>
      </c>
      <c r="C486" t="str">
        <f t="shared" si="13"/>
        <v>© NickName=©C:\Program Files (x86)\EleSy\SCADA Infinity\InfinityServer\Configuration\Modules\CfgModbusComp.dll© Path=©C:\Program Files (x86)\EleSy\SCADA Infinity\InfinityServer\Configuration\Modules\CfgModbusComp.dll© Sync=©0© OID=©</v>
      </c>
      <c r="E486" t="s">
        <v>2303</v>
      </c>
      <c r="F486" t="s">
        <v>2144</v>
      </c>
    </row>
    <row r="487" spans="1:6">
      <c r="A487" t="s">
        <v>2302</v>
      </c>
      <c r="C487" t="str">
        <f t="shared" si="13"/>
        <v>© NickName=©C:\Program Files (x86)\EleSy\SCADA Infinity\InfinityServer\Configuration\Modules\CfgModbusTCPIPMaster.dll© Path=©C:\Program Files (x86)\EleSy\SCADA Infinity\InfinityServer\Configuration\Modules\CfgModbusTCPIPMaster.dll© Sync=©0© OID=©</v>
      </c>
      <c r="E487" t="s">
        <v>2303</v>
      </c>
      <c r="F487" t="s">
        <v>2145</v>
      </c>
    </row>
    <row r="488" spans="1:6">
      <c r="A488" t="s">
        <v>2302</v>
      </c>
      <c r="C488" t="str">
        <f t="shared" si="13"/>
        <v>© NickName=©C:\Program Files (x86)\EleSy\SCADA Infinity\InfinityServer\Configuration\Modules\CfgNodeProp.dll© Path=©C:\Program Files (x86)\EleSy\SCADA Infinity\InfinityServer\Configuration\Modules\CfgNodeProp.dll© Sync=©0© OID=©</v>
      </c>
      <c r="E488" t="s">
        <v>2303</v>
      </c>
      <c r="F488" t="s">
        <v>2146</v>
      </c>
    </row>
    <row r="489" spans="1:6">
      <c r="A489" t="s">
        <v>2302</v>
      </c>
      <c r="C489" t="str">
        <f t="shared" si="13"/>
        <v>© NickName=©C:\Program Files (x86)\EleSy\SCADA Infinity\InfinityServer\Configuration\Modules\CfgNodeProp2.dll© Path=©C:\Program Files (x86)\EleSy\SCADA Infinity\InfinityServer\Configuration\Modules\CfgNodeProp2.dll© Sync=©0© OID=©</v>
      </c>
      <c r="E489" t="s">
        <v>2303</v>
      </c>
      <c r="F489" t="s">
        <v>2147</v>
      </c>
    </row>
    <row r="490" spans="1:6">
      <c r="A490" t="s">
        <v>2302</v>
      </c>
      <c r="C490" t="str">
        <f t="shared" si="13"/>
        <v>© NickName=©C:\Program Files (x86)\EleSy\SCADA Infinity\InfinityServer\Configuration\Modules\CfgOPCAEServer.dll© Path=©C:\Program Files (x86)\EleSy\SCADA Infinity\InfinityServer\Configuration\Modules\CfgOPCAEServer.dll© Sync=©0© OID=©</v>
      </c>
      <c r="E490" t="s">
        <v>2303</v>
      </c>
      <c r="F490" t="s">
        <v>2148</v>
      </c>
    </row>
    <row r="491" spans="1:6">
      <c r="A491" t="s">
        <v>2302</v>
      </c>
      <c r="C491" t="str">
        <f t="shared" si="13"/>
        <v>© NickName=©C:\Program Files (x86)\EleSy\SCADA Infinity\InfinityServer\Configuration\Modules\CfgOPCClientComp.dll© Path=©C:\Program Files (x86)\EleSy\SCADA Infinity\InfinityServer\Configuration\Modules\CfgOPCClientComp.dll© Sync=©0© OID=©</v>
      </c>
      <c r="E491" t="s">
        <v>2303</v>
      </c>
      <c r="F491" t="s">
        <v>2149</v>
      </c>
    </row>
    <row r="492" spans="1:6">
      <c r="A492" t="s">
        <v>2302</v>
      </c>
      <c r="C492" t="str">
        <f t="shared" si="13"/>
        <v>© NickName=©C:\Program Files (x86)\EleSy\SCADA Infinity\InfinityServer\Configuration\Modules\CfgOPCComp.dll© Path=©C:\Program Files (x86)\EleSy\SCADA Infinity\InfinityServer\Configuration\Modules\CfgOPCComp.dll© Sync=©0© OID=©</v>
      </c>
      <c r="E492" t="s">
        <v>2303</v>
      </c>
      <c r="F492" t="s">
        <v>2150</v>
      </c>
    </row>
    <row r="493" spans="1:6">
      <c r="A493" t="s">
        <v>2302</v>
      </c>
      <c r="C493" t="str">
        <f t="shared" si="13"/>
        <v>© NickName=©C:\Program Files (x86)\EleSy\SCADA Infinity\InfinityServer\Configuration\Modules\CfgOPCUADataComp.dll© Path=©C:\Program Files (x86)\EleSy\SCADA Infinity\InfinityServer\Configuration\Modules\CfgOPCUADataComp.dll© Sync=©0© OID=©</v>
      </c>
      <c r="E493" t="s">
        <v>2303</v>
      </c>
      <c r="F493" t="s">
        <v>2151</v>
      </c>
    </row>
    <row r="494" spans="1:6">
      <c r="A494" t="s">
        <v>2302</v>
      </c>
      <c r="C494" t="str">
        <f t="shared" si="13"/>
        <v>© NickName=©C:\Program Files (x86)\EleSy\SCADA Infinity\InfinityServer\Configuration\Modules\CfgRange.dll© Path=©C:\Program Files (x86)\EleSy\SCADA Infinity\InfinityServer\Configuration\Modules\CfgRange.dll© Sync=©0© OID=©</v>
      </c>
      <c r="E494" t="s">
        <v>2303</v>
      </c>
      <c r="F494" t="s">
        <v>2152</v>
      </c>
    </row>
    <row r="495" spans="1:6">
      <c r="A495" t="s">
        <v>2302</v>
      </c>
      <c r="C495" t="str">
        <f t="shared" si="13"/>
        <v>© NickName=©C:\Program Files (x86)\EleSy\SCADA Infinity\InfinityServer\Configuration\Modules\CfgStatClient.dll© Path=©C:\Program Files (x86)\EleSy\SCADA Infinity\InfinityServer\Configuration\Modules\CfgStatClient.dll© Sync=©0© OID=©</v>
      </c>
      <c r="E495" t="s">
        <v>2303</v>
      </c>
      <c r="F495" t="s">
        <v>2153</v>
      </c>
    </row>
    <row r="496" spans="1:6">
      <c r="A496" t="s">
        <v>2302</v>
      </c>
      <c r="C496" t="str">
        <f t="shared" si="13"/>
        <v>© NickName=©C:\Windows\system32\ElesyCalc.dll© Path=©C:\Windows\system32\ElesyCalc.dll© Sync=©0© OID=©</v>
      </c>
      <c r="E496" t="s">
        <v>2303</v>
      </c>
      <c r="F496" t="s">
        <v>2154</v>
      </c>
    </row>
    <row r="497" spans="1:6">
      <c r="A497" t="s">
        <v>2302</v>
      </c>
      <c r="C497" t="str">
        <f t="shared" si="13"/>
        <v>© NickName=©C:\Windows\SysWOW64\ElesyCalc.dll© Path=©C:\Windows\SysWOW64\ElesyCalc.dll© Sync=©0© OID=©</v>
      </c>
      <c r="E497" t="s">
        <v>2303</v>
      </c>
      <c r="F497" t="s">
        <v>2209</v>
      </c>
    </row>
    <row r="498" spans="1:6">
      <c r="A498" t="s">
        <v>2302</v>
      </c>
      <c r="C498" t="str">
        <f t="shared" si="13"/>
        <v>© NickName=©C:\Program Files\Common Files\Elesy\System\EleSyConfiguration.dll© Path=©C:\Program Files\Common Files\Elesy\System\EleSyConfiguration.dll© Sync=©0© OID=©</v>
      </c>
      <c r="E498" t="s">
        <v>2303</v>
      </c>
      <c r="F498" t="s">
        <v>2623</v>
      </c>
    </row>
    <row r="499" spans="1:6">
      <c r="A499" t="s">
        <v>2302</v>
      </c>
      <c r="C499" t="str">
        <f t="shared" ref="C499:C562" si="14">"© NickName=©"&amp;F499&amp;"© Path=©"&amp;F499&amp;"© Sync=©0© OID=©"</f>
        <v>© NickName=©C:\Program Files (x86)\Common Files\Elesy\System\EleSyConfiguration.dll© Path=©C:\Program Files (x86)\Common Files\Elesy\System\EleSyConfiguration.dll© Sync=©0© OID=©</v>
      </c>
      <c r="E499" t="s">
        <v>2303</v>
      </c>
      <c r="F499" t="s">
        <v>2210</v>
      </c>
    </row>
    <row r="500" spans="1:6">
      <c r="A500" t="s">
        <v>2302</v>
      </c>
      <c r="C500" t="str">
        <f t="shared" si="14"/>
        <v>© NickName=©C:\Program Files\Common Files\Elesy\System\EleSyServerMgt.dll© Path=©C:\Program Files\Common Files\Elesy\System\EleSyServerMgt.dll© Sync=©0© OID=©</v>
      </c>
      <c r="E500" t="s">
        <v>2303</v>
      </c>
      <c r="F500" t="s">
        <v>2624</v>
      </c>
    </row>
    <row r="501" spans="1:6">
      <c r="A501" t="s">
        <v>2302</v>
      </c>
      <c r="C501" t="str">
        <f t="shared" si="14"/>
        <v>© NickName=©C:\Program Files (x86)\Common Files\Elesy\System\EleSyServerMgt.dll© Path=©C:\Program Files (x86)\Common Files\Elesy\System\EleSyServerMgt.dll© Sync=©0© OID=©</v>
      </c>
      <c r="E501" t="s">
        <v>2303</v>
      </c>
      <c r="F501" t="s">
        <v>2211</v>
      </c>
    </row>
    <row r="502" spans="1:6">
      <c r="A502" t="s">
        <v>2302</v>
      </c>
      <c r="C502" t="str">
        <f t="shared" si="14"/>
        <v>© NickName=©C:\Program Files (x86)\EleSy\SCADA Infinity\InfinityServer\Configuration\InfinityCfg.exe© Path=©C:\Program Files (x86)\EleSy\SCADA Infinity\InfinityServer\Configuration\InfinityCfg.exe© Sync=©0© OID=©</v>
      </c>
      <c r="E502" t="s">
        <v>2303</v>
      </c>
      <c r="F502" t="s">
        <v>2157</v>
      </c>
    </row>
    <row r="503" spans="1:6">
      <c r="A503" t="s">
        <v>2302</v>
      </c>
      <c r="C503" t="str">
        <f t="shared" si="14"/>
        <v>© NickName=©C:\Windows\SysWOW64\SecurityEditor.dll© Path=©C:\Windows\SysWOW64\SecurityEditor.dll© Sync=©0© OID=©</v>
      </c>
      <c r="E503" t="s">
        <v>2303</v>
      </c>
      <c r="F503" t="s">
        <v>2065</v>
      </c>
    </row>
    <row r="504" spans="1:6">
      <c r="A504" t="s">
        <v>2302</v>
      </c>
      <c r="C504" t="str">
        <f t="shared" si="14"/>
        <v>© NickName=©C:\Windows\SysWOW64\dnaccbrw.dll© Path=©C:\Windows\SysWOW64\dnaccbrw.dll© Sync=©0© OID=©</v>
      </c>
      <c r="E504" t="s">
        <v>2303</v>
      </c>
      <c r="F504" t="s">
        <v>2064</v>
      </c>
    </row>
    <row r="505" spans="1:6">
      <c r="A505" t="s">
        <v>2302</v>
      </c>
      <c r="C505" t="str">
        <f t="shared" si="14"/>
        <v>© NickName=©C:\Windows\SysWOW64\scl.dll© Path=©C:\Windows\SysWOW64\scl.dll© Sync=©0© OID=©</v>
      </c>
      <c r="E505" t="s">
        <v>2303</v>
      </c>
      <c r="F505" t="s">
        <v>2212</v>
      </c>
    </row>
    <row r="506" spans="1:6">
      <c r="A506" t="s">
        <v>2302</v>
      </c>
      <c r="C506" t="str">
        <f t="shared" si="14"/>
        <v>© NickName=©C:\Program Files (x86)\EleSy\SCADA Infinity\InfinityServer\Configuration\Modules\CfgSiec4StdComp.dll© Path=©C:\Program Files (x86)\EleSy\SCADA Infinity\InfinityServer\Configuration\Modules\CfgSiec4StdComp.dll© Sync=©0© OID=©</v>
      </c>
      <c r="E506" t="s">
        <v>2303</v>
      </c>
      <c r="F506" t="s">
        <v>2158</v>
      </c>
    </row>
    <row r="507" spans="1:6">
      <c r="A507" t="s">
        <v>2302</v>
      </c>
      <c r="C507" t="str">
        <f t="shared" si="14"/>
        <v>© NickName=©C:\Program Files (x86)\EleSy\SCADA Infinity\InfinityServer\Configuration\Modules\CfgMiec103StdComp.dll© Path=©C:\Program Files (x86)\EleSy\SCADA Infinity\InfinityServer\Configuration\Modules\CfgMiec103StdComp.dll© Sync=©0© OID=©</v>
      </c>
      <c r="E507" t="s">
        <v>2303</v>
      </c>
      <c r="F507" t="s">
        <v>2159</v>
      </c>
    </row>
    <row r="508" spans="1:6">
      <c r="A508" t="s">
        <v>2302</v>
      </c>
      <c r="C508" t="str">
        <f t="shared" si="14"/>
        <v>© NickName=©C:\Program Files (x86)\EleSy\SCADA Infinity\InfinityServer\Configuration\Modules\CfgOPCClientPropSync.dll© Path=©C:\Program Files (x86)\EleSy\SCADA Infinity\InfinityServer\Configuration\Modules\CfgOPCClientPropSync.dll© Sync=©0© OID=©</v>
      </c>
      <c r="E508" t="s">
        <v>2303</v>
      </c>
      <c r="F508" t="s">
        <v>2160</v>
      </c>
    </row>
    <row r="509" spans="1:6">
      <c r="A509" t="s">
        <v>2302</v>
      </c>
      <c r="C509" t="str">
        <f t="shared" si="14"/>
        <v>© NickName=©C:\Program Files (x86)\EleSy\SCADA Infinity\InfinityServer\Configuration\Modules\CfgOPCUAAEComp.dll© Path=©C:\Program Files (x86)\EleSy\SCADA Infinity\InfinityServer\Configuration\Modules\CfgOPCUAAEComp.dll© Sync=©0© OID=©</v>
      </c>
      <c r="E509" t="s">
        <v>2303</v>
      </c>
      <c r="F509" t="s">
        <v>2161</v>
      </c>
    </row>
    <row r="510" spans="1:6">
      <c r="A510" t="s">
        <v>2302</v>
      </c>
      <c r="C510" t="str">
        <f t="shared" si="14"/>
        <v>© NickName=©C:\Program Files (x86)\EleSy\SCADA Infinity\InfinityServer\Configuration\Modules\CfgOPCUADataClientComp.dll© Path=©C:\Program Files (x86)\EleSy\SCADA Infinity\InfinityServer\Configuration\Modules\CfgOPCUADataClientComp.dll© Sync=©0© OID=©</v>
      </c>
      <c r="E510" t="s">
        <v>2303</v>
      </c>
      <c r="F510" s="376" t="s">
        <v>2905</v>
      </c>
    </row>
    <row r="511" spans="1:6">
      <c r="A511" t="s">
        <v>2302</v>
      </c>
      <c r="C511" t="str">
        <f t="shared" si="14"/>
        <v>© NickName=©C:\Program Files (x86)\EleSy\SCADA Infinity\InfinityServer\Configuration\Modules\CfgSNMPMaster.dll© Path=©C:\Program Files (x86)\EleSy\SCADA Infinity\InfinityServer\Configuration\Modules\CfgSNMPMaster.dll© Sync=©0© OID=©</v>
      </c>
      <c r="E511" t="s">
        <v>2303</v>
      </c>
      <c r="F511" t="s">
        <v>2162</v>
      </c>
    </row>
    <row r="512" spans="1:6">
      <c r="A512" t="s">
        <v>2302</v>
      </c>
      <c r="C512" t="str">
        <f t="shared" si="14"/>
        <v>© NickName=©C:\Windows\SysWOW64\rtl70.bpl© Path=©C:\Windows\SysWOW64\rtl70.bpl© Sync=©0© OID=©</v>
      </c>
      <c r="E512" t="s">
        <v>2303</v>
      </c>
      <c r="F512" t="s">
        <v>2213</v>
      </c>
    </row>
    <row r="513" spans="1:6">
      <c r="A513" t="s">
        <v>2302</v>
      </c>
      <c r="C513" t="str">
        <f t="shared" si="14"/>
        <v>© NickName=©C:\Windows\SysWOW64\vcl70.bpl© Path=©C:\Windows\SysWOW64\vcl70.bpl© Sync=©0© OID=©</v>
      </c>
      <c r="E513" t="s">
        <v>2303</v>
      </c>
      <c r="F513" t="s">
        <v>2214</v>
      </c>
    </row>
    <row r="514" spans="1:6">
      <c r="A514" t="s">
        <v>2302</v>
      </c>
      <c r="C514" t="str">
        <f t="shared" si="14"/>
        <v>© NickName=©C:\Program Files (x86)\EleSy\SCADA Infinity\InfinityServer\Reserve\si3.exe© Path=©C:\Program Files (x86)\EleSy\SCADA Infinity\InfinityServer\Reserve\si3.exe© Sync=©0© OID=©</v>
      </c>
      <c r="E514" t="s">
        <v>2303</v>
      </c>
      <c r="F514" t="s">
        <v>2186</v>
      </c>
    </row>
    <row r="515" spans="1:6">
      <c r="A515" t="s">
        <v>2302</v>
      </c>
      <c r="C515" t="str">
        <f t="shared" si="14"/>
        <v>© NickName=©C:\Windows\SysWOW64\ElesyDB.dll© Path=©C:\Windows\SysWOW64\ElesyDB.dll© Sync=©0© OID=©</v>
      </c>
      <c r="E515" t="s">
        <v>2303</v>
      </c>
      <c r="F515" t="s">
        <v>2216</v>
      </c>
    </row>
    <row r="516" spans="1:6">
      <c r="A516" t="s">
        <v>2302</v>
      </c>
      <c r="C516" t="str">
        <f t="shared" si="14"/>
        <v>© NickName=©C:\Windows\SysWOW64\EleSyScDB.dll© Path=©C:\Windows\SysWOW64\EleSyScDB.dll© Sync=©0© OID=©</v>
      </c>
      <c r="E516" t="s">
        <v>2303</v>
      </c>
      <c r="F516" t="s">
        <v>2217</v>
      </c>
    </row>
    <row r="517" spans="1:6">
      <c r="A517" t="s">
        <v>2302</v>
      </c>
      <c r="C517" t="str">
        <f t="shared" si="14"/>
        <v>© NickName=©C:\Windows\SysWOW64\InfinityDatabase.dll© Path=©C:\Windows\SysWOW64\InfinityDatabase.dll© Sync=©0© OID=©</v>
      </c>
      <c r="E517" t="s">
        <v>2303</v>
      </c>
      <c r="F517" t="s">
        <v>2218</v>
      </c>
    </row>
    <row r="518" spans="1:6">
      <c r="A518" t="s">
        <v>2302</v>
      </c>
      <c r="C518" t="str">
        <f t="shared" si="14"/>
        <v>© NickName=©C:\Windows\SysWOW64\MFC42.DLL© Path=©C:\Windows\SysWOW64\MFC42.DLL© Sync=©0© OID=©</v>
      </c>
      <c r="E518" t="s">
        <v>2303</v>
      </c>
      <c r="F518" t="s">
        <v>2219</v>
      </c>
    </row>
    <row r="519" spans="1:6">
      <c r="A519" t="s">
        <v>2302</v>
      </c>
      <c r="C519" t="str">
        <f t="shared" si="14"/>
        <v>© NickName=©C:\Windows\SysWOW64\VCL50.BPL© Path=©C:\Windows\SysWOW64\VCL50.BPL© Sync=©0© OID=©</v>
      </c>
      <c r="E519" t="s">
        <v>2303</v>
      </c>
      <c r="F519" t="s">
        <v>2220</v>
      </c>
    </row>
    <row r="520" spans="1:6">
      <c r="A520" t="s">
        <v>2302</v>
      </c>
      <c r="C520" t="str">
        <f t="shared" si="14"/>
        <v>© NickName=©C:\Data\RESTORE.BAT© Path=©C:\Data\RESTORE.BAT© Sync=©0© OID=©</v>
      </c>
      <c r="E520" t="s">
        <v>2303</v>
      </c>
      <c r="F520" t="s">
        <v>2188</v>
      </c>
    </row>
    <row r="521" spans="1:6">
      <c r="A521" t="s">
        <v>2302</v>
      </c>
      <c r="C521" t="str">
        <f t="shared" si="14"/>
        <v>© NickName=©C:\Data\BACKUP.BAT© Path=©C:\Data\BACKUP.BAT© Sync=©0© OID=©</v>
      </c>
      <c r="E521" t="s">
        <v>2303</v>
      </c>
      <c r="F521" t="s">
        <v>2189</v>
      </c>
    </row>
    <row r="522" spans="1:6">
      <c r="A522" t="s">
        <v>2302</v>
      </c>
      <c r="C522" t="str">
        <f t="shared" si="14"/>
        <v>© NickName=©C:\Data\EleSyDB.sql© Path=©C:\Data\EleSyDB.sql© Sync=©0© OID=©</v>
      </c>
      <c r="E522" t="s">
        <v>2303</v>
      </c>
      <c r="F522" t="s">
        <v>2190</v>
      </c>
    </row>
    <row r="523" spans="1:6">
      <c r="A523" t="s">
        <v>2302</v>
      </c>
      <c r="C523" t="str">
        <f t="shared" si="14"/>
        <v>© NickName=©C:\Data\infdb.exe© Path=©C:\Data\infdb.exe© Sync=©0© OID=©</v>
      </c>
      <c r="E523" t="s">
        <v>2303</v>
      </c>
      <c r="F523" t="s">
        <v>2222</v>
      </c>
    </row>
    <row r="524" spans="1:6">
      <c r="A524" t="s">
        <v>2302</v>
      </c>
      <c r="C524" t="str">
        <f t="shared" si="14"/>
        <v>© NickName=©C:\Program Files (x86)\Common Files\EleSy\System\HistoryProxy.dll© Path=©C:\Program Files (x86)\Common Files\EleSy\System\HistoryProxy.dll© Sync=©0© OID=©</v>
      </c>
      <c r="E524" t="s">
        <v>2303</v>
      </c>
      <c r="F524" t="s">
        <v>2128</v>
      </c>
    </row>
    <row r="525" spans="1:6">
      <c r="A525" t="s">
        <v>2302</v>
      </c>
      <c r="C525" t="str">
        <f t="shared" si="14"/>
        <v>© NickName=©C:\Program Files\EleSy\SCADA Infinity\InfinityServer\Server\InfinityServer.exe© Path=©C:\Program Files\EleSy\SCADA Infinity\InfinityServer\Server\InfinityServer.exe© Sync=©0© OID=©</v>
      </c>
      <c r="E525" t="s">
        <v>2303</v>
      </c>
      <c r="F525" t="s">
        <v>2625</v>
      </c>
    </row>
    <row r="526" spans="1:6">
      <c r="A526" t="s">
        <v>2302</v>
      </c>
      <c r="C526" t="str">
        <f t="shared" si="14"/>
        <v>© NickName=©C:\Program Files (x86)\EleSy\SCADA Infinity\InfinityTools\LogViewer\View_SIEC4Std.dll© Path=©C:\Program Files (x86)\EleSy\SCADA Infinity\InfinityTools\LogViewer\View_SIEC4Std.dll© Sync=©0© OID=©</v>
      </c>
      <c r="E526" t="s">
        <v>2303</v>
      </c>
      <c r="F526" t="s">
        <v>2194</v>
      </c>
    </row>
    <row r="527" spans="1:6">
      <c r="A527" t="s">
        <v>2302</v>
      </c>
      <c r="C527" t="str">
        <f t="shared" si="14"/>
        <v>© NickName=©C:\Program Files (x86)\EleSy\SCADA Infinity\InfinityTools\LogViewer\View_MIEC103COM.dll© Path=©C:\Program Files (x86)\EleSy\SCADA Infinity\InfinityTools\LogViewer\View_MIEC103COM.dll© Sync=©0© OID=©</v>
      </c>
      <c r="E527" t="s">
        <v>2303</v>
      </c>
      <c r="F527" t="s">
        <v>2195</v>
      </c>
    </row>
    <row r="528" spans="1:6">
      <c r="A528" t="s">
        <v>2302</v>
      </c>
      <c r="C528" t="str">
        <f t="shared" si="14"/>
        <v>© NickName=©C:\Program Files (x86)\EleSy\SCADA Infinity\InfinityTools\LogViewer\View_MIEC103.dll© Path=©C:\Program Files (x86)\EleSy\SCADA Infinity\InfinityTools\LogViewer\View_MIEC103.dll© Sync=©0© OID=©</v>
      </c>
      <c r="E528" t="s">
        <v>2303</v>
      </c>
      <c r="F528" t="s">
        <v>2196</v>
      </c>
    </row>
    <row r="529" spans="1:6">
      <c r="A529" t="s">
        <v>2302</v>
      </c>
      <c r="C529" t="str">
        <f t="shared" si="14"/>
        <v>© NickName=©C:\Program Files (x86)\EleSy\SCADA Infinity\InfinityTools\LogViewer\View_FtpFileAccessComp.dll© Path=©C:\Program Files (x86)\EleSy\SCADA Infinity\InfinityTools\LogViewer\View_FtpFileAccessComp.dll© Sync=©0© OID=©</v>
      </c>
      <c r="E529" t="s">
        <v>2303</v>
      </c>
      <c r="F529" t="s">
        <v>2197</v>
      </c>
    </row>
    <row r="530" spans="1:6">
      <c r="A530" t="s">
        <v>2302</v>
      </c>
      <c r="C530" t="str">
        <f t="shared" si="14"/>
        <v>© NickName=©C:\Program    Files\EleSy\SCADA    Infinity\InfinityServer\Server\OPCClientPropSync.dll© Path=©C:\Program    Files\EleSy\SCADA    Infinity\InfinityServer\Server\OPCClientPropSync.dll© Sync=©0© OID=©</v>
      </c>
      <c r="E530" t="s">
        <v>2303</v>
      </c>
      <c r="F530" t="s">
        <v>2884</v>
      </c>
    </row>
    <row r="531" spans="1:6">
      <c r="A531" t="s">
        <v>2302</v>
      </c>
      <c r="C531" t="str">
        <f t="shared" si="14"/>
        <v>© NickName=©C:\Program   Files\EleSy\SCADA   Infinity\InfinityServer\Server\MIEC103StdComp.dll© Path=©C:\Program   Files\EleSy\SCADA   Infinity\InfinityServer\Server\MIEC103StdComp.dll© Sync=©0© OID=©</v>
      </c>
      <c r="E531" t="s">
        <v>2303</v>
      </c>
      <c r="F531" t="s">
        <v>2885</v>
      </c>
    </row>
    <row r="532" spans="1:6">
      <c r="A532" t="s">
        <v>2302</v>
      </c>
      <c r="C532" t="str">
        <f t="shared" si="14"/>
        <v>© NickName=©C:\Program Files\EleSy\SCADA Infinity\InfinityServer\Server\Siec4StdComp.dll© Path=©C:\Program Files\EleSy\SCADA Infinity\InfinityServer\Server\Siec4StdComp.dll© Sync=©0© OID=©</v>
      </c>
      <c r="E532" t="s">
        <v>2303</v>
      </c>
      <c r="F532" t="s">
        <v>2626</v>
      </c>
    </row>
    <row r="533" spans="1:6">
      <c r="A533" t="s">
        <v>2302</v>
      </c>
      <c r="C533" t="str">
        <f t="shared" si="14"/>
        <v>© NickName=©C:\Program    Files\EleSy\SCADA    Infinity\InfinityServer\Server\FtpFileAccessComp.dll© Path=©C:\Program    Files\EleSy\SCADA    Infinity\InfinityServer\Server\FtpFileAccessComp.dll© Sync=©0© OID=©</v>
      </c>
      <c r="E533" t="s">
        <v>2303</v>
      </c>
      <c r="F533" t="s">
        <v>2886</v>
      </c>
    </row>
    <row r="534" spans="1:6">
      <c r="A534" t="s">
        <v>2302</v>
      </c>
      <c r="C534" t="str">
        <f t="shared" si="14"/>
        <v>© NickName=©C:\Program   Files\EleSy\SCADA   Infinity\InfinityServer\Server\OPCUAAEComp.dll© Path=©C:\Program   Files\EleSy\SCADA   Infinity\InfinityServer\Server\OPCUAAEComp.dll© Sync=©0© OID=©</v>
      </c>
      <c r="E534" t="s">
        <v>2303</v>
      </c>
      <c r="F534" t="s">
        <v>2887</v>
      </c>
    </row>
    <row r="535" spans="1:6">
      <c r="A535" t="s">
        <v>2302</v>
      </c>
      <c r="C535" t="str">
        <f t="shared" si="14"/>
        <v>© NickName=©C:\Program Files\EleSy\SCADA Infinity\InfinityServer\Server\EleSyCS.dll© Path=©C:\Program Files\EleSy\SCADA Infinity\InfinityServer\Server\EleSyCS.dll© Sync=©0© OID=©</v>
      </c>
      <c r="E535" t="s">
        <v>2303</v>
      </c>
      <c r="F535" t="s">
        <v>2627</v>
      </c>
    </row>
    <row r="536" spans="1:6">
      <c r="A536" t="s">
        <v>2302</v>
      </c>
      <c r="C536" t="str">
        <f t="shared" si="14"/>
        <v>© NickName=©C:\Program   Files\EleSy\SCADA   Infinity\InfinityServer\Server\OPCUADataComp.dll© Path=©C:\Program   Files\EleSy\SCADA   Infinity\InfinityServer\Server\OPCUADataComp.dll© Sync=©0© OID=©</v>
      </c>
      <c r="E536" t="s">
        <v>2303</v>
      </c>
      <c r="F536" t="s">
        <v>2888</v>
      </c>
    </row>
    <row r="537" spans="1:6">
      <c r="A537" t="s">
        <v>2302</v>
      </c>
      <c r="C537" t="str">
        <f t="shared" si="14"/>
        <v>© NickName=©C:\Program    Files\EleSy\SCADA    Infinity\InfinityServer\Server\ModbusTCPIPMaster.dll© Path=©C:\Program    Files\EleSy\SCADA    Infinity\InfinityServer\Server\ModbusTCPIPMaster.dll© Sync=©0© OID=©</v>
      </c>
      <c r="E537" t="s">
        <v>2303</v>
      </c>
      <c r="F537" t="s">
        <v>2889</v>
      </c>
    </row>
    <row r="538" spans="1:6">
      <c r="A538" t="s">
        <v>2302</v>
      </c>
      <c r="C538" t="str">
        <f t="shared" si="14"/>
        <v>© NickName=©C:\Program   Files\EleSy\SCADA   Infinity\InfinityServer\Server\MIEC4StdComp.dll© Path=©C:\Program   Files\EleSy\SCADA   Infinity\InfinityServer\Server\MIEC4StdComp.dll© Sync=©0© OID=©</v>
      </c>
      <c r="E538" t="s">
        <v>2303</v>
      </c>
      <c r="F538" t="s">
        <v>2890</v>
      </c>
    </row>
    <row r="539" spans="1:6">
      <c r="A539" t="s">
        <v>2302</v>
      </c>
      <c r="C539" t="str">
        <f t="shared" si="14"/>
        <v>© NickName=©C:\Program Files\EleSy\SCADA Infinity\InfinityServer\Server\Logic2.dll© Path=©C:\Program Files\EleSy\SCADA Infinity\InfinityServer\Server\Logic2.dll© Sync=©0© OID=©</v>
      </c>
      <c r="E539" t="s">
        <v>2303</v>
      </c>
      <c r="F539" t="s">
        <v>2628</v>
      </c>
    </row>
    <row r="540" spans="1:6">
      <c r="A540" t="s">
        <v>2302</v>
      </c>
      <c r="C540" t="str">
        <f t="shared" si="14"/>
        <v>© NickName=©C:\Program Files\EleSy\SCADA Infinity\InfinityServer\Server\ICMPComp.dll© Path=©C:\Program Files\EleSy\SCADA Infinity\InfinityServer\Server\ICMPComp.dll© Sync=©0© OID=©</v>
      </c>
      <c r="E540" t="s">
        <v>2303</v>
      </c>
      <c r="F540" t="s">
        <v>2629</v>
      </c>
    </row>
    <row r="541" spans="1:6">
      <c r="A541" t="s">
        <v>2302</v>
      </c>
      <c r="C541" t="str">
        <f t="shared" si="14"/>
        <v>© NickName=©C:\Program   Files\EleSy\SCADA   Infinity\InfinityServer\Server\COMPortDevice.dll© Path=©C:\Program   Files\EleSy\SCADA   Infinity\InfinityServer\Server\COMPortDevice.dll© Sync=©0© OID=©</v>
      </c>
      <c r="E541" t="s">
        <v>2303</v>
      </c>
      <c r="F541" t="s">
        <v>2891</v>
      </c>
    </row>
    <row r="542" spans="1:6">
      <c r="A542" t="s">
        <v>2302</v>
      </c>
      <c r="C542" t="str">
        <f t="shared" si="14"/>
        <v>© NickName=©C:\Program Files\EleSy\SCADA Infinity\InfinityServer\Server\SNMPMaster.dll© Path=©C:\Program Files\EleSy\SCADA Infinity\InfinityServer\Server\SNMPMaster.dll© Sync=©0© OID=©</v>
      </c>
      <c r="E542" t="s">
        <v>2303</v>
      </c>
      <c r="F542" t="s">
        <v>2630</v>
      </c>
    </row>
    <row r="543" spans="1:6">
      <c r="A543" t="s">
        <v>2302</v>
      </c>
      <c r="C543" t="str">
        <f t="shared" si="14"/>
        <v>© NickName=©C:\Program   Files\EleSy\SCADA   Infinity\InfinityServer\Server\DeviceFileCatalog.dll© Path=©C:\Program   Files\EleSy\SCADA   Infinity\InfinityServer\Server\DeviceFileCatalog.dll© Sync=©0© OID=©</v>
      </c>
      <c r="E543" t="s">
        <v>2303</v>
      </c>
      <c r="F543" t="s">
        <v>2892</v>
      </c>
    </row>
    <row r="544" spans="1:6">
      <c r="A544" t="s">
        <v>2302</v>
      </c>
      <c r="C544" t="str">
        <f t="shared" si="14"/>
        <v>© NickName=©C:\Program Files\EleSy\SCADA Infinity\InfinityServer\Server\OPCAEServer.dll© Path=©C:\Program Files\EleSy\SCADA Infinity\InfinityServer\Server\OPCAEServer.dll© Sync=©0© OID=©</v>
      </c>
      <c r="E544" t="s">
        <v>2303</v>
      </c>
      <c r="F544" t="s">
        <v>2631</v>
      </c>
    </row>
    <row r="545" spans="1:6">
      <c r="A545" t="s">
        <v>2302</v>
      </c>
      <c r="C545" t="str">
        <f t="shared" si="14"/>
        <v>© NickName=©C:\Program Files\EleSy\SCADA Infinity\InfinityServer\Server\TCPDevice.dll© Path=©C:\Program Files\EleSy\SCADA Infinity\InfinityServer\Server\TCPDevice.dll© Sync=©0© OID=©</v>
      </c>
      <c r="E545" t="s">
        <v>2303</v>
      </c>
      <c r="F545" t="s">
        <v>2632</v>
      </c>
    </row>
    <row r="546" spans="1:6">
      <c r="A546" t="s">
        <v>2302</v>
      </c>
      <c r="C546" t="str">
        <f t="shared" si="14"/>
        <v>© NickName=©C:\Program   Files\EleSy\SCADA   Infinity\InfinityServer\Server\OPCClientComp.dll© Path=©C:\Program   Files\EleSy\SCADA   Infinity\InfinityServer\Server\OPCClientComp.dll© Sync=©0© OID=©</v>
      </c>
      <c r="E546" t="s">
        <v>2303</v>
      </c>
      <c r="F546" t="s">
        <v>2893</v>
      </c>
    </row>
    <row r="547" spans="1:6">
      <c r="A547" t="s">
        <v>2302</v>
      </c>
      <c r="C547" t="str">
        <f t="shared" si="14"/>
        <v>© NickName=©C:\Program Files\EleSy\SCADA Infinity\InfinityServer\Server\OPCComp.dll© Path=©C:\Program Files\EleSy\SCADA Infinity\InfinityServer\Server\OPCComp.dll© Sync=©0© OID=©</v>
      </c>
      <c r="E547" t="s">
        <v>2303</v>
      </c>
      <c r="F547" t="s">
        <v>2633</v>
      </c>
    </row>
    <row r="548" spans="1:6">
      <c r="A548" t="s">
        <v>2302</v>
      </c>
      <c r="C548" t="str">
        <f t="shared" si="14"/>
        <v>© NickName=©C:\Program Files\EleSy\SCADA Infinity\InfinityServer\Server\ModbusComp.dll© Path=©C:\Program Files\EleSy\SCADA Infinity\InfinityServer\Server\ModbusComp.dll© Sync=©0© OID=©</v>
      </c>
      <c r="E548" t="s">
        <v>2303</v>
      </c>
      <c r="F548" t="s">
        <v>2634</v>
      </c>
    </row>
    <row r="549" spans="1:6">
      <c r="A549" t="s">
        <v>2302</v>
      </c>
      <c r="C549" t="str">
        <f t="shared" si="14"/>
        <v>© NickName=©C:\Program    Files\EleSy\SCADA    Infinity\InfinityServer\Server\OPCUADataClientComp.dll© Path=©C:\Program    Files\EleSy\SCADA    Infinity\InfinityServer\Server\OPCUADataClientComp.dll© Sync=©0© OID=©</v>
      </c>
      <c r="E549" t="s">
        <v>2303</v>
      </c>
      <c r="F549" t="s">
        <v>2894</v>
      </c>
    </row>
    <row r="550" spans="1:6">
      <c r="A550" t="s">
        <v>2302</v>
      </c>
      <c r="C550" t="str">
        <f t="shared" si="14"/>
        <v>© NickName=©C:\Program Files\EleSy\SCADA Infinity\InfinityServer\Server\EleSyLog.dll© Path=©C:\Program Files\EleSy\SCADA Infinity\InfinityServer\Server\EleSyLog.dll© Sync=©0© OID=©</v>
      </c>
      <c r="E550" t="s">
        <v>2303</v>
      </c>
      <c r="F550" t="s">
        <v>2635</v>
      </c>
    </row>
    <row r="551" spans="1:6">
      <c r="A551" t="s">
        <v>2302</v>
      </c>
      <c r="C551" t="str">
        <f t="shared" si="14"/>
        <v>© NickName=©C:\Program Files\EleSy\SCADA Infinity\InfinityServer\Server\StatClient.dll© Path=©C:\Program Files\EleSy\SCADA Infinity\InfinityServer\Server\StatClient.dll© Sync=©0© OID=©</v>
      </c>
      <c r="E551" t="s">
        <v>2303</v>
      </c>
      <c r="F551" t="s">
        <v>2636</v>
      </c>
    </row>
    <row r="552" spans="1:6">
      <c r="A552" t="s">
        <v>2302</v>
      </c>
      <c r="C552" t="str">
        <f t="shared" si="14"/>
        <v>© NickName=©C:\Windows\system32\ElesyDB.dll© Path=©C:\Windows\system32\ElesyDB.dll© Sync=©0© OID=©</v>
      </c>
      <c r="E552" t="s">
        <v>2303</v>
      </c>
      <c r="F552" t="s">
        <v>2223</v>
      </c>
    </row>
    <row r="553" spans="1:6">
      <c r="A553" t="s">
        <v>2302</v>
      </c>
      <c r="C553" t="str">
        <f t="shared" si="14"/>
        <v>© NickName=©C:\PKI\Trusted\Certs\InfinityServer.OPCUAEventServer.pem© Path=©C:\PKI\Trusted\Certs\InfinityServer.OPCUAEventServer.pem© Sync=©0© OID=©</v>
      </c>
      <c r="E553" t="s">
        <v>2303</v>
      </c>
      <c r="F553" t="s">
        <v>2198</v>
      </c>
    </row>
    <row r="554" spans="1:6">
      <c r="A554" t="s">
        <v>2302</v>
      </c>
      <c r="C554" t="str">
        <f t="shared" si="14"/>
        <v>© NickName=©C:\PKI\Trusted\Certs\InfinityServer.OPCUAEventServer.der© Path=©C:\PKI\Trusted\Certs\InfinityServer.OPCUAEventServer.der© Sync=©0© OID=©</v>
      </c>
      <c r="E554" t="s">
        <v>2303</v>
      </c>
      <c r="F554" t="s">
        <v>2199</v>
      </c>
    </row>
    <row r="555" spans="1:6">
      <c r="A555" t="s">
        <v>2302</v>
      </c>
      <c r="C555" t="str">
        <f t="shared" si="14"/>
        <v>© NickName=©C:\PKI\Trusted\Certs\InfinityServer.OPCUADataServer.pem© Path=©C:\PKI\Trusted\Certs\InfinityServer.OPCUADataServer.pem© Sync=©0© OID=©</v>
      </c>
      <c r="E555" t="s">
        <v>2303</v>
      </c>
      <c r="F555" t="s">
        <v>2200</v>
      </c>
    </row>
    <row r="556" spans="1:6">
      <c r="A556" t="s">
        <v>2302</v>
      </c>
      <c r="C556" t="str">
        <f t="shared" si="14"/>
        <v>© NickName=©C:\PKI\Trusted\Certs\InfinityServer.OPCUADataServer.der© Path=©C:\PKI\Trusted\Certs\InfinityServer.OPCUADataServer.der© Sync=©0© OID=©</v>
      </c>
      <c r="E556" t="s">
        <v>2303</v>
      </c>
      <c r="F556" t="s">
        <v>2201</v>
      </c>
    </row>
    <row r="557" spans="1:6">
      <c r="A557" t="s">
        <v>2302</v>
      </c>
      <c r="C557" t="str">
        <f t="shared" si="14"/>
        <v>© NickName=©C:\PKI\Trusted\Certs\InfinityServer.OPCUADataClient.pem© Path=©C:\PKI\Trusted\Certs\InfinityServer.OPCUADataClient.pem© Sync=©0© OID=©</v>
      </c>
      <c r="E557" t="s">
        <v>2303</v>
      </c>
      <c r="F557" t="s">
        <v>2202</v>
      </c>
    </row>
    <row r="558" spans="1:6">
      <c r="A558" t="s">
        <v>2302</v>
      </c>
      <c r="C558" t="str">
        <f t="shared" si="14"/>
        <v>© NickName=©C:\PKI\Trusted\Certs\InfinityServer.OPCUADataClient.der© Path=©C:\PKI\Trusted\Certs\InfinityServer.OPCUADataClient.der© Sync=©0© OID=©</v>
      </c>
      <c r="E558" t="s">
        <v>2303</v>
      </c>
      <c r="F558" t="s">
        <v>2203</v>
      </c>
    </row>
    <row r="559" spans="1:6">
      <c r="A559" t="s">
        <v>2302</v>
      </c>
      <c r="C559" t="str">
        <f t="shared" si="14"/>
        <v>© NickName=©C:\Program Files (x86)\EleSy\SCADA Infinity\InfinityTools\ApplCfg.exe© Path=©C:\Program Files (x86)\EleSy\SCADA Infinity\InfinityTools\ApplCfg.exe© Sync=©0© OID=©</v>
      </c>
      <c r="E559" t="s">
        <v>2303</v>
      </c>
      <c r="F559" t="s">
        <v>2006</v>
      </c>
    </row>
    <row r="560" spans="1:6">
      <c r="A560" t="s">
        <v>2302</v>
      </c>
      <c r="C560" t="str">
        <f t="shared" si="14"/>
        <v>© NickName=©C:\Windows\SysWOW64\borlndmm.dll© Path=©C:\Windows\SysWOW64\borlndmm.dll© Sync=©0© OID=©</v>
      </c>
      <c r="E560" t="s">
        <v>2303</v>
      </c>
      <c r="F560" t="s">
        <v>2061</v>
      </c>
    </row>
    <row r="561" spans="1:7">
      <c r="A561" t="s">
        <v>2302</v>
      </c>
      <c r="C561" t="str">
        <f t="shared" si="14"/>
        <v>© NickName=©C:\Program Files (x86)\EleSy\SCADA Infinity\InfinityTools\LogViewer\LogViewer.exe© Path=©C:\Program Files (x86)\EleSy\SCADA Infinity\InfinityTools\LogViewer\LogViewer.exe© Sync=©0© OID=©</v>
      </c>
      <c r="E561" t="s">
        <v>2303</v>
      </c>
      <c r="F561" t="s">
        <v>1999</v>
      </c>
    </row>
    <row r="562" spans="1:7">
      <c r="A562" t="s">
        <v>2302</v>
      </c>
      <c r="C562" t="str">
        <f t="shared" si="14"/>
        <v>© NickName=©C:\Windows\SysWOW64\log2.dll© Path=©C:\Windows\SysWOW64\log2.dll© Sync=©0© OID=©</v>
      </c>
      <c r="E562" t="s">
        <v>2303</v>
      </c>
      <c r="F562" t="s">
        <v>2062</v>
      </c>
    </row>
    <row r="563" spans="1:7">
      <c r="A563" t="s">
        <v>2302</v>
      </c>
      <c r="C563" t="str">
        <f t="shared" ref="C563:C568" si="15">"© NickName=©"&amp;F563&amp;"© Path=©"&amp;F563&amp;"© Sync=©0© OID=©"</f>
        <v>© NickName=©C:\Windows\SysWOW64\msxml4.dll© Path=©C:\Windows\SysWOW64\msxml4.dll© Sync=©0© OID=©</v>
      </c>
      <c r="E563" t="s">
        <v>2303</v>
      </c>
      <c r="F563" t="s">
        <v>2069</v>
      </c>
    </row>
    <row r="564" spans="1:7">
      <c r="A564" t="s">
        <v>2302</v>
      </c>
      <c r="C564" t="str">
        <f t="shared" si="15"/>
        <v>© NickName=©C:\Windows\SysWOW64\msxml4r.dll© Path=©C:\Windows\SysWOW64\msxml4r.dll© Sync=©0© OID=©</v>
      </c>
      <c r="E564" t="s">
        <v>2303</v>
      </c>
      <c r="F564" t="s">
        <v>2070</v>
      </c>
    </row>
    <row r="565" spans="1:7">
      <c r="A565" t="s">
        <v>2302</v>
      </c>
      <c r="C565" t="str">
        <f t="shared" si="15"/>
        <v>© NickName=©C:\Program Files (x86)\EleSy\SCADA Infinity\InfinityTools\OPCtools.exe© Path=©C:\Program Files (x86)\EleSy\SCADA Infinity\InfinityTools\OPCtools.exe© Sync=©0© OID=©</v>
      </c>
      <c r="E565" t="s">
        <v>2303</v>
      </c>
      <c r="F565" t="s">
        <v>2204</v>
      </c>
    </row>
    <row r="566" spans="1:7">
      <c r="A566" t="s">
        <v>2302</v>
      </c>
      <c r="C566" t="str">
        <f t="shared" si="15"/>
        <v>© NickName=©C:\Program Files (x86)\EleSy\SCADA Infinity\InfinityTools\EleSyStatViewer.exe© Path=©C:\Program Files (x86)\EleSy\SCADA Infinity\InfinityTools\EleSyStatViewer.exe© Sync=©0© OID=©</v>
      </c>
      <c r="E566" t="s">
        <v>2303</v>
      </c>
      <c r="F566" t="s">
        <v>2050</v>
      </c>
    </row>
    <row r="567" spans="1:7">
      <c r="A567" t="s">
        <v>2302</v>
      </c>
      <c r="C567" t="str">
        <f t="shared" si="15"/>
        <v>© NickName=©C:\Program Files\Common Files\EleSy\System\EleSyStatistic.dll© Path=©C:\Program Files\Common Files\EleSy\System\EleSyStatistic.dll© Sync=©0© OID=©</v>
      </c>
      <c r="E567" t="s">
        <v>2303</v>
      </c>
      <c r="F567" t="s">
        <v>2637</v>
      </c>
    </row>
    <row r="568" spans="1:7">
      <c r="A568" t="s">
        <v>2302</v>
      </c>
      <c r="C568" t="str">
        <f t="shared" si="15"/>
        <v>© NickName=©C:\Program Files (x86)\Common Files\EleSy\System\EleSyStatistic.dll© Path=©C:\Program Files (x86)\Common Files\EleSy\System\EleSyStatistic.dll© Sync=©0© OID=©</v>
      </c>
      <c r="E568" t="s">
        <v>2303</v>
      </c>
      <c r="F568" t="s">
        <v>2051</v>
      </c>
    </row>
    <row r="569" spans="1:7">
      <c r="A569" t="s">
        <v>2302</v>
      </c>
      <c r="C569" t="str">
        <f>"© NickName=©"&amp;F569&amp;"© Path=©"&amp;F569&amp;"© Sync=©0© OID=©"</f>
        <v>© NickName=©C:\Program Files (x86)\EleSy\SCADA Infinity\InfinityServer\Server\InfinityServer.ini© Path=©C:\Program Files (x86)\EleSy\SCADA Infinity\InfinityServer\Server\InfinityServer.ini© Sync=©0© OID=©</v>
      </c>
      <c r="E569" t="s">
        <v>2303</v>
      </c>
      <c r="F569" s="734" t="s">
        <v>2723</v>
      </c>
      <c r="G569" t="s">
        <v>2734</v>
      </c>
    </row>
    <row r="570" spans="1:7">
      <c r="A570" t="s">
        <v>2302</v>
      </c>
      <c r="C570" t="str">
        <f>"© NickName=©"&amp;F570&amp;"© Path=©"&amp;F570&amp;"© Sync=©0© OID=©"</f>
        <v>© NickName=©C:\Program Files (x86)\EleSy\SCADA Infinity\InfinityServer\Server\Security.ini© Path=©C:\Program Files (x86)\EleSy\SCADA Infinity\InfinityServer\Server\Security.ini© Sync=©0© OID=©</v>
      </c>
      <c r="E570" t="s">
        <v>2303</v>
      </c>
      <c r="F570" s="734" t="s">
        <v>2724</v>
      </c>
      <c r="G570" t="s">
        <v>2735</v>
      </c>
    </row>
    <row r="571" spans="1:7">
      <c r="A571" t="s">
        <v>2302</v>
      </c>
      <c r="C571" t="str">
        <f>"© NickName=©"&amp;F571&amp;"© Path=©"&amp;F571&amp;"© Sync=©0© OID=©"</f>
        <v>© NickName=©C:\Program Files (x86)\EleSy\SCADA Infinity\InfinityServer\Reserve\Security.ini© Path=©C:\Program Files (x86)\EleSy\SCADA Infinity\InfinityServer\Reserve\Security.ini© Sync=©0© OID=©</v>
      </c>
      <c r="E571" t="s">
        <v>2303</v>
      </c>
      <c r="F571" s="734" t="s">
        <v>2725</v>
      </c>
      <c r="G571" t="s">
        <v>2736</v>
      </c>
    </row>
    <row r="572" spans="1:7">
      <c r="A572" t="s">
        <v>2302</v>
      </c>
      <c r="C572" t="str">
        <f>"© NickName=©"&amp;F572&amp;"© Path=©"&amp;F572&amp;"© Sync=©0© OID=©"</f>
        <v>© NickName=©C:\Program Files (x86)\EleSy\SCADA Infinity\InfinityClientSecurity\ISM.exe© Path=©C:\Program Files (x86)\EleSy\SCADA Infinity\InfinityClientSecurity\ISM.exe© Sync=©0© OID=©</v>
      </c>
      <c r="E572" t="s">
        <v>2303</v>
      </c>
      <c r="F572" s="734" t="s">
        <v>1996</v>
      </c>
    </row>
    <row r="573" spans="1:7">
      <c r="A573" t="s">
        <v>2302</v>
      </c>
      <c r="C573" t="str">
        <f>"© NickName=©"&amp;F573&amp;"© Path=©"&amp;F573&amp;"© Sync=©0© OID=©"</f>
        <v>© NickName=©C:\Program Files (x86)\EleSy\SCADA Infinity\InfinityClientSecurity\SSMon.exe© Path=©C:\Program Files (x86)\EleSy\SCADA Infinity\InfinityClientSecurity\SSMon.exe© Sync=©0© OID=©</v>
      </c>
      <c r="E573" t="s">
        <v>2303</v>
      </c>
      <c r="F573" s="734" t="s">
        <v>1998</v>
      </c>
    </row>
    <row r="574" spans="1:7">
      <c r="A574" s="690" t="s">
        <v>1970</v>
      </c>
      <c r="B574" s="690"/>
      <c r="C574" s="690"/>
      <c r="D574" s="690"/>
      <c r="E574" s="690"/>
      <c r="F574" s="690" t="s">
        <v>1970</v>
      </c>
    </row>
    <row r="575" spans="1:7">
      <c r="A575" t="s">
        <v>2302</v>
      </c>
      <c r="C575" t="str">
        <f t="shared" ref="C575:C638" si="16">"© NickName=©"&amp;F575&amp;"© Path=©"&amp;F575&amp;"© Sync=©0© OID=©"</f>
        <v>© NickName=©C:\Program Files (x86)\Common Files\Aladdin Shared\Hasp\haspvlib_61937.dll© Path=©C:\Program Files (x86)\Common Files\Aladdin Shared\Hasp\haspvlib_61937.dll© Sync=©0© OID=©</v>
      </c>
      <c r="E575" t="s">
        <v>2303</v>
      </c>
      <c r="F575" t="s">
        <v>1983</v>
      </c>
    </row>
    <row r="576" spans="1:7">
      <c r="A576" t="s">
        <v>2302</v>
      </c>
      <c r="C576" t="str">
        <f t="shared" si="16"/>
        <v>© NickName=©C:\Program Files (x86)\EleSy\SCADA Infinity\InfinityTools\HASPUpdater.exe© Path=©C:\Program Files (x86)\EleSy\SCADA Infinity\InfinityTools\HASPUpdater.exe© Sync=©0© OID=©</v>
      </c>
      <c r="E576" t="s">
        <v>2303</v>
      </c>
      <c r="F576" t="s">
        <v>2224</v>
      </c>
    </row>
    <row r="577" spans="1:6">
      <c r="A577" t="s">
        <v>2302</v>
      </c>
      <c r="C577" t="str">
        <f t="shared" si="16"/>
        <v>© NickName=©C:\Program Files (x86)\EleSy\SCADA Infinity\InfinityTools\Просмотр лицензий.url© Path=©C:\Program Files (x86)\EleSy\SCADA Infinity\InfinityTools\Просмотр лицензий.url© Sync=©0© OID=©</v>
      </c>
      <c r="E577" t="s">
        <v>2303</v>
      </c>
      <c r="F577" t="s">
        <v>2225</v>
      </c>
    </row>
    <row r="578" spans="1:6">
      <c r="A578" t="s">
        <v>2302</v>
      </c>
      <c r="C578" t="str">
        <f t="shared" si="16"/>
        <v>© NickName=©C:\Windows\SysWOW64\log.dll© Path=©C:\Windows\SysWOW64\log.dll© Sync=©0© OID=©</v>
      </c>
      <c r="E578" t="s">
        <v>2303</v>
      </c>
      <c r="F578" t="s">
        <v>2206</v>
      </c>
    </row>
    <row r="579" spans="1:6">
      <c r="A579" t="s">
        <v>2302</v>
      </c>
      <c r="C579" t="str">
        <f t="shared" si="16"/>
        <v>© NickName=©C:\Program Files (x86)\EleSy\SCADA Infinity\InfinityTools\LogViewer\View_Audit.dll© Path=©C:\Program Files (x86)\EleSy\SCADA Infinity\InfinityTools\LogViewer\View_Audit.dll© Sync=©0© OID=©</v>
      </c>
      <c r="E579" t="s">
        <v>2303</v>
      </c>
      <c r="F579" t="s">
        <v>2132</v>
      </c>
    </row>
    <row r="580" spans="1:6">
      <c r="A580" t="s">
        <v>2302</v>
      </c>
      <c r="C580" t="str">
        <f t="shared" si="16"/>
        <v>© NickName=©C:\Program Files (x86)\EleSy\SCADA Infinity\InfinityTools\AOModeler\AOModeler.exe© Path=©C:\Program Files (x86)\EleSy\SCADA Infinity\InfinityTools\AOModeler\AOModeler.exe© Sync=©0© OID=©</v>
      </c>
      <c r="E580" t="s">
        <v>2303</v>
      </c>
      <c r="F580" t="s">
        <v>2226</v>
      </c>
    </row>
    <row r="581" spans="1:6">
      <c r="A581" t="s">
        <v>2302</v>
      </c>
      <c r="C581" t="str">
        <f t="shared" si="16"/>
        <v>© NickName=©C:\Program Files (x86)\EleSy\SCADA Infinity\InfinityTools\AOModeler\DIO144.dll© Path=©C:\Program Files (x86)\EleSy\SCADA Infinity\InfinityTools\AOModeler\DIO144.dll© Sync=©0© OID=©</v>
      </c>
      <c r="E581" t="s">
        <v>2303</v>
      </c>
      <c r="F581" t="s">
        <v>2227</v>
      </c>
    </row>
    <row r="582" spans="1:6">
      <c r="A582" t="s">
        <v>2302</v>
      </c>
      <c r="C582" t="str">
        <f t="shared" si="16"/>
        <v>© NickName=©C:\Program Files (x86)\EleSy\SCADA Infinity\InfinityTools\AOModeler\PCI1724.dll© Path=©C:\Program Files (x86)\EleSy\SCADA Infinity\InfinityTools\AOModeler\PCI1724.dll© Sync=©0© OID=©</v>
      </c>
      <c r="E582" t="s">
        <v>2303</v>
      </c>
      <c r="F582" t="s">
        <v>2228</v>
      </c>
    </row>
    <row r="583" spans="1:6">
      <c r="A583" t="s">
        <v>2302</v>
      </c>
      <c r="C583" t="str">
        <f t="shared" si="16"/>
        <v>© NickName=©C:\Program Files (x86)\EleSy\SCADA Infinity\InfinityTools\AOModeler\PISO32AI.dll© Path=©C:\Program Files (x86)\EleSy\SCADA Infinity\InfinityTools\AOModeler\PISO32AI.dll© Sync=©0© OID=©</v>
      </c>
      <c r="E583" t="s">
        <v>2303</v>
      </c>
      <c r="F583" t="s">
        <v>2229</v>
      </c>
    </row>
    <row r="584" spans="1:6">
      <c r="A584" t="s">
        <v>2302</v>
      </c>
      <c r="C584" t="str">
        <f t="shared" si="16"/>
        <v>© NickName=©C:\Windows\SysWOW64\Drivers\NAPDIO.sys© Path=©C:\Windows\SysWOW64\Drivers\NAPDIO.sys© Sync=©0© OID=©</v>
      </c>
      <c r="E584" t="s">
        <v>2303</v>
      </c>
      <c r="F584" t="s">
        <v>2895</v>
      </c>
    </row>
    <row r="585" spans="1:6">
      <c r="A585" t="s">
        <v>2302</v>
      </c>
      <c r="C585" t="str">
        <f t="shared" si="16"/>
        <v>© NickName=©C:\Windows\SysWOW64\Drivers\PISO813.SYS© Path=©C:\Windows\SysWOW64\Drivers\PISO813.SYS© Sync=©0© OID=©</v>
      </c>
      <c r="E585" t="s">
        <v>2303</v>
      </c>
      <c r="F585" t="s">
        <v>2896</v>
      </c>
    </row>
    <row r="586" spans="1:6">
      <c r="A586" t="s">
        <v>2302</v>
      </c>
      <c r="C586" t="str">
        <f t="shared" si="16"/>
        <v>© NickName=©C:\Windows\Inf\DIO144.INF© Path=©C:\Windows\Inf\DIO144.INF© Sync=©0© OID=©</v>
      </c>
      <c r="E586" t="s">
        <v>2303</v>
      </c>
      <c r="F586" t="s">
        <v>2230</v>
      </c>
    </row>
    <row r="587" spans="1:6">
      <c r="A587" t="s">
        <v>2302</v>
      </c>
      <c r="C587" t="str">
        <f t="shared" si="16"/>
        <v>© NickName=©C:\Windows\Inf\PISO813.INF© Path=©C:\Windows\Inf\PISO813.INF© Sync=©0© OID=©</v>
      </c>
      <c r="E587" t="s">
        <v>2303</v>
      </c>
      <c r="F587" t="s">
        <v>2231</v>
      </c>
    </row>
    <row r="588" spans="1:6">
      <c r="A588" t="s">
        <v>2302</v>
      </c>
      <c r="C588" t="str">
        <f t="shared" si="16"/>
        <v>© NickName=©C:\Windows\SysWOW64\DIO.dll© Path=©C:\Windows\SysWOW64\DIO.dll© Sync=©0© OID=©</v>
      </c>
      <c r="E588" t="s">
        <v>2303</v>
      </c>
      <c r="F588" t="s">
        <v>2897</v>
      </c>
    </row>
    <row r="589" spans="1:6">
      <c r="A589" t="s">
        <v>2302</v>
      </c>
      <c r="C589" t="str">
        <f t="shared" si="16"/>
        <v>© NickName=©C:\Windows\SysWOW64\PISO813.DLL© Path=©C:\Windows\SysWOW64\PISO813.DLL© Sync=©0© OID=©</v>
      </c>
      <c r="E589" t="s">
        <v>2303</v>
      </c>
      <c r="F589" t="s">
        <v>2898</v>
      </c>
    </row>
    <row r="590" spans="1:6">
      <c r="A590" t="s">
        <v>2302</v>
      </c>
      <c r="C590" t="str">
        <f t="shared" si="16"/>
        <v>© NickName=©C:\Program Files (x86)\EleSy\SCADA Infinity\InfinityTools\AOModeler\ElsyTM.dll© Path=©C:\Program Files (x86)\EleSy\SCADA Infinity\InfinityTools\AOModeler\ElsyTM.dll© Sync=©0© OID=©</v>
      </c>
      <c r="E590" t="s">
        <v>2303</v>
      </c>
      <c r="F590" t="s">
        <v>2232</v>
      </c>
    </row>
    <row r="591" spans="1:6">
      <c r="A591" t="s">
        <v>2302</v>
      </c>
      <c r="C591" t="str">
        <f t="shared" si="16"/>
        <v>© NickName=©C:\Program Files (x86)\EleSy\SCADA Infinity\InfinityTools\AOModeler\ElsyTMA.dll© Path=©C:\Program Files (x86)\EleSy\SCADA Infinity\InfinityTools\AOModeler\ElsyTMA.dll© Sync=©0© OID=©</v>
      </c>
      <c r="E591" t="s">
        <v>2303</v>
      </c>
      <c r="F591" t="s">
        <v>2233</v>
      </c>
    </row>
    <row r="592" spans="1:6">
      <c r="A592" t="s">
        <v>2302</v>
      </c>
      <c r="C592" t="str">
        <f t="shared" si="16"/>
        <v>© NickName=©C:\Program Files (x86)\EleSy\SCADA Infinity\InfinityTools\AOModeler\ICP-DAS\DIO.dll© Path=©C:\Program Files (x86)\EleSy\SCADA Infinity\InfinityTools\AOModeler\ICP-DAS\DIO.dll© Sync=©0© OID=©</v>
      </c>
      <c r="E592" t="s">
        <v>2303</v>
      </c>
      <c r="F592" t="s">
        <v>2234</v>
      </c>
    </row>
    <row r="593" spans="1:6">
      <c r="A593" t="s">
        <v>2302</v>
      </c>
      <c r="C593" t="str">
        <f t="shared" si="16"/>
        <v>© NickName=©C:\Program Files (x86)\EleSy\SCADA Infinity\InfinityTools\AOModeler\ICP-DAS\DIO144.INF© Path=©C:\Program Files (x86)\EleSy\SCADA Infinity\InfinityTools\AOModeler\ICP-DAS\DIO144.INF© Sync=©0© OID=©</v>
      </c>
      <c r="E593" t="s">
        <v>2303</v>
      </c>
      <c r="F593" t="s">
        <v>2235</v>
      </c>
    </row>
    <row r="594" spans="1:6">
      <c r="A594" t="s">
        <v>2302</v>
      </c>
      <c r="C594" t="str">
        <f t="shared" si="16"/>
        <v>© NickName=©C:\Program Files (x86)\EleSy\SCADA Infinity\InfinityTools\AOModeler\ICP-DAS\NAPDIO.sys© Path=©C:\Program Files (x86)\EleSy\SCADA Infinity\InfinityTools\AOModeler\ICP-DAS\NAPDIO.sys© Sync=©0© OID=©</v>
      </c>
      <c r="E594" t="s">
        <v>2303</v>
      </c>
      <c r="F594" t="s">
        <v>2236</v>
      </c>
    </row>
    <row r="595" spans="1:6">
      <c r="A595" t="s">
        <v>2302</v>
      </c>
      <c r="C595" t="str">
        <f t="shared" si="16"/>
        <v>© NickName=©C:\Program Files (x86)\EleSy\SCADA Infinity\InfinityTools\AOModeler\ICP-DAS\PISO813.DLL© Path=©C:\Program Files (x86)\EleSy\SCADA Infinity\InfinityTools\AOModeler\ICP-DAS\PISO813.DLL© Sync=©0© OID=©</v>
      </c>
      <c r="E595" t="s">
        <v>2303</v>
      </c>
      <c r="F595" t="s">
        <v>2237</v>
      </c>
    </row>
    <row r="596" spans="1:6">
      <c r="A596" t="s">
        <v>2302</v>
      </c>
      <c r="C596" t="str">
        <f t="shared" si="16"/>
        <v>© NickName=©C:\Program Files (x86)\EleSy\SCADA Infinity\InfinityTools\AOModeler\ICP-DAS\PISO813.INF© Path=©C:\Program Files (x86)\EleSy\SCADA Infinity\InfinityTools\AOModeler\ICP-DAS\PISO813.INF© Sync=©0© OID=©</v>
      </c>
      <c r="E596" t="s">
        <v>2303</v>
      </c>
      <c r="F596" t="s">
        <v>2238</v>
      </c>
    </row>
    <row r="597" spans="1:6">
      <c r="A597" t="s">
        <v>2302</v>
      </c>
      <c r="C597" t="str">
        <f t="shared" si="16"/>
        <v>© NickName=©C:\Program Files (x86)\EleSy\SCADA Infinity\InfinityTools\AOModeler\ICP-DAS\PISO813.SYS© Path=©C:\Program Files (x86)\EleSy\SCADA Infinity\InfinityTools\AOModeler\ICP-DAS\PISO813.SYS© Sync=©0© OID=©</v>
      </c>
      <c r="E597" t="s">
        <v>2303</v>
      </c>
      <c r="F597" t="s">
        <v>2239</v>
      </c>
    </row>
    <row r="598" spans="1:6">
      <c r="A598" t="s">
        <v>2302</v>
      </c>
      <c r="C598" t="str">
        <f t="shared" si="16"/>
        <v>© NickName=©C:\Program Files (x86)\EleSy\SCADA Infinity\InfinityTools\AOModeler\IECSlaveTCP.dll© Path=©C:\Program Files (x86)\EleSy\SCADA Infinity\InfinityTools\AOModeler\IECSlaveTCP.dll© Sync=©0© OID=©</v>
      </c>
      <c r="E598" t="s">
        <v>2303</v>
      </c>
      <c r="F598" t="s">
        <v>2240</v>
      </c>
    </row>
    <row r="599" spans="1:6">
      <c r="A599" t="s">
        <v>2302</v>
      </c>
      <c r="C599" t="str">
        <f t="shared" si="16"/>
        <v>© NickName=©C:\Program Files (x86)\EleSy\SCADA Infinity\InfinityTools\AOModeler\LogicAnd.dll© Path=©C:\Program Files (x86)\EleSy\SCADA Infinity\InfinityTools\AOModeler\LogicAnd.dll© Sync=©0© OID=©</v>
      </c>
      <c r="E599" t="s">
        <v>2303</v>
      </c>
      <c r="F599" t="s">
        <v>2241</v>
      </c>
    </row>
    <row r="600" spans="1:6">
      <c r="A600" t="s">
        <v>2302</v>
      </c>
      <c r="C600" t="str">
        <f t="shared" si="16"/>
        <v>© NickName=©C:\Program Files (x86)\EleSy\SCADA Infinity\InfinityTools\AOModeler\LogicFront.dll© Path=©C:\Program Files (x86)\EleSy\SCADA Infinity\InfinityTools\AOModeler\LogicFront.dll© Sync=©0© OID=©</v>
      </c>
      <c r="E600" t="s">
        <v>2303</v>
      </c>
      <c r="F600" t="s">
        <v>2242</v>
      </c>
    </row>
    <row r="601" spans="1:6">
      <c r="A601" t="s">
        <v>2302</v>
      </c>
      <c r="C601" t="str">
        <f t="shared" si="16"/>
        <v>© NickName=©C:\Program Files (x86)\EleSy\SCADA Infinity\InfinityTools\AOModeler\LogicNot.dll© Path=©C:\Program Files (x86)\EleSy\SCADA Infinity\InfinityTools\AOModeler\LogicNot.dll© Sync=©0© OID=©</v>
      </c>
      <c r="E601" t="s">
        <v>2303</v>
      </c>
      <c r="F601" t="s">
        <v>2243</v>
      </c>
    </row>
    <row r="602" spans="1:6">
      <c r="A602" t="s">
        <v>2302</v>
      </c>
      <c r="C602" t="str">
        <f t="shared" si="16"/>
        <v>© NickName=©C:\Program Files (x86)\EleSy\SCADA Infinity\InfinityTools\AOModeler\LogicOr.dll© Path=©C:\Program Files (x86)\EleSy\SCADA Infinity\InfinityTools\AOModeler\LogicOr.dll© Sync=©0© OID=©</v>
      </c>
      <c r="E602" t="s">
        <v>2303</v>
      </c>
      <c r="F602" t="s">
        <v>2244</v>
      </c>
    </row>
    <row r="603" spans="1:6">
      <c r="A603" t="s">
        <v>2302</v>
      </c>
      <c r="C603" t="str">
        <f t="shared" si="16"/>
        <v>© NickName=©C:\Program Files (x86)\EleSy\SCADA Infinity\InfinityTools\AOModeler\BKS01.dll© Path=©C:\Program Files (x86)\EleSy\SCADA Infinity\InfinityTools\AOModeler\BKS01.dll© Sync=©0© OID=©</v>
      </c>
      <c r="E603" t="s">
        <v>2303</v>
      </c>
      <c r="F603" t="s">
        <v>2245</v>
      </c>
    </row>
    <row r="604" spans="1:6">
      <c r="A604" t="s">
        <v>2302</v>
      </c>
      <c r="C604" t="str">
        <f t="shared" si="16"/>
        <v>© NickName=©C:\Program Files (x86)\EleSy\SCADA Infinity\InfinityTools\AOModeler\BU50.dll© Path=©C:\Program Files (x86)\EleSy\SCADA Infinity\InfinityTools\AOModeler\BU50.dll© Sync=©0© OID=©</v>
      </c>
      <c r="E604" t="s">
        <v>2303</v>
      </c>
      <c r="F604" t="s">
        <v>2246</v>
      </c>
    </row>
    <row r="605" spans="1:6">
      <c r="A605" t="s">
        <v>2302</v>
      </c>
      <c r="C605" t="str">
        <f t="shared" si="16"/>
        <v>© NickName=©C:\Program Files (x86)\EleSy\SCADA Infinity\InfinityTools\AOModeler\BurTD.dll© Path=©C:\Program Files (x86)\EleSy\SCADA Infinity\InfinityTools\AOModeler\BurTD.dll© Sync=©0© OID=©</v>
      </c>
      <c r="E605" t="s">
        <v>2303</v>
      </c>
      <c r="F605" t="s">
        <v>2247</v>
      </c>
    </row>
    <row r="606" spans="1:6">
      <c r="A606" t="s">
        <v>2302</v>
      </c>
      <c r="C606" t="str">
        <f t="shared" si="16"/>
        <v>© NickName=©C:\Program Files (x86)\EleSy\SCADA Infinity\InfinityTools\AOModeler\BurTD_TEC.dll© Path=©C:\Program Files (x86)\EleSy\SCADA Infinity\InfinityTools\AOModeler\BurTD_TEC.dll© Sync=©0© OID=©</v>
      </c>
      <c r="E606" t="s">
        <v>2303</v>
      </c>
      <c r="F606" t="s">
        <v>2248</v>
      </c>
    </row>
    <row r="607" spans="1:6">
      <c r="A607" t="s">
        <v>2302</v>
      </c>
      <c r="C607" t="str">
        <f t="shared" si="16"/>
        <v>© NickName=©C:\Program Files (x86)\EleSy\SCADA Infinity\InfinityTools\AOModeler\COMs.dll© Path=©C:\Program Files (x86)\EleSy\SCADA Infinity\InfinityTools\AOModeler\COMs.dll© Sync=©0© OID=©</v>
      </c>
      <c r="E607" t="s">
        <v>2303</v>
      </c>
      <c r="F607" t="s">
        <v>2249</v>
      </c>
    </row>
    <row r="608" spans="1:6">
      <c r="A608" t="s">
        <v>2302</v>
      </c>
      <c r="C608" t="str">
        <f t="shared" si="16"/>
        <v>© NickName=©C:\Program Files (x86)\EleSy\SCADA Infinity\InfinityTools\AOModeler\Elekton.dll© Path=©C:\Program Files (x86)\EleSy\SCADA Infinity\InfinityTools\AOModeler\Elekton.dll© Sync=©0© OID=©</v>
      </c>
      <c r="E608" t="s">
        <v>2303</v>
      </c>
      <c r="F608" t="s">
        <v>2250</v>
      </c>
    </row>
    <row r="609" spans="1:6">
      <c r="A609" t="s">
        <v>2302</v>
      </c>
      <c r="C609" t="str">
        <f t="shared" si="16"/>
        <v>© NickName=©C:\Program Files (x86)\EleSy\SCADA Infinity\InfinityTools\AOModeler\ESDVC.dll© Path=©C:\Program Files (x86)\EleSy\SCADA Infinity\InfinityTools\AOModeler\ESDVC.dll© Sync=©0© OID=©</v>
      </c>
      <c r="E609" t="s">
        <v>2303</v>
      </c>
      <c r="F609" t="s">
        <v>2251</v>
      </c>
    </row>
    <row r="610" spans="1:6">
      <c r="A610" t="s">
        <v>2302</v>
      </c>
      <c r="C610" t="str">
        <f t="shared" si="16"/>
        <v>© NickName=©C:\Program Files (x86)\EleSy\SCADA Infinity\InfinityTools\AOModeler\ESDVCX.dll© Path=©C:\Program Files (x86)\EleSy\SCADA Infinity\InfinityTools\AOModeler\ESDVCX.dll© Sync=©0© OID=©</v>
      </c>
      <c r="E610" t="s">
        <v>2303</v>
      </c>
      <c r="F610" t="s">
        <v>2252</v>
      </c>
    </row>
    <row r="611" spans="1:6">
      <c r="A611" t="s">
        <v>2302</v>
      </c>
      <c r="C611" t="str">
        <f t="shared" si="16"/>
        <v>© NickName=©C:\Program Files (x86)\EleSy\SCADA Infinity\InfinityTools\AOModeler\ET101M.dll© Path=©C:\Program Files (x86)\EleSy\SCADA Infinity\InfinityTools\AOModeler\ET101M.dll© Sync=©0© OID=©</v>
      </c>
      <c r="E611" t="s">
        <v>2303</v>
      </c>
      <c r="F611" t="s">
        <v>2253</v>
      </c>
    </row>
    <row r="612" spans="1:6">
      <c r="A612" t="s">
        <v>2302</v>
      </c>
      <c r="C612" t="str">
        <f t="shared" si="16"/>
        <v>© NickName=©C:\Program Files (x86)\EleSy\SCADA Infinity\InfinityTools\AOModeler\ET420M.dll© Path=©C:\Program Files (x86)\EleSy\SCADA Infinity\InfinityTools\AOModeler\ET420M.dll© Sync=©0© OID=©</v>
      </c>
      <c r="E612" t="s">
        <v>2303</v>
      </c>
      <c r="F612" t="s">
        <v>2254</v>
      </c>
    </row>
    <row r="613" spans="1:6">
      <c r="A613" t="s">
        <v>2302</v>
      </c>
      <c r="C613" t="str">
        <f t="shared" si="16"/>
        <v>© NickName=©C:\Program Files (x86)\EleSy\SCADA Infinity\InfinityTools\AOModeler\ET7186.dll© Path=©C:\Program Files (x86)\EleSy\SCADA Infinity\InfinityTools\AOModeler\ET7186.dll© Sync=©0© OID=©</v>
      </c>
      <c r="E613" t="s">
        <v>2303</v>
      </c>
      <c r="F613" t="s">
        <v>2255</v>
      </c>
    </row>
    <row r="614" spans="1:6">
      <c r="A614" t="s">
        <v>2302</v>
      </c>
      <c r="C614" t="str">
        <f t="shared" si="16"/>
        <v>© NickName=©C:\Program Files (x86)\EleSy\SCADA Infinity\InfinityTools\AOModeler\ET7382.dll© Path=©C:\Program Files (x86)\EleSy\SCADA Infinity\InfinityTools\AOModeler\ET7382.dll© Sync=©0© OID=©</v>
      </c>
      <c r="E614" t="s">
        <v>2303</v>
      </c>
      <c r="F614" t="s">
        <v>2256</v>
      </c>
    </row>
    <row r="615" spans="1:6">
      <c r="A615" t="s">
        <v>2302</v>
      </c>
      <c r="C615" t="str">
        <f t="shared" si="16"/>
        <v>© NickName=©C:\Program Files (x86)\EleSy\SCADA Infinity\InfinityTools\AOModeler\ET7481.dll© Path=©C:\Program Files (x86)\EleSy\SCADA Infinity\InfinityTools\AOModeler\ET7481.dll© Sync=©0© OID=©</v>
      </c>
      <c r="E615" t="s">
        <v>2303</v>
      </c>
      <c r="F615" t="s">
        <v>2257</v>
      </c>
    </row>
    <row r="616" spans="1:6">
      <c r="A616" t="s">
        <v>2302</v>
      </c>
      <c r="C616" t="str">
        <f t="shared" si="16"/>
        <v>© NickName=©C:\Program Files (x86)\EleSy\SCADA Infinity\InfinityTools\AOModeler\ET7482.dll© Path=©C:\Program Files (x86)\EleSy\SCADA Infinity\InfinityTools\AOModeler\ET7482.dll© Sync=©0© OID=©</v>
      </c>
      <c r="E616" t="s">
        <v>2303</v>
      </c>
      <c r="F616" t="s">
        <v>2258</v>
      </c>
    </row>
    <row r="617" spans="1:6">
      <c r="A617" t="s">
        <v>2302</v>
      </c>
      <c r="C617" t="str">
        <f t="shared" si="16"/>
        <v>© NickName=©C:\Program Files (x86)\EleSy\SCADA Infinity\InfinityTools\AOModeler\ET7491.dll© Path=©C:\Program Files (x86)\EleSy\SCADA Infinity\InfinityTools\AOModeler\ET7491.dll© Sync=©0© OID=©</v>
      </c>
      <c r="E617" t="s">
        <v>2303</v>
      </c>
      <c r="F617" t="s">
        <v>2259</v>
      </c>
    </row>
    <row r="618" spans="1:6">
      <c r="A618" t="s">
        <v>2302</v>
      </c>
      <c r="C618" t="str">
        <f t="shared" si="16"/>
        <v>© NickName=©C:\Program Files (x86)\EleSy\SCADA Infinity\InfinityTools\AOModeler\IPCES.dll© Path=©C:\Program Files (x86)\EleSy\SCADA Infinity\InfinityTools\AOModeler\IPCES.dll© Sync=©0© OID=©</v>
      </c>
      <c r="E618" t="s">
        <v>2303</v>
      </c>
      <c r="F618" t="s">
        <v>2260</v>
      </c>
    </row>
    <row r="619" spans="1:6">
      <c r="A619" t="s">
        <v>2302</v>
      </c>
      <c r="C619" t="str">
        <f t="shared" si="16"/>
        <v>© NickName=©C:\Program Files (x86)\EleSy\SCADA Infinity\InfinityTools\AOModeler\IPES.dll© Path=©C:\Program Files (x86)\EleSy\SCADA Infinity\InfinityTools\AOModeler\IPES.dll© Sync=©0© OID=©</v>
      </c>
      <c r="E619" t="s">
        <v>2303</v>
      </c>
      <c r="F619" t="s">
        <v>2261</v>
      </c>
    </row>
    <row r="620" spans="1:6">
      <c r="A620" t="s">
        <v>2302</v>
      </c>
      <c r="C620" t="str">
        <f t="shared" si="16"/>
        <v>© NickName=©C:\Program Files (x86)\EleSy\SCADA Infinity\InfinityTools\AOModeler\ModBusClient.dll© Path=©C:\Program Files (x86)\EleSy\SCADA Infinity\InfinityTools\AOModeler\ModBusClient.dll© Sync=©0© OID=©</v>
      </c>
      <c r="E620" t="s">
        <v>2303</v>
      </c>
      <c r="F620" t="s">
        <v>2262</v>
      </c>
    </row>
    <row r="621" spans="1:6">
      <c r="A621" t="s">
        <v>2302</v>
      </c>
      <c r="C621" t="str">
        <f t="shared" si="16"/>
        <v>© NickName=©C:\Program Files (x86)\EleSy\SCADA Infinity\InfinityTools\AOModeler\ModBusServer.dll© Path=©C:\Program Files (x86)\EleSy\SCADA Infinity\InfinityTools\AOModeler\ModBusServer.dll© Sync=©0© OID=©</v>
      </c>
      <c r="E621" t="s">
        <v>2303</v>
      </c>
      <c r="F621" t="s">
        <v>2263</v>
      </c>
    </row>
    <row r="622" spans="1:6">
      <c r="A622" t="s">
        <v>2302</v>
      </c>
      <c r="C622" t="str">
        <f t="shared" si="16"/>
        <v>© NickName=©C:\Program Files (x86)\EleSy\SCADA Infinity\InfinityTools\AOModeler\ModBusSlave.dll© Path=©C:\Program Files (x86)\EleSy\SCADA Infinity\InfinityTools\AOModeler\ModBusSlave.dll© Sync=©0© OID=©</v>
      </c>
      <c r="E622" t="s">
        <v>2303</v>
      </c>
      <c r="F622" t="s">
        <v>2264</v>
      </c>
    </row>
    <row r="623" spans="1:6">
      <c r="A623" t="s">
        <v>2302</v>
      </c>
      <c r="C623" t="str">
        <f t="shared" si="16"/>
        <v>© NickName=©C:\Program Files (x86)\EleSy\SCADA Infinity\InfinityTools\AOModeler\MSAP01.dll© Path=©C:\Program Files (x86)\EleSy\SCADA Infinity\InfinityTools\AOModeler\MSAP01.dll© Sync=©0© OID=©</v>
      </c>
      <c r="E623" t="s">
        <v>2303</v>
      </c>
      <c r="F623" t="s">
        <v>2265</v>
      </c>
    </row>
    <row r="624" spans="1:6">
      <c r="A624" t="s">
        <v>2302</v>
      </c>
      <c r="C624" t="str">
        <f t="shared" si="16"/>
        <v>© NickName=©C:\Program Files (x86)\EleSy\SCADA Infinity\InfinityTools\AOModeler\MSAP01MK.dll© Path=©C:\Program Files (x86)\EleSy\SCADA Infinity\InfinityTools\AOModeler\MSAP01MK.dll© Sync=©0© OID=©</v>
      </c>
      <c r="E624" t="s">
        <v>2303</v>
      </c>
      <c r="F624" t="s">
        <v>2266</v>
      </c>
    </row>
    <row r="625" spans="1:6">
      <c r="A625" t="s">
        <v>2302</v>
      </c>
      <c r="C625" t="str">
        <f t="shared" si="16"/>
        <v>© NickName=©C:\Program Files (x86)\EleSy\SCADA Infinity\InfinityTools\AOModeler\RotorkIQ.dll© Path=©C:\Program Files (x86)\EleSy\SCADA Infinity\InfinityTools\AOModeler\RotorkIQ.dll© Sync=©0© OID=©</v>
      </c>
      <c r="E625" t="s">
        <v>2303</v>
      </c>
      <c r="F625" t="s">
        <v>2267</v>
      </c>
    </row>
    <row r="626" spans="1:6">
      <c r="A626" t="s">
        <v>2302</v>
      </c>
      <c r="C626" t="str">
        <f t="shared" si="16"/>
        <v>© NickName=©C:\Program Files (x86)\EleSy\SCADA Infinity\InfinityTools\AOModeler\SGOES.dll© Path=©C:\Program Files (x86)\EleSy\SCADA Infinity\InfinityTools\AOModeler\SGOES.dll© Sync=©0© OID=©</v>
      </c>
      <c r="E626" t="s">
        <v>2303</v>
      </c>
      <c r="F626" t="s">
        <v>2268</v>
      </c>
    </row>
    <row r="627" spans="1:6">
      <c r="A627" t="s">
        <v>2302</v>
      </c>
      <c r="C627" t="str">
        <f t="shared" si="16"/>
        <v>© NickName=©C:\Program Files (x86)\EleSy\SCADA Infinity\InfinityTools\AOModeler\SHA259.dll© Path=©C:\Program Files (x86)\EleSy\SCADA Infinity\InfinityTools\AOModeler\SHA259.dll© Sync=©0© OID=©</v>
      </c>
      <c r="E627" t="s">
        <v>2303</v>
      </c>
      <c r="F627" t="s">
        <v>2269</v>
      </c>
    </row>
    <row r="628" spans="1:6">
      <c r="A628" t="s">
        <v>2302</v>
      </c>
      <c r="C628" t="str">
        <f t="shared" si="16"/>
        <v>© NickName=©C:\Program Files (x86)\EleSy\SCADA Infinity\InfinityTools\AOModeler\TMA301.dll© Path=©C:\Program Files (x86)\EleSy\SCADA Infinity\InfinityTools\AOModeler\TMA301.dll© Sync=©0© OID=©</v>
      </c>
      <c r="E628" t="s">
        <v>2303</v>
      </c>
      <c r="F628" t="s">
        <v>2270</v>
      </c>
    </row>
    <row r="629" spans="1:6">
      <c r="A629" t="s">
        <v>2302</v>
      </c>
      <c r="C629" t="str">
        <f t="shared" si="16"/>
        <v>© NickName=©C:\Program Files (x86)\EleSy\SCADA Infinity\InfinityTools\AOModeler\TMD101.dll© Path=©C:\Program Files (x86)\EleSy\SCADA Infinity\InfinityTools\AOModeler\TMD101.dll© Sync=©0© OID=©</v>
      </c>
      <c r="E629" t="s">
        <v>2303</v>
      </c>
      <c r="F629" t="s">
        <v>2271</v>
      </c>
    </row>
    <row r="630" spans="1:6">
      <c r="A630" t="s">
        <v>2302</v>
      </c>
      <c r="C630" t="str">
        <f t="shared" si="16"/>
        <v>© NickName=©C:\Program Files (x86)\EleSy\SCADA Infinity\InfinityTools\AOModeler\TMD201.dll© Path=©C:\Program Files (x86)\EleSy\SCADA Infinity\InfinityTools\AOModeler\TMD201.dll© Sync=©0© OID=©</v>
      </c>
      <c r="E630" t="s">
        <v>2303</v>
      </c>
      <c r="F630" t="s">
        <v>2272</v>
      </c>
    </row>
    <row r="631" spans="1:6">
      <c r="A631" t="s">
        <v>2302</v>
      </c>
      <c r="C631" t="str">
        <f t="shared" si="16"/>
        <v>© NickName=©C:\Program Files (x86)\EleSy\SCADA Infinity\InfinityTools\AOModeler\OPCClient.dll© Path=©C:\Program Files (x86)\EleSy\SCADA Infinity\InfinityTools\AOModeler\OPCClient.dll© Sync=©0© OID=©</v>
      </c>
      <c r="E631" t="s">
        <v>2303</v>
      </c>
      <c r="F631" t="s">
        <v>2273</v>
      </c>
    </row>
    <row r="632" spans="1:6">
      <c r="A632" t="s">
        <v>2302</v>
      </c>
      <c r="C632" t="str">
        <f t="shared" si="16"/>
        <v>© NickName=©C:\Program Files (x86)\EleSy\SCADA Infinity\InfinityTools\AOModeler\Valve.dll© Path=©C:\Program Files (x86)\EleSy\SCADA Infinity\InfinityTools\AOModeler\Valve.dll© Sync=©0© OID=©</v>
      </c>
      <c r="E632" t="s">
        <v>2303</v>
      </c>
      <c r="F632" t="s">
        <v>2274</v>
      </c>
    </row>
    <row r="633" spans="1:6">
      <c r="A633" t="s">
        <v>2302</v>
      </c>
      <c r="C633" t="str">
        <f t="shared" si="16"/>
        <v>© NickName=©C:\Program Files (x86)\EleSy\SCADA Infinity\InfinityTools\AOModeler\Tank.dll© Path=©C:\Program Files (x86)\EleSy\SCADA Infinity\InfinityTools\AOModeler\Tank.dll© Sync=©0© OID=©</v>
      </c>
      <c r="E633" t="s">
        <v>2303</v>
      </c>
      <c r="F633" t="s">
        <v>2275</v>
      </c>
    </row>
    <row r="634" spans="1:6">
      <c r="A634" t="s">
        <v>2302</v>
      </c>
      <c r="C634" t="str">
        <f t="shared" si="16"/>
        <v>© NickName=©C:\Program Files (x86)\EleSy\SCADA Infinity\InfinityTools\AOModeler\Switch.dll© Path=©C:\Program Files (x86)\EleSy\SCADA Infinity\InfinityTools\AOModeler\Switch.dll© Sync=©0© OID=©</v>
      </c>
      <c r="E634" t="s">
        <v>2303</v>
      </c>
      <c r="F634" t="s">
        <v>2276</v>
      </c>
    </row>
    <row r="635" spans="1:6">
      <c r="A635" t="s">
        <v>2302</v>
      </c>
      <c r="C635" t="str">
        <f t="shared" si="16"/>
        <v>© NickName=©C:\Program Files (x86)\EleSy\SCADA Infinity\InfinityTools\AOModeler\Shutter.dll© Path=©C:\Program Files (x86)\EleSy\SCADA Infinity\InfinityTools\AOModeler\Shutter.dll© Sync=©0© OID=©</v>
      </c>
      <c r="E635" t="s">
        <v>2303</v>
      </c>
      <c r="F635" t="s">
        <v>2277</v>
      </c>
    </row>
    <row r="636" spans="1:6">
      <c r="A636" t="s">
        <v>2302</v>
      </c>
      <c r="C636" t="str">
        <f t="shared" si="16"/>
        <v>© NickName=©C:\Program Files (x86)\EleSy\SCADA Infinity\InfinityTools\AOModeler\Pump.dll© Path=©C:\Program Files (x86)\EleSy\SCADA Infinity\InfinityTools\AOModeler\Pump.dll© Sync=©0© OID=©</v>
      </c>
      <c r="E636" t="s">
        <v>2303</v>
      </c>
      <c r="F636" t="s">
        <v>2278</v>
      </c>
    </row>
    <row r="637" spans="1:6">
      <c r="A637" t="s">
        <v>2302</v>
      </c>
      <c r="C637" t="str">
        <f t="shared" si="16"/>
        <v>© NickName=©C:\Program Files (x86)\EleSy\SCADA Infinity\InfinityTools\AOModeler\Pulse.dll© Path=©C:\Program Files (x86)\EleSy\SCADA Infinity\InfinityTools\AOModeler\Pulse.dll© Sync=©0© OID=©</v>
      </c>
      <c r="E637" t="s">
        <v>2303</v>
      </c>
      <c r="F637" t="s">
        <v>2279</v>
      </c>
    </row>
    <row r="638" spans="1:6">
      <c r="A638" t="s">
        <v>2302</v>
      </c>
      <c r="C638" t="str">
        <f t="shared" si="16"/>
        <v>© NickName=©C:\Program Files (x86)\EleSy\SCADA Infinity\InfinityTools\AOModeler\OutSelector.dll© Path=©C:\Program Files (x86)\EleSy\SCADA Infinity\InfinityTools\AOModeler\OutSelector.dll© Sync=©0© OID=©</v>
      </c>
      <c r="E638" t="s">
        <v>2303</v>
      </c>
      <c r="F638" t="s">
        <v>2280</v>
      </c>
    </row>
    <row r="639" spans="1:6">
      <c r="A639" t="s">
        <v>2302</v>
      </c>
      <c r="C639" t="str">
        <f t="shared" ref="C639:C702" si="17">"© NickName=©"&amp;F639&amp;"© Path=©"&amp;F639&amp;"© Sync=©0© OID=©"</f>
        <v>© NickName=©C:\Program Files (x86)\EleSy\SCADA Infinity\InfinityTools\AOModeler\Lamp.dll© Path=©C:\Program Files (x86)\EleSy\SCADA Infinity\InfinityTools\AOModeler\Lamp.dll© Sync=©0© OID=©</v>
      </c>
      <c r="E639" t="s">
        <v>2303</v>
      </c>
      <c r="F639" t="s">
        <v>2281</v>
      </c>
    </row>
    <row r="640" spans="1:6">
      <c r="A640" t="s">
        <v>2302</v>
      </c>
      <c r="C640" t="str">
        <f t="shared" si="17"/>
        <v>© NickName=©C:\Program Files (x86)\EleSy\SCADA Infinity\InfinityTools\AOModeler\Knob.dll© Path=©C:\Program Files (x86)\EleSy\SCADA Infinity\InfinityTools\AOModeler\Knob.dll© Sync=©0© OID=©</v>
      </c>
      <c r="E640" t="s">
        <v>2303</v>
      </c>
      <c r="F640" t="s">
        <v>2282</v>
      </c>
    </row>
    <row r="641" spans="1:6">
      <c r="A641" t="s">
        <v>2302</v>
      </c>
      <c r="C641" t="str">
        <f t="shared" si="17"/>
        <v>© NickName=©C:\Program Files (x86)\EleSy\SCADA Infinity\InfinityTools\AOModeler\InSelector.dll© Path=©C:\Program Files (x86)\EleSy\SCADA Infinity\InfinityTools\AOModeler\InSelector.dll© Sync=©0© OID=©</v>
      </c>
      <c r="E641" t="s">
        <v>2303</v>
      </c>
      <c r="F641" t="s">
        <v>2283</v>
      </c>
    </row>
    <row r="642" spans="1:6">
      <c r="A642" t="s">
        <v>2302</v>
      </c>
      <c r="C642" t="str">
        <f t="shared" si="17"/>
        <v>© NickName=©C:\Program Files (x86)\EleSy\SCADA Infinity\InfinityTools\AOModeler\HVSwitch.dll© Path=©C:\Program Files (x86)\EleSy\SCADA Infinity\InfinityTools\AOModeler\HVSwitch.dll© Sync=©0© OID=©</v>
      </c>
      <c r="E642" t="s">
        <v>2303</v>
      </c>
      <c r="F642" t="s">
        <v>2284</v>
      </c>
    </row>
    <row r="643" spans="1:6">
      <c r="A643" t="s">
        <v>2302</v>
      </c>
      <c r="C643" t="str">
        <f t="shared" si="17"/>
        <v>© NickName=©C:\Program Files (x86)\EleSy\SCADA Infinity\InfinityTools\AOModeler\Gate.dll© Path=©C:\Program Files (x86)\EleSy\SCADA Infinity\InfinityTools\AOModeler\Gate.dll© Sync=©0© OID=©</v>
      </c>
      <c r="E643" t="s">
        <v>2303</v>
      </c>
      <c r="F643" t="s">
        <v>2285</v>
      </c>
    </row>
    <row r="644" spans="1:6">
      <c r="A644" t="s">
        <v>2302</v>
      </c>
      <c r="C644" t="str">
        <f t="shared" si="17"/>
        <v>© NickName=©C:\Program Files (x86)\EleSy\SCADA Infinity\InfinityTools\AOModeler\Fan.dll© Path=©C:\Program Files (x86)\EleSy\SCADA Infinity\InfinityTools\AOModeler\Fan.dll© Sync=©0© OID=©</v>
      </c>
      <c r="E644" t="s">
        <v>2303</v>
      </c>
      <c r="F644" t="s">
        <v>2286</v>
      </c>
    </row>
    <row r="645" spans="1:6">
      <c r="A645" t="s">
        <v>2302</v>
      </c>
      <c r="C645" t="str">
        <f t="shared" si="17"/>
        <v>© NickName=©C:\Program Files (x86)\EleSy\SCADA Infinity\InfinityTools\AOModeler\ASin.dll© Path=©C:\Program Files (x86)\EleSy\SCADA Infinity\InfinityTools\AOModeler\ASin.dll© Sync=©0© OID=©</v>
      </c>
      <c r="E645" t="s">
        <v>2303</v>
      </c>
      <c r="F645" t="s">
        <v>2287</v>
      </c>
    </row>
    <row r="646" spans="1:6">
      <c r="A646" t="s">
        <v>2302</v>
      </c>
      <c r="C646" t="str">
        <f t="shared" si="17"/>
        <v>© NickName=©C:\Program Files (x86)\EleSy\SCADA Infinity\InfinityTools\AOModeler\S7PlcSim.dll© Path=©C:\Program Files (x86)\EleSy\SCADA Infinity\InfinityTools\AOModeler\S7PlcSim.dll© Sync=©0© OID=©</v>
      </c>
      <c r="E646" t="s">
        <v>2303</v>
      </c>
      <c r="F646" t="s">
        <v>2288</v>
      </c>
    </row>
    <row r="647" spans="1:6">
      <c r="A647" t="s">
        <v>2302</v>
      </c>
      <c r="C647" t="str">
        <f t="shared" si="17"/>
        <v>© NickName=©C:\Program Files (x86)\EleSy\SCADA Infinity\InfinityTools\AOModeler\IntToBit.dll© Path=©C:\Program Files (x86)\EleSy\SCADA Infinity\InfinityTools\AOModeler\IntToBit.dll© Sync=©0© OID=©</v>
      </c>
      <c r="E647" t="s">
        <v>2303</v>
      </c>
      <c r="F647" t="s">
        <v>2289</v>
      </c>
    </row>
    <row r="648" spans="1:6">
      <c r="A648" t="s">
        <v>2302</v>
      </c>
      <c r="C648" t="str">
        <f t="shared" si="17"/>
        <v>© NickName=©C:\Program Files (x86)\EleSy\SCADA Infinity\InfinityTools\AOModeler\Scaler.dll© Path=©C:\Program Files (x86)\EleSy\SCADA Infinity\InfinityTools\AOModeler\Scaler.dll© Sync=©0© OID=©</v>
      </c>
      <c r="E648" t="s">
        <v>2303</v>
      </c>
      <c r="F648" t="s">
        <v>2290</v>
      </c>
    </row>
    <row r="649" spans="1:6">
      <c r="A649" t="s">
        <v>2302</v>
      </c>
      <c r="C649" t="str">
        <f t="shared" si="17"/>
        <v>© NickName=©C:\Program Files (x86)\EleSy\SCADA Infinity\InfinityTools\AOModeler\BitToInt.dll© Path=©C:\Program Files (x86)\EleSy\SCADA Infinity\InfinityTools\AOModeler\BitToInt.dll© Sync=©0© OID=©</v>
      </c>
      <c r="E649" t="s">
        <v>2303</v>
      </c>
      <c r="F649" t="s">
        <v>2291</v>
      </c>
    </row>
    <row r="650" spans="1:6">
      <c r="A650" t="s">
        <v>2302</v>
      </c>
      <c r="C650" t="str">
        <f t="shared" si="17"/>
        <v>© NickName=©C:\Program Files (x86)\EleSy\SCADA Infinity\InfinityTools\AOModeler\Counter.dll© Path=©C:\Program Files (x86)\EleSy\SCADA Infinity\InfinityTools\AOModeler\Counter.dll© Sync=©0© OID=©</v>
      </c>
      <c r="E650" t="s">
        <v>2303</v>
      </c>
      <c r="F650" t="s">
        <v>2292</v>
      </c>
    </row>
    <row r="651" spans="1:6">
      <c r="A651" t="s">
        <v>2302</v>
      </c>
      <c r="C651" t="str">
        <f t="shared" si="17"/>
        <v>© NickName=©C:\Program Files (x86)\EleSy\SCADA Infinity\InfinityTools\AOModeler\PID.dll© Path=©C:\Program Files (x86)\EleSy\SCADA Infinity\InfinityTools\AOModeler\PID.dll© Sync=©0© OID=©</v>
      </c>
      <c r="E651" t="s">
        <v>2303</v>
      </c>
      <c r="F651" t="s">
        <v>2293</v>
      </c>
    </row>
    <row r="652" spans="1:6">
      <c r="A652" t="s">
        <v>2302</v>
      </c>
      <c r="C652" t="str">
        <f t="shared" si="17"/>
        <v>© NickName=©C:\Program Files (x86)\EleSy\SCADA Infinity\InfinityTools\AOModeler\Calc.dll© Path=©C:\Program Files (x86)\EleSy\SCADA Infinity\InfinityTools\AOModeler\Calc.dll© Sync=©0© OID=©</v>
      </c>
      <c r="E652" t="s">
        <v>2303</v>
      </c>
      <c r="F652" t="s">
        <v>2294</v>
      </c>
    </row>
    <row r="653" spans="1:6">
      <c r="A653" t="s">
        <v>2302</v>
      </c>
      <c r="C653" t="str">
        <f t="shared" si="17"/>
        <v>© NickName=©C:\Windows\SysWOW64\rtl150.bpl© Path=©C:\Windows\SysWOW64\rtl150.bpl© Sync=©0© OID=©</v>
      </c>
      <c r="E653" t="s">
        <v>2303</v>
      </c>
      <c r="F653" t="s">
        <v>2899</v>
      </c>
    </row>
    <row r="654" spans="1:6">
      <c r="A654" t="s">
        <v>2302</v>
      </c>
      <c r="C654" t="str">
        <f t="shared" si="17"/>
        <v>© NickName=©C:\Windows\SysWOW64\vcl150.bpl© Path=©C:\Windows\SysWOW64\vcl150.bpl© Sync=©0© OID=©</v>
      </c>
      <c r="E654" t="s">
        <v>2303</v>
      </c>
      <c r="F654" t="s">
        <v>2900</v>
      </c>
    </row>
    <row r="655" spans="1:6">
      <c r="A655" t="s">
        <v>2302</v>
      </c>
      <c r="C655" t="str">
        <f t="shared" si="17"/>
        <v>© NickName=©C:\Program Files (x86)\EleSy\SCADA Infinity\InfinityTools\InfinityCompleteness.exe© Path=©C:\Program Files (x86)\EleSy\SCADA Infinity\InfinityTools\InfinityCompleteness.exe© Sync=©0© OID=©</v>
      </c>
      <c r="E655" t="s">
        <v>2303</v>
      </c>
      <c r="F655" t="s">
        <v>1988</v>
      </c>
    </row>
    <row r="656" spans="1:6">
      <c r="A656" t="s">
        <v>2302</v>
      </c>
      <c r="C656" t="str">
        <f t="shared" si="17"/>
        <v>© NickName=©C:\Program Files (x86)\EleSy\SCADA Infinity\InfinityTools\ignore.files© Path=©C:\Program Files (x86)\EleSy\SCADA Infinity\InfinityTools\ignore.files© Sync=©0© OID=©</v>
      </c>
      <c r="E656" t="s">
        <v>2303</v>
      </c>
      <c r="F656" t="s">
        <v>1989</v>
      </c>
    </row>
    <row r="657" spans="1:6">
      <c r="A657" t="s">
        <v>2302</v>
      </c>
      <c r="C657" t="str">
        <f t="shared" si="17"/>
        <v>© NickName=©C:\Windows\SysWOW64\Localize.dll© Path=©C:\Windows\SysWOW64\Localize.dll© Sync=©0© OID=©</v>
      </c>
      <c r="E657" t="s">
        <v>2303</v>
      </c>
      <c r="F657" t="s">
        <v>2067</v>
      </c>
    </row>
    <row r="658" spans="1:6">
      <c r="A658" t="s">
        <v>2302</v>
      </c>
      <c r="C658" t="str">
        <f t="shared" si="17"/>
        <v>© NickName=©C:\Windows\SysWOW64\msvcp60.dll© Path=©C:\Windows\SysWOW64\msvcp60.dll© Sync=©0© OID=©</v>
      </c>
      <c r="E658" t="s">
        <v>2303</v>
      </c>
      <c r="F658" t="s">
        <v>2068</v>
      </c>
    </row>
    <row r="659" spans="1:6">
      <c r="A659" t="s">
        <v>2302</v>
      </c>
      <c r="C659" t="str">
        <f t="shared" si="17"/>
        <v>© NickName=©C:\Program Files (x86)\EleSy\SCADA Infinity\InfinityTools\ApplCfg.exe© Path=©C:\Program Files (x86)\EleSy\SCADA Infinity\InfinityTools\ApplCfg.exe© Sync=©0© OID=©</v>
      </c>
      <c r="E659" t="s">
        <v>2303</v>
      </c>
      <c r="F659" t="s">
        <v>2006</v>
      </c>
    </row>
    <row r="660" spans="1:6">
      <c r="A660" t="s">
        <v>2302</v>
      </c>
      <c r="C660" t="str">
        <f t="shared" si="17"/>
        <v>© NickName=©C:\Program Files (x86)\EleSy\SCADA Infinity\InfinityTools\UserManager.exe© Path=©C:\Program Files (x86)\EleSy\SCADA Infinity\InfinityTools\UserManager.exe© Sync=©0© OID=©</v>
      </c>
      <c r="E660" t="s">
        <v>2303</v>
      </c>
      <c r="F660" t="s">
        <v>2901</v>
      </c>
    </row>
    <row r="661" spans="1:6">
      <c r="A661" t="s">
        <v>2302</v>
      </c>
      <c r="C661" t="str">
        <f t="shared" si="17"/>
        <v>© NickName=©C:\Windows\SysWOW64\EleSyLogging.dll© Path=©C:\Windows\SysWOW64\EleSyLogging.dll© Sync=©0© OID=©</v>
      </c>
      <c r="E661" t="s">
        <v>2303</v>
      </c>
      <c r="F661" t="s">
        <v>2063</v>
      </c>
    </row>
    <row r="662" spans="1:6">
      <c r="A662" t="s">
        <v>2302</v>
      </c>
      <c r="C662" t="str">
        <f t="shared" si="17"/>
        <v>© NickName=©C:\Program Files (x86)\EleSy\SCADA Infinity\InfinityTools\ViewEventLog.exe© Path=©C:\Program Files (x86)\EleSy\SCADA Infinity\InfinityTools\ViewEventLog.exe© Sync=©0© OID=©</v>
      </c>
      <c r="E662" t="s">
        <v>2303</v>
      </c>
      <c r="F662" t="s">
        <v>2049</v>
      </c>
    </row>
    <row r="663" spans="1:6">
      <c r="A663" t="s">
        <v>2302</v>
      </c>
      <c r="C663" t="str">
        <f t="shared" si="17"/>
        <v>© NickName=©C:\Program Files (x86)\EleSy\SCADA Infinity\InfinityTools\EleSyStatViewer.exe© Path=©C:\Program Files (x86)\EleSy\SCADA Infinity\InfinityTools\EleSyStatViewer.exe© Sync=©0© OID=©</v>
      </c>
      <c r="E663" t="s">
        <v>2303</v>
      </c>
      <c r="F663" t="s">
        <v>2050</v>
      </c>
    </row>
    <row r="664" spans="1:6">
      <c r="A664" t="s">
        <v>2302</v>
      </c>
      <c r="C664" t="str">
        <f t="shared" si="17"/>
        <v>© NickName=©C:\Program Files (x86)\Common Files\EleSy\System\EleSyStatistic.dll© Path=©C:\Program Files (x86)\Common Files\EleSy\System\EleSyStatistic.dll© Sync=©0© OID=©</v>
      </c>
      <c r="E664" t="s">
        <v>2303</v>
      </c>
      <c r="F664" t="s">
        <v>2051</v>
      </c>
    </row>
    <row r="665" spans="1:6">
      <c r="A665" t="s">
        <v>2302</v>
      </c>
      <c r="C665" t="str">
        <f t="shared" si="17"/>
        <v>© NickName=©C:\Program Files (x86)\EleSy\SCADA Infinity\InfinityTools\HotReserveManager.exe© Path=©C:\Program Files (x86)\EleSy\SCADA Infinity\InfinityTools\HotReserveManager.exe© Sync=©0© OID=©</v>
      </c>
      <c r="E665" t="s">
        <v>2303</v>
      </c>
      <c r="F665" t="s">
        <v>2001</v>
      </c>
    </row>
    <row r="666" spans="1:6">
      <c r="A666" t="s">
        <v>2302</v>
      </c>
      <c r="C666" t="str">
        <f t="shared" si="17"/>
        <v>© NickName=©C:\Windows\SysWOW64\log2.dll© Path=©C:\Windows\SysWOW64\log2.dll© Sync=©0© OID=©</v>
      </c>
      <c r="E666" t="s">
        <v>2303</v>
      </c>
      <c r="F666" t="s">
        <v>2062</v>
      </c>
    </row>
    <row r="667" spans="1:6">
      <c r="A667" t="s">
        <v>2302</v>
      </c>
      <c r="C667" t="str">
        <f t="shared" si="17"/>
        <v>© NickName=©C:\Program Files (x86)\Common Files\EleSy\System\SecurityCtx_PS.dll© Path=©C:\Program Files (x86)\Common Files\EleSy\System\SecurityCtx_PS.dll© Sync=©0© OID=©</v>
      </c>
      <c r="E667" t="s">
        <v>2303</v>
      </c>
      <c r="F667" t="s">
        <v>2002</v>
      </c>
    </row>
    <row r="668" spans="1:6">
      <c r="A668" t="s">
        <v>2302</v>
      </c>
      <c r="C668" t="str">
        <f t="shared" si="17"/>
        <v>© NickName=©C:\Windows\SysWOW64\SecurityEditor.dll© Path=©C:\Windows\SysWOW64\SecurityEditor.dll© Sync=©0© OID=©</v>
      </c>
      <c r="E668" t="s">
        <v>2303</v>
      </c>
      <c r="F668" t="s">
        <v>2065</v>
      </c>
    </row>
    <row r="669" spans="1:6">
      <c r="A669" t="s">
        <v>2302</v>
      </c>
      <c r="C669" t="str">
        <f t="shared" si="17"/>
        <v>© NickName=©C:\Program Files (x86)\Common Files\EleSy\System\SecurityMgt_PS.dll© Path=©C:\Program Files (x86)\Common Files\EleSy\System\SecurityMgt_PS.dll© Sync=©0© OID=©</v>
      </c>
      <c r="E669" t="s">
        <v>2303</v>
      </c>
      <c r="F669" t="s">
        <v>2003</v>
      </c>
    </row>
    <row r="670" spans="1:6">
      <c r="A670" t="s">
        <v>2302</v>
      </c>
      <c r="C670" t="str">
        <f t="shared" si="17"/>
        <v>© NickName=©C:\Windows\SysWOW64\dnaccbrw.dll© Path=©C:\Windows\SysWOW64\dnaccbrw.dll© Sync=©0© OID=©</v>
      </c>
      <c r="E670" t="s">
        <v>2303</v>
      </c>
      <c r="F670" t="s">
        <v>2064</v>
      </c>
    </row>
    <row r="671" spans="1:6">
      <c r="A671" t="s">
        <v>2302</v>
      </c>
      <c r="C671" t="str">
        <f t="shared" si="17"/>
        <v>© NickName=©C:\Program Files (x86)\Common Files\EleSy\Infinity\Resources\ru\hagentmc.dll.ru© Path=©C:\Program Files (x86)\Common Files\EleSy\Infinity\Resources\ru\hagentmc.dll.ru© Sync=©0© OID=©</v>
      </c>
      <c r="E671" t="s">
        <v>2303</v>
      </c>
      <c r="F671" t="s">
        <v>2004</v>
      </c>
    </row>
    <row r="672" spans="1:6">
      <c r="A672" t="s">
        <v>2302</v>
      </c>
      <c r="C672" t="str">
        <f t="shared" si="17"/>
        <v>© NickName=©C:\Windows\SysWOW64\hagentps.dll© Path=©C:\Windows\SysWOW64\hagentps.dll© Sync=©0© OID=©</v>
      </c>
      <c r="E672" t="s">
        <v>2303</v>
      </c>
      <c r="F672" t="s">
        <v>2066</v>
      </c>
    </row>
    <row r="673" spans="1:6">
      <c r="A673" t="s">
        <v>2302</v>
      </c>
      <c r="C673" t="str">
        <f t="shared" si="17"/>
        <v>© NickName=©C:\Program Files (x86)\EleSy\SCADA Infinity\InfinityTools\SystemCnfg.exe© Path=©C:\Program Files (x86)\EleSy\SCADA Infinity\InfinityTools\SystemCnfg.exe© Sync=©0© OID=©</v>
      </c>
      <c r="E673" t="s">
        <v>2303</v>
      </c>
      <c r="F673" t="s">
        <v>1991</v>
      </c>
    </row>
    <row r="674" spans="1:6">
      <c r="A674" t="s">
        <v>2302</v>
      </c>
      <c r="C674" t="str">
        <f t="shared" si="17"/>
        <v>© NickName=©C:\Program Files (x86)\EleSy\SCADA Infinity\InfinityTools\SystemCnfg.dat© Path=©C:\Program Files (x86)\EleSy\SCADA Infinity\InfinityTools\SystemCnfg.dat© Sync=©0© OID=©</v>
      </c>
      <c r="E674" t="s">
        <v>2303</v>
      </c>
      <c r="F674" t="s">
        <v>1992</v>
      </c>
    </row>
    <row r="675" spans="1:6">
      <c r="A675" t="s">
        <v>2302</v>
      </c>
      <c r="C675" t="str">
        <f t="shared" si="17"/>
        <v>© NickName=©C:\Program Files (x86)\EleSy\SCADA Infinity\InfinityTools\IB_WISQL.exe© Path=©C:\Program Files (x86)\EleSy\SCADA Infinity\InfinityTools\IB_WISQL.exe© Sync=©0© OID=©</v>
      </c>
      <c r="E675" t="s">
        <v>2303</v>
      </c>
      <c r="F675" t="s">
        <v>2136</v>
      </c>
    </row>
    <row r="676" spans="1:6">
      <c r="A676" t="s">
        <v>2302</v>
      </c>
      <c r="C676" t="str">
        <f t="shared" si="17"/>
        <v>© NickName=©C:\Windows\SysWOW64\GDS32.DLL© Path=©C:\Windows\SysWOW64\GDS32.DLL© Sync=©0© OID=©</v>
      </c>
      <c r="E676" t="s">
        <v>2303</v>
      </c>
      <c r="F676" t="s">
        <v>2881</v>
      </c>
    </row>
    <row r="677" spans="1:6">
      <c r="A677" t="s">
        <v>2302</v>
      </c>
      <c r="C677" t="str">
        <f t="shared" si="17"/>
        <v>© NickName=©C:\Windows\SysWOW64\fbclient.dll© Path=©C:\Windows\SysWOW64\fbclient.dll© Sync=©0© OID=©</v>
      </c>
      <c r="E677" t="s">
        <v>2303</v>
      </c>
      <c r="F677" t="s">
        <v>2208</v>
      </c>
    </row>
    <row r="678" spans="1:6">
      <c r="A678" t="s">
        <v>2302</v>
      </c>
      <c r="C678" t="str">
        <f t="shared" si="17"/>
        <v>© NickName=©C:\Program Files (x86)\EleSy\SCADA Infinity\InfinityServer\Configuration\Modules\CfgAddr.dll© Path=©C:\Program Files (x86)\EleSy\SCADA Infinity\InfinityServer\Configuration\Modules\CfgAddr.dll© Sync=©0© OID=©</v>
      </c>
      <c r="E678" t="s">
        <v>2303</v>
      </c>
      <c r="F678" t="s">
        <v>2138</v>
      </c>
    </row>
    <row r="679" spans="1:6">
      <c r="A679" t="s">
        <v>2302</v>
      </c>
      <c r="C679" t="str">
        <f t="shared" si="17"/>
        <v>© NickName=©C:\Program Files (x86)\EleSy\SCADA Infinity\InfinityServer\Configuration\Modules\CfgFtpFileAccessComp.dll© Path=©C:\Program Files (x86)\EleSy\SCADA Infinity\InfinityServer\Configuration\Modules\CfgFtpFileAccessComp.dll© Sync=©0© OID=©</v>
      </c>
      <c r="E679" t="s">
        <v>2303</v>
      </c>
      <c r="F679" t="s">
        <v>2139</v>
      </c>
    </row>
    <row r="680" spans="1:6">
      <c r="A680" t="s">
        <v>2302</v>
      </c>
      <c r="C680" t="str">
        <f t="shared" si="17"/>
        <v>© NickName=©C:\Program Files (x86)\EleSy\SCADA Infinity\InfinityServer\Configuration\Modules\CfgICMPComp.dll© Path=©C:\Program Files (x86)\EleSy\SCADA Infinity\InfinityServer\Configuration\Modules\CfgICMPComp.dll© Sync=©0© OID=©</v>
      </c>
      <c r="E680" t="s">
        <v>2303</v>
      </c>
      <c r="F680" t="s">
        <v>2140</v>
      </c>
    </row>
    <row r="681" spans="1:6">
      <c r="A681" t="s">
        <v>2302</v>
      </c>
      <c r="C681" t="str">
        <f t="shared" si="17"/>
        <v>© NickName=©C:\Program Files (x86)\EleSy\SCADA Infinity\InfinityServer\Configuration\Modules\CfgImportExport.dll© Path=©C:\Program Files (x86)\EleSy\SCADA Infinity\InfinityServer\Configuration\Modules\CfgImportExport.dll© Sync=©0© OID=©</v>
      </c>
      <c r="E681" t="s">
        <v>2303</v>
      </c>
      <c r="F681" t="s">
        <v>2141</v>
      </c>
    </row>
    <row r="682" spans="1:6">
      <c r="A682" t="s">
        <v>2302</v>
      </c>
      <c r="C682" t="str">
        <f t="shared" si="17"/>
        <v>© NickName=©C:\Program Files (x86)\EleSy\SCADA Infinity\InfinityServer\Configuration\Modules\CfgLogic2.dll© Path=©C:\Program Files (x86)\EleSy\SCADA Infinity\InfinityServer\Configuration\Modules\CfgLogic2.dll© Sync=©0© OID=©</v>
      </c>
      <c r="E682" t="s">
        <v>2303</v>
      </c>
      <c r="F682" t="s">
        <v>2142</v>
      </c>
    </row>
    <row r="683" spans="1:6">
      <c r="A683" t="s">
        <v>2302</v>
      </c>
      <c r="C683" t="str">
        <f t="shared" si="17"/>
        <v>© NickName=©C:\Program Files (x86)\EleSy\SCADA Infinity\InfinityServer\Configuration\Modules\CfgMiec4StdComp.dll© Path=©C:\Program Files (x86)\EleSy\SCADA Infinity\InfinityServer\Configuration\Modules\CfgMiec4StdComp.dll© Sync=©0© OID=©</v>
      </c>
      <c r="E683" t="s">
        <v>2303</v>
      </c>
      <c r="F683" t="s">
        <v>2143</v>
      </c>
    </row>
    <row r="684" spans="1:6">
      <c r="A684" t="s">
        <v>2302</v>
      </c>
      <c r="C684" t="str">
        <f t="shared" si="17"/>
        <v>© NickName=©C:\Program Files (x86)\EleSy\SCADA Infinity\InfinityServer\Configuration\Modules\CfgModbusComp.dll© Path=©C:\Program Files (x86)\EleSy\SCADA Infinity\InfinityServer\Configuration\Modules\CfgModbusComp.dll© Sync=©0© OID=©</v>
      </c>
      <c r="E684" t="s">
        <v>2303</v>
      </c>
      <c r="F684" t="s">
        <v>2144</v>
      </c>
    </row>
    <row r="685" spans="1:6">
      <c r="A685" t="s">
        <v>2302</v>
      </c>
      <c r="C685" t="str">
        <f t="shared" si="17"/>
        <v>© NickName=©C:\Program Files (x86)\EleSy\SCADA Infinity\InfinityServer\Configuration\Modules\CfgModbusTCPIPMaster.dll© Path=©C:\Program Files (x86)\EleSy\SCADA Infinity\InfinityServer\Configuration\Modules\CfgModbusTCPIPMaster.dll© Sync=©0© OID=©</v>
      </c>
      <c r="E685" t="s">
        <v>2303</v>
      </c>
      <c r="F685" t="s">
        <v>2145</v>
      </c>
    </row>
    <row r="686" spans="1:6">
      <c r="A686" t="s">
        <v>2302</v>
      </c>
      <c r="C686" t="str">
        <f t="shared" si="17"/>
        <v>© NickName=©C:\Program Files (x86)\EleSy\SCADA Infinity\InfinityServer\Configuration\Modules\CfgNodeProp.dll© Path=©C:\Program Files (x86)\EleSy\SCADA Infinity\InfinityServer\Configuration\Modules\CfgNodeProp.dll© Sync=©0© OID=©</v>
      </c>
      <c r="E686" t="s">
        <v>2303</v>
      </c>
      <c r="F686" t="s">
        <v>2146</v>
      </c>
    </row>
    <row r="687" spans="1:6">
      <c r="A687" t="s">
        <v>2302</v>
      </c>
      <c r="C687" t="str">
        <f t="shared" si="17"/>
        <v>© NickName=©C:\Program Files (x86)\EleSy\SCADA Infinity\InfinityServer\Configuration\Modules\CfgNodeProp2.dll© Path=©C:\Program Files (x86)\EleSy\SCADA Infinity\InfinityServer\Configuration\Modules\CfgNodeProp2.dll© Sync=©0© OID=©</v>
      </c>
      <c r="E687" t="s">
        <v>2303</v>
      </c>
      <c r="F687" t="s">
        <v>2147</v>
      </c>
    </row>
    <row r="688" spans="1:6">
      <c r="A688" t="s">
        <v>2302</v>
      </c>
      <c r="C688" t="str">
        <f t="shared" si="17"/>
        <v>© NickName=©C:\Program Files (x86)\EleSy\SCADA Infinity\InfinityServer\Configuration\Modules\CfgOPCAEServer.dll© Path=©C:\Program Files (x86)\EleSy\SCADA Infinity\InfinityServer\Configuration\Modules\CfgOPCAEServer.dll© Sync=©0© OID=©</v>
      </c>
      <c r="E688" t="s">
        <v>2303</v>
      </c>
      <c r="F688" t="s">
        <v>2148</v>
      </c>
    </row>
    <row r="689" spans="1:6">
      <c r="A689" t="s">
        <v>2302</v>
      </c>
      <c r="C689" t="str">
        <f t="shared" si="17"/>
        <v>© NickName=©C:\Program Files (x86)\EleSy\SCADA Infinity\InfinityServer\Configuration\Modules\CfgOPCClientComp.dll© Path=©C:\Program Files (x86)\EleSy\SCADA Infinity\InfinityServer\Configuration\Modules\CfgOPCClientComp.dll© Sync=©0© OID=©</v>
      </c>
      <c r="E689" t="s">
        <v>2303</v>
      </c>
      <c r="F689" t="s">
        <v>2149</v>
      </c>
    </row>
    <row r="690" spans="1:6">
      <c r="A690" t="s">
        <v>2302</v>
      </c>
      <c r="C690" t="str">
        <f t="shared" si="17"/>
        <v>© NickName=©C:\Program Files (x86)\EleSy\SCADA Infinity\InfinityServer\Configuration\Modules\CfgOPCComp.dll© Path=©C:\Program Files (x86)\EleSy\SCADA Infinity\InfinityServer\Configuration\Modules\CfgOPCComp.dll© Sync=©0© OID=©</v>
      </c>
      <c r="E690" t="s">
        <v>2303</v>
      </c>
      <c r="F690" t="s">
        <v>2150</v>
      </c>
    </row>
    <row r="691" spans="1:6">
      <c r="A691" t="s">
        <v>2302</v>
      </c>
      <c r="C691" t="str">
        <f t="shared" si="17"/>
        <v>© NickName=©C:\Program Files (x86)\EleSy\SCADA Infinity\InfinityServer\Configuration\Modules\CfgOPCUADataComp.dll© Path=©C:\Program Files (x86)\EleSy\SCADA Infinity\InfinityServer\Configuration\Modules\CfgOPCUADataComp.dll© Sync=©0© OID=©</v>
      </c>
      <c r="E691" t="s">
        <v>2303</v>
      </c>
      <c r="F691" t="s">
        <v>2151</v>
      </c>
    </row>
    <row r="692" spans="1:6">
      <c r="A692" t="s">
        <v>2302</v>
      </c>
      <c r="C692" t="str">
        <f t="shared" si="17"/>
        <v>© NickName=©C:\Program Files (x86)\EleSy\SCADA Infinity\InfinityServer\Configuration\Modules\CfgRange.dll© Path=©C:\Program Files (x86)\EleSy\SCADA Infinity\InfinityServer\Configuration\Modules\CfgRange.dll© Sync=©0© OID=©</v>
      </c>
      <c r="E692" t="s">
        <v>2303</v>
      </c>
      <c r="F692" t="s">
        <v>2152</v>
      </c>
    </row>
    <row r="693" spans="1:6">
      <c r="A693" t="s">
        <v>2302</v>
      </c>
      <c r="C693" t="str">
        <f t="shared" si="17"/>
        <v>© NickName=©C:\Program Files (x86)\EleSy\SCADA Infinity\InfinityServer\Configuration\Modules\CfgStatClient.dll© Path=©C:\Program Files (x86)\EleSy\SCADA Infinity\InfinityServer\Configuration\Modules\CfgStatClient.dll© Sync=©0© OID=©</v>
      </c>
      <c r="E693" t="s">
        <v>2303</v>
      </c>
      <c r="F693" t="s">
        <v>2153</v>
      </c>
    </row>
    <row r="694" spans="1:6">
      <c r="A694" t="s">
        <v>2302</v>
      </c>
      <c r="C694" t="str">
        <f t="shared" si="17"/>
        <v>© NickName=©C:\Windows\SysWOW64\ElesyCalc.dll© Path=©C:\Windows\SysWOW64\ElesyCalc.dll© Sync=©0© OID=©</v>
      </c>
      <c r="E694" t="s">
        <v>2303</v>
      </c>
      <c r="F694" t="s">
        <v>2209</v>
      </c>
    </row>
    <row r="695" spans="1:6">
      <c r="A695" t="s">
        <v>2302</v>
      </c>
      <c r="C695" t="str">
        <f t="shared" si="17"/>
        <v>© NickName=©C:\Program Files (x86)\Common Files\EleSy\System\EleSyConfiguration.dll© Path=©C:\Program Files (x86)\Common Files\EleSy\System\EleSyConfiguration.dll© Sync=©0© OID=©</v>
      </c>
      <c r="E695" t="s">
        <v>2303</v>
      </c>
      <c r="F695" t="s">
        <v>2155</v>
      </c>
    </row>
    <row r="696" spans="1:6">
      <c r="A696" t="s">
        <v>2302</v>
      </c>
      <c r="C696" t="str">
        <f t="shared" si="17"/>
        <v>© NickName=©C:\Program Files (x86)\Common Files\EleSy\System\ElesyServerMgt.dll© Path=©C:\Program Files (x86)\Common Files\EleSy\System\ElesyServerMgt.dll© Sync=©0© OID=©</v>
      </c>
      <c r="E696" t="s">
        <v>2303</v>
      </c>
      <c r="F696" t="s">
        <v>2156</v>
      </c>
    </row>
    <row r="697" spans="1:6">
      <c r="A697" t="s">
        <v>2302</v>
      </c>
      <c r="C697" t="str">
        <f t="shared" si="17"/>
        <v>© NickName=©C:\Program Files (x86)\EleSy\SCADA Infinity\InfinityServer\Configuration\InfinityCfg.exe© Path=©C:\Program Files (x86)\EleSy\SCADA Infinity\InfinityServer\Configuration\InfinityCfg.exe© Sync=©0© OID=©</v>
      </c>
      <c r="E697" t="s">
        <v>2303</v>
      </c>
      <c r="F697" t="s">
        <v>2157</v>
      </c>
    </row>
    <row r="698" spans="1:6">
      <c r="A698" t="s">
        <v>2302</v>
      </c>
      <c r="C698" t="str">
        <f t="shared" si="17"/>
        <v>© NickName=©C:\Windows\SysWOW64\SecurityEditor.dll© Path=©C:\Windows\SysWOW64\SecurityEditor.dll© Sync=©0© OID=©</v>
      </c>
      <c r="E698" t="s">
        <v>2303</v>
      </c>
      <c r="F698" t="s">
        <v>2065</v>
      </c>
    </row>
    <row r="699" spans="1:6">
      <c r="A699" t="s">
        <v>2302</v>
      </c>
      <c r="C699" t="str">
        <f t="shared" si="17"/>
        <v>© NickName=©C:\Windows\SysWOW64\dnaccbrw.dll© Path=©C:\Windows\SysWOW64\dnaccbrw.dll© Sync=©0© OID=©</v>
      </c>
      <c r="E699" t="s">
        <v>2303</v>
      </c>
      <c r="F699" t="s">
        <v>2064</v>
      </c>
    </row>
    <row r="700" spans="1:6">
      <c r="A700" t="s">
        <v>2302</v>
      </c>
      <c r="C700" t="str">
        <f t="shared" si="17"/>
        <v>© NickName=©C:\Windows\SysWOW64\scl.dll© Path=©C:\Windows\SysWOW64\scl.dll© Sync=©0© OID=©</v>
      </c>
      <c r="E700" t="s">
        <v>2303</v>
      </c>
      <c r="F700" t="s">
        <v>2212</v>
      </c>
    </row>
    <row r="701" spans="1:6">
      <c r="A701" t="s">
        <v>2302</v>
      </c>
      <c r="C701" t="str">
        <f t="shared" si="17"/>
        <v>© NickName=©C:\Program Files (x86)\EleSy\SCADA Infinity\InfinityServer\Configuration\Modules\CfgSiec4StdComp.dll© Path=©C:\Program Files (x86)\EleSy\SCADA Infinity\InfinityServer\Configuration\Modules\CfgSiec4StdComp.dll© Sync=©0© OID=©</v>
      </c>
      <c r="E701" t="s">
        <v>2303</v>
      </c>
      <c r="F701" t="s">
        <v>2158</v>
      </c>
    </row>
    <row r="702" spans="1:6">
      <c r="A702" t="s">
        <v>2302</v>
      </c>
      <c r="C702" t="str">
        <f t="shared" si="17"/>
        <v>© NickName=©C:\Program Files (x86)\EleSy\SCADA Infinity\InfinityServer\Configuration\Modules\CfgMiec103StdComp.dll© Path=©C:\Program Files (x86)\EleSy\SCADA Infinity\InfinityServer\Configuration\Modules\CfgMiec103StdComp.dll© Sync=©0© OID=©</v>
      </c>
      <c r="E702" t="s">
        <v>2303</v>
      </c>
      <c r="F702" t="s">
        <v>2159</v>
      </c>
    </row>
    <row r="703" spans="1:6">
      <c r="A703" t="s">
        <v>2302</v>
      </c>
      <c r="C703" t="str">
        <f t="shared" ref="C703:C728" si="18">"© NickName=©"&amp;F703&amp;"© Path=©"&amp;F703&amp;"© Sync=©0© OID=©"</f>
        <v>© NickName=©C:\Program Files (x86)\EleSy\SCADA Infinity\InfinityServer\Configuration\Modules\CfgOPCClientPropSync.dll© Path=©C:\Program Files (x86)\EleSy\SCADA Infinity\InfinityServer\Configuration\Modules\CfgOPCClientPropSync.dll© Sync=©0© OID=©</v>
      </c>
      <c r="E703" t="s">
        <v>2303</v>
      </c>
      <c r="F703" t="s">
        <v>2160</v>
      </c>
    </row>
    <row r="704" spans="1:6">
      <c r="A704" t="s">
        <v>2302</v>
      </c>
      <c r="C704" t="str">
        <f t="shared" si="18"/>
        <v>© NickName=©C:\Program Files (x86)\EleSy\SCADA Infinity\InfinityServer\Configuration\Modules\CfgOPCUADataClientComp.dll© Path=©C:\Program Files (x86)\EleSy\SCADA Infinity\InfinityServer\Configuration\Modules\CfgOPCUADataClientComp.dll© Sync=©0© OID=©</v>
      </c>
      <c r="E704" t="s">
        <v>2303</v>
      </c>
      <c r="F704" s="376" t="s">
        <v>2905</v>
      </c>
    </row>
    <row r="705" spans="1:6">
      <c r="A705" t="s">
        <v>2302</v>
      </c>
      <c r="C705" t="str">
        <f t="shared" si="18"/>
        <v>© NickName=©C:\Program Files (x86)\EleSy\SCADA Infinity\InfinityServer\Configuration\Modules\CfgOPCUAAEComp.dll© Path=©C:\Program Files (x86)\EleSy\SCADA Infinity\InfinityServer\Configuration\Modules\CfgOPCUAAEComp.dll© Sync=©0© OID=©</v>
      </c>
      <c r="E705" t="s">
        <v>2303</v>
      </c>
      <c r="F705" t="s">
        <v>2161</v>
      </c>
    </row>
    <row r="706" spans="1:6">
      <c r="A706" t="s">
        <v>2302</v>
      </c>
      <c r="C706" t="str">
        <f t="shared" si="18"/>
        <v>© NickName=©C:\Program Files (x86)\EleSy\SCADA Infinity\InfinityServer\Configuration\Modules\CfgSNMPMaster.dll© Path=©C:\Program Files (x86)\EleSy\SCADA Infinity\InfinityServer\Configuration\Modules\CfgSNMPMaster.dll© Sync=©0© OID=©</v>
      </c>
      <c r="E706" t="s">
        <v>2303</v>
      </c>
      <c r="F706" t="s">
        <v>2162</v>
      </c>
    </row>
    <row r="707" spans="1:6">
      <c r="A707" t="s">
        <v>2302</v>
      </c>
      <c r="C707" t="str">
        <f t="shared" si="18"/>
        <v>© NickName=©C:\Windows\SysWOW64\rtl70.bpl© Path=©C:\Windows\SysWOW64\rtl70.bpl© Sync=©0© OID=©</v>
      </c>
      <c r="E707" t="s">
        <v>2303</v>
      </c>
      <c r="F707" t="s">
        <v>2213</v>
      </c>
    </row>
    <row r="708" spans="1:6">
      <c r="A708" t="s">
        <v>2302</v>
      </c>
      <c r="C708" t="str">
        <f t="shared" si="18"/>
        <v>© NickName=©C:\Windows\SysWOW64\vcl70.bpl© Path=©C:\Windows\SysWOW64\vcl70.bpl© Sync=©0© OID=©</v>
      </c>
      <c r="E708" t="s">
        <v>2303</v>
      </c>
      <c r="F708" t="s">
        <v>2214</v>
      </c>
    </row>
    <row r="709" spans="1:6">
      <c r="A709" t="s">
        <v>2302</v>
      </c>
      <c r="C709" t="str">
        <f t="shared" si="18"/>
        <v>© NickName=©C:\Program Files (x86)\EleSy\SCADA Infinity\InfinityTools\LogViewer\View_SIEC4Std.dll© Path=©C:\Program Files (x86)\EleSy\SCADA Infinity\InfinityTools\LogViewer\View_SIEC4Std.dll© Sync=©0© OID=©</v>
      </c>
      <c r="E709" t="s">
        <v>2303</v>
      </c>
      <c r="F709" t="s">
        <v>2194</v>
      </c>
    </row>
    <row r="710" spans="1:6">
      <c r="A710" t="s">
        <v>2302</v>
      </c>
      <c r="C710" t="str">
        <f t="shared" si="18"/>
        <v>© NickName=©C:\Program Files (x86)\EleSy\SCADA Infinity\InfinityTools\LogViewer\View_MIEC103COM.dll© Path=©C:\Program Files (x86)\EleSy\SCADA Infinity\InfinityTools\LogViewer\View_MIEC103COM.dll© Sync=©0© OID=©</v>
      </c>
      <c r="E710" t="s">
        <v>2303</v>
      </c>
      <c r="F710" t="s">
        <v>2195</v>
      </c>
    </row>
    <row r="711" spans="1:6">
      <c r="A711" t="s">
        <v>2302</v>
      </c>
      <c r="C711" t="str">
        <f t="shared" si="18"/>
        <v>© NickName=©C:\Program Files (x86)\EleSy\SCADA Infinity\InfinityTools\LogViewer\View_MIEC103.dll© Path=©C:\Program Files (x86)\EleSy\SCADA Infinity\InfinityTools\LogViewer\View_MIEC103.dll© Sync=©0© OID=©</v>
      </c>
      <c r="E711" t="s">
        <v>2303</v>
      </c>
      <c r="F711" t="s">
        <v>2196</v>
      </c>
    </row>
    <row r="712" spans="1:6">
      <c r="A712" t="s">
        <v>2302</v>
      </c>
      <c r="C712" t="str">
        <f t="shared" si="18"/>
        <v>© NickName=©C:\Program Files (x86)\EleSy\SCADA Infinity\InfinityTools\LogViewer\View_FtpFileAccessComp.dll© Path=©C:\Program Files (x86)\EleSy\SCADA Infinity\InfinityTools\LogViewer\View_FtpFileAccessComp.dll© Sync=©0© OID=©</v>
      </c>
      <c r="E712" t="s">
        <v>2303</v>
      </c>
      <c r="F712" t="s">
        <v>2197</v>
      </c>
    </row>
    <row r="713" spans="1:6">
      <c r="A713" t="s">
        <v>2302</v>
      </c>
      <c r="C713" t="str">
        <f t="shared" si="18"/>
        <v>© NickName=©C:\Program Files (x86)\EleSy\SCADA Infinity\InfinityTools\LogViewer\View_HAgent.dll© Path=©C:\Program Files (x86)\EleSy\SCADA Infinity\InfinityTools\LogViewer\View_HAgent.dll© Sync=©0© OID=©</v>
      </c>
      <c r="E713" t="s">
        <v>2303</v>
      </c>
      <c r="F713" t="s">
        <v>2193</v>
      </c>
    </row>
    <row r="714" spans="1:6">
      <c r="A714" t="s">
        <v>2302</v>
      </c>
      <c r="C714" t="str">
        <f t="shared" si="18"/>
        <v>© NickName=©C:\Program Files (x86)\EleSy\SCADA Infinity\InfinityTools\LogViewer\View_HRAInterComm.dll© Path=©C:\Program Files (x86)\EleSy\SCADA Infinity\InfinityTools\LogViewer\View_HRAInterComm.dll© Sync=©0© OID=©</v>
      </c>
      <c r="E714" t="s">
        <v>2303</v>
      </c>
      <c r="F714" t="s">
        <v>2126</v>
      </c>
    </row>
    <row r="715" spans="1:6">
      <c r="A715" t="s">
        <v>2302</v>
      </c>
      <c r="C715" t="str">
        <f t="shared" si="18"/>
        <v>© NickName=©C:\Program Files (x86)\EleSy\SCADA Infinity\InfinityTools\LogViewer\View_IHS3x.dll© Path=©C:\Program Files (x86)\EleSy\SCADA Infinity\InfinityTools\LogViewer\View_IHS3x.dll© Sync=©0© OID=©</v>
      </c>
      <c r="E715" t="s">
        <v>2303</v>
      </c>
      <c r="F715" t="s">
        <v>2029</v>
      </c>
    </row>
    <row r="716" spans="1:6">
      <c r="A716" t="s">
        <v>2302</v>
      </c>
      <c r="C716" t="str">
        <f t="shared" si="18"/>
        <v>© NickName=©C:\Program Files (x86)\EleSy\SCADA Infinity\InfinityTools\LogViewer\View_MBTCP.dll© Path=©C:\Program Files (x86)\EleSy\SCADA Infinity\InfinityTools\LogViewer\View_MBTCP.dll© Sync=©0© OID=©</v>
      </c>
      <c r="E716" t="s">
        <v>2303</v>
      </c>
      <c r="F716" t="s">
        <v>2133</v>
      </c>
    </row>
    <row r="717" spans="1:6">
      <c r="A717" t="s">
        <v>2302</v>
      </c>
      <c r="C717" t="str">
        <f t="shared" si="18"/>
        <v>© NickName=©C:\Program Files (x86)\EleSy\SCADA Infinity\InfinityTools\LogViewer\View_MIEC4.dll© Path=©C:\Program Files (x86)\EleSy\SCADA Infinity\InfinityTools\LogViewer\View_MIEC4.dll© Sync=©0© OID=©</v>
      </c>
      <c r="E717" t="s">
        <v>2303</v>
      </c>
      <c r="F717" t="s">
        <v>2295</v>
      </c>
    </row>
    <row r="718" spans="1:6">
      <c r="A718" t="s">
        <v>2302</v>
      </c>
      <c r="C718" t="str">
        <f t="shared" si="18"/>
        <v>© NickName=©C:\Program Files (x86)\EleSy\SCADA Infinity\InfinityTools\LogViewer\View_Sender.dll© Path=©C:\Program Files (x86)\EleSy\SCADA Infinity\InfinityTools\LogViewer\View_Sender.dll© Sync=©0© OID=©</v>
      </c>
      <c r="E718" t="s">
        <v>2303</v>
      </c>
      <c r="F718" t="s">
        <v>2296</v>
      </c>
    </row>
    <row r="719" spans="1:6">
      <c r="A719" t="s">
        <v>2302</v>
      </c>
      <c r="C719" t="str">
        <f t="shared" si="18"/>
        <v>© NickName=©C:\Program Files (x86)\EleSy\SCADA Infinity\InfinityTools\LogViewer\View_SNMP.dll© Path=©C:\Program Files (x86)\EleSy\SCADA Infinity\InfinityTools\LogViewer\View_SNMP.dll© Sync=©0© OID=©</v>
      </c>
      <c r="E719" t="s">
        <v>2303</v>
      </c>
      <c r="F719" t="s">
        <v>2135</v>
      </c>
    </row>
    <row r="720" spans="1:6">
      <c r="A720" t="s">
        <v>2302</v>
      </c>
      <c r="C720" t="str">
        <f t="shared" si="18"/>
        <v>© NickName=©C:\Program Files (x86)\EleSy\SCADA Infinity\InfinityTools\LogViewer\View_ISMgt.dll© Path=©C:\Program Files (x86)\EleSy\SCADA Infinity\InfinityTools\LogViewer\View_ISMgt.dll© Sync=©0© OID=©</v>
      </c>
      <c r="E720" t="s">
        <v>2303</v>
      </c>
      <c r="F720" t="s">
        <v>2192</v>
      </c>
    </row>
    <row r="721" spans="1:6">
      <c r="A721" t="s">
        <v>2302</v>
      </c>
      <c r="C721" t="str">
        <f t="shared" si="18"/>
        <v>© NickName=©C:\Windows\SysWOW64\ftd2xx.dll© Path=©C:\Windows\SysWOW64\ftd2xx.dll© Sync=©0© OID=©</v>
      </c>
      <c r="E721" t="s">
        <v>2303</v>
      </c>
      <c r="F721" t="s">
        <v>2902</v>
      </c>
    </row>
    <row r="722" spans="1:6">
      <c r="A722" t="s">
        <v>2302</v>
      </c>
      <c r="C722" t="str">
        <f t="shared" si="18"/>
        <v>© NickName=©C:\Windows\SysWOW64\borlndmm.dll© Path=©C:\Windows\SysWOW64\borlndmm.dll© Sync=©0© OID=©</v>
      </c>
      <c r="E722" t="s">
        <v>2303</v>
      </c>
      <c r="F722" t="s">
        <v>2061</v>
      </c>
    </row>
    <row r="723" spans="1:6">
      <c r="A723" t="s">
        <v>2302</v>
      </c>
      <c r="C723" t="str">
        <f t="shared" si="18"/>
        <v>© NickName=©C:\Program Files (x86)\EleSy\SCADA Infinity\InfinityTools\LogViewer\LogViewer.exe© Path=©C:\Program Files (x86)\EleSy\SCADA Infinity\InfinityTools\LogViewer\LogViewer.exe© Sync=©0© OID=©</v>
      </c>
      <c r="E723" t="s">
        <v>2303</v>
      </c>
      <c r="F723" t="s">
        <v>1999</v>
      </c>
    </row>
    <row r="724" spans="1:6">
      <c r="A724" t="s">
        <v>2302</v>
      </c>
      <c r="C724" t="str">
        <f t="shared" si="18"/>
        <v>© NickName=©C:\Windows\SysWOW64\log2.dll© Path=©C:\Windows\SysWOW64\log2.dll© Sync=©0© OID=©</v>
      </c>
      <c r="E724" t="s">
        <v>2303</v>
      </c>
      <c r="F724" t="s">
        <v>2062</v>
      </c>
    </row>
    <row r="725" spans="1:6">
      <c r="A725" t="s">
        <v>2302</v>
      </c>
      <c r="C725" t="str">
        <f t="shared" si="18"/>
        <v>© NickName=©C:\Program Files (x86)\EleSy\SCADA Infinity\InfinityTools\OPCtools.exe© Path=©C:\Program Files (x86)\EleSy\SCADA Infinity\InfinityTools\OPCtools.exe© Sync=©0© OID=©</v>
      </c>
      <c r="E725" t="s">
        <v>2303</v>
      </c>
      <c r="F725" t="s">
        <v>2204</v>
      </c>
    </row>
    <row r="726" spans="1:6">
      <c r="A726" t="s">
        <v>2302</v>
      </c>
      <c r="C726" t="str">
        <f t="shared" si="18"/>
        <v>© NickName=©C:\Program Files (x86)\EleSy\SCADA Infinity\InfinityTools\ProjectManager\ProjectManager.exe© Path=©C:\Program Files (x86)\EleSy\SCADA Infinity\InfinityTools\ProjectManager\ProjectManager.exe© Sync=©0© OID=©</v>
      </c>
      <c r="E726" t="s">
        <v>2303</v>
      </c>
      <c r="F726" t="s">
        <v>2116</v>
      </c>
    </row>
    <row r="727" spans="1:6">
      <c r="A727" t="s">
        <v>2302</v>
      </c>
      <c r="C727" t="str">
        <f t="shared" si="18"/>
        <v>© NickName=©C:\Program Files (x86)\EleSy\SCADA Infinity\InfinityTools\ProjectManager\ProjectManager.tlb© Path=©C:\Program Files (x86)\EleSy\SCADA Infinity\InfinityTools\ProjectManager\ProjectManager.tlb© Sync=©0© OID=©</v>
      </c>
      <c r="E727" t="s">
        <v>2303</v>
      </c>
      <c r="F727" t="s">
        <v>2117</v>
      </c>
    </row>
    <row r="728" spans="1:6">
      <c r="A728" t="s">
        <v>2302</v>
      </c>
      <c r="C728" t="str">
        <f t="shared" si="18"/>
        <v>© NickName=©C:\Program Files (x86)\EleSy\SCADA Infinity\InfinityTools\LogViewer\View_IPM.dll© Path=©C:\Program Files (x86)\EleSy\SCADA Infinity\InfinityTools\LogViewer\View_IPM.dll© Sync=©0© OID=©</v>
      </c>
      <c r="E728" t="s">
        <v>2303</v>
      </c>
      <c r="F728" t="s">
        <v>2118</v>
      </c>
    </row>
    <row r="729" spans="1:6">
      <c r="A729" s="690" t="s">
        <v>1973</v>
      </c>
      <c r="B729" s="690"/>
      <c r="C729" s="690"/>
      <c r="D729" s="690"/>
      <c r="E729" s="690"/>
      <c r="F729" s="690" t="s">
        <v>1973</v>
      </c>
    </row>
    <row r="730" spans="1:6">
      <c r="A730" t="s">
        <v>2302</v>
      </c>
      <c r="C730" t="str">
        <f t="shared" ref="C730:C742" si="19">"© NickName=©"&amp;F730&amp;"© Path=©"&amp;F730&amp;"© Sync=©0© OID=©"</f>
        <v>© NickName=©C:\Program Files (x86)\Common Files\Aladdin Shared\Hasp\haspvlib_61937.dll© Path=©C:\Program Files (x86)\Common Files\Aladdin Shared\Hasp\haspvlib_61937.dll© Sync=©0© OID=©</v>
      </c>
      <c r="E730" t="s">
        <v>2303</v>
      </c>
      <c r="F730" t="s">
        <v>1983</v>
      </c>
    </row>
    <row r="731" spans="1:6">
      <c r="A731" t="s">
        <v>2302</v>
      </c>
      <c r="C731" t="str">
        <f t="shared" si="19"/>
        <v>© NickName=©C:\Program Files (x86)\EleSy\SCADA Infinity\InfinityTrends\InfinityTrendViewProj.ocx© Path=©C:\Program Files (x86)\EleSy\SCADA Infinity\InfinityTrends\InfinityTrendViewProj.ocx© Sync=©0© OID=©</v>
      </c>
      <c r="E731" t="s">
        <v>2303</v>
      </c>
      <c r="F731" t="s">
        <v>2297</v>
      </c>
    </row>
    <row r="732" spans="1:6">
      <c r="A732" t="s">
        <v>2302</v>
      </c>
      <c r="C732" t="str">
        <f t="shared" si="19"/>
        <v>© NickName=©C:\Program Files (x86)\EleSy\SCADA Infinity\InfinityTrends\InfinityTrends.exe© Path=©C:\Program Files (x86)\EleSy\SCADA Infinity\InfinityTrends\InfinityTrends.exe© Sync=©0© OID=©</v>
      </c>
      <c r="E732" t="s">
        <v>2303</v>
      </c>
      <c r="F732" t="s">
        <v>2298</v>
      </c>
    </row>
    <row r="733" spans="1:6">
      <c r="A733" t="s">
        <v>2302</v>
      </c>
      <c r="C733" t="str">
        <f t="shared" si="19"/>
        <v>© NickName=©C:\Program Files (x86)\EleSy\SCADA Infinity\InfinityTrends\InfinityTrendsViewer.exe© Path=©C:\Program Files (x86)\EleSy\SCADA Infinity\InfinityTrends\InfinityTrendsViewer.exe© Sync=©0© OID=©</v>
      </c>
      <c r="E733" t="s">
        <v>2303</v>
      </c>
      <c r="F733" t="s">
        <v>2299</v>
      </c>
    </row>
    <row r="734" spans="1:6">
      <c r="A734" t="s">
        <v>2302</v>
      </c>
      <c r="C734" t="str">
        <f t="shared" si="19"/>
        <v>© NickName=©C:\Program Files (x86)\EleSy\SCADA Infinity\InfinityTrends\InfinityWebTrends.OPCDAControl.ocx© Path=©C:\Program Files (x86)\EleSy\SCADA Infinity\InfinityTrends\InfinityWebTrends.OPCDAControl.ocx© Sync=©0© OID=©</v>
      </c>
      <c r="E734" t="s">
        <v>2303</v>
      </c>
      <c r="F734" t="s">
        <v>2300</v>
      </c>
    </row>
    <row r="735" spans="1:6">
      <c r="A735" t="s">
        <v>2302</v>
      </c>
      <c r="C735" t="str">
        <f t="shared" si="19"/>
        <v>© NickName=©C:\Program Files (x86)\EleSy\SCADA Infinity\InfinityTrends\InfinityWebTrends.OPCHDAControl.ocx© Path=©C:\Program Files (x86)\EleSy\SCADA Infinity\InfinityTrends\InfinityWebTrends.OPCHDAControl.ocx© Sync=©0© OID=©</v>
      </c>
      <c r="E735" t="s">
        <v>2303</v>
      </c>
      <c r="F735" t="s">
        <v>2301</v>
      </c>
    </row>
    <row r="736" spans="1:6">
      <c r="A736" t="s">
        <v>2302</v>
      </c>
      <c r="C736" t="str">
        <f t="shared" si="19"/>
        <v>© NickName=©C:\Windows\SysWOW64\OPCUAClientLibWrapperNew.dll© Path=©C:\Windows\SysWOW64\OPCUAClientLibWrapperNew.dll© Sync=©0© OID=©</v>
      </c>
      <c r="E736" t="s">
        <v>2303</v>
      </c>
      <c r="F736" t="s">
        <v>2860</v>
      </c>
    </row>
    <row r="737" spans="1:7">
      <c r="A737" t="s">
        <v>2302</v>
      </c>
      <c r="C737" t="str">
        <f t="shared" si="19"/>
        <v>© NickName=©C:\Program Files (x86)\EleSy\SCADA Infinity\InfinityTools\InfinityCompleteness.exe© Path=©C:\Program Files (x86)\EleSy\SCADA Infinity\InfinityTools\InfinityCompleteness.exe© Sync=©0© OID=©</v>
      </c>
      <c r="E737" t="s">
        <v>2303</v>
      </c>
      <c r="F737" t="s">
        <v>1988</v>
      </c>
    </row>
    <row r="738" spans="1:7">
      <c r="A738" t="s">
        <v>2302</v>
      </c>
      <c r="C738" t="str">
        <f t="shared" si="19"/>
        <v>© NickName=©C:\Program Files (x86)\EleSy\SCADA Infinity\InfinityTools\ignore.files© Path=©C:\Program Files (x86)\EleSy\SCADA Infinity\InfinityTools\ignore.files© Sync=©0© OID=©</v>
      </c>
      <c r="E738" t="s">
        <v>2303</v>
      </c>
      <c r="F738" t="s">
        <v>1989</v>
      </c>
    </row>
    <row r="739" spans="1:7">
      <c r="A739" t="s">
        <v>2302</v>
      </c>
      <c r="C739" t="str">
        <f t="shared" si="19"/>
        <v>© NickName=©C:\Windows\SysWOW64\Localize.dll© Path=©C:\Windows\SysWOW64\Localize.dll© Sync=©0© OID=©</v>
      </c>
      <c r="E739" t="s">
        <v>2303</v>
      </c>
      <c r="F739" t="s">
        <v>2067</v>
      </c>
    </row>
    <row r="740" spans="1:7">
      <c r="A740" t="s">
        <v>2302</v>
      </c>
      <c r="C740" t="str">
        <f t="shared" si="19"/>
        <v>© NickName=©C:\Windows\SysWOW64\msvcp60.dll© Path=©C:\Windows\SysWOW64\msvcp60.dll© Sync=©0© OID=©</v>
      </c>
      <c r="E740" t="s">
        <v>2303</v>
      </c>
      <c r="F740" t="s">
        <v>2068</v>
      </c>
    </row>
    <row r="741" spans="1:7">
      <c r="A741" t="s">
        <v>2302</v>
      </c>
      <c r="C741" t="str">
        <f t="shared" si="19"/>
        <v>© NickName=©C:\Program Files (x86)\EleSy\SCADA Infinity\InfinityTools\SystemCnfg.exe© Path=©C:\Program Files (x86)\EleSy\SCADA Infinity\InfinityTools\SystemCnfg.exe© Sync=©0© OID=©</v>
      </c>
      <c r="E741" t="s">
        <v>2303</v>
      </c>
      <c r="F741" t="s">
        <v>1991</v>
      </c>
    </row>
    <row r="742" spans="1:7">
      <c r="A742" t="s">
        <v>2302</v>
      </c>
      <c r="C742" t="str">
        <f t="shared" si="19"/>
        <v>© NickName=©C:\Program Files (x86)\EleSy\SCADA Infinity\InfinityTools\SystemCnfg.dat© Path=©C:\Program Files (x86)\EleSy\SCADA Infinity\InfinityTools\SystemCnfg.dat© Sync=©0© OID=©</v>
      </c>
      <c r="E742" t="s">
        <v>2303</v>
      </c>
      <c r="F742" t="s">
        <v>1992</v>
      </c>
    </row>
    <row r="743" spans="1:7">
      <c r="A743" s="690" t="s">
        <v>2726</v>
      </c>
      <c r="B743" s="690"/>
      <c r="C743" s="690"/>
      <c r="D743" s="690"/>
      <c r="E743" s="690"/>
      <c r="F743" s="690" t="s">
        <v>2726</v>
      </c>
    </row>
    <row r="744" spans="1:7">
      <c r="A744" t="s">
        <v>2302</v>
      </c>
      <c r="C744" t="str">
        <f t="shared" ref="C744" si="20">"© NickName=©"&amp;F744&amp;"© Path=©"&amp;F744&amp;"© Sync=©0© OID=©"</f>
        <v>© NickName=©C:\Program Files (x86)\EleSy\SCADA Infinity\InfinityTools\HotReserveManager.ini© Path=©C:\Program Files (x86)\EleSy\SCADA Infinity\InfinityTools\HotReserveManager.ini© Sync=©0© OID=©</v>
      </c>
      <c r="E744" t="s">
        <v>2303</v>
      </c>
      <c r="F744" t="s">
        <v>2716</v>
      </c>
      <c r="G744" t="s">
        <v>2732</v>
      </c>
    </row>
    <row r="745" spans="1:7">
      <c r="A745" t="s">
        <v>2302</v>
      </c>
      <c r="C745" t="str">
        <f t="shared" ref="C745" si="21">"© NickName=©"&amp;F745&amp;"© Path=©"&amp;F745&amp;"© Sync=©0© OID=©"</f>
        <v>© NickName=©C:\Program Files (x86)\EleSy\SCADA Infinity\InfinityServer\Reserve\HotReserveAgent.ini© Path=©C:\Program Files (x86)\EleSy\SCADA Infinity\InfinityServer\Reserve\HotReserveAgent.ini© Sync=©0© OID=©</v>
      </c>
      <c r="E745" t="s">
        <v>2303</v>
      </c>
      <c r="F745" t="s">
        <v>2717</v>
      </c>
      <c r="G745" t="s">
        <v>2733</v>
      </c>
    </row>
    <row r="746" spans="1:7">
      <c r="G746" s="4"/>
    </row>
  </sheetData>
  <pageMargins left="0.7" right="0.7" top="0.75" bottom="0.75" header="0.3" footer="0.3"/>
  <pageSetup paperSize="9" orientation="portrait" r:id="rId1"/>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sheetPr codeName="Лист191">
    <tabColor theme="7" tint="0.59999389629810485"/>
  </sheetPr>
  <dimension ref="A1"/>
  <sheetViews>
    <sheetView workbookViewId="0">
      <selection activeCell="D2" sqref="D2:D4"/>
    </sheetView>
  </sheetViews>
  <sheetFormatPr defaultRowHeight="14.4"/>
  <sheetData/>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sheetPr codeName="Лист44">
    <tabColor theme="6" tint="-0.499984740745262"/>
  </sheetPr>
  <dimension ref="A1:A69"/>
  <sheetViews>
    <sheetView zoomScale="80" zoomScaleNormal="80" workbookViewId="0">
      <selection activeCell="D2" sqref="D2:D4"/>
    </sheetView>
  </sheetViews>
  <sheetFormatPr defaultRowHeight="14.4"/>
  <cols>
    <col min="1" max="1" width="107" customWidth="1"/>
    <col min="2" max="2" width="9.109375" customWidth="1"/>
  </cols>
  <sheetData>
    <row r="1" spans="1:1" ht="72">
      <c r="A1" s="774" t="s">
        <v>3079</v>
      </c>
    </row>
    <row r="2" spans="1:1" ht="86.4">
      <c r="A2" s="774" t="s">
        <v>3078</v>
      </c>
    </row>
    <row r="3" spans="1:1" ht="259.2">
      <c r="A3" s="772" t="s">
        <v>2926</v>
      </c>
    </row>
    <row r="4" spans="1:1" ht="302.39999999999998">
      <c r="A4" s="772" t="s">
        <v>2925</v>
      </c>
    </row>
    <row r="5" spans="1:1" ht="187.2">
      <c r="A5" s="766" t="s">
        <v>2675</v>
      </c>
    </row>
    <row r="6" spans="1:1" ht="86.4">
      <c r="A6" s="741" t="s">
        <v>2619</v>
      </c>
    </row>
    <row r="7" spans="1:1" ht="86.4">
      <c r="A7" s="709" t="s">
        <v>2581</v>
      </c>
    </row>
    <row r="8" spans="1:1" ht="86.4">
      <c r="A8" s="691" t="s">
        <v>2316</v>
      </c>
    </row>
    <row r="9" spans="1:1" ht="129.6">
      <c r="A9" s="691" t="s">
        <v>2315</v>
      </c>
    </row>
    <row r="10" spans="1:1" ht="72">
      <c r="A10" s="691" t="s">
        <v>2314</v>
      </c>
    </row>
    <row r="11" spans="1:1" ht="100.8">
      <c r="A11" s="689" t="s">
        <v>1947</v>
      </c>
    </row>
    <row r="12" spans="1:1" ht="144">
      <c r="A12" s="673" t="s">
        <v>1823</v>
      </c>
    </row>
    <row r="13" spans="1:1" ht="201.6">
      <c r="A13" s="661" t="s">
        <v>1809</v>
      </c>
    </row>
    <row r="14" spans="1:1" ht="158.4">
      <c r="A14" s="661" t="s">
        <v>2313</v>
      </c>
    </row>
    <row r="15" spans="1:1" ht="172.8">
      <c r="A15" s="645" t="s">
        <v>1782</v>
      </c>
    </row>
    <row r="16" spans="1:1" ht="43.2">
      <c r="A16" s="643" t="s">
        <v>1766</v>
      </c>
    </row>
    <row r="17" spans="1:1" ht="172.8">
      <c r="A17" s="643" t="s">
        <v>1765</v>
      </c>
    </row>
    <row r="18" spans="1:1" ht="57.6">
      <c r="A18" s="643" t="s">
        <v>1764</v>
      </c>
    </row>
    <row r="19" spans="1:1" ht="331.2">
      <c r="A19" s="643" t="s">
        <v>1763</v>
      </c>
    </row>
    <row r="20" spans="1:1" ht="288">
      <c r="A20" s="642" t="s">
        <v>1743</v>
      </c>
    </row>
    <row r="21" spans="1:1" ht="43.2">
      <c r="A21" s="619" t="s">
        <v>1706</v>
      </c>
    </row>
    <row r="22" spans="1:1" ht="43.2">
      <c r="A22" s="618" t="s">
        <v>1703</v>
      </c>
    </row>
    <row r="23" spans="1:1" ht="192.75" customHeight="1">
      <c r="A23" s="643" t="s">
        <v>1704</v>
      </c>
    </row>
    <row r="24" spans="1:1" ht="144">
      <c r="A24" s="618" t="s">
        <v>1604</v>
      </c>
    </row>
    <row r="25" spans="1:1" ht="60.75" customHeight="1">
      <c r="A25" s="560" t="s">
        <v>1603</v>
      </c>
    </row>
    <row r="26" spans="1:1" ht="144">
      <c r="A26" s="539" t="s">
        <v>1538</v>
      </c>
    </row>
    <row r="27" spans="1:1" ht="172.8">
      <c r="A27" s="531" t="s">
        <v>1468</v>
      </c>
    </row>
    <row r="28" spans="1:1" ht="172.8">
      <c r="A28" s="525" t="s">
        <v>1412</v>
      </c>
    </row>
    <row r="29" spans="1:1" ht="43.2">
      <c r="A29" s="525" t="s">
        <v>1411</v>
      </c>
    </row>
    <row r="30" spans="1:1" ht="187.2">
      <c r="A30" s="507" t="s">
        <v>1351</v>
      </c>
    </row>
    <row r="31" spans="1:1" ht="28.8">
      <c r="A31" s="507" t="s">
        <v>1350</v>
      </c>
    </row>
    <row r="32" spans="1:1" ht="57.6">
      <c r="A32" s="507" t="s">
        <v>1349</v>
      </c>
    </row>
    <row r="33" spans="1:1" ht="129.6">
      <c r="A33" s="416" t="s">
        <v>828</v>
      </c>
    </row>
    <row r="34" spans="1:1" ht="86.4">
      <c r="A34" s="414" t="s">
        <v>826</v>
      </c>
    </row>
    <row r="35" spans="1:1" ht="216">
      <c r="A35" s="414" t="s">
        <v>821</v>
      </c>
    </row>
    <row r="36" spans="1:1" ht="115.2">
      <c r="A36" s="402" t="s">
        <v>820</v>
      </c>
    </row>
    <row r="37" spans="1:1" ht="65.25" customHeight="1">
      <c r="A37" s="402" t="s">
        <v>745</v>
      </c>
    </row>
    <row r="38" spans="1:1" ht="60.75" customHeight="1">
      <c r="A38" s="382" t="s">
        <v>746</v>
      </c>
    </row>
    <row r="39" spans="1:1" ht="302.39999999999998">
      <c r="A39" s="376" t="s">
        <v>714</v>
      </c>
    </row>
    <row r="40" spans="1:1" ht="244.8">
      <c r="A40" s="375" t="s">
        <v>701</v>
      </c>
    </row>
    <row r="41" spans="1:1" ht="43.2">
      <c r="A41" s="363" t="s">
        <v>700</v>
      </c>
    </row>
    <row r="42" spans="1:1" ht="43.2">
      <c r="A42" s="332" t="s">
        <v>625</v>
      </c>
    </row>
    <row r="43" spans="1:1" ht="86.4">
      <c r="A43" s="332" t="s">
        <v>626</v>
      </c>
    </row>
    <row r="44" spans="1:1" ht="48.75" customHeight="1">
      <c r="A44" s="332" t="s">
        <v>627</v>
      </c>
    </row>
    <row r="45" spans="1:1" ht="136.5" customHeight="1">
      <c r="A45" s="329" t="s">
        <v>616</v>
      </c>
    </row>
    <row r="46" spans="1:1" ht="115.2">
      <c r="A46" s="329" t="s">
        <v>617</v>
      </c>
    </row>
    <row r="47" spans="1:1" ht="409.6">
      <c r="A47" s="309" t="s">
        <v>544</v>
      </c>
    </row>
    <row r="48" spans="1:1" ht="43.2">
      <c r="A48" s="308" t="s">
        <v>527</v>
      </c>
    </row>
    <row r="49" spans="1:1" ht="72">
      <c r="A49" s="249" t="s">
        <v>518</v>
      </c>
    </row>
    <row r="50" spans="1:1" ht="129.6">
      <c r="A50" s="249" t="s">
        <v>517</v>
      </c>
    </row>
    <row r="51" spans="1:1" ht="28.8">
      <c r="A51" s="249" t="s">
        <v>516</v>
      </c>
    </row>
    <row r="52" spans="1:1" ht="57.6">
      <c r="A52" s="249" t="s">
        <v>515</v>
      </c>
    </row>
    <row r="53" spans="1:1" ht="129.6">
      <c r="A53" s="249" t="s">
        <v>514</v>
      </c>
    </row>
    <row r="54" spans="1:1" ht="92.25" customHeight="1">
      <c r="A54" s="229" t="s">
        <v>490</v>
      </c>
    </row>
    <row r="55" spans="1:1" ht="47.25" customHeight="1">
      <c r="A55" s="229" t="s">
        <v>491</v>
      </c>
    </row>
    <row r="56" spans="1:1" ht="72">
      <c r="A56" s="229" t="s">
        <v>492</v>
      </c>
    </row>
    <row r="57" spans="1:1" ht="171" customHeight="1">
      <c r="A57" s="229" t="s">
        <v>432</v>
      </c>
    </row>
    <row r="58" spans="1:1" ht="187.2">
      <c r="A58" s="230" t="s">
        <v>433</v>
      </c>
    </row>
    <row r="59" spans="1:1" ht="158.4">
      <c r="A59" s="75" t="s">
        <v>404</v>
      </c>
    </row>
    <row r="60" spans="1:1" ht="43.2">
      <c r="A60" s="75" t="s">
        <v>400</v>
      </c>
    </row>
    <row r="61" spans="1:1" ht="187.2">
      <c r="A61" s="75" t="s">
        <v>401</v>
      </c>
    </row>
    <row r="62" spans="1:1" ht="144">
      <c r="A62" s="75" t="s">
        <v>405</v>
      </c>
    </row>
    <row r="63" spans="1:1" ht="201.6">
      <c r="A63" s="75" t="s">
        <v>402</v>
      </c>
    </row>
    <row r="64" spans="1:1" ht="331.2">
      <c r="A64" s="75" t="s">
        <v>403</v>
      </c>
    </row>
    <row r="65" spans="1:1" ht="115.2">
      <c r="A65" s="76" t="s">
        <v>270</v>
      </c>
    </row>
    <row r="66" spans="1:1" ht="43.2">
      <c r="A66" s="76" t="s">
        <v>239</v>
      </c>
    </row>
    <row r="67" spans="1:1" ht="180" customHeight="1">
      <c r="A67" s="76" t="s">
        <v>233</v>
      </c>
    </row>
    <row r="68" spans="1:1" ht="172.8">
      <c r="A68" s="77" t="s">
        <v>228</v>
      </c>
    </row>
    <row r="69" spans="1:1" ht="172.8">
      <c r="A69" s="76" t="s">
        <v>225</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220</vt:i4>
      </vt:variant>
      <vt:variant>
        <vt:lpstr>Named Ranges</vt:lpstr>
      </vt:variant>
      <vt:variant>
        <vt:i4>14</vt:i4>
      </vt:variant>
    </vt:vector>
  </HeadingPairs>
  <TitlesOfParts>
    <vt:vector size="234" baseType="lpstr">
      <vt:lpstr>Таблица</vt:lpstr>
      <vt:lpstr>Конфигурация TREI</vt:lpstr>
      <vt:lpstr>Результат(INFINITY)</vt:lpstr>
      <vt:lpstr>Результат(INFINITY-HISTORY)</vt:lpstr>
      <vt:lpstr>Результат(INFINITY-TRENDS)</vt:lpstr>
      <vt:lpstr>Результат(TREI)</vt:lpstr>
      <vt:lpstr>Результат(ST-TREI)</vt:lpstr>
      <vt:lpstr>Результат(XML)</vt:lpstr>
      <vt:lpstr>Справка</vt:lpstr>
      <vt:lpstr>Настройки</vt:lpstr>
      <vt:lpstr>FB_AI_S(INFINITY)</vt:lpstr>
      <vt:lpstr>FB_DI_S(INFINITY)</vt:lpstr>
      <vt:lpstr>FB_DO_S(INFINITY)</vt:lpstr>
      <vt:lpstr>FB_IMv_S(INFINITY)</vt:lpstr>
      <vt:lpstr>FB_IMp_S(INFINITY)</vt:lpstr>
      <vt:lpstr>FB_REG_S(INFINITY)</vt:lpstr>
      <vt:lpstr>FB_IM_ADES_S(INFINITY)</vt:lpstr>
      <vt:lpstr>FB_IMstp_S(INFINITY)</vt:lpstr>
      <vt:lpstr>FB_IMs_S(INFINITY)</vt:lpstr>
      <vt:lpstr>FB_IMsp_S(INFINITY)</vt:lpstr>
      <vt:lpstr>FB_IMst_MON_S(INFINITY)</vt:lpstr>
      <vt:lpstr>FB_IMsp_MON_S(INFINITY)</vt:lpstr>
      <vt:lpstr>FB_IMt_MON_S(INFINITY)</vt:lpstr>
      <vt:lpstr>FB_IMtp_MON_S(INFINITY)</vt:lpstr>
      <vt:lpstr>FB_IMs_MON_S(INFINITY)</vt:lpstr>
      <vt:lpstr>FB_IMp_MON_S(INFINITY)</vt:lpstr>
      <vt:lpstr>FB_IMv_MON_S(INFINITY)</vt:lpstr>
      <vt:lpstr>DI(INFINITY)</vt:lpstr>
      <vt:lpstr>DI_DIAG(INFINITY)</vt:lpstr>
      <vt:lpstr>DO_DIAG(INFINITY)</vt:lpstr>
      <vt:lpstr>DO(INFINITY)</vt:lpstr>
      <vt:lpstr>AO(INFINITY)</vt:lpstr>
      <vt:lpstr>AI(INFINITY)</vt:lpstr>
      <vt:lpstr>AI_SLIM(INFINITY)</vt:lpstr>
      <vt:lpstr>IMp(INFINITY)</vt:lpstr>
      <vt:lpstr>IMv(INFINITY)</vt:lpstr>
      <vt:lpstr>IMp_MON(INFINITY)</vt:lpstr>
      <vt:lpstr>IMv_MON(INFINITY)</vt:lpstr>
      <vt:lpstr>IM_ADES(INFINITY)</vt:lpstr>
      <vt:lpstr>IMstp(INFINITY)</vt:lpstr>
      <vt:lpstr>IMsp(INFINITY)</vt:lpstr>
      <vt:lpstr>IMs_MON(INFINITY)</vt:lpstr>
      <vt:lpstr>IMsp_MON(INFINITY)</vt:lpstr>
      <vt:lpstr>IMt_MON(INFINITY)</vt:lpstr>
      <vt:lpstr>SEPAM_OL(INFINITY)</vt:lpstr>
      <vt:lpstr>SEPAM_SV(INFINITY)</vt:lpstr>
      <vt:lpstr>SEPAM_VV(INFINITY)</vt:lpstr>
      <vt:lpstr>SEPAM_TN(INFINITY)</vt:lpstr>
      <vt:lpstr>SEPAM_VG(INFINITY)</vt:lpstr>
      <vt:lpstr>SEPAM_TZN(INFINITY)</vt:lpstr>
      <vt:lpstr>TOR_OL(INFINITY)</vt:lpstr>
      <vt:lpstr>TOR_VV(INFINITY)</vt:lpstr>
      <vt:lpstr>TOR_SV(INFINITY)</vt:lpstr>
      <vt:lpstr>TOR_TN(INFINITY)</vt:lpstr>
      <vt:lpstr>TOR_BK(INFINITY)</vt:lpstr>
      <vt:lpstr>BMCS (INFINITY)</vt:lpstr>
      <vt:lpstr>BMRZ_VV(INFINITY)</vt:lpstr>
      <vt:lpstr>BMRZ_AV(INFINITY)</vt:lpstr>
      <vt:lpstr>BMPA(INFINITY)</vt:lpstr>
      <vt:lpstr>IMv_SIM(INFINITY)</vt:lpstr>
      <vt:lpstr>SW_S301(INFINITY)</vt:lpstr>
      <vt:lpstr>SW_MAYAK(INFINITY)</vt:lpstr>
      <vt:lpstr>SW_AR550(INFINITY)</vt:lpstr>
      <vt:lpstr>SW_MES3508(INFINITY)</vt:lpstr>
      <vt:lpstr>SW_MES3348F(INFINITY)</vt:lpstr>
      <vt:lpstr>SYS_DIAG(INFINITY)</vt:lpstr>
      <vt:lpstr>FB_AI_BUF_S(INFINITY)</vt:lpstr>
      <vt:lpstr>AI_BUF(INFINITY)</vt:lpstr>
      <vt:lpstr>AI_SLIM_BUF(INFINITY)</vt:lpstr>
      <vt:lpstr>FB_DI_BUF_S(INFINITY)</vt:lpstr>
      <vt:lpstr>DI_BUF(INFINITY)</vt:lpstr>
      <vt:lpstr>DI_DIAG_BUF(INFINITY)</vt:lpstr>
      <vt:lpstr>FB_DO_BUF_S(INFINITY)</vt:lpstr>
      <vt:lpstr>DO_BUF(INFINITY)</vt:lpstr>
      <vt:lpstr>FB_REG_BUF_S(INFINITY)</vt:lpstr>
      <vt:lpstr>FB_IMv_BUF_S(INFINITY)</vt:lpstr>
      <vt:lpstr>FB_dREG_BUF_S(INFINITY)</vt:lpstr>
      <vt:lpstr>FB_MPS_S(INFINITY)</vt:lpstr>
      <vt:lpstr>FB_SHPS_S(INFINITY)</vt:lpstr>
      <vt:lpstr>FB_BTF_S(INFINITY)</vt:lpstr>
      <vt:lpstr>FB_SHOP_S(INFINITY)</vt:lpstr>
      <vt:lpstr>FB_QSA_S(INFINITY)</vt:lpstr>
      <vt:lpstr>FB_UPP_S(INFINITY)</vt:lpstr>
      <vt:lpstr>FB_UPG_S(INFINITY)</vt:lpstr>
      <vt:lpstr>FB_KL_UPT_S(INFINITY)</vt:lpstr>
      <vt:lpstr>FB_OZK_KD_S(INFINITY)</vt:lpstr>
      <vt:lpstr>FB_SH_ALL(INFINITY)</vt:lpstr>
      <vt:lpstr>FB_SHOP_ALL(INFINITY)</vt:lpstr>
      <vt:lpstr>FB_QSA_ALL(INFINITY)</vt:lpstr>
      <vt:lpstr>FB_DO_STB_S(INFINITY)</vt:lpstr>
      <vt:lpstr>FB_HA_UPI_S(INFINITY)</vt:lpstr>
      <vt:lpstr>ENUM(INFINITY)</vt:lpstr>
      <vt:lpstr>PING(INFINITY)</vt:lpstr>
      <vt:lpstr>TREI_DIAG (INFINITY)</vt:lpstr>
      <vt:lpstr>Разное(INFINITY)</vt:lpstr>
      <vt:lpstr>FB_AI_S(TREI)</vt:lpstr>
      <vt:lpstr>FB_DI_S(TREI)</vt:lpstr>
      <vt:lpstr>FB_DO_S(TREI)</vt:lpstr>
      <vt:lpstr>FB_IMv_S(TREI)</vt:lpstr>
      <vt:lpstr>FB_IMp_S(TREI)</vt:lpstr>
      <vt:lpstr>FB_REG_S(TREI)</vt:lpstr>
      <vt:lpstr>FB_IMstp_S(TREI)</vt:lpstr>
      <vt:lpstr>FB_IMsp_S(TREI)</vt:lpstr>
      <vt:lpstr>FB_IMs_S(TREI)</vt:lpstr>
      <vt:lpstr>FB_IMst_MON_S(TREI)</vt:lpstr>
      <vt:lpstr>FB_IMsp_MON_S(TREI)</vt:lpstr>
      <vt:lpstr>FB_IMt_MON_S(TREI)</vt:lpstr>
      <vt:lpstr>FB_IMtp_MON_S(TREI)</vt:lpstr>
      <vt:lpstr>FB_IMs_MON_S(TREI)</vt:lpstr>
      <vt:lpstr>FB_IMp_MON_S(TREI)</vt:lpstr>
      <vt:lpstr>FB_IM_ADES_S(TREI)</vt:lpstr>
      <vt:lpstr>FB_IMv_MON_S(TREI)</vt:lpstr>
      <vt:lpstr>DI(TREI)</vt:lpstr>
      <vt:lpstr>DI_DIAG(TREI)</vt:lpstr>
      <vt:lpstr>DO_DIAG(TREI)</vt:lpstr>
      <vt:lpstr>DO(TREI)</vt:lpstr>
      <vt:lpstr>AO(TREI)</vt:lpstr>
      <vt:lpstr>AI(TREI)</vt:lpstr>
      <vt:lpstr>AI_SLIM(TREI)</vt:lpstr>
      <vt:lpstr>FB_RIM_S(TREI)</vt:lpstr>
      <vt:lpstr>FB_AI_BUF_S(TREI)</vt:lpstr>
      <vt:lpstr>AI_BUF(TREI)</vt:lpstr>
      <vt:lpstr>AI_SLIM_BUF(TREI)</vt:lpstr>
      <vt:lpstr>FB_DI_BUF_S(TREI)</vt:lpstr>
      <vt:lpstr>DI_DIAG_BUF(TREI)</vt:lpstr>
      <vt:lpstr>DI_BUF(TREI)</vt:lpstr>
      <vt:lpstr>FB_DO_BUF_S(TREI)</vt:lpstr>
      <vt:lpstr>DO_BUF(TREI)</vt:lpstr>
      <vt:lpstr>FB_REG_BUF_S(TREI)</vt:lpstr>
      <vt:lpstr>FB_dREG_BUF_S(TREI)</vt:lpstr>
      <vt:lpstr>FB_IMv_BUF_S(TREI)</vt:lpstr>
      <vt:lpstr>FB_SHPS_S(TREI)</vt:lpstr>
      <vt:lpstr>FB_BTF_S(TREI)</vt:lpstr>
      <vt:lpstr>FB_UPP_S(TREI)</vt:lpstr>
      <vt:lpstr>FB_UPG_S(TREI)</vt:lpstr>
      <vt:lpstr>FB_KL_UPT_S(TREI)</vt:lpstr>
      <vt:lpstr>FB_OZK_KD_S(TREI)</vt:lpstr>
      <vt:lpstr>FB_SHOP_S(TREI)</vt:lpstr>
      <vt:lpstr>FB_QSA_S(TREI)</vt:lpstr>
      <vt:lpstr>FB_SH_ALL(TREI)</vt:lpstr>
      <vt:lpstr>FB_SHOP_ALL(TREI)</vt:lpstr>
      <vt:lpstr>FB_QSA_ALL(TREI)</vt:lpstr>
      <vt:lpstr>FB_DO_STB_S(TREI)</vt:lpstr>
      <vt:lpstr>FB_MPS_S (TREI)</vt:lpstr>
      <vt:lpstr>FB_HA_UPI_S(TREI)</vt:lpstr>
      <vt:lpstr>ENUM(TREI)</vt:lpstr>
      <vt:lpstr>Разное(TREI)</vt:lpstr>
      <vt:lpstr>Диагностика(TREI)</vt:lpstr>
      <vt:lpstr>FB_AI_S(ST-TREI)</vt:lpstr>
      <vt:lpstr>FB_DI_S(ST-TREI)</vt:lpstr>
      <vt:lpstr>DI_DIAG(ST-TREI)</vt:lpstr>
      <vt:lpstr>DO_DIAG(ST-TREI)</vt:lpstr>
      <vt:lpstr>FB_IMp_S(ST-TREI)</vt:lpstr>
      <vt:lpstr>FB_DO_S(ST-TREI)</vt:lpstr>
      <vt:lpstr>FB_IMv_S(ST-TREI)</vt:lpstr>
      <vt:lpstr>FB_IM_ADES_S(ST-TREI)</vt:lpstr>
      <vt:lpstr>FB_REG_S(ST-TREI)</vt:lpstr>
      <vt:lpstr>FB_dREG_S(ST-TREI)</vt:lpstr>
      <vt:lpstr>FB_IMstp_S(ST-TREI)</vt:lpstr>
      <vt:lpstr>FB_IMsp_S(ST-TREI)</vt:lpstr>
      <vt:lpstr>FB_IMs_S(ST-TREI)</vt:lpstr>
      <vt:lpstr>FB_IMst_MON_S(ST-TREI)</vt:lpstr>
      <vt:lpstr>FB_IMt_MON_S(ST-TREI)</vt:lpstr>
      <vt:lpstr>FB_IMsp_MON_S(ST-TREI)</vt:lpstr>
      <vt:lpstr>FB_IMs_MON_S(ST-TREI)</vt:lpstr>
      <vt:lpstr>FB_IMp_MON_S(ST-TREI)</vt:lpstr>
      <vt:lpstr>FB_IMv_MON_S(ST-TREI)</vt:lpstr>
      <vt:lpstr>FB_QSA_S(ST-TREI)</vt:lpstr>
      <vt:lpstr>FB_SHOP_S(ST-TREI)</vt:lpstr>
      <vt:lpstr>FB_SHPS_S(ST-TREI)</vt:lpstr>
      <vt:lpstr>FB_BTF_S(ST-TREI)</vt:lpstr>
      <vt:lpstr>FB_KL_UPT_S(ST-TREI)</vt:lpstr>
      <vt:lpstr>FB_OZK_KD_S(ST-TREI)</vt:lpstr>
      <vt:lpstr>FB_DO_STB_S(ST-TREI)</vt:lpstr>
      <vt:lpstr>FB_AI_S(INFINITY-TR)</vt:lpstr>
      <vt:lpstr>FB_AI_BUF_S(INFINITY-TR)</vt:lpstr>
      <vt:lpstr>AI(INFINITY-TR)</vt:lpstr>
      <vt:lpstr>AI_BUF(INFINITY-TR)</vt:lpstr>
      <vt:lpstr>AI_SLIM(INFINITY-TR)</vt:lpstr>
      <vt:lpstr>AI_SLIM_BUF(INFINITY-TR)</vt:lpstr>
      <vt:lpstr>FB_REG_S(INFINITY-TR)</vt:lpstr>
      <vt:lpstr>FB_REG_BUF_S(INFINITY-TR)</vt:lpstr>
      <vt:lpstr>FB_dREG_BUF_S(INFINITY-TR)</vt:lpstr>
      <vt:lpstr>FB_QSA_S(INFINITY-TR)</vt:lpstr>
      <vt:lpstr>SEPAM_OL(INFINITY-TR)</vt:lpstr>
      <vt:lpstr>SEPAM_VV(INFINITY-TR)</vt:lpstr>
      <vt:lpstr>SEPAM_SV(INFINITY-TR)</vt:lpstr>
      <vt:lpstr>SEPAM_TN(INFINITY-TR)</vt:lpstr>
      <vt:lpstr>TOR_OL(INFINITY-TR)</vt:lpstr>
      <vt:lpstr>TOR_VV(INFINITY-TR)</vt:lpstr>
      <vt:lpstr>TOR_SV(INFINITY-TR)</vt:lpstr>
      <vt:lpstr>TOR_TN(INFINITY-TR)</vt:lpstr>
      <vt:lpstr>TOR_BK(INFINITY-TR)</vt:lpstr>
      <vt:lpstr>BMRZ(INFINITY-TR)</vt:lpstr>
      <vt:lpstr>FB_AI_S(INFINITY-HIS)</vt:lpstr>
      <vt:lpstr>FB_AI_BUF_S(INFINITY-HIS)</vt:lpstr>
      <vt:lpstr>FB_REG_S(INFINITY-HIS)</vt:lpstr>
      <vt:lpstr>FB_REG_BUF_S(INFINITY-HIS)</vt:lpstr>
      <vt:lpstr>FB_dREG_BUF_S(INFINITY-HIS)</vt:lpstr>
      <vt:lpstr>AI(INFINITY-HIS)</vt:lpstr>
      <vt:lpstr>AI_BUF(INFINITY-HIS)</vt:lpstr>
      <vt:lpstr>AI_SLIM(INFINITY-HIS)</vt:lpstr>
      <vt:lpstr>AI_SLIM_BUF(INFINITY-HIS)</vt:lpstr>
      <vt:lpstr>FB_QSA_S(INFINITY-HIS)</vt:lpstr>
      <vt:lpstr>SEPAM_OL(INFINITY-HIS)</vt:lpstr>
      <vt:lpstr>SEPAM_VV(INFINITY-HIS)</vt:lpstr>
      <vt:lpstr>SEPAM_SV(INFINITY-HIS)</vt:lpstr>
      <vt:lpstr>SEPAM_TN(INFINITY-HIS)</vt:lpstr>
      <vt:lpstr>TOR_OL(INFINITY-HIS)</vt:lpstr>
      <vt:lpstr>TOR_VV(INFINITY-HIS)</vt:lpstr>
      <vt:lpstr>TOR_SV(INFINITY-HIS)</vt:lpstr>
      <vt:lpstr>TOR_TN(INFINITY-HIS)</vt:lpstr>
      <vt:lpstr>TOR_BK(INFINITY-HIS)</vt:lpstr>
      <vt:lpstr>BMRZ(INFINITY-HIS)</vt:lpstr>
      <vt:lpstr>TIME_STAMPS(TREI)</vt:lpstr>
      <vt:lpstr>TIME_STAMPS(INFINITY)</vt:lpstr>
      <vt:lpstr>Упаковка Modbus</vt:lpstr>
      <vt:lpstr>CRC</vt:lpstr>
      <vt:lpstr>CRC (Project)</vt:lpstr>
      <vt:lpstr>История изменений</vt:lpstr>
      <vt:lpstr>'FB_IMp_MON_S(INFINITY)'!IM_sp_MON</vt:lpstr>
      <vt:lpstr>'FB_IMs_MON_S(INFINITY)'!IM_sp_MON</vt:lpstr>
      <vt:lpstr>'FB_IMsp_MON_S(INFINITY)'!IM_sp_MON</vt:lpstr>
      <vt:lpstr>'FB_IMt_MON_S(INFINITY)'!IM_sp_MON</vt:lpstr>
      <vt:lpstr>'FB_IMtp_MON_S(INFINITY)'!IM_sp_MON</vt:lpstr>
      <vt:lpstr>'FB_IMv_MON_S(INFINITY)'!IM_sp_MON</vt:lpstr>
      <vt:lpstr>'IMp_MON(INFINITY)'!IM_sp_MON</vt:lpstr>
      <vt:lpstr>'IMv_SIM(INFINITY)'!IM_sp_MON</vt:lpstr>
      <vt:lpstr>'IMs_MON(INFINITY)'!IM_sp_MON_2</vt:lpstr>
      <vt:lpstr>'IMsp_MON(INFINITY)'!IM_sp_MON_2</vt:lpstr>
      <vt:lpstr>'IMt_MON(INFINITY)'!IM_sp_MON_2</vt:lpstr>
      <vt:lpstr>'IMv_MON(INFINITY)'!IM_sp_MON_2</vt:lpstr>
      <vt:lpstr>'FB_IMst_MON_S(INFINITY)'!IM_st_MON_1</vt:lpstr>
      <vt:lpstr>Тип_блока</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SERGEY</dc:creator>
  <cp:lastModifiedBy>Jonathan Livingston</cp:lastModifiedBy>
  <cp:lastPrinted>2017-06-16T06:31:12Z</cp:lastPrinted>
  <dcterms:created xsi:type="dcterms:W3CDTF">2006-09-16T00:00:00Z</dcterms:created>
  <dcterms:modified xsi:type="dcterms:W3CDTF">2022-08-17T11:56:50Z</dcterms:modified>
</cp:coreProperties>
</file>